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ms-excel.slicerCache+xml" PartName="/xl/slicerCaches/slicerCache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layer" sheetId="2" r:id="rId6"/>
    <sheet state="visible" name="Dashboard" sheetId="3" r:id="rId7"/>
    <sheet state="visible" name="Checklist" sheetId="4" r:id="rId8"/>
    <sheet state="visible" name="cost checklist" sheetId="5" r:id="rId9"/>
    <sheet state="visible" name="Recommended" sheetId="6" r:id="rId10"/>
    <sheet state="visible" name="Inspector" sheetId="7" r:id="rId11"/>
    <sheet state="visible" name="Validation" sheetId="8" r:id="rId12"/>
    <sheet state="visible" name="Targets" sheetId="9" r:id="rId13"/>
    <sheet state="visible" name="TargetStatus" sheetId="10" r:id="rId14"/>
    <sheet state="visible" name="CostStatus" sheetId="11" r:id="rId15"/>
    <sheet state="visible" name="Dependencies" sheetId="12" r:id="rId16"/>
    <sheet state="visible" name="QuestObjectives" sheetId="13" r:id="rId17"/>
    <sheet state="visible" name="CostTemp" sheetId="14" r:id="rId18"/>
    <sheet state="visible" name="CostDependency" sheetId="15" r:id="rId19"/>
    <sheet state="visible" name="Buildings" sheetId="16" r:id="rId20"/>
    <sheet state="visible" name="Citadel" sheetId="17" r:id="rId21"/>
    <sheet state="visible" name="Collections" sheetId="18" r:id="rId22"/>
    <sheet state="visible" name="Craftifacts" sheetId="19" r:id="rId23"/>
    <sheet state="visible" name="Quests" sheetId="20" r:id="rId24"/>
    <sheet state="visible" name="States" sheetId="21" r:id="rId25"/>
    <sheet state="visible" name="Technologies" sheetId="22" r:id="rId26"/>
    <sheet state="visible" name="Dep_Import" sheetId="23" r:id="rId27"/>
    <sheet state="visible" name="Exceptions" sheetId="24" r:id="rId28"/>
    <sheet state="visible" name="Aliases" sheetId="25" r:id="rId29"/>
  </sheets>
  <definedNames>
    <definedName name="Slicer_PlayerCompleted">#REF!</definedName>
    <definedName name="Slicer_TargetType">#REF!</definedName>
    <definedName name="craftifactNames">#REF!</definedName>
    <definedName name="Slicer_ChainAwareStatus">#REF!</definedName>
    <definedName name="Slicer_TargetType1">#REF!</definedName>
    <definedName name="AllDependencies">Dependencies!$D$1:$E$1000</definedName>
    <definedName name="Slicer_PlayerPaid">#REF!</definedName>
    <definedName name="Slicer_TargetCompleted">#REF!</definedName>
    <definedName name="Slicer_TargetFunded">#REF!</definedName>
    <definedName hidden="1" localSheetId="9" name="_xlnm._FilterDatabase">TargetStatus!$A$1:$AA$619</definedName>
    <definedName hidden="1" localSheetId="10" name="_xlnm._FilterDatabase">CostStatus!$A$1:$M$2011</definedName>
    <definedName hidden="1" localSheetId="13" name="Z_0D5C8B2B_024F_4EFB_BF34_ADA1D5ED9853_.wvu.FilterData">CostTemp!$A$1:$D$310</definedName>
    <definedName hidden="1" localSheetId="10" name="Z_9440D7F6_2F62_4389_BA16_285CFC54C3B8_.wvu.FilterData">CostStatus!$A$1:$M$2011</definedName>
    <definedName hidden="1" localSheetId="15" name="Z_487C8414_2B0A_4B74_8EE8_F54290598AA2_.wvu.FilterData">Buildings!$A$1:$CH$109</definedName>
    <definedName hidden="1" localSheetId="5" name="Z_61BF85AF_CB63_4D4D_92AA_1319DD2F284D_.wvu.FilterData">Recommended!$F$2:$K$104</definedName>
    <definedName hidden="1" localSheetId="22" name="Z_78B19D45_CD7A_466C_8415_E3257322A2AD_.wvu.FilterData">Dep_Import!$A$1:$L$714</definedName>
    <definedName hidden="1" localSheetId="8" name="Z_9523BC50_7471_44B2_8039_E858DB016A72_.wvu.FilterData">Targets!$A$1:$H$619</definedName>
    <definedName hidden="1" localSheetId="12" name="Z_0DD2D6E0_230F_4983_AAFB_CA2BE29401DD_.wvu.FilterData">QuestObjectives!$A$1:$H$148</definedName>
    <definedName hidden="1" localSheetId="11" name="Z_96BCFB56_B7B1_42E0_9252_0E18FC81B1FA_.wvu.FilterData">Dependencies!$A$1:$B$798</definedName>
    <definedName hidden="1" localSheetId="21" name="Z_FD32FB05_5964_4459_AF2B_04D920E44B03_.wvu.FilterData">Technologies!$A$1:$CU$96</definedName>
    <definedName hidden="1" localSheetId="3" name="Z_45694FF1_E095_4114_957B_1375ADA1182E_.wvu.FilterData">Checklist!$A$1:$I$561</definedName>
    <definedName hidden="1" localSheetId="16" name="Z_15408461_B31A_4DCF_8305_3E9C63063937_.wvu.FilterData">Citadel!$A$1:$AA$16</definedName>
    <definedName hidden="1" localSheetId="20" name="Z_092849A4_F2AD_4D29_9203_F94173527FFE_.wvu.FilterData">States!$A$1:$G$147</definedName>
    <definedName hidden="1" localSheetId="3" name="Z_142766E8_E83C_4F25_8A84_73E404EE2373_.wvu.FilterData">Checklist!$A$1:$I$561</definedName>
    <definedName hidden="1" localSheetId="4" name="Z_142766E8_E83C_4F25_8A84_73E404EE2373_.wvu.FilterData">'cost checklist'!$A$1:$J$2011</definedName>
    <definedName hidden="1" localSheetId="4" name="Z_9614F490_DA9B_4B51_BBC9_0B37DEEB0630_.wvu.FilterData">'cost checklist'!$A$1:$J$2011</definedName>
    <definedName hidden="1" localSheetId="1" name="Z_CC0EF592_60EA_48AA_80C1_DDA98C5D907E_.wvu.FilterData">Player!$A$1:$E$4</definedName>
    <definedName hidden="1" localSheetId="19" name="Z_7D98E74F_7E7D_45CD_A040_476CE37CAA71_.wvu.FilterData">Quests!$A$1:$O$61</definedName>
    <definedName hidden="1" localSheetId="5" name="Z_C2508133_DE9D_40E2_BB4C_79E70C2CC168_.wvu.FilterData">Recommended!$A$2:$C$104</definedName>
    <definedName hidden="1" localSheetId="7" name="Z_87ABADD1_D39A_45F6_A299_CACD33710D13_.wvu.FilterData">Validation!$A$1:$P$623</definedName>
    <definedName hidden="1" localSheetId="18" name="Z_D8F3BFB9_F7DD_40E8_B222_4DFC92BB1BE9_.wvu.FilterData">Craftifacts!$A$1:$AX$21</definedName>
    <definedName hidden="1" localSheetId="17" name="Z_C79D4EBE_B997_420E_80FD_50CFAE5C57B0_.wvu.FilterData">Collections!$A$1:$EN$89</definedName>
    <definedName hidden="1" localSheetId="9" name="Z_EBD2E191_3530_4704_AAF0_5726131331D3_.wvu.FilterData">TargetStatus!$A$1:$AA$619</definedName>
    <definedName name="ClausetoToken">LAMBDA(_xlpm.clause, _xlpm.techNames, LET(_xlpm.p,TRIM(_xlpm.clause),_xlpm.low,LOWER(_xlpm.p),_xlpm.isTech,IFERROR(ISNUMBER(XMATCH(_xlpm.p,_xlpm.techNames,0)),FALSE),_xlpm.isComplete,OR(ISNUMBER(SEARCH("requires completing",_xlpm.low)),ISNUMBER(SEARCH("completing the quest",_xlpm.low)),ISNUMBER(SEARCH("completing quest",_xlpm.low)),ISNUMBER(SEARCH("complete the quest",_xlpm.low))),_xlpm.isAccept,OR(ISNUMBER(SEARCH("requires accepting",_xlpm.low)),ISNUMBER(SEARCH("accepting the quest",_xlpm.low)),ISNUMBER(SEARCH("accepting quest",_xlpm.low)),ISNUMBER(SEARCH("accept the quest",_xlpm.low))),_xlpm.colonPos,IFERROR(SEARCH(":",_xlpm.p),0),_xlpm.afterColon,IF(_xlpm.colonPos&gt;0,TRIM(MID(_xlpm.p,_xlpm.colonPos+1,999)),""),_xlpm.completeFallback,TRIM(SUBSTITUTE(SUBSTITUTE(SUBSTITUTE(SUBSTITUTE(SUBSTITUTE(_xlpm.low,"requires completing the quest",""),"requires completing",""),"completing the quest",""),"completing quest",""),"complete the quest","")),_xlpm.acceptFallback,TRIM(SUBSTITUTE(SUBSTITUTE(SUBSTITUTE(SUBSTITUTE(_xlpm.low,"requires accepting the quest",""),"requires accepting",""),"accepting the quest",""),"accept the quest","")),_xlpm.questKeyComplete,ExtractQuestKey(IF(_xlpm.colonPos&gt;0,_xlpm.afterColon,_xlpm.completeFallback)),_xlpm.questKeyAccept,ExtractQuestKey(IF(_xlpm.colonPos&gt;0,_xlpm.afterColon,_xlpm.acceptFallback)),_xlpm.hasLvl,ISNUMBER(SEARCH("lvl.",_xlpm.low)),_xlpm.bNameLvl,IF(_xlpm.hasLvl,TRIM(TEXTBEFORE(_xlpm.p,"lvl.")),""),_xlpm.lvlRaw,IF(_xlpm.hasLvl,TRIM(TEXTAFTER(_xlpm.p,"lvl.")),""),_xlpm.lvlNum,IFERROR(--TEXTBEFORE(_xlpm.lvlRaw," "),IFERROR(--_xlpm.lvlRaw,"")),_xlpm.isBMax,OR(ISNUMBER(SEARCH("max level",_xlpm.low)),ISNUMBER(SEARCH("maximum level",_xlpm.low)),ISNUMBER(SEARCH("at max",_xlpm.low)),ISNUMBER(SEARCH("maxed",_xlpm.low))),_xlpm.bNameMax,TRIM(SUBSTITUTE(SUBSTITUTE(SUBSTITUTE(SUBSTITUTE(SUBSTITUTE(_xlpm.p,"maximum level",""),"max level",""),"at max",""),"maxed",""),"  "," ")),IF(_xlpm.isTech,"TECH:"&amp;_xlpm.p,IF(_xlpm.isComplete,"QUEST_COMPLETE:"&amp;_xlpm.questKeyComplete,IF(_xlpm.isAccept,"QUEST_ACCEPT:"&amp;_xlpm.questKeyAccept,IF(AND(_xlpm.hasLvl,_xlpm.bNameLvl&lt;&gt;"",_xlpm.lvlNum&lt;&gt;""),"BUILDING_LVL:"&amp;_xlpm.bNameLvl&amp;"@"&amp;_xlpm.lvlNum,IF(_xlpm.isBMax,"BUILDING_MAX:"&amp;_xlpm.bNameMax,IF(_xlpm.p&lt;&gt;"","OTHER:"&amp;_xlpm.p,""))))))))</definedName>
    <definedName name="clausetotokencitadel">LAMBDA(_xlpm.clause, _xlpm.techNames, _xlpm.citadelNames, IF(TRIM(_xlpm.clause)="","",LET(_xlpm.c,TRIM(_xlpm.clause),_xlpm.cCraft,TRIM(SUBSTITUTE(SUBSTITUTE(SUBSTITUTE(_xlpm.c,"Craftifacts",""),"Craftifact",""),":","")),_xlpm.isCraft,IFERROR(ISNUMBER(XMATCH(_xlpm.cCraft,craftifactNames,0)),FALSE),_xlpm.low,LOWER(_xlpm.c),_xlpm.hasAt,ISNUMBER(SEARCH("@",_xlpm.c)),_xlpm.atName,IF(_xlpm.hasAt,TRIM(TEXTBEFORE(_xlpm.c,"@")),""),_xlpm.atLvl,IF(_xlpm.hasAt,IFERROR(--TRIM(TEXTAFTER(_xlpm.c,"@")),""),""),_xlpm.hasLvl,ISNUMBER(SEARCH("lvl.",_xlpm.low)),_xlpm.lvlName,IF(_xlpm.hasLvl,TRIM(TEXTBEFORE(_xlpm.c,"lvl.")),""),_xlpm.lvlRaw,IF(_xlpm.hasLvl,TRIM(TEXTAFTER(_xlpm.low,"lvl.")),""),_xlpm.lvlNum,IF(_xlpm.hasLvl,IFERROR(--TEXTBEFORE(_xlpm.lvlRaw," "),IFERROR(--_xlpm.lvlRaw,"")),""),_xlpm.baseName,IF(_xlpm.hasAt,_xlpm.atName,IF(_xlpm.hasLvl,_xlpm.lvlName,"")),_xlpm.reqLvl,IF(_xlpm.hasAt,_xlpm.atLvl,IF(_xlpm.hasLvl,_xlpm.lvlNum,"")),_xlpm.canonLvlName,IF(AND(_xlpm.baseName&lt;&gt;"",_xlpm.reqLvl&lt;&gt;""),_xlpm.baseName&amp;" lvl. "&amp;_xlpm.reqLvl,""),_xlpm.isCitLevel,IF(_xlpm.canonLvlName="",FALSE,IFERROR(ISNUMBER(XMATCH(_xlpm.canonLvlName,_xlpm.citadelNames,0)),FALSE)),_xlpm.isCitPlain,IFERROR(ISNUMBER(XMATCH(_xlpm.c,_xlpm.citadelNames,0)),FALSE),IF(_xlpm.isCraft,"CRAFTIFACT:"&amp;_xlpm.cCraft,IF(_xlpm.isCitLevel,"CITADEL_LVL:"&amp;_xlpm.baseName&amp;"@"&amp;_xlpm.reqLvl,IF(_xlpm.isCitPlain,"CITADEL:"&amp;_xlpm.c,LET(_xlpm.tok,ClausetoToken(_xlpm.c,_xlpm.techNames),_xlpm.k,IFERROR(TEXTBEFORE(_xlpm.tok,":"),""),_xlpm.v,IFERROR(TEXTAFTER(_xlpm.tok,":"),""),_xlpm.vCraft,TRIM(SUBSTITUTE(SUBSTITUTE(SUBSTITUTE(_xlpm.v,"Craftifacts",""),"Craftifact",""),":","")),IF(_xlpm.k="OTHER",IF(IFERROR(ISNUMBER(XMATCH(_xlpm.vCraft,craftifactNames,0)),FALSE),"CRAFTIFACT:"&amp;_xlpm.vCraft,IF(IFERROR(ISNUMBER(XMATCH(_xlpm.v,_xlpm.citadelNames,0)),FALSE),"CITADEL:"&amp;_xlpm.v,_xlpm.tok)),_xlpm.tok))))))))</definedName>
    <definedName name="ExtractQuestKey">LAMBDA(_xlpm.clause, LET(_xlpm.c,TRIM(_xlpm.clause),_xlpm.link,IFERROR(TEXTBEFORE(TEXTAFTER(_xlpm.c,"[["),"]]"),""),_xlpm.disp,IF(_xlpm.link&lt;&gt;"",IF(ISNUMBER(SEARCH("|",_xlpm.link)),TRIM(TEXTAFTER(_xlpm.link,"|",-1)),_xlpm.link),_xlpm.c),_xlpm.payload,IFERROR(TRIM(TEXTAFTER(_xlpm.disp,":")),_xlpm.disp),TRIM(SUBSTITUTE(_xlpm.payload,".",""))))</definedName>
    <definedName name="NormalizePrereqs">LAMBDA(_xlpm.txt, LET(_xlpm.t,_xlpm.txt,TRIM(SUBSTITUTE(SUBSTITUTE(SUBSTITUTE(SUBSTITUTE(SUBSTITUTE(_xlpm.t,CHAR(10),"|"),"&lt;br/&gt;","|"),"&lt;br&gt;","|"),"/","|"),"\","|"))))</definedName>
    <definedName name="SlicerCache_Table_1_Col_4">#N/A</definedName>
    <definedName name="SlicerCache_Table_1_Col_5">#N/A</definedName>
    <definedName name="SlicerCache_Table_1_Col_7">#N/A</definedName>
    <definedName name="SlicerCache_Table_1_Col_8">#N/A</definedName>
    <definedName name="SlicerCache_Table_3_Col_4">#N/A</definedName>
    <definedName name="SlicerCache_Table_3_Col_9">#N/A</definedName>
    <definedName name="SlicerCache_Table_3_Col_10">#N/A</definedName>
  </definedNames>
  <calcPr/>
  <customWorkbookViews>
    <customWorkbookView activeSheetId="0" maximized="1" windowHeight="0" windowWidth="0" guid="{0D5C8B2B-024F-4EFB-BF34-ADA1D5ED9853}" name="tblCostTemp filter view"/>
    <customWorkbookView activeSheetId="0" maximized="1" windowHeight="0" windowWidth="0" guid="{9440D7F6-2F62-4389-BA16-285CFC54C3B8}" name="tblCost filter view"/>
    <customWorkbookView activeSheetId="0" maximized="1" windowHeight="0" windowWidth="0" guid="{487C8414-2B0A-4B74-8EE8-F54290598AA2}" name="tblBuildings filter view"/>
    <customWorkbookView activeSheetId="0" maximized="1" windowHeight="0" windowWidth="0" guid="{61BF85AF-CB63-4D4D-92AA-1319DD2F284D}" name="tblwikirecommended filter view"/>
    <customWorkbookView activeSheetId="0" maximized="1" windowHeight="0" windowWidth="0" guid="{78B19D45-CD7A-466C-8415-E3257322A2AD}" name="tbldeptemp filter view"/>
    <customWorkbookView activeSheetId="0" maximized="1" windowHeight="0" windowWidth="0" guid="{9523BC50-7471-44B2-8039-E858DB016A72}" name="tblTargets filter view"/>
    <customWorkbookView activeSheetId="0" maximized="1" windowHeight="0" windowWidth="0" guid="{0DD2D6E0-230F-4983-AAFB-CA2BE29401DD}" name="tblQuestObjectives filter view"/>
    <customWorkbookView activeSheetId="0" maximized="1" windowHeight="0" windowWidth="0" guid="{96BCFB56-B7B1-42E0-9252-0E18FC81B1FA}" name="tblDependencies filter view"/>
    <customWorkbookView activeSheetId="0" maximized="1" windowHeight="0" windowWidth="0" guid="{FD32FB05-5964-4459-AF2B-04D920E44B03}" name="tblTechnologies filter view"/>
    <customWorkbookView activeSheetId="0" maximized="1" windowHeight="0" windowWidth="0" guid="{45694FF1-E095-4114-957B-1375ADA1182E}" name="tblChecklist filter view"/>
    <customWorkbookView activeSheetId="0" maximized="1" windowHeight="0" windowWidth="0" guid="{15408461-B31A-4DCF-8305-3E9C63063937}" name="tblCitadel filter view"/>
    <customWorkbookView activeSheetId="0" maximized="1" windowHeight="0" windowWidth="0" guid="{092849A4-F2AD-4D29-9203-F94173527FFE}" name="tblStates filter view"/>
    <customWorkbookView activeSheetId="0" maximized="1" windowHeight="0" windowWidth="0" guid="{142766E8-E83C-4F25-8A84-73E404EE2373}" name="Filter 1"/>
    <customWorkbookView activeSheetId="0" maximized="1" windowHeight="0" windowWidth="0" guid="{9614F490-DA9B-4B51-BBC9-0B37DEEB0630}" name="tblCostChecklist filter view"/>
    <customWorkbookView activeSheetId="0" maximized="1" windowHeight="0" windowWidth="0" guid="{CC0EF592-60EA-48AA-80C1-DDA98C5D907E}" name="tblPlayer filter view"/>
    <customWorkbookView activeSheetId="0" maximized="1" windowHeight="0" windowWidth="0" guid="{7D98E74F-7E7D-45CD-A040-476CE37CAA71}" name="tblQuests filter view"/>
    <customWorkbookView activeSheetId="0" maximized="1" windowHeight="0" windowWidth="0" guid="{C2508133-DE9D-40E2-BB4C-79E70C2CC168}" name="tblrecommended filter view"/>
    <customWorkbookView activeSheetId="0" maximized="1" windowHeight="0" windowWidth="0" guid="{87ABADD1-D39A-45F6-A299-CACD33710D13}" name="tblValidation filter view"/>
    <customWorkbookView activeSheetId="0" maximized="1" windowHeight="0" windowWidth="0" guid="{D8F3BFB9-F7DD-40E8-B222-4DFC92BB1BE9}" name="tblCraftifacts filter view"/>
    <customWorkbookView activeSheetId="0" maximized="1" windowHeight="0" windowWidth="0" guid="{C79D4EBE-B997-420E-80FD-50CFAE5C57B0}" name="tblCollections filter view"/>
    <customWorkbookView activeSheetId="0" maximized="1" windowHeight="0" windowWidth="0" guid="{EBD2E191-3530-4704-AAF0-5726131331D3}" name="tblTargetStatus filter view"/>
  </customWorkbookViews>
  <extLst>
    <ext uri="{46BE6895-7355-4a93-B00E-2C351335B9C9}">
      <x15:slicerCaches>
        <x14:slicerCache r:id="rId30"/>
        <x14:slicerCache r:id="rId31"/>
        <x14:slicerCache r:id="rId32"/>
        <x14:slicerCache r:id="rId33"/>
        <x14:slicerCache r:id="rId34"/>
        <x14:slicerCache r:id="rId35"/>
        <x14:slicerCache r:id="rId36"/>
      </x15:slicerCaches>
    </ext>
  </extLst>
</workbook>
</file>

<file path=xl/sharedStrings.xml><?xml version="1.0" encoding="utf-8"?>
<sst xmlns="http://schemas.openxmlformats.org/spreadsheetml/2006/main" count="25863" uniqueCount="6472">
  <si>
    <t>Current Cost</t>
  </si>
  <si>
    <t>One Away</t>
  </si>
  <si>
    <t>Open Quests</t>
  </si>
  <si>
    <t>Pending actions</t>
  </si>
  <si>
    <t>Funded not Complete</t>
  </si>
  <si>
    <t>Select Resource</t>
  </si>
  <si>
    <t>ruby</t>
  </si>
  <si>
    <t>Setting</t>
  </si>
  <si>
    <t>Value</t>
  </si>
  <si>
    <t>PlayerStateID</t>
  </si>
  <si>
    <t>Description</t>
  </si>
  <si>
    <t>Note</t>
  </si>
  <si>
    <t>Player Type</t>
  </si>
  <si>
    <t>Target</t>
  </si>
  <si>
    <t>Type</t>
  </si>
  <si>
    <t>Sort</t>
  </si>
  <si>
    <t>Active</t>
  </si>
  <si>
    <t>Funded</t>
  </si>
  <si>
    <t>Remaining</t>
  </si>
  <si>
    <t>Cost Details</t>
  </si>
  <si>
    <t>Character Level</t>
  </si>
  <si>
    <t>Missing</t>
  </si>
  <si>
    <t>Active Quest</t>
  </si>
  <si>
    <t>Outstanding Objective</t>
  </si>
  <si>
    <t>Action</t>
  </si>
  <si>
    <t>Unlocks</t>
  </si>
  <si>
    <t>state.character_level</t>
  </si>
  <si>
    <t>Current player level</t>
  </si>
  <si>
    <t>Only needs to be tracked until level 80</t>
  </si>
  <si>
    <t>Passive</t>
  </si>
  <si>
    <t>Cartographer</t>
  </si>
  <si>
    <t>state.character_cartographer</t>
  </si>
  <si>
    <t>Current cartographer level</t>
  </si>
  <si>
    <t>Only needs to be tracked until level 4</t>
  </si>
  <si>
    <t>Cooking</t>
  </si>
  <si>
    <t>state.character_cooking</t>
  </si>
  <si>
    <t>Current Cooking level</t>
  </si>
  <si>
    <t>Only needs to be tracked until level 13</t>
  </si>
  <si>
    <t>TargetID</t>
  </si>
  <si>
    <t>DisplayName</t>
  </si>
  <si>
    <t>Successors</t>
  </si>
  <si>
    <t>TargetType</t>
  </si>
  <si>
    <t>ChainAwareStatus</t>
  </si>
  <si>
    <t>PlayerSort</t>
  </si>
  <si>
    <t>PlayerCompleted</t>
  </si>
  <si>
    <t>TargetFunded</t>
  </si>
  <si>
    <t>Recommended</t>
  </si>
  <si>
    <t>building.airship@1</t>
  </si>
  <si>
    <t>Building order list</t>
  </si>
  <si>
    <t>Order</t>
  </si>
  <si>
    <t>PassiveTargetID</t>
  </si>
  <si>
    <t>ActiveTargetID</t>
  </si>
  <si>
    <t>Passive Buildings</t>
  </si>
  <si>
    <t>Passive ID</t>
  </si>
  <si>
    <t>Active ID</t>
  </si>
  <si>
    <t>Active Buildings</t>
  </si>
  <si>
    <t>Notes</t>
  </si>
  <si>
    <t>Guild lvl. 2</t>
  </si>
  <si>
    <t>building.airship@2</t>
  </si>
  <si>
    <t>Increases daily rewards and enables building lvl. 2 buildings.</t>
  </si>
  <si>
    <t>Warehouse lvl. 1</t>
  </si>
  <si>
    <t>Unlocks Bourse - watching ads for Treasure map fragments, Katanas and Coffee beans.</t>
  </si>
  <si>
    <t>building.alchemists_hut@1</t>
  </si>
  <si>
    <t>Shop lvl. 1</t>
  </si>
  <si>
    <t>Enables buying Chemicals, which are required for Alchemist's Hut lvl. 2.</t>
  </si>
  <si>
    <t>building.alchemists_hut@2</t>
  </si>
  <si>
    <t>Alchemist's Hut lvl. 1</t>
  </si>
  <si>
    <t>Enables building Alchemist's Hut lvl. 2.</t>
  </si>
  <si>
    <t>building.alchemists_hut@3</t>
  </si>
  <si>
    <t>Alchemist's Hut lvl. 2</t>
  </si>
  <si>
    <t>Unlocks Cauldron.</t>
  </si>
  <si>
    <t>building.alchemists_hut@4</t>
  </si>
  <si>
    <t>Field lvl. 1</t>
  </si>
  <si>
    <t>Passive income of Rice (used in dungeon).</t>
  </si>
  <si>
    <t>Rock Garden lvl. 1</t>
  </si>
  <si>
    <t>Food Stall lvl. 1</t>
  </si>
  <si>
    <t>Enables crafting dungeon related items.</t>
  </si>
  <si>
    <t>building.alchemists_hut@5</t>
  </si>
  <si>
    <t>Rock Garden lvl. 2</t>
  </si>
  <si>
    <t>Field lvl. 2</t>
  </si>
  <si>
    <t>Passive income of Wheat (also used in dungeon).</t>
  </si>
  <si>
    <t>building.alchemists_hut@6</t>
  </si>
  <si>
    <t>Garden lvl. 1</t>
  </si>
  <si>
    <t>Windmill lvl. 1</t>
  </si>
  <si>
    <t>Enables crafting Flour from Wheat.</t>
  </si>
  <si>
    <t>building.bonsai@1</t>
  </si>
  <si>
    <t>Garden lvl. 2</t>
  </si>
  <si>
    <t>Furnace lvl. 1</t>
  </si>
  <si>
    <t>Enables crafting Steel (required for Dungeon and later other buildings).</t>
  </si>
  <si>
    <t>Lumber Mill lvl. 1</t>
  </si>
  <si>
    <t>building.bonsai@2</t>
  </si>
  <si>
    <t>Furnace lvl. 2</t>
  </si>
  <si>
    <t>Increases Steel production by 25%. Preferably only craft Steel when you have Furnace lvl. 2.</t>
  </si>
  <si>
    <t>Lumber Mill lvl. 2</t>
  </si>
  <si>
    <t>Dungeon lvl. 1</t>
  </si>
  <si>
    <t>Enables acquiring dungeon related items. Allows to convert nonogram loot -&gt; MP -&gt; dungeon loot.</t>
  </si>
  <si>
    <t>building.bridge@1</t>
  </si>
  <si>
    <t>Guild lvl. 3</t>
  </si>
  <si>
    <t>Enables crafting Wooden beams, which is needed for a lot of buildings.</t>
  </si>
  <si>
    <t>RequirementID</t>
  </si>
  <si>
    <t>Rock Garden lvl. 3</t>
  </si>
  <si>
    <t>ResourceID</t>
  </si>
  <si>
    <t>PaymentSlot</t>
  </si>
  <si>
    <t>building.caravan@1</t>
  </si>
  <si>
    <t>QuantityRequired</t>
  </si>
  <si>
    <t>Increases production of Wooden beams.</t>
  </si>
  <si>
    <t>TargetCompleted</t>
  </si>
  <si>
    <t>PlayerPaid</t>
  </si>
  <si>
    <t>cost.building.airship@1.chemicals.1</t>
  </si>
  <si>
    <t>Garden lvl. 3</t>
  </si>
  <si>
    <t>Windmill lvl. 2</t>
  </si>
  <si>
    <t>More efficient Flour crafting.</t>
  </si>
  <si>
    <t>building.caravan@2</t>
  </si>
  <si>
    <t>chemicals</t>
  </si>
  <si>
    <t>Dungeon lvl. 2</t>
  </si>
  <si>
    <t>Allows to visit 2A, which is more efficient to farm than 1A.</t>
  </si>
  <si>
    <t>building.caravan@3</t>
  </si>
  <si>
    <t>cost.building.airship@1.coin.1</t>
  </si>
  <si>
    <t>Increases daily rewards and allows to build lvl. 3 buildings.</t>
  </si>
  <si>
    <t>coin</t>
  </si>
  <si>
    <t>Lumber Mill lvl. 3</t>
  </si>
  <si>
    <t>Enables crafting Wooden planks.</t>
  </si>
  <si>
    <t>building.caravan@4</t>
  </si>
  <si>
    <t>cost.building.airship@1.miron.1</t>
  </si>
  <si>
    <t>Pier lvl. 1</t>
  </si>
  <si>
    <t>Required for building Ship.</t>
  </si>
  <si>
    <t>miron</t>
  </si>
  <si>
    <t>building.chicken@1</t>
  </si>
  <si>
    <t>Ship lvl. 1</t>
  </si>
  <si>
    <t>Enables going on ship missions. See Ship section.</t>
  </si>
  <si>
    <t>cost.building.airship@1.page.1</t>
  </si>
  <si>
    <t>building.chicken@2</t>
  </si>
  <si>
    <t>page</t>
  </si>
  <si>
    <t>Ship lvl. 2</t>
  </si>
  <si>
    <t>Enables sending the ship on 12 hour missions instead of 6 hour ones. Ship can be sent over night without losing "production" time.</t>
  </si>
  <si>
    <t>Chicken Coop lvl. 1</t>
  </si>
  <si>
    <t>cost.building.airship@1.reagent.1</t>
  </si>
  <si>
    <t>Ship lvl. 3</t>
  </si>
  <si>
    <t>building.dairy@1</t>
  </si>
  <si>
    <t>Enables sending the ship on 24 hour missions. Less downtime.</t>
  </si>
  <si>
    <t>reagent</t>
  </si>
  <si>
    <t>Chicken Coop lvl. 2</t>
  </si>
  <si>
    <t>Guild lvl. 4</t>
  </si>
  <si>
    <t>Enables building lvl. 4 buildings.</t>
  </si>
  <si>
    <t>cost.building.airship@1.ruby.1</t>
  </si>
  <si>
    <t>building.dairy@2</t>
  </si>
  <si>
    <t>Ship lvl. 4</t>
  </si>
  <si>
    <t>Faster acquisition of Spices. It's also required for crafting Astrolabe craftifact and completing Treasure Island quest.</t>
  </si>
  <si>
    <t>Food Stall lvl. 2</t>
  </si>
  <si>
    <t>Enables crafting Ramen and Curry, which are necessary for completing Shogun's Katana questline.</t>
  </si>
  <si>
    <t>cost.building.airship@1.silk.1</t>
  </si>
  <si>
    <t>building.dungeon@1</t>
  </si>
  <si>
    <t>silk</t>
  </si>
  <si>
    <t>Food Stall lvl. 3</t>
  </si>
  <si>
    <t>Enables crafting Cup of coffee, which is required for mounting lvl. 4 expeditions.</t>
  </si>
  <si>
    <t>cost.building.airship@1.thread.1</t>
  </si>
  <si>
    <t>Bridge lvl. 1</t>
  </si>
  <si>
    <t>Unlocks buildings: Caravan, Outpost, and Tailor (and others, but these will be your next focus). Start saving Katanas and Arrows for Outpost lvl. 1. Also start saving Gold ingots, Treasures and duplicated artifacts for selling in Caravan.</t>
  </si>
  <si>
    <t>thread</t>
  </si>
  <si>
    <t>building.dungeon@2</t>
  </si>
  <si>
    <t>Outpost lvl. 1</t>
  </si>
  <si>
    <t>Passive income of Dinars. 12% reduction of robbery in Caravan. Building Workshop lvl. 2 can be considered, since 300 Arrows are needed.</t>
  </si>
  <si>
    <t>cost.building.airship@2.coin.1</t>
  </si>
  <si>
    <t>Guild lvl. 5</t>
  </si>
  <si>
    <t>Enables building lvl. 5 buildings. Increases daily rewards. Completes the Build the Guild quest.</t>
  </si>
  <si>
    <t>building.dungeon@3</t>
  </si>
  <si>
    <t>Workshop lvl. 1</t>
  </si>
  <si>
    <t>Required for Workshop lvl. 2.</t>
  </si>
  <si>
    <t>cost.building.airship@2.fan.1</t>
  </si>
  <si>
    <t>Workshop lvl. 2</t>
  </si>
  <si>
    <t>Required for Workshop lvl. 3.</t>
  </si>
  <si>
    <t>fan</t>
  </si>
  <si>
    <t>building.dungeon@4</t>
  </si>
  <si>
    <t>Workshop lvl. 3</t>
  </si>
  <si>
    <t>Required for Workshop lvl. 4.</t>
  </si>
  <si>
    <t>cost.building.airship@2.gears.1</t>
  </si>
  <si>
    <t>Workshop lvl. 4</t>
  </si>
  <si>
    <t>building.dungeon@5</t>
  </si>
  <si>
    <t>Enables crafting Mortars. 30 Mortars are also required for building Outpost lvl. 2. Consider switching to Samurai or Zen Master class (these classes give you Mortars from puzzles), if you'd like to postpone this building.</t>
  </si>
  <si>
    <t>gears</t>
  </si>
  <si>
    <t>Workshop lvl. 5</t>
  </si>
  <si>
    <t>Enables crafting Battering rams and unlocks technologies. Required for Necklace for Haruka craftifact.</t>
  </si>
  <si>
    <t>building.dungeon@6</t>
  </si>
  <si>
    <t>Outpost lvl. 2</t>
  </si>
  <si>
    <t>Increases passive income of Dinars and further reduces chances of robbery by 12%.</t>
  </si>
  <si>
    <t>cost.building.airship@2.plank.1</t>
  </si>
  <si>
    <t/>
  </si>
  <si>
    <t>plank</t>
  </si>
  <si>
    <t>building.fermentory@1</t>
  </si>
  <si>
    <t>Caravan lvl. 1</t>
  </si>
  <si>
    <t>Enables travelling to cities to buy items like Paper, Silk, Glass, etc. Building Caravan only makes sense once you have enough items to trade and robbery chances are at 0%. See Caravan section.</t>
  </si>
  <si>
    <t>Coffee Bonsai lvl. 1</t>
  </si>
  <si>
    <t>Caravan lvl. 2</t>
  </si>
  <si>
    <t>Increases the amount of items to buy/sell.</t>
  </si>
  <si>
    <t>cost.building.airship@2.ruby.1</t>
  </si>
  <si>
    <t>building.fermentory@2</t>
  </si>
  <si>
    <t>Coffee Bonsai lvl. 2</t>
  </si>
  <si>
    <t>Caravan lvl. 3</t>
  </si>
  <si>
    <t>Onsen lvl. 1</t>
  </si>
  <si>
    <t>building.fermentory@3</t>
  </si>
  <si>
    <t>Caravan lvl. 4</t>
  </si>
  <si>
    <t>Onsen lvl. 2</t>
  </si>
  <si>
    <t>cost.building.airship@2.silk.1</t>
  </si>
  <si>
    <t>Smithy lvl. 1</t>
  </si>
  <si>
    <t>Required for Smithy lvl. 2.</t>
  </si>
  <si>
    <t>building.fermentory@4</t>
  </si>
  <si>
    <t>Smithy lvl. 2</t>
  </si>
  <si>
    <t>Required for Smithy lvl. 3.</t>
  </si>
  <si>
    <t>building.fermentory@5</t>
  </si>
  <si>
    <t>Smithy lvl. 3</t>
  </si>
  <si>
    <t>Required for Dungeon lvl. 3. It's also later useful for crafting swords.</t>
  </si>
  <si>
    <t>cost.building.airship@2.thread.1</t>
  </si>
  <si>
    <t>Dungeon lvl. 3</t>
  </si>
  <si>
    <t>Required for acquiring Reagent (3A), which is needed for Airship.</t>
  </si>
  <si>
    <t>building.fermentory@6</t>
  </si>
  <si>
    <t>Airship lvl. 1</t>
  </si>
  <si>
    <t>Enables acquiring Gears, Blueprints, Avocados, etc. See Airship section.</t>
  </si>
  <si>
    <t>Airship lvl. 2</t>
  </si>
  <si>
    <t>cost.building.alchemists_hut@1.coin.1</t>
  </si>
  <si>
    <t>building.field@1</t>
  </si>
  <si>
    <t>Furnace lvl. 3</t>
  </si>
  <si>
    <t>Required for crafting Meteoric Steel. Also unlocks technologies.</t>
  </si>
  <si>
    <t>Tailor lvl. 1</t>
  </si>
  <si>
    <t>Required for Tailor lvl. 2.</t>
  </si>
  <si>
    <t>cost.building.alchemists_hut@1.ruby.1</t>
  </si>
  <si>
    <t>building.field@2</t>
  </si>
  <si>
    <t>Tailor lvl. 2</t>
  </si>
  <si>
    <t>Required for crafting Guild banner craftifact.</t>
  </si>
  <si>
    <t>Tailor lvl. 3</t>
  </si>
  <si>
    <t>Required for building Outpost lvl. 3 (20 Samurai armor are needed). Also unlocks technologies (most importantly armor for dungeon).</t>
  </si>
  <si>
    <t>building.food_stall@1</t>
  </si>
  <si>
    <t>Outpost lvl. 3</t>
  </si>
  <si>
    <t>Increases passive income of Dinars and reduces robbery chances by another 12%. By now you should have 0% chance of robbery for all cities in Caravan.</t>
  </si>
  <si>
    <t>cost.building.alchemists_hut@1.stone.1</t>
  </si>
  <si>
    <t>building.food_stall@2</t>
  </si>
  <si>
    <t>Alchemist's Hut lvl. 3</t>
  </si>
  <si>
    <t>Level 6 is required for completing Festival quests, mounting Catacombs maps, and unlocking technologies.</t>
  </si>
  <si>
    <t>stone</t>
  </si>
  <si>
    <t>Alchemist's Hut lvl. 4</t>
  </si>
  <si>
    <t>building.food_stall@3</t>
  </si>
  <si>
    <t>Alchemist's Hut lvl. 5</t>
  </si>
  <si>
    <t>cost.building.alchemists_hut@1.wood.1</t>
  </si>
  <si>
    <t>Alchemist's Hut lvl. 6</t>
  </si>
  <si>
    <t>building.furnace@1</t>
  </si>
  <si>
    <t>wood</t>
  </si>
  <si>
    <t>Enables crafting Eggs. Eggs are used for crafting dungeon related items.</t>
  </si>
  <si>
    <t>building.furnace@2</t>
  </si>
  <si>
    <t>Doubles productivity of Eggs. Doubles the amount of Eggs produced, but also doubles expenses.</t>
  </si>
  <si>
    <t>cost.building.alchemists_hut@2.chemicals.1</t>
  </si>
  <si>
    <t>Pagoda lvl. 1</t>
  </si>
  <si>
    <t>Level 7 unlocks projects and completes the Build the Pagoda quest. Also don't use hints on puzzles as the reduce rewards.</t>
  </si>
  <si>
    <t>building.furnace@3</t>
  </si>
  <si>
    <t>Pagoda lvl. 2</t>
  </si>
  <si>
    <t>Pagoda lvl. 3</t>
  </si>
  <si>
    <t>cost.building.alchemists_hut@2.coin.1</t>
  </si>
  <si>
    <t>building.garden@1</t>
  </si>
  <si>
    <t>Pagoda lvl. 4</t>
  </si>
  <si>
    <t>Pagoda lvl. 5</t>
  </si>
  <si>
    <t>building.garden@2</t>
  </si>
  <si>
    <t>cost.building.alchemists_hut@2.ruby.1</t>
  </si>
  <si>
    <t>Pagoda lvl. 6</t>
  </si>
  <si>
    <t>Pagoda lvl. 7</t>
  </si>
  <si>
    <t>building.garden@3</t>
  </si>
  <si>
    <t>cost.building.alchemists_hut@2.stone.1</t>
  </si>
  <si>
    <t>Dungeon lvl. 4</t>
  </si>
  <si>
    <t>Allows to gather items like Soy sauce, Mandrake root, etc.</t>
  </si>
  <si>
    <t>Dungeon lvl. 5</t>
  </si>
  <si>
    <t>Allows to complete the Emerald tablet craftifact and unlocks some dungeon related quests.</t>
  </si>
  <si>
    <t>cost.building.alchemists_hut@2.wood.1</t>
  </si>
  <si>
    <t>building.gong@1</t>
  </si>
  <si>
    <t>Laboratory lvl. 1</t>
  </si>
  <si>
    <t>Allows production of Blueprints. This building has a lot of requirements, before it can be built: forest questline, Telescope (craftifact), and Solver-1 prototype (craftifact).</t>
  </si>
  <si>
    <t>Laboratory lvl. 2</t>
  </si>
  <si>
    <t>Passive income of Punched cards.</t>
  </si>
  <si>
    <t>cost.building.alchemists_hut@3.beam.1</t>
  </si>
  <si>
    <t>building.guild@1</t>
  </si>
  <si>
    <t>Laboratory lvl. 3</t>
  </si>
  <si>
    <t>Increases passive income of Punched cards. Punched cards can now drop from nonograms.</t>
  </si>
  <si>
    <t>beam</t>
  </si>
  <si>
    <t>Train Station lvl. 1</t>
  </si>
  <si>
    <t>Required for building Train.</t>
  </si>
  <si>
    <t>cost.building.alchemists_hut@3.charcoal.1</t>
  </si>
  <si>
    <t>building.guild@2</t>
  </si>
  <si>
    <t>charcoal</t>
  </si>
  <si>
    <t>Train lvl. 1</t>
  </si>
  <si>
    <t>Enables travelling to cities and buying items like Drums, Soy sauce, etc. without needing to go to dungeon; or items like Anchors or Tuna without waiting for ship randomness. Train doesn't provide you with any new items (like Ship or Caravan), so it's not vital for guild progression.</t>
  </si>
  <si>
    <t>Train lvl. 2</t>
  </si>
  <si>
    <t>Increases passenger income (Coins) and adds 2 slots to buy/sell. Train itself doesn't provide any new items, but it does provide a bit of income, bypasses the randomness of the ship and reduces the need to visit dungeon for certain items.</t>
  </si>
  <si>
    <t>cost.building.alchemists_hut@3.chemicals.1</t>
  </si>
  <si>
    <t>Fermentory lvl. 1</t>
  </si>
  <si>
    <t>Built mostly to craft Yuba. Trade Yuba for MALU from the Ahead of Time questline. Then use MALU for building Laboratory.</t>
  </si>
  <si>
    <t>building.guild@3</t>
  </si>
  <si>
    <t>Fermentory lvl. 2</t>
  </si>
  <si>
    <t>cost.building.alchemists_hut@3.coin.1</t>
  </si>
  <si>
    <t>Fermentory lvl. 3</t>
  </si>
  <si>
    <t>building.guild@4</t>
  </si>
  <si>
    <t>Laboratory lvl. 4</t>
  </si>
  <si>
    <t>Increases passive income of Punched cards.</t>
  </si>
  <si>
    <t>cost.building.alchemists_hut@3.ruby.1</t>
  </si>
  <si>
    <t>Laboratory lvl. 5</t>
  </si>
  <si>
    <t>Increases passive income of Punched cards, unlocks technologies, experiments, and improves passive income (Punched cards -&gt; Floppy disks).</t>
  </si>
  <si>
    <t>cost.building.alchemists_hut@3.stone.1</t>
  </si>
  <si>
    <t>building.guild@5</t>
  </si>
  <si>
    <t>Dairy Farm lvl. 1</t>
  </si>
  <si>
    <t>Mostly built to complete The Ordinary Days of an Adventurer questline.</t>
  </si>
  <si>
    <t>Dairy Farm lvl. 2</t>
  </si>
  <si>
    <t>Mostly built to complete the questline.</t>
  </si>
  <si>
    <t>cost.building.alchemists_hut@4.beam.1</t>
  </si>
  <si>
    <t>Fermentory lvl. 4</t>
  </si>
  <si>
    <t>Mostly built for crafting Amazake at lvl. 6. Amazake is required for R&amp;D (Research and development) technology in Laboratory.</t>
  </si>
  <si>
    <t>building.guild_video_game_arcade@1</t>
  </si>
  <si>
    <t>Fermentory lvl. 5</t>
  </si>
  <si>
    <t>cost.building.alchemists_hut@4.coin.1</t>
  </si>
  <si>
    <t>Fermentory lvl. 6</t>
  </si>
  <si>
    <t>building.laboratory@1</t>
  </si>
  <si>
    <t>Passive buildings (long ROI)</t>
  </si>
  <si>
    <t>cost.building.alchemists_hut@4.gunpowder.1</t>
  </si>
  <si>
    <t>Passive income of Stone. It can also be built to not overflow Wood or Stone.</t>
  </si>
  <si>
    <t>gunpowder</t>
  </si>
  <si>
    <t>building.laboratory@2</t>
  </si>
  <si>
    <t>cost.building.alchemists_hut@4.ruby.1</t>
  </si>
  <si>
    <t>cost.building.alchemists_hut@4.stone.1</t>
  </si>
  <si>
    <t>building.laboratory@3</t>
  </si>
  <si>
    <t>Passive income of Wood. It can also be built to not overflow Wood or Stone.</t>
  </si>
  <si>
    <t>cost.building.alchemists_hut@5.beam.1</t>
  </si>
  <si>
    <t>building.laboratory@4</t>
  </si>
  <si>
    <t>Passive income of Coffee beans. It can be built simultaneously with the Outpost, because Outpost requires a lot of Stone and Coffee Bonsai requires a lot of Wood.</t>
  </si>
  <si>
    <t>cost.building.alchemists_hut@5.coin.1</t>
  </si>
  <si>
    <t>building.laboratory@5</t>
  </si>
  <si>
    <t>Increases daily rewards.</t>
  </si>
  <si>
    <t>Situational buildings</t>
  </si>
  <si>
    <t>Unlocks passive income of Chemicals, which can be thrown into the Cauldron).</t>
  </si>
  <si>
    <t>cost.building.alchemists_hut@5.gunpowder.1</t>
  </si>
  <si>
    <t>building.laboratory_data_center@1</t>
  </si>
  <si>
    <t>Warehouse lvl. 2</t>
  </si>
  <si>
    <t>cost.building.alchemists_hut@5.ruby.1</t>
  </si>
  <si>
    <t>Warehouse lvl. 3</t>
  </si>
  <si>
    <t>Increases storage capacity of items. In most cases storage capacity isn't a problem, because items can be provided partially. The only time increasing storage capacity is need when learning skills in Character. Storage capacity can also be increased with Athlete (skill). For more information about storage capacity see Items &gt; Storage capacity.</t>
  </si>
  <si>
    <t>building.lumber@1</t>
  </si>
  <si>
    <t>Warehouse lvl. 4</t>
  </si>
  <si>
    <t>Storage capacity will need to be increased (with Warehouse lvl. 2 or Athlete lvl. 1, but Athlete is cheaper), when buying Smuggler's map Chapter III (requires 100 Coffee beans) in Bourse.</t>
  </si>
  <si>
    <t>cost.building.alchemists_hut@5.stone.1</t>
  </si>
  <si>
    <t>Warehouse lvl. 5</t>
  </si>
  <si>
    <t>Storage capacity will also need to be increased for supplying Fireworks for the Festival quests.</t>
  </si>
  <si>
    <t>building.lumber@2</t>
  </si>
  <si>
    <t>Warehouse lvl. 6</t>
  </si>
  <si>
    <t>cost.building.alchemists_hut@6.beam.1</t>
  </si>
  <si>
    <t>Warehouse lvl. 7</t>
  </si>
  <si>
    <t>building.lumber@3</t>
  </si>
  <si>
    <t>Shop lvl. 2</t>
  </si>
  <si>
    <t>cost.building.alchemists_hut@6.chemicals.1</t>
  </si>
  <si>
    <t>Shop lvl. 3</t>
  </si>
  <si>
    <t>It doesn't add any new items to the shop, but increases the amount of items that can be bought (useful for buying Wood or Stone).</t>
  </si>
  <si>
    <t>Gong lvl. 1</t>
  </si>
  <si>
    <t>building.onsen@1</t>
  </si>
  <si>
    <t>cost.building.alchemists_hut@6.coin.1</t>
  </si>
  <si>
    <t>More items can be sold in shop (up to 600 Coins worth of items).</t>
  </si>
  <si>
    <t>Hall of Fame rewards only with bugles, which are not items and can't be used for upgrading the Territory. This building is required for competing in the Hall of Fame.</t>
  </si>
  <si>
    <t>cost.building.alchemists_hut@6.glass.1</t>
  </si>
  <si>
    <t>building.onsen@2</t>
  </si>
  <si>
    <t>glass</t>
  </si>
  <si>
    <t>cost.building.alchemists_hut@6.ruby.1</t>
  </si>
  <si>
    <t>building.outpost@1</t>
  </si>
  <si>
    <t>cost.building.alchemists_hut@6.stone.1</t>
  </si>
  <si>
    <t>building.outpost@2</t>
  </si>
  <si>
    <t>cost.building.bonsai@1.beans.1</t>
  </si>
  <si>
    <t>building.outpost@3</t>
  </si>
  <si>
    <t>beans</t>
  </si>
  <si>
    <t>building.pagoda@1</t>
  </si>
  <si>
    <t>cost.building.bonsai@1.coin.1</t>
  </si>
  <si>
    <t>building.pagoda@2</t>
  </si>
  <si>
    <t>cost.building.bonsai@1.plank.1</t>
  </si>
  <si>
    <t>building.pagoda@3</t>
  </si>
  <si>
    <t>cost.building.bonsai@1.ruby.1</t>
  </si>
  <si>
    <t>building.pagoda@4</t>
  </si>
  <si>
    <t>cost.building.bonsai@2.beans.1</t>
  </si>
  <si>
    <t>building.pagoda@5</t>
  </si>
  <si>
    <t>cost.building.bonsai@2.chemicals.1</t>
  </si>
  <si>
    <t>building.pagoda@6</t>
  </si>
  <si>
    <t>cost.building.bonsai@2.coin.1</t>
  </si>
  <si>
    <t>cost.building.bonsai@2.plank.1</t>
  </si>
  <si>
    <t>building.pagoda@7</t>
  </si>
  <si>
    <t>cost.building.bonsai@2.ruby.1</t>
  </si>
  <si>
    <t>building.pier@1</t>
  </si>
  <si>
    <t>cost.building.bridge@1.beam.1</t>
  </si>
  <si>
    <t>building.rock_garden@1</t>
  </si>
  <si>
    <t>cost.building.bridge@1.coin.1</t>
  </si>
  <si>
    <t>cost.building.bridge@1.plank.1</t>
  </si>
  <si>
    <t>building.rock_garden@2</t>
  </si>
  <si>
    <t>cost.building.bridge@1.ruby.1</t>
  </si>
  <si>
    <t>building.rock_garden@3</t>
  </si>
  <si>
    <t>cost.building.bridge@1.steel.1</t>
  </si>
  <si>
    <t>steel</t>
  </si>
  <si>
    <t>building.ship@1</t>
  </si>
  <si>
    <t>cost.building.bridge@1.stone.1</t>
  </si>
  <si>
    <t>cost.building.caravan@1.beans.1</t>
  </si>
  <si>
    <t>building.ship@2</t>
  </si>
  <si>
    <t>cost.building.caravan@1.coin.1</t>
  </si>
  <si>
    <t>cost.building.caravan@1.plank.1</t>
  </si>
  <si>
    <t>building.ship@3</t>
  </si>
  <si>
    <t>cost.building.caravan@1.ruby.1</t>
  </si>
  <si>
    <t>cost.building.caravan@1.stone.1</t>
  </si>
  <si>
    <t>building.ship@4</t>
  </si>
  <si>
    <t>cost.building.caravan@1.sushi.1</t>
  </si>
  <si>
    <t>building.shop@1</t>
  </si>
  <si>
    <t>sushi</t>
  </si>
  <si>
    <t>building.shop@2</t>
  </si>
  <si>
    <t>cost.building.caravan@2.coin.1</t>
  </si>
  <si>
    <t>building.shop@3</t>
  </si>
  <si>
    <t>cost.building.caravan@2.fan.1</t>
  </si>
  <si>
    <t>building.smithy@1</t>
  </si>
  <si>
    <t>cost.building.caravan@2.ingot.1</t>
  </si>
  <si>
    <t>ingot</t>
  </si>
  <si>
    <t>cost.building.caravan@2.plank.1</t>
  </si>
  <si>
    <t>building.smithy@2</t>
  </si>
  <si>
    <t>building.smithy@3</t>
  </si>
  <si>
    <t>cost.building.caravan@2.ruby.1</t>
  </si>
  <si>
    <t>cost.building.caravan@2.stone.1</t>
  </si>
  <si>
    <t>building.station@1</t>
  </si>
  <si>
    <t>cost.building.caravan@3.coin.1</t>
  </si>
  <si>
    <t>building.tailor@1</t>
  </si>
  <si>
    <t>building.tailor@2</t>
  </si>
  <si>
    <t>cost.building.caravan@3.paper.1</t>
  </si>
  <si>
    <t>paper</t>
  </si>
  <si>
    <t>building.tailor@3</t>
  </si>
  <si>
    <t>cost.building.caravan@3.pearl.1</t>
  </si>
  <si>
    <t>pearl</t>
  </si>
  <si>
    <t>building.train@1</t>
  </si>
  <si>
    <t>cost.building.caravan@3.plank.1</t>
  </si>
  <si>
    <t>building.train@2</t>
  </si>
  <si>
    <t>cost.building.caravan@3.ruby.1</t>
  </si>
  <si>
    <t>building.train_freight_carriage@1</t>
  </si>
  <si>
    <t>cost.building.caravan@3.stone.1</t>
  </si>
  <si>
    <t>building.train_freight_carriage@2</t>
  </si>
  <si>
    <t>cost.building.caravan@4.coin.1</t>
  </si>
  <si>
    <t>building.train_passenger_carriage@1</t>
  </si>
  <si>
    <t>cost.building.caravan@4.plank.1</t>
  </si>
  <si>
    <t>cost.building.caravan@4.ruby.1</t>
  </si>
  <si>
    <t>building.train_passenger_carriage@2</t>
  </si>
  <si>
    <t>cost.building.caravan@4.silk.1</t>
  </si>
  <si>
    <t>building.warehouse@1</t>
  </si>
  <si>
    <t>cost.building.caravan@4.spices.1</t>
  </si>
  <si>
    <t>building.warehouse@2</t>
  </si>
  <si>
    <t>spices</t>
  </si>
  <si>
    <t>cost.building.caravan@4.stone.1</t>
  </si>
  <si>
    <t>building.warehouse@3</t>
  </si>
  <si>
    <t>cost.building.chicken@1.beam.1</t>
  </si>
  <si>
    <t>building.warehouse@4</t>
  </si>
  <si>
    <t>cost.building.chicken@1.coin.1</t>
  </si>
  <si>
    <t>building.warehouse@5</t>
  </si>
  <si>
    <t>cost.building.chicken@1.egg.1</t>
  </si>
  <si>
    <t>building.warehouse@6</t>
  </si>
  <si>
    <t>egg</t>
  </si>
  <si>
    <t>building.warehouse@7</t>
  </si>
  <si>
    <t>cost.building.chicken@1.ruby.1</t>
  </si>
  <si>
    <t>building.windmill@1</t>
  </si>
  <si>
    <t>cost.building.chicken@1.stone.1</t>
  </si>
  <si>
    <t>building.windmill@2</t>
  </si>
  <si>
    <t>cost.building.chicken@1.thread.1</t>
  </si>
  <si>
    <t>cost.building.chicken@1.wheat.1</t>
  </si>
  <si>
    <t>building.workshop@1</t>
  </si>
  <si>
    <t>wheat</t>
  </si>
  <si>
    <t>cost.building.chicken@2.beam.1</t>
  </si>
  <si>
    <t>building.workshop@2</t>
  </si>
  <si>
    <t>Search Term</t>
  </si>
  <si>
    <t>RootTargetID</t>
  </si>
  <si>
    <t>PredLevel</t>
  </si>
  <si>
    <t>DependencyID</t>
  </si>
  <si>
    <t>DependencyName</t>
  </si>
  <si>
    <t>DependencyStatus</t>
  </si>
  <si>
    <t>SuccessorID</t>
  </si>
  <si>
    <t>SuccessorName</t>
  </si>
  <si>
    <t>Successor status</t>
  </si>
  <si>
    <t>building.workshop@3</t>
  </si>
  <si>
    <t>cost.building.chicken@2.coin.1</t>
  </si>
  <si>
    <t>building.workshop@4</t>
  </si>
  <si>
    <t>cost.building.chicken@2.egg.1</t>
  </si>
  <si>
    <t>cost.building.chicken@2.ruby.1</t>
  </si>
  <si>
    <t>building.workshop@5</t>
  </si>
  <si>
    <t>cost.building.chicken@2.stone.1</t>
  </si>
  <si>
    <t>citadel.armory</t>
  </si>
  <si>
    <t>cost.building.chicken@2.thread.1</t>
  </si>
  <si>
    <t>citadel.attic</t>
  </si>
  <si>
    <t>tblTargets[TargetID]</t>
  </si>
  <si>
    <t>cost.building.chicken@2.wheat.1</t>
  </si>
  <si>
    <t>tblChecklist[TargetID]</t>
  </si>
  <si>
    <t>tblDependencies[TargetID]</t>
  </si>
  <si>
    <t>tblDependencies[DependencyID]</t>
  </si>
  <si>
    <t>tblQuestObjectives[QuestTargetID]</t>
  </si>
  <si>
    <t>tblQuestObjectives[ObjectiveID]</t>
  </si>
  <si>
    <t>tblTargetStatus[TargetID]</t>
  </si>
  <si>
    <t>tblCost[TargetID]</t>
  </si>
  <si>
    <t>tblStates[StateID]</t>
  </si>
  <si>
    <t>Schema</t>
  </si>
  <si>
    <t>DuplicateTarget</t>
  </si>
  <si>
    <t>DuplicateState</t>
  </si>
  <si>
    <t>TabVerification</t>
  </si>
  <si>
    <t>Orphan</t>
  </si>
  <si>
    <t>citadel.cheese_cave</t>
  </si>
  <si>
    <t>cost.building.dairy@1.beam.1</t>
  </si>
  <si>
    <t>citadel.courtyard</t>
  </si>
  <si>
    <t>cost.building.dairy@1.coin.1</t>
  </si>
  <si>
    <t>citadel.gallery</t>
  </si>
  <si>
    <t>cost.building.dairy@1.glass.1</t>
  </si>
  <si>
    <t>cost.building.dairy@1.goat.1</t>
  </si>
  <si>
    <t>citadel.great_hall</t>
  </si>
  <si>
    <t>goat</t>
  </si>
  <si>
    <t>cost.building.dairy@1.herbs.1</t>
  </si>
  <si>
    <t>herbs</t>
  </si>
  <si>
    <t>citadel.kitchen_and_buttery</t>
  </si>
  <si>
    <t>cost.building.dairy@1.ruby.1</t>
  </si>
  <si>
    <t>citadel.lair_lvl_1</t>
  </si>
  <si>
    <t>cost.building.dairy@1.stone.1</t>
  </si>
  <si>
    <t>citadel.lair_lvl_2</t>
  </si>
  <si>
    <t>cost.building.dairy@1.thread.1</t>
  </si>
  <si>
    <t>citadel.mushroom_farm</t>
  </si>
  <si>
    <t>citadel.orangery</t>
  </si>
  <si>
    <t>cost.building.dairy@1.wheat.1</t>
  </si>
  <si>
    <t>citadel.pantry</t>
  </si>
  <si>
    <t>cost.building.dairy@2.bamboo.1</t>
  </si>
  <si>
    <t>bamboo</t>
  </si>
  <si>
    <t>citadel.tavern</t>
  </si>
  <si>
    <t>cost.building.dairy@2.beam.1</t>
  </si>
  <si>
    <t>citadel.treasury</t>
  </si>
  <si>
    <t>cost.building.dairy@2.coin.1</t>
  </si>
  <si>
    <t>citadel.tunnel</t>
  </si>
  <si>
    <t>cost.building.dairy@2.enzyme.1</t>
  </si>
  <si>
    <t>enzyme</t>
  </si>
  <si>
    <t>collection.alchemist_hall_1@1</t>
  </si>
  <si>
    <t>cost.building.dairy@2.grimoire.1</t>
  </si>
  <si>
    <t>grimoire</t>
  </si>
  <si>
    <t>cost.building.dairy@2.milk.1</t>
  </si>
  <si>
    <t>collection.alchemist_hall_1@2</t>
  </si>
  <si>
    <t>milk</t>
  </si>
  <si>
    <t>cost.building.dairy@2.ruby.1</t>
  </si>
  <si>
    <t>collection.alchemist_hall_2@1</t>
  </si>
  <si>
    <t>cost.building.dairy@2.stone.1</t>
  </si>
  <si>
    <t>collection.alchemist_hall_2@2</t>
  </si>
  <si>
    <t>cost.building.dairy@2.thread.1</t>
  </si>
  <si>
    <t>cost.building.dungeon@1.coin.1</t>
  </si>
  <si>
    <t>collection.alchemist_hall_3@1</t>
  </si>
  <si>
    <t>cost.building.dungeon@1.fan.1</t>
  </si>
  <si>
    <t>collection.alchemist_hall_3@2</t>
  </si>
  <si>
    <t>cost.building.dungeon@1.ruby.1</t>
  </si>
  <si>
    <t>collection.armory_1@1</t>
  </si>
  <si>
    <t>cost.building.dungeon@1.steel.1</t>
  </si>
  <si>
    <t>collection.armory_1@2</t>
  </si>
  <si>
    <t>cost.building.dungeon@1.stone.1</t>
  </si>
  <si>
    <t>cost.building.dungeon@1.wood.1</t>
  </si>
  <si>
    <t>collection.armory_1@3</t>
  </si>
  <si>
    <t>cost.building.dungeon@2.beam.1</t>
  </si>
  <si>
    <t>collection.armory_2@1</t>
  </si>
  <si>
    <t>cost.building.dungeon@2.bento.1</t>
  </si>
  <si>
    <t>collection.attic@1</t>
  </si>
  <si>
    <t>bento</t>
  </si>
  <si>
    <t>cost.building.dungeon@2.coin.1</t>
  </si>
  <si>
    <t>collection.attic@2</t>
  </si>
  <si>
    <t>cost.building.dungeon@2.page.1</t>
  </si>
  <si>
    <t>collection.attic@3</t>
  </si>
  <si>
    <t>cost.building.dungeon@2.petard.1</t>
  </si>
  <si>
    <t>collection.attic@4</t>
  </si>
  <si>
    <t>petard</t>
  </si>
  <si>
    <t>cost.building.dungeon@2.ruby.1</t>
  </si>
  <si>
    <t>collection.attic@5</t>
  </si>
  <si>
    <t>cost.building.dungeon@2.steel.1</t>
  </si>
  <si>
    <t>collection.bone_dragon@1</t>
  </si>
  <si>
    <t>cost.building.dungeon@3.beam.1</t>
  </si>
  <si>
    <t>collection.bone_dragon@2</t>
  </si>
  <si>
    <t>cost.building.dungeon@3.coin.1</t>
  </si>
  <si>
    <t>collection.broken_lever@1</t>
  </si>
  <si>
    <t>cost.building.dungeon@3.kunai.1</t>
  </si>
  <si>
    <t>kunai</t>
  </si>
  <si>
    <t>collection.broken_minecart@1</t>
  </si>
  <si>
    <t>cost.building.dungeon@3.page.1</t>
  </si>
  <si>
    <t>cost.building.dungeon@3.ramen.1</t>
  </si>
  <si>
    <t>collection.cave_in_alchemist_hall@1</t>
  </si>
  <si>
    <t>ramen</t>
  </si>
  <si>
    <t>cost.building.dungeon@3.ruby.1</t>
  </si>
  <si>
    <t>collection.cave_in_bone_dragon@1</t>
  </si>
  <si>
    <t>cost.building.dungeon@3.steel.1</t>
  </si>
  <si>
    <t>cost.building.dungeon@4.beam.1</t>
  </si>
  <si>
    <t>collection.collapsed_staircase@1</t>
  </si>
  <si>
    <t>cost.building.dungeon@4.clew.1</t>
  </si>
  <si>
    <t>clew</t>
  </si>
  <si>
    <t>collection.courtyard_1@1</t>
  </si>
  <si>
    <t>cost.building.dungeon@4.coin.1</t>
  </si>
  <si>
    <t>collection.courtyard_1@2</t>
  </si>
  <si>
    <t>cost.building.dungeon@4.oil.1</t>
  </si>
  <si>
    <t>oil</t>
  </si>
  <si>
    <t>collection.courtyard_2@1</t>
  </si>
  <si>
    <t>cost.building.dungeon@4.page.1</t>
  </si>
  <si>
    <t>collection.crystal_cave@1</t>
  </si>
  <si>
    <t>cost.building.dungeon@4.poe.1</t>
  </si>
  <si>
    <t>poe</t>
  </si>
  <si>
    <t>collection.gallery_1@1</t>
  </si>
  <si>
    <t>cost.building.dungeon@4.ruby.1</t>
  </si>
  <si>
    <t>collection.gallery_1@2</t>
  </si>
  <si>
    <t>cost.building.dungeon@5.beam.1</t>
  </si>
  <si>
    <t>collection.gallery_1@3</t>
  </si>
  <si>
    <t>cost.building.dungeon@5.coin.1</t>
  </si>
  <si>
    <t>collection.gallery_1@4</t>
  </si>
  <si>
    <t>cost.building.dungeon@5.mspider.1</t>
  </si>
  <si>
    <t>mspider</t>
  </si>
  <si>
    <t>collection.gallery_1@5</t>
  </si>
  <si>
    <t>cost.building.dungeon@5.page.1</t>
  </si>
  <si>
    <t>collection.gallery_2@1</t>
  </si>
  <si>
    <t>cost.building.dungeon@5.ruby.1</t>
  </si>
  <si>
    <t>collection.gallery_2@2</t>
  </si>
  <si>
    <t>cost.building.dungeon@5.smoothie.1</t>
  </si>
  <si>
    <t>smoothie</t>
  </si>
  <si>
    <t>collection.gallery_2@3</t>
  </si>
  <si>
    <t>cost.building.fermentory@1.beam.1</t>
  </si>
  <si>
    <t>collection.gallery_2@4</t>
  </si>
  <si>
    <t>cost.building.fermentory@1.coin.1</t>
  </si>
  <si>
    <t>collection.gallery_2@5</t>
  </si>
  <si>
    <t>cost.building.fermentory@1.page.1</t>
  </si>
  <si>
    <t>collection.gallery_3@1</t>
  </si>
  <si>
    <t>cost.building.fermentory@1.ruby.1</t>
  </si>
  <si>
    <t>collection.gallery_3@2</t>
  </si>
  <si>
    <t>StateType</t>
  </si>
  <si>
    <t>Trackable</t>
  </si>
  <si>
    <t>CompletionMethod</t>
  </si>
  <si>
    <t>passive</t>
  </si>
  <si>
    <t>building.airship.maxed</t>
  </si>
  <si>
    <t>Airship maxed</t>
  </si>
  <si>
    <t>cost.building.fermentory@1.soybean.1</t>
  </si>
  <si>
    <t>BUILDING</t>
  </si>
  <si>
    <t>collection.gallery_3@3</t>
  </si>
  <si>
    <t>AUTO</t>
  </si>
  <si>
    <t>soybean</t>
  </si>
  <si>
    <t>cost.building.fermentory@1.steel.1</t>
  </si>
  <si>
    <t>collection.gallery_3@4</t>
  </si>
  <si>
    <t>Airship Lv 1</t>
  </si>
  <si>
    <t>PLAYER</t>
  </si>
  <si>
    <t>cost.building.fermentory@1.stone.1</t>
  </si>
  <si>
    <t>collection.gallery_3@5</t>
  </si>
  <si>
    <t>Airship Lv 2</t>
  </si>
  <si>
    <t>building.alchemists_hut.maxed</t>
  </si>
  <si>
    <t>Alchemists Hut maxed</t>
  </si>
  <si>
    <t>cost.building.fermentory@2.beam.1</t>
  </si>
  <si>
    <t>collection.historical_library_1@1</t>
  </si>
  <si>
    <t>Alchemist's Hut Lv 1</t>
  </si>
  <si>
    <t>cost.building.fermentory@2.charcoal.1</t>
  </si>
  <si>
    <t>collection.historical_library_1@2</t>
  </si>
  <si>
    <t>Alchemist's Hut Lv 2</t>
  </si>
  <si>
    <t>Alchemist's Hut Lv 3</t>
  </si>
  <si>
    <t>cost.building.fermentory@2.chemicals.1</t>
  </si>
  <si>
    <t>collection.historical_library_1@3</t>
  </si>
  <si>
    <t>Alchemist's Hut Lv 4</t>
  </si>
  <si>
    <t>collection.historical_library_2@1</t>
  </si>
  <si>
    <t>Alchemist's Hut Lv 5</t>
  </si>
  <si>
    <t>cost.building.fermentory@2.coin.1</t>
  </si>
  <si>
    <t>Alchemist's Hut Lv 6</t>
  </si>
  <si>
    <t>cost.building.fermentory@2.reagent.1</t>
  </si>
  <si>
    <t>collection.historical_library_2@2</t>
  </si>
  <si>
    <t>Bonsai Lv 1</t>
  </si>
  <si>
    <t>cost.building.fermentory@2.ruby.1</t>
  </si>
  <si>
    <t>Bonsai Lv 2</t>
  </si>
  <si>
    <t>collection.historical_library_2@3</t>
  </si>
  <si>
    <t>building.bridge.maxed</t>
  </si>
  <si>
    <t>Bridge maxed</t>
  </si>
  <si>
    <t>cost.building.fermentory@2.soybean.1</t>
  </si>
  <si>
    <t>collection.horse@1</t>
  </si>
  <si>
    <t>Bridge Lv 1</t>
  </si>
  <si>
    <t>cost.building.fermentory@2.stone.1</t>
  </si>
  <si>
    <t>Caravan Lv 1</t>
  </si>
  <si>
    <t>collection.kitchen_and_buttery_1@1</t>
  </si>
  <si>
    <t>Caravan Lv 2</t>
  </si>
  <si>
    <t>cost.building.fermentory@3.charcoal.1</t>
  </si>
  <si>
    <t>collection.kitchen_and_buttery_1@2</t>
  </si>
  <si>
    <t>Caravan Lv 3</t>
  </si>
  <si>
    <t>cost.building.fermentory@3.coin.1</t>
  </si>
  <si>
    <t>Caravan Lv 4</t>
  </si>
  <si>
    <t>collection.kitchen_and_buttery_1@3</t>
  </si>
  <si>
    <t>Chicken Lv 1</t>
  </si>
  <si>
    <t>cost.building.fermentory@3.plank.1</t>
  </si>
  <si>
    <t>Chicken Lv 2</t>
  </si>
  <si>
    <t>collection.kitchen_and_buttery_1@4</t>
  </si>
  <si>
    <t>cost.building.fermentory@3.ruby.1</t>
  </si>
  <si>
    <t>building.dairy.maxed</t>
  </si>
  <si>
    <t>dairy maxed</t>
  </si>
  <si>
    <t>collection.kitchen_and_buttery_1@5</t>
  </si>
  <si>
    <t>Dairy Lv 1</t>
  </si>
  <si>
    <t>cost.building.fermentory@3.soybean.1</t>
  </si>
  <si>
    <t>Dairy Lv 2</t>
  </si>
  <si>
    <t>collection.kitchen_and_buttery_2@1</t>
  </si>
  <si>
    <t>cost.building.fermentory@3.steel.1</t>
  </si>
  <si>
    <t>building.dungeon.maxed</t>
  </si>
  <si>
    <t>dungeon maxed</t>
  </si>
  <si>
    <t>cost.building.fermentory@3.stone.1</t>
  </si>
  <si>
    <t>Dungeon Lv 1</t>
  </si>
  <si>
    <t>collection.mushroom_farm@1</t>
  </si>
  <si>
    <t>Dungeon Lv 2</t>
  </si>
  <si>
    <t>cost.building.fermentory@4.coin.1</t>
  </si>
  <si>
    <t>Dungeon Lv 3</t>
  </si>
  <si>
    <t>collection.mushroom_farm@2</t>
  </si>
  <si>
    <t>cost.building.fermentory@4.plank.1</t>
  </si>
  <si>
    <t>Dungeon Lv 4</t>
  </si>
  <si>
    <t>collection.orangery@1</t>
  </si>
  <si>
    <t>Dungeon Lv 5</t>
  </si>
  <si>
    <t>cost.building.fermentory@4.rice.1</t>
  </si>
  <si>
    <t>rice</t>
  </si>
  <si>
    <t>Dungeon Lv 6</t>
  </si>
  <si>
    <t>collection.orangery@2</t>
  </si>
  <si>
    <t>cost.building.fermentory@4.ruby.1</t>
  </si>
  <si>
    <t>building.fermentory.maxed</t>
  </si>
  <si>
    <t>Fermentory maxed</t>
  </si>
  <si>
    <t>collection.pantry_1@1</t>
  </si>
  <si>
    <t>Fermentory Lv 1</t>
  </si>
  <si>
    <t>cost.building.fermentory@4.soy.1</t>
  </si>
  <si>
    <t>collection.pantry_1@2</t>
  </si>
  <si>
    <t>soy</t>
  </si>
  <si>
    <t>Fermentory Lv 2</t>
  </si>
  <si>
    <t>collection.pantry_1@3</t>
  </si>
  <si>
    <t>Fermentory Lv 3</t>
  </si>
  <si>
    <t>cost.building.fermentory@4.soybean.1</t>
  </si>
  <si>
    <t>collection.pantry_1@4</t>
  </si>
  <si>
    <t>Fermentory Lv 4</t>
  </si>
  <si>
    <t>cost.building.fermentory@4.steel.1</t>
  </si>
  <si>
    <t>collection.pantry_1@5</t>
  </si>
  <si>
    <t>Fermentory Lv 5</t>
  </si>
  <si>
    <t>Fermentory Lv 6</t>
  </si>
  <si>
    <t>collection.pantry_2@1</t>
  </si>
  <si>
    <t>cost.building.fermentory@4.stone.1</t>
  </si>
  <si>
    <t>Bonsai lvl. 1</t>
  </si>
  <si>
    <t>building.field.maxed</t>
  </si>
  <si>
    <t>Field maxed</t>
  </si>
  <si>
    <t>collection.pantry_2@2</t>
  </si>
  <si>
    <t>Bonsai lvl. 2</t>
  </si>
  <si>
    <t>Field Lv 1</t>
  </si>
  <si>
    <t>cost.building.fermentory@4.wheat.1</t>
  </si>
  <si>
    <t>collection.pantry_2@3</t>
  </si>
  <si>
    <t>Field Lv 2</t>
  </si>
  <si>
    <t>cost.building.fermentory@5.coin.1</t>
  </si>
  <si>
    <t>building.food_stall.maxed</t>
  </si>
  <si>
    <t>collection.pantry_2@4</t>
  </si>
  <si>
    <t>Food stall maxed</t>
  </si>
  <si>
    <t>Food Stall Lv 1</t>
  </si>
  <si>
    <t>cost.building.fermentory@5.grimoire.1</t>
  </si>
  <si>
    <t>collection.pantry_2@5</t>
  </si>
  <si>
    <t>Food Stall Lv 2</t>
  </si>
  <si>
    <t>cost.building.fermentory@5.koji.1</t>
  </si>
  <si>
    <t>Food Stall Lv 3</t>
  </si>
  <si>
    <t>koji</t>
  </si>
  <si>
    <t>building.furnace.maxed</t>
  </si>
  <si>
    <t>Furnace maxed</t>
  </si>
  <si>
    <t>cost.building.fermentory@5.plank.1</t>
  </si>
  <si>
    <t>Furnace Lv 1</t>
  </si>
  <si>
    <t>Furnace Lv 2</t>
  </si>
  <si>
    <t>cost.building.fermentory@5.ruby.1</t>
  </si>
  <si>
    <t>Furnace Lv 3</t>
  </si>
  <si>
    <t>building.garden.maxed</t>
  </si>
  <si>
    <t>Garden maxed</t>
  </si>
  <si>
    <t>cost.building.fermentory@5.soybean.1</t>
  </si>
  <si>
    <t>collection.pantry_3@1</t>
  </si>
  <si>
    <t>Garden Lv 1</t>
  </si>
  <si>
    <t>cost.building.fermentory@5.stone.1</t>
  </si>
  <si>
    <t>Garden Lv 2</t>
  </si>
  <si>
    <t>collection.pantry_3@2</t>
  </si>
  <si>
    <t>Garden Lv 3</t>
  </si>
  <si>
    <t>cost.building.fermentory@5.thread.1</t>
  </si>
  <si>
    <t>Gong Lv 1</t>
  </si>
  <si>
    <t>collection.pantry_3@3</t>
  </si>
  <si>
    <t>Guild Lv 1</t>
  </si>
  <si>
    <t>cost.building.fermentory@6.coin.1</t>
  </si>
  <si>
    <t>collection.pantry_3@4</t>
  </si>
  <si>
    <t>Guild Lv 2</t>
  </si>
  <si>
    <t>Guild Lv 3</t>
  </si>
  <si>
    <t>cost.building.fermentory@6.enzyme.1</t>
  </si>
  <si>
    <t>collection.pantry_3@5</t>
  </si>
  <si>
    <t>Guild Lv 4</t>
  </si>
  <si>
    <t>cost.building.fermentory@6.glass.1</t>
  </si>
  <si>
    <t>Guild Lv 5</t>
  </si>
  <si>
    <t>collection.pantry_4@1</t>
  </si>
  <si>
    <t>Guild: Video Game Arcade Lv 1</t>
  </si>
  <si>
    <t>cost.building.fermentory@6.grimoire.1</t>
  </si>
  <si>
    <t>collection.rotten_ladder@1</t>
  </si>
  <si>
    <t>building.laboratory.maxed</t>
  </si>
  <si>
    <t>Laboratory maxed</t>
  </si>
  <si>
    <t>cost.building.fermentory@6.koji.1</t>
  </si>
  <si>
    <t>Laboratory Lv 1</t>
  </si>
  <si>
    <t>collection.staircase@1</t>
  </si>
  <si>
    <t>Laboratory Lv 2</t>
  </si>
  <si>
    <t>cost.building.fermentory@6.paper.1</t>
  </si>
  <si>
    <t>Laboratory Lv 3</t>
  </si>
  <si>
    <t>collection.statue@1</t>
  </si>
  <si>
    <t>Laboratory Lv 4</t>
  </si>
  <si>
    <t>cost.building.fermentory@6.plank.1</t>
  </si>
  <si>
    <t>Laboratory Lv 5</t>
  </si>
  <si>
    <t>collection.tavern@1</t>
  </si>
  <si>
    <t>building.laboratory_data_center.maxed</t>
  </si>
  <si>
    <t>Laboratory: Data Center maxed</t>
  </si>
  <si>
    <t>cost.building.fermentory@6.ruby.1</t>
  </si>
  <si>
    <t>Laboratory: Data Center Lv 1</t>
  </si>
  <si>
    <t>cost.building.fermentory@6.stone.1</t>
  </si>
  <si>
    <t>collection.tavern@2</t>
  </si>
  <si>
    <t>Lumber Lv 1</t>
  </si>
  <si>
    <t>cost.building.field@1.chemicals.1</t>
  </si>
  <si>
    <t>Lumber Lv 2</t>
  </si>
  <si>
    <t>collection.treasury_1@1</t>
  </si>
  <si>
    <t>Lumber Lv 3</t>
  </si>
  <si>
    <t>cost.building.field@1.coin.1</t>
  </si>
  <si>
    <t>Onsen Lv 1</t>
  </si>
  <si>
    <t>collection.treasury_1@2</t>
  </si>
  <si>
    <t>Onsen Lv 2</t>
  </si>
  <si>
    <t>cost.building.field@1.ruby.1</t>
  </si>
  <si>
    <t>building.outpost.maxed</t>
  </si>
  <si>
    <t>Outpost maxed</t>
  </si>
  <si>
    <t>collection.treasury_1@3</t>
  </si>
  <si>
    <t>cost.building.field@1.wood.1</t>
  </si>
  <si>
    <t>Outpost Lv 1</t>
  </si>
  <si>
    <t>collection.treasury_1@4</t>
  </si>
  <si>
    <t>Outpost Lv 2</t>
  </si>
  <si>
    <t>cost.building.field@2.chemicals.1</t>
  </si>
  <si>
    <t>Outpost Lv 3</t>
  </si>
  <si>
    <t>collection.treasury_1@5</t>
  </si>
  <si>
    <t>Pagoda Lv 1</t>
  </si>
  <si>
    <t>cost.building.field@2.coin.1</t>
  </si>
  <si>
    <t>collection.treasury_2@1</t>
  </si>
  <si>
    <t>Pagoda Lv 2</t>
  </si>
  <si>
    <t>cost.building.field@2.ruby.1</t>
  </si>
  <si>
    <t>Pagoda Lv 3</t>
  </si>
  <si>
    <t>collection.treasury_2@2</t>
  </si>
  <si>
    <t>Pagoda Lv 4</t>
  </si>
  <si>
    <t>cost.building.field@2.steel.1</t>
  </si>
  <si>
    <t>Pagoda Lv 5</t>
  </si>
  <si>
    <t>collection.treasury_2@3</t>
  </si>
  <si>
    <t>Pagoda Lv 6</t>
  </si>
  <si>
    <t>cost.building.field@2.wood.1</t>
  </si>
  <si>
    <t>collection.treasury_3@1</t>
  </si>
  <si>
    <t>Pagoda Lv 7</t>
  </si>
  <si>
    <t>Pier Lv 1</t>
  </si>
  <si>
    <t>cost.building.food_stall@1.coin.1</t>
  </si>
  <si>
    <t>craftifact.astrolabe</t>
  </si>
  <si>
    <t>building.rock_garden.maxed</t>
  </si>
  <si>
    <t>Rock Garden maxed</t>
  </si>
  <si>
    <t>cost.building.food_stall@1.rice.1</t>
  </si>
  <si>
    <t>Rock Garden Lv 1</t>
  </si>
  <si>
    <t>craftifact.barometer</t>
  </si>
  <si>
    <t>cost.building.food_stall@1.ruby.1</t>
  </si>
  <si>
    <t>Rock Garden Lv 2</t>
  </si>
  <si>
    <t>craftifact.cinema_projector</t>
  </si>
  <si>
    <t>Rock Garden Lv 3</t>
  </si>
  <si>
    <t>cost.building.food_stall@1.stone.1</t>
  </si>
  <si>
    <t>Ship Lv 1</t>
  </si>
  <si>
    <t>Bonsai lvl. 2</t>
  </si>
  <si>
    <t>craftifact.dagger</t>
  </si>
  <si>
    <t>cost.building.food_stall@1.wood.1</t>
  </si>
  <si>
    <t>Ship Lv 2</t>
  </si>
  <si>
    <t>Ship Lv 3</t>
  </si>
  <si>
    <t>craftifact.emerald_tablet</t>
  </si>
  <si>
    <t>cost.building.food_stall@2.coin.1</t>
  </si>
  <si>
    <t>Ship Lv 4</t>
  </si>
  <si>
    <t>craftifact.flamethrower</t>
  </si>
  <si>
    <t>building.shop.maxed</t>
  </si>
  <si>
    <t>shop maxed</t>
  </si>
  <si>
    <t>cost.building.food_stall@2.plank.1</t>
  </si>
  <si>
    <t>Shop Lv 1</t>
  </si>
  <si>
    <t>craftifact.guild_banner</t>
  </si>
  <si>
    <t>cost.building.food_stall@2.ruby.1</t>
  </si>
  <si>
    <t>Shop Lv 2</t>
  </si>
  <si>
    <t>craftifact.guild_codex</t>
  </si>
  <si>
    <t>Shop Lv 3</t>
  </si>
  <si>
    <t>cost.building.food_stall@2.spices.1</t>
  </si>
  <si>
    <t>craftifact.guild_supplies</t>
  </si>
  <si>
    <t>building.smithy.maxed</t>
  </si>
  <si>
    <t>smithy maxed</t>
  </si>
  <si>
    <t>craftifact.hat_of_concentration</t>
  </si>
  <si>
    <t>Smithy Lv 1</t>
  </si>
  <si>
    <t>cost.building.food_stall@2.stone.1</t>
  </si>
  <si>
    <t>Smithy Lv 2</t>
  </si>
  <si>
    <t>cost.building.food_stall@3.beans.1</t>
  </si>
  <si>
    <t>craftifact.helmet</t>
  </si>
  <si>
    <t>Smithy Lv 3</t>
  </si>
  <si>
    <t>cost.building.food_stall@3.coin.1</t>
  </si>
  <si>
    <t>Station Lv 1</t>
  </si>
  <si>
    <t>craftifact.historical_library</t>
  </si>
  <si>
    <t>building.tailor.maxed</t>
  </si>
  <si>
    <t>tailor maxed</t>
  </si>
  <si>
    <t>Tailor Lv 1</t>
  </si>
  <si>
    <t>cost.building.food_stall@3.plank.1</t>
  </si>
  <si>
    <t>craftifact.hotei_statuette</t>
  </si>
  <si>
    <t>Tailor Lv 2</t>
  </si>
  <si>
    <t>Tailor Lv 3</t>
  </si>
  <si>
    <t>cost.building.food_stall@3.ruby.1</t>
  </si>
  <si>
    <t>craftifact.metal_detector</t>
  </si>
  <si>
    <t>building.train.maxed</t>
  </si>
  <si>
    <t>train maxed</t>
  </si>
  <si>
    <t>Train Lv 1</t>
  </si>
  <si>
    <t>Train Lv 2</t>
  </si>
  <si>
    <t>cost.building.food_stall@3.spices.1</t>
  </si>
  <si>
    <t>craftifact.necklace_for_haruka</t>
  </si>
  <si>
    <t>Train: Freight Carriage Lv 1</t>
  </si>
  <si>
    <t>Train: Freight Carriage Lv 2</t>
  </si>
  <si>
    <t>cost.building.furnace@1.coin.1</t>
  </si>
  <si>
    <t>craftifact.safe</t>
  </si>
  <si>
    <t>Train: Passenger Carriage Lv 1</t>
  </si>
  <si>
    <t>Train: Passenger Carriage Lv 2</t>
  </si>
  <si>
    <t>craftifact.solver_1_prototype</t>
  </si>
  <si>
    <t>cost.building.furnace@1.ruby.1</t>
  </si>
  <si>
    <t>building.warehouse.maxed</t>
  </si>
  <si>
    <t>warehouse maxed</t>
  </si>
  <si>
    <t>Warehouse Lv 1</t>
  </si>
  <si>
    <t>Warehouse Lv 2</t>
  </si>
  <si>
    <t>cost.building.furnace@1.stone.1</t>
  </si>
  <si>
    <t>craftifact.telescope</t>
  </si>
  <si>
    <t>Warehouse Lv 3</t>
  </si>
  <si>
    <t>Warehouse Lv 4</t>
  </si>
  <si>
    <t>cost.building.furnace@1.wood.1</t>
  </si>
  <si>
    <t>Warehouse Lv 5</t>
  </si>
  <si>
    <t>craftifact.tetrachloroaurate</t>
  </si>
  <si>
    <t>Warehouse Lv 6</t>
  </si>
  <si>
    <t>cost.building.furnace@2.beam.1</t>
  </si>
  <si>
    <t>Warehouse Lv 7</t>
  </si>
  <si>
    <t>craftifact.trigonometry</t>
  </si>
  <si>
    <t>building.windmill.maxed</t>
  </si>
  <si>
    <t>windmill maxed</t>
  </si>
  <si>
    <t>Windmill Lv 1</t>
  </si>
  <si>
    <t>cost.building.furnace@2.coin.1</t>
  </si>
  <si>
    <t>Windmill Lv 2</t>
  </si>
  <si>
    <t>quest.ahead_of_time_chapter_1.accepted</t>
  </si>
  <si>
    <t>building.workshop.maxed</t>
  </si>
  <si>
    <t>workshop maxed</t>
  </si>
  <si>
    <t>Workshop Lv 1</t>
  </si>
  <si>
    <t>quest.ahead_of_time_chapter_1.finished</t>
  </si>
  <si>
    <t>Workshop Lv 2</t>
  </si>
  <si>
    <t>cost.building.furnace@2.ruby.1</t>
  </si>
  <si>
    <t>Workshop Lv 3</t>
  </si>
  <si>
    <t>Workshop Lv 4</t>
  </si>
  <si>
    <t>cost.building.furnace@2.steel.1</t>
  </si>
  <si>
    <t>Workshop Lv 5</t>
  </si>
  <si>
    <t>Armory</t>
  </si>
  <si>
    <t>CITADEL</t>
  </si>
  <si>
    <t>quest.ahead_of_time_chapter_2.accepted</t>
  </si>
  <si>
    <t>Attic</t>
  </si>
  <si>
    <t>Cheese Cave</t>
  </si>
  <si>
    <t>cost.building.furnace@2.stone.1</t>
  </si>
  <si>
    <t>quest.ahead_of_time_chapter_2.finished</t>
  </si>
  <si>
    <t>Courtyard</t>
  </si>
  <si>
    <t>Gallery</t>
  </si>
  <si>
    <t>cost.building.furnace@3.coin.1</t>
  </si>
  <si>
    <t>Great Hall</t>
  </si>
  <si>
    <t>quest.ahead_of_time_chapter_3.accepted</t>
  </si>
  <si>
    <t>Kitchen and Buttery</t>
  </si>
  <si>
    <t>Lair lvl. 1</t>
  </si>
  <si>
    <t>quest.ahead_of_time_chapter_3.finished</t>
  </si>
  <si>
    <t>cost.building.furnace@3.plank.1</t>
  </si>
  <si>
    <t>Lair lvl. 2</t>
  </si>
  <si>
    <t>Mushroom Farm</t>
  </si>
  <si>
    <t>quest.ahead_of_time_chapter_4.accepted</t>
  </si>
  <si>
    <t>Orangery</t>
  </si>
  <si>
    <t>cost.building.furnace@3.ruby.1</t>
  </si>
  <si>
    <t>Pantry</t>
  </si>
  <si>
    <t>quest.ahead_of_time_chapter_4.finished</t>
  </si>
  <si>
    <t>Tavern</t>
  </si>
  <si>
    <t>Treasury</t>
  </si>
  <si>
    <t>cost.building.furnace@3.steel.1</t>
  </si>
  <si>
    <t>quest.ahead_of_time_chapter_5.accepted</t>
  </si>
  <si>
    <t>Tunnel</t>
  </si>
  <si>
    <t>Alchemist Hall Lv 1</t>
  </si>
  <si>
    <t>COLLECTION</t>
  </si>
  <si>
    <t>cost.building.furnace@3.stone.1</t>
  </si>
  <si>
    <t>Alchemist Hall Lv 2</t>
  </si>
  <si>
    <t>quest.ahead_of_time_chapter_5.finished</t>
  </si>
  <si>
    <t>quest.build_the_guild.accepted</t>
  </si>
  <si>
    <t>cost.building.garden@1.coin.1</t>
  </si>
  <si>
    <t>Armory 1 Lv 1</t>
  </si>
  <si>
    <t>quest.build_the_guild.finished</t>
  </si>
  <si>
    <t>Armory 1 Lv 2</t>
  </si>
  <si>
    <t>cost.building.garden@1.ruby.1</t>
  </si>
  <si>
    <t>Armory 1 Lv 3</t>
  </si>
  <si>
    <t>quest.build_the_pagoda.accepted</t>
  </si>
  <si>
    <t>Armory 2 Lv 1</t>
  </si>
  <si>
    <t>cost.building.garden@1.stone.1</t>
  </si>
  <si>
    <t>Attic Lv 1</t>
  </si>
  <si>
    <t>quest.build_the_pagoda.finished</t>
  </si>
  <si>
    <t>Attic Lv 2</t>
  </si>
  <si>
    <t>Attic Lv 3</t>
  </si>
  <si>
    <t>cost.building.garden@1.wood.1</t>
  </si>
  <si>
    <t>quest.culinary_battle.accepted</t>
  </si>
  <si>
    <t>Attic Lv 4</t>
  </si>
  <si>
    <t>Attic Lv 5</t>
  </si>
  <si>
    <t>quest.culinary_battle.finished</t>
  </si>
  <si>
    <t>Bone Dragon Lv 1</t>
  </si>
  <si>
    <t>cost.building.garden@2.coin.1</t>
  </si>
  <si>
    <t>Bone Dragon Lv 2</t>
  </si>
  <si>
    <t>quest.dragon_teeth.accepted</t>
  </si>
  <si>
    <t>Broken Lever</t>
  </si>
  <si>
    <t>Broken Minecart</t>
  </si>
  <si>
    <t>cost.building.garden@2.ruby.1</t>
  </si>
  <si>
    <t>Cave-in Alchemist Hall</t>
  </si>
  <si>
    <t>quest.dragon_teeth.finished</t>
  </si>
  <si>
    <t>Cave-in Bone Dragon</t>
  </si>
  <si>
    <t>Collapsed Staircase</t>
  </si>
  <si>
    <t>cost.building.garden@2.stone.1</t>
  </si>
  <si>
    <t>quest.festival.accepted</t>
  </si>
  <si>
    <t>Courtyard 1 Lv 1</t>
  </si>
  <si>
    <t>Courtyard 1 Lv 2</t>
  </si>
  <si>
    <t>Courtyard 2 Lv 1</t>
  </si>
  <si>
    <t>quest.festival.finished</t>
  </si>
  <si>
    <t>cost.building.garden@2.wood.1</t>
  </si>
  <si>
    <t>Crystal Cave</t>
  </si>
  <si>
    <t>Gallery 1 Lv 1</t>
  </si>
  <si>
    <t>quest.festival_of_beans.accepted</t>
  </si>
  <si>
    <t>Gallery 1 Lv 2</t>
  </si>
  <si>
    <t>cost.building.garden@3.beam.1</t>
  </si>
  <si>
    <t>Gallery 1 Lv 3</t>
  </si>
  <si>
    <t>quest.festival_of_beans.finished</t>
  </si>
  <si>
    <t>Gallery 1 Lv 4</t>
  </si>
  <si>
    <t>Gallery 1 Lv 5</t>
  </si>
  <si>
    <t>cost.building.garden@3.coin.1</t>
  </si>
  <si>
    <t>quest.festival_returns.accepted</t>
  </si>
  <si>
    <t>Gallery 2 Lv 1</t>
  </si>
  <si>
    <t>Gallery 2 Lv 2</t>
  </si>
  <si>
    <t>Gallery 2 Lv 3</t>
  </si>
  <si>
    <t>cost.building.garden@3.ruby.1</t>
  </si>
  <si>
    <t>quest.festival_returns.finished</t>
  </si>
  <si>
    <t>Gallery 2 Lv 4</t>
  </si>
  <si>
    <t>Gallery 2 Lv 5</t>
  </si>
  <si>
    <t>quest.green_potion.accepted</t>
  </si>
  <si>
    <t>cost.building.garden@3.stone.1</t>
  </si>
  <si>
    <t>Gallery 3 Lv 1</t>
  </si>
  <si>
    <t>Gallery 3 Lv 2</t>
  </si>
  <si>
    <t>quest.green_potion.finished</t>
  </si>
  <si>
    <t>Gallery 3 Lv 3</t>
  </si>
  <si>
    <t>cost.building.gong@1.coin.1</t>
  </si>
  <si>
    <t>Gallery 3 Lv 4</t>
  </si>
  <si>
    <t>quest.honor_glory_sushi.accepted</t>
  </si>
  <si>
    <t>Gallery 3 Lv 5</t>
  </si>
  <si>
    <t>Historical Library 1 Lv 1</t>
  </si>
  <si>
    <t>cost.building.gong@1.ruby.1</t>
  </si>
  <si>
    <t>Historical Library 1 Lv 2</t>
  </si>
  <si>
    <t>quest.honor_glory_sushi.finished</t>
  </si>
  <si>
    <t>Historical Library 1 Lv 3</t>
  </si>
  <si>
    <t>Historical Library 2 Lv 1</t>
  </si>
  <si>
    <t>cost.building.gong@1.steel.1</t>
  </si>
  <si>
    <t>quest.journey_through_japan_by_train.accepted</t>
  </si>
  <si>
    <t>Historical Library 2 Lv 2</t>
  </si>
  <si>
    <t>Historical Library 2 Lv 3</t>
  </si>
  <si>
    <t>quest.journey_through_japan_by_train.finished</t>
  </si>
  <si>
    <t>Horse Lv 1</t>
  </si>
  <si>
    <t>cost.building.gong@1.stone.1</t>
  </si>
  <si>
    <t>Kitchen And Buttery 1 Lv 1</t>
  </si>
  <si>
    <t>Kitchen And Buttery 1 Lv 2</t>
  </si>
  <si>
    <t>quest.letter_from_the_dark_lady.accepted</t>
  </si>
  <si>
    <t>Kitchen And Buttery 1 Lv 3</t>
  </si>
  <si>
    <t>Kitchen And Buttery 1 Lv 4</t>
  </si>
  <si>
    <t>cost.building.gong@1.wood.1</t>
  </si>
  <si>
    <t>quest.letter_from_the_dark_lady.finished</t>
  </si>
  <si>
    <t>Kitchen And Buttery 1 Lv 5</t>
  </si>
  <si>
    <t>Kitchen And Buttery 2 Lv 1</t>
  </si>
  <si>
    <t>Mushroom Farm Lv 1</t>
  </si>
  <si>
    <t>cost.building.guild_video_game_arcade@1.blueprint.1</t>
  </si>
  <si>
    <t>quest.magic_beans.accepted</t>
  </si>
  <si>
    <t>Mushroom Farm Lv 2</t>
  </si>
  <si>
    <t>blueprint</t>
  </si>
  <si>
    <t>Orangery Lv 1</t>
  </si>
  <si>
    <t>quest.magic_beans.finished</t>
  </si>
  <si>
    <t>Orangery Lv 2</t>
  </si>
  <si>
    <t>cost.building.guild_video_game_arcade@1.crypto.1</t>
  </si>
  <si>
    <t>crypto</t>
  </si>
  <si>
    <t>Pantry 1 Lv 1</t>
  </si>
  <si>
    <t>Pantry 1 Lv 2</t>
  </si>
  <si>
    <t>cost.building.guild_video_game_arcade@1.drum.1</t>
  </si>
  <si>
    <t>quest.once_upon_a_forest_chapter_1.accepted</t>
  </si>
  <si>
    <t>Pantry 1 Lv 3</t>
  </si>
  <si>
    <t>drum</t>
  </si>
  <si>
    <t>Pantry 1 Lv 4</t>
  </si>
  <si>
    <t>Pantry 1 Lv 5</t>
  </si>
  <si>
    <t>cost.building.guild_video_game_arcade@1.floppy.1</t>
  </si>
  <si>
    <t>quest.once_upon_a_forest_chapter_1.finished</t>
  </si>
  <si>
    <t>Pantry 2 Lv 1</t>
  </si>
  <si>
    <t>floppy</t>
  </si>
  <si>
    <t>Pantry 2 Lv 2</t>
  </si>
  <si>
    <t>Pantry 2 Lv 3</t>
  </si>
  <si>
    <t>cost.building.guild_video_game_arcade@1.mechanism.1</t>
  </si>
  <si>
    <t>quest.once_upon_a_forest_chapter_10.accepted</t>
  </si>
  <si>
    <t>Pantry 2 Lv 4</t>
  </si>
  <si>
    <t>mechanism</t>
  </si>
  <si>
    <t>Pantry 2 Lv 5</t>
  </si>
  <si>
    <t>Pantry 3 Lv 1</t>
  </si>
  <si>
    <t>cost.building.guild_video_game_arcade@1.microchip.1</t>
  </si>
  <si>
    <t>Pantry 3 Lv 2</t>
  </si>
  <si>
    <t>microchip</t>
  </si>
  <si>
    <t>quest.once_upon_a_forest_chapter_10.finished</t>
  </si>
  <si>
    <t>Pantry 3 Lv 3</t>
  </si>
  <si>
    <t>Pantry 3 Lv 4</t>
  </si>
  <si>
    <t>cost.building.guild_video_game_arcade@1.mspider.1</t>
  </si>
  <si>
    <t>Pantry 3 Lv 5</t>
  </si>
  <si>
    <t>quest.once_upon_a_forest_chapter_11.accepted</t>
  </si>
  <si>
    <t>Pantry 4 Lv 1</t>
  </si>
  <si>
    <t>Rotten Ladder</t>
  </si>
  <si>
    <t>cost.building.guild_video_game_arcade@1.ninja.1</t>
  </si>
  <si>
    <t>Collection Staircase</t>
  </si>
  <si>
    <t>quest.once_upon_a_forest_chapter_11.finished</t>
  </si>
  <si>
    <t>ninja</t>
  </si>
  <si>
    <t>Statue Lv 1</t>
  </si>
  <si>
    <t>Tavern Lv 1</t>
  </si>
  <si>
    <t>quest.once_upon_a_forest_chapter_12.accepted</t>
  </si>
  <si>
    <t>Tavern Lv 2</t>
  </si>
  <si>
    <t>cost.building.guild_video_game_arcade@1.ruby.1</t>
  </si>
  <si>
    <t>Treasury 1 Lv 1</t>
  </si>
  <si>
    <t>quest.once_upon_a_forest_chapter_12.finished</t>
  </si>
  <si>
    <t>Treasury 1 Lv 2</t>
  </si>
  <si>
    <t>Treasury 1 Lv 3</t>
  </si>
  <si>
    <t>cost.building.guild@2.coin.1</t>
  </si>
  <si>
    <t>Treasury 1 Lv 4</t>
  </si>
  <si>
    <t>quest.once_upon_a_forest_chapter_13.accepted</t>
  </si>
  <si>
    <t>Treasury 1 Lv 5</t>
  </si>
  <si>
    <t>Treasury 2 Lv 1</t>
  </si>
  <si>
    <t>quest.once_upon_a_forest_chapter_13.finished</t>
  </si>
  <si>
    <t>Treasury 2 Lv 2</t>
  </si>
  <si>
    <t>cost.building.guild@2.ruby.1</t>
  </si>
  <si>
    <t>Treasury 2 Lv 3</t>
  </si>
  <si>
    <t>quest.once_upon_a_forest_chapter_14.accepted</t>
  </si>
  <si>
    <t>Treasury 3 Lv 1</t>
  </si>
  <si>
    <t>Astrolabe</t>
  </si>
  <si>
    <t>CRAFTIFACT</t>
  </si>
  <si>
    <t>quest.once_upon_a_forest_chapter_14.finished</t>
  </si>
  <si>
    <t>Barometer</t>
  </si>
  <si>
    <t>cost.building.guild@2.stone.1</t>
  </si>
  <si>
    <t>Cinema Projector</t>
  </si>
  <si>
    <t>quest.once_upon_a_forest_chapter_15.accepted</t>
  </si>
  <si>
    <t>Dagger</t>
  </si>
  <si>
    <t>Emerald Tablet</t>
  </si>
  <si>
    <t>cost.building.guild@2.wood.1</t>
  </si>
  <si>
    <t>Flamethrower</t>
  </si>
  <si>
    <t>quest.once_upon_a_forest_chapter_15.finished</t>
  </si>
  <si>
    <t>Guild Banner</t>
  </si>
  <si>
    <t>Guild Codex</t>
  </si>
  <si>
    <t>quest.once_upon_a_forest_chapter_2.accepted</t>
  </si>
  <si>
    <t>Guild Supplies</t>
  </si>
  <si>
    <t>Hat Of Concentration</t>
  </si>
  <si>
    <t>cost.building.guild@3.beam.1</t>
  </si>
  <si>
    <t>quest.once_upon_a_forest_chapter_2.finished</t>
  </si>
  <si>
    <t>Helmet</t>
  </si>
  <si>
    <t>Historical Library</t>
  </si>
  <si>
    <t>Hotei Statuette</t>
  </si>
  <si>
    <t>Metal Detector</t>
  </si>
  <si>
    <t>quest.once_upon_a_forest_chapter_3.accepted</t>
  </si>
  <si>
    <t>cost.building.guild@3.coin.1</t>
  </si>
  <si>
    <t>Necklace For Haruka</t>
  </si>
  <si>
    <t>Safe</t>
  </si>
  <si>
    <t>Solver 1 Prototype</t>
  </si>
  <si>
    <t>quest.once_upon_a_forest_chapter_3.finished</t>
  </si>
  <si>
    <t>Telescope</t>
  </si>
  <si>
    <t>cost.building.guild@3.ruby.1</t>
  </si>
  <si>
    <t>Tetrachloroaurate</t>
  </si>
  <si>
    <t>Trigonometry</t>
  </si>
  <si>
    <t>quest.once_upon_a_forest_chapter_4.accepted</t>
  </si>
  <si>
    <t>Ahead of Time Chapter 1 Accepted</t>
  </si>
  <si>
    <t>QUEST</t>
  </si>
  <si>
    <t>cost.building.guild@3.stone.1</t>
  </si>
  <si>
    <t>Ahead of Time Chapter 1 Finished</t>
  </si>
  <si>
    <t>Ahead of Time Chapter 2 Accepted</t>
  </si>
  <si>
    <t>quest.once_upon_a_forest_chapter_4.finished</t>
  </si>
  <si>
    <t>Ahead of Time Chapter 2 Finished</t>
  </si>
  <si>
    <t>Ahead of Time Chapter 3 Accepted</t>
  </si>
  <si>
    <t>cost.building.guild@4.beam.1</t>
  </si>
  <si>
    <t>Ahead of Time Chapter 3 Finished</t>
  </si>
  <si>
    <t>quest.once_upon_a_forest_chapter_5.accepted</t>
  </si>
  <si>
    <t>Ahead of Time Chapter 4 Accepted</t>
  </si>
  <si>
    <t>Ahead of Time Chapter 4 Finished</t>
  </si>
  <si>
    <t>cost.building.guild@4.coin.1</t>
  </si>
  <si>
    <t>Ahead of Time Chapter 5 Accepted</t>
  </si>
  <si>
    <t>quest.once_upon_a_forest_chapter_5.finished</t>
  </si>
  <si>
    <t>Ahead of Time Chapter 5 Finished</t>
  </si>
  <si>
    <t>Build the Guild Accepted</t>
  </si>
  <si>
    <t>Build the Guild Finished</t>
  </si>
  <si>
    <t>quest.once_upon_a_forest_chapter_6.accepted</t>
  </si>
  <si>
    <t>Build the Pagoda Accepted</t>
  </si>
  <si>
    <t>cost.building.guild@4.ruby.1</t>
  </si>
  <si>
    <t>Build the Pagoda Finished</t>
  </si>
  <si>
    <t>Culinary Battle Accepted</t>
  </si>
  <si>
    <t>Culinary Battle Finished</t>
  </si>
  <si>
    <t>quest.once_upon_a_forest_chapter_6.finished</t>
  </si>
  <si>
    <t>Dragon teeth Accepted</t>
  </si>
  <si>
    <t>cost.building.guild@4.steel.1</t>
  </si>
  <si>
    <t>Dragon teeth Finished</t>
  </si>
  <si>
    <t>Festival Accepted</t>
  </si>
  <si>
    <t>quest.once_upon_a_forest_chapter_7.accepted</t>
  </si>
  <si>
    <t>Festival Finished</t>
  </si>
  <si>
    <t>Festival of Beans Accepted</t>
  </si>
  <si>
    <t>cost.building.guild@4.stone.1</t>
  </si>
  <si>
    <t>Festival of Beans Finished</t>
  </si>
  <si>
    <t>quest.once_upon_a_forest_chapter_7.finished</t>
  </si>
  <si>
    <t>Festival Returns Accepted</t>
  </si>
  <si>
    <t>Festival Returns Finished</t>
  </si>
  <si>
    <t>Green Potion Accepted</t>
  </si>
  <si>
    <t>cost.building.guild@5.beam.1</t>
  </si>
  <si>
    <t>Green Potion Finished</t>
  </si>
  <si>
    <t>quest.once_upon_a_forest_chapter_8.accepted</t>
  </si>
  <si>
    <t>Honor, Glory, Sushi Accepted</t>
  </si>
  <si>
    <t>Honor, Glory, Sushi Finished</t>
  </si>
  <si>
    <t>Journey Through Japan By Train Accepted</t>
  </si>
  <si>
    <t>quest.once_upon_a_forest_chapter_8.finished</t>
  </si>
  <si>
    <t>cost.building.guild@5.coin.1</t>
  </si>
  <si>
    <t>Journey Through Japan By Train Finished</t>
  </si>
  <si>
    <t>Letter from the Dark Lady Accepted</t>
  </si>
  <si>
    <t>Letter from the Dark Lady Finished</t>
  </si>
  <si>
    <t>quest.once_upon_a_forest_chapter_9.accepted</t>
  </si>
  <si>
    <t>Magic Beans Accepted</t>
  </si>
  <si>
    <t>cost.building.guild@5.ruby.1</t>
  </si>
  <si>
    <t>Magic Beans Finished</t>
  </si>
  <si>
    <t>Once Upon a Forest Chapter 1 Accepted</t>
  </si>
  <si>
    <t>Once Upon a Forest Chapter 1 Finished</t>
  </si>
  <si>
    <t>Once Upon a Forest Chapter 10 Accepted</t>
  </si>
  <si>
    <t>quest.once_upon_a_forest_chapter_9.finished</t>
  </si>
  <si>
    <t>Once Upon a Forest Chapter 10 Finished</t>
  </si>
  <si>
    <t>Once Upon a Forest Chapter 11 Accepted</t>
  </si>
  <si>
    <t>cost.building.guild@5.steel.1</t>
  </si>
  <si>
    <t>Once Upon a Forest Chapter 11 Finished</t>
  </si>
  <si>
    <t>Once Upon a Forest Chapter 12 Accepted</t>
  </si>
  <si>
    <t>Once Upon a Forest Chapter 12 Finished</t>
  </si>
  <si>
    <t>quest.quest_for_knowledge_chapter_1.accepted</t>
  </si>
  <si>
    <t>Once Upon a Forest Chapter 13 Accepted</t>
  </si>
  <si>
    <t>Once Upon a Forest Chapter 13 Finished</t>
  </si>
  <si>
    <t>Once Upon a Forest Chapter 14 Accepted</t>
  </si>
  <si>
    <t>cost.building.guild@5.stone.1</t>
  </si>
  <si>
    <t>Once Upon a Forest Chapter 14 Finished</t>
  </si>
  <si>
    <t>Once Upon a Forest Chapter 15 Accepted</t>
  </si>
  <si>
    <t>quest.quest_for_knowledge_chapter_1.finished</t>
  </si>
  <si>
    <t>Once Upon a Forest Chapter 15 Finished</t>
  </si>
  <si>
    <t>Once Upon a Forest Chapter 2 Accepted</t>
  </si>
  <si>
    <t>Once Upon a Forest Chapter 2 Finished</t>
  </si>
  <si>
    <t>Once Upon a Forest Chapter 3 Accepted</t>
  </si>
  <si>
    <t>cost.building.laboratory_data_center@1.apy.1</t>
  </si>
  <si>
    <t>Once Upon a Forest Chapter 3 Finished</t>
  </si>
  <si>
    <t>quest.quest_for_knowledge_chapter_2.accepted</t>
  </si>
  <si>
    <t>Once Upon a Forest Chapter 4 Accepted</t>
  </si>
  <si>
    <t>apy</t>
  </si>
  <si>
    <t>Once Upon a Forest Chapter 4 Finished</t>
  </si>
  <si>
    <t>Once Upon a Forest Chapter 5 Accepted</t>
  </si>
  <si>
    <t>Once Upon a Forest Chapter 5 Finished</t>
  </si>
  <si>
    <t>quest.quest_for_knowledge_chapter_2.finished</t>
  </si>
  <si>
    <t>Once Upon a Forest Chapter 6 Accepted</t>
  </si>
  <si>
    <t>cost.building.laboratory_data_center@1.blueprint.1</t>
  </si>
  <si>
    <t>Once Upon a Forest Chapter 6 Finished</t>
  </si>
  <si>
    <t>Once Upon a Forest Chapter 7 Accepted</t>
  </si>
  <si>
    <t>Once Upon a Forest Chapter 7 Finished</t>
  </si>
  <si>
    <t>Once Upon a Forest Chapter 8 Accepted</t>
  </si>
  <si>
    <t>quest.quest_for_knowledge_chapter_3.accepted</t>
  </si>
  <si>
    <t>Once Upon a Forest Chapter 8 Finished</t>
  </si>
  <si>
    <t>Once Upon a Forest Chapter 9 Accepted</t>
  </si>
  <si>
    <t>cost.building.laboratory_data_center@1.coin.1</t>
  </si>
  <si>
    <t>Once Upon a Forest Chapter 9 Finished</t>
  </si>
  <si>
    <t>Quest for Knowledge Chapter 1 Accepted</t>
  </si>
  <si>
    <t>Quest for Knowledge Chapter 1 Finished</t>
  </si>
  <si>
    <t>quest.quest_for_knowledge_chapter_3.finished</t>
  </si>
  <si>
    <t>Quest for Knowledge Chapter 2 Accepted</t>
  </si>
  <si>
    <t>Quest for Knowledge Chapter 2 Finished</t>
  </si>
  <si>
    <t>Quest for Knowledge Chapter 3 Accepted</t>
  </si>
  <si>
    <t>cost.building.laboratory_data_center@1.glass.1</t>
  </si>
  <si>
    <t>Quest for Knowledge Chapter 3 Finished</t>
  </si>
  <si>
    <t>quest.quest_for_knowledge_chapter_4.accepted</t>
  </si>
  <si>
    <t>Quest for Knowledge Chapter 4 Accepted</t>
  </si>
  <si>
    <t>quest.quest_for_knowledge_chapter_4.finished</t>
  </si>
  <si>
    <t>Quest for Knowledge Chapter 4 Finished</t>
  </si>
  <si>
    <t>quest.quest_for_knowledge_chapter_5.accepted</t>
  </si>
  <si>
    <t>Quest for Knowledge Chapter 5 Accepted</t>
  </si>
  <si>
    <t>quest.quest_for_knowledge_chapter_5.finished</t>
  </si>
  <si>
    <t>Quest for Knowledge Chapter 5 Finished</t>
  </si>
  <si>
    <t>quest.shoguns_katana_chapter_1.accepted</t>
  </si>
  <si>
    <t>Shogun's Katana Chapter 1 Accepted</t>
  </si>
  <si>
    <t>quest.shoguns_katana_chapter_1.finished</t>
  </si>
  <si>
    <t>Shogun's Katana Chapter 1 Finished</t>
  </si>
  <si>
    <t>cost.building.laboratory_data_center@1.microchip.1</t>
  </si>
  <si>
    <t>quest.shoguns_katana_chapter_2.accepted</t>
  </si>
  <si>
    <t>Shogun's Katana Chapter 2 Accepted</t>
  </si>
  <si>
    <t>quest.shoguns_katana_chapter_2.finished</t>
  </si>
  <si>
    <t>Shogun's Katana Chapter 2 Finished</t>
  </si>
  <si>
    <t>quest.shoguns_katana_chapter_3.accepted</t>
  </si>
  <si>
    <t>Shogun's Katana Chapter 3 Accepted</t>
  </si>
  <si>
    <t>quest.shoguns_katana_chapter_3.finished</t>
  </si>
  <si>
    <t>Shogun's Katana Chapter 3 Finished</t>
  </si>
  <si>
    <t>quest.shoguns_katana_chapter_4.accepted</t>
  </si>
  <si>
    <t>Shogun's Katana Chapter 4 Accepted</t>
  </si>
  <si>
    <t>quest.shoguns_katana_chapter_4.finished</t>
  </si>
  <si>
    <t>Shogun's Katana Chapter 4 Finished</t>
  </si>
  <si>
    <t>cost.building.laboratory_data_center@1.quartz.1</t>
  </si>
  <si>
    <t>quest.shoguns_katana_chapter_5.accepted</t>
  </si>
  <si>
    <t>Shogun's Katana Chapter 5 Accepted</t>
  </si>
  <si>
    <t>quartz</t>
  </si>
  <si>
    <t>quest.shoguns_katana_chapter_5.finished</t>
  </si>
  <si>
    <t>Shogun's Katana Chapter 5 Finished</t>
  </si>
  <si>
    <t>quest.shoguns_katana_chapter_6.accepted</t>
  </si>
  <si>
    <t>Shogun's Katana Chapter 6 Accepted</t>
  </si>
  <si>
    <t>quest.shoguns_katana_chapter_6.finished</t>
  </si>
  <si>
    <t>Shogun's Katana Chapter 6 Finished</t>
  </si>
  <si>
    <t>cost.building.laboratory_data_center@1.ruby.1</t>
  </si>
  <si>
    <t>quest.shoguns_katana_chapter_7.accepted</t>
  </si>
  <si>
    <t>Shogun's Katana Chapter 7 Accepted</t>
  </si>
  <si>
    <t>quest.shoguns_katana_chapter_7.finished</t>
  </si>
  <si>
    <t>Shogun's Katana Chapter 7 Finished</t>
  </si>
  <si>
    <t>quest.silk_road.accepted</t>
  </si>
  <si>
    <t>Silk Road Accepted</t>
  </si>
  <si>
    <t>quest.silk_road.finished</t>
  </si>
  <si>
    <t>Silk Road Finished</t>
  </si>
  <si>
    <t>quest.spicy_odyssey.accepted</t>
  </si>
  <si>
    <t>Spicy Odyssey Accepted</t>
  </si>
  <si>
    <t>cost.building.laboratory_data_center@1.steel.1</t>
  </si>
  <si>
    <t>quest.spicy_odyssey.finished</t>
  </si>
  <si>
    <t>Spicy Odyssey Finished</t>
  </si>
  <si>
    <t>quest.the_ordinary_days_of_an_adventurer_chapter_1.accepted</t>
  </si>
  <si>
    <t>The Ordinary Days of an Adventurer Chapter 1 Accepted</t>
  </si>
  <si>
    <t>quest.the_ordinary_days_of_an_adventurer_chapter_1.finished</t>
  </si>
  <si>
    <t>The Ordinary Days of an Adventurer Chapter 1 Finished</t>
  </si>
  <si>
    <t>quest.the_ordinary_days_of_an_adventurer_chapter_2.accepted</t>
  </si>
  <si>
    <t>The Ordinary Days of an Adventurer Chapter 2 Accepted</t>
  </si>
  <si>
    <t>quest.the_ordinary_days_of_an_adventurer_chapter_2.finished</t>
  </si>
  <si>
    <t>The Ordinary Days of an Adventurer Chapter 2 Finished</t>
  </si>
  <si>
    <t>cost.building.laboratory_data_center@1.stone.1</t>
  </si>
  <si>
    <t>quest.the_ordinary_days_of_an_adventurer_chapter_3.accepted</t>
  </si>
  <si>
    <t>The Ordinary Days of an Adventurer Chapter 3 Accepted</t>
  </si>
  <si>
    <t>quest.the_ordinary_days_of_an_adventurer_chapter_3.finished</t>
  </si>
  <si>
    <t>The Ordinary Days of an Adventurer Chapter 3 Finished</t>
  </si>
  <si>
    <t>quest.the_ordinary_days_of_an_adventurer_chapter_4.accepted</t>
  </si>
  <si>
    <t>The Ordinary Days of an Adventurer Chapter 4 Accepted</t>
  </si>
  <si>
    <t>quest.the_ordinary_days_of_an_adventurer_chapter_4.finished</t>
  </si>
  <si>
    <t>The Ordinary Days of an Adventurer Chapter 4 Finished</t>
  </si>
  <si>
    <t>quest.the_ordinary_days_of_an_adventurer_chapter_5.accepted</t>
  </si>
  <si>
    <t>The Ordinary Days of an Adventurer Chapter 5 Accepted</t>
  </si>
  <si>
    <t>cost.building.laboratory@1.blueprint.1</t>
  </si>
  <si>
    <t>quest.the_ordinary_days_of_an_adventurer_chapter_5.finished</t>
  </si>
  <si>
    <t>The Ordinary Days of an Adventurer Chapter 5 Finished</t>
  </si>
  <si>
    <t>quest.the_ordinary_days_of_an_adventurer_chapter_6.accepted</t>
  </si>
  <si>
    <t>The Ordinary Days of an Adventurer Chapter 6 Accepted</t>
  </si>
  <si>
    <t>quest.the_ordinary_days_of_an_adventurer_chapter_6.finished</t>
  </si>
  <si>
    <t>The Ordinary Days of an Adventurer Chapter 6 Finished</t>
  </si>
  <si>
    <t>quest.the_ordinary_days_of_an_adventurer_chapter_7.accepted</t>
  </si>
  <si>
    <t>The Ordinary Days of an Adventurer Chapter 7 Accepted</t>
  </si>
  <si>
    <t>cost.building.laboratory@1.chemicals.1</t>
  </si>
  <si>
    <t>quest.the_ordinary_days_of_an_adventurer_chapter_7.finished</t>
  </si>
  <si>
    <t>The Ordinary Days of an Adventurer Chapter 7 Finished</t>
  </si>
  <si>
    <t>quest.the_ordinary_days_of_an_adventurer_chapter_8.accepted</t>
  </si>
  <si>
    <t>The Ordinary Days of an Adventurer Chapter 8 Accepted</t>
  </si>
  <si>
    <t>quest.the_ordinary_days_of_an_adventurer_chapter_8.finished</t>
  </si>
  <si>
    <t>The Ordinary Days of an Adventurer Chapter 8 Finished</t>
  </si>
  <si>
    <t>quest.the_ring_of_the_dark_lady.accepted</t>
  </si>
  <si>
    <t>The Ring of the Dark Lady Accepted</t>
  </si>
  <si>
    <t>quest.the_ring_of_the_dark_lady.finished</t>
  </si>
  <si>
    <t>The Ring of the Dark Lady Finished</t>
  </si>
  <si>
    <t>quest.treasure_island.accepted</t>
  </si>
  <si>
    <t>Treasure Island Accepted</t>
  </si>
  <si>
    <t>quest.treasure_island.finished</t>
  </si>
  <si>
    <t>Treasure Island Finished</t>
  </si>
  <si>
    <t>quest.undead_revenge.accepted</t>
  </si>
  <si>
    <t>Undead Revenge Accepted</t>
  </si>
  <si>
    <t>quest.undead_revenge.finished</t>
  </si>
  <si>
    <t>Undead Revenge Finished</t>
  </si>
  <si>
    <t>state.action_defeat_bone_dragon_4c</t>
  </si>
  <si>
    <t>cost.building.laboratory@1.coin.1</t>
  </si>
  <si>
    <t>Defeat Bone Dragon in 4C</t>
  </si>
  <si>
    <t>STATE</t>
  </si>
  <si>
    <t>state.action_reenter_guild</t>
  </si>
  <si>
    <t>Action Reenter Guild</t>
  </si>
  <si>
    <t>state.action_send_train_to_sapporo</t>
  </si>
  <si>
    <t>Send Train to Sapporo</t>
  </si>
  <si>
    <t>state.action_tame_a_critter</t>
  </si>
  <si>
    <t>Tame A Critter</t>
  </si>
  <si>
    <t>state.character_cartographer@1</t>
  </si>
  <si>
    <t>Learn character skill cartographer lvl 1</t>
  </si>
  <si>
    <t>cost.building.laboratory@1.glass.1</t>
  </si>
  <si>
    <t>state.character_cartographer@2</t>
  </si>
  <si>
    <t>Learn character skill cartographer lvl 2</t>
  </si>
  <si>
    <t>state.character_cartographer@3</t>
  </si>
  <si>
    <t>Learn character skill cartographer lvl 3</t>
  </si>
  <si>
    <t>state.character_cartographer@4</t>
  </si>
  <si>
    <t>Learn character skill cartographer lvl 4</t>
  </si>
  <si>
    <t>state.character_cooking@1</t>
  </si>
  <si>
    <t>Attain level 1 cooking skill</t>
  </si>
  <si>
    <t>cost.building.laboratory@1.malu.1</t>
  </si>
  <si>
    <t>state.character_cooking@12</t>
  </si>
  <si>
    <t>Attain level 12 cooking skill</t>
  </si>
  <si>
    <t>state.character_cooking@13</t>
  </si>
  <si>
    <t>malu</t>
  </si>
  <si>
    <t>Attain level 13 cooking skill</t>
  </si>
  <si>
    <t>state.character_cooking@2</t>
  </si>
  <si>
    <t>Attain level 2 cooking skill</t>
  </si>
  <si>
    <t>state.character_cooking@3</t>
  </si>
  <si>
    <t>Attain level 3 cooking skill</t>
  </si>
  <si>
    <t>cost.building.laboratory@1.mechanism.1</t>
  </si>
  <si>
    <t>state.character_level@10</t>
  </si>
  <si>
    <t>Character Level@10</t>
  </si>
  <si>
    <t>state.character_level@11</t>
  </si>
  <si>
    <t>Character Level@11</t>
  </si>
  <si>
    <t>state.character_level@12</t>
  </si>
  <si>
    <t>Character Level@12</t>
  </si>
  <si>
    <t>state.character_level@13</t>
  </si>
  <si>
    <t>Character Level@13</t>
  </si>
  <si>
    <t>cost.building.laboratory@1.ruby.1</t>
  </si>
  <si>
    <t>state.character_level@14</t>
  </si>
  <si>
    <t>Character Level@14</t>
  </si>
  <si>
    <t>state.character_level@15</t>
  </si>
  <si>
    <t>Character Level@15</t>
  </si>
  <si>
    <t>state.character_level@18</t>
  </si>
  <si>
    <t>Character Level@18</t>
  </si>
  <si>
    <t>state.character_level@2</t>
  </si>
  <si>
    <t>Character Level@2</t>
  </si>
  <si>
    <t>cost.building.laboratory@1.steel.1</t>
  </si>
  <si>
    <t>state.character_level@20</t>
  </si>
  <si>
    <t>Character Level@20</t>
  </si>
  <si>
    <t>state.character_level@21</t>
  </si>
  <si>
    <t>Character Level@21</t>
  </si>
  <si>
    <t>state.character_level@22</t>
  </si>
  <si>
    <t>Character Level@22</t>
  </si>
  <si>
    <t>state.character_level@23</t>
  </si>
  <si>
    <t>Character Level@23</t>
  </si>
  <si>
    <t>cost.building.laboratory@1.stone.1</t>
  </si>
  <si>
    <t>state.character_level@24</t>
  </si>
  <si>
    <t>Character Level@24</t>
  </si>
  <si>
    <t>state.character_level@28</t>
  </si>
  <si>
    <t>Character Level@28</t>
  </si>
  <si>
    <t>state.character_level@3</t>
  </si>
  <si>
    <t>Character Level@3</t>
  </si>
  <si>
    <t>state.character_level@30</t>
  </si>
  <si>
    <t>Character Level@30</t>
  </si>
  <si>
    <t>cost.building.laboratory@2.blueprint.1</t>
  </si>
  <si>
    <t>state.character_level@31</t>
  </si>
  <si>
    <t>Character Level@31</t>
  </si>
  <si>
    <t>state.character_level@32</t>
  </si>
  <si>
    <t>Character Level@32</t>
  </si>
  <si>
    <t>state.character_level@4</t>
  </si>
  <si>
    <t>Character Level@4</t>
  </si>
  <si>
    <t>state.character_level@40</t>
  </si>
  <si>
    <t>Character Level@40</t>
  </si>
  <si>
    <t>state.character_level@5</t>
  </si>
  <si>
    <t>Character Level@5</t>
  </si>
  <si>
    <t>cost.building.laboratory@2.coin.1</t>
  </si>
  <si>
    <t>state.character_level@50</t>
  </si>
  <si>
    <t>Character Level@50</t>
  </si>
  <si>
    <t>state.character_level@55</t>
  </si>
  <si>
    <t>Character Level@55</t>
  </si>
  <si>
    <t>state.character_level@6</t>
  </si>
  <si>
    <t>Character Level@6</t>
  </si>
  <si>
    <t>state.character_level@7</t>
  </si>
  <si>
    <t>Character Level@7</t>
  </si>
  <si>
    <t>cost.building.laboratory@2.glass.1</t>
  </si>
  <si>
    <t>state.character_level@8</t>
  </si>
  <si>
    <t>Character Level@8</t>
  </si>
  <si>
    <t>state.character_level@80</t>
  </si>
  <si>
    <t>Character Level@80</t>
  </si>
  <si>
    <t>state.character_level@9</t>
  </si>
  <si>
    <t>Character Level@9</t>
  </si>
  <si>
    <t>state.complete_dungeon_5c</t>
  </si>
  <si>
    <t>Complete Dungeon 5C</t>
  </si>
  <si>
    <t>cost.building.laboratory@2.malu.1</t>
  </si>
  <si>
    <t>state.complete_dungeon_6c</t>
  </si>
  <si>
    <t>Complete Dungeon 6C</t>
  </si>
  <si>
    <t>state.complete_f1_first_time</t>
  </si>
  <si>
    <t>Complete F1 for the first time</t>
  </si>
  <si>
    <t>state.complete_f1_with_diligence</t>
  </si>
  <si>
    <t>Escort Mr and Mrs Diligance through F1</t>
  </si>
  <si>
    <t>cost.building.laboratory@2.mercury.1</t>
  </si>
  <si>
    <t>state.complete_f2_with_diligence</t>
  </si>
  <si>
    <t>Escort Mr and Mrs Diligance through F2</t>
  </si>
  <si>
    <t>mercury</t>
  </si>
  <si>
    <t>state.complete_f3_with_diligence</t>
  </si>
  <si>
    <t>Escort Mr and Mrs Diligance through F3</t>
  </si>
  <si>
    <t>state.complete_f4_with_diligence</t>
  </si>
  <si>
    <t>Escort Mr and Mrs Diligance through F4</t>
  </si>
  <si>
    <t>cost.building.laboratory@2.ruby.1</t>
  </si>
  <si>
    <t>state.complete_lvl1_any_project</t>
  </si>
  <si>
    <t>Complete Lvl1 Any Project</t>
  </si>
  <si>
    <t>state.deliver_ambrosia@f3</t>
  </si>
  <si>
    <t>Deliver Ambrosia to Dark Lady in F3</t>
  </si>
  <si>
    <t>state.deliver_balm_to_hunter@f2</t>
  </si>
  <si>
    <t>Deliver Balm To Hunter @F2</t>
  </si>
  <si>
    <t>cost.building.laboratory@2.steel.1</t>
  </si>
  <si>
    <t>state.deliver_bedroll_4b</t>
  </si>
  <si>
    <t>Deliver Bedroll to  4B </t>
  </si>
  <si>
    <t>state.deliver_cheese_6b</t>
  </si>
  <si>
    <t>Deliver Cheese to Rat in 6B</t>
  </si>
  <si>
    <t>state.deliver_horn_ 2c</t>
  </si>
  <si>
    <t>Deliver Horn to  2C </t>
  </si>
  <si>
    <t>cost.building.laboratory@2.stone.1</t>
  </si>
  <si>
    <t>state.deliver_inarizushi_4b</t>
  </si>
  <si>
    <t>Deliver Inarizushi to 4B</t>
  </si>
  <si>
    <t>state.deliver_pizza_diavola_ 5b</t>
  </si>
  <si>
    <t>Deliver Pizza Diavola to  5B </t>
  </si>
  <si>
    <t>state.deliver_pizza_diavola_ 5c</t>
  </si>
  <si>
    <t>Deliver Pizza Diavola to  5C </t>
  </si>
  <si>
    <t>state.deliver_porcini_pasta_ 3c</t>
  </si>
  <si>
    <t>Deliver Porcini pasta to  3C </t>
  </si>
  <si>
    <t>cost.building.laboratory@2.titanium.1</t>
  </si>
  <si>
    <t>state.deliver_potion_ambrosia_ 3b</t>
  </si>
  <si>
    <t>Deliver Potion Ambrosia to  3B </t>
  </si>
  <si>
    <t>state.deliver_potion_berserker_rage_ 1c</t>
  </si>
  <si>
    <t>Deliver Potion Berserker rage to  1C </t>
  </si>
  <si>
    <t>titanium</t>
  </si>
  <si>
    <t>state.deliver_potion_mental_power@f2</t>
  </si>
  <si>
    <t>Deliver Potion of Mental Power to F2</t>
  </si>
  <si>
    <t>state.deliver_ring</t>
  </si>
  <si>
    <t>Return the ring</t>
  </si>
  <si>
    <t>cost.building.laboratory@3.bluecrystal.1</t>
  </si>
  <si>
    <t>state.deliver_teriyaki_salmon_4c</t>
  </si>
  <si>
    <t>Deliver Teriyaki Salmon to 4C</t>
  </si>
  <si>
    <t>bluecrystal</t>
  </si>
  <si>
    <t>state.deliver_tofu_4a</t>
  </si>
  <si>
    <t>Deliver Tofu to 4A</t>
  </si>
  <si>
    <t>state.deliver_yuba_4c</t>
  </si>
  <si>
    <t>Deliver Yuba to  4C </t>
  </si>
  <si>
    <t>state.find_gate_3c</t>
  </si>
  <si>
    <t>Discover the gate in 3C to F2</t>
  </si>
  <si>
    <t>cost.building.laboratory@3.blueprint.1</t>
  </si>
  <si>
    <t>state.find_gate_4c</t>
  </si>
  <si>
    <t>Discover the gate in 4C to F3</t>
  </si>
  <si>
    <t>state.find_gate_5c</t>
  </si>
  <si>
    <t>Discover the gate in 5C to F4</t>
  </si>
  <si>
    <t>state.find_goat_6b</t>
  </si>
  <si>
    <t>Find Goat in 6B</t>
  </si>
  <si>
    <t>cost.building.laboratory@3.coin.1</t>
  </si>
  <si>
    <t>state.find_jade_gate_2c</t>
  </si>
  <si>
    <t>Find Jade Gate in 2C</t>
  </si>
  <si>
    <t>state.meet_alchemist_6d</t>
  </si>
  <si>
    <t>Meet Alchemist in 6D</t>
  </si>
  <si>
    <t>state.meet_dark_lady@4a</t>
  </si>
  <si>
    <t>Meet Dark Lady@4A</t>
  </si>
  <si>
    <t>cost.building.laboratory@3.glass.1</t>
  </si>
  <si>
    <t>state.meet_dark_lady@6a</t>
  </si>
  <si>
    <t>Meet Dark Lady@6A</t>
  </si>
  <si>
    <t>state.meet_dark_lady@6b</t>
  </si>
  <si>
    <t>Meet Dark Lady@6B</t>
  </si>
  <si>
    <t>state.meet_dark_lady@f2</t>
  </si>
  <si>
    <t>Meet Dark Lady@F2</t>
  </si>
  <si>
    <t>state.meet_dark_lady_6d</t>
  </si>
  <si>
    <t>Meet Dark Lady in 6D</t>
  </si>
  <si>
    <t>cost.building.laboratory@3.malu.1</t>
  </si>
  <si>
    <t>state.meet_fat_demon@4a</t>
  </si>
  <si>
    <t>Meet Fat Demon@4A</t>
  </si>
  <si>
    <t>state.meet_foodie_demon@f2</t>
  </si>
  <si>
    <t>Meet Foodie Demon@F2</t>
  </si>
  <si>
    <t>state.meet_forest_fairy@f2</t>
  </si>
  <si>
    <t>Meet Forest Fairy@F2</t>
  </si>
  <si>
    <t>state.meet_hunter@f1</t>
  </si>
  <si>
    <t>cost.building.laboratory@3.pcard.1</t>
  </si>
  <si>
    <t>Visit Dungeon@F1</t>
  </si>
  <si>
    <t>pcard</t>
  </si>
  <si>
    <t>state.meet_inventor@5b</t>
  </si>
  <si>
    <t>Meet Inventor@5B</t>
  </si>
  <si>
    <t>state.meet_mech_adventurer@2b</t>
  </si>
  <si>
    <t>Meet Mech Adventurer@2B</t>
  </si>
  <si>
    <t>state.meet_mech_adventurer_3a</t>
  </si>
  <si>
    <t>Meet mechanical adventurer in Dungeon 3A</t>
  </si>
  <si>
    <t>state.meet_mech_adventurer_f1</t>
  </si>
  <si>
    <t>Meet mechanical adventurer in Dungeon F1</t>
  </si>
  <si>
    <t>cost.building.laboratory@3.ruby.1</t>
  </si>
  <si>
    <t>state.meet_methusalem@f3</t>
  </si>
  <si>
    <t>Meet Methusalem@F3</t>
  </si>
  <si>
    <t>state.meet_mr_diligence@f1</t>
  </si>
  <si>
    <t>Meet Mr Diligence@F1</t>
  </si>
  <si>
    <t>state.meet_mrs_diligance@f2</t>
  </si>
  <si>
    <t>Meet Mrs Diligance@F2</t>
  </si>
  <si>
    <t>cost.building.laboratory@3.steel.1</t>
  </si>
  <si>
    <t>state.meet_old_man@4c</t>
  </si>
  <si>
    <t>Meet Old Man@4C</t>
  </si>
  <si>
    <t>state.meet_pilot@f3</t>
  </si>
  <si>
    <t>Meet Pilot@F3</t>
  </si>
  <si>
    <t>cost.building.laboratory@3.stone.1</t>
  </si>
  <si>
    <t>state.meet_pirate_skeleton@3a</t>
  </si>
  <si>
    <t>Meet Pirate Skeleton@3A</t>
  </si>
  <si>
    <t>state.meet_raven@f1_first_time</t>
  </si>
  <si>
    <t>Meet Raven @F1 on first entrance</t>
  </si>
  <si>
    <t>state.meet_raven@f1_second_time</t>
  </si>
  <si>
    <t>Repeat Visit Dungeon@ F1</t>
  </si>
  <si>
    <t>state.meet_raven@f1_third_time</t>
  </si>
  <si>
    <t>cost.building.laboratory@4.blueprint.1</t>
  </si>
  <si>
    <t>Meet Raven@F1</t>
  </si>
  <si>
    <t>state.meet_raven@f2</t>
  </si>
  <si>
    <t>Meet the raven in F2</t>
  </si>
  <si>
    <t>state.meet_raven@f3</t>
  </si>
  <si>
    <t>Meet Raven@F3</t>
  </si>
  <si>
    <t>state.meet_samurai_panda@6a</t>
  </si>
  <si>
    <t>Meet Samurai Panda@6A</t>
  </si>
  <si>
    <t>cost.building.laboratory@4.coin.1</t>
  </si>
  <si>
    <t>state.meet_traveling_merchant@1b</t>
  </si>
  <si>
    <t>Meet Traveling Merchant @1B</t>
  </si>
  <si>
    <t>state.obtain_8_malu</t>
  </si>
  <si>
    <t>Obtain 8 MALU</t>
  </si>
  <si>
    <t>state.obtain_all_emerald_shards</t>
  </si>
  <si>
    <t>Obtain all emerald shards</t>
  </si>
  <si>
    <t>cost.building.laboratory@4.greencrystal.1</t>
  </si>
  <si>
    <t>state.obtain_any_artifact</t>
  </si>
  <si>
    <t>greencrystal</t>
  </si>
  <si>
    <t>Obtain Any Artifact</t>
  </si>
  <si>
    <t>state.obtain_armor4</t>
  </si>
  <si>
    <t>Craft Armor 4</t>
  </si>
  <si>
    <t>state.obtain_armor4+</t>
  </si>
  <si>
    <t>Craft Armor 4+</t>
  </si>
  <si>
    <t>cost.building.laboratory@4.malu.1</t>
  </si>
  <si>
    <t>state.obtain_blueprint</t>
  </si>
  <si>
    <t>Obtain Blueprint</t>
  </si>
  <si>
    <t>state.obtain_hide</t>
  </si>
  <si>
    <t>Obtain Hide</t>
  </si>
  <si>
    <t>state.obtain_level_2_artifact</t>
  </si>
  <si>
    <t>Obtain level 2 artifact</t>
  </si>
  <si>
    <t>cost.building.laboratory@4.pcard.1</t>
  </si>
  <si>
    <t>state.obtain_level_2_map</t>
  </si>
  <si>
    <t>Craft level 2 map</t>
  </si>
  <si>
    <t>state.obtain_level_3_artifact</t>
  </si>
  <si>
    <t>Obtain level 3 artifact</t>
  </si>
  <si>
    <t>state.obtain_map_catacombs</t>
  </si>
  <si>
    <t>Map Catacombs</t>
  </si>
  <si>
    <t>cost.building.laboratory@4.redcrystal.1</t>
  </si>
  <si>
    <t>state.obtain_map4</t>
  </si>
  <si>
    <t>Craft level 4 map</t>
  </si>
  <si>
    <t>redcrystal</t>
  </si>
  <si>
    <t>state.obtain_map4_x2</t>
  </si>
  <si>
    <t>Craft level 4 map again</t>
  </si>
  <si>
    <t>state.obtain_mechanism</t>
  </si>
  <si>
    <t>Craft mechanism</t>
  </si>
  <si>
    <t>state.obtain_potion_of_mental_power</t>
  </si>
  <si>
    <t>Craft Potion of Mental Power</t>
  </si>
  <si>
    <t>cost.building.laboratory@4.ruby.1</t>
  </si>
  <si>
    <t>state.obtain_reagent</t>
  </si>
  <si>
    <t>Obtain Reagent from 3A</t>
  </si>
  <si>
    <t>state.obtain_red_diamond_6a</t>
  </si>
  <si>
    <t>Obtain the Red Diamond in 6A</t>
  </si>
  <si>
    <t>state.obtain_red_diamond_6b</t>
  </si>
  <si>
    <t>Obtain the Red Diamond in 6B</t>
  </si>
  <si>
    <t>cost.building.laboratory@4.steel.1</t>
  </si>
  <si>
    <t>state.obtain_red_diamond_6c</t>
  </si>
  <si>
    <t>Obtain the Red Diamond in 6C</t>
  </si>
  <si>
    <t>state.obtain_shield4+</t>
  </si>
  <si>
    <t>Craft Shield 4+</t>
  </si>
  <si>
    <t>state.obtain_ship_in_a_bottle</t>
  </si>
  <si>
    <t>Obtain Ship in a bottle</t>
  </si>
  <si>
    <t>cost.building.laboratory@4.stone.1</t>
  </si>
  <si>
    <t>state.obtain_shoguns_katana</t>
  </si>
  <si>
    <t>Obtain Shogun's Katana</t>
  </si>
  <si>
    <t>state.obtain_smugglers_map_10_spices</t>
  </si>
  <si>
    <t>Purchase Smuggler's map for 10 spices</t>
  </si>
  <si>
    <t>state.obtain_smugglers_map_100_beans</t>
  </si>
  <si>
    <t>Purchase Smuggler's map for 100 coffee beans</t>
  </si>
  <si>
    <t>cost.building.laboratory@5.blueprint.1</t>
  </si>
  <si>
    <t>state.obtain_smugglers_map_15_pearl</t>
  </si>
  <si>
    <t>Purchase Smuggler's map for 15 pearl</t>
  </si>
  <si>
    <t>state.obtain_spices</t>
  </si>
  <si>
    <t>Obtain Spices from Spice Island</t>
  </si>
  <si>
    <t>state.obtain_steamobile</t>
  </si>
  <si>
    <t>Craft steamobile</t>
  </si>
  <si>
    <t>state.obtain_strawberry@f1</t>
  </si>
  <si>
    <t xml:space="preserve">Obtain Strawberry@F1 </t>
  </si>
  <si>
    <t>cost.building.laboratory@5.coin.1</t>
  </si>
  <si>
    <t>state.obtain_sword4</t>
  </si>
  <si>
    <t>Craft Sword for a Hero Lvl 4</t>
  </si>
  <si>
    <t>state.obtain_sword4+</t>
  </si>
  <si>
    <t>Craft sword 4+</t>
  </si>
  <si>
    <t>state.obtain_titanium</t>
  </si>
  <si>
    <t>Obtain Titanium</t>
  </si>
  <si>
    <t>state.obtain_treasure</t>
  </si>
  <si>
    <t>cost.building.laboratory@5.malu.1</t>
  </si>
  <si>
    <t>Obtain Treasure</t>
  </si>
  <si>
    <t>state.visit_aomori</t>
  </si>
  <si>
    <t>Visit Aomori</t>
  </si>
  <si>
    <t>state.visit_athens</t>
  </si>
  <si>
    <t>Visit Athens</t>
  </si>
  <si>
    <t>state.visit_baghdad</t>
  </si>
  <si>
    <t>cost.building.laboratory@5.mechanism.1</t>
  </si>
  <si>
    <t>Visit Baghdad</t>
  </si>
  <si>
    <t>state.visit_beijing</t>
  </si>
  <si>
    <t>Visit Beijing</t>
  </si>
  <si>
    <t>state.visit_cairo</t>
  </si>
  <si>
    <t>Visit Cairo</t>
  </si>
  <si>
    <t>cost.building.laboratory@5.pcard.1</t>
  </si>
  <si>
    <t>state.visit_delhi</t>
  </si>
  <si>
    <t>Visit Delhi</t>
  </si>
  <si>
    <t>state.visit_dungeon@4a</t>
  </si>
  <si>
    <t>Visit Dungeon@4A</t>
  </si>
  <si>
    <t>state.visit_dungeon@5a</t>
  </si>
  <si>
    <t xml:space="preserve">Visit Dungeon@5A </t>
  </si>
  <si>
    <t>state.visit_dungeon@6a</t>
  </si>
  <si>
    <t>cost.building.laboratory@5.quartz.1</t>
  </si>
  <si>
    <t>Visit Dungeon@6A</t>
  </si>
  <si>
    <t>state.meet_royal_rat@6b</t>
  </si>
  <si>
    <t>Visit Dungeon@ 6B</t>
  </si>
  <si>
    <t>state.complete_dungeon@1a</t>
  </si>
  <si>
    <t>state.visit_fukushima</t>
  </si>
  <si>
    <t>Visit Fukushima</t>
  </si>
  <si>
    <t>state.visit_kyiv</t>
  </si>
  <si>
    <t>Visit Kyiv</t>
  </si>
  <si>
    <t>cost.building.laboratory@5.ruby.1</t>
  </si>
  <si>
    <t>state.visit_kyoto</t>
  </si>
  <si>
    <t>Visit Kyoto</t>
  </si>
  <si>
    <t>state.visit_melbourne</t>
  </si>
  <si>
    <t>Visit Melbourne in Airship</t>
  </si>
  <si>
    <t>state.visit_nagasaki</t>
  </si>
  <si>
    <t>Visit Nagasaki</t>
  </si>
  <si>
    <t>cost.building.laboratory@5.steel.1</t>
  </si>
  <si>
    <t>state.complete_dungeon@6D</t>
  </si>
  <si>
    <t>state.visit_osaka</t>
  </si>
  <si>
    <t>Visit Osaka</t>
  </si>
  <si>
    <t>state.visit_paris</t>
  </si>
  <si>
    <t>Visit Paris in the Airship</t>
  </si>
  <si>
    <t>state.visit_rome</t>
  </si>
  <si>
    <t>Visit Rome</t>
  </si>
  <si>
    <t>cost.building.laboratory@5.stone.1</t>
  </si>
  <si>
    <t>state.visit_tokyo</t>
  </si>
  <si>
    <t>Visit Tokyo</t>
  </si>
  <si>
    <t>state.visit_wakayama</t>
  </si>
  <si>
    <t>Visit Wakayama</t>
  </si>
  <si>
    <t>state.visit_xian</t>
  </si>
  <si>
    <t>Visit Xian</t>
  </si>
  <si>
    <t>tech.airship.titanium_longerons</t>
  </si>
  <si>
    <t>Airship - Titanium Longerons</t>
  </si>
  <si>
    <t>TECH</t>
  </si>
  <si>
    <t>cost.building.lumber@1.coin.1</t>
  </si>
  <si>
    <t>tech.alchemists_hut.advanced_fertilizer</t>
  </si>
  <si>
    <t>Alchemists Hut - Advanced Fertilizer</t>
  </si>
  <si>
    <t>tech.alchemists_hut.balm</t>
  </si>
  <si>
    <t>Alchemists Hut - Balm</t>
  </si>
  <si>
    <t>state.complete_dungeon_5c_second</t>
  </si>
  <si>
    <t>tech.alchemists_hut.conveyor_lvl_1</t>
  </si>
  <si>
    <t>Alchemists Hut - Conveyor Lvl 1</t>
  </si>
  <si>
    <t>cost.building.lumber@1.ruby.1</t>
  </si>
  <si>
    <t>tech.alchemists_hut.conveyor_lvl_2</t>
  </si>
  <si>
    <t>Alchemists Hut - Conveyor Lvl 2</t>
  </si>
  <si>
    <t>tech.alchemists_hut.galvanization</t>
  </si>
  <si>
    <t>Alchemists Hut - Galvanization</t>
  </si>
  <si>
    <t>tech.alchemists_hut.gold_ingot</t>
  </si>
  <si>
    <t>Alchemists Hut - Gold Ingot</t>
  </si>
  <si>
    <t>tech.alchemists_hut.greek_grenade</t>
  </si>
  <si>
    <t>Alchemists Hut - Greek Grenade</t>
  </si>
  <si>
    <t>cost.building.lumber@1.stone.1</t>
  </si>
  <si>
    <t>tech.alchemists_hut.madness_grenade</t>
  </si>
  <si>
    <t>Alchemists Hut - Madness Grenade</t>
  </si>
  <si>
    <t>tech.alchemists_hut.mercury</t>
  </si>
  <si>
    <t>Alchemists Hut - Mercury</t>
  </si>
  <si>
    <t>tech.alchemists_hut.metamorphosis</t>
  </si>
  <si>
    <t>Alchemists Hut - Metamorphosis</t>
  </si>
  <si>
    <t>cost.building.lumber@1.wood.1</t>
  </si>
  <si>
    <t>tech.alchemists_hut.perfect_fertilizer</t>
  </si>
  <si>
    <t>Alchemist's Hut - Perfect Fertilizer</t>
  </si>
  <si>
    <t>tech.alchemists_hut.potion_ambrosia</t>
  </si>
  <si>
    <t>Alchemists Hut - Potion Ambrosia</t>
  </si>
  <si>
    <t>tech.alchemists_hut.potion_berserker_rage</t>
  </si>
  <si>
    <t>Alchemists Hut - Potion Berserker Rage</t>
  </si>
  <si>
    <t>tech.alchemists_hut.potion_of_energy</t>
  </si>
  <si>
    <t>Alchemists Hut - Potion Of Energy</t>
  </si>
  <si>
    <t>cost.building.lumber@2.beam.1</t>
  </si>
  <si>
    <t>tech.alchemists_hut.potion_of_healing</t>
  </si>
  <si>
    <t>Alchemists Hut - Potion Of Healing</t>
  </si>
  <si>
    <t>tech.alchemists_hut.potion_of_healing_lvl_2</t>
  </si>
  <si>
    <t>Alchemists Hut - Potion Of Healing Lvl 2</t>
  </si>
  <si>
    <t>tech.alchemists_hut.potion_of_mental_power</t>
  </si>
  <si>
    <t>Alchemists Hut - Potion Of Mental Power</t>
  </si>
  <si>
    <t>cost.building.lumber@2.coin.1</t>
  </si>
  <si>
    <t>tech.alchemists_hut.synthetic_fertilizer</t>
  </si>
  <si>
    <t>Alchemists Hut - Synthetic Fertilizer</t>
  </si>
  <si>
    <t>tech.bridge.koi_fish</t>
  </si>
  <si>
    <t>Bridge - Koi Fish</t>
  </si>
  <si>
    <t>tech.bridge.salmon_farming</t>
  </si>
  <si>
    <t>Bridge - Salmon Farming</t>
  </si>
  <si>
    <t>tech.dairy.big_data_farming</t>
  </si>
  <si>
    <t>Dairy - Big Data Farming</t>
  </si>
  <si>
    <t>cost.building.lumber@2.ruby.1</t>
  </si>
  <si>
    <t>tech.dairy.classical_music_for_the_farm</t>
  </si>
  <si>
    <t>Dairy - Classical Music For The Farm</t>
  </si>
  <si>
    <t>tech.dungeon.great_hall</t>
  </si>
  <si>
    <t>Dungeon - Great Hall</t>
  </si>
  <si>
    <t>tech.fermentory.pasteurization</t>
  </si>
  <si>
    <t>Fermentory - Pasteurization</t>
  </si>
  <si>
    <t>tech.field.combine_harvester</t>
  </si>
  <si>
    <t>Field - Combine Harvester</t>
  </si>
  <si>
    <t>cost.building.lumber@2.steel.1</t>
  </si>
  <si>
    <t>tech.field.seed_drill</t>
  </si>
  <si>
    <t>Field - Seed Drill</t>
  </si>
  <si>
    <t>cost.building.lumber@2.stone.1</t>
  </si>
  <si>
    <t>tech.field.soybean</t>
  </si>
  <si>
    <t>Field - Soybean</t>
  </si>
  <si>
    <t>tech.food_stall.conveyor_belt_sushi</t>
  </si>
  <si>
    <t>Food Stall - Conveyor Belt Sushi</t>
  </si>
  <si>
    <t>tech.food_stall.inarizushi</t>
  </si>
  <si>
    <t>Food Stall - Inarizushi</t>
  </si>
  <si>
    <t>cost.building.lumber@3.beam.1</t>
  </si>
  <si>
    <t>tech.food_stall.jam</t>
  </si>
  <si>
    <t>Food Stall - Jam</t>
  </si>
  <si>
    <t>tech.food_stall.mandra_cola</t>
  </si>
  <si>
    <t>Food Stall - Mandra Cola</t>
  </si>
  <si>
    <t>tech.food_stall.mayonnaise</t>
  </si>
  <si>
    <t>Food Stall - Mayonnaise</t>
  </si>
  <si>
    <t>cost.building.lumber@3.coin.1</t>
  </si>
  <si>
    <t>tech.food_stall.miso_soup</t>
  </si>
  <si>
    <t>Food Stall - Miso Soup</t>
  </si>
  <si>
    <t>tech.food_stall.quintessence_of_taste</t>
  </si>
  <si>
    <t>Food Stall - Quintessence Of Taste</t>
  </si>
  <si>
    <t>tech.furnace.conveyor</t>
  </si>
  <si>
    <t>Furnace - Conveyor</t>
  </si>
  <si>
    <t>cost.building.lumber@3.ruby.1</t>
  </si>
  <si>
    <t>tech.furnace.glass</t>
  </si>
  <si>
    <t>Furnace - Glass</t>
  </si>
  <si>
    <t>tech.furnace.meteoric_steel</t>
  </si>
  <si>
    <t>Furnace - Meteoric Steel</t>
  </si>
  <si>
    <t>tech.furnace.titanium_parts</t>
  </si>
  <si>
    <t>Furnace - Titanium Parts</t>
  </si>
  <si>
    <t>tech.garden.sprinkler</t>
  </si>
  <si>
    <t>Garden - Sprinkler</t>
  </si>
  <si>
    <t>cost.building.lumber@3.steel.1</t>
  </si>
  <si>
    <t>tech.laboratory.digitization</t>
  </si>
  <si>
    <t>Laboratory - Digitization</t>
  </si>
  <si>
    <t>tech.laboratory.experiments</t>
  </si>
  <si>
    <t>Laboratory - Experiments</t>
  </si>
  <si>
    <t>tech.laboratory.research_and_development</t>
  </si>
  <si>
    <t>Laboratory - Research And Development</t>
  </si>
  <si>
    <t>cost.building.lumber@3.stone.1</t>
  </si>
  <si>
    <t>tech.outpost.arsenal_lvl_1</t>
  </si>
  <si>
    <t>Outpost - Arsenal Lvl 1</t>
  </si>
  <si>
    <t>tech.outpost.arsenal_lvl_2</t>
  </si>
  <si>
    <t>Outpost - Arsenal Lvl 2</t>
  </si>
  <si>
    <t>tech.outpost.futures_contracts</t>
  </si>
  <si>
    <t>Outpost - Futures Contracts</t>
  </si>
  <si>
    <t>cost.building.onsen@1.coin.1</t>
  </si>
  <si>
    <t>tech.outpost.optional_contracts</t>
  </si>
  <si>
    <t>Outpost - Optional Contracts</t>
  </si>
  <si>
    <t>tech.outpost.sayonara_tax</t>
  </si>
  <si>
    <t>Outpost - Sayonara Tax</t>
  </si>
  <si>
    <t>tech.outpost.tax_return_on_floppy_disk</t>
  </si>
  <si>
    <t>Outpost - Tax Return On Floppy Disk</t>
  </si>
  <si>
    <t>tech.rock_garden.rake</t>
  </si>
  <si>
    <t>Rock Garden - Rake</t>
  </si>
  <si>
    <t>cost.building.onsen@1.plank.1</t>
  </si>
  <si>
    <t>tech.shop.glass_recycling</t>
  </si>
  <si>
    <t>Shop - Glass Recycling</t>
  </si>
  <si>
    <t>tech.shop.pre_orders</t>
  </si>
  <si>
    <t>Shop - Pre Orders</t>
  </si>
  <si>
    <t>tech.smithy.gears</t>
  </si>
  <si>
    <t>Smithy - Gears</t>
  </si>
  <si>
    <t>tech.smithy.sword_for_a_hero_lvl_1</t>
  </si>
  <si>
    <t>Smithy - Sword For A Hero Lvl 1</t>
  </si>
  <si>
    <t>tech.smithy.sword_for_a_hero_lvl_2</t>
  </si>
  <si>
    <t>cost.building.onsen@1.ruby.1</t>
  </si>
  <si>
    <t>Smithy - Sword For A Hero Lvl 2</t>
  </si>
  <si>
    <t>tech.smithy.sword_for_a_hero_lvl_3</t>
  </si>
  <si>
    <t>Smithy - Sword For A Hero Lvl 3</t>
  </si>
  <si>
    <t>tech.smithy.sword_for_a_hero_lvl_4</t>
  </si>
  <si>
    <t>Smithy - Sword For A Hero Lvl 4</t>
  </si>
  <si>
    <t>tech.smithy.sword_for_a_hero_lvl_4+</t>
  </si>
  <si>
    <t>Smithy - Sword For A Hero Lvl 4+</t>
  </si>
  <si>
    <t>tech.smithy.throwing_knife</t>
  </si>
  <si>
    <t>Smithy - Throwing Knife</t>
  </si>
  <si>
    <t>cost.building.onsen@1.stone.1</t>
  </si>
  <si>
    <t>tech.smithy.treasure</t>
  </si>
  <si>
    <t>Smithy - Treasure</t>
  </si>
  <si>
    <t>tech.smithy.weapon_grease</t>
  </si>
  <si>
    <t>Smithy - Weapon Grease</t>
  </si>
  <si>
    <t>tech.tailor.ariadnes_thread</t>
  </si>
  <si>
    <t>Tailor - Ariadnes Thread</t>
  </si>
  <si>
    <t>tech.tailor.armor_for_a_hero_lvl_1</t>
  </si>
  <si>
    <t>Tailor - Armor For A Hero Lvl 1</t>
  </si>
  <si>
    <t>cost.building.onsen@2.coin.1</t>
  </si>
  <si>
    <t>tech.tailor.armor_for_a_hero_lvl_2</t>
  </si>
  <si>
    <t>Tailor - Armor For A Hero Lvl 2</t>
  </si>
  <si>
    <t>tech.tailor.armor_for_a_hero_lvl_3</t>
  </si>
  <si>
    <t>Tailor - Armor For A Hero Lvl 3</t>
  </si>
  <si>
    <t>tech.tailor.armor_for_a_hero_lvl_4</t>
  </si>
  <si>
    <t>Tailor - Armor For A Hero Lvl 4</t>
  </si>
  <si>
    <t>tech.tailor.armor_for_a_hero_lvl_4+</t>
  </si>
  <si>
    <t>Tailor - Armor For A Hero Lvl 4+</t>
  </si>
  <si>
    <t>tech.tailor.bedroll</t>
  </si>
  <si>
    <t>Tailor - Bedroll</t>
  </si>
  <si>
    <t>cost.building.onsen@2.plank.1</t>
  </si>
  <si>
    <t>tech.tailor.colored_threads</t>
  </si>
  <si>
    <t>Tailor - Colored Threads</t>
  </si>
  <si>
    <t>tech.tailor.salamander_velour</t>
  </si>
  <si>
    <t>Tailor - Salamander Velour</t>
  </si>
  <si>
    <t>tech.tailor.strong_rivets</t>
  </si>
  <si>
    <t>Tailor - Strong Rivets</t>
  </si>
  <si>
    <t>tech.tailor.strong_stitch</t>
  </si>
  <si>
    <t>Tailor - Strong Stitch</t>
  </si>
  <si>
    <t>cost.building.onsen@2.ruby.1</t>
  </si>
  <si>
    <t>tech.train.automatic_lubricator</t>
  </si>
  <si>
    <t>Train - Automatic Lubricator</t>
  </si>
  <si>
    <t>tech.train.compound_engine</t>
  </si>
  <si>
    <t>Train - Compound Engine</t>
  </si>
  <si>
    <t>tech.train.onboard_computer</t>
  </si>
  <si>
    <t>Train - Onboard Computer</t>
  </si>
  <si>
    <t>cost.building.onsen@2.stone.1</t>
  </si>
  <si>
    <t>tech.train.superheater</t>
  </si>
  <si>
    <t>Train - Superheater</t>
  </si>
  <si>
    <t>tech.train.titanium_components</t>
  </si>
  <si>
    <t>Train - Titanium Components</t>
  </si>
  <si>
    <t>tech.warehouse.stackable_racks_lvl_1</t>
  </si>
  <si>
    <t>Warehouse - Stackable Racks Lvl 1</t>
  </si>
  <si>
    <t>tech.warehouse.stackable_racks_lvl_2</t>
  </si>
  <si>
    <t>Warehouse - Stackable Racks Lvl 2</t>
  </si>
  <si>
    <t>tech.warehouse.stackable_racks_lvl_3</t>
  </si>
  <si>
    <t>Warehouse - Stackable Racks Lvl 3</t>
  </si>
  <si>
    <t>cost.building.outpost@1.arrows.1</t>
  </si>
  <si>
    <t>tech.windmill.bone_meal</t>
  </si>
  <si>
    <t>Windmill -  Bone Meal</t>
  </si>
  <si>
    <t>arrows</t>
  </si>
  <si>
    <t>tech.workshop.conveyor_lvl_1</t>
  </si>
  <si>
    <t>Workshop - Conveyor Lvl 1</t>
  </si>
  <si>
    <t>tech.workshop.conveyor_lvl_2</t>
  </si>
  <si>
    <t>Workshop - Conveyor Lvl 2</t>
  </si>
  <si>
    <t>tech.workshop.explosive_mechanical_spider</t>
  </si>
  <si>
    <t>Workshop - Explosive Mechanical Spider</t>
  </si>
  <si>
    <t>cost.building.outpost@1.beam.1</t>
  </si>
  <si>
    <t>tech.workshop.mechanical_spider</t>
  </si>
  <si>
    <t>Workshop - Mechanical Spider</t>
  </si>
  <si>
    <t>tech.workshop.mechanism</t>
  </si>
  <si>
    <t>Workshop - Mechanism</t>
  </si>
  <si>
    <t>tech.workshop.shield_for_a_hero_lvl_1</t>
  </si>
  <si>
    <t>Workshop - Shield For A Hero Lvl 1</t>
  </si>
  <si>
    <t>tech.workshop.shield_for_a_hero_lvl_2</t>
  </si>
  <si>
    <t>Workshop - Shield For A Hero Lvl 2</t>
  </si>
  <si>
    <t>tech.workshop.shield_for_a_hero_lvl_3</t>
  </si>
  <si>
    <t>Workshop - Shield For A Hero Lvl 3</t>
  </si>
  <si>
    <t>cost.building.outpost@1.coin.1</t>
  </si>
  <si>
    <t>tech.workshop.shield_for_a_hero_lvl_4</t>
  </si>
  <si>
    <t>Workshop - Shield For A Hero Lvl 4</t>
  </si>
  <si>
    <t>tech.workshop.shield_for_a_hero_lvl_4+</t>
  </si>
  <si>
    <t>Workshop - Shield For A Hero Lvl 4+</t>
  </si>
  <si>
    <t>tech.workshop.steamobile</t>
  </si>
  <si>
    <t>Workshop - Steamobile</t>
  </si>
  <si>
    <t>tech.workshop.strong_glue</t>
  </si>
  <si>
    <t>Workshop - Strong Glue</t>
  </si>
  <si>
    <t>cost.building.outpost@1.katana.1</t>
  </si>
  <si>
    <t>tech.workshop.throwing_net</t>
  </si>
  <si>
    <t>Workshop - Throwing Net</t>
  </si>
  <si>
    <t>tech.workshop.zen_fountain</t>
  </si>
  <si>
    <t>Workshop - Zen Fountain</t>
  </si>
  <si>
    <t>katana</t>
  </si>
  <si>
    <t xml:space="preserve">Complete Dungeon 5C second </t>
  </si>
  <si>
    <t>state.obtain_pirate_hat</t>
  </si>
  <si>
    <t>Obtain Pirate hat</t>
  </si>
  <si>
    <t>state.obtain_black_pearl</t>
  </si>
  <si>
    <t>Obtain Black Pearl</t>
  </si>
  <si>
    <t>cost.building.outpost@1.ruby.1</t>
  </si>
  <si>
    <t>state.obtain_shoguns_mortar</t>
  </si>
  <si>
    <t>Obtain Shogun's Mortar</t>
  </si>
  <si>
    <t>Complete Dungeon 1A</t>
  </si>
  <si>
    <t>Complete Dungeon 6D</t>
  </si>
  <si>
    <t>state.meet_dark_lady@6b_second</t>
  </si>
  <si>
    <t>Meet Dark Lady@6B second time</t>
  </si>
  <si>
    <t>cost.building.outpost@1.stone.1</t>
  </si>
  <si>
    <t>cost.building.outpost@2.beam.1</t>
  </si>
  <si>
    <t>cost.building.outpost@2.coin.1</t>
  </si>
  <si>
    <t>cost.building.outpost@2.mortar.1</t>
  </si>
  <si>
    <t>mortar</t>
  </si>
  <si>
    <t>cost.building.outpost@2.ruby.1</t>
  </si>
  <si>
    <t>cost.building.outpost@2.steel.1</t>
  </si>
  <si>
    <t>cost.building.outpost@2.stone.1</t>
  </si>
  <si>
    <t>cost.building.outpost@3.beam.1</t>
  </si>
  <si>
    <t>cost.building.outpost@3.coin.1</t>
  </si>
  <si>
    <t>cost.building.outpost@3.oil.1</t>
  </si>
  <si>
    <t>cost.building.outpost@3.ruby.1</t>
  </si>
  <si>
    <t>cost.building.outpost@3.samurai.1</t>
  </si>
  <si>
    <t>samurai</t>
  </si>
  <si>
    <t>cost.building.outpost@3.stone.1</t>
  </si>
  <si>
    <t>cost.building.pagoda@1.coin.1</t>
  </si>
  <si>
    <t>Status</t>
  </si>
  <si>
    <t>DependencyCount</t>
  </si>
  <si>
    <t>cost.building.pagoda@1.petard.1</t>
  </si>
  <si>
    <t>TotalDependencies</t>
  </si>
  <si>
    <t>CompletedDependencyCount</t>
  </si>
  <si>
    <t>CompletedDependencies</t>
  </si>
  <si>
    <t>AllDependenciesComplete</t>
  </si>
  <si>
    <t>MissingDependencies</t>
  </si>
  <si>
    <t>FirstMissingDependencyID</t>
  </si>
  <si>
    <t>FirstMissingDependency</t>
  </si>
  <si>
    <t>Cost</t>
  </si>
  <si>
    <t>FirstMissingStatus</t>
  </si>
  <si>
    <t>successors</t>
  </si>
  <si>
    <t>completionmethod</t>
  </si>
  <si>
    <t>HasCost</t>
  </si>
  <si>
    <t>FundingPercent</t>
  </si>
  <si>
    <t>RemainingRequirements</t>
  </si>
  <si>
    <t>OutstandingResources</t>
  </si>
  <si>
    <t>OpenQuest</t>
  </si>
  <si>
    <t>PendingQuestAcceptances</t>
  </si>
  <si>
    <t>cost.building.pagoda@1.ruby.1</t>
  </si>
  <si>
    <t>cost.building.pagoda@1.stone.1</t>
  </si>
  <si>
    <t>cost.building.pagoda@1.wood.1</t>
  </si>
  <si>
    <t>cost.building.pagoda@2.chemicals.1</t>
  </si>
  <si>
    <t>cost.building.pagoda@2.coin.1</t>
  </si>
  <si>
    <t>cost.building.pagoda@2.ruby.1</t>
  </si>
  <si>
    <t>cost.building.pagoda@2.stone.1</t>
  </si>
  <si>
    <t>cost.building.pagoda@2.wood.1</t>
  </si>
  <si>
    <t>cost.building.pagoda@3.beam.1</t>
  </si>
  <si>
    <t>cost.building.pagoda@3.coin.1</t>
  </si>
  <si>
    <t>cost.building.pagoda@3.ruby.1</t>
  </si>
  <si>
    <t>cost.building.pagoda@3.steel.1</t>
  </si>
  <si>
    <t>cost.building.pagoda@3.stone.1</t>
  </si>
  <si>
    <t>cost.building.pagoda@4.beam.1</t>
  </si>
  <si>
    <t>cost.building.pagoda@4.coin.1</t>
  </si>
  <si>
    <t>cost.building.pagoda@4.fan.1</t>
  </si>
  <si>
    <t>cost.building.pagoda@4.ruby.1</t>
  </si>
  <si>
    <t>cost.building.pagoda@4.stone.1</t>
  </si>
  <si>
    <t>cost.building.pagoda@5.beam.1</t>
  </si>
  <si>
    <t>cost.building.pagoda@5.coin.1</t>
  </si>
  <si>
    <t>cost.building.pagoda@5.katana.1</t>
  </si>
  <si>
    <t>state.obtain_Black_Pearl</t>
  </si>
  <si>
    <t>cost.building.pagoda@5.ruby.1</t>
  </si>
  <si>
    <t>cost.building.pagoda@5.stone.1</t>
  </si>
  <si>
    <t>cost.building.pagoda@6.beam.1</t>
  </si>
  <si>
    <t>cost.building.pagoda@6.coin.1</t>
  </si>
  <si>
    <t>cost.building.pagoda@6.ingot.1</t>
  </si>
  <si>
    <t>cost.building.pagoda@6.ruby.1</t>
  </si>
  <si>
    <t>cost.building.pagoda@6.spices.1</t>
  </si>
  <si>
    <t>cost.building.pagoda@6.stone.1</t>
  </si>
  <si>
    <t>cost.building.pagoda@7.beam.1</t>
  </si>
  <si>
    <t>cost.building.pagoda@7.coin.1</t>
  </si>
  <si>
    <t>cost.building.pagoda@7.pearl.1</t>
  </si>
  <si>
    <t>state.obtain_Pirate_hat</t>
  </si>
  <si>
    <t>cost.building.pagoda@7.ruby.1</t>
  </si>
  <si>
    <t>cost.building.pagoda@7.scroll.1</t>
  </si>
  <si>
    <t>scroll</t>
  </si>
  <si>
    <t>cost.building.pagoda@7.silk.1</t>
  </si>
  <si>
    <t>cost.building.pagoda@7.stone.1</t>
  </si>
  <si>
    <t>cost.building.pagoda@7.treasure.1</t>
  </si>
  <si>
    <t>treasure</t>
  </si>
  <si>
    <t>cost.building.pier@1.coin.1</t>
  </si>
  <si>
    <t>cost.building.pier@1.plank.1</t>
  </si>
  <si>
    <t>cost.building.pier@1.ruby.1</t>
  </si>
  <si>
    <t>cost.building.pier@1.stone.1</t>
  </si>
  <si>
    <t>cost.building.pier@1.wood.1</t>
  </si>
  <si>
    <t>state.obtain_Shoguns_Mortar</t>
  </si>
  <si>
    <t>cost.building.rock_garden@1.coin.1</t>
  </si>
  <si>
    <t>cost.building.rock_garden@1.ruby.1</t>
  </si>
  <si>
    <t>cost.building.rock_garden@1.stone.1</t>
  </si>
  <si>
    <t>cost.building.rock_garden@1.wood.1</t>
  </si>
  <si>
    <t>cost.building.rock_garden@2.coin.1</t>
  </si>
  <si>
    <t>cost.building.rock_garden@2.ruby.1</t>
  </si>
  <si>
    <t>cost.building.rock_garden@2.stone.1</t>
  </si>
  <si>
    <t>cost.building.rock_garden@2.wood.1</t>
  </si>
  <si>
    <t>cost.building.rock_garden@3.beam.1</t>
  </si>
  <si>
    <t>cost.building.rock_garden@3.coin.1</t>
  </si>
  <si>
    <t>cost.building.rock_garden@3.ruby.1</t>
  </si>
  <si>
    <t>cost.building.rock_garden@3.stone.1</t>
  </si>
  <si>
    <t>cost.building.ship@1.coin.1</t>
  </si>
  <si>
    <t>cost.building.ship@1.plank.1</t>
  </si>
  <si>
    <t>cost.building.ship@1.ruby.1</t>
  </si>
  <si>
    <t>cost.building.ship@1.steel.1</t>
  </si>
  <si>
    <t>cost.building.ship@1.stone.1</t>
  </si>
  <si>
    <t>cost.building.ship@2.coin.1</t>
  </si>
  <si>
    <t>cost.building.ship@2.mortar.1</t>
  </si>
  <si>
    <t>cost.building.ship@2.plank.1</t>
  </si>
  <si>
    <t>cost.building.ship@2.ruby.1</t>
  </si>
  <si>
    <t>cost.building.ship@2.steel.1</t>
  </si>
  <si>
    <t>cost.building.ship@3.anchor.1</t>
  </si>
  <si>
    <t>anchor</t>
  </si>
  <si>
    <t>cost.building.ship@3.coin.1</t>
  </si>
  <si>
    <t>cost.building.ship@3.plank.1</t>
  </si>
  <si>
    <t>cost.building.ship@3.ruby.1</t>
  </si>
  <si>
    <t>cost.building.ship@3.spices.1</t>
  </si>
  <si>
    <t>cost.building.ship@4.coin.1</t>
  </si>
  <si>
    <t>cost.building.ship@4.gunpowder.1</t>
  </si>
  <si>
    <t>cost.building.ship@4.plank.1</t>
  </si>
  <si>
    <t>cost.building.ship@4.ruby.1</t>
  </si>
  <si>
    <t>cost.building.ship@4.spices.1</t>
  </si>
  <si>
    <t>cost.building.shop@1.coin.1</t>
  </si>
  <si>
    <t>cost.building.shop@1.ruby.1</t>
  </si>
  <si>
    <t>cost.building.shop@1.stone.1</t>
  </si>
  <si>
    <t>cost.building.shop@1.wood.1</t>
  </si>
  <si>
    <t>cost.building.shop@2.coin.1</t>
  </si>
  <si>
    <t>cost.building.shop@2.ruby.1</t>
  </si>
  <si>
    <t>cost.building.shop@2.stone.1</t>
  </si>
  <si>
    <t>cost.building.shop@2.wood.1</t>
  </si>
  <si>
    <t>cost.building.shop@3.beam.1</t>
  </si>
  <si>
    <t>cost.building.shop@3.coin.1</t>
  </si>
  <si>
    <t>cost.building.shop@3.ruby.1</t>
  </si>
  <si>
    <t>cost.building.shop@3.stone.1</t>
  </si>
  <si>
    <t>cost.building.smithy@1.coin.1</t>
  </si>
  <si>
    <t>cost.building.smithy@1.ruby.1</t>
  </si>
  <si>
    <t>cost.building.smithy@1.steel.1</t>
  </si>
  <si>
    <t>cost.building.smithy@1.stone.1</t>
  </si>
  <si>
    <t>cost.building.smithy@1.wood.1</t>
  </si>
  <si>
    <t>cost.building.smithy@2.coin.1</t>
  </si>
  <si>
    <t>cost.building.smithy@2.ruby.1</t>
  </si>
  <si>
    <t>cost.building.smithy@2.steel.1</t>
  </si>
  <si>
    <t>cost.building.smithy@2.stone.1</t>
  </si>
  <si>
    <t>cost.building.smithy@2.wood.1</t>
  </si>
  <si>
    <t>cost.building.smithy@3.beam.1</t>
  </si>
  <si>
    <t>cost.building.smithy@3.coin.1</t>
  </si>
  <si>
    <t>cost.building.smithy@3.ruby.1</t>
  </si>
  <si>
    <t>cost.building.smithy@3.steel.1</t>
  </si>
  <si>
    <t>cost.building.smithy@3.stone.1</t>
  </si>
  <si>
    <t>cost.building.station@1.beam.1</t>
  </si>
  <si>
    <t>cost.building.station@1.blueprint.1</t>
  </si>
  <si>
    <t>cost.building.station@1.coin.1</t>
  </si>
  <si>
    <t>cost.building.station@1.ingot.1</t>
  </si>
  <si>
    <t>cost.building.station@1.kimono.1</t>
  </si>
  <si>
    <t>kimono</t>
  </si>
  <si>
    <t>cost.building.station@1.plank.1</t>
  </si>
  <si>
    <t>cost.building.station@1.ruby.1</t>
  </si>
  <si>
    <t>cost.building.station@1.steel.1</t>
  </si>
  <si>
    <t>cost.building.station@1.stone.1</t>
  </si>
  <si>
    <t>cost.building.tailor@1.beam.1</t>
  </si>
  <si>
    <t>cost.building.tailor@1.coin.1</t>
  </si>
  <si>
    <t>cost.building.tailor@1.paper.1</t>
  </si>
  <si>
    <t>cost.building.tailor@1.ruby.1</t>
  </si>
  <si>
    <t>cost.building.tailor@1.silk.1</t>
  </si>
  <si>
    <t>cost.building.tailor@1.stone.1</t>
  </si>
  <si>
    <t>cost.building.tailor@2.coin.1</t>
  </si>
  <si>
    <t>cost.building.tailor@2.glass.1</t>
  </si>
  <si>
    <t>cost.building.tailor@2.plank.1</t>
  </si>
  <si>
    <t>cost.building.tailor@2.ruby.1</t>
  </si>
  <si>
    <t>cost.building.tailor@2.silk.1</t>
  </si>
  <si>
    <t>cost.building.tailor@2.stone.1</t>
  </si>
  <si>
    <t>cost.building.tailor@3.coin.1</t>
  </si>
  <si>
    <t>cost.building.tailor@3.plank.1</t>
  </si>
  <si>
    <t>cost.building.tailor@3.ruby.1</t>
  </si>
  <si>
    <t>cost.building.tailor@3.silk.1</t>
  </si>
  <si>
    <t>cost.building.tailor@3.steel.1</t>
  </si>
  <si>
    <t>cost.building.tailor@3.stone.1</t>
  </si>
  <si>
    <t>cost.building.train_freight_carriage@1.blueprint.1</t>
  </si>
  <si>
    <t>cost.building.train_freight_carriage@1.coin.1</t>
  </si>
  <si>
    <t>cost.building.train_freight_carriage@1.mechanism.1</t>
  </si>
  <si>
    <t>cost.building.train_freight_carriage@1.plank.1</t>
  </si>
  <si>
    <t>cost.building.train_freight_carriage@1.ruby.1</t>
  </si>
  <si>
    <t>cost.building.train_freight_carriage@1.steel.1</t>
  </si>
  <si>
    <t>cost.building.train_freight_carriage@2.coin.1</t>
  </si>
  <si>
    <t>cost.building.train_freight_carriage@2.mechanism.1</t>
  </si>
  <si>
    <t>cost.building.train_freight_carriage@2.plank.1</t>
  </si>
  <si>
    <t>cost.building.train_freight_carriage@2.ruby.1</t>
  </si>
  <si>
    <t>cost.building.train_freight_carriage@2.steel.1</t>
  </si>
  <si>
    <t>cost.building.train_passenger_carriage@1.blueprint.1</t>
  </si>
  <si>
    <t>cost.building.train_passenger_carriage@1.coin.1</t>
  </si>
  <si>
    <t>cost.building.train_passenger_carriage@1.glass.1</t>
  </si>
  <si>
    <t>cost.building.train_passenger_carriage@1.mechanism.1</t>
  </si>
  <si>
    <t>cost.building.train_passenger_carriage@1.plank.1</t>
  </si>
  <si>
    <t>cost.building.train_passenger_carriage@1.ruby.1</t>
  </si>
  <si>
    <t>cost.building.train_passenger_carriage@1.steel.1</t>
  </si>
  <si>
    <t>cost.building.train_passenger_carriage@2.coin.1</t>
  </si>
  <si>
    <t>cost.building.train_passenger_carriage@2.glass.1</t>
  </si>
  <si>
    <t>cost.building.train_passenger_carriage@2.mechanism.1</t>
  </si>
  <si>
    <t>cost.building.train_passenger_carriage@2.plank.1</t>
  </si>
  <si>
    <t>cost.building.train_passenger_carriage@2.ruby.1</t>
  </si>
  <si>
    <t>cost.building.train_passenger_carriage@2.steel.1</t>
  </si>
  <si>
    <t>cost.building.train@1.blueprint.1</t>
  </si>
  <si>
    <t>cost.building.train@1.coin.1</t>
  </si>
  <si>
    <t>cost.building.train@1.glass.1</t>
  </si>
  <si>
    <t>cost.building.train@1.mechanism.1</t>
  </si>
  <si>
    <t>cost.building.train@1.msteel.1</t>
  </si>
  <si>
    <t>msteel</t>
  </si>
  <si>
    <t>cost.building.train@1.ruby.1</t>
  </si>
  <si>
    <t>cost.building.train@1.steel.1</t>
  </si>
  <si>
    <t>cost.building.train@2.blueprint.1</t>
  </si>
  <si>
    <t>cost.building.train@2.coin.1</t>
  </si>
  <si>
    <t>cost.building.train@2.mechanism.1</t>
  </si>
  <si>
    <t>cost.building.train@2.mercury.1</t>
  </si>
  <si>
    <t>cost.building.train@2.ruby.1</t>
  </si>
  <si>
    <t>cost.building.train@2.steel.1</t>
  </si>
  <si>
    <t>cost.building.warehouse@1.coin.1</t>
  </si>
  <si>
    <t>cost.building.warehouse@1.ruby.1</t>
  </si>
  <si>
    <t>cost.building.warehouse@1.stone.1</t>
  </si>
  <si>
    <t>cost.building.warehouse@1.wood.1</t>
  </si>
  <si>
    <t>cost.building.warehouse@2.coin.1</t>
  </si>
  <si>
    <t>cost.building.warehouse@2.ruby.1</t>
  </si>
  <si>
    <t>cost.building.warehouse@2.stone.1</t>
  </si>
  <si>
    <t>cost.building.warehouse@2.wood.1</t>
  </si>
  <si>
    <t>cost.building.warehouse@3.beam.1</t>
  </si>
  <si>
    <t>cost.building.warehouse@3.coin.1</t>
  </si>
  <si>
    <t>cost.building.warehouse@3.ruby.1</t>
  </si>
  <si>
    <t>cost.building.warehouse@3.stone.1</t>
  </si>
  <si>
    <t>cost.building.warehouse@4.beam.1</t>
  </si>
  <si>
    <t>cost.building.warehouse@4.coin.1</t>
  </si>
  <si>
    <t>cost.building.warehouse@4.ruby.1</t>
  </si>
  <si>
    <t>cost.building.warehouse@4.stone.1</t>
  </si>
  <si>
    <t>cost.building.warehouse@5.beam.1</t>
  </si>
  <si>
    <t>cost.building.warehouse@5.coin.1</t>
  </si>
  <si>
    <t>cost.building.warehouse@5.ruby.1</t>
  </si>
  <si>
    <t>cost.building.warehouse@5.stone.1</t>
  </si>
  <si>
    <t>cost.building.warehouse@6.beam.1</t>
  </si>
  <si>
    <t>cost.building.warehouse@6.coin.1</t>
  </si>
  <si>
    <t>cost.building.warehouse@6.ruby.1</t>
  </si>
  <si>
    <t>cost.building.warehouse@6.steel.1</t>
  </si>
  <si>
    <t>TargetRequirements</t>
  </si>
  <si>
    <t>CompletedRequirements</t>
  </si>
  <si>
    <t>cost.building.warehouse@6.stone.1</t>
  </si>
  <si>
    <t>cost.building.warehouse@7.beam.1</t>
  </si>
  <si>
    <t>cost.building.warehouse@7.coin.1</t>
  </si>
  <si>
    <t>cost.building.warehouse@7.ruby.1</t>
  </si>
  <si>
    <t>cost.building.warehouse@7.steel.1</t>
  </si>
  <si>
    <t>cost.building.warehouse@7.stone.1</t>
  </si>
  <si>
    <t>cost.building.windmill@1.coin.1</t>
  </si>
  <si>
    <t>cost.building.windmill@1.ruby.1</t>
  </si>
  <si>
    <t>cost.building.windmill@1.steel.1</t>
  </si>
  <si>
    <t>cost.building.windmill@1.stone.1</t>
  </si>
  <si>
    <t>cost.building.windmill@1.wood.1</t>
  </si>
  <si>
    <t>cost.building.windmill@2.beam.1</t>
  </si>
  <si>
    <t>cost.building.windmill@2.coin.1</t>
  </si>
  <si>
    <t>cost.building.windmill@2.miron.1</t>
  </si>
  <si>
    <t>cost.building.windmill@2.ruby.1</t>
  </si>
  <si>
    <t>cost.building.windmill@2.stone.1</t>
  </si>
  <si>
    <t>cost.building.workshop@1.coin.1</t>
  </si>
  <si>
    <t>cost.building.workshop@1.ruby.1</t>
  </si>
  <si>
    <t>cost.building.workshop@1.stone.1</t>
  </si>
  <si>
    <t>cost.building.workshop@1.wood.1</t>
  </si>
  <si>
    <t>cost.building.workshop@2.coin.1</t>
  </si>
  <si>
    <t>cost.building.workshop@2.ruby.1</t>
  </si>
  <si>
    <t>cost.building.workshop@2.stone.1</t>
  </si>
  <si>
    <t>cost.building.workshop@2.wood.1</t>
  </si>
  <si>
    <t>cost.building.workshop@3.beam.1</t>
  </si>
  <si>
    <t>cost.building.workshop@3.coin.1</t>
  </si>
  <si>
    <t>cost.building.workshop@3.ruby.1</t>
  </si>
  <si>
    <t>cost.building.workshop@3.stone.1</t>
  </si>
  <si>
    <t>cost.building.workshop@4.beam.1</t>
  </si>
  <si>
    <t>cost.building.workshop@4.coin.1</t>
  </si>
  <si>
    <t>cost.building.workshop@4.ruby.1</t>
  </si>
  <si>
    <t>cost.building.workshop@4.steel.1</t>
  </si>
  <si>
    <t>cost.building.workshop@4.stone.1</t>
  </si>
  <si>
    <t>cost.building.workshop@5.beam.1</t>
  </si>
  <si>
    <t>cost.building.workshop@5.coin.1</t>
  </si>
  <si>
    <t>cost.building.workshop@5.ruby.1</t>
  </si>
  <si>
    <t>cost.building.workshop@5.steel.1</t>
  </si>
  <si>
    <t>cost.building.workshop@5.stone.1</t>
  </si>
  <si>
    <t>cost.citadel.armory.beam.1</t>
  </si>
  <si>
    <t>cost.citadel.armory.coin.1</t>
  </si>
  <si>
    <t>cost.citadel.armory.page.1</t>
  </si>
  <si>
    <t>cost.citadel.armory.ruby.1</t>
  </si>
  <si>
    <t>cost.citadel.armory.steel.1</t>
  </si>
  <si>
    <t>cost.citadel.armory.stone.1</t>
  </si>
  <si>
    <t>cost.citadel.attic.beam.1</t>
  </si>
  <si>
    <t>cost.citadel.attic.coin.1</t>
  </si>
  <si>
    <t>cost.citadel.attic.page.1</t>
  </si>
  <si>
    <t>cost.citadel.attic.ruby.1</t>
  </si>
  <si>
    <t>cost.citadel.attic.stone.1</t>
  </si>
  <si>
    <t>cost.citadel.cheese_cave.coin.1</t>
  </si>
  <si>
    <t>cost.citadel.cheese_cave.enzyme.1</t>
  </si>
  <si>
    <t>cost.citadel.cheese_cave.grimoire.1</t>
  </si>
  <si>
    <t>cost.citadel.cheese_cave.plank.1</t>
  </si>
  <si>
    <t>cost.citadel.cheese_cave.ruby.1</t>
  </si>
  <si>
    <t>cost.citadel.cheese_cave.softcheese.1</t>
  </si>
  <si>
    <t>softcheese</t>
  </si>
  <si>
    <t>cost.citadel.cheese_cave.stone.1</t>
  </si>
  <si>
    <t>cost.citadel.courtyard.beam.1</t>
  </si>
  <si>
    <t>cost.citadel.courtyard.coin.1</t>
  </si>
  <si>
    <t>cost.citadel.courtyard.page.1</t>
  </si>
  <si>
    <t>cost.citadel.courtyard.ruby.1</t>
  </si>
  <si>
    <t>cost.citadel.courtyard.stone.1</t>
  </si>
  <si>
    <t>cost.citadel.gallery.beam.1</t>
  </si>
  <si>
    <t>cost.citadel.gallery.coin.1</t>
  </si>
  <si>
    <t>cost.citadel.gallery.page.1</t>
  </si>
  <si>
    <t>cost.citadel.gallery.ruby.1</t>
  </si>
  <si>
    <t>cost.citadel.gallery.steel.1</t>
  </si>
  <si>
    <t>cost.citadel.gallery.stone.1</t>
  </si>
  <si>
    <t>cost.citadel.great_hall.beam.1</t>
  </si>
  <si>
    <t>cost.citadel.great_hall.coin.1</t>
  </si>
  <si>
    <t>cost.citadel.great_hall.page.1</t>
  </si>
  <si>
    <t>cost.citadel.great_hall.ruby.1</t>
  </si>
  <si>
    <t>cost.citadel.great_hall.stone.1</t>
  </si>
  <si>
    <t>cost.citadel.kitchen_and_buttery.beam.1</t>
  </si>
  <si>
    <t>cost.citadel.kitchen_and_buttery.coin.1</t>
  </si>
  <si>
    <t>cost.citadel.kitchen_and_buttery.page.1</t>
  </si>
  <si>
    <t>cost.citadel.kitchen_and_buttery.ruby.1</t>
  </si>
  <si>
    <t>cost.citadel.kitchen_and_buttery.stone.1</t>
  </si>
  <si>
    <t>cost.citadel.lair_lvl_1.crypto.1</t>
  </si>
  <si>
    <t>cost.citadel.lair_lvl_1.grimoire.1</t>
  </si>
  <si>
    <t>cost.citadel.lair_lvl_1.inarizushi.1</t>
  </si>
  <si>
    <t>inarizushi</t>
  </si>
  <si>
    <t>cost.citadel.lair_lvl_1.ruby.1</t>
  </si>
  <si>
    <t>cost.citadel.lair_lvl_1.treasure.1</t>
  </si>
  <si>
    <t>cost.citadel.lair_lvl_1.wood.1</t>
  </si>
  <si>
    <t>cost.citadel.lair_lvl_2.crypto.1</t>
  </si>
  <si>
    <t>cost.citadel.lair_lvl_2.grimoire.1</t>
  </si>
  <si>
    <t>cost.citadel.lair_lvl_2.inarizushi.1</t>
  </si>
  <si>
    <t>cost.citadel.lair_lvl_2.ruby.1</t>
  </si>
  <si>
    <t>cost.citadel.lair_lvl_2.treasure.1</t>
  </si>
  <si>
    <t>cost.citadel.lair_lvl_2.wood.1</t>
  </si>
  <si>
    <t>cost.citadel.mushroom_farm.beam.1</t>
  </si>
  <si>
    <t>cost.citadel.mushroom_farm.coin.1</t>
  </si>
  <si>
    <t>cost.citadel.mushroom_farm.page.1</t>
  </si>
  <si>
    <t>cost.citadel.mushroom_farm.ruby.1</t>
  </si>
  <si>
    <t>cost.citadel.mushroom_farm.stone.1</t>
  </si>
  <si>
    <t>cost.citadel.orangery.beam.1</t>
  </si>
  <si>
    <t>cost.citadel.orangery.coin.1</t>
  </si>
  <si>
    <t>cost.citadel.orangery.page.1</t>
  </si>
  <si>
    <t>cost.citadel.orangery.ruby.1</t>
  </si>
  <si>
    <t>cost.citadel.orangery.stone.1</t>
  </si>
  <si>
    <t>cost.citadel.pantry.beam.1</t>
  </si>
  <si>
    <t>cost.citadel.pantry.coin.1</t>
  </si>
  <si>
    <t>cost.citadel.pantry.page.1</t>
  </si>
  <si>
    <t>cost.citadel.pantry.ruby.1</t>
  </si>
  <si>
    <t>cost.citadel.pantry.stone.1</t>
  </si>
  <si>
    <t>cost.citadel.tavern.beam.1</t>
  </si>
  <si>
    <t>cost.citadel.tavern.coin.1</t>
  </si>
  <si>
    <t>cost.citadel.tavern.page.1</t>
  </si>
  <si>
    <t>cost.citadel.tavern.ruby.1</t>
  </si>
  <si>
    <t>cost.citadel.tavern.stone.1</t>
  </si>
  <si>
    <t>cost.citadel.treasury.beam.1</t>
  </si>
  <si>
    <t>cost.citadel.treasury.coin.1</t>
  </si>
  <si>
    <t>cost.citadel.treasury.page.1</t>
  </si>
  <si>
    <t>cost.citadel.treasury.ruby.1</t>
  </si>
  <si>
    <t>cost.citadel.treasury.steel.1</t>
  </si>
  <si>
    <t>cost.citadel.treasury.stone.1</t>
  </si>
  <si>
    <t>cost.citadel.tunnel.beam.1</t>
  </si>
  <si>
    <t>cost.citadel.tunnel.blueprint.1</t>
  </si>
  <si>
    <t>cost.citadel.tunnel.coin.1</t>
  </si>
  <si>
    <t>cost.citadel.tunnel.mechanism.1</t>
  </si>
  <si>
    <t>cost.citadel.tunnel.pcard.1</t>
  </si>
  <si>
    <t>cost.citadel.tunnel.petard.1</t>
  </si>
  <si>
    <t>cost.citadel.tunnel.ruby.1</t>
  </si>
  <si>
    <t>cost.citadel.tunnel.steel.1</t>
  </si>
  <si>
    <t>cost.citadel.tunnel.stone.1</t>
  </si>
  <si>
    <t>cost.collection.alchemist_hall_1@1.catalyst.1</t>
  </si>
  <si>
    <t>catalyst</t>
  </si>
  <si>
    <t>cost.collection.alchemist_hall_1@1.cherry.1</t>
  </si>
  <si>
    <t>cherry</t>
  </si>
  <si>
    <t>cost.collection.alchemist_hall_1@1.grimoire.1</t>
  </si>
  <si>
    <t>cost.collection.alchemist_hall_1@1.hide.1</t>
  </si>
  <si>
    <t>hide</t>
  </si>
  <si>
    <t>cost.collection.alchemist_hall_1@1.mandrake.1</t>
  </si>
  <si>
    <t>mandrake</t>
  </si>
  <si>
    <t>cost.collection.alchemist_hall_1@1.mercury.1</t>
  </si>
  <si>
    <t>cost.collection.alchemist_hall_1@1.reagent.1</t>
  </si>
  <si>
    <t>cost.collection.alchemist_hall_1@1.violetcrystal.1</t>
  </si>
  <si>
    <t>violetcrystal</t>
  </si>
  <si>
    <t>cost.collection.alchemist_hall_1@2.catalyst.1</t>
  </si>
  <si>
    <t>cost.collection.alchemist_hall_1@2.cherry.1</t>
  </si>
  <si>
    <t>cost.collection.alchemist_hall_1@2.grimoire.1</t>
  </si>
  <si>
    <t>cost.collection.alchemist_hall_1@2.hide.1</t>
  </si>
  <si>
    <t>cost.collection.alchemist_hall_1@2.mandrake.1</t>
  </si>
  <si>
    <t>cost.collection.alchemist_hall_1@2.mercury.1</t>
  </si>
  <si>
    <t>cost.collection.alchemist_hall_1@2.reagent.1</t>
  </si>
  <si>
    <t>cost.collection.alchemist_hall_1@2.violetcrystal.1</t>
  </si>
  <si>
    <t>cost.collection.alchemist_hall_2@1.bone.1</t>
  </si>
  <si>
    <t>bone</t>
  </si>
  <si>
    <t>cost.collection.alchemist_hall_2@1.bone.2</t>
  </si>
  <si>
    <t>cost.collection.alchemist_hall_2@1.herbs.1</t>
  </si>
  <si>
    <t>cost.collection.alchemist_hall_2@1.herbs.2</t>
  </si>
  <si>
    <t>cost.collection.alchemist_hall_2@1.mushrooms.1</t>
  </si>
  <si>
    <t>mushrooms</t>
  </si>
  <si>
    <t>cost.collection.alchemist_hall_2@1.page.1</t>
  </si>
  <si>
    <t>cost.collection.alchemist_hall_2@1.quartz.1</t>
  </si>
  <si>
    <t>cost.collection.alchemist_hall_2@1.scroll.1</t>
  </si>
  <si>
    <t>cost.collection.alchemist_hall_2@2.bone.1</t>
  </si>
  <si>
    <t>cost.collection.alchemist_hall_2@2.bone.2</t>
  </si>
  <si>
    <t>cost.collection.alchemist_hall_2@2.herbs.1</t>
  </si>
  <si>
    <t>cost.collection.alchemist_hall_2@2.herbs.2</t>
  </si>
  <si>
    <t>cost.collection.alchemist_hall_2@2.mushrooms.1</t>
  </si>
  <si>
    <t>cost.collection.alchemist_hall_2@2.page.1</t>
  </si>
  <si>
    <t>cost.collection.alchemist_hall_2@2.quartz.1</t>
  </si>
  <si>
    <t>cost.collection.alchemist_hall_2@2.scroll.1</t>
  </si>
  <si>
    <t>cost.collection.alchemist_hall_3@1.bluecrystal.1</t>
  </si>
  <si>
    <t>cost.collection.alchemist_hall_3@1.bonemeal.1</t>
  </si>
  <si>
    <t>bonemeal</t>
  </si>
  <si>
    <t>cost.collection.alchemist_hall_3@1.ginkgo.1</t>
  </si>
  <si>
    <t>ginkgo</t>
  </si>
  <si>
    <t>cost.collection.alchemist_hall_3@1.ginkgo.2</t>
  </si>
  <si>
    <t>cost.collection.alchemist_hall_3@1.grimoire.1</t>
  </si>
  <si>
    <t>cost.collection.alchemist_hall_3@2.bluecrystal.1</t>
  </si>
  <si>
    <t>cost.collection.alchemist_hall_3@2.bonemeal.1</t>
  </si>
  <si>
    <t>cost.collection.alchemist_hall_3@2.ginkgo.1</t>
  </si>
  <si>
    <t>cost.collection.alchemist_hall_3@2.ginkgo.2</t>
  </si>
  <si>
    <t>cost.collection.alchemist_hall_3@2.grimoire.1</t>
  </si>
  <si>
    <t>cost.collection.armory_1@1.armor1.1</t>
  </si>
  <si>
    <t>armor1</t>
  </si>
  <si>
    <t>cost.collection.armory_1@1.armor2.1</t>
  </si>
  <si>
    <t>armor2</t>
  </si>
  <si>
    <t>cost.collection.armory_1@1.armor3.1</t>
  </si>
  <si>
    <t>armor3</t>
  </si>
  <si>
    <t>cost.collection.armory_1@1.armor4.1</t>
  </si>
  <si>
    <t>armor4</t>
  </si>
  <si>
    <t>cost.collection.armory_1@1.shield1.1</t>
  </si>
  <si>
    <t>shield1</t>
  </si>
  <si>
    <t>cost.collection.armory_1@1.shield2.1</t>
  </si>
  <si>
    <t>shield2</t>
  </si>
  <si>
    <t>cost.collection.armory_1@1.shield3.1</t>
  </si>
  <si>
    <t>shield3</t>
  </si>
  <si>
    <t>cost.collection.armory_1@1.shield4.1</t>
  </si>
  <si>
    <t>shield4</t>
  </si>
  <si>
    <t>cost.collection.armory_1@1.sword1.1</t>
  </si>
  <si>
    <t>sword1</t>
  </si>
  <si>
    <t>cost.collection.armory_1@1.sword2.1</t>
  </si>
  <si>
    <t>sword2</t>
  </si>
  <si>
    <t>cost.collection.armory_1@1.sword3.1</t>
  </si>
  <si>
    <t>sword3</t>
  </si>
  <si>
    <t>cost.collection.armory_1@1.sword4.1</t>
  </si>
  <si>
    <t>sword4</t>
  </si>
  <si>
    <t>cost.collection.armory_1@2.armor1.1</t>
  </si>
  <si>
    <t>cost.collection.armory_1@2.armor2.1</t>
  </si>
  <si>
    <t>cost.collection.armory_1@2.armor3.1</t>
  </si>
  <si>
    <t>cost.collection.armory_1@2.armor4.1</t>
  </si>
  <si>
    <t>cost.collection.armory_1@2.shield1.1</t>
  </si>
  <si>
    <t>cost.collection.armory_1@2.shield2.1</t>
  </si>
  <si>
    <t>cost.collection.armory_1@2.shield3.1</t>
  </si>
  <si>
    <t>cost.collection.armory_1@2.shield4.1</t>
  </si>
  <si>
    <t>cost.collection.armory_1@2.sword1.1</t>
  </si>
  <si>
    <t>cost.collection.armory_1@2.sword2.1</t>
  </si>
  <si>
    <t>cost.collection.armory_1@2.sword3.1</t>
  </si>
  <si>
    <t>cost.collection.armory_1@2.sword4.1</t>
  </si>
  <si>
    <t>cost.collection.armory_1@3.armor1.1</t>
  </si>
  <si>
    <t>cost.collection.armory_1@3.armor2.1</t>
  </si>
  <si>
    <t>cost.collection.armory_1@3.armor3.1</t>
  </si>
  <si>
    <t>cost.collection.armory_1@3.armor4.1</t>
  </si>
  <si>
    <t>cost.collection.armory_1@3.shield1.1</t>
  </si>
  <si>
    <t>cost.collection.armory_1@3.shield2.1</t>
  </si>
  <si>
    <t>cost.collection.armory_1@3.shield3.1</t>
  </si>
  <si>
    <t>cost.collection.armory_1@3.shield4.1</t>
  </si>
  <si>
    <t>cost.collection.armory_1@3.sword1.1</t>
  </si>
  <si>
    <t>cost.collection.armory_1@3.sword2.1</t>
  </si>
  <si>
    <t>cost.collection.armory_1@3.sword3.1</t>
  </si>
  <si>
    <t>cost.collection.armory_1@3.sword4.1</t>
  </si>
  <si>
    <t>cost.collection.armory_2@1.armor4p.1</t>
  </si>
  <si>
    <t>armor4p</t>
  </si>
  <si>
    <t>cost.collection.armory_2@1.shield4p.1</t>
  </si>
  <si>
    <t>shield4p</t>
  </si>
  <si>
    <t>cost.collection.armory_2@1.sword4p.1</t>
  </si>
  <si>
    <t>sword4p</t>
  </si>
  <si>
    <t>cost.collection.attic@1.drum.1</t>
  </si>
  <si>
    <t>cost.collection.attic@1.fan.1</t>
  </si>
  <si>
    <t>cost.collection.attic@1.firework.1</t>
  </si>
  <si>
    <t>firework</t>
  </si>
  <si>
    <t>cost.collection.attic@1.katana.1</t>
  </si>
  <si>
    <t>cost.collection.attic@1.kimono.1</t>
  </si>
  <si>
    <t>cost.collection.attic@1.ninja.1</t>
  </si>
  <si>
    <t>cost.collection.attic@1.samurai.1</t>
  </si>
  <si>
    <t>cost.collection.attic@1.shuriken.1</t>
  </si>
  <si>
    <t>shuriken</t>
  </si>
  <si>
    <t>cost.collection.attic@1.spikes.1</t>
  </si>
  <si>
    <t>spikes</t>
  </si>
  <si>
    <t>cost.collection.attic@2.drum.1</t>
  </si>
  <si>
    <t>cost.collection.attic@2.fan.1</t>
  </si>
  <si>
    <t>cost.collection.attic@2.firework.1</t>
  </si>
  <si>
    <t>cost.collection.attic@2.katana.1</t>
  </si>
  <si>
    <t>cost.collection.attic@2.kimono.1</t>
  </si>
  <si>
    <t>cost.collection.attic@2.ninja.1</t>
  </si>
  <si>
    <t>cost.collection.attic@2.samurai.1</t>
  </si>
  <si>
    <t>cost.collection.attic@2.shuriken.1</t>
  </si>
  <si>
    <t>cost.collection.attic@2.spikes.1</t>
  </si>
  <si>
    <t>cost.collection.attic@3.drum.1</t>
  </si>
  <si>
    <t>cost.collection.attic@3.fan.1</t>
  </si>
  <si>
    <t>cost.collection.attic@3.firework.1</t>
  </si>
  <si>
    <t>cost.collection.attic@3.katana.1</t>
  </si>
  <si>
    <t>cost.collection.attic@3.kimono.1</t>
  </si>
  <si>
    <t>cost.collection.attic@3.ninja.1</t>
  </si>
  <si>
    <t>cost.collection.attic@3.samurai.1</t>
  </si>
  <si>
    <t>cost.collection.attic@3.shuriken.1</t>
  </si>
  <si>
    <t>cost.collection.attic@3.spikes.1</t>
  </si>
  <si>
    <t>cost.collection.attic@4.drum.1</t>
  </si>
  <si>
    <t>cost.collection.attic@4.fan.1</t>
  </si>
  <si>
    <t>cost.collection.attic@4.firework.1</t>
  </si>
  <si>
    <t>cost.collection.attic@4.katana.1</t>
  </si>
  <si>
    <t>cost.collection.attic@4.kimono.1</t>
  </si>
  <si>
    <t>cost.collection.attic@4.ninja.1</t>
  </si>
  <si>
    <t>cost.collection.attic@4.samurai.1</t>
  </si>
  <si>
    <t>cost.collection.attic@4.shuriken.1</t>
  </si>
  <si>
    <t>cost.collection.attic@4.spikes.1</t>
  </si>
  <si>
    <t>cost.collection.attic@5.drum.1</t>
  </si>
  <si>
    <t>cost.collection.attic@5.fan.1</t>
  </si>
  <si>
    <t>cost.collection.attic@5.firework.1</t>
  </si>
  <si>
    <t>cost.collection.attic@5.katana.1</t>
  </si>
  <si>
    <t>cost.collection.attic@5.kimono.1</t>
  </si>
  <si>
    <t>cost.collection.attic@5.ninja.1</t>
  </si>
  <si>
    <t>cost.collection.attic@5.samurai.1</t>
  </si>
  <si>
    <t>cost.collection.attic@5.shuriken.1</t>
  </si>
  <si>
    <t>cost.collection.attic@5.spikes.1</t>
  </si>
  <si>
    <t>cost.collection.bone_dragon@1.bone.1</t>
  </si>
  <si>
    <t>cost.collection.bone_dragon@1.bone.2</t>
  </si>
  <si>
    <t>cost.collection.bone_dragon@1.bone.3</t>
  </si>
  <si>
    <t>cost.collection.bone_dragon@1.bone.4</t>
  </si>
  <si>
    <t>cost.collection.bone_dragon@1.bone.5</t>
  </si>
  <si>
    <t>cost.collection.bone_dragon@1.bone.6</t>
  </si>
  <si>
    <t>cost.collection.bone_dragon@1.bonemeal.1</t>
  </si>
  <si>
    <t>cost.collection.bone_dragon@1.crypto.1</t>
  </si>
  <si>
    <t>cost.collection.bone_dragon@1.diamond.1</t>
  </si>
  <si>
    <t>diamond</t>
  </si>
  <si>
    <t>cost.collection.bone_dragon@1.grimoire.1</t>
  </si>
  <si>
    <t>cost.collection.bone_dragon@1.teeth.1</t>
  </si>
  <si>
    <t>teeth</t>
  </si>
  <si>
    <t>cost.collection.bone_dragon@2.bone.1</t>
  </si>
  <si>
    <t>cost.collection.bone_dragon@2.bone.2</t>
  </si>
  <si>
    <t>cost.collection.bone_dragon@2.bone.3</t>
  </si>
  <si>
    <t>cost.collection.bone_dragon@2.bone.4</t>
  </si>
  <si>
    <t>cost.collection.bone_dragon@2.bone.5</t>
  </si>
  <si>
    <t>cost.collection.bone_dragon@2.bone.6</t>
  </si>
  <si>
    <t>cost.collection.bone_dragon@2.bonemeal.1</t>
  </si>
  <si>
    <t>cost.collection.bone_dragon@2.crypto.1</t>
  </si>
  <si>
    <t>cost.collection.bone_dragon@2.diamond.1</t>
  </si>
  <si>
    <t>cost.collection.bone_dragon@2.grimoire.1</t>
  </si>
  <si>
    <t>cost.collection.bone_dragon@2.teeth.1</t>
  </si>
  <si>
    <t>cost.collection.broken_lever@1.mechanism.1</t>
  </si>
  <si>
    <t>cost.collection.broken_minecart@1.msteel.1</t>
  </si>
  <si>
    <t>cost.collection.cave_in_alchemist_hall@1.petard.1</t>
  </si>
  <si>
    <t>cost.collection.cave_in_bone_dragon@1.petard.1</t>
  </si>
  <si>
    <t>cost.collection.collapsed_staircase@1.beam.1</t>
  </si>
  <si>
    <t>cost.collection.collapsed_staircase@1.blueprint.1</t>
  </si>
  <si>
    <t>cost.collection.collapsed_staircase@1.bonemeal.1</t>
  </si>
  <si>
    <t>cost.collection.collapsed_staircase@1.stone.1</t>
  </si>
  <si>
    <t>cost.collection.courtyard_1@1.ginkgo.1</t>
  </si>
  <si>
    <t>cost.collection.courtyard_1@1.herbs.1</t>
  </si>
  <si>
    <t>cost.collection.courtyard_1@1.herbs.2</t>
  </si>
  <si>
    <t>cost.collection.courtyard_1@1.herbs.3</t>
  </si>
  <si>
    <t>cost.collection.courtyard_1@1.honey.1</t>
  </si>
  <si>
    <t>honey</t>
  </si>
  <si>
    <t>cost.collection.courtyard_1@1.porcini.1</t>
  </si>
  <si>
    <t>porcini</t>
  </si>
  <si>
    <t>cost.collection.courtyard_1@1.strawberry.1</t>
  </si>
  <si>
    <t>strawberry</t>
  </si>
  <si>
    <t>cost.collection.courtyard_1@1.strawberry.2</t>
  </si>
  <si>
    <t>cost.collection.courtyard_1@1.strawberry.3</t>
  </si>
  <si>
    <t>cost.collection.courtyard_1@1.wood.1</t>
  </si>
  <si>
    <t>cost.collection.courtyard_1@2.ginkgo.1</t>
  </si>
  <si>
    <t>cost.collection.courtyard_1@2.herbs.1</t>
  </si>
  <si>
    <t>cost.collection.courtyard_1@2.herbs.2</t>
  </si>
  <si>
    <t>cost.collection.courtyard_1@2.herbs.3</t>
  </si>
  <si>
    <t>cost.collection.courtyard_1@2.honey.1</t>
  </si>
  <si>
    <t>cost.collection.courtyard_1@2.porcini.1</t>
  </si>
  <si>
    <t>cost.collection.courtyard_1@2.strawberry.1</t>
  </si>
  <si>
    <t>cost.collection.courtyard_1@2.strawberry.2</t>
  </si>
  <si>
    <t>cost.collection.courtyard_1@2.strawberry.3</t>
  </si>
  <si>
    <t>cost.collection.courtyard_1@2.wood.1</t>
  </si>
  <si>
    <t>cost.collection.courtyard_2@1.bamboo.1</t>
  </si>
  <si>
    <t>cost.collection.courtyard_2@1.bamboo.2</t>
  </si>
  <si>
    <t>cost.collection.courtyard_2@1.bamboo.3</t>
  </si>
  <si>
    <t>cost.collection.crystal_cave@1.bluecrystal.1</t>
  </si>
  <si>
    <t>cost.collection.crystal_cave@1.greencrystal.1</t>
  </si>
  <si>
    <t>cost.collection.crystal_cave@1.quartz.1</t>
  </si>
  <si>
    <t>cost.collection.crystal_cave@1.redcrystal.1</t>
  </si>
  <si>
    <t>cost.collection.crystal_cave@1.violetcrystal.1</t>
  </si>
  <si>
    <t>cost.collection.gallery_1@1.apy.1</t>
  </si>
  <si>
    <t>cost.collection.gallery_1@1.cinnabar.1</t>
  </si>
  <si>
    <t>cinnabar</t>
  </si>
  <si>
    <t>cost.collection.gallery_1@1.mandrake.1</t>
  </si>
  <si>
    <t>cost.collection.gallery_1@1.miron.1</t>
  </si>
  <si>
    <t>cost.collection.gallery_1@1.reagent.1</t>
  </si>
  <si>
    <t>cost.collection.gallery_1@1.titanium.1</t>
  </si>
  <si>
    <t>cost.collection.gallery_1@2.apy.1</t>
  </si>
  <si>
    <t>cost.collection.gallery_1@2.cinnabar.1</t>
  </si>
  <si>
    <t>cost.collection.gallery_1@2.mandrake.1</t>
  </si>
  <si>
    <t>cost.collection.gallery_1@2.miron.1</t>
  </si>
  <si>
    <t>cost.collection.gallery_1@2.reagent.1</t>
  </si>
  <si>
    <t>cost.collection.gallery_1@2.titanium.1</t>
  </si>
  <si>
    <t>cost.collection.gallery_1@3.apy.1</t>
  </si>
  <si>
    <t>cost.collection.gallery_1@3.cinnabar.1</t>
  </si>
  <si>
    <t>cost.collection.gallery_1@3.mandrake.1</t>
  </si>
  <si>
    <t>cost.collection.gallery_1@3.miron.1</t>
  </si>
  <si>
    <t>cost.collection.gallery_1@3.reagent.1</t>
  </si>
  <si>
    <t>cost.collection.gallery_1@3.titanium.1</t>
  </si>
  <si>
    <t>cost.collection.gallery_1@4.apy.1</t>
  </si>
  <si>
    <t>cost.collection.gallery_1@4.cinnabar.1</t>
  </si>
  <si>
    <t>cost.collection.gallery_1@4.mandrake.1</t>
  </si>
  <si>
    <t>cost.collection.gallery_1@4.miron.1</t>
  </si>
  <si>
    <t>cost.collection.gallery_1@4.reagent.1</t>
  </si>
  <si>
    <t>cost.collection.gallery_1@4.titanium.1</t>
  </si>
  <si>
    <t>cost.collection.gallery_1@5.apy.1</t>
  </si>
  <si>
    <t>cost.collection.gallery_1@5.cinnabar.1</t>
  </si>
  <si>
    <t>cost.collection.gallery_1@5.mandrake.1</t>
  </si>
  <si>
    <t>cost.collection.gallery_1@5.miron.1</t>
  </si>
  <si>
    <t>cost.collection.gallery_1@5.reagent.1</t>
  </si>
  <si>
    <t>cost.collection.gallery_1@5.titanium.1</t>
  </si>
  <si>
    <t>cost.collection.gallery_2@1.hide.1</t>
  </si>
  <si>
    <t>cost.collection.gallery_2@1.horn.1</t>
  </si>
  <si>
    <t>horn</t>
  </si>
  <si>
    <t>cost.collection.gallery_2@1.teeth.1</t>
  </si>
  <si>
    <t>cost.collection.gallery_2@2.hide.1</t>
  </si>
  <si>
    <t>cost.collection.gallery_2@2.horn.1</t>
  </si>
  <si>
    <t>cost.collection.gallery_2@2.teeth.1</t>
  </si>
  <si>
    <t>cost.collection.gallery_2@3.hide.1</t>
  </si>
  <si>
    <t>cost.collection.gallery_2@3.horn.1</t>
  </si>
  <si>
    <t>cost.collection.gallery_2@3.teeth.1</t>
  </si>
  <si>
    <t>cost.collection.gallery_2@4.hide.1</t>
  </si>
  <si>
    <t>cost.collection.gallery_2@4.horn.1</t>
  </si>
  <si>
    <t>cost.collection.gallery_2@4.teeth.1</t>
  </si>
  <si>
    <t>cost.collection.gallery_2@5.hide.1</t>
  </si>
  <si>
    <t>cost.collection.gallery_2@5.horn.1</t>
  </si>
  <si>
    <t>cost.collection.gallery_2@5.teeth.1</t>
  </si>
  <si>
    <t>cost.collection.gallery_3@1.bluecrystal.1</t>
  </si>
  <si>
    <t>cost.collection.gallery_3@1.greencrystal.1</t>
  </si>
  <si>
    <t>cost.collection.gallery_3@1.quartz.1</t>
  </si>
  <si>
    <t>cost.collection.gallery_3@1.redcrystal.1</t>
  </si>
  <si>
    <t>cost.collection.gallery_3@1.violetcrystal.1</t>
  </si>
  <si>
    <t>cost.collection.gallery_3@2.bluecrystal.1</t>
  </si>
  <si>
    <t>cost.collection.gallery_3@2.greencrystal.1</t>
  </si>
  <si>
    <t>cost.collection.gallery_3@2.quartz.1</t>
  </si>
  <si>
    <t>cost.collection.gallery_3@2.redcrystal.1</t>
  </si>
  <si>
    <t>cost.collection.gallery_3@2.violetcrystal.1</t>
  </si>
  <si>
    <t>cost.collection.gallery_3@3.bluecrystal.1</t>
  </si>
  <si>
    <t>cost.collection.gallery_3@3.greencrystal.1</t>
  </si>
  <si>
    <t>cost.collection.gallery_3@3.quartz.1</t>
  </si>
  <si>
    <t>cost.collection.gallery_3@3.redcrystal.1</t>
  </si>
  <si>
    <t>cost.collection.gallery_3@3.violetcrystal.1</t>
  </si>
  <si>
    <t>cost.collection.gallery_3@4.bluecrystal.1</t>
  </si>
  <si>
    <t>cost.collection.gallery_3@4.greencrystal.1</t>
  </si>
  <si>
    <t>cost.collection.gallery_3@4.quartz.1</t>
  </si>
  <si>
    <t>cost.collection.gallery_3@4.redcrystal.1</t>
  </si>
  <si>
    <t>cost.collection.gallery_3@4.violetcrystal.1</t>
  </si>
  <si>
    <t>cost.collection.gallery_3@5.bluecrystal.1</t>
  </si>
  <si>
    <t>cost.collection.gallery_3@5.greencrystal.1</t>
  </si>
  <si>
    <t>cost.collection.gallery_3@5.quartz.1</t>
  </si>
  <si>
    <t>cost.collection.gallery_3@5.redcrystal.1</t>
  </si>
  <si>
    <t>cost.collection.gallery_3@5.violetcrystal.1</t>
  </si>
  <si>
    <t>cost.collection.historical_library_1@1.blueprint.1</t>
  </si>
  <si>
    <t>cost.collection.historical_library_1@1.grimoire.1</t>
  </si>
  <si>
    <t>cost.collection.historical_library_1@1.page.1</t>
  </si>
  <si>
    <t>cost.collection.historical_library_1@1.scroll.1</t>
  </si>
  <si>
    <t>cost.collection.historical_library_1@2.blueprint.1</t>
  </si>
  <si>
    <t>cost.collection.historical_library_1@2.grimoire.1</t>
  </si>
  <si>
    <t>cost.collection.historical_library_1@2.page.1</t>
  </si>
  <si>
    <t>cost.collection.historical_library_1@2.scroll.1</t>
  </si>
  <si>
    <t>cost.collection.historical_library_1@3.blueprint.1</t>
  </si>
  <si>
    <t>cost.collection.historical_library_1@3.grimoire.1</t>
  </si>
  <si>
    <t>cost.collection.historical_library_1@3.page.1</t>
  </si>
  <si>
    <t>cost.collection.historical_library_1@3.scroll.1</t>
  </si>
  <si>
    <t>cost.collection.historical_library_2@1.map1.1</t>
  </si>
  <si>
    <t>map1</t>
  </si>
  <si>
    <t>cost.collection.historical_library_2@1.map2.1</t>
  </si>
  <si>
    <t>map2</t>
  </si>
  <si>
    <t>cost.collection.historical_library_2@1.map3.1</t>
  </si>
  <si>
    <t>map3</t>
  </si>
  <si>
    <t>cost.collection.historical_library_2@2.map1.1</t>
  </si>
  <si>
    <t>cost.collection.historical_library_2@2.map2.1</t>
  </si>
  <si>
    <t>cost.collection.historical_library_2@2.map3.1</t>
  </si>
  <si>
    <t>cost.collection.historical_library_2@3.map1.1</t>
  </si>
  <si>
    <t>cost.collection.historical_library_2@3.map2.1</t>
  </si>
  <si>
    <t>cost.collection.historical_library_2@3.map3.1</t>
  </si>
  <si>
    <t>cost.collection.horse@1.coin.1</t>
  </si>
  <si>
    <t>cost.collection.kitchen_and_buttery_1@1.honey.1</t>
  </si>
  <si>
    <t>cost.collection.kitchen_and_buttery_1@1.jam.1</t>
  </si>
  <si>
    <t>jam</t>
  </si>
  <si>
    <t>cost.collection.kitchen_and_buttery_1@1.oil.1</t>
  </si>
  <si>
    <t>cost.collection.kitchen_and_buttery_1@1.plank.1</t>
  </si>
  <si>
    <t>cost.collection.kitchen_and_buttery_1@1.plank.2</t>
  </si>
  <si>
    <t>cost.collection.kitchen_and_buttery_1@1.plank.3</t>
  </si>
  <si>
    <t>cost.collection.kitchen_and_buttery_1@1.plank.4</t>
  </si>
  <si>
    <t>cost.collection.kitchen_and_buttery_1@1.plank.5</t>
  </si>
  <si>
    <t>cost.collection.kitchen_and_buttery_1@1.plank.6</t>
  </si>
  <si>
    <t>cost.collection.kitchen_and_buttery_1@1.plank.7</t>
  </si>
  <si>
    <t>cost.collection.kitchen_and_buttery_1@1.plank.8</t>
  </si>
  <si>
    <t>cost.collection.kitchen_and_buttery_1@1.soy.1</t>
  </si>
  <si>
    <t>cost.collection.kitchen_and_buttery_1@2.honey.1</t>
  </si>
  <si>
    <t>cost.collection.kitchen_and_buttery_1@2.jam.1</t>
  </si>
  <si>
    <t>cost.collection.kitchen_and_buttery_1@2.oil.1</t>
  </si>
  <si>
    <t>cost.collection.kitchen_and_buttery_1@2.plank.1</t>
  </si>
  <si>
    <t>cost.collection.kitchen_and_buttery_1@2.plank.2</t>
  </si>
  <si>
    <t>cost.collection.kitchen_and_buttery_1@2.plank.3</t>
  </si>
  <si>
    <t>cost.collection.kitchen_and_buttery_1@2.plank.4</t>
  </si>
  <si>
    <t>cost.collection.kitchen_and_buttery_1@2.plank.5</t>
  </si>
  <si>
    <t>cost.collection.kitchen_and_buttery_1@2.plank.6</t>
  </si>
  <si>
    <t>cost.collection.kitchen_and_buttery_1@2.plank.7</t>
  </si>
  <si>
    <t>cost.collection.kitchen_and_buttery_1@2.plank.8</t>
  </si>
  <si>
    <t>cost.collection.kitchen_and_buttery_1@2.soy.1</t>
  </si>
  <si>
    <t>cost.collection.kitchen_and_buttery_1@3.honey.1</t>
  </si>
  <si>
    <t>cost.collection.kitchen_and_buttery_1@3.jam.1</t>
  </si>
  <si>
    <t>cost.collection.kitchen_and_buttery_1@3.oil.1</t>
  </si>
  <si>
    <t>cost.collection.kitchen_and_buttery_1@3.plank.1</t>
  </si>
  <si>
    <t>cost.collection.kitchen_and_buttery_1@3.plank.2</t>
  </si>
  <si>
    <t>cost.collection.kitchen_and_buttery_1@3.plank.3</t>
  </si>
  <si>
    <t>cost.collection.kitchen_and_buttery_1@3.plank.4</t>
  </si>
  <si>
    <t>cost.collection.kitchen_and_buttery_1@3.plank.5</t>
  </si>
  <si>
    <t>cost.collection.kitchen_and_buttery_1@3.plank.6</t>
  </si>
  <si>
    <t>cost.collection.kitchen_and_buttery_1@3.plank.7</t>
  </si>
  <si>
    <t>cost.collection.kitchen_and_buttery_1@3.plank.8</t>
  </si>
  <si>
    <t>cost.collection.kitchen_and_buttery_1@3.soy.1</t>
  </si>
  <si>
    <t>cost.collection.kitchen_and_buttery_1@4.honey.1</t>
  </si>
  <si>
    <t>cost.collection.kitchen_and_buttery_1@4.jam.1</t>
  </si>
  <si>
    <t>cost.collection.kitchen_and_buttery_1@4.oil.1</t>
  </si>
  <si>
    <t>cost.collection.kitchen_and_buttery_1@4.plank.1</t>
  </si>
  <si>
    <t>cost.collection.kitchen_and_buttery_1@4.plank.2</t>
  </si>
  <si>
    <t>cost.collection.kitchen_and_buttery_1@4.plank.3</t>
  </si>
  <si>
    <t>cost.collection.kitchen_and_buttery_1@4.plank.4</t>
  </si>
  <si>
    <t>cost.collection.kitchen_and_buttery_1@4.plank.5</t>
  </si>
  <si>
    <t>cost.collection.kitchen_and_buttery_1@4.plank.6</t>
  </si>
  <si>
    <t>cost.collection.kitchen_and_buttery_1@4.plank.7</t>
  </si>
  <si>
    <t>cost.collection.kitchen_and_buttery_1@4.plank.8</t>
  </si>
  <si>
    <t>cost.collection.kitchen_and_buttery_1@4.soy.1</t>
  </si>
  <si>
    <t>cost.collection.kitchen_and_buttery_1@5.honey.1</t>
  </si>
  <si>
    <t>cost.collection.kitchen_and_buttery_1@5.jam.1</t>
  </si>
  <si>
    <t>cost.collection.kitchen_and_buttery_1@5.oil.1</t>
  </si>
  <si>
    <t>cost.collection.kitchen_and_buttery_1@5.plank.1</t>
  </si>
  <si>
    <t>cost.collection.kitchen_and_buttery_1@5.plank.2</t>
  </si>
  <si>
    <t>cost.collection.kitchen_and_buttery_1@5.plank.3</t>
  </si>
  <si>
    <t>cost.collection.kitchen_and_buttery_1@5.plank.4</t>
  </si>
  <si>
    <t>cost.collection.kitchen_and_buttery_1@5.plank.5</t>
  </si>
  <si>
    <t>cost.collection.kitchen_and_buttery_1@5.plank.6</t>
  </si>
  <si>
    <t>cost.collection.kitchen_and_buttery_1@5.plank.7</t>
  </si>
  <si>
    <t>cost.collection.kitchen_and_buttery_1@5.plank.8</t>
  </si>
  <si>
    <t>cost.collection.kitchen_and_buttery_1@5.soy.1</t>
  </si>
  <si>
    <t>cost.collection.kitchen_and_buttery_2@1.charcoal.1</t>
  </si>
  <si>
    <t>cost.collection.kitchen_and_buttery_2@1.oil.1</t>
  </si>
  <si>
    <t>cost.collection.kitchen_and_buttery_2@1.plank.1</t>
  </si>
  <si>
    <t>cost.collection.kitchen_and_buttery_2@1.plank.2</t>
  </si>
  <si>
    <t>cost.collection.kitchen_and_buttery_2@1.plank.3</t>
  </si>
  <si>
    <t>cost.collection.mushroom_farm@1.mushrooms.1</t>
  </si>
  <si>
    <t>cost.collection.mushroom_farm@1.mushrooms.2</t>
  </si>
  <si>
    <t>cost.collection.mushroom_farm@1.mushrooms.3</t>
  </si>
  <si>
    <t>cost.collection.mushroom_farm@1.mushrooms.4</t>
  </si>
  <si>
    <t>cost.collection.mushroom_farm@1.mushrooms.5</t>
  </si>
  <si>
    <t>cost.collection.mushroom_farm@1.mushrooms.6</t>
  </si>
  <si>
    <t>cost.collection.mushroom_farm@2.mushrooms.1</t>
  </si>
  <si>
    <t>cost.collection.mushroom_farm@2.mushrooms.2</t>
  </si>
  <si>
    <t>cost.collection.mushroom_farm@2.mushrooms.3</t>
  </si>
  <si>
    <t>cost.collection.mushroom_farm@2.mushrooms.4</t>
  </si>
  <si>
    <t>cost.collection.mushroom_farm@2.mushrooms.5</t>
  </si>
  <si>
    <t>cost.collection.mushroom_farm@2.mushrooms.6</t>
  </si>
  <si>
    <t>cost.collection.orangery@1.cherry.1</t>
  </si>
  <si>
    <t>cost.collection.orangery@1.cherry.2</t>
  </si>
  <si>
    <t>cost.collection.orangery@1.cherry.3</t>
  </si>
  <si>
    <t>cost.collection.orangery@1.cherry.4</t>
  </si>
  <si>
    <t>cost.collection.orangery@1.cherry.5</t>
  </si>
  <si>
    <t>cost.collection.orangery@1.cherry.6</t>
  </si>
  <si>
    <t>cost.collection.orangery@1.stone.1</t>
  </si>
  <si>
    <t>cost.collection.orangery@1.stone.2</t>
  </si>
  <si>
    <t>cost.collection.orangery@2.cherry.1</t>
  </si>
  <si>
    <t>cost.collection.orangery@2.cherry.2</t>
  </si>
  <si>
    <t>cost.collection.orangery@2.cherry.3</t>
  </si>
  <si>
    <t>cost.collection.orangery@2.cherry.4</t>
  </si>
  <si>
    <t>cost.collection.orangery@2.cherry.5</t>
  </si>
  <si>
    <t>cost.collection.orangery@2.cherry.6</t>
  </si>
  <si>
    <t>cost.collection.orangery@2.stone.1</t>
  </si>
  <si>
    <t>cost.collection.orangery@2.stone.2</t>
  </si>
  <si>
    <t>cost.collection.pantry_1@1.avocado.1</t>
  </si>
  <si>
    <t>avocado</t>
  </si>
  <si>
    <t>cost.collection.pantry_1@1.beans.1</t>
  </si>
  <si>
    <t>cost.collection.pantry_1@1.dates.1</t>
  </si>
  <si>
    <t>dates</t>
  </si>
  <si>
    <t>cost.collection.pantry_1@1.flour.1</t>
  </si>
  <si>
    <t>flour</t>
  </si>
  <si>
    <t>cost.collection.pantry_1@1.glass.1</t>
  </si>
  <si>
    <t>cost.collection.pantry_1@1.paper.1</t>
  </si>
  <si>
    <t>cost.collection.pantry_1@1.rice.1</t>
  </si>
  <si>
    <t>cost.collection.pantry_1@1.salmon.1</t>
  </si>
  <si>
    <t>salmon</t>
  </si>
  <si>
    <t>cost.collection.pantry_1@1.silk.1</t>
  </si>
  <si>
    <t>cost.collection.pantry_1@1.spices.1</t>
  </si>
  <si>
    <t>cost.collection.pantry_1@1.thread.1</t>
  </si>
  <si>
    <t>cost.collection.pantry_1@1.tuna.1</t>
  </si>
  <si>
    <t>tuna</t>
  </si>
  <si>
    <t>cost.collection.pantry_1@2.avocado.1</t>
  </si>
  <si>
    <t>cost.collection.pantry_1@2.beans.1</t>
  </si>
  <si>
    <t>cost.collection.pantry_1@2.dates.1</t>
  </si>
  <si>
    <t>cost.collection.pantry_1@2.flour.1</t>
  </si>
  <si>
    <t>cost.collection.pantry_1@2.glass.1</t>
  </si>
  <si>
    <t>cost.collection.pantry_1@2.paper.1</t>
  </si>
  <si>
    <t>cost.collection.pantry_1@2.rice.1</t>
  </si>
  <si>
    <t>cost.collection.pantry_1@2.salmon.1</t>
  </si>
  <si>
    <t>cost.collection.pantry_1@2.silk.1</t>
  </si>
  <si>
    <t>cost.collection.pantry_1@2.spices.1</t>
  </si>
  <si>
    <t>cost.collection.pantry_1@2.thread.1</t>
  </si>
  <si>
    <t>cost.collection.pantry_1@2.tuna.1</t>
  </si>
  <si>
    <t>cost.collection.pantry_1@3.avocado.1</t>
  </si>
  <si>
    <t>cost.collection.pantry_1@3.beans.1</t>
  </si>
  <si>
    <t>cost.collection.pantry_1@3.dates.1</t>
  </si>
  <si>
    <t>cost.collection.pantry_1@3.flour.1</t>
  </si>
  <si>
    <t>cost.collection.pantry_1@3.glass.1</t>
  </si>
  <si>
    <t>cost.collection.pantry_1@3.paper.1</t>
  </si>
  <si>
    <t>cost.collection.pantry_1@3.rice.1</t>
  </si>
  <si>
    <t>cost.collection.pantry_1@3.salmon.1</t>
  </si>
  <si>
    <t>cost.collection.pantry_1@3.silk.1</t>
  </si>
  <si>
    <t>cost.collection.pantry_1@3.spices.1</t>
  </si>
  <si>
    <t>cost.collection.pantry_1@3.thread.1</t>
  </si>
  <si>
    <t>cost.collection.pantry_1@3.tuna.1</t>
  </si>
  <si>
    <t>cost.collection.pantry_1@4.avocado.1</t>
  </si>
  <si>
    <t>cost.collection.pantry_1@4.beans.1</t>
  </si>
  <si>
    <t>cost.collection.pantry_1@4.dates.1</t>
  </si>
  <si>
    <t>cost.collection.pantry_1@4.flour.1</t>
  </si>
  <si>
    <t>cost.collection.pantry_1@4.glass.1</t>
  </si>
  <si>
    <t>cost.collection.pantry_1@4.paper.1</t>
  </si>
  <si>
    <t>cost.collection.pantry_1@4.rice.1</t>
  </si>
  <si>
    <t>cost.collection.pantry_1@4.salmon.1</t>
  </si>
  <si>
    <t>cost.collection.pantry_1@4.silk.1</t>
  </si>
  <si>
    <t>cost.collection.pantry_1@4.spices.1</t>
  </si>
  <si>
    <t>cost.collection.pantry_1@4.thread.1</t>
  </si>
  <si>
    <t>cost.collection.pantry_1@4.tuna.1</t>
  </si>
  <si>
    <t>cost.collection.pantry_1@5.avocado.1</t>
  </si>
  <si>
    <t>cost.collection.pantry_1@5.beans.1</t>
  </si>
  <si>
    <t>cost.collection.pantry_1@5.dates.1</t>
  </si>
  <si>
    <t>cost.collection.pantry_1@5.flour.1</t>
  </si>
  <si>
    <t>cost.collection.pantry_1@5.glass.1</t>
  </si>
  <si>
    <t>cost.collection.pantry_1@5.paper.1</t>
  </si>
  <si>
    <t>cost.collection.pantry_1@5.rice.1</t>
  </si>
  <si>
    <t>cost.collection.pantry_1@5.salmon.1</t>
  </si>
  <si>
    <t>cost.collection.pantry_1@5.silk.1</t>
  </si>
  <si>
    <t>cost.collection.pantry_1@5.spices.1</t>
  </si>
  <si>
    <t>cost.collection.pantry_1@5.thread.1</t>
  </si>
  <si>
    <t>cost.collection.pantry_1@5.tuna.1</t>
  </si>
  <si>
    <t>cost.collection.pantry_2@1.plank.1</t>
  </si>
  <si>
    <t>cost.collection.pantry_2@1.plank.2</t>
  </si>
  <si>
    <t>cost.collection.pantry_2@1.steel.1</t>
  </si>
  <si>
    <t>cost.collection.pantry_2@1.stone.1</t>
  </si>
  <si>
    <t>cost.collection.pantry_2@2.plank.1</t>
  </si>
  <si>
    <t>cost.collection.pantry_2@2.plank.2</t>
  </si>
  <si>
    <t>cost.collection.pantry_2@2.steel.1</t>
  </si>
  <si>
    <t>cost.tech.airship.titanium_longerons.apy.1</t>
  </si>
  <si>
    <t>cost.collection.pantry_2@2.stone.1</t>
  </si>
  <si>
    <t>cost.tech.airship.titanium_longerons.blueprint.1</t>
  </si>
  <si>
    <t>cost.collection.pantry_2@3.plank.1</t>
  </si>
  <si>
    <t>cost.tech.airship.titanium_longerons.coin.1</t>
  </si>
  <si>
    <t>cost.collection.pantry_2@3.plank.2</t>
  </si>
  <si>
    <t>cost.tech.airship.titanium_longerons.reagent.1</t>
  </si>
  <si>
    <t>cost.collection.pantry_2@3.steel.1</t>
  </si>
  <si>
    <t>cost.tech.airship.titanium_longerons.ruby.1</t>
  </si>
  <si>
    <t>cost.collection.pantry_2@3.stone.1</t>
  </si>
  <si>
    <t>cost.tech.airship.titanium_longerons.tparts.1</t>
  </si>
  <si>
    <t>tparts</t>
  </si>
  <si>
    <t>cost.collection.pantry_2@4.plank.1</t>
  </si>
  <si>
    <t>cost.tech.alchemists_hut.greek_grenade.chemicals.1</t>
  </si>
  <si>
    <t>cost.collection.pantry_2@4.plank.2</t>
  </si>
  <si>
    <t>cost.tech.alchemists_hut.greek_grenade.coin.1</t>
  </si>
  <si>
    <t>cost.collection.pantry_2@4.steel.1</t>
  </si>
  <si>
    <t>cost.tech.alchemists_hut.greek_grenade.glass.1</t>
  </si>
  <si>
    <t>cost.collection.pantry_2@4.stone.1</t>
  </si>
  <si>
    <t>cost.tech.alchemists_hut.greek_grenade.oil.1</t>
  </si>
  <si>
    <t>cost.collection.pantry_2@5.plank.1</t>
  </si>
  <si>
    <t>cost.tech.alchemists_hut.greek_grenade.page.1</t>
  </si>
  <si>
    <t>cost.collection.pantry_2@5.plank.2</t>
  </si>
  <si>
    <t>cost.tech.alchemists_hut.greek_grenade.ruby.1</t>
  </si>
  <si>
    <t>cost.collection.pantry_2@5.steel.1</t>
  </si>
  <si>
    <t>cost.tech.alchemists_hut.synthetic_fertilizer.blueprint.1</t>
  </si>
  <si>
    <t>cost.collection.pantry_2@5.stone.1</t>
  </si>
  <si>
    <t>cost.tech.alchemists_hut.synthetic_fertilizer.charcoal.1</t>
  </si>
  <si>
    <t>cost.collection.pantry_3@1.charcoal.1</t>
  </si>
  <si>
    <t>cost.tech.alchemists_hut.synthetic_fertilizer.chemicals.1</t>
  </si>
  <si>
    <t>cost.collection.pantry_3@1.chemicals.1</t>
  </si>
  <si>
    <t>cost.tech.alchemists_hut.synthetic_fertilizer.coin.1</t>
  </si>
  <si>
    <t>cost.collection.pantry_3@1.gunpowder.1</t>
  </si>
  <si>
    <t>cost.tech.alchemists_hut.synthetic_fertilizer.reagent.1</t>
  </si>
  <si>
    <t>cost.collection.pantry_3@1.isand.1</t>
  </si>
  <si>
    <t>cost.tech.alchemists_hut.synthetic_fertilizer.ruby.1</t>
  </si>
  <si>
    <t>isand</t>
  </si>
  <si>
    <t>cost.collection.pantry_3@2.charcoal.1</t>
  </si>
  <si>
    <t>cost.tech.alchemists_hut.balm.cinnabar.1</t>
  </si>
  <si>
    <t>cost.tech.alchemists_hut.balm.coin.1</t>
  </si>
  <si>
    <t>cost.collection.pantry_3@2.chemicals.1</t>
  </si>
  <si>
    <t>cost.tech.alchemists_hut.balm.glass.1</t>
  </si>
  <si>
    <t>cost.collection.pantry_3@2.gunpowder.1</t>
  </si>
  <si>
    <t>cost.tech.alchemists_hut.balm.grimoire.1</t>
  </si>
  <si>
    <t>cost.collection.pantry_3@2.isand.1</t>
  </si>
  <si>
    <t>cost.tech.alchemists_hut.balm.herbs.1</t>
  </si>
  <si>
    <t>cost.collection.pantry_3@3.charcoal.1</t>
  </si>
  <si>
    <t>cost.tech.alchemists_hut.balm.oil.1</t>
  </si>
  <si>
    <t>cost.collection.pantry_3@3.chemicals.1</t>
  </si>
  <si>
    <t>cost.tech.alchemists_hut.balm.ruby.1</t>
  </si>
  <si>
    <t>cost.collection.pantry_3@3.gunpowder.1</t>
  </si>
  <si>
    <t>cost.tech.alchemists_hut.potion_of_mental_power.cinnabar.1</t>
  </si>
  <si>
    <t>cost.collection.pantry_3@3.isand.1</t>
  </si>
  <si>
    <t>cost.tech.alchemists_hut.potion_of_mental_power.coin.1</t>
  </si>
  <si>
    <t>cost.collection.pantry_3@4.charcoal.1</t>
  </si>
  <si>
    <t>cost.tech.alchemists_hut.potion_of_mental_power.ginkgo.1</t>
  </si>
  <si>
    <t>cost.collection.pantry_3@4.chemicals.1</t>
  </si>
  <si>
    <t>cost.tech.alchemists_hut.potion_of_mental_power.glass.1</t>
  </si>
  <si>
    <t>cost.collection.pantry_3@4.gunpowder.1</t>
  </si>
  <si>
    <t>cost.tech.alchemists_hut.potion_of_mental_power.grimoire.1</t>
  </si>
  <si>
    <t>cost.collection.pantry_3@4.isand.1</t>
  </si>
  <si>
    <t>cost.tech.alchemists_hut.potion_of_mental_power.herbs.1</t>
  </si>
  <si>
    <t>cost.collection.pantry_3@5.charcoal.1</t>
  </si>
  <si>
    <t>cost.tech.alchemists_hut.potion_of_mental_power.reagent.1</t>
  </si>
  <si>
    <t>cost.collection.pantry_3@5.chemicals.1</t>
  </si>
  <si>
    <t>cost.tech.alchemists_hut.potion_of_mental_power.ruby.1</t>
  </si>
  <si>
    <t>cost.collection.pantry_3@5.gunpowder.1</t>
  </si>
  <si>
    <t>cost.tech.alchemists_hut.mercury.charcoal.1</t>
  </si>
  <si>
    <t>cost.collection.pantry_3@5.isand.1</t>
  </si>
  <si>
    <t>cost.tech.alchemists_hut.mercury.cinnabar.1</t>
  </si>
  <si>
    <t>cost.collection.pantry_4@1.egg.1</t>
  </si>
  <si>
    <t>cost.tech.alchemists_hut.mercury.coin.1</t>
  </si>
  <si>
    <t>cost.collection.pantry_4@1.milk.1</t>
  </si>
  <si>
    <t>cost.collection.pantry_4@1.vintcheese.1</t>
  </si>
  <si>
    <t>vintcheese</t>
  </si>
  <si>
    <t>cost.tech.alchemists_hut.mercury.glass.1</t>
  </si>
  <si>
    <t>cost.collection.rotten_ladder@1.plank.1</t>
  </si>
  <si>
    <t>cost.tech.alchemists_hut.mercury.grimoire.1</t>
  </si>
  <si>
    <t>cost.collection.staircase@1.beam.1</t>
  </si>
  <si>
    <t>cost.tech.alchemists_hut.mercury.reagent.1</t>
  </si>
  <si>
    <t>cost.collection.staircase@1.blueprint.1</t>
  </si>
  <si>
    <t>cost.tech.alchemists_hut.mercury.ruby.1</t>
  </si>
  <si>
    <t>cost.collection.staircase@1.bonemeal.1</t>
  </si>
  <si>
    <t>cost.tech.alchemists_hut.gold_ingot.apy.1</t>
  </si>
  <si>
    <t>cost.collection.staircase@1.stone.1</t>
  </si>
  <si>
    <t>cost.tech.alchemists_hut.gold_ingot.charcoal.1</t>
  </si>
  <si>
    <t>cost.collection.statue@1.stone.1</t>
  </si>
  <si>
    <t>cost.tech.alchemists_hut.gold_ingot.grimoire.1</t>
  </si>
  <si>
    <t>cost.collection.tavern@1.cake.1</t>
  </si>
  <si>
    <t>cake</t>
  </si>
  <si>
    <t>cost.tech.alchemists_hut.gold_ingot.ingot.1</t>
  </si>
  <si>
    <t>cost.collection.tavern@1.cup.1</t>
  </si>
  <si>
    <t>cost.tech.alchemists_hut.gold_ingot.mercury.1</t>
  </si>
  <si>
    <t>cup</t>
  </si>
  <si>
    <t>cost.collection.tavern@1.fried.1</t>
  </si>
  <si>
    <t>cost.tech.alchemists_hut.gold_ingot.ruby.1</t>
  </si>
  <si>
    <t>fried</t>
  </si>
  <si>
    <t>cost.collection.tavern@1.mcola.1</t>
  </si>
  <si>
    <t>cost.tech.alchemists_hut.madness_grenade.apy.1</t>
  </si>
  <si>
    <t>mcola</t>
  </si>
  <si>
    <t>cost.tech.alchemists_hut.madness_grenade.coin.1</t>
  </si>
  <si>
    <t>cost.collection.tavern@1.pasta.1</t>
  </si>
  <si>
    <t>pasta</t>
  </si>
  <si>
    <t>cost.tech.alchemists_hut.madness_grenade.glass.1</t>
  </si>
  <si>
    <t>cost.collection.tavern@1.ramen.1</t>
  </si>
  <si>
    <t>cost.tech.alchemists_hut.madness_grenade.grimoire.1</t>
  </si>
  <si>
    <t>cost.collection.tavern@1.smoothie2.1</t>
  </si>
  <si>
    <t>smoothie2</t>
  </si>
  <si>
    <t>cost.tech.alchemists_hut.madness_grenade.gunpowder.1</t>
  </si>
  <si>
    <t>cost.collection.tavern@1.sushi.1</t>
  </si>
  <si>
    <t>cost.tech.alchemists_hut.madness_grenade.herbs.1</t>
  </si>
  <si>
    <t>cost.collection.tavern@1.teriyaki.1</t>
  </si>
  <si>
    <t>teriyaki</t>
  </si>
  <si>
    <t>cost.tech.alchemists_hut.madness_grenade.mercury.1</t>
  </si>
  <si>
    <t>cost.collection.tavern@2.cake.1</t>
  </si>
  <si>
    <t>cost.tech.alchemists_hut.madness_grenade.ruby.1</t>
  </si>
  <si>
    <t>cost.collection.tavern@2.cup.1</t>
  </si>
  <si>
    <t>cost.collection.tavern@2.fried.1</t>
  </si>
  <si>
    <t>cost.tech.alchemists_hut.potion_of_healing.coin.1</t>
  </si>
  <si>
    <t>cost.collection.tavern@2.mcola.1</t>
  </si>
  <si>
    <t>cost.tech.alchemists_hut.potion_of_healing.crypto.1</t>
  </si>
  <si>
    <t>cost.collection.tavern@2.pasta.1</t>
  </si>
  <si>
    <t>cost.tech.alchemists_hut.potion_of_healing.glass.1</t>
  </si>
  <si>
    <t>cost.tech.alchemists_hut.potion_of_healing.page.1</t>
  </si>
  <si>
    <t>cost.collection.tavern@2.ramen.1</t>
  </si>
  <si>
    <t>cost.tech.alchemists_hut.potion_of_healing.reagent.1</t>
  </si>
  <si>
    <t>cost.collection.tavern@2.smoothie2.1</t>
  </si>
  <si>
    <t>cost.tech.alchemists_hut.potion_of_healing.ruby.1</t>
  </si>
  <si>
    <t>cost.collection.tavern@2.sushi.1</t>
  </si>
  <si>
    <t>cost.tech.alchemists_hut.potion_of_energy.coin.1</t>
  </si>
  <si>
    <t>cost.collection.tavern@2.teriyaki.1</t>
  </si>
  <si>
    <t>cost.tech.alchemists_hut.potion_of_energy.crypto.1</t>
  </si>
  <si>
    <t>cost.collection.treasury_1@1.coin.1</t>
  </si>
  <si>
    <t>cost.tech.alchemists_hut.potion_of_energy.glass.1</t>
  </si>
  <si>
    <t>cost.collection.treasury_1@1.coin.2</t>
  </si>
  <si>
    <t>cost.tech.alchemists_hut.potion_of_energy.page.1</t>
  </si>
  <si>
    <t>cost.tech.alchemists_hut.potion_of_energy.reagent.1</t>
  </si>
  <si>
    <t>cost.collection.treasury_1@1.crypto.1</t>
  </si>
  <si>
    <t>cost.tech.alchemists_hut.potion_of_energy.ruby.1</t>
  </si>
  <si>
    <t>cost.collection.treasury_1@1.dinar.1</t>
  </si>
  <si>
    <t>dinar</t>
  </si>
  <si>
    <t>cost.tech.alchemists_hut.potion_berserker_rage.coin.1</t>
  </si>
  <si>
    <t>cost.collection.treasury_1@1.ingot.1</t>
  </si>
  <si>
    <t>cost.tech.alchemists_hut.potion_berserker_rage.glass.1</t>
  </si>
  <si>
    <t>cost.collection.treasury_1@1.pearl.1</t>
  </si>
  <si>
    <t>cost.tech.alchemists_hut.potion_berserker_rage.mandrake.1</t>
  </si>
  <si>
    <t>cost.collection.treasury_1@1.ruby.1</t>
  </si>
  <si>
    <t>cost.tech.alchemists_hut.potion_berserker_rage.page.1</t>
  </si>
  <si>
    <t>cost.collection.treasury_1@1.treasure.1</t>
  </si>
  <si>
    <t>cost.tech.alchemists_hut.potion_berserker_rage.reagent.1</t>
  </si>
  <si>
    <t>cost.collection.treasury_1@2.coin.1</t>
  </si>
  <si>
    <t>cost.tech.alchemists_hut.potion_berserker_rage.ruby.1</t>
  </si>
  <si>
    <t>cost.collection.treasury_1@2.coin.2</t>
  </si>
  <si>
    <t>cost.tech.alchemists_hut.potion_berserker_rage.spices.1</t>
  </si>
  <si>
    <t>cost.collection.treasury_1@2.crypto.1</t>
  </si>
  <si>
    <t>cost.tech.alchemists_hut.potion_of_healing_lvl_2.catalyst.1</t>
  </si>
  <si>
    <t>cost.collection.treasury_1@2.dinar.1</t>
  </si>
  <si>
    <t>cost.tech.alchemists_hut.potion_of_healing_lvl_2.coin.1</t>
  </si>
  <si>
    <t>cost.collection.treasury_1@2.ingot.1</t>
  </si>
  <si>
    <t>cost.tech.alchemists_hut.potion_of_healing_lvl_2.mandrake.1</t>
  </si>
  <si>
    <t>cost.collection.treasury_1@2.pearl.1</t>
  </si>
  <si>
    <t>cost.tech.alchemists_hut.potion_of_healing_lvl_2.page.1</t>
  </si>
  <si>
    <t>cost.collection.treasury_1@2.ruby.1</t>
  </si>
  <si>
    <t>cost.tech.alchemists_hut.potion_of_healing_lvl_2.poh.1</t>
  </si>
  <si>
    <t>cost.collection.treasury_1@2.treasure.1</t>
  </si>
  <si>
    <t>poh</t>
  </si>
  <si>
    <t>cost.tech.alchemists_hut.potion_of_healing_lvl_2.reagent.1</t>
  </si>
  <si>
    <t>cost.collection.treasury_1@3.coin.1</t>
  </si>
  <si>
    <t>cost.tech.alchemists_hut.potion_of_healing_lvl_2.ruby.1</t>
  </si>
  <si>
    <t>cost.collection.treasury_1@3.coin.2</t>
  </si>
  <si>
    <t>cost.tech.alchemists_hut.potion_ambrosia.catalyst.1</t>
  </si>
  <si>
    <t>cost.collection.treasury_1@3.crypto.1</t>
  </si>
  <si>
    <t>cost.tech.alchemists_hut.potion_ambrosia.coin.1</t>
  </si>
  <si>
    <t>cost.tech.alchemists_hut.potion_ambrosia.mandrake.1</t>
  </si>
  <si>
    <t>cost.collection.treasury_1@3.dinar.1</t>
  </si>
  <si>
    <t>cost.tech.alchemists_hut.potion_ambrosia.page.1</t>
  </si>
  <si>
    <t>cost.collection.treasury_1@3.ingot.1</t>
  </si>
  <si>
    <t>cost.tech.alchemists_hut.potion_ambrosia.poh2.1</t>
  </si>
  <si>
    <t>cost.collection.treasury_1@3.pearl.1</t>
  </si>
  <si>
    <t>poh2</t>
  </si>
  <si>
    <t>cost.tech.alchemists_hut.potion_ambrosia.reagent.1</t>
  </si>
  <si>
    <t>cost.collection.treasury_1@3.ruby.1</t>
  </si>
  <si>
    <t>cost.tech.alchemists_hut.potion_ambrosia.ruby.1</t>
  </si>
  <si>
    <t>cost.collection.treasury_1@3.treasure.1</t>
  </si>
  <si>
    <t>cost.tech.alchemists_hut.conveyor_lvl_1.blueprint.1</t>
  </si>
  <si>
    <t>cost.collection.treasury_1@4.coin.1</t>
  </si>
  <si>
    <t>cost.tech.alchemists_hut.conveyor_lvl_1.coin.1</t>
  </si>
  <si>
    <t>cost.collection.treasury_1@4.coin.2</t>
  </si>
  <si>
    <t>cost.tech.alchemists_hut.conveyor_lvl_1.elixir.1</t>
  </si>
  <si>
    <t>elixir</t>
  </si>
  <si>
    <t>cost.collection.treasury_1@4.crypto.1</t>
  </si>
  <si>
    <t>cost.tech.alchemists_hut.conveyor_lvl_1.mechanism.1</t>
  </si>
  <si>
    <t>cost.collection.treasury_1@4.dinar.1</t>
  </si>
  <si>
    <t>cost.tech.alchemists_hut.conveyor_lvl_1.msteel.1</t>
  </si>
  <si>
    <t>cost.collection.treasury_1@4.ingot.1</t>
  </si>
  <si>
    <t>cost.tech.alchemists_hut.conveyor_lvl_1.ruby.1</t>
  </si>
  <si>
    <t>cost.collection.treasury_1@4.pearl.1</t>
  </si>
  <si>
    <t>cost.tech.alchemists_hut.conveyor_lvl_2.blueprint.1</t>
  </si>
  <si>
    <t>cost.collection.treasury_1@4.ruby.1</t>
  </si>
  <si>
    <t>cost.tech.alchemists_hut.conveyor_lvl_2.coin.1</t>
  </si>
  <si>
    <t>cost.collection.treasury_1@4.treasure.1</t>
  </si>
  <si>
    <t>cost.tech.alchemists_hut.conveyor_lvl_2.elixir.1</t>
  </si>
  <si>
    <t>cost.tech.alchemists_hut.conveyor_lvl_2.mechanism.1</t>
  </si>
  <si>
    <t>cost.collection.treasury_1@5.coin.1</t>
  </si>
  <si>
    <t>cost.tech.alchemists_hut.conveyor_lvl_2.msteel.1</t>
  </si>
  <si>
    <t>cost.collection.treasury_1@5.coin.2</t>
  </si>
  <si>
    <t>cost.tech.alchemists_hut.conveyor_lvl_2.ruby.1</t>
  </si>
  <si>
    <t>cost.collection.treasury_1@5.crypto.1</t>
  </si>
  <si>
    <t>cost.tech.alchemists_hut.galvanization.blueprint.1</t>
  </si>
  <si>
    <t>cost.collection.treasury_1@5.dinar.1</t>
  </si>
  <si>
    <t>cost.tech.alchemists_hut.galvanization.catalyst.1</t>
  </si>
  <si>
    <t>cost.tech.alchemists_hut.galvanization.ingot.1</t>
  </si>
  <si>
    <t>cost.collection.treasury_1@5.ingot.1</t>
  </si>
  <si>
    <t>cost.tech.alchemists_hut.galvanization.reagent.1</t>
  </si>
  <si>
    <t>cost.collection.treasury_1@5.pearl.1</t>
  </si>
  <si>
    <t>cost.tech.alchemists_hut.galvanization.ruby.1</t>
  </si>
  <si>
    <t>cost.collection.treasury_1@5.ruby.1</t>
  </si>
  <si>
    <t>cost.tech.alchemists_hut.metamorphosis.coin.1</t>
  </si>
  <si>
    <t>cost.collection.treasury_1@5.treasure.1</t>
  </si>
  <si>
    <t>cost.tech.alchemists_hut.metamorphosis.grimoire.1</t>
  </si>
  <si>
    <t>cost.collection.treasury_2@1.ring1.1</t>
  </si>
  <si>
    <t>cost.tech.alchemists_hut.metamorphosis.mandrake.1</t>
  </si>
  <si>
    <t>ring1</t>
  </si>
  <si>
    <t>cost.collection.treasury_2@1.ring2.1</t>
  </si>
  <si>
    <t>cost.tech.alchemists_hut.metamorphosis.mercury.1</t>
  </si>
  <si>
    <t>ring2</t>
  </si>
  <si>
    <t>cost.tech.alchemists_hut.metamorphosis.reagent.1</t>
  </si>
  <si>
    <t>cost.collection.treasury_2@1.ring3.1</t>
  </si>
  <si>
    <t>ring3</t>
  </si>
  <si>
    <t>cost.tech.alchemists_hut.metamorphosis.ruby.1</t>
  </si>
  <si>
    <t>cost.collection.treasury_2@1.ring4.1</t>
  </si>
  <si>
    <t>ring4</t>
  </si>
  <si>
    <t>cost.tech.alchemists_hut.advanced_fertilizer.blueprint.1</t>
  </si>
  <si>
    <t>cost.collection.treasury_2@1.ring4p.1</t>
  </si>
  <si>
    <t>ring4p</t>
  </si>
  <si>
    <t>cost.tech.alchemists_hut.advanced_fertilizer.catalyst.1</t>
  </si>
  <si>
    <t>cost.collection.treasury_2@2.ring1.1</t>
  </si>
  <si>
    <t>cost.tech.alchemists_hut.advanced_fertilizer.chemicals.1</t>
  </si>
  <si>
    <t>cost.collection.treasury_2@2.ring2.1</t>
  </si>
  <si>
    <t>cost.tech.alchemists_hut.advanced_fertilizer.coin.1</t>
  </si>
  <si>
    <t>cost.collection.treasury_2@2.ring3.1</t>
  </si>
  <si>
    <t>cost.tech.alchemists_hut.advanced_fertilizer.fertilizer.1</t>
  </si>
  <si>
    <t>fertilizer</t>
  </si>
  <si>
    <t>cost.collection.treasury_2@2.ring4.1</t>
  </si>
  <si>
    <t>cost.tech.alchemists_hut.advanced_fertilizer.glass.1</t>
  </si>
  <si>
    <t>cost.collection.treasury_2@2.ring4p.1</t>
  </si>
  <si>
    <t>cost.tech.alchemists_hut.advanced_fertilizer.reagent.1</t>
  </si>
  <si>
    <t>cost.collection.treasury_2@3.ring1.1</t>
  </si>
  <si>
    <t>cost.tech.alchemists_hut.advanced_fertilizer.ruby.1</t>
  </si>
  <si>
    <t>cost.collection.treasury_2@3.ring2.1</t>
  </si>
  <si>
    <t>cost.tech.alchemists_hut.advanced_fertilizer.titanium.1</t>
  </si>
  <si>
    <t>cost.collection.treasury_2@3.ring3.1</t>
  </si>
  <si>
    <t>cost.tech.bridge.koi_fish.ingot.1</t>
  </si>
  <si>
    <t>cost.collection.treasury_2@3.ring4.1</t>
  </si>
  <si>
    <t>cost.tech.bridge.koi_fish.paper.1</t>
  </si>
  <si>
    <t>cost.collection.treasury_2@3.ring4p.1</t>
  </si>
  <si>
    <t>cost.tech.bridge.koi_fish.ruby.1</t>
  </si>
  <si>
    <t>cost.collection.treasury_3@1.diamond.1</t>
  </si>
  <si>
    <t>cost.tech.bridge.koi_fish.salmon.1</t>
  </si>
  <si>
    <t>cost.collection.treasury_3@1.gegg.1</t>
  </si>
  <si>
    <t>gegg</t>
  </si>
  <si>
    <t>cost.tech.bridge.koi_fish.tuna.1</t>
  </si>
  <si>
    <t>cost.collection.treasury_3@1.gegg.2</t>
  </si>
  <si>
    <t>cost.tech.bridge.koi_fish.wheat.1</t>
  </si>
  <si>
    <t>cost.collection.treasury_3@1.pog.1</t>
  </si>
  <si>
    <t>pog</t>
  </si>
  <si>
    <t>cost.tech.bridge.salmon_farming.blueprint.1</t>
  </si>
  <si>
    <t>cost.collection.treasury_3@1.reddiamond.1</t>
  </si>
  <si>
    <t>reddiamond</t>
  </si>
  <si>
    <t>cost.tech.bridge.salmon_farming.flour.1</t>
  </si>
  <si>
    <t>cost.craftifact.astrolabe.blueprint.1</t>
  </si>
  <si>
    <t>cost.tech.bridge.salmon_farming.glass.1</t>
  </si>
  <si>
    <t>cost.tech.bridge.salmon_farming.net.1</t>
  </si>
  <si>
    <t>cost.craftifact.astrolabe.coin.1</t>
  </si>
  <si>
    <t>net</t>
  </si>
  <si>
    <t>cost.tech.bridge.salmon_farming.ruby.1</t>
  </si>
  <si>
    <t>cost.craftifact.astrolabe.mechanism.1</t>
  </si>
  <si>
    <t>cost.tech.bridge.salmon_farming.salmon.1</t>
  </si>
  <si>
    <t>cost.craftifact.astrolabe.page.1</t>
  </si>
  <si>
    <t>cost.tech.bridge.salmon_farming.stone.1</t>
  </si>
  <si>
    <t>cost.craftifact.astrolabe.ruby.1</t>
  </si>
  <si>
    <t>cost.tech.dairy.classical_music_for_the_farm.blueprint.1</t>
  </si>
  <si>
    <t>cost.craftifact.barometer.blueprint.1</t>
  </si>
  <si>
    <t>cost.tech.dairy.classical_music_for_the_farm.coin.1</t>
  </si>
  <si>
    <t>cost.craftifact.barometer.coin.1</t>
  </si>
  <si>
    <t>cost.tech.dairy.classical_music_for_the_farm.glass.1</t>
  </si>
  <si>
    <t>cost.craftifact.barometer.glass.1</t>
  </si>
  <si>
    <t>cost.tech.dairy.classical_music_for_the_farm.horn.1</t>
  </si>
  <si>
    <t>cost.craftifact.barometer.mercury.1</t>
  </si>
  <si>
    <t>cost.tech.dairy.classical_music_for_the_farm.mechanism.1</t>
  </si>
  <si>
    <t>cost.craftifact.barometer.paper.1</t>
  </si>
  <si>
    <t>cost.tech.dairy.classical_music_for_the_farm.milk.1</t>
  </si>
  <si>
    <t>cost.craftifact.cinema_projector.blueprint.1</t>
  </si>
  <si>
    <t>cost.tech.dairy.classical_music_for_the_farm.quartz.1</t>
  </si>
  <si>
    <t>cost.craftifact.cinema_projector.catalyst.1</t>
  </si>
  <si>
    <t>cost.tech.dairy.classical_music_for_the_farm.ruby.1</t>
  </si>
  <si>
    <t>cost.tech.dairy.big_data_farming.blueprint.1</t>
  </si>
  <si>
    <t>cost.craftifact.cinema_projector.chemicals.1</t>
  </si>
  <si>
    <t>cost.tech.dairy.big_data_farming.coin.1</t>
  </si>
  <si>
    <t>cost.craftifact.cinema_projector.glass.1</t>
  </si>
  <si>
    <t>cost.tech.dairy.big_data_farming.mechanism.1</t>
  </si>
  <si>
    <t>cost.craftifact.cinema_projector.mechanism.1</t>
  </si>
  <si>
    <t>cost.tech.dairy.big_data_farming.milk.1</t>
  </si>
  <si>
    <t>cost.craftifact.cinema_projector.reagent.1</t>
  </si>
  <si>
    <t>cost.tech.dairy.big_data_farming.paper.1</t>
  </si>
  <si>
    <t>cost.craftifact.cinema_projector.silk.1</t>
  </si>
  <si>
    <t>cost.tech.dairy.big_data_farming.quartz.1</t>
  </si>
  <si>
    <t>cost.craftifact.dagger.crypto.1</t>
  </si>
  <si>
    <t>cost.tech.dairy.big_data_farming.ruby.1</t>
  </si>
  <si>
    <t>cost.craftifact.dagger.ingot.1</t>
  </si>
  <si>
    <t>cost.tech.dairy.big_data_farming.tparts.1</t>
  </si>
  <si>
    <t>cost.tech.dairy.big_data_farming.violetcrystal.1</t>
  </si>
  <si>
    <t>cost.craftifact.dagger.msteel.1</t>
  </si>
  <si>
    <t>cost.tech.dungeon.great_hall.coin.1</t>
  </si>
  <si>
    <t>cost.craftifact.dagger.page.1</t>
  </si>
  <si>
    <t>cost.tech.dungeon.great_hall.fan.1</t>
  </si>
  <si>
    <t>cost.tech.dungeon.great_hall.steel.1</t>
  </si>
  <si>
    <t>cost.craftifact.dagger.ruby.1</t>
  </si>
  <si>
    <t>cost.tech.dungeon.great_hall.stone.1</t>
  </si>
  <si>
    <t>cost.craftifact.dagger.scroll.1</t>
  </si>
  <si>
    <t>cost.tech.dungeon.great_hall.wood.1</t>
  </si>
  <si>
    <t>cost.craftifact.emerald_tablet.emeralds.1</t>
  </si>
  <si>
    <t>cost.tech.fermentory.pasteurization.amazake.1</t>
  </si>
  <si>
    <t>emeralds</t>
  </si>
  <si>
    <t>amazake</t>
  </si>
  <si>
    <t>cost.craftifact.emerald_tablet.page.1</t>
  </si>
  <si>
    <t>cost.tech.fermentory.pasteurization.blueprint.1</t>
  </si>
  <si>
    <t>cost.craftifact.flamethrower.apy.1</t>
  </si>
  <si>
    <t>cost.tech.fermentory.pasteurization.catalyst.1</t>
  </si>
  <si>
    <t>cost.craftifact.flamethrower.blueprint.1</t>
  </si>
  <si>
    <t>cost.tech.fermentory.pasteurization.coin.1</t>
  </si>
  <si>
    <t>cost.craftifact.flamethrower.catalyst.1</t>
  </si>
  <si>
    <t>cost.tech.fermentory.pasteurization.enzyme.1</t>
  </si>
  <si>
    <t>cost.craftifact.flamethrower.chemicals.1</t>
  </si>
  <si>
    <t>cost.tech.fermentory.pasteurization.glass.1</t>
  </si>
  <si>
    <t>cost.craftifact.flamethrower.glass.1</t>
  </si>
  <si>
    <t>cost.tech.fermentory.pasteurization.ruby.1</t>
  </si>
  <si>
    <t>cost.craftifact.flamethrower.mechanism.1</t>
  </si>
  <si>
    <t>cost.tech.fermentory.pasteurization.steel.1</t>
  </si>
  <si>
    <t>cost.craftifact.flamethrower.oil.1</t>
  </si>
  <si>
    <t>cost.tech.field.seed_drill.blueprint.1</t>
  </si>
  <si>
    <t>cost.craftifact.flamethrower.tparts.1</t>
  </si>
  <si>
    <t>cost.tech.field.seed_drill.coin.1</t>
  </si>
  <si>
    <t>cost.craftifact.guild_banner.silk.1</t>
  </si>
  <si>
    <t>cost.tech.field.seed_drill.elixir.1</t>
  </si>
  <si>
    <t>cost.craftifact.guild_codex.paper.1</t>
  </si>
  <si>
    <t>cost.tech.field.seed_drill.mechanism.1</t>
  </si>
  <si>
    <t>cost.craftifact.guild_supplies.dates.1</t>
  </si>
  <si>
    <t>cost.tech.field.seed_drill.msteel.1</t>
  </si>
  <si>
    <t>cost.craftifact.guild_supplies.flour.1</t>
  </si>
  <si>
    <t>cost.tech.field.seed_drill.ruby.1</t>
  </si>
  <si>
    <t>cost.craftifact.guild_supplies.glass.1</t>
  </si>
  <si>
    <t>cost.tech.field.combine_harvester.blueprint.1</t>
  </si>
  <si>
    <t>cost.craftifact.guild_supplies.honey.1</t>
  </si>
  <si>
    <t>cost.tech.field.combine_harvester.coin.1</t>
  </si>
  <si>
    <t>cost.craftifact.guild_supplies.oil.1</t>
  </si>
  <si>
    <t>cost.tech.field.combine_harvester.elixir.1</t>
  </si>
  <si>
    <t>cost.tech.field.combine_harvester.mechanism.1</t>
  </si>
  <si>
    <t>cost.craftifact.guild_supplies.rice.1</t>
  </si>
  <si>
    <t>cost.tech.field.combine_harvester.ruby.1</t>
  </si>
  <si>
    <t>cost.craftifact.guild_supplies.tuna.1</t>
  </si>
  <si>
    <t>cost.tech.field.combine_harvester.steamobile.1</t>
  </si>
  <si>
    <t>cost.craftifact.hat_of_concentration.ginkgo.1</t>
  </si>
  <si>
    <t>steamobile</t>
  </si>
  <si>
    <t>cost.tech.field.soybean.coin.1</t>
  </si>
  <si>
    <t>cost.craftifact.hat_of_concentration.grimoire.1</t>
  </si>
  <si>
    <t>cost.tech.field.soybean.flatbread.1</t>
  </si>
  <si>
    <t>cost.craftifact.hat_of_concentration.herbs.1</t>
  </si>
  <si>
    <t>flatbread</t>
  </si>
  <si>
    <t>cost.tech.field.soybean.onigiri.1</t>
  </si>
  <si>
    <t>cost.craftifact.hat_of_concentration.mercury.1</t>
  </si>
  <si>
    <t>onigiri</t>
  </si>
  <si>
    <t>cost.tech.field.soybean.page.1</t>
  </si>
  <si>
    <t>cost.craftifact.hat_of_concentration.silk.1</t>
  </si>
  <si>
    <t>cost.tech.field.soybean.ruby.1</t>
  </si>
  <si>
    <t>cost.craftifact.hat_of_concentration.teeth.1</t>
  </si>
  <si>
    <t>cost.tech.field.soybean.steel.1</t>
  </si>
  <si>
    <t>cost.craftifact.hat_of_concentration.velour.1</t>
  </si>
  <si>
    <t>velour</t>
  </si>
  <si>
    <t>cost.tech.field.soybean.thread.1</t>
  </si>
  <si>
    <t>cost.craftifact.helmet.crypto.1</t>
  </si>
  <si>
    <t>cost.tech.field.soybean.wood.1</t>
  </si>
  <si>
    <t>cost.craftifact.helmet.msteel.1</t>
  </si>
  <si>
    <t>cost.tech.food_stall.quintessence_of_taste.beans.1</t>
  </si>
  <si>
    <t>cost.craftifact.helmet.page.1</t>
  </si>
  <si>
    <t>QuestTargetID</t>
  </si>
  <si>
    <t>ObjectiveNumber</t>
  </si>
  <si>
    <t>ObjectiveDisplayName</t>
  </si>
  <si>
    <t>ObjectiveType</t>
  </si>
  <si>
    <t>ObjectiveID</t>
  </si>
  <si>
    <t>Outstanding</t>
  </si>
  <si>
    <t>activequest</t>
  </si>
  <si>
    <t>QuestDisplayName</t>
  </si>
  <si>
    <t>cost.tech.food_stall.quintessence_of_taste.blueprint.1</t>
  </si>
  <si>
    <t>cost.craftifact.helmet.scroll.1</t>
  </si>
  <si>
    <t>cost.craftifact.historical_library.blueprint.1</t>
  </si>
  <si>
    <t>cost.tech.food_stall.quintessence_of_taste.coin.1</t>
  </si>
  <si>
    <t>cost.craftifact.historical_library.grimoire.1</t>
  </si>
  <si>
    <t>cost.tech.food_stall.quintessence_of_taste.honey.1</t>
  </si>
  <si>
    <t>cost.craftifact.historical_library.page.1</t>
  </si>
  <si>
    <t>cost.tech.food_stall.quintessence_of_taste.ruby.1</t>
  </si>
  <si>
    <t>cost.craftifact.historical_library.scroll.1</t>
  </si>
  <si>
    <t>cost.tech.food_stall.quintessence_of_taste.spices.1</t>
  </si>
  <si>
    <t>cost.craftifact.hotei_statuette.charcoal.1</t>
  </si>
  <si>
    <t>cost.tech.food_stall.jam.coin.1</t>
  </si>
  <si>
    <t>cost.craftifact.hotei_statuette.coin.1</t>
  </si>
  <si>
    <t>cost.tech.food_stall.jam.glass.1</t>
  </si>
  <si>
    <t>cost.craftifact.hotei_statuette.ingot.1</t>
  </si>
  <si>
    <t>cost.tech.food_stall.jam.grimoire.1</t>
  </si>
  <si>
    <t>cost.craftifact.metal_detector.apy.1</t>
  </si>
  <si>
    <t>cost.tech.food_stall.jam.ruby.1</t>
  </si>
  <si>
    <t>cost.craftifact.metal_detector.blueprint.1</t>
  </si>
  <si>
    <t>cost.tech.food_stall.jam.strawberry.1</t>
  </si>
  <si>
    <t>cost.craftifact.metal_detector.catalyst.1</t>
  </si>
  <si>
    <t>cost.tech.food_stall.mayonnaise.blueprint.1</t>
  </si>
  <si>
    <t>cost.craftifact.metal_detector.chemicals.1</t>
  </si>
  <si>
    <t>cost.tech.food_stall.mayonnaise.coin.1</t>
  </si>
  <si>
    <t>cost.craftifact.metal_detector.mercury.1</t>
  </si>
  <si>
    <t>cost.tech.food_stall.mayonnaise.egg.1</t>
  </si>
  <si>
    <t>cost.craftifact.metal_detector.miron.1</t>
  </si>
  <si>
    <t>cost.tech.food_stall.mayonnaise.glass.1</t>
  </si>
  <si>
    <t>cost.craftifact.metal_detector.reagent.1</t>
  </si>
  <si>
    <t>cost.tech.food_stall.mayonnaise.oil.1</t>
  </si>
  <si>
    <t>cost.craftifact.metal_detector.tparts.1</t>
  </si>
  <si>
    <t>cost.tech.food_stall.mayonnaise.ruby.1</t>
  </si>
  <si>
    <t>cost.craftifact.necklace_for_haruka.pearl.1</t>
  </si>
  <si>
    <t>cost.tech.food_stall.mandra_cola.beans.1</t>
  </si>
  <si>
    <t>cost.craftifact.necklace_for_haruka.thread.1</t>
  </si>
  <si>
    <t>cost.tech.food_stall.mandra_cola.blueprint.1</t>
  </si>
  <si>
    <t>cost.craftifact.safe.blueprint.1</t>
  </si>
  <si>
    <t>cost.tech.food_stall.mandra_cola.coin.1</t>
  </si>
  <si>
    <t>cost.craftifact.safe.coin.1</t>
  </si>
  <si>
    <t>cost.tech.food_stall.mandra_cola.glass.1</t>
  </si>
  <si>
    <t>cost.craftifact.safe.mechanism.1</t>
  </si>
  <si>
    <t>cost.craftifact.safe.msteel.1</t>
  </si>
  <si>
    <t>cost.tech.food_stall.mandra_cola.honey.1</t>
  </si>
  <si>
    <t>cost.tech.food_stall.mandra_cola.mandrake.1</t>
  </si>
  <si>
    <t>cost.craftifact.safe.steel.1</t>
  </si>
  <si>
    <t>cost.tech.food_stall.mandra_cola.ruby.1</t>
  </si>
  <si>
    <t>cost.craftifact.solver_1_prototype.blueprint.1</t>
  </si>
  <si>
    <t>cost.tech.food_stall.inarizushi.coin.1</t>
  </si>
  <si>
    <t>cost.craftifact.solver_1_prototype.ingot.1</t>
  </si>
  <si>
    <t>cost.tech.food_stall.inarizushi.grimoire.1</t>
  </si>
  <si>
    <t>cost.craftifact.solver_1_prototype.malu.1</t>
  </si>
  <si>
    <t>cost.tech.food_stall.inarizushi.ruby.1</t>
  </si>
  <si>
    <t>cost.craftifact.solver_1_prototype.mechanism.1</t>
  </si>
  <si>
    <t>cost.tech.food_stall.inarizushi.soy.1</t>
  </si>
  <si>
    <t>cost.craftifact.solver_1_prototype.pcard.1</t>
  </si>
  <si>
    <t>cost.tech.food_stall.inarizushi.tofu.1</t>
  </si>
  <si>
    <t>cost.craftifact.solver_1_prototype.tparts.1</t>
  </si>
  <si>
    <t>tofu</t>
  </si>
  <si>
    <t>cost.tech.food_stall.conveyor_belt_sushi.blueprint.1</t>
  </si>
  <si>
    <t>cost.craftifact.telescope.blueprint.1</t>
  </si>
  <si>
    <t>cost.tech.food_stall.conveyor_belt_sushi.coin.1</t>
  </si>
  <si>
    <t>cost.craftifact.telescope.glass.1</t>
  </si>
  <si>
    <t>cost.tech.food_stall.conveyor_belt_sushi.elixir.1</t>
  </si>
  <si>
    <t>cost.craftifact.telescope.mechanism.1</t>
  </si>
  <si>
    <t>cost.tech.food_stall.conveyor_belt_sushi.mechanism.1</t>
  </si>
  <si>
    <t>cost.craftifact.telescope.ruby.1</t>
  </si>
  <si>
    <t>cost.tech.food_stall.conveyor_belt_sushi.ruby.1</t>
  </si>
  <si>
    <t>cost.craftifact.tetrachloroaurate.catalyst.1</t>
  </si>
  <si>
    <t>cost.tech.food_stall.conveyor_belt_sushi.steel.1</t>
  </si>
  <si>
    <t>cost.tech.food_stall.miso_soup.coin.1</t>
  </si>
  <si>
    <t>cost.craftifact.tetrachloroaurate.chemicals.1</t>
  </si>
  <si>
    <t>cost.tech.food_stall.miso_soup.elixir.1</t>
  </si>
  <si>
    <t>cost.craftifact.tetrachloroaurate.glass.1</t>
  </si>
  <si>
    <t>cost.tech.food_stall.miso_soup.grimoire.1</t>
  </si>
  <si>
    <t>cost.craftifact.tetrachloroaurate.ingot.1</t>
  </si>
  <si>
    <t>cost.tech.food_stall.miso_soup.misopaste.1</t>
  </si>
  <si>
    <t>misopaste</t>
  </si>
  <si>
    <t>cost.craftifact.tetrachloroaurate.reagent.1</t>
  </si>
  <si>
    <t>cost.tech.food_stall.miso_soup.ruby.1</t>
  </si>
  <si>
    <t>cost.craftifact.trigonometry.page.1</t>
  </si>
  <si>
    <t>cost.tech.food_stall.miso_soup.sushi.1</t>
  </si>
  <si>
    <t>cost.craftifact.trigonometry.scroll.1</t>
  </si>
  <si>
    <t>cost.tech.food_stall.miso_soup.tofu.1</t>
  </si>
  <si>
    <t>cost.quest.ahead_of_time_chapter_1.finished.bedroll.1</t>
  </si>
  <si>
    <t>bedroll</t>
  </si>
  <si>
    <t>cost.tech.furnace.meteoric_steel.blueprint.1</t>
  </si>
  <si>
    <t>cost.quest.ahead_of_time_chapter_1.finished.horn.1</t>
  </si>
  <si>
    <t>cost.tech.furnace.meteoric_steel.coin.1</t>
  </si>
  <si>
    <t>cost.quest.ahead_of_time_chapter_1.finished.pa.1</t>
  </si>
  <si>
    <t>pa</t>
  </si>
  <si>
    <t>cost.tech.furnace.meteoric_steel.miron.1</t>
  </si>
  <si>
    <t>cost.quest.ahead_of_time_chapter_1.finished.pasta.1</t>
  </si>
  <si>
    <t>cost.tech.furnace.meteoric_steel.ruby.1</t>
  </si>
  <si>
    <t>cost.quest.ahead_of_time_chapter_1.finished.pbr.1</t>
  </si>
  <si>
    <t>pbr</t>
  </si>
  <si>
    <t>cost.tech.furnace.titanium_parts.blueprint.1</t>
  </si>
  <si>
    <t>cost.quest.ahead_of_time_chapter_1.finished.pizza.1</t>
  </si>
  <si>
    <t>pizza</t>
  </si>
  <si>
    <t>cost.tech.furnace.titanium_parts.coin.1</t>
  </si>
  <si>
    <t>cost.quest.ahead_of_time_chapter_1.finished.yuba.1</t>
  </si>
  <si>
    <t>yuba</t>
  </si>
  <si>
    <t>cost.tech.furnace.titanium_parts.mechanism.1</t>
  </si>
  <si>
    <t>cost.quest.culinary_battle.finished.baklava.1</t>
  </si>
  <si>
    <t>cost.tech.furnace.titanium_parts.reagent.1</t>
  </si>
  <si>
    <t>baklava</t>
  </si>
  <si>
    <t>cost.quest.culinary_battle.finished.bento.1</t>
  </si>
  <si>
    <t>cost.tech.furnace.titanium_parts.ruby.1</t>
  </si>
  <si>
    <t>cost.quest.culinary_battle.finished.cake.1</t>
  </si>
  <si>
    <t>cost.tech.furnace.titanium_parts.titanium.1</t>
  </si>
  <si>
    <t>cost.tech.furnace.glass.blueprint.1</t>
  </si>
  <si>
    <t>cost.quest.culinary_battle.finished.cherrybun.1</t>
  </si>
  <si>
    <t>cherrybun</t>
  </si>
  <si>
    <t>cost.tech.furnace.glass.chemicals.1</t>
  </si>
  <si>
    <t>cost.quest.culinary_battle.finished.curry.1</t>
  </si>
  <si>
    <t>curry</t>
  </si>
  <si>
    <t>cost.tech.furnace.glass.coin.1</t>
  </si>
  <si>
    <t>cost.quest.culinary_battle.finished.flatbread.1</t>
  </si>
  <si>
    <t>cost.tech.furnace.glass.glass.1</t>
  </si>
  <si>
    <t>cost.quest.culinary_battle.finished.fried.1</t>
  </si>
  <si>
    <t>cost.tech.furnace.glass.mechanism.1</t>
  </si>
  <si>
    <t>cost.tech.furnace.glass.quartz.1</t>
  </si>
  <si>
    <t>cost.quest.culinary_battle.finished.marinated.1</t>
  </si>
  <si>
    <t>marinated</t>
  </si>
  <si>
    <t>cost.tech.furnace.glass.ruby.1</t>
  </si>
  <si>
    <t>cost.quest.culinary_battle.finished.mayo.1</t>
  </si>
  <si>
    <t>mayo</t>
  </si>
  <si>
    <t>cost.tech.furnace.conveyor.blueprint.1</t>
  </si>
  <si>
    <t>cost.quest.culinary_battle.finished.onigiri.1</t>
  </si>
  <si>
    <t>cost.tech.furnace.conveyor.coin.1</t>
  </si>
  <si>
    <t>cost.quest.culinary_battle.finished.poke.1</t>
  </si>
  <si>
    <t>cost.tech.furnace.conveyor.elixir.1</t>
  </si>
  <si>
    <t>poke</t>
  </si>
  <si>
    <t>cost.quest.culinary_battle.finished.ramen.1</t>
  </si>
  <si>
    <t>cost.tech.furnace.conveyor.mechanism.1</t>
  </si>
  <si>
    <t>cost.tech.furnace.conveyor.msteel.1</t>
  </si>
  <si>
    <t>cost.quest.culinary_battle.finished.sushi.1</t>
  </si>
  <si>
    <t>cost.tech.furnace.conveyor.ruby.1</t>
  </si>
  <si>
    <t>cost.quest.culinary_battle.finished.teriyaki.1</t>
  </si>
  <si>
    <t>cost.tech.garden.sprinkler.blueprint.1</t>
  </si>
  <si>
    <t>cost.quest.festival_of_beans.finished.amazake.1</t>
  </si>
  <si>
    <t>cost.tech.garden.sprinkler.coin.1</t>
  </si>
  <si>
    <t>cost.tech.garden.sprinkler.miron.1</t>
  </si>
  <si>
    <t>cost.quest.festival_of_beans.finished.firework.1</t>
  </si>
  <si>
    <t>cost.tech.garden.sprinkler.ruby.1</t>
  </si>
  <si>
    <t>cost.quest.festival_of_beans.finished.inarizushi.1</t>
  </si>
  <si>
    <t>cost.tech.laboratory.research_and_development.amazake.1</t>
  </si>
  <si>
    <t>cost.quest.festival_of_beans.finished.kimono.1</t>
  </si>
  <si>
    <t>cost.tech.laboratory.research_and_development.blueprint.1</t>
  </si>
  <si>
    <t>cost.quest.festival_of_beans.finished.misosoup.1</t>
  </si>
  <si>
    <t>misosoup</t>
  </si>
  <si>
    <t>cost.tech.laboratory.research_and_development.catalyst.1</t>
  </si>
  <si>
    <t>cost.quest.festival_of_beans.finished.natto.1</t>
  </si>
  <si>
    <t>natto</t>
  </si>
  <si>
    <t>cost.tech.laboratory.research_and_development.coin.1</t>
  </si>
  <si>
    <t>cost.quest.festival_of_beans.finished.soy.1</t>
  </si>
  <si>
    <t>cost.tech.laboratory.research_and_development.enzyme.1</t>
  </si>
  <si>
    <t>cost.quest.festival_of_beans.finished.soybean.1</t>
  </si>
  <si>
    <t>cost.tech.laboratory.research_and_development.floppy.1</t>
  </si>
  <si>
    <t>cost.quest.festival_of_beans.finished.sushi.1</t>
  </si>
  <si>
    <t>cost.tech.laboratory.research_and_development.microchip.1</t>
  </si>
  <si>
    <t>cost.quest.festival_of_beans.finished.tofu.1</t>
  </si>
  <si>
    <t>cost.tech.laboratory.research_and_development.reagent.1</t>
  </si>
  <si>
    <t>cost.tech.laboratory.research_and_development.ruby.1</t>
  </si>
  <si>
    <t>cost.quest.festival_of_beans.finished.yuba.1</t>
  </si>
  <si>
    <t>cost.tech.laboratory.digitization.blueprint.1</t>
  </si>
  <si>
    <t>cost.quest.festival_returns.finished.baklava.1</t>
  </si>
  <si>
    <t>cost.tech.laboratory.digitization.chemicals.1</t>
  </si>
  <si>
    <t>cost.quest.festival_returns.finished.bento.1</t>
  </si>
  <si>
    <t>cost.tech.laboratory.digitization.coin.1</t>
  </si>
  <si>
    <t>cost.quest.festival_returns.finished.cherrybun.1</t>
  </si>
  <si>
    <t>cost.tech.laboratory.digitization.floppy.1</t>
  </si>
  <si>
    <t>cost.quest.festival_returns.finished.drum.1</t>
  </si>
  <si>
    <t>cost.tech.laboratory.digitization.mechanism.1</t>
  </si>
  <si>
    <t>cost.quest.festival_returns.finished.firework.1</t>
  </si>
  <si>
    <t>cost.tech.laboratory.digitization.microchip.1</t>
  </si>
  <si>
    <t>state.deliver_potion_mental_power@F2</t>
  </si>
  <si>
    <t>cost.tech.laboratory.digitization.paper.1</t>
  </si>
  <si>
    <t>cost.quest.festival_returns.finished.kimono.1</t>
  </si>
  <si>
    <t>cost.tech.laboratory.digitization.quartz.1</t>
  </si>
  <si>
    <t>cost.quest.festival_returns.finished.onigiri.1</t>
  </si>
  <si>
    <t>cost.tech.laboratory.digitization.ruby.1</t>
  </si>
  <si>
    <t>cost.quest.festival_returns.finished.poke.1</t>
  </si>
  <si>
    <t>cost.tech.laboratory.experiments.blueprint.1</t>
  </si>
  <si>
    <t>cost.quest.festival_returns.finished.smoothie.1</t>
  </si>
  <si>
    <t>cost.tech.laboratory.experiments.coin.1</t>
  </si>
  <si>
    <t>cost.quest.festival.finished.cake.1</t>
  </si>
  <si>
    <t>cost.tech.laboratory.experiments.diamond.1</t>
  </si>
  <si>
    <t>cost.quest.festival.finished.firework.1</t>
  </si>
  <si>
    <t>cost.tech.laboratory.experiments.floppy.1</t>
  </si>
  <si>
    <t>cost.quest.festival.finished.honey.1</t>
  </si>
  <si>
    <t>cost.tech.laboratory.experiments.mercury.1</t>
  </si>
  <si>
    <t>cost.quest.festival.finished.kimono.1</t>
  </si>
  <si>
    <t>cost.tech.laboratory.experiments.microchip.1</t>
  </si>
  <si>
    <t>cost.quest.festival.finished.ramen.1</t>
  </si>
  <si>
    <t>cost.tech.laboratory.experiments.ruby.1</t>
  </si>
  <si>
    <t>cost.quest.festival.finished.sushi.1</t>
  </si>
  <si>
    <t>cost.tech.laboratory.experiments.tparts.1</t>
  </si>
  <si>
    <t>cost.quest.green_potion.finished.reagent.1</t>
  </si>
  <si>
    <t>cost.tech.laboratory.experiments.violetcrystal.1</t>
  </si>
  <si>
    <t>cost.quest.magic_beans.finished.inarizushi.1</t>
  </si>
  <si>
    <t>cost.quest.magic_beans.finished.teriyaki.1</t>
  </si>
  <si>
    <t>cost.tech.outpost.sayonara_tax.blueprint.1</t>
  </si>
  <si>
    <t>cost.quest.magic_beans.finished.tofu.1</t>
  </si>
  <si>
    <t>cost.tech.outpost.sayonara_tax.coin.1</t>
  </si>
  <si>
    <t>cost.tech.outpost.sayonara_tax.paper.1</t>
  </si>
  <si>
    <t>cost.quest.once_upon_a_forest_chapter_13.finished.baklava.1</t>
  </si>
  <si>
    <t>cost.tech.outpost.sayonara_tax.ruby.1</t>
  </si>
  <si>
    <t>cost.quest.once_upon_a_forest_chapter_13.finished.cake.1</t>
  </si>
  <si>
    <t>cost.tech.outpost.arsenal_lvl_1.blueprint.1</t>
  </si>
  <si>
    <t>cost.quest.once_upon_a_forest_chapter_13.finished.honey.1</t>
  </si>
  <si>
    <t>cost.quest.once_upon_a_forest_chapter_13.finished.jam.1</t>
  </si>
  <si>
    <t>cost.tech.outpost.arsenal_lvl_1.coin.1</t>
  </si>
  <si>
    <t>cost.quest.once_upon_a_forest_chapter_13.finished.mcola.1</t>
  </si>
  <si>
    <t>cost.tech.outpost.arsenal_lvl_1.plank.1</t>
  </si>
  <si>
    <t>cost.quest.once_upon_a_forest_chapter_13.finished.muffin.1</t>
  </si>
  <si>
    <t>cost.tech.outpost.arsenal_lvl_1.ruby.1</t>
  </si>
  <si>
    <t>muffin</t>
  </si>
  <si>
    <t>cost.tech.outpost.arsenal_lvl_1.steel.1</t>
  </si>
  <si>
    <t>cost.quest.once_upon_a_forest_chapter_5.finished.cup.1</t>
  </si>
  <si>
    <t>cost.tech.outpost.arsenal_lvl_2.blueprint.1</t>
  </si>
  <si>
    <t>cost.quest.once_upon_a_forest_chapter_5.finished.silk.1</t>
  </si>
  <si>
    <t>cost.tech.outpost.arsenal_lvl_2.coin.1</t>
  </si>
  <si>
    <t>cost.quest.once_upon_a_forest_chapter_5.finished.smoothie2.1</t>
  </si>
  <si>
    <t>cost.tech.outpost.arsenal_lvl_2.plank.1</t>
  </si>
  <si>
    <t>cost.quest.once_upon_a_forest_chapter_5.finished.thread.1</t>
  </si>
  <si>
    <t>cost.tech.outpost.arsenal_lvl_2.ruby.1</t>
  </si>
  <si>
    <t>cost.quest.once_upon_a_forest_chapter_8.finished.coin.1</t>
  </si>
  <si>
    <t>cost.tech.outpost.arsenal_lvl_2.steel.1</t>
  </si>
  <si>
    <t>cost.quest.once_upon_a_forest_chapter_8.finished.rice.1</t>
  </si>
  <si>
    <t>cost.tech.outpost.optional_contracts.coin.1</t>
  </si>
  <si>
    <t>cost.quest.once_upon_a_forest_chapter_8.finished.wheat.1</t>
  </si>
  <si>
    <t>cost.tech.outpost.optional_contracts.oil.1</t>
  </si>
  <si>
    <t>cost.quest.shoguns_katana_chapter_1.finished.map2.1</t>
  </si>
  <si>
    <t>cost.tech.outpost.optional_contracts.page.1</t>
  </si>
  <si>
    <t>cost.quest.shoguns_katana_chapter_2.finished.map3.1</t>
  </si>
  <si>
    <t>cost.tech.outpost.optional_contracts.paper.1</t>
  </si>
  <si>
    <t>cost.quest.shoguns_katana_chapter_3.finished.mapsmug.1</t>
  </si>
  <si>
    <t>mapsmug</t>
  </si>
  <si>
    <t>cost.tech.outpost.optional_contracts.ruby.1</t>
  </si>
  <si>
    <t>cost.quest.shoguns_katana_chapter_4.finished.mapsmug.1</t>
  </si>
  <si>
    <t>cost.quest.shoguns_katana_chapter_5.finished.mapsmug.1</t>
  </si>
  <si>
    <t>cost.tech.outpost.futures_contracts.blueprint.1</t>
  </si>
  <si>
    <t>cost.quest.shoguns_katana_chapter_6.finished.map4.1</t>
  </si>
  <si>
    <t>map4</t>
  </si>
  <si>
    <t>cost.tech.outpost.futures_contracts.coin.1</t>
  </si>
  <si>
    <t>cost.quest.shoguns_katana_chapter_7.finished.map4.1</t>
  </si>
  <si>
    <t>cost.tech.outpost.futures_contracts.paper.1</t>
  </si>
  <si>
    <t>cost.quest.the_ordinary_days_of_an_adventurer_chapter_2.finished.bamboo.1</t>
  </si>
  <si>
    <t>cost.tech.outpost.futures_contracts.rice.1</t>
  </si>
  <si>
    <t>cost.quest.the_ordinary_days_of_an_adventurer_chapter_2.finished.inarizushi.1</t>
  </si>
  <si>
    <t>cost.tech.outpost.futures_contracts.ruby.1</t>
  </si>
  <si>
    <t>cost.quest.the_ordinary_days_of_an_adventurer_chapter_2.finished.soy.1</t>
  </si>
  <si>
    <t>cost.tech.outpost.futures_contracts.tuna.1</t>
  </si>
  <si>
    <t>cost.quest.the_ordinary_days_of_an_adventurer_chapter_5.finished.dates.1</t>
  </si>
  <si>
    <t>cost.tech.outpost.tax_return_on_floppy_disk.blueprint.1</t>
  </si>
  <si>
    <t>cost.quest.the_ordinary_days_of_an_adventurer_chapter_5.finished.egg.1</t>
  </si>
  <si>
    <t>cost.tech.outpost.tax_return_on_floppy_disk.coin.1</t>
  </si>
  <si>
    <t>cost.tech.outpost.tax_return_on_floppy_disk.floppy.1</t>
  </si>
  <si>
    <t>cost.quest.the_ordinary_days_of_an_adventurer_chapter_5.finished.flour.1</t>
  </si>
  <si>
    <t>cost.quest.the_ordinary_days_of_an_adventurer_chapter_5.finished.oil.1</t>
  </si>
  <si>
    <t>cost.tech.outpost.tax_return_on_floppy_disk.microchip.1</t>
  </si>
  <si>
    <t>cost.quest.the_ordinary_days_of_an_adventurer_chapter_5.finished.salmon.1</t>
  </si>
  <si>
    <t>cost.tech.outpost.tax_return_on_floppy_disk.ruby.1</t>
  </si>
  <si>
    <t>cost.quest.the_ordinary_days_of_an_adventurer_chapter_6.finished.vintcheese.1</t>
  </si>
  <si>
    <t>cost.tech.outpost.tax_return_on_floppy_disk.steel.1</t>
  </si>
  <si>
    <t>cost.tech.rock_garden.rake.blueprint.1</t>
  </si>
  <si>
    <t>cost.tech.rock_garden.rake.coin.1</t>
  </si>
  <si>
    <t>cost.tech.rock_garden.rake.miron.1</t>
  </si>
  <si>
    <t>cost.tech.rock_garden.rake.ruby.1</t>
  </si>
  <si>
    <t>cost.tech.shop.pre_orders.beans.1</t>
  </si>
  <si>
    <t>cost.tech.shop.pre_orders.blueprint.1</t>
  </si>
  <si>
    <t>cost.tech.shop.pre_orders.coin.1</t>
  </si>
  <si>
    <t>cost.tech.shop.pre_orders.paper.1</t>
  </si>
  <si>
    <t>cost.tech.shop.pre_orders.ruby.1</t>
  </si>
  <si>
    <t>cost.tech.shop.glass_recycling.blueprint.1</t>
  </si>
  <si>
    <t>cost.tech.shop.glass_recycling.chemicals.1</t>
  </si>
  <si>
    <t>cost.tech.shop.glass_recycling.coin.1</t>
  </si>
  <si>
    <t>cost.tech.shop.glass_recycling.glass.1</t>
  </si>
  <si>
    <t>cost.tech.shop.glass_recycling.plank.1</t>
  </si>
  <si>
    <t>cost.tech.shop.glass_recycling.ruby.1</t>
  </si>
  <si>
    <t>cost.tech.smithy.throwing_knife.coin.1</t>
  </si>
  <si>
    <t>cost.tech.smithy.throwing_knife.miron.1</t>
  </si>
  <si>
    <t>cost.tech.smithy.throwing_knife.page.1</t>
  </si>
  <si>
    <t>cost.tech.smithy.throwing_knife.ruby.1</t>
  </si>
  <si>
    <t>cost.tech.smithy.sword_for_a_hero_lvl_1.charcoal.1</t>
  </si>
  <si>
    <t>cost.tech.smithy.sword_for_a_hero_lvl_1.coin.1</t>
  </si>
  <si>
    <t>cost.tech.smithy.sword_for_a_hero_lvl_1.miron.1</t>
  </si>
  <si>
    <t>cost.tech.smithy.sword_for_a_hero_lvl_1.page.1</t>
  </si>
  <si>
    <t>cost.tech.smithy.sword_for_a_hero_lvl_1.ruby.1</t>
  </si>
  <si>
    <t>cost.tech.smithy.sword_for_a_hero_lvl_1.steel.1</t>
  </si>
  <si>
    <t>cost.tech.smithy.sword_for_a_hero_lvl_2.blueprint.1</t>
  </si>
  <si>
    <t>cost.tech.smithy.sword_for_a_hero_lvl_2.charcoal.1</t>
  </si>
  <si>
    <t>cost.tech.smithy.sword_for_a_hero_lvl_2.coin.1</t>
  </si>
  <si>
    <t>cost.tech.smithy.sword_for_a_hero_lvl_2.msteel.1</t>
  </si>
  <si>
    <t>cost.tech.smithy.sword_for_a_hero_lvl_2.ruby.1</t>
  </si>
  <si>
    <t>cost.tech.smithy.sword_for_a_hero_lvl_2.steel.1</t>
  </si>
  <si>
    <t>cost.tech.smithy.sword_for_a_hero_lvl_3.blueprint.1</t>
  </si>
  <si>
    <t>cost.tech.smithy.sword_for_a_hero_lvl_3.charcoal.1</t>
  </si>
  <si>
    <t>cost.tech.smithy.sword_for_a_hero_lvl_3.coin.1</t>
  </si>
  <si>
    <t>cost.tech.smithy.sword_for_a_hero_lvl_3.msteel.1</t>
  </si>
  <si>
    <t>cost.tech.smithy.sword_for_a_hero_lvl_3.ruby.1</t>
  </si>
  <si>
    <t>cost.tech.smithy.sword_for_a_hero_lvl_3.steel.1</t>
  </si>
  <si>
    <t>cost.tech.smithy.sword_for_a_hero_lvl_4.blueprint.1</t>
  </si>
  <si>
    <t>cost.tech.smithy.sword_for_a_hero_lvl_4.coin.1</t>
  </si>
  <si>
    <t>cost.tech.smithy.sword_for_a_hero_lvl_4.gears.1</t>
  </si>
  <si>
    <t>cost.tech.smithy.sword_for_a_hero_lvl_4.mechanism.1</t>
  </si>
  <si>
    <t>cost.tech.smithy.sword_for_a_hero_lvl_4.ruby.1</t>
  </si>
  <si>
    <t>cost.tech.smithy.sword_for_a_hero_lvl_4.sword3.1</t>
  </si>
  <si>
    <t>cost.tech.smithy.sword_for_a_hero_lvl_4+.bamboo.1</t>
  </si>
  <si>
    <t>cost.tech.smithy.sword_for_a_hero_lvl_4+.bluecrystal.1</t>
  </si>
  <si>
    <t>cost.tech.smithy.sword_for_a_hero_lvl_4+.coin.1</t>
  </si>
  <si>
    <t>cost.tech.smithy.sword_for_a_hero_lvl_4+.grimoire.1</t>
  </si>
  <si>
    <t>cost.tech.smithy.sword_for_a_hero_lvl_4+.mercury.1</t>
  </si>
  <si>
    <t>cost.tech.smithy.sword_for_a_hero_lvl_4+.quartz.1</t>
  </si>
  <si>
    <t>cost.tech.smithy.sword_for_a_hero_lvl_4+.reddiamond.1</t>
  </si>
  <si>
    <t>cost.tech.smithy.sword_for_a_hero_lvl_4+.ruby.1</t>
  </si>
  <si>
    <t>cost.tech.smithy.sword_for_a_hero_lvl_4+.sword4.1</t>
  </si>
  <si>
    <t>cost.tech.smithy.weapon_grease.blueprint.1</t>
  </si>
  <si>
    <t>cost.tech.smithy.weapon_grease.coin.1</t>
  </si>
  <si>
    <t>cost.tech.smithy.weapon_grease.oil.1</t>
  </si>
  <si>
    <t>cost.tech.smithy.weapon_grease.reagent.1</t>
  </si>
  <si>
    <t>cost.tech.smithy.weapon_grease.ruby.1</t>
  </si>
  <si>
    <t>cost.tech.smithy.gears.blueprint.1</t>
  </si>
  <si>
    <t>cost.tech.smithy.gears.coin.1</t>
  </si>
  <si>
    <t>cost.tech.smithy.gears.gears.1</t>
  </si>
  <si>
    <t>cost.tech.smithy.gears.miron.1</t>
  </si>
  <si>
    <t>cost.tech.smithy.gears.ruby.1</t>
  </si>
  <si>
    <t>cost.tech.smithy.treasure.bluecrystal.1</t>
  </si>
  <si>
    <t>cost.tech.smithy.treasure.coin.1</t>
  </si>
  <si>
    <t>cost.tech.smithy.treasure.greencrystal.1</t>
  </si>
  <si>
    <t>cost.tech.smithy.treasure.grimoire.1</t>
  </si>
  <si>
    <t>cost.tech.smithy.treasure.ingot.1</t>
  </si>
  <si>
    <t>cost.tech.smithy.treasure.mercury.1</t>
  </si>
  <si>
    <t>cost.tech.smithy.treasure.redcrystal.1</t>
  </si>
  <si>
    <t>cost.tech.smithy.treasure.ruby.1</t>
  </si>
  <si>
    <t>cost.tech.smithy.treasure.violetcrystal.1</t>
  </si>
  <si>
    <t>cost.tech.tailor.ariadnes_thread.coin.1</t>
  </si>
  <si>
    <t>cost.tech.tailor.ariadnes_thread.elixir.1</t>
  </si>
  <si>
    <t>cost.tech.tailor.ariadnes_thread.page.1</t>
  </si>
  <si>
    <t>cost.tech.tailor.ariadnes_thread.ring1.1</t>
  </si>
  <si>
    <t>cost.tech.tailor.ariadnes_thread.ruby.1</t>
  </si>
  <si>
    <t>cost.tech.tailor.ariadnes_thread.thread.1</t>
  </si>
  <si>
    <t>cost.tech.tailor.bedroll.blueprint.1</t>
  </si>
  <si>
    <t>cost.tech.tailor.bedroll.coin.1</t>
  </si>
  <si>
    <t>cost.tech.tailor.bedroll.reagent.1</t>
  </si>
  <si>
    <t>cost.tech.tailor.bedroll.ruby.1</t>
  </si>
  <si>
    <t>cost.tech.tailor.bedroll.silk.1</t>
  </si>
  <si>
    <t>cost.tech.tailor.bedroll.thread.1</t>
  </si>
  <si>
    <t>cost.tech.tailor.salamander_velour.coin.1</t>
  </si>
  <si>
    <t>cost.tech.tailor.salamander_velour.ginkgo.1</t>
  </si>
  <si>
    <t>cost.tech.tailor.salamander_velour.grimoire.1</t>
  </si>
  <si>
    <t>cost.tech.tailor.salamander_velour.hide.1</t>
  </si>
  <si>
    <t>cost.tech.tailor.salamander_velour.mercury.1</t>
  </si>
  <si>
    <t>cost.tech.tailor.salamander_velour.ruby.1</t>
  </si>
  <si>
    <t>cost.tech.tailor.armor_for_a_hero_lvl_1.coin.1</t>
  </si>
  <si>
    <t>cost.tech.tailor.armor_for_a_hero_lvl_1.miron.1</t>
  </si>
  <si>
    <t>costtext</t>
  </si>
  <si>
    <t>10 ruby,2000 coin,120 silk,20 thread,200 chemicals,20 reagent,50 miron,40 page</t>
  </si>
  <si>
    <t>cost.tech.tailor.armor_for_a_hero_lvl_1.page.1</t>
  </si>
  <si>
    <t>12 ruby,3000 coin,60 plank,100 silk,20 gears,50 fan,10 thread</t>
  </si>
  <si>
    <t>1 ruby,140 coin,70 wood,70 stone</t>
  </si>
  <si>
    <t>2 ruby,200 coin,100 wood,100 stone,20 chemicals</t>
  </si>
  <si>
    <t>cost.tech.tailor.armor_for_a_hero_lvl_1.ruby.1</t>
  </si>
  <si>
    <t>3 ruby,300 coin,300 beam,150 stone,40 chemicals,40 charcoal</t>
  </si>
  <si>
    <t>4 ruby,400 coin,400 beam,200 stone,40 gunpowder</t>
  </si>
  <si>
    <t>5 ruby,500 coin,440 beam,220 stone,80 gunpowder</t>
  </si>
  <si>
    <t>6 ruby,1000 coin,800 beam,400 stone,200 chemicals,50 glass</t>
  </si>
  <si>
    <t>cost.tech.tailor.armor_for_a_hero_lvl_1.silk.1</t>
  </si>
  <si>
    <t>3 ruby,500 coin,500 plank,120 beans</t>
  </si>
  <si>
    <t>5 ruby,800 coin,600 plank,240 beans,150 chemicals</t>
  </si>
  <si>
    <t>4 ruby,1000 coin,400 beam,1000 plank,400 stone,100 steel</t>
  </si>
  <si>
    <t>cost.tech.tailor.armor_for_a_hero_lvl_1.thread.1</t>
  </si>
  <si>
    <t>5 ruby,1000 coin,400 plank,200 stone,50 beans,10 sushi</t>
  </si>
  <si>
    <t>7 ruby,1200 coin,600 plank,300 stone,50 ingot,50 fan</t>
  </si>
  <si>
    <t>9 ruby,1500 coin,800 plank,400 stone,20 paper,10 pearl</t>
  </si>
  <si>
    <t>cost.tech.tailor.armor_for_a_hero_lvl_2.blueprint.1</t>
  </si>
  <si>
    <t>12 ruby,2000 coin,1000 plank,500 stone,30 silk,5 spices</t>
  </si>
  <si>
    <t>2 ruby,400 coin,400 beam,200 stone,20 wheat,10 thread,1 egg</t>
  </si>
  <si>
    <t>3 ruby,600 coin,600 beam,300 stone,20 wheat,10 thread,1 egg</t>
  </si>
  <si>
    <t>cost.tech.tailor.armor_for_a_hero_lvl_2.coin.1</t>
  </si>
  <si>
    <t>5 ruby,1000 coin,700 beam,300 stone,20 thread,40 glass,100 wheat,20 herbs,1 goat</t>
  </si>
  <si>
    <t>5 ruby,1000 coin,900 beam,500 stone,30 thread,20 bamboo,20 milk,10 enzyme,5 grimoire</t>
  </si>
  <si>
    <t>1 ruby,300 coin,200 wood,50 stone,100 steel,30 fan</t>
  </si>
  <si>
    <t>cost.tech.tailor.armor_for_a_hero_lvl_2.msteel.1</t>
  </si>
  <si>
    <t>2 ruby,500 coin,500 beam,400 steel,100 petard,5 bento,15 page</t>
  </si>
  <si>
    <t>3 ruby,1000 coin,500 beam,400 steel,50 kunai,3 ramen,15 page</t>
  </si>
  <si>
    <t>5 ruby,1500 coin,750 beam,30 oil,5 clew,20 poe,20 page</t>
  </si>
  <si>
    <t>7 ruby,2000 coin,1000 beam,10 mspider,10 smoothie,25 page</t>
  </si>
  <si>
    <t>cost.tech.alchemists_hut.perfect_fertilizer.blueprint.1</t>
  </si>
  <si>
    <t>cost.tech.tailor.armor_for_a_hero_lvl_2.ruby.1</t>
  </si>
  <si>
    <t>5 ruby,1000 coin,8000 beam,500 stone,1000 steel,40 mechanism,100 petard,100 pcard,100 blueprint</t>
  </si>
  <si>
    <t>5 ruby,1000 coin,700 beam,700 stone,300 steel,50 soybean,30 page</t>
  </si>
  <si>
    <t>5 ruby,1000 coin,900 beam,500 stone,100 chemicals,30 reagent,200 charcoal,50 soybean</t>
  </si>
  <si>
    <t>cost.tech.tailor.armor_for_a_hero_lvl_2.silk.1</t>
  </si>
  <si>
    <t>cost.tech.alchemists_hut.perfect_fertilizer.bone_meal.1</t>
  </si>
  <si>
    <t>7 ruby,1000 coin,700 plank,500 stone,200 steel,200 charcoal,50 soybean</t>
  </si>
  <si>
    <t>8 ruby,1000 coin,900 plank,500 stone,300 steel,50 rice,50 wheat,50 soybean,10 soy</t>
  </si>
  <si>
    <t>bone_meal</t>
  </si>
  <si>
    <t>9 ruby,1000 coin,900 plank,800 stone,20 thread,100 soybean,24 koji,10 grimoire</t>
  </si>
  <si>
    <t>cost.tech.tailor.armor_for_a_hero_lvl_2.thread.1</t>
  </si>
  <si>
    <t>10 ruby,1000 coin,900 plank,500 stone,40 paper,30 glass,24 koji,10 enzyme,10 grimoire</t>
  </si>
  <si>
    <t>1 ruby,200 coin,100 wood,20 chemicals</t>
  </si>
  <si>
    <t>cost.tech.alchemists_hut.perfect_fertilizer.catalyst.1</t>
  </si>
  <si>
    <t>3 ruby,300 coin,100 wood,50 chemicals,20 steel</t>
  </si>
  <si>
    <t>cost.tech.tailor.armor_for_a_hero_lvl_3.blueprint.1</t>
  </si>
  <si>
    <t>1 ruby,300 coin,150 wood,150 stone,20 rice</t>
  </si>
  <si>
    <t>3 ruby,500 coin,500 plank,300 stone,5 spices</t>
  </si>
  <si>
    <t>5 ruby,800 coin,600 plank,50 beans,3 spices</t>
  </si>
  <si>
    <t>cost.tech.tailor.armor_for_a_hero_lvl_3.coin.1</t>
  </si>
  <si>
    <t>cost.tech.alchemists_hut.perfect_fertilizer.chemicals.1</t>
  </si>
  <si>
    <t>1 ruby,200 coin,100 wood,100 stone</t>
  </si>
  <si>
    <t>3 ruby,500 coin,400 beam,200 stone,20 steel</t>
  </si>
  <si>
    <t>cost.tech.tailor.armor_for_a_hero_lvl_3.msteel.1</t>
  </si>
  <si>
    <t>5 ruby,800 coin,600 plank,300 stone,50 steel</t>
  </si>
  <si>
    <t>cost.tech.alchemists_hut.perfect_fertilizer.coin.1</t>
  </si>
  <si>
    <t>1 ruby,400 coin,200 wood,100 stone</t>
  </si>
  <si>
    <t>2 ruby,600 coin,300 wood,150 stone</t>
  </si>
  <si>
    <t>cost.tech.tailor.armor_for_a_hero_lvl_3.ruby.1</t>
  </si>
  <si>
    <t>4 ruby,1000 coin,800 beam,200 stone</t>
  </si>
  <si>
    <t>3 ruby,200 coin,100 wood,50 stone,50 steel</t>
  </si>
  <si>
    <t>cost.tech.alchemists_hut.perfect_fertilizer.punch_card.1</t>
  </si>
  <si>
    <t>cost.tech.tailor.armor_for_a_hero_lvl_3.silk.1</t>
  </si>
  <si>
    <t>1 ruby,50 coin,50 wood,50 stone</t>
  </si>
  <si>
    <t>punch_card</t>
  </si>
  <si>
    <t>2 ruby,150 coin,300 beam,150 stone</t>
  </si>
  <si>
    <t>cost.tech.tailor.armor_for_a_hero_lvl_3.thread.1</t>
  </si>
  <si>
    <t>4 ruby,250 coin,500 beam,250 stone,40 steel</t>
  </si>
  <si>
    <t>cost.tech.alchemists_hut.perfect_fertilizer.reagent.1</t>
  </si>
  <si>
    <t>8 ruby,300 coin,600 beam,300 stone,50 steel</t>
  </si>
  <si>
    <t>3 ruby,500 crypto,10 mechanism,10 drum,3 mspider,2 ninja,40 microchip,40 floppy,30 blueprint</t>
  </si>
  <si>
    <t>cost.tech.tailor.armor_for_a_hero_lvl_4.blueprint.1</t>
  </si>
  <si>
    <t>6 ruby,1000 coin,500 stone,300 steel,50 glass,100 chemicals,30 mechanism,40 blueprint,2 malu</t>
  </si>
  <si>
    <t>7 ruby,1000 coin,600 stone,400 steel,70 glass,30 mercury,20 titanium,40 blueprint,2 malu</t>
  </si>
  <si>
    <t>8 ruby,1500 coin,600 stone,400 steel,100 glass,20 bluecrystal,20 pcard,40 blueprint,2 malu</t>
  </si>
  <si>
    <t>cost.tech.tailor.armor_for_a_hero_lvl_4.coin.1</t>
  </si>
  <si>
    <t>9 ruby,2000 coin,600 stone,400 steel,20 redcrystal,20 greencrystal,30 pcard,40 blueprint,1 malu</t>
  </si>
  <si>
    <t>cost.tech.alchemists_hut.perfect_fertilizer.ruby.1</t>
  </si>
  <si>
    <t>10 ruby,2000 coin,700 stone,500 steel,30 mechanism,20 quartz,40 pcard,40 blueprint,1 malu</t>
  </si>
  <si>
    <t>cost.tech.tailor.armor_for_a_hero_lvl_4.grimoire.1</t>
  </si>
  <si>
    <t>10 ruby,1000 coin,500 stone,300 steel,50 glass,20 apy,20 quartz,50 microchip,50 blueprint</t>
  </si>
  <si>
    <t>1 ruby,300 coin,150 wood,150 stone</t>
  </si>
  <si>
    <t>cost.tech.alchemists_hut.perfect_fertilizer.synthetic_fertilizer.1</t>
  </si>
  <si>
    <t>cost.tech.tailor.armor_for_a_hero_lvl_4.mechanism.1</t>
  </si>
  <si>
    <t>5 ruby,800 coin,600 beam,300 stone,100 steel</t>
  </si>
  <si>
    <t>synthetic_fertilizer</t>
  </si>
  <si>
    <t>3 ruby,500 coin,500 plank,400 stone</t>
  </si>
  <si>
    <t>5 ruby,800 coin,600 plank,500 stone</t>
  </si>
  <si>
    <t>cost.tech.tailor.armor_for_a_hero_lvl_4.ruby.1</t>
  </si>
  <si>
    <t>6 ruby,1000 coin,1000 beam,1000 stone,100 katana,300 arrows</t>
  </si>
  <si>
    <t>8 ruby,1500 coin,1500 beam,3000 stone,300 steel,30 mortar</t>
  </si>
  <si>
    <t>cost.tech.tailor.armor_for_a_hero_lvl_4.tparts.1</t>
  </si>
  <si>
    <t>10 ruby,2000 coin,2000 beam,5000 stone,20 oil,20 samurai</t>
  </si>
  <si>
    <t>1 ruby,50 coin,50 wood,50 stone,5 petard</t>
  </si>
  <si>
    <t>2 ruby,200 coin,200 wood,200 stone,10 chemicals</t>
  </si>
  <si>
    <t>cost.tech.tailor.armor_for_a_hero_lvl_4.velour.1</t>
  </si>
  <si>
    <t>4 ruby,300 coin,600 beam,300 stone,50 steel</t>
  </si>
  <si>
    <t>6 ruby,350 coin,700 beam,350 stone,30 fan</t>
  </si>
  <si>
    <t>8 ruby,400 coin,800 beam,400 stone,30 katana</t>
  </si>
  <si>
    <t>cost.tech.tailor.armor_for_a_hero_lvl_4+.apy.1</t>
  </si>
  <si>
    <t>10 ruby,450 coin,900 beam,450 stone,5 ingot,5 spices</t>
  </si>
  <si>
    <t>15 ruby,500 coin,1000 beam,500 stone,3 treasure,5 pearl,5 silk,1 scroll</t>
  </si>
  <si>
    <t>3 ruby,400 coin,50 wood,400 plank,300 stone</t>
  </si>
  <si>
    <t>cost.tech.tailor.armor_for_a_hero_lvl_4+.blueprint.1</t>
  </si>
  <si>
    <t>1 ruby,400 coin,100 wood,200 stone</t>
  </si>
  <si>
    <t>2 ruby,600 coin,150 wood,300 stone</t>
  </si>
  <si>
    <t>4 ruby,1000 coin,400 beam,400 stone</t>
  </si>
  <si>
    <t>cost.tech.tailor.armor_for_a_hero_lvl_4+.coin.1</t>
  </si>
  <si>
    <t>3 ruby,500 coin,600 plank,1 stone,60 steel</t>
  </si>
  <si>
    <t>6 ruby,750 coin,800 plank,60 steel,1 mortar</t>
  </si>
  <si>
    <t>9 ruby,1000 coin,1000 plank,1 anchor,1 spices</t>
  </si>
  <si>
    <t>cost.tech.tailor.armor_for_a_hero_lvl_4+.grimoire.1</t>
  </si>
  <si>
    <t>10 ruby,1000 coin,1000 plank,2 spices,200 gunpowder</t>
  </si>
  <si>
    <t>1 ruby,100 coin,20 wood,20 stone</t>
  </si>
  <si>
    <t>2 ruby,400 coin,80 wood,80 stone</t>
  </si>
  <si>
    <t>cost.tech.tailor.armor_for_a_hero_lvl_4+.quartz.1</t>
  </si>
  <si>
    <t>3 ruby,800 coin,400 beam,200 stone</t>
  </si>
  <si>
    <t>1 ruby,240 coin,120 wood,120 stone,20 steel</t>
  </si>
  <si>
    <t>2 ruby,280 coin,140 wood,140 stone,40 steel</t>
  </si>
  <si>
    <t>4 ruby,500 coin,400 beam,200 stone,60 steel</t>
  </si>
  <si>
    <t>cost.tech.tailor.armor_for_a_hero_lvl_4+.redcrystal.1</t>
  </si>
  <si>
    <t>10 ruby,1000 coin,8000 beam,800 plank,500 stone,1000 steel,1 ingot,10 kimono,20 blueprint</t>
  </si>
  <si>
    <t>4 ruby,600 coin,600 beam,300 stone,10 silk,10 paper</t>
  </si>
  <si>
    <t>6 ruby,800 coin,800 plank,400 stone,20 silk,20 glass</t>
  </si>
  <si>
    <t>cost.tech.tailor.armor_for_a_hero_lvl_4+.reddiamond.1</t>
  </si>
  <si>
    <t>8 ruby,1000 coin,1000 plank,500 stone,100 steel,30 silk</t>
  </si>
  <si>
    <t>10 ruby,2000 coin,3000 steel,100 msteel,80 mechanism,10 glass,100 blueprint</t>
  </si>
  <si>
    <t>10 ruby,2000 coin,1000 steel,40 mechanism,30 mercury,40 blueprint</t>
  </si>
  <si>
    <t>cost.tech.tailor.armor_for_a_hero_lvl_4+.ruby.1</t>
  </si>
  <si>
    <t>2 ruby,500 coin,500 plank,250 steel,12 mechanism,15 blueprint</t>
  </si>
  <si>
    <t>2 ruby,500 coin,500 plank,250 steel,12 mechanism</t>
  </si>
  <si>
    <t>cost.tech.tailor.armor_for_a_hero_lvl_4+.tparts.1</t>
  </si>
  <si>
    <t>2 ruby,500 coin,600 plank,200 steel,12 mechanism,12 glass,15 blueprint</t>
  </si>
  <si>
    <t>2 ruby,500 coin,600 plank,200 steel,12 mechanism,12 glass</t>
  </si>
  <si>
    <t>1 ruby,100 coin,60 wood,60 stone</t>
  </si>
  <si>
    <t>cost.tech.tailor.strong_stitch.blueprint.1</t>
  </si>
  <si>
    <t>2 ruby,200 coin,80 wood,80 stone</t>
  </si>
  <si>
    <t>3 ruby,300 coin,200 beam,100 stone</t>
  </si>
  <si>
    <t>4 ruby,400 coin,280 beam,140 stone</t>
  </si>
  <si>
    <t>cost.tech.tailor.strong_stitch.coin.1</t>
  </si>
  <si>
    <t>5 ruby,500 coin,360 beam,180 stone</t>
  </si>
  <si>
    <t>6 ruby,600 coin,440 beam,220 stone,20 steel</t>
  </si>
  <si>
    <t>cost.tech.tailor.strong_stitch.ruby.1</t>
  </si>
  <si>
    <t>7 ruby,700 coin,520 beam,260 stone,30 steel</t>
  </si>
  <si>
    <t>1 ruby,300 coin,150 wood,150 stone,40 steel</t>
  </si>
  <si>
    <t>3 ruby,500 coin,400 beam,200 stone,30 miron</t>
  </si>
  <si>
    <t>cost.tech.tailor.strong_stitch.silk.1</t>
  </si>
  <si>
    <t>1 ruby,20 coin,10 wood,10 stone</t>
  </si>
  <si>
    <t>2 ruby,80 coin,40 wood,40 stone</t>
  </si>
  <si>
    <t>cost.tech.tailor.strong_stitch.thread.1</t>
  </si>
  <si>
    <t>3 ruby,160 coin,160 beam,80 stone</t>
  </si>
  <si>
    <t>4 ruby,500 coin,500 beam,250 stone,20 steel</t>
  </si>
  <si>
    <t>5 ruby,1000 coin,600 beam,300 stone,40 steel</t>
  </si>
  <si>
    <t>10 apy,30 blueprint,1000 coin,20 reagent,5 ruby,30 tparts</t>
  </si>
  <si>
    <t>cost.tech.tailor.strong_rivets.blueprint.1</t>
  </si>
  <si>
    <t>40 chemicals,300 coin,10 glass,10 oil,20 page,1 ruby</t>
  </si>
  <si>
    <t>15 blueprint,100 charcoal,50 chemicals,300 coin,10 reagent,1 ruby</t>
  </si>
  <si>
    <t>cost.tech.tailor.strong_rivets.coin.1</t>
  </si>
  <si>
    <t>9 cinnabar,300 coin,10 glass,10 grimoire,30 herbs,5 oil,1 ruby</t>
  </si>
  <si>
    <t>15 cinnabar,300 coin,20 ginkgo,10 glass,10 grimoire,10 herbs,10 reagent,1 ruby</t>
  </si>
  <si>
    <t>100 charcoal,30 cinnabar,400 coin,10 glass,10 grimoire,10 reagent,1 ruby</t>
  </si>
  <si>
    <t>cost.tech.tailor.strong_rivets.miron.1</t>
  </si>
  <si>
    <t>20 apy,100 charcoal,10 grimoire,20 ingot,15 mercury,3 ruby</t>
  </si>
  <si>
    <t>5 apy,300 coin,10 glass,10 grimoire,100 gunpowder,10 herbs,10 mercury,1 ruby</t>
  </si>
  <si>
    <t>cost.tech.tailor.strong_rivets.ruby.1</t>
  </si>
  <si>
    <t>300 coin,50 crypto,10 glass,15 page,15 reagent,1 ruby</t>
  </si>
  <si>
    <t>500 coin,10 glass,10 mandrake,20 page,20 reagent,3 ruby,3 spices</t>
  </si>
  <si>
    <t>cost.tech.tailor.strong_rivets.thread.1</t>
  </si>
  <si>
    <t>15 catalyst,500 coin,10 mandrake,20 page,12 poh,20 reagent,3 ruby</t>
  </si>
  <si>
    <t>20 catalyst,1000 coin,15 mandrake,30 page,12 poh2,30 reagent,5 ruby</t>
  </si>
  <si>
    <t>10 blueprint,400 coin,40 elixir,10 mechanism,20 msteel,2 ruby</t>
  </si>
  <si>
    <t>cost.tech.tailor.colored_threads.cinnabar.1</t>
  </si>
  <si>
    <t>15 blueprint,500 coin,60 elixir,15 mechanism,30 msteel,3 ruby</t>
  </si>
  <si>
    <t>30 blueprint,20 catalyst,25 ingot,40 reagent,2 ruby</t>
  </si>
  <si>
    <t>300 coin,5 grimoire,15 mandrake,5 mercury,15 reagent,3 ruby</t>
  </si>
  <si>
    <t>cost.tech.tailor.colored_threads.coin.1</t>
  </si>
  <si>
    <t>30 blueprint,20 catalyst,100 chemicals,800 coin,50 fertilizer,20 glass,20 reagent,5 ruby,10 titanium</t>
  </si>
  <si>
    <t>20 ingot,20 paper,20 ruby,20 salmon,20 tuna,20 wheat</t>
  </si>
  <si>
    <t>20 blueprint,40 flour,20 glass,10 net,15 ruby,20 salmon,400 stone</t>
  </si>
  <si>
    <t>cost.tech.tailor.colored_threads.grimoire.1</t>
  </si>
  <si>
    <t>20 blueprint,500 coin,20 glass,4 horn,15 mechanism,20 milk,20 quartz,3 ruby</t>
  </si>
  <si>
    <t>32 blueprint,1000 coin,20 mechanism,20 milk,40 paper,20 quartz,5 ruby,20 tparts,10 violetcrystal</t>
  </si>
  <si>
    <t>cost.tech.tailor.colored_threads.herbs.1</t>
  </si>
  <si>
    <t>300 coin,30 fan,100 steel,50 stone,200 wood</t>
  </si>
  <si>
    <t>20 amazake,40 blueprint,20 catalyst,1000 coin,10 enzyme,30 glass,10 ruby,200 steel</t>
  </si>
  <si>
    <t>cost.tech.tailor.colored_threads.reagent.1</t>
  </si>
  <si>
    <t>30 blueprint,600 coin,60 elixir,10 mechanism,4 ruby,10 steamobile</t>
  </si>
  <si>
    <t>800 coin,20 flatbread,20 onigiri,20 page,5 ruby,200 steel,20 thread,500 wood</t>
  </si>
  <si>
    <t>cost.tech.tailor.colored_threads.ruby.1</t>
  </si>
  <si>
    <t>10 beans,10 blueprint,300 coin,10 honey,1 ruby,1 spices</t>
  </si>
  <si>
    <t>400 coin,5 glass,10 grimoire,2 ruby,20 strawberry</t>
  </si>
  <si>
    <t>15 blueprint,400 coin,25 egg,1 glass,10 oil,2 ruby</t>
  </si>
  <si>
    <t>cost.tech.tailor.colored_threads.thread.1</t>
  </si>
  <si>
    <t>20 beans,15 blueprint,400 coin,5 glass,10 honey,20 mandrake,2 ruby</t>
  </si>
  <si>
    <t>400 coin,13 grimoire,2 ruby,8 soy,10 tofu</t>
  </si>
  <si>
    <t>10 blueprint,300 coin,40 elixir,5 mechanism,2 ruby,20 steel</t>
  </si>
  <si>
    <t>cost.tech.train.compound_engine.blueprint.1</t>
  </si>
  <si>
    <t>500 coin,20 elixir,10 grimoire,10 misopaste,5 ruby,10 sushi,10 tofu</t>
  </si>
  <si>
    <t>15 blueprint,1000 coin,50 miron,3 ruby</t>
  </si>
  <si>
    <t>20 blueprint,500 coin,5 mechanism,10 reagent,3 ruby,10 titanium</t>
  </si>
  <si>
    <t>cost.tech.train.compound_engine.coin.1</t>
  </si>
  <si>
    <t>20 blueprint,20 chemicals,500 coin,20 glass,5 mechanism,40 quartz,3 ruby</t>
  </si>
  <si>
    <t>15 blueprint,400 coin,40 elixir,10 mechanism,20 msteel,2 ruby</t>
  </si>
  <si>
    <t>30 blueprint,1500 coin,50 miron,6 ruby</t>
  </si>
  <si>
    <t>20 amazake,30 blueprint,20 catalyst,1000 coin,10 enzyme,20 floppy,20 microchip,20 reagent,5 ruby</t>
  </si>
  <si>
    <t>cost.tech.train.compound_engine.gears.1</t>
  </si>
  <si>
    <t>30 blueprint,100 chemicals,1000 coin,20 floppy,30 mechanism,20 microchip,40 paper,20 quartz,5 ruby</t>
  </si>
  <si>
    <t>40 blueprint,1000 coin,2 diamond,30 floppy,20 mercury,30 microchip,5 ruby,20 tparts,10 violetcrystal</t>
  </si>
  <si>
    <t>30 blueprint,400 coin,20 paper,2 ruby</t>
  </si>
  <si>
    <t>cost.tech.train.compound_engine.mechanism.1</t>
  </si>
  <si>
    <t>40 blueprint,1000 coin,400 plank,3 ruby,200 steel</t>
  </si>
  <si>
    <t>60 blueprint,1500 coin,600 plank,5 ruby,300 steel</t>
  </si>
  <si>
    <t>cost.tech.train.compound_engine.ruby.1</t>
  </si>
  <si>
    <t>1000 coin,25 oil,40 page,20 paper,3 ruby</t>
  </si>
  <si>
    <t>40 blueprint,1000 coin,30 paper,50 rice,5 ruby,10 tuna</t>
  </si>
  <si>
    <t>30 blueprint,400 coin,40 floppy,30 microchip,3 ruby,200 steel</t>
  </si>
  <si>
    <t>cost.tech.train.superheater.blueprint.1</t>
  </si>
  <si>
    <t>20 beans,30 blueprint,300 coin,30 paper,1 ruby</t>
  </si>
  <si>
    <t>cost.tech.train.superheater.catalyst.1</t>
  </si>
  <si>
    <t>20 blueprint,40 chemicals,500 coin,25 glass,100 plank,5 ruby</t>
  </si>
  <si>
    <t>300 coin,30 miron,15 page,2 ruby</t>
  </si>
  <si>
    <t>50 charcoal,300 coin,40 miron,20 page,2 ruby,50 steel</t>
  </si>
  <si>
    <t>cost.tech.train.superheater.coin.1</t>
  </si>
  <si>
    <t>15 blueprint,100 charcoal,500 coin,40 msteel,3 ruby,100 steel</t>
  </si>
  <si>
    <t>20 blueprint,200 charcoal,1000 coin,60 msteel,5 ruby,200 steel</t>
  </si>
  <si>
    <t>40 blueprint,1000 coin,20 gears,20 mechanism,5 ruby,3 sword3</t>
  </si>
  <si>
    <t>cost.tech.train.superheater.mechanism.1</t>
  </si>
  <si>
    <t>20 bamboo,25 bluecrystal,1000 coin,10 grimoire,10 mercury,10 quartz,1 reddiamond,5 ruby,1 sword4</t>
  </si>
  <si>
    <t>15 blueprint,500 coin,10 oil,15 reagent,2 ruby</t>
  </si>
  <si>
    <t>cost.tech.train.superheater.ruby.1</t>
  </si>
  <si>
    <t>30 blueprint,1000 coin,30 gears,20 miron,5 ruby</t>
  </si>
  <si>
    <t>30 bluecrystal,500 coin,20 greencrystal,10 grimoire,10 ingot,10 mercury,20 redcrystal,3 ruby,15 violetcrystal</t>
  </si>
  <si>
    <t>300 coin,20 elixir,10 page,1 ring1,2 ruby,10 thread</t>
  </si>
  <si>
    <t>cost.tech.train.superheater.steel.1</t>
  </si>
  <si>
    <t>10 blueprint,300 coin,5 reagent,2 ruby,15 silk,20 thread</t>
  </si>
  <si>
    <t>400 coin,10 ginkgo,15 grimoire,6 hide,15 mercury,3 ruby</t>
  </si>
  <si>
    <t>cost.tech.train.automatic_lubricator.blueprint.1</t>
  </si>
  <si>
    <t>500 coin,50 miron,30 page,3 ruby,10 silk,5 thread</t>
  </si>
  <si>
    <t>20 blueprint,1000 coin,50 msteel,5 ruby,20 silk,10 thread</t>
  </si>
  <si>
    <t>cost.tech.train.automatic_lubricator.coin.1</t>
  </si>
  <si>
    <t>30 blueprint,1500 coin,75 msteel,7 ruby,30 silk,15 thread</t>
  </si>
  <si>
    <t>30 blueprint,500 coin,20 grimoire,5 mechanism,3 ruby,20 tparts,6 velour</t>
  </si>
  <si>
    <t>1 armor4,20 blueprint,1000 coin,10 grimoire,10 quartz,25 redcrystal,1 reddiamond,5 ruby,20 tparts</t>
  </si>
  <si>
    <t>cost.tech.train.automatic_lubricator.mechanism.1</t>
  </si>
  <si>
    <t>10 blueprint,300 coin,1 ruby,10 silk,10 thread</t>
  </si>
  <si>
    <t>20 blueprint,500 coin,30 miron,2 ruby,10 thread</t>
  </si>
  <si>
    <t>10 cinnabar,300 coin,5 grimoire,10 herbs,10 reagent,2 ruby,10 thread</t>
  </si>
  <si>
    <t>cost.tech.train.automatic_lubricator.oil.1</t>
  </si>
  <si>
    <t>30 blueprint,1500 coin,50 gears,30 mechanism,4 ruby</t>
  </si>
  <si>
    <t>30 blueprint,30 catalyst,1500 coin,30 mechanism,4 ruby,500 steel</t>
  </si>
  <si>
    <t>cost.tech.train.automatic_lubricator.ruby.1</t>
  </si>
  <si>
    <t>30 blueprint,1500 coin,30 mechanism,50 oil,4 ruby</t>
  </si>
  <si>
    <t>10 apy,30 blueprint,1500 coin,20 reagent,5 ruby,30 tparts</t>
  </si>
  <si>
    <t>cost.tech.train.titanium_components.apy.1</t>
  </si>
  <si>
    <t>20 apy,40 blueprint,1500 coin,40 floppy,30 mechanism,20 mercury,40 microchip,5 ruby,200 steel</t>
  </si>
  <si>
    <t>30 blueprint,300 coin,200 plank,1 ruby,50 steel</t>
  </si>
  <si>
    <t>30 blueprint,400 coin,300 plank,2 ruby,60 steel</t>
  </si>
  <si>
    <t>cost.tech.train.titanium_components.blueprint.1</t>
  </si>
  <si>
    <t>30 blueprint,500 coin,400 plank,3 ruby,70 steel</t>
  </si>
  <si>
    <t>40 beam,300 coin,10 page,2 ruby,10 stone,10 thread</t>
  </si>
  <si>
    <t>50 beam,300 coin,40 miron,20 page,2 ruby</t>
  </si>
  <si>
    <t>cost.tech.train.titanium_components.coin.1</t>
  </si>
  <si>
    <t>15 blueprint,500 coin,40 msteel,100 plank,3 ruby</t>
  </si>
  <si>
    <t>20 blueprint,1000 coin,60 msteel,200 plank,5 ruby</t>
  </si>
  <si>
    <t>cost.tech.train.titanium_components.reagent.1</t>
  </si>
  <si>
    <t>25 blueprint,10 catalyst,30 chemicals,1000 coin,15 mechanism,5 ruby,3 shield3</t>
  </si>
  <si>
    <t>20 apy,20 catalyst,1000 coin,25 greencrystal,10 grimoire,10 quartz,1 reddiamond,5 ruby,1 shield4</t>
  </si>
  <si>
    <t>15 blueprint,500 coin,10 honey,15 reagent,2 ruby</t>
  </si>
  <si>
    <t>cost.tech.train.titanium_components.ruby.1</t>
  </si>
  <si>
    <t>30 blueprint,700 coin,30 gears,10 msteel,3 ruby</t>
  </si>
  <si>
    <t>30 blueprint,1000 coin,15 mechanism,20 msteel,5 ruby</t>
  </si>
  <si>
    <t>15 blueprint,400 coin,20 greek,10 mechanism,3 mspider,2 ruby</t>
  </si>
  <si>
    <t>cost.tech.train.titanium_components.tparts.1</t>
  </si>
  <si>
    <t>30 blueprint,1500 coin,15 mechanism,30 msteel,7 ruby</t>
  </si>
  <si>
    <t>30 bamboo,1000 coin,10 grimoire,5 ruby,100 stone,20 thread</t>
  </si>
  <si>
    <t>cost.tech.train.onboard_computer.apy.1</t>
  </si>
  <si>
    <t>20 blueprint,1000 coin,50 elixir,10 mechanism,20 msteel,3 ruby</t>
  </si>
  <si>
    <t>30 blueprint,1500 coin,75 elixir,15 mechanism,30 msteel,5 ruby</t>
  </si>
  <si>
    <t>5 Ruby, 1000 coin, 50 fertilizer, 30 bonemeal, 100 chemical, 20 reagent, 20 catalyst, 30 blueprint, 30 pcard</t>
  </si>
  <si>
    <t>cost.tech.train.onboard_computer.blueprint.1</t>
  </si>
  <si>
    <t>5 Ruby, 400 coin, 100 stone, 20 miron, 40 bone, 20 elixir, 15 page</t>
  </si>
  <si>
    <t>500 beam,500 coin,15 page,3 ruby,100 steel,500 stone</t>
  </si>
  <si>
    <t>cost.tech.train.onboard_computer.coin.1</t>
  </si>
  <si>
    <t>400 beam,400 coin,10 page,2 ruby,400 stone</t>
  </si>
  <si>
    <t>1000 coin,10 enzyme,5 grimoire,600 plank,5 ruby,10 softcheese,100 stone</t>
  </si>
  <si>
    <t>cost.tech.train.onboard_computer.floppy.1</t>
  </si>
  <si>
    <t>500 beam,500 coin,15 page,3 ruby,500 stone</t>
  </si>
  <si>
    <t>cost.tech.train.onboard_computer.mechanism.1</t>
  </si>
  <si>
    <t>600 beam,800 coin,20 page,5 ruby,600 stone</t>
  </si>
  <si>
    <t>200 crypto,17 grimoire,10 inarizushi,5 ruby,3 treasure,300 wood</t>
  </si>
  <si>
    <t>cost.tech.train.onboard_computer.mercury.1</t>
  </si>
  <si>
    <t>400 crypto,19 grimoire,20 inarizushi,10 ruby,6 treasure,600 wood</t>
  </si>
  <si>
    <t>cost.tech.train.onboard_computer.microchip.1</t>
  </si>
  <si>
    <t>600 beam,600 coin,20 page,3 ruby,300 steel,600 stone</t>
  </si>
  <si>
    <t>cost.tech.train.onboard_computer.ruby.1</t>
  </si>
  <si>
    <t>3 armor1,3 armor2,3 armor3,3 armor4,3 shield1,3 shield2,3 shield3,3 shield4,3 sword1,3 sword2,3 sword3,3 sword4</t>
  </si>
  <si>
    <t>6 armor1,6 armor2,6 armor3,6 armor4,6 shield1,6 shield2,6 shield3,6 shield4,6 sword1,6 sword2,6 sword3,6 sword4</t>
  </si>
  <si>
    <t>9 armor1,9 armor2,9 armor3,9 armor4,9 shield1,9 shield2,9 shield3,9 shield4,9 sword1,9 sword2,9 sword3,9 sword4</t>
  </si>
  <si>
    <t>cost.tech.train.onboard_computer.steel.1</t>
  </si>
  <si>
    <t>3 armor4p,3 shield4p,3 sword4p</t>
  </si>
  <si>
    <t>3 drum,20 fan,3 firework,10 katana,3 kimono,3 ninja,3 samurai,20 shuriken,20 spikes</t>
  </si>
  <si>
    <t>6 drum,40 fan,6 firework,20 katana,6 kimono,6 ninja,6 samurai,40 shuriken,40 spikes</t>
  </si>
  <si>
    <t>9 drum,60 fan,9 firework,30 katana,9 kimono,9 ninja,9 samurai,60 shuriken,60 spikes</t>
  </si>
  <si>
    <t>cost.tech.warehouse.stackable_racks_lvl_1.blueprint.1</t>
  </si>
  <si>
    <t>12 drum,80 fan,12 firework,40 katana,12 kimono,12 ninja,12 samurai,80 shuriken,80 spikes</t>
  </si>
  <si>
    <t>15 drum,100 fan,15 firework,50 katana,15 kimono,15 ninja,15 samurai,100 shuriken,100 spikes</t>
  </si>
  <si>
    <t>20 ginkgo,5 herbs,5 herbs.2,5 herbs.3,15 honey,10 porcini,5 strawberry,5 strawberry.2,5 strawberry.3,50 wood</t>
  </si>
  <si>
    <t>cost.tech.warehouse.stackable_racks_lvl_1.coin.1</t>
  </si>
  <si>
    <t>40 ginkgo,10 herbs,10 herbs.2,10 herbs.3,30 honey,20 porcini,10 strawberry,10 strawberry.2,10 strawberry.3,100 wood</t>
  </si>
  <si>
    <t>15 bamboo,15 bamboo.2,15 bamboo.3</t>
  </si>
  <si>
    <t>5 apy,10 cinnabar,10 mandrake,15 miron,15 reagent,5 titanium</t>
  </si>
  <si>
    <t>10 apy,20 cinnabar,20 mandrake,30 miron,30 reagent,10 titanium</t>
  </si>
  <si>
    <t>cost.tech.warehouse.stackable_racks_lvl_1.plank.1</t>
  </si>
  <si>
    <t>15 apy,30 cinnabar,30 mandrake,45 miron,45 reagent,15 titanium</t>
  </si>
  <si>
    <t>20 apy,40 cinnabar,40 mandrake,60 miron,60 reagent,20 titanium</t>
  </si>
  <si>
    <t>25 apy,50 cinnabar,50 mandrake,75 miron,75 reagent,25 titanium</t>
  </si>
  <si>
    <t>cost.tech.warehouse.stackable_racks_lvl_1.ruby.1</t>
  </si>
  <si>
    <t>3 hide,1 horn,3 teeth</t>
  </si>
  <si>
    <t>6 hide,2 horn,6 teeth</t>
  </si>
  <si>
    <t>9 hide,3 horn,9 teeth</t>
  </si>
  <si>
    <t>cost.tech.warehouse.stackable_racks_lvl_1.steel.1</t>
  </si>
  <si>
    <t>12 hide,4 horn,12 teeth</t>
  </si>
  <si>
    <t>15 hide,5 horn,15 teeth</t>
  </si>
  <si>
    <t>5 bluecrystal,5 greencrystal,5 quartz,5 redcrystal,5 violetcrystal</t>
  </si>
  <si>
    <t>cost.tech.warehouse.stackable_racks_lvl_2.blueprint.1</t>
  </si>
  <si>
    <t>10 bluecrystal,10 greencrystal,10 quartz,10 redcrystal,10 violetcrystal</t>
  </si>
  <si>
    <t>15 bluecrystal,15 greencrystal,15 quartz,15 redcrystal,15 violetcrystal</t>
  </si>
  <si>
    <t>20 bluecrystal,20 greencrystal,20 quartz,20 redcrystal,20 violetcrystal</t>
  </si>
  <si>
    <t>cost.tech.warehouse.stackable_racks_lvl_2.coin.1</t>
  </si>
  <si>
    <t>25 bluecrystal,25 greencrystal,25 quartz,25 redcrystal,25 violetcrystal</t>
  </si>
  <si>
    <t>20 blueprint,10 grimoire,30 page,1 scroll</t>
  </si>
  <si>
    <t>40 blueprint,20 grimoire,60 page,2 scroll</t>
  </si>
  <si>
    <t>cost.tech.warehouse.stackable_racks_lvl_2.plank.1</t>
  </si>
  <si>
    <t>60 blueprint,30 grimoire,90 page,3 scroll</t>
  </si>
  <si>
    <t>20 map1,10 map2,5 map3</t>
  </si>
  <si>
    <t>40 map1,20 map2,10 map3</t>
  </si>
  <si>
    <t>cost.tech.warehouse.stackable_racks_lvl_2.ruby.1</t>
  </si>
  <si>
    <t>60 map1,30 map2,15 map3</t>
  </si>
  <si>
    <t>3000 coin</t>
  </si>
  <si>
    <t>10 honey,10 jam,15 oil,50 plank,50 plank.2,50 plank.3,50 plank.4,50 plank.5,50 plank.6,50 plank.7,50 plank.8,15 soy</t>
  </si>
  <si>
    <t>cost.tech.warehouse.stackable_racks_lvl_2.steel.1</t>
  </si>
  <si>
    <t>20 honey,20 jam,30 oil,100 plank,100 plank.2,100 plank.3,100 plank.4,100 plank.5,100 plank.6,100 plank.7,100 plank.8,30 soy</t>
  </si>
  <si>
    <t>30 honey,30 jam,45 oil,150 plank,150 plank.2,150 plank.3,150 plank.4,150 plank.5,150 plank.6,150 plank.7,150 plank.8,45 soy</t>
  </si>
  <si>
    <t>cost.tech.warehouse.stackable_racks_lvl_3.blueprint.1</t>
  </si>
  <si>
    <t>40 honey,40 jam,60 oil,200 plank,200 plank.2,200 plank.3,200 plank.4,200 plank.5,200 plank.6,200 plank.7,200 plank.8,60 soy</t>
  </si>
  <si>
    <t>50 honey,50 jam,75 oil,250 plank,250 plank.2,250 plank.3,250 plank.4,250 plank.5,250 plank.6,250 plank.7,250 plank.8,75 soy</t>
  </si>
  <si>
    <t>100 charcoal,20 oil,100 plank,100 plank.2,200 plank.3</t>
  </si>
  <si>
    <t>10 mushrooms,10 mushrooms.2,10 mushrooms.3,10 mushrooms.4,10 mushrooms.5,10 mushrooms.6</t>
  </si>
  <si>
    <t>cost.tech.warehouse.stackable_racks_lvl_3.coin.1</t>
  </si>
  <si>
    <t>20 mushrooms,20 mushrooms.2,20 mushrooms.3,20 mushrooms.4,20 mushrooms.5,20 mushrooms.6</t>
  </si>
  <si>
    <t>10 cherry,10 cherry.2,10 cherry.3,10 cherry.4,10 cherry.5,10 cherry.6,50 stone,50 stone.2</t>
  </si>
  <si>
    <t>cost.tech.warehouse.stackable_racks_lvl_3.plank.1</t>
  </si>
  <si>
    <t>20 cherry,20 cherry.2,20 cherry.3,20 cherry.4,20 cherry.5,20 cherry.6,100 stone,100 stone.2</t>
  </si>
  <si>
    <t>5 avocado,10 beans,10 dates,40 flour,10 glass,10 paper,40 rice,10 salmon,10 silk,5 spices,10 thread,5 tuna</t>
  </si>
  <si>
    <t>10 avocado,20 beans,20 dates,80 flour,20 glass,20 paper,80 rice,20 salmon,20 silk,10 spices,20 thread,10 tuna</t>
  </si>
  <si>
    <t>cost.tech.warehouse.stackable_racks_lvl_3.ruby.1</t>
  </si>
  <si>
    <t>15 avocado,30 beans,30 dates,120 flour,30 glass,30 paper,120 rice,30 salmon,30 silk,15 spices,30 thread,15 tuna</t>
  </si>
  <si>
    <t>20 avocado,40 beans,40 dates,160 flour,40 glass,40 paper,160 rice,40 salmon,40 silk,20 spices,40 thread,20 tuna</t>
  </si>
  <si>
    <t>25 avocado,50 beans,50 dates,200 flour,50 glass,50 paper,200 rice,50 salmon,50 silk,25 spices,50 thread,25 tuna</t>
  </si>
  <si>
    <t>cost.tech.warehouse.stackable_racks_lvl_3.steel.1</t>
  </si>
  <si>
    <t>100 plank,100 plank.2,100 steel,100 stone</t>
  </si>
  <si>
    <t>200 plank,200 plank.2,200 steel,200 stone</t>
  </si>
  <si>
    <t>300 plank,300 plank.2,300 steel,300 stone</t>
  </si>
  <si>
    <t>cost.tech.workshop.throwing_net.beam.1</t>
  </si>
  <si>
    <t>400 plank,400 plank.2,400 steel,400 stone</t>
  </si>
  <si>
    <t>500 plank,500 plank.2,500 steel,500 stone</t>
  </si>
  <si>
    <t>100 charcoal,100 chemicals,100 gunpowder,100 isand</t>
  </si>
  <si>
    <t>cost.tech.workshop.throwing_net.coin.1</t>
  </si>
  <si>
    <t>200 charcoal,200 chemicals,200 gunpowder,200 isand</t>
  </si>
  <si>
    <t>300 charcoal,300 chemicals,300 gunpowder,300 isand</t>
  </si>
  <si>
    <t>400 charcoal,400 chemicals,400 gunpowder,400 isand</t>
  </si>
  <si>
    <t>cost.tech.workshop.throwing_net.page.1</t>
  </si>
  <si>
    <t>500 charcoal,500 chemicals,500 gunpowder,500 isand</t>
  </si>
  <si>
    <t>20 egg,20 milk,10 vintcheese</t>
  </si>
  <si>
    <t>200 stone</t>
  </si>
  <si>
    <t>cost.tech.workshop.throwing_net.ruby.1</t>
  </si>
  <si>
    <t>10 cake,10 cup,10 fried,20 mcola,10 pasta,10 ramen,10 smoothie2,10 sushi,10 teriyaki</t>
  </si>
  <si>
    <t>20 cake,20 cup,20 fried,40 mcola,20 pasta,20 ramen,20 smoothie2,20 sushi,20 teriyaki</t>
  </si>
  <si>
    <t>1000 coin,1000 coin.2,250 crypto,250 dinar,10 ingot,5 pearl,5 ruby,10 treasure</t>
  </si>
  <si>
    <t>cost.tech.workshop.throwing_net.stone.1</t>
  </si>
  <si>
    <t>2000 coin,2000 coin.2,500 crypto,500 dinar,20 ingot,10 pearl,10 ruby,20 treasure</t>
  </si>
  <si>
    <t>3000 coin,3000 coin.2,750 crypto,750 dinar,30 ingot,15 pearl,15 ruby,30 treasure</t>
  </si>
  <si>
    <t>cost.tech.workshop.throwing_net.thread.1</t>
  </si>
  <si>
    <t>4000 coin,4000 coin.2,1000 crypto,1000 dinar,40 ingot,20 pearl,20 ruby,40 treasure</t>
  </si>
  <si>
    <t>5000 coin,5000 coin.2,1250 crypto,1250 dinar,50 ingot,25 pearl,25 ruby,50 treasure</t>
  </si>
  <si>
    <t>3 ring1,3 ring2,3 ring3,3 ring4,3 ring4p</t>
  </si>
  <si>
    <t>cost.tech.workshop.shield_for_a_hero_lvl_1.beam.1</t>
  </si>
  <si>
    <t>6 ring1,6 ring2,6 ring3,6 ring4,6 ring4p</t>
  </si>
  <si>
    <t>9 ring1,9 ring2,9 ring3,9 ring4,9 ring4p</t>
  </si>
  <si>
    <t>3 diamond,1 gegg,1 gegg.2,1 pog,1 reddiamond</t>
  </si>
  <si>
    <t>cost.tech.workshop.shield_for_a_hero_lvl_1.coin.1</t>
  </si>
  <si>
    <t>15 blueprint,1000 coin,10 mechanism,40 page,10 ruby</t>
  </si>
  <si>
    <t>40 blueprint,1000 coin,20 glass,25 mercury,20 paper</t>
  </si>
  <si>
    <t>80 blueprint,10 catalyst,30 chemicals,30 glass,30 mechanism,30 reagent,10 silk</t>
  </si>
  <si>
    <t>cost.tech.workshop.shield_for_a_hero_lvl_1.miron.1</t>
  </si>
  <si>
    <t>100 crypto,10 ingot,30 msteel,20 page,5 ruby,1 scroll</t>
  </si>
  <si>
    <t>15 emeralds,30 page</t>
  </si>
  <si>
    <t>10 apy,30 blueprint,10 catalyst,40 chemicals,10 glass,5 mechanism,20 oil,20 tparts</t>
  </si>
  <si>
    <t>cost.tech.workshop.shield_for_a_hero_lvl_1.page.1</t>
  </si>
  <si>
    <t>100 silk</t>
  </si>
  <si>
    <t>100 paper</t>
  </si>
  <si>
    <t>50 dates,25 flour,25 glass,50 honey,50 oil,25 rice,25 tuna</t>
  </si>
  <si>
    <t>cost.tech.workshop.shield_for_a_hero_lvl_1.ruby.1</t>
  </si>
  <si>
    <t>20 ginkgo,20 grimoire,10 herbs,10 mercury,10 silk,2 teeth,12 velour</t>
  </si>
  <si>
    <t>100 crypto,40 msteel,20 page,1 scroll</t>
  </si>
  <si>
    <t>15 blueprint,9 grimoire,40 page,12 scroll</t>
  </si>
  <si>
    <t>200 charcoal,200 coin,200 ingot</t>
  </si>
  <si>
    <t>cost.tech.workshop.shield_for_a_hero_lvl_2.blueprint.1</t>
  </si>
  <si>
    <t>20 apy,30 blueprint,10 catalyst,20 chemicals,5 mercury,30 miron,10 reagent,10 tparts</t>
  </si>
  <si>
    <t>50 pearl,1 thread</t>
  </si>
  <si>
    <t>30 blueprint,500 coin,10 mechanism,50 msteel,500 steel</t>
  </si>
  <si>
    <t>cost.tech.workshop.shield_for_a_hero_lvl_2.coin.1</t>
  </si>
  <si>
    <t>32 blueprint,16 ingot,8 malu,16 mechanism,4 pcard,40 tparts</t>
  </si>
  <si>
    <t>40 blueprint,60 glass,20 mechanism,5 ruby</t>
  </si>
  <si>
    <t>30 catalyst,50 chemicals,30 glass,50 ingot,40 reagent</t>
  </si>
  <si>
    <t>cost.tech.workshop.shield_for_a_hero_lvl_2.msteel.1</t>
  </si>
  <si>
    <t>60 page,1 scroll</t>
  </si>
  <si>
    <t>cost.tech.workshop.shield_for_a_hero_lvl_2.plank.1</t>
  </si>
  <si>
    <t>cost.tech.workshop.shield_for_a_hero_lvl_2.ruby.1</t>
  </si>
  <si>
    <t>cost.tech.workshop.shield_for_a_hero_lvl_3.blueprint.1</t>
  </si>
  <si>
    <t>cost.tech.workshop.shield_for_a_hero_lvl_3.coin.1</t>
  </si>
  <si>
    <t>cost.tech.workshop.shield_for_a_hero_lvl_3.msteel.1</t>
  </si>
  <si>
    <t>cost.tech.workshop.shield_for_a_hero_lvl_3.plank.1</t>
  </si>
  <si>
    <t>BuildingID</t>
  </si>
  <si>
    <t>Key</t>
  </si>
  <si>
    <t>BuildingName</t>
  </si>
  <si>
    <t>Level</t>
  </si>
  <si>
    <t>CharacterLevelReq</t>
  </si>
  <si>
    <t>description</t>
  </si>
  <si>
    <t>cost</t>
  </si>
  <si>
    <t>PrereqText</t>
  </si>
  <si>
    <t>cost.tech.workshop.shield_for_a_hero_lvl_3.ruby.1</t>
  </si>
  <si>
    <t>prereq_tokens_auto</t>
  </si>
  <si>
    <t>WikiName</t>
  </si>
  <si>
    <t>coustcount</t>
  </si>
  <si>
    <t>resourcecount</t>
  </si>
  <si>
    <t>cost.tech.workshop.shield_for_a_hero_lvl_4.blueprint.1</t>
  </si>
  <si>
    <t>cost.tech.workshop.shield_for_a_hero_lvl_4.catalyst.1</t>
  </si>
  <si>
    <t>cost.tech.workshop.shield_for_a_hero_lvl_4.chemicals.1</t>
  </si>
  <si>
    <t>airship</t>
  </si>
  <si>
    <t>Unlocks Airship#Airship_missions|airship missions]], Quests#Festival Returns|Festival Returns quest]], Quest for Knowledge Chapter V, and 6 new craftifacts]].</t>
  </si>
  <si>
    <t>ruby:10,coin:2000,silk:120,thread:20,chemicals:200,reagent:20,miron:50,page:40</t>
  </si>
  <si>
    <t>cost.tech.workshop.shield_for_a_hero_lvl_4.coin.1</t>
  </si>
  <si>
    <t>bridge lvl. 1</t>
  </si>
  <si>
    <t>BUILDING_LVL:bridge@1</t>
  </si>
  <si>
    <t>cost.tech.workshop.shield_for_a_hero_lvl_4.mechanism.1</t>
  </si>
  <si>
    <t>Increases carrying capacity to 4 slots.</t>
  </si>
  <si>
    <t>ruby:12,coin:3000,plank:60,silk:100,gears:20,fan:50,thread:10</t>
  </si>
  <si>
    <t>BUILDING_LVL:airship@1</t>
  </si>
  <si>
    <t>alchemists_hut</t>
  </si>
  <si>
    <t>Alchemist's Hut</t>
  </si>
  <si>
    <t>cost.tech.workshop.shield_for_a_hero_lvl_4.ruby.1</t>
  </si>
  <si>
    <t>Crafting:</t>
  </si>
  <si>
    <t>ruby:1,coin:140,wood:70,stone:70</t>
  </si>
  <si>
    <t>cost.tech.workshop.shield_for_a_hero_lvl_4.shield3.1</t>
  </si>
  <si>
    <t>Unlocks Cauldron]].</t>
  </si>
  <si>
    <t>ruby:2,coin:200,wood:100,stone:100,chemicals:20</t>
  </si>
  <si>
    <t>BUILDING_LVL:Alchemist's Hut@1</t>
  </si>
  <si>
    <t>cost.tech.workshop.shield_for_a_hero_lvl_4+.apy.1</t>
  </si>
  <si>
    <t>ruby:3,coin:300,beam:300,stone:150,chemicals:40,charcoal:40</t>
  </si>
  <si>
    <t>BUILDING_LVL:Alchemist's Hut@2</t>
  </si>
  <si>
    <t>cost.tech.workshop.shield_for_a_hero_lvl_4+.catalyst.1</t>
  </si>
  <si>
    <t>ruby:4,coin:400,beam:400,stone:200,gunpowder:40</t>
  </si>
  <si>
    <t>BUILDING_LVL:Alchemist's Hut@3</t>
  </si>
  <si>
    <t>cost.tech.workshop.shield_for_a_hero_lvl_4+.coin.1</t>
  </si>
  <si>
    <t>ruby:5,coin:500,beam:440,stone:220,gunpowder:80</t>
  </si>
  <si>
    <t>BUILDING_LVL:Alchemist's Hut@4</t>
  </si>
  <si>
    <t>cost.tech.workshop.shield_for_a_hero_lvl_4+.greencrystal.1</t>
  </si>
  <si>
    <t>ruby:6,coin:1000,beam:800,stone:400,chemicals:200,glass:50</t>
  </si>
  <si>
    <t>BUILDING_LVL:Alchemist's Hut@5</t>
  </si>
  <si>
    <t>cost.tech.workshop.shield_for_a_hero_lvl_4+.grimoire.1</t>
  </si>
  <si>
    <t>bonsai</t>
  </si>
  <si>
    <t>Passive income: {{i|beans|30}} x 1.</t>
  </si>
  <si>
    <t>cost.tech.workshop.shield_for_a_hero_lvl_4+.quartz.1</t>
  </si>
  <si>
    <t>ruby:3,coin:500,plank:500,beans:120</t>
  </si>
  <si>
    <t>cost.tech.workshop.shield_for_a_hero_lvl_4+.reddiamond.1</t>
  </si>
  <si>
    <t>Passive income: {{i|beans|30}} x 2.</t>
  </si>
  <si>
    <t>ruby:5,coin:800,plank:600,beans:240,chemicals:150</t>
  </si>
  <si>
    <t>BUILDING_LVL:bonsai@1</t>
  </si>
  <si>
    <t>bridge</t>
  </si>
  <si>
    <t>cost.tech.workshop.shield_for_a_hero_lvl_4+.ruby.1</t>
  </si>
  <si>
    <t>Unlocks Bedouin (Bourse]] section) and new buildings: Caravan]], Outpost]], Tailor]], Airship]], and Train Station]].</t>
  </si>
  <si>
    <t>ruby:4,coin:1000,beam:400,plank:1000,stone:400,steel:100</t>
  </si>
  <si>
    <t>cost.tech.workshop.shield_for_a_hero_lvl_4+.shield4.1</t>
  </si>
  <si>
    <t>caravan</t>
  </si>
  <si>
    <t>Unlocks Caravan#Caravan_missions|caravan missions]].</t>
  </si>
  <si>
    <t>ruby:5,coin:1000,plank:400,stone:200,beans:50,sushi:10</t>
  </si>
  <si>
    <t>cost.tech.workshop.strong_glue.blueprint.1</t>
  </si>
  <si>
    <t>One additional slot for an item to be sold and purchased.</t>
  </si>
  <si>
    <t>ruby:7,coin:1200,plank:600,stone:300,ingot:50,fan:50</t>
  </si>
  <si>
    <t>BUILDING_LVL:caravan@1</t>
  </si>
  <si>
    <t>cost.tech.workshop.strong_glue.coin.1</t>
  </si>
  <si>
    <t>ruby:9,coin:1500,plank:800,stone:400,paper:20,pearl:10</t>
  </si>
  <si>
    <t>BUILDING_LVL:caravan@2</t>
  </si>
  <si>
    <t>cost.tech.workshop.strong_glue.honey.1</t>
  </si>
  <si>
    <t>cost.tech.workshop.strong_glue.reagent.1</t>
  </si>
  <si>
    <t>ruby:12,coin:2000,plank:1000,stone:500,silk:30,spices:5</t>
  </si>
  <si>
    <t>BUILDING_LVL:caravan@3</t>
  </si>
  <si>
    <t>chicken</t>
  </si>
  <si>
    <t>cost.tech.workshop.strong_glue.ruby.1</t>
  </si>
  <si>
    <t>ruby:2,coin:400,beam:400,stone:200,wheat:20,thread:10,egg:1</t>
  </si>
  <si>
    <t>cost.tech.workshop.mechanism.blueprint.1</t>
  </si>
  <si>
    <t>Increases maximum order size by 100%.</t>
  </si>
  <si>
    <t>ruby:3,coin:600,beam:600,stone:300,wheat:20,thread:10,egg:1</t>
  </si>
  <si>
    <t>BUILDING_LVL:chicken@1</t>
  </si>
  <si>
    <t>cost.tech.workshop.mechanism.coin.1</t>
  </si>
  <si>
    <t>dairy</t>
  </si>
  <si>
    <t>Requires completing Quests:_The_Ordinary_Days_of_an_Adventurer|The Ordinary Days of an Adventurer quest: Chapter V]].</t>
  </si>
  <si>
    <t>ruby:5,coin:1000,beam:700,stone:300,thread:20,glass:40,wheat:100,herbs:20,goat:1</t>
  </si>
  <si>
    <t>Requires completing The Ordinary Days of an Adventurer Chapter V]].</t>
  </si>
  <si>
    <t>cost.tech.workshop.mechanism.gears.1</t>
  </si>
  <si>
    <t>QUEST_COMPLETE:the ordinary days of an adventurer chapter v]]</t>
  </si>
  <si>
    <t>cost.tech.workshop.mechanism.msteel.1</t>
  </si>
  <si>
    <t>Doubles productivity.</t>
  </si>
  <si>
    <t>ruby:5,coin:1000,beam:900,stone:500,thread:30,bamboo:20,milk:20,enzyme:10,grimoire:5</t>
  </si>
  <si>
    <t>BUILDING_LVL:dairy@1</t>
  </si>
  <si>
    <t>cost.tech.workshop.mechanism.ruby.1</t>
  </si>
  <si>
    <t>dungeon</t>
  </si>
  <si>
    <t>Unlocks Dungeon: RPG]], Cultist (Bourse]] section), and Quests:_Quest_for_Knowledge|questline: Quest for Knowledge]].</t>
  </si>
  <si>
    <t>ruby:1,coin:300,wood:200,stone:50,steel:100,fan:30</t>
  </si>
  <si>
    <t>cost.tech.workshop.mechanical_spider.blueprint.1</t>
  </si>
  <si>
    <t>Dungeon 2A, and Quests:_Once_Upon_a_Forest|questline: Once Upon a Forest]].</t>
  </si>
  <si>
    <t>ruby:2,coin:500,beam:500,steel:400,petard:100,bento:5,page:15</t>
  </si>
  <si>
    <t>BUILDING_LVL:dungeon@1</t>
  </si>
  <si>
    <t>cost.tech.workshop.mechanical_spider.coin.1</t>
  </si>
  <si>
    <t>Dungeon 3A.</t>
  </si>
  <si>
    <t>cost.tech.workshop.mechanical_spider.mechanism.1</t>
  </si>
  <si>
    <t>ruby:3,coin:1000,beam:500,steel:400,kunai:50,ramen:3,page:15</t>
  </si>
  <si>
    <t>BUILDING_LVL:dungeon@2</t>
  </si>
  <si>
    <t>cost.tech.workshop.mechanical_spider.msteel.1</t>
  </si>
  <si>
    <t>Dungeon 4A.</t>
  </si>
  <si>
    <t>ruby:5,coin:1500,beam:750,oil:30,clew:5,poe:20,page:20</t>
  </si>
  <si>
    <t>BUILDING_LVL:dungeon@3</t>
  </si>
  <si>
    <t>cost.tech.workshop.mechanical_spider.ruby.1</t>
  </si>
  <si>
    <t>Dungeon 5A.</t>
  </si>
  <si>
    <t>ruby:7,coin:2000,beam:1000,mspider:10,smoothie:10,page:25</t>
  </si>
  <si>
    <t>BUILDING_LVL:dungeon@4</t>
  </si>
  <si>
    <t>cost.tech.workshop.explosive_mechanical_spider.blueprint.1</t>
  </si>
  <si>
    <t>tunnel</t>
  </si>
  <si>
    <t>New route in Train]]: Sapporo.</t>
  </si>
  <si>
    <t>Tunnel can be built after accepting Quests:_Ahead_of_Time#Chapter_II:_Rabbit_Hole|Ahead of Time: Chapter 2]] in dungeon 6A.</t>
  </si>
  <si>
    <t>ruby:5,coin:1000,beam:8000,stone:500,steel:1000,mechanism:40,petard:100,pcard:100,blueprint:100</t>
  </si>
  <si>
    <t>Requires accepting  Ahead of Time Chapter II</t>
  </si>
  <si>
    <t>QUEST_ACCEPT:ahead of time chapter ii</t>
  </si>
  <si>
    <t>cost.tech.workshop.explosive_mechanical_spider.coin.1</t>
  </si>
  <si>
    <t>fermentory</t>
  </si>
  <si>
    <t>Requires Quests#Magic Beans|Magic Beans quest]] (completed).</t>
  </si>
  <si>
    <t>ruby:5,coin:1000,beam:700,stone:700,steel:300,soybean:50,page:30</t>
  </si>
  <si>
    <t>Requires completing Magic Beans</t>
  </si>
  <si>
    <t>cost.tech.workshop.explosive_mechanical_spider.greek.1</t>
  </si>
  <si>
    <t>QUEST_COMPLETE:magic beans</t>
  </si>
  <si>
    <t>greek</t>
  </si>
  <si>
    <t>cost.tech.workshop.explosive_mechanical_spider.mechanism.1</t>
  </si>
  <si>
    <t>ruby:5,coin:1000,beam:900,stone:500,chemicals:100,reagent:30,charcoal:200,soybean:50</t>
  </si>
  <si>
    <t>BUILDING_LVL:fermentory@1</t>
  </si>
  <si>
    <t>cost.tech.workshop.explosive_mechanical_spider.mspider.1</t>
  </si>
  <si>
    <t>ruby:7,coin:1000,plank:700,stone:500,steel:200,charcoal:200,soybean:50</t>
  </si>
  <si>
    <t>BUILDING_LVL:fermentory@2</t>
  </si>
  <si>
    <t>cost.tech.workshop.explosive_mechanical_spider.ruby.1</t>
  </si>
  <si>
    <t>ruby:8,coin:1000,plank:900,stone:500,steel:300,rice:50,wheat:50,soybean:50,soy:10</t>
  </si>
  <si>
    <t>BUILDING_LVL:fermentory@3</t>
  </si>
  <si>
    <t>cost.tech.workshop.steamobile.blueprint.1</t>
  </si>
  <si>
    <t>ruby:9,coin:1000,plank:900,stone:800,thread:20,soybean:100,koji:24,grimoire:10</t>
  </si>
  <si>
    <t>BUILDING_LVL:fermentory@4</t>
  </si>
  <si>
    <t>cost.tech.workshop.steamobile.coin.1</t>
  </si>
  <si>
    <t>ruby:10,coin:1000,plank:900,stone:500,paper:40,glass:30,koji:24,enzyme:10,grimoire:10</t>
  </si>
  <si>
    <t>BUILDING_LVL:fermentory@5</t>
  </si>
  <si>
    <t>cost.tech.workshop.steamobile.mechanism.1</t>
  </si>
  <si>
    <t>field</t>
  </si>
  <si>
    <t>cost.tech.workshop.steamobile.msteel.1</t>
  </si>
  <si>
    <t>ruby:1,coin:200,wood:100,chemicals:20</t>
  </si>
  <si>
    <t>cost.tech.workshop.steamobile.ruby.1</t>
  </si>
  <si>
    <t>ruby:3,coin:300,wood:100,chemicals:50,steel:20</t>
  </si>
  <si>
    <t>BUILDING_LVL:field@1</t>
  </si>
  <si>
    <t>cost.tech.workshop.zen_fountain.bamboo.1</t>
  </si>
  <si>
    <t>food_stall</t>
  </si>
  <si>
    <t>Food Stall</t>
  </si>
  <si>
    <t>ruby:1,coin:300,wood:150,stone:150,rice:20</t>
  </si>
  <si>
    <t>cost.tech.workshop.zen_fountain.coin.1</t>
  </si>
  <si>
    <t>cost.tech.workshop.zen_fountain.grimoire.1</t>
  </si>
  <si>
    <t>ruby:3,coin:500,plank:500,stone:300,spices:5</t>
  </si>
  <si>
    <t>BUILDING_LVL:Food Stall@1</t>
  </si>
  <si>
    <t>cost.tech.workshop.zen_fountain.ruby.1</t>
  </si>
  <si>
    <t>ruby:5,coin:800,plank:600,beans:50,spices:3</t>
  </si>
  <si>
    <t>BUILDING_LVL:Food Stall@2</t>
  </si>
  <si>
    <t>furnace</t>
  </si>
  <si>
    <t>cost.tech.workshop.zen_fountain.stone.1</t>
  </si>
  <si>
    <t>ruby:1,coin:200,wood:100,stone:100</t>
  </si>
  <si>
    <t>cost.tech.workshop.zen_fountain.thread.1</t>
  </si>
  <si>
    <t>Increases productivity by 25%.</t>
  </si>
  <si>
    <t>+25% productivity means that instead of crafting 8 x Steel, it now crafts 10 x Steel.</t>
  </si>
  <si>
    <t>ruby:3,coin:500,beam:400,stone:200,steel:20</t>
  </si>
  <si>
    <t>BUILDING_LVL:furnace@1</t>
  </si>
  <si>
    <t>cost.tech.workshop.conveyor_lvl_1.blueprint.1</t>
  </si>
  <si>
    <t>Gold ingots can be crafted from different items.</t>
  </si>
  <si>
    <t>ruby:5,coin:800,plank:600,stone:300,steel:50</t>
  </si>
  <si>
    <t>BUILDING_LVL:furnace@2</t>
  </si>
  <si>
    <t>garden</t>
  </si>
  <si>
    <t>Passive income: {{i|wood|30}} x 1.</t>
  </si>
  <si>
    <t>ruby:1,coin:400,wood:200,stone:100</t>
  </si>
  <si>
    <t>cost.tech.workshop.conveyor_lvl_1.coin.1</t>
  </si>
  <si>
    <t>Passive income: {{i|wood|30}} x 2.</t>
  </si>
  <si>
    <t>ruby:2,coin:600,wood:300,stone:150</t>
  </si>
  <si>
    <t>BUILDING_LVL:garden@1</t>
  </si>
  <si>
    <t>cost.tech.workshop.conveyor_lvl_1.elixir.1</t>
  </si>
  <si>
    <t>Passive income: {{i|wood|30}} x 3.</t>
  </si>
  <si>
    <t>ruby:4,coin:1000,beam:800,stone:200</t>
  </si>
  <si>
    <t>BUILDING_LVL:garden@2</t>
  </si>
  <si>
    <t>cost.tech.workshop.conveyor_lvl_1.mechanism.1</t>
  </si>
  <si>
    <t>gong</t>
  </si>
  <si>
    <t>Unlocks Hall of Fame]].</t>
  </si>
  <si>
    <t>ruby:3,coin:200,wood:100,stone:50,steel:50</t>
  </si>
  <si>
    <t>cost.tech.workshop.conveyor_lvl_1.msteel.1</t>
  </si>
  <si>
    <t>guild</t>
  </si>
  <si>
    <t>Already built.</t>
  </si>
  <si>
    <t>cost.tech.workshop.conveyor_lvl_1.ruby.1</t>
  </si>
  <si>
    <t>Allows to upgrade other buildings to lvl. 2, unlocks Expedition]], and increases rewards for daily quests]].</t>
  </si>
  <si>
    <t>Increases rewards for Quests#Puzzle_of_the_Day|Puzzle of the Day]] quests by 2 Coins and Quests#WANTED|Wanted quests]] by 3 Coins.</t>
  </si>
  <si>
    <t>ruby:1,coin:50,wood:50,stone:50</t>
  </si>
  <si>
    <t>BUILDING_LVL:guild@1</t>
  </si>
  <si>
    <t>cost.tech.workshop.conveyor_lvl_2.blueprint.1</t>
  </si>
  <si>
    <t>Allows to upgrade other buildings to lvl. 3, unlocks Office]], and increases rewards for daily quests]].</t>
  </si>
  <si>
    <t>ruby:2,coin:150,beam:300,stone:150</t>
  </si>
  <si>
    <t>BUILDING_LVL:guild@2</t>
  </si>
  <si>
    <t>cost.tech.workshop.conveyor_lvl_2.coin.1</t>
  </si>
  <si>
    <t>Allows to upgrade other buildings to lvl. 4, and increases rewards for daily quests]].</t>
  </si>
  <si>
    <t>ruby:4,coin:250,beam:500,stone:250,steel:40</t>
  </si>
  <si>
    <t>BUILDING_LVL:guild@3</t>
  </si>
  <si>
    <t>cost.tech.workshop.conveyor_lvl_2.elixir.1</t>
  </si>
  <si>
    <t>Allows to upgrade other buildings to lvl. 5, and increases rewards for daily quests]].</t>
  </si>
  <si>
    <t>ruby:8,coin:300,beam:600,stone:300,steel:50</t>
  </si>
  <si>
    <t>BUILDING_LVL:guild@4</t>
  </si>
  <si>
    <t>guild_video_game_arcade</t>
  </si>
  <si>
    <t>guild: Video game arcade</t>
  </si>
  <si>
    <t>Increases rewards for daily quests.</t>
  </si>
  <si>
    <t>Requires completing Ahead of Time: Chapter V.</t>
  </si>
  <si>
    <t>ruby:3,crypto:500,mechanism:10,drum:10,mspider:3,ninja:2,microchip:40,floppy:40,blueprint:30</t>
  </si>
  <si>
    <t>Requires completing Ahead of Time Chapter V.</t>
  </si>
  <si>
    <t>cost.tech.workshop.conveyor_lvl_2.mechanism.1</t>
  </si>
  <si>
    <t>QUEST_COMPLETE:ahead of time chapter v</t>
  </si>
  <si>
    <t>laboratory</t>
  </si>
  <si>
    <t>Laboratory</t>
  </si>
  <si>
    <t>cost.tech.workshop.conveyor_lvl_2.msteel.1</t>
  </si>
  <si>
    <t>Requires Quests#Ahead of time|Ahead of time (quest)]], Craftifacts#Telescope|Telescope]] and Craftifacts#Solver-1_prototype|Solver-1 prototype]].</t>
  </si>
  <si>
    <t>ruby:6,coin:1000,stone:500,steel:300,glass:50,chemicals:100,mechanism:30,blueprint:40,malu:2</t>
  </si>
  <si>
    <t>Requires accepting Ahead of time chapter I | Telescope| Solver-1_prototype</t>
  </si>
  <si>
    <t>QUEST_ACCEPT:ahead of time chapter i | STATE:CRAFT:Telescope | STATE:CRAFT:Solver-1_prototype</t>
  </si>
  <si>
    <t>cost.tech.workshop.conveyor_lvl_2.ruby.1</t>
  </si>
  <si>
    <t>Passive income: {{i|pcard|30}} x 1.</t>
  </si>
  <si>
    <t>When Data center is built, passive income of Punched cards is replaced with passive income of Floppy disks.</t>
  </si>
  <si>
    <t>ruby:7,coin:1000,stone:600,steel:400,glass:70,mercury:30,titanium:20,blueprint:40,malu:2</t>
  </si>
  <si>
    <t>BUILDING_LVL:Laboratory@1</t>
  </si>
  <si>
    <t>Passive income: {{i|pcard|30}} x 2 / Character: Has a chance to find: {{i|pcard|30}} / Class: Scientist: +20% drop chance: {{i|pcard|30}}</t>
  </si>
  <si>
    <t>ruby:8,coin:1500,stone:600,steel:400,glass:100,bluecrystal:20,pcard:20,blueprint:40,malu:2</t>
  </si>
  <si>
    <t>BUILDING_LVL:Laboratory@2</t>
  </si>
  <si>
    <t>Passive income: {{i|pcard|30}} x 3.</t>
  </si>
  <si>
    <t>ruby:9,coin:2000,stone:600,steel:400,redcrystal:20,greencrystal:20,pcard:30,blueprint:40,malu:1</t>
  </si>
  <si>
    <t>BUILDING_LVL:Laboratory@3</t>
  </si>
  <si>
    <t>Passive income: {{i|pcard|30}} x 4.</t>
  </si>
  <si>
    <t>ruby:10,coin:2000,stone:700,steel:500,mechanism:30,quartz:20,pcard:40,blueprint:40,malu:1</t>
  </si>
  <si>
    <t>BUILDING_LVL:Laboratory@4</t>
  </si>
  <si>
    <t>laboratory_data_center</t>
  </si>
  <si>
    <t>Laboratory: Data center</t>
  </si>
  <si>
    <t>Passive income: {{i|floppy|30}} x 1</t>
  </si>
  <si>
    <t>Data center can be built after accepting Quests:_Ahead_of_Time#Chapter_V:_Accelerating_Progress|Ahead of Time: Chapter 5]]. When Data center is build, passive income of Punched cards is replaced with passive income of Floppy disks.</t>
  </si>
  <si>
    <t>ruby:10,coin:1000,stone:500,steel:300,glass:50,apy:20,quartz:20,microchip:50,blueprint:50</t>
  </si>
  <si>
    <t>Requires accepting Ahead of Time Chapter V</t>
  </si>
  <si>
    <t>QUEST_ACCEPT:ahead of time chapter v</t>
  </si>
  <si>
    <t>lumber</t>
  </si>
  <si>
    <t>ruby:1,coin:300,wood:150,stone:150</t>
  </si>
  <si>
    <t>+25% productivity means that instead of crafting&amp;lt;br /&amp;gt;8 x Wooden beams it now crafts 10 x Wooden beams.</t>
  </si>
  <si>
    <t>BUILDING_LVL:lumber@1</t>
  </si>
  <si>
    <t>ruby:5,coin:800,beam:600,stone:300,steel:100</t>
  </si>
  <si>
    <t>BUILDING_LVL:lumber@2</t>
  </si>
  <si>
    <t>onsen</t>
  </si>
  <si>
    <t>cost.tech.windmill.bone_meal.ruby.1</t>
  </si>
  <si>
    <t>ruby:3,coin:500,plank:500,stone:400</t>
  </si>
  <si>
    <t>cost.tech.windmill.bone_meal.coin.1</t>
  </si>
  <si>
    <t>Passive income: {{i|chemicals|30}} x 1.</t>
  </si>
  <si>
    <t>ruby:5,coin:800,plank:600,stone:500</t>
  </si>
  <si>
    <t>BUILDING_LVL:onsen@1</t>
  </si>
  <si>
    <t>outpost</t>
  </si>
  <si>
    <t>cost.tech.windmill.bone_meal.stone.1</t>
  </si>
  <si>
    <t>Reduces chances of robbery by 12%. Passive income: {{i|dinar|30}} x 1.</t>
  </si>
  <si>
    <t>ruby:6,coin:1000,beam:1000,stone:1000,katana:100,arrows:300</t>
  </si>
  <si>
    <t>BUILDING_LVL:Bridge@1</t>
  </si>
  <si>
    <t>cost.tech.windmill.bone_meal.meteroic_iron.1</t>
  </si>
  <si>
    <t>meteroic_iron</t>
  </si>
  <si>
    <t>Reduces chances of robbery by 12%. Passive income: {{i|dinar|30}} x 3.</t>
  </si>
  <si>
    <t>ruby:8,coin:1500,beam:1500,stone:3000,steel:300,mortar:30</t>
  </si>
  <si>
    <t>BUILDING_LVL:outpost@1</t>
  </si>
  <si>
    <t>cost.tech.windmill.bone_meal.bone.1</t>
  </si>
  <si>
    <t>Reduces chances of robbery by 12%. Passive income: {{i|dinar|30}} x 5.</t>
  </si>
  <si>
    <t>ruby:10,coin:2000,beam:2000,stone:5000,oil:20,samurai:20</t>
  </si>
  <si>
    <t>BUILDING_LVL:outpost@2</t>
  </si>
  <si>
    <t>cost.tech.windmill.bone_meal.elixir_of_insight.1</t>
  </si>
  <si>
    <t>pagoda</t>
  </si>
  <si>
    <t>elixir_of_insight</t>
  </si>
  <si>
    <t>+1 hint per puzzle and unlocks Pagoda#Charity|Charity]].</t>
  </si>
  <si>
    <t>ruby:1,coin:50,wood:50,stone:50,petard:5</t>
  </si>
  <si>
    <t>cost.tech.windmill.bone_meal.ancient_page.1</t>
  </si>
  <si>
    <t>ancient_page</t>
  </si>
  <si>
    <t>+1 hint per puzzle and +25% Charity experience.</t>
  </si>
  <si>
    <t>ruby:2,coin:200,wood:200,stone:200,chemicals:10</t>
  </si>
  <si>
    <t>BUILDING_LVL:pagoda@1</t>
  </si>
  <si>
    <t>ruby:4,coin:300,beam:600,stone:300,steel:50</t>
  </si>
  <si>
    <t>BUILDING_LVL:pagoda@2</t>
  </si>
  <si>
    <t>ruby:6,coin:350,beam:700,stone:350,fan:30</t>
  </si>
  <si>
    <t>BUILDING_LVL:pagoda@3</t>
  </si>
  <si>
    <t>ruby:8,coin:400,beam:800,stone:400,katana:30</t>
  </si>
  <si>
    <t>BUILDING_LVL:pagoda@4</t>
  </si>
  <si>
    <t>ruby:10,coin:450,beam:900,stone:450,ingot:5,spices:5</t>
  </si>
  <si>
    <t>BUILDING_LVL:pagoda@5</t>
  </si>
  <si>
    <t>ruby:15,coin:500,beam:1000,stone:500,treasure:3,pearl:5,silk:5,scroll:1</t>
  </si>
  <si>
    <t>BUILDING_LVL:pagoda@6</t>
  </si>
  <si>
    <t>pier</t>
  </si>
  <si>
    <t>Unlocks the ability to build Ship]], and increases storage capacity by 50% of original size.</t>
  </si>
  <si>
    <t>ruby:3,coin:400,wood:50,plank:400,stone:300</t>
  </si>
  <si>
    <t>Warehouse lvl. 1</t>
  </si>
  <si>
    <t>BUILDING_LVL:Warehouse@1</t>
  </si>
  <si>
    <t>rock_garden</t>
  </si>
  <si>
    <t>Rock Garden</t>
  </si>
  <si>
    <t>Passive income: {{i|stone|30}} x 1.</t>
  </si>
  <si>
    <t>ruby:1,coin:400,wood:100,stone:200</t>
  </si>
  <si>
    <t>Passive income: {{i|stone|30}} x 2.</t>
  </si>
  <si>
    <t>ruby:2,coin:600,wood:150,stone:300</t>
  </si>
  <si>
    <t>BUILDING_LVL:Rock Garden@1</t>
  </si>
  <si>
    <t>Passive income: {{i|stone|30}} x 3.</t>
  </si>
  <si>
    <t>ruby:4,coin:1000,beam:400,stone:400</t>
  </si>
  <si>
    <t>BUILDING_LVL:Rock Garden@2</t>
  </si>
  <si>
    <t>ship</t>
  </si>
  <si>
    <t>Unlocks Ship#Ship_missions|6-hours missions]].</t>
  </si>
  <si>
    <t>ruby:3,coin:500,plank:600,stone:1,steel:60</t>
  </si>
  <si>
    <t>Pier lvl. 1</t>
  </si>
  <si>
    <t>BUILDING_LVL:Pier@1</t>
  </si>
  <si>
    <t>Unlocks 12-hours missions.</t>
  </si>
  <si>
    <t>ruby:6,coin:750,plank:800,steel:60,mortar:1</t>
  </si>
  <si>
    <t>BUILDING_LVL:ship@1</t>
  </si>
  <si>
    <t>Unlocks 24-hours missions.</t>
  </si>
  <si>
    <t>ruby:9,coin:1000,plank:1000,anchor:1,spices:1</t>
  </si>
  <si>
    <t>BUILDING_LVL:ship@2</t>
  </si>
  <si>
    <t>Unlocks {{i|spices|30}} Ship#Spicy_Odyssey|Spicy Odyssey]].</t>
  </si>
  <si>
    <t>ruby:10,coin:1000,plank:1000,spices:2,gunpowder:200</t>
  </si>
  <si>
    <t>BUILDING_LVL:ship@3</t>
  </si>
  <si>
    <t>shop</t>
  </si>
  <si>
    <t>Shop makes buying and selling certain items available.</t>
  </si>
  <si>
    <t>ruby:1,coin:100,wood:20,stone:20</t>
  </si>
  <si>
    <t>Increases the amount of items that can be bought. It does not add new items to buy or sell.</t>
  </si>
  <si>
    <t>ruby:2,coin:400,wood:80,stone:80</t>
  </si>
  <si>
    <t>BUILDING_LVL:shop@1</t>
  </si>
  <si>
    <t>Increases the amount of items that can be Shop#Sell_limit|sold]]. It does not add new items to buy or sell.</t>
  </si>
  <si>
    <t>ruby:3,coin:800,beam:400,stone:200</t>
  </si>
  <si>
    <t>BUILDING_LVL:shop@2</t>
  </si>
  <si>
    <t>smithy</t>
  </si>
  <si>
    <t>ruby:1,coin:240,wood:120,stone:120,steel:20</t>
  </si>
  <si>
    <t>ruby:2,coin:280,wood:140,stone:140,steel:40</t>
  </si>
  <si>
    <t>BUILDING_LVL:smithy@1</t>
  </si>
  <si>
    <t>ruby:4,coin:500,beam:400,stone:200,steel:60</t>
  </si>
  <si>
    <t>BUILDING_LVL:smithy@2</t>
  </si>
  <si>
    <t>station</t>
  </si>
  <si>
    <t>Unlocks the ability to build Train]], increases storage capacity by 50% of original size, and unlocks Quests#Journey_Through_Japan_By_Train|Journey Through Japan By Train quest]].</t>
  </si>
  <si>
    <t>ruby:10,coin:1000,beam:8000,plank:800,stone:500,steel:1000,ingot:1,kimono:10,blueprint:20</t>
  </si>
  <si>
    <t>tailor</t>
  </si>
  <si>
    <t>ruby:4,coin:600,beam:600,stone:300,silk:10,paper:10</t>
  </si>
  <si>
    <t>ruby:6,coin:800,plank:800,stone:400,silk:20,glass:20</t>
  </si>
  <si>
    <t>BUILDING_LVL:tailor@1</t>
  </si>
  <si>
    <t>ruby:8,coin:1000,plank:1000,stone:500,steel:100,silk:30</t>
  </si>
  <si>
    <t>BUILDING_LVL:tailor@2</t>
  </si>
  <si>
    <t>train</t>
  </si>
  <si>
    <t>Unlocks Train#Train_missions|Train missions]].</t>
  </si>
  <si>
    <t>Unlocks cities the train can travel to: Nagasaki, Osaka, Wakayama, Kyoto.</t>
  </si>
  <si>
    <t>ruby:10,coin:2000,steel:3000,msteel:100,mechanism:80,glass:10,blueprint:100</t>
  </si>
  <si>
    <t>Station lvl. 1</t>
  </si>
  <si>
    <t>BUILDING_LVL:Station@1</t>
  </si>
  <si>
    <t>Unlocks more cities to travel to.</t>
  </si>
  <si>
    <t>Unlocks cities the train can travel to: Tokio, Fukushima, Aomori.</t>
  </si>
  <si>
    <t>ruby:10,coin:2000,steel:1000,mechanism:40,mercury:30,blueprint:40</t>
  </si>
  <si>
    <t>BUILDING_LVL:train@1</t>
  </si>
  <si>
    <t>train_freight_carriage</t>
  </si>
  <si>
    <t>train: Freight carriage</t>
  </si>
  <si>
    <t>Allows to trade items from cities. Capacity: 2 items.</t>
  </si>
  <si>
    <t>ruby:2,coin:500,plank:500,steel:250,mechanism:12,blueprint:15</t>
  </si>
  <si>
    <t>Train lvl. 1</t>
  </si>
  <si>
    <t>BUILDING_LVL:Train@1</t>
  </si>
  <si>
    <t>Increases carrying capacity to 4 items.</t>
  </si>
  <si>
    <t>Doesn't require Train lvl. 2.</t>
  </si>
  <si>
    <t>ruby:2,coin:500,plank:500,steel:250,mechanism:12</t>
  </si>
  <si>
    <t>BUILDING_LVL:train: Freight carriage@1</t>
  </si>
  <si>
    <t>train_passenger_carriage</t>
  </si>
  <si>
    <t>train: Passenger carriage</t>
  </si>
  <si>
    <t>Allows to transport passengers and collect Coin]]s from them. Capacity: 2 slots.</t>
  </si>
  <si>
    <t>ruby:2,coin:500,plank:600,steel:200,mechanism:12,glass:12,blueprint:15</t>
  </si>
  <si>
    <t>ruby:2,coin:500,plank:600,steel:200,mechanism:12,glass:12</t>
  </si>
  <si>
    <t>BUILDING_LVL:train: Passenger carriage@1</t>
  </si>
  <si>
    <t>warehouse</t>
  </si>
  <si>
    <t>Increases storage capacity by 50% of original size, and unlocks Bourse]].</t>
  </si>
  <si>
    <t>ruby:1,coin:100,wood:60,stone:60</t>
  </si>
  <si>
    <t>Increases storage capacity by 50% of original size.</t>
  </si>
  <si>
    <t>ruby:2,coin:200,wood:80,stone:80</t>
  </si>
  <si>
    <t>Guild lvl. 2</t>
  </si>
  <si>
    <t>BUILDING_LVL:Guild@2 | BUILDING_LVL:warehouse@1</t>
  </si>
  <si>
    <t>ruby:3,coin:300,beam:200,stone:100</t>
  </si>
  <si>
    <t>BUILDING_LVL:Guild@3 | BUILDING_LVL:warehouse@2</t>
  </si>
  <si>
    <t>ruby:4,coin:400,beam:280,stone:140</t>
  </si>
  <si>
    <t>BUILDING_LVL:Guild@4 | BUILDING_LVL:warehouse@3</t>
  </si>
  <si>
    <t>Increases storage capacity by 50% of original size and unlocks Warehouse#Depository|Depository]].</t>
  </si>
  <si>
    <t>ruby:5,coin:500,beam:360,stone:180</t>
  </si>
  <si>
    <t>BUILDING_LVL:Guild@5 | BUILDING_LVL:warehouse@4</t>
  </si>
  <si>
    <t>ruby:6,coin:600,beam:440,stone:220,steel:20</t>
  </si>
  <si>
    <t>BUILDING_LVL:warehouse@5</t>
  </si>
  <si>
    <t>ruby:7,coin:700,beam:520,stone:260,steel:30</t>
  </si>
  <si>
    <t>BUILDING_LVL:warehouse@6</t>
  </si>
  <si>
    <t>windmill</t>
  </si>
  <si>
    <t>ruby:1,coin:300,wood:150,stone:150,steel:40</t>
  </si>
  <si>
    <t>Windmill now crafts 5 x Flour instead of 4 x Flour.</t>
  </si>
  <si>
    <t>ruby:3,coin:500,beam:400,stone:200,miron:30</t>
  </si>
  <si>
    <t>BUILDING_LVL:windmill@1</t>
  </si>
  <si>
    <t>workshop</t>
  </si>
  <si>
    <t>ruby:1,coin:20,wood:10,stone:10</t>
  </si>
  <si>
    <t>ruby:2,coin:80,wood:40,stone:40</t>
  </si>
  <si>
    <t>BUILDING_LVL:workshop@1</t>
  </si>
  <si>
    <t>ruby:3,coin:160,beam:160,stone:80</t>
  </si>
  <si>
    <t>BUILDING_LVL:workshop@2</t>
  </si>
  <si>
    <t>ruby:4,coin:500,beam:500,stone:250,steel:20</t>
  </si>
  <si>
    <t>BUILDING_LVL:workshop@3</t>
  </si>
  <si>
    <t>ruby:5,coin:1000,beam:600,stone:300,steel:40</t>
  </si>
  <si>
    <t>BUILDING_LVL:workshop@4</t>
  </si>
  <si>
    <t>CitadelID</t>
  </si>
  <si>
    <t>CitadelName</t>
  </si>
  <si>
    <t>all_prereqs</t>
  </si>
  <si>
    <t>unlocks</t>
  </si>
  <si>
    <t>armory</t>
  </si>
  <si>
    <t>Great hall | Requires completing Once Upon a Forest Chapter XV</t>
  </si>
  <si>
    <t>Collection / Capacity +50%</t>
  </si>
  <si>
    <t>TECH:Great hall | QUEST_COMPLETE:once upon a forest chapter xv</t>
  </si>
  <si>
    <t>attic</t>
  </si>
  <si>
    <t>Great hall | Dungeon lvl. 5</t>
  </si>
  <si>
    <t>TECH:Great hall | BUILDING_LVL:Dungeon@5</t>
  </si>
  <si>
    <t>cheese_cave</t>
  </si>
  <si>
    <t>Great hall | Requires accepting Ordinary Days of an adventurer Chapter VI</t>
  </si>
  <si>
    <t>Allows production of vintcheese</t>
  </si>
  <si>
    <t>TECH:Great hall | QUEST_ACCEPT:ordinary days of an adventurer chapter vi</t>
  </si>
  <si>
    <t>courtyard</t>
  </si>
  <si>
    <t>Collection / Doctor +1</t>
  </si>
  <si>
    <t>gallery</t>
  </si>
  <si>
    <t>Collections / Mental +10</t>
  </si>
  <si>
    <t>great_hall</t>
  </si>
  <si>
    <t>Citadel</t>
  </si>
  <si>
    <t>BUILDING_LVL:Dungeon@3</t>
  </si>
  <si>
    <t>kitchen_and_buttery</t>
  </si>
  <si>
    <t>Great hall | Dungeon lvl. 4</t>
  </si>
  <si>
    <t>Collection / Capacity +50% / Mental +10</t>
  </si>
  <si>
    <t>TECH:Great hall | BUILDING_LVL:Dungeon@4</t>
  </si>
  <si>
    <t>lair_lvl_1</t>
  </si>
  <si>
    <t>Great hall | Dungeon lvl. 5 | req.taming: a critter</t>
  </si>
  <si>
    <t>Nursery size +2</t>
  </si>
  <si>
    <t>TECH:Great hall | BUILDING_LVL:Dungeon@5 | STATE:TAME:a critter</t>
  </si>
  <si>
    <t>lair_lvl_2</t>
  </si>
  <si>
    <t>Lair lvl.1</t>
  </si>
  <si>
    <t>mushroom_farm</t>
  </si>
  <si>
    <t>Great hall | Dungeon lvl. 3</t>
  </si>
  <si>
    <t>/ Every day brings: / mushrooms</t>
  </si>
  <si>
    <t>TECH:Great hall | BUILDING_LVL:Dungeon@3</t>
  </si>
  <si>
    <t>orangery</t>
  </si>
  <si>
    <t>Great Hall | Dungeon lvl. 3</t>
  </si>
  <si>
    <t>/ Every day brings: / cherry</t>
  </si>
  <si>
    <t>TECH:Great Hall | BUILDING_LVL:Dungeon@3</t>
  </si>
  <si>
    <t>pantry</t>
  </si>
  <si>
    <t>tavern</t>
  </si>
  <si>
    <t>Collection / Energy +1</t>
  </si>
  <si>
    <t>treasury</t>
  </si>
  <si>
    <t>Collections / Capacity +200%</t>
  </si>
  <si>
    <t>CollectionID</t>
  </si>
  <si>
    <t>CollectionName</t>
  </si>
  <si>
    <t>bamboo.2</t>
  </si>
  <si>
    <t>bamboo.3</t>
  </si>
  <si>
    <t>cherry.2</t>
  </si>
  <si>
    <t>cherry.3</t>
  </si>
  <si>
    <t>cherry.4</t>
  </si>
  <si>
    <t>cherry.5</t>
  </si>
  <si>
    <t>cherry.6</t>
  </si>
  <si>
    <t>coin.2</t>
  </si>
  <si>
    <t>gegg.2</t>
  </si>
  <si>
    <t>herbs.2</t>
  </si>
  <si>
    <t>herbs.3</t>
  </si>
  <si>
    <t>mech</t>
  </si>
  <si>
    <t>mushrooms.2</t>
  </si>
  <si>
    <t>mushrooms.3</t>
  </si>
  <si>
    <t>mushrooms.4</t>
  </si>
  <si>
    <t>mushrooms.5</t>
  </si>
  <si>
    <t>mushrooms.6</t>
  </si>
  <si>
    <t>plank.2</t>
  </si>
  <si>
    <t>plank.3</t>
  </si>
  <si>
    <t>plank.4</t>
  </si>
  <si>
    <t>plank.5</t>
  </si>
  <si>
    <t>plank.6</t>
  </si>
  <si>
    <t>plank.7</t>
  </si>
  <si>
    <t>plank.8</t>
  </si>
  <si>
    <t>stone.2</t>
  </si>
  <si>
    <t>strawberry.2</t>
  </si>
  <si>
    <t>strawberry.3</t>
  </si>
  <si>
    <t>armory_1</t>
  </si>
  <si>
    <t>Armory #1</t>
  </si>
  <si>
    <t>CITADEL:Armory</t>
  </si>
  <si>
    <t>CITADEL:Armory | COLLECTION_LVL:Armory #1@1</t>
  </si>
  <si>
    <t>CITADEL:Armory | COLLECTION_LVL:Armory #1@2</t>
  </si>
  <si>
    <t>armory_2</t>
  </si>
  <si>
    <t>Armory #2</t>
  </si>
  <si>
    <t>Armory | Requires completing The Ordinary Days of an Adventurer Chapter VII</t>
  </si>
  <si>
    <t>CITADEL:Armory | QUEST_COMPLETE:the ordinary days of an adventurer chapter vii</t>
  </si>
  <si>
    <t>CITADEL:Attic</t>
  </si>
  <si>
    <t>CITADEL:Attic | COLLECTION_LVL:Attic@1</t>
  </si>
  <si>
    <t>CITADEL:Attic | COLLECTION_LVL:Attic@2</t>
  </si>
  <si>
    <t>CITADEL:Attic | COLLECTION_LVL:Attic@3</t>
  </si>
  <si>
    <t>CITADEL:Attic | COLLECTION_LVL:Attic@4</t>
  </si>
  <si>
    <t>courtyard_1</t>
  </si>
  <si>
    <t>Courtyard #1</t>
  </si>
  <si>
    <t>Courtyard | requires completing The Ordinary Days of an Adventurer Chapter VII</t>
  </si>
  <si>
    <t>CITADEL:Courtyard | QUEST_COMPLETE:the ordinary days of an adventurer chapter vii</t>
  </si>
  <si>
    <t>CITADEL:Courtyard | COLLECTION_LVL:Courtyard #1@1</t>
  </si>
  <si>
    <t>courtyard_2</t>
  </si>
  <si>
    <t>Courtyard #2</t>
  </si>
  <si>
    <t>gallery_1</t>
  </si>
  <si>
    <t>Gallery #1</t>
  </si>
  <si>
    <t>CITADEL:Gallery</t>
  </si>
  <si>
    <t>CITADEL:Gallery | COLLECTION_LVL:Gallery #1@1</t>
  </si>
  <si>
    <t>CITADEL:Gallery | COLLECTION_LVL:Gallery #1@2</t>
  </si>
  <si>
    <t>CITADEL:Gallery | COLLECTION_LVL:Gallery #1@3</t>
  </si>
  <si>
    <t>CITADEL:Gallery | COLLECTION_LVL:Gallery #1@4</t>
  </si>
  <si>
    <t>gallery_2</t>
  </si>
  <si>
    <t>Gallery #2</t>
  </si>
  <si>
    <t>CITADEL:Gallery | COLLECTION_LVL:Gallery #2@1</t>
  </si>
  <si>
    <t>CITADEL:Gallery | COLLECTION_LVL:Gallery #2@2</t>
  </si>
  <si>
    <t>CITADEL:Gallery | COLLECTION_LVL:Gallery #2@3</t>
  </si>
  <si>
    <t>CITADEL:Gallery | COLLECTION_LVL:Gallery #2@4</t>
  </si>
  <si>
    <t>gallery_3</t>
  </si>
  <si>
    <t>Gallery #3</t>
  </si>
  <si>
    <t xml:space="preserve">Gallery | requires completing The Ordinary Days of an Adventurer Chapter VII </t>
  </si>
  <si>
    <t>CITADEL:Gallery | QUEST_COMPLETE:the ordinary days of an adventurer chapter vii</t>
  </si>
  <si>
    <t>CITADEL:Gallery | COLLECTION_LVL:Gallery #3@1</t>
  </si>
  <si>
    <t>CITADEL:Gallery | COLLECTION_LVL:Gallery #3@2</t>
  </si>
  <si>
    <t>CITADEL:Gallery | COLLECTION_LVL:Gallery #3@3</t>
  </si>
  <si>
    <t>CITADEL:Gallery | COLLECTION_LVL:Gallery #3@4</t>
  </si>
  <si>
    <t>historical_library_1</t>
  </si>
  <si>
    <t>Historical library #1</t>
  </si>
  <si>
    <t>Great hall | Historical Library</t>
  </si>
  <si>
    <t>CITADEL:Great hall | CRAFTIFACT:Historical Library</t>
  </si>
  <si>
    <t>Great hall</t>
  </si>
  <si>
    <t>CITADEL:Great hall | COLLECTION_LVL:Historical library #1@1</t>
  </si>
  <si>
    <t>CITADEL:Great hall | COLLECTION_LVL:Historical library #1@2</t>
  </si>
  <si>
    <t>historical_library_2</t>
  </si>
  <si>
    <t>Historical library #2</t>
  </si>
  <si>
    <t>CITADEL:Great hall</t>
  </si>
  <si>
    <t>CITADEL:Great hall | COLLECTION_LVL:Historical library #2@1</t>
  </si>
  <si>
    <t>CITADEL:Great hall | COLLECTION_LVL:Historical library #2@2</t>
  </si>
  <si>
    <t>horse</t>
  </si>
  <si>
    <t>Horse</t>
  </si>
  <si>
    <t xml:space="preserve">Great hall | Requires  completing Once Upon a Forest Chapter II </t>
  </si>
  <si>
    <t>CITADEL:Great hall | QUEST_COMPLETE:once upon a forest chapter ii</t>
  </si>
  <si>
    <t>kitchen_and_buttery_1</t>
  </si>
  <si>
    <t>Kitchen and buttery #1</t>
  </si>
  <si>
    <t>Kitchen and buttery</t>
  </si>
  <si>
    <t>CITADEL:Kitchen and buttery</t>
  </si>
  <si>
    <t>CITADEL:Kitchen and buttery | COLLECTION_LVL:Kitchen and buttery #1@1</t>
  </si>
  <si>
    <t>CITADEL:Kitchen and buttery | COLLECTION_LVL:Kitchen and buttery #1@2</t>
  </si>
  <si>
    <t>CITADEL:Kitchen and buttery | COLLECTION_LVL:Kitchen and buttery #1@3</t>
  </si>
  <si>
    <t>CITADEL:Kitchen and buttery | COLLECTION_LVL:Kitchen and buttery #1@4</t>
  </si>
  <si>
    <t>kitchen_and_buttery_2</t>
  </si>
  <si>
    <t>Kitchen and buttery #2</t>
  </si>
  <si>
    <t>Mushroom farm</t>
  </si>
  <si>
    <t>CITADEL:Mushroom farm</t>
  </si>
  <si>
    <t>CITADEL:Mushroom farm | COLLECTION_LVL:Mushroom farm@1</t>
  </si>
  <si>
    <t>CITADEL:Orangery</t>
  </si>
  <si>
    <t>CITADEL:Orangery | COLLECTION_LVL:Orangery@1</t>
  </si>
  <si>
    <t>pantry_1</t>
  </si>
  <si>
    <t>Pantry #1</t>
  </si>
  <si>
    <t>CITADEL:Pantry</t>
  </si>
  <si>
    <t>CITADEL:Pantry | COLLECTION_LVL:Pantry #1@1</t>
  </si>
  <si>
    <t>CITADEL:Pantry | COLLECTION_LVL:Pantry #1@2</t>
  </si>
  <si>
    <t>CITADEL:Pantry | COLLECTION_LVL:Pantry #1@3</t>
  </si>
  <si>
    <t>CITADEL:Pantry | COLLECTION_LVL:Pantry #1@4</t>
  </si>
  <si>
    <t>pantry_2</t>
  </si>
  <si>
    <t>Pantry #2</t>
  </si>
  <si>
    <t>CITADEL:Pantry | COLLECTION_LVL:Pantry #2@1</t>
  </si>
  <si>
    <t>CITADEL:Pantry | COLLECTION_LVL:Pantry #2@2</t>
  </si>
  <si>
    <t>CITADEL:Pantry | COLLECTION_LVL:Pantry #2@3</t>
  </si>
  <si>
    <t>CITADEL:Pantry | COLLECTION_LVL:Pantry #2@4</t>
  </si>
  <si>
    <t>pantry_3</t>
  </si>
  <si>
    <t>Pantry #3</t>
  </si>
  <si>
    <t>CITADEL:Pantry | COLLECTION_LVL:Pantry #3@1</t>
  </si>
  <si>
    <t>CITADEL:Pantry | COLLECTION_LVL:Pantry #3@2</t>
  </si>
  <si>
    <t>CITADEL:Pantry | COLLECTION_LVL:Pantry #3@3</t>
  </si>
  <si>
    <t>CITADEL:Pantry | COLLECTION_LVL:Pantry #3@4</t>
  </si>
  <si>
    <t>pantry_4</t>
  </si>
  <si>
    <t>Pantry #4</t>
  </si>
  <si>
    <t>Pantry | requires completing  The Ordinary Days of an Adventurer Chapter VII</t>
  </si>
  <si>
    <t>CITADEL:Pantry | QUEST_COMPLETE:the ordinary days of an adventurer chapter vii</t>
  </si>
  <si>
    <t>statue</t>
  </si>
  <si>
    <t>Statue</t>
  </si>
  <si>
    <t>CITADEL:Tavern</t>
  </si>
  <si>
    <t>CITADEL:Tavern | COLLECTION_LVL:Tavern@1</t>
  </si>
  <si>
    <t>treasury_1</t>
  </si>
  <si>
    <t>Treasury #1</t>
  </si>
  <si>
    <t>CITADEL:Treasury</t>
  </si>
  <si>
    <t>CITADEL:Treasury | COLLECTION_LVL:Treasury #1@1</t>
  </si>
  <si>
    <t>CITADEL:Treasury | COLLECTION_LVL:Treasury #1@2</t>
  </si>
  <si>
    <t>CITADEL:Treasury | COLLECTION_LVL:Treasury #1@3</t>
  </si>
  <si>
    <t>CITADEL:Treasury | COLLECTION_LVL:Treasury #1@4</t>
  </si>
  <si>
    <t>treasury_2</t>
  </si>
  <si>
    <t>Treasury #2</t>
  </si>
  <si>
    <t>CITADEL:Treasury | COLLECTION_LVL:Treasury #2@1</t>
  </si>
  <si>
    <t>CITADEL:Treasury | COLLECTION_LVL:Treasury #2@2</t>
  </si>
  <si>
    <t>treasury_3</t>
  </si>
  <si>
    <t>Treasury #3</t>
  </si>
  <si>
    <t>Treasury | Requires completing The Ordinary Days of an Adventurer Chapter VII</t>
  </si>
  <si>
    <t>CITADEL:Treasury | QUEST_COMPLETE:the ordinary days of an adventurer chapter vii</t>
  </si>
  <si>
    <t>broken_lever</t>
  </si>
  <si>
    <t>5 mechanism</t>
  </si>
  <si>
    <t>collapsed_staircase</t>
  </si>
  <si>
    <t>50 beam, 150 stone, 10 bonemeal, 5 blueprint</t>
  </si>
  <si>
    <t>rotten_ladder</t>
  </si>
  <si>
    <t>200 plank</t>
  </si>
  <si>
    <t>cave_in_bone_dragon</t>
  </si>
  <si>
    <t>30 petard</t>
  </si>
  <si>
    <t>cave_in_alchemist_hall</t>
  </si>
  <si>
    <t>bone_dragon</t>
  </si>
  <si>
    <t>Bone Dragon</t>
  </si>
  <si>
    <t>30 bone, 10 teeth, 11 bonemeal, 2 diamond, 150 bone.2, 30 bone.3, 30 bone.4, 30 bone.5, 30 bone.6, 555 crypto, 5 grimoire</t>
  </si>
  <si>
    <t>60 bone, 20 teeth, 22 bonemeal, 4 diamond, 300 bone.2, 60 bone.3, 60 bone.4, 60 bone.5, 60 bone.6, 1110 crypto, 10 grimoire</t>
  </si>
  <si>
    <t>alchemist_hall_1</t>
  </si>
  <si>
    <t>Alchemist Hall #1</t>
  </si>
  <si>
    <t>20 cherry, 20 catalyst, 20 mercury, 10 hide, 20 mandrake, 5 grimoire, 10 violetcrystal, 111 reagent</t>
  </si>
  <si>
    <t>40 cherry, 40 catalyst, 40 mercury, 20 hide, 40 mandrake, 10 grimoire, 20 violetcrystal, 222 reagent</t>
  </si>
  <si>
    <t>alchemist_hall_2</t>
  </si>
  <si>
    <t>Alchemist Hall #2</t>
  </si>
  <si>
    <t>10 herbs, 10 herbs.2, 20 mushrooms, 24 bone, 24 bone.2, 20 page, 1 scroll, 10 quartz</t>
  </si>
  <si>
    <t>20 herbs, 20 herbs.2, 40 mushrooms, 48 bone, 48 bone.2, 40 page, 2 scroll, 20 quartz</t>
  </si>
  <si>
    <t>alchemist_hall_3</t>
  </si>
  <si>
    <t>Alchemist Hall #3</t>
  </si>
  <si>
    <t>12 bonemeal, 24 ginkgo, 24 ginkgo.2, 10 grimoire, 10 bluecrystal</t>
  </si>
  <si>
    <t>24 bonemeal, 48 ginkgo, 48 ginkgo.2, 20 grimoire, 20 bluecrystal</t>
  </si>
  <si>
    <t>broken_minecart</t>
  </si>
  <si>
    <t>20 msteel</t>
  </si>
  <si>
    <t>crystal_cave</t>
  </si>
  <si>
    <t>20 quartz, 20 bluecrystal, 20 greencrystal, 20 redcrystal, 20 violetcrystal</t>
  </si>
  <si>
    <t>staircase</t>
  </si>
  <si>
    <t>CraftifactID</t>
  </si>
  <si>
    <t>CraftifactName</t>
  </si>
  <si>
    <t>astrolabe</t>
  </si>
  <si>
    <t>Ship: unlocks new route to {{i|blueprint|30}} New York</t>
  </si>
  <si>
    <t>Ship lvl. 4 | Airship lvl. 1</t>
  </si>
  <si>
    <t>BUILDING_LVL:Ship@4 | BUILDING_LVL:Airship@1</t>
  </si>
  <si>
    <t>barometer</t>
  </si>
  <si>
    <t>Reduces production time by 5%:&amp;lt;br /&amp;gt;Ship, Caravan, Airship</t>
  </si>
  <si>
    <t>Workshop lvl. 5 | Requires completing Once Upon a Forest Chapter VI</t>
  </si>
  <si>
    <t>BUILDING_LVL:Workshop@5 | QUEST_COMPLETE:once upon a forest chapter vi</t>
  </si>
  <si>
    <t>cinema_projector</t>
  </si>
  <si>
    <t>Fills 15% of a puzzle. / If there are errors, the area is reduced. / Can be used once a day.</t>
  </si>
  <si>
    <t>Workshop lvl. 5 | Airship lvl. 1</t>
  </si>
  <si>
    <t>BUILDING_LVL:Workshop@5 | BUILDING_LVL:Airship@1</t>
  </si>
  <si>
    <t>dagger</t>
  </si>
  <si>
    <t>+5% critical strike chance</t>
  </si>
  <si>
    <t>Smithy lvl. 3 | Airship lvl. 1</t>
  </si>
  <si>
    <t>BUILDING_LVL:Smithy@3 | BUILDING_LVL:Airship@1</t>
  </si>
  <si>
    <t>emerald_tablet</t>
  </si>
  <si>
    <t>+5 max. hero level</t>
  </si>
  <si>
    <t>Guild lvl. 5 | Dungeon lvl. 1</t>
  </si>
  <si>
    <t>BUILDING_LVL:Guild@5 | BUILDING_LVL:Dungeon@1</t>
  </si>
  <si>
    <t>flamethrower</t>
  </si>
  <si>
    <t>Area of effect 5x5.&amp;lt;br /&amp;gt; The damage depends on the damage of a hero.&amp;lt;br /&amp;gt; Used in dungeon.</t>
  </si>
  <si>
    <t>Alchemist's Hut lvl. 6 | Requires completing Once Upon a Forest Chapter X</t>
  </si>
  <si>
    <t>BUILDING_LVL:Alchemist's Hut@6 | QUEST_COMPLETE:once upon a forest chapter x</t>
  </si>
  <si>
    <t>guild_banner</t>
  </si>
  <si>
    <t>Provides guards for the caravan, / reducing the chance of robbery by 12%.</t>
  </si>
  <si>
    <t>Tailor lvl. 2 | Bridge lvl. 1</t>
  </si>
  <si>
    <t>BUILDING_LVL:Tailor@2 | BUILDING_LVL:Bridge@1</t>
  </si>
  <si>
    <t>guild_codex</t>
  </si>
  <si>
    <t>+10% Experience</t>
  </si>
  <si>
    <t>Guild lvl. 5 | Bridge lvl. 1</t>
  </si>
  <si>
    <t>BUILDING_LVL:Guild@5 | BUILDING_LVL:Bridge@1</t>
  </si>
  <si>
    <t>guild_supplies</t>
  </si>
  <si>
    <t>Increases capacity by 50% of the original size.</t>
  </si>
  <si>
    <t>Food Stall lvl. 3 | Bridge lvl. 1</t>
  </si>
  <si>
    <t>BUILDING_LVL:Food Stall@3 | BUILDING_LVL:Bridge@1</t>
  </si>
  <si>
    <t>hat_of_concentration</t>
  </si>
  <si>
    <t>Increases replenishment of mental power by 10%.&amp;lt;br /&amp;gt;Rounding to nearest integer.</t>
  </si>
  <si>
    <t>Tailor lvl. 3 | Requires completing Once Upon a Forest Chapter X</t>
  </si>
  <si>
    <t>BUILDING_LVL:Tailor@3 | QUEST_COMPLETE:once upon a forest chapter x</t>
  </si>
  <si>
    <t>helmet</t>
  </si>
  <si>
    <t>+5 max. {{i|health|30}}</t>
  </si>
  <si>
    <t>Tailor lvl. 3 | Airship lvl. 1</t>
  </si>
  <si>
    <t>BUILDING_LVL:Tailor@3 | BUILDING_LVL:Airship@1</t>
  </si>
  <si>
    <t>historical_library</t>
  </si>
  <si>
    <t>Guild: Every day finds:&amp;lt;br /&amp;gt;{{i|blueprint|30}} x 1.</t>
  </si>
  <si>
    <t>hotei_statuette</t>
  </si>
  <si>
    <t>+10% drop chance: {{i|coin|30}} {{i|ingot|30}}</t>
  </si>
  <si>
    <t>BUILDING_LVL:Furnace@3</t>
  </si>
  <si>
    <t>metal_detector</t>
  </si>
  <si>
    <t>Guild: Every day finds:&amp;lt;br /&amp;gt;{{i|miron|30}} x 5</t>
  </si>
  <si>
    <t>Dungeon lvl. 5 | Requires completing Once Upon a Forest Chapter XI</t>
  </si>
  <si>
    <t>BUILDING_LVL:Dungeon@5 | QUEST_COMPLETE:once upon a forest chapter xi</t>
  </si>
  <si>
    <t>necklace_for_haruka</t>
  </si>
  <si>
    <t>+25% loot on expeditions: {{i|beans|30}}</t>
  </si>
  <si>
    <t>Workshop lvl. 5 | Ship lvl. 1</t>
  </si>
  <si>
    <t>BUILDING_LVL:Workshop@5 | BUILDING_LVL:Ship@1</t>
  </si>
  <si>
    <t>safe</t>
  </si>
  <si>
    <t>Increases capacity by 250% of the original size: / {{i|coin|30}} {{i|dinar|30}} {{i|crypto|30}} {{i|ruby|30}} {{i|ingot|30}} {{i|treasure|30}} {{i|pearl|30}}</t>
  </si>
  <si>
    <t>solver_1_prototype</t>
  </si>
  <si>
    <t>Fills 100% of a puzzle. / If there are errors, the area is reduced. / Maximum size: 15x15. / Can be used once a day.</t>
  </si>
  <si>
    <t>Workshop lvl. 5 | Requires completing Once Upon a Forest Chapter III</t>
  </si>
  <si>
    <t>BUILDING_LVL:Workshop@5 | QUEST_COMPLETE:once upon a forest chapter iii</t>
  </si>
  <si>
    <t>telescope</t>
  </si>
  <si>
    <t>Guild: Every day finds:&amp;lt;br /&amp;gt;{{i|blueprint|30}} x 1</t>
  </si>
  <si>
    <t>tetrachloroaurate</t>
  </si>
  <si>
    <t>Cauldron: +20% {{i|ingot|30}} ({{i|coin|30}})</t>
  </si>
  <si>
    <t>Alchemist's Hut lvl. 6 | Airship lvl. 1</t>
  </si>
  <si>
    <t>BUILDING_LVL:Alchemist's Hut@6 | BUILDING_LVL:Airship@1</t>
  </si>
  <si>
    <t>trigonometry</t>
  </si>
  <si>
    <t>+120 max. {{i|mp|30}}</t>
  </si>
  <si>
    <t>cost.tech.tailor.armor_for_a_hero_lvl_4+.armor4.1</t>
  </si>
  <si>
    <t>QuestID</t>
  </si>
  <si>
    <t>QuestName</t>
  </si>
  <si>
    <t>QuestGroup</t>
  </si>
  <si>
    <t>Chapter</t>
  </si>
  <si>
    <t>Costtext</t>
  </si>
  <si>
    <t>Objective</t>
  </si>
  <si>
    <t>Reward</t>
  </si>
  <si>
    <t>Canon_token</t>
  </si>
  <si>
    <t>State_token</t>
  </si>
  <si>
    <t>quest.ahead_of_time_chapter_1</t>
  </si>
  <si>
    <t>ahead_of_time_chapter_1</t>
  </si>
  <si>
    <t>Chapter I: Laboratory</t>
  </si>
  <si>
    <t>Ahead of Time</t>
  </si>
  <si>
    <t>pbr:1,horn:1,pa:1,pasta:1,bedroll:1,yuba:1,pizza:2</t>
  </si>
  <si>
    <t>miron:50,cinnabar:50,apy:50,xp:20000</t>
  </si>
  <si>
    <t>Requires completing Magic Beans (quest) and completing at least on project. Items have to be traded in specific dungeon levels for MALU.</t>
  </si>
  <si>
    <t>requires completing the quest: magic beans | req.complete_project: any&gt;=1 | req.trade_for: malu</t>
  </si>
  <si>
    <t>quest.ahead_of_time_chapter_2</t>
  </si>
  <si>
    <t>ahead_of_time_chapter_2</t>
  </si>
  <si>
    <t>Chapter II: Rabbit Hole</t>
  </si>
  <si>
    <t>ingot:80,diamond:5,vintcheese:5,xp:20000</t>
  </si>
  <si>
    <t>Requires completing previous chapter and visiting dungeon 6A.</t>
  </si>
  <si>
    <t>requires completing the quest: Ahead of Time Chapter I |
req.visit:6A</t>
  </si>
  <si>
    <t>QUEST_COMPLETE:Ahead of Time Chapter I</t>
  </si>
  <si>
    <t>quest.ahead_of_time_chapter_3</t>
  </si>
  <si>
    <t>ahead_of_time_chapter_3</t>
  </si>
  <si>
    <t>Chapter III: Pandora's Box</t>
  </si>
  <si>
    <t>drum:20,bedroll:20,mspider:10,xp:20000</t>
  </si>
  <si>
    <t>Requires completing previous chapter.</t>
  </si>
  <si>
    <t>requires completing the quest: Ahead of Time Chapter II</t>
  </si>
  <si>
    <t>QUEST_COMPLETE:Ahead of Time Chapter II</t>
  </si>
  <si>
    <t>quest.ahead_of_time_chapter_4</t>
  </si>
  <si>
    <t>ahead_of_time_chapter_4</t>
  </si>
  <si>
    <t>Chapter IV: Trip to Hokkaido</t>
  </si>
  <si>
    <t>tuna:10,soy:10,anchor:10,xp:20000</t>
  </si>
  <si>
    <t>requires completing the quest: Ahead of Time Chapter III</t>
  </si>
  <si>
    <t>QUEST_COMPLETE:Ahead of Time Chapter III</t>
  </si>
  <si>
    <t>quest.ahead_of_time_chapter_5</t>
  </si>
  <si>
    <t>ahead_of_time_chapter_5</t>
  </si>
  <si>
    <t>Chapter V: Accelerating Progress</t>
  </si>
  <si>
    <t>pizza:10,cake:10,smoothie2:10,xp:20000</t>
  </si>
  <si>
    <t>requires completing the quest: Ahead of Time Chapter IV</t>
  </si>
  <si>
    <t>QUEST_COMPLETE:Ahead of Time Chapter IV</t>
  </si>
  <si>
    <t>quest.build_the_guild</t>
  </si>
  <si>
    <t>build_the_guild</t>
  </si>
  <si>
    <t>Build the Guild</t>
  </si>
  <si>
    <t>ingot:40,sushi:5</t>
  </si>
  <si>
    <t>Requires building the Guild (building) to maximum level.</t>
  </si>
  <si>
    <t>quest.build_the_pagoda</t>
  </si>
  <si>
    <t>build_the_pagoda</t>
  </si>
  <si>
    <t>Build the Pagoda</t>
  </si>
  <si>
    <t>ingot:40,treasure:40,sushi:10</t>
  </si>
  <si>
    <t>Requires building the Pagoda to maximum level.</t>
  </si>
  <si>
    <t>quest.culinary_battle</t>
  </si>
  <si>
    <t>culinary_battle</t>
  </si>
  <si>
    <t>Culinary Battle</t>
  </si>
  <si>
    <t>onigiri:2,flatbread:2,cherrybun:2,bento:2,fried:2,sushi:2,ramen:2,curry:2,cake:2,baklava:2,poke:2,marinated:2,teriyaki:2,mayo:2</t>
  </si>
  <si>
    <t>tech.food_stall.quintessence_of_taste, tech.food_stall.mayonnaise, cooking@13</t>
  </si>
  <si>
    <t>coin:500,soy:5,pa:3,xp:15000</t>
  </si>
  <si>
    <t>Requires visiting dungeon 4A.</t>
  </si>
  <si>
    <t>req.meet:Fat demon@4A</t>
  </si>
  <si>
    <t>quest.dragon_teeth</t>
  </si>
  <si>
    <t>dragon_teeth</t>
  </si>
  <si>
    <t>Dragon teeth</t>
  </si>
  <si>
    <t>defeat dragon@3C, tech.smithy.sword_for_a_hero_lvl_4, craft sword4</t>
  </si>
  <si>
    <t>kunai:10,greek:10,pbr:3,xp:15000</t>
  </si>
  <si>
    <t>Requires visiting dungeon 4C.</t>
  </si>
  <si>
    <t>req.meet: old man@4C</t>
  </si>
  <si>
    <t>quest.festival</t>
  </si>
  <si>
    <t>festival</t>
  </si>
  <si>
    <t>Festival</t>
  </si>
  <si>
    <t>kimono:5,firework:10,sushi:10,ramen:5,cake:5,honey:5</t>
  </si>
  <si>
    <t>ruby:5,dinar:200,glass:10,xp:15000</t>
  </si>
  <si>
    <t>Requires Bridge and enough storage capacity to hold 10 Fireworks.</t>
  </si>
  <si>
    <t>bridge lvl. 1
req.capacity:firework&gt;=10</t>
  </si>
  <si>
    <t>quest.festival_of_beans</t>
  </si>
  <si>
    <t>festival_of_beans</t>
  </si>
  <si>
    <t>Festival of Beans</t>
  </si>
  <si>
    <t>soybean:100,kimono:10,firework:10,natto:10,tofu:10,inarizushi:10,yuba:10,soy:10,misosoup:10,sushi:10,amazake:20</t>
  </si>
  <si>
    <t>ruby:5,ingot:25,glass:25,xp:20000</t>
  </si>
  <si>
    <t>Requires Fermentory lvl. 6 and completion of previous festival quests.</t>
  </si>
  <si>
    <t>fermentory lvl. 6
requires completing the quest festival returns</t>
  </si>
  <si>
    <t>BUILDING_LVL:fermentory@6 | QUEST_COMPLETE:festival returns</t>
  </si>
  <si>
    <t>quest.festival_returns</t>
  </si>
  <si>
    <t>festival_returns</t>
  </si>
  <si>
    <t>Festival Returns</t>
  </si>
  <si>
    <t>kimono:10,firework:10,drum:10,onigiri:10,cherrybun:10,bento:10,poke:10,baklava:20,smoothie:10</t>
  </si>
  <si>
    <t>ruby:5,dinar:300,glass:20,xp:20000</t>
  </si>
  <si>
    <t>Requires Airship and completion of Festival quest.</t>
  </si>
  <si>
    <t>airship lvl. 1
requires completing the quest:festival</t>
  </si>
  <si>
    <t>BUILDING_LVL:airship@1 | QUEST_COMPLETE:festival</t>
  </si>
  <si>
    <t>quest.green_potion</t>
  </si>
  <si>
    <t>green_potion</t>
  </si>
  <si>
    <t>Green Potion</t>
  </si>
  <si>
    <t>reagent:2</t>
  </si>
  <si>
    <t>building.dungeon@3, tech.smithy.throwing_knife</t>
  </si>
  <si>
    <t>coin:200,poh:5,poe:5</t>
  </si>
  <si>
    <t>This quest unlocks upon visiting 1B. Requires visiting 3A to get Reagent.</t>
  </si>
  <si>
    <t>req.meet: traveling merchant @1B</t>
  </si>
  <si>
    <t>quest.honor_glory_sushi</t>
  </si>
  <si>
    <t>honor_glory_sushi</t>
  </si>
  <si>
    <t>Honor, Glory, Sushi</t>
  </si>
  <si>
    <t>craft guild codex, guild banner, guild supplies, building.outpost@3</t>
  </si>
  <si>
    <t>dinar:200,mortar:10,btram:5,xp:15000</t>
  </si>
  <si>
    <t>Requires Bridge.</t>
  </si>
  <si>
    <t>quest.journey_through_japan_by_train</t>
  </si>
  <si>
    <t>journey_through_japan_by_train</t>
  </si>
  <si>
    <t>Journey Through Japan By Train</t>
  </si>
  <si>
    <t>acquire blueprint, build ing.train@1, building.passenger_carriage, visit nagasaki, osaka, wakayama, kyoto, tokyo, fukushima, aomori, building.train@2</t>
  </si>
  <si>
    <t>drum:35,soy:25,anchor:15,xp:25000</t>
  </si>
  <si>
    <t>This quest becomes available upon investing items into the Train Station.</t>
  </si>
  <si>
    <t>quest.letter_from_the_dark_lady</t>
  </si>
  <si>
    <t>letter_from_the_dark_lady</t>
  </si>
  <si>
    <t>Letter from the Dark Lady</t>
  </si>
  <si>
    <t>collection.broken_level, collection.collapsed_staircase, collection.rotten_ladder, collection.cave_in_bone_dragon, collection.cave_in_alchemist_hall, collection.bone_dragon@1, collection.alchemist_hall_1@1, collection.alchemist_hall_2@1, collection.alchemist_hall_3@1, collection.broken_minecart</t>
  </si>
  <si>
    <t>Coin x 500 Ring for a hero lvl. 4 x 1 Potion Ambrosia x 3 Experience x 5000</t>
  </si>
  <si>
    <t>quest.magic_beans</t>
  </si>
  <si>
    <t>magic_beans</t>
  </si>
  <si>
    <t>Magic Beans</t>
  </si>
  <si>
    <t>tofu:1,inarizushi:1,teriyaki:1</t>
  </si>
  <si>
    <t>deliver tofu dungeon4A, deliver Inarizushi dungeon 4B, deliver teriyaki salmon dungeon 4C</t>
  </si>
  <si>
    <t>soybean:1,xp:15000</t>
  </si>
  <si>
    <t>Visit dungeon 4A. Unlocks Fermentory after completing the quest.</t>
  </si>
  <si>
    <t>req.visit:4A|requires completing The Ring of the Dark Lady|dungeon lvl.5</t>
  </si>
  <si>
    <t>QUEST_COMPLETE:the ring of the dark lady | BUILDING_LVL:dungeon@5</t>
  </si>
  <si>
    <t>quest.once_upon_a_forest_chapter_1</t>
  </si>
  <si>
    <t>once_upon_a_forest_chapter_1</t>
  </si>
  <si>
    <t>Chapter I: Jade Gate, Emerald Key</t>
  </si>
  <si>
    <t>Once Upon a Forest</t>
  </si>
  <si>
    <t>xp:5000</t>
  </si>
  <si>
    <t>Requires visiting dungeon 2B and 2C.</t>
  </si>
  <si>
    <t>req.meet:mech_adventurer@2B</t>
  </si>
  <si>
    <t>quest.once_upon_a_forest_chapter_10</t>
  </si>
  <si>
    <t>once_upon_a_forest_chapter_10</t>
  </si>
  <si>
    <t>Chapter X: Salamander Hunter</t>
  </si>
  <si>
    <t>This chapter unlocks upon accepting the previous chapter, visiting F1 and finding the hunter. Requires bringing Balm to the hunter.</t>
  </si>
  <si>
    <t>req.visit:F1| req.deliver_item:balm to hunter @F3 | requires accepting the quest Once Upon a Forest Chapter IX</t>
  </si>
  <si>
    <t>QUEST_ACCEPT:once upon a forest chapter ix</t>
  </si>
  <si>
    <t>quest.once_upon_a_forest_chapter_11</t>
  </si>
  <si>
    <t>once_upon_a_forest_chapter_11</t>
  </si>
  <si>
    <t>Chapter XI: Melbourne</t>
  </si>
  <si>
    <t>accept_reward:tparts:1| reward:xp:5000</t>
  </si>
  <si>
    <t>Requires visiting Melbourne with the Airship.</t>
  </si>
  <si>
    <t>req.meet: pilot@F3 | requires accepting the quest Once Upon a Forest Chapter X</t>
  </si>
  <si>
    <t>QUEST_ACCEPT:once upon a forest chapter x</t>
  </si>
  <si>
    <t>quest.once_upon_a_forest_chapter_12</t>
  </si>
  <si>
    <t>once_upon_a_forest_chapter_12</t>
  </si>
  <si>
    <t>Chapter XII: Around the World Journey</t>
  </si>
  <si>
    <t>xp:10000</t>
  </si>
  <si>
    <t>This chapter unlocks upon completing chapter III and visiting F1. Requires completing F1, F2, F3 and F4 again (each completed level rewards 1x Punced card).</t>
  </si>
  <si>
    <t>req.meet: Mr Diligence@F1|requires completing the quest Once upon a forest Chapter III | requires accepting the quest Once Upon a Forest Chapter Xi |</t>
  </si>
  <si>
    <t>QUEST_COMPLETE:once upon a forest chapter iii | QUEST_ACCEPT:once upon a forest chapter xi</t>
  </si>
  <si>
    <t>quest.once_upon_a_forest_chapter_13</t>
  </si>
  <si>
    <t>once_upon_a_forest_chapter_13</t>
  </si>
  <si>
    <t>Chapter XIII: Sweet Tooth</t>
  </si>
  <si>
    <t>muffin:10,baklava:10,cake:5,jam:5,honey:5,mcola:10</t>
  </si>
  <si>
    <t>ruby:5,strawberry:30,porcini:10,xp:10000</t>
  </si>
  <si>
    <t>This chapter unlocks upon accepting Chapter XII and visiting F2?</t>
  </si>
  <si>
    <t>req.meet:foodie demon@F2 | requires accepting the quest Once Upon a Forest Chapter XII</t>
  </si>
  <si>
    <t>QUEST_ACCEPT:once upon a forest chapter xii</t>
  </si>
  <si>
    <t>quest.once_upon_a_forest_chapter_14</t>
  </si>
  <si>
    <t>once_upon_a_forest_chapter_14</t>
  </si>
  <si>
    <t>Chapter XIV: Assembly</t>
  </si>
  <si>
    <t>This chapter unlocks upon completing Chapter XII. Requires crafting Solver-1 prototype (craftifact).</t>
  </si>
  <si>
    <t>requires completing the quest Once Upon a Forest Chapter XII</t>
  </si>
  <si>
    <t>QUEST_COMPLETE:once upon a forest chapter xii</t>
  </si>
  <si>
    <t>quest.once_upon_a_forest_chapter_15</t>
  </si>
  <si>
    <t>once_upon_a_forest_chapter_15</t>
  </si>
  <si>
    <t>Chapter XV: One more request (Epilogue)</t>
  </si>
  <si>
    <t>xp:10000,pog:1,hide:1,teeth:1,mspider:1,pa:1,spices:1,scroll:1,ring4p:1</t>
  </si>
  <si>
    <t>This chapter unlocks upon completing Chapter XIV. Requires visiting F1, then F2 and interacting with all creatures.</t>
  </si>
  <si>
    <t>requires completing the quest Once Upon a Forest Chapter XIV | req.meet: Raven@F1</t>
  </si>
  <si>
    <t>QUEST_COMPLETE:once upon a forest chapter xiv</t>
  </si>
  <si>
    <t>quest.once_upon_a_forest_chapter_2</t>
  </si>
  <si>
    <t>once_upon_a_forest_chapter_2</t>
  </si>
  <si>
    <t>Chapter II: Meditative Walk</t>
  </si>
  <si>
    <t>Requires completing dungeon F1.</t>
  </si>
  <si>
    <t>requires completing the quest: Once Upon a Forest Chapter I |req.meet: Raven@F1</t>
  </si>
  <si>
    <t>QUEST_COMPLETE:Once Upon a Forest Chapter I</t>
  </si>
  <si>
    <t>quest.once_upon_a_forest_chapter_3</t>
  </si>
  <si>
    <t>once_upon_a_forest_chapter_3</t>
  </si>
  <si>
    <t>Chapter III: 8 Bits</t>
  </si>
  <si>
    <t>Requires completing F1, F2, F3 and F4.</t>
  </si>
  <si>
    <t>requires completing the quest Once Upon a Forest Chapter II</t>
  </si>
  <si>
    <t>QUEST_COMPLETE:once upon a forest chapter ii</t>
  </si>
  <si>
    <t>quest.once_upon_a_forest_chapter_4</t>
  </si>
  <si>
    <t>once_upon_a_forest_chapter_4</t>
  </si>
  <si>
    <t>Chapter IV: Other Gates</t>
  </si>
  <si>
    <t>accept_reward:egg:1| reward:xp:5000</t>
  </si>
  <si>
    <t>Requires visting 3C, 4C and 5C| after visiting F1 for the second time.</t>
  </si>
  <si>
    <t>req.repeat_visit: F1@2|
requires completing the quest: Once Upon a Forest Chapter III</t>
  </si>
  <si>
    <t>quest.once_upon_a_forest_chapter_5</t>
  </si>
  <si>
    <t>once_upon_a_forest_chapter_5</t>
  </si>
  <si>
    <t>Chapter V: Smoothie for Mrs. Diligence</t>
  </si>
  <si>
    <t>cup:2,smoothie2:2,silk:2,thread:4</t>
  </si>
  <si>
    <t>bedroll:2,xp:5000</t>
  </si>
  <si>
    <t>This chapter unlocks upon visting F2.</t>
  </si>
  <si>
    <t>req.meet:Mrs Diligance@F2
requires completing the quest: Once Upon a Forest Chapter IV</t>
  </si>
  <si>
    <t>QUEST_COMPLETE:Once Upon a Forest Chapter IV</t>
  </si>
  <si>
    <t>quest.once_upon_a_forest_chapter_6</t>
  </si>
  <si>
    <t>once_upon_a_forest_chapter_6</t>
  </si>
  <si>
    <t>Chapter VI: Forest Fairy</t>
  </si>
  <si>
    <t>accept_reward:herbs:1; reward:poh2:1,xp:5000</t>
  </si>
  <si>
    <t>This chapter unlocks upon visting F2 for the second time.</t>
  </si>
  <si>
    <t>req.meet:forest fairy@F2 after accepting chapter V
requires accepting the quest: Once Upon a Forest Chapter V</t>
  </si>
  <si>
    <t>QUEST_ACCEPT:Once Upon a Forest Chapter V</t>
  </si>
  <si>
    <t>quest.once_upon_a_forest_chapter_7</t>
  </si>
  <si>
    <t>once_upon_a_forest_chapter_7</t>
  </si>
  <si>
    <t>Chapter VII: Experiments of the Dark Lady</t>
  </si>
  <si>
    <t>grimoire:1,xp:5000</t>
  </si>
  <si>
    <t>This chapter unlocks upon visiting F2 again| after chapter VI is concluded.</t>
  </si>
  <si>
    <t>req.meet: dark lady@F2 | requires completing the quest Once Upon a Forest Chapter VI</t>
  </si>
  <si>
    <t>QUEST_COMPLETE:once upon a forest chapter vi</t>
  </si>
  <si>
    <t>quest.once_upon_a_forest_chapter_8</t>
  </si>
  <si>
    <t>once_upon_a_forest_chapter_8</t>
  </si>
  <si>
    <t>Chapter VIII: I Know the One Who Knows</t>
  </si>
  <si>
    <t>wheat:10,rice:10,coin:1000</t>
  </si>
  <si>
    <t>This chapter unlocks upon visiting F3 again and completing the last chapter.</t>
  </si>
  <si>
    <t>req.meet: Raven@F3 | requires completing the quest Once Upon a Forest Chapter VII</t>
  </si>
  <si>
    <t>QUEST_COMPLETE:once upon a forest chapter vii</t>
  </si>
  <si>
    <t>quest.once_upon_a_forest_chapter_9</t>
  </si>
  <si>
    <t>once_upon_a_forest_chapter_9</t>
  </si>
  <si>
    <t>Chapter IX: Perfect Armor</t>
  </si>
  <si>
    <t>accept_reward:blueprint:1; reward:xp:10000</t>
  </si>
  <si>
    <t>This chapter unlocks upon completing the previous chapter. Requires finding Salamander hide, Titanium and crafting Armor for a hero lvl. 4.</t>
  </si>
  <si>
    <t>requires completing the quest Once Upon a Forest Chapter VIII | req.meet:inventor@5B</t>
  </si>
  <si>
    <t>QUEST_COMPLETE:once upon a forest chapter viii</t>
  </si>
  <si>
    <t>quest.quest_for_knowledge_chapter_1</t>
  </si>
  <si>
    <t>quest_for_knowledge_chapter_1</t>
  </si>
  <si>
    <t>Chapter I: Dungeon</t>
  </si>
  <si>
    <t>Quest for Knowledge</t>
  </si>
  <si>
    <t>xp:2000</t>
  </si>
  <si>
    <t>Requires Dungeon.</t>
  </si>
  <si>
    <t>Dungeon lvl. 1</t>
  </si>
  <si>
    <t>BUILDING_LVL:Dungeon@1</t>
  </si>
  <si>
    <t>quest.quest_for_knowledge_chapter_2</t>
  </si>
  <si>
    <t>quest_for_knowledge_chapter_2</t>
  </si>
  <si>
    <t>Chapter II: Ancient Evil and Ancient Knowledge</t>
  </si>
  <si>
    <t>Requires completion of previous chapter.</t>
  </si>
  <si>
    <t>requires completing the quest Quest for Knowledge Chapter I</t>
  </si>
  <si>
    <t>QUEST_COMPLETE:quest for knowledge chapter i</t>
  </si>
  <si>
    <t>quest.quest_for_knowledge_chapter_3</t>
  </si>
  <si>
    <t>quest_for_knowledge_chapter_3</t>
  </si>
  <si>
    <t>Chapter III: Shard</t>
  </si>
  <si>
    <t>Requires completion of Chapter I.</t>
  </si>
  <si>
    <t>quest.quest_for_knowledge_chapter_4</t>
  </si>
  <si>
    <t>quest_for_knowledge_chapter_4</t>
  </si>
  <si>
    <t>Chapter IV: Knowledge Increases Knowledge</t>
  </si>
  <si>
    <t>xp:15000</t>
  </si>
  <si>
    <t>Requires completing an expedition with Catacombs map.</t>
  </si>
  <si>
    <t>req.expedition_map:catacombs</t>
  </si>
  <si>
    <t>quest.quest_for_knowledge_chapter_5</t>
  </si>
  <si>
    <t>quest_for_knowledge_chapter_5</t>
  </si>
  <si>
    <t>Chapter V: Age of Technology</t>
  </si>
  <si>
    <t>ruby:10,honey:10,avocado:10,xp:20000</t>
  </si>
  <si>
    <t>Requires Airship.</t>
  </si>
  <si>
    <t>airship lvl. 1</t>
  </si>
  <si>
    <t>quest.shoguns_katana_chapter_1</t>
  </si>
  <si>
    <t>shoguns_katana_chapter_1</t>
  </si>
  <si>
    <t>Chapter I: Master Masamune</t>
  </si>
  <si>
    <t>Shogun's Katana</t>
  </si>
  <si>
    <t>map2:1</t>
  </si>
  <si>
    <t>xp:1000</t>
  </si>
  <si>
    <t>Requires finding an artifact.</t>
  </si>
  <si>
    <t>req.obtain_item:any artifact</t>
  </si>
  <si>
    <t>quest.shoguns_katana_chapter_2</t>
  </si>
  <si>
    <t>shoguns_katana_chapter_2</t>
  </si>
  <si>
    <t>Chapter II: Smuggler's map</t>
  </si>
  <si>
    <t>map3:1</t>
  </si>
  <si>
    <t>requires completing the quest Shogun's Katana Chapter I</t>
  </si>
  <si>
    <t>QUEST_COMPLETE:shogun's katana chapter i</t>
  </si>
  <si>
    <t>quest.shoguns_katana_chapter_3</t>
  </si>
  <si>
    <t>shoguns_katana_chapter_3</t>
  </si>
  <si>
    <t>Chapter III: Vast Oceans</t>
  </si>
  <si>
    <t>mapsmug:1</t>
  </si>
  <si>
    <t>xp:3000</t>
  </si>
  <si>
    <t>Requires buying, mounting and completing the expedition.</t>
  </si>
  <si>
    <t>requires completing the quest Shogun's Katana Chapter II</t>
  </si>
  <si>
    <t>QUEST_COMPLETE:shogun's katana chapter ii</t>
  </si>
  <si>
    <t>quest.shoguns_katana_chapter_4</t>
  </si>
  <si>
    <t>shoguns_katana_chapter_4</t>
  </si>
  <si>
    <t>Chapter IV: Spices</t>
  </si>
  <si>
    <t>xp:4000</t>
  </si>
  <si>
    <t>requires completing the quest Shogun's Katana Chapter III</t>
  </si>
  <si>
    <t>QUEST_COMPLETE:shogun's katana chapter iii</t>
  </si>
  <si>
    <t>quest.shoguns_katana_chapter_5</t>
  </si>
  <si>
    <t>shoguns_katana_chapter_5</t>
  </si>
  <si>
    <t>Chapter V: Pearl</t>
  </si>
  <si>
    <t>quest.shoguns_katana_chapter_6</t>
  </si>
  <si>
    <t>shoguns_katana_chapter_6</t>
  </si>
  <si>
    <t>Chapter VI: Message in a bottle</t>
  </si>
  <si>
    <t>map4:1</t>
  </si>
  <si>
    <t>xp:6000</t>
  </si>
  <si>
    <t>Requires collecting map fragments, crafting, mounting and completing the expedition.</t>
  </si>
  <si>
    <t>requires completing the quest Shogun's Katana Chapter V</t>
  </si>
  <si>
    <t>QUEST_COMPLETE:shogun's katana chapter v</t>
  </si>
  <si>
    <t>quest.shoguns_katana_chapter_7</t>
  </si>
  <si>
    <t>shoguns_katana_chapter_7</t>
  </si>
  <si>
    <t>Chapter VII: We are on the right track</t>
  </si>
  <si>
    <t>xp:7000</t>
  </si>
  <si>
    <t>Requires collecting map fragments, crafting, mounting and completing the expedition. It also requires completing the previous quest.</t>
  </si>
  <si>
    <t>requires completing the quest Shogun's Katana Chapter V| requires completing the quest Shogun's Katana Chapter VI</t>
  </si>
  <si>
    <t>QUEST_COMPLETE:shogun's katana chapter v | QUEST_COMPLETE:shogun's katana chapter vi</t>
  </si>
  <si>
    <t>quest.silk_road</t>
  </si>
  <si>
    <t>silk_road</t>
  </si>
  <si>
    <t>Silk Road</t>
  </si>
  <si>
    <t>visit Beijing, Xian, Delhi, Baghdad, Cairo, Athens, Rome, Kyiv</t>
  </si>
  <si>
    <t>silk:10,map2:1,map3:1,xp:15000</t>
  </si>
  <si>
    <t>Requires bridge lvl. 1.</t>
  </si>
  <si>
    <t>quest.spicy_odyssey</t>
  </si>
  <si>
    <t>spicy_odyssey</t>
  </si>
  <si>
    <t>Spicy Odyssey</t>
  </si>
  <si>
    <t>Retrieve Spices, building.ship@4</t>
  </si>
  <si>
    <t>anchor:1,mortar:5,bomb:10,xp:5000</t>
  </si>
  <si>
    <t>Requires Ship lvl. 1</t>
  </si>
  <si>
    <t>Ship lvl. 1</t>
  </si>
  <si>
    <t>BUILDING_LVL:Ship@1</t>
  </si>
  <si>
    <t>quest.the_ordinary_days_of_an_adventurer_chapter_1</t>
  </si>
  <si>
    <t>the_ordinary_days_of_an_adventurer_chapter_1</t>
  </si>
  <si>
    <t>Chapter I: The Goat is Missing</t>
  </si>
  <si>
    <t>The Ordinary Days of an Adventurer</t>
  </si>
  <si>
    <t>herbs:20,katana:50,grimoire:10,xp:10000</t>
  </si>
  <si>
    <t>This chapter becomes available upon meeting Methusalem in F3. To find the quest giver in F3 Sword lvl. 4, Shield lvl. 4 and Armor lvl. 4 technologies have to be learned and Once Upon a Forest quest: Chapter XII must be completed.</t>
  </si>
  <si>
    <t>req.meet:methusalem@F3| | Sword for a hero lvl. 4 | shield for a hero lvl. 4 | Armor for a hero lvl. 4 | requires completing the quest Once upon a forest chapter XII</t>
  </si>
  <si>
    <t>TECH:Sword for a hero lvl. 4 | TECH:shield for a hero lvl. 4 | TECH:Armor for a hero lvl. 4 | QUEST_COMPLETE:once upon a forest chapter xii</t>
  </si>
  <si>
    <t>quest.the_ordinary_days_of_an_adventurer_chapter_2</t>
  </si>
  <si>
    <t>the_ordinary_days_of_an_adventurer_chapter_2</t>
  </si>
  <si>
    <t>Chapter II: Sharpen Your blade</t>
  </si>
  <si>
    <t>bamboo:25,soy:5,inarizushi:3</t>
  </si>
  <si>
    <t>zenfountain:5,xp:10000</t>
  </si>
  <si>
    <t>This chapter becomes available upon meeting Samurai panda in 6A.</t>
  </si>
  <si>
    <t>req.meet:samurai_panda@6A | requires completing the quest Once upon a forest chapter XII</t>
  </si>
  <si>
    <t>quest.the_ordinary_days_of_an_adventurer_chapter_3</t>
  </si>
  <si>
    <t>the_ordinary_days_of_an_adventurer_chapter_3</t>
  </si>
  <si>
    <t>Chapter III: Eclipse</t>
  </si>
  <si>
    <t>firework:15,pa:10,pbr:10,xp:10000</t>
  </si>
  <si>
    <t>This chapter becomes available upon meeting Dark lady in 6A. Chapter II must be concluded.</t>
  </si>
  <si>
    <t>req.repeat_visit: 6A@3 | req.meet:dark_lady@6A| requires completing The Ordinary Days of an Adventurer chapter II</t>
  </si>
  <si>
    <t>QUEST_COMPLETE:the ordinary days of an adventurer chapter ii</t>
  </si>
  <si>
    <t>quest.the_ordinary_days_of_an_adventurer_chapter_4</t>
  </si>
  <si>
    <t>the_ordinary_days_of_an_adventurer_chapter_4</t>
  </si>
  <si>
    <t>Chapter IV: Full set</t>
  </si>
  <si>
    <t>xp:20000</t>
  </si>
  <si>
    <t>This chapter becomes available upon meeting Dark lady in 6B (second visit). Chatper II might needs to be completed first.</t>
  </si>
  <si>
    <t>req.meet:dark_lady@6B|requires completing The Ordinary Days of an Adventurer chapter III</t>
  </si>
  <si>
    <t>QUEST_COMPLETE:the ordinary days of an adventurer chapter iii</t>
  </si>
  <si>
    <t>quest.the_ordinary_days_of_an_adventurer_chapter_5</t>
  </si>
  <si>
    <t>the_ordinary_days_of_an_adventurer_chapter_5</t>
  </si>
  <si>
    <t>Chapter V: Goat II</t>
  </si>
  <si>
    <t>flour:150,egg:30,salmon:20,dates:20,oil:20</t>
  </si>
  <si>
    <t>goat:1,xp:10000</t>
  </si>
  <si>
    <t>This chapter becomes available after accepting chapter IV and re-entering guild.</t>
  </si>
  <si>
    <t>requires accepting quest: The Ordinary Days of an Adventurer chapter IV | req.action:reenter_guild</t>
  </si>
  <si>
    <t>QUEST_ACCEPT:The Ordinary Days of an Adventurer chapter IV</t>
  </si>
  <si>
    <t>quest.the_ordinary_days_of_an_adventurer_chapter_6</t>
  </si>
  <si>
    <t>the_ordinary_days_of_an_adventurer_chapter_6</t>
  </si>
  <si>
    <t>Chapter VI: Cheese and Diamonds</t>
  </si>
  <si>
    <t>vintcheese:1</t>
  </si>
  <si>
    <t>This chapter becomes available after going to 6B while having the Dairy lvl. 2.</t>
  </si>
  <si>
    <t>req.visit: 6B after building Dairy LVL 2 |dairy lvl. 2</t>
  </si>
  <si>
    <t>BUILDING_LVL:dairy@2</t>
  </si>
  <si>
    <t>quest.the_ordinary_days_of_an_adventurer_chapter_7</t>
  </si>
  <si>
    <t>the_ordinary_days_of_an_adventurer_chapter_7</t>
  </si>
  <si>
    <t>Chapter VII: Save the World</t>
  </si>
  <si>
    <t>treasure:30,honey:20,spices:10,xp:30000</t>
  </si>
  <si>
    <t>This chapter unlocks after completing Chapter IV: Full set.</t>
  </si>
  <si>
    <t>requires completing the quest The Ordinary Days of an Adventurer Chapter IV</t>
  </si>
  <si>
    <t>QUEST_COMPLETE:the ordinary days of an adventurer chapter iv</t>
  </si>
  <si>
    <t>quest.the_ordinary_days_of_an_adventurer_chapter_8</t>
  </si>
  <si>
    <t>the_ordinary_days_of_an_adventurer_chapter_8</t>
  </si>
  <si>
    <t>Chapter VIII: Tourists for Life</t>
  </si>
  <si>
    <t>vintcheese:5,steamobile:10,diamond:3,xp:20000</t>
  </si>
  <si>
    <t>This chapter unlocks upon interacting with the Dark Lady (with yellow exclamation mark above) in 6B. Requires completing the previous chapter?</t>
  </si>
  <si>
    <t>req.meet:Dark Lady@6B | requires completing the quest The Ordinary Days of an Adventurer Chapter VII</t>
  </si>
  <si>
    <t>QUEST_COMPLETE:the ordinary days of an adventurer chapter vii</t>
  </si>
  <si>
    <t>quest.the_ring_of_the_dark_lady</t>
  </si>
  <si>
    <t>the_ring_of_the_dark_lady</t>
  </si>
  <si>
    <t>The Ring of the Dark Lady</t>
  </si>
  <si>
    <t>kill boss in 4C. Deliver ring in 4C</t>
  </si>
  <si>
    <t>blueprint:1,xp:15000</t>
  </si>
  <si>
    <t>Requires completing quest Dragon teeth and visiting 4A.</t>
  </si>
  <si>
    <t>requires completing the quest dragon teeth |req.meet: dark lady@4A</t>
  </si>
  <si>
    <t>QUEST_COMPLETE:dragon teeth</t>
  </si>
  <si>
    <t>quest.treasure_island</t>
  </si>
  <si>
    <t>treasure_island</t>
  </si>
  <si>
    <t>Treasure Island</t>
  </si>
  <si>
    <t>acquire treasure from treasure island</t>
  </si>
  <si>
    <t>accept_reward:mapf3:1| reward:ruby:5,pearl:5,treasure:3,xp:5000</t>
  </si>
  <si>
    <t>This quest becomes available upon meeting a Pirate skeleton in dungeon 3A. Black pearl (artifact) must first be acquired and Spicy Odyssey (quest) must first be completed. Requires visiting Treasure Island (new Ship route) and coming back with a Treasure.</t>
  </si>
  <si>
    <t>req.meet:Pirate_skeleton@3A| requires completing the quest Shogun's Katana Chapter IV |requires completing the quest spicy odyssey |req.ship_route: treasure_island| req.obtain_item:treasure|req.expedition_map:Smugglers map</t>
  </si>
  <si>
    <t>QUEST_COMPLETE:shogun's katana chapter iv | QUEST_COMPLETE:spicy odyssey</t>
  </si>
  <si>
    <t>quest.undead_revenge</t>
  </si>
  <si>
    <t>undead_revenge</t>
  </si>
  <si>
    <t>Undead Revenge</t>
  </si>
  <si>
    <t>Complete 5C after meeting skeleton in 5A</t>
  </si>
  <si>
    <t>treasure:20,soy:20,page:20,xp:20000</t>
  </si>
  <si>
    <t>Requires completing quest: Dragon teeth and dungeon 5C; and visiting 5A.</t>
  </si>
  <si>
    <t>requires completing the quest Dragon Teeth| req.complete_dungeon:5C | req.visit:5A after completing 5C</t>
  </si>
  <si>
    <t>quest.wanted</t>
  </si>
  <si>
    <t>wanted</t>
  </si>
  <si>
    <t>WANTED</t>
  </si>
  <si>
    <t>xp:50</t>
  </si>
  <si>
    <t>coin:3-21</t>
  </si>
  <si>
    <t>Depends on Guild level, Onsen lvl. 1 and Oil lamp artifact - each increases it by 3 x Coin.</t>
  </si>
  <si>
    <t>wood:4,sushi:1,fan:3,arrows:3,katana:1,shuriken:3,boomerang:3,petard:1</t>
  </si>
  <si>
    <t>Not a guarenteed drop (one of eight possible rewards).</t>
  </si>
  <si>
    <t>StateID</t>
  </si>
  <si>
    <t>Quest</t>
  </si>
  <si>
    <t>Dependency</t>
  </si>
  <si>
    <t>TechnologyID</t>
  </si>
  <si>
    <t>TechnologyName</t>
  </si>
  <si>
    <t>BuildingKey</t>
  </si>
  <si>
    <t>OwnerID</t>
  </si>
  <si>
    <t>building</t>
  </si>
  <si>
    <t>notes</t>
  </si>
  <si>
    <t>Bonemeal</t>
  </si>
  <si>
    <t>titanium_longerons</t>
  </si>
  <si>
    <t>Titanium longerons</t>
  </si>
  <si>
    <t>airship|titanium longerons</t>
  </si>
  <si>
    <t>Airship</t>
  </si>
  <si>
    <t>Titanium parts | Requires completing the quest: Once Upon a Forest Chapter XI | Airship max level</t>
  </si>
  <si>
    <t>TECH:Titanium parts | QUEST_COMPLETE:Once Upon a Forest Chapter XI | BUILDING_MAX:Airship</t>
  </si>
  <si>
    <t>Increases carrying capacity.&lt;br&gt;(+1)</t>
  </si>
  <si>
    <t>Requires completing the quest: Once Upon a Forest Chapter XI: Back to Melbourne.</t>
  </si>
  <si>
    <t>greek_grenade</t>
  </si>
  <si>
    <t>Greek grenade</t>
  </si>
  <si>
    <t>alchemist's hut|greek grenade</t>
  </si>
  <si>
    <t>| Alchemist's Hut max level</t>
  </si>
  <si>
    <t>BUILDING_MAX:Alchemist's Hut</t>
  </si>
  <si>
    <t>Unlocks crafting: {{i|greek|30}}</t>
  </si>
  <si>
    <t>Synthetic fertilizer</t>
  </si>
  <si>
    <t>alchemist's hut|synthetic fertilizer</t>
  </si>
  <si>
    <t>Unlocks crafting: {{i|fertilizer|30}}</t>
  </si>
  <si>
    <t>balm</t>
  </si>
  <si>
    <t>Balm</t>
  </si>
  <si>
    <t>OwnerType</t>
  </si>
  <si>
    <t>NormalizedOwnerID</t>
  </si>
  <si>
    <t>alchemist's hut|balm</t>
  </si>
  <si>
    <t>NormalizedNotes</t>
  </si>
  <si>
    <t>Complete</t>
  </si>
  <si>
    <t>Requires accepting the quest: Once Upon a Forest Chapter VI | Alchemist's Hut max level</t>
  </si>
  <si>
    <t>QUEST_ACCEPT:Once Upon a Forest Chapter VI | BUILDING_MAX:Alchemist's Hut</t>
  </si>
  <si>
    <t>Unlocks crafting: {{i|balm|30}}</t>
  </si>
  <si>
    <t>ValidTarget</t>
  </si>
  <si>
    <t>ValidDependency</t>
  </si>
  <si>
    <t>Requires visiting F2 at least twice (for the Forest Fairy quest).</t>
  </si>
  <si>
    <t>Exception</t>
  </si>
  <si>
    <t>airship_titanium_longerons</t>
  </si>
  <si>
    <t>BUILDING_MAX:Airship</t>
  </si>
  <si>
    <t>BUILDING_MAX:airship</t>
  </si>
  <si>
    <t>Manual</t>
  </si>
  <si>
    <t>airship@2</t>
  </si>
  <si>
    <t>BUILDING_LVL:Airship@1</t>
  </si>
  <si>
    <t>Auto</t>
  </si>
  <si>
    <t>potion_of_mental_power</t>
  </si>
  <si>
    <t>Potion of mental power</t>
  </si>
  <si>
    <t>alchemist's hut|potion of mental power</t>
  </si>
  <si>
    <t>Unlocks crafting: {{i|pomp|30}}</t>
  </si>
  <si>
    <t>Requires visiting F2 at least twice&lt;br&gt;(for the Forest Fairy quest).</t>
  </si>
  <si>
    <t>airship.maxed</t>
  </si>
  <si>
    <t>alchemists_hut_conveyor_lvl_1</t>
  </si>
  <si>
    <t>tech.alchemists.hut_conveyor_lvl_1</t>
  </si>
  <si>
    <t>BUILDING_MAX:alchemists_hut</t>
  </si>
  <si>
    <t>alchemists_hut.advanced_fertilizer</t>
  </si>
  <si>
    <t>tech.alchemists.hut_advanced_fertilizer</t>
  </si>
  <si>
    <t>alchemists_hut_conveyor_lvl_2</t>
  </si>
  <si>
    <t>tech.alchemists.hut_conveyor_lvl_2</t>
  </si>
  <si>
    <t>alchemists_hut_balm</t>
  </si>
  <si>
    <t>tech.alchemists.hut_balm</t>
  </si>
  <si>
    <t>alchemists_hut_galvanization</t>
  </si>
  <si>
    <t>tech.alchemists.hut_galvanization</t>
  </si>
  <si>
    <t>Mercury</t>
  </si>
  <si>
    <t>alchemists_hut_gold_ingot</t>
  </si>
  <si>
    <t>tech.alchemists.hut_gold_ingot</t>
  </si>
  <si>
    <t>alchemist's hut|mercury</t>
  </si>
  <si>
    <t>Requires completing the quest: Once Upon a Forest Chapter VI | Alchemist's Hut max level</t>
  </si>
  <si>
    <t>QUEST_COMPLETE:Once Upon a Forest Chapter VI | BUILDING_MAX:Alchemist's Hut</t>
  </si>
  <si>
    <t>Unlocks crafting: {{i|mercury|30}}</t>
  </si>
  <si>
    <t>Requires completing the quest: Once Upon a Forest Chapter VII: Experiments of the Dark Lady.</t>
  </si>
  <si>
    <t>alchemists_hut_greek_grenade</t>
  </si>
  <si>
    <t>tech.alchemists.hut_greek_grenade</t>
  </si>
  <si>
    <t>alchemists_hut_madness_grenade</t>
  </si>
  <si>
    <t>tech.alchemists.hut_madness_grenade</t>
  </si>
  <si>
    <t>alchemists_hut_mercury</t>
  </si>
  <si>
    <t>tech.alchemists.hut_mercury</t>
  </si>
  <si>
    <t>alchemists_hut_metamorphosis</t>
  </si>
  <si>
    <t>tech.alchemists.hut_metamorphosis</t>
  </si>
  <si>
    <t>alchemists_hut_potion_ambrosia</t>
  </si>
  <si>
    <t>tech.alchemists.hut_potion_ambrosia</t>
  </si>
  <si>
    <t>alchemists_hut_potion_berserker_rage</t>
  </si>
  <si>
    <t>tech.alchemists.hut_potion_berserker_rage</t>
  </si>
  <si>
    <t>alchemists_hut_potion_of_energy</t>
  </si>
  <si>
    <t>tech.alchemists.hut_potion_of_energy</t>
  </si>
  <si>
    <t>alchemists_hut_potion_of_healing</t>
  </si>
  <si>
    <t>tech.alchemists.hut_potion_of_healing</t>
  </si>
  <si>
    <t>gold_ingot</t>
  </si>
  <si>
    <t>Gold ingot</t>
  </si>
  <si>
    <t>alchemists_hut_potion_of_healing_lvl_2</t>
  </si>
  <si>
    <t>tech.alchemists.hut_potion_of_healing_lvl_2</t>
  </si>
  <si>
    <t>alchemist's hut|gold ingot</t>
  </si>
  <si>
    <t>Mercury | Requires completing the quest: Once Upon a Forest Chapter VII | Alchemist's Hut max level</t>
  </si>
  <si>
    <t>TECH:Mercury | QUEST_COMPLETE:Once Upon a Forest Chapter VII | BUILDING_MAX:Alchemist's Hut</t>
  </si>
  <si>
    <t>Unlocks crafting: {{i|ingot|30}}</t>
  </si>
  <si>
    <t>alchemists_hut_potion_of_mental_power</t>
  </si>
  <si>
    <t>tech.alchemists.hut_potion_of_mental_power</t>
  </si>
  <si>
    <t>alchemists_hut.synthetic_fertilizer</t>
  </si>
  <si>
    <t>tech.alchemists.hut_synthetic_fertilizer</t>
  </si>
  <si>
    <t>alchemists_hut@2</t>
  </si>
  <si>
    <t>BUILDING_LVL:alchemists_hut@1</t>
  </si>
  <si>
    <t>alchemists_hut@3</t>
  </si>
  <si>
    <t>BUILDING_LVL:alchemists_hut@2</t>
  </si>
  <si>
    <t>alchemists_hut@5</t>
  </si>
  <si>
    <t>BUILDING_LVL:alchemists_hut@4</t>
  </si>
  <si>
    <t>alchemists_hut@6</t>
  </si>
  <si>
    <t>BUILDING_LVL:alchemists_hut@5</t>
  </si>
  <si>
    <t>BUILDING_LVL:Alchemist's Hut@6</t>
  </si>
  <si>
    <t>BUILDING_LVL:alchemists_hut@6</t>
  </si>
  <si>
    <t>alchemists_hut.maxed</t>
  </si>
  <si>
    <t>madness_grenade</t>
  </si>
  <si>
    <t>Madness grenade</t>
  </si>
  <si>
    <t>bonsai@2</t>
  </si>
  <si>
    <t>alchemist's hut|madness grenade</t>
  </si>
  <si>
    <t>Unlocks crafting: {{i|madgrenade|30}}</t>
  </si>
  <si>
    <t>bridge_koi_fish</t>
  </si>
  <si>
    <t>BUILDING_MAX:Bridge</t>
  </si>
  <si>
    <t>BUILDING_MAX:bridge</t>
  </si>
  <si>
    <t>bridge_salmon_farming</t>
  </si>
  <si>
    <t>airship@1</t>
  </si>
  <si>
    <t>caravan@1</t>
  </si>
  <si>
    <t>outpost@1</t>
  </si>
  <si>
    <t>station@1</t>
  </si>
  <si>
    <t>tailor@1</t>
  </si>
  <si>
    <t>potion_of_healing</t>
  </si>
  <si>
    <t>Potion of healing</t>
  </si>
  <si>
    <t>alchemist's hut|potion of healing</t>
  </si>
  <si>
    <t>Unlocks crafting: {{i|poh|30}}</t>
  </si>
  <si>
    <t>bridge.maxed</t>
  </si>
  <si>
    <t>caravan@2</t>
  </si>
  <si>
    <t>caravan@3</t>
  </si>
  <si>
    <t>caravan@4</t>
  </si>
  <si>
    <t>potion_of_energy</t>
  </si>
  <si>
    <t>Potion of energy</t>
  </si>
  <si>
    <t>alchemist's hut|potion of energy</t>
  </si>
  <si>
    <t>Unlocks crafting: {{i|poe|30}}</t>
  </si>
  <si>
    <t>chicken@2</t>
  </si>
  <si>
    <t>dairy_big_data_farming</t>
  </si>
  <si>
    <t>BUILDING_MAX:Dairy</t>
  </si>
  <si>
    <t>BUILDING_MAX:dairy</t>
  </si>
  <si>
    <t>dairy_classical_music_for_the_farm</t>
  </si>
  <si>
    <t>dairy@2</t>
  </si>
  <si>
    <t>dairy.maxed</t>
  </si>
  <si>
    <t>dungeon@2</t>
  </si>
  <si>
    <t>potion_berserker_rage</t>
  </si>
  <si>
    <t>Potion berserker rage</t>
  </si>
  <si>
    <t>alchemist's hut|potion "berserker rage"</t>
  </si>
  <si>
    <t>Unlocks crafting: {{i|pbr|30}}</t>
  </si>
  <si>
    <t>dungeon@3</t>
  </si>
  <si>
    <t>dungeon@4</t>
  </si>
  <si>
    <t>dungeon_great_hall</t>
  </si>
  <si>
    <t>potion_of_healing_lvl_2</t>
  </si>
  <si>
    <t>Potion of healing lvl. 2</t>
  </si>
  <si>
    <t>alchemist's hut|potion of healing lvl. 2</t>
  </si>
  <si>
    <t>dungeon@5</t>
  </si>
  <si>
    <t>Potion of healing | Alchemist's Hut max level</t>
  </si>
  <si>
    <t>TECH:Potion of healing | BUILDING_MAX:Alchemist's Hut</t>
  </si>
  <si>
    <t>BUILDING_LVL:Dungeon@4</t>
  </si>
  <si>
    <t>Unlocks crafting: {{i|poh2|30}}</t>
  </si>
  <si>
    <t>BUILDING_LVL:Dungeon@5</t>
  </si>
  <si>
    <t>BUILDING_LVL:dungeon@5</t>
  </si>
  <si>
    <t>potion_ambrosia</t>
  </si>
  <si>
    <t>Potion Ambrosia</t>
  </si>
  <si>
    <t>dungeon.maxed</t>
  </si>
  <si>
    <t>alchemist's hut|potion "ambrosia"</t>
  </si>
  <si>
    <t>Potion "Berserker rage" / Potion of healing lvl. 2 | Alchemist's Hut max level</t>
  </si>
  <si>
    <t>TECH:Potion "Berserker rage" | TECH:Potion of healing lvl. 2 | BUILDING_MAX:Alchemist's Hut</t>
  </si>
  <si>
    <t>Unlocks crafting: {{i|pa|30}}</t>
  </si>
  <si>
    <t>fermentory_pasteurization</t>
  </si>
  <si>
    <t>BUILDING_MAX:Fermentory</t>
  </si>
  <si>
    <t>BUILDING_MAX:fermentory</t>
  </si>
  <si>
    <t>fermentory@2</t>
  </si>
  <si>
    <t>fermentory@3</t>
  </si>
  <si>
    <t>fermentory@4</t>
  </si>
  <si>
    <t>fermentory@5</t>
  </si>
  <si>
    <t>fermentory@6</t>
  </si>
  <si>
    <t>conveyor_lvl_1</t>
  </si>
  <si>
    <t>Alchemist's Hut Conveyor lvl. 1</t>
  </si>
  <si>
    <t>alchemist's hut|alchemist's hut conveyor lvl. 1</t>
  </si>
  <si>
    <t>Increases max order size by 100% for / {{i|charcoal|30}} {{i|gunpowder|30}} {{i|fertilizer|30}} {{i|mercury|30}} {{i|ingot|30}}</t>
  </si>
  <si>
    <t>BUILDING_LVL:fermentory@6</t>
  </si>
  <si>
    <t>fermentory.maxed</t>
  </si>
  <si>
    <t>field_combine_harvester</t>
  </si>
  <si>
    <t>BUILDING_MAX:Field</t>
  </si>
  <si>
    <t>BUILDING_MAX:field</t>
  </si>
  <si>
    <t>field_seed_drill</t>
  </si>
  <si>
    <t>field_soybean</t>
  </si>
  <si>
    <t>field@2</t>
  </si>
  <si>
    <t>field.maxed</t>
  </si>
  <si>
    <t>food_stall_conveyor_belt_sushi</t>
  </si>
  <si>
    <t>tech.food.stall_conveyor_belt_sushi</t>
  </si>
  <si>
    <t>BUILDING_MAX:Food Stall</t>
  </si>
  <si>
    <t>BUILDING_MAX:food_stall</t>
  </si>
  <si>
    <t>food_stall_inarizushi</t>
  </si>
  <si>
    <t>tech.food.stall_inarizushi</t>
  </si>
  <si>
    <t>conveyor_lvl_2</t>
  </si>
  <si>
    <t>Alchemist's Hut Conveyor lvl. 2</t>
  </si>
  <si>
    <t>food_stall_jam</t>
  </si>
  <si>
    <t>tech.food.stall_jam</t>
  </si>
  <si>
    <t>alchemist's hut|alchemist's hut conveyor lvl. 2</t>
  </si>
  <si>
    <t>Alchemist's Hut Conveyor lvl. 1 | Alchemist's Hut max level</t>
  </si>
  <si>
    <t>TECH:Alchemist's Hut Conveyor lvl. 1 | BUILDING_MAX:Alchemist's Hut</t>
  </si>
  <si>
    <t>Increases max order size by 200% for / {{i|charcoal|30}} {{i|gunpowder|30}} {{i|fertilizer|30}} {{i|mercury|30}} {{i|ingot|30}}</t>
  </si>
  <si>
    <t>food_stall_mandra_cola</t>
  </si>
  <si>
    <t>tech.food.stall_mandra_cola</t>
  </si>
  <si>
    <t>food_stall_mayonnaise</t>
  </si>
  <si>
    <t>tech.food.stall_mayonnaise</t>
  </si>
  <si>
    <t>food_stall_miso_soup</t>
  </si>
  <si>
    <t>tech.food.stall_miso_soup</t>
  </si>
  <si>
    <t>food_stall_quintessence_of_taste</t>
  </si>
  <si>
    <t>tech.food.stall_quintessence_of_taste</t>
  </si>
  <si>
    <t>food_stall@2</t>
  </si>
  <si>
    <t>BUILDING_LVL:food_stall@1</t>
  </si>
  <si>
    <t>food_stall@3</t>
  </si>
  <si>
    <t>BUILDING_LVL:food_stall@2</t>
  </si>
  <si>
    <t>BUILDING_LVL:Food Stall@3</t>
  </si>
  <si>
    <t>BUILDING_LVL:food_stall@3</t>
  </si>
  <si>
    <t>food_stall.maxed</t>
  </si>
  <si>
    <t>furnace_conveyor</t>
  </si>
  <si>
    <t>galvanization</t>
  </si>
  <si>
    <t>BUILDING_MAX:Furnace</t>
  </si>
  <si>
    <t>Galvanization</t>
  </si>
  <si>
    <t>BUILDING_MAX:furnace</t>
  </si>
  <si>
    <t>alchemist's hut|galvanization</t>
  </si>
  <si>
    <t>furnace_glass</t>
  </si>
  <si>
    <t>+5 Durability for / {{i|ring1|30}} {{i|ring2|30}} {{i|ring3|30}} {{i|ring4|30}} {{i|ring4p|30}}</t>
  </si>
  <si>
    <t>Durability of equipped equipment remains the same.</t>
  </si>
  <si>
    <t>furnace_meteoric_steel</t>
  </si>
  <si>
    <t>furnace_titanium_parts</t>
  </si>
  <si>
    <t>furnace@2</t>
  </si>
  <si>
    <t>furnace@3</t>
  </si>
  <si>
    <t>BUILDING_LVL:furnace@3</t>
  </si>
  <si>
    <t>furnace.maxed</t>
  </si>
  <si>
    <t>garden_sprinkler</t>
  </si>
  <si>
    <t>BUILDING_MAX:Garden</t>
  </si>
  <si>
    <t>BUILDING_MAX:garden</t>
  </si>
  <si>
    <t>metamorphosis</t>
  </si>
  <si>
    <t>Metamorphosis</t>
  </si>
  <si>
    <t>garden@2</t>
  </si>
  <si>
    <t>alchemist's hut|metamorphosis</t>
  </si>
  <si>
    <t>File:Metamorphosis.png|30px]] Merging the abilities of one pet and the appearance of another. (It only changes the appearance, but does not make a pet stronger.)</t>
  </si>
  <si>
    <t>Requires completing the quest: Once Upon a Forest Chapter VII: Experiments of the Dark Lady. / For more information see Dungeon:_familiars#Metamorphosis|Familiars &gt; Metamorphosis]].</t>
  </si>
  <si>
    <t>garden@3</t>
  </si>
  <si>
    <t>garden.maxed</t>
  </si>
  <si>
    <t>guild@2</t>
  </si>
  <si>
    <t>BUILDING_LVL:Guild@2</t>
  </si>
  <si>
    <t>guild@3</t>
  </si>
  <si>
    <t>warehouse@2</t>
  </si>
  <si>
    <t>BUILDING_LVL:Guild@3</t>
  </si>
  <si>
    <t>advanced_fertilizer</t>
  </si>
  <si>
    <t>Advanced fertilizer</t>
  </si>
  <si>
    <t>alchemists_hut@4</t>
  </si>
  <si>
    <t>alchemist's hut|advanced fertilizer</t>
  </si>
  <si>
    <t>Synthetic fertilizer | Requires completing quest: Magic Beans | Alchemist's Hut max level</t>
  </si>
  <si>
    <t>TECH:Synthetic fertilizer | QUEST_COMPLETE:Magic Beans | BUILDING_MAX:Alchemist's Hut</t>
  </si>
  <si>
    <t>{{i|fertilizer|30}} Synthetic fertilizer: Increases productivity by 1.</t>
  </si>
  <si>
    <t>Requires completing quest: Magic Beans]]. / Instead of harvesting 10 x Rice, 11 x Rice is harvested.</t>
  </si>
  <si>
    <t>guild@4</t>
  </si>
  <si>
    <t>warehouse@3</t>
  </si>
  <si>
    <t>BUILDING_LVL:Guild@4</t>
  </si>
  <si>
    <t>guild@5</t>
  </si>
  <si>
    <t>warehouse@4</t>
  </si>
  <si>
    <t>BUILDING_LVL:Guild@5</t>
  </si>
  <si>
    <t>BUILDING_LVL:guild@5</t>
  </si>
  <si>
    <t>warehouse@5</t>
  </si>
  <si>
    <t>koi_fish</t>
  </si>
  <si>
    <t>Koi fish</t>
  </si>
  <si>
    <t>bridge|koi fish</t>
  </si>
  <si>
    <t>Bridge</t>
  </si>
  <si>
    <t>Bridge max level</t>
  </si>
  <si>
    <t>Ship#Expeditions|Ship]]: +25% Fishing</t>
  </si>
  <si>
    <t>Increases fishing loot by 25%. For the exact percentages see Ship#Ship_missions|Ship missions]].</t>
  </si>
  <si>
    <t>laboratory_digitization</t>
  </si>
  <si>
    <t>BUILDING_MAX:Laboratory</t>
  </si>
  <si>
    <t>BUILDING_MAX:laboratory</t>
  </si>
  <si>
    <t>laboratory_experiments</t>
  </si>
  <si>
    <t>laboratory_research_and_development</t>
  </si>
  <si>
    <t>laboratory@2</t>
  </si>
  <si>
    <t>BUILDING_LVL:laboratory@1</t>
  </si>
  <si>
    <t>laboratory@3</t>
  </si>
  <si>
    <t>BUILDING_LVL:laboratory@2</t>
  </si>
  <si>
    <t>salmon_farming</t>
  </si>
  <si>
    <t>Salmon farming</t>
  </si>
  <si>
    <t>laboratory@4</t>
  </si>
  <si>
    <t>bridge|salmon farming</t>
  </si>
  <si>
    <t>BUILDING_LVL:laboratory@3</t>
  </si>
  <si>
    <t>Passive income: {{i|salmon|30}} x 1</t>
  </si>
  <si>
    <t>laboratory@5</t>
  </si>
  <si>
    <t>BUILDING_LVL:laboratory@4</t>
  </si>
  <si>
    <t>laboratory_data_center@1</t>
  </si>
  <si>
    <t>BUILDING_LVL:Laboratory@5</t>
  </si>
  <si>
    <t>BUILDING_LVL:laboratory@5</t>
  </si>
  <si>
    <t>laboratory.maxed</t>
  </si>
  <si>
    <t>building.Laboratory@5</t>
  </si>
  <si>
    <t>BUILDING_MAX:Laboratory: Data center</t>
  </si>
  <si>
    <t>BUILDING_MAX:laboratory_data_center</t>
  </si>
  <si>
    <t>classical_music_for_the_farm</t>
  </si>
  <si>
    <t>laboratory_data_center.maxed</t>
  </si>
  <si>
    <t>Classical music for the farm</t>
  </si>
  <si>
    <t>dairy|classical music for the farm</t>
  </si>
  <si>
    <t>Dairy</t>
  </si>
  <si>
    <t>Dairy max level</t>
  </si>
  <si>
    <t>lumber@2</t>
  </si>
  <si>
    <t>{{i|goat|30}} Increases productivity by 1.</t>
  </si>
  <si>
    <t>Allows to produce one more Milk per same ingredients.</t>
  </si>
  <si>
    <t>lumber@3</t>
  </si>
  <si>
    <t>onsen@2</t>
  </si>
  <si>
    <t>outpost_arsenal_lvl_1</t>
  </si>
  <si>
    <t>BUILDING_MAX:Outpost</t>
  </si>
  <si>
    <t>BUILDING_MAX:outpost</t>
  </si>
  <si>
    <t>outpost_arsenal_lvl_2</t>
  </si>
  <si>
    <t>outpost_futures_contracts</t>
  </si>
  <si>
    <t>outpost_optional_contracts</t>
  </si>
  <si>
    <t>outpost_sayonara_tax</t>
  </si>
  <si>
    <t>outpost_tax_return_on_floppy_disk</t>
  </si>
  <si>
    <t>big_data_farming</t>
  </si>
  <si>
    <t>Big data farming</t>
  </si>
  <si>
    <t>dairy|big data farming</t>
  </si>
  <si>
    <t>Classical music for the farm | Dairy max level</t>
  </si>
  <si>
    <t>TECH:Classical music for the farm | BUILDING_MAX:Dairy</t>
  </si>
  <si>
    <t>outpost@2</t>
  </si>
  <si>
    <t>outpost@3</t>
  </si>
  <si>
    <t>outpost.maxed</t>
  </si>
  <si>
    <t>pagoda@2</t>
  </si>
  <si>
    <t>pagoda@3</t>
  </si>
  <si>
    <t>pagoda@4</t>
  </si>
  <si>
    <t>pagoda@5</t>
  </si>
  <si>
    <t>pagoda@6</t>
  </si>
  <si>
    <t>pagoda@7</t>
  </si>
  <si>
    <t>ship@1</t>
  </si>
  <si>
    <t>dungeon|great hall</t>
  </si>
  <si>
    <t>Dungeon</t>
  </si>
  <si>
    <t>BUILDING_LVL:pier@1</t>
  </si>
  <si>
    <t>rock_garden_rake</t>
  </si>
  <si>
    <t>BUILDING_MAX:Rock Garden</t>
  </si>
  <si>
    <t>BUILDING_MAX:rock_garden</t>
  </si>
  <si>
    <t>rock_garden@2</t>
  </si>
  <si>
    <t>BUILDING_LVL:rock_garden@1</t>
  </si>
  <si>
    <t>rock_garden@3</t>
  </si>
  <si>
    <t>BUILDING_LVL:rock_garden@2</t>
  </si>
  <si>
    <t>rock_garden.maxed</t>
  </si>
  <si>
    <t>ship@2</t>
  </si>
  <si>
    <t>ship@3</t>
  </si>
  <si>
    <t>ship@4</t>
  </si>
  <si>
    <t>pasteurization</t>
  </si>
  <si>
    <t>Pasteurization</t>
  </si>
  <si>
    <t>BUILDING_LVL:Ship@4</t>
  </si>
  <si>
    <t>BUILDING_LVL:ship@4</t>
  </si>
  <si>
    <t>fermentory|pasteurization</t>
  </si>
  <si>
    <t>Fermentory</t>
  </si>
  <si>
    <t>Fermentory max level</t>
  </si>
  <si>
    <t>shop_glass_recycling</t>
  </si>
  <si>
    <t>{{i|amazake|30}} Amazake: increase caravan size.</t>
  </si>
  <si>
    <t>BUILDING_MAX:Shop</t>
  </si>
  <si>
    <t>BUILDING_MAX:shop</t>
  </si>
  <si>
    <t>shop_pre_orders</t>
  </si>
  <si>
    <t>shop@2</t>
  </si>
  <si>
    <t>shop@3</t>
  </si>
  <si>
    <t>shop.maxed</t>
  </si>
  <si>
    <t>smithy_gears</t>
  </si>
  <si>
    <t>BUILDING_MAX:Smithy</t>
  </si>
  <si>
    <t>BUILDING_MAX:smithy</t>
  </si>
  <si>
    <t>smithy_sword_for_a_hero_lvl_1</t>
  </si>
  <si>
    <t>smithy_sword_for_a_hero_lvl_2</t>
  </si>
  <si>
    <t>smithy_sword_for_a_hero_lvl_3</t>
  </si>
  <si>
    <t>smithy_sword_for_a_hero_lvl_4</t>
  </si>
  <si>
    <t>smithy_sword_for_a_hero_lvl_4+</t>
  </si>
  <si>
    <t>smithy_throwing_knife</t>
  </si>
  <si>
    <t>seed_drill</t>
  </si>
  <si>
    <t>Seed drill</t>
  </si>
  <si>
    <t>smithy_treasure</t>
  </si>
  <si>
    <t>field|seed drill</t>
  </si>
  <si>
    <t>Field</t>
  </si>
  <si>
    <t>Mechanism | Field max level</t>
  </si>
  <si>
    <t>TECH:Mechanism | BUILDING_MAX:Field</t>
  </si>
  <si>
    <t>Increases max order size by 100%: / {{i|rice|30}} {{i|wheat|30}} {{i|soybean|30}}</t>
  </si>
  <si>
    <t>smithy_weapon_grease</t>
  </si>
  <si>
    <t>smithy@2</t>
  </si>
  <si>
    <t>smithy@3</t>
  </si>
  <si>
    <t>BUILDING_LVL:Smithy@3</t>
  </si>
  <si>
    <t>BUILDING_LVL:smithy@3</t>
  </si>
  <si>
    <t>smithy.maxed</t>
  </si>
  <si>
    <t>train@1</t>
  </si>
  <si>
    <t>BUILDING_LVL:station@1</t>
  </si>
  <si>
    <t>tailor_ariadnes_thread</t>
  </si>
  <si>
    <t>BUILDING_MAX:Tailor</t>
  </si>
  <si>
    <t>BUILDING_MAX:tailor</t>
  </si>
  <si>
    <t>tailor_armor_for_a_hero_lvl_1</t>
  </si>
  <si>
    <t>tailor_armor_for_a_hero_lvl_2</t>
  </si>
  <si>
    <t>combine_harvester</t>
  </si>
  <si>
    <t>Combine harvester</t>
  </si>
  <si>
    <t>tailor_armor_for_a_hero_lvl_3</t>
  </si>
  <si>
    <t>field|combine harvester</t>
  </si>
  <si>
    <t>Steamobile / Seed drill | Field max level</t>
  </si>
  <si>
    <t>TECH:Steamobile | TECH:Seed drill | BUILDING_MAX:Field</t>
  </si>
  <si>
    <t>Increases max order size by 200%: / {{i|rice|30}} {{i|wheat|30}} {{i|soybean|30}}</t>
  </si>
  <si>
    <t>tailor_armor_for_a_hero_lvl_4</t>
  </si>
  <si>
    <t>tailor_armor_for_a_hero_lvl_4+</t>
  </si>
  <si>
    <t>tailor_bedroll</t>
  </si>
  <si>
    <t>tailor_colored_threads</t>
  </si>
  <si>
    <t>tailor_salamander_velour</t>
  </si>
  <si>
    <t>tailor_strong_rivets</t>
  </si>
  <si>
    <t>tailor_strong_stitch</t>
  </si>
  <si>
    <t>tailor@2</t>
  </si>
  <si>
    <t>tailor@3</t>
  </si>
  <si>
    <t>BUILDING_LVL:Tailor@2</t>
  </si>
  <si>
    <t>Soybean</t>
  </si>
  <si>
    <t>field|soybean</t>
  </si>
  <si>
    <t>Soybean | Requires completing the quest: Magic Beans]] | Field max level</t>
  </si>
  <si>
    <t>TECH:Soybean | QUEST_COMPLETE:Magic Beans]] | BUILDING_MAX:Field</t>
  </si>
  <si>
    <t>Unlocks crafting: {{i|soybean|30}}</t>
  </si>
  <si>
    <t>Requires completing the quest: Magic Beans]].</t>
  </si>
  <si>
    <t>BUILDING_LVL:Tailor@3</t>
  </si>
  <si>
    <t>BUILDING_LVL:tailor@3</t>
  </si>
  <si>
    <t>tailor.maxed</t>
  </si>
  <si>
    <t>train_automatic_lubricator</t>
  </si>
  <si>
    <t>BUILDING_MAX:Train</t>
  </si>
  <si>
    <t>BUILDING_MAX:train</t>
  </si>
  <si>
    <t>train_compound_engine</t>
  </si>
  <si>
    <t>train_onboard_computer</t>
  </si>
  <si>
    <t>train_superheater</t>
  </si>
  <si>
    <t>train_titanium_components</t>
  </si>
  <si>
    <t>train_freight_carriage@1</t>
  </si>
  <si>
    <t>train_freight_carriage@2</t>
  </si>
  <si>
    <t>train_passenger_carriage@1</t>
  </si>
  <si>
    <t>train_passenger_carriage@2</t>
  </si>
  <si>
    <t>quintessence_of_taste</t>
  </si>
  <si>
    <t>Quintessence of taste</t>
  </si>
  <si>
    <t>train@2</t>
  </si>
  <si>
    <t>food stall|quintessence of taste</t>
  </si>
  <si>
    <t>Food Stall max level</t>
  </si>
  <si>
    <t>{{i|cake|30|1}}: Increases loot by 40%.</t>
  </si>
  <si>
    <t>train.maxed</t>
  </si>
  <si>
    <t>BUILDING_LVL:train:Freight carriage@1</t>
  </si>
  <si>
    <t>BUILDING_LVL:train_freight_carriage@1</t>
  </si>
  <si>
    <t>BUILDING_LVL:train_passenger_carriage@1</t>
  </si>
  <si>
    <t>warehouse_stackable_racks_lvl_1</t>
  </si>
  <si>
    <t>BUILDING_MAX:Warehouse</t>
  </si>
  <si>
    <t>BUILDING_MAX:warehouse</t>
  </si>
  <si>
    <t>warehouse_stackable_racks_lvl_2</t>
  </si>
  <si>
    <t>warehouse_stackable_racks_lvl_3</t>
  </si>
  <si>
    <t>pier@1</t>
  </si>
  <si>
    <t>BUILDING_LVL:warehouse@1</t>
  </si>
  <si>
    <t>BUILDING_LVL:warehouse@2</t>
  </si>
  <si>
    <t>Jam</t>
  </si>
  <si>
    <t>food stall|jam</t>
  </si>
  <si>
    <t>BUILDING_LVL:warehouse@3</t>
  </si>
  <si>
    <t>req.obtain_item: strawberry@F1. | Food Stall max level</t>
  </si>
  <si>
    <t>STATE:OBTAIN:strawberry@F1. | BUILDING_MAX:Food Stall</t>
  </si>
  <si>
    <t>Unlocks crafting: {{i|jam|30}}</t>
  </si>
  <si>
    <t>BUILDING_LVL:warehouse@4</t>
  </si>
  <si>
    <t>warehouse@6</t>
  </si>
  <si>
    <t>warehouse@7</t>
  </si>
  <si>
    <t>warehouse.maxed</t>
  </si>
  <si>
    <t>windmill@2</t>
  </si>
  <si>
    <t>windmill.maxed</t>
  </si>
  <si>
    <t>BUILDING_MAX:Workshop</t>
  </si>
  <si>
    <t>BUILDING_MAX:workshop</t>
  </si>
  <si>
    <t>workshop_explosive_mechanical_spider</t>
  </si>
  <si>
    <t>workshop_mechanical_spider</t>
  </si>
  <si>
    <t>workshop_mechanism</t>
  </si>
  <si>
    <t>workshop_shield_for_a_hero_lvl_1</t>
  </si>
  <si>
    <t>mayonnaise</t>
  </si>
  <si>
    <t>Mayonnaise</t>
  </si>
  <si>
    <t>workshop_shield_for_a_hero_lvl_2</t>
  </si>
  <si>
    <t>food stall|mayonnaise</t>
  </si>
  <si>
    <t>workshop_shield_for_a_hero_lvl_3</t>
  </si>
  <si>
    <t>Unlocks crafting: {{i|mayo|30}}</t>
  </si>
  <si>
    <t>workshop_shield_for_a_hero_lvl_4</t>
  </si>
  <si>
    <t>workshop_shield_for_a_hero_lvl_4+</t>
  </si>
  <si>
    <t>workshop_steamobile</t>
  </si>
  <si>
    <t>workshop_strong_glue</t>
  </si>
  <si>
    <t>workshop_throwing_net</t>
  </si>
  <si>
    <t>workshop_conveyor_lvl_1</t>
  </si>
  <si>
    <t>workshop_zen_fountain</t>
  </si>
  <si>
    <t>workshop@2</t>
  </si>
  <si>
    <t>workshop@3</t>
  </si>
  <si>
    <t>workshop@4</t>
  </si>
  <si>
    <t>workshop@5</t>
  </si>
  <si>
    <t>BUILDING_LVL:Workshop@5</t>
  </si>
  <si>
    <t>BUILDING_LVL:workshop@5</t>
  </si>
  <si>
    <t>mandra_cola</t>
  </si>
  <si>
    <t>Mandra Cola</t>
  </si>
  <si>
    <t>food stall|mandra-cola</t>
  </si>
  <si>
    <t>Unlocks crafting: {{i|mcola|30}}</t>
  </si>
  <si>
    <t>workshop.maxed</t>
  </si>
  <si>
    <t>armory_1@1</t>
  </si>
  <si>
    <t>CITADEL:armory</t>
  </si>
  <si>
    <t>armory_1@2</t>
  </si>
  <si>
    <t>armory_1@3</t>
  </si>
  <si>
    <t>armory_2@1</t>
  </si>
  <si>
    <t>attic@1</t>
  </si>
  <si>
    <t>CITADEL:attic</t>
  </si>
  <si>
    <t>attic@2</t>
  </si>
  <si>
    <t>attic@3</t>
  </si>
  <si>
    <t>attic@4</t>
  </si>
  <si>
    <t>Inarizushi</t>
  </si>
  <si>
    <t>food stall|inarizushi</t>
  </si>
  <si>
    <t>attic@5</t>
  </si>
  <si>
    <t>Cooking lvl. 13 | Food Stall max level</t>
  </si>
  <si>
    <t>BUILDING_LVL:cooking@13 | BUILDING_MAX:Food Stall</t>
  </si>
  <si>
    <t>Unlocks crafting: {{i|inarizushi|30}}</t>
  </si>
  <si>
    <t>courtyard_1@1</t>
  </si>
  <si>
    <t>CITADEL:Courtyard</t>
  </si>
  <si>
    <t>CITADEL:courtyard</t>
  </si>
  <si>
    <t>courtyard_1@2</t>
  </si>
  <si>
    <t>courtyard_2@1</t>
  </si>
  <si>
    <t>gallery_1@1</t>
  </si>
  <si>
    <t>CITADEL:gallery</t>
  </si>
  <si>
    <t>gallery_1@2</t>
  </si>
  <si>
    <t>gallery_1@3</t>
  </si>
  <si>
    <t>gallery_1@4</t>
  </si>
  <si>
    <t>gallery_1@5</t>
  </si>
  <si>
    <t>gallery_2@1</t>
  </si>
  <si>
    <t>gallery_2@2</t>
  </si>
  <si>
    <t>gallery_2@3</t>
  </si>
  <si>
    <t>gallery_2@4</t>
  </si>
  <si>
    <t>conveyor_belt_sushi</t>
  </si>
  <si>
    <t>Conveyor belt sushi</t>
  </si>
  <si>
    <t>food stall|conveyor belt sushi</t>
  </si>
  <si>
    <t>gallery_2@5</t>
  </si>
  <si>
    <t>Increases max order size by 100% for / {{i|onigiri|30}} {{i|flatbread|30}} {{i|cherrybun|30}} {{i|muffin|30}} {{i|bento|30}} {{i|fried|30}} {{i|sushi|30}}</t>
  </si>
  <si>
    <t>Items that are affected by this technology only show once they can be crafted.</t>
  </si>
  <si>
    <t>gallery_3@1</t>
  </si>
  <si>
    <t>gallery_3@2</t>
  </si>
  <si>
    <t>gallery_3@3</t>
  </si>
  <si>
    <t>gallery_3@4</t>
  </si>
  <si>
    <t>gallery_3@5</t>
  </si>
  <si>
    <t>historical_library_1@1</t>
  </si>
  <si>
    <t>CITADEL:great_hall</t>
  </si>
  <si>
    <t>historical_library_1@2</t>
  </si>
  <si>
    <t>historical_library_1@3</t>
  </si>
  <si>
    <t>historical_library_2@1</t>
  </si>
  <si>
    <t>historical_library_2@2</t>
  </si>
  <si>
    <t>historical_library_2@3</t>
  </si>
  <si>
    <t>horse@1</t>
  </si>
  <si>
    <t>miso_soup</t>
  </si>
  <si>
    <t>Miso soup</t>
  </si>
  <si>
    <t>statue@1</t>
  </si>
  <si>
    <t>food stall|miso soup</t>
  </si>
  <si>
    <t>kitchen_and_buttery_1@1</t>
  </si>
  <si>
    <t>{{i|misosoup|30}} / +20% loot on expiditions: / {{i|wood|30}} {{i|stone|30}} {{i|ingot|30}} {{i|treasure|30}} ({{i|coin|30}})</t>
  </si>
  <si>
    <t>CITADEL:kitchen_and_buttery</t>
  </si>
  <si>
    <t>kitchen_and_buttery_1@2</t>
  </si>
  <si>
    <t>kitchen_and_buttery_1@3</t>
  </si>
  <si>
    <t>kitchen_and_buttery_1@4</t>
  </si>
  <si>
    <t>kitchen_and_buttery_1@5</t>
  </si>
  <si>
    <t>kitchen_and_buttery_2@1</t>
  </si>
  <si>
    <t>CITADEL_LVL:Lair_Lvl_1</t>
  </si>
  <si>
    <t>CITADEL_LVL:lair_lvl_1</t>
  </si>
  <si>
    <t>mushroom_farm@1</t>
  </si>
  <si>
    <t>CITADEL:mushroom_farm</t>
  </si>
  <si>
    <t>mushroom_farm@2</t>
  </si>
  <si>
    <t>orangery@1</t>
  </si>
  <si>
    <t>CITADEL:orangery</t>
  </si>
  <si>
    <t>orangery@2</t>
  </si>
  <si>
    <t>pantry_1@1</t>
  </si>
  <si>
    <t>CITADEL:pantry</t>
  </si>
  <si>
    <t>meteoric_steel</t>
  </si>
  <si>
    <t>Meteoric Steel</t>
  </si>
  <si>
    <t>pantry_1@2</t>
  </si>
  <si>
    <t>furnace|meteoric steel</t>
  </si>
  <si>
    <t>Furnace</t>
  </si>
  <si>
    <t>Furnace max level</t>
  </si>
  <si>
    <t>Unlocks crafting: {{i|msteel|30}}</t>
  </si>
  <si>
    <t>pantry_1@3</t>
  </si>
  <si>
    <t>pantry_1@4</t>
  </si>
  <si>
    <t>pantry_1@5</t>
  </si>
  <si>
    <t>pantry_2@1</t>
  </si>
  <si>
    <t>pantry_2@2</t>
  </si>
  <si>
    <t>pantry_2@3</t>
  </si>
  <si>
    <t>pantry_2@4</t>
  </si>
  <si>
    <t>pantry_2@5</t>
  </si>
  <si>
    <t>pantry_3@1</t>
  </si>
  <si>
    <t>pantry_3@2</t>
  </si>
  <si>
    <t>pantry_3@3</t>
  </si>
  <si>
    <t>pantry_3@4</t>
  </si>
  <si>
    <t>titanium_parts</t>
  </si>
  <si>
    <t>pantry_3@5</t>
  </si>
  <si>
    <t>Titanium parts</t>
  </si>
  <si>
    <t>furnace|titanium parts</t>
  </si>
  <si>
    <t>pantry_4@1</t>
  </si>
  <si>
    <t>Requires completing the quest: Once Upon a Forest Chapter XI | Furnace max level</t>
  </si>
  <si>
    <t>QUEST_COMPLETE:Once Upon a Forest Chapter XI | BUILDING_MAX:Furnace</t>
  </si>
  <si>
    <t>Unlocks crafting: {{i|tparts|30}}</t>
  </si>
  <si>
    <t>tavern@1</t>
  </si>
  <si>
    <t>CITADEL:tavern</t>
  </si>
  <si>
    <t>tavern@2</t>
  </si>
  <si>
    <t>treasury_1@1</t>
  </si>
  <si>
    <t>CITADEL:treasury</t>
  </si>
  <si>
    <t>treasury_1@2</t>
  </si>
  <si>
    <t>treasury_1@3</t>
  </si>
  <si>
    <t>treasury_1@4</t>
  </si>
  <si>
    <t>treasury_1@5</t>
  </si>
  <si>
    <t>treasury_2@1</t>
  </si>
  <si>
    <t>treasury_2@2</t>
  </si>
  <si>
    <t>treasury_2@3</t>
  </si>
  <si>
    <t>treasury_3@1</t>
  </si>
  <si>
    <t>COLLECTION_LVL:Armory #1@1</t>
  </si>
  <si>
    <t>COLLECTION_LVL:armory_1@1</t>
  </si>
  <si>
    <t>Glass</t>
  </si>
  <si>
    <t>COLLECTION_LVL:Armory #1@2</t>
  </si>
  <si>
    <t>COLLECTION_LVL:armory_1@2</t>
  </si>
  <si>
    <t>furnace|glass</t>
  </si>
  <si>
    <t>Requires accepting the quest: The Ordinary Days of an Adventurer Chapter IV | Furnace max level</t>
  </si>
  <si>
    <t>QUEST_ACCEPT:The Ordinary Days of an Adventurer Chapter IV | BUILDING_MAX:Furnace</t>
  </si>
  <si>
    <t>Unlocks crafting: {{i|glass|30}}</t>
  </si>
  <si>
    <t>Requires accepting the quest: The Ordinary Days of an Adventurer Chapter IV.</t>
  </si>
  <si>
    <t>COLLECTION_LVL:Attic@1</t>
  </si>
  <si>
    <t>COLLECTION_LVL:attic@1</t>
  </si>
  <si>
    <t>COLLECTION_LVL:Attic@2</t>
  </si>
  <si>
    <t>COLLECTION_LVL:attic@2</t>
  </si>
  <si>
    <t>COLLECTION_LVL:Attic@3</t>
  </si>
  <si>
    <t>COLLECTION_LVL:attic@3</t>
  </si>
  <si>
    <t>COLLECTION_LVL:Attic@4</t>
  </si>
  <si>
    <t>COLLECTION_LVL:attic@4</t>
  </si>
  <si>
    <t>COLLECTION_LVL:Courtyard #1@1</t>
  </si>
  <si>
    <t>COLLECTION_LVL:courtyard_1@1</t>
  </si>
  <si>
    <t>COLLECTION_LVL:Gallery #1@1</t>
  </si>
  <si>
    <t>COLLECTION_LVL:gallery_1@1</t>
  </si>
  <si>
    <t>COLLECTION_LVL:Gallery #1@2</t>
  </si>
  <si>
    <t>COLLECTION_LVL:gallery_1@2</t>
  </si>
  <si>
    <t>COLLECTION_LVL:Gallery #1@3</t>
  </si>
  <si>
    <t>COLLECTION_LVL:gallery_1@3</t>
  </si>
  <si>
    <t>COLLECTION_LVL:Gallery #1@4</t>
  </si>
  <si>
    <t>COLLECTION_LVL:gallery_1@4</t>
  </si>
  <si>
    <t>automate quest finish?</t>
  </si>
  <si>
    <t>COLLECTION_LVL:Gallery #2@1</t>
  </si>
  <si>
    <t>COLLECTION_LVL:gallery_2@1</t>
  </si>
  <si>
    <t>COLLECTION_LVL:Gallery #2@2</t>
  </si>
  <si>
    <t>COLLECTION_LVL:gallery_2@2</t>
  </si>
  <si>
    <t>COLLECTION_LVL:Gallery #2@3</t>
  </si>
  <si>
    <t>COLLECTION_LVL:gallery_2@3</t>
  </si>
  <si>
    <t>conveyor</t>
  </si>
  <si>
    <t>Conveyor</t>
  </si>
  <si>
    <t>SourceType</t>
  </si>
  <si>
    <t>COLLECTION_LVL:Gallery #2@4</t>
  </si>
  <si>
    <t>Source ID</t>
  </si>
  <si>
    <t>COLLECTION_LVL:gallery_2@4</t>
  </si>
  <si>
    <t>Tracker Key</t>
  </si>
  <si>
    <t>Tracker Target Pattern</t>
  </si>
  <si>
    <t>Confidence</t>
  </si>
  <si>
    <t>furnace|conveyor</t>
  </si>
  <si>
    <t>Reason</t>
  </si>
  <si>
    <t>Building</t>
  </si>
  <si>
    <t>ahut</t>
  </si>
  <si>
    <t>Increases max order size by 100% for / {{i|steel|30}} {{i|msteel|30}} {{i|tparts|30}} {{i|glass|30}} {{i|ingot|30}}</t>
  </si>
  <si>
    <t>building.alchemists_hut@{level}</t>
  </si>
  <si>
    <t>COLLECTION_LVL:Gallery #3@1</t>
  </si>
  <si>
    <t>High</t>
  </si>
  <si>
    <t>COLLECTION_LVL:gallery_3@1</t>
  </si>
  <si>
    <t>Lua abbreviation</t>
  </si>
  <si>
    <t>food</t>
  </si>
  <si>
    <t>building.food_stall@{level}</t>
  </si>
  <si>
    <t>Tracker uses friendly normalized ID</t>
  </si>
  <si>
    <t>rock</t>
  </si>
  <si>
    <t>building.rock_garden@{level}</t>
  </si>
  <si>
    <t>COLLECTION_LVL:Gallery #3@2</t>
  </si>
  <si>
    <t>COLLECTION_LVL:gallery_3@2</t>
  </si>
  <si>
    <t>lab</t>
  </si>
  <si>
    <t>building.laboratory@{level}</t>
  </si>
  <si>
    <t>data_center</t>
  </si>
  <si>
    <t>Nested Laboratory sub-building</t>
  </si>
  <si>
    <t>COLLECTION_LVL:Gallery #3@3</t>
  </si>
  <si>
    <t>COLLECTION_LVL:gallery_3@3</t>
  </si>
  <si>
    <t>video_game_arcade</t>
  </si>
  <si>
    <t>Nested Guild sub-building</t>
  </si>
  <si>
    <t>freight_carriage_1</t>
  </si>
  <si>
    <t>Source suffix encodes carriage level</t>
  </si>
  <si>
    <t>COLLECTION_LVL:Gallery #3@4</t>
  </si>
  <si>
    <t>COLLECTION_LVL:gallery_3@4</t>
  </si>
  <si>
    <t>freight_carriage_2</t>
  </si>
  <si>
    <t>passenger_carriage_1</t>
  </si>
  <si>
    <t>COLLECTION_LVL:Historical library #1@1</t>
  </si>
  <si>
    <t>COLLECTION_LVL:historical_library_1@1</t>
  </si>
  <si>
    <t>passenger_carriage_2</t>
  </si>
  <si>
    <t>Source stores Tunnel under dungeon; tracker models it as a Citadel target</t>
  </si>
  <si>
    <t>Lumber Mill</t>
  </si>
  <si>
    <t>COLLECTION_LVL:Historical library #1@2</t>
  </si>
  <si>
    <t>COLLECTION_LVL:historical_library_1@2</t>
  </si>
  <si>
    <t>building.lumber@{level}</t>
  </si>
  <si>
    <t>Wiki name differs from tracker base name</t>
  </si>
  <si>
    <t>Chicken Coop</t>
  </si>
  <si>
    <t>building.chicken@{level}</t>
  </si>
  <si>
    <t>Coffee Bonsai</t>
  </si>
  <si>
    <t>COLLECTION_LVL:Historical library #2@1</t>
  </si>
  <si>
    <t>building.bonsai@{level}</t>
  </si>
  <si>
    <t>COLLECTION_LVL:historical_library_2@1</t>
  </si>
  <si>
    <t>Train Station</t>
  </si>
  <si>
    <t>building.station@{level}</t>
  </si>
  <si>
    <t>Dairy Farm</t>
  </si>
  <si>
    <t>COLLECTION_LVL:Historical library #2@2</t>
  </si>
  <si>
    <t>COLLECTION_LVL:historical_library_2@2</t>
  </si>
  <si>
    <t>building.dairy@{level}</t>
  </si>
  <si>
    <t>Technology</t>
  </si>
  <si>
    <t>alchemists_hut.greek</t>
  </si>
  <si>
    <t>Lua name 'greek' maps to tracker technology 'Greek grenade'.</t>
  </si>
  <si>
    <t>alchemists_hut.fertilizer</t>
  </si>
  <si>
    <t>COLLECTION_LVL:Kitchen and buttery #1@1</t>
  </si>
  <si>
    <t>COLLECTION_LVL:kitchen_and_buttery_1@1</t>
  </si>
  <si>
    <t>Lua name 'fertilizer' maps to tracker technology 'Synthetic fertilizer'.</t>
  </si>
  <si>
    <t>alchemists_hut.pomp</t>
  </si>
  <si>
    <t>Lua name 'pomp' maps to tracker technology 'Potion of mental power'.</t>
  </si>
  <si>
    <t>alchemists_hut.ingot</t>
  </si>
  <si>
    <t>COLLECTION_LVL:Kitchen and buttery #1@2</t>
  </si>
  <si>
    <t>COLLECTION_LVL:kitchen_and_buttery_1@2</t>
  </si>
  <si>
    <t>Lua name 'ingot' maps to tracker technology 'Gold ingot'.</t>
  </si>
  <si>
    <t>alchemists_hut.madgrenade</t>
  </si>
  <si>
    <t>Lua name 'madgrenade' maps to tracker technology 'Madness grenade'.</t>
  </si>
  <si>
    <t>alchemists_hut.poh</t>
  </si>
  <si>
    <t>COLLECTION_LVL:Kitchen and buttery #1@3</t>
  </si>
  <si>
    <t>COLLECTION_LVL:kitchen_and_buttery_1@3</t>
  </si>
  <si>
    <t>Lua name 'poh' maps to tracker technology 'Potion of healing'.</t>
  </si>
  <si>
    <t>alchemists_hut.poe</t>
  </si>
  <si>
    <t>Lua name 'poe' maps to tracker technology 'Potion of energy'.</t>
  </si>
  <si>
    <t>alchemists_hut.pbr</t>
  </si>
  <si>
    <t>COLLECTION_LVL:Kitchen and buttery #1@4</t>
  </si>
  <si>
    <t>COLLECTION_LVL:kitchen_and_buttery_1@4</t>
  </si>
  <si>
    <t>Lua name 'pbr' maps to tracker technology 'Potion berserker rage'.</t>
  </si>
  <si>
    <t>alchemists_hut.poh2</t>
  </si>
  <si>
    <t>Lua name 'poh2' maps to tracker technology 'Potion of healing lvl. 2'.</t>
  </si>
  <si>
    <t>sprinkler</t>
  </si>
  <si>
    <t>alchemists_hut.pa</t>
  </si>
  <si>
    <t>Sprinkler</t>
  </si>
  <si>
    <t>COLLECTION_LVL:Mushroom farm@1</t>
  </si>
  <si>
    <t>COLLECTION_LVL:mushroom_farm@1</t>
  </si>
  <si>
    <t>Lua name 'pa' maps to tracker technology 'Potion Ambrosia'.</t>
  </si>
  <si>
    <t>alchemists_hut.Conveyor@1</t>
  </si>
  <si>
    <t>garden|sprinkler</t>
  </si>
  <si>
    <t>Lua name 'Conveyor' maps to tracker technology 'Alchemist's Hut Conveyor lvl. 1'.</t>
  </si>
  <si>
    <t>Garden</t>
  </si>
  <si>
    <t>Garden max level</t>
  </si>
  <si>
    <t>alchemists_hut.Conveyor@2</t>
  </si>
  <si>
    <t>COLLECTION_LVL:Orangery@1</t>
  </si>
  <si>
    <t>COLLECTION_LVL:orangery@1</t>
  </si>
  <si>
    <t>Passive income: {{i|wood|30}} x 4</t>
  </si>
  <si>
    <t>Lua name 'Conveyor' maps to tracker technology 'Alchemist's Hut Conveyor lvl. 2'.</t>
  </si>
  <si>
    <t>alchemists_hut.pfertilizer</t>
  </si>
  <si>
    <t>perfect_fertilizer</t>
  </si>
  <si>
    <t>Lua name 'pfertilizer' maps to tracker technology 'Perfect fertilizer'.</t>
  </si>
  <si>
    <t>tailor.clew</t>
  </si>
  <si>
    <t>ariadnes_thread</t>
  </si>
  <si>
    <t>COLLECTION_LVL:Pantry #1@1</t>
  </si>
  <si>
    <t>Lua name 'clew' maps to tracker technology 'Ariadne's thread'.</t>
  </si>
  <si>
    <t>COLLECTION_LVL:pantry_1@1</t>
  </si>
  <si>
    <t>tailor.velour</t>
  </si>
  <si>
    <t>salamander_velour</t>
  </si>
  <si>
    <t>Lua name 'velour' maps to tracker technology 'Salamander velour'.</t>
  </si>
  <si>
    <t>tailor.armor1</t>
  </si>
  <si>
    <t>armor_for_a_hero_lvl_1</t>
  </si>
  <si>
    <t>Lua name 'armor1' maps to tracker technology 'Armor for a hero lvl. 1'.</t>
  </si>
  <si>
    <t>COLLECTION_LVL:Pantry #1@2</t>
  </si>
  <si>
    <t>COLLECTION_LVL:pantry_1@2</t>
  </si>
  <si>
    <t>tailor.armor2</t>
  </si>
  <si>
    <t>armor_for_a_hero_lvl_2</t>
  </si>
  <si>
    <t>Lua name 'armor2' maps to tracker technology 'Armor for a hero lvl. 2'.</t>
  </si>
  <si>
    <t>tailor.armor3</t>
  </si>
  <si>
    <t>armor_for_a_hero_lvl_3</t>
  </si>
  <si>
    <t>Lua name 'armor3' maps to tracker technology 'Armor for a hero lvl. 3'.</t>
  </si>
  <si>
    <t>COLLECTION_LVL:Pantry #1@3</t>
  </si>
  <si>
    <t>COLLECTION_LVL:pantry_1@3</t>
  </si>
  <si>
    <t>tailor.armor4</t>
  </si>
  <si>
    <t>armor_for_a_hero_lvl_4</t>
  </si>
  <si>
    <t>Lua name 'armor4' maps to tracker technology 'Armor for a hero lvl. 4'.</t>
  </si>
  <si>
    <t>tailor.armor4p</t>
  </si>
  <si>
    <t>armor_for_a_hero_lvl_4+</t>
  </si>
  <si>
    <t>Lua name 'armor4p' maps to tracker technology 'Armor for a hero lvl. 4+'.</t>
  </si>
  <si>
    <t>COLLECTION_LVL:Pantry #1@4</t>
  </si>
  <si>
    <t>COLLECTION_LVL:pantry_1@4</t>
  </si>
  <si>
    <t>workshop.net</t>
  </si>
  <si>
    <t>throwing_net</t>
  </si>
  <si>
    <t>Lua name 'net' maps to tracker technology 'Throwing net'.</t>
  </si>
  <si>
    <t>workshop.shield1</t>
  </si>
  <si>
    <t>shield_for_a_hero_lvl_1</t>
  </si>
  <si>
    <t>Lua name 'shield1' maps to tracker technology 'Shield for a hero lvl. 1'.</t>
  </si>
  <si>
    <t>COLLECTION_LVL:Pantry #2@1</t>
  </si>
  <si>
    <t>workshop.shield2</t>
  </si>
  <si>
    <t>COLLECTION_LVL:pantry_2@1</t>
  </si>
  <si>
    <t>shield_for_a_hero_lvl_2</t>
  </si>
  <si>
    <t>Lua name 'shield2' maps to tracker technology 'Shield for a hero lvl. 2'.</t>
  </si>
  <si>
    <t>workshop.shield3</t>
  </si>
  <si>
    <t>shield_for_a_hero_lvl_3</t>
  </si>
  <si>
    <t>Lua name 'shield3' maps to tracker technology 'Shield for a hero lvl. 3'.</t>
  </si>
  <si>
    <t>workshop.shield4</t>
  </si>
  <si>
    <t>shield_for_a_hero_lvl_4</t>
  </si>
  <si>
    <t>Lua name 'shield4' maps to tracker technology 'Shield for a hero lvl. 4'.</t>
  </si>
  <si>
    <t>COLLECTION_LVL:Pantry #2@2</t>
  </si>
  <si>
    <t>COLLECTION_LVL:pantry_2@2</t>
  </si>
  <si>
    <t>workshop.shield4p</t>
  </si>
  <si>
    <t>shield_for_a_hero_lvl_4+</t>
  </si>
  <si>
    <t>Lua name 'shield4p' maps to tracker technology 'Shield for a hero lvl. 4+'.</t>
  </si>
  <si>
    <t>workshop.mspider</t>
  </si>
  <si>
    <t>mechanical_spider</t>
  </si>
  <si>
    <t>Lua name 'mspider' maps to tracker technology 'Mechanical spider'.</t>
  </si>
  <si>
    <t>COLLECTION_LVL:Pantry #2@3</t>
  </si>
  <si>
    <t>COLLECTION_LVL:pantry_2@3</t>
  </si>
  <si>
    <t>workshop.zenfountain</t>
  </si>
  <si>
    <t>zen_fountain</t>
  </si>
  <si>
    <t>Lua name 'zenfountain' maps to tracker technology 'Zen fountain'.</t>
  </si>
  <si>
    <t>workshop.Conveyor@1</t>
  </si>
  <si>
    <t>Lua name 'Conveyor' maps to tracker technology 'Workshop Conveyor lvl. 1'.</t>
  </si>
  <si>
    <t>COLLECTION_LVL:Pantry #2@4</t>
  </si>
  <si>
    <t>workshop.Conveyor@2</t>
  </si>
  <si>
    <t>COLLECTION_LVL:pantry_2@4</t>
  </si>
  <si>
    <t>Lua name 'Conveyor' maps to tracker technology 'Workshop Conveyor lvl. 2'.</t>
  </si>
  <si>
    <t>smithy.kunai</t>
  </si>
  <si>
    <t>throwing_knife</t>
  </si>
  <si>
    <t>Lua name 'kunai' maps to tracker technology 'Throwing knife'.</t>
  </si>
  <si>
    <t>smithy.sword1</t>
  </si>
  <si>
    <t>sword_for_a_hero_lvl_1</t>
  </si>
  <si>
    <t>COLLECTION_LVL:Pantry #3@1</t>
  </si>
  <si>
    <t>COLLECTION_LVL:pantry_3@1</t>
  </si>
  <si>
    <t>Lua name 'sword1' maps to tracker technology 'Sword for a hero lvl. 1'.</t>
  </si>
  <si>
    <t>smithy.sword2</t>
  </si>
  <si>
    <t>sword_for_a_hero_lvl_2</t>
  </si>
  <si>
    <t>Lua name 'sword2' maps to tracker technology 'Sword for a hero lvl. 2'.</t>
  </si>
  <si>
    <t>smithy.sword3</t>
  </si>
  <si>
    <t>sword_for_a_hero_lvl_3</t>
  </si>
  <si>
    <t>COLLECTION_LVL:Pantry #3@2</t>
  </si>
  <si>
    <t>COLLECTION_LVL:pantry_3@2</t>
  </si>
  <si>
    <t>Lua name 'sword3' maps to tracker technology 'Sword for a hero lvl. 3'.</t>
  </si>
  <si>
    <t>smithy.sword4</t>
  </si>
  <si>
    <t>sword_for_a_hero_lvl_4</t>
  </si>
  <si>
    <t>Lua name 'sword4' maps to tracker technology 'Sword for a hero lvl. 4'.</t>
  </si>
  <si>
    <t>smithy.sword4p</t>
  </si>
  <si>
    <t>sword_for_a_hero_lvl_4+</t>
  </si>
  <si>
    <t>COLLECTION_LVL:Pantry #3@3</t>
  </si>
  <si>
    <t>COLLECTION_LVL:pantry_3@3</t>
  </si>
  <si>
    <t>Lua name 'sword4p' maps to tracker technology 'Sword for a hero lvl. 4+'.</t>
  </si>
  <si>
    <t>research_and_development</t>
  </si>
  <si>
    <t>furnace.msteel</t>
  </si>
  <si>
    <t>Research and development</t>
  </si>
  <si>
    <t>Lua name 'msteel' maps to tracker technology 'Meteoric Steel'.</t>
  </si>
  <si>
    <t>furnace.tparts</t>
  </si>
  <si>
    <t>Lua name 'tparts' maps to tracker technology 'Titanium parts'.</t>
  </si>
  <si>
    <t>COLLECTION_LVL:Pantry #3@4</t>
  </si>
  <si>
    <t>COLLECTION_LVL:pantry_3@4</t>
  </si>
  <si>
    <t>laboratory|r&amp;d (research and development)</t>
  </si>
  <si>
    <t>food_stall.mayo</t>
  </si>
  <si>
    <t>Laboratory: Data center max level | Laboratory max level</t>
  </si>
  <si>
    <t>Lua name 'mayo' maps to tracker technology 'Mayonnaise'.</t>
  </si>
  <si>
    <t>BUILDING_MAX:Laboratory: Data center | BUILDING_MAX:Laboratory</t>
  </si>
  <si>
    <t>Unlocks crafting: {{i|blueprint|30}}</t>
  </si>
  <si>
    <t>Allows to craft {{i|blueprint|30}} from {{i|floppy|30}}.</t>
  </si>
  <si>
    <t>food_stall.mcola</t>
  </si>
  <si>
    <t>Lua name 'mcola' maps to tracker technology 'Mandra Cola'.</t>
  </si>
  <si>
    <t>COLLECTION_LVL:Tavern@1</t>
  </si>
  <si>
    <t>COLLECTION_LVL:tavern@1</t>
  </si>
  <si>
    <t>food_stall.misosoup</t>
  </si>
  <si>
    <t>Lua name 'misosoup' maps to tracker technology 'Miso soup'.</t>
  </si>
  <si>
    <t>laboratory.R&amp;D (Research and development)</t>
  </si>
  <si>
    <t>Lua name 'R&amp;D (Research and development)' maps to tracker technology 'Research and development'.</t>
  </si>
  <si>
    <t>COLLECTION_LVL:Treasury #1@1</t>
  </si>
  <si>
    <t>windmill.bonemeal</t>
  </si>
  <si>
    <t>COLLECTION_LVL:treasury_1@1</t>
  </si>
  <si>
    <t>Lua name 'bonemeal' maps to tracker technology 'Bone meal'.</t>
  </si>
  <si>
    <t>COLLECTION_LVL:Treasury #1@2</t>
  </si>
  <si>
    <t>COLLECTION_LVL:treasury_1@2</t>
  </si>
  <si>
    <t>COLLECTION_LVL:Treasury #1@3</t>
  </si>
  <si>
    <t>COLLECTION_LVL:treasury_1@3</t>
  </si>
  <si>
    <t>COLLECTION_LVL:Treasury #1@4</t>
  </si>
  <si>
    <t>COLLECTION_LVL:treasury_1@4</t>
  </si>
  <si>
    <t>COLLECTION_LVL:Treasury #2@1</t>
  </si>
  <si>
    <t>COLLECTION_LVL:treasury_2@1</t>
  </si>
  <si>
    <t>COLLECTION_LVL:Treasury #2@2</t>
  </si>
  <si>
    <t>COLLECTION_LVL:treasury_2@2</t>
  </si>
  <si>
    <t>CRAFTIFACT:Historical Library</t>
  </si>
  <si>
    <t>CRAFTIFACT:historical_library</t>
  </si>
  <si>
    <t>laboratory@1</t>
  </si>
  <si>
    <t>CRAFTIFACT:Solver-1_prototype</t>
  </si>
  <si>
    <t>CRAFTIFACT:solver_1_prototype</t>
  </si>
  <si>
    <t>CRAFTIFACT: Solver-1_prototype</t>
  </si>
  <si>
    <t>digitization</t>
  </si>
  <si>
    <t>CRAFTIFACT:Telescope</t>
  </si>
  <si>
    <t>Digitization</t>
  </si>
  <si>
    <t>CRAFTIFACT:telescope</t>
  </si>
  <si>
    <t>laboratory|digitization</t>
  </si>
  <si>
    <t>Unlocks crafting: {{i|floppy|30}}</t>
  </si>
  <si>
    <t>Allows to craft {{i|floppy|30}} from {{i|page|30}} {{i|grimoire|30}} {{i|pcard|30}}.</t>
  </si>
  <si>
    <t>dungeon_tunnel@1</t>
  </si>
  <si>
    <t>QUEST_ACCEPT:ahead of time chapter i</t>
  </si>
  <si>
    <t>QUEST_ACCEPT:ahead_of_time_chapter_1</t>
  </si>
  <si>
    <t>QUEST_COMPLETE:ahead_of_time_chapter_1</t>
  </si>
  <si>
    <t>QUEST_ACCEPT:ahead_of_time_chapter_2</t>
  </si>
  <si>
    <t>QUEST_COMPLETE:ahead_of_time_chapter_2</t>
  </si>
  <si>
    <t>experiments</t>
  </si>
  <si>
    <t>Experiments</t>
  </si>
  <si>
    <t>laboratory|experiments</t>
  </si>
  <si>
    <t>R&amp;D (Research and development) | Laboratory max level</t>
  </si>
  <si>
    <t>TECH:R&amp;D (Research and development) | BUILDING_MAX:Laboratory</t>
  </si>
  <si>
    <t>QUEST_COMPLETE:ahead_of_time_chapter_3</t>
  </si>
  <si>
    <t>guild_video_game_arcade@1</t>
  </si>
  <si>
    <t>QUEST_COMPLETE:ahead of time chapter iv</t>
  </si>
  <si>
    <t>QUEST_COMPLETE:ahead_of_time_chapter_4</t>
  </si>
  <si>
    <t>QUEST_ACCEPT:ahead_of_time_chapter_5</t>
  </si>
  <si>
    <t>sayonara_tax</t>
  </si>
  <si>
    <t>Sayonara tax</t>
  </si>
  <si>
    <t>outpost|sayonara tax</t>
  </si>
  <si>
    <t>Outpost</t>
  </si>
  <si>
    <t>QUEST_COMPLETE:ahead_of_time_chapter_5</t>
  </si>
  <si>
    <t>| Outpost max level</t>
  </si>
  <si>
    <t>Passive income: {{i|dinar|30}} x 6</t>
  </si>
  <si>
    <t>QUEST_COMPLETE:Ahead of Time Chapter V</t>
  </si>
  <si>
    <t>QUEST_COMPLETE: Ahead of Time Chapter V</t>
  </si>
  <si>
    <t>arsenal_lvl_1</t>
  </si>
  <si>
    <t>Arsenal lvl. 1</t>
  </si>
  <si>
    <t>outpost|arsenal lvl. 1</t>
  </si>
  <si>
    <t>Increases capacity by 50% of the original size for / {{i|fan|30}} {{i|arrows|30}} {{i|katana|30}} {{i|shuriken|30}} {{i|spikes|30}} {{i|boomerang|30}} {{i|petard|30}} {{i|bomb|30}} / {{i|firework|30}} {{i|mortar|30}} {{i|drum|30}} {{i|zenfountain|30}} {{i|btram|30}} {{i|anchor|30}} {{i|steamobile|30}}</t>
  </si>
  <si>
    <t>QUEST_COMPLETE:dragon_teeth</t>
  </si>
  <si>
    <t>QUEST_COMPLETE:festival</t>
  </si>
  <si>
    <t>arsenal_lvl_2</t>
  </si>
  <si>
    <t>Arsenal lvl. 2</t>
  </si>
  <si>
    <t>outpost|arsenal lvl. 2</t>
  </si>
  <si>
    <t>Arsenal lvl. 1 | Outpost max level</t>
  </si>
  <si>
    <t>TECH:Arsenal lvl. 1 | BUILDING_MAX:Outpost</t>
  </si>
  <si>
    <t>QUEST_COMPLETE:festival returns</t>
  </si>
  <si>
    <t>QUEST_COMPLETE:festival_returns</t>
  </si>
  <si>
    <t>optional_contracts</t>
  </si>
  <si>
    <t>Optional contracts</t>
  </si>
  <si>
    <t>outpost|optional contracts</t>
  </si>
  <si>
    <t>Reduces the probability that a city will be unable to trade: no more than 1 city at a time.</t>
  </si>
  <si>
    <t>fermentory@1</t>
  </si>
  <si>
    <t>QUEST_COMPLETE:magic_beans</t>
  </si>
  <si>
    <t>QUEST_COMPLETE:Magic Beans</t>
  </si>
  <si>
    <t>QUEST_COMPLETE:once_upon_a_forest_chapter_1</t>
  </si>
  <si>
    <t>QUEST_ACCEPT:once_upon_a_forest_chapter_10</t>
  </si>
  <si>
    <t>futures_contracts</t>
  </si>
  <si>
    <t>Futures contracts</t>
  </si>
  <si>
    <t>outpost|futures contracts</t>
  </si>
  <si>
    <t>Optional contracts | Outpost max level</t>
  </si>
  <si>
    <t>QUEST_COMPLETE:once upon a forest chapter x</t>
  </si>
  <si>
    <t>QUEST_COMPLETE:once_upon_a_forest_chapter_10</t>
  </si>
  <si>
    <t>TECH:Optional contracts | BUILDING_MAX:Outpost</t>
  </si>
  <si>
    <t>The probability that a city will be unable to trade is a thing of the past.</t>
  </si>
  <si>
    <t>QUEST_COMPLETE:Once Upon a Forest Chapter X</t>
  </si>
  <si>
    <t>QUEST_ACCEPT:once upon a forest chapter xi</t>
  </si>
  <si>
    <t>QUEST_ACCEPT:once_upon_a_forest_chapter_11</t>
  </si>
  <si>
    <t>QUEST_COMPLETE:once upon a forest chapter xi</t>
  </si>
  <si>
    <t>QUEST_COMPLETE:once_upon_a_forest_chapter_11</t>
  </si>
  <si>
    <t>QUEST_COMPLETE:Once Upon a Forest Chapter XI</t>
  </si>
  <si>
    <t>QUEST_ACCEPT:once_upon_a_forest_chapter_12</t>
  </si>
  <si>
    <t>tax_return_on_floppy_disk</t>
  </si>
  <si>
    <t>Tax return on floppy disk</t>
  </si>
  <si>
    <t>outpost|tax return on floppy disk</t>
  </si>
  <si>
    <t>Requires completing: Ahead of Time Chapter V | Outpost max level</t>
  </si>
  <si>
    <t>QUEST_COMPLETE:Ahead of Time Chapter V | BUILDING_MAX:Outpost</t>
  </si>
  <si>
    <t>Passive income: {{i|dinar|30}} x 7</t>
  </si>
  <si>
    <t>QUEST_COMPLETE:once_upon_a_forest_chapter_12</t>
  </si>
  <si>
    <t>rake</t>
  </si>
  <si>
    <t>Rake</t>
  </si>
  <si>
    <t>rock garden|rake</t>
  </si>
  <si>
    <t>| Rock Garden max level</t>
  </si>
  <si>
    <t>QUEST_COMPLETE:once upon a forest chapter 14</t>
  </si>
  <si>
    <t>QUEST_COMPLETE:once_upon_a_forest_chapter_14</t>
  </si>
  <si>
    <t>Passive income: {{i|stone|30}} x 4</t>
  </si>
  <si>
    <t>QUEST_COMPLETE:once upon a forest chapter 15</t>
  </si>
  <si>
    <t>QUEST_COMPLETE:once_upon_a_forest_chapter_15</t>
  </si>
  <si>
    <t>QUEST_COMPLETE:once upon a forest chapter xv</t>
  </si>
  <si>
    <t>pre_orders</t>
  </si>
  <si>
    <t>Pre-orders</t>
  </si>
  <si>
    <t>shop|pre-orders</t>
  </si>
  <si>
    <t>Shop</t>
  </si>
  <si>
    <t>| Shop max level</t>
  </si>
  <si>
    <t>Increases the total cash of the shop to 900 Coins.</t>
  </si>
  <si>
    <t>QUEST_COMPLETE:once_upon_a_forest_chapter_2</t>
  </si>
  <si>
    <t>QUEST_COMPLETE:once upon a forest chapter iii</t>
  </si>
  <si>
    <t>QUEST_COMPLETE:once_upon_a_forest_chapter_3</t>
  </si>
  <si>
    <t>QUEST_COMPLETE:once_upon_a_forest_chapter_4</t>
  </si>
  <si>
    <t>QUEST_ACCEPT:once_upon_a_forest_chapter_5</t>
  </si>
  <si>
    <t>glass_recycling</t>
  </si>
  <si>
    <t>Glass recycling</t>
  </si>
  <si>
    <t>shop|glass recycling</t>
  </si>
  <si>
    <t>The shop exchanges empty bottles for glass. / {{i|ebottles|30}} -&gt; {{i|glass|30}} / The following items yield an empty bottle: / {{i|balm|30}} {{i|poh|30}} {{i|poh2|30}} {{i|poe|30}} {{i|pomp|30}} {{i|pbr|30}} {{i|pa|30}} {{i|mapbottle|30}}</t>
  </si>
  <si>
    <t>The last item is the Message in a bottle. 1 x Empty bottle is given per 1 x Treasure map fragment lvl. 4 found by the ship. / Items that are affected by this technology only show once they can be crafted/acquired.</t>
  </si>
  <si>
    <t>QUEST_COMPLETE:Once Upon a Forest Chapter V</t>
  </si>
  <si>
    <t>QUEST_COMPLETE:once_upon_a_forest_chapter_5</t>
  </si>
  <si>
    <t>QUEST_ACCEPT:Once Upon a Forest Chapter VI</t>
  </si>
  <si>
    <t>QUEST_ACCEPT:once_upon_a_forest_chapter_6</t>
  </si>
  <si>
    <t>QUEST_COMPLETE:once_upon_a_forest_chapter_6</t>
  </si>
  <si>
    <t>QUEST_COMPLETE:Once Upon a Forest Chapter VI</t>
  </si>
  <si>
    <t>Throwing knife</t>
  </si>
  <si>
    <t>smithy|throwing knife</t>
  </si>
  <si>
    <t>Smithy</t>
  </si>
  <si>
    <t>| Smithy max level</t>
  </si>
  <si>
    <t>Unlocks crafting: {{i|kunai|30}}</t>
  </si>
  <si>
    <t>QUEST_COMPLETE:once_upon_a_forest_chapter_7</t>
  </si>
  <si>
    <t>QUEST_COMPLETE:Once Upon a Forest Chapter VII</t>
  </si>
  <si>
    <t>QUEST_COMPLETE:once_upon_a_forest_chapter_8</t>
  </si>
  <si>
    <t>QUEST_ACCEPT:once_upon_a_forest_chapter_9</t>
  </si>
  <si>
    <t>QUEST_ACCEPT:Once Upon a Forest Chapter IX</t>
  </si>
  <si>
    <t>Sword for a hero lvl. 1</t>
  </si>
  <si>
    <t>smithy|sword for a hero lvl. 1</t>
  </si>
  <si>
    <t>Unlocks crafting: {{i|sword1|30}}</t>
  </si>
  <si>
    <t>QUEST_COMPLETE:Once Upon a Forest Chapter IX</t>
  </si>
  <si>
    <t>QUEST_COMPLETE:once_upon_a_forest_chapter_9</t>
  </si>
  <si>
    <t>QUEST_COMPLETE:quest_for_knowledge_chapter_1</t>
  </si>
  <si>
    <t>Sword for a hero lvl. 2</t>
  </si>
  <si>
    <t>smithy|sword for a hero lvl. 2</t>
  </si>
  <si>
    <t>Sword for a hero lvl. 1 | Smithy max level</t>
  </si>
  <si>
    <t>TECH:Sword for a hero lvl. 1 | BUILDING_MAX:Smithy</t>
  </si>
  <si>
    <t>Unlocks crafting: {{i|sword2|30}}</t>
  </si>
  <si>
    <t>QUEST_COMPLETE:shoguns_katana_chapter_1</t>
  </si>
  <si>
    <t>Sword for a hero lvl. 3</t>
  </si>
  <si>
    <t>QUEST_COMPLETE:shoguns_katana_chapter_2</t>
  </si>
  <si>
    <t>smithy|sword for a hero lvl. 3</t>
  </si>
  <si>
    <t>Sword for a hero lvl. 2 | Smithy max level</t>
  </si>
  <si>
    <t>TECH:Sword for a hero lvl. 2 | BUILDING_MAX:Smithy</t>
  </si>
  <si>
    <t>Unlocks crafting: {{i|sword3|30}}</t>
  </si>
  <si>
    <t>QUEST_COMPLETE:shoguns_katana_chapter_3</t>
  </si>
  <si>
    <t>QUEST_COMPLETE:shogun's katana chapter iv</t>
  </si>
  <si>
    <t>QUEST_COMPLETE:shoguns_katana_chapter_4</t>
  </si>
  <si>
    <t>Sword for a hero lvl. 4</t>
  </si>
  <si>
    <t>smithy|sword for a hero lvl. 4</t>
  </si>
  <si>
    <t>QUEST_COMPLETE:shoguns_katana_chapter_5</t>
  </si>
  <si>
    <t>Sword for a hero lvl. 3 | Smithy max level</t>
  </si>
  <si>
    <t>TECH:Sword for a hero lvl. 3 | BUILDING_MAX:Smithy</t>
  </si>
  <si>
    <t>Unlocks crafting: {{i|sword4|30}}</t>
  </si>
  <si>
    <t>Also requires finding the lost adventurer in 4C.</t>
  </si>
  <si>
    <t>QUEST_COMPLETE:shogun's katana chapter vi</t>
  </si>
  <si>
    <t>QUEST_COMPLETE:shoguns_katana_chapter_6</t>
  </si>
  <si>
    <t>Sword for a hero lvl. 4+</t>
  </si>
  <si>
    <t>smithy|sword for a hero lvl. 4+</t>
  </si>
  <si>
    <t>Sword for a hero lvl. 4 | Requires completing the quest: The Ordinary Days of an Adventurer Chapter II | Smithy max level</t>
  </si>
  <si>
    <t>TECH:Sword for a hero lvl. 4 | QUEST_COMPLETE:The Ordinary Days of an Adventurer Chapter II | BUILDING_MAX:Smithy</t>
  </si>
  <si>
    <t>Unlocks crafting: {{i|sword4p|30}}</t>
  </si>
  <si>
    <t>Requires completing the quest: The Ordinary Days of an Adventurer Chapter II: Sharpen Your blade.</t>
  </si>
  <si>
    <t>QUEST_COMPLETE:spicy odyssey</t>
  </si>
  <si>
    <t>QUEST_COMPLETE:spicy_odyssey</t>
  </si>
  <si>
    <t>QUEST_ACCEPT:The Ordinary Days of an Adventurer Chapter II</t>
  </si>
  <si>
    <t>QUEST_ACCEPT:the_ordinary_days_of_an_adventurer_chapter_2</t>
  </si>
  <si>
    <t>QUEST_ACCEPT:the ordinary days of an adventurer chapter ii</t>
  </si>
  <si>
    <t>weapon_grease</t>
  </si>
  <si>
    <t>Weapon grease</t>
  </si>
  <si>
    <t>QUEST_COMPLETE:the_ordinary_days_of_an_adventurer_chapter_2</t>
  </si>
  <si>
    <t>smithy|weapon grease</t>
  </si>
  <si>
    <t>QUEST_COMPLETE:The Ordinary Days of an Adventurer Chapter II</t>
  </si>
  <si>
    <t>+5 Durability for {{i|sword1|30}} {{i|sword2|30}} {{i|sword3|30}} {{i|sword4|30}} {{i|sword4p|30}}</t>
  </si>
  <si>
    <t>QUEST_ACCEPT:The Ordinary Days of an Adventurer Chapter III</t>
  </si>
  <si>
    <t>QUEST_ACCEPT:the_ordinary_days_of_an_adventurer_chapter_3</t>
  </si>
  <si>
    <t>QUEST_COMPLETE:the_ordinary_days_of_an_adventurer_chapter_3</t>
  </si>
  <si>
    <t>QUEST_COMPLETE:The Ordinary Days of an Adventurer Chapter III</t>
  </si>
  <si>
    <t>QUEST_ACCEPT:the_ordinary_days_of_an_adventurer_chapter_4</t>
  </si>
  <si>
    <t>Gears</t>
  </si>
  <si>
    <t>smithy|gears</t>
  </si>
  <si>
    <t>QUEST_ACCEPT:The Ordinary Days of an Adventurer Chapter IV</t>
  </si>
  <si>
    <t>Unlocks crafting: {{i|gears|30}}</t>
  </si>
  <si>
    <t>QUEST_COMPLETE:the_ordinary_days_of_an_adventurer_chapter_4</t>
  </si>
  <si>
    <t>QUEST_ACCEPT:The Ordinary Days of an Adventurer chapter V</t>
  </si>
  <si>
    <t>QUEST_ACCEPT:the_ordinary_days_of_an_adventurer_chapter_5</t>
  </si>
  <si>
    <t>QUEST_ACCEPT:The Ordinary Days of an Adventurer chapter VI</t>
  </si>
  <si>
    <t>QUEST_ACCEPT:the_ordinary_days_of_an_adventurer_chapter_6</t>
  </si>
  <si>
    <t>Treasure</t>
  </si>
  <si>
    <t>smithy|treasure</t>
  </si>
  <si>
    <t>Requires completing the quest: The Ordinary Days of an Adventurer Chapter III | Smithy max level</t>
  </si>
  <si>
    <t>QUEST_COMPLETE:The Ordinary Days of an Adventurer Chapter III | BUILDING_MAX:Smithy</t>
  </si>
  <si>
    <t>Unlocks crafting: {{i|treasure|30}}</t>
  </si>
  <si>
    <t>Requires completing the quest: The Ordinary Days of an Adventurer Chapter III: Eclipse.</t>
  </si>
  <si>
    <t>dairy@1</t>
  </si>
  <si>
    <t>QUEST_COMPLETE:the ordinary days of an adventurer chapter vi</t>
  </si>
  <si>
    <t>QUEST_COMPLETE:the_ordinary_days_of_an_adventurer_chapter_6</t>
  </si>
  <si>
    <t>QUEST_COMPLETE:the_ordinary_days_of_an_adventurer_chapter_7</t>
  </si>
  <si>
    <t>Ariadne's thread</t>
  </si>
  <si>
    <t>tailor|ariadne's thread</t>
  </si>
  <si>
    <t>Tailor</t>
  </si>
  <si>
    <t>| Tailor max level</t>
  </si>
  <si>
    <t>Unlocks crafting: {{i|clew|30}}</t>
  </si>
  <si>
    <t>QUEST_COMPLETE:the ring of the dark lady</t>
  </si>
  <si>
    <t>QUEST_COMPLETE:the_ring_of_the_dark_lady</t>
  </si>
  <si>
    <t>QUEST_COMPLETE:The Ring of the Dark Lady</t>
  </si>
  <si>
    <t>Bedroll</t>
  </si>
  <si>
    <t>tailor|bedroll</t>
  </si>
  <si>
    <t>Requires completing the quest: Once Upon a Forest Chapter V | Tailor max level</t>
  </si>
  <si>
    <t>QUEST_COMPLETE:Once Upon a Forest Chapter V | BUILDING_MAX:Tailor</t>
  </si>
  <si>
    <t>Unlocks crafting: {{i|bedroll|30}}</t>
  </si>
  <si>
    <t>Requires completing the quest: Once Upon a Forest Chapter V: Smoothie for Mrs. Diligence.</t>
  </si>
  <si>
    <t>STATE:ACTION:reenter_guild</t>
  </si>
  <si>
    <t>STATE:action_reenter_guild</t>
  </si>
  <si>
    <t>STATE:CAPACITY:firework&gt;=10</t>
  </si>
  <si>
    <t>STATE:capacity_firework&gt;=10</t>
  </si>
  <si>
    <t>state.capacity_firework&gt;=10</t>
  </si>
  <si>
    <t>dungeon@1</t>
  </si>
  <si>
    <t>CHAR_LEVEL:10</t>
  </si>
  <si>
    <t>gong@1</t>
  </si>
  <si>
    <t>Salamander velour</t>
  </si>
  <si>
    <t>tailor|salamander velour</t>
  </si>
  <si>
    <t>lumber@1</t>
  </si>
  <si>
    <t>CHAR_LEVEL:11</t>
  </si>
  <si>
    <t>Requires completing the quest: Once Upon a Forest Chapter X | Tailor max level</t>
  </si>
  <si>
    <t>QUEST_COMPLETE:Once Upon a Forest Chapter X | BUILDING_MAX:Tailor</t>
  </si>
  <si>
    <t>Unlocks crafting: {{i|velour|30}}</t>
  </si>
  <si>
    <t>Requires completing the quest: Once Upon a Forest Chapter X: Salamander hunter.</t>
  </si>
  <si>
    <t>garden@1</t>
  </si>
  <si>
    <t>CHAR_LEVEL:12</t>
  </si>
  <si>
    <t>rock_garden@1</t>
  </si>
  <si>
    <t>CHAR_LEVEL:13</t>
  </si>
  <si>
    <t>CHAR_LEVEL:14</t>
  </si>
  <si>
    <t>chicken@1</t>
  </si>
  <si>
    <t>CHAR_LEVEL:15</t>
  </si>
  <si>
    <t>CHAR_LEVEL:18</t>
  </si>
  <si>
    <t>workshop@1</t>
  </si>
  <si>
    <t>CHAR_LEVEL:2</t>
  </si>
  <si>
    <t>CHAR_LEVEL:20</t>
  </si>
  <si>
    <t>Armor for a hero lvl. 1</t>
  </si>
  <si>
    <t>onsen@1</t>
  </si>
  <si>
    <t>tailor|armor for a hero lvl. 1</t>
  </si>
  <si>
    <t>Unlocks crafting: {{i|armor1|30}}</t>
  </si>
  <si>
    <t>bonsai@1</t>
  </si>
  <si>
    <t>CHAR_LEVEL:21</t>
  </si>
  <si>
    <t>CHAR_LEVEL:22</t>
  </si>
  <si>
    <t>CHAR_LEVEL:23</t>
  </si>
  <si>
    <t>CHAR_LEVEL:24</t>
  </si>
  <si>
    <t>CHAR_LEVEL:28</t>
  </si>
  <si>
    <t>shop@1</t>
  </si>
  <si>
    <t>CHAR_LEVEL:3</t>
  </si>
  <si>
    <t>bridge@1</t>
  </si>
  <si>
    <t>CHAR_LEVEL:30</t>
  </si>
  <si>
    <t>Armor for a hero lvl. 2</t>
  </si>
  <si>
    <t>tailor|armor for a hero lvl. 2</t>
  </si>
  <si>
    <t>Armor for a hero lvl. 1 | Tailor max level</t>
  </si>
  <si>
    <t>TECH:Armor for a hero lvl. 1 | BUILDING_MAX:Tailor</t>
  </si>
  <si>
    <t>Unlocks crafting: {{i|armor2|30}}</t>
  </si>
  <si>
    <t>CHAR_LEVEL:31</t>
  </si>
  <si>
    <t>CHAR_LEVEL:32</t>
  </si>
  <si>
    <t>pagoda@1</t>
  </si>
  <si>
    <t>CHAR_LEVEL:4</t>
  </si>
  <si>
    <t>CHAR_LEVEL:40</t>
  </si>
  <si>
    <t>Armor for a hero lvl. 3</t>
  </si>
  <si>
    <t>warehouse@1</t>
  </si>
  <si>
    <t>tailor|armor for a hero lvl. 3</t>
  </si>
  <si>
    <t>CHAR_LEVEL:5</t>
  </si>
  <si>
    <t>Armor for a hero lvl. 2 | Tailor max level</t>
  </si>
  <si>
    <t>TECH:Armor for a hero lvl. 2 | BUILDING_MAX:Tailor</t>
  </si>
  <si>
    <t>Unlocks crafting: {{i|armor3|30}}</t>
  </si>
  <si>
    <t>CHAR_LEVEL:50</t>
  </si>
  <si>
    <t>CHAR_LEVEL:55</t>
  </si>
  <si>
    <t>alchemists_hut@1</t>
  </si>
  <si>
    <t>CHAR_LEVEL:6</t>
  </si>
  <si>
    <t>field@1</t>
  </si>
  <si>
    <t>CHAR_LEVEL:7</t>
  </si>
  <si>
    <t>food_stall@1</t>
  </si>
  <si>
    <t>CHAR_LEVEL:8</t>
  </si>
  <si>
    <t>Armor for a hero lvl. 4</t>
  </si>
  <si>
    <t>furnace@1</t>
  </si>
  <si>
    <t>tailor|armor for a hero lvl. 4</t>
  </si>
  <si>
    <t>Salamander velour&lt;br&gt;Titanium parts | Requires accepting the quest: Once Upon a Forest Chapter IX | Tailor max level</t>
  </si>
  <si>
    <t>TECH:Salamander velour | TECH:Titanium parts | QUEST_ACCEPT:Once Upon a Forest Chapter IX | BUILDING_MAX:Tailor</t>
  </si>
  <si>
    <t>Unlocks crafting: {{i|armor4|30}}</t>
  </si>
  <si>
    <t>Requires taking the quest: Once Upon a Forest Chapter IX: Perfect Armor.</t>
  </si>
  <si>
    <t>CHAR_LEVEL:80</t>
  </si>
  <si>
    <t>smithy@1</t>
  </si>
  <si>
    <t>CHAR_LEVEL:9</t>
  </si>
  <si>
    <t>windmill@1</t>
  </si>
  <si>
    <t>STATE:COMPLETE_DUNGEON:5C</t>
  </si>
  <si>
    <t>STATE:complete_dungeon_5c</t>
  </si>
  <si>
    <t>STATE:COMPLETE_PROJECT: any&gt;=1</t>
  </si>
  <si>
    <t>STATE:complete_project_any&gt;=1</t>
  </si>
  <si>
    <t>STATE:DELIVER:balm to hunter @F3</t>
  </si>
  <si>
    <t>STATE:deliver_balm_to_hunter@f3</t>
  </si>
  <si>
    <t>STATE:LEVEL:cooking@13</t>
  </si>
  <si>
    <t>STATE:level_cooking@13</t>
  </si>
  <si>
    <t>STATE:MAP:catacombs</t>
  </si>
  <si>
    <t>STATE:map_catacombs</t>
  </si>
  <si>
    <t>Armor for a hero lvl. 4+</t>
  </si>
  <si>
    <t>STATE:MEET: dark lady@4A</t>
  </si>
  <si>
    <t>STATE:meet_dark_lady@4a</t>
  </si>
  <si>
    <t>tailor|armor for a hero lvl. 4+</t>
  </si>
  <si>
    <t>Armor for a hero lvl. 4 | Requires accepting the quest: The Ordinary Days of an Adventurer Chapter IV | Tailor max level</t>
  </si>
  <si>
    <t>TECH:Armor for a hero lvl. 4 | QUEST_ACCEPT:The Ordinary Days of an Adventurer Chapter IV | BUILDING_MAX:Tailor</t>
  </si>
  <si>
    <t>Unlocks crafting: {{i|armor4p|30}}</t>
  </si>
  <si>
    <t>Requires accepting the quest: The Ordinary Days of an Adventurer Chapter IV: Full set.</t>
  </si>
  <si>
    <t>STATE:MEET:dark_lady@6A</t>
  </si>
  <si>
    <t>STATE:meet_dark_lady@6a</t>
  </si>
  <si>
    <t>STATE:MEET:dark_lady@6B</t>
  </si>
  <si>
    <t>STATE:meet_dark_lady@6b</t>
  </si>
  <si>
    <t>STATE:MEET:Dark Lady@6B</t>
  </si>
  <si>
    <t>STATE:MEET: dark lady@F2</t>
  </si>
  <si>
    <t>STATE:meet_dark_lady@f2</t>
  </si>
  <si>
    <t>STATE:MEET:Fat demon@4A</t>
  </si>
  <si>
    <t>STATE:meet_fat_demon@4a</t>
  </si>
  <si>
    <t>STATE:MEET:foodie demon@F2</t>
  </si>
  <si>
    <t>STATE:meet_foodie_demon@f2</t>
  </si>
  <si>
    <t>STATE:MEET:forest fairy@F2 after accepting chapter V</t>
  </si>
  <si>
    <t>STATE:meet_forest_fairy@f2_after_accepting_chapter_5</t>
  </si>
  <si>
    <t>STATE:MEET:inventor@5B</t>
  </si>
  <si>
    <t>STATE:meet_inventor@5b</t>
  </si>
  <si>
    <t>STATE:MEET:mech_adventurer@2B</t>
  </si>
  <si>
    <t>STATE:meet_mech_adventurer@2b</t>
  </si>
  <si>
    <t>STATE:MEET:methusalem@F3</t>
  </si>
  <si>
    <t>STATE:meet_methusalem@f3</t>
  </si>
  <si>
    <t>strong_stitch</t>
  </si>
  <si>
    <t>STATE:MEET: Mr Diligence@F1</t>
  </si>
  <si>
    <t>Strong stitch</t>
  </si>
  <si>
    <t>STATE:meet_mr_diligence@f1</t>
  </si>
  <si>
    <t>tailor|strong stitch</t>
  </si>
  <si>
    <t>STATE:MEET:Mrs Diligance@F2</t>
  </si>
  <si>
    <t>+10 Durability for {{i|kimono|30}} {{i|ninja|30}} {{i|samurai|30}}</t>
  </si>
  <si>
    <t>STATE:meet_mrs_diligance@f2</t>
  </si>
  <si>
    <t>STATE:MEET: old man@4C</t>
  </si>
  <si>
    <t>STATE:meet_old_man@4c</t>
  </si>
  <si>
    <t>STATE:MEET: pilot@F3</t>
  </si>
  <si>
    <t>STATE:meet_pilot@f3</t>
  </si>
  <si>
    <t>STATE:MEET:Pirate_skeleton@3A</t>
  </si>
  <si>
    <t>STATE:meet_pirate_skeleton@3a</t>
  </si>
  <si>
    <t>STATE:MEET: Raven@F1</t>
  </si>
  <si>
    <t>STATE:meet_raven@f1</t>
  </si>
  <si>
    <t>STATE:MEET: Raven@F3</t>
  </si>
  <si>
    <t>STATE:meet_raven@f3</t>
  </si>
  <si>
    <t>STATE:MEET:samurai_panda@6A</t>
  </si>
  <si>
    <t>STATE:meet_samurai_panda@6a</t>
  </si>
  <si>
    <t>STATE:MEET: traveling merchant @1B</t>
  </si>
  <si>
    <t>STATE:meet_traveling_merchant@1b</t>
  </si>
  <si>
    <t>STATE:OBTAIN:any artifact</t>
  </si>
  <si>
    <t>STATE:obtain_any_artifact</t>
  </si>
  <si>
    <t>strong_rivets</t>
  </si>
  <si>
    <t>Strong rivets</t>
  </si>
  <si>
    <t>STATE:OBTAIN:strawberry@F1.</t>
  </si>
  <si>
    <t>STATE:obtain_strawberry@f1_</t>
  </si>
  <si>
    <t>tailor|strong rivets</t>
  </si>
  <si>
    <t>+5 Durability for {{i|armor1|30}} {{i|armor2|30}} {{i|armor3|30}} {{i|armor4|30}} {{i|armor4p|30}}</t>
  </si>
  <si>
    <t>STATE:OBTAIN:treasure</t>
  </si>
  <si>
    <t>STATE:obtain_treasure</t>
  </si>
  <si>
    <t>STATE:REPEAT_VISIT:DUNGEON@ F1@2</t>
  </si>
  <si>
    <t>STATE:repeat_visit_dungeon@f1@2</t>
  </si>
  <si>
    <t>STATE:TAME:a critter</t>
  </si>
  <si>
    <t>STATE:tame_a_critter</t>
  </si>
  <si>
    <t>STATE:VISIT:DUNGEON@ 6B after building Dairy LVL 2</t>
  </si>
  <si>
    <t>STATE:visit_dungeon@6b_after_building_dairy_lvl_2</t>
  </si>
  <si>
    <t>STATE:VISIT:DUNGEON@4A</t>
  </si>
  <si>
    <t>STATE:visit_dungeon@4a</t>
  </si>
  <si>
    <t>STATE:VISIT:DUNGEON@5A after completing 5C</t>
  </si>
  <si>
    <t>STATE:visit_dungeon@5a_after_completing_5c</t>
  </si>
  <si>
    <t>STATE:VISIT:DUNGEON@6A</t>
  </si>
  <si>
    <t>STATE:visit_dungeon@6a</t>
  </si>
  <si>
    <t>STATE:VISIT:DUNGEON@F1</t>
  </si>
  <si>
    <t>STATE:visit_dungeon@f1</t>
  </si>
  <si>
    <t>TECH:alchemists_hut.Conveyor lvl. 1</t>
  </si>
  <si>
    <t>TECH:alchemists_hut_conveyor_lvl_1</t>
  </si>
  <si>
    <t>TECH:Mercury</t>
  </si>
  <si>
    <t>TECH:mercury</t>
  </si>
  <si>
    <t>colored_threads</t>
  </si>
  <si>
    <t>Colored threads</t>
  </si>
  <si>
    <t>tailor|colored threads</t>
  </si>
  <si>
    <t>Ariadne"s thread allows placing marks and returning to them quickly</t>
  </si>
  <si>
    <t>TECH:Potion Berserker rage</t>
  </si>
  <si>
    <t>TECH:potion_berserker_rage</t>
  </si>
  <si>
    <t>TECH:Potion of healing</t>
  </si>
  <si>
    <t>TECH:potion_of_healing</t>
  </si>
  <si>
    <t>TECH:Potion of healing lvl. 2</t>
  </si>
  <si>
    <t>TECH:potion_of_healing_lvl_2</t>
  </si>
  <si>
    <t>TECH:Synthetic fertilizer</t>
  </si>
  <si>
    <t>TECH:synthetic_fertilizer</t>
  </si>
  <si>
    <t>alchemists_hut.perfect_fertilizer</t>
  </si>
  <si>
    <t>TECH:Advanced fertilizer</t>
  </si>
  <si>
    <t>compound_engine</t>
  </si>
  <si>
    <t>Compound engine</t>
  </si>
  <si>
    <t>train|compound engine</t>
  </si>
  <si>
    <t>Train</t>
  </si>
  <si>
    <t>| Train max level</t>
  </si>
  <si>
    <t>TECH:Classical music for the farm</t>
  </si>
  <si>
    <t>TECH:classical_music_for_the_farm</t>
  </si>
  <si>
    <t>Reduces travel time by 10%.</t>
  </si>
  <si>
    <t>TECH:Great hall</t>
  </si>
  <si>
    <t>TECH:great_hall</t>
  </si>
  <si>
    <t>TECH:Great Hall</t>
  </si>
  <si>
    <t>superheater</t>
  </si>
  <si>
    <t>Superheater</t>
  </si>
  <si>
    <t>train|superheater</t>
  </si>
  <si>
    <t>Reduces Charcoal|coal]] consumption by 20%.</t>
  </si>
  <si>
    <t>TECH:Seed drill</t>
  </si>
  <si>
    <t>TECH:seed_drill</t>
  </si>
  <si>
    <t>TECH:Soybean</t>
  </si>
  <si>
    <t>TECH:soybean</t>
  </si>
  <si>
    <t>TECH:Titanium parts</t>
  </si>
  <si>
    <t>TECH:titanium_parts</t>
  </si>
  <si>
    <t>TECH:Research and development</t>
  </si>
  <si>
    <t>TECH:research_and_development</t>
  </si>
  <si>
    <t>TECH:Arsenal lvl. 1</t>
  </si>
  <si>
    <t>TECH:arsenal_lvl_1</t>
  </si>
  <si>
    <t>TECH:Optional contracts</t>
  </si>
  <si>
    <t>TECH:optional_contracts</t>
  </si>
  <si>
    <t>TECH:Sword for a hero lvl. 1</t>
  </si>
  <si>
    <t>TECH:sword_for_a_hero_lvl_1</t>
  </si>
  <si>
    <t>automatic_lubricator</t>
  </si>
  <si>
    <t>Automatic lubricator</t>
  </si>
  <si>
    <t>train|automatic lubricator</t>
  </si>
  <si>
    <t>TECH:Sword for a hero lvl. 2</t>
  </si>
  <si>
    <t>TECH:sword_for_a_hero_lvl_2</t>
  </si>
  <si>
    <t>TECH:Sword for a hero lvl. 3</t>
  </si>
  <si>
    <t>TECH:sword_for_a_hero_lvl_3</t>
  </si>
  <si>
    <t>TECH:Sword for a hero lvl. 4</t>
  </si>
  <si>
    <t>TECH:sword_for_a_hero_lvl_4</t>
  </si>
  <si>
    <t>TECH:Armor for a hero lvl. 1</t>
  </si>
  <si>
    <t>TECH:armor_for_a_hero_lvl_1</t>
  </si>
  <si>
    <t>TECH:Armor for a hero lvl. 2</t>
  </si>
  <si>
    <t>TECH:armor_for_a_hero_lvl_2</t>
  </si>
  <si>
    <t>TECH:Armor for a hero lvl. 4</t>
  </si>
  <si>
    <t>TECH:armor_for_a_hero_lvl_4</t>
  </si>
  <si>
    <t>TECH:Salamander velour</t>
  </si>
  <si>
    <t>TECH:salamander_velour</t>
  </si>
  <si>
    <t>titanium_components</t>
  </si>
  <si>
    <t>Titanium components</t>
  </si>
  <si>
    <t>TECH:Stackable racks lvl. 1</t>
  </si>
  <si>
    <t>TECH:stackable_racks_lvl_1</t>
  </si>
  <si>
    <t>train|titanium components</t>
  </si>
  <si>
    <t>Requires completing the quest: Once Upon a Forest Chapter XI | Train max level</t>
  </si>
  <si>
    <t>QUEST_COMPLETE:Once Upon a Forest Chapter XI | BUILDING_MAX:Train</t>
  </si>
  <si>
    <t>Reduces travel time by 5%.</t>
  </si>
  <si>
    <t>TECH:Stackable racks lvl. 2</t>
  </si>
  <si>
    <t>TECH:stackable_racks_lvl_2</t>
  </si>
  <si>
    <t>workshop_conveyor_lvl_2</t>
  </si>
  <si>
    <t>TECH:workshop.Conveyor lvl. 1</t>
  </si>
  <si>
    <t>TECH:workshop_conveyor_lvl_1</t>
  </si>
  <si>
    <t>TECH:Mechanical spider</t>
  </si>
  <si>
    <t>TECH:mechanical_spider</t>
  </si>
  <si>
    <t>TECH:Mechanism</t>
  </si>
  <si>
    <t>TECH:mechanism</t>
  </si>
  <si>
    <t>TECH:Shield for a hero lvl. 1</t>
  </si>
  <si>
    <t>TECH:shield_for_a_hero_lvl_1</t>
  </si>
  <si>
    <t>TECH:Shield for a hero lvl. 2</t>
  </si>
  <si>
    <t>TECH:shield_for_a_hero_lvl_2</t>
  </si>
  <si>
    <t>TECH:Shield for a hero lvl. 3</t>
  </si>
  <si>
    <t>TECH:shield_for_a_hero_lvl_3</t>
  </si>
  <si>
    <t>TECH:shield for a hero lvl. 4</t>
  </si>
  <si>
    <t>TECH:shield_for_a_hero_lvl_4</t>
  </si>
  <si>
    <t>onboard_computer</t>
  </si>
  <si>
    <t>Onboard computer</t>
  </si>
  <si>
    <t>TECH:Shield for a hero lvl. 4</t>
  </si>
  <si>
    <t>train|onboard computer</t>
  </si>
  <si>
    <t>Requires completing Ahead of Time: Chapter V | Train max level</t>
  </si>
  <si>
    <t>QUEST_COMPLETE:Chapter V | BUILDING_MAX:Train</t>
  </si>
  <si>
    <t>TECH:Steamobile</t>
  </si>
  <si>
    <t>TECH:steamobile</t>
  </si>
  <si>
    <t>stackable_racks_lvl_1</t>
  </si>
  <si>
    <t>Stackable racks lvl. 1</t>
  </si>
  <si>
    <t>warehouse|stackable racks lvl. 1</t>
  </si>
  <si>
    <t>Warehouse</t>
  </si>
  <si>
    <t>| Warehouse max level</t>
  </si>
  <si>
    <t>Increases capacity by 30% of the original size.</t>
  </si>
  <si>
    <t>stackable_racks_lvl_2</t>
  </si>
  <si>
    <t>Stackable racks lvl. 2</t>
  </si>
  <si>
    <t>warehouse|stackable racks lvl. 2</t>
  </si>
  <si>
    <t>Stackable racks lvl. 1 | Warehouse max level</t>
  </si>
  <si>
    <t>TECH:Stackable racks lvl. 1 | BUILDING_MAX:Warehouse</t>
  </si>
  <si>
    <t>stackable_racks_lvl_3</t>
  </si>
  <si>
    <t>Stackable racks lvl. 3</t>
  </si>
  <si>
    <t>warehouse|stackable racks lvl. 3</t>
  </si>
  <si>
    <t>Stackable racks lvl. 2 | Warehouse max level</t>
  </si>
  <si>
    <t>TECH:Stackable racks lvl. 2 | BUILDING_MAX:Warehouse</t>
  </si>
  <si>
    <t>Throwing net</t>
  </si>
  <si>
    <t>workshop|throwing net</t>
  </si>
  <si>
    <t>Workshop</t>
  </si>
  <si>
    <t>| Workshop max level</t>
  </si>
  <si>
    <t>Unlocks crafting: {{i|net|30}}</t>
  </si>
  <si>
    <t>Shield for a hero lvl. 1</t>
  </si>
  <si>
    <t>workshop|shield for a hero lvl. 1</t>
  </si>
  <si>
    <t>Unlocks crafting: {{i|shield1|30}}</t>
  </si>
  <si>
    <t>Shield for a hero lvl. 2</t>
  </si>
  <si>
    <t>workshop|shield for a hero lvl. 2</t>
  </si>
  <si>
    <t>Shield for a hero lvl. 1 | Workshop max level</t>
  </si>
  <si>
    <t>TECH:Shield for a hero lvl. 1 | BUILDING_MAX:Workshop</t>
  </si>
  <si>
    <t>Unlocks crafting: {{i|shield2|30}}</t>
  </si>
  <si>
    <t>Shield for a hero lvl. 3</t>
  </si>
  <si>
    <t>workshop|shield for a hero lvl. 3</t>
  </si>
  <si>
    <t>Shield for a hero lvl. 2 | Workshop max level</t>
  </si>
  <si>
    <t>TECH:Shield for a hero lvl. 2 | BUILDING_MAX:Workshop</t>
  </si>
  <si>
    <t>Unlocks crafting: {{i|shield3|30}}</t>
  </si>
  <si>
    <t>Shield for a hero lvl. 4</t>
  </si>
  <si>
    <t>workshop|shield for a hero lvl. 4</t>
  </si>
  <si>
    <t>Shield for a hero lvl. 3 | Requires completing the quest "The Ring of the Dark Lady" (4A) | Workshop max level</t>
  </si>
  <si>
    <t>TECH:Shield for a hero lvl. 3 | QUEST_COMPLETE:"the ring of the dark lady" (4a) | BUILDING_MAX:Workshop</t>
  </si>
  <si>
    <t>Unlocks crafting: {{i|shield4|30}}</t>
  </si>
  <si>
    <t>Requires completing the quest "The Ring of the Dark Lady" (4A).</t>
  </si>
  <si>
    <t>Shield for a hero lvl. 4+</t>
  </si>
  <si>
    <t>workshop|shield for a hero lvl. 4+</t>
  </si>
  <si>
    <t>Shield for a hero lvl. 4 | Requires accepting the quest: The Ordinary Days of an Adventurer Chapter III | Workshop max level</t>
  </si>
  <si>
    <t>TECH:Shield for a hero lvl. 4 | QUEST_ACCEPT:The Ordinary Days of an Adventurer Chapter III | BUILDING_MAX:Workshop</t>
  </si>
  <si>
    <t>Unlocks crafting: {{i|shield4p|30}}</t>
  </si>
  <si>
    <t>Requires accepting the quest: The Ordinary Days of an Adventurer Chapter III: Eclipse.</t>
  </si>
  <si>
    <t>strong_glue</t>
  </si>
  <si>
    <t>Strong glue</t>
  </si>
  <si>
    <t>workshop|strong glue</t>
  </si>
  <si>
    <t>+5 Durability for {{i|shield1|30}} {{i|shield2|30}} {{i|shield3|30}} {{i|shield4|30}} {{i|shield4p|30}}</t>
  </si>
  <si>
    <t>Mechanism</t>
  </si>
  <si>
    <t>workshop|mechanism</t>
  </si>
  <si>
    <t>Unlocks crafting: {{i|mechanism|30}}</t>
  </si>
  <si>
    <t>Mechanical spider</t>
  </si>
  <si>
    <t>workshop|mechanical spider</t>
  </si>
  <si>
    <t>Mechanism | Workshop max level</t>
  </si>
  <si>
    <t>TECH:Mechanism | BUILDING_MAX:Workshop</t>
  </si>
  <si>
    <t>Unlocks crafting: {{i|mspider|30}}</t>
  </si>
  <si>
    <t>explosive_mechanical_spider</t>
  </si>
  <si>
    <t>Explosive mechanical spider</t>
  </si>
  <si>
    <t>workshop|explosive mechanical spider</t>
  </si>
  <si>
    <t>Mechanical spider | Workshop max level</t>
  </si>
  <si>
    <t>TECH:Mechanical spider | BUILDING_MAX:Workshop</t>
  </si>
  <si>
    <t>Learning this technology while a hero is in dungeon, will make the Mechanical spider explosive.</t>
  </si>
  <si>
    <t>Steamobile</t>
  </si>
  <si>
    <t>workshop|steamobile</t>
  </si>
  <si>
    <t>Unlocks crafting: {{i|steamobile|30}}</t>
  </si>
  <si>
    <t>Zen fountain</t>
  </si>
  <si>
    <t>workshop|zen fountain</t>
  </si>
  <si>
    <t>Requires accepting The Ordinary Days of an Adventurer Chapter II | Workshop max level</t>
  </si>
  <si>
    <t>QUEST_ACCEPT:the ordinary days of an adventurer chapter ii | BUILDING_MAX:Workshop</t>
  </si>
  <si>
    <t>Unlocks crafting: {{i|zenfountain|30}}</t>
  </si>
  <si>
    <t>Workshop Conveyor lvl. 1</t>
  </si>
  <si>
    <t>workshop|workshop conveyor lvl. 1</t>
  </si>
  <si>
    <t>Increases max order size by 100% for / {{i|mortar|30}} {{i|btram|30}} {{i|mspider|30}} {{i|steamobile|30}} {{i|zenfountain|30}}</t>
  </si>
  <si>
    <t>Workshop Conveyor lvl. 2</t>
  </si>
  <si>
    <t>workshop|workshop conveyor lvl. 2</t>
  </si>
  <si>
    <t>Workshop Conveyor lvl. 1 | Workshop max level</t>
  </si>
  <si>
    <t>TECH:Workshop Conveyor lvl. 1 | BUILDING_MAX:Workshop</t>
  </si>
  <si>
    <t>Increases max order size by 200% for / {{i|mortar|30}} {{i|btram|30}} {{i|mspider|30}} {{i|steamobile|30}} {{i|zenfountain|30}}</t>
  </si>
  <si>
    <t>Perfect fertilizer</t>
  </si>
  <si>
    <t>Alchemist's Hut |  Perfect fertilizer</t>
  </si>
  <si>
    <t>Bone meal</t>
  </si>
  <si>
    <t>Windmill |  Bone meal</t>
  </si>
  <si>
    <t>Windmill</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</si>
</sst>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theme="1"/>
      <name val="Aptos Narrow"/>
      <scheme val="minor"/>
    </font>
    <font>
      <b/>
      <sz val="18.0"/>
      <color theme="1"/>
      <name val="Aptos Narrow"/>
    </font>
    <font/>
    <font>
      <b/>
      <sz val="11.0"/>
      <color rgb="FFFFFFFF"/>
      <name val="Calibri"/>
    </font>
    <font>
      <sz val="11.0"/>
      <color theme="1"/>
      <name val="Aptos Narrow"/>
    </font>
    <font>
      <sz val="11.0"/>
      <color theme="1"/>
      <name val="Arial"/>
    </font>
    <font>
      <b/>
      <sz val="11.0"/>
      <color rgb="FFFFFFFF"/>
      <name val="Aptos Narrow"/>
    </font>
    <font>
      <color rgb="FFFFFFFF"/>
      <name val="Aptos Narrow"/>
      <scheme val="minor"/>
    </font>
    <font>
      <b/>
      <sz val="11.0"/>
      <color theme="0"/>
      <name val="Aptos Narrow"/>
    </font>
    <font>
      <sz val="12.0"/>
      <color theme="1"/>
      <name val="Aptos Narrow"/>
    </font>
    <font>
      <color theme="1"/>
      <name val="Aptos Narrow"/>
      <scheme val="minor"/>
    </font>
    <font>
      <sz val="11.0"/>
      <color rgb="FFFFFFFF"/>
      <name val="Aptos Narrow"/>
    </font>
    <font>
      <sz val="11.0"/>
      <color rgb="FFFFFFFF"/>
      <name val="Arial"/>
    </font>
    <font>
      <sz val="10.0"/>
      <color rgb="FF000000"/>
      <name val="Aptos Narrow"/>
    </font>
    <font>
      <b/>
      <sz val="15.0"/>
      <color rgb="FF000000"/>
      <name val="Arial"/>
    </font>
    <font>
      <b/>
      <sz val="15.0"/>
      <color rgb="FFFFFFFF"/>
      <name val="Arial"/>
    </font>
    <font>
      <b/>
      <sz val="15.0"/>
      <color theme="1"/>
      <name val="Arial"/>
    </font>
    <font>
      <b/>
      <sz val="10.0"/>
      <color rgb="FFFFFFFF"/>
      <name val="Arial"/>
    </font>
    <font>
      <b/>
      <sz val="10.0"/>
      <color theme="1"/>
      <name val="Arial"/>
    </font>
    <font>
      <sz val="10.0"/>
      <color theme="1"/>
      <name val="Arial"/>
    </font>
    <font>
      <sz val="10.0"/>
      <color rgb="FF000000"/>
      <name val="Arial"/>
    </font>
    <font>
      <sz val="10.0"/>
      <color theme="1"/>
      <name val="Aptos Narrow"/>
    </font>
    <font>
      <color theme="1"/>
      <name val="Arial"/>
    </font>
    <font>
      <sz val="10.0"/>
      <color rgb="FFFFFFFF"/>
      <name val="Courier New"/>
    </font>
    <font>
      <sz val="10.0"/>
      <color theme="1"/>
      <name val="Courier New"/>
    </font>
    <font>
      <sz val="12.0"/>
      <color rgb="FF3A3A3A"/>
      <name val="Arial"/>
    </font>
    <font>
      <sz val="7.0"/>
      <color rgb="FF3A3A3A"/>
      <name val="Arial"/>
    </font>
    <font>
      <b/>
      <sz val="12.0"/>
      <color rgb="FF3A3A3A"/>
      <name val="Arial"/>
    </font>
    <font>
      <sz val="11.0"/>
      <color theme="1"/>
      <name val="Courier New"/>
    </font>
    <font>
      <b/>
      <sz val="11.0"/>
      <color theme="0"/>
      <name val="Calibri"/>
    </font>
    <font>
      <sz val="11.0"/>
      <color rgb="FF000000"/>
      <name val="&quot;Aptos Narrow&quot;"/>
    </font>
    <font>
      <b/>
      <sz val="11.0"/>
      <color rgb="FFFFFFFF"/>
      <name val="Carlito"/>
    </font>
    <font>
      <sz val="11.0"/>
      <color theme="1"/>
      <name val="Carlito"/>
    </font>
    <font>
      <sz val="10.0"/>
      <color theme="1"/>
      <name val="Arimo"/>
    </font>
  </fonts>
  <fills count="10">
    <fill>
      <patternFill patternType="none"/>
    </fill>
    <fill>
      <patternFill patternType="lightGray"/>
    </fill>
    <fill>
      <patternFill patternType="solid">
        <fgColor rgb="FF1F4E78"/>
        <bgColor rgb="FF1F4E78"/>
      </patternFill>
    </fill>
    <fill>
      <patternFill patternType="solid">
        <fgColor rgb="FFFFFF00"/>
        <bgColor rgb="FFFFFF00"/>
      </patternFill>
    </fill>
    <fill>
      <patternFill patternType="solid">
        <fgColor theme="4"/>
        <bgColor theme="4"/>
      </patternFill>
    </fill>
    <fill>
      <patternFill patternType="solid">
        <fgColor rgb="FF274E13"/>
        <bgColor rgb="FF274E13"/>
      </patternFill>
    </fill>
    <fill>
      <patternFill patternType="solid">
        <fgColor rgb="FFFFFFFF"/>
        <bgColor rgb="FFFFFFFF"/>
      </patternFill>
    </fill>
    <fill>
      <patternFill patternType="solid">
        <fgColor rgb="FFC1E4F5"/>
        <bgColor rgb="FFC1E4F5"/>
      </patternFill>
    </fill>
    <fill>
      <patternFill patternType="solid">
        <fgColor rgb="FF92D050"/>
        <bgColor rgb="FF92D050"/>
      </patternFill>
    </fill>
    <fill>
      <patternFill patternType="solid">
        <fgColor rgb="FFC0E6F5"/>
        <bgColor rgb="FFC0E6F5"/>
      </patternFill>
    </fill>
  </fills>
  <borders count="3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medium">
        <color rgb="FF000000"/>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45B0E1"/>
      </left>
      <right/>
      <top style="thin">
        <color rgb="FF45B0E1"/>
      </top>
      <bottom/>
    </border>
    <border>
      <left/>
      <right/>
      <top style="thin">
        <color rgb="FF45B0E1"/>
      </top>
      <bottom/>
    </border>
    <border>
      <left/>
      <right style="thin">
        <color rgb="FF45B0E1"/>
      </right>
      <top style="thin">
        <color rgb="FF45B0E1"/>
      </top>
      <bottom/>
    </border>
    <border>
      <left style="thin">
        <color rgb="FF45B0E1"/>
      </left>
      <right/>
      <top style="thin">
        <color rgb="FF45B0E1"/>
      </top>
      <bottom style="thin">
        <color rgb="FF45B0E1"/>
      </bottom>
    </border>
    <border>
      <left style="medium">
        <color rgb="FFCECECE"/>
      </left>
      <right style="medium">
        <color rgb="FFCECECE"/>
      </right>
      <top style="medium">
        <color rgb="FFCECECE"/>
      </top>
      <bottom style="medium">
        <color rgb="FFCECECE"/>
      </bottom>
    </border>
    <border>
      <right style="medium">
        <color rgb="FFCECECE"/>
      </right>
    </border>
    <border>
      <left style="medium">
        <color rgb="FFCECECE"/>
      </left>
      <right style="medium">
        <color rgb="FFCECECE"/>
      </right>
      <top style="medium">
        <color rgb="FFCECECE"/>
      </top>
      <bottom/>
    </border>
    <border>
      <left style="medium">
        <color rgb="FFCECECE"/>
      </left>
      <right style="medium">
        <color rgb="FFCECECE"/>
      </right>
      <top/>
      <bottom/>
    </border>
    <border>
      <left style="medium">
        <color rgb="FFCECECE"/>
      </left>
      <right style="medium">
        <color rgb="FFCECECE"/>
      </right>
      <top/>
      <bottom style="medium">
        <color rgb="FFCECECE"/>
      </bottom>
    </border>
    <border>
      <left style="thin">
        <color rgb="FF45B0E1"/>
      </left>
      <top style="thin">
        <color rgb="FF45B0E1"/>
      </top>
    </border>
    <border>
      <left style="thin">
        <color rgb="FF45B0E1"/>
      </left>
      <top style="thin">
        <color rgb="FF45B0E1"/>
      </top>
      <bottom style="thin">
        <color rgb="FF45B0E1"/>
      </bottom>
    </border>
    <border>
      <top style="thin">
        <color rgb="FF45B0E1"/>
      </top>
      <bottom style="thin">
        <color rgb="FF45B0E1"/>
      </bottom>
    </border>
    <border>
      <left style="thin">
        <color rgb="FF000000"/>
      </left>
      <right style="thin">
        <color rgb="FF000000"/>
      </right>
      <top style="thin">
        <color rgb="FF45B0E1"/>
      </top>
      <bottom style="thin">
        <color rgb="FF000000"/>
      </bottom>
    </border>
    <border>
      <left style="thin">
        <color rgb="FFD9E2F3"/>
      </left>
      <right style="thin">
        <color rgb="FFD9E2F3"/>
      </right>
      <top style="thin">
        <color rgb="FFD9E2F3"/>
      </top>
      <bottom style="thin">
        <color rgb="FFD9E2F3"/>
      </bottom>
    </border>
    <border>
      <left/>
      <right/>
      <top style="thin">
        <color rgb="FF45B0E1"/>
      </top>
      <bottom style="thin">
        <color rgb="FF45B0E1"/>
      </bottom>
    </border>
    <border>
      <left style="thin">
        <color rgb="FFD9E2F3"/>
      </left>
      <right style="thin">
        <color rgb="FFD9E2F3"/>
      </right>
      <top style="thin">
        <color rgb="FFD9E2F3"/>
      </top>
    </border>
    <border>
      <top style="thin">
        <color rgb="FF45B0E1"/>
      </top>
    </border>
    <border>
      <left style="thin">
        <color rgb="FF000000"/>
      </left>
      <right style="thin">
        <color rgb="FF000000"/>
      </right>
      <bottom style="thin">
        <color rgb="FF000000"/>
      </bottom>
    </border>
    <border>
      <left style="thin">
        <color rgb="FF000000"/>
      </left>
    </border>
    <border>
      <left style="thin">
        <color rgb="FF000000"/>
      </left>
      <top style="thin">
        <color rgb="FF000000"/>
      </top>
    </border>
    <border>
      <left style="medium">
        <color rgb="FF666666"/>
      </left>
      <right style="medium">
        <color rgb="FF666666"/>
      </right>
      <top style="medium">
        <color rgb="FF666666"/>
      </top>
      <bottom style="medium">
        <color rgb="FF666666"/>
      </bottom>
    </border>
    <border>
      <left style="thin">
        <color rgb="FF45B0E1"/>
      </left>
      <right/>
      <top/>
      <bottom style="thin">
        <color rgb="FF45B0E1"/>
      </bottom>
    </border>
    <border>
      <left/>
      <right/>
      <top/>
      <bottom style="thin">
        <color rgb="FF45B0E1"/>
      </bottom>
    </border>
    <border>
      <left/>
      <right style="thin">
        <color rgb="FF000000"/>
      </right>
      <top/>
      <bottom style="thin">
        <color rgb="FF45B0E1"/>
      </bottom>
    </border>
    <border>
      <left style="thin">
        <color rgb="FF000000"/>
      </left>
      <right style="thin">
        <color rgb="FF000000"/>
      </right>
      <top style="thin">
        <color rgb="FF000000"/>
      </top>
    </border>
    <border>
      <top style="thin">
        <color rgb="FF000000"/>
      </top>
    </border>
    <border>
      <left style="thin">
        <color theme="0"/>
      </left>
      <top style="thin">
        <color rgb="FF000000"/>
      </top>
    </border>
    <border>
      <top style="thin">
        <color theme="0"/>
      </top>
    </border>
    <border>
      <left style="thin">
        <color theme="0"/>
      </left>
      <top style="thin">
        <color theme="0"/>
      </top>
    </border>
    <border>
      <left style="thin">
        <color rgb="FF44B3E1"/>
      </left>
      <top style="thin">
        <color rgb="FF44B3E1"/>
      </top>
      <bottom style="thin">
        <color rgb="FF44B3E1"/>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0" fontId="1" numFmtId="0" xfId="0" applyAlignment="1" applyFont="1">
      <alignment horizontal="center" shrinkToFit="0" vertical="center" wrapText="1"/>
    </xf>
    <xf borderId="4" fillId="2" fontId="3" numFmtId="0" xfId="0" applyBorder="1" applyFill="1" applyFont="1"/>
    <xf borderId="0" fillId="0" fontId="4" numFmtId="0" xfId="0" applyAlignment="1" applyFont="1">
      <alignment shrinkToFit="0" wrapText="1"/>
    </xf>
    <xf borderId="0" fillId="0" fontId="1" numFmtId="0" xfId="0" applyAlignment="1" applyFont="1">
      <alignment shrinkToFit="0" wrapText="1"/>
    </xf>
    <xf borderId="5" fillId="3" fontId="4" numFmtId="0" xfId="0" applyAlignment="1" applyBorder="1" applyFill="1" applyFont="1">
      <alignment shrinkToFit="0" wrapText="1"/>
    </xf>
    <xf borderId="6" fillId="3" fontId="5" numFmtId="0" xfId="0" applyAlignment="1" applyBorder="1" applyFill="1" applyFont="1">
      <alignment readingOrder="0" shrinkToFit="0" wrapText="1"/>
    </xf>
    <xf borderId="0" fillId="0" fontId="6" numFmtId="0" xfId="0" applyAlignment="1" applyFont="1">
      <alignment horizontal="center" readingOrder="0" shrinkToFit="0" vertical="center" wrapText="1"/>
    </xf>
    <xf borderId="0" fillId="0" fontId="6" numFmtId="0" xfId="0" applyAlignment="1" applyFont="1">
      <alignment horizontal="right" readingOrder="0" shrinkToFit="0" vertical="center" wrapText="1"/>
    </xf>
    <xf borderId="0" fillId="0" fontId="7" numFmtId="0" xfId="0" applyAlignment="1" applyFont="1">
      <alignment horizontal="left" readingOrder="0" shrinkToFit="0" vertical="center" wrapText="0"/>
    </xf>
    <xf borderId="7" fillId="4" fontId="8" numFmtId="0" xfId="0" applyBorder="1" applyFill="1" applyFont="1"/>
    <xf borderId="7" fillId="0" fontId="9" numFmtId="0" xfId="0" applyAlignment="1" applyBorder="1" applyFont="1">
      <alignment horizontal="center" shrinkToFit="0" vertical="center" wrapText="1"/>
    </xf>
    <xf borderId="7" fillId="0" fontId="9" numFmtId="1" xfId="0" applyAlignment="1" applyBorder="1" applyFont="1" applyNumberFormat="1">
      <alignment horizontal="center" shrinkToFit="0" vertical="center" wrapText="1"/>
    </xf>
    <xf borderId="7" fillId="3" fontId="4" numFmtId="0" xfId="0" applyBorder="1" applyFill="1" applyFont="1"/>
    <xf borderId="7" fillId="0" fontId="9" numFmtId="10" xfId="0" applyAlignment="1" applyBorder="1" applyFont="1" applyNumberFormat="1">
      <alignment horizontal="center" shrinkToFit="0" vertical="center" wrapText="1"/>
    </xf>
    <xf borderId="0" fillId="0" fontId="10" numFmtId="0" xfId="0" applyFont="1"/>
    <xf borderId="0" fillId="0" fontId="4" numFmtId="0" xfId="0" applyAlignment="1" applyFont="1">
      <alignment horizontal="center" shrinkToFit="0" vertical="center" wrapText="1"/>
    </xf>
    <xf borderId="7" fillId="0" fontId="4" numFmtId="0" xfId="0" applyAlignment="1" applyBorder="1" applyFont="1">
      <alignment horizontal="center" shrinkToFit="0" vertical="center" wrapText="1"/>
    </xf>
    <xf borderId="0" fillId="0" fontId="4" numFmtId="0" xfId="0" applyAlignment="1" applyFont="1">
      <alignment shrinkToFit="0" vertical="center" wrapText="1"/>
    </xf>
    <xf borderId="7" fillId="0" fontId="1" numFmtId="0" xfId="0" applyAlignment="1" applyBorder="1" applyFont="1">
      <alignment horizontal="center" shrinkToFit="0" vertical="center" wrapText="1"/>
    </xf>
    <xf borderId="4" fillId="3" fontId="5" numFmtId="0" xfId="0" applyAlignment="1" applyBorder="1" applyFill="1" applyFont="1">
      <alignment horizontal="right" readingOrder="0" shrinkToFit="0" vertical="center" wrapText="1"/>
    </xf>
    <xf borderId="0" fillId="0" fontId="4" numFmtId="0" xfId="0" applyAlignment="1" applyFont="1">
      <alignment horizontal="left" shrinkToFit="0" vertical="center" wrapText="0"/>
    </xf>
    <xf borderId="7" fillId="0" fontId="4" numFmtId="0" xfId="0" applyAlignment="1" applyBorder="1" applyFont="1">
      <alignment shrinkToFit="0" wrapText="1"/>
    </xf>
    <xf borderId="0" fillId="0" fontId="10" numFmtId="0" xfId="0" applyAlignment="1" applyFont="1">
      <alignment shrinkToFit="0" vertical="center" wrapText="0"/>
    </xf>
    <xf borderId="0" fillId="0" fontId="4" numFmtId="0" xfId="0" applyAlignment="1" applyFont="1">
      <alignment horizontal="left" shrinkToFit="0" vertical="center" wrapText="1"/>
    </xf>
    <xf borderId="0" fillId="0" fontId="4" numFmtId="0" xfId="0" applyAlignment="1" applyFont="1">
      <alignment shrinkToFit="0" vertical="center" wrapText="1"/>
    </xf>
    <xf borderId="0" fillId="0" fontId="4" numFmtId="1" xfId="0" applyAlignment="1" applyFont="1" applyNumberFormat="1">
      <alignment horizontal="center" shrinkToFit="0" vertical="center" wrapText="1"/>
    </xf>
    <xf borderId="0" fillId="0" fontId="4" numFmtId="10" xfId="0" applyAlignment="1" applyFont="1" applyNumberFormat="1">
      <alignment horizontal="center" shrinkToFit="0" vertical="center" wrapText="1"/>
    </xf>
    <xf borderId="0" fillId="0" fontId="11" numFmtId="0" xfId="0" applyAlignment="1" applyFont="1">
      <alignment horizontal="center" readingOrder="0" shrinkToFit="0" vertical="center" wrapText="0"/>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0"/>
    </xf>
    <xf borderId="0" fillId="0" fontId="4" numFmtId="0" xfId="0" applyAlignment="1" applyFont="1">
      <alignment horizontal="center" vertical="center"/>
    </xf>
    <xf borderId="0" fillId="0" fontId="13" numFmtId="0" xfId="0" applyFont="1"/>
    <xf borderId="0" fillId="0" fontId="14" numFmtId="0" xfId="0" applyFont="1"/>
    <xf borderId="0" fillId="0" fontId="15" numFmtId="0" xfId="0" applyFont="1"/>
    <xf borderId="0" fillId="0" fontId="16" numFmtId="0" xfId="0" applyFont="1"/>
    <xf borderId="0" fillId="0" fontId="13" numFmtId="0" xfId="0" applyAlignment="1" applyFont="1">
      <alignment horizontal="left" readingOrder="0" shrinkToFit="0" vertical="center" wrapText="0"/>
    </xf>
    <xf borderId="4" fillId="5" fontId="17" numFmtId="0" xfId="0" applyAlignment="1" applyBorder="1" applyFill="1" applyFont="1">
      <alignment horizontal="left" readingOrder="0" shrinkToFit="0" vertical="center" wrapText="0"/>
    </xf>
    <xf borderId="0" fillId="0" fontId="18" numFmtId="0" xfId="0" applyFont="1"/>
    <xf borderId="0" fillId="0" fontId="17" numFmtId="9" xfId="0" applyAlignment="1" applyFont="1" applyNumberFormat="1">
      <alignment horizontal="left" readingOrder="0" shrinkToFit="0" vertical="center" wrapText="0"/>
    </xf>
    <xf borderId="0" fillId="0" fontId="17" numFmtId="0" xfId="0" applyAlignment="1" applyFont="1">
      <alignment horizontal="left" readingOrder="0" shrinkToFit="0" vertical="center" wrapText="0"/>
    </xf>
    <xf borderId="0" fillId="0" fontId="13" numFmtId="0" xfId="0" applyAlignment="1" applyFont="1">
      <alignment shrinkToFit="0" vertical="center" wrapText="0"/>
    </xf>
    <xf borderId="0" fillId="0" fontId="4" numFmtId="0" xfId="0" applyAlignment="1" applyFont="1">
      <alignment horizontal="center" shrinkToFit="0" vertical="center" wrapText="0"/>
    </xf>
    <xf borderId="0" fillId="0" fontId="4" numFmtId="0" xfId="0" applyAlignment="1" applyFont="1">
      <alignment horizontal="center" readingOrder="0" shrinkToFit="0" vertical="center" wrapText="0"/>
    </xf>
    <xf borderId="0" fillId="0" fontId="19" numFmtId="0" xfId="0" applyAlignment="1" applyFont="1">
      <alignment shrinkToFit="0" vertical="center" wrapText="0"/>
    </xf>
    <xf borderId="0" fillId="0" fontId="20" numFmtId="0" xfId="0" applyAlignment="1" applyFont="1">
      <alignment readingOrder="0" shrinkToFit="0" vertical="center" wrapText="0"/>
    </xf>
    <xf borderId="0" fillId="0" fontId="21" numFmtId="0" xfId="0" applyAlignment="1" applyFont="1">
      <alignment shrinkToFit="0" vertical="center" wrapText="0"/>
    </xf>
    <xf borderId="0" fillId="0" fontId="22" numFmtId="0" xfId="0" applyAlignment="1" applyFont="1">
      <alignment readingOrder="0"/>
    </xf>
    <xf borderId="0" fillId="0" fontId="19" numFmtId="0" xfId="0" applyFont="1"/>
    <xf borderId="8" fillId="4" fontId="8" numFmtId="0" xfId="0" applyBorder="1" applyFill="1" applyFont="1"/>
    <xf borderId="9" fillId="4" fontId="8" numFmtId="0" xfId="0" applyAlignment="1" applyBorder="1" applyFill="1" applyFont="1">
      <alignment horizontal="center" vertical="center"/>
    </xf>
    <xf borderId="9" fillId="4" fontId="8" numFmtId="0" xfId="0" applyAlignment="1" applyBorder="1" applyFill="1" applyFont="1">
      <alignment horizontal="left" shrinkToFit="0" vertical="center" wrapText="1"/>
    </xf>
    <xf borderId="10" fillId="4" fontId="8" numFmtId="0" xfId="0" applyAlignment="1" applyBorder="1" applyFill="1" applyFont="1">
      <alignment horizontal="center" shrinkToFit="0" vertical="center" wrapText="1"/>
    </xf>
    <xf borderId="9" fillId="4" fontId="8" numFmtId="0" xfId="0" applyAlignment="1" applyBorder="1" applyFill="1" applyFont="1">
      <alignment horizontal="center" shrinkToFit="0" vertical="center" wrapText="1"/>
    </xf>
    <xf borderId="9" fillId="4" fontId="8" numFmtId="0" xfId="0" applyAlignment="1" applyBorder="1" applyFill="1" applyFont="1">
      <alignment shrinkToFit="0" wrapText="1"/>
    </xf>
    <xf borderId="11" fillId="3" fontId="5" numFmtId="0" xfId="0" applyAlignment="1" applyBorder="1" applyFill="1" applyFont="1">
      <alignment readingOrder="0" shrinkToFit="0" vertical="center" wrapText="1"/>
    </xf>
    <xf borderId="0" fillId="0" fontId="4" numFmtId="0" xfId="0" applyAlignment="1" applyFont="1">
      <alignment horizontal="left" shrinkToFit="0" vertical="center" wrapText="1"/>
    </xf>
    <xf borderId="0" fillId="0" fontId="23" numFmtId="0" xfId="0" applyAlignment="1" applyFont="1">
      <alignment horizontal="left" readingOrder="0" shrinkToFit="0" vertical="center" wrapText="0"/>
    </xf>
    <xf borderId="4" fillId="4" fontId="8" numFmtId="0" xfId="0" applyAlignment="1" applyBorder="1" applyFill="1" applyFont="1">
      <alignment horizontal="left" readingOrder="0" shrinkToFit="0" vertical="center" wrapText="0"/>
    </xf>
    <xf borderId="0" fillId="0" fontId="8" numFmtId="0" xfId="0" applyAlignment="1" applyFont="1">
      <alignment vertical="center"/>
    </xf>
    <xf borderId="0" fillId="0" fontId="24" numFmtId="0" xfId="0" applyAlignment="1" applyFont="1">
      <alignment shrinkToFit="0" vertical="center" wrapText="1"/>
    </xf>
    <xf borderId="0" fillId="0" fontId="24" numFmtId="0" xfId="0" applyAlignment="1" applyFont="1">
      <alignment shrinkToFit="0" vertical="center" wrapText="0"/>
    </xf>
    <xf borderId="0" fillId="0" fontId="24" numFmtId="0" xfId="0" applyAlignment="1" applyFont="1">
      <alignment vertical="center"/>
    </xf>
    <xf borderId="0" fillId="0" fontId="9" numFmtId="0" xfId="0" applyAlignment="1" applyFont="1">
      <alignment vertical="center"/>
    </xf>
    <xf borderId="0" fillId="0" fontId="4" numFmtId="0" xfId="0" applyAlignment="1" applyFont="1">
      <alignment vertical="center"/>
    </xf>
    <xf borderId="12" fillId="6" fontId="25" numFmtId="0" xfId="0" applyAlignment="1" applyBorder="1" applyFill="1" applyFont="1">
      <alignment shrinkToFit="0" vertical="center" wrapText="1"/>
    </xf>
    <xf borderId="12" fillId="6" fontId="26" numFmtId="0" xfId="0" applyAlignment="1" applyBorder="1" applyFill="1" applyFont="1">
      <alignment shrinkToFit="0" vertical="center" wrapText="1"/>
    </xf>
    <xf borderId="12" fillId="6" fontId="4" numFmtId="0" xfId="0" applyAlignment="1" applyBorder="1" applyFill="1" applyFont="1">
      <alignment shrinkToFit="0" vertical="center" wrapText="1"/>
    </xf>
    <xf borderId="12" fillId="6" fontId="9" numFmtId="0" xfId="0" applyAlignment="1" applyBorder="1" applyFill="1" applyFont="1">
      <alignment shrinkToFit="0" vertical="center" wrapText="1"/>
    </xf>
    <xf borderId="12" fillId="6" fontId="5" numFmtId="0" xfId="0" applyAlignment="1" applyBorder="1" applyFill="1" applyFont="1">
      <alignment shrinkToFit="0" vertical="center" wrapText="1"/>
    </xf>
    <xf borderId="13" fillId="0" fontId="4" numFmtId="0" xfId="0" applyAlignment="1" applyBorder="1" applyFont="1">
      <alignment vertical="center"/>
    </xf>
    <xf borderId="14" fillId="6" fontId="5" numFmtId="0" xfId="0" applyAlignment="1" applyBorder="1" applyFill="1" applyFont="1">
      <alignment shrinkToFit="0" vertical="center" wrapText="1"/>
    </xf>
    <xf borderId="15" fillId="6" fontId="5" numFmtId="0" xfId="0" applyAlignment="1" applyBorder="1" applyFill="1" applyFont="1">
      <alignment shrinkToFit="0" vertical="center" wrapText="1"/>
    </xf>
    <xf borderId="16" fillId="6" fontId="5" numFmtId="0" xfId="0" applyAlignment="1" applyBorder="1" applyFill="1" applyFont="1">
      <alignment shrinkToFit="0" vertical="center" wrapText="1"/>
    </xf>
    <xf borderId="14" fillId="6" fontId="25" numFmtId="0" xfId="0" applyAlignment="1" applyBorder="1" applyFill="1" applyFont="1">
      <alignment shrinkToFit="0" vertical="center" wrapText="1"/>
    </xf>
    <xf borderId="15" fillId="6" fontId="4" numFmtId="0" xfId="0" applyAlignment="1" applyBorder="1" applyFill="1" applyFont="1">
      <alignment shrinkToFit="0" vertical="center" wrapText="1"/>
    </xf>
    <xf borderId="16" fillId="6" fontId="4" numFmtId="0" xfId="0" applyAlignment="1" applyBorder="1" applyFill="1" applyFont="1">
      <alignment shrinkToFit="0" vertical="center" wrapText="1"/>
    </xf>
    <xf borderId="0" fillId="0" fontId="9" numFmtId="0" xfId="0" applyAlignment="1" applyFont="1">
      <alignment shrinkToFit="0" vertical="center" wrapText="1"/>
    </xf>
    <xf borderId="0" fillId="0" fontId="27" numFmtId="0" xfId="0" applyAlignment="1" applyFont="1">
      <alignment shrinkToFit="0" vertical="center" wrapText="1"/>
    </xf>
    <xf borderId="17" fillId="0" fontId="4" numFmtId="0" xfId="0" applyAlignment="1" applyBorder="1" applyFont="1">
      <alignment shrinkToFit="0" vertical="center" wrapText="0"/>
    </xf>
    <xf borderId="0" fillId="0" fontId="11" numFmtId="9" xfId="0" applyAlignment="1" applyFont="1" applyNumberFormat="1">
      <alignment horizontal="center" readingOrder="0" shrinkToFit="0" vertical="center" wrapText="1"/>
    </xf>
    <xf borderId="0" fillId="0" fontId="10" numFmtId="0" xfId="0" applyAlignment="1" applyFont="1">
      <alignment readingOrder="0" shrinkToFit="0" vertical="center" wrapText="0"/>
    </xf>
    <xf borderId="0" fillId="0" fontId="4" numFmtId="9" xfId="0" applyAlignment="1" applyFont="1" applyNumberFormat="1">
      <alignment horizontal="center" shrinkToFit="0" vertical="center" wrapText="0"/>
    </xf>
    <xf borderId="0" fillId="0" fontId="11" numFmtId="49" xfId="0" applyAlignment="1" applyFont="1" applyNumberFormat="1">
      <alignment horizontal="left" readingOrder="0" shrinkToFit="0" vertical="center" wrapText="0"/>
    </xf>
    <xf borderId="0" fillId="0" fontId="21" numFmtId="0" xfId="0" applyAlignment="1" applyFont="1">
      <alignment horizontal="center" shrinkToFit="0" vertical="center" wrapText="0"/>
    </xf>
    <xf borderId="0" fillId="0" fontId="21" numFmtId="9" xfId="0" applyAlignment="1" applyFont="1" applyNumberFormat="1">
      <alignment shrinkToFit="0" vertical="center" wrapText="0"/>
    </xf>
    <xf borderId="18" fillId="0" fontId="4" numFmtId="0" xfId="0" applyAlignment="1" applyBorder="1" applyFont="1">
      <alignment shrinkToFit="0" vertical="center" wrapText="1"/>
    </xf>
    <xf borderId="0" fillId="0" fontId="11" numFmtId="0" xfId="0" applyAlignment="1" applyFont="1">
      <alignment horizontal="left" readingOrder="0" shrinkToFit="0" vertical="center" wrapText="1"/>
    </xf>
    <xf borderId="17" fillId="0" fontId="4" numFmtId="0" xfId="0" applyAlignment="1" applyBorder="1" applyFont="1">
      <alignment shrinkToFit="0" vertical="center" wrapText="1"/>
    </xf>
    <xf borderId="11" fillId="4" fontId="8" numFmtId="0" xfId="0" applyAlignment="1" applyBorder="1" applyFill="1" applyFont="1">
      <alignment horizontal="left" readingOrder="0" shrinkToFit="0" vertical="center" wrapText="0"/>
    </xf>
    <xf borderId="19" fillId="0" fontId="8" numFmtId="0" xfId="0" applyAlignment="1" applyBorder="1" applyFont="1">
      <alignment horizontal="left" readingOrder="0" shrinkToFit="0" vertical="center" wrapText="0"/>
    </xf>
    <xf borderId="20" fillId="4" fontId="3" numFmtId="0" xfId="0" applyAlignment="1" applyBorder="1" applyFill="1" applyFont="1">
      <alignment horizontal="center" readingOrder="0" shrinkToFit="0" vertical="top" wrapText="0"/>
    </xf>
    <xf borderId="21" fillId="7" fontId="4" numFmtId="0" xfId="0" applyAlignment="1" applyBorder="1" applyFill="1" applyFont="1">
      <alignment shrinkToFit="0" vertical="top" wrapText="0"/>
    </xf>
    <xf borderId="21" fillId="0" fontId="4" numFmtId="0" xfId="0" applyAlignment="1" applyBorder="1" applyFont="1">
      <alignment shrinkToFit="0" vertical="top" wrapText="0"/>
    </xf>
    <xf borderId="22" fillId="7" fontId="4" numFmtId="0" xfId="0" applyAlignment="1" applyBorder="1" applyFill="1" applyFont="1">
      <alignment shrinkToFit="0" vertical="center" wrapText="0"/>
    </xf>
    <xf borderId="19" fillId="0" fontId="4" numFmtId="0" xfId="0" applyAlignment="1" applyBorder="1" applyFont="1">
      <alignment shrinkToFit="0" vertical="center" wrapText="0"/>
    </xf>
    <xf borderId="23" fillId="0" fontId="4" numFmtId="0" xfId="0" applyAlignment="1" applyBorder="1" applyFont="1">
      <alignment shrinkToFit="0" vertical="top" wrapText="0"/>
    </xf>
    <xf borderId="24" fillId="0" fontId="4" numFmtId="0" xfId="0" applyAlignment="1" applyBorder="1" applyFont="1">
      <alignment shrinkToFit="0" vertical="center" wrapText="0"/>
    </xf>
    <xf borderId="25" fillId="0" fontId="3" numFmtId="0" xfId="0" applyAlignment="1" applyBorder="1" applyFont="1">
      <alignment horizontal="center" readingOrder="0" shrinkToFit="0" vertical="top" wrapText="0"/>
    </xf>
    <xf borderId="26" fillId="0" fontId="3" numFmtId="0" xfId="0" applyAlignment="1" applyBorder="1" applyFont="1">
      <alignment horizontal="center" readingOrder="0" shrinkToFit="0" vertical="top" wrapText="0"/>
    </xf>
    <xf borderId="27" fillId="0" fontId="6" numFmtId="1" xfId="0" applyAlignment="1" applyBorder="1" applyFont="1" applyNumberFormat="1">
      <alignment horizontal="center" readingOrder="0" shrinkToFit="0" vertical="top" wrapText="1"/>
    </xf>
    <xf borderId="28" fillId="0" fontId="28" numFmtId="0" xfId="0" applyAlignment="1" applyBorder="1" applyFont="1">
      <alignment shrinkToFit="0" vertical="center" wrapText="0"/>
    </xf>
    <xf borderId="25" fillId="0" fontId="6" numFmtId="0" xfId="0" applyAlignment="1" applyBorder="1" applyFont="1">
      <alignment horizontal="center" readingOrder="0" shrinkToFit="0" vertical="top" wrapText="0"/>
    </xf>
    <xf borderId="25" fillId="0" fontId="3" numFmtId="0" xfId="0" applyAlignment="1" applyBorder="1" applyFont="1">
      <alignment horizontal="center" readingOrder="0" shrinkToFit="0" vertical="top" wrapText="1"/>
    </xf>
    <xf borderId="26" fillId="0" fontId="29" numFmtId="0" xfId="0" applyAlignment="1" applyBorder="1" applyFont="1">
      <alignment horizontal="center" readingOrder="0" shrinkToFit="0" vertical="top" wrapText="0"/>
    </xf>
    <xf borderId="27" fillId="0" fontId="8" numFmtId="1" xfId="0" applyAlignment="1" applyBorder="1" applyFont="1" applyNumberFormat="1">
      <alignment horizontal="center" readingOrder="0" shrinkToFit="0" vertical="top" wrapText="1"/>
    </xf>
    <xf borderId="25" fillId="0" fontId="6" numFmtId="0" xfId="0" applyAlignment="1" applyBorder="1" applyFont="1">
      <alignment horizontal="center" readingOrder="0" shrinkToFit="0" vertical="top" wrapText="1"/>
    </xf>
    <xf borderId="29" fillId="4" fontId="8" numFmtId="0" xfId="0" applyAlignment="1" applyBorder="1" applyFill="1" applyFont="1">
      <alignment horizontal="left" readingOrder="0" shrinkToFit="0" vertical="center" wrapText="1"/>
    </xf>
    <xf borderId="30" fillId="4" fontId="8" numFmtId="0" xfId="0" applyAlignment="1" applyBorder="1" applyFill="1" applyFont="1">
      <alignment horizontal="left" readingOrder="0" shrinkToFit="0" vertical="center" wrapText="1"/>
    </xf>
    <xf borderId="30" fillId="4" fontId="8" numFmtId="0" xfId="0" applyAlignment="1" applyBorder="1" applyFill="1" applyFont="1">
      <alignment horizontal="center" readingOrder="0" shrinkToFit="0" vertical="top" wrapText="1"/>
    </xf>
    <xf borderId="31" fillId="4" fontId="8" numFmtId="0" xfId="0" applyAlignment="1" applyBorder="1" applyFill="1" applyFont="1">
      <alignment horizontal="center" readingOrder="0" shrinkToFit="0" vertical="top" wrapText="1"/>
    </xf>
    <xf borderId="0" fillId="0" fontId="19" numFmtId="0" xfId="0" applyAlignment="1" applyFont="1">
      <alignment readingOrder="0" shrinkToFit="0" vertical="center" wrapText="0"/>
    </xf>
    <xf borderId="0" fillId="0" fontId="4" numFmtId="2" xfId="0" applyAlignment="1" applyFont="1" applyNumberFormat="1">
      <alignment shrinkToFit="0" vertical="center" wrapText="1"/>
    </xf>
    <xf borderId="4" fillId="3" fontId="4" numFmtId="0" xfId="0" applyAlignment="1" applyBorder="1" applyFill="1" applyFont="1">
      <alignment shrinkToFit="0" vertical="center" wrapText="1"/>
    </xf>
    <xf borderId="4" fillId="8" fontId="4" numFmtId="0" xfId="0" applyAlignment="1" applyBorder="1" applyFill="1" applyFont="1">
      <alignment shrinkToFit="0" vertical="center" wrapText="1"/>
    </xf>
    <xf borderId="27" fillId="0" fontId="8" numFmtId="0" xfId="0" applyAlignment="1" applyBorder="1" applyFont="1">
      <alignment horizontal="center" readingOrder="0" shrinkToFit="0" vertical="top" wrapText="1"/>
    </xf>
    <xf borderId="32" fillId="0" fontId="8" numFmtId="0" xfId="0" applyAlignment="1" applyBorder="1" applyFont="1">
      <alignment horizontal="center" readingOrder="0" shrinkToFit="0" vertical="top" wrapText="1"/>
    </xf>
    <xf borderId="33" fillId="0" fontId="4" numFmtId="0" xfId="0" applyAlignment="1" applyBorder="1" applyFont="1">
      <alignment shrinkToFit="0" vertical="center" wrapText="1"/>
    </xf>
    <xf borderId="34" fillId="0" fontId="4" numFmtId="0" xfId="0" applyAlignment="1" applyBorder="1" applyFont="1">
      <alignment shrinkToFit="0" vertical="center" wrapText="1"/>
    </xf>
    <xf borderId="0" fillId="0" fontId="4" numFmtId="1" xfId="0" applyAlignment="1" applyFont="1" applyNumberFormat="1">
      <alignment shrinkToFit="0" vertical="center" wrapText="1"/>
    </xf>
    <xf borderId="35" fillId="0" fontId="4" numFmtId="0" xfId="0" applyAlignment="1" applyBorder="1" applyFont="1">
      <alignment shrinkToFit="0" vertical="center" wrapText="1"/>
    </xf>
    <xf borderId="36" fillId="0" fontId="4" numFmtId="0" xfId="0" applyAlignment="1" applyBorder="1" applyFont="1">
      <alignment shrinkToFit="0" vertical="center" wrapText="1"/>
    </xf>
    <xf borderId="36" fillId="0" fontId="4" numFmtId="2" xfId="0" applyAlignment="1" applyBorder="1" applyFont="1" applyNumberFormat="1">
      <alignment shrinkToFit="0" vertical="center" wrapText="1"/>
    </xf>
    <xf borderId="36" fillId="0" fontId="4" numFmtId="1" xfId="0" applyAlignment="1" applyBorder="1" applyFont="1" applyNumberFormat="1">
      <alignment shrinkToFit="0" vertical="center" wrapText="1"/>
    </xf>
    <xf borderId="37" fillId="9" fontId="30" numFmtId="0" xfId="0" applyAlignment="1" applyBorder="1" applyFill="1" applyFont="1">
      <alignment readingOrder="0" shrinkToFit="0" vertical="center" wrapText="0"/>
    </xf>
    <xf borderId="4" fillId="2" fontId="31" numFmtId="0" xfId="0" applyAlignment="1" applyBorder="1" applyFill="1" applyFont="1">
      <alignment horizontal="center" readingOrder="0" shrinkToFit="0" vertical="center" wrapText="0"/>
    </xf>
    <xf borderId="0" fillId="0" fontId="32" numFmtId="0" xfId="0" applyFont="1"/>
    <xf borderId="0" fillId="0" fontId="32" numFmtId="0" xfId="0" applyAlignment="1" applyFont="1">
      <alignment shrinkToFit="0" vertical="center" wrapText="0"/>
    </xf>
    <xf borderId="0" fillId="0" fontId="32" numFmtId="0" xfId="0" applyAlignment="1" applyFont="1">
      <alignment shrinkToFit="0" vertical="center" wrapText="1"/>
    </xf>
    <xf borderId="0" fillId="0" fontId="33" numFmtId="0" xfId="0" applyAlignment="1" applyFont="1">
      <alignment shrinkToFit="0" vertical="center" wrapText="1"/>
    </xf>
    <xf borderId="0" fillId="0" fontId="33" numFmtId="0" xfId="0" applyAlignment="1" applyFont="1">
      <alignment shrinkToFit="0" vertical="center" wrapText="1"/>
    </xf>
    <xf borderId="4" fillId="7" fontId="4" numFmtId="0" xfId="0" applyAlignment="1" applyBorder="1" applyFill="1" applyFont="1">
      <alignment shrinkToFit="0" vertical="center" wrapText="0"/>
    </xf>
    <xf borderId="18" fillId="0" fontId="4" numFmtId="0" xfId="0" applyAlignment="1" applyBorder="1" applyFont="1">
      <alignment shrinkToFit="0" vertical="center" wrapText="0"/>
    </xf>
    <xf borderId="0" fillId="0" fontId="4" numFmtId="9" xfId="0" applyAlignment="1" applyFont="1" applyNumberFormat="1">
      <alignment horizontal="center"/>
    </xf>
    <xf borderId="0" fillId="0" fontId="4" numFmtId="1" xfId="0" applyAlignment="1" applyFont="1" applyNumberFormat="1">
      <alignment shrinkToFit="0" wrapText="1"/>
    </xf>
  </cellXfs>
  <cellStyles count="1">
    <cellStyle xfId="0" name="Normal" builtinId="0"/>
  </cellStyles>
  <dxfs count="13">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none"/>
      </fill>
      <border>
        <left style="thin">
          <color rgb="FF000000"/>
        </left>
      </border>
    </dxf>
    <dxf>
      <font>
        <color rgb="FF9C0006"/>
      </font>
      <fill>
        <patternFill patternType="solid">
          <fgColor rgb="FFFFC7CE"/>
          <bgColor rgb="FFFFC7CE"/>
        </patternFill>
      </fill>
      <border/>
    </dxf>
    <dxf>
      <font/>
      <fill>
        <patternFill patternType="none"/>
      </fill>
      <border>
        <bottom style="thin">
          <color rgb="FF000000"/>
        </bottom>
      </border>
    </dxf>
    <dxf>
      <font/>
      <fill>
        <patternFill patternType="none"/>
      </fill>
      <border>
        <right style="thin">
          <color rgb="FF000000"/>
        </right>
      </border>
    </dxf>
    <dxf>
      <font/>
      <fill>
        <patternFill patternType="none"/>
      </fill>
      <border>
        <left style="thin">
          <color rgb="FF000000"/>
        </left>
        <right style="thin">
          <color rgb="FF000000"/>
        </right>
      </border>
    </dxf>
    <dxf>
      <font>
        <strike/>
        <color rgb="FF7F7F7F"/>
      </font>
      <fill>
        <patternFill patternType="solid">
          <fgColor rgb="FFD8D8D8"/>
          <bgColor rgb="FFD8D8D8"/>
        </patternFill>
      </fill>
      <border/>
    </dxf>
    <dxf>
      <font/>
      <fill>
        <patternFill patternType="solid">
          <fgColor rgb="FF92D050"/>
          <bgColor rgb="FF92D050"/>
        </patternFill>
      </fill>
      <border/>
    </dxf>
    <dxf>
      <font/>
      <fill>
        <patternFill patternType="solid">
          <fgColor rgb="FF00B0F0"/>
          <bgColor rgb="FF00B0F0"/>
        </patternFill>
      </fill>
      <border/>
    </dxf>
  </dxfs>
  <tableStyles count="21">
    <tableStyle count="4" pivot="0" name="Checklist-style">
      <tableStyleElement dxfId="1" type="headerRow"/>
      <tableStyleElement dxfId="2" type="firstRowStripe"/>
      <tableStyleElement dxfId="3" type="secondRowStripe"/>
      <tableStyleElement dxfId="4" size="0" type="wholeTable"/>
    </tableStyle>
    <tableStyle count="4" pivot="0" name="Player-style">
      <tableStyleElement dxfId="1" type="headerRow"/>
      <tableStyleElement dxfId="2" type="firstRowStripe"/>
      <tableStyleElement dxfId="3" type="secondRowStripe"/>
      <tableStyleElement dxfId="4" size="0" type="wholeTable"/>
    </tableStyle>
    <tableStyle count="4" pivot="0" name="cost checklist-style">
      <tableStyleElement dxfId="1" type="headerRow"/>
      <tableStyleElement dxfId="2" type="firstRowStripe"/>
      <tableStyleElement dxfId="3" type="secondRowStripe"/>
      <tableStyleElement dxfId="4" size="0" type="wholeTable"/>
    </tableStyle>
    <tableStyle count="4" pivot="0" name="Recommended-style">
      <tableStyleElement dxfId="1" type="headerRow"/>
      <tableStyleElement dxfId="2" type="firstRowStripe"/>
      <tableStyleElement dxfId="3" type="secondRowStripe"/>
      <tableStyleElement dxfId="4" size="0" type="wholeTable"/>
    </tableStyle>
    <tableStyle count="4" pivot="0" name="Recommended-style 2">
      <tableStyleElement dxfId="1" type="headerRow"/>
      <tableStyleElement dxfId="2" type="firstRowStripe"/>
      <tableStyleElement dxfId="3" type="secondRowStripe"/>
      <tableStyleElement dxfId="4" size="0" type="wholeTable"/>
    </tableStyle>
    <tableStyle count="4" pivot="0" name="Validation-style">
      <tableStyleElement dxfId="1" type="headerRow"/>
      <tableStyleElement dxfId="2" type="firstRowStripe"/>
      <tableStyleElement dxfId="3" type="secondRowStripe"/>
      <tableStyleElement dxfId="4" size="0" type="wholeTable"/>
    </tableStyle>
    <tableStyle count="4" pivot="0" name="Targets-style">
      <tableStyleElement dxfId="1" type="headerRow"/>
      <tableStyleElement dxfId="2" type="firstRowStripe"/>
      <tableStyleElement dxfId="3" type="secondRowStripe"/>
      <tableStyleElement dxfId="4" size="0" type="wholeTable"/>
    </tableStyle>
    <tableStyle count="4" pivot="0" name="TargetStatus-style">
      <tableStyleElement dxfId="1" type="headerRow"/>
      <tableStyleElement dxfId="2" type="firstRowStripe"/>
      <tableStyleElement dxfId="3" type="secondRowStripe"/>
      <tableStyleElement dxfId="4" size="0" type="wholeTable"/>
    </tableStyle>
    <tableStyle count="4" pivot="0" name="CostStatus-style">
      <tableStyleElement dxfId="1" type="headerRow"/>
      <tableStyleElement dxfId="2" type="firstRowStripe"/>
      <tableStyleElement dxfId="3" type="secondRowStripe"/>
      <tableStyleElement dxfId="4" size="0" type="wholeTable"/>
    </tableStyle>
    <tableStyle count="4" pivot="0" name="Dependencies-style">
      <tableStyleElement dxfId="1" type="headerRow"/>
      <tableStyleElement dxfId="2" type="firstRowStripe"/>
      <tableStyleElement dxfId="3" type="secondRowStripe"/>
      <tableStyleElement dxfId="4" size="0" type="wholeTable"/>
    </tableStyle>
    <tableStyle count="4" pivot="0" name="QuestObjectives-style">
      <tableStyleElement dxfId="1" type="headerRow"/>
      <tableStyleElement dxfId="2" type="firstRowStripe"/>
      <tableStyleElement dxfId="3" type="secondRowStripe"/>
      <tableStyleElement dxfId="4" size="0" type="wholeTable"/>
    </tableStyle>
    <tableStyle count="4" pivot="0" name="CostTemp-style">
      <tableStyleElement dxfId="1" type="headerRow"/>
      <tableStyleElement dxfId="2" type="firstRowStripe"/>
      <tableStyleElement dxfId="3" type="secondRowStripe"/>
      <tableStyleElement dxfId="4" size="0" type="wholeTable"/>
    </tableStyle>
    <tableStyle count="4" pivot="0" name="Buildings-style">
      <tableStyleElement dxfId="1" type="headerRow"/>
      <tableStyleElement dxfId="2" type="firstRowStripe"/>
      <tableStyleElement dxfId="3" type="secondRowStripe"/>
      <tableStyleElement dxfId="4" size="0" type="wholeTable"/>
    </tableStyle>
    <tableStyle count="4" pivot="0" name="Citadel-style">
      <tableStyleElement dxfId="1" type="headerRow"/>
      <tableStyleElement dxfId="2" type="firstRowStripe"/>
      <tableStyleElement dxfId="3" type="secondRowStripe"/>
      <tableStyleElement dxfId="4" size="0" type="wholeTable"/>
    </tableStyle>
    <tableStyle count="4" pivot="0" name="Collections-style">
      <tableStyleElement dxfId="1" type="headerRow"/>
      <tableStyleElement dxfId="2" type="firstRowStripe"/>
      <tableStyleElement dxfId="3" type="secondRowStripe"/>
      <tableStyleElement dxfId="4" size="0" type="wholeTable"/>
    </tableStyle>
    <tableStyle count="4" pivot="0" name="Craftifacts-style">
      <tableStyleElement dxfId="1" type="headerRow"/>
      <tableStyleElement dxfId="2" type="firstRowStripe"/>
      <tableStyleElement dxfId="3" type="secondRowStripe"/>
      <tableStyleElement dxfId="4" size="0" type="wholeTable"/>
    </tableStyle>
    <tableStyle count="4" pivot="0" name="Quests-style">
      <tableStyleElement dxfId="1" type="headerRow"/>
      <tableStyleElement dxfId="2" type="firstRowStripe"/>
      <tableStyleElement dxfId="3" type="secondRowStripe"/>
      <tableStyleElement dxfId="4" size="0" type="wholeTable"/>
    </tableStyle>
    <tableStyle count="4" pivot="0" name="States-style">
      <tableStyleElement dxfId="1" type="headerRow"/>
      <tableStyleElement dxfId="2" type="firstRowStripe"/>
      <tableStyleElement dxfId="3" type="secondRowStripe"/>
      <tableStyleElement dxfId="4" size="0" type="wholeTable"/>
    </tableStyle>
    <tableStyle count="4" pivot="0" name="Technologies-style">
      <tableStyleElement dxfId="1" type="headerRow"/>
      <tableStyleElement dxfId="2" type="firstRowStripe"/>
      <tableStyleElement dxfId="3" type="secondRowStripe"/>
      <tableStyleElement dxfId="4" size="0" type="wholeTable"/>
    </tableStyle>
    <tableStyle count="4" pivot="0" name="Dep_Import-style">
      <tableStyleElement dxfId="1" type="headerRow"/>
      <tableStyleElement dxfId="2" type="firstRowStripe"/>
      <tableStyleElement dxfId="3" type="secondRowStripe"/>
      <tableStyleElement dxfId="4" size="0" type="wholeTable"/>
    </tableStyle>
    <tableStyle count="4" pivot="0" name="Ali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microsoft.com/office/2007/relationships/slicerCache" Target="slicerCaches/slicerCache2.xml"/><Relationship Id="rId30" Type="http://schemas.microsoft.com/office/2007/relationships/slicerCache" Target="slicerCaches/slicerCache1.xml"/><Relationship Id="rId11" Type="http://schemas.openxmlformats.org/officeDocument/2006/relationships/worksheet" Target="worksheets/sheet7.xml"/><Relationship Id="rId33" Type="http://schemas.microsoft.com/office/2007/relationships/slicerCache" Target="slicerCaches/slicerCache4.xml"/><Relationship Id="rId10" Type="http://schemas.openxmlformats.org/officeDocument/2006/relationships/worksheet" Target="worksheets/sheet6.xml"/><Relationship Id="rId32" Type="http://schemas.microsoft.com/office/2007/relationships/slicerCache" Target="slicerCaches/slicerCache3.xml"/><Relationship Id="rId13" Type="http://schemas.openxmlformats.org/officeDocument/2006/relationships/worksheet" Target="worksheets/sheet9.xml"/><Relationship Id="rId35" Type="http://schemas.microsoft.com/office/2007/relationships/slicerCache" Target="slicerCaches/slicerCache6.xml"/><Relationship Id="rId12" Type="http://schemas.openxmlformats.org/officeDocument/2006/relationships/worksheet" Target="worksheets/sheet8.xml"/><Relationship Id="rId34" Type="http://schemas.microsoft.com/office/2007/relationships/slicerCache" Target="slicerCaches/slicerCache5.xml"/><Relationship Id="rId15" Type="http://schemas.openxmlformats.org/officeDocument/2006/relationships/worksheet" Target="worksheets/sheet11.xml"/><Relationship Id="rId14" Type="http://schemas.openxmlformats.org/officeDocument/2006/relationships/worksheet" Target="worksheets/sheet10.xml"/><Relationship Id="rId36" Type="http://schemas.microsoft.com/office/2007/relationships/slicerCache" Target="slicerCaches/slicerCache7.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1</xdr:row>
      <xdr:rowOff>152400</xdr:rowOff>
    </xdr:from>
    <xdr:ext cx="10572750" cy="19383375"/>
    <xdr:sp>
      <xdr:nvSpPr>
        <xdr:cNvPr id="3" name="Shape 3"/>
        <xdr:cNvSpPr txBox="1"/>
      </xdr:nvSpPr>
      <xdr:spPr>
        <a:xfrm>
          <a:off x="60130" y="0"/>
          <a:ext cx="10571740" cy="7560000"/>
        </a:xfrm>
        <a:prstGeom prst="rect">
          <a:avLst/>
        </a:prstGeom>
        <a:solidFill>
          <a:srgbClr val="D0D0D0"/>
        </a:solid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100">
              <a:solidFill>
                <a:schemeClr val="dk1"/>
              </a:solidFill>
              <a:latin typeface="Arial"/>
              <a:ea typeface="Arial"/>
              <a:cs typeface="Arial"/>
              <a:sym typeface="Arial"/>
            </a:rPr>
            <a:t>Nonograms Katana Tracker</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Player Instructions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What This Tracker Does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Nonograms Katana Tracker is designed to help you determine what you can work on now, what is coming next, and what resources you need to continue progressing through the game.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tracker follows dependencies between: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Buildings and building levels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Technologies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Quests and quest objectives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Citadel upgrades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Collections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Craftifacts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Character levels and skills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Other game states and progression requirements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As you update your progress, the tracker automatically recalculates which targets are </a:t>
          </a:r>
          <a:r>
            <a:rPr b="1" lang="en-US" sz="1100">
              <a:solidFill>
                <a:schemeClr val="dk1"/>
              </a:solidFill>
              <a:latin typeface="Arial"/>
              <a:ea typeface="Arial"/>
              <a:cs typeface="Arial"/>
              <a:sym typeface="Arial"/>
            </a:rPr>
            <a:t>COMPLETED</a:t>
          </a:r>
          <a:r>
            <a:rPr lang="en-US" sz="1100">
              <a:solidFill>
                <a:schemeClr val="dk1"/>
              </a:solidFill>
              <a:latin typeface="Arial"/>
              <a:ea typeface="Arial"/>
              <a:cs typeface="Arial"/>
              <a:sym typeface="Arial"/>
            </a:rPr>
            <a:t>, </a:t>
          </a:r>
          <a:r>
            <a:rPr b="1" lang="en-US" sz="1100">
              <a:solidFill>
                <a:schemeClr val="dk1"/>
              </a:solidFill>
              <a:latin typeface="Arial"/>
              <a:ea typeface="Arial"/>
              <a:cs typeface="Arial"/>
              <a:sym typeface="Arial"/>
            </a:rPr>
            <a:t>READY</a:t>
          </a:r>
          <a:r>
            <a:rPr lang="en-US" sz="1100">
              <a:solidFill>
                <a:schemeClr val="dk1"/>
              </a:solidFill>
              <a:latin typeface="Arial"/>
              <a:ea typeface="Arial"/>
              <a:cs typeface="Arial"/>
              <a:sym typeface="Arial"/>
            </a:rPr>
            <a:t>, or </a:t>
          </a:r>
          <a:r>
            <a:rPr b="1" lang="en-US" sz="1100">
              <a:solidFill>
                <a:schemeClr val="dk1"/>
              </a:solidFill>
              <a:latin typeface="Arial"/>
              <a:ea typeface="Arial"/>
              <a:cs typeface="Arial"/>
              <a:sym typeface="Arial"/>
            </a:rPr>
            <a:t>BLOCKED</a:t>
          </a:r>
          <a:r>
            <a:rPr lang="en-US" sz="1100">
              <a:solidFill>
                <a:schemeClr val="dk1"/>
              </a:solidFill>
              <a:latin typeface="Arial"/>
              <a:ea typeface="Arial"/>
              <a:cs typeface="Arial"/>
              <a:sym typeface="Arial"/>
            </a:rPr>
            <a: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Most of your normal interaction with the workbook takes place on four tabs: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Dashboard</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Player</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Checklist</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cost checklist</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other tabs primarily contain game data and calculations used by the tracker.</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r>
            <a:rPr b="1" lang="en-US" sz="1100">
              <a:solidFill>
                <a:schemeClr val="dk1"/>
              </a:solidFill>
              <a:latin typeface="Arial"/>
              <a:ea typeface="Arial"/>
              <a:cs typeface="Arial"/>
              <a:sym typeface="Arial"/>
            </a:rPr>
            <a:t>Getting Started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When using the tracker for the first time, update your information in this order: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Update the </a:t>
          </a:r>
          <a:r>
            <a:rPr b="1" lang="en-US" sz="1100">
              <a:solidFill>
                <a:schemeClr val="dk1"/>
              </a:solidFill>
              <a:latin typeface="Arial"/>
              <a:ea typeface="Arial"/>
              <a:cs typeface="Arial"/>
              <a:sym typeface="Arial"/>
            </a:rPr>
            <a:t>Player</a:t>
          </a:r>
          <a:r>
            <a:rPr lang="en-US" sz="1100">
              <a:solidFill>
                <a:schemeClr val="dk1"/>
              </a:solidFill>
              <a:latin typeface="Arial"/>
              <a:ea typeface="Arial"/>
              <a:cs typeface="Arial"/>
              <a:sym typeface="Arial"/>
            </a:rPr>
            <a:t>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Update completed items on the </a:t>
          </a:r>
          <a:r>
            <a:rPr b="1" lang="en-US" sz="1100">
              <a:solidFill>
                <a:schemeClr val="dk1"/>
              </a:solidFill>
              <a:latin typeface="Arial"/>
              <a:ea typeface="Arial"/>
              <a:cs typeface="Arial"/>
              <a:sym typeface="Arial"/>
            </a:rPr>
            <a:t>Checklist</a:t>
          </a:r>
          <a:r>
            <a:rPr lang="en-US" sz="1100">
              <a:solidFill>
                <a:schemeClr val="dk1"/>
              </a:solidFill>
              <a:latin typeface="Arial"/>
              <a:ea typeface="Arial"/>
              <a:cs typeface="Arial"/>
              <a:sym typeface="Arial"/>
            </a:rPr>
            <a:t>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Update resources already paid on the </a:t>
          </a:r>
          <a:r>
            <a:rPr b="1" lang="en-US" sz="1100">
              <a:solidFill>
                <a:schemeClr val="dk1"/>
              </a:solidFill>
              <a:latin typeface="Arial"/>
              <a:ea typeface="Arial"/>
              <a:cs typeface="Arial"/>
              <a:sym typeface="Arial"/>
            </a:rPr>
            <a:t>cost checklist</a:t>
          </a:r>
          <a:r>
            <a:rPr lang="en-US" sz="1100">
              <a:solidFill>
                <a:schemeClr val="dk1"/>
              </a:solidFill>
              <a:latin typeface="Arial"/>
              <a:ea typeface="Arial"/>
              <a:cs typeface="Arial"/>
              <a:sym typeface="Arial"/>
            </a:rPr>
            <a:t>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Return to the </a:t>
          </a:r>
          <a:r>
            <a:rPr b="1" lang="en-US" sz="1100">
              <a:solidFill>
                <a:schemeClr val="dk1"/>
              </a:solidFill>
              <a:latin typeface="Arial"/>
              <a:ea typeface="Arial"/>
              <a:cs typeface="Arial"/>
              <a:sym typeface="Arial"/>
            </a:rPr>
            <a:t>Dashboard</a:t>
          </a:r>
          <a:r>
            <a:rPr lang="en-US" sz="1100">
              <a:solidFill>
                <a:schemeClr val="dk1"/>
              </a:solidFill>
              <a:latin typeface="Arial"/>
              <a:ea typeface="Arial"/>
              <a:cs typeface="Arial"/>
              <a:sym typeface="Arial"/>
            </a:rPr>
            <a: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Once those three areas reflect your current game, the Dashboard should give you an overview of your current progression.</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r>
            <a:rPr b="1" lang="en-US" sz="1100">
              <a:solidFill>
                <a:schemeClr val="dk1"/>
              </a:solidFill>
              <a:latin typeface="Arial"/>
              <a:ea typeface="Arial"/>
              <a:cs typeface="Arial"/>
              <a:sym typeface="Arial"/>
            </a:rPr>
            <a:t>Using Slicers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Some sheets use Excel </a:t>
          </a:r>
          <a:r>
            <a:rPr b="1" lang="en-US" sz="1100">
              <a:solidFill>
                <a:schemeClr val="dk1"/>
              </a:solidFill>
              <a:latin typeface="Arial"/>
              <a:ea typeface="Arial"/>
              <a:cs typeface="Arial"/>
              <a:sym typeface="Arial"/>
            </a:rPr>
            <a:t>Slicers</a:t>
          </a:r>
          <a:r>
            <a:rPr lang="en-US" sz="1100">
              <a:solidFill>
                <a:schemeClr val="dk1"/>
              </a:solidFill>
              <a:latin typeface="Arial"/>
              <a:ea typeface="Arial"/>
              <a:cs typeface="Arial"/>
              <a:sym typeface="Arial"/>
            </a:rPr>
            <a:t> to make large tables easier to navigate.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 slicer is a set of clickable filter buttons connected to a table.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Instead of opening the normal Excel filter menus, you can simply click the value you want to see.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 a slicer might allow you to display only: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BUILDING</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TECH</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QUEST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COLLECTION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CRAFTIFACT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CITADEL</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Selecting One Item</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Click a slicer button once.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table immediately filters to show only rows matching that selection.</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Selecting Multiple Items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Click the </a:t>
          </a:r>
          <a:r>
            <a:rPr b="1" lang="en-US" sz="1100">
              <a:solidFill>
                <a:schemeClr val="dk1"/>
              </a:solidFill>
              <a:latin typeface="Arial"/>
              <a:ea typeface="Arial"/>
              <a:cs typeface="Arial"/>
              <a:sym typeface="Arial"/>
            </a:rPr>
            <a:t>Multi-Select</a:t>
          </a:r>
          <a:r>
            <a:rPr lang="en-US" sz="1100">
              <a:solidFill>
                <a:schemeClr val="dk1"/>
              </a:solidFill>
              <a:latin typeface="Arial"/>
              <a:ea typeface="Arial"/>
              <a:cs typeface="Arial"/>
              <a:sym typeface="Arial"/>
            </a:rPr>
            <a:t> button in the upper-right corner of the slicer.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Then click each item you want included.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Depending on your version of Excel, you can also hold </a:t>
          </a:r>
          <a:r>
            <a:rPr b="1" lang="en-US" sz="1100">
              <a:solidFill>
                <a:schemeClr val="dk1"/>
              </a:solidFill>
              <a:latin typeface="Arial"/>
              <a:ea typeface="Arial"/>
              <a:cs typeface="Arial"/>
              <a:sym typeface="Arial"/>
            </a:rPr>
            <a:t>Ctrl</a:t>
          </a:r>
          <a:r>
            <a:rPr lang="en-US" sz="1100">
              <a:solidFill>
                <a:schemeClr val="dk1"/>
              </a:solidFill>
              <a:latin typeface="Arial"/>
              <a:ea typeface="Arial"/>
              <a:cs typeface="Arial"/>
              <a:sym typeface="Arial"/>
            </a:rPr>
            <a:t> while clicking multiple slicer buttons.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Clearing a Slicer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Click the </a:t>
          </a:r>
          <a:r>
            <a:rPr b="1" lang="en-US" sz="1100">
              <a:solidFill>
                <a:schemeClr val="dk1"/>
              </a:solidFill>
              <a:latin typeface="Arial"/>
              <a:ea typeface="Arial"/>
              <a:cs typeface="Arial"/>
              <a:sym typeface="Arial"/>
            </a:rPr>
            <a:t>Clear Filter</a:t>
          </a:r>
          <a:r>
            <a:rPr lang="en-US" sz="1100">
              <a:solidFill>
                <a:schemeClr val="dk1"/>
              </a:solidFill>
              <a:latin typeface="Arial"/>
              <a:ea typeface="Arial"/>
              <a:cs typeface="Arial"/>
              <a:sym typeface="Arial"/>
            </a:rPr>
            <a:t> button in the upper-right corner of the slicer.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table returns to showing all applicable records.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Slicers are very useful at reducig the size of the checklists to see what</a:t>
          </a:r>
          <a:r>
            <a:rPr lang="en-US" sz="1100">
              <a:solidFill>
                <a:schemeClr val="dk1"/>
              </a:solidFill>
              <a:latin typeface="Arial"/>
              <a:ea typeface="Arial"/>
              <a:cs typeface="Arial"/>
              <a:sym typeface="Arial"/>
            </a:rPr>
            <a:t> is ready to be completed and is not yet completed</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If Something Seems Missing</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Always check the slicers before assuming data has disappeared.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 slicer selection can remain active even after you move to another part of the workbook.</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If a table appears unexpectedly short or an item you expect to see is missing:</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Look at the connected slicers.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Clear their filters.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Check the table again.</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Normal Playing Routine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Once the tracker has been set up, keeping it current should be simple.</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When your character progresses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Update the relevant value on the </a:t>
          </a:r>
          <a:r>
            <a:rPr b="1" lang="en-US" sz="1100">
              <a:solidFill>
                <a:schemeClr val="dk1"/>
              </a:solidFill>
              <a:latin typeface="Arial"/>
              <a:ea typeface="Arial"/>
              <a:cs typeface="Arial"/>
              <a:sym typeface="Arial"/>
            </a:rPr>
            <a:t>Player</a:t>
          </a:r>
          <a:r>
            <a:rPr lang="en-US" sz="1100">
              <a:solidFill>
                <a:schemeClr val="dk1"/>
              </a:solidFill>
              <a:latin typeface="Arial"/>
              <a:ea typeface="Arial"/>
              <a:cs typeface="Arial"/>
              <a:sym typeface="Arial"/>
            </a:rPr>
            <a:t> tab.</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Examples include: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Character Level</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Cartographer</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Cooking</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When you complete something</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Find the item on the </a:t>
          </a:r>
          <a:r>
            <a:rPr b="1" lang="en-US" sz="1100">
              <a:solidFill>
                <a:schemeClr val="dk1"/>
              </a:solidFill>
              <a:latin typeface="Arial"/>
              <a:ea typeface="Arial"/>
              <a:cs typeface="Arial"/>
              <a:sym typeface="Arial"/>
            </a:rPr>
            <a:t>Checklist</a:t>
          </a:r>
          <a:r>
            <a:rPr lang="en-US" sz="1100">
              <a:solidFill>
                <a:schemeClr val="dk1"/>
              </a:solidFill>
              <a:latin typeface="Arial"/>
              <a:ea typeface="Arial"/>
              <a:cs typeface="Arial"/>
              <a:sym typeface="Arial"/>
            </a:rPr>
            <a:t> and set </a:t>
          </a:r>
          <a:r>
            <a:rPr b="1" lang="en-US" sz="1100">
              <a:solidFill>
                <a:schemeClr val="dk1"/>
              </a:solidFill>
              <a:latin typeface="Arial"/>
              <a:ea typeface="Arial"/>
              <a:cs typeface="Arial"/>
              <a:sym typeface="Arial"/>
            </a:rPr>
            <a:t>PlayerCompleted</a:t>
          </a:r>
          <a:r>
            <a:rPr lang="en-US" sz="1100">
              <a:solidFill>
                <a:schemeClr val="dk1"/>
              </a:solidFill>
              <a:latin typeface="Arial"/>
              <a:ea typeface="Arial"/>
              <a:cs typeface="Arial"/>
              <a:sym typeface="Arial"/>
            </a:rPr>
            <a:t> to TRUE.</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When you pay resources toward something</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Find the applicable resource rows on the </a:t>
          </a:r>
          <a:r>
            <a:rPr b="1" lang="en-US" sz="1100">
              <a:solidFill>
                <a:schemeClr val="dk1"/>
              </a:solidFill>
              <a:latin typeface="Arial"/>
              <a:ea typeface="Arial"/>
              <a:cs typeface="Arial"/>
              <a:sym typeface="Arial"/>
            </a:rPr>
            <a:t>cost checklist</a:t>
          </a:r>
          <a:r>
            <a:rPr lang="en-US" sz="1100">
              <a:solidFill>
                <a:schemeClr val="dk1"/>
              </a:solidFill>
              <a:latin typeface="Arial"/>
              <a:ea typeface="Arial"/>
              <a:cs typeface="Arial"/>
              <a:sym typeface="Arial"/>
            </a:rPr>
            <a:t> and set </a:t>
          </a:r>
          <a:r>
            <a:rPr b="1" lang="en-US" sz="1100">
              <a:solidFill>
                <a:schemeClr val="dk1"/>
              </a:solidFill>
              <a:latin typeface="Arial"/>
              <a:ea typeface="Arial"/>
              <a:cs typeface="Arial"/>
              <a:sym typeface="Arial"/>
            </a:rPr>
            <a:t>PlayerPaid</a:t>
          </a:r>
          <a:r>
            <a:rPr lang="en-US" sz="1100">
              <a:solidFill>
                <a:schemeClr val="dk1"/>
              </a:solidFill>
              <a:latin typeface="Arial"/>
              <a:ea typeface="Arial"/>
              <a:cs typeface="Arial"/>
              <a:sym typeface="Arial"/>
            </a:rPr>
            <a:t> to TRUE.</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When deciding what to do next</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Return to the </a:t>
          </a:r>
          <a:r>
            <a:rPr b="1" lang="en-US" sz="1100">
              <a:solidFill>
                <a:schemeClr val="dk1"/>
              </a:solidFill>
              <a:latin typeface="Arial"/>
              <a:ea typeface="Arial"/>
              <a:cs typeface="Arial"/>
              <a:sym typeface="Arial"/>
            </a:rPr>
            <a:t>Dashboard</a:t>
          </a:r>
          <a:r>
            <a:rPr lang="en-US" sz="1100">
              <a:solidFill>
                <a:schemeClr val="dk1"/>
              </a:solidFill>
              <a:latin typeface="Arial"/>
              <a:ea typeface="Arial"/>
              <a:cs typeface="Arial"/>
              <a:sym typeface="Arial"/>
            </a:rPr>
            <a:t>.</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Use:</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Current Cost</a:t>
          </a:r>
          <a:r>
            <a:rPr lang="en-US" sz="1100">
              <a:solidFill>
                <a:schemeClr val="dk1"/>
              </a:solidFill>
              <a:latin typeface="Arial"/>
              <a:ea typeface="Arial"/>
              <a:cs typeface="Arial"/>
              <a:sym typeface="Arial"/>
            </a:rPr>
            <a:t> for things you can currently fund</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One Away</a:t>
          </a:r>
          <a:r>
            <a:rPr lang="en-US" sz="1100">
              <a:solidFill>
                <a:schemeClr val="dk1"/>
              </a:solidFill>
              <a:latin typeface="Arial"/>
              <a:ea typeface="Arial"/>
              <a:cs typeface="Arial"/>
              <a:sym typeface="Arial"/>
            </a:rPr>
            <a:t> for near-future targets</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Open Quests</a:t>
          </a:r>
          <a:r>
            <a:rPr lang="en-US" sz="1100">
              <a:solidFill>
                <a:schemeClr val="dk1"/>
              </a:solidFill>
              <a:latin typeface="Arial"/>
              <a:ea typeface="Arial"/>
              <a:cs typeface="Arial"/>
              <a:sym typeface="Arial"/>
            </a:rPr>
            <a:t> for outstanding quest objectives</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Pending Actions</a:t>
          </a:r>
          <a:r>
            <a:rPr lang="en-US" sz="1100">
              <a:solidFill>
                <a:schemeClr val="dk1"/>
              </a:solidFill>
              <a:latin typeface="Arial"/>
              <a:ea typeface="Arial"/>
              <a:cs typeface="Arial"/>
              <a:sym typeface="Arial"/>
            </a:rPr>
            <a:t> to see what actions unlock</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Funded not Complete</a:t>
          </a:r>
          <a:r>
            <a:rPr lang="en-US" sz="1100">
              <a:solidFill>
                <a:schemeClr val="dk1"/>
              </a:solidFill>
              <a:latin typeface="Arial"/>
              <a:ea typeface="Arial"/>
              <a:cs typeface="Arial"/>
              <a:sym typeface="Arial"/>
            </a:rPr>
            <a:t> for things you may need to finish or mark complete</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Resource Lookup</a:t>
          </a:r>
          <a:r>
            <a:rPr lang="en-US" sz="1100">
              <a:solidFill>
                <a:schemeClr val="dk1"/>
              </a:solidFill>
              <a:latin typeface="Arial"/>
              <a:ea typeface="Arial"/>
              <a:cs typeface="Arial"/>
              <a:sym typeface="Arial"/>
            </a:rPr>
            <a:t> when deciding where to spend a particular resource</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Recommended</a:t>
          </a:r>
          <a:r>
            <a:rPr lang="en-US" sz="1100">
              <a:solidFill>
                <a:schemeClr val="dk1"/>
              </a:solidFill>
              <a:latin typeface="Arial"/>
              <a:ea typeface="Arial"/>
              <a:cs typeface="Arial"/>
              <a:sym typeface="Arial"/>
            </a:rPr>
            <a:t> building order as a progression guide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As long as the Player, Checklist, and cost checklist remain current, the rest of the tracker should update automatically.</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A Note About Tracker Recommendations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tracker is intended to provide information, not dictate how you play.</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recommended building order represents a suggested progression strategy, while PlayerSort allows you to establish your own priorities.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You can freely choose a different path.</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tracker will continue recalculating available targets based on what you actually complete.</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Inspector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Used for inspecting and validating relationships within the tracker.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tool is useful for seeing what</a:t>
          </a:r>
          <a:r>
            <a:rPr lang="en-US" sz="1100">
              <a:solidFill>
                <a:schemeClr val="dk1"/>
              </a:solidFill>
              <a:latin typeface="Arial"/>
              <a:ea typeface="Arial"/>
              <a:cs typeface="Arial"/>
              <a:sym typeface="Arial"/>
            </a:rPr>
            <a:t> predecessors or successors are tied to a certain item.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Type an item into A2 and it will tell you the current status in A3 as well as the predecessors (going back 3 levels) and the immediate successors for that item.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tool allows</a:t>
          </a:r>
          <a:r>
            <a:rPr lang="en-US" sz="1100">
              <a:solidFill>
                <a:schemeClr val="dk1"/>
              </a:solidFill>
              <a:latin typeface="Arial"/>
              <a:ea typeface="Arial"/>
              <a:cs typeface="Arial"/>
              <a:sym typeface="Arial"/>
            </a:rPr>
            <a:t> you to see what is blocking a certain quest of what is needed to build a certain building.</a:t>
          </a:r>
          <a:br>
            <a:rPr lang="en-US" sz="1100">
              <a:solidFill>
                <a:schemeClr val="dk1"/>
              </a:solidFill>
              <a:latin typeface="Arial"/>
              <a:ea typeface="Arial"/>
              <a:cs typeface="Arial"/>
              <a:sym typeface="Arial"/>
            </a:rPr>
          </a:br>
          <a:br>
            <a:rPr lang="en-US" sz="1100">
              <a:solidFill>
                <a:schemeClr val="dk1"/>
              </a:solidFill>
              <a:latin typeface="Arial"/>
              <a:ea typeface="Arial"/>
              <a:cs typeface="Arial"/>
              <a:sym typeface="Arial"/>
            </a:rPr>
          </a:br>
          <a:r>
            <a:rPr b="1" lang="en-US" sz="1100">
              <a:solidFill>
                <a:schemeClr val="dk1"/>
              </a:solidFill>
              <a:latin typeface="Arial"/>
              <a:ea typeface="Arial"/>
              <a:cs typeface="Arial"/>
              <a:sym typeface="Arial"/>
            </a:rPr>
            <a:t>Understanding Status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tracker primarily uses three progression statuses.</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COMPLETED</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target has been completed.</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No additional action is required.</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READY</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All required dependencies have been satisfied.</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target is available to work on.</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A READY target may still require resources before it can actually be purchased or completed.</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BLOCKED</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One or more dependencies have not yet been satisfied.</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target is not currently available.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Use the Dashboard's </a:t>
          </a:r>
          <a:r>
            <a:rPr b="1" lang="en-US" sz="1100">
              <a:solidFill>
                <a:schemeClr val="dk1"/>
              </a:solidFill>
              <a:latin typeface="Arial"/>
              <a:ea typeface="Arial"/>
              <a:cs typeface="Arial"/>
              <a:sym typeface="Arial"/>
            </a:rPr>
            <a:t>One Away</a:t>
          </a:r>
          <a:r>
            <a:rPr lang="en-US" sz="1100">
              <a:solidFill>
                <a:schemeClr val="dk1"/>
              </a:solidFill>
              <a:latin typeface="Arial"/>
              <a:ea typeface="Arial"/>
              <a:cs typeface="Arial"/>
              <a:sym typeface="Arial"/>
            </a:rPr>
            <a:t> section and dependency information to determine what is preventing progression.</a:t>
          </a:r>
          <a:endParaRPr sz="1100"/>
        </a:p>
      </xdr:txBody>
    </xdr:sp>
    <xdr:clientData fLocksWithSheet="0"/>
  </xdr:oneCellAnchor>
  <xdr:oneCellAnchor>
    <xdr:from>
      <xdr:col>12</xdr:col>
      <xdr:colOff>0</xdr:colOff>
      <xdr:row>2</xdr:row>
      <xdr:rowOff>0</xdr:rowOff>
    </xdr:from>
    <xdr:ext cx="11496675" cy="16802100"/>
    <xdr:sp>
      <xdr:nvSpPr>
        <xdr:cNvPr id="4" name="Shape 4"/>
        <xdr:cNvSpPr txBox="1"/>
      </xdr:nvSpPr>
      <xdr:spPr>
        <a:xfrm>
          <a:off x="0" y="0"/>
          <a:ext cx="10692000" cy="7560000"/>
        </a:xfrm>
        <a:prstGeom prst="rect">
          <a:avLst/>
        </a:prstGeom>
        <a:solidFill>
          <a:srgbClr val="D0D0D0"/>
        </a:solid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100">
              <a:solidFill>
                <a:schemeClr val="dk1"/>
              </a:solidFill>
              <a:latin typeface="Arial"/>
              <a:ea typeface="Arial"/>
              <a:cs typeface="Arial"/>
              <a:sym typeface="Arial"/>
            </a:rPr>
            <a:t>Nonograms Katana Tracker</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Player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Player</a:t>
          </a:r>
          <a:r>
            <a:rPr lang="en-US" sz="1100">
              <a:solidFill>
                <a:schemeClr val="dk1"/>
              </a:solidFill>
              <a:latin typeface="Arial"/>
              <a:ea typeface="Arial"/>
              <a:cs typeface="Arial"/>
              <a:sym typeface="Arial"/>
            </a:rPr>
            <a:t> tab contains information about your character that cannot be determined from the normal completion checklist.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Currently this includes: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Character Level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Cartographer level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Cooking level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Enter your current value for each item in the </a:t>
          </a:r>
          <a:r>
            <a:rPr b="1" lang="en-US" sz="1100">
              <a:solidFill>
                <a:schemeClr val="dk1"/>
              </a:solidFill>
              <a:latin typeface="Arial"/>
              <a:ea typeface="Arial"/>
              <a:cs typeface="Arial"/>
              <a:sym typeface="Arial"/>
            </a:rPr>
            <a:t>Value</a:t>
          </a:r>
          <a:r>
            <a:rPr lang="en-US" sz="1100">
              <a:solidFill>
                <a:schemeClr val="dk1"/>
              </a:solidFill>
              <a:latin typeface="Arial"/>
              <a:ea typeface="Arial"/>
              <a:cs typeface="Arial"/>
              <a:sym typeface="Arial"/>
            </a:rPr>
            <a:t> column.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 if your character is level 80, enter: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80</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beside Character Level.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tracker uses these values automatically when checking requirements such as Character Level 40 or Cartographer Level 3. You do not need to separately mark each lower character level as completed.</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Player Type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Player tab also contains the </a:t>
          </a:r>
          <a:r>
            <a:rPr b="1" lang="en-US" sz="1100">
              <a:solidFill>
                <a:schemeClr val="dk1"/>
              </a:solidFill>
              <a:latin typeface="Arial"/>
              <a:ea typeface="Arial"/>
              <a:cs typeface="Arial"/>
              <a:sym typeface="Arial"/>
            </a:rPr>
            <a:t>Player Type</a:t>
          </a:r>
          <a:r>
            <a:rPr lang="en-US" sz="1100">
              <a:solidFill>
                <a:schemeClr val="dk1"/>
              </a:solidFill>
              <a:latin typeface="Arial"/>
              <a:ea typeface="Arial"/>
              <a:cs typeface="Arial"/>
              <a:sym typeface="Arial"/>
            </a:rPr>
            <a:t> selection.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Choose:</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Active</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Passive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controls which building progression order is shown in the tracker.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recommended building order is based on the game's recommended progression and differs depending on whether you play actively or rely more heavily on passive income.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Changing this selection automatically changes the recommended building order shown elsewhere in the workbook.</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Checklist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Checklist</a:t>
          </a:r>
          <a:r>
            <a:rPr lang="en-US" sz="1100">
              <a:solidFill>
                <a:schemeClr val="dk1"/>
              </a:solidFill>
              <a:latin typeface="Arial"/>
              <a:ea typeface="Arial"/>
              <a:cs typeface="Arial"/>
              <a:sym typeface="Arial"/>
            </a:rPr>
            <a:t> is the primary place where you record completed game progress.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Each row represents a trackable target such as: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Building level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Technology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Quest state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Collection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Craftifact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Citadel upgrade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Other trackable game state</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PlayerCompleted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Use the </a:t>
          </a:r>
          <a:r>
            <a:rPr b="1" lang="en-US" sz="1100">
              <a:solidFill>
                <a:schemeClr val="dk1"/>
              </a:solidFill>
              <a:latin typeface="Arial"/>
              <a:ea typeface="Arial"/>
              <a:cs typeface="Arial"/>
              <a:sym typeface="Arial"/>
            </a:rPr>
            <a:t>PlayerCompleted</a:t>
          </a:r>
          <a:r>
            <a:rPr lang="en-US" sz="1100">
              <a:solidFill>
                <a:schemeClr val="dk1"/>
              </a:solidFill>
              <a:latin typeface="Arial"/>
              <a:ea typeface="Arial"/>
              <a:cs typeface="Arial"/>
              <a:sym typeface="Arial"/>
            </a:rPr>
            <a:t> column to indicate that you have completed an item in the game.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Set the value to </a:t>
          </a:r>
          <a:r>
            <a:rPr b="1" lang="en-US" sz="1100">
              <a:solidFill>
                <a:schemeClr val="dk1"/>
              </a:solidFill>
              <a:latin typeface="Arial"/>
              <a:ea typeface="Arial"/>
              <a:cs typeface="Arial"/>
              <a:sym typeface="Arial"/>
            </a:rPr>
            <a:t>TRUE</a:t>
          </a:r>
          <a:r>
            <a:rPr lang="en-US" sz="1100">
              <a:solidFill>
                <a:schemeClr val="dk1"/>
              </a:solidFill>
              <a:latin typeface="Arial"/>
              <a:ea typeface="Arial"/>
              <a:cs typeface="Arial"/>
              <a:sym typeface="Arial"/>
            </a:rPr>
            <a:t> when the item is complete.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Leave it </a:t>
          </a:r>
          <a:r>
            <a:rPr b="1" lang="en-US" sz="1100">
              <a:solidFill>
                <a:schemeClr val="dk1"/>
              </a:solidFill>
              <a:latin typeface="Arial"/>
              <a:ea typeface="Arial"/>
              <a:cs typeface="Arial"/>
              <a:sym typeface="Arial"/>
            </a:rPr>
            <a:t>FALSE</a:t>
          </a:r>
          <a:r>
            <a:rPr lang="en-US" sz="1100">
              <a:solidFill>
                <a:schemeClr val="dk1"/>
              </a:solidFill>
              <a:latin typeface="Arial"/>
              <a:ea typeface="Arial"/>
              <a:cs typeface="Arial"/>
              <a:sym typeface="Arial"/>
            </a:rPr>
            <a:t> until it has actually been completed.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You generally should not need to modify any of the calculated columns.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Important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Some progression states are calculated automatically and should not be manually recreated.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 character-level requirements are calculated from the </a:t>
          </a:r>
          <a:r>
            <a:rPr b="1" lang="en-US" sz="1100">
              <a:solidFill>
                <a:schemeClr val="dk1"/>
              </a:solidFill>
              <a:latin typeface="Arial"/>
              <a:ea typeface="Arial"/>
              <a:cs typeface="Arial"/>
              <a:sym typeface="Arial"/>
            </a:rPr>
            <a:t>Player</a:t>
          </a:r>
          <a:r>
            <a:rPr lang="en-US" sz="1100">
              <a:solidFill>
                <a:schemeClr val="dk1"/>
              </a:solidFill>
              <a:latin typeface="Arial"/>
              <a:ea typeface="Arial"/>
              <a:cs typeface="Arial"/>
              <a:sym typeface="Arial"/>
            </a:rPr>
            <a:t>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Likewise, some automatic targets are calculated from their dependencies rather than requiring a manual check.</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PlayerSort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PlayerSort</a:t>
          </a:r>
          <a:r>
            <a:rPr lang="en-US" sz="1100">
              <a:solidFill>
                <a:schemeClr val="dk1"/>
              </a:solidFill>
              <a:latin typeface="Arial"/>
              <a:ea typeface="Arial"/>
              <a:cs typeface="Arial"/>
              <a:sym typeface="Arial"/>
            </a:rPr>
            <a:t> column allows you to assign your own priority to targets.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Lower numbers have higher priority.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1 = highest priority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2 = second priority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3 = third priority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You do not need to assign a number to every item.</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Dashboard uses PlayerSort when displaying certain lists, allowing you to control the order in which targets appear.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is useful if several things are available but you have decided that one particular building, technology, quest, or other target is more important to you.</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Recommended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buildings, the </a:t>
          </a:r>
          <a:r>
            <a:rPr b="1" lang="en-US" sz="1100">
              <a:solidFill>
                <a:schemeClr val="dk1"/>
              </a:solidFill>
              <a:latin typeface="Arial"/>
              <a:ea typeface="Arial"/>
              <a:cs typeface="Arial"/>
              <a:sym typeface="Arial"/>
            </a:rPr>
            <a:t>Recommended</a:t>
          </a:r>
          <a:r>
            <a:rPr lang="en-US" sz="1100">
              <a:solidFill>
                <a:schemeClr val="dk1"/>
              </a:solidFill>
              <a:latin typeface="Arial"/>
              <a:ea typeface="Arial"/>
              <a:cs typeface="Arial"/>
              <a:sym typeface="Arial"/>
            </a:rPr>
            <a:t> column shows the recommended construction order based on the Player Type selected on the Player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If </a:t>
          </a:r>
          <a:r>
            <a:rPr b="1" lang="en-US" sz="1100">
              <a:solidFill>
                <a:schemeClr val="dk1"/>
              </a:solidFill>
              <a:latin typeface="Arial"/>
              <a:ea typeface="Arial"/>
              <a:cs typeface="Arial"/>
              <a:sym typeface="Arial"/>
            </a:rPr>
            <a:t>Active</a:t>
          </a:r>
          <a:r>
            <a:rPr lang="en-US" sz="1100">
              <a:solidFill>
                <a:schemeClr val="dk1"/>
              </a:solidFill>
              <a:latin typeface="Arial"/>
              <a:ea typeface="Arial"/>
              <a:cs typeface="Arial"/>
              <a:sym typeface="Arial"/>
            </a:rPr>
            <a:t> is selected, the Active recommendation order is used.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If </a:t>
          </a:r>
          <a:r>
            <a:rPr b="1" lang="en-US" sz="1100">
              <a:solidFill>
                <a:schemeClr val="dk1"/>
              </a:solidFill>
              <a:latin typeface="Arial"/>
              <a:ea typeface="Arial"/>
              <a:cs typeface="Arial"/>
              <a:sym typeface="Arial"/>
            </a:rPr>
            <a:t>Passive</a:t>
          </a:r>
          <a:r>
            <a:rPr lang="en-US" sz="1100">
              <a:solidFill>
                <a:schemeClr val="dk1"/>
              </a:solidFill>
              <a:latin typeface="Arial"/>
              <a:ea typeface="Arial"/>
              <a:cs typeface="Arial"/>
              <a:sym typeface="Arial"/>
            </a:rPr>
            <a:t> is selected, the Passive recommendation order is used.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value is informational. You are not required to follow the recommended order.</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Successors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Successors</a:t>
          </a:r>
          <a:r>
            <a:rPr lang="en-US" sz="1100">
              <a:solidFill>
                <a:schemeClr val="dk1"/>
              </a:solidFill>
              <a:latin typeface="Arial"/>
              <a:ea typeface="Arial"/>
              <a:cs typeface="Arial"/>
              <a:sym typeface="Arial"/>
            </a:rPr>
            <a:t> column identifies items that depend on the current target.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can be useful when deciding what to complete next.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 completing one state or upgrade may unlock several later targets. The Successors field allows you to see what progression is waiting behind that requirement.</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ChainAwareStatus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field shows the current calculated progression status of the target while considering its dependency chain.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tracker calculates this automatically.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Do not manually edit it.</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Cost Checklist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cost checklist</a:t>
          </a:r>
          <a:r>
            <a:rPr lang="en-US" sz="1100">
              <a:solidFill>
                <a:schemeClr val="dk1"/>
              </a:solidFill>
              <a:latin typeface="Arial"/>
              <a:ea typeface="Arial"/>
              <a:cs typeface="Arial"/>
              <a:sym typeface="Arial"/>
            </a:rPr>
            <a:t> tracks individual resources required to purchase or complete targets.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 target may require several different resources, so a single target can have multiple rows.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 an upgrade might require: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Coins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Planks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Steel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Mechanisms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Blueprints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Each resource is tracked separately.</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PlayerPaid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is the primary field you update on this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Set </a:t>
          </a:r>
          <a:r>
            <a:rPr b="1" lang="en-US" sz="1100">
              <a:solidFill>
                <a:schemeClr val="dk1"/>
              </a:solidFill>
              <a:latin typeface="Arial"/>
              <a:ea typeface="Arial"/>
              <a:cs typeface="Arial"/>
              <a:sym typeface="Arial"/>
            </a:rPr>
            <a:t>PlayerPaid</a:t>
          </a:r>
          <a:r>
            <a:rPr lang="en-US" sz="1100">
              <a:solidFill>
                <a:schemeClr val="dk1"/>
              </a:solidFill>
              <a:latin typeface="Arial"/>
              <a:ea typeface="Arial"/>
              <a:cs typeface="Arial"/>
              <a:sym typeface="Arial"/>
            </a:rPr>
            <a:t> to TRUE after you have paid or committed that particular resource requirement in the game.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Leave it FALSE if the resource is still required.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allows partially funded targets to be tracked correctly.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 if an upgrade requires six resources and you have already supplied four of them, mark those four rows TRUE and leave the remaining two FALSE.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Dashboard will then show that target as partially funded and identify the remaining resources.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Important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Mark a resource as paid based on whether it has actually been committed to the target in the game, not simply because you currently possess enough of that resource.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purpose of this checklist is to track what the target still requires.</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xdr:txBody>
    </xdr:sp>
    <xdr:clientData fLocksWithSheet="0"/>
  </xdr:oneCellAnchor>
  <xdr:oneCellAnchor>
    <xdr:from>
      <xdr:col>32</xdr:col>
      <xdr:colOff>0</xdr:colOff>
      <xdr:row>2</xdr:row>
      <xdr:rowOff>0</xdr:rowOff>
    </xdr:from>
    <xdr:ext cx="8572500" cy="14735175"/>
    <xdr:sp>
      <xdr:nvSpPr>
        <xdr:cNvPr id="5" name="Shape 5"/>
        <xdr:cNvSpPr txBox="1"/>
      </xdr:nvSpPr>
      <xdr:spPr>
        <a:xfrm>
          <a:off x="1063866" y="0"/>
          <a:ext cx="8564268" cy="7560000"/>
        </a:xfrm>
        <a:prstGeom prst="rect">
          <a:avLst/>
        </a:prstGeom>
        <a:solidFill>
          <a:srgbClr val="D0D0D0"/>
        </a:solid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100">
              <a:solidFill>
                <a:schemeClr val="dk1"/>
              </a:solidFill>
              <a:latin typeface="Arial"/>
              <a:ea typeface="Arial"/>
              <a:cs typeface="Arial"/>
              <a:sym typeface="Arial"/>
            </a:rPr>
            <a:t>Nonograms Katana Tracker</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Dashboard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Dashboard</a:t>
          </a:r>
          <a:r>
            <a:rPr lang="en-US" sz="1100">
              <a:solidFill>
                <a:schemeClr val="dk1"/>
              </a:solidFill>
              <a:latin typeface="Arial"/>
              <a:ea typeface="Arial"/>
              <a:cs typeface="Arial"/>
              <a:sym typeface="Arial"/>
            </a:rPr>
            <a:t> is the main player-facing overview.</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It combines progression, dependencies, costs, quests, and player priorities into several sections.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You generally should not type directly into Dashboard results. They are calculated from the rest of the tracker.</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Current Cost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Current Cost</a:t>
          </a:r>
          <a:r>
            <a:rPr lang="en-US" sz="1100">
              <a:solidFill>
                <a:schemeClr val="dk1"/>
              </a:solidFill>
              <a:latin typeface="Arial"/>
              <a:ea typeface="Arial"/>
              <a:cs typeface="Arial"/>
              <a:sym typeface="Arial"/>
            </a:rPr>
            <a:t> section shows READY targets that still have unpaid resource requirements.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It includes: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Target</a:t>
          </a:r>
          <a:r>
            <a:rPr lang="en-US" sz="1100">
              <a:solidFill>
                <a:schemeClr val="dk1"/>
              </a:solidFill>
              <a:latin typeface="Arial"/>
              <a:ea typeface="Arial"/>
              <a:cs typeface="Arial"/>
              <a:sym typeface="Arial"/>
            </a:rPr>
            <a:t> – Name of the target</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Type</a:t>
          </a:r>
          <a:r>
            <a:rPr lang="en-US" sz="1100">
              <a:solidFill>
                <a:schemeClr val="dk1"/>
              </a:solidFill>
              <a:latin typeface="Arial"/>
              <a:ea typeface="Arial"/>
              <a:cs typeface="Arial"/>
              <a:sym typeface="Arial"/>
            </a:rPr>
            <a:t> – Building, Technology, Quest, Collection, Craftifact, Citadel, etc.</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Sort</a:t>
          </a:r>
          <a:r>
            <a:rPr lang="en-US" sz="1100">
              <a:solidFill>
                <a:schemeClr val="dk1"/>
              </a:solidFill>
              <a:latin typeface="Arial"/>
              <a:ea typeface="Arial"/>
              <a:cs typeface="Arial"/>
              <a:sym typeface="Arial"/>
            </a:rPr>
            <a:t> – Your PlayerSort priority</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Funded</a:t>
          </a:r>
          <a:r>
            <a:rPr lang="en-US" sz="1100">
              <a:solidFill>
                <a:schemeClr val="dk1"/>
              </a:solidFill>
              <a:latin typeface="Arial"/>
              <a:ea typeface="Arial"/>
              <a:cs typeface="Arial"/>
              <a:sym typeface="Arial"/>
            </a:rPr>
            <a:t> – How much of the target's cost has already been paid</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Remaining</a:t>
          </a:r>
          <a:r>
            <a:rPr lang="en-US" sz="1100">
              <a:solidFill>
                <a:schemeClr val="dk1"/>
              </a:solidFill>
              <a:latin typeface="Arial"/>
              <a:ea typeface="Arial"/>
              <a:cs typeface="Arial"/>
              <a:sym typeface="Arial"/>
            </a:rPr>
            <a:t> – Number of resource requirements still unpaid</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Cost Details</a:t>
          </a:r>
          <a:r>
            <a:rPr lang="en-US" sz="1100">
              <a:solidFill>
                <a:schemeClr val="dk1"/>
              </a:solidFill>
              <a:latin typeface="Arial"/>
              <a:ea typeface="Arial"/>
              <a:cs typeface="Arial"/>
              <a:sym typeface="Arial"/>
            </a:rPr>
            <a:t> – Remaining resources and quantities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Targets are ordered using </a:t>
          </a:r>
          <a:r>
            <a:rPr b="1" lang="en-US" sz="1100">
              <a:solidFill>
                <a:schemeClr val="dk1"/>
              </a:solidFill>
              <a:latin typeface="Arial"/>
              <a:ea typeface="Arial"/>
              <a:cs typeface="Arial"/>
              <a:sym typeface="Arial"/>
            </a:rPr>
            <a:t>PlayerSort</a:t>
          </a:r>
          <a:r>
            <a:rPr lang="en-US" sz="1100">
              <a:solidFill>
                <a:schemeClr val="dk1"/>
              </a:solidFill>
              <a:latin typeface="Arial"/>
              <a:ea typeface="Arial"/>
              <a:cs typeface="Arial"/>
              <a:sym typeface="Arial"/>
            </a:rPr>
            <a:t>, allowing you to place the things you care about most near the top.</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 target disappears from Current Cost when all of its required resources have been marked paid.</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One Away</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One Away</a:t>
          </a:r>
          <a:r>
            <a:rPr lang="en-US" sz="1100">
              <a:solidFill>
                <a:schemeClr val="dk1"/>
              </a:solidFill>
              <a:latin typeface="Arial"/>
              <a:ea typeface="Arial"/>
              <a:cs typeface="Arial"/>
              <a:sym typeface="Arial"/>
            </a:rPr>
            <a:t> section identifies targets that are only </a:t>
          </a:r>
          <a:r>
            <a:rPr b="1" lang="en-US" sz="1100">
              <a:solidFill>
                <a:schemeClr val="dk1"/>
              </a:solidFill>
              <a:latin typeface="Arial"/>
              <a:ea typeface="Arial"/>
              <a:cs typeface="Arial"/>
              <a:sym typeface="Arial"/>
            </a:rPr>
            <a:t>one dependency away</a:t>
          </a:r>
          <a:r>
            <a:rPr lang="en-US" sz="1100">
              <a:solidFill>
                <a:schemeClr val="dk1"/>
              </a:solidFill>
              <a:latin typeface="Arial"/>
              <a:ea typeface="Arial"/>
              <a:cs typeface="Arial"/>
              <a:sym typeface="Arial"/>
            </a:rPr>
            <a:t> from becoming available.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is useful for planning ahead.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Rather than only showing what you can do now, One Away shows what is sitting immediately behind your current progression.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section identifies: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Target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Target Type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Missing requirement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Relevant cost information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 if a building upgrade only requires one additional technology, quest, state, or building level before becoming READY, it can appear here.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is one of the most useful sections for answering:</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"What should I work on now if I want to unlock more things?"</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Open Quests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Open Quests</a:t>
          </a:r>
          <a:r>
            <a:rPr lang="en-US" sz="1100">
              <a:solidFill>
                <a:schemeClr val="dk1"/>
              </a:solidFill>
              <a:latin typeface="Arial"/>
              <a:ea typeface="Arial"/>
              <a:cs typeface="Arial"/>
              <a:sym typeface="Arial"/>
            </a:rPr>
            <a:t> section displays quests that are currently active and their outstanding objectives.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two primary columns are:</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Active Quest</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Outstanding Objective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A quest can appear multiple times when it has multiple unfinished objectives.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As objectives are completed through the appropriate Checklist entries or other tracked progression, they disappear from the outstanding-objective list.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section is particularly useful for chapter quests and quests with several simultaneous requirements.</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Pending Actions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Pending Actions</a:t>
          </a:r>
          <a:r>
            <a:rPr lang="en-US" sz="1100">
              <a:solidFill>
                <a:schemeClr val="dk1"/>
              </a:solidFill>
              <a:latin typeface="Arial"/>
              <a:ea typeface="Arial"/>
              <a:cs typeface="Arial"/>
              <a:sym typeface="Arial"/>
            </a:rPr>
            <a:t> section highlights actions that can be taken and what those actions unlock.</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It contains: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Action</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Unlocks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Use this section to identify progression choices that may immediately open additional content.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It is especially useful when several possible actions are available and you want to know which ones have useful successors.</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Funded Not Complete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Funded not Complete</a:t>
          </a:r>
          <a:r>
            <a:rPr lang="en-US" sz="1100">
              <a:solidFill>
                <a:schemeClr val="dk1"/>
              </a:solidFill>
              <a:latin typeface="Arial"/>
              <a:ea typeface="Arial"/>
              <a:cs typeface="Arial"/>
              <a:sym typeface="Arial"/>
            </a:rPr>
            <a:t> section identifies targets for which all required costs have been paid but the target itself has not yet been marked complete.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is a useful reminder.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If something appears here, check the game to determine whether: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upgrade still needs to finish,</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another in-game action is required, or</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you simply forgot to mark the target complete on the Checklist.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Once the target is completed and recorded, it should disappear from this section.</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Resource Lookup</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Dashboard includes a </a:t>
          </a:r>
          <a:r>
            <a:rPr b="1" lang="en-US" sz="1100">
              <a:solidFill>
                <a:schemeClr val="dk1"/>
              </a:solidFill>
              <a:latin typeface="Arial"/>
              <a:ea typeface="Arial"/>
              <a:cs typeface="Arial"/>
              <a:sym typeface="Arial"/>
            </a:rPr>
            <a:t>Select Resource</a:t>
          </a:r>
          <a:r>
            <a:rPr lang="en-US" sz="1100">
              <a:solidFill>
                <a:schemeClr val="dk1"/>
              </a:solidFill>
              <a:latin typeface="Arial"/>
              <a:ea typeface="Arial"/>
              <a:cs typeface="Arial"/>
              <a:sym typeface="Arial"/>
            </a:rPr>
            <a:t> tool.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Use the dropdown to choose a resource.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Only resources currently needed by READY, unpaid targets are available for selection.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After selecting a resource, the tracker displays the READY targets that currently require that resource and the quantity required for each.</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is useful when deciding where to spend a resource.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example, if several READY targets require Mechanisms, selecting </a:t>
          </a:r>
          <a:r>
            <a:rPr b="1" lang="en-US" sz="1100">
              <a:solidFill>
                <a:schemeClr val="dk1"/>
              </a:solidFill>
              <a:latin typeface="Arial"/>
              <a:ea typeface="Arial"/>
              <a:cs typeface="Arial"/>
              <a:sym typeface="Arial"/>
            </a:rPr>
            <a:t>mechanism</a:t>
          </a:r>
          <a:r>
            <a:rPr lang="en-US" sz="1100">
              <a:solidFill>
                <a:schemeClr val="dk1"/>
              </a:solidFill>
              <a:latin typeface="Arial"/>
              <a:ea typeface="Arial"/>
              <a:cs typeface="Arial"/>
              <a:sym typeface="Arial"/>
            </a:rPr>
            <a:t> allows you to see which targets are competing for them.</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turns the Dashboard into a quick answer to:</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"What currently needs this resource?"</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Recommended Tab</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a:t>
          </a:r>
          <a:r>
            <a:rPr b="1" lang="en-US" sz="1100">
              <a:solidFill>
                <a:schemeClr val="dk1"/>
              </a:solidFill>
              <a:latin typeface="Arial"/>
              <a:ea typeface="Arial"/>
              <a:cs typeface="Arial"/>
              <a:sym typeface="Arial"/>
            </a:rPr>
            <a:t>Recommended</a:t>
          </a:r>
          <a:r>
            <a:rPr lang="en-US" sz="1100">
              <a:solidFill>
                <a:schemeClr val="dk1"/>
              </a:solidFill>
              <a:latin typeface="Arial"/>
              <a:ea typeface="Arial"/>
              <a:cs typeface="Arial"/>
              <a:sym typeface="Arial"/>
            </a:rPr>
            <a:t> tab contains the recommended building progression for both Active and Passive play styles.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tracker uses canonical TargetIDs internally so that the recommendation list can be matched directly to buildings in the rest of the workbook.</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Completed buildings are visually identified so you can quickly see your position in the recommended progression.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recommendation list is guidance rather than a requirement.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Your own </a:t>
          </a:r>
          <a:r>
            <a:rPr b="1" lang="en-US" sz="1100">
              <a:solidFill>
                <a:schemeClr val="dk1"/>
              </a:solidFill>
              <a:latin typeface="Arial"/>
              <a:ea typeface="Arial"/>
              <a:cs typeface="Arial"/>
              <a:sym typeface="Arial"/>
            </a:rPr>
            <a:t>PlayerSort</a:t>
          </a:r>
          <a:r>
            <a:rPr lang="en-US" sz="1100">
              <a:solidFill>
                <a:schemeClr val="dk1"/>
              </a:solidFill>
              <a:latin typeface="Arial"/>
              <a:ea typeface="Arial"/>
              <a:cs typeface="Arial"/>
              <a:sym typeface="Arial"/>
            </a:rPr>
            <a:t> priorities can override the order in which you personally choose to pursue available targets.</a:t>
          </a:r>
          <a:endParaRPr sz="14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oneCellAnchor>
    <xdr:from>
      <xdr:col>47</xdr:col>
      <xdr:colOff>276225</xdr:colOff>
      <xdr:row>3</xdr:row>
      <xdr:rowOff>0</xdr:rowOff>
    </xdr:from>
    <xdr:ext cx="190500" cy="266700"/>
    <xdr:sp>
      <xdr:nvSpPr>
        <xdr:cNvPr id="6" name="Shape 6"/>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47</xdr:col>
      <xdr:colOff>0</xdr:colOff>
      <xdr:row>2</xdr:row>
      <xdr:rowOff>0</xdr:rowOff>
    </xdr:from>
    <xdr:ext cx="8810625" cy="16630650"/>
    <xdr:sp>
      <xdr:nvSpPr>
        <xdr:cNvPr id="7" name="Shape 7"/>
        <xdr:cNvSpPr txBox="1"/>
      </xdr:nvSpPr>
      <xdr:spPr>
        <a:xfrm>
          <a:off x="941076" y="0"/>
          <a:ext cx="8809848" cy="7560000"/>
        </a:xfrm>
        <a:prstGeom prst="rect">
          <a:avLst/>
        </a:prstGeom>
        <a:solidFill>
          <a:srgbClr val="D0D0D0"/>
        </a:solid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100">
              <a:solidFill>
                <a:schemeClr val="dk1"/>
              </a:solidFill>
              <a:latin typeface="Arial"/>
              <a:ea typeface="Arial"/>
              <a:cs typeface="Arial"/>
              <a:sym typeface="Arial"/>
            </a:rPr>
            <a:t>Other Tabs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Most players will not need to edit the remaining tabs during normal use.</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TargetStatus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is the tracker's progression engine.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It calculates information such as: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Player completion</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Dependency totals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Completed dependencies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Missing dependencies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Status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Funding status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tab drives much of the Dashboard.</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Do not manually edit calculated values on this tab.</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Targets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the canonical list of targets recognized by the tracker.</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Each target has a unique TargetID used throughout the workbook.</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is one of the core data tables and normally should not be edited during gameplay.</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Dependencies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Defines prerequisite relationships between targets.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For example, it tells the tracker that one building level, technology, state, or quest must be completed before another target becomes available.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Do not modify this tab during normal gameplay.</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QuestObjectives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requirements associated with quest objectives.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These requirements are included in the dependency calculations used to determine quest progression.</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Do not modify this tab during normal gameplay.</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CostStatus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Calculates funding progress for targets with resource costs.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It is used by the Dashboard to determine whether a target is unfunded, partially funded, or fully funded.</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Do not manually edit this tab.</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Buildings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the building data used by the tracker.</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Technologies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technology data used by the tracker.</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Quests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quest and quest-chapter data used by the tracker.</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Citadel</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Citadel progression data.</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Collections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Collection progression data.</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Craftifacts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Craftifact progression data.</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States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state-based progression requirements, including character requirements and other game conditions used by dependencies and quest objectives.</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Recommended</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the Active and Passive recommended building progression.</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Players may use this as a planning reference, but normally do not need to modify the recommendation data.</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Aliases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mappings between names used by source data and the canonical names and TargetIDs used by the tracker.</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is primarily a maintenance/import tool.</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Inspector</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Used for inspecting and validating relationships within the tracker.</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is primarily a maintenance and troubleshooting tab.</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Validation</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Contains validation checks used to identify invalid or inconsistent tracker data.</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is primarily a maintenance tab.</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Exceptions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Used to record known exceptions or special cases that cannot safely follow the normal automated rules.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is primarily a maintenance tab.</a:t>
          </a:r>
          <a:endParaRPr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Lists / Config / Import and Temporary Tabs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Tabs such as Lists, Config, Dep_Import, CostDependency, and CostTemp support calculations, imports, validation, or workbook maintenance.</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They are not intended for normal player interaction.</a:t>
          </a:r>
          <a:endParaRPr sz="1100"/>
        </a:p>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1228725</xdr:colOff>
      <xdr:row>0</xdr:row>
      <xdr:rowOff>28575</xdr:rowOff>
    </xdr:from>
    <xdr:ext cx="1971675" cy="2857500"/>
    <mc:AlternateContent>
      <mc:Choice Requires="sle15">
        <xdr:graphicFrame>
          <xdr:nvGraphicFramePr>
            <xdr:cNvPr id="1" name="TargetType_1"/>
            <xdr:cNvGraphicFramePr/>
          </xdr:nvGraphicFramePr>
          <xdr:xfrm>
            <a:off x="0" y="0"/>
            <a:ext cx="0" cy="0"/>
          </xdr:xfrm>
          <a:graphic>
            <a:graphicData uri="http://schemas.microsoft.com/office/drawing/2010/slicer">
              <x3Unk:slicer name="Target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485775</xdr:colOff>
      <xdr:row>0</xdr:row>
      <xdr:rowOff>0</xdr:rowOff>
    </xdr:from>
    <xdr:ext cx="1971675" cy="2857500"/>
    <mc:AlternateContent>
      <mc:Choice Requires="sle15">
        <xdr:graphicFrame>
          <xdr:nvGraphicFramePr>
            <xdr:cNvPr id="2" name="ChainAwareStatus_2"/>
            <xdr:cNvGraphicFramePr/>
          </xdr:nvGraphicFramePr>
          <xdr:xfrm>
            <a:off x="0" y="0"/>
            <a:ext cx="0" cy="0"/>
          </xdr:xfrm>
          <a:graphic>
            <a:graphicData uri="http://schemas.microsoft.com/office/drawing/2010/slicer">
              <x3Unk:slicer name="ChainAwareStatu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17</xdr:col>
      <xdr:colOff>238125</xdr:colOff>
      <xdr:row>0</xdr:row>
      <xdr:rowOff>0</xdr:rowOff>
    </xdr:from>
    <xdr:ext cx="1971675" cy="2857500"/>
    <mc:AlternateContent>
      <mc:Choice Requires="sle15">
        <xdr:graphicFrame>
          <xdr:nvGraphicFramePr>
            <xdr:cNvPr id="3" name="PlayerCompleted_3"/>
            <xdr:cNvGraphicFramePr/>
          </xdr:nvGraphicFramePr>
          <xdr:xfrm>
            <a:off x="0" y="0"/>
            <a:ext cx="0" cy="0"/>
          </xdr:xfrm>
          <a:graphic>
            <a:graphicData uri="http://schemas.microsoft.com/office/drawing/2010/slicer">
              <x3Unk:slicer name="PlayerCompleted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238125</xdr:colOff>
      <xdr:row>0</xdr:row>
      <xdr:rowOff>0</xdr:rowOff>
    </xdr:from>
    <xdr:ext cx="1971675" cy="2857500"/>
    <mc:AlternateContent>
      <mc:Choice Requires="sle15">
        <xdr:graphicFrame>
          <xdr:nvGraphicFramePr>
            <xdr:cNvPr id="4" name="TargetFunded_4"/>
            <xdr:cNvGraphicFramePr/>
          </xdr:nvGraphicFramePr>
          <xdr:xfrm>
            <a:off x="0" y="0"/>
            <a:ext cx="0" cy="0"/>
          </xdr:xfrm>
          <a:graphic>
            <a:graphicData uri="http://schemas.microsoft.com/office/drawing/2010/slicer">
              <x3Unk:slicer name="TargetFunded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0</xdr:row>
      <xdr:rowOff>0</xdr:rowOff>
    </xdr:from>
    <xdr:ext cx="2314575" cy="2857500"/>
    <mc:AlternateContent>
      <mc:Choice Requires="sle15">
        <xdr:graphicFrame>
          <xdr:nvGraphicFramePr>
            <xdr:cNvPr id="5" name="TargetType_5"/>
            <xdr:cNvGraphicFramePr/>
          </xdr:nvGraphicFramePr>
          <xdr:xfrm>
            <a:off x="0" y="0"/>
            <a:ext cx="0" cy="0"/>
          </xdr:xfrm>
          <a:graphic>
            <a:graphicData uri="http://schemas.microsoft.com/office/drawing/2010/slicer">
              <x3Unk:slicer name="TargetTyp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12</xdr:col>
      <xdr:colOff>657225</xdr:colOff>
      <xdr:row>0</xdr:row>
      <xdr:rowOff>0</xdr:rowOff>
    </xdr:from>
    <xdr:ext cx="2314575" cy="2857500"/>
    <mc:AlternateContent>
      <mc:Choice Requires="sle15">
        <xdr:graphicFrame>
          <xdr:nvGraphicFramePr>
            <xdr:cNvPr id="6" name="TargetCompleted_6"/>
            <xdr:cNvGraphicFramePr/>
          </xdr:nvGraphicFramePr>
          <xdr:xfrm>
            <a:off x="0" y="0"/>
            <a:ext cx="0" cy="0"/>
          </xdr:xfrm>
          <a:graphic>
            <a:graphicData uri="http://schemas.microsoft.com/office/drawing/2010/slicer">
              <x3Unk:slicer name="TargetCompleted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171450</xdr:colOff>
      <xdr:row>0</xdr:row>
      <xdr:rowOff>0</xdr:rowOff>
    </xdr:from>
    <xdr:ext cx="1971675" cy="2857500"/>
    <mc:AlternateContent>
      <mc:Choice Requires="sle15">
        <xdr:graphicFrame>
          <xdr:nvGraphicFramePr>
            <xdr:cNvPr id="7" name="PlayerPaid_7"/>
            <xdr:cNvGraphicFramePr/>
          </xdr:nvGraphicFramePr>
          <xdr:xfrm>
            <a:off x="0" y="0"/>
            <a:ext cx="0" cy="0"/>
          </xdr:xfrm>
          <a:graphic>
            <a:graphicData uri="http://schemas.microsoft.com/office/drawing/2010/slicer">
              <x3Unk:slicer name="PlayerPaid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TargetType">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ChainAwareStatus">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PlayerCompleted">
  <x14:extLst>
    <ext uri="{2F2917AC-EB37-4324-AD4E-5DD8C200BD13}">
      <x15:tableSlicerCache tableId="1" column="7"/>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TargetFunded">
  <x14:extLst>
    <ext uri="{2F2917AC-EB37-4324-AD4E-5DD8C200BD13}">
      <x15:tableSlicerCache tableId="1" column="8"/>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4" sourceName="TargetType">
  <x14:extLst>
    <ext uri="{2F2917AC-EB37-4324-AD4E-5DD8C200BD13}">
      <x15:tableSlicerCache tableId="3" column="4"/>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9" sourceName="TargetCompleted">
  <x14:extLst>
    <ext uri="{2F2917AC-EB37-4324-AD4E-5DD8C200BD13}">
      <x15:tableSlicerCache tableId="3" column="9"/>
    </ext>
  </x14:extLst>
</x14:slicerCacheDefinition>
</file>

<file path=xl/slicerCaches/slicerCache7.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0" sourceName="PlayerPaid">
  <x14:extLst>
    <ext uri="{2F2917AC-EB37-4324-AD4E-5DD8C200BD13}">
      <x15:tableSlicerCache tableId="3" column="1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argetType_1" cache="SlicerCache_Table_1_Col_4" caption="TargetType" rowHeight="247650"/>
  <x14:slicer name="ChainAwareStatus_2" cache="SlicerCache_Table_1_Col_5" caption="ChainAwareStatus" rowHeight="247650"/>
  <x14:slicer name="PlayerCompleted_3" cache="SlicerCache_Table_1_Col_7" caption="PlayerCompleted" rowHeight="247650"/>
  <x14:slicer name="TargetFunded_4" cache="SlicerCache_Table_1_Col_8" caption="TargetFunded"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argetType_5" cache="SlicerCache_Table_3_Col_4" caption="TargetType" rowHeight="247650"/>
  <x14:slicer name="TargetCompleted_6" cache="SlicerCache_Table_3_Col_9" caption="TargetCompleted" rowHeight="247650"/>
  <x14:slicer name="PlayerPaid_7" cache="SlicerCache_Table_3_Col_10" caption="PlayerPaid" rowHeight="247650"/>
</x14:slicers>
</file>

<file path=xl/tables/table1.xml><?xml version="1.0" encoding="utf-8"?>
<table xmlns="http://schemas.openxmlformats.org/spreadsheetml/2006/main" ref="A1:E4" displayName="tblPlayer" name="tblPlayer" id="2">
  <tableColumns count="5">
    <tableColumn name="Setting" id="1"/>
    <tableColumn name="Value" id="2"/>
    <tableColumn name="PlayerStateID" id="3"/>
    <tableColumn name="Description" id="4"/>
    <tableColumn name="Note" id="5"/>
  </tableColumns>
  <tableStyleInfo name="Player-style" showColumnStripes="0" showFirstColumn="1" showLastColumn="1" showRowStripes="1"/>
</table>
</file>

<file path=xl/tables/table2.xml><?xml version="1.0" encoding="utf-8"?>
<table xmlns="http://schemas.openxmlformats.org/spreadsheetml/2006/main" ref="A1:I561" displayName="tblChecklist" name="tblChecklist" id="1">
  <autoFilter ref="$A$1:$I$561">
    <filterColumn colId="3">
      <filters>
        <filter val="STATE"/>
      </filters>
    </filterColumn>
  </autoFilter>
  <tableColumns count="9">
    <tableColumn name="TargetID" id="1"/>
    <tableColumn name="DisplayName" id="2"/>
    <tableColumn name="Successors" id="3"/>
    <tableColumn name="TargetType" id="4"/>
    <tableColumn name="ChainAwareStatus" id="5"/>
    <tableColumn name="PlayerSort" id="6"/>
    <tableColumn name="PlayerCompleted" id="7"/>
    <tableColumn name="TargetFunded" id="8"/>
    <tableColumn name="Recommended" id="9"/>
  </tableColumns>
  <tableStyleInfo name="Checklist-style" showColumnStripes="0" showFirstColumn="1" showLastColumn="1" showRowStripes="1"/>
</table>
</file>

<file path=xl/tables/table3.xml><?xml version="1.0" encoding="utf-8"?>
<table xmlns="http://schemas.openxmlformats.org/spreadsheetml/2006/main" ref="A1:J2011" displayName="tblCostChecklist" name="tblCostChecklist" id="3">
  <autoFilter ref="$A$1:$J$2011">
    <filterColumn colId="8">
      <filters>
        <filter val="READY"/>
      </filters>
    </filterColumn>
    <filterColumn colId="0">
      <filters>
        <filter val="cost.tech.tailor.armor_for_a_hero_lvl_4+.armor4.1"/>
        <filter val="cost.tech.tailor.armor_for_a_hero_lvl_4+.apy.1"/>
      </filters>
    </filterColumn>
  </autoFilter>
  <tableColumns count="10">
    <tableColumn name="RequirementID" id="1"/>
    <tableColumn name="TargetID" id="2"/>
    <tableColumn name="DisplayName" id="3"/>
    <tableColumn name="TargetType" id="4"/>
    <tableColumn name="ResourceID" id="5"/>
    <tableColumn name="PaymentSlot" id="6"/>
    <tableColumn name="QuantityRequired" id="7"/>
    <tableColumn name="Sort" id="8"/>
    <tableColumn name="TargetCompleted" id="9"/>
    <tableColumn name="PlayerPaid" id="10"/>
  </tableColumns>
  <tableStyleInfo name="cost checklist-style" showColumnStripes="0" showFirstColumn="1" showLastColumn="1" showRowStripes="1"/>
</table>
</file>

<file path=xl/tables/table4.xml><?xml version="1.0" encoding="utf-8"?>
<table xmlns="http://schemas.openxmlformats.org/spreadsheetml/2006/main" ref="A2:C104" displayName="tblrecommended" name="tblrecommended" id="4">
  <tableColumns count="3">
    <tableColumn name="Order" id="1"/>
    <tableColumn name="PassiveTargetID" id="2"/>
    <tableColumn name="ActiveTargetID" id="3"/>
  </tableColumns>
  <tableStyleInfo name="Recommended-style" showColumnStripes="0" showFirstColumn="1" showLastColumn="1" showRowStripes="1"/>
</table>
</file>

<file path=xl/tables/table5.xml><?xml version="1.0" encoding="utf-8"?>
<table xmlns="http://schemas.openxmlformats.org/spreadsheetml/2006/main" ref="F2:K104" displayName="tblwikirecommended" name="tblwikirecommended" id="5">
  <tableColumns count="6">
    <tableColumn name="Order" id="1"/>
    <tableColumn name="Passive Buildings" id="2"/>
    <tableColumn name="Passive ID" id="3"/>
    <tableColumn name="Active ID" id="4"/>
    <tableColumn name="Active Buildings" id="5"/>
    <tableColumn name="Notes" id="6"/>
  </tableColumns>
  <tableStyleInfo name="Recommended-style 2" showColumnStripes="0" showFirstColumn="1" showLastColumn="1" showRowStripes="1"/>
</table>
</file>

<file path=xl/tables/table6.xml><?xml version="1.0" encoding="utf-8"?>
<table xmlns="http://schemas.openxmlformats.org/spreadsheetml/2006/main" ref="A1:P623" displayName="tblValidation" name="tblValidation" id="6">
  <tableColumns count="16">
    <tableColumn name="TargetID" id="1"/>
    <tableColumn name="TargetType" id="2"/>
    <tableColumn name="tblTargets[TargetID]" id="3"/>
    <tableColumn name="tblChecklist[TargetID]" id="4"/>
    <tableColumn name="tblDependencies[TargetID]" id="5"/>
    <tableColumn name="tblDependencies[DependencyID]" id="6"/>
    <tableColumn name="tblQuestObjectives[QuestTargetID]" id="7"/>
    <tableColumn name="tblQuestObjectives[ObjectiveID]" id="8"/>
    <tableColumn name="tblTargetStatus[TargetID]" id="9"/>
    <tableColumn name="tblCost[TargetID]" id="10"/>
    <tableColumn name="tblStates[StateID]" id="11"/>
    <tableColumn name="Schema" id="12"/>
    <tableColumn name="DuplicateTarget" id="13"/>
    <tableColumn name="DuplicateState" id="14"/>
    <tableColumn name="TabVerification" id="15"/>
    <tableColumn name="Orphan" id="16"/>
  </tableColumns>
  <tableStyleInfo name="Validation-style" showColumnStripes="0" showFirstColumn="1" showLastColumn="1" showRowStripes="1"/>
</table>
</file>

<file path=xl/tables/table7.xml><?xml version="1.0" encoding="utf-8"?>
<table xmlns="http://schemas.openxmlformats.org/spreadsheetml/2006/main" ref="A1:H619" displayName="tblTargets" name="tblTargets" id="7">
  <tableColumns count="8">
    <tableColumn name="TargetID" id="1"/>
    <tableColumn name="DisplayName" id="2"/>
    <tableColumn name="TargetType" id="3"/>
    <tableColumn name="StateType" id="4"/>
    <tableColumn name="Trackable" id="5"/>
    <tableColumn name="CompletionMethod" id="6"/>
    <tableColumn name="Active" id="7"/>
    <tableColumn name="Passive" id="8"/>
  </tableColumns>
  <tableStyleInfo name="Targets-style" showColumnStripes="0" showFirstColumn="1" showLastColumn="1" showRowStripes="1"/>
</table>
</file>

<file path=xl/tables/table8.xml><?xml version="1.0" encoding="utf-8"?>
<table xmlns="http://schemas.openxmlformats.org/spreadsheetml/2006/main" ref="A1:AA619" displayName="tblTargetStatus" name="tblTargetStatus" id="8">
  <autoFilter ref="$A$1:$AA$619"/>
  <tableColumns count="27">
    <tableColumn name="TargetID" id="1"/>
    <tableColumn name="DisplayName" id="2"/>
    <tableColumn name="Status" id="3"/>
    <tableColumn name="PlayerCompleted" id="4"/>
    <tableColumn name="TargetType" id="5"/>
    <tableColumn name="StateType" id="6"/>
    <tableColumn name="DependencyCount" id="7"/>
    <tableColumn name="TotalDependencies" id="8"/>
    <tableColumn name="CompletedDependencyCount" id="9"/>
    <tableColumn name="CompletedDependencies" id="10"/>
    <tableColumn name="AllDependenciesComplete" id="11"/>
    <tableColumn name="MissingDependencies" id="12"/>
    <tableColumn name="FirstMissingDependencyID" id="13"/>
    <tableColumn name="FirstMissingDependency" id="14"/>
    <tableColumn name="Cost" id="15"/>
    <tableColumn name="FirstMissingStatus" id="16"/>
    <tableColumn name="ChainAwareStatus" id="17"/>
    <tableColumn name="PlayerSort" id="18"/>
    <tableColumn name="successors" id="19"/>
    <tableColumn name="completionmethod" id="20"/>
    <tableColumn name="HasCost" id="21"/>
    <tableColumn name="FundingPercent" id="22"/>
    <tableColumn name="RemainingRequirements" id="23"/>
    <tableColumn name="TargetFunded" id="24"/>
    <tableColumn name="OutstandingResources" id="25"/>
    <tableColumn name="OpenQuest" id="26"/>
    <tableColumn name="PendingQuestAcceptances" id="27"/>
  </tableColumns>
  <tableStyleInfo name="TargetStatus-style" showColumnStripes="0" showFirstColumn="1" showLastColumn="1" showRowStripes="1"/>
</table>
</file>

<file path=xl/tables/table9.xml><?xml version="1.0" encoding="utf-8"?>
<table xmlns="http://schemas.openxmlformats.org/spreadsheetml/2006/main" ref="A1:M2011" displayName="tblCost" name="tblCost" id="9">
  <autoFilter ref="$A$1:$M$2011"/>
  <tableColumns count="13">
    <tableColumn name="RequirementID" id="1"/>
    <tableColumn name="TargetID" id="2"/>
    <tableColumn name="DisplayName" id="3"/>
    <tableColumn name="TargetType" id="4"/>
    <tableColumn name="ResourceID" id="5"/>
    <tableColumn name="PaymentSlot" id="6"/>
    <tableColumn name="QuantityRequired" id="7"/>
    <tableColumn name="PlayerPaid" id="8"/>
    <tableColumn name="TargetRequirements" id="9"/>
    <tableColumn name="CompletedRequirements" id="10"/>
    <tableColumn name="RemainingRequirements" id="11"/>
    <tableColumn name="TargetFunded" id="12"/>
    <tableColumn name="FundingPercent" id="13"/>
  </tableColumns>
  <tableStyleInfo name="CostStatus-style" showColumnStripes="0" showFirstColumn="1" showLastColumn="1" showRowStripes="1"/>
</table>
</file>

<file path=xl/tables/table10.xml><?xml version="1.0" encoding="utf-8"?>
<table xmlns="http://schemas.openxmlformats.org/spreadsheetml/2006/main" ref="A1:B798" displayName="tblDependencies" name="tblDependencies" id="10">
  <tableColumns count="2">
    <tableColumn name="TargetID" id="1"/>
    <tableColumn name="DependencyID" id="2"/>
  </tableColumns>
  <tableStyleInfo name="Dependencies-style" showColumnStripes="0" showFirstColumn="1" showLastColumn="1" showRowStripes="1"/>
</table>
</file>

<file path=xl/tables/table11.xml><?xml version="1.0" encoding="utf-8"?>
<table xmlns="http://schemas.openxmlformats.org/spreadsheetml/2006/main" ref="A1:H148" displayName="tblQuestObjectives" name="tblQuestObjectives" id="11">
  <tableColumns count="8">
    <tableColumn name="QuestTargetID" id="1"/>
    <tableColumn name="ObjectiveNumber" id="2"/>
    <tableColumn name="ObjectiveDisplayName" id="3"/>
    <tableColumn name="ObjectiveType" id="4"/>
    <tableColumn name="ObjectiveID" id="5"/>
    <tableColumn name="Outstanding" id="6"/>
    <tableColumn name="activequest" id="7"/>
    <tableColumn name="QuestDisplayName" id="8"/>
  </tableColumns>
  <tableStyleInfo name="QuestObjectives-style" showColumnStripes="0" showFirstColumn="1" showLastColumn="1" showRowStripes="1"/>
</table>
</file>

<file path=xl/tables/table12.xml><?xml version="1.0" encoding="utf-8"?>
<table xmlns="http://schemas.openxmlformats.org/spreadsheetml/2006/main" ref="A1:D310" displayName="tblCostTemp" name="tblCostTemp" id="12">
  <tableColumns count="4">
    <tableColumn name="TargetID" id="1"/>
    <tableColumn name="TargetType" id="2"/>
    <tableColumn name="DisplayName" id="3"/>
    <tableColumn name="costtext" id="4"/>
  </tableColumns>
  <tableStyleInfo name="CostTemp-style" showColumnStripes="0" showFirstColumn="1" showLastColumn="1" showRowStripes="1"/>
</table>
</file>

<file path=xl/tables/table13.xml><?xml version="1.0" encoding="utf-8"?>
<table xmlns="http://schemas.openxmlformats.org/spreadsheetml/2006/main" ref="A1:CH109" displayName="tblBuildings" name="tblBuildings" id="13">
  <tableColumns count="86">
    <tableColumn name="BuildingID" id="1"/>
    <tableColumn name="Key" id="2"/>
    <tableColumn name="BuildingName" id="3"/>
    <tableColumn name="DisplayName" id="4"/>
    <tableColumn name="Trackable" id="5"/>
    <tableColumn name="Level" id="6"/>
    <tableColumn name="CharacterLevelReq" id="7"/>
    <tableColumn name="description" id="8"/>
    <tableColumn name="Notes" id="9"/>
    <tableColumn name="cost" id="10"/>
    <tableColumn name="PrereqText" id="11"/>
    <tableColumn name="prereq_tokens_auto" id="12"/>
    <tableColumn name="WikiName" id="13"/>
    <tableColumn name="costtext" id="14"/>
    <tableColumn name="coustcount" id="15"/>
    <tableColumn name="resourcecount" id="16"/>
    <tableColumn name="anchor" id="17"/>
    <tableColumn name="apy" id="18"/>
    <tableColumn name="arrows" id="19"/>
    <tableColumn name="bamboo" id="20"/>
    <tableColumn name="beam" id="21"/>
    <tableColumn name="beans" id="22"/>
    <tableColumn name="bento" id="23"/>
    <tableColumn name="bluecrystal" id="24"/>
    <tableColumn name="blueprint" id="25"/>
    <tableColumn name="charcoal" id="26"/>
    <tableColumn name="chemicals" id="27"/>
    <tableColumn name="clew" id="28"/>
    <tableColumn name="coin" id="29"/>
    <tableColumn name="crypto" id="30"/>
    <tableColumn name="drum" id="31"/>
    <tableColumn name="egg" id="32"/>
    <tableColumn name="enzyme" id="33"/>
    <tableColumn name="fan" id="34"/>
    <tableColumn name="floppy" id="35"/>
    <tableColumn name="gears" id="36"/>
    <tableColumn name="glass" id="37"/>
    <tableColumn name="goat" id="38"/>
    <tableColumn name="greencrystal" id="39"/>
    <tableColumn name="grimoire" id="40"/>
    <tableColumn name="gunpowder" id="41"/>
    <tableColumn name="herbs" id="42"/>
    <tableColumn name="ingot" id="43"/>
    <tableColumn name="katana" id="44"/>
    <tableColumn name="kimono" id="45"/>
    <tableColumn name="koji" id="46"/>
    <tableColumn name="kunai" id="47"/>
    <tableColumn name="malu" id="48"/>
    <tableColumn name="mechanism" id="49"/>
    <tableColumn name="mercury" id="50"/>
    <tableColumn name="microchip" id="51"/>
    <tableColumn name="milk" id="52"/>
    <tableColumn name="miron" id="53"/>
    <tableColumn name="mortar" id="54"/>
    <tableColumn name="mspider" id="55"/>
    <tableColumn name="msteel" id="56"/>
    <tableColumn name="ninja" id="57"/>
    <tableColumn name="oil" id="58"/>
    <tableColumn name="page" id="59"/>
    <tableColumn name="paper" id="60"/>
    <tableColumn name="pcard" id="61"/>
    <tableColumn name="pearl" id="62"/>
    <tableColumn name="petard" id="63"/>
    <tableColumn name="plank" id="64"/>
    <tableColumn name="poe" id="65"/>
    <tableColumn name="quartz" id="66"/>
    <tableColumn name="ramen" id="67"/>
    <tableColumn name="reagent" id="68"/>
    <tableColumn name="redcrystal" id="69"/>
    <tableColumn name="rice" id="70"/>
    <tableColumn name="ruby" id="71"/>
    <tableColumn name="samurai" id="72"/>
    <tableColumn name="scroll" id="73"/>
    <tableColumn name="silk" id="74"/>
    <tableColumn name="smoothie" id="75"/>
    <tableColumn name="soy" id="76"/>
    <tableColumn name="soybean" id="77"/>
    <tableColumn name="spices" id="78"/>
    <tableColumn name="steel" id="79"/>
    <tableColumn name="stone" id="80"/>
    <tableColumn name="sushi" id="81"/>
    <tableColumn name="thread" id="82"/>
    <tableColumn name="titanium" id="83"/>
    <tableColumn name="treasure" id="84"/>
    <tableColumn name="wheat" id="85"/>
    <tableColumn name="wood" id="86"/>
  </tableColumns>
  <tableStyleInfo name="Buildings-style" showColumnStripes="0" showFirstColumn="1" showLastColumn="1" showRowStripes="1"/>
</table>
</file>

<file path=xl/tables/table14.xml><?xml version="1.0" encoding="utf-8"?>
<table xmlns="http://schemas.openxmlformats.org/spreadsheetml/2006/main" ref="A1:AA16" displayName="tblCitadel" name="tblCitadel" id="14">
  <tableColumns count="27">
    <tableColumn name="CitadelID" id="1"/>
    <tableColumn name="Key" id="2"/>
    <tableColumn name="CitadelName" id="3"/>
    <tableColumn name="DisplayName" id="4"/>
    <tableColumn name="Trackable" id="5"/>
    <tableColumn name="Cost" id="6"/>
    <tableColumn name="Note" id="7"/>
    <tableColumn name="all_prereqs" id="8"/>
    <tableColumn name="unlocks" id="9"/>
    <tableColumn name="prereq_tokens_auto" id="10"/>
    <tableColumn name="costtext" id="11"/>
    <tableColumn name="coustcount" id="12"/>
    <tableColumn name="resourcecount" id="13"/>
    <tableColumn name="beam" id="14"/>
    <tableColumn name="coin" id="15"/>
    <tableColumn name="crypto" id="16"/>
    <tableColumn name="enzyme" id="17"/>
    <tableColumn name="grimoire" id="18"/>
    <tableColumn name="inarizushi" id="19"/>
    <tableColumn name="page" id="20"/>
    <tableColumn name="plank" id="21"/>
    <tableColumn name="ruby" id="22"/>
    <tableColumn name="softcheese" id="23"/>
    <tableColumn name="steel" id="24"/>
    <tableColumn name="stone" id="25"/>
    <tableColumn name="treasure" id="26"/>
    <tableColumn name="wood" id="27"/>
  </tableColumns>
  <tableStyleInfo name="Citadel-style" showColumnStripes="0" showFirstColumn="1" showLastColumn="1" showRowStripes="1"/>
</table>
</file>

<file path=xl/tables/table15.xml><?xml version="1.0" encoding="utf-8"?>
<table xmlns="http://schemas.openxmlformats.org/spreadsheetml/2006/main" ref="A1:EN89" displayName="tblCollections" name="tblCollections" id="15">
  <tableColumns count="144">
    <tableColumn name="CollectionID" id="1"/>
    <tableColumn name="Key" id="2"/>
    <tableColumn name="CollectionName" id="3"/>
    <tableColumn name="DisplayName" id="4"/>
    <tableColumn name="Trackable" id="5"/>
    <tableColumn name="Level" id="6"/>
    <tableColumn name="Cost" id="7"/>
    <tableColumn name="Note" id="8"/>
    <tableColumn name="all_prereqs" id="9"/>
    <tableColumn name="prereq_tokens_auto" id="10"/>
    <tableColumn name="costtext" id="11"/>
    <tableColumn name="coustcount" id="12"/>
    <tableColumn name="resourcecount" id="13"/>
    <tableColumn name="apy" id="14"/>
    <tableColumn name="armor1" id="15"/>
    <tableColumn name="armor2" id="16"/>
    <tableColumn name="armor3" id="17"/>
    <tableColumn name="armor4" id="18"/>
    <tableColumn name="armor4p" id="19"/>
    <tableColumn name="avocado" id="20"/>
    <tableColumn name="bamboo" id="21"/>
    <tableColumn name="bamboo.2" id="22"/>
    <tableColumn name="bamboo.3" id="23"/>
    <tableColumn name="beans" id="24"/>
    <tableColumn name="bluecrystal" id="25"/>
    <tableColumn name="blueprint" id="26"/>
    <tableColumn name="cake" id="27"/>
    <tableColumn name="charcoal" id="28"/>
    <tableColumn name="chemicals" id="29"/>
    <tableColumn name="cherry" id="30"/>
    <tableColumn name="cherry.2" id="31"/>
    <tableColumn name="cherry.3" id="32"/>
    <tableColumn name="cherry.4" id="33"/>
    <tableColumn name="cherry.5" id="34"/>
    <tableColumn name="cherry.6" id="35"/>
    <tableColumn name="cinnabar" id="36"/>
    <tableColumn name="coin" id="37"/>
    <tableColumn name="coin.2" id="38"/>
    <tableColumn name="crypto" id="39"/>
    <tableColumn name="cup" id="40"/>
    <tableColumn name="dates" id="41"/>
    <tableColumn name="diamond" id="42"/>
    <tableColumn name="dinar" id="43"/>
    <tableColumn name="drum" id="44"/>
    <tableColumn name="egg" id="45"/>
    <tableColumn name="fan" id="46"/>
    <tableColumn name="firework" id="47"/>
    <tableColumn name="flour" id="48"/>
    <tableColumn name="fried" id="49"/>
    <tableColumn name="gegg" id="50"/>
    <tableColumn name="gegg.2" id="51"/>
    <tableColumn name="ginkgo" id="52"/>
    <tableColumn name="glass" id="53"/>
    <tableColumn name="greencrystal" id="54"/>
    <tableColumn name="grimoire" id="55"/>
    <tableColumn name="gunpowder" id="56"/>
    <tableColumn name="herbs" id="57"/>
    <tableColumn name="herbs.2" id="58"/>
    <tableColumn name="herbs.3" id="59"/>
    <tableColumn name="hide" id="60"/>
    <tableColumn name="honey" id="61"/>
    <tableColumn name="horn" id="62"/>
    <tableColumn name="ingot" id="63"/>
    <tableColumn name="isand" id="64"/>
    <tableColumn name="jam" id="65"/>
    <tableColumn name="katana" id="66"/>
    <tableColumn name="kimono" id="67"/>
    <tableColumn name="mandrake" id="68"/>
    <tableColumn name="map1" id="69"/>
    <tableColumn name="map2" id="70"/>
    <tableColumn name="map3" id="71"/>
    <tableColumn name="mcola" id="72"/>
    <tableColumn name="mech" id="73"/>
    <tableColumn name="milk" id="74"/>
    <tableColumn name="miron" id="75"/>
    <tableColumn name="mushrooms" id="76"/>
    <tableColumn name="mushrooms.2" id="77"/>
    <tableColumn name="mushrooms.3" id="78"/>
    <tableColumn name="mushrooms.4" id="79"/>
    <tableColumn name="mushrooms.5" id="80"/>
    <tableColumn name="mushrooms.6" id="81"/>
    <tableColumn name="ninja" id="82"/>
    <tableColumn name="oil" id="83"/>
    <tableColumn name="page" id="84"/>
    <tableColumn name="paper" id="85"/>
    <tableColumn name="pasta" id="86"/>
    <tableColumn name="pearl" id="87"/>
    <tableColumn name="plank" id="88"/>
    <tableColumn name="plank.2" id="89"/>
    <tableColumn name="plank.3" id="90"/>
    <tableColumn name="plank.4" id="91"/>
    <tableColumn name="plank.5" id="92"/>
    <tableColumn name="plank.6" id="93"/>
    <tableColumn name="plank.7" id="94"/>
    <tableColumn name="plank.8" id="95"/>
    <tableColumn name="pog" id="96"/>
    <tableColumn name="porcini" id="97"/>
    <tableColumn name="quartz" id="98"/>
    <tableColumn name="ramen" id="99"/>
    <tableColumn name="reagent" id="100"/>
    <tableColumn name="redcrystal" id="101"/>
    <tableColumn name="reddiamond" id="102"/>
    <tableColumn name="rice" id="103"/>
    <tableColumn name="ring1" id="104"/>
    <tableColumn name="ring2" id="105"/>
    <tableColumn name="ring3" id="106"/>
    <tableColumn name="ring4" id="107"/>
    <tableColumn name="ring4p" id="108"/>
    <tableColumn name="ruby" id="109"/>
    <tableColumn name="salmon" id="110"/>
    <tableColumn name="samurai" id="111"/>
    <tableColumn name="scroll" id="112"/>
    <tableColumn name="shield1" id="113"/>
    <tableColumn name="shield2" id="114"/>
    <tableColumn name="shield3" id="115"/>
    <tableColumn name="shield4" id="116"/>
    <tableColumn name="shield4p" id="117"/>
    <tableColumn name="shuriken" id="118"/>
    <tableColumn name="silk" id="119"/>
    <tableColumn name="smoothie2" id="120"/>
    <tableColumn name="soy" id="121"/>
    <tableColumn name="spices" id="122"/>
    <tableColumn name="spikes" id="123"/>
    <tableColumn name="steel" id="124"/>
    <tableColumn name="stone" id="125"/>
    <tableColumn name="stone.2" id="126"/>
    <tableColumn name="strawberry" id="127"/>
    <tableColumn name="strawberry.2" id="128"/>
    <tableColumn name="strawberry.3" id="129"/>
    <tableColumn name="sushi" id="130"/>
    <tableColumn name="sword1" id="131"/>
    <tableColumn name="sword2" id="132"/>
    <tableColumn name="sword3" id="133"/>
    <tableColumn name="sword4" id="134"/>
    <tableColumn name="sword4p" id="135"/>
    <tableColumn name="teeth" id="136"/>
    <tableColumn name="teriyaki" id="137"/>
    <tableColumn name="thread" id="138"/>
    <tableColumn name="titanium" id="139"/>
    <tableColumn name="treasure" id="140"/>
    <tableColumn name="tuna" id="141"/>
    <tableColumn name="vintcheese" id="142"/>
    <tableColumn name="violetcrystal" id="143"/>
    <tableColumn name="wood" id="144"/>
  </tableColumns>
  <tableStyleInfo name="Collections-style" showColumnStripes="0" showFirstColumn="1" showLastColumn="1" showRowStripes="1"/>
</table>
</file>

<file path=xl/tables/table16.xml><?xml version="1.0" encoding="utf-8"?>
<table xmlns="http://schemas.openxmlformats.org/spreadsheetml/2006/main" ref="A1:AX21" displayName="tblCraftifacts" name="tblCraftifacts" id="16">
  <tableColumns count="50">
    <tableColumn name="CraftifactID" id="1"/>
    <tableColumn name="Key" id="2"/>
    <tableColumn name="CraftifactName" id="3"/>
    <tableColumn name="DisplayName" id="4"/>
    <tableColumn name="Trackable" id="5"/>
    <tableColumn name="Level" id="6"/>
    <tableColumn name="Cost" id="7"/>
    <tableColumn name="Note" id="8"/>
    <tableColumn name="all_prereqs" id="9"/>
    <tableColumn name="prereq_tokens_auto" id="10"/>
    <tableColumn name="costtext" id="11"/>
    <tableColumn name="coustcount" id="12"/>
    <tableColumn name="resourcecount" id="13"/>
    <tableColumn name="apy" id="14"/>
    <tableColumn name="blueprint" id="15"/>
    <tableColumn name="catalyst" id="16"/>
    <tableColumn name="charcoal" id="17"/>
    <tableColumn name="chemicals" id="18"/>
    <tableColumn name="coin" id="19"/>
    <tableColumn name="crypto" id="20"/>
    <tableColumn name="dates" id="21"/>
    <tableColumn name="emeralds" id="22"/>
    <tableColumn name="flour" id="23"/>
    <tableColumn name="ginkgo" id="24"/>
    <tableColumn name="glass" id="25"/>
    <tableColumn name="grimoire" id="26"/>
    <tableColumn name="herbs" id="27"/>
    <tableColumn name="honey" id="28"/>
    <tableColumn name="ingot" id="29"/>
    <tableColumn name="malu" id="30"/>
    <tableColumn name="mechanism" id="31"/>
    <tableColumn name="mercury" id="32"/>
    <tableColumn name="miron" id="33"/>
    <tableColumn name="msteel" id="34"/>
    <tableColumn name="oil" id="35"/>
    <tableColumn name="page" id="36"/>
    <tableColumn name="paper" id="37"/>
    <tableColumn name="pcard" id="38"/>
    <tableColumn name="pearl" id="39"/>
    <tableColumn name="reagent" id="40"/>
    <tableColumn name="rice" id="41"/>
    <tableColumn name="ruby" id="42"/>
    <tableColumn name="scroll" id="43"/>
    <tableColumn name="silk" id="44"/>
    <tableColumn name="steel" id="45"/>
    <tableColumn name="teeth" id="46"/>
    <tableColumn name="thread" id="47"/>
    <tableColumn name="tparts" id="48"/>
    <tableColumn name="tuna" id="49"/>
    <tableColumn name="velour" id="50"/>
  </tableColumns>
  <tableStyleInfo name="Craftifacts-style" showColumnStripes="0" showFirstColumn="1" showLastColumn="1" showRowStripes="1"/>
</table>
</file>

<file path=xl/tables/table17.xml><?xml version="1.0" encoding="utf-8"?>
<table xmlns="http://schemas.openxmlformats.org/spreadsheetml/2006/main" ref="A1:O61" displayName="tblQuests" name="tblQuests" id="17">
  <tableColumns count="15">
    <tableColumn name="QuestID" id="1"/>
    <tableColumn name="Key" id="2"/>
    <tableColumn name="QuestName" id="3"/>
    <tableColumn name="DisplayName" id="4"/>
    <tableColumn name="Trackable" id="5"/>
    <tableColumn name="QuestGroup" id="6"/>
    <tableColumn name="Chapter" id="7"/>
    <tableColumn name="Costtext" id="8"/>
    <tableColumn name="Objective" id="9"/>
    <tableColumn name="Reward" id="10"/>
    <tableColumn name="Note" id="11"/>
    <tableColumn name="all_prereqs" id="12"/>
    <tableColumn name="Canon_token" id="13"/>
    <tableColumn name="State_token" id="14"/>
    <tableColumn name="prereq_tokens_auto" id="15"/>
  </tableColumns>
  <tableStyleInfo name="Quests-style" showColumnStripes="0" showFirstColumn="1" showLastColumn="1" showRowStripes="1"/>
</table>
</file>

<file path=xl/tables/table18.xml><?xml version="1.0" encoding="utf-8"?>
<table xmlns="http://schemas.openxmlformats.org/spreadsheetml/2006/main" ref="A1:G147" displayName="tblStates" name="tblStates" id="18">
  <tableColumns count="7">
    <tableColumn name="StateID" id="1"/>
    <tableColumn name="DisplayName" id="2"/>
    <tableColumn name="Quest" id="3"/>
    <tableColumn name="Objective" id="4"/>
    <tableColumn name="Dependency" id="5"/>
    <tableColumn name="StateType" id="6"/>
    <tableColumn name="Trackable" id="7"/>
  </tableColumns>
  <tableStyleInfo name="States-style" showColumnStripes="0" showFirstColumn="1" showLastColumn="1" showRowStripes="1"/>
</table>
</file>

<file path=xl/tables/table19.xml><?xml version="1.0" encoding="utf-8"?>
<table xmlns="http://schemas.openxmlformats.org/spreadsheetml/2006/main" ref="A1:CU96" displayName="tblTechnologies" name="tblTechnologies" id="19">
  <tableColumns count="99">
    <tableColumn name="TechnologyID" id="1"/>
    <tableColumn name="Key" id="2"/>
    <tableColumn name="TechnologyName" id="3"/>
    <tableColumn name="DisplayName" id="4"/>
    <tableColumn name="Trackable" id="5"/>
    <tableColumn name="BuildingKey" id="6"/>
    <tableColumn name="OwnerID" id="7"/>
    <tableColumn name="building" id="8"/>
    <tableColumn name="all_prereqs" id="9"/>
    <tableColumn name="prereq_tokens_auto" id="10"/>
    <tableColumn name="unlocks" id="11"/>
    <tableColumn name="notes" id="12"/>
    <tableColumn name="costtext" id="13"/>
    <tableColumn name="coustcount" id="14"/>
    <tableColumn name="resourcecount" id="15"/>
    <tableColumn name="amazake" id="16"/>
    <tableColumn name="apy" id="17"/>
    <tableColumn name="armor4" id="18"/>
    <tableColumn name="bamboo" id="19"/>
    <tableColumn name="beam" id="20"/>
    <tableColumn name="beans" id="21"/>
    <tableColumn name="bluecrystal" id="22"/>
    <tableColumn name="blueprint" id="23"/>
    <tableColumn name="bone" id="24"/>
    <tableColumn name="Bonemeal" id="25"/>
    <tableColumn name="catalyst" id="26"/>
    <tableColumn name="charcoal" id="27"/>
    <tableColumn name="chemicals" id="28"/>
    <tableColumn name="cinnabar" id="29"/>
    <tableColumn name="coin" id="30"/>
    <tableColumn name="crypto" id="31"/>
    <tableColumn name="diamond" id="32"/>
    <tableColumn name="egg" id="33"/>
    <tableColumn name="elixir" id="34"/>
    <tableColumn name="enzyme" id="35"/>
    <tableColumn name="fan" id="36"/>
    <tableColumn name="fertilizer" id="37"/>
    <tableColumn name="flatbread" id="38"/>
    <tableColumn name="floppy" id="39"/>
    <tableColumn name="flour" id="40"/>
    <tableColumn name="gears" id="41"/>
    <tableColumn name="ginkgo" id="42"/>
    <tableColumn name="glass" id="43"/>
    <tableColumn name="greek" id="44"/>
    <tableColumn name="greencrystal" id="45"/>
    <tableColumn name="grimoire" id="46"/>
    <tableColumn name="gunpowder" id="47"/>
    <tableColumn name="herbs" id="48"/>
    <tableColumn name="hide" id="49"/>
    <tableColumn name="honey" id="50"/>
    <tableColumn name="horn" id="51"/>
    <tableColumn name="ingot" id="52"/>
    <tableColumn name="mandrake" id="53"/>
    <tableColumn name="mechanism" id="54"/>
    <tableColumn name="mercury" id="55"/>
    <tableColumn name="microchip" id="56"/>
    <tableColumn name="milk" id="57"/>
    <tableColumn name="miron" id="58"/>
    <tableColumn name="misopaste" id="59"/>
    <tableColumn name="mspider" id="60"/>
    <tableColumn name="msteel" id="61"/>
    <tableColumn name="net" id="62"/>
    <tableColumn name="oil" id="63"/>
    <tableColumn name="onigiri" id="64"/>
    <tableColumn name="page" id="65"/>
    <tableColumn name="paper" id="66"/>
    <tableColumn name="pcard" id="67"/>
    <tableColumn name="plank" id="68"/>
    <tableColumn name="poh" id="69"/>
    <tableColumn name="poh2" id="70"/>
    <tableColumn name="quartz" id="71"/>
    <tableColumn name="reagent" id="72"/>
    <tableColumn name="redcrystal" id="73"/>
    <tableColumn name="reddiamond" id="74"/>
    <tableColumn name="rice" id="75"/>
    <tableColumn name="ring1" id="76"/>
    <tableColumn name="ruby" id="77"/>
    <tableColumn name="salmon" id="78"/>
    <tableColumn name="shield3" id="79"/>
    <tableColumn name="shield4" id="80"/>
    <tableColumn name="silk" id="81"/>
    <tableColumn name="soy" id="82"/>
    <tableColumn name="spices" id="83"/>
    <tableColumn name="steamobile" id="84"/>
    <tableColumn name="steel" id="85"/>
    <tableColumn name="stone" id="86"/>
    <tableColumn name="strawberry" id="87"/>
    <tableColumn name="sushi" id="88"/>
    <tableColumn name="sword3" id="89"/>
    <tableColumn name="sword4" id="90"/>
    <tableColumn name="thread" id="91"/>
    <tableColumn name="titanium" id="92"/>
    <tableColumn name="tofu" id="93"/>
    <tableColumn name="tparts" id="94"/>
    <tableColumn name="tuna" id="95"/>
    <tableColumn name="velour" id="96"/>
    <tableColumn name="violetcrystal" id="97"/>
    <tableColumn name="wheat" id="98"/>
    <tableColumn name="wood" id="99"/>
  </tableColumns>
  <tableStyleInfo name="Technologies-style" showColumnStripes="0" showFirstColumn="1" showLastColumn="1" showRowStripes="1"/>
</table>
</file>

<file path=xl/tables/table20.xml><?xml version="1.0" encoding="utf-8"?>
<table xmlns="http://schemas.openxmlformats.org/spreadsheetml/2006/main" ref="A1:L714" displayName="tbldeptemp" name="tbldeptemp" id="20">
  <tableColumns count="12">
    <tableColumn name="OwnerType" id="1"/>
    <tableColumn name="OwnerID" id="2"/>
    <tableColumn name="NormalizedOwnerID" id="3"/>
    <tableColumn name="Notes" id="4"/>
    <tableColumn name="NormalizedNotes" id="5"/>
    <tableColumn name="Complete" id="6"/>
    <tableColumn name="Type" id="7"/>
    <tableColumn name="TargetID" id="8"/>
    <tableColumn name="DependencyID" id="9"/>
    <tableColumn name="ValidTarget" id="10"/>
    <tableColumn name="ValidDependency" id="11"/>
    <tableColumn name="Exception" id="12"/>
  </tableColumns>
  <tableStyleInfo name="Dep_Import-style" showColumnStripes="0" showFirstColumn="1" showLastColumn="1" showRowStripes="1"/>
</table>
</file>

<file path=xl/tables/table21.xml><?xml version="1.0" encoding="utf-8"?>
<table xmlns="http://schemas.openxmlformats.org/spreadsheetml/2006/main" ref="A1:F60" displayName="tblBuildingAliases" name="tblBuildingAliases" id="21">
  <tableColumns count="6">
    <tableColumn name="SourceType" id="1"/>
    <tableColumn name="Source ID" id="2"/>
    <tableColumn name="Tracker Key" id="3"/>
    <tableColumn name="Tracker Target Pattern" id="4"/>
    <tableColumn name="Confidence" id="5"/>
    <tableColumn name="Reason" id="6"/>
  </tableColumns>
  <tableStyleInfo name="Ali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4.x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8"/>
    <col customWidth="1" min="2" max="2" width="56.13"/>
    <col customWidth="1" min="3" max="61" width="8.63"/>
  </cols>
  <sheetData>
    <row r="1" ht="14.25" customHeight="1">
      <c r="A1" s="5"/>
      <c r="B1" s="5"/>
    </row>
    <row r="2" ht="14.25" customHeight="1"/>
    <row r="3" ht="14.25" customHeight="1"/>
    <row r="4" ht="14.25" customHeight="1"/>
    <row r="5" ht="14.25" customHeight="1"/>
    <row r="6" ht="14.25" customHeight="1">
      <c r="B6" s="6"/>
    </row>
    <row r="7" ht="14.25" customHeight="1"/>
    <row r="8" ht="14.25" customHeight="1"/>
    <row r="9" ht="14.25" customHeight="1"/>
    <row r="10" ht="14.25" customHeight="1">
      <c r="B10" s="6"/>
    </row>
    <row r="11" ht="14.25" customHeight="1">
      <c r="B11" s="6"/>
    </row>
    <row r="12" ht="14.25" customHeight="1">
      <c r="B12" s="6"/>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75"/>
    <col customWidth="1" min="2" max="2" width="5.88"/>
    <col customWidth="1" min="3" max="3" width="26.0"/>
    <col customWidth="1" min="4" max="4" width="23.0"/>
    <col customWidth="1" min="5" max="5" width="33.0"/>
    <col customWidth="1" min="6" max="6" width="8.63"/>
    <col customWidth="1" min="7" max="7" width="10.75"/>
    <col customWidth="1" min="8" max="10" width="8.63"/>
    <col customWidth="1" hidden="1" min="11" max="11" width="8.63"/>
    <col customWidth="1" min="12" max="26" width="8.63"/>
  </cols>
  <sheetData>
    <row r="1" ht="14.25" customHeight="1">
      <c r="A1" s="10" t="s">
        <v>7</v>
      </c>
      <c r="B1" s="11" t="s">
        <v>8</v>
      </c>
      <c r="C1" s="11" t="s">
        <v>9</v>
      </c>
      <c r="D1" s="10" t="s">
        <v>10</v>
      </c>
      <c r="E1" s="12" t="s">
        <v>11</v>
      </c>
      <c r="G1" s="13" t="s">
        <v>12</v>
      </c>
      <c r="H1" s="16" t="s">
        <v>16</v>
      </c>
      <c r="K1" s="18" t="s">
        <v>16</v>
      </c>
    </row>
    <row r="2" ht="14.25" customHeight="1">
      <c r="A2" s="21" t="s">
        <v>20</v>
      </c>
      <c r="B2" s="23">
        <v>1.0</v>
      </c>
      <c r="C2" s="24" t="s">
        <v>26</v>
      </c>
      <c r="D2" s="21" t="s">
        <v>27</v>
      </c>
      <c r="E2" s="26" t="s">
        <v>28</v>
      </c>
      <c r="K2" s="18" t="s">
        <v>29</v>
      </c>
    </row>
    <row r="3" ht="14.25" customHeight="1">
      <c r="A3" s="21" t="s">
        <v>30</v>
      </c>
      <c r="B3" s="23">
        <v>0.0</v>
      </c>
      <c r="C3" s="27" t="s">
        <v>31</v>
      </c>
      <c r="D3" s="21" t="s">
        <v>32</v>
      </c>
      <c r="E3" s="26" t="s">
        <v>33</v>
      </c>
    </row>
    <row r="4" ht="14.25" customHeight="1">
      <c r="A4" s="21" t="s">
        <v>34</v>
      </c>
      <c r="B4" s="23">
        <v>0.0</v>
      </c>
      <c r="C4" s="27" t="s">
        <v>35</v>
      </c>
      <c r="D4" s="21" t="s">
        <v>36</v>
      </c>
      <c r="E4" s="26" t="s">
        <v>37</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CC0EF592-60EA-48AA-80C1-DDA98C5D907E}" filter="1" showAutoFilter="1">
      <autoFilter ref="$A$1:$E$4"/>
    </customSheetView>
  </customSheetViews>
  <dataValidations>
    <dataValidation type="list" allowBlank="1" showErrorMessage="1" sqref="H1">
      <formula1>$K$1:$K$2</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23.0"/>
    <col customWidth="1" min="2" max="2" width="11.5"/>
    <col customWidth="1" min="3" max="3" width="4.5"/>
    <col customWidth="1" min="4" max="4" width="7.5"/>
    <col customWidth="1" min="5" max="5" width="10.38"/>
    <col customWidth="1" min="6" max="6" width="21.5"/>
    <col customWidth="1" min="7" max="7" width="3.13"/>
    <col customWidth="1" min="8" max="8" width="4.88"/>
    <col customWidth="1" min="9" max="9" width="26.5"/>
    <col customWidth="1" min="10" max="10" width="11.5"/>
    <col customWidth="1" min="11" max="11" width="25.5"/>
    <col customWidth="1" min="12" max="12" width="101.5"/>
    <col customWidth="1" min="13" max="13" width="5.5"/>
    <col customWidth="1" min="14" max="14" width="13.25"/>
    <col customWidth="1" min="15" max="15" width="27.88"/>
    <col customWidth="1" min="16" max="16" width="26.5"/>
    <col customWidth="1" min="17" max="17" width="1.75"/>
    <col customWidth="1" min="18" max="18" width="6.88"/>
    <col customWidth="1" min="19" max="19" width="17.5"/>
    <col customWidth="1" min="20" max="20" width="7.75"/>
    <col customWidth="1" min="21" max="21" width="8.75"/>
    <col customWidth="1" min="22" max="22" width="35.88"/>
    <col customWidth="1" min="23" max="23" width="10.88"/>
    <col customWidth="1" min="24" max="25" width="8.75"/>
    <col customWidth="1" min="26" max="26" width="18.13"/>
    <col customWidth="1" min="27" max="27" width="33.5"/>
    <col customWidth="1" min="28" max="28" width="4.88"/>
    <col customWidth="1" min="29" max="29" width="12.13"/>
  </cols>
  <sheetData>
    <row r="1" ht="14.25" customHeight="1">
      <c r="A1" s="1" t="s">
        <v>0</v>
      </c>
      <c r="B1" s="2"/>
      <c r="C1" s="2"/>
      <c r="D1" s="2"/>
      <c r="E1" s="3"/>
      <c r="F1" s="4"/>
      <c r="G1" s="4"/>
      <c r="H1" s="4"/>
      <c r="I1" s="1" t="s">
        <v>1</v>
      </c>
      <c r="J1" s="2"/>
      <c r="K1" s="2"/>
      <c r="L1" s="3"/>
      <c r="M1" s="7"/>
      <c r="N1" s="4"/>
      <c r="O1" s="1" t="s">
        <v>2</v>
      </c>
      <c r="P1" s="3"/>
      <c r="Q1" s="4"/>
      <c r="R1" s="4"/>
      <c r="S1" s="1" t="s">
        <v>3</v>
      </c>
      <c r="T1" s="3"/>
      <c r="U1" s="7"/>
      <c r="V1" s="1" t="s">
        <v>4</v>
      </c>
      <c r="W1" s="3"/>
      <c r="X1" s="7"/>
      <c r="Y1" s="8" t="s">
        <v>5</v>
      </c>
      <c r="Z1" s="9" t="s">
        <v>6</v>
      </c>
      <c r="AA1" s="6" t="str">
        <f>IFERROR(__xludf.DUMMYFUNCTION("IFERROR(
 FILTER(
  {
   'cost checklist'!C2:C1000,
   'cost checklist'!G2:G1000,
   'cost checklist'!D2:D1000
  },
  ('cost checklist'!E2:E1000=$Z$1)*
  ('cost checklist'!J2:J1000=FALSE)*
  ('cost checklist'!I2:I1000=""READY"")
 ),
 ""No ready unpaid tar"&amp;"gets require this resource""
)"),"Guild Lv 2")</f>
        <v>Guild Lv 2</v>
      </c>
      <c r="AB1" s="6">
        <f>IFERROR(__xludf.DUMMYFUNCTION("""COMPUTED_VALUE"""),1.0)</f>
        <v>1</v>
      </c>
      <c r="AC1" s="6" t="str">
        <f>IFERROR(__xludf.DUMMYFUNCTION("""COMPUTED_VALUE"""),"BUILDING")</f>
        <v>BUILDING</v>
      </c>
    </row>
    <row r="2" ht="14.25" customHeight="1">
      <c r="A2" s="14" t="s">
        <v>13</v>
      </c>
      <c r="B2" s="14" t="s">
        <v>14</v>
      </c>
      <c r="C2" s="15" t="s">
        <v>15</v>
      </c>
      <c r="D2" s="17" t="s">
        <v>17</v>
      </c>
      <c r="E2" s="14" t="s">
        <v>18</v>
      </c>
      <c r="F2" s="14" t="s">
        <v>19</v>
      </c>
      <c r="G2" s="19"/>
      <c r="H2" s="19"/>
      <c r="I2" s="20" t="s">
        <v>13</v>
      </c>
      <c r="J2" s="20" t="s">
        <v>14</v>
      </c>
      <c r="K2" s="20" t="s">
        <v>21</v>
      </c>
      <c r="L2" s="20" t="s">
        <v>19</v>
      </c>
      <c r="M2" s="6"/>
      <c r="N2" s="6"/>
      <c r="O2" s="22" t="s">
        <v>22</v>
      </c>
      <c r="P2" s="22" t="s">
        <v>23</v>
      </c>
      <c r="Q2" s="4"/>
      <c r="R2" s="6"/>
      <c r="S2" s="20" t="s">
        <v>24</v>
      </c>
      <c r="T2" s="20" t="s">
        <v>25</v>
      </c>
      <c r="U2" s="6"/>
      <c r="V2" s="25" t="str">
        <f>IFERROR(__xludf.DUMMYFUNCTION("IFERROR(
 FILTER(
  {
   TargetStatus!B2:B1000,
   TargetStatus!E2:E1000
  },
  (TargetStatus!C2:C1000=""READY"")*
  (TargetStatus!X2:X1000=TRUE)
 ),
 ""No funded targets waiting for completion""
)"),"No funded targets waiting for completion")</f>
        <v>No funded targets waiting for completion</v>
      </c>
      <c r="W2" s="25"/>
      <c r="X2" s="6"/>
      <c r="Y2" s="6"/>
      <c r="Z2" s="6"/>
      <c r="AA2" s="6"/>
      <c r="AB2" s="6"/>
      <c r="AC2" s="6"/>
    </row>
    <row r="3" ht="14.25" customHeight="1">
      <c r="A3" s="28" t="str">
        <f>IFERROR(__xludf.DUMMYFUNCTION("IFERROR(
 LET(
  data,
   FILTER(
    {
     TargetStatus!B2:B1000,
     TargetStatus!E2:E1000,
     TargetStatus!R2:R1000,
     TargetStatus!V2:V1000,
     TargetStatus!W2:W1000,
     TargetStatus!Y2:Y1000
    },
    (TargetStatus!C2:C1000=""READY"")*
  "&amp;"  (TargetStatus!D2:D1000=FALSE)*
    (TargetStatus!U2:U1000=TRUE)*
    (TargetStatus!X2:X1000=FALSE)
   ),
  sorted,
   SORT(
    HSTACK(
     data,
     IF(CHOOSECOLS(data,3)="""",1,0)
    ),
    7,TRUE,
    3,TRUE
   ),
  CHOOSECOLS(sorted,1,2,3,4,5,6)
"&amp;" ),
 ""Nothing currently waiting for payment""
)"),"Guild Lv 2")</f>
        <v>Guild Lv 2</v>
      </c>
      <c r="B3" s="28" t="str">
        <f>IFERROR(__xludf.DUMMYFUNCTION("""COMPUTED_VALUE"""),"BUILDING")</f>
        <v>BUILDING</v>
      </c>
      <c r="C3" s="29">
        <f>IFERROR(__xludf.DUMMYFUNCTION("""COMPUTED_VALUE"""),1.0)</f>
        <v>1</v>
      </c>
      <c r="D3" s="30">
        <f>IFERROR(__xludf.DUMMYFUNCTION("""COMPUTED_VALUE"""),0.0)</f>
        <v>0</v>
      </c>
      <c r="E3" s="28">
        <f>IFERROR(__xludf.DUMMYFUNCTION("""COMPUTED_VALUE"""),4.0)</f>
        <v>4</v>
      </c>
      <c r="F3" s="19" t="str">
        <f>IFERROR(__xludf.DUMMYFUNCTION("""COMPUTED_VALUE"""),"coin: 50, ruby: 1, stone: 50, wood: 50")</f>
        <v>coin: 50, ruby: 1, stone: 50, wood: 50</v>
      </c>
      <c r="G3" s="6"/>
      <c r="H3" s="6"/>
      <c r="I3" s="6" t="str">
        <f>IFERROR(__xludf.DUMMYFUNCTION("IFERROR(
 FILTER(
  {
   TargetStatus!B2:B1000,
   TargetStatus!E2:E1000,
   TargetStatus!N2:N1000,
   TargetStatus!O2:O1000
  },
  (TargetStatus!Q2:Q1000=""ONE AWAY"")*
  (TargetStatus!D2:D1000=FALSE)*
  (TargetStatus!T2:T1000=""PLAYER"")
 ),
 ""Nothing "&amp;"one step away""
)"),"Alchemist's Hut Lv 1")</f>
        <v>Alchemist's Hut Lv 1</v>
      </c>
      <c r="J3" s="6" t="str">
        <f>IFERROR(__xludf.DUMMYFUNCTION("""COMPUTED_VALUE"""),"BUILDING")</f>
        <v>BUILDING</v>
      </c>
      <c r="K3" s="6" t="str">
        <f>IFERROR(__xludf.DUMMYFUNCTION("""COMPUTED_VALUE"""),"Character Level@6")</f>
        <v>Character Level@6</v>
      </c>
      <c r="L3" s="6" t="str">
        <f>IFERROR(__xludf.DUMMYFUNCTION("""COMPUTED_VALUE"""),"1 ruby,140 coin,70 wood,70 stone")</f>
        <v>1 ruby,140 coin,70 wood,70 stone</v>
      </c>
      <c r="M3" s="6"/>
      <c r="N3" s="6"/>
      <c r="O3" s="6" t="str">
        <f>IFERROR(__xludf.DUMMYFUNCTION("IFERROR(
 FILTER(
  {
   QuestObjectives!H2:H1000,
   QuestObjectives!C2:C1000
  },
  (QuestObjectives!F2:F1000=TRUE)*
  (QuestObjectives!G2:G1000=TRUE)
 ),
 ""No active quests""
)"),"No active quests")</f>
        <v>No active quests</v>
      </c>
      <c r="P3" s="6"/>
      <c r="Q3" s="6"/>
      <c r="R3" s="6"/>
      <c r="S3" s="6" t="str">
        <f>IFERROR(__xludf.DUMMYFUNCTION("IFERROR(
 FILTER(
  {
   TargetStatus!B2:B1000,
   TargetStatus!AA2:AA1000
  },
  (TargetStatus!C2:C1000=""READY"")*
  (TargetStatus!E2:E1000=""STATE"")*
  (TargetStatus!D2:D1000=FALSE)*
  (TargetStatus!AA2:AA1000&lt;&gt;"""")
 ),
 ""No pending quest acceptance"&amp;" actions""
)"),"No pending quest acceptance actions")</f>
        <v>No pending quest acceptance actions</v>
      </c>
      <c r="T3" s="6"/>
      <c r="U3" s="6"/>
      <c r="V3" s="6"/>
      <c r="W3" s="6"/>
      <c r="X3" s="6"/>
      <c r="Y3" s="6"/>
      <c r="Z3" s="6"/>
      <c r="AA3" s="6"/>
      <c r="AB3" s="6"/>
      <c r="AC3" s="6"/>
    </row>
    <row r="4" ht="14.25" customHeight="1">
      <c r="A4" s="28"/>
      <c r="B4" s="28"/>
      <c r="C4" s="29"/>
      <c r="D4" s="30"/>
      <c r="E4" s="28"/>
      <c r="F4" s="19"/>
      <c r="G4" s="6"/>
      <c r="H4" s="6"/>
      <c r="I4" s="6" t="str">
        <f>IFERROR(__xludf.DUMMYFUNCTION("""COMPUTED_VALUE"""),"Bonsai Lv 1")</f>
        <v>Bonsai Lv 1</v>
      </c>
      <c r="J4" s="6" t="str">
        <f>IFERROR(__xludf.DUMMYFUNCTION("""COMPUTED_VALUE"""),"BUILDING")</f>
        <v>BUILDING</v>
      </c>
      <c r="K4" s="6" t="str">
        <f>IFERROR(__xludf.DUMMYFUNCTION("""COMPUTED_VALUE"""),"Character Level@21")</f>
        <v>Character Level@21</v>
      </c>
      <c r="L4" s="6" t="str">
        <f>IFERROR(__xludf.DUMMYFUNCTION("""COMPUTED_VALUE"""),"3 ruby,500 coin,500 plank,120 beans")</f>
        <v>3 ruby,500 coin,500 plank,120 beans</v>
      </c>
      <c r="M4" s="6"/>
      <c r="N4" s="6"/>
      <c r="O4" s="6"/>
      <c r="P4" s="6"/>
      <c r="Q4" s="6"/>
      <c r="R4" s="6"/>
      <c r="S4" s="6"/>
      <c r="T4" s="6"/>
      <c r="U4" s="6"/>
      <c r="V4" s="6"/>
      <c r="W4" s="6"/>
      <c r="X4" s="6"/>
      <c r="Y4" s="6"/>
      <c r="Z4" s="6"/>
      <c r="AA4" s="6"/>
      <c r="AB4" s="6"/>
      <c r="AC4" s="6"/>
    </row>
    <row r="5" ht="14.25" customHeight="1">
      <c r="A5" s="28"/>
      <c r="B5" s="28"/>
      <c r="C5" s="29"/>
      <c r="D5" s="30"/>
      <c r="E5" s="28"/>
      <c r="F5" s="19"/>
      <c r="G5" s="6"/>
      <c r="H5" s="6"/>
      <c r="I5" s="6" t="str">
        <f>IFERROR(__xludf.DUMMYFUNCTION("""COMPUTED_VALUE"""),"Bridge Lv 1")</f>
        <v>Bridge Lv 1</v>
      </c>
      <c r="J5" s="6" t="str">
        <f>IFERROR(__xludf.DUMMYFUNCTION("""COMPUTED_VALUE"""),"BUILDING")</f>
        <v>BUILDING</v>
      </c>
      <c r="K5" s="6" t="str">
        <f>IFERROR(__xludf.DUMMYFUNCTION("""COMPUTED_VALUE"""),"Character Level@30")</f>
        <v>Character Level@30</v>
      </c>
      <c r="L5" s="6" t="str">
        <f>IFERROR(__xludf.DUMMYFUNCTION("""COMPUTED_VALUE"""),"4 ruby,1000 coin,400 beam,1000 plank,400 stone,100 steel")</f>
        <v>4 ruby,1000 coin,400 beam,1000 plank,400 stone,100 steel</v>
      </c>
      <c r="M5" s="6"/>
      <c r="N5" s="6"/>
      <c r="O5" s="6"/>
      <c r="P5" s="6"/>
      <c r="Q5" s="6"/>
      <c r="R5" s="6"/>
      <c r="S5" s="6"/>
      <c r="T5" s="6"/>
      <c r="U5" s="6"/>
      <c r="V5" s="6"/>
      <c r="W5" s="6"/>
      <c r="X5" s="6"/>
      <c r="Y5" s="6"/>
      <c r="Z5" s="6"/>
      <c r="AA5" s="6"/>
      <c r="AB5" s="6"/>
      <c r="AC5" s="6"/>
    </row>
    <row r="6" ht="14.25" customHeight="1">
      <c r="A6" s="28"/>
      <c r="B6" s="28"/>
      <c r="C6" s="29"/>
      <c r="D6" s="30"/>
      <c r="E6" s="28"/>
      <c r="F6" s="19"/>
      <c r="G6" s="6"/>
      <c r="H6" s="6"/>
      <c r="I6" s="6" t="str">
        <f>IFERROR(__xludf.DUMMYFUNCTION("""COMPUTED_VALUE"""),"Chicken Lv 1")</f>
        <v>Chicken Lv 1</v>
      </c>
      <c r="J6" s="6" t="str">
        <f>IFERROR(__xludf.DUMMYFUNCTION("""COMPUTED_VALUE"""),"BUILDING")</f>
        <v>BUILDING</v>
      </c>
      <c r="K6" s="6" t="str">
        <f>IFERROR(__xludf.DUMMYFUNCTION("""COMPUTED_VALUE"""),"Character Level@15")</f>
        <v>Character Level@15</v>
      </c>
      <c r="L6" s="6" t="str">
        <f>IFERROR(__xludf.DUMMYFUNCTION("""COMPUTED_VALUE"""),"2 ruby,400 coin,400 beam,200 stone,20 wheat,10 thread,1 egg")</f>
        <v>2 ruby,400 coin,400 beam,200 stone,20 wheat,10 thread,1 egg</v>
      </c>
      <c r="M6" s="6"/>
      <c r="N6" s="6"/>
      <c r="O6" s="6"/>
      <c r="P6" s="6"/>
      <c r="Q6" s="6"/>
      <c r="R6" s="6"/>
      <c r="S6" s="6"/>
      <c r="T6" s="6"/>
      <c r="U6" s="6"/>
      <c r="V6" s="6"/>
      <c r="W6" s="6"/>
      <c r="X6" s="6"/>
      <c r="Y6" s="6"/>
      <c r="Z6" s="6"/>
      <c r="AA6" s="6"/>
      <c r="AB6" s="6"/>
      <c r="AC6" s="6"/>
    </row>
    <row r="7" ht="14.25" customHeight="1">
      <c r="A7" s="28"/>
      <c r="B7" s="28"/>
      <c r="C7" s="29"/>
      <c r="D7" s="30"/>
      <c r="E7" s="28"/>
      <c r="F7" s="19"/>
      <c r="G7" s="6"/>
      <c r="H7" s="6"/>
      <c r="I7" s="6" t="str">
        <f>IFERROR(__xludf.DUMMYFUNCTION("""COMPUTED_VALUE"""),"Dungeon Lv 1")</f>
        <v>Dungeon Lv 1</v>
      </c>
      <c r="J7" s="6" t="str">
        <f>IFERROR(__xludf.DUMMYFUNCTION("""COMPUTED_VALUE"""),"BUILDING")</f>
        <v>BUILDING</v>
      </c>
      <c r="K7" s="6" t="str">
        <f>IFERROR(__xludf.DUMMYFUNCTION("""COMPUTED_VALUE"""),"Character Level@10")</f>
        <v>Character Level@10</v>
      </c>
      <c r="L7" s="6" t="str">
        <f>IFERROR(__xludf.DUMMYFUNCTION("""COMPUTED_VALUE"""),"1 ruby,300 coin,200 wood,50 stone,100 steel,30 fan")</f>
        <v>1 ruby,300 coin,200 wood,50 stone,100 steel,30 fan</v>
      </c>
      <c r="M7" s="6"/>
      <c r="N7" s="6"/>
      <c r="O7" s="6"/>
      <c r="P7" s="6"/>
      <c r="Q7" s="6"/>
      <c r="R7" s="6"/>
      <c r="S7" s="6"/>
      <c r="T7" s="6"/>
      <c r="U7" s="6"/>
      <c r="V7" s="6"/>
      <c r="W7" s="6"/>
      <c r="X7" s="6"/>
      <c r="Y7" s="6"/>
      <c r="Z7" s="6"/>
      <c r="AA7" s="6"/>
      <c r="AB7" s="6"/>
      <c r="AC7" s="6"/>
    </row>
    <row r="8" ht="14.25" customHeight="1">
      <c r="A8" s="28"/>
      <c r="B8" s="28"/>
      <c r="C8" s="29"/>
      <c r="D8" s="30"/>
      <c r="E8" s="28"/>
      <c r="F8" s="19"/>
      <c r="G8" s="6"/>
      <c r="H8" s="6"/>
      <c r="I8" s="6" t="str">
        <f>IFERROR(__xludf.DUMMYFUNCTION("""COMPUTED_VALUE"""),"Field Lv 1")</f>
        <v>Field Lv 1</v>
      </c>
      <c r="J8" s="6" t="str">
        <f>IFERROR(__xludf.DUMMYFUNCTION("""COMPUTED_VALUE"""),"BUILDING")</f>
        <v>BUILDING</v>
      </c>
      <c r="K8" s="6" t="str">
        <f>IFERROR(__xludf.DUMMYFUNCTION("""COMPUTED_VALUE"""),"Character Level@7")</f>
        <v>Character Level@7</v>
      </c>
      <c r="L8" s="6" t="str">
        <f>IFERROR(__xludf.DUMMYFUNCTION("""COMPUTED_VALUE"""),"1 ruby,200 coin,100 wood,20 chemicals")</f>
        <v>1 ruby,200 coin,100 wood,20 chemicals</v>
      </c>
      <c r="M8" s="6"/>
      <c r="N8" s="6"/>
      <c r="O8" s="6"/>
      <c r="P8" s="6"/>
      <c r="Q8" s="6"/>
      <c r="R8" s="6"/>
      <c r="S8" s="6"/>
      <c r="T8" s="6"/>
      <c r="U8" s="6"/>
      <c r="V8" s="6"/>
      <c r="W8" s="6"/>
      <c r="X8" s="6"/>
      <c r="Y8" s="6"/>
      <c r="Z8" s="6"/>
      <c r="AA8" s="6"/>
      <c r="AB8" s="6"/>
      <c r="AC8" s="6"/>
    </row>
    <row r="9" ht="14.25" customHeight="1">
      <c r="A9" s="28"/>
      <c r="B9" s="28"/>
      <c r="C9" s="29"/>
      <c r="D9" s="30"/>
      <c r="E9" s="28"/>
      <c r="F9" s="19"/>
      <c r="G9" s="6"/>
      <c r="H9" s="6"/>
      <c r="I9" s="6" t="str">
        <f>IFERROR(__xludf.DUMMYFUNCTION("""COMPUTED_VALUE"""),"Food Stall Lv 1")</f>
        <v>Food Stall Lv 1</v>
      </c>
      <c r="J9" s="6" t="str">
        <f>IFERROR(__xludf.DUMMYFUNCTION("""COMPUTED_VALUE"""),"BUILDING")</f>
        <v>BUILDING</v>
      </c>
      <c r="K9" s="6" t="str">
        <f>IFERROR(__xludf.DUMMYFUNCTION("""COMPUTED_VALUE"""),"Character Level@8")</f>
        <v>Character Level@8</v>
      </c>
      <c r="L9" s="6" t="str">
        <f>IFERROR(__xludf.DUMMYFUNCTION("""COMPUTED_VALUE"""),"1 ruby,300 coin,150 wood,150 stone,20 rice")</f>
        <v>1 ruby,300 coin,150 wood,150 stone,20 rice</v>
      </c>
      <c r="M9" s="6"/>
      <c r="N9" s="6"/>
      <c r="O9" s="6"/>
      <c r="P9" s="6"/>
      <c r="Q9" s="6"/>
      <c r="R9" s="6"/>
      <c r="S9" s="6"/>
      <c r="T9" s="6"/>
      <c r="U9" s="6"/>
      <c r="V9" s="6"/>
      <c r="W9" s="6"/>
      <c r="X9" s="6"/>
      <c r="Y9" s="6"/>
      <c r="Z9" s="6"/>
      <c r="AA9" s="6"/>
      <c r="AB9" s="6"/>
      <c r="AC9" s="6"/>
    </row>
    <row r="10" ht="14.25" customHeight="1">
      <c r="A10" s="28"/>
      <c r="B10" s="28"/>
      <c r="C10" s="29"/>
      <c r="D10" s="30"/>
      <c r="E10" s="28"/>
      <c r="F10" s="19"/>
      <c r="G10" s="6"/>
      <c r="H10" s="6"/>
      <c r="I10" s="6" t="str">
        <f>IFERROR(__xludf.DUMMYFUNCTION("""COMPUTED_VALUE"""),"Furnace Lv 1")</f>
        <v>Furnace Lv 1</v>
      </c>
      <c r="J10" s="6" t="str">
        <f>IFERROR(__xludf.DUMMYFUNCTION("""COMPUTED_VALUE"""),"BUILDING")</f>
        <v>BUILDING</v>
      </c>
      <c r="K10" s="6" t="str">
        <f>IFERROR(__xludf.DUMMYFUNCTION("""COMPUTED_VALUE"""),"Character Level@8")</f>
        <v>Character Level@8</v>
      </c>
      <c r="L10" s="6" t="str">
        <f>IFERROR(__xludf.DUMMYFUNCTION("""COMPUTED_VALUE"""),"1 ruby,200 coin,100 wood,100 stone")</f>
        <v>1 ruby,200 coin,100 wood,100 stone</v>
      </c>
      <c r="M10" s="6"/>
      <c r="N10" s="6"/>
      <c r="O10" s="6"/>
      <c r="P10" s="6"/>
      <c r="Q10" s="6"/>
      <c r="R10" s="6"/>
      <c r="S10" s="6"/>
      <c r="T10" s="6"/>
      <c r="U10" s="6"/>
      <c r="V10" s="6"/>
      <c r="W10" s="6"/>
      <c r="X10" s="6"/>
      <c r="Y10" s="6"/>
      <c r="Z10" s="6"/>
      <c r="AA10" s="6"/>
      <c r="AB10" s="6"/>
      <c r="AC10" s="6"/>
    </row>
    <row r="11" ht="14.25" customHeight="1">
      <c r="A11" s="28"/>
      <c r="B11" s="28"/>
      <c r="C11" s="29"/>
      <c r="D11" s="30"/>
      <c r="E11" s="28"/>
      <c r="F11" s="19"/>
      <c r="G11" s="6"/>
      <c r="H11" s="6"/>
      <c r="I11" s="6" t="str">
        <f>IFERROR(__xludf.DUMMYFUNCTION("""COMPUTED_VALUE"""),"Garden Lv 1")</f>
        <v>Garden Lv 1</v>
      </c>
      <c r="J11" s="6" t="str">
        <f>IFERROR(__xludf.DUMMYFUNCTION("""COMPUTED_VALUE"""),"BUILDING")</f>
        <v>BUILDING</v>
      </c>
      <c r="K11" s="6" t="str">
        <f>IFERROR(__xludf.DUMMYFUNCTION("""COMPUTED_VALUE"""),"Character Level@12")</f>
        <v>Character Level@12</v>
      </c>
      <c r="L11" s="6" t="str">
        <f>IFERROR(__xludf.DUMMYFUNCTION("""COMPUTED_VALUE"""),"1 ruby,400 coin,200 wood,100 stone")</f>
        <v>1 ruby,400 coin,200 wood,100 stone</v>
      </c>
      <c r="M11" s="6"/>
      <c r="N11" s="6"/>
      <c r="O11" s="6"/>
      <c r="P11" s="6"/>
      <c r="Q11" s="6"/>
      <c r="R11" s="6"/>
      <c r="S11" s="6"/>
      <c r="T11" s="6"/>
      <c r="U11" s="6"/>
      <c r="V11" s="6"/>
      <c r="W11" s="6"/>
      <c r="X11" s="6"/>
      <c r="Y11" s="6"/>
      <c r="Z11" s="6"/>
      <c r="AA11" s="6"/>
      <c r="AB11" s="6"/>
      <c r="AC11" s="6"/>
    </row>
    <row r="12" ht="14.25" customHeight="1">
      <c r="A12" s="28"/>
      <c r="B12" s="28"/>
      <c r="C12" s="29"/>
      <c r="D12" s="30"/>
      <c r="E12" s="28"/>
      <c r="F12" s="19"/>
      <c r="G12" s="6"/>
      <c r="H12" s="6"/>
      <c r="I12" s="6" t="str">
        <f>IFERROR(__xludf.DUMMYFUNCTION("""COMPUTED_VALUE"""),"Gong Lv 1")</f>
        <v>Gong Lv 1</v>
      </c>
      <c r="J12" s="6" t="str">
        <f>IFERROR(__xludf.DUMMYFUNCTION("""COMPUTED_VALUE"""),"BUILDING")</f>
        <v>BUILDING</v>
      </c>
      <c r="K12" s="6" t="str">
        <f>IFERROR(__xludf.DUMMYFUNCTION("""COMPUTED_VALUE"""),"Character Level@10")</f>
        <v>Character Level@10</v>
      </c>
      <c r="L12" s="6" t="str">
        <f>IFERROR(__xludf.DUMMYFUNCTION("""COMPUTED_VALUE"""),"3 ruby,200 coin,100 wood,50 stone,50 steel")</f>
        <v>3 ruby,200 coin,100 wood,50 stone,50 steel</v>
      </c>
      <c r="M12" s="6"/>
      <c r="N12" s="6"/>
      <c r="O12" s="6"/>
      <c r="P12" s="6"/>
      <c r="Q12" s="6"/>
      <c r="R12" s="6"/>
      <c r="S12" s="6"/>
      <c r="T12" s="6"/>
      <c r="U12" s="6"/>
      <c r="V12" s="6"/>
      <c r="W12" s="6"/>
      <c r="X12" s="6"/>
      <c r="Y12" s="6"/>
      <c r="Z12" s="6"/>
      <c r="AA12" s="6"/>
      <c r="AB12" s="6"/>
      <c r="AC12" s="6"/>
    </row>
    <row r="13" ht="14.25" customHeight="1">
      <c r="A13" s="28"/>
      <c r="B13" s="28"/>
      <c r="C13" s="29"/>
      <c r="D13" s="30"/>
      <c r="E13" s="28"/>
      <c r="F13" s="19"/>
      <c r="G13" s="6"/>
      <c r="H13" s="6"/>
      <c r="I13" s="6" t="str">
        <f>IFERROR(__xludf.DUMMYFUNCTION("""COMPUTED_VALUE"""),"Guild Lv 3")</f>
        <v>Guild Lv 3</v>
      </c>
      <c r="J13" s="6" t="str">
        <f>IFERROR(__xludf.DUMMYFUNCTION("""COMPUTED_VALUE"""),"BUILDING")</f>
        <v>BUILDING</v>
      </c>
      <c r="K13" s="6" t="str">
        <f>IFERROR(__xludf.DUMMYFUNCTION("""COMPUTED_VALUE"""),"Guild Lv 2")</f>
        <v>Guild Lv 2</v>
      </c>
      <c r="L13" s="6" t="str">
        <f>IFERROR(__xludf.DUMMYFUNCTION("""COMPUTED_VALUE"""),"2 ruby,150 coin,300 beam,150 stone")</f>
        <v>2 ruby,150 coin,300 beam,150 stone</v>
      </c>
      <c r="M13" s="6"/>
      <c r="N13" s="6"/>
      <c r="O13" s="6"/>
      <c r="P13" s="6"/>
      <c r="Q13" s="6"/>
      <c r="R13" s="6"/>
      <c r="S13" s="6"/>
      <c r="T13" s="6"/>
      <c r="U13" s="6"/>
      <c r="V13" s="6"/>
      <c r="W13" s="6"/>
      <c r="X13" s="6"/>
      <c r="Y13" s="6"/>
      <c r="Z13" s="6"/>
      <c r="AA13" s="6"/>
      <c r="AB13" s="6"/>
      <c r="AC13" s="6"/>
    </row>
    <row r="14" ht="14.25" customHeight="1">
      <c r="A14" s="28"/>
      <c r="B14" s="28"/>
      <c r="C14" s="29"/>
      <c r="D14" s="30"/>
      <c r="E14" s="28"/>
      <c r="F14" s="19"/>
      <c r="G14" s="6"/>
      <c r="H14" s="6"/>
      <c r="I14" s="6" t="str">
        <f>IFERROR(__xludf.DUMMYFUNCTION("""COMPUTED_VALUE"""),"Lumber Lv 1")</f>
        <v>Lumber Lv 1</v>
      </c>
      <c r="J14" s="6" t="str">
        <f>IFERROR(__xludf.DUMMYFUNCTION("""COMPUTED_VALUE"""),"BUILDING")</f>
        <v>BUILDING</v>
      </c>
      <c r="K14" s="6" t="str">
        <f>IFERROR(__xludf.DUMMYFUNCTION("""COMPUTED_VALUE"""),"Character Level@11")</f>
        <v>Character Level@11</v>
      </c>
      <c r="L14" s="6" t="str">
        <f>IFERROR(__xludf.DUMMYFUNCTION("""COMPUTED_VALUE"""),"1 ruby,300 coin,150 wood,150 stone")</f>
        <v>1 ruby,300 coin,150 wood,150 stone</v>
      </c>
      <c r="M14" s="6"/>
      <c r="N14" s="6"/>
      <c r="O14" s="6"/>
      <c r="P14" s="6"/>
      <c r="Q14" s="6"/>
      <c r="R14" s="6"/>
      <c r="S14" s="6"/>
      <c r="T14" s="6"/>
      <c r="U14" s="6"/>
      <c r="V14" s="6"/>
      <c r="W14" s="6"/>
      <c r="X14" s="6"/>
      <c r="Y14" s="6"/>
      <c r="Z14" s="6"/>
      <c r="AA14" s="6"/>
      <c r="AB14" s="6"/>
      <c r="AC14" s="6"/>
    </row>
    <row r="15" ht="14.25" customHeight="1">
      <c r="A15" s="28"/>
      <c r="B15" s="28"/>
      <c r="C15" s="29"/>
      <c r="D15" s="30"/>
      <c r="E15" s="28"/>
      <c r="F15" s="19"/>
      <c r="G15" s="6"/>
      <c r="H15" s="6"/>
      <c r="I15" s="6" t="str">
        <f>IFERROR(__xludf.DUMMYFUNCTION("""COMPUTED_VALUE"""),"Onsen Lv 1")</f>
        <v>Onsen Lv 1</v>
      </c>
      <c r="J15" s="6" t="str">
        <f>IFERROR(__xludf.DUMMYFUNCTION("""COMPUTED_VALUE"""),"BUILDING")</f>
        <v>BUILDING</v>
      </c>
      <c r="K15" s="6" t="str">
        <f>IFERROR(__xludf.DUMMYFUNCTION("""COMPUTED_VALUE"""),"Character Level@20")</f>
        <v>Character Level@20</v>
      </c>
      <c r="L15" s="6" t="str">
        <f>IFERROR(__xludf.DUMMYFUNCTION("""COMPUTED_VALUE"""),"3 ruby,500 coin,500 plank,400 stone")</f>
        <v>3 ruby,500 coin,500 plank,400 stone</v>
      </c>
      <c r="M15" s="6"/>
      <c r="N15" s="6"/>
      <c r="O15" s="6"/>
      <c r="P15" s="6"/>
      <c r="Q15" s="6"/>
      <c r="R15" s="6"/>
      <c r="S15" s="6"/>
      <c r="T15" s="6"/>
      <c r="U15" s="6"/>
      <c r="V15" s="6"/>
      <c r="W15" s="6"/>
      <c r="X15" s="6"/>
      <c r="Y15" s="6"/>
      <c r="Z15" s="6"/>
      <c r="AA15" s="6"/>
      <c r="AB15" s="6"/>
      <c r="AC15" s="6"/>
    </row>
    <row r="16" ht="14.25" customHeight="1">
      <c r="A16" s="28"/>
      <c r="B16" s="28"/>
      <c r="C16" s="29"/>
      <c r="D16" s="30"/>
      <c r="E16" s="28"/>
      <c r="F16" s="19"/>
      <c r="G16" s="6"/>
      <c r="H16" s="6"/>
      <c r="I16" s="6" t="str">
        <f>IFERROR(__xludf.DUMMYFUNCTION("""COMPUTED_VALUE"""),"Pagoda Lv 1")</f>
        <v>Pagoda Lv 1</v>
      </c>
      <c r="J16" s="6" t="str">
        <f>IFERROR(__xludf.DUMMYFUNCTION("""COMPUTED_VALUE"""),"BUILDING")</f>
        <v>BUILDING</v>
      </c>
      <c r="K16" s="6" t="str">
        <f>IFERROR(__xludf.DUMMYFUNCTION("""COMPUTED_VALUE"""),"Character Level@4")</f>
        <v>Character Level@4</v>
      </c>
      <c r="L16" s="6" t="str">
        <f>IFERROR(__xludf.DUMMYFUNCTION("""COMPUTED_VALUE"""),"1 ruby,50 coin,50 wood,50 stone,5 petard")</f>
        <v>1 ruby,50 coin,50 wood,50 stone,5 petard</v>
      </c>
      <c r="M16" s="6"/>
      <c r="N16" s="6"/>
      <c r="O16" s="6"/>
      <c r="P16" s="6"/>
      <c r="Q16" s="6"/>
      <c r="R16" s="6"/>
      <c r="S16" s="6"/>
      <c r="T16" s="6"/>
      <c r="U16" s="6"/>
      <c r="V16" s="6"/>
      <c r="W16" s="6"/>
      <c r="X16" s="6"/>
      <c r="Y16" s="6"/>
      <c r="Z16" s="6"/>
      <c r="AA16" s="6"/>
      <c r="AB16" s="6"/>
      <c r="AC16" s="6"/>
    </row>
    <row r="17" ht="14.25" customHeight="1">
      <c r="A17" s="28"/>
      <c r="B17" s="28"/>
      <c r="C17" s="29"/>
      <c r="D17" s="30"/>
      <c r="E17" s="28"/>
      <c r="F17" s="19"/>
      <c r="G17" s="6"/>
      <c r="H17" s="6"/>
      <c r="I17" s="6" t="str">
        <f>IFERROR(__xludf.DUMMYFUNCTION("""COMPUTED_VALUE"""),"Rock Garden Lv 1")</f>
        <v>Rock Garden Lv 1</v>
      </c>
      <c r="J17" s="6" t="str">
        <f>IFERROR(__xludf.DUMMYFUNCTION("""COMPUTED_VALUE"""),"BUILDING")</f>
        <v>BUILDING</v>
      </c>
      <c r="K17" s="6" t="str">
        <f>IFERROR(__xludf.DUMMYFUNCTION("""COMPUTED_VALUE"""),"Character Level@13")</f>
        <v>Character Level@13</v>
      </c>
      <c r="L17" s="6" t="str">
        <f>IFERROR(__xludf.DUMMYFUNCTION("""COMPUTED_VALUE"""),"1 ruby,400 coin,100 wood,200 stone")</f>
        <v>1 ruby,400 coin,100 wood,200 stone</v>
      </c>
      <c r="M17" s="6"/>
      <c r="N17" s="6"/>
      <c r="O17" s="6"/>
      <c r="P17" s="6"/>
      <c r="Q17" s="6"/>
      <c r="R17" s="6"/>
      <c r="S17" s="6"/>
      <c r="T17" s="6"/>
      <c r="U17" s="6"/>
      <c r="V17" s="6"/>
      <c r="W17" s="6"/>
      <c r="X17" s="6"/>
      <c r="Y17" s="6"/>
      <c r="Z17" s="6"/>
      <c r="AA17" s="6"/>
      <c r="AB17" s="6"/>
      <c r="AC17" s="6"/>
    </row>
    <row r="18" ht="14.25" customHeight="1">
      <c r="A18" s="28"/>
      <c r="B18" s="28"/>
      <c r="C18" s="29"/>
      <c r="D18" s="30"/>
      <c r="E18" s="28"/>
      <c r="F18" s="19"/>
      <c r="G18" s="6"/>
      <c r="H18" s="6"/>
      <c r="I18" s="6" t="str">
        <f>IFERROR(__xludf.DUMMYFUNCTION("""COMPUTED_VALUE"""),"Shop Lv 1")</f>
        <v>Shop Lv 1</v>
      </c>
      <c r="J18" s="6" t="str">
        <f>IFERROR(__xludf.DUMMYFUNCTION("""COMPUTED_VALUE"""),"BUILDING")</f>
        <v>BUILDING</v>
      </c>
      <c r="K18" s="6" t="str">
        <f>IFERROR(__xludf.DUMMYFUNCTION("""COMPUTED_VALUE"""),"Character Level@3")</f>
        <v>Character Level@3</v>
      </c>
      <c r="L18" s="6" t="str">
        <f>IFERROR(__xludf.DUMMYFUNCTION("""COMPUTED_VALUE"""),"1 ruby,100 coin,20 wood,20 stone")</f>
        <v>1 ruby,100 coin,20 wood,20 stone</v>
      </c>
      <c r="M18" s="6"/>
      <c r="N18" s="6"/>
      <c r="O18" s="6"/>
      <c r="P18" s="6"/>
      <c r="Q18" s="6"/>
      <c r="R18" s="6"/>
      <c r="S18" s="6"/>
      <c r="T18" s="6"/>
      <c r="U18" s="6"/>
      <c r="V18" s="6"/>
      <c r="W18" s="6"/>
      <c r="X18" s="6"/>
      <c r="Y18" s="6"/>
      <c r="Z18" s="6"/>
      <c r="AA18" s="6"/>
      <c r="AB18" s="6"/>
      <c r="AC18" s="6"/>
    </row>
    <row r="19" ht="14.25" customHeight="1">
      <c r="A19" s="28"/>
      <c r="B19" s="28"/>
      <c r="C19" s="29"/>
      <c r="D19" s="30"/>
      <c r="E19" s="28"/>
      <c r="F19" s="19"/>
      <c r="G19" s="6"/>
      <c r="H19" s="6"/>
      <c r="I19" s="6" t="str">
        <f>IFERROR(__xludf.DUMMYFUNCTION("""COMPUTED_VALUE"""),"Smithy Lv 1")</f>
        <v>Smithy Lv 1</v>
      </c>
      <c r="J19" s="6" t="str">
        <f>IFERROR(__xludf.DUMMYFUNCTION("""COMPUTED_VALUE"""),"BUILDING")</f>
        <v>BUILDING</v>
      </c>
      <c r="K19" s="6" t="str">
        <f>IFERROR(__xludf.DUMMYFUNCTION("""COMPUTED_VALUE"""),"Character Level@9")</f>
        <v>Character Level@9</v>
      </c>
      <c r="L19" s="6" t="str">
        <f>IFERROR(__xludf.DUMMYFUNCTION("""COMPUTED_VALUE"""),"1 ruby,240 coin,120 wood,120 stone,20 steel")</f>
        <v>1 ruby,240 coin,120 wood,120 stone,20 steel</v>
      </c>
      <c r="M19" s="6"/>
      <c r="N19" s="6"/>
      <c r="O19" s="6"/>
      <c r="P19" s="6"/>
      <c r="Q19" s="6"/>
      <c r="R19" s="6"/>
      <c r="S19" s="6"/>
      <c r="T19" s="6"/>
      <c r="U19" s="6"/>
      <c r="V19" s="6"/>
      <c r="W19" s="6"/>
      <c r="X19" s="6"/>
      <c r="Y19" s="6"/>
      <c r="Z19" s="6"/>
      <c r="AA19" s="6"/>
      <c r="AB19" s="6"/>
      <c r="AC19" s="6"/>
    </row>
    <row r="20" ht="14.25" customHeight="1">
      <c r="A20" s="28"/>
      <c r="B20" s="28"/>
      <c r="C20" s="29"/>
      <c r="D20" s="30"/>
      <c r="E20" s="28"/>
      <c r="F20" s="19"/>
      <c r="G20" s="6"/>
      <c r="H20" s="6"/>
      <c r="I20" s="6" t="str">
        <f>IFERROR(__xludf.DUMMYFUNCTION("""COMPUTED_VALUE"""),"Warehouse Lv 1")</f>
        <v>Warehouse Lv 1</v>
      </c>
      <c r="J20" s="6" t="str">
        <f>IFERROR(__xludf.DUMMYFUNCTION("""COMPUTED_VALUE"""),"BUILDING")</f>
        <v>BUILDING</v>
      </c>
      <c r="K20" s="6" t="str">
        <f>IFERROR(__xludf.DUMMYFUNCTION("""COMPUTED_VALUE"""),"Character Level@5")</f>
        <v>Character Level@5</v>
      </c>
      <c r="L20" s="6" t="str">
        <f>IFERROR(__xludf.DUMMYFUNCTION("""COMPUTED_VALUE"""),"1 ruby,100 coin,60 wood,60 stone")</f>
        <v>1 ruby,100 coin,60 wood,60 stone</v>
      </c>
      <c r="M20" s="6"/>
      <c r="N20" s="6"/>
      <c r="O20" s="6"/>
      <c r="P20" s="6"/>
      <c r="Q20" s="6"/>
      <c r="R20" s="6"/>
      <c r="S20" s="6"/>
      <c r="T20" s="6"/>
      <c r="U20" s="6"/>
      <c r="V20" s="6"/>
      <c r="W20" s="6"/>
      <c r="X20" s="6"/>
      <c r="Y20" s="6"/>
      <c r="Z20" s="6"/>
      <c r="AA20" s="6"/>
      <c r="AB20" s="6"/>
      <c r="AC20" s="6"/>
    </row>
    <row r="21" ht="14.25" customHeight="1">
      <c r="A21" s="28"/>
      <c r="B21" s="28"/>
      <c r="C21" s="29"/>
      <c r="D21" s="30"/>
      <c r="E21" s="28"/>
      <c r="F21" s="19"/>
      <c r="G21" s="6"/>
      <c r="H21" s="6"/>
      <c r="I21" s="6" t="str">
        <f>IFERROR(__xludf.DUMMYFUNCTION("""COMPUTED_VALUE"""),"Windmill Lv 1")</f>
        <v>Windmill Lv 1</v>
      </c>
      <c r="J21" s="6" t="str">
        <f>IFERROR(__xludf.DUMMYFUNCTION("""COMPUTED_VALUE"""),"BUILDING")</f>
        <v>BUILDING</v>
      </c>
      <c r="K21" s="6" t="str">
        <f>IFERROR(__xludf.DUMMYFUNCTION("""COMPUTED_VALUE"""),"Character Level@9")</f>
        <v>Character Level@9</v>
      </c>
      <c r="L21" s="6" t="str">
        <f>IFERROR(__xludf.DUMMYFUNCTION("""COMPUTED_VALUE"""),"1 ruby,300 coin,150 wood,150 stone,40 steel")</f>
        <v>1 ruby,300 coin,150 wood,150 stone,40 steel</v>
      </c>
      <c r="M21" s="6"/>
      <c r="N21" s="6"/>
      <c r="O21" s="6"/>
      <c r="P21" s="6"/>
      <c r="Q21" s="6"/>
      <c r="R21" s="6"/>
      <c r="S21" s="6"/>
      <c r="T21" s="6"/>
      <c r="U21" s="6"/>
      <c r="V21" s="6"/>
      <c r="W21" s="6"/>
      <c r="X21" s="6"/>
      <c r="Y21" s="6"/>
      <c r="Z21" s="6"/>
      <c r="AA21" s="6"/>
      <c r="AB21" s="6"/>
      <c r="AC21" s="6"/>
    </row>
    <row r="22" ht="14.25" customHeight="1">
      <c r="A22" s="28"/>
      <c r="B22" s="28"/>
      <c r="C22" s="29"/>
      <c r="D22" s="30"/>
      <c r="E22" s="28"/>
      <c r="F22" s="19"/>
      <c r="G22" s="6"/>
      <c r="H22" s="6"/>
      <c r="I22" s="6" t="str">
        <f>IFERROR(__xludf.DUMMYFUNCTION("""COMPUTED_VALUE"""),"Workshop Lv 1")</f>
        <v>Workshop Lv 1</v>
      </c>
      <c r="J22" s="6" t="str">
        <f>IFERROR(__xludf.DUMMYFUNCTION("""COMPUTED_VALUE"""),"BUILDING")</f>
        <v>BUILDING</v>
      </c>
      <c r="K22" s="6" t="str">
        <f>IFERROR(__xludf.DUMMYFUNCTION("""COMPUTED_VALUE"""),"Character Level@2")</f>
        <v>Character Level@2</v>
      </c>
      <c r="L22" s="6" t="str">
        <f>IFERROR(__xludf.DUMMYFUNCTION("""COMPUTED_VALUE"""),"1 ruby,20 coin,10 wood,10 stone")</f>
        <v>1 ruby,20 coin,10 wood,10 stone</v>
      </c>
      <c r="M22" s="6"/>
      <c r="N22" s="6"/>
      <c r="O22" s="6"/>
      <c r="P22" s="6"/>
      <c r="Q22" s="6"/>
      <c r="R22" s="6"/>
      <c r="S22" s="6"/>
      <c r="T22" s="6"/>
      <c r="U22" s="6"/>
      <c r="V22" s="6"/>
      <c r="W22" s="6"/>
      <c r="X22" s="6"/>
      <c r="Y22" s="6"/>
      <c r="Z22" s="6"/>
      <c r="AA22" s="6"/>
      <c r="AB22" s="6"/>
      <c r="AC22" s="6"/>
    </row>
    <row r="23" ht="14.25" customHeight="1">
      <c r="A23" s="28"/>
      <c r="B23" s="28"/>
      <c r="C23" s="29"/>
      <c r="D23" s="30"/>
      <c r="E23" s="28"/>
      <c r="F23" s="19"/>
      <c r="G23" s="6"/>
      <c r="H23" s="6"/>
      <c r="I23" s="6"/>
      <c r="J23" s="6"/>
      <c r="K23" s="6"/>
      <c r="L23" s="6"/>
      <c r="M23" s="6"/>
      <c r="N23" s="6"/>
      <c r="O23" s="6"/>
      <c r="P23" s="6"/>
      <c r="Q23" s="6"/>
      <c r="R23" s="6"/>
      <c r="S23" s="6"/>
      <c r="T23" s="6"/>
      <c r="U23" s="6"/>
      <c r="V23" s="6"/>
      <c r="W23" s="6"/>
      <c r="X23" s="6"/>
      <c r="Y23" s="6"/>
      <c r="Z23" s="6"/>
      <c r="AA23" s="6"/>
      <c r="AB23" s="6"/>
      <c r="AC23" s="6"/>
    </row>
    <row r="24" ht="14.25" customHeight="1">
      <c r="A24" s="28"/>
      <c r="B24" s="28"/>
      <c r="C24" s="29"/>
      <c r="D24" s="30"/>
      <c r="E24" s="28"/>
      <c r="F24" s="19"/>
      <c r="G24" s="6"/>
      <c r="H24" s="6"/>
      <c r="I24" s="6"/>
      <c r="J24" s="6"/>
      <c r="K24" s="6"/>
      <c r="L24" s="6"/>
      <c r="M24" s="6"/>
      <c r="N24" s="6"/>
      <c r="O24" s="6"/>
      <c r="P24" s="6"/>
      <c r="Q24" s="6"/>
      <c r="R24" s="6"/>
      <c r="S24" s="6"/>
      <c r="T24" s="6"/>
      <c r="U24" s="6"/>
      <c r="V24" s="6"/>
      <c r="W24" s="6"/>
      <c r="X24" s="6"/>
      <c r="Y24" s="6"/>
      <c r="Z24" s="6"/>
      <c r="AA24" s="6"/>
      <c r="AB24" s="6"/>
      <c r="AC24" s="6"/>
    </row>
    <row r="25" ht="14.25" customHeight="1">
      <c r="A25" s="28"/>
      <c r="B25" s="28"/>
      <c r="C25" s="29"/>
      <c r="D25" s="30"/>
      <c r="E25" s="28"/>
      <c r="F25" s="19"/>
      <c r="G25" s="6"/>
      <c r="H25" s="6"/>
      <c r="I25" s="6"/>
      <c r="J25" s="6"/>
      <c r="K25" s="6"/>
      <c r="L25" s="6"/>
      <c r="M25" s="6"/>
      <c r="N25" s="6"/>
      <c r="O25" s="6"/>
      <c r="P25" s="6"/>
      <c r="Q25" s="6"/>
      <c r="R25" s="6"/>
      <c r="S25" s="6"/>
      <c r="T25" s="6"/>
      <c r="U25" s="6"/>
      <c r="V25" s="6"/>
      <c r="W25" s="6"/>
      <c r="X25" s="6"/>
      <c r="Y25" s="6"/>
      <c r="Z25" s="6"/>
      <c r="AA25" s="6"/>
      <c r="AB25" s="6"/>
      <c r="AC25" s="6"/>
    </row>
    <row r="26" ht="14.25" customHeight="1">
      <c r="A26" s="28"/>
      <c r="B26" s="28"/>
      <c r="C26" s="29"/>
      <c r="D26" s="30"/>
      <c r="E26" s="28"/>
      <c r="F26" s="19"/>
      <c r="G26" s="6"/>
      <c r="H26" s="6"/>
      <c r="I26" s="6"/>
      <c r="J26" s="6"/>
      <c r="K26" s="6"/>
      <c r="L26" s="6"/>
      <c r="M26" s="6"/>
      <c r="N26" s="6"/>
      <c r="O26" s="6"/>
      <c r="P26" s="6"/>
      <c r="Q26" s="6"/>
      <c r="R26" s="6"/>
      <c r="S26" s="6"/>
      <c r="T26" s="6"/>
      <c r="U26" s="6"/>
      <c r="V26" s="6"/>
      <c r="W26" s="6"/>
      <c r="X26" s="6"/>
      <c r="Y26" s="6"/>
      <c r="Z26" s="6"/>
      <c r="AA26" s="6"/>
      <c r="AB26" s="6"/>
      <c r="AC26" s="6"/>
    </row>
    <row r="27" ht="14.25" customHeight="1">
      <c r="A27" s="28"/>
      <c r="B27" s="28"/>
      <c r="C27" s="29"/>
      <c r="D27" s="30"/>
      <c r="E27" s="28"/>
      <c r="F27" s="19"/>
      <c r="G27" s="6"/>
      <c r="H27" s="6"/>
      <c r="I27" s="6"/>
      <c r="J27" s="6"/>
      <c r="K27" s="6"/>
      <c r="L27" s="6"/>
      <c r="M27" s="6"/>
      <c r="N27" s="6"/>
      <c r="O27" s="6"/>
      <c r="P27" s="6"/>
      <c r="Q27" s="6"/>
      <c r="R27" s="6"/>
      <c r="S27" s="6"/>
      <c r="T27" s="6"/>
      <c r="U27" s="6"/>
      <c r="V27" s="6"/>
      <c r="W27" s="6"/>
      <c r="X27" s="6"/>
      <c r="Y27" s="6"/>
      <c r="Z27" s="6"/>
      <c r="AA27" s="6"/>
      <c r="AB27" s="6"/>
      <c r="AC27" s="6"/>
    </row>
    <row r="28" ht="14.25" customHeight="1">
      <c r="A28" s="28"/>
      <c r="B28" s="28"/>
      <c r="C28" s="29"/>
      <c r="D28" s="30"/>
      <c r="E28" s="28"/>
      <c r="F28" s="19"/>
      <c r="G28" s="6"/>
      <c r="H28" s="6"/>
      <c r="I28" s="6"/>
      <c r="J28" s="6"/>
      <c r="K28" s="6"/>
      <c r="L28" s="6"/>
      <c r="M28" s="6"/>
      <c r="N28" s="6"/>
      <c r="O28" s="6"/>
      <c r="P28" s="6"/>
      <c r="Q28" s="6"/>
      <c r="R28" s="6"/>
      <c r="S28" s="6"/>
      <c r="T28" s="6"/>
      <c r="U28" s="6"/>
      <c r="V28" s="6"/>
      <c r="W28" s="6"/>
      <c r="X28" s="6"/>
      <c r="Y28" s="6"/>
      <c r="Z28" s="6"/>
      <c r="AA28" s="6"/>
      <c r="AB28" s="6"/>
      <c r="AC28" s="6"/>
    </row>
    <row r="29" ht="14.25" customHeight="1">
      <c r="A29" s="28"/>
      <c r="B29" s="28"/>
      <c r="C29" s="29"/>
      <c r="D29" s="30"/>
      <c r="E29" s="28"/>
      <c r="F29" s="19"/>
      <c r="G29" s="6"/>
      <c r="H29" s="6"/>
      <c r="I29" s="6"/>
      <c r="J29" s="6"/>
      <c r="K29" s="6"/>
      <c r="L29" s="6"/>
      <c r="M29" s="6"/>
      <c r="N29" s="6"/>
      <c r="O29" s="6"/>
      <c r="P29" s="6"/>
      <c r="Q29" s="6"/>
      <c r="R29" s="6"/>
      <c r="S29" s="6"/>
      <c r="T29" s="6"/>
      <c r="U29" s="6"/>
      <c r="V29" s="6"/>
      <c r="W29" s="6"/>
      <c r="X29" s="6"/>
      <c r="Y29" s="6"/>
      <c r="Z29" s="6"/>
      <c r="AA29" s="6"/>
      <c r="AB29" s="6"/>
      <c r="AC29" s="6"/>
    </row>
    <row r="30" ht="14.25" customHeight="1">
      <c r="A30" s="28"/>
      <c r="B30" s="28"/>
      <c r="C30" s="29"/>
      <c r="D30" s="30"/>
      <c r="E30" s="28"/>
      <c r="F30" s="19"/>
      <c r="G30" s="6"/>
      <c r="H30" s="6"/>
      <c r="I30" s="6"/>
      <c r="J30" s="6"/>
      <c r="K30" s="6"/>
      <c r="L30" s="6"/>
      <c r="M30" s="6"/>
      <c r="N30" s="6"/>
      <c r="O30" s="6"/>
      <c r="P30" s="6"/>
      <c r="Q30" s="6"/>
      <c r="R30" s="6"/>
      <c r="S30" s="6"/>
      <c r="T30" s="6"/>
      <c r="U30" s="6"/>
      <c r="V30" s="6"/>
      <c r="W30" s="6"/>
      <c r="X30" s="6"/>
      <c r="Y30" s="6"/>
      <c r="Z30" s="6"/>
      <c r="AA30" s="6"/>
      <c r="AB30" s="6"/>
      <c r="AC30" s="6"/>
    </row>
    <row r="31" ht="14.25" customHeight="1">
      <c r="A31" s="28"/>
      <c r="B31" s="28"/>
      <c r="C31" s="29"/>
      <c r="D31" s="30"/>
      <c r="E31" s="28"/>
      <c r="F31" s="19"/>
      <c r="G31" s="6"/>
      <c r="H31" s="6"/>
      <c r="I31" s="6"/>
      <c r="J31" s="6"/>
      <c r="K31" s="6"/>
      <c r="L31" s="6"/>
      <c r="M31" s="6"/>
      <c r="N31" s="6"/>
      <c r="O31" s="6"/>
      <c r="P31" s="6"/>
      <c r="Q31" s="6"/>
      <c r="R31" s="6"/>
      <c r="S31" s="6"/>
      <c r="T31" s="6"/>
      <c r="U31" s="6"/>
      <c r="V31" s="6"/>
      <c r="W31" s="6"/>
      <c r="X31" s="6"/>
      <c r="Y31" s="6"/>
      <c r="Z31" s="6"/>
      <c r="AA31" s="6"/>
      <c r="AB31" s="6"/>
      <c r="AC31" s="6"/>
    </row>
    <row r="32" ht="14.25" customHeight="1">
      <c r="A32" s="28"/>
      <c r="B32" s="28"/>
      <c r="C32" s="29"/>
      <c r="D32" s="30"/>
      <c r="E32" s="28"/>
      <c r="F32" s="19"/>
      <c r="G32" s="6"/>
      <c r="H32" s="6"/>
      <c r="I32" s="6"/>
      <c r="J32" s="6"/>
      <c r="K32" s="6"/>
      <c r="L32" s="6"/>
      <c r="M32" s="6"/>
      <c r="N32" s="6"/>
      <c r="O32" s="6"/>
      <c r="P32" s="6"/>
      <c r="Q32" s="6"/>
      <c r="R32" s="6"/>
      <c r="S32" s="6"/>
      <c r="T32" s="6"/>
      <c r="U32" s="6"/>
      <c r="V32" s="6"/>
      <c r="W32" s="6"/>
      <c r="X32" s="6"/>
      <c r="Y32" s="6"/>
      <c r="Z32" s="6"/>
      <c r="AA32" s="6"/>
      <c r="AB32" s="6"/>
      <c r="AC32" s="6"/>
    </row>
    <row r="33" ht="14.25" customHeight="1">
      <c r="A33" s="28"/>
      <c r="B33" s="28"/>
      <c r="C33" s="29"/>
      <c r="D33" s="30"/>
      <c r="E33" s="28"/>
      <c r="F33" s="19"/>
      <c r="G33" s="6"/>
      <c r="H33" s="6"/>
      <c r="I33" s="6"/>
      <c r="J33" s="6"/>
      <c r="K33" s="6"/>
      <c r="L33" s="6"/>
      <c r="M33" s="6"/>
      <c r="N33" s="6"/>
      <c r="O33" s="6"/>
      <c r="P33" s="6"/>
      <c r="Q33" s="6"/>
      <c r="R33" s="6"/>
      <c r="S33" s="6"/>
      <c r="T33" s="6"/>
      <c r="U33" s="6"/>
      <c r="V33" s="6"/>
      <c r="W33" s="6"/>
      <c r="X33" s="6"/>
      <c r="Y33" s="6"/>
      <c r="Z33" s="6"/>
      <c r="AA33" s="6"/>
      <c r="AB33" s="6"/>
      <c r="AC33" s="6"/>
    </row>
    <row r="34" ht="14.25" customHeight="1">
      <c r="A34" s="28"/>
      <c r="B34" s="28"/>
      <c r="C34" s="29"/>
      <c r="D34" s="30"/>
      <c r="E34" s="28"/>
      <c r="F34" s="19"/>
      <c r="G34" s="6"/>
      <c r="H34" s="6"/>
      <c r="I34" s="6"/>
      <c r="J34" s="6"/>
      <c r="K34" s="6"/>
      <c r="L34" s="6"/>
      <c r="M34" s="6"/>
      <c r="N34" s="6"/>
      <c r="O34" s="6"/>
      <c r="P34" s="6"/>
      <c r="Q34" s="6"/>
      <c r="R34" s="6"/>
      <c r="S34" s="6"/>
      <c r="T34" s="6"/>
      <c r="U34" s="6"/>
      <c r="V34" s="6"/>
      <c r="W34" s="6"/>
      <c r="X34" s="6"/>
      <c r="Y34" s="6"/>
      <c r="Z34" s="6"/>
      <c r="AA34" s="6"/>
      <c r="AB34" s="6"/>
      <c r="AC34" s="6"/>
    </row>
    <row r="35" ht="14.25" customHeight="1">
      <c r="A35" s="28"/>
      <c r="B35" s="28"/>
      <c r="C35" s="29"/>
      <c r="D35" s="30"/>
      <c r="E35" s="28"/>
      <c r="F35" s="19"/>
      <c r="G35" s="6"/>
      <c r="H35" s="6"/>
      <c r="I35" s="6"/>
      <c r="J35" s="6"/>
      <c r="K35" s="6"/>
      <c r="L35" s="6"/>
      <c r="M35" s="6"/>
      <c r="N35" s="6"/>
      <c r="O35" s="6"/>
      <c r="P35" s="6"/>
      <c r="Q35" s="6"/>
      <c r="R35" s="6"/>
      <c r="S35" s="6"/>
      <c r="T35" s="6"/>
      <c r="U35" s="6"/>
      <c r="V35" s="6"/>
      <c r="W35" s="6"/>
      <c r="X35" s="6"/>
      <c r="Y35" s="6"/>
      <c r="Z35" s="6"/>
      <c r="AA35" s="6"/>
      <c r="AB35" s="6"/>
      <c r="AC35" s="6"/>
    </row>
    <row r="36" ht="14.25" customHeight="1">
      <c r="A36" s="28"/>
      <c r="B36" s="28"/>
      <c r="C36" s="29"/>
      <c r="D36" s="30"/>
      <c r="E36" s="28"/>
      <c r="F36" s="19"/>
      <c r="G36" s="6"/>
      <c r="H36" s="6"/>
      <c r="I36" s="6"/>
      <c r="J36" s="6"/>
      <c r="K36" s="6"/>
      <c r="L36" s="6"/>
      <c r="M36" s="6"/>
      <c r="N36" s="6"/>
      <c r="O36" s="6"/>
      <c r="P36" s="6"/>
      <c r="Q36" s="6"/>
      <c r="R36" s="6"/>
      <c r="S36" s="6"/>
      <c r="T36" s="6"/>
      <c r="U36" s="6"/>
      <c r="V36" s="6"/>
      <c r="W36" s="6"/>
      <c r="X36" s="6"/>
      <c r="Y36" s="6"/>
      <c r="Z36" s="6"/>
      <c r="AA36" s="6"/>
      <c r="AB36" s="6"/>
      <c r="AC36" s="6"/>
    </row>
    <row r="37" ht="14.25" customHeight="1">
      <c r="A37" s="28"/>
      <c r="B37" s="28"/>
      <c r="C37" s="29"/>
      <c r="D37" s="30"/>
      <c r="E37" s="28"/>
      <c r="F37" s="19"/>
      <c r="G37" s="6"/>
      <c r="H37" s="6"/>
      <c r="I37" s="6"/>
      <c r="J37" s="6"/>
      <c r="K37" s="6"/>
      <c r="L37" s="6"/>
      <c r="M37" s="6"/>
      <c r="N37" s="6"/>
      <c r="O37" s="6"/>
      <c r="P37" s="6"/>
      <c r="Q37" s="6"/>
      <c r="R37" s="6"/>
      <c r="S37" s="6"/>
      <c r="T37" s="6"/>
      <c r="U37" s="6"/>
      <c r="V37" s="6"/>
      <c r="W37" s="6"/>
      <c r="X37" s="6"/>
      <c r="Y37" s="6"/>
      <c r="Z37" s="6"/>
      <c r="AA37" s="6"/>
      <c r="AB37" s="6"/>
      <c r="AC37" s="6"/>
    </row>
    <row r="38" ht="14.25" customHeight="1">
      <c r="A38" s="28"/>
      <c r="B38" s="28"/>
      <c r="C38" s="29"/>
      <c r="D38" s="30"/>
      <c r="E38" s="28"/>
      <c r="F38" s="19"/>
      <c r="G38" s="6"/>
      <c r="H38" s="6"/>
      <c r="I38" s="6"/>
      <c r="J38" s="6"/>
      <c r="K38" s="6"/>
      <c r="L38" s="6"/>
      <c r="M38" s="6"/>
      <c r="N38" s="6"/>
      <c r="O38" s="6"/>
      <c r="P38" s="6"/>
      <c r="Q38" s="6"/>
      <c r="R38" s="6"/>
      <c r="S38" s="6"/>
      <c r="T38" s="6"/>
      <c r="U38" s="6"/>
      <c r="V38" s="6"/>
      <c r="W38" s="6"/>
      <c r="X38" s="6"/>
      <c r="Y38" s="6"/>
      <c r="Z38" s="6"/>
      <c r="AA38" s="6"/>
      <c r="AB38" s="6"/>
      <c r="AC38" s="6"/>
    </row>
    <row r="39" ht="14.25" customHeight="1">
      <c r="A39" s="28"/>
      <c r="B39" s="28"/>
      <c r="C39" s="29"/>
      <c r="D39" s="30"/>
      <c r="E39" s="28"/>
      <c r="F39" s="19"/>
      <c r="G39" s="6"/>
      <c r="H39" s="6"/>
      <c r="I39" s="6"/>
      <c r="J39" s="6"/>
      <c r="K39" s="6"/>
      <c r="L39" s="6"/>
      <c r="M39" s="6"/>
      <c r="N39" s="6"/>
      <c r="O39" s="6"/>
      <c r="P39" s="6"/>
      <c r="Q39" s="6"/>
      <c r="R39" s="6"/>
      <c r="S39" s="6"/>
      <c r="T39" s="6"/>
      <c r="U39" s="6"/>
      <c r="V39" s="6"/>
      <c r="W39" s="6"/>
      <c r="X39" s="6"/>
      <c r="Y39" s="6"/>
      <c r="Z39" s="6"/>
      <c r="AA39" s="6"/>
      <c r="AB39" s="6"/>
      <c r="AC39" s="6"/>
    </row>
    <row r="40" ht="14.25" customHeight="1">
      <c r="A40" s="28"/>
      <c r="B40" s="28"/>
      <c r="C40" s="29"/>
      <c r="D40" s="30"/>
      <c r="E40" s="28"/>
      <c r="F40" s="19"/>
      <c r="G40" s="6"/>
      <c r="H40" s="6"/>
      <c r="I40" s="6"/>
      <c r="J40" s="6"/>
      <c r="K40" s="6"/>
      <c r="L40" s="6"/>
      <c r="M40" s="6"/>
      <c r="N40" s="6"/>
      <c r="O40" s="6"/>
      <c r="P40" s="6"/>
      <c r="Q40" s="6"/>
      <c r="R40" s="6"/>
      <c r="S40" s="6"/>
      <c r="T40" s="6"/>
      <c r="U40" s="6"/>
      <c r="V40" s="6"/>
      <c r="W40" s="6"/>
      <c r="X40" s="6"/>
      <c r="Y40" s="6"/>
      <c r="Z40" s="6"/>
      <c r="AA40" s="6"/>
      <c r="AB40" s="6"/>
      <c r="AC40" s="6"/>
    </row>
    <row r="41" ht="14.25" customHeight="1">
      <c r="A41" s="28"/>
      <c r="B41" s="28"/>
      <c r="C41" s="29"/>
      <c r="D41" s="30"/>
      <c r="E41" s="28"/>
      <c r="F41" s="19"/>
      <c r="G41" s="6"/>
      <c r="H41" s="6"/>
      <c r="I41" s="6"/>
      <c r="J41" s="6"/>
      <c r="K41" s="6"/>
      <c r="L41" s="6"/>
      <c r="M41" s="6"/>
      <c r="N41" s="6"/>
      <c r="O41" s="6"/>
      <c r="P41" s="6"/>
      <c r="Q41" s="6"/>
      <c r="R41" s="6"/>
      <c r="S41" s="6"/>
      <c r="T41" s="6"/>
      <c r="U41" s="6"/>
      <c r="V41" s="6"/>
      <c r="W41" s="6"/>
      <c r="X41" s="6"/>
      <c r="Y41" s="6"/>
      <c r="Z41" s="6"/>
      <c r="AA41" s="6"/>
      <c r="AB41" s="6"/>
      <c r="AC41" s="6"/>
    </row>
    <row r="42" ht="14.25" customHeight="1">
      <c r="A42" s="28"/>
      <c r="B42" s="28"/>
      <c r="C42" s="29"/>
      <c r="D42" s="30"/>
      <c r="E42" s="28"/>
      <c r="F42" s="19"/>
      <c r="G42" s="6"/>
      <c r="H42" s="6"/>
      <c r="I42" s="6"/>
      <c r="J42" s="6"/>
      <c r="K42" s="6"/>
      <c r="L42" s="6"/>
      <c r="M42" s="6"/>
      <c r="N42" s="6"/>
      <c r="O42" s="6"/>
      <c r="P42" s="6"/>
      <c r="Q42" s="6"/>
      <c r="R42" s="6"/>
      <c r="S42" s="6"/>
      <c r="T42" s="6"/>
      <c r="U42" s="6"/>
      <c r="V42" s="6"/>
      <c r="W42" s="6"/>
      <c r="X42" s="6"/>
      <c r="Y42" s="6"/>
      <c r="Z42" s="6"/>
      <c r="AA42" s="6"/>
      <c r="AB42" s="6"/>
      <c r="AC42" s="6"/>
    </row>
    <row r="43" ht="14.25" customHeight="1">
      <c r="A43" s="28"/>
      <c r="B43" s="28"/>
      <c r="C43" s="29"/>
      <c r="D43" s="30"/>
      <c r="E43" s="28"/>
      <c r="F43" s="19"/>
      <c r="G43" s="6"/>
      <c r="H43" s="6"/>
      <c r="I43" s="6"/>
      <c r="J43" s="6"/>
      <c r="K43" s="6"/>
      <c r="L43" s="6"/>
      <c r="M43" s="6"/>
      <c r="N43" s="6"/>
      <c r="O43" s="6"/>
      <c r="P43" s="6"/>
      <c r="Q43" s="6"/>
      <c r="R43" s="6"/>
      <c r="S43" s="6"/>
      <c r="T43" s="6"/>
      <c r="U43" s="6"/>
      <c r="V43" s="6"/>
      <c r="W43" s="6"/>
      <c r="X43" s="6"/>
      <c r="Y43" s="6"/>
      <c r="Z43" s="6"/>
      <c r="AA43" s="6"/>
      <c r="AB43" s="6"/>
      <c r="AC43" s="6"/>
    </row>
    <row r="44" ht="14.25" customHeight="1">
      <c r="A44" s="28"/>
      <c r="B44" s="28"/>
      <c r="C44" s="29"/>
      <c r="D44" s="30"/>
      <c r="E44" s="28"/>
      <c r="F44" s="19"/>
      <c r="G44" s="6"/>
      <c r="H44" s="6"/>
      <c r="I44" s="6"/>
      <c r="J44" s="6"/>
      <c r="K44" s="6"/>
      <c r="L44" s="6"/>
      <c r="M44" s="6"/>
      <c r="N44" s="6"/>
      <c r="O44" s="6"/>
      <c r="P44" s="6"/>
      <c r="Q44" s="6"/>
      <c r="R44" s="6"/>
      <c r="S44" s="6"/>
      <c r="T44" s="6"/>
      <c r="U44" s="6"/>
      <c r="V44" s="6"/>
      <c r="W44" s="6"/>
      <c r="X44" s="6"/>
      <c r="Y44" s="6"/>
      <c r="Z44" s="6"/>
      <c r="AA44" s="6"/>
      <c r="AB44" s="6"/>
      <c r="AC44" s="6"/>
    </row>
    <row r="45" ht="14.25" customHeight="1">
      <c r="A45" s="28"/>
      <c r="B45" s="28"/>
      <c r="C45" s="29"/>
      <c r="D45" s="30"/>
      <c r="E45" s="28"/>
      <c r="F45" s="19"/>
      <c r="G45" s="6"/>
      <c r="H45" s="6"/>
      <c r="I45" s="6"/>
      <c r="J45" s="6"/>
      <c r="K45" s="6"/>
      <c r="L45" s="6"/>
      <c r="M45" s="6"/>
      <c r="N45" s="6"/>
      <c r="O45" s="6"/>
      <c r="P45" s="6"/>
      <c r="Q45" s="6"/>
      <c r="R45" s="6"/>
      <c r="S45" s="6"/>
      <c r="T45" s="6"/>
      <c r="U45" s="6"/>
      <c r="V45" s="6"/>
      <c r="W45" s="6"/>
      <c r="X45" s="6"/>
      <c r="Y45" s="6"/>
      <c r="Z45" s="6"/>
      <c r="AA45" s="6"/>
      <c r="AB45" s="6"/>
      <c r="AC45" s="6"/>
    </row>
    <row r="46" ht="14.25" customHeight="1">
      <c r="A46" s="28"/>
      <c r="B46" s="28"/>
      <c r="C46" s="29"/>
      <c r="D46" s="30"/>
      <c r="E46" s="28"/>
      <c r="F46" s="19"/>
      <c r="G46" s="6"/>
      <c r="H46" s="6"/>
      <c r="I46" s="6"/>
      <c r="J46" s="6"/>
      <c r="K46" s="6"/>
      <c r="L46" s="6"/>
      <c r="M46" s="6"/>
      <c r="N46" s="6"/>
      <c r="O46" s="6"/>
      <c r="P46" s="6"/>
      <c r="Q46" s="6"/>
      <c r="R46" s="6"/>
      <c r="S46" s="6"/>
      <c r="T46" s="6"/>
      <c r="U46" s="6"/>
      <c r="V46" s="6"/>
      <c r="W46" s="6"/>
      <c r="X46" s="6"/>
      <c r="Y46" s="6"/>
      <c r="Z46" s="6"/>
      <c r="AA46" s="6"/>
      <c r="AB46" s="6"/>
      <c r="AC46" s="6"/>
    </row>
    <row r="47" ht="14.25" customHeight="1">
      <c r="A47" s="28"/>
      <c r="B47" s="28"/>
      <c r="C47" s="29"/>
      <c r="D47" s="30"/>
      <c r="E47" s="28"/>
      <c r="F47" s="19"/>
      <c r="G47" s="6"/>
      <c r="H47" s="6"/>
      <c r="I47" s="6"/>
      <c r="J47" s="6"/>
      <c r="K47" s="6"/>
      <c r="L47" s="6"/>
      <c r="M47" s="6"/>
      <c r="N47" s="6"/>
      <c r="O47" s="6"/>
      <c r="P47" s="6"/>
      <c r="Q47" s="6"/>
      <c r="R47" s="6"/>
      <c r="S47" s="6"/>
      <c r="T47" s="6"/>
      <c r="U47" s="6"/>
      <c r="V47" s="6"/>
      <c r="W47" s="6"/>
      <c r="X47" s="6"/>
      <c r="Y47" s="6"/>
      <c r="Z47" s="6"/>
      <c r="AA47" s="6"/>
      <c r="AB47" s="6"/>
      <c r="AC47" s="6"/>
    </row>
    <row r="48" ht="14.25" customHeight="1">
      <c r="A48" s="28"/>
      <c r="B48" s="28"/>
      <c r="C48" s="29"/>
      <c r="D48" s="30"/>
      <c r="E48" s="28"/>
      <c r="F48" s="19"/>
      <c r="G48" s="6"/>
      <c r="H48" s="6"/>
      <c r="I48" s="6"/>
      <c r="J48" s="6"/>
      <c r="K48" s="6"/>
      <c r="L48" s="6"/>
      <c r="M48" s="6"/>
      <c r="N48" s="6"/>
      <c r="O48" s="6"/>
      <c r="P48" s="6"/>
      <c r="Q48" s="6"/>
      <c r="R48" s="6"/>
      <c r="S48" s="6"/>
      <c r="T48" s="6"/>
      <c r="U48" s="6"/>
      <c r="V48" s="6"/>
      <c r="W48" s="6"/>
      <c r="X48" s="6"/>
      <c r="Y48" s="6"/>
      <c r="Z48" s="6"/>
      <c r="AA48" s="6"/>
      <c r="AB48" s="6"/>
      <c r="AC48" s="6"/>
    </row>
    <row r="49" ht="14.25" customHeight="1">
      <c r="A49" s="28"/>
      <c r="B49" s="28"/>
      <c r="C49" s="29"/>
      <c r="D49" s="30"/>
      <c r="E49" s="28"/>
      <c r="F49" s="19"/>
      <c r="G49" s="6"/>
      <c r="H49" s="6"/>
      <c r="I49" s="6"/>
      <c r="J49" s="6"/>
      <c r="K49" s="6"/>
      <c r="L49" s="6"/>
      <c r="M49" s="6"/>
      <c r="N49" s="6"/>
      <c r="O49" s="6"/>
      <c r="P49" s="6"/>
      <c r="Q49" s="6"/>
      <c r="R49" s="6"/>
      <c r="S49" s="6"/>
      <c r="T49" s="6"/>
      <c r="U49" s="6"/>
      <c r="V49" s="6"/>
      <c r="W49" s="6"/>
      <c r="X49" s="6"/>
      <c r="Y49" s="6"/>
      <c r="Z49" s="6"/>
      <c r="AA49" s="6"/>
      <c r="AB49" s="6"/>
      <c r="AC49" s="6"/>
    </row>
    <row r="50" ht="14.25" customHeight="1">
      <c r="A50" s="28"/>
      <c r="B50" s="28"/>
      <c r="C50" s="29"/>
      <c r="D50" s="30"/>
      <c r="E50" s="28"/>
      <c r="F50" s="19"/>
      <c r="G50" s="6"/>
      <c r="H50" s="6"/>
      <c r="I50" s="6"/>
      <c r="J50" s="6"/>
      <c r="K50" s="6"/>
      <c r="L50" s="6"/>
      <c r="M50" s="6"/>
      <c r="N50" s="6"/>
      <c r="O50" s="6"/>
      <c r="P50" s="6"/>
      <c r="Q50" s="6"/>
      <c r="R50" s="6"/>
      <c r="S50" s="6"/>
      <c r="T50" s="6"/>
      <c r="U50" s="6"/>
      <c r="V50" s="6"/>
      <c r="W50" s="6"/>
      <c r="X50" s="6"/>
      <c r="Y50" s="6"/>
      <c r="Z50" s="6"/>
      <c r="AA50" s="6"/>
      <c r="AB50" s="6"/>
      <c r="AC50" s="6"/>
    </row>
    <row r="51" ht="14.25" customHeight="1">
      <c r="A51" s="28"/>
      <c r="B51" s="28"/>
      <c r="C51" s="29"/>
      <c r="D51" s="30"/>
      <c r="E51" s="28"/>
      <c r="F51" s="19"/>
      <c r="G51" s="6"/>
      <c r="H51" s="6"/>
      <c r="I51" s="6"/>
      <c r="J51" s="6"/>
      <c r="K51" s="6"/>
      <c r="L51" s="6"/>
      <c r="M51" s="6"/>
      <c r="N51" s="6"/>
      <c r="O51" s="6"/>
      <c r="P51" s="6"/>
      <c r="Q51" s="6"/>
      <c r="R51" s="6"/>
      <c r="S51" s="6"/>
      <c r="T51" s="6"/>
      <c r="U51" s="6"/>
      <c r="V51" s="6"/>
      <c r="W51" s="6"/>
      <c r="X51" s="6"/>
      <c r="Y51" s="6"/>
      <c r="Z51" s="6"/>
      <c r="AA51" s="6"/>
      <c r="AB51" s="6"/>
      <c r="AC51" s="6"/>
    </row>
    <row r="52" ht="14.25" customHeight="1">
      <c r="A52" s="28"/>
      <c r="B52" s="28"/>
      <c r="C52" s="29"/>
      <c r="D52" s="30"/>
      <c r="E52" s="28"/>
      <c r="F52" s="19"/>
      <c r="G52" s="6"/>
      <c r="H52" s="6"/>
      <c r="I52" s="6"/>
      <c r="J52" s="6"/>
      <c r="K52" s="6"/>
      <c r="L52" s="6"/>
      <c r="M52" s="6"/>
      <c r="N52" s="6"/>
      <c r="O52" s="6"/>
      <c r="P52" s="6"/>
      <c r="Q52" s="6"/>
      <c r="R52" s="6"/>
      <c r="S52" s="6"/>
      <c r="T52" s="6"/>
      <c r="U52" s="6"/>
      <c r="V52" s="6"/>
      <c r="W52" s="6"/>
      <c r="X52" s="6"/>
      <c r="Y52" s="6"/>
      <c r="Z52" s="6"/>
      <c r="AA52" s="6"/>
      <c r="AB52" s="6"/>
      <c r="AC52" s="6"/>
    </row>
    <row r="53" ht="14.25" customHeight="1">
      <c r="A53" s="28"/>
      <c r="B53" s="28"/>
      <c r="C53" s="29"/>
      <c r="D53" s="30"/>
      <c r="E53" s="28"/>
      <c r="F53" s="19"/>
      <c r="G53" s="6"/>
      <c r="H53" s="6"/>
      <c r="I53" s="6"/>
      <c r="J53" s="6"/>
      <c r="K53" s="6"/>
      <c r="L53" s="6"/>
      <c r="M53" s="6"/>
      <c r="N53" s="6"/>
      <c r="O53" s="6"/>
      <c r="P53" s="6"/>
      <c r="Q53" s="6"/>
      <c r="R53" s="6"/>
      <c r="S53" s="6"/>
      <c r="T53" s="6"/>
      <c r="U53" s="6"/>
      <c r="V53" s="6"/>
      <c r="W53" s="6"/>
      <c r="X53" s="6"/>
      <c r="Y53" s="6"/>
      <c r="Z53" s="6"/>
      <c r="AA53" s="6"/>
      <c r="AB53" s="6"/>
      <c r="AC53" s="6"/>
    </row>
    <row r="54" ht="14.25" customHeight="1">
      <c r="A54" s="28"/>
      <c r="B54" s="28"/>
      <c r="C54" s="29"/>
      <c r="D54" s="30"/>
      <c r="E54" s="28"/>
      <c r="F54" s="19"/>
      <c r="G54" s="6"/>
      <c r="H54" s="6"/>
      <c r="I54" s="6"/>
      <c r="J54" s="6"/>
      <c r="K54" s="6"/>
      <c r="L54" s="6"/>
      <c r="M54" s="6"/>
      <c r="N54" s="6"/>
      <c r="O54" s="6"/>
      <c r="P54" s="6"/>
      <c r="Q54" s="6"/>
      <c r="R54" s="6"/>
      <c r="S54" s="6"/>
      <c r="T54" s="6"/>
      <c r="U54" s="6"/>
      <c r="V54" s="6"/>
      <c r="W54" s="6"/>
      <c r="X54" s="6"/>
      <c r="Y54" s="6"/>
      <c r="Z54" s="6"/>
      <c r="AA54" s="6"/>
      <c r="AB54" s="6"/>
      <c r="AC54" s="6"/>
    </row>
    <row r="55" ht="14.25" customHeight="1">
      <c r="A55" s="28"/>
      <c r="B55" s="28"/>
      <c r="C55" s="29"/>
      <c r="D55" s="30"/>
      <c r="E55" s="28"/>
      <c r="F55" s="19"/>
      <c r="G55" s="6"/>
      <c r="H55" s="6"/>
      <c r="I55" s="6"/>
      <c r="J55" s="6"/>
      <c r="K55" s="6"/>
      <c r="L55" s="6"/>
      <c r="M55" s="6"/>
      <c r="N55" s="6"/>
      <c r="O55" s="6"/>
      <c r="P55" s="6"/>
      <c r="Q55" s="6"/>
      <c r="R55" s="6"/>
      <c r="S55" s="6"/>
      <c r="T55" s="6"/>
      <c r="U55" s="6"/>
      <c r="V55" s="6"/>
      <c r="W55" s="6"/>
      <c r="X55" s="6"/>
      <c r="Y55" s="6"/>
      <c r="Z55" s="6"/>
      <c r="AA55" s="6"/>
      <c r="AB55" s="6"/>
      <c r="AC55" s="6"/>
    </row>
    <row r="56" ht="14.25" customHeight="1">
      <c r="A56" s="28"/>
      <c r="B56" s="28"/>
      <c r="C56" s="29"/>
      <c r="D56" s="30"/>
      <c r="E56" s="28"/>
      <c r="F56" s="19"/>
      <c r="G56" s="6"/>
      <c r="H56" s="6"/>
      <c r="I56" s="6"/>
      <c r="J56" s="6"/>
      <c r="K56" s="6"/>
      <c r="L56" s="6"/>
      <c r="M56" s="6"/>
      <c r="N56" s="6"/>
      <c r="O56" s="6"/>
      <c r="P56" s="6"/>
      <c r="Q56" s="6"/>
      <c r="R56" s="6"/>
      <c r="S56" s="6"/>
      <c r="T56" s="6"/>
      <c r="U56" s="6"/>
      <c r="V56" s="6"/>
      <c r="W56" s="6"/>
      <c r="X56" s="6"/>
      <c r="Y56" s="6"/>
      <c r="Z56" s="6"/>
      <c r="AA56" s="6"/>
      <c r="AB56" s="6"/>
      <c r="AC56" s="6"/>
    </row>
    <row r="57" ht="14.25" customHeight="1">
      <c r="A57" s="28"/>
      <c r="B57" s="28"/>
      <c r="C57" s="29"/>
      <c r="D57" s="30"/>
      <c r="E57" s="28"/>
      <c r="F57" s="19"/>
      <c r="G57" s="6"/>
      <c r="H57" s="6"/>
      <c r="I57" s="6"/>
      <c r="J57" s="6"/>
      <c r="K57" s="6"/>
      <c r="L57" s="6"/>
      <c r="M57" s="6"/>
      <c r="N57" s="6"/>
      <c r="O57" s="6"/>
      <c r="P57" s="6"/>
      <c r="Q57" s="6"/>
      <c r="R57" s="6"/>
      <c r="S57" s="6"/>
      <c r="T57" s="6"/>
      <c r="U57" s="6"/>
      <c r="V57" s="6"/>
      <c r="W57" s="6"/>
      <c r="X57" s="6"/>
      <c r="Y57" s="6"/>
      <c r="Z57" s="6"/>
      <c r="AA57" s="6"/>
      <c r="AB57" s="6"/>
      <c r="AC57" s="6"/>
    </row>
    <row r="58" ht="14.25" customHeight="1">
      <c r="A58" s="28"/>
      <c r="B58" s="28"/>
      <c r="C58" s="29"/>
      <c r="D58" s="30"/>
      <c r="E58" s="28"/>
      <c r="F58" s="19"/>
      <c r="G58" s="6"/>
      <c r="H58" s="6"/>
      <c r="I58" s="6"/>
      <c r="J58" s="6"/>
      <c r="K58" s="6"/>
      <c r="L58" s="6"/>
      <c r="M58" s="6"/>
      <c r="N58" s="6"/>
      <c r="O58" s="6"/>
      <c r="P58" s="6"/>
      <c r="Q58" s="6"/>
      <c r="R58" s="6"/>
      <c r="S58" s="6"/>
      <c r="T58" s="6"/>
      <c r="U58" s="6"/>
      <c r="V58" s="6"/>
      <c r="W58" s="6"/>
      <c r="X58" s="6"/>
      <c r="Y58" s="6"/>
      <c r="Z58" s="6"/>
      <c r="AA58" s="6"/>
      <c r="AB58" s="6"/>
      <c r="AC58" s="6"/>
    </row>
    <row r="59" ht="14.25" customHeight="1">
      <c r="A59" s="28"/>
      <c r="B59" s="28"/>
      <c r="C59" s="29"/>
      <c r="D59" s="30"/>
      <c r="E59" s="28"/>
      <c r="F59" s="19"/>
      <c r="G59" s="6"/>
      <c r="H59" s="6"/>
      <c r="I59" s="6"/>
      <c r="J59" s="6"/>
      <c r="K59" s="6"/>
      <c r="L59" s="6"/>
      <c r="M59" s="6"/>
      <c r="N59" s="6"/>
      <c r="O59" s="6"/>
      <c r="P59" s="6"/>
      <c r="Q59" s="6"/>
      <c r="R59" s="6"/>
      <c r="S59" s="6"/>
      <c r="T59" s="6"/>
      <c r="U59" s="6"/>
      <c r="V59" s="6"/>
      <c r="W59" s="6"/>
      <c r="X59" s="6"/>
      <c r="Y59" s="6"/>
      <c r="Z59" s="6"/>
      <c r="AA59" s="6"/>
      <c r="AB59" s="6"/>
      <c r="AC59" s="6"/>
    </row>
    <row r="60" ht="14.25" customHeight="1">
      <c r="A60" s="28"/>
      <c r="B60" s="28"/>
      <c r="C60" s="29"/>
      <c r="D60" s="30"/>
      <c r="E60" s="28"/>
      <c r="F60" s="19"/>
      <c r="G60" s="6"/>
      <c r="H60" s="6"/>
      <c r="I60" s="6"/>
      <c r="J60" s="6"/>
      <c r="K60" s="6"/>
      <c r="L60" s="6"/>
      <c r="M60" s="6"/>
      <c r="N60" s="6"/>
      <c r="O60" s="6"/>
      <c r="P60" s="6"/>
      <c r="Q60" s="6"/>
      <c r="R60" s="6"/>
      <c r="S60" s="6"/>
      <c r="T60" s="6"/>
      <c r="U60" s="6"/>
      <c r="V60" s="6"/>
      <c r="W60" s="6"/>
      <c r="X60" s="6"/>
      <c r="Y60" s="6"/>
      <c r="Z60" s="6"/>
      <c r="AA60" s="6"/>
      <c r="AB60" s="6"/>
      <c r="AC60" s="6"/>
    </row>
    <row r="61" ht="14.25" customHeight="1">
      <c r="A61" s="28"/>
      <c r="B61" s="28"/>
      <c r="C61" s="29"/>
      <c r="D61" s="30"/>
      <c r="E61" s="28"/>
      <c r="F61" s="19"/>
      <c r="G61" s="6"/>
      <c r="H61" s="6"/>
      <c r="I61" s="6"/>
      <c r="J61" s="6"/>
      <c r="K61" s="6"/>
      <c r="L61" s="6"/>
      <c r="M61" s="6"/>
      <c r="N61" s="6"/>
      <c r="O61" s="6"/>
      <c r="P61" s="6"/>
      <c r="Q61" s="6"/>
      <c r="R61" s="6"/>
      <c r="S61" s="6"/>
      <c r="T61" s="6"/>
      <c r="U61" s="6"/>
      <c r="V61" s="6"/>
      <c r="W61" s="6"/>
      <c r="X61" s="6"/>
      <c r="Y61" s="6"/>
      <c r="Z61" s="6"/>
      <c r="AA61" s="6"/>
      <c r="AB61" s="6"/>
      <c r="AC61" s="6"/>
    </row>
    <row r="62" ht="14.25" customHeight="1">
      <c r="A62" s="28"/>
      <c r="B62" s="28"/>
      <c r="C62" s="29"/>
      <c r="D62" s="30"/>
      <c r="E62" s="28"/>
      <c r="F62" s="19"/>
      <c r="G62" s="6"/>
      <c r="H62" s="6"/>
      <c r="I62" s="6"/>
      <c r="J62" s="6"/>
      <c r="K62" s="6"/>
      <c r="L62" s="6"/>
      <c r="M62" s="6"/>
      <c r="N62" s="6"/>
      <c r="O62" s="6"/>
      <c r="P62" s="6"/>
      <c r="Q62" s="6"/>
      <c r="R62" s="6"/>
      <c r="S62" s="6"/>
      <c r="T62" s="6"/>
      <c r="U62" s="6"/>
      <c r="V62" s="6"/>
      <c r="W62" s="6"/>
      <c r="X62" s="6"/>
      <c r="Y62" s="6"/>
      <c r="Z62" s="6"/>
      <c r="AA62" s="6"/>
      <c r="AB62" s="6"/>
      <c r="AC62" s="6"/>
    </row>
    <row r="63" ht="14.25" customHeight="1">
      <c r="A63" s="28"/>
      <c r="B63" s="28"/>
      <c r="C63" s="29"/>
      <c r="D63" s="30"/>
      <c r="E63" s="28"/>
      <c r="F63" s="19"/>
      <c r="G63" s="6"/>
      <c r="H63" s="6"/>
      <c r="I63" s="6"/>
      <c r="J63" s="6"/>
      <c r="K63" s="6"/>
      <c r="L63" s="6"/>
      <c r="M63" s="6"/>
      <c r="N63" s="6"/>
      <c r="O63" s="6"/>
      <c r="P63" s="6"/>
      <c r="Q63" s="6"/>
      <c r="R63" s="6"/>
      <c r="S63" s="6"/>
      <c r="T63" s="6"/>
      <c r="U63" s="6"/>
      <c r="V63" s="6"/>
      <c r="W63" s="6"/>
      <c r="X63" s="6"/>
      <c r="Y63" s="6"/>
      <c r="Z63" s="6"/>
      <c r="AA63" s="6"/>
      <c r="AB63" s="6"/>
      <c r="AC63" s="6"/>
    </row>
    <row r="64" ht="14.25" customHeight="1">
      <c r="A64" s="28"/>
      <c r="B64" s="28"/>
      <c r="C64" s="29"/>
      <c r="D64" s="30"/>
      <c r="E64" s="28"/>
      <c r="F64" s="19"/>
      <c r="G64" s="6"/>
      <c r="H64" s="6"/>
      <c r="I64" s="6"/>
      <c r="J64" s="6"/>
      <c r="K64" s="6"/>
      <c r="L64" s="6"/>
      <c r="M64" s="6"/>
      <c r="N64" s="6"/>
      <c r="O64" s="6"/>
      <c r="P64" s="6"/>
      <c r="Q64" s="6"/>
      <c r="R64" s="6"/>
      <c r="S64" s="6"/>
      <c r="T64" s="6"/>
      <c r="U64" s="6"/>
      <c r="V64" s="6"/>
      <c r="W64" s="6"/>
      <c r="X64" s="6"/>
      <c r="Y64" s="6"/>
      <c r="Z64" s="6"/>
      <c r="AA64" s="6"/>
      <c r="AB64" s="6"/>
      <c r="AC64" s="6"/>
    </row>
    <row r="65" ht="14.25" customHeight="1">
      <c r="A65" s="28"/>
      <c r="B65" s="28"/>
      <c r="C65" s="29"/>
      <c r="D65" s="30"/>
      <c r="E65" s="28"/>
      <c r="F65" s="19"/>
      <c r="G65" s="6"/>
      <c r="H65" s="6"/>
      <c r="I65" s="6"/>
      <c r="J65" s="6"/>
      <c r="K65" s="6"/>
      <c r="L65" s="6"/>
      <c r="M65" s="6"/>
      <c r="N65" s="6"/>
      <c r="O65" s="6"/>
      <c r="P65" s="6"/>
      <c r="Q65" s="6"/>
      <c r="R65" s="6"/>
      <c r="S65" s="6"/>
      <c r="T65" s="6"/>
      <c r="U65" s="6"/>
      <c r="V65" s="6"/>
      <c r="W65" s="6"/>
      <c r="X65" s="6"/>
      <c r="Y65" s="6"/>
      <c r="Z65" s="6"/>
      <c r="AA65" s="6"/>
      <c r="AB65" s="6"/>
      <c r="AC65" s="6"/>
    </row>
    <row r="66" ht="14.25" customHeight="1">
      <c r="A66" s="28"/>
      <c r="B66" s="28"/>
      <c r="C66" s="29"/>
      <c r="D66" s="30"/>
      <c r="E66" s="28"/>
      <c r="F66" s="19"/>
      <c r="G66" s="6"/>
      <c r="H66" s="6"/>
      <c r="I66" s="6"/>
      <c r="J66" s="6"/>
      <c r="K66" s="6"/>
      <c r="L66" s="6"/>
      <c r="M66" s="6"/>
      <c r="N66" s="6"/>
      <c r="O66" s="6"/>
      <c r="P66" s="6"/>
      <c r="Q66" s="6"/>
      <c r="R66" s="6"/>
      <c r="S66" s="6"/>
      <c r="T66" s="6"/>
      <c r="U66" s="6"/>
      <c r="V66" s="6"/>
      <c r="W66" s="6"/>
      <c r="X66" s="6"/>
      <c r="Y66" s="6"/>
      <c r="Z66" s="6"/>
      <c r="AA66" s="6"/>
      <c r="AB66" s="6"/>
      <c r="AC66" s="6"/>
    </row>
    <row r="67" ht="14.25" customHeight="1">
      <c r="A67" s="28"/>
      <c r="B67" s="28"/>
      <c r="C67" s="29"/>
      <c r="D67" s="30"/>
      <c r="E67" s="28"/>
      <c r="F67" s="19"/>
      <c r="G67" s="6"/>
      <c r="H67" s="6"/>
      <c r="I67" s="6"/>
      <c r="J67" s="6"/>
      <c r="K67" s="6"/>
      <c r="L67" s="6"/>
      <c r="M67" s="6"/>
      <c r="N67" s="6"/>
      <c r="O67" s="6"/>
      <c r="P67" s="6"/>
      <c r="Q67" s="6"/>
      <c r="R67" s="6"/>
      <c r="S67" s="6"/>
      <c r="T67" s="6"/>
      <c r="U67" s="6"/>
      <c r="V67" s="6"/>
      <c r="W67" s="6"/>
      <c r="X67" s="6"/>
      <c r="Y67" s="6"/>
      <c r="Z67" s="6"/>
      <c r="AA67" s="6"/>
      <c r="AB67" s="6"/>
      <c r="AC67" s="6"/>
    </row>
    <row r="68" ht="14.25" customHeight="1">
      <c r="A68" s="28"/>
      <c r="B68" s="28"/>
      <c r="C68" s="29"/>
      <c r="D68" s="30"/>
      <c r="E68" s="28"/>
      <c r="F68" s="19"/>
      <c r="G68" s="6"/>
      <c r="H68" s="6"/>
      <c r="I68" s="6"/>
      <c r="J68" s="6"/>
      <c r="K68" s="6"/>
      <c r="L68" s="6"/>
      <c r="M68" s="6"/>
      <c r="N68" s="6"/>
      <c r="O68" s="6"/>
      <c r="P68" s="6"/>
      <c r="Q68" s="6"/>
      <c r="R68" s="6"/>
      <c r="S68" s="6"/>
      <c r="T68" s="6"/>
      <c r="U68" s="6"/>
      <c r="V68" s="6"/>
      <c r="W68" s="6"/>
      <c r="X68" s="6"/>
      <c r="Y68" s="6"/>
      <c r="Z68" s="6"/>
      <c r="AA68" s="6"/>
      <c r="AB68" s="6"/>
      <c r="AC68" s="6"/>
    </row>
    <row r="69" ht="14.25" customHeight="1">
      <c r="A69" s="28"/>
      <c r="B69" s="28"/>
      <c r="C69" s="29"/>
      <c r="D69" s="30"/>
      <c r="E69" s="28"/>
      <c r="F69" s="19"/>
      <c r="G69" s="6"/>
      <c r="H69" s="6"/>
      <c r="I69" s="6"/>
      <c r="J69" s="6"/>
      <c r="K69" s="6"/>
      <c r="L69" s="6"/>
      <c r="M69" s="6"/>
      <c r="N69" s="6"/>
      <c r="O69" s="6"/>
      <c r="P69" s="6"/>
      <c r="Q69" s="6"/>
      <c r="R69" s="6"/>
      <c r="S69" s="6"/>
      <c r="T69" s="6"/>
      <c r="U69" s="6"/>
      <c r="V69" s="6"/>
      <c r="W69" s="6"/>
      <c r="X69" s="6"/>
      <c r="Y69" s="6"/>
      <c r="Z69" s="6"/>
      <c r="AA69" s="6"/>
      <c r="AB69" s="6"/>
      <c r="AC69" s="6"/>
    </row>
    <row r="70" ht="14.25" customHeight="1">
      <c r="A70" s="28"/>
      <c r="B70" s="28"/>
      <c r="C70" s="29"/>
      <c r="D70" s="30"/>
      <c r="E70" s="28"/>
      <c r="F70" s="19"/>
      <c r="G70" s="6"/>
      <c r="H70" s="6"/>
      <c r="I70" s="6"/>
      <c r="J70" s="6"/>
      <c r="K70" s="6"/>
      <c r="L70" s="6"/>
      <c r="M70" s="6"/>
      <c r="N70" s="6"/>
      <c r="O70" s="6"/>
      <c r="P70" s="6"/>
      <c r="Q70" s="6"/>
      <c r="R70" s="6"/>
      <c r="S70" s="6"/>
      <c r="T70" s="6"/>
      <c r="U70" s="6"/>
      <c r="V70" s="6"/>
      <c r="W70" s="6"/>
      <c r="X70" s="6"/>
      <c r="Y70" s="6"/>
      <c r="Z70" s="6"/>
      <c r="AA70" s="6"/>
      <c r="AB70" s="6"/>
      <c r="AC70" s="6"/>
    </row>
    <row r="71" ht="14.25" customHeight="1">
      <c r="A71" s="28"/>
      <c r="B71" s="28"/>
      <c r="C71" s="29"/>
      <c r="D71" s="30"/>
      <c r="E71" s="28"/>
      <c r="F71" s="19"/>
      <c r="G71" s="6"/>
      <c r="H71" s="6"/>
      <c r="I71" s="6"/>
      <c r="J71" s="6"/>
      <c r="K71" s="6"/>
      <c r="L71" s="6"/>
      <c r="M71" s="6"/>
      <c r="N71" s="6"/>
      <c r="O71" s="6"/>
      <c r="P71" s="6"/>
      <c r="Q71" s="6"/>
      <c r="R71" s="6"/>
      <c r="S71" s="6"/>
      <c r="T71" s="6"/>
      <c r="U71" s="6"/>
      <c r="V71" s="6"/>
      <c r="W71" s="6"/>
      <c r="X71" s="6"/>
      <c r="Y71" s="6"/>
      <c r="Z71" s="6"/>
      <c r="AA71" s="6"/>
      <c r="AB71" s="6"/>
      <c r="AC71" s="6"/>
    </row>
    <row r="72" ht="14.25" customHeight="1">
      <c r="A72" s="28"/>
      <c r="B72" s="28"/>
      <c r="C72" s="29"/>
      <c r="D72" s="30"/>
      <c r="E72" s="28"/>
      <c r="F72" s="19"/>
      <c r="G72" s="6"/>
      <c r="H72" s="6"/>
      <c r="I72" s="6"/>
      <c r="J72" s="6"/>
      <c r="K72" s="6"/>
      <c r="L72" s="6"/>
      <c r="M72" s="6"/>
      <c r="N72" s="6"/>
      <c r="O72" s="6"/>
      <c r="P72" s="6"/>
      <c r="Q72" s="6"/>
      <c r="R72" s="6"/>
      <c r="S72" s="6"/>
      <c r="T72" s="6"/>
      <c r="U72" s="6"/>
      <c r="V72" s="6"/>
      <c r="W72" s="6"/>
      <c r="X72" s="6"/>
      <c r="Y72" s="6"/>
      <c r="Z72" s="6"/>
      <c r="AA72" s="6"/>
      <c r="AB72" s="6"/>
      <c r="AC72" s="6"/>
    </row>
    <row r="73" ht="14.25" customHeight="1">
      <c r="A73" s="28"/>
      <c r="B73" s="28"/>
      <c r="C73" s="29"/>
      <c r="D73" s="30"/>
      <c r="E73" s="28"/>
      <c r="F73" s="19"/>
      <c r="G73" s="6"/>
      <c r="H73" s="6"/>
      <c r="I73" s="6"/>
      <c r="J73" s="6"/>
      <c r="K73" s="6"/>
      <c r="L73" s="6"/>
      <c r="M73" s="6"/>
      <c r="N73" s="6"/>
      <c r="O73" s="6"/>
      <c r="P73" s="6"/>
      <c r="Q73" s="6"/>
      <c r="R73" s="6"/>
      <c r="S73" s="6"/>
      <c r="T73" s="6"/>
      <c r="U73" s="6"/>
      <c r="V73" s="6"/>
      <c r="W73" s="6"/>
      <c r="X73" s="6"/>
      <c r="Y73" s="6"/>
      <c r="Z73" s="6"/>
      <c r="AA73" s="6"/>
      <c r="AB73" s="6"/>
      <c r="AC73" s="6"/>
    </row>
    <row r="74" ht="14.25" customHeight="1">
      <c r="A74" s="28"/>
      <c r="B74" s="28"/>
      <c r="C74" s="29"/>
      <c r="D74" s="30"/>
      <c r="E74" s="28"/>
      <c r="F74" s="19"/>
      <c r="G74" s="6"/>
      <c r="H74" s="6"/>
      <c r="I74" s="6"/>
      <c r="J74" s="6"/>
      <c r="K74" s="6"/>
      <c r="L74" s="6"/>
      <c r="M74" s="6"/>
      <c r="N74" s="6"/>
      <c r="O74" s="6"/>
      <c r="P74" s="6"/>
      <c r="Q74" s="6"/>
      <c r="R74" s="6"/>
      <c r="S74" s="6"/>
      <c r="T74" s="6"/>
      <c r="U74" s="6"/>
      <c r="V74" s="6"/>
      <c r="W74" s="6"/>
      <c r="X74" s="6"/>
      <c r="Y74" s="6"/>
      <c r="Z74" s="6"/>
      <c r="AA74" s="6"/>
      <c r="AB74" s="6"/>
      <c r="AC74" s="6"/>
    </row>
    <row r="75" ht="14.25" customHeight="1">
      <c r="A75" s="28"/>
      <c r="B75" s="28"/>
      <c r="C75" s="29"/>
      <c r="D75" s="30"/>
      <c r="E75" s="28"/>
      <c r="F75" s="19"/>
      <c r="G75" s="6"/>
      <c r="H75" s="6"/>
      <c r="I75" s="6"/>
      <c r="J75" s="6"/>
      <c r="K75" s="6"/>
      <c r="L75" s="6"/>
      <c r="M75" s="6"/>
      <c r="N75" s="6"/>
      <c r="O75" s="6"/>
      <c r="P75" s="6"/>
      <c r="Q75" s="6"/>
      <c r="R75" s="6"/>
      <c r="S75" s="6"/>
      <c r="T75" s="6"/>
      <c r="U75" s="6"/>
      <c r="V75" s="6"/>
      <c r="W75" s="6"/>
      <c r="X75" s="6"/>
      <c r="Y75" s="6"/>
      <c r="Z75" s="6"/>
      <c r="AA75" s="6"/>
      <c r="AB75" s="6"/>
      <c r="AC75" s="6"/>
    </row>
    <row r="76" ht="14.25" customHeight="1">
      <c r="A76" s="28"/>
      <c r="B76" s="28"/>
      <c r="C76" s="29"/>
      <c r="D76" s="30"/>
      <c r="E76" s="28"/>
      <c r="F76" s="19"/>
      <c r="G76" s="6"/>
      <c r="H76" s="6"/>
      <c r="I76" s="6"/>
      <c r="J76" s="6"/>
      <c r="K76" s="6"/>
      <c r="L76" s="6"/>
      <c r="M76" s="6"/>
      <c r="N76" s="6"/>
      <c r="O76" s="6"/>
      <c r="P76" s="6"/>
      <c r="Q76" s="6"/>
      <c r="R76" s="6"/>
      <c r="S76" s="6"/>
      <c r="T76" s="6"/>
      <c r="U76" s="6"/>
      <c r="V76" s="6"/>
      <c r="W76" s="6"/>
      <c r="X76" s="6"/>
      <c r="Y76" s="6"/>
      <c r="Z76" s="6"/>
      <c r="AA76" s="6"/>
      <c r="AB76" s="6"/>
      <c r="AC76" s="6"/>
    </row>
    <row r="77" ht="14.25" customHeight="1">
      <c r="A77" s="28"/>
      <c r="B77" s="28"/>
      <c r="C77" s="29"/>
      <c r="D77" s="30"/>
      <c r="E77" s="28"/>
      <c r="F77" s="19"/>
      <c r="G77" s="6"/>
      <c r="H77" s="6"/>
      <c r="I77" s="6"/>
      <c r="J77" s="6"/>
      <c r="K77" s="6"/>
      <c r="L77" s="6"/>
      <c r="M77" s="6"/>
      <c r="N77" s="6"/>
      <c r="O77" s="6"/>
      <c r="P77" s="6"/>
      <c r="Q77" s="6"/>
      <c r="R77" s="6"/>
      <c r="S77" s="6"/>
      <c r="T77" s="6"/>
      <c r="U77" s="6"/>
      <c r="V77" s="6"/>
      <c r="W77" s="6"/>
      <c r="X77" s="6"/>
      <c r="Y77" s="6"/>
      <c r="Z77" s="6"/>
      <c r="AA77" s="6"/>
      <c r="AB77" s="6"/>
      <c r="AC77" s="6"/>
    </row>
    <row r="78" ht="14.25" customHeight="1">
      <c r="A78" s="28"/>
      <c r="B78" s="28"/>
      <c r="C78" s="29"/>
      <c r="D78" s="30"/>
      <c r="E78" s="28"/>
      <c r="F78" s="19"/>
      <c r="G78" s="6"/>
      <c r="H78" s="6"/>
      <c r="I78" s="6"/>
      <c r="J78" s="6"/>
      <c r="K78" s="6"/>
      <c r="L78" s="6"/>
      <c r="M78" s="6"/>
      <c r="N78" s="6"/>
      <c r="O78" s="6"/>
      <c r="P78" s="6"/>
      <c r="Q78" s="6"/>
      <c r="R78" s="6"/>
      <c r="S78" s="6"/>
      <c r="T78" s="6"/>
      <c r="U78" s="6"/>
      <c r="V78" s="6"/>
      <c r="W78" s="6"/>
      <c r="X78" s="6"/>
      <c r="Y78" s="6"/>
      <c r="Z78" s="6"/>
      <c r="AA78" s="6"/>
      <c r="AB78" s="6"/>
      <c r="AC78" s="6"/>
    </row>
    <row r="79" ht="14.25" customHeight="1">
      <c r="A79" s="28"/>
      <c r="B79" s="28"/>
      <c r="C79" s="29"/>
      <c r="D79" s="30"/>
      <c r="E79" s="28"/>
      <c r="F79" s="19"/>
      <c r="G79" s="6"/>
      <c r="H79" s="6"/>
      <c r="I79" s="6"/>
      <c r="J79" s="6"/>
      <c r="K79" s="6"/>
      <c r="L79" s="6"/>
      <c r="M79" s="6"/>
      <c r="N79" s="6"/>
      <c r="O79" s="6"/>
      <c r="P79" s="6"/>
      <c r="Q79" s="6"/>
      <c r="R79" s="6"/>
      <c r="S79" s="6"/>
      <c r="T79" s="6"/>
      <c r="U79" s="6"/>
      <c r="V79" s="6"/>
      <c r="W79" s="6"/>
      <c r="X79" s="6"/>
      <c r="Y79" s="6"/>
      <c r="Z79" s="6"/>
      <c r="AA79" s="6"/>
      <c r="AB79" s="6"/>
      <c r="AC79" s="6"/>
    </row>
    <row r="80" ht="14.25" customHeight="1">
      <c r="A80" s="28"/>
      <c r="B80" s="28"/>
      <c r="C80" s="29"/>
      <c r="D80" s="30"/>
      <c r="E80" s="28"/>
      <c r="F80" s="19"/>
      <c r="G80" s="6"/>
      <c r="H80" s="6"/>
      <c r="I80" s="6"/>
      <c r="J80" s="6"/>
      <c r="K80" s="6"/>
      <c r="L80" s="6"/>
      <c r="M80" s="6"/>
      <c r="N80" s="6"/>
      <c r="O80" s="6"/>
      <c r="P80" s="6"/>
      <c r="Q80" s="6"/>
      <c r="R80" s="6"/>
      <c r="S80" s="6"/>
      <c r="T80" s="6"/>
      <c r="U80" s="6"/>
      <c r="V80" s="6"/>
      <c r="W80" s="6"/>
      <c r="X80" s="6"/>
      <c r="Y80" s="6"/>
      <c r="Z80" s="6"/>
      <c r="AA80" s="6"/>
      <c r="AB80" s="6"/>
      <c r="AC80" s="6"/>
    </row>
    <row r="81" ht="14.25" customHeight="1">
      <c r="A81" s="28"/>
      <c r="B81" s="28"/>
      <c r="C81" s="29"/>
      <c r="D81" s="30"/>
      <c r="E81" s="28"/>
      <c r="F81" s="19"/>
      <c r="G81" s="6"/>
      <c r="H81" s="6"/>
      <c r="I81" s="6"/>
      <c r="J81" s="6"/>
      <c r="K81" s="6"/>
      <c r="L81" s="6"/>
      <c r="M81" s="6"/>
      <c r="N81" s="6"/>
      <c r="O81" s="6"/>
      <c r="P81" s="6"/>
      <c r="Q81" s="6"/>
      <c r="R81" s="6"/>
      <c r="S81" s="6"/>
      <c r="T81" s="6"/>
      <c r="U81" s="6"/>
      <c r="V81" s="6"/>
      <c r="W81" s="6"/>
      <c r="X81" s="6"/>
      <c r="Y81" s="6"/>
      <c r="Z81" s="6"/>
      <c r="AA81" s="6"/>
      <c r="AB81" s="6"/>
      <c r="AC81" s="6"/>
    </row>
    <row r="82" ht="14.25" customHeight="1">
      <c r="A82" s="28"/>
      <c r="B82" s="28"/>
      <c r="C82" s="29"/>
      <c r="D82" s="30"/>
      <c r="E82" s="28"/>
      <c r="F82" s="19"/>
      <c r="G82" s="6"/>
      <c r="H82" s="6"/>
      <c r="I82" s="6"/>
      <c r="J82" s="6"/>
      <c r="K82" s="6"/>
      <c r="L82" s="6"/>
      <c r="M82" s="6"/>
      <c r="N82" s="6"/>
      <c r="O82" s="6"/>
      <c r="P82" s="6"/>
      <c r="Q82" s="6"/>
      <c r="R82" s="6"/>
      <c r="S82" s="6"/>
      <c r="T82" s="6"/>
      <c r="U82" s="6"/>
      <c r="V82" s="6"/>
      <c r="W82" s="6"/>
      <c r="X82" s="6"/>
      <c r="Y82" s="6"/>
      <c r="Z82" s="6"/>
      <c r="AA82" s="6"/>
      <c r="AB82" s="6"/>
      <c r="AC82" s="6"/>
    </row>
    <row r="83" ht="14.25" customHeight="1">
      <c r="A83" s="28"/>
      <c r="B83" s="28"/>
      <c r="C83" s="29"/>
      <c r="D83" s="30"/>
      <c r="E83" s="28"/>
      <c r="F83" s="19"/>
      <c r="G83" s="6"/>
      <c r="H83" s="6"/>
      <c r="I83" s="6"/>
      <c r="J83" s="6"/>
      <c r="K83" s="6"/>
      <c r="L83" s="6"/>
      <c r="M83" s="6"/>
      <c r="N83" s="6"/>
      <c r="O83" s="6"/>
      <c r="P83" s="6"/>
      <c r="Q83" s="6"/>
      <c r="R83" s="6"/>
      <c r="S83" s="6"/>
      <c r="T83" s="6"/>
      <c r="U83" s="6"/>
      <c r="V83" s="6"/>
      <c r="W83" s="6"/>
      <c r="X83" s="6"/>
      <c r="Y83" s="6"/>
      <c r="Z83" s="6"/>
      <c r="AA83" s="6"/>
      <c r="AB83" s="6"/>
      <c r="AC83" s="6"/>
    </row>
    <row r="84" ht="14.25" customHeight="1">
      <c r="A84" s="28"/>
      <c r="B84" s="28"/>
      <c r="C84" s="29"/>
      <c r="D84" s="30"/>
      <c r="E84" s="28"/>
      <c r="F84" s="19"/>
      <c r="G84" s="6"/>
      <c r="H84" s="6"/>
      <c r="I84" s="6"/>
      <c r="J84" s="6"/>
      <c r="K84" s="6"/>
      <c r="L84" s="6"/>
      <c r="M84" s="6"/>
      <c r="N84" s="6"/>
      <c r="O84" s="6"/>
      <c r="P84" s="6"/>
      <c r="Q84" s="6"/>
      <c r="R84" s="6"/>
      <c r="S84" s="6"/>
      <c r="T84" s="6"/>
      <c r="U84" s="6"/>
      <c r="V84" s="6"/>
      <c r="W84" s="6"/>
      <c r="X84" s="6"/>
      <c r="Y84" s="6"/>
      <c r="Z84" s="6"/>
      <c r="AA84" s="6"/>
      <c r="AB84" s="6"/>
      <c r="AC84" s="6"/>
    </row>
    <row r="85" ht="14.25" customHeight="1">
      <c r="A85" s="28"/>
      <c r="B85" s="28"/>
      <c r="C85" s="29"/>
      <c r="D85" s="30"/>
      <c r="E85" s="28"/>
      <c r="F85" s="19"/>
      <c r="G85" s="6"/>
      <c r="H85" s="6"/>
      <c r="I85" s="6"/>
      <c r="J85" s="6"/>
      <c r="K85" s="6"/>
      <c r="L85" s="6"/>
      <c r="M85" s="6"/>
      <c r="N85" s="6"/>
      <c r="O85" s="6"/>
      <c r="P85" s="6"/>
      <c r="Q85" s="6"/>
      <c r="R85" s="6"/>
      <c r="S85" s="6"/>
      <c r="T85" s="6"/>
      <c r="U85" s="6"/>
      <c r="V85" s="6"/>
      <c r="W85" s="6"/>
      <c r="X85" s="6"/>
      <c r="Y85" s="6"/>
      <c r="Z85" s="6"/>
      <c r="AA85" s="6"/>
      <c r="AB85" s="6"/>
      <c r="AC85" s="6"/>
    </row>
    <row r="86" ht="14.25" customHeight="1">
      <c r="A86" s="28"/>
      <c r="B86" s="28"/>
      <c r="C86" s="29"/>
      <c r="D86" s="30"/>
      <c r="E86" s="28"/>
      <c r="F86" s="19"/>
      <c r="G86" s="6"/>
      <c r="H86" s="6"/>
      <c r="I86" s="6"/>
      <c r="J86" s="6"/>
      <c r="K86" s="6"/>
      <c r="L86" s="6"/>
      <c r="M86" s="6"/>
      <c r="N86" s="6"/>
      <c r="O86" s="6"/>
      <c r="P86" s="6"/>
      <c r="Q86" s="6"/>
      <c r="R86" s="6"/>
      <c r="S86" s="6"/>
      <c r="T86" s="6"/>
      <c r="U86" s="6"/>
      <c r="V86" s="6"/>
      <c r="W86" s="6"/>
      <c r="X86" s="6"/>
      <c r="Y86" s="6"/>
      <c r="Z86" s="6"/>
      <c r="AA86" s="6"/>
      <c r="AB86" s="6"/>
      <c r="AC86" s="6"/>
    </row>
    <row r="87" ht="14.25" customHeight="1">
      <c r="A87" s="28"/>
      <c r="B87" s="28"/>
      <c r="C87" s="29"/>
      <c r="D87" s="30"/>
      <c r="E87" s="28"/>
      <c r="F87" s="19"/>
      <c r="G87" s="6"/>
      <c r="H87" s="6"/>
      <c r="I87" s="6"/>
      <c r="J87" s="6"/>
      <c r="K87" s="6"/>
      <c r="L87" s="6"/>
      <c r="M87" s="6"/>
      <c r="N87" s="6"/>
      <c r="O87" s="6"/>
      <c r="P87" s="6"/>
      <c r="Q87" s="6"/>
      <c r="R87" s="6"/>
      <c r="S87" s="6"/>
      <c r="T87" s="6"/>
      <c r="U87" s="6"/>
      <c r="V87" s="6"/>
      <c r="W87" s="6"/>
      <c r="X87" s="6"/>
      <c r="Y87" s="6"/>
      <c r="Z87" s="6"/>
      <c r="AA87" s="6"/>
      <c r="AB87" s="6"/>
      <c r="AC87" s="6"/>
    </row>
    <row r="88" ht="14.25" customHeight="1">
      <c r="A88" s="28"/>
      <c r="B88" s="28"/>
      <c r="C88" s="29"/>
      <c r="D88" s="30"/>
      <c r="E88" s="28"/>
      <c r="F88" s="19"/>
      <c r="G88" s="6"/>
      <c r="H88" s="6"/>
      <c r="I88" s="6"/>
      <c r="J88" s="6"/>
      <c r="K88" s="6"/>
      <c r="L88" s="6"/>
      <c r="M88" s="6"/>
      <c r="N88" s="6"/>
      <c r="O88" s="6"/>
      <c r="P88" s="6"/>
      <c r="Q88" s="6"/>
      <c r="R88" s="6"/>
      <c r="S88" s="6"/>
      <c r="T88" s="6"/>
      <c r="U88" s="6"/>
      <c r="V88" s="6"/>
      <c r="W88" s="6"/>
      <c r="X88" s="6"/>
      <c r="Y88" s="6"/>
      <c r="Z88" s="6"/>
      <c r="AA88" s="6"/>
      <c r="AB88" s="6"/>
      <c r="AC88" s="6"/>
    </row>
    <row r="89" ht="14.25" customHeight="1">
      <c r="A89" s="28"/>
      <c r="B89" s="28"/>
      <c r="C89" s="29"/>
      <c r="D89" s="30"/>
      <c r="E89" s="28"/>
      <c r="F89" s="19"/>
      <c r="G89" s="6"/>
      <c r="H89" s="6"/>
      <c r="I89" s="6"/>
      <c r="J89" s="6"/>
      <c r="K89" s="6"/>
      <c r="L89" s="6"/>
      <c r="M89" s="6"/>
      <c r="N89" s="6"/>
      <c r="O89" s="6"/>
      <c r="P89" s="6"/>
      <c r="Q89" s="6"/>
      <c r="R89" s="6"/>
      <c r="S89" s="6"/>
      <c r="T89" s="6"/>
      <c r="U89" s="6"/>
      <c r="V89" s="6"/>
      <c r="W89" s="6"/>
      <c r="X89" s="6"/>
      <c r="Y89" s="6"/>
      <c r="Z89" s="6"/>
      <c r="AA89" s="6"/>
      <c r="AB89" s="6"/>
      <c r="AC89" s="6"/>
    </row>
    <row r="90" ht="14.25" customHeight="1">
      <c r="A90" s="28"/>
      <c r="B90" s="28"/>
      <c r="C90" s="29"/>
      <c r="D90" s="30"/>
      <c r="E90" s="28"/>
      <c r="F90" s="19"/>
      <c r="G90" s="6"/>
      <c r="H90" s="6"/>
      <c r="I90" s="6"/>
      <c r="J90" s="6"/>
      <c r="K90" s="6"/>
      <c r="L90" s="6"/>
      <c r="M90" s="6"/>
      <c r="N90" s="6"/>
      <c r="O90" s="6"/>
      <c r="P90" s="6"/>
      <c r="Q90" s="6"/>
      <c r="R90" s="6"/>
      <c r="S90" s="6"/>
      <c r="T90" s="6"/>
      <c r="U90" s="6"/>
      <c r="V90" s="6"/>
      <c r="W90" s="6"/>
      <c r="X90" s="6"/>
      <c r="Y90" s="6"/>
      <c r="Z90" s="6"/>
      <c r="AA90" s="6"/>
      <c r="AB90" s="6"/>
      <c r="AC90" s="6"/>
    </row>
    <row r="91" ht="14.25" customHeight="1">
      <c r="A91" s="28"/>
      <c r="B91" s="28"/>
      <c r="C91" s="29"/>
      <c r="D91" s="30"/>
      <c r="E91" s="28"/>
      <c r="F91" s="19"/>
      <c r="G91" s="6"/>
      <c r="H91" s="6"/>
      <c r="I91" s="6"/>
      <c r="J91" s="6"/>
      <c r="K91" s="6"/>
      <c r="L91" s="6"/>
      <c r="M91" s="6"/>
      <c r="N91" s="6"/>
      <c r="O91" s="6"/>
      <c r="P91" s="6"/>
      <c r="Q91" s="6"/>
      <c r="R91" s="6"/>
      <c r="S91" s="6"/>
      <c r="T91" s="6"/>
      <c r="U91" s="6"/>
      <c r="V91" s="6"/>
      <c r="W91" s="6"/>
      <c r="X91" s="6"/>
      <c r="Y91" s="6"/>
      <c r="Z91" s="6"/>
      <c r="AA91" s="6"/>
      <c r="AB91" s="6"/>
      <c r="AC91" s="6"/>
    </row>
    <row r="92" ht="14.25" customHeight="1">
      <c r="A92" s="28"/>
      <c r="B92" s="28"/>
      <c r="C92" s="29"/>
      <c r="D92" s="30"/>
      <c r="E92" s="28"/>
      <c r="F92" s="19"/>
      <c r="G92" s="6"/>
      <c r="H92" s="6"/>
      <c r="I92" s="6"/>
      <c r="J92" s="6"/>
      <c r="K92" s="6"/>
      <c r="L92" s="6"/>
      <c r="M92" s="6"/>
      <c r="N92" s="6"/>
      <c r="O92" s="6"/>
      <c r="P92" s="6"/>
      <c r="Q92" s="6"/>
      <c r="R92" s="6"/>
      <c r="S92" s="6"/>
      <c r="T92" s="6"/>
      <c r="U92" s="6"/>
      <c r="V92" s="6"/>
      <c r="W92" s="6"/>
      <c r="X92" s="6"/>
      <c r="Y92" s="6"/>
      <c r="Z92" s="6"/>
      <c r="AA92" s="6"/>
      <c r="AB92" s="6"/>
      <c r="AC92" s="6"/>
    </row>
    <row r="93" ht="14.25" customHeight="1">
      <c r="A93" s="28"/>
      <c r="B93" s="28"/>
      <c r="C93" s="29"/>
      <c r="D93" s="30"/>
      <c r="E93" s="28"/>
      <c r="F93" s="19"/>
      <c r="G93" s="6"/>
      <c r="H93" s="6"/>
      <c r="I93" s="6"/>
      <c r="J93" s="6"/>
      <c r="K93" s="6"/>
      <c r="L93" s="6"/>
      <c r="M93" s="6"/>
      <c r="N93" s="6"/>
      <c r="O93" s="6"/>
      <c r="P93" s="6"/>
      <c r="Q93" s="6"/>
      <c r="R93" s="6"/>
      <c r="S93" s="6"/>
      <c r="T93" s="6"/>
      <c r="U93" s="6"/>
      <c r="V93" s="6"/>
      <c r="W93" s="6"/>
      <c r="X93" s="6"/>
      <c r="Y93" s="6"/>
      <c r="Z93" s="6"/>
      <c r="AA93" s="6"/>
      <c r="AB93" s="6"/>
      <c r="AC93" s="6"/>
    </row>
    <row r="94" ht="14.25" customHeight="1">
      <c r="A94" s="28"/>
      <c r="B94" s="28"/>
      <c r="C94" s="29"/>
      <c r="D94" s="30"/>
      <c r="E94" s="28"/>
      <c r="F94" s="19"/>
      <c r="G94" s="6"/>
      <c r="H94" s="6"/>
      <c r="I94" s="6"/>
      <c r="J94" s="6"/>
      <c r="K94" s="6"/>
      <c r="L94" s="6"/>
      <c r="M94" s="6"/>
      <c r="N94" s="6"/>
      <c r="O94" s="6"/>
      <c r="P94" s="6"/>
      <c r="Q94" s="6"/>
      <c r="R94" s="6"/>
      <c r="S94" s="6"/>
      <c r="T94" s="6"/>
      <c r="U94" s="6"/>
      <c r="V94" s="6"/>
      <c r="W94" s="6"/>
      <c r="X94" s="6"/>
      <c r="Y94" s="6"/>
      <c r="Z94" s="6"/>
      <c r="AA94" s="6"/>
      <c r="AB94" s="6"/>
      <c r="AC94" s="6"/>
    </row>
    <row r="95" ht="14.25" customHeight="1">
      <c r="A95" s="28"/>
      <c r="B95" s="28"/>
      <c r="C95" s="29"/>
      <c r="D95" s="30"/>
      <c r="E95" s="28"/>
      <c r="F95" s="19"/>
      <c r="G95" s="6"/>
      <c r="H95" s="6"/>
      <c r="I95" s="6"/>
      <c r="J95" s="6"/>
      <c r="K95" s="6"/>
      <c r="L95" s="6"/>
      <c r="M95" s="6"/>
      <c r="N95" s="6"/>
      <c r="O95" s="6"/>
      <c r="P95" s="6"/>
      <c r="Q95" s="6"/>
      <c r="R95" s="6"/>
      <c r="S95" s="6"/>
      <c r="T95" s="6"/>
      <c r="U95" s="6"/>
      <c r="V95" s="6"/>
      <c r="W95" s="6"/>
      <c r="X95" s="6"/>
      <c r="Y95" s="6"/>
      <c r="Z95" s="6"/>
      <c r="AA95" s="6"/>
      <c r="AB95" s="6"/>
      <c r="AC95" s="6"/>
    </row>
    <row r="96" ht="14.25" customHeight="1">
      <c r="A96" s="28"/>
      <c r="B96" s="28"/>
      <c r="C96" s="29"/>
      <c r="D96" s="30"/>
      <c r="E96" s="28"/>
      <c r="F96" s="19"/>
      <c r="G96" s="6"/>
      <c r="H96" s="6"/>
      <c r="I96" s="6"/>
      <c r="J96" s="6"/>
      <c r="K96" s="6"/>
      <c r="L96" s="6"/>
      <c r="M96" s="6"/>
      <c r="N96" s="6"/>
      <c r="O96" s="6"/>
      <c r="P96" s="6"/>
      <c r="Q96" s="6"/>
      <c r="R96" s="6"/>
      <c r="S96" s="6"/>
      <c r="T96" s="6"/>
      <c r="U96" s="6"/>
      <c r="V96" s="6"/>
      <c r="W96" s="6"/>
      <c r="X96" s="6"/>
      <c r="Y96" s="6"/>
      <c r="Z96" s="6"/>
      <c r="AA96" s="6"/>
      <c r="AB96" s="6"/>
      <c r="AC96" s="6"/>
    </row>
    <row r="97" ht="14.25" customHeight="1">
      <c r="A97" s="28"/>
      <c r="B97" s="28"/>
      <c r="C97" s="29"/>
      <c r="D97" s="30"/>
      <c r="E97" s="28"/>
      <c r="F97" s="19"/>
      <c r="G97" s="6"/>
      <c r="H97" s="6"/>
      <c r="I97" s="6"/>
      <c r="J97" s="6"/>
      <c r="K97" s="6"/>
      <c r="L97" s="6"/>
      <c r="M97" s="6"/>
      <c r="N97" s="6"/>
      <c r="O97" s="6"/>
      <c r="P97" s="6"/>
      <c r="Q97" s="6"/>
      <c r="R97" s="6"/>
      <c r="S97" s="6"/>
      <c r="T97" s="6"/>
      <c r="U97" s="6"/>
      <c r="V97" s="6"/>
      <c r="W97" s="6"/>
      <c r="X97" s="6"/>
      <c r="Y97" s="6"/>
      <c r="Z97" s="6"/>
      <c r="AA97" s="6"/>
      <c r="AB97" s="6"/>
      <c r="AC97" s="6"/>
    </row>
    <row r="98" ht="14.25" customHeight="1">
      <c r="A98" s="28"/>
      <c r="B98" s="28"/>
      <c r="C98" s="29"/>
      <c r="D98" s="30"/>
      <c r="E98" s="28"/>
      <c r="F98" s="19"/>
      <c r="G98" s="6"/>
      <c r="H98" s="6"/>
      <c r="I98" s="6"/>
      <c r="J98" s="6"/>
      <c r="K98" s="6"/>
      <c r="L98" s="6"/>
      <c r="M98" s="6"/>
      <c r="N98" s="6"/>
      <c r="O98" s="6"/>
      <c r="P98" s="6"/>
      <c r="Q98" s="6"/>
      <c r="R98" s="6"/>
      <c r="S98" s="6"/>
      <c r="T98" s="6"/>
      <c r="U98" s="6"/>
      <c r="V98" s="6"/>
      <c r="W98" s="6"/>
      <c r="X98" s="6"/>
      <c r="Y98" s="6"/>
      <c r="Z98" s="6"/>
      <c r="AA98" s="6"/>
      <c r="AB98" s="6"/>
      <c r="AC98" s="6"/>
    </row>
    <row r="99" ht="14.25" customHeight="1">
      <c r="A99" s="28"/>
      <c r="B99" s="28"/>
      <c r="C99" s="29"/>
      <c r="D99" s="30"/>
      <c r="E99" s="28"/>
      <c r="F99" s="19"/>
      <c r="G99" s="6"/>
      <c r="H99" s="6"/>
      <c r="I99" s="6"/>
      <c r="J99" s="6"/>
      <c r="K99" s="6"/>
      <c r="L99" s="6"/>
      <c r="M99" s="6"/>
      <c r="N99" s="6"/>
      <c r="O99" s="6"/>
      <c r="P99" s="6"/>
      <c r="Q99" s="6"/>
      <c r="R99" s="6"/>
      <c r="S99" s="6"/>
      <c r="T99" s="6"/>
      <c r="U99" s="6"/>
      <c r="V99" s="6"/>
      <c r="W99" s="6"/>
      <c r="X99" s="6"/>
      <c r="Y99" s="6"/>
      <c r="Z99" s="6"/>
      <c r="AA99" s="6"/>
      <c r="AB99" s="6"/>
      <c r="AC99" s="6"/>
    </row>
    <row r="100" ht="14.25" customHeight="1">
      <c r="A100" s="28"/>
      <c r="B100" s="28"/>
      <c r="C100" s="29"/>
      <c r="D100" s="30"/>
      <c r="E100" s="28"/>
      <c r="F100" s="19"/>
      <c r="G100" s="6"/>
      <c r="H100" s="6"/>
      <c r="I100" s="6"/>
      <c r="J100" s="6"/>
      <c r="K100" s="6"/>
      <c r="L100" s="6"/>
      <c r="M100" s="6"/>
      <c r="N100" s="6"/>
      <c r="O100" s="6"/>
      <c r="P100" s="6"/>
      <c r="Q100" s="6"/>
      <c r="R100" s="6"/>
      <c r="S100" s="6"/>
      <c r="T100" s="6"/>
      <c r="U100" s="6"/>
      <c r="V100" s="6"/>
      <c r="W100" s="6"/>
      <c r="X100" s="6"/>
      <c r="Y100" s="6"/>
      <c r="Z100" s="6"/>
      <c r="AA100" s="6"/>
      <c r="AB100" s="6"/>
      <c r="AC100" s="6"/>
    </row>
    <row r="101" ht="14.25" customHeight="1">
      <c r="A101" s="28"/>
      <c r="B101" s="28"/>
      <c r="C101" s="29"/>
      <c r="D101" s="30"/>
      <c r="E101" s="28"/>
      <c r="F101" s="19"/>
      <c r="G101" s="6"/>
      <c r="H101" s="6"/>
      <c r="I101" s="6"/>
      <c r="J101" s="6"/>
      <c r="K101" s="6"/>
      <c r="L101" s="6"/>
      <c r="M101" s="6"/>
      <c r="N101" s="6"/>
      <c r="O101" s="6"/>
      <c r="P101" s="6"/>
      <c r="Q101" s="6"/>
      <c r="R101" s="6"/>
      <c r="S101" s="6"/>
      <c r="T101" s="6"/>
      <c r="U101" s="6"/>
      <c r="V101" s="6"/>
      <c r="W101" s="6"/>
      <c r="X101" s="6"/>
      <c r="Y101" s="6"/>
      <c r="Z101" s="6"/>
      <c r="AA101" s="6"/>
      <c r="AB101" s="6"/>
      <c r="AC101" s="6"/>
    </row>
    <row r="102" ht="14.25" customHeight="1">
      <c r="A102" s="28"/>
      <c r="B102" s="28"/>
      <c r="C102" s="29"/>
      <c r="D102" s="30"/>
      <c r="E102" s="28"/>
      <c r="F102" s="19"/>
      <c r="G102" s="6"/>
      <c r="H102" s="6"/>
      <c r="I102" s="6"/>
      <c r="J102" s="6"/>
      <c r="K102" s="6"/>
      <c r="L102" s="6"/>
      <c r="M102" s="6"/>
      <c r="N102" s="6"/>
      <c r="O102" s="6"/>
      <c r="P102" s="6"/>
      <c r="Q102" s="6"/>
      <c r="R102" s="6"/>
      <c r="S102" s="6"/>
      <c r="T102" s="6"/>
      <c r="U102" s="6"/>
      <c r="V102" s="6"/>
      <c r="W102" s="6"/>
      <c r="X102" s="6"/>
      <c r="Y102" s="6"/>
      <c r="Z102" s="6"/>
      <c r="AA102" s="6"/>
      <c r="AB102" s="6"/>
      <c r="AC102" s="6"/>
    </row>
    <row r="103" ht="14.25" customHeight="1">
      <c r="A103" s="28"/>
      <c r="B103" s="28"/>
      <c r="C103" s="29"/>
      <c r="D103" s="30"/>
      <c r="E103" s="28"/>
      <c r="F103" s="19"/>
      <c r="G103" s="6"/>
      <c r="H103" s="6"/>
      <c r="I103" s="6"/>
      <c r="J103" s="6"/>
      <c r="K103" s="6"/>
      <c r="L103" s="6"/>
      <c r="M103" s="6"/>
      <c r="N103" s="6"/>
      <c r="O103" s="6"/>
      <c r="P103" s="6"/>
      <c r="Q103" s="6"/>
      <c r="R103" s="6"/>
      <c r="S103" s="6"/>
      <c r="T103" s="6"/>
      <c r="U103" s="6"/>
      <c r="V103" s="6"/>
      <c r="W103" s="6"/>
      <c r="X103" s="6"/>
      <c r="Y103" s="6"/>
      <c r="Z103" s="6"/>
      <c r="AA103" s="6"/>
      <c r="AB103" s="6"/>
      <c r="AC103" s="6"/>
    </row>
    <row r="104" ht="14.25" customHeight="1">
      <c r="A104" s="28"/>
      <c r="B104" s="28"/>
      <c r="C104" s="29"/>
      <c r="D104" s="30"/>
      <c r="E104" s="28"/>
      <c r="F104" s="19"/>
      <c r="G104" s="6"/>
      <c r="H104" s="6"/>
      <c r="I104" s="6"/>
      <c r="J104" s="6"/>
      <c r="K104" s="6"/>
      <c r="L104" s="6"/>
      <c r="M104" s="6"/>
      <c r="N104" s="6"/>
      <c r="O104" s="6"/>
      <c r="P104" s="6"/>
      <c r="Q104" s="6"/>
      <c r="R104" s="6"/>
      <c r="S104" s="6"/>
      <c r="T104" s="6"/>
      <c r="U104" s="6"/>
      <c r="V104" s="6"/>
      <c r="W104" s="6"/>
      <c r="X104" s="6"/>
      <c r="Y104" s="6"/>
      <c r="Z104" s="6"/>
      <c r="AA104" s="6"/>
      <c r="AB104" s="6"/>
      <c r="AC104" s="6"/>
    </row>
    <row r="105" ht="14.25" customHeight="1">
      <c r="A105" s="28"/>
      <c r="B105" s="28"/>
      <c r="C105" s="29"/>
      <c r="D105" s="30"/>
      <c r="E105" s="28"/>
      <c r="F105" s="19"/>
      <c r="G105" s="6"/>
      <c r="H105" s="6"/>
      <c r="I105" s="6"/>
      <c r="J105" s="6"/>
      <c r="K105" s="6"/>
      <c r="L105" s="6"/>
      <c r="M105" s="6"/>
      <c r="N105" s="6"/>
      <c r="O105" s="6"/>
      <c r="P105" s="6"/>
      <c r="Q105" s="6"/>
      <c r="R105" s="6"/>
      <c r="S105" s="6"/>
      <c r="T105" s="6"/>
      <c r="U105" s="6"/>
      <c r="V105" s="6"/>
      <c r="W105" s="6"/>
      <c r="X105" s="6"/>
      <c r="Y105" s="6"/>
      <c r="Z105" s="6"/>
      <c r="AA105" s="6"/>
      <c r="AB105" s="6"/>
      <c r="AC105" s="6"/>
    </row>
    <row r="106" ht="14.25" customHeight="1">
      <c r="A106" s="28"/>
      <c r="B106" s="28"/>
      <c r="C106" s="29"/>
      <c r="D106" s="30"/>
      <c r="E106" s="28"/>
      <c r="F106" s="19"/>
      <c r="G106" s="6"/>
      <c r="H106" s="6"/>
      <c r="I106" s="6"/>
      <c r="J106" s="6"/>
      <c r="K106" s="6"/>
      <c r="L106" s="6"/>
      <c r="M106" s="6"/>
      <c r="N106" s="6"/>
      <c r="O106" s="6"/>
      <c r="P106" s="6"/>
      <c r="Q106" s="6"/>
      <c r="R106" s="6"/>
      <c r="S106" s="6"/>
      <c r="T106" s="6"/>
      <c r="U106" s="6"/>
      <c r="V106" s="6"/>
      <c r="W106" s="6"/>
      <c r="X106" s="6"/>
      <c r="Y106" s="6"/>
      <c r="Z106" s="6"/>
      <c r="AA106" s="6"/>
      <c r="AB106" s="6"/>
      <c r="AC106" s="6"/>
    </row>
    <row r="107" ht="14.25" customHeight="1">
      <c r="A107" s="28"/>
      <c r="B107" s="28"/>
      <c r="C107" s="29"/>
      <c r="D107" s="30"/>
      <c r="E107" s="28"/>
      <c r="F107" s="19"/>
      <c r="G107" s="6"/>
      <c r="H107" s="6"/>
      <c r="I107" s="6"/>
      <c r="J107" s="6"/>
      <c r="K107" s="6"/>
      <c r="L107" s="6"/>
      <c r="M107" s="6"/>
      <c r="N107" s="6"/>
      <c r="O107" s="6"/>
      <c r="P107" s="6"/>
      <c r="Q107" s="6"/>
      <c r="R107" s="6"/>
      <c r="S107" s="6"/>
      <c r="T107" s="6"/>
      <c r="U107" s="6"/>
      <c r="V107" s="6"/>
      <c r="W107" s="6"/>
      <c r="X107" s="6"/>
      <c r="Y107" s="6"/>
      <c r="Z107" s="6"/>
      <c r="AA107" s="6"/>
      <c r="AB107" s="6"/>
      <c r="AC107" s="6"/>
    </row>
    <row r="108" ht="14.25" customHeight="1">
      <c r="A108" s="28"/>
      <c r="B108" s="28"/>
      <c r="C108" s="29"/>
      <c r="D108" s="30"/>
      <c r="E108" s="28"/>
      <c r="F108" s="19"/>
      <c r="G108" s="6"/>
      <c r="H108" s="6"/>
      <c r="I108" s="6"/>
      <c r="J108" s="6"/>
      <c r="K108" s="6"/>
      <c r="L108" s="6"/>
      <c r="M108" s="6"/>
      <c r="N108" s="6"/>
      <c r="O108" s="6"/>
      <c r="P108" s="6"/>
      <c r="Q108" s="6"/>
      <c r="R108" s="6"/>
      <c r="S108" s="6"/>
      <c r="T108" s="6"/>
      <c r="U108" s="6"/>
      <c r="V108" s="6"/>
      <c r="W108" s="6"/>
      <c r="X108" s="6"/>
      <c r="Y108" s="6"/>
      <c r="Z108" s="6"/>
      <c r="AA108" s="6"/>
      <c r="AB108" s="6"/>
      <c r="AC108" s="6"/>
    </row>
    <row r="109" ht="14.25" customHeight="1">
      <c r="A109" s="28"/>
      <c r="B109" s="28"/>
      <c r="C109" s="29"/>
      <c r="D109" s="30"/>
      <c r="E109" s="28"/>
      <c r="F109" s="19"/>
      <c r="G109" s="6"/>
      <c r="H109" s="6"/>
      <c r="I109" s="6"/>
      <c r="J109" s="6"/>
      <c r="K109" s="6"/>
      <c r="L109" s="6"/>
      <c r="M109" s="6"/>
      <c r="N109" s="6"/>
      <c r="O109" s="6"/>
      <c r="P109" s="6"/>
      <c r="Q109" s="6"/>
      <c r="R109" s="6"/>
      <c r="S109" s="6"/>
      <c r="T109" s="6"/>
      <c r="U109" s="6"/>
      <c r="V109" s="6"/>
      <c r="W109" s="6"/>
      <c r="X109" s="6"/>
      <c r="Y109" s="6"/>
      <c r="Z109" s="6"/>
      <c r="AA109" s="6"/>
      <c r="AB109" s="6"/>
      <c r="AC109" s="6"/>
    </row>
    <row r="110" ht="14.25" customHeight="1">
      <c r="A110" s="28"/>
      <c r="B110" s="28"/>
      <c r="C110" s="29"/>
      <c r="D110" s="30"/>
      <c r="E110" s="28"/>
      <c r="F110" s="19"/>
      <c r="G110" s="6"/>
      <c r="H110" s="6"/>
      <c r="I110" s="6"/>
      <c r="J110" s="6"/>
      <c r="K110" s="6"/>
      <c r="L110" s="6"/>
      <c r="M110" s="6"/>
      <c r="N110" s="6"/>
      <c r="O110" s="6"/>
      <c r="P110" s="6"/>
      <c r="Q110" s="6"/>
      <c r="R110" s="6"/>
      <c r="S110" s="6"/>
      <c r="T110" s="6"/>
      <c r="U110" s="6"/>
      <c r="V110" s="6"/>
      <c r="W110" s="6"/>
      <c r="X110" s="6"/>
      <c r="Y110" s="6"/>
      <c r="Z110" s="6"/>
      <c r="AA110" s="6"/>
      <c r="AB110" s="6"/>
      <c r="AC110" s="6"/>
    </row>
    <row r="111" ht="14.25" customHeight="1">
      <c r="A111" s="28"/>
      <c r="B111" s="28"/>
      <c r="C111" s="29"/>
      <c r="D111" s="30"/>
      <c r="E111" s="28"/>
      <c r="F111" s="19"/>
      <c r="G111" s="6"/>
      <c r="H111" s="6"/>
      <c r="I111" s="6"/>
      <c r="J111" s="6"/>
      <c r="K111" s="6"/>
      <c r="L111" s="6"/>
      <c r="M111" s="6"/>
      <c r="N111" s="6"/>
      <c r="O111" s="6"/>
      <c r="P111" s="6"/>
      <c r="Q111" s="6"/>
      <c r="R111" s="6"/>
      <c r="S111" s="6"/>
      <c r="T111" s="6"/>
      <c r="U111" s="6"/>
      <c r="V111" s="6"/>
      <c r="W111" s="6"/>
      <c r="X111" s="6"/>
      <c r="Y111" s="6"/>
      <c r="Z111" s="6"/>
      <c r="AA111" s="6"/>
      <c r="AB111" s="6"/>
      <c r="AC111" s="6"/>
    </row>
    <row r="112" ht="14.25" customHeight="1">
      <c r="A112" s="28"/>
      <c r="B112" s="28"/>
      <c r="C112" s="29"/>
      <c r="D112" s="30"/>
      <c r="E112" s="28"/>
      <c r="F112" s="19"/>
      <c r="G112" s="6"/>
      <c r="H112" s="6"/>
      <c r="I112" s="6"/>
      <c r="J112" s="6"/>
      <c r="K112" s="6"/>
      <c r="L112" s="6"/>
      <c r="M112" s="6"/>
      <c r="N112" s="6"/>
      <c r="O112" s="6"/>
      <c r="P112" s="6"/>
      <c r="Q112" s="6"/>
      <c r="R112" s="6"/>
      <c r="S112" s="6"/>
      <c r="T112" s="6"/>
      <c r="U112" s="6"/>
      <c r="V112" s="6"/>
      <c r="W112" s="6"/>
      <c r="X112" s="6"/>
      <c r="Y112" s="6"/>
      <c r="Z112" s="6"/>
      <c r="AA112" s="6"/>
      <c r="AB112" s="6"/>
      <c r="AC112" s="6"/>
    </row>
    <row r="113" ht="14.25" customHeight="1">
      <c r="A113" s="28"/>
      <c r="B113" s="28"/>
      <c r="C113" s="29"/>
      <c r="D113" s="30"/>
      <c r="E113" s="28"/>
      <c r="F113" s="19"/>
      <c r="G113" s="6"/>
      <c r="H113" s="6"/>
      <c r="I113" s="6"/>
      <c r="J113" s="6"/>
      <c r="K113" s="6"/>
      <c r="L113" s="6"/>
      <c r="M113" s="6"/>
      <c r="N113" s="6"/>
      <c r="O113" s="6"/>
      <c r="P113" s="6"/>
      <c r="Q113" s="6"/>
      <c r="R113" s="6"/>
      <c r="S113" s="6"/>
      <c r="T113" s="6"/>
      <c r="U113" s="6"/>
      <c r="V113" s="6"/>
      <c r="W113" s="6"/>
      <c r="X113" s="6"/>
      <c r="Y113" s="6"/>
      <c r="Z113" s="6"/>
      <c r="AA113" s="6"/>
      <c r="AB113" s="6"/>
      <c r="AC113" s="6"/>
    </row>
    <row r="114" ht="14.25" customHeight="1">
      <c r="A114" s="28"/>
      <c r="B114" s="28"/>
      <c r="C114" s="29"/>
      <c r="D114" s="30"/>
      <c r="E114" s="28"/>
      <c r="F114" s="19"/>
      <c r="G114" s="6"/>
      <c r="H114" s="6"/>
      <c r="I114" s="6"/>
      <c r="J114" s="6"/>
      <c r="K114" s="6"/>
      <c r="L114" s="6"/>
      <c r="M114" s="6"/>
      <c r="N114" s="6"/>
      <c r="O114" s="6"/>
      <c r="P114" s="6"/>
      <c r="Q114" s="6"/>
      <c r="R114" s="6"/>
      <c r="S114" s="6"/>
      <c r="T114" s="6"/>
      <c r="U114" s="6"/>
      <c r="V114" s="6"/>
      <c r="W114" s="6"/>
      <c r="X114" s="6"/>
      <c r="Y114" s="6"/>
      <c r="Z114" s="6"/>
      <c r="AA114" s="6"/>
      <c r="AB114" s="6"/>
      <c r="AC114" s="6"/>
    </row>
    <row r="115" ht="14.25" customHeight="1">
      <c r="A115" s="28"/>
      <c r="B115" s="28"/>
      <c r="C115" s="29"/>
      <c r="D115" s="30"/>
      <c r="E115" s="28"/>
      <c r="F115" s="19"/>
      <c r="G115" s="6"/>
      <c r="H115" s="6"/>
      <c r="I115" s="6"/>
      <c r="J115" s="6"/>
      <c r="K115" s="6"/>
      <c r="L115" s="6"/>
      <c r="M115" s="6"/>
      <c r="N115" s="6"/>
      <c r="O115" s="6"/>
      <c r="P115" s="6"/>
      <c r="Q115" s="6"/>
      <c r="R115" s="6"/>
      <c r="S115" s="6"/>
      <c r="T115" s="6"/>
      <c r="U115" s="6"/>
      <c r="V115" s="6"/>
      <c r="W115" s="6"/>
      <c r="X115" s="6"/>
      <c r="Y115" s="6"/>
      <c r="Z115" s="6"/>
      <c r="AA115" s="6"/>
      <c r="AB115" s="6"/>
      <c r="AC115" s="6"/>
    </row>
    <row r="116" ht="14.25" customHeight="1">
      <c r="A116" s="28"/>
      <c r="B116" s="28"/>
      <c r="C116" s="29"/>
      <c r="D116" s="30"/>
      <c r="E116" s="28"/>
      <c r="F116" s="19"/>
      <c r="G116" s="6"/>
      <c r="H116" s="6"/>
      <c r="I116" s="6"/>
      <c r="J116" s="6"/>
      <c r="K116" s="6"/>
      <c r="L116" s="6"/>
      <c r="M116" s="6"/>
      <c r="N116" s="6"/>
      <c r="O116" s="6"/>
      <c r="P116" s="6"/>
      <c r="Q116" s="6"/>
      <c r="R116" s="6"/>
      <c r="S116" s="6"/>
      <c r="T116" s="6"/>
      <c r="U116" s="6"/>
      <c r="V116" s="6"/>
      <c r="W116" s="6"/>
      <c r="X116" s="6"/>
      <c r="Y116" s="6"/>
      <c r="Z116" s="6"/>
      <c r="AA116" s="6"/>
      <c r="AB116" s="6"/>
      <c r="AC116" s="6"/>
    </row>
    <row r="117" ht="14.25" customHeight="1">
      <c r="A117" s="28"/>
      <c r="B117" s="28"/>
      <c r="C117" s="29"/>
      <c r="D117" s="30"/>
      <c r="E117" s="28"/>
      <c r="F117" s="19"/>
      <c r="G117" s="6"/>
      <c r="H117" s="6"/>
      <c r="I117" s="6"/>
      <c r="J117" s="6"/>
      <c r="K117" s="6"/>
      <c r="L117" s="6"/>
      <c r="M117" s="6"/>
      <c r="N117" s="6"/>
      <c r="O117" s="6"/>
      <c r="P117" s="6"/>
      <c r="Q117" s="6"/>
      <c r="R117" s="6"/>
      <c r="S117" s="6"/>
      <c r="T117" s="6"/>
      <c r="U117" s="6"/>
      <c r="V117" s="6"/>
      <c r="W117" s="6"/>
      <c r="X117" s="6"/>
      <c r="Y117" s="6"/>
      <c r="Z117" s="6"/>
      <c r="AA117" s="6"/>
      <c r="AB117" s="6"/>
      <c r="AC117" s="6"/>
    </row>
    <row r="118" ht="14.25" customHeight="1">
      <c r="A118" s="28"/>
      <c r="B118" s="28"/>
      <c r="C118" s="29"/>
      <c r="D118" s="30"/>
      <c r="E118" s="28"/>
      <c r="F118" s="19"/>
      <c r="G118" s="6"/>
      <c r="H118" s="6"/>
      <c r="I118" s="6"/>
      <c r="J118" s="6"/>
      <c r="K118" s="6"/>
      <c r="L118" s="6"/>
      <c r="M118" s="6"/>
      <c r="N118" s="6"/>
      <c r="O118" s="6"/>
      <c r="P118" s="6"/>
      <c r="Q118" s="6"/>
      <c r="R118" s="6"/>
      <c r="S118" s="6"/>
      <c r="T118" s="6"/>
      <c r="U118" s="6"/>
      <c r="V118" s="6"/>
      <c r="W118" s="6"/>
      <c r="X118" s="6"/>
      <c r="Y118" s="6"/>
      <c r="Z118" s="6"/>
      <c r="AA118" s="6"/>
      <c r="AB118" s="6"/>
      <c r="AC118" s="6"/>
    </row>
    <row r="119" ht="14.25" customHeight="1">
      <c r="A119" s="28"/>
      <c r="B119" s="28"/>
      <c r="C119" s="29"/>
      <c r="D119" s="30"/>
      <c r="E119" s="28"/>
      <c r="F119" s="19"/>
      <c r="G119" s="6"/>
      <c r="H119" s="6"/>
      <c r="I119" s="6"/>
      <c r="J119" s="6"/>
      <c r="K119" s="6"/>
      <c r="L119" s="6"/>
      <c r="M119" s="6"/>
      <c r="N119" s="6"/>
      <c r="O119" s="6"/>
      <c r="P119" s="6"/>
      <c r="Q119" s="6"/>
      <c r="R119" s="6"/>
      <c r="S119" s="6"/>
      <c r="T119" s="6"/>
      <c r="U119" s="6"/>
      <c r="V119" s="6"/>
      <c r="W119" s="6"/>
      <c r="X119" s="6"/>
      <c r="Y119" s="6"/>
      <c r="Z119" s="6"/>
      <c r="AA119" s="6"/>
      <c r="AB119" s="6"/>
      <c r="AC119" s="6"/>
    </row>
    <row r="120" ht="14.25" customHeight="1">
      <c r="A120" s="28"/>
      <c r="B120" s="28"/>
      <c r="C120" s="29"/>
      <c r="D120" s="30"/>
      <c r="E120" s="28"/>
      <c r="F120" s="19"/>
      <c r="G120" s="6"/>
      <c r="H120" s="6"/>
      <c r="I120" s="6"/>
      <c r="J120" s="6"/>
      <c r="K120" s="6"/>
      <c r="L120" s="6"/>
      <c r="M120" s="6"/>
      <c r="N120" s="6"/>
      <c r="O120" s="6"/>
      <c r="P120" s="6"/>
      <c r="Q120" s="6"/>
      <c r="R120" s="6"/>
      <c r="S120" s="6"/>
      <c r="T120" s="6"/>
      <c r="U120" s="6"/>
      <c r="V120" s="6"/>
      <c r="W120" s="6"/>
      <c r="X120" s="6"/>
      <c r="Y120" s="6"/>
      <c r="Z120" s="6"/>
      <c r="AA120" s="6"/>
      <c r="AB120" s="6"/>
      <c r="AC120" s="6"/>
    </row>
    <row r="121" ht="14.25" customHeight="1">
      <c r="A121" s="28"/>
      <c r="B121" s="28"/>
      <c r="C121" s="29"/>
      <c r="D121" s="30"/>
      <c r="E121" s="28"/>
      <c r="F121" s="19"/>
      <c r="G121" s="6"/>
      <c r="H121" s="6"/>
      <c r="I121" s="6"/>
      <c r="J121" s="6"/>
      <c r="K121" s="6"/>
      <c r="L121" s="6"/>
      <c r="M121" s="6"/>
      <c r="N121" s="6"/>
      <c r="O121" s="6"/>
      <c r="P121" s="6"/>
      <c r="Q121" s="6"/>
      <c r="R121" s="6"/>
      <c r="S121" s="6"/>
      <c r="T121" s="6"/>
      <c r="U121" s="6"/>
      <c r="V121" s="6"/>
      <c r="W121" s="6"/>
      <c r="X121" s="6"/>
      <c r="Y121" s="6"/>
      <c r="Z121" s="6"/>
      <c r="AA121" s="6"/>
      <c r="AB121" s="6"/>
      <c r="AC121" s="6"/>
    </row>
    <row r="122" ht="14.25" customHeight="1">
      <c r="A122" s="28"/>
      <c r="B122" s="28"/>
      <c r="C122" s="29"/>
      <c r="D122" s="30"/>
      <c r="E122" s="28"/>
      <c r="F122" s="19"/>
      <c r="G122" s="6"/>
      <c r="H122" s="6"/>
      <c r="I122" s="6"/>
      <c r="J122" s="6"/>
      <c r="K122" s="6"/>
      <c r="L122" s="6"/>
      <c r="M122" s="6"/>
      <c r="N122" s="6"/>
      <c r="O122" s="6"/>
      <c r="P122" s="6"/>
      <c r="Q122" s="6"/>
      <c r="R122" s="6"/>
      <c r="S122" s="6"/>
      <c r="T122" s="6"/>
      <c r="U122" s="6"/>
      <c r="V122" s="6"/>
      <c r="W122" s="6"/>
      <c r="X122" s="6"/>
      <c r="Y122" s="6"/>
      <c r="Z122" s="6"/>
      <c r="AA122" s="6"/>
      <c r="AB122" s="6"/>
      <c r="AC122" s="6"/>
    </row>
    <row r="123" ht="14.25" customHeight="1">
      <c r="A123" s="28"/>
      <c r="B123" s="28"/>
      <c r="C123" s="29"/>
      <c r="D123" s="30"/>
      <c r="E123" s="28"/>
      <c r="F123" s="19"/>
      <c r="G123" s="6"/>
      <c r="H123" s="6"/>
      <c r="I123" s="6"/>
      <c r="J123" s="6"/>
      <c r="K123" s="6"/>
      <c r="L123" s="6"/>
      <c r="M123" s="6"/>
      <c r="N123" s="6"/>
      <c r="O123" s="6"/>
      <c r="P123" s="6"/>
      <c r="Q123" s="6"/>
      <c r="R123" s="6"/>
      <c r="S123" s="6"/>
      <c r="T123" s="6"/>
      <c r="U123" s="6"/>
      <c r="V123" s="6"/>
      <c r="W123" s="6"/>
      <c r="X123" s="6"/>
      <c r="Y123" s="6"/>
      <c r="Z123" s="6"/>
      <c r="AA123" s="6"/>
      <c r="AB123" s="6"/>
      <c r="AC123" s="6"/>
    </row>
    <row r="124" ht="14.25" customHeight="1">
      <c r="A124" s="28"/>
      <c r="B124" s="28"/>
      <c r="C124" s="29"/>
      <c r="D124" s="30"/>
      <c r="E124" s="28"/>
      <c r="F124" s="19"/>
      <c r="G124" s="6"/>
      <c r="H124" s="6"/>
      <c r="I124" s="6"/>
      <c r="J124" s="6"/>
      <c r="K124" s="6"/>
      <c r="L124" s="6"/>
      <c r="M124" s="6"/>
      <c r="N124" s="6"/>
      <c r="O124" s="6"/>
      <c r="P124" s="6"/>
      <c r="Q124" s="6"/>
      <c r="R124" s="6"/>
      <c r="S124" s="6"/>
      <c r="T124" s="6"/>
      <c r="U124" s="6"/>
      <c r="V124" s="6"/>
      <c r="W124" s="6"/>
      <c r="X124" s="6"/>
      <c r="Y124" s="6"/>
      <c r="Z124" s="6"/>
      <c r="AA124" s="6"/>
      <c r="AB124" s="6"/>
      <c r="AC124" s="6"/>
    </row>
    <row r="125" ht="14.25" customHeight="1">
      <c r="A125" s="28"/>
      <c r="B125" s="28"/>
      <c r="C125" s="29"/>
      <c r="D125" s="30"/>
      <c r="E125" s="28"/>
      <c r="F125" s="19"/>
      <c r="G125" s="6"/>
      <c r="H125" s="6"/>
      <c r="I125" s="6"/>
      <c r="J125" s="6"/>
      <c r="K125" s="6"/>
      <c r="L125" s="6"/>
      <c r="M125" s="6"/>
      <c r="N125" s="6"/>
      <c r="O125" s="6"/>
      <c r="P125" s="6"/>
      <c r="Q125" s="6"/>
      <c r="R125" s="6"/>
      <c r="S125" s="6"/>
      <c r="T125" s="6"/>
      <c r="U125" s="6"/>
      <c r="V125" s="6"/>
      <c r="W125" s="6"/>
      <c r="X125" s="6"/>
      <c r="Y125" s="6"/>
      <c r="Z125" s="6"/>
      <c r="AA125" s="6"/>
      <c r="AB125" s="6"/>
      <c r="AC125" s="6"/>
    </row>
    <row r="126" ht="14.25" customHeight="1">
      <c r="A126" s="28"/>
      <c r="B126" s="28"/>
      <c r="C126" s="29"/>
      <c r="D126" s="30"/>
      <c r="E126" s="28"/>
      <c r="F126" s="19"/>
      <c r="G126" s="6"/>
      <c r="H126" s="6"/>
      <c r="I126" s="6"/>
      <c r="J126" s="6"/>
      <c r="K126" s="6"/>
      <c r="L126" s="6"/>
      <c r="M126" s="6"/>
      <c r="N126" s="6"/>
      <c r="O126" s="6"/>
      <c r="P126" s="6"/>
      <c r="Q126" s="6"/>
      <c r="R126" s="6"/>
      <c r="S126" s="6"/>
      <c r="T126" s="6"/>
      <c r="U126" s="6"/>
      <c r="V126" s="6"/>
      <c r="W126" s="6"/>
      <c r="X126" s="6"/>
      <c r="Y126" s="6"/>
      <c r="Z126" s="6"/>
      <c r="AA126" s="6"/>
      <c r="AB126" s="6"/>
      <c r="AC126" s="6"/>
    </row>
    <row r="127" ht="14.25" customHeight="1">
      <c r="A127" s="28"/>
      <c r="B127" s="28"/>
      <c r="C127" s="29"/>
      <c r="D127" s="30"/>
      <c r="E127" s="28"/>
      <c r="F127" s="19"/>
      <c r="G127" s="6"/>
      <c r="H127" s="6"/>
      <c r="I127" s="6"/>
      <c r="J127" s="6"/>
      <c r="K127" s="6"/>
      <c r="L127" s="6"/>
      <c r="M127" s="6"/>
      <c r="N127" s="6"/>
      <c r="O127" s="6"/>
      <c r="P127" s="6"/>
      <c r="Q127" s="6"/>
      <c r="R127" s="6"/>
      <c r="S127" s="6"/>
      <c r="T127" s="6"/>
      <c r="U127" s="6"/>
      <c r="V127" s="6"/>
      <c r="W127" s="6"/>
      <c r="X127" s="6"/>
      <c r="Y127" s="6"/>
      <c r="Z127" s="6"/>
      <c r="AA127" s="6"/>
      <c r="AB127" s="6"/>
      <c r="AC127" s="6"/>
    </row>
    <row r="128" ht="14.25" customHeight="1">
      <c r="A128" s="28"/>
      <c r="B128" s="28"/>
      <c r="C128" s="29"/>
      <c r="D128" s="30"/>
      <c r="E128" s="28"/>
      <c r="F128" s="19"/>
      <c r="G128" s="6"/>
      <c r="H128" s="6"/>
      <c r="I128" s="6"/>
      <c r="J128" s="6"/>
      <c r="K128" s="6"/>
      <c r="L128" s="6"/>
      <c r="M128" s="6"/>
      <c r="N128" s="6"/>
      <c r="O128" s="6"/>
      <c r="P128" s="6"/>
      <c r="Q128" s="6"/>
      <c r="R128" s="6"/>
      <c r="S128" s="6"/>
      <c r="T128" s="6"/>
      <c r="U128" s="6"/>
      <c r="V128" s="6"/>
      <c r="W128" s="6"/>
      <c r="X128" s="6"/>
      <c r="Y128" s="6"/>
      <c r="Z128" s="6"/>
      <c r="AA128" s="6"/>
      <c r="AB128" s="6"/>
      <c r="AC128" s="6"/>
    </row>
    <row r="129" ht="14.25" customHeight="1">
      <c r="A129" s="28"/>
      <c r="B129" s="28"/>
      <c r="C129" s="29"/>
      <c r="D129" s="30"/>
      <c r="E129" s="28"/>
      <c r="F129" s="19"/>
      <c r="G129" s="6"/>
      <c r="H129" s="6"/>
      <c r="I129" s="6"/>
      <c r="J129" s="6"/>
      <c r="K129" s="6"/>
      <c r="L129" s="6"/>
      <c r="M129" s="6"/>
      <c r="N129" s="6"/>
      <c r="O129" s="6"/>
      <c r="P129" s="6"/>
      <c r="Q129" s="6"/>
      <c r="R129" s="6"/>
      <c r="S129" s="6"/>
      <c r="T129" s="6"/>
      <c r="U129" s="6"/>
      <c r="V129" s="6"/>
      <c r="W129" s="6"/>
      <c r="X129" s="6"/>
      <c r="Y129" s="6"/>
      <c r="Z129" s="6"/>
      <c r="AA129" s="6"/>
      <c r="AB129" s="6"/>
      <c r="AC129" s="6"/>
    </row>
    <row r="130" ht="14.25" customHeight="1">
      <c r="A130" s="28"/>
      <c r="B130" s="28"/>
      <c r="C130" s="29"/>
      <c r="D130" s="30"/>
      <c r="E130" s="28"/>
      <c r="F130" s="19"/>
      <c r="G130" s="6"/>
      <c r="H130" s="6"/>
      <c r="I130" s="6"/>
      <c r="J130" s="6"/>
      <c r="K130" s="6"/>
      <c r="L130" s="6"/>
      <c r="M130" s="6"/>
      <c r="N130" s="6"/>
      <c r="O130" s="6"/>
      <c r="P130" s="6"/>
      <c r="Q130" s="6"/>
      <c r="R130" s="6"/>
      <c r="S130" s="6"/>
      <c r="T130" s="6"/>
      <c r="U130" s="6"/>
      <c r="V130" s="6"/>
      <c r="W130" s="6"/>
      <c r="X130" s="6"/>
      <c r="Y130" s="6"/>
      <c r="Z130" s="6"/>
      <c r="AA130" s="6"/>
      <c r="AB130" s="6"/>
      <c r="AC130" s="6"/>
    </row>
    <row r="131" ht="14.25" customHeight="1">
      <c r="A131" s="28"/>
      <c r="B131" s="28"/>
      <c r="C131" s="29"/>
      <c r="D131" s="30"/>
      <c r="E131" s="28"/>
      <c r="F131" s="19"/>
      <c r="G131" s="6"/>
      <c r="H131" s="6"/>
      <c r="I131" s="6"/>
      <c r="J131" s="6"/>
      <c r="K131" s="6"/>
      <c r="L131" s="6"/>
      <c r="M131" s="6"/>
      <c r="N131" s="6"/>
      <c r="O131" s="6"/>
      <c r="P131" s="6"/>
      <c r="Q131" s="6"/>
      <c r="R131" s="6"/>
      <c r="S131" s="6"/>
      <c r="T131" s="6"/>
      <c r="U131" s="6"/>
      <c r="V131" s="6"/>
      <c r="W131" s="6"/>
      <c r="X131" s="6"/>
      <c r="Y131" s="6"/>
      <c r="Z131" s="6"/>
      <c r="AA131" s="6"/>
      <c r="AB131" s="6"/>
      <c r="AC131" s="6"/>
    </row>
    <row r="132" ht="14.25" customHeight="1">
      <c r="A132" s="28"/>
      <c r="B132" s="28"/>
      <c r="C132" s="29"/>
      <c r="D132" s="30"/>
      <c r="E132" s="28"/>
      <c r="F132" s="19"/>
      <c r="G132" s="6"/>
      <c r="H132" s="6"/>
      <c r="I132" s="6"/>
      <c r="J132" s="6"/>
      <c r="K132" s="6"/>
      <c r="L132" s="6"/>
      <c r="M132" s="6"/>
      <c r="N132" s="6"/>
      <c r="O132" s="6"/>
      <c r="P132" s="6"/>
      <c r="Q132" s="6"/>
      <c r="R132" s="6"/>
      <c r="S132" s="6"/>
      <c r="T132" s="6"/>
      <c r="U132" s="6"/>
      <c r="V132" s="6"/>
      <c r="W132" s="6"/>
      <c r="X132" s="6"/>
      <c r="Y132" s="6"/>
      <c r="Z132" s="6"/>
      <c r="AA132" s="6"/>
      <c r="AB132" s="6"/>
      <c r="AC132" s="6"/>
    </row>
    <row r="133" ht="14.25" customHeight="1">
      <c r="A133" s="28"/>
      <c r="B133" s="28"/>
      <c r="C133" s="29"/>
      <c r="D133" s="30"/>
      <c r="E133" s="28"/>
      <c r="F133" s="19"/>
      <c r="G133" s="6"/>
      <c r="H133" s="6"/>
      <c r="I133" s="6"/>
      <c r="J133" s="6"/>
      <c r="K133" s="6"/>
      <c r="L133" s="6"/>
      <c r="M133" s="6"/>
      <c r="N133" s="6"/>
      <c r="O133" s="6"/>
      <c r="P133" s="6"/>
      <c r="Q133" s="6"/>
      <c r="R133" s="6"/>
      <c r="S133" s="6"/>
      <c r="T133" s="6"/>
      <c r="U133" s="6"/>
      <c r="V133" s="6"/>
      <c r="W133" s="6"/>
      <c r="X133" s="6"/>
      <c r="Y133" s="6"/>
      <c r="Z133" s="6"/>
      <c r="AA133" s="6"/>
      <c r="AB133" s="6"/>
      <c r="AC133" s="6"/>
    </row>
    <row r="134" ht="14.25" customHeight="1">
      <c r="A134" s="28"/>
      <c r="B134" s="28"/>
      <c r="C134" s="29"/>
      <c r="D134" s="30"/>
      <c r="E134" s="28"/>
      <c r="F134" s="19"/>
      <c r="G134" s="6"/>
      <c r="H134" s="6"/>
      <c r="I134" s="6"/>
      <c r="J134" s="6"/>
      <c r="K134" s="6"/>
      <c r="L134" s="6"/>
      <c r="M134" s="6"/>
      <c r="N134" s="6"/>
      <c r="O134" s="6"/>
      <c r="P134" s="6"/>
      <c r="Q134" s="6"/>
      <c r="R134" s="6"/>
      <c r="S134" s="6"/>
      <c r="T134" s="6"/>
      <c r="U134" s="6"/>
      <c r="V134" s="6"/>
      <c r="W134" s="6"/>
      <c r="X134" s="6"/>
      <c r="Y134" s="6"/>
      <c r="Z134" s="6"/>
      <c r="AA134" s="6"/>
      <c r="AB134" s="6"/>
      <c r="AC134" s="6"/>
    </row>
    <row r="135" ht="14.25" customHeight="1">
      <c r="A135" s="28"/>
      <c r="B135" s="28"/>
      <c r="C135" s="29"/>
      <c r="D135" s="30"/>
      <c r="E135" s="28"/>
      <c r="F135" s="19"/>
      <c r="G135" s="6"/>
      <c r="H135" s="6"/>
      <c r="I135" s="6"/>
      <c r="J135" s="6"/>
      <c r="K135" s="6"/>
      <c r="L135" s="6"/>
      <c r="M135" s="6"/>
      <c r="N135" s="6"/>
      <c r="O135" s="6"/>
      <c r="P135" s="6"/>
      <c r="Q135" s="6"/>
      <c r="R135" s="6"/>
      <c r="S135" s="6"/>
      <c r="T135" s="6"/>
      <c r="U135" s="6"/>
      <c r="V135" s="6"/>
      <c r="W135" s="6"/>
      <c r="X135" s="6"/>
      <c r="Y135" s="6"/>
      <c r="Z135" s="6"/>
      <c r="AA135" s="6"/>
      <c r="AB135" s="6"/>
      <c r="AC135" s="6"/>
    </row>
    <row r="136" ht="14.25" customHeight="1">
      <c r="A136" s="28"/>
      <c r="B136" s="28"/>
      <c r="C136" s="29"/>
      <c r="D136" s="30"/>
      <c r="E136" s="28"/>
      <c r="F136" s="19"/>
      <c r="G136" s="6"/>
      <c r="H136" s="6"/>
      <c r="I136" s="6"/>
      <c r="J136" s="6"/>
      <c r="K136" s="6"/>
      <c r="L136" s="6"/>
      <c r="M136" s="6"/>
      <c r="N136" s="6"/>
      <c r="O136" s="6"/>
      <c r="P136" s="6"/>
      <c r="Q136" s="6"/>
      <c r="R136" s="6"/>
      <c r="S136" s="6"/>
      <c r="T136" s="6"/>
      <c r="U136" s="6"/>
      <c r="V136" s="6"/>
      <c r="W136" s="6"/>
      <c r="X136" s="6"/>
      <c r="Y136" s="6"/>
      <c r="Z136" s="6"/>
      <c r="AA136" s="6"/>
      <c r="AB136" s="6"/>
      <c r="AC136" s="6"/>
    </row>
    <row r="137" ht="14.25" customHeight="1">
      <c r="A137" s="28"/>
      <c r="B137" s="28"/>
      <c r="C137" s="29"/>
      <c r="D137" s="30"/>
      <c r="E137" s="28"/>
      <c r="F137" s="19"/>
      <c r="G137" s="6"/>
      <c r="H137" s="6"/>
      <c r="I137" s="6"/>
      <c r="J137" s="6"/>
      <c r="K137" s="6"/>
      <c r="L137" s="6"/>
      <c r="M137" s="6"/>
      <c r="N137" s="6"/>
      <c r="O137" s="6"/>
      <c r="P137" s="6"/>
      <c r="Q137" s="6"/>
      <c r="R137" s="6"/>
      <c r="S137" s="6"/>
      <c r="T137" s="6"/>
      <c r="U137" s="6"/>
      <c r="V137" s="6"/>
      <c r="W137" s="6"/>
      <c r="X137" s="6"/>
      <c r="Y137" s="6"/>
      <c r="Z137" s="6"/>
      <c r="AA137" s="6"/>
      <c r="AB137" s="6"/>
      <c r="AC137" s="6"/>
    </row>
    <row r="138" ht="14.25" customHeight="1">
      <c r="A138" s="28"/>
      <c r="B138" s="28"/>
      <c r="C138" s="29"/>
      <c r="D138" s="30"/>
      <c r="E138" s="28"/>
      <c r="F138" s="19"/>
      <c r="G138" s="6"/>
      <c r="H138" s="6"/>
      <c r="I138" s="6"/>
      <c r="J138" s="6"/>
      <c r="K138" s="6"/>
      <c r="L138" s="6"/>
      <c r="M138" s="6"/>
      <c r="N138" s="6"/>
      <c r="O138" s="6"/>
      <c r="P138" s="6"/>
      <c r="Q138" s="6"/>
      <c r="R138" s="6"/>
      <c r="S138" s="6"/>
      <c r="T138" s="6"/>
      <c r="U138" s="6"/>
      <c r="V138" s="6"/>
      <c r="W138" s="6"/>
      <c r="X138" s="6"/>
      <c r="Y138" s="6"/>
      <c r="Z138" s="6"/>
      <c r="AA138" s="6"/>
      <c r="AB138" s="6"/>
      <c r="AC138" s="6"/>
    </row>
    <row r="139" ht="14.25" customHeight="1">
      <c r="A139" s="28"/>
      <c r="B139" s="28"/>
      <c r="C139" s="29"/>
      <c r="D139" s="30"/>
      <c r="E139" s="28"/>
      <c r="F139" s="19"/>
      <c r="G139" s="6"/>
      <c r="H139" s="6"/>
      <c r="I139" s="6"/>
      <c r="J139" s="6"/>
      <c r="K139" s="6"/>
      <c r="L139" s="6"/>
      <c r="M139" s="6"/>
      <c r="N139" s="6"/>
      <c r="O139" s="6"/>
      <c r="P139" s="6"/>
      <c r="Q139" s="6"/>
      <c r="R139" s="6"/>
      <c r="S139" s="6"/>
      <c r="T139" s="6"/>
      <c r="U139" s="6"/>
      <c r="V139" s="6"/>
      <c r="W139" s="6"/>
      <c r="X139" s="6"/>
      <c r="Y139" s="6"/>
      <c r="Z139" s="6"/>
      <c r="AA139" s="6"/>
      <c r="AB139" s="6"/>
      <c r="AC139" s="6"/>
    </row>
    <row r="140" ht="14.25" customHeight="1">
      <c r="A140" s="28"/>
      <c r="B140" s="28"/>
      <c r="C140" s="29"/>
      <c r="D140" s="30"/>
      <c r="E140" s="28"/>
      <c r="F140" s="19"/>
      <c r="G140" s="6"/>
      <c r="H140" s="6"/>
      <c r="I140" s="6"/>
      <c r="J140" s="6"/>
      <c r="K140" s="6"/>
      <c r="L140" s="6"/>
      <c r="M140" s="6"/>
      <c r="N140" s="6"/>
      <c r="O140" s="6"/>
      <c r="P140" s="6"/>
      <c r="Q140" s="6"/>
      <c r="R140" s="6"/>
      <c r="S140" s="6"/>
      <c r="T140" s="6"/>
      <c r="U140" s="6"/>
      <c r="V140" s="6"/>
      <c r="W140" s="6"/>
      <c r="X140" s="6"/>
      <c r="Y140" s="6"/>
      <c r="Z140" s="6"/>
      <c r="AA140" s="6"/>
      <c r="AB140" s="6"/>
      <c r="AC140" s="6"/>
    </row>
    <row r="141" ht="14.25" customHeight="1">
      <c r="A141" s="28"/>
      <c r="B141" s="28"/>
      <c r="C141" s="29"/>
      <c r="D141" s="30"/>
      <c r="E141" s="28"/>
      <c r="F141" s="19"/>
      <c r="G141" s="6"/>
      <c r="H141" s="6"/>
      <c r="I141" s="6"/>
      <c r="J141" s="6"/>
      <c r="K141" s="6"/>
      <c r="L141" s="6"/>
      <c r="M141" s="6"/>
      <c r="N141" s="6"/>
      <c r="O141" s="6"/>
      <c r="P141" s="6"/>
      <c r="Q141" s="6"/>
      <c r="R141" s="6"/>
      <c r="S141" s="6"/>
      <c r="T141" s="6"/>
      <c r="U141" s="6"/>
      <c r="V141" s="6"/>
      <c r="W141" s="6"/>
      <c r="X141" s="6"/>
      <c r="Y141" s="6"/>
      <c r="Z141" s="6"/>
      <c r="AA141" s="6"/>
      <c r="AB141" s="6"/>
      <c r="AC141" s="6"/>
    </row>
    <row r="142" ht="14.25" customHeight="1">
      <c r="A142" s="28"/>
      <c r="B142" s="28"/>
      <c r="C142" s="29"/>
      <c r="D142" s="30"/>
      <c r="E142" s="28"/>
      <c r="F142" s="19"/>
      <c r="G142" s="6"/>
      <c r="H142" s="6"/>
      <c r="I142" s="6"/>
      <c r="J142" s="6"/>
      <c r="K142" s="6"/>
      <c r="L142" s="6"/>
      <c r="M142" s="6"/>
      <c r="N142" s="6"/>
      <c r="O142" s="6"/>
      <c r="P142" s="6"/>
      <c r="Q142" s="6"/>
      <c r="R142" s="6"/>
      <c r="S142" s="6"/>
      <c r="T142" s="6"/>
      <c r="U142" s="6"/>
      <c r="V142" s="6"/>
      <c r="W142" s="6"/>
      <c r="X142" s="6"/>
      <c r="Y142" s="6"/>
      <c r="Z142" s="6"/>
      <c r="AA142" s="6"/>
      <c r="AB142" s="6"/>
      <c r="AC142" s="6"/>
    </row>
    <row r="143" ht="14.25" customHeight="1">
      <c r="A143" s="28"/>
      <c r="B143" s="28"/>
      <c r="C143" s="29"/>
      <c r="D143" s="30"/>
      <c r="E143" s="28"/>
      <c r="F143" s="19"/>
      <c r="G143" s="6"/>
      <c r="H143" s="6"/>
      <c r="I143" s="6"/>
      <c r="J143" s="6"/>
      <c r="K143" s="6"/>
      <c r="L143" s="6"/>
      <c r="M143" s="6"/>
      <c r="N143" s="6"/>
      <c r="O143" s="6"/>
      <c r="P143" s="6"/>
      <c r="Q143" s="6"/>
      <c r="R143" s="6"/>
      <c r="S143" s="6"/>
      <c r="T143" s="6"/>
      <c r="U143" s="6"/>
      <c r="V143" s="6"/>
      <c r="W143" s="6"/>
      <c r="X143" s="6"/>
      <c r="Y143" s="6"/>
      <c r="Z143" s="6"/>
      <c r="AA143" s="6"/>
      <c r="AB143" s="6"/>
      <c r="AC143" s="6"/>
    </row>
    <row r="144" ht="14.25" customHeight="1">
      <c r="A144" s="28"/>
      <c r="B144" s="28"/>
      <c r="C144" s="29"/>
      <c r="D144" s="30"/>
      <c r="E144" s="28"/>
      <c r="F144" s="19"/>
      <c r="G144" s="6"/>
      <c r="H144" s="6"/>
      <c r="I144" s="6"/>
      <c r="J144" s="6"/>
      <c r="K144" s="6"/>
      <c r="L144" s="6"/>
      <c r="M144" s="6"/>
      <c r="N144" s="6"/>
      <c r="O144" s="6"/>
      <c r="P144" s="6"/>
      <c r="Q144" s="6"/>
      <c r="R144" s="6"/>
      <c r="S144" s="6"/>
      <c r="T144" s="6"/>
      <c r="U144" s="6"/>
      <c r="V144" s="6"/>
      <c r="W144" s="6"/>
      <c r="X144" s="6"/>
      <c r="Y144" s="6"/>
      <c r="Z144" s="6"/>
      <c r="AA144" s="6"/>
      <c r="AB144" s="6"/>
      <c r="AC144" s="6"/>
    </row>
    <row r="145" ht="14.25" customHeight="1">
      <c r="A145" s="28"/>
      <c r="B145" s="28"/>
      <c r="C145" s="29"/>
      <c r="D145" s="30"/>
      <c r="E145" s="28"/>
      <c r="F145" s="19"/>
      <c r="G145" s="6"/>
      <c r="H145" s="6"/>
      <c r="I145" s="6"/>
      <c r="J145" s="6"/>
      <c r="K145" s="6"/>
      <c r="L145" s="6"/>
      <c r="M145" s="6"/>
      <c r="N145" s="6"/>
      <c r="O145" s="6"/>
      <c r="P145" s="6"/>
      <c r="Q145" s="6"/>
      <c r="R145" s="6"/>
      <c r="S145" s="6"/>
      <c r="T145" s="6"/>
      <c r="U145" s="6"/>
      <c r="V145" s="6"/>
      <c r="W145" s="6"/>
      <c r="X145" s="6"/>
      <c r="Y145" s="6"/>
      <c r="Z145" s="6"/>
      <c r="AA145" s="6"/>
      <c r="AB145" s="6"/>
      <c r="AC145" s="6"/>
    </row>
    <row r="146" ht="14.25" customHeight="1">
      <c r="A146" s="28"/>
      <c r="B146" s="28"/>
      <c r="C146" s="29"/>
      <c r="D146" s="30"/>
      <c r="E146" s="28"/>
      <c r="F146" s="19"/>
      <c r="G146" s="6"/>
      <c r="H146" s="6"/>
      <c r="I146" s="6"/>
      <c r="J146" s="6"/>
      <c r="K146" s="6"/>
      <c r="L146" s="6"/>
      <c r="M146" s="6"/>
      <c r="N146" s="6"/>
      <c r="O146" s="6"/>
      <c r="P146" s="6"/>
      <c r="Q146" s="6"/>
      <c r="R146" s="6"/>
      <c r="S146" s="6"/>
      <c r="T146" s="6"/>
      <c r="U146" s="6"/>
      <c r="V146" s="6"/>
      <c r="W146" s="6"/>
      <c r="X146" s="6"/>
      <c r="Y146" s="6"/>
      <c r="Z146" s="6"/>
      <c r="AA146" s="6"/>
      <c r="AB146" s="6"/>
      <c r="AC146" s="6"/>
    </row>
    <row r="147" ht="14.25" customHeight="1">
      <c r="A147" s="28"/>
      <c r="B147" s="28"/>
      <c r="C147" s="29"/>
      <c r="D147" s="30"/>
      <c r="E147" s="28"/>
      <c r="F147" s="19"/>
      <c r="G147" s="6"/>
      <c r="H147" s="6"/>
      <c r="I147" s="6"/>
      <c r="J147" s="6"/>
      <c r="K147" s="6"/>
      <c r="L147" s="6"/>
      <c r="M147" s="6"/>
      <c r="N147" s="6"/>
      <c r="O147" s="6"/>
      <c r="P147" s="6"/>
      <c r="Q147" s="6"/>
      <c r="R147" s="6"/>
      <c r="S147" s="6"/>
      <c r="T147" s="6"/>
      <c r="U147" s="6"/>
      <c r="V147" s="6"/>
      <c r="W147" s="6"/>
      <c r="X147" s="6"/>
      <c r="Y147" s="6"/>
      <c r="Z147" s="6"/>
      <c r="AA147" s="6"/>
      <c r="AB147" s="6"/>
      <c r="AC147" s="6"/>
    </row>
    <row r="148" ht="14.25" customHeight="1">
      <c r="A148" s="28"/>
      <c r="B148" s="28"/>
      <c r="C148" s="29"/>
      <c r="D148" s="30"/>
      <c r="E148" s="28"/>
      <c r="F148" s="19"/>
      <c r="G148" s="6"/>
      <c r="H148" s="6"/>
      <c r="I148" s="6"/>
      <c r="J148" s="6"/>
      <c r="K148" s="6"/>
      <c r="L148" s="6"/>
      <c r="M148" s="6"/>
      <c r="N148" s="6"/>
      <c r="O148" s="6"/>
      <c r="P148" s="6"/>
      <c r="Q148" s="6"/>
      <c r="R148" s="6"/>
      <c r="S148" s="6"/>
      <c r="T148" s="6"/>
      <c r="U148" s="6"/>
      <c r="V148" s="6"/>
      <c r="W148" s="6"/>
      <c r="X148" s="6"/>
      <c r="Y148" s="6"/>
      <c r="Z148" s="6"/>
      <c r="AA148" s="6"/>
      <c r="AB148" s="6"/>
      <c r="AC148" s="6"/>
    </row>
    <row r="149" ht="14.25" customHeight="1">
      <c r="A149" s="28"/>
      <c r="B149" s="28"/>
      <c r="C149" s="29"/>
      <c r="D149" s="30"/>
      <c r="E149" s="28"/>
      <c r="F149" s="19"/>
      <c r="G149" s="6"/>
      <c r="H149" s="6"/>
      <c r="I149" s="6"/>
      <c r="J149" s="6"/>
      <c r="K149" s="6"/>
      <c r="L149" s="6"/>
      <c r="M149" s="6"/>
      <c r="N149" s="6"/>
      <c r="O149" s="6"/>
      <c r="P149" s="6"/>
      <c r="Q149" s="6"/>
      <c r="R149" s="6"/>
      <c r="S149" s="6"/>
      <c r="T149" s="6"/>
      <c r="U149" s="6"/>
      <c r="V149" s="6"/>
      <c r="W149" s="6"/>
      <c r="X149" s="6"/>
      <c r="Y149" s="6"/>
      <c r="Z149" s="6"/>
      <c r="AA149" s="6"/>
      <c r="AB149" s="6"/>
      <c r="AC149" s="6"/>
    </row>
    <row r="150" ht="14.25" customHeight="1">
      <c r="A150" s="28"/>
      <c r="B150" s="28"/>
      <c r="C150" s="29"/>
      <c r="D150" s="30"/>
      <c r="E150" s="28"/>
      <c r="F150" s="19"/>
      <c r="G150" s="6"/>
      <c r="H150" s="6"/>
      <c r="I150" s="6"/>
      <c r="J150" s="6"/>
      <c r="K150" s="6"/>
      <c r="L150" s="6"/>
      <c r="M150" s="6"/>
      <c r="N150" s="6"/>
      <c r="O150" s="6"/>
      <c r="P150" s="6"/>
      <c r="Q150" s="6"/>
      <c r="R150" s="6"/>
      <c r="S150" s="6"/>
      <c r="T150" s="6"/>
      <c r="U150" s="6"/>
      <c r="V150" s="6"/>
      <c r="W150" s="6"/>
      <c r="X150" s="6"/>
      <c r="Y150" s="6"/>
      <c r="Z150" s="6"/>
      <c r="AA150" s="6"/>
      <c r="AB150" s="6"/>
      <c r="AC150" s="6"/>
    </row>
    <row r="151" ht="14.25" customHeight="1">
      <c r="A151" s="28"/>
      <c r="B151" s="28"/>
      <c r="C151" s="29"/>
      <c r="D151" s="30"/>
      <c r="E151" s="28"/>
      <c r="F151" s="19"/>
      <c r="G151" s="6"/>
      <c r="H151" s="6"/>
      <c r="I151" s="6"/>
      <c r="J151" s="6"/>
      <c r="K151" s="6"/>
      <c r="L151" s="6"/>
      <c r="M151" s="6"/>
      <c r="N151" s="6"/>
      <c r="O151" s="6"/>
      <c r="P151" s="6"/>
      <c r="Q151" s="6"/>
      <c r="R151" s="6"/>
      <c r="S151" s="6"/>
      <c r="T151" s="6"/>
      <c r="U151" s="6"/>
      <c r="V151" s="6"/>
      <c r="W151" s="6"/>
      <c r="X151" s="6"/>
      <c r="Y151" s="6"/>
      <c r="Z151" s="6"/>
      <c r="AA151" s="6"/>
      <c r="AB151" s="6"/>
      <c r="AC151" s="6"/>
    </row>
    <row r="152" ht="14.25" customHeight="1">
      <c r="A152" s="28"/>
      <c r="B152" s="28"/>
      <c r="C152" s="29"/>
      <c r="D152" s="30"/>
      <c r="E152" s="28"/>
      <c r="F152" s="19"/>
      <c r="G152" s="6"/>
      <c r="H152" s="6"/>
      <c r="I152" s="6"/>
      <c r="J152" s="6"/>
      <c r="K152" s="6"/>
      <c r="L152" s="6"/>
      <c r="M152" s="6"/>
      <c r="N152" s="6"/>
      <c r="O152" s="6"/>
      <c r="P152" s="6"/>
      <c r="Q152" s="6"/>
      <c r="R152" s="6"/>
      <c r="S152" s="6"/>
      <c r="T152" s="6"/>
      <c r="U152" s="6"/>
      <c r="V152" s="6"/>
      <c r="W152" s="6"/>
      <c r="X152" s="6"/>
      <c r="Y152" s="6"/>
      <c r="Z152" s="6"/>
      <c r="AA152" s="6"/>
      <c r="AB152" s="6"/>
      <c r="AC152" s="6"/>
    </row>
    <row r="153" ht="14.25" customHeight="1">
      <c r="A153" s="28"/>
      <c r="B153" s="28"/>
      <c r="C153" s="29"/>
      <c r="D153" s="30"/>
      <c r="E153" s="28"/>
      <c r="F153" s="19"/>
      <c r="G153" s="6"/>
      <c r="H153" s="6"/>
      <c r="I153" s="6"/>
      <c r="J153" s="6"/>
      <c r="K153" s="6"/>
      <c r="L153" s="6"/>
      <c r="M153" s="6"/>
      <c r="N153" s="6"/>
      <c r="O153" s="6"/>
      <c r="P153" s="6"/>
      <c r="Q153" s="6"/>
      <c r="R153" s="6"/>
      <c r="S153" s="6"/>
      <c r="T153" s="6"/>
      <c r="U153" s="6"/>
      <c r="V153" s="6"/>
      <c r="W153" s="6"/>
      <c r="X153" s="6"/>
      <c r="Y153" s="6"/>
      <c r="Z153" s="6"/>
      <c r="AA153" s="6"/>
      <c r="AB153" s="6"/>
      <c r="AC153" s="6"/>
    </row>
    <row r="154" ht="14.25" customHeight="1">
      <c r="A154" s="28"/>
      <c r="B154" s="28"/>
      <c r="C154" s="29"/>
      <c r="D154" s="30"/>
      <c r="E154" s="28"/>
      <c r="F154" s="19"/>
      <c r="G154" s="6"/>
      <c r="H154" s="6"/>
      <c r="I154" s="6"/>
      <c r="J154" s="6"/>
      <c r="K154" s="6"/>
      <c r="L154" s="6"/>
      <c r="M154" s="6"/>
      <c r="N154" s="6"/>
      <c r="O154" s="6"/>
      <c r="P154" s="6"/>
      <c r="Q154" s="6"/>
      <c r="R154" s="6"/>
      <c r="S154" s="6"/>
      <c r="T154" s="6"/>
      <c r="U154" s="6"/>
      <c r="V154" s="6"/>
      <c r="W154" s="6"/>
      <c r="X154" s="6"/>
      <c r="Y154" s="6"/>
      <c r="Z154" s="6"/>
      <c r="AA154" s="6"/>
      <c r="AB154" s="6"/>
      <c r="AC154" s="6"/>
    </row>
    <row r="155" ht="14.25" customHeight="1">
      <c r="A155" s="28"/>
      <c r="B155" s="28"/>
      <c r="C155" s="29"/>
      <c r="D155" s="30"/>
      <c r="E155" s="28"/>
      <c r="F155" s="19"/>
      <c r="G155" s="6"/>
      <c r="H155" s="6"/>
      <c r="I155" s="6"/>
      <c r="J155" s="6"/>
      <c r="K155" s="6"/>
      <c r="L155" s="6"/>
      <c r="M155" s="6"/>
      <c r="N155" s="6"/>
      <c r="O155" s="6"/>
      <c r="P155" s="6"/>
      <c r="Q155" s="6"/>
      <c r="R155" s="6"/>
      <c r="S155" s="6"/>
      <c r="T155" s="6"/>
      <c r="U155" s="6"/>
      <c r="V155" s="6"/>
      <c r="W155" s="6"/>
      <c r="X155" s="6"/>
      <c r="Y155" s="6"/>
      <c r="Z155" s="6"/>
      <c r="AA155" s="6"/>
      <c r="AB155" s="6"/>
      <c r="AC155" s="6"/>
    </row>
    <row r="156" ht="14.25" customHeight="1">
      <c r="A156" s="28"/>
      <c r="B156" s="28"/>
      <c r="C156" s="29"/>
      <c r="D156" s="30"/>
      <c r="E156" s="28"/>
      <c r="F156" s="19"/>
      <c r="G156" s="6"/>
      <c r="H156" s="6"/>
      <c r="I156" s="6"/>
      <c r="J156" s="6"/>
      <c r="K156" s="6"/>
      <c r="L156" s="6"/>
      <c r="M156" s="6"/>
      <c r="N156" s="6"/>
      <c r="O156" s="6"/>
      <c r="P156" s="6"/>
      <c r="Q156" s="6"/>
      <c r="R156" s="6"/>
      <c r="S156" s="6"/>
      <c r="T156" s="6"/>
      <c r="U156" s="6"/>
      <c r="V156" s="6"/>
      <c r="W156" s="6"/>
      <c r="X156" s="6"/>
      <c r="Y156" s="6"/>
      <c r="Z156" s="6"/>
      <c r="AA156" s="6"/>
      <c r="AB156" s="6"/>
      <c r="AC156" s="6"/>
    </row>
    <row r="157" ht="14.25" customHeight="1">
      <c r="A157" s="28"/>
      <c r="B157" s="28"/>
      <c r="C157" s="29"/>
      <c r="D157" s="30"/>
      <c r="E157" s="28"/>
      <c r="F157" s="19"/>
      <c r="G157" s="6"/>
      <c r="H157" s="6"/>
      <c r="I157" s="6"/>
      <c r="J157" s="6"/>
      <c r="K157" s="6"/>
      <c r="L157" s="6"/>
      <c r="M157" s="6"/>
      <c r="N157" s="6"/>
      <c r="O157" s="6"/>
      <c r="P157" s="6"/>
      <c r="Q157" s="6"/>
      <c r="R157" s="6"/>
      <c r="S157" s="6"/>
      <c r="T157" s="6"/>
      <c r="U157" s="6"/>
      <c r="V157" s="6"/>
      <c r="W157" s="6"/>
      <c r="X157" s="6"/>
      <c r="Y157" s="6"/>
      <c r="Z157" s="6"/>
      <c r="AA157" s="6"/>
      <c r="AB157" s="6"/>
      <c r="AC157" s="6"/>
    </row>
    <row r="158" ht="14.25" customHeight="1">
      <c r="A158" s="28"/>
      <c r="B158" s="28"/>
      <c r="C158" s="29"/>
      <c r="D158" s="30"/>
      <c r="E158" s="28"/>
      <c r="F158" s="19"/>
      <c r="G158" s="6"/>
      <c r="H158" s="6"/>
      <c r="I158" s="6"/>
      <c r="J158" s="6"/>
      <c r="K158" s="6"/>
      <c r="L158" s="6"/>
      <c r="M158" s="6"/>
      <c r="N158" s="6"/>
      <c r="O158" s="6"/>
      <c r="P158" s="6"/>
      <c r="Q158" s="6"/>
      <c r="R158" s="6"/>
      <c r="S158" s="6"/>
      <c r="T158" s="6"/>
      <c r="U158" s="6"/>
      <c r="V158" s="6"/>
      <c r="W158" s="6"/>
      <c r="X158" s="6"/>
      <c r="Y158" s="6"/>
      <c r="Z158" s="6"/>
      <c r="AA158" s="6"/>
      <c r="AB158" s="6"/>
      <c r="AC158" s="6"/>
    </row>
    <row r="159" ht="14.25" customHeight="1">
      <c r="A159" s="28"/>
      <c r="B159" s="28"/>
      <c r="C159" s="29"/>
      <c r="D159" s="30"/>
      <c r="E159" s="28"/>
      <c r="F159" s="19"/>
      <c r="G159" s="6"/>
      <c r="H159" s="6"/>
      <c r="I159" s="6"/>
      <c r="J159" s="6"/>
      <c r="K159" s="6"/>
      <c r="L159" s="6"/>
      <c r="M159" s="6"/>
      <c r="N159" s="6"/>
      <c r="O159" s="6"/>
      <c r="P159" s="6"/>
      <c r="Q159" s="6"/>
      <c r="R159" s="6"/>
      <c r="S159" s="6"/>
      <c r="T159" s="6"/>
      <c r="U159" s="6"/>
      <c r="V159" s="6"/>
      <c r="W159" s="6"/>
      <c r="X159" s="6"/>
      <c r="Y159" s="6"/>
      <c r="Z159" s="6"/>
      <c r="AA159" s="6"/>
      <c r="AB159" s="6"/>
      <c r="AC159" s="6"/>
    </row>
    <row r="160" ht="14.25" customHeight="1">
      <c r="A160" s="28"/>
      <c r="B160" s="28"/>
      <c r="C160" s="29"/>
      <c r="D160" s="30"/>
      <c r="E160" s="28"/>
      <c r="F160" s="19"/>
      <c r="G160" s="6"/>
      <c r="H160" s="6"/>
      <c r="I160" s="6"/>
      <c r="J160" s="6"/>
      <c r="K160" s="6"/>
      <c r="L160" s="6"/>
      <c r="M160" s="6"/>
      <c r="N160" s="6"/>
      <c r="O160" s="6"/>
      <c r="P160" s="6"/>
      <c r="Q160" s="6"/>
      <c r="R160" s="6"/>
      <c r="S160" s="6"/>
      <c r="T160" s="6"/>
      <c r="U160" s="6"/>
      <c r="V160" s="6"/>
      <c r="W160" s="6"/>
      <c r="X160" s="6"/>
      <c r="Y160" s="6"/>
      <c r="Z160" s="6"/>
      <c r="AA160" s="6"/>
      <c r="AB160" s="6"/>
      <c r="AC160" s="6"/>
    </row>
    <row r="161" ht="14.25" customHeight="1">
      <c r="A161" s="28"/>
      <c r="B161" s="28"/>
      <c r="C161" s="29"/>
      <c r="D161" s="30"/>
      <c r="E161" s="28"/>
      <c r="F161" s="19"/>
      <c r="G161" s="6"/>
      <c r="H161" s="6"/>
      <c r="I161" s="6"/>
      <c r="J161" s="6"/>
      <c r="K161" s="6"/>
      <c r="L161" s="6"/>
      <c r="M161" s="6"/>
      <c r="N161" s="6"/>
      <c r="O161" s="6"/>
      <c r="P161" s="6"/>
      <c r="Q161" s="6"/>
      <c r="R161" s="6"/>
      <c r="S161" s="6"/>
      <c r="T161" s="6"/>
      <c r="U161" s="6"/>
      <c r="V161" s="6"/>
      <c r="W161" s="6"/>
      <c r="X161" s="6"/>
      <c r="Y161" s="6"/>
      <c r="Z161" s="6"/>
      <c r="AA161" s="6"/>
      <c r="AB161" s="6"/>
      <c r="AC161" s="6"/>
    </row>
    <row r="162" ht="14.25" customHeight="1">
      <c r="A162" s="28"/>
      <c r="B162" s="28"/>
      <c r="C162" s="29"/>
      <c r="D162" s="30"/>
      <c r="E162" s="28"/>
      <c r="F162" s="19"/>
      <c r="G162" s="6"/>
      <c r="H162" s="6"/>
      <c r="I162" s="6"/>
      <c r="J162" s="6"/>
      <c r="K162" s="6"/>
      <c r="L162" s="6"/>
      <c r="M162" s="6"/>
      <c r="N162" s="6"/>
      <c r="O162" s="6"/>
      <c r="P162" s="6"/>
      <c r="Q162" s="6"/>
      <c r="R162" s="6"/>
      <c r="S162" s="6"/>
      <c r="T162" s="6"/>
      <c r="U162" s="6"/>
      <c r="V162" s="6"/>
      <c r="W162" s="6"/>
      <c r="X162" s="6"/>
      <c r="Y162" s="6"/>
      <c r="Z162" s="6"/>
      <c r="AA162" s="6"/>
      <c r="AB162" s="6"/>
      <c r="AC162" s="6"/>
    </row>
    <row r="163" ht="14.25" customHeight="1">
      <c r="A163" s="28"/>
      <c r="B163" s="28"/>
      <c r="C163" s="29"/>
      <c r="D163" s="30"/>
      <c r="E163" s="28"/>
      <c r="F163" s="19"/>
      <c r="G163" s="6"/>
      <c r="H163" s="6"/>
      <c r="I163" s="6"/>
      <c r="J163" s="6"/>
      <c r="K163" s="6"/>
      <c r="L163" s="6"/>
      <c r="M163" s="6"/>
      <c r="N163" s="6"/>
      <c r="O163" s="6"/>
      <c r="P163" s="6"/>
      <c r="Q163" s="6"/>
      <c r="R163" s="6"/>
      <c r="S163" s="6"/>
      <c r="T163" s="6"/>
      <c r="U163" s="6"/>
      <c r="V163" s="6"/>
      <c r="W163" s="6"/>
      <c r="X163" s="6"/>
      <c r="Y163" s="6"/>
      <c r="Z163" s="6"/>
      <c r="AA163" s="6"/>
      <c r="AB163" s="6"/>
      <c r="AC163" s="6"/>
    </row>
    <row r="164" ht="14.25" customHeight="1">
      <c r="A164" s="28"/>
      <c r="B164" s="28"/>
      <c r="C164" s="29"/>
      <c r="D164" s="30"/>
      <c r="E164" s="28"/>
      <c r="F164" s="19"/>
      <c r="G164" s="6"/>
      <c r="H164" s="6"/>
      <c r="I164" s="6"/>
      <c r="J164" s="6"/>
      <c r="K164" s="6"/>
      <c r="L164" s="6"/>
      <c r="M164" s="6"/>
      <c r="N164" s="6"/>
      <c r="O164" s="6"/>
      <c r="P164" s="6"/>
      <c r="Q164" s="6"/>
      <c r="R164" s="6"/>
      <c r="S164" s="6"/>
      <c r="T164" s="6"/>
      <c r="U164" s="6"/>
      <c r="V164" s="6"/>
      <c r="W164" s="6"/>
      <c r="X164" s="6"/>
      <c r="Y164" s="6"/>
      <c r="Z164" s="6"/>
      <c r="AA164" s="6"/>
      <c r="AB164" s="6"/>
      <c r="AC164" s="6"/>
    </row>
    <row r="165" ht="14.25" customHeight="1">
      <c r="A165" s="28"/>
      <c r="B165" s="28"/>
      <c r="C165" s="29"/>
      <c r="D165" s="30"/>
      <c r="E165" s="28"/>
      <c r="F165" s="19"/>
      <c r="G165" s="6"/>
      <c r="H165" s="6"/>
      <c r="I165" s="6"/>
      <c r="J165" s="6"/>
      <c r="K165" s="6"/>
      <c r="L165" s="6"/>
      <c r="M165" s="6"/>
      <c r="N165" s="6"/>
      <c r="O165" s="6"/>
      <c r="P165" s="6"/>
      <c r="Q165" s="6"/>
      <c r="R165" s="6"/>
      <c r="S165" s="6"/>
      <c r="T165" s="6"/>
      <c r="U165" s="6"/>
      <c r="V165" s="6"/>
      <c r="W165" s="6"/>
      <c r="X165" s="6"/>
      <c r="Y165" s="6"/>
      <c r="Z165" s="6"/>
      <c r="AA165" s="6"/>
      <c r="AB165" s="6"/>
      <c r="AC165" s="6"/>
    </row>
    <row r="166" ht="14.25" customHeight="1">
      <c r="A166" s="28"/>
      <c r="B166" s="28"/>
      <c r="C166" s="29"/>
      <c r="D166" s="30"/>
      <c r="E166" s="28"/>
      <c r="F166" s="19"/>
      <c r="G166" s="6"/>
      <c r="H166" s="6"/>
      <c r="I166" s="6"/>
      <c r="J166" s="6"/>
      <c r="K166" s="6"/>
      <c r="L166" s="6"/>
      <c r="M166" s="6"/>
      <c r="N166" s="6"/>
      <c r="O166" s="6"/>
      <c r="P166" s="6"/>
      <c r="Q166" s="6"/>
      <c r="R166" s="6"/>
      <c r="S166" s="6"/>
      <c r="T166" s="6"/>
      <c r="U166" s="6"/>
      <c r="V166" s="6"/>
      <c r="W166" s="6"/>
      <c r="X166" s="6"/>
      <c r="Y166" s="6"/>
      <c r="Z166" s="6"/>
      <c r="AA166" s="6"/>
      <c r="AB166" s="6"/>
      <c r="AC166" s="6"/>
    </row>
    <row r="167" ht="14.25" customHeight="1">
      <c r="A167" s="28"/>
      <c r="B167" s="28"/>
      <c r="C167" s="29"/>
      <c r="D167" s="30"/>
      <c r="E167" s="28"/>
      <c r="F167" s="19"/>
      <c r="G167" s="6"/>
      <c r="H167" s="6"/>
      <c r="I167" s="6"/>
      <c r="J167" s="6"/>
      <c r="K167" s="6"/>
      <c r="L167" s="6"/>
      <c r="M167" s="6"/>
      <c r="N167" s="6"/>
      <c r="O167" s="6"/>
      <c r="P167" s="6"/>
      <c r="Q167" s="6"/>
      <c r="R167" s="6"/>
      <c r="S167" s="6"/>
      <c r="T167" s="6"/>
      <c r="U167" s="6"/>
      <c r="V167" s="6"/>
      <c r="W167" s="6"/>
      <c r="X167" s="6"/>
      <c r="Y167" s="6"/>
      <c r="Z167" s="6"/>
      <c r="AA167" s="6"/>
      <c r="AB167" s="6"/>
      <c r="AC167" s="6"/>
    </row>
    <row r="168" ht="14.25" customHeight="1">
      <c r="A168" s="28"/>
      <c r="B168" s="28"/>
      <c r="C168" s="29"/>
      <c r="D168" s="30"/>
      <c r="E168" s="28"/>
      <c r="F168" s="19"/>
      <c r="G168" s="6"/>
      <c r="H168" s="6"/>
      <c r="I168" s="6"/>
      <c r="J168" s="6"/>
      <c r="K168" s="6"/>
      <c r="L168" s="6"/>
      <c r="M168" s="6"/>
      <c r="N168" s="6"/>
      <c r="O168" s="6"/>
      <c r="P168" s="6"/>
      <c r="Q168" s="6"/>
      <c r="R168" s="6"/>
      <c r="S168" s="6"/>
      <c r="T168" s="6"/>
      <c r="U168" s="6"/>
      <c r="V168" s="6"/>
      <c r="W168" s="6"/>
      <c r="X168" s="6"/>
      <c r="Y168" s="6"/>
      <c r="Z168" s="6"/>
      <c r="AA168" s="6"/>
      <c r="AB168" s="6"/>
      <c r="AC168" s="6"/>
    </row>
    <row r="169" ht="14.25" customHeight="1">
      <c r="A169" s="28"/>
      <c r="B169" s="28"/>
      <c r="C169" s="29"/>
      <c r="D169" s="30"/>
      <c r="E169" s="28"/>
      <c r="F169" s="19"/>
      <c r="G169" s="6"/>
      <c r="H169" s="6"/>
      <c r="I169" s="6"/>
      <c r="J169" s="6"/>
      <c r="K169" s="6"/>
      <c r="L169" s="6"/>
      <c r="M169" s="6"/>
      <c r="N169" s="6"/>
      <c r="O169" s="6"/>
      <c r="P169" s="6"/>
      <c r="Q169" s="6"/>
      <c r="R169" s="6"/>
      <c r="S169" s="6"/>
      <c r="T169" s="6"/>
      <c r="U169" s="6"/>
      <c r="V169" s="6"/>
      <c r="W169" s="6"/>
      <c r="X169" s="6"/>
      <c r="Y169" s="6"/>
      <c r="Z169" s="6"/>
      <c r="AA169" s="6"/>
      <c r="AB169" s="6"/>
      <c r="AC169" s="6"/>
    </row>
    <row r="170" ht="14.25" customHeight="1">
      <c r="A170" s="28"/>
      <c r="B170" s="28"/>
      <c r="C170" s="29"/>
      <c r="D170" s="30"/>
      <c r="E170" s="28"/>
      <c r="F170" s="19"/>
      <c r="G170" s="6"/>
      <c r="H170" s="6"/>
      <c r="I170" s="6"/>
      <c r="J170" s="6"/>
      <c r="K170" s="6"/>
      <c r="L170" s="6"/>
      <c r="M170" s="6"/>
      <c r="N170" s="6"/>
      <c r="O170" s="6"/>
      <c r="P170" s="6"/>
      <c r="Q170" s="6"/>
      <c r="R170" s="6"/>
      <c r="S170" s="6"/>
      <c r="T170" s="6"/>
      <c r="U170" s="6"/>
      <c r="V170" s="6"/>
      <c r="W170" s="6"/>
      <c r="X170" s="6"/>
      <c r="Y170" s="6"/>
      <c r="Z170" s="6"/>
      <c r="AA170" s="6"/>
      <c r="AB170" s="6"/>
      <c r="AC170" s="6"/>
    </row>
    <row r="171" ht="14.25" customHeight="1">
      <c r="A171" s="28"/>
      <c r="B171" s="28"/>
      <c r="C171" s="29"/>
      <c r="D171" s="30"/>
      <c r="E171" s="28"/>
      <c r="F171" s="19"/>
      <c r="G171" s="6"/>
      <c r="H171" s="6"/>
      <c r="I171" s="6"/>
      <c r="J171" s="6"/>
      <c r="K171" s="6"/>
      <c r="L171" s="6"/>
      <c r="M171" s="6"/>
      <c r="N171" s="6"/>
      <c r="O171" s="6"/>
      <c r="P171" s="6"/>
      <c r="Q171" s="6"/>
      <c r="R171" s="6"/>
      <c r="S171" s="6"/>
      <c r="T171" s="6"/>
      <c r="U171" s="6"/>
      <c r="V171" s="6"/>
      <c r="W171" s="6"/>
      <c r="X171" s="6"/>
      <c r="Y171" s="6"/>
      <c r="Z171" s="6"/>
      <c r="AA171" s="6"/>
      <c r="AB171" s="6"/>
      <c r="AC171" s="6"/>
    </row>
    <row r="172" ht="14.25" customHeight="1">
      <c r="A172" s="28"/>
      <c r="B172" s="28"/>
      <c r="C172" s="29"/>
      <c r="D172" s="30"/>
      <c r="E172" s="28"/>
      <c r="F172" s="19"/>
      <c r="G172" s="6"/>
      <c r="H172" s="6"/>
      <c r="I172" s="6"/>
      <c r="J172" s="6"/>
      <c r="K172" s="6"/>
      <c r="L172" s="6"/>
      <c r="M172" s="6"/>
      <c r="N172" s="6"/>
      <c r="O172" s="6"/>
      <c r="P172" s="6"/>
      <c r="Q172" s="6"/>
      <c r="R172" s="6"/>
      <c r="S172" s="6"/>
      <c r="T172" s="6"/>
      <c r="U172" s="6"/>
      <c r="V172" s="6"/>
      <c r="W172" s="6"/>
      <c r="X172" s="6"/>
      <c r="Y172" s="6"/>
      <c r="Z172" s="6"/>
      <c r="AA172" s="6"/>
      <c r="AB172" s="6"/>
      <c r="AC172" s="6"/>
    </row>
    <row r="173" ht="14.25" customHeight="1">
      <c r="A173" s="28"/>
      <c r="B173" s="28"/>
      <c r="C173" s="29"/>
      <c r="D173" s="30"/>
      <c r="E173" s="28"/>
      <c r="F173" s="19"/>
      <c r="G173" s="6"/>
      <c r="H173" s="6"/>
      <c r="I173" s="6"/>
      <c r="J173" s="6"/>
      <c r="K173" s="6"/>
      <c r="L173" s="6"/>
      <c r="M173" s="6"/>
      <c r="N173" s="6"/>
      <c r="O173" s="6"/>
      <c r="P173" s="6"/>
      <c r="Q173" s="6"/>
      <c r="R173" s="6"/>
      <c r="S173" s="6"/>
      <c r="T173" s="6"/>
      <c r="U173" s="6"/>
      <c r="V173" s="6"/>
      <c r="W173" s="6"/>
      <c r="X173" s="6"/>
      <c r="Y173" s="6"/>
      <c r="Z173" s="6"/>
      <c r="AA173" s="6"/>
      <c r="AB173" s="6"/>
      <c r="AC173" s="6"/>
    </row>
    <row r="174" ht="14.25" customHeight="1">
      <c r="A174" s="28"/>
      <c r="B174" s="28"/>
      <c r="C174" s="29"/>
      <c r="D174" s="30"/>
      <c r="E174" s="28"/>
      <c r="F174" s="19"/>
      <c r="G174" s="6"/>
      <c r="H174" s="6"/>
      <c r="I174" s="6"/>
      <c r="J174" s="6"/>
      <c r="K174" s="6"/>
      <c r="L174" s="6"/>
      <c r="M174" s="6"/>
      <c r="N174" s="6"/>
      <c r="O174" s="6"/>
      <c r="P174" s="6"/>
      <c r="Q174" s="6"/>
      <c r="R174" s="6"/>
      <c r="S174" s="6"/>
      <c r="T174" s="6"/>
      <c r="U174" s="6"/>
      <c r="V174" s="6"/>
      <c r="W174" s="6"/>
      <c r="X174" s="6"/>
      <c r="Y174" s="6"/>
      <c r="Z174" s="6"/>
      <c r="AA174" s="6"/>
      <c r="AB174" s="6"/>
      <c r="AC174" s="6"/>
    </row>
    <row r="175" ht="14.25" customHeight="1">
      <c r="A175" s="28"/>
      <c r="B175" s="28"/>
      <c r="C175" s="29"/>
      <c r="D175" s="30"/>
      <c r="E175" s="28"/>
      <c r="F175" s="19"/>
      <c r="G175" s="6"/>
      <c r="H175" s="6"/>
      <c r="I175" s="6"/>
      <c r="J175" s="6"/>
      <c r="K175" s="6"/>
      <c r="L175" s="6"/>
      <c r="M175" s="6"/>
      <c r="N175" s="6"/>
      <c r="O175" s="6"/>
      <c r="P175" s="6"/>
      <c r="Q175" s="6"/>
      <c r="R175" s="6"/>
      <c r="S175" s="6"/>
      <c r="T175" s="6"/>
      <c r="U175" s="6"/>
      <c r="V175" s="6"/>
      <c r="W175" s="6"/>
      <c r="X175" s="6"/>
      <c r="Y175" s="6"/>
      <c r="Z175" s="6"/>
      <c r="AA175" s="6"/>
      <c r="AB175" s="6"/>
      <c r="AC175" s="6"/>
    </row>
    <row r="176" ht="14.25" customHeight="1">
      <c r="A176" s="28"/>
      <c r="B176" s="28"/>
      <c r="C176" s="29"/>
      <c r="D176" s="30"/>
      <c r="E176" s="28"/>
      <c r="F176" s="19"/>
      <c r="G176" s="6"/>
      <c r="H176" s="6"/>
      <c r="I176" s="6"/>
      <c r="J176" s="6"/>
      <c r="K176" s="6"/>
      <c r="L176" s="6"/>
      <c r="M176" s="6"/>
      <c r="N176" s="6"/>
      <c r="O176" s="6"/>
      <c r="P176" s="6"/>
      <c r="Q176" s="6"/>
      <c r="R176" s="6"/>
      <c r="S176" s="6"/>
      <c r="T176" s="6"/>
      <c r="U176" s="6"/>
      <c r="V176" s="6"/>
      <c r="W176" s="6"/>
      <c r="X176" s="6"/>
      <c r="Y176" s="6"/>
      <c r="Z176" s="6"/>
      <c r="AA176" s="6"/>
      <c r="AB176" s="6"/>
      <c r="AC176" s="6"/>
    </row>
    <row r="177" ht="14.25" customHeight="1">
      <c r="A177" s="28"/>
      <c r="B177" s="28"/>
      <c r="C177" s="29"/>
      <c r="D177" s="30"/>
      <c r="E177" s="28"/>
      <c r="F177" s="19"/>
      <c r="G177" s="6"/>
      <c r="H177" s="6"/>
      <c r="I177" s="6"/>
      <c r="J177" s="6"/>
      <c r="K177" s="6"/>
      <c r="L177" s="6"/>
      <c r="M177" s="6"/>
      <c r="N177" s="6"/>
      <c r="O177" s="6"/>
      <c r="P177" s="6"/>
      <c r="Q177" s="6"/>
      <c r="R177" s="6"/>
      <c r="S177" s="6"/>
      <c r="T177" s="6"/>
      <c r="U177" s="6"/>
      <c r="V177" s="6"/>
      <c r="W177" s="6"/>
      <c r="X177" s="6"/>
      <c r="Y177" s="6"/>
      <c r="Z177" s="6"/>
      <c r="AA177" s="6"/>
      <c r="AB177" s="6"/>
      <c r="AC177" s="6"/>
    </row>
    <row r="178" ht="14.25" customHeight="1">
      <c r="A178" s="28"/>
      <c r="B178" s="28"/>
      <c r="C178" s="29"/>
      <c r="D178" s="30"/>
      <c r="E178" s="28"/>
      <c r="F178" s="19"/>
      <c r="G178" s="6"/>
      <c r="H178" s="6"/>
      <c r="I178" s="6"/>
      <c r="J178" s="6"/>
      <c r="K178" s="6"/>
      <c r="L178" s="6"/>
      <c r="M178" s="6"/>
      <c r="N178" s="6"/>
      <c r="O178" s="6"/>
      <c r="P178" s="6"/>
      <c r="Q178" s="6"/>
      <c r="R178" s="6"/>
      <c r="S178" s="6"/>
      <c r="T178" s="6"/>
      <c r="U178" s="6"/>
      <c r="V178" s="6"/>
      <c r="W178" s="6"/>
      <c r="X178" s="6"/>
      <c r="Y178" s="6"/>
      <c r="Z178" s="6"/>
      <c r="AA178" s="6"/>
      <c r="AB178" s="6"/>
      <c r="AC178" s="6"/>
    </row>
    <row r="179" ht="14.25" customHeight="1">
      <c r="A179" s="28"/>
      <c r="B179" s="28"/>
      <c r="C179" s="29"/>
      <c r="D179" s="30"/>
      <c r="E179" s="28"/>
      <c r="F179" s="19"/>
      <c r="G179" s="6"/>
      <c r="H179" s="6"/>
      <c r="I179" s="6"/>
      <c r="J179" s="6"/>
      <c r="K179" s="6"/>
      <c r="L179" s="6"/>
      <c r="M179" s="6"/>
      <c r="N179" s="6"/>
      <c r="O179" s="6"/>
      <c r="P179" s="6"/>
      <c r="Q179" s="6"/>
      <c r="R179" s="6"/>
      <c r="S179" s="6"/>
      <c r="T179" s="6"/>
      <c r="U179" s="6"/>
      <c r="V179" s="6"/>
      <c r="W179" s="6"/>
      <c r="X179" s="6"/>
      <c r="Y179" s="6"/>
      <c r="Z179" s="6"/>
      <c r="AA179" s="6"/>
      <c r="AB179" s="6"/>
      <c r="AC179" s="6"/>
    </row>
    <row r="180" ht="14.25" customHeight="1">
      <c r="A180" s="28"/>
      <c r="B180" s="28"/>
      <c r="C180" s="29"/>
      <c r="D180" s="30"/>
      <c r="E180" s="28"/>
      <c r="F180" s="19"/>
      <c r="G180" s="6"/>
      <c r="H180" s="6"/>
      <c r="I180" s="6"/>
      <c r="J180" s="6"/>
      <c r="K180" s="6"/>
      <c r="L180" s="6"/>
      <c r="M180" s="6"/>
      <c r="N180" s="6"/>
      <c r="O180" s="6"/>
      <c r="P180" s="6"/>
      <c r="Q180" s="6"/>
      <c r="R180" s="6"/>
      <c r="S180" s="6"/>
      <c r="T180" s="6"/>
      <c r="U180" s="6"/>
      <c r="V180" s="6"/>
      <c r="W180" s="6"/>
      <c r="X180" s="6"/>
      <c r="Y180" s="6"/>
      <c r="Z180" s="6"/>
      <c r="AA180" s="6"/>
      <c r="AB180" s="6"/>
      <c r="AC180" s="6"/>
    </row>
    <row r="181" ht="14.25" customHeight="1">
      <c r="A181" s="28"/>
      <c r="B181" s="28"/>
      <c r="C181" s="29"/>
      <c r="D181" s="30"/>
      <c r="E181" s="28"/>
      <c r="F181" s="19"/>
      <c r="G181" s="6"/>
      <c r="H181" s="6"/>
      <c r="I181" s="6"/>
      <c r="J181" s="6"/>
      <c r="K181" s="6"/>
      <c r="L181" s="6"/>
      <c r="M181" s="6"/>
      <c r="N181" s="6"/>
      <c r="O181" s="6"/>
      <c r="P181" s="6"/>
      <c r="Q181" s="6"/>
      <c r="R181" s="6"/>
      <c r="S181" s="6"/>
      <c r="T181" s="6"/>
      <c r="U181" s="6"/>
      <c r="V181" s="6"/>
      <c r="W181" s="6"/>
      <c r="X181" s="6"/>
      <c r="Y181" s="6"/>
      <c r="Z181" s="6"/>
      <c r="AA181" s="6"/>
      <c r="AB181" s="6"/>
      <c r="AC181" s="6"/>
    </row>
    <row r="182" ht="14.25" customHeight="1">
      <c r="A182" s="28"/>
      <c r="B182" s="28"/>
      <c r="C182" s="29"/>
      <c r="D182" s="30"/>
      <c r="E182" s="28"/>
      <c r="F182" s="19"/>
      <c r="G182" s="6"/>
      <c r="H182" s="6"/>
      <c r="I182" s="6"/>
      <c r="J182" s="6"/>
      <c r="K182" s="6"/>
      <c r="L182" s="6"/>
      <c r="M182" s="6"/>
      <c r="N182" s="6"/>
      <c r="O182" s="6"/>
      <c r="P182" s="6"/>
      <c r="Q182" s="6"/>
      <c r="R182" s="6"/>
      <c r="S182" s="6"/>
      <c r="T182" s="6"/>
      <c r="U182" s="6"/>
      <c r="V182" s="6"/>
      <c r="W182" s="6"/>
      <c r="X182" s="6"/>
      <c r="Y182" s="6"/>
      <c r="Z182" s="6"/>
      <c r="AA182" s="6"/>
      <c r="AB182" s="6"/>
      <c r="AC182" s="6"/>
    </row>
    <row r="183" ht="14.25" customHeight="1">
      <c r="A183" s="28"/>
      <c r="B183" s="28"/>
      <c r="C183" s="29"/>
      <c r="D183" s="30"/>
      <c r="E183" s="28"/>
      <c r="F183" s="19"/>
      <c r="G183" s="6"/>
      <c r="H183" s="6"/>
      <c r="I183" s="6"/>
      <c r="J183" s="6"/>
      <c r="K183" s="6"/>
      <c r="L183" s="6"/>
      <c r="M183" s="6"/>
      <c r="N183" s="6"/>
      <c r="O183" s="6"/>
      <c r="P183" s="6"/>
      <c r="Q183" s="6"/>
      <c r="R183" s="6"/>
      <c r="S183" s="6"/>
      <c r="T183" s="6"/>
      <c r="U183" s="6"/>
      <c r="V183" s="6"/>
      <c r="W183" s="6"/>
      <c r="X183" s="6"/>
      <c r="Y183" s="6"/>
      <c r="Z183" s="6"/>
      <c r="AA183" s="6"/>
      <c r="AB183" s="6"/>
      <c r="AC183" s="6"/>
    </row>
    <row r="184" ht="14.25" customHeight="1">
      <c r="A184" s="28"/>
      <c r="B184" s="28"/>
      <c r="C184" s="29"/>
      <c r="D184" s="30"/>
      <c r="E184" s="28"/>
      <c r="F184" s="19"/>
      <c r="G184" s="6"/>
      <c r="H184" s="6"/>
      <c r="I184" s="6"/>
      <c r="J184" s="6"/>
      <c r="K184" s="6"/>
      <c r="L184" s="6"/>
      <c r="M184" s="6"/>
      <c r="N184" s="6"/>
      <c r="O184" s="6"/>
      <c r="P184" s="6"/>
      <c r="Q184" s="6"/>
      <c r="R184" s="6"/>
      <c r="S184" s="6"/>
      <c r="T184" s="6"/>
      <c r="U184" s="6"/>
      <c r="V184" s="6"/>
      <c r="W184" s="6"/>
      <c r="X184" s="6"/>
      <c r="Y184" s="6"/>
      <c r="Z184" s="6"/>
      <c r="AA184" s="6"/>
      <c r="AB184" s="6"/>
      <c r="AC184" s="6"/>
    </row>
    <row r="185" ht="14.25" customHeight="1">
      <c r="A185" s="28"/>
      <c r="B185" s="28"/>
      <c r="C185" s="29"/>
      <c r="D185" s="30"/>
      <c r="E185" s="28"/>
      <c r="F185" s="19"/>
      <c r="G185" s="6"/>
      <c r="H185" s="6"/>
      <c r="I185" s="6"/>
      <c r="J185" s="6"/>
      <c r="K185" s="6"/>
      <c r="L185" s="6"/>
      <c r="M185" s="6"/>
      <c r="N185" s="6"/>
      <c r="O185" s="6"/>
      <c r="P185" s="6"/>
      <c r="Q185" s="6"/>
      <c r="R185" s="6"/>
      <c r="S185" s="6"/>
      <c r="T185" s="6"/>
      <c r="U185" s="6"/>
      <c r="V185" s="6"/>
      <c r="W185" s="6"/>
      <c r="X185" s="6"/>
      <c r="Y185" s="6"/>
      <c r="Z185" s="6"/>
      <c r="AA185" s="6"/>
      <c r="AB185" s="6"/>
      <c r="AC185" s="6"/>
    </row>
    <row r="186" ht="14.25" customHeight="1">
      <c r="A186" s="28"/>
      <c r="B186" s="28"/>
      <c r="C186" s="29"/>
      <c r="D186" s="30"/>
      <c r="E186" s="28"/>
      <c r="F186" s="19"/>
      <c r="G186" s="6"/>
      <c r="H186" s="6"/>
      <c r="I186" s="6"/>
      <c r="J186" s="6"/>
      <c r="K186" s="6"/>
      <c r="L186" s="6"/>
      <c r="M186" s="6"/>
      <c r="N186" s="6"/>
      <c r="O186" s="6"/>
      <c r="P186" s="6"/>
      <c r="Q186" s="6"/>
      <c r="R186" s="6"/>
      <c r="S186" s="6"/>
      <c r="T186" s="6"/>
      <c r="U186" s="6"/>
      <c r="V186" s="6"/>
      <c r="W186" s="6"/>
      <c r="X186" s="6"/>
      <c r="Y186" s="6"/>
      <c r="Z186" s="6"/>
      <c r="AA186" s="6"/>
      <c r="AB186" s="6"/>
      <c r="AC186" s="6"/>
    </row>
    <row r="187" ht="14.25" customHeight="1">
      <c r="A187" s="28"/>
      <c r="B187" s="28"/>
      <c r="C187" s="29"/>
      <c r="D187" s="30"/>
      <c r="E187" s="28"/>
      <c r="F187" s="19"/>
      <c r="G187" s="6"/>
      <c r="H187" s="6"/>
      <c r="I187" s="6"/>
      <c r="J187" s="6"/>
      <c r="K187" s="6"/>
      <c r="L187" s="6"/>
      <c r="M187" s="6"/>
      <c r="N187" s="6"/>
      <c r="O187" s="6"/>
      <c r="P187" s="6"/>
      <c r="Q187" s="6"/>
      <c r="R187" s="6"/>
      <c r="S187" s="6"/>
      <c r="T187" s="6"/>
      <c r="U187" s="6"/>
      <c r="V187" s="6"/>
      <c r="W187" s="6"/>
      <c r="X187" s="6"/>
      <c r="Y187" s="6"/>
      <c r="Z187" s="6"/>
      <c r="AA187" s="6"/>
      <c r="AB187" s="6"/>
      <c r="AC187" s="6"/>
    </row>
    <row r="188" ht="14.25" customHeight="1">
      <c r="A188" s="28"/>
      <c r="B188" s="28"/>
      <c r="C188" s="29"/>
      <c r="D188" s="30"/>
      <c r="E188" s="28"/>
      <c r="F188" s="19"/>
      <c r="G188" s="6"/>
      <c r="H188" s="6"/>
      <c r="I188" s="6"/>
      <c r="J188" s="6"/>
      <c r="K188" s="6"/>
      <c r="L188" s="6"/>
      <c r="M188" s="6"/>
      <c r="N188" s="6"/>
      <c r="O188" s="6"/>
      <c r="P188" s="6"/>
      <c r="Q188" s="6"/>
      <c r="R188" s="6"/>
      <c r="S188" s="6"/>
      <c r="T188" s="6"/>
      <c r="U188" s="6"/>
      <c r="V188" s="6"/>
      <c r="W188" s="6"/>
      <c r="X188" s="6"/>
      <c r="Y188" s="6"/>
      <c r="Z188" s="6"/>
      <c r="AA188" s="6"/>
      <c r="AB188" s="6"/>
      <c r="AC188" s="6"/>
    </row>
    <row r="189" ht="14.25" customHeight="1">
      <c r="A189" s="28"/>
      <c r="B189" s="28"/>
      <c r="C189" s="29"/>
      <c r="D189" s="30"/>
      <c r="E189" s="28"/>
      <c r="F189" s="19"/>
      <c r="G189" s="6"/>
      <c r="H189" s="6"/>
      <c r="I189" s="6"/>
      <c r="J189" s="6"/>
      <c r="K189" s="6"/>
      <c r="L189" s="6"/>
      <c r="M189" s="6"/>
      <c r="N189" s="6"/>
      <c r="O189" s="6"/>
      <c r="P189" s="6"/>
      <c r="Q189" s="6"/>
      <c r="R189" s="6"/>
      <c r="S189" s="6"/>
      <c r="T189" s="6"/>
      <c r="U189" s="6"/>
      <c r="V189" s="6"/>
      <c r="W189" s="6"/>
      <c r="X189" s="6"/>
      <c r="Y189" s="6"/>
      <c r="Z189" s="6"/>
      <c r="AA189" s="6"/>
      <c r="AB189" s="6"/>
      <c r="AC189" s="6"/>
    </row>
    <row r="190" ht="14.25" customHeight="1">
      <c r="A190" s="28"/>
      <c r="B190" s="28"/>
      <c r="C190" s="29"/>
      <c r="D190" s="30"/>
      <c r="E190" s="28"/>
      <c r="F190" s="19"/>
      <c r="G190" s="6"/>
      <c r="H190" s="6"/>
      <c r="I190" s="6"/>
      <c r="J190" s="6"/>
      <c r="K190" s="6"/>
      <c r="L190" s="6"/>
      <c r="M190" s="6"/>
      <c r="N190" s="6"/>
      <c r="O190" s="6"/>
      <c r="P190" s="6"/>
      <c r="Q190" s="6"/>
      <c r="R190" s="6"/>
      <c r="S190" s="6"/>
      <c r="T190" s="6"/>
      <c r="U190" s="6"/>
      <c r="V190" s="6"/>
      <c r="W190" s="6"/>
      <c r="X190" s="6"/>
      <c r="Y190" s="6"/>
      <c r="Z190" s="6"/>
      <c r="AA190" s="6"/>
      <c r="AB190" s="6"/>
      <c r="AC190" s="6"/>
    </row>
    <row r="191" ht="14.25" customHeight="1">
      <c r="A191" s="28"/>
      <c r="B191" s="28"/>
      <c r="C191" s="29"/>
      <c r="D191" s="30"/>
      <c r="E191" s="28"/>
      <c r="F191" s="19"/>
      <c r="G191" s="6"/>
      <c r="H191" s="6"/>
      <c r="I191" s="6"/>
      <c r="J191" s="6"/>
      <c r="K191" s="6"/>
      <c r="L191" s="6"/>
      <c r="M191" s="6"/>
      <c r="N191" s="6"/>
      <c r="O191" s="6"/>
      <c r="P191" s="6"/>
      <c r="Q191" s="6"/>
      <c r="R191" s="6"/>
      <c r="S191" s="6"/>
      <c r="T191" s="6"/>
      <c r="U191" s="6"/>
      <c r="V191" s="6"/>
      <c r="W191" s="6"/>
      <c r="X191" s="6"/>
      <c r="Y191" s="6"/>
      <c r="Z191" s="6"/>
      <c r="AA191" s="6"/>
      <c r="AB191" s="6"/>
      <c r="AC191" s="6"/>
    </row>
    <row r="192" ht="14.25" customHeight="1">
      <c r="A192" s="28"/>
      <c r="B192" s="28"/>
      <c r="C192" s="29"/>
      <c r="D192" s="30"/>
      <c r="E192" s="28"/>
      <c r="F192" s="19"/>
      <c r="G192" s="6"/>
      <c r="H192" s="6"/>
      <c r="I192" s="6"/>
      <c r="J192" s="6"/>
      <c r="K192" s="6"/>
      <c r="L192" s="6"/>
      <c r="M192" s="6"/>
      <c r="N192" s="6"/>
      <c r="O192" s="6"/>
      <c r="P192" s="6"/>
      <c r="Q192" s="6"/>
      <c r="R192" s="6"/>
      <c r="S192" s="6"/>
      <c r="T192" s="6"/>
      <c r="U192" s="6"/>
      <c r="V192" s="6"/>
      <c r="W192" s="6"/>
      <c r="X192" s="6"/>
      <c r="Y192" s="6"/>
      <c r="Z192" s="6"/>
      <c r="AA192" s="6"/>
      <c r="AB192" s="6"/>
      <c r="AC192" s="6"/>
    </row>
    <row r="193" ht="14.25" customHeight="1">
      <c r="A193" s="28"/>
      <c r="B193" s="28"/>
      <c r="C193" s="29"/>
      <c r="D193" s="30"/>
      <c r="E193" s="28"/>
      <c r="F193" s="19"/>
      <c r="G193" s="6"/>
      <c r="H193" s="6"/>
      <c r="I193" s="6"/>
      <c r="J193" s="6"/>
      <c r="K193" s="6"/>
      <c r="L193" s="6"/>
      <c r="M193" s="6"/>
      <c r="N193" s="6"/>
      <c r="O193" s="6"/>
      <c r="P193" s="6"/>
      <c r="Q193" s="6"/>
      <c r="R193" s="6"/>
      <c r="S193" s="6"/>
      <c r="T193" s="6"/>
      <c r="U193" s="6"/>
      <c r="V193" s="6"/>
      <c r="W193" s="6"/>
      <c r="X193" s="6"/>
      <c r="Y193" s="6"/>
      <c r="Z193" s="6"/>
      <c r="AA193" s="6"/>
      <c r="AB193" s="6"/>
      <c r="AC193" s="6"/>
    </row>
    <row r="194" ht="14.25" customHeight="1">
      <c r="A194" s="28"/>
      <c r="B194" s="28"/>
      <c r="C194" s="29"/>
      <c r="D194" s="30"/>
      <c r="E194" s="28"/>
      <c r="F194" s="19"/>
      <c r="G194" s="6"/>
      <c r="H194" s="6"/>
      <c r="I194" s="6"/>
      <c r="J194" s="6"/>
      <c r="K194" s="6"/>
      <c r="L194" s="6"/>
      <c r="M194" s="6"/>
      <c r="N194" s="6"/>
      <c r="O194" s="6"/>
      <c r="P194" s="6"/>
      <c r="Q194" s="6"/>
      <c r="R194" s="6"/>
      <c r="S194" s="6"/>
      <c r="T194" s="6"/>
      <c r="U194" s="6"/>
      <c r="V194" s="6"/>
      <c r="W194" s="6"/>
      <c r="X194" s="6"/>
      <c r="Y194" s="6"/>
      <c r="Z194" s="6"/>
      <c r="AA194" s="6"/>
      <c r="AB194" s="6"/>
      <c r="AC194" s="6"/>
    </row>
    <row r="195" ht="14.25" customHeight="1">
      <c r="A195" s="28"/>
      <c r="B195" s="28"/>
      <c r="C195" s="29"/>
      <c r="D195" s="30"/>
      <c r="E195" s="28"/>
      <c r="F195" s="19"/>
      <c r="G195" s="6"/>
      <c r="H195" s="6"/>
      <c r="I195" s="6"/>
      <c r="J195" s="6"/>
      <c r="K195" s="6"/>
      <c r="L195" s="6"/>
      <c r="M195" s="6"/>
      <c r="N195" s="6"/>
      <c r="O195" s="6"/>
      <c r="P195" s="6"/>
      <c r="Q195" s="6"/>
      <c r="R195" s="6"/>
      <c r="S195" s="6"/>
      <c r="T195" s="6"/>
      <c r="U195" s="6"/>
      <c r="V195" s="6"/>
      <c r="W195" s="6"/>
      <c r="X195" s="6"/>
      <c r="Y195" s="6"/>
      <c r="Z195" s="6"/>
      <c r="AA195" s="6"/>
      <c r="AB195" s="6"/>
      <c r="AC195" s="6"/>
    </row>
    <row r="196" ht="14.25" customHeight="1">
      <c r="A196" s="28"/>
      <c r="B196" s="28"/>
      <c r="C196" s="29"/>
      <c r="D196" s="30"/>
      <c r="E196" s="28"/>
      <c r="F196" s="19"/>
      <c r="G196" s="6"/>
      <c r="H196" s="6"/>
      <c r="I196" s="6"/>
      <c r="J196" s="6"/>
      <c r="K196" s="6"/>
      <c r="L196" s="6"/>
      <c r="M196" s="6"/>
      <c r="N196" s="6"/>
      <c r="O196" s="6"/>
      <c r="P196" s="6"/>
      <c r="Q196" s="6"/>
      <c r="R196" s="6"/>
      <c r="S196" s="6"/>
      <c r="T196" s="6"/>
      <c r="U196" s="6"/>
      <c r="V196" s="6"/>
      <c r="W196" s="6"/>
      <c r="X196" s="6"/>
      <c r="Y196" s="6"/>
      <c r="Z196" s="6"/>
      <c r="AA196" s="6"/>
      <c r="AB196" s="6"/>
      <c r="AC196" s="6"/>
    </row>
    <row r="197" ht="14.25" customHeight="1">
      <c r="A197" s="28"/>
      <c r="B197" s="28"/>
      <c r="C197" s="29"/>
      <c r="D197" s="30"/>
      <c r="E197" s="28"/>
      <c r="F197" s="19"/>
      <c r="G197" s="6"/>
      <c r="H197" s="6"/>
      <c r="I197" s="6"/>
      <c r="J197" s="6"/>
      <c r="K197" s="6"/>
      <c r="L197" s="6"/>
      <c r="M197" s="6"/>
      <c r="N197" s="6"/>
      <c r="O197" s="6"/>
      <c r="P197" s="6"/>
      <c r="Q197" s="6"/>
      <c r="R197" s="6"/>
      <c r="S197" s="6"/>
      <c r="T197" s="6"/>
      <c r="U197" s="6"/>
      <c r="V197" s="6"/>
      <c r="W197" s="6"/>
      <c r="X197" s="6"/>
      <c r="Y197" s="6"/>
      <c r="Z197" s="6"/>
      <c r="AA197" s="6"/>
      <c r="AB197" s="6"/>
      <c r="AC197" s="6"/>
    </row>
    <row r="198" ht="14.25" customHeight="1">
      <c r="A198" s="28"/>
      <c r="B198" s="28"/>
      <c r="C198" s="29"/>
      <c r="D198" s="30"/>
      <c r="E198" s="28"/>
      <c r="F198" s="19"/>
      <c r="G198" s="6"/>
      <c r="H198" s="6"/>
      <c r="I198" s="6"/>
      <c r="J198" s="6"/>
      <c r="K198" s="6"/>
      <c r="L198" s="6"/>
      <c r="M198" s="6"/>
      <c r="N198" s="6"/>
      <c r="O198" s="6"/>
      <c r="P198" s="6"/>
      <c r="Q198" s="6"/>
      <c r="R198" s="6"/>
      <c r="S198" s="6"/>
      <c r="T198" s="6"/>
      <c r="U198" s="6"/>
      <c r="V198" s="6"/>
      <c r="W198" s="6"/>
      <c r="X198" s="6"/>
      <c r="Y198" s="6"/>
      <c r="Z198" s="6"/>
      <c r="AA198" s="6"/>
      <c r="AB198" s="6"/>
      <c r="AC198" s="6"/>
    </row>
    <row r="199" ht="14.25" customHeight="1">
      <c r="A199" s="28"/>
      <c r="B199" s="28"/>
      <c r="C199" s="29"/>
      <c r="D199" s="30"/>
      <c r="E199" s="28"/>
      <c r="F199" s="19"/>
      <c r="G199" s="6"/>
      <c r="H199" s="6"/>
      <c r="I199" s="6"/>
      <c r="J199" s="6"/>
      <c r="K199" s="6"/>
      <c r="L199" s="6"/>
      <c r="M199" s="6"/>
      <c r="N199" s="6"/>
      <c r="O199" s="6"/>
      <c r="P199" s="6"/>
      <c r="Q199" s="6"/>
      <c r="R199" s="6"/>
      <c r="S199" s="6"/>
      <c r="T199" s="6"/>
      <c r="U199" s="6"/>
      <c r="V199" s="6"/>
      <c r="W199" s="6"/>
      <c r="X199" s="6"/>
      <c r="Y199" s="6"/>
      <c r="Z199" s="6"/>
      <c r="AA199" s="6"/>
      <c r="AB199" s="6"/>
      <c r="AC199" s="6"/>
    </row>
    <row r="200" ht="14.25" customHeight="1">
      <c r="A200" s="28"/>
      <c r="B200" s="28"/>
      <c r="C200" s="29"/>
      <c r="D200" s="30"/>
      <c r="E200" s="28"/>
      <c r="F200" s="19"/>
      <c r="G200" s="6"/>
      <c r="H200" s="6"/>
      <c r="I200" s="6"/>
      <c r="J200" s="6"/>
      <c r="K200" s="6"/>
      <c r="L200" s="6"/>
      <c r="M200" s="6"/>
      <c r="N200" s="6"/>
      <c r="O200" s="6"/>
      <c r="P200" s="6"/>
      <c r="Q200" s="6"/>
      <c r="R200" s="6"/>
      <c r="S200" s="6"/>
      <c r="T200" s="6"/>
      <c r="U200" s="6"/>
      <c r="V200" s="6"/>
      <c r="W200" s="6"/>
      <c r="X200" s="6"/>
      <c r="Y200" s="6"/>
      <c r="Z200" s="6"/>
      <c r="AA200" s="6"/>
      <c r="AB200" s="6"/>
      <c r="AC200" s="6"/>
    </row>
    <row r="201" ht="14.25" customHeight="1">
      <c r="A201" s="28"/>
      <c r="B201" s="28"/>
      <c r="C201" s="29"/>
      <c r="D201" s="30"/>
      <c r="E201" s="28"/>
      <c r="F201" s="19"/>
      <c r="G201" s="6"/>
      <c r="H201" s="6"/>
      <c r="I201" s="6"/>
      <c r="J201" s="6"/>
      <c r="K201" s="6"/>
      <c r="L201" s="6"/>
      <c r="M201" s="6"/>
      <c r="N201" s="6"/>
      <c r="O201" s="6"/>
      <c r="P201" s="6"/>
      <c r="Q201" s="6"/>
      <c r="R201" s="6"/>
      <c r="S201" s="6"/>
      <c r="T201" s="6"/>
      <c r="U201" s="6"/>
      <c r="V201" s="6"/>
      <c r="W201" s="6"/>
      <c r="X201" s="6"/>
      <c r="Y201" s="6"/>
      <c r="Z201" s="6"/>
      <c r="AA201" s="6"/>
      <c r="AB201" s="6"/>
      <c r="AC201" s="6"/>
    </row>
    <row r="202" ht="14.25" customHeight="1">
      <c r="A202" s="28"/>
      <c r="B202" s="28"/>
      <c r="C202" s="29"/>
      <c r="D202" s="30"/>
      <c r="E202" s="28"/>
      <c r="F202" s="19"/>
      <c r="G202" s="6"/>
      <c r="H202" s="6"/>
      <c r="I202" s="6"/>
      <c r="J202" s="6"/>
      <c r="K202" s="6"/>
      <c r="L202" s="6"/>
      <c r="M202" s="6"/>
      <c r="N202" s="6"/>
      <c r="O202" s="6"/>
      <c r="P202" s="6"/>
      <c r="Q202" s="6"/>
      <c r="R202" s="6"/>
      <c r="S202" s="6"/>
      <c r="T202" s="6"/>
      <c r="U202" s="6"/>
      <c r="V202" s="6"/>
      <c r="W202" s="6"/>
      <c r="X202" s="6"/>
      <c r="Y202" s="6"/>
      <c r="Z202" s="6"/>
      <c r="AA202" s="6"/>
      <c r="AB202" s="6"/>
      <c r="AC202" s="6"/>
    </row>
    <row r="203" ht="14.25" customHeight="1">
      <c r="A203" s="28"/>
      <c r="B203" s="28"/>
      <c r="C203" s="29"/>
      <c r="D203" s="30"/>
      <c r="E203" s="28"/>
      <c r="F203" s="19"/>
      <c r="G203" s="6"/>
      <c r="H203" s="6"/>
      <c r="I203" s="6"/>
      <c r="J203" s="6"/>
      <c r="K203" s="6"/>
      <c r="L203" s="6"/>
      <c r="M203" s="6"/>
      <c r="N203" s="6"/>
      <c r="O203" s="6"/>
      <c r="P203" s="6"/>
      <c r="Q203" s="6"/>
      <c r="R203" s="6"/>
      <c r="S203" s="6"/>
      <c r="T203" s="6"/>
      <c r="U203" s="6"/>
      <c r="V203" s="6"/>
      <c r="W203" s="6"/>
      <c r="X203" s="6"/>
      <c r="Y203" s="6"/>
      <c r="Z203" s="6"/>
      <c r="AA203" s="6"/>
      <c r="AB203" s="6"/>
      <c r="AC203" s="6"/>
    </row>
    <row r="204" ht="14.25" customHeight="1">
      <c r="A204" s="28"/>
      <c r="B204" s="28"/>
      <c r="C204" s="29"/>
      <c r="D204" s="30"/>
      <c r="E204" s="28"/>
      <c r="F204" s="19"/>
      <c r="G204" s="6"/>
      <c r="H204" s="6"/>
      <c r="I204" s="6"/>
      <c r="J204" s="6"/>
      <c r="K204" s="6"/>
      <c r="L204" s="6"/>
      <c r="M204" s="6"/>
      <c r="N204" s="6"/>
      <c r="O204" s="6"/>
      <c r="P204" s="6"/>
      <c r="Q204" s="6"/>
      <c r="R204" s="6"/>
      <c r="S204" s="6"/>
      <c r="T204" s="6"/>
      <c r="U204" s="6"/>
      <c r="V204" s="6"/>
      <c r="W204" s="6"/>
      <c r="X204" s="6"/>
      <c r="Y204" s="6"/>
      <c r="Z204" s="6"/>
      <c r="AA204" s="6"/>
      <c r="AB204" s="6"/>
      <c r="AC204" s="6"/>
    </row>
    <row r="205" ht="14.25" customHeight="1">
      <c r="A205" s="28"/>
      <c r="B205" s="28"/>
      <c r="C205" s="29"/>
      <c r="D205" s="30"/>
      <c r="E205" s="28"/>
      <c r="F205" s="19"/>
      <c r="G205" s="6"/>
      <c r="H205" s="6"/>
      <c r="I205" s="6"/>
      <c r="J205" s="6"/>
      <c r="K205" s="6"/>
      <c r="L205" s="6"/>
      <c r="M205" s="6"/>
      <c r="N205" s="6"/>
      <c r="O205" s="6"/>
      <c r="P205" s="6"/>
      <c r="Q205" s="6"/>
      <c r="R205" s="6"/>
      <c r="S205" s="6"/>
      <c r="T205" s="6"/>
      <c r="U205" s="6"/>
      <c r="V205" s="6"/>
      <c r="W205" s="6"/>
      <c r="X205" s="6"/>
      <c r="Y205" s="6"/>
      <c r="Z205" s="6"/>
      <c r="AA205" s="6"/>
      <c r="AB205" s="6"/>
      <c r="AC205" s="6"/>
    </row>
    <row r="206" ht="14.25" customHeight="1">
      <c r="A206" s="28"/>
      <c r="B206" s="28"/>
      <c r="C206" s="29"/>
      <c r="D206" s="30"/>
      <c r="E206" s="28"/>
      <c r="F206" s="19"/>
      <c r="G206" s="6"/>
      <c r="H206" s="6"/>
      <c r="I206" s="6"/>
      <c r="J206" s="6"/>
      <c r="K206" s="6"/>
      <c r="L206" s="6"/>
      <c r="M206" s="6"/>
      <c r="N206" s="6"/>
      <c r="O206" s="6"/>
      <c r="P206" s="6"/>
      <c r="Q206" s="6"/>
      <c r="R206" s="6"/>
      <c r="S206" s="6"/>
      <c r="T206" s="6"/>
      <c r="U206" s="6"/>
      <c r="V206" s="6"/>
      <c r="W206" s="6"/>
      <c r="X206" s="6"/>
      <c r="Y206" s="6"/>
      <c r="Z206" s="6"/>
      <c r="AA206" s="6"/>
      <c r="AB206" s="6"/>
      <c r="AC206" s="6"/>
    </row>
    <row r="207" ht="14.25" customHeight="1">
      <c r="A207" s="28"/>
      <c r="B207" s="28"/>
      <c r="C207" s="29"/>
      <c r="D207" s="30"/>
      <c r="E207" s="28"/>
      <c r="F207" s="19"/>
      <c r="G207" s="6"/>
      <c r="H207" s="6"/>
      <c r="I207" s="6"/>
      <c r="J207" s="6"/>
      <c r="K207" s="6"/>
      <c r="L207" s="6"/>
      <c r="M207" s="6"/>
      <c r="N207" s="6"/>
      <c r="O207" s="6"/>
      <c r="P207" s="6"/>
      <c r="Q207" s="6"/>
      <c r="R207" s="6"/>
      <c r="S207" s="6"/>
      <c r="T207" s="6"/>
      <c r="U207" s="6"/>
      <c r="V207" s="6"/>
      <c r="W207" s="6"/>
      <c r="X207" s="6"/>
      <c r="Y207" s="6"/>
      <c r="Z207" s="6"/>
      <c r="AA207" s="6"/>
      <c r="AB207" s="6"/>
      <c r="AC207" s="6"/>
    </row>
    <row r="208" ht="14.25" customHeight="1">
      <c r="A208" s="28"/>
      <c r="B208" s="28"/>
      <c r="C208" s="29"/>
      <c r="D208" s="30"/>
      <c r="E208" s="28"/>
      <c r="F208" s="19"/>
      <c r="G208" s="6"/>
      <c r="H208" s="6"/>
      <c r="I208" s="6"/>
      <c r="J208" s="6"/>
      <c r="K208" s="6"/>
      <c r="L208" s="6"/>
      <c r="M208" s="6"/>
      <c r="N208" s="6"/>
      <c r="O208" s="6"/>
      <c r="P208" s="6"/>
      <c r="Q208" s="6"/>
      <c r="R208" s="6"/>
      <c r="S208" s="6"/>
      <c r="T208" s="6"/>
      <c r="U208" s="6"/>
      <c r="V208" s="6"/>
      <c r="W208" s="6"/>
      <c r="X208" s="6"/>
      <c r="Y208" s="6"/>
      <c r="Z208" s="6"/>
      <c r="AA208" s="6"/>
      <c r="AB208" s="6"/>
      <c r="AC208" s="6"/>
    </row>
    <row r="209" ht="14.25" customHeight="1">
      <c r="A209" s="28"/>
      <c r="B209" s="28"/>
      <c r="C209" s="29"/>
      <c r="D209" s="30"/>
      <c r="E209" s="28"/>
      <c r="F209" s="19"/>
      <c r="G209" s="6"/>
      <c r="H209" s="6"/>
      <c r="I209" s="6"/>
      <c r="J209" s="6"/>
      <c r="K209" s="6"/>
      <c r="L209" s="6"/>
      <c r="M209" s="6"/>
      <c r="N209" s="6"/>
      <c r="O209" s="6"/>
      <c r="P209" s="6"/>
      <c r="Q209" s="6"/>
      <c r="R209" s="6"/>
      <c r="S209" s="6"/>
      <c r="T209" s="6"/>
      <c r="U209" s="6"/>
      <c r="V209" s="6"/>
      <c r="W209" s="6"/>
      <c r="X209" s="6"/>
      <c r="Y209" s="6"/>
      <c r="Z209" s="6"/>
      <c r="AA209" s="6"/>
      <c r="AB209" s="6"/>
      <c r="AC209" s="6"/>
    </row>
    <row r="210" ht="14.25" customHeight="1">
      <c r="A210" s="28"/>
      <c r="B210" s="28"/>
      <c r="C210" s="29"/>
      <c r="D210" s="30"/>
      <c r="E210" s="28"/>
      <c r="F210" s="19"/>
      <c r="G210" s="6"/>
      <c r="H210" s="6"/>
      <c r="I210" s="6"/>
      <c r="J210" s="6"/>
      <c r="K210" s="6"/>
      <c r="L210" s="6"/>
      <c r="M210" s="6"/>
      <c r="N210" s="6"/>
      <c r="O210" s="6"/>
      <c r="P210" s="6"/>
      <c r="Q210" s="6"/>
      <c r="R210" s="6"/>
      <c r="S210" s="6"/>
      <c r="T210" s="6"/>
      <c r="U210" s="6"/>
      <c r="V210" s="6"/>
      <c r="W210" s="6"/>
      <c r="X210" s="6"/>
      <c r="Y210" s="6"/>
      <c r="Z210" s="6"/>
      <c r="AA210" s="6"/>
      <c r="AB210" s="6"/>
      <c r="AC210" s="6"/>
    </row>
    <row r="211" ht="14.25" customHeight="1">
      <c r="A211" s="28"/>
      <c r="B211" s="28"/>
      <c r="C211" s="29"/>
      <c r="D211" s="30"/>
      <c r="E211" s="28"/>
      <c r="F211" s="19"/>
      <c r="G211" s="6"/>
      <c r="H211" s="6"/>
      <c r="I211" s="6"/>
      <c r="J211" s="6"/>
      <c r="K211" s="6"/>
      <c r="L211" s="6"/>
      <c r="M211" s="6"/>
      <c r="N211" s="6"/>
      <c r="O211" s="6"/>
      <c r="P211" s="6"/>
      <c r="Q211" s="6"/>
      <c r="R211" s="6"/>
      <c r="S211" s="6"/>
      <c r="T211" s="6"/>
      <c r="U211" s="6"/>
      <c r="V211" s="6"/>
      <c r="W211" s="6"/>
      <c r="X211" s="6"/>
      <c r="Y211" s="6"/>
      <c r="Z211" s="6"/>
      <c r="AA211" s="6"/>
      <c r="AB211" s="6"/>
      <c r="AC211" s="6"/>
    </row>
    <row r="212" ht="14.25" customHeight="1">
      <c r="A212" s="28"/>
      <c r="B212" s="28"/>
      <c r="C212" s="29"/>
      <c r="D212" s="30"/>
      <c r="E212" s="28"/>
      <c r="F212" s="19"/>
      <c r="G212" s="6"/>
      <c r="H212" s="6"/>
      <c r="I212" s="6"/>
      <c r="J212" s="6"/>
      <c r="K212" s="6"/>
      <c r="L212" s="6"/>
      <c r="M212" s="6"/>
      <c r="N212" s="6"/>
      <c r="O212" s="6"/>
      <c r="P212" s="6"/>
      <c r="Q212" s="6"/>
      <c r="R212" s="6"/>
      <c r="S212" s="6"/>
      <c r="T212" s="6"/>
      <c r="U212" s="6"/>
      <c r="V212" s="6"/>
      <c r="W212" s="6"/>
      <c r="X212" s="6"/>
      <c r="Y212" s="6"/>
      <c r="Z212" s="6"/>
      <c r="AA212" s="6"/>
      <c r="AB212" s="6"/>
      <c r="AC212" s="6"/>
    </row>
    <row r="213" ht="14.25" customHeight="1">
      <c r="A213" s="28"/>
      <c r="B213" s="28"/>
      <c r="C213" s="29"/>
      <c r="D213" s="30"/>
      <c r="E213" s="28"/>
      <c r="F213" s="19"/>
      <c r="G213" s="6"/>
      <c r="H213" s="6"/>
      <c r="I213" s="6"/>
      <c r="J213" s="6"/>
      <c r="K213" s="6"/>
      <c r="L213" s="6"/>
      <c r="M213" s="6"/>
      <c r="N213" s="6"/>
      <c r="O213" s="6"/>
      <c r="P213" s="6"/>
      <c r="Q213" s="6"/>
      <c r="R213" s="6"/>
      <c r="S213" s="6"/>
      <c r="T213" s="6"/>
      <c r="U213" s="6"/>
      <c r="V213" s="6"/>
      <c r="W213" s="6"/>
      <c r="X213" s="6"/>
      <c r="Y213" s="6"/>
      <c r="Z213" s="6"/>
      <c r="AA213" s="6"/>
      <c r="AB213" s="6"/>
      <c r="AC213" s="6"/>
    </row>
    <row r="214" ht="14.25" customHeight="1">
      <c r="A214" s="28"/>
      <c r="B214" s="28"/>
      <c r="C214" s="29"/>
      <c r="D214" s="30"/>
      <c r="E214" s="28"/>
      <c r="F214" s="19"/>
      <c r="G214" s="6"/>
      <c r="H214" s="6"/>
      <c r="I214" s="6"/>
      <c r="J214" s="6"/>
      <c r="K214" s="6"/>
      <c r="L214" s="6"/>
      <c r="M214" s="6"/>
      <c r="N214" s="6"/>
      <c r="O214" s="6"/>
      <c r="P214" s="6"/>
      <c r="Q214" s="6"/>
      <c r="R214" s="6"/>
      <c r="S214" s="6"/>
      <c r="T214" s="6"/>
      <c r="U214" s="6"/>
      <c r="V214" s="6"/>
      <c r="W214" s="6"/>
      <c r="X214" s="6"/>
      <c r="Y214" s="6"/>
      <c r="Z214" s="6"/>
      <c r="AA214" s="6"/>
      <c r="AB214" s="6"/>
      <c r="AC214" s="6"/>
    </row>
    <row r="215" ht="14.25" customHeight="1">
      <c r="A215" s="28"/>
      <c r="B215" s="28"/>
      <c r="C215" s="29"/>
      <c r="D215" s="30"/>
      <c r="E215" s="28"/>
      <c r="F215" s="19"/>
      <c r="G215" s="6"/>
      <c r="H215" s="6"/>
      <c r="I215" s="6"/>
      <c r="J215" s="6"/>
      <c r="K215" s="6"/>
      <c r="L215" s="6"/>
      <c r="M215" s="6"/>
      <c r="N215" s="6"/>
      <c r="O215" s="6"/>
      <c r="P215" s="6"/>
      <c r="Q215" s="6"/>
      <c r="R215" s="6"/>
      <c r="S215" s="6"/>
      <c r="T215" s="6"/>
      <c r="U215" s="6"/>
      <c r="V215" s="6"/>
      <c r="W215" s="6"/>
      <c r="X215" s="6"/>
      <c r="Y215" s="6"/>
      <c r="Z215" s="6"/>
      <c r="AA215" s="6"/>
      <c r="AB215" s="6"/>
      <c r="AC215" s="6"/>
    </row>
    <row r="216" ht="14.25" customHeight="1">
      <c r="A216" s="28"/>
      <c r="B216" s="28"/>
      <c r="C216" s="29"/>
      <c r="D216" s="30"/>
      <c r="E216" s="28"/>
      <c r="F216" s="19"/>
      <c r="G216" s="6"/>
      <c r="H216" s="6"/>
      <c r="I216" s="6"/>
      <c r="J216" s="6"/>
      <c r="K216" s="6"/>
      <c r="L216" s="6"/>
      <c r="M216" s="6"/>
      <c r="N216" s="6"/>
      <c r="O216" s="6"/>
      <c r="P216" s="6"/>
      <c r="Q216" s="6"/>
      <c r="R216" s="6"/>
      <c r="S216" s="6"/>
      <c r="T216" s="6"/>
      <c r="U216" s="6"/>
      <c r="V216" s="6"/>
      <c r="W216" s="6"/>
      <c r="X216" s="6"/>
      <c r="Y216" s="6"/>
      <c r="Z216" s="6"/>
      <c r="AA216" s="6"/>
      <c r="AB216" s="6"/>
      <c r="AC216" s="6"/>
    </row>
    <row r="217" ht="14.25" customHeight="1">
      <c r="A217" s="28"/>
      <c r="B217" s="28"/>
      <c r="C217" s="29"/>
      <c r="D217" s="30"/>
      <c r="E217" s="28"/>
      <c r="F217" s="19"/>
      <c r="G217" s="6"/>
      <c r="H217" s="6"/>
      <c r="I217" s="6"/>
      <c r="J217" s="6"/>
      <c r="K217" s="6"/>
      <c r="L217" s="6"/>
      <c r="M217" s="6"/>
      <c r="N217" s="6"/>
      <c r="O217" s="6"/>
      <c r="P217" s="6"/>
      <c r="Q217" s="6"/>
      <c r="R217" s="6"/>
      <c r="S217" s="6"/>
      <c r="T217" s="6"/>
      <c r="U217" s="6"/>
      <c r="V217" s="6"/>
      <c r="W217" s="6"/>
      <c r="X217" s="6"/>
      <c r="Y217" s="6"/>
      <c r="Z217" s="6"/>
      <c r="AA217" s="6"/>
      <c r="AB217" s="6"/>
      <c r="AC217" s="6"/>
    </row>
    <row r="218" ht="14.25" customHeight="1">
      <c r="A218" s="28"/>
      <c r="B218" s="28"/>
      <c r="C218" s="29"/>
      <c r="D218" s="30"/>
      <c r="E218" s="28"/>
      <c r="F218" s="19"/>
      <c r="G218" s="6"/>
      <c r="H218" s="6"/>
      <c r="I218" s="6"/>
      <c r="J218" s="6"/>
      <c r="K218" s="6"/>
      <c r="L218" s="6"/>
      <c r="M218" s="6"/>
      <c r="N218" s="6"/>
      <c r="O218" s="6"/>
      <c r="P218" s="6"/>
      <c r="Q218" s="6"/>
      <c r="R218" s="6"/>
      <c r="S218" s="6"/>
      <c r="T218" s="6"/>
      <c r="U218" s="6"/>
      <c r="V218" s="6"/>
      <c r="W218" s="6"/>
      <c r="X218" s="6"/>
      <c r="Y218" s="6"/>
      <c r="Z218" s="6"/>
      <c r="AA218" s="6"/>
      <c r="AB218" s="6"/>
      <c r="AC218" s="6"/>
    </row>
    <row r="219" ht="14.25" customHeight="1">
      <c r="A219" s="28"/>
      <c r="B219" s="28"/>
      <c r="C219" s="29"/>
      <c r="D219" s="30"/>
      <c r="E219" s="28"/>
      <c r="F219" s="19"/>
      <c r="G219" s="6"/>
      <c r="H219" s="6"/>
      <c r="I219" s="6"/>
      <c r="J219" s="6"/>
      <c r="K219" s="6"/>
      <c r="L219" s="6"/>
      <c r="M219" s="6"/>
      <c r="N219" s="6"/>
      <c r="O219" s="6"/>
      <c r="P219" s="6"/>
      <c r="Q219" s="6"/>
      <c r="R219" s="6"/>
      <c r="S219" s="6"/>
      <c r="T219" s="6"/>
      <c r="U219" s="6"/>
      <c r="V219" s="6"/>
      <c r="W219" s="6"/>
      <c r="X219" s="6"/>
      <c r="Y219" s="6"/>
      <c r="Z219" s="6"/>
      <c r="AA219" s="6"/>
      <c r="AB219" s="6"/>
      <c r="AC219" s="6"/>
    </row>
    <row r="220" ht="14.25" customHeight="1">
      <c r="A220" s="28"/>
      <c r="B220" s="28"/>
      <c r="C220" s="29"/>
      <c r="D220" s="30"/>
      <c r="E220" s="28"/>
      <c r="F220" s="19"/>
      <c r="G220" s="6"/>
      <c r="H220" s="6"/>
      <c r="I220" s="6"/>
      <c r="J220" s="6"/>
      <c r="K220" s="6"/>
      <c r="L220" s="6"/>
      <c r="M220" s="6"/>
      <c r="N220" s="6"/>
      <c r="O220" s="6"/>
      <c r="P220" s="6"/>
      <c r="Q220" s="6"/>
      <c r="R220" s="6"/>
      <c r="S220" s="6"/>
      <c r="T220" s="6"/>
      <c r="U220" s="6"/>
      <c r="V220" s="6"/>
      <c r="W220" s="6"/>
      <c r="X220" s="6"/>
      <c r="Y220" s="6"/>
      <c r="Z220" s="6"/>
      <c r="AA220" s="6"/>
      <c r="AB220" s="6"/>
      <c r="AC220" s="6"/>
    </row>
    <row r="221" ht="14.25" customHeight="1">
      <c r="A221" s="28"/>
      <c r="B221" s="28"/>
      <c r="C221" s="29"/>
      <c r="D221" s="30"/>
      <c r="E221" s="28"/>
      <c r="F221" s="19"/>
      <c r="G221" s="6"/>
      <c r="H221" s="6"/>
      <c r="I221" s="6"/>
      <c r="J221" s="6"/>
      <c r="K221" s="6"/>
      <c r="L221" s="6"/>
      <c r="M221" s="6"/>
      <c r="N221" s="6"/>
      <c r="O221" s="6"/>
      <c r="P221" s="6"/>
      <c r="Q221" s="6"/>
      <c r="R221" s="6"/>
      <c r="S221" s="6"/>
      <c r="T221" s="6"/>
      <c r="U221" s="6"/>
      <c r="V221" s="6"/>
      <c r="W221" s="6"/>
      <c r="X221" s="6"/>
      <c r="Y221" s="6"/>
      <c r="Z221" s="6"/>
      <c r="AA221" s="6"/>
      <c r="AB221" s="6"/>
      <c r="AC221" s="6"/>
    </row>
    <row r="222" ht="14.25" customHeight="1">
      <c r="A222" s="28"/>
      <c r="B222" s="28"/>
      <c r="C222" s="29"/>
      <c r="D222" s="30"/>
      <c r="E222" s="28"/>
      <c r="F222" s="19"/>
      <c r="G222" s="6"/>
      <c r="H222" s="6"/>
      <c r="I222" s="6"/>
      <c r="J222" s="6"/>
      <c r="K222" s="6"/>
      <c r="L222" s="6"/>
      <c r="M222" s="6"/>
      <c r="N222" s="6"/>
      <c r="O222" s="6"/>
      <c r="P222" s="6"/>
      <c r="Q222" s="6"/>
      <c r="R222" s="6"/>
      <c r="S222" s="6"/>
      <c r="T222" s="6"/>
      <c r="U222" s="6"/>
      <c r="V222" s="6"/>
      <c r="W222" s="6"/>
      <c r="X222" s="6"/>
      <c r="Y222" s="6"/>
      <c r="Z222" s="6"/>
      <c r="AA222" s="6"/>
      <c r="AB222" s="6"/>
      <c r="AC222" s="6"/>
    </row>
    <row r="223" ht="14.25" customHeight="1">
      <c r="A223" s="28"/>
      <c r="B223" s="28"/>
      <c r="C223" s="29"/>
      <c r="D223" s="30"/>
      <c r="E223" s="28"/>
      <c r="F223" s="19"/>
      <c r="G223" s="6"/>
      <c r="H223" s="6"/>
      <c r="I223" s="6"/>
      <c r="J223" s="6"/>
      <c r="K223" s="6"/>
      <c r="L223" s="6"/>
      <c r="M223" s="6"/>
      <c r="N223" s="6"/>
      <c r="O223" s="6"/>
      <c r="P223" s="6"/>
      <c r="Q223" s="6"/>
      <c r="R223" s="6"/>
      <c r="S223" s="6"/>
      <c r="T223" s="6"/>
      <c r="U223" s="6"/>
      <c r="V223" s="6"/>
      <c r="W223" s="6"/>
      <c r="X223" s="6"/>
      <c r="Y223" s="6"/>
      <c r="Z223" s="6"/>
      <c r="AA223" s="6"/>
      <c r="AB223" s="6"/>
      <c r="AC223" s="6"/>
    </row>
    <row r="224" ht="14.25" customHeight="1">
      <c r="A224" s="28"/>
      <c r="B224" s="28"/>
      <c r="C224" s="29"/>
      <c r="D224" s="30"/>
      <c r="E224" s="28"/>
      <c r="F224" s="19"/>
      <c r="G224" s="6"/>
      <c r="H224" s="6"/>
      <c r="I224" s="6"/>
      <c r="J224" s="6"/>
      <c r="K224" s="6"/>
      <c r="L224" s="6"/>
      <c r="M224" s="6"/>
      <c r="N224" s="6"/>
      <c r="O224" s="6"/>
      <c r="P224" s="6"/>
      <c r="Q224" s="6"/>
      <c r="R224" s="6"/>
      <c r="S224" s="6"/>
      <c r="T224" s="6"/>
      <c r="U224" s="6"/>
      <c r="V224" s="6"/>
      <c r="W224" s="6"/>
      <c r="X224" s="6"/>
      <c r="Y224" s="6"/>
      <c r="Z224" s="6"/>
      <c r="AA224" s="6"/>
      <c r="AB224" s="6"/>
      <c r="AC224" s="6"/>
    </row>
    <row r="225" ht="14.25" customHeight="1">
      <c r="A225" s="28"/>
      <c r="B225" s="28"/>
      <c r="C225" s="29"/>
      <c r="D225" s="30"/>
      <c r="E225" s="28"/>
      <c r="F225" s="19"/>
      <c r="G225" s="6"/>
      <c r="H225" s="6"/>
      <c r="I225" s="6"/>
      <c r="J225" s="6"/>
      <c r="K225" s="6"/>
      <c r="L225" s="6"/>
      <c r="M225" s="6"/>
      <c r="N225" s="6"/>
      <c r="O225" s="6"/>
      <c r="P225" s="6"/>
      <c r="Q225" s="6"/>
      <c r="R225" s="6"/>
      <c r="S225" s="6"/>
      <c r="T225" s="6"/>
      <c r="U225" s="6"/>
      <c r="V225" s="6"/>
      <c r="W225" s="6"/>
      <c r="X225" s="6"/>
      <c r="Y225" s="6"/>
      <c r="Z225" s="6"/>
      <c r="AA225" s="6"/>
      <c r="AB225" s="6"/>
      <c r="AC225" s="6"/>
    </row>
    <row r="226" ht="14.25" customHeight="1">
      <c r="A226" s="28"/>
      <c r="B226" s="28"/>
      <c r="C226" s="29"/>
      <c r="D226" s="30"/>
      <c r="E226" s="28"/>
      <c r="F226" s="19"/>
      <c r="G226" s="6"/>
      <c r="H226" s="6"/>
      <c r="I226" s="6"/>
      <c r="J226" s="6"/>
      <c r="K226" s="6"/>
      <c r="L226" s="6"/>
      <c r="M226" s="6"/>
      <c r="N226" s="6"/>
      <c r="O226" s="6"/>
      <c r="P226" s="6"/>
      <c r="Q226" s="6"/>
      <c r="R226" s="6"/>
      <c r="S226" s="6"/>
      <c r="T226" s="6"/>
      <c r="U226" s="6"/>
      <c r="V226" s="6"/>
      <c r="W226" s="6"/>
      <c r="X226" s="6"/>
      <c r="Y226" s="6"/>
      <c r="Z226" s="6"/>
      <c r="AA226" s="6"/>
      <c r="AB226" s="6"/>
      <c r="AC226" s="6"/>
    </row>
    <row r="227" ht="14.25" customHeight="1">
      <c r="A227" s="28"/>
      <c r="B227" s="28"/>
      <c r="C227" s="29"/>
      <c r="D227" s="30"/>
      <c r="E227" s="28"/>
      <c r="F227" s="19"/>
      <c r="G227" s="6"/>
      <c r="H227" s="6"/>
      <c r="I227" s="6"/>
      <c r="J227" s="6"/>
      <c r="K227" s="6"/>
      <c r="L227" s="6"/>
      <c r="M227" s="6"/>
      <c r="N227" s="6"/>
      <c r="O227" s="6"/>
      <c r="P227" s="6"/>
      <c r="Q227" s="6"/>
      <c r="R227" s="6"/>
      <c r="S227" s="6"/>
      <c r="T227" s="6"/>
      <c r="U227" s="6"/>
      <c r="V227" s="6"/>
      <c r="W227" s="6"/>
      <c r="X227" s="6"/>
      <c r="Y227" s="6"/>
      <c r="Z227" s="6"/>
      <c r="AA227" s="6"/>
      <c r="AB227" s="6"/>
      <c r="AC227" s="6"/>
    </row>
    <row r="228" ht="14.25" customHeight="1">
      <c r="A228" s="28"/>
      <c r="B228" s="28"/>
      <c r="C228" s="29"/>
      <c r="D228" s="30"/>
      <c r="E228" s="28"/>
      <c r="F228" s="19"/>
      <c r="G228" s="6"/>
      <c r="H228" s="6"/>
      <c r="I228" s="6"/>
      <c r="J228" s="6"/>
      <c r="K228" s="6"/>
      <c r="L228" s="6"/>
      <c r="M228" s="6"/>
      <c r="N228" s="6"/>
      <c r="O228" s="6"/>
      <c r="P228" s="6"/>
      <c r="Q228" s="6"/>
      <c r="R228" s="6"/>
      <c r="S228" s="6"/>
      <c r="T228" s="6"/>
      <c r="U228" s="6"/>
      <c r="V228" s="6"/>
      <c r="W228" s="6"/>
      <c r="X228" s="6"/>
      <c r="Y228" s="6"/>
      <c r="Z228" s="6"/>
      <c r="AA228" s="6"/>
      <c r="AB228" s="6"/>
      <c r="AC228" s="6"/>
    </row>
    <row r="229" ht="14.25" customHeight="1">
      <c r="A229" s="28"/>
      <c r="B229" s="28"/>
      <c r="C229" s="29"/>
      <c r="D229" s="30"/>
      <c r="E229" s="28"/>
      <c r="F229" s="19"/>
      <c r="G229" s="6"/>
      <c r="H229" s="6"/>
      <c r="I229" s="6"/>
      <c r="J229" s="6"/>
      <c r="K229" s="6"/>
      <c r="L229" s="6"/>
      <c r="M229" s="6"/>
      <c r="N229" s="6"/>
      <c r="O229" s="6"/>
      <c r="P229" s="6"/>
      <c r="Q229" s="6"/>
      <c r="R229" s="6"/>
      <c r="S229" s="6"/>
      <c r="T229" s="6"/>
      <c r="U229" s="6"/>
      <c r="V229" s="6"/>
      <c r="W229" s="6"/>
      <c r="X229" s="6"/>
      <c r="Y229" s="6"/>
      <c r="Z229" s="6"/>
      <c r="AA229" s="6"/>
      <c r="AB229" s="6"/>
      <c r="AC229" s="6"/>
    </row>
    <row r="230" ht="14.25" customHeight="1">
      <c r="A230" s="28"/>
      <c r="B230" s="28"/>
      <c r="C230" s="29"/>
      <c r="D230" s="30"/>
      <c r="E230" s="28"/>
      <c r="F230" s="19"/>
      <c r="G230" s="6"/>
      <c r="H230" s="6"/>
      <c r="I230" s="6"/>
      <c r="J230" s="6"/>
      <c r="K230" s="6"/>
      <c r="L230" s="6"/>
      <c r="M230" s="6"/>
      <c r="N230" s="6"/>
      <c r="O230" s="6"/>
      <c r="P230" s="6"/>
      <c r="Q230" s="6"/>
      <c r="R230" s="6"/>
      <c r="S230" s="6"/>
      <c r="T230" s="6"/>
      <c r="U230" s="6"/>
      <c r="V230" s="6"/>
      <c r="W230" s="6"/>
      <c r="X230" s="6"/>
      <c r="Y230" s="6"/>
      <c r="Z230" s="6"/>
      <c r="AA230" s="6"/>
      <c r="AB230" s="6"/>
      <c r="AC230" s="6"/>
    </row>
    <row r="231" ht="14.25" customHeight="1">
      <c r="A231" s="28"/>
      <c r="B231" s="28"/>
      <c r="C231" s="29"/>
      <c r="D231" s="30"/>
      <c r="E231" s="28"/>
      <c r="F231" s="19"/>
      <c r="G231" s="6"/>
      <c r="H231" s="6"/>
      <c r="I231" s="6"/>
      <c r="J231" s="6"/>
      <c r="K231" s="6"/>
      <c r="L231" s="6"/>
      <c r="M231" s="6"/>
      <c r="N231" s="6"/>
      <c r="O231" s="6"/>
      <c r="P231" s="6"/>
      <c r="Q231" s="6"/>
      <c r="R231" s="6"/>
      <c r="S231" s="6"/>
      <c r="T231" s="6"/>
      <c r="U231" s="6"/>
      <c r="V231" s="6"/>
      <c r="W231" s="6"/>
      <c r="X231" s="6"/>
      <c r="Y231" s="6"/>
      <c r="Z231" s="6"/>
      <c r="AA231" s="6"/>
      <c r="AB231" s="6"/>
      <c r="AC231" s="6"/>
    </row>
    <row r="232" ht="14.25" customHeight="1">
      <c r="A232" s="28"/>
      <c r="B232" s="28"/>
      <c r="C232" s="29"/>
      <c r="D232" s="30"/>
      <c r="E232" s="28"/>
      <c r="F232" s="19"/>
      <c r="G232" s="6"/>
      <c r="H232" s="6"/>
      <c r="I232" s="6"/>
      <c r="J232" s="6"/>
      <c r="K232" s="6"/>
      <c r="L232" s="6"/>
      <c r="M232" s="6"/>
      <c r="N232" s="6"/>
      <c r="O232" s="6"/>
      <c r="P232" s="6"/>
      <c r="Q232" s="6"/>
      <c r="R232" s="6"/>
      <c r="S232" s="6"/>
      <c r="T232" s="6"/>
      <c r="U232" s="6"/>
      <c r="V232" s="6"/>
      <c r="W232" s="6"/>
      <c r="X232" s="6"/>
      <c r="Y232" s="6"/>
      <c r="Z232" s="6"/>
      <c r="AA232" s="6"/>
      <c r="AB232" s="6"/>
      <c r="AC232" s="6"/>
    </row>
    <row r="233" ht="14.25" customHeight="1">
      <c r="A233" s="28"/>
      <c r="B233" s="28"/>
      <c r="C233" s="29"/>
      <c r="D233" s="30"/>
      <c r="E233" s="28"/>
      <c r="F233" s="19"/>
      <c r="G233" s="6"/>
      <c r="H233" s="6"/>
      <c r="I233" s="6"/>
      <c r="J233" s="6"/>
      <c r="K233" s="6"/>
      <c r="L233" s="6"/>
      <c r="M233" s="6"/>
      <c r="N233" s="6"/>
      <c r="O233" s="6"/>
      <c r="P233" s="6"/>
      <c r="Q233" s="6"/>
      <c r="R233" s="6"/>
      <c r="S233" s="6"/>
      <c r="T233" s="6"/>
      <c r="U233" s="6"/>
      <c r="V233" s="6"/>
      <c r="W233" s="6"/>
      <c r="X233" s="6"/>
      <c r="Y233" s="6"/>
      <c r="Z233" s="6"/>
      <c r="AA233" s="6"/>
      <c r="AB233" s="6"/>
      <c r="AC233" s="6"/>
    </row>
    <row r="234" ht="14.25" customHeight="1">
      <c r="A234" s="28"/>
      <c r="B234" s="28"/>
      <c r="C234" s="29"/>
      <c r="D234" s="30"/>
      <c r="E234" s="28"/>
      <c r="F234" s="19"/>
      <c r="G234" s="6"/>
      <c r="H234" s="6"/>
      <c r="I234" s="6"/>
      <c r="J234" s="6"/>
      <c r="K234" s="6"/>
      <c r="L234" s="6"/>
      <c r="M234" s="6"/>
      <c r="N234" s="6"/>
      <c r="O234" s="6"/>
      <c r="P234" s="6"/>
      <c r="Q234" s="6"/>
      <c r="R234" s="6"/>
      <c r="S234" s="6"/>
      <c r="T234" s="6"/>
      <c r="U234" s="6"/>
      <c r="V234" s="6"/>
      <c r="W234" s="6"/>
      <c r="X234" s="6"/>
      <c r="Y234" s="6"/>
      <c r="Z234" s="6"/>
      <c r="AA234" s="6"/>
      <c r="AB234" s="6"/>
      <c r="AC234" s="6"/>
    </row>
    <row r="235" ht="14.25" customHeight="1">
      <c r="A235" s="28"/>
      <c r="B235" s="28"/>
      <c r="C235" s="29"/>
      <c r="D235" s="30"/>
      <c r="E235" s="28"/>
      <c r="F235" s="19"/>
      <c r="G235" s="6"/>
      <c r="H235" s="6"/>
      <c r="I235" s="6"/>
      <c r="J235" s="6"/>
      <c r="K235" s="6"/>
      <c r="L235" s="6"/>
      <c r="M235" s="6"/>
      <c r="N235" s="6"/>
      <c r="O235" s="6"/>
      <c r="P235" s="6"/>
      <c r="Q235" s="6"/>
      <c r="R235" s="6"/>
      <c r="S235" s="6"/>
      <c r="T235" s="6"/>
      <c r="U235" s="6"/>
      <c r="V235" s="6"/>
      <c r="W235" s="6"/>
      <c r="X235" s="6"/>
      <c r="Y235" s="6"/>
      <c r="Z235" s="6"/>
      <c r="AA235" s="6"/>
      <c r="AB235" s="6"/>
      <c r="AC235" s="6"/>
    </row>
    <row r="236" ht="14.25" customHeight="1">
      <c r="A236" s="28"/>
      <c r="B236" s="28"/>
      <c r="C236" s="29"/>
      <c r="D236" s="30"/>
      <c r="E236" s="28"/>
      <c r="F236" s="19"/>
      <c r="G236" s="6"/>
      <c r="H236" s="6"/>
      <c r="I236" s="6"/>
      <c r="J236" s="6"/>
      <c r="K236" s="6"/>
      <c r="L236" s="6"/>
      <c r="M236" s="6"/>
      <c r="N236" s="6"/>
      <c r="O236" s="6"/>
      <c r="P236" s="6"/>
      <c r="Q236" s="6"/>
      <c r="R236" s="6"/>
      <c r="S236" s="6"/>
      <c r="T236" s="6"/>
      <c r="U236" s="6"/>
      <c r="V236" s="6"/>
      <c r="W236" s="6"/>
      <c r="X236" s="6"/>
      <c r="Y236" s="6"/>
      <c r="Z236" s="6"/>
      <c r="AA236" s="6"/>
      <c r="AB236" s="6"/>
      <c r="AC236" s="6"/>
    </row>
    <row r="237" ht="14.25" customHeight="1">
      <c r="A237" s="28"/>
      <c r="B237" s="28"/>
      <c r="C237" s="29"/>
      <c r="D237" s="30"/>
      <c r="E237" s="28"/>
      <c r="F237" s="19"/>
      <c r="G237" s="6"/>
      <c r="H237" s="6"/>
      <c r="I237" s="6"/>
      <c r="J237" s="6"/>
      <c r="K237" s="6"/>
      <c r="L237" s="6"/>
      <c r="M237" s="6"/>
      <c r="N237" s="6"/>
      <c r="O237" s="6"/>
      <c r="P237" s="6"/>
      <c r="Q237" s="6"/>
      <c r="R237" s="6"/>
      <c r="S237" s="6"/>
      <c r="T237" s="6"/>
      <c r="U237" s="6"/>
      <c r="V237" s="6"/>
      <c r="W237" s="6"/>
      <c r="X237" s="6"/>
      <c r="Y237" s="6"/>
      <c r="Z237" s="6"/>
      <c r="AA237" s="6"/>
      <c r="AB237" s="6"/>
      <c r="AC237" s="6"/>
    </row>
    <row r="238" ht="14.25" customHeight="1">
      <c r="A238" s="28"/>
      <c r="B238" s="28"/>
      <c r="C238" s="29"/>
      <c r="D238" s="30"/>
      <c r="E238" s="28"/>
      <c r="F238" s="19"/>
      <c r="G238" s="6"/>
      <c r="H238" s="6"/>
      <c r="I238" s="6"/>
      <c r="J238" s="6"/>
      <c r="K238" s="6"/>
      <c r="L238" s="6"/>
      <c r="M238" s="6"/>
      <c r="N238" s="6"/>
      <c r="O238" s="6"/>
      <c r="P238" s="6"/>
      <c r="Q238" s="6"/>
      <c r="R238" s="6"/>
      <c r="S238" s="6"/>
      <c r="T238" s="6"/>
      <c r="U238" s="6"/>
      <c r="V238" s="6"/>
      <c r="W238" s="6"/>
      <c r="X238" s="6"/>
      <c r="Y238" s="6"/>
      <c r="Z238" s="6"/>
      <c r="AA238" s="6"/>
      <c r="AB238" s="6"/>
      <c r="AC238" s="6"/>
    </row>
    <row r="239" ht="14.25" customHeight="1">
      <c r="A239" s="28"/>
      <c r="B239" s="28"/>
      <c r="C239" s="29"/>
      <c r="D239" s="30"/>
      <c r="E239" s="28"/>
      <c r="F239" s="19"/>
      <c r="G239" s="6"/>
      <c r="H239" s="6"/>
      <c r="I239" s="6"/>
      <c r="J239" s="6"/>
      <c r="K239" s="6"/>
      <c r="L239" s="6"/>
      <c r="M239" s="6"/>
      <c r="N239" s="6"/>
      <c r="O239" s="6"/>
      <c r="P239" s="6"/>
      <c r="Q239" s="6"/>
      <c r="R239" s="6"/>
      <c r="S239" s="6"/>
      <c r="T239" s="6"/>
      <c r="U239" s="6"/>
      <c r="V239" s="6"/>
      <c r="W239" s="6"/>
      <c r="X239" s="6"/>
      <c r="Y239" s="6"/>
      <c r="Z239" s="6"/>
      <c r="AA239" s="6"/>
      <c r="AB239" s="6"/>
      <c r="AC239" s="6"/>
    </row>
    <row r="240" ht="14.25" customHeight="1">
      <c r="A240" s="28"/>
      <c r="B240" s="28"/>
      <c r="C240" s="29"/>
      <c r="D240" s="30"/>
      <c r="E240" s="28"/>
      <c r="F240" s="19"/>
      <c r="G240" s="6"/>
      <c r="H240" s="6"/>
      <c r="I240" s="6"/>
      <c r="J240" s="6"/>
      <c r="K240" s="6"/>
      <c r="L240" s="6"/>
      <c r="M240" s="6"/>
      <c r="N240" s="6"/>
      <c r="O240" s="6"/>
      <c r="P240" s="6"/>
      <c r="Q240" s="6"/>
      <c r="R240" s="6"/>
      <c r="S240" s="6"/>
      <c r="T240" s="6"/>
      <c r="U240" s="6"/>
      <c r="V240" s="6"/>
      <c r="W240" s="6"/>
      <c r="X240" s="6"/>
      <c r="Y240" s="6"/>
      <c r="Z240" s="6"/>
      <c r="AA240" s="6"/>
      <c r="AB240" s="6"/>
      <c r="AC240" s="6"/>
    </row>
    <row r="241" ht="14.25" customHeight="1">
      <c r="A241" s="28"/>
      <c r="B241" s="28"/>
      <c r="C241" s="29"/>
      <c r="D241" s="30"/>
      <c r="E241" s="28"/>
      <c r="F241" s="19"/>
      <c r="G241" s="6"/>
      <c r="H241" s="6"/>
      <c r="I241" s="6"/>
      <c r="J241" s="6"/>
      <c r="K241" s="6"/>
      <c r="L241" s="6"/>
      <c r="M241" s="6"/>
      <c r="N241" s="6"/>
      <c r="O241" s="6"/>
      <c r="P241" s="6"/>
      <c r="Q241" s="6"/>
      <c r="R241" s="6"/>
      <c r="S241" s="6"/>
      <c r="T241" s="6"/>
      <c r="U241" s="6"/>
      <c r="V241" s="6"/>
      <c r="W241" s="6"/>
      <c r="X241" s="6"/>
      <c r="Y241" s="6"/>
      <c r="Z241" s="6"/>
      <c r="AA241" s="6"/>
      <c r="AB241" s="6"/>
      <c r="AC241" s="6"/>
    </row>
    <row r="242" ht="14.25" customHeight="1">
      <c r="A242" s="28"/>
      <c r="B242" s="28"/>
      <c r="C242" s="29"/>
      <c r="D242" s="30"/>
      <c r="E242" s="28"/>
      <c r="F242" s="19"/>
      <c r="G242" s="6"/>
      <c r="H242" s="6"/>
      <c r="I242" s="6"/>
      <c r="J242" s="6"/>
      <c r="K242" s="6"/>
      <c r="L242" s="6"/>
      <c r="M242" s="6"/>
      <c r="N242" s="6"/>
      <c r="O242" s="6"/>
      <c r="P242" s="6"/>
      <c r="Q242" s="6"/>
      <c r="R242" s="6"/>
      <c r="S242" s="6"/>
      <c r="T242" s="6"/>
      <c r="U242" s="6"/>
      <c r="V242" s="6"/>
      <c r="W242" s="6"/>
      <c r="X242" s="6"/>
      <c r="Y242" s="6"/>
      <c r="Z242" s="6"/>
      <c r="AA242" s="6"/>
      <c r="AB242" s="6"/>
      <c r="AC242" s="6"/>
    </row>
    <row r="243" ht="14.25" customHeight="1">
      <c r="A243" s="28"/>
      <c r="B243" s="28"/>
      <c r="C243" s="29"/>
      <c r="D243" s="30"/>
      <c r="E243" s="28"/>
      <c r="F243" s="19"/>
      <c r="G243" s="6"/>
      <c r="H243" s="6"/>
      <c r="I243" s="6"/>
      <c r="J243" s="6"/>
      <c r="K243" s="6"/>
      <c r="L243" s="6"/>
      <c r="M243" s="6"/>
      <c r="N243" s="6"/>
      <c r="O243" s="6"/>
      <c r="P243" s="6"/>
      <c r="Q243" s="6"/>
      <c r="R243" s="6"/>
      <c r="S243" s="6"/>
      <c r="T243" s="6"/>
      <c r="U243" s="6"/>
      <c r="V243" s="6"/>
      <c r="W243" s="6"/>
      <c r="X243" s="6"/>
      <c r="Y243" s="6"/>
      <c r="Z243" s="6"/>
      <c r="AA243" s="6"/>
      <c r="AB243" s="6"/>
      <c r="AC243" s="6"/>
    </row>
    <row r="244" ht="14.25" customHeight="1">
      <c r="A244" s="28"/>
      <c r="B244" s="28"/>
      <c r="C244" s="29"/>
      <c r="D244" s="30"/>
      <c r="E244" s="28"/>
      <c r="F244" s="19"/>
      <c r="G244" s="6"/>
      <c r="H244" s="6"/>
      <c r="I244" s="6"/>
      <c r="J244" s="6"/>
      <c r="K244" s="6"/>
      <c r="L244" s="6"/>
      <c r="M244" s="6"/>
      <c r="N244" s="6"/>
      <c r="O244" s="6"/>
      <c r="P244" s="6"/>
      <c r="Q244" s="6"/>
      <c r="R244" s="6"/>
      <c r="S244" s="6"/>
      <c r="T244" s="6"/>
      <c r="U244" s="6"/>
      <c r="V244" s="6"/>
      <c r="W244" s="6"/>
      <c r="X244" s="6"/>
      <c r="Y244" s="6"/>
      <c r="Z244" s="6"/>
      <c r="AA244" s="6"/>
      <c r="AB244" s="6"/>
      <c r="AC244" s="6"/>
    </row>
    <row r="245" ht="14.25" customHeight="1">
      <c r="A245" s="28"/>
      <c r="B245" s="28"/>
      <c r="C245" s="29"/>
      <c r="D245" s="30"/>
      <c r="E245" s="28"/>
      <c r="F245" s="19"/>
      <c r="G245" s="6"/>
      <c r="H245" s="6"/>
      <c r="I245" s="6"/>
      <c r="J245" s="6"/>
      <c r="K245" s="6"/>
      <c r="L245" s="6"/>
      <c r="M245" s="6"/>
      <c r="N245" s="6"/>
      <c r="O245" s="6"/>
      <c r="P245" s="6"/>
      <c r="Q245" s="6"/>
      <c r="R245" s="6"/>
      <c r="S245" s="6"/>
      <c r="T245" s="6"/>
      <c r="U245" s="6"/>
      <c r="V245" s="6"/>
      <c r="W245" s="6"/>
      <c r="X245" s="6"/>
      <c r="Y245" s="6"/>
      <c r="Z245" s="6"/>
      <c r="AA245" s="6"/>
      <c r="AB245" s="6"/>
      <c r="AC245" s="6"/>
    </row>
    <row r="246" ht="14.25" customHeight="1">
      <c r="A246" s="28"/>
      <c r="B246" s="28"/>
      <c r="C246" s="29"/>
      <c r="D246" s="30"/>
      <c r="E246" s="28"/>
      <c r="F246" s="19"/>
      <c r="G246" s="6"/>
      <c r="H246" s="6"/>
      <c r="I246" s="6"/>
      <c r="J246" s="6"/>
      <c r="K246" s="6"/>
      <c r="L246" s="6"/>
      <c r="M246" s="6"/>
      <c r="N246" s="6"/>
      <c r="O246" s="6"/>
      <c r="P246" s="6"/>
      <c r="Q246" s="6"/>
      <c r="R246" s="6"/>
      <c r="S246" s="6"/>
      <c r="T246" s="6"/>
      <c r="U246" s="6"/>
      <c r="V246" s="6"/>
      <c r="W246" s="6"/>
      <c r="X246" s="6"/>
      <c r="Y246" s="6"/>
      <c r="Z246" s="6"/>
      <c r="AA246" s="6"/>
      <c r="AB246" s="6"/>
      <c r="AC246" s="6"/>
    </row>
    <row r="247" ht="14.25" customHeight="1">
      <c r="A247" s="28"/>
      <c r="B247" s="28"/>
      <c r="C247" s="29"/>
      <c r="D247" s="30"/>
      <c r="E247" s="28"/>
      <c r="F247" s="19"/>
      <c r="G247" s="6"/>
      <c r="H247" s="6"/>
      <c r="I247" s="6"/>
      <c r="J247" s="6"/>
      <c r="K247" s="6"/>
      <c r="L247" s="6"/>
      <c r="M247" s="6"/>
      <c r="N247" s="6"/>
      <c r="O247" s="6"/>
      <c r="P247" s="6"/>
      <c r="Q247" s="6"/>
      <c r="R247" s="6"/>
      <c r="S247" s="6"/>
      <c r="T247" s="6"/>
      <c r="U247" s="6"/>
      <c r="V247" s="6"/>
      <c r="W247" s="6"/>
      <c r="X247" s="6"/>
      <c r="Y247" s="6"/>
      <c r="Z247" s="6"/>
      <c r="AA247" s="6"/>
      <c r="AB247" s="6"/>
      <c r="AC247" s="6"/>
    </row>
    <row r="248" ht="14.25" customHeight="1">
      <c r="A248" s="28"/>
      <c r="B248" s="28"/>
      <c r="C248" s="29"/>
      <c r="D248" s="30"/>
      <c r="E248" s="28"/>
      <c r="F248" s="19"/>
      <c r="G248" s="6"/>
      <c r="H248" s="6"/>
      <c r="I248" s="6"/>
      <c r="J248" s="6"/>
      <c r="K248" s="6"/>
      <c r="L248" s="6"/>
      <c r="M248" s="6"/>
      <c r="N248" s="6"/>
      <c r="O248" s="6"/>
      <c r="P248" s="6"/>
      <c r="Q248" s="6"/>
      <c r="R248" s="6"/>
      <c r="S248" s="6"/>
      <c r="T248" s="6"/>
      <c r="U248" s="6"/>
      <c r="V248" s="6"/>
      <c r="W248" s="6"/>
      <c r="X248" s="6"/>
      <c r="Y248" s="6"/>
      <c r="Z248" s="6"/>
      <c r="AA248" s="6"/>
      <c r="AB248" s="6"/>
      <c r="AC248" s="6"/>
    </row>
    <row r="249" ht="14.25" customHeight="1">
      <c r="A249" s="28"/>
      <c r="B249" s="28"/>
      <c r="C249" s="29"/>
      <c r="D249" s="30"/>
      <c r="E249" s="28"/>
      <c r="F249" s="19"/>
      <c r="G249" s="6"/>
      <c r="H249" s="6"/>
      <c r="I249" s="6"/>
      <c r="J249" s="6"/>
      <c r="K249" s="6"/>
      <c r="L249" s="6"/>
      <c r="M249" s="6"/>
      <c r="N249" s="6"/>
      <c r="O249" s="6"/>
      <c r="P249" s="6"/>
      <c r="Q249" s="6"/>
      <c r="R249" s="6"/>
      <c r="S249" s="6"/>
      <c r="T249" s="6"/>
      <c r="U249" s="6"/>
      <c r="V249" s="6"/>
      <c r="W249" s="6"/>
      <c r="X249" s="6"/>
      <c r="Y249" s="6"/>
      <c r="Z249" s="6"/>
      <c r="AA249" s="6"/>
      <c r="AB249" s="6"/>
      <c r="AC249" s="6"/>
    </row>
    <row r="250" ht="14.25" customHeight="1">
      <c r="A250" s="28"/>
      <c r="B250" s="28"/>
      <c r="C250" s="29"/>
      <c r="D250" s="30"/>
      <c r="E250" s="28"/>
      <c r="F250" s="19"/>
      <c r="G250" s="6"/>
      <c r="H250" s="6"/>
      <c r="I250" s="6"/>
      <c r="J250" s="6"/>
      <c r="K250" s="6"/>
      <c r="L250" s="6"/>
      <c r="M250" s="6"/>
      <c r="N250" s="6"/>
      <c r="O250" s="6"/>
      <c r="P250" s="6"/>
      <c r="Q250" s="6"/>
      <c r="R250" s="6"/>
      <c r="S250" s="6"/>
      <c r="T250" s="6"/>
      <c r="U250" s="6"/>
      <c r="V250" s="6"/>
      <c r="W250" s="6"/>
      <c r="X250" s="6"/>
      <c r="Y250" s="6"/>
      <c r="Z250" s="6"/>
      <c r="AA250" s="6"/>
      <c r="AB250" s="6"/>
      <c r="AC250" s="6"/>
    </row>
    <row r="251" ht="14.25" customHeight="1">
      <c r="A251" s="28"/>
      <c r="B251" s="28"/>
      <c r="C251" s="29"/>
      <c r="D251" s="30"/>
      <c r="E251" s="28"/>
      <c r="F251" s="19"/>
      <c r="G251" s="6"/>
      <c r="H251" s="6"/>
      <c r="I251" s="6"/>
      <c r="J251" s="6"/>
      <c r="K251" s="6"/>
      <c r="L251" s="6"/>
      <c r="M251" s="6"/>
      <c r="N251" s="6"/>
      <c r="O251" s="6"/>
      <c r="P251" s="6"/>
      <c r="Q251" s="6"/>
      <c r="R251" s="6"/>
      <c r="S251" s="6"/>
      <c r="T251" s="6"/>
      <c r="U251" s="6"/>
      <c r="V251" s="6"/>
      <c r="W251" s="6"/>
      <c r="X251" s="6"/>
      <c r="Y251" s="6"/>
      <c r="Z251" s="6"/>
      <c r="AA251" s="6"/>
      <c r="AB251" s="6"/>
      <c r="AC251" s="6"/>
    </row>
    <row r="252" ht="14.25" customHeight="1">
      <c r="A252" s="28"/>
      <c r="B252" s="28"/>
      <c r="C252" s="29"/>
      <c r="D252" s="30"/>
      <c r="E252" s="28"/>
      <c r="F252" s="19"/>
      <c r="G252" s="6"/>
      <c r="H252" s="6"/>
      <c r="I252" s="6"/>
      <c r="J252" s="6"/>
      <c r="K252" s="6"/>
      <c r="L252" s="6"/>
      <c r="M252" s="6"/>
      <c r="N252" s="6"/>
      <c r="O252" s="6"/>
      <c r="P252" s="6"/>
      <c r="Q252" s="6"/>
      <c r="R252" s="6"/>
      <c r="S252" s="6"/>
      <c r="T252" s="6"/>
      <c r="U252" s="6"/>
      <c r="V252" s="6"/>
      <c r="W252" s="6"/>
      <c r="X252" s="6"/>
      <c r="Y252" s="6"/>
      <c r="Z252" s="6"/>
      <c r="AA252" s="6"/>
      <c r="AB252" s="6"/>
      <c r="AC252" s="6"/>
    </row>
    <row r="253" ht="14.25" customHeight="1">
      <c r="A253" s="28"/>
      <c r="B253" s="28"/>
      <c r="C253" s="29"/>
      <c r="D253" s="30"/>
      <c r="E253" s="28"/>
      <c r="F253" s="19"/>
      <c r="G253" s="6"/>
      <c r="H253" s="6"/>
      <c r="I253" s="6"/>
      <c r="J253" s="6"/>
      <c r="K253" s="6"/>
      <c r="L253" s="6"/>
      <c r="M253" s="6"/>
      <c r="N253" s="6"/>
      <c r="O253" s="6"/>
      <c r="P253" s="6"/>
      <c r="Q253" s="6"/>
      <c r="R253" s="6"/>
      <c r="S253" s="6"/>
      <c r="T253" s="6"/>
      <c r="U253" s="6"/>
      <c r="V253" s="6"/>
      <c r="W253" s="6"/>
      <c r="X253" s="6"/>
      <c r="Y253" s="6"/>
      <c r="Z253" s="6"/>
      <c r="AA253" s="6"/>
      <c r="AB253" s="6"/>
      <c r="AC253" s="6"/>
    </row>
    <row r="254" ht="14.25" customHeight="1">
      <c r="A254" s="28"/>
      <c r="B254" s="28"/>
      <c r="C254" s="29"/>
      <c r="D254" s="30"/>
      <c r="E254" s="28"/>
      <c r="F254" s="19"/>
      <c r="G254" s="6"/>
      <c r="H254" s="6"/>
      <c r="I254" s="6"/>
      <c r="J254" s="6"/>
      <c r="K254" s="6"/>
      <c r="L254" s="6"/>
      <c r="M254" s="6"/>
      <c r="N254" s="6"/>
      <c r="O254" s="6"/>
      <c r="P254" s="6"/>
      <c r="Q254" s="6"/>
      <c r="R254" s="6"/>
      <c r="S254" s="6"/>
      <c r="T254" s="6"/>
      <c r="U254" s="6"/>
      <c r="V254" s="6"/>
      <c r="W254" s="6"/>
      <c r="X254" s="6"/>
      <c r="Y254" s="6"/>
      <c r="Z254" s="6"/>
      <c r="AA254" s="6"/>
      <c r="AB254" s="6"/>
      <c r="AC254" s="6"/>
    </row>
    <row r="255" ht="14.25" customHeight="1">
      <c r="A255" s="28"/>
      <c r="B255" s="28"/>
      <c r="C255" s="29"/>
      <c r="D255" s="30"/>
      <c r="E255" s="28"/>
      <c r="F255" s="19"/>
      <c r="G255" s="6"/>
      <c r="H255" s="6"/>
      <c r="I255" s="6"/>
      <c r="J255" s="6"/>
      <c r="K255" s="6"/>
      <c r="L255" s="6"/>
      <c r="M255" s="6"/>
      <c r="N255" s="6"/>
      <c r="O255" s="6"/>
      <c r="P255" s="6"/>
      <c r="Q255" s="6"/>
      <c r="R255" s="6"/>
      <c r="S255" s="6"/>
      <c r="T255" s="6"/>
      <c r="U255" s="6"/>
      <c r="V255" s="6"/>
      <c r="W255" s="6"/>
      <c r="X255" s="6"/>
      <c r="Y255" s="6"/>
      <c r="Z255" s="6"/>
      <c r="AA255" s="6"/>
      <c r="AB255" s="6"/>
      <c r="AC255" s="6"/>
    </row>
    <row r="256" ht="14.25" customHeight="1">
      <c r="A256" s="28"/>
      <c r="B256" s="28"/>
      <c r="C256" s="29"/>
      <c r="D256" s="30"/>
      <c r="E256" s="28"/>
      <c r="F256" s="19"/>
      <c r="G256" s="6"/>
      <c r="H256" s="6"/>
      <c r="I256" s="6"/>
      <c r="J256" s="6"/>
      <c r="K256" s="6"/>
      <c r="L256" s="6"/>
      <c r="M256" s="6"/>
      <c r="N256" s="6"/>
      <c r="O256" s="6"/>
      <c r="P256" s="6"/>
      <c r="Q256" s="6"/>
      <c r="R256" s="6"/>
      <c r="S256" s="6"/>
      <c r="T256" s="6"/>
      <c r="U256" s="6"/>
      <c r="V256" s="6"/>
      <c r="W256" s="6"/>
      <c r="X256" s="6"/>
      <c r="Y256" s="6"/>
      <c r="Z256" s="6"/>
      <c r="AA256" s="6"/>
      <c r="AB256" s="6"/>
      <c r="AC256" s="6"/>
    </row>
    <row r="257" ht="14.25" customHeight="1">
      <c r="A257" s="28"/>
      <c r="B257" s="28"/>
      <c r="C257" s="29"/>
      <c r="D257" s="30"/>
      <c r="E257" s="28"/>
      <c r="F257" s="19"/>
      <c r="G257" s="6"/>
      <c r="H257" s="6"/>
      <c r="I257" s="6"/>
      <c r="J257" s="6"/>
      <c r="K257" s="6"/>
      <c r="L257" s="6"/>
      <c r="M257" s="6"/>
      <c r="N257" s="6"/>
      <c r="O257" s="6"/>
      <c r="P257" s="6"/>
      <c r="Q257" s="6"/>
      <c r="R257" s="6"/>
      <c r="S257" s="6"/>
      <c r="T257" s="6"/>
      <c r="U257" s="6"/>
      <c r="V257" s="6"/>
      <c r="W257" s="6"/>
      <c r="X257" s="6"/>
      <c r="Y257" s="6"/>
      <c r="Z257" s="6"/>
      <c r="AA257" s="6"/>
      <c r="AB257" s="6"/>
      <c r="AC257" s="6"/>
    </row>
    <row r="258" ht="14.25" customHeight="1">
      <c r="A258" s="28"/>
      <c r="B258" s="28"/>
      <c r="C258" s="29"/>
      <c r="D258" s="30"/>
      <c r="E258" s="28"/>
      <c r="F258" s="19"/>
      <c r="G258" s="6"/>
      <c r="H258" s="6"/>
      <c r="I258" s="6"/>
      <c r="J258" s="6"/>
      <c r="K258" s="6"/>
      <c r="L258" s="6"/>
      <c r="M258" s="6"/>
      <c r="N258" s="6"/>
      <c r="O258" s="6"/>
      <c r="P258" s="6"/>
      <c r="Q258" s="6"/>
      <c r="R258" s="6"/>
      <c r="S258" s="6"/>
      <c r="T258" s="6"/>
      <c r="U258" s="6"/>
      <c r="V258" s="6"/>
      <c r="W258" s="6"/>
      <c r="X258" s="6"/>
      <c r="Y258" s="6"/>
      <c r="Z258" s="6"/>
      <c r="AA258" s="6"/>
      <c r="AB258" s="6"/>
      <c r="AC258" s="6"/>
    </row>
    <row r="259" ht="14.25" customHeight="1">
      <c r="A259" s="28"/>
      <c r="B259" s="28"/>
      <c r="C259" s="29"/>
      <c r="D259" s="30"/>
      <c r="E259" s="28"/>
      <c r="F259" s="19"/>
      <c r="G259" s="6"/>
      <c r="H259" s="6"/>
      <c r="I259" s="6"/>
      <c r="J259" s="6"/>
      <c r="K259" s="6"/>
      <c r="L259" s="6"/>
      <c r="M259" s="6"/>
      <c r="N259" s="6"/>
      <c r="O259" s="6"/>
      <c r="P259" s="6"/>
      <c r="Q259" s="6"/>
      <c r="R259" s="6"/>
      <c r="S259" s="6"/>
      <c r="T259" s="6"/>
      <c r="U259" s="6"/>
      <c r="V259" s="6"/>
      <c r="W259" s="6"/>
      <c r="X259" s="6"/>
      <c r="Y259" s="6"/>
      <c r="Z259" s="6"/>
      <c r="AA259" s="6"/>
      <c r="AB259" s="6"/>
      <c r="AC259" s="6"/>
    </row>
    <row r="260" ht="14.25" customHeight="1">
      <c r="A260" s="28"/>
      <c r="B260" s="28"/>
      <c r="C260" s="29"/>
      <c r="D260" s="30"/>
      <c r="E260" s="28"/>
      <c r="F260" s="19"/>
      <c r="G260" s="6"/>
      <c r="H260" s="6"/>
      <c r="I260" s="6"/>
      <c r="J260" s="6"/>
      <c r="K260" s="6"/>
      <c r="L260" s="6"/>
      <c r="M260" s="6"/>
      <c r="N260" s="6"/>
      <c r="O260" s="6"/>
      <c r="P260" s="6"/>
      <c r="Q260" s="6"/>
      <c r="R260" s="6"/>
      <c r="S260" s="6"/>
      <c r="T260" s="6"/>
      <c r="U260" s="6"/>
      <c r="V260" s="6"/>
      <c r="W260" s="6"/>
      <c r="X260" s="6"/>
      <c r="Y260" s="6"/>
      <c r="Z260" s="6"/>
      <c r="AA260" s="6"/>
      <c r="AB260" s="6"/>
      <c r="AC260" s="6"/>
    </row>
    <row r="261" ht="14.25" customHeight="1">
      <c r="A261" s="28"/>
      <c r="B261" s="28"/>
      <c r="C261" s="29"/>
      <c r="D261" s="30"/>
      <c r="E261" s="28"/>
      <c r="F261" s="19"/>
      <c r="G261" s="6"/>
      <c r="H261" s="6"/>
      <c r="I261" s="6"/>
      <c r="J261" s="6"/>
      <c r="K261" s="6"/>
      <c r="L261" s="6"/>
      <c r="M261" s="6"/>
      <c r="N261" s="6"/>
      <c r="O261" s="6"/>
      <c r="P261" s="6"/>
      <c r="Q261" s="6"/>
      <c r="R261" s="6"/>
      <c r="S261" s="6"/>
      <c r="T261" s="6"/>
      <c r="U261" s="6"/>
      <c r="V261" s="6"/>
      <c r="W261" s="6"/>
      <c r="X261" s="6"/>
      <c r="Y261" s="6"/>
      <c r="Z261" s="6"/>
      <c r="AA261" s="6"/>
      <c r="AB261" s="6"/>
      <c r="AC261" s="6"/>
    </row>
    <row r="262" ht="14.25" customHeight="1">
      <c r="A262" s="28"/>
      <c r="B262" s="28"/>
      <c r="C262" s="29"/>
      <c r="D262" s="30"/>
      <c r="E262" s="28"/>
      <c r="F262" s="19"/>
      <c r="G262" s="6"/>
      <c r="H262" s="6"/>
      <c r="I262" s="6"/>
      <c r="J262" s="6"/>
      <c r="K262" s="6"/>
      <c r="L262" s="6"/>
      <c r="M262" s="6"/>
      <c r="N262" s="6"/>
      <c r="O262" s="6"/>
      <c r="P262" s="6"/>
      <c r="Q262" s="6"/>
      <c r="R262" s="6"/>
      <c r="S262" s="6"/>
      <c r="T262" s="6"/>
      <c r="U262" s="6"/>
      <c r="V262" s="6"/>
      <c r="W262" s="6"/>
      <c r="X262" s="6"/>
      <c r="Y262" s="6"/>
      <c r="Z262" s="6"/>
      <c r="AA262" s="6"/>
      <c r="AB262" s="6"/>
      <c r="AC262" s="6"/>
    </row>
    <row r="263" ht="14.25" customHeight="1">
      <c r="A263" s="28"/>
      <c r="B263" s="28"/>
      <c r="C263" s="29"/>
      <c r="D263" s="30"/>
      <c r="E263" s="28"/>
      <c r="F263" s="19"/>
      <c r="G263" s="6"/>
      <c r="H263" s="6"/>
      <c r="I263" s="6"/>
      <c r="J263" s="6"/>
      <c r="K263" s="6"/>
      <c r="L263" s="6"/>
      <c r="M263" s="6"/>
      <c r="N263" s="6"/>
      <c r="O263" s="6"/>
      <c r="P263" s="6"/>
      <c r="Q263" s="6"/>
      <c r="R263" s="6"/>
      <c r="S263" s="6"/>
      <c r="T263" s="6"/>
      <c r="U263" s="6"/>
      <c r="V263" s="6"/>
      <c r="W263" s="6"/>
      <c r="X263" s="6"/>
      <c r="Y263" s="6"/>
      <c r="Z263" s="6"/>
      <c r="AA263" s="6"/>
      <c r="AB263" s="6"/>
      <c r="AC263" s="6"/>
    </row>
    <row r="264" ht="14.25" customHeight="1">
      <c r="A264" s="28"/>
      <c r="B264" s="28"/>
      <c r="C264" s="29"/>
      <c r="D264" s="30"/>
      <c r="E264" s="28"/>
      <c r="F264" s="19"/>
      <c r="G264" s="6"/>
      <c r="H264" s="6"/>
      <c r="I264" s="6"/>
      <c r="J264" s="6"/>
      <c r="K264" s="6"/>
      <c r="L264" s="6"/>
      <c r="M264" s="6"/>
      <c r="N264" s="6"/>
      <c r="O264" s="6"/>
      <c r="P264" s="6"/>
      <c r="Q264" s="6"/>
      <c r="R264" s="6"/>
      <c r="S264" s="6"/>
      <c r="T264" s="6"/>
      <c r="U264" s="6"/>
      <c r="V264" s="6"/>
      <c r="W264" s="6"/>
      <c r="X264" s="6"/>
      <c r="Y264" s="6"/>
      <c r="Z264" s="6"/>
      <c r="AA264" s="6"/>
      <c r="AB264" s="6"/>
      <c r="AC264" s="6"/>
    </row>
    <row r="265" ht="14.25" customHeight="1">
      <c r="A265" s="28"/>
      <c r="B265" s="28"/>
      <c r="C265" s="29"/>
      <c r="D265" s="30"/>
      <c r="E265" s="28"/>
      <c r="F265" s="19"/>
      <c r="G265" s="6"/>
      <c r="H265" s="6"/>
      <c r="I265" s="6"/>
      <c r="J265" s="6"/>
      <c r="K265" s="6"/>
      <c r="L265" s="6"/>
      <c r="M265" s="6"/>
      <c r="N265" s="6"/>
      <c r="O265" s="6"/>
      <c r="P265" s="6"/>
      <c r="Q265" s="6"/>
      <c r="R265" s="6"/>
      <c r="S265" s="6"/>
      <c r="T265" s="6"/>
      <c r="U265" s="6"/>
      <c r="V265" s="6"/>
      <c r="W265" s="6"/>
      <c r="X265" s="6"/>
      <c r="Y265" s="6"/>
      <c r="Z265" s="6"/>
      <c r="AA265" s="6"/>
      <c r="AB265" s="6"/>
      <c r="AC265" s="6"/>
    </row>
    <row r="266" ht="14.25" customHeight="1">
      <c r="A266" s="28"/>
      <c r="B266" s="28"/>
      <c r="C266" s="29"/>
      <c r="D266" s="30"/>
      <c r="E266" s="28"/>
      <c r="F266" s="19"/>
      <c r="G266" s="6"/>
      <c r="H266" s="6"/>
      <c r="I266" s="6"/>
      <c r="J266" s="6"/>
      <c r="K266" s="6"/>
      <c r="L266" s="6"/>
      <c r="M266" s="6"/>
      <c r="N266" s="6"/>
      <c r="O266" s="6"/>
      <c r="P266" s="6"/>
      <c r="Q266" s="6"/>
      <c r="R266" s="6"/>
      <c r="S266" s="6"/>
      <c r="T266" s="6"/>
      <c r="U266" s="6"/>
      <c r="V266" s="6"/>
      <c r="W266" s="6"/>
      <c r="X266" s="6"/>
      <c r="Y266" s="6"/>
      <c r="Z266" s="6"/>
      <c r="AA266" s="6"/>
      <c r="AB266" s="6"/>
      <c r="AC266" s="6"/>
    </row>
    <row r="267" ht="14.25" customHeight="1">
      <c r="A267" s="28"/>
      <c r="B267" s="28"/>
      <c r="C267" s="29"/>
      <c r="D267" s="30"/>
      <c r="E267" s="28"/>
      <c r="F267" s="19"/>
      <c r="G267" s="6"/>
      <c r="H267" s="6"/>
      <c r="I267" s="6"/>
      <c r="J267" s="6"/>
      <c r="K267" s="6"/>
      <c r="L267" s="6"/>
      <c r="M267" s="6"/>
      <c r="N267" s="6"/>
      <c r="O267" s="6"/>
      <c r="P267" s="6"/>
      <c r="Q267" s="6"/>
      <c r="R267" s="6"/>
      <c r="S267" s="6"/>
      <c r="T267" s="6"/>
      <c r="U267" s="6"/>
      <c r="V267" s="6"/>
      <c r="W267" s="6"/>
      <c r="X267" s="6"/>
      <c r="Y267" s="6"/>
      <c r="Z267" s="6"/>
      <c r="AA267" s="6"/>
      <c r="AB267" s="6"/>
      <c r="AC267" s="6"/>
    </row>
    <row r="268" ht="14.25" customHeight="1">
      <c r="A268" s="28"/>
      <c r="B268" s="28"/>
      <c r="C268" s="29"/>
      <c r="D268" s="30"/>
      <c r="E268" s="28"/>
      <c r="F268" s="19"/>
      <c r="G268" s="6"/>
      <c r="H268" s="6"/>
      <c r="I268" s="6"/>
      <c r="J268" s="6"/>
      <c r="K268" s="6"/>
      <c r="L268" s="6"/>
      <c r="M268" s="6"/>
      <c r="N268" s="6"/>
      <c r="O268" s="6"/>
      <c r="P268" s="6"/>
      <c r="Q268" s="6"/>
      <c r="R268" s="6"/>
      <c r="S268" s="6"/>
      <c r="T268" s="6"/>
      <c r="U268" s="6"/>
      <c r="V268" s="6"/>
      <c r="W268" s="6"/>
      <c r="X268" s="6"/>
      <c r="Y268" s="6"/>
      <c r="Z268" s="6"/>
      <c r="AA268" s="6"/>
      <c r="AB268" s="6"/>
      <c r="AC268" s="6"/>
    </row>
    <row r="269" ht="14.25" customHeight="1">
      <c r="A269" s="28"/>
      <c r="B269" s="28"/>
      <c r="C269" s="29"/>
      <c r="D269" s="30"/>
      <c r="E269" s="28"/>
      <c r="F269" s="19"/>
      <c r="G269" s="6"/>
      <c r="H269" s="6"/>
      <c r="I269" s="6"/>
      <c r="J269" s="6"/>
      <c r="K269" s="6"/>
      <c r="L269" s="6"/>
      <c r="M269" s="6"/>
      <c r="N269" s="6"/>
      <c r="O269" s="6"/>
      <c r="P269" s="6"/>
      <c r="Q269" s="6"/>
      <c r="R269" s="6"/>
      <c r="S269" s="6"/>
      <c r="T269" s="6"/>
      <c r="U269" s="6"/>
      <c r="V269" s="6"/>
      <c r="W269" s="6"/>
      <c r="X269" s="6"/>
      <c r="Y269" s="6"/>
      <c r="Z269" s="6"/>
      <c r="AA269" s="6"/>
      <c r="AB269" s="6"/>
      <c r="AC269" s="6"/>
    </row>
    <row r="270" ht="14.25" customHeight="1">
      <c r="A270" s="28"/>
      <c r="B270" s="28"/>
      <c r="C270" s="29"/>
      <c r="D270" s="30"/>
      <c r="E270" s="28"/>
      <c r="F270" s="19"/>
      <c r="G270" s="6"/>
      <c r="H270" s="6"/>
      <c r="I270" s="6"/>
      <c r="J270" s="6"/>
      <c r="K270" s="6"/>
      <c r="L270" s="6"/>
      <c r="M270" s="6"/>
      <c r="N270" s="6"/>
      <c r="O270" s="6"/>
      <c r="P270" s="6"/>
      <c r="Q270" s="6"/>
      <c r="R270" s="6"/>
      <c r="S270" s="6"/>
      <c r="T270" s="6"/>
      <c r="U270" s="6"/>
      <c r="V270" s="6"/>
      <c r="W270" s="6"/>
      <c r="X270" s="6"/>
      <c r="Y270" s="6"/>
      <c r="Z270" s="6"/>
      <c r="AA270" s="6"/>
      <c r="AB270" s="6"/>
      <c r="AC270" s="6"/>
    </row>
    <row r="271" ht="14.25" customHeight="1">
      <c r="A271" s="28"/>
      <c r="B271" s="28"/>
      <c r="C271" s="29"/>
      <c r="D271" s="30"/>
      <c r="E271" s="28"/>
      <c r="F271" s="19"/>
      <c r="G271" s="6"/>
      <c r="H271" s="6"/>
      <c r="I271" s="6"/>
      <c r="J271" s="6"/>
      <c r="K271" s="6"/>
      <c r="L271" s="6"/>
      <c r="M271" s="6"/>
      <c r="N271" s="6"/>
      <c r="O271" s="6"/>
      <c r="P271" s="6"/>
      <c r="Q271" s="6"/>
      <c r="R271" s="6"/>
      <c r="S271" s="6"/>
      <c r="T271" s="6"/>
      <c r="U271" s="6"/>
      <c r="V271" s="6"/>
      <c r="W271" s="6"/>
      <c r="X271" s="6"/>
      <c r="Y271" s="6"/>
      <c r="Z271" s="6"/>
      <c r="AA271" s="6"/>
      <c r="AB271" s="6"/>
      <c r="AC271" s="6"/>
    </row>
    <row r="272" ht="14.25" customHeight="1">
      <c r="A272" s="28"/>
      <c r="B272" s="28"/>
      <c r="C272" s="29"/>
      <c r="D272" s="30"/>
      <c r="E272" s="28"/>
      <c r="F272" s="19"/>
      <c r="G272" s="6"/>
      <c r="H272" s="6"/>
      <c r="I272" s="6"/>
      <c r="J272" s="6"/>
      <c r="K272" s="6"/>
      <c r="L272" s="6"/>
      <c r="M272" s="6"/>
      <c r="N272" s="6"/>
      <c r="O272" s="6"/>
      <c r="P272" s="6"/>
      <c r="Q272" s="6"/>
      <c r="R272" s="6"/>
      <c r="S272" s="6"/>
      <c r="T272" s="6"/>
      <c r="U272" s="6"/>
      <c r="V272" s="6"/>
      <c r="W272" s="6"/>
      <c r="X272" s="6"/>
      <c r="Y272" s="6"/>
      <c r="Z272" s="6"/>
      <c r="AA272" s="6"/>
      <c r="AB272" s="6"/>
      <c r="AC272" s="6"/>
    </row>
    <row r="273" ht="14.25" customHeight="1">
      <c r="A273" s="28"/>
      <c r="B273" s="28"/>
      <c r="C273" s="29"/>
      <c r="D273" s="30"/>
      <c r="E273" s="28"/>
      <c r="F273" s="19"/>
      <c r="G273" s="6"/>
      <c r="H273" s="6"/>
      <c r="I273" s="6"/>
      <c r="J273" s="6"/>
      <c r="K273" s="6"/>
      <c r="L273" s="6"/>
      <c r="M273" s="6"/>
      <c r="N273" s="6"/>
      <c r="O273" s="6"/>
      <c r="P273" s="6"/>
      <c r="Q273" s="6"/>
      <c r="R273" s="6"/>
      <c r="S273" s="6"/>
      <c r="T273" s="6"/>
      <c r="U273" s="6"/>
      <c r="V273" s="6"/>
      <c r="W273" s="6"/>
      <c r="X273" s="6"/>
      <c r="Y273" s="6"/>
      <c r="Z273" s="6"/>
      <c r="AA273" s="6"/>
      <c r="AB273" s="6"/>
      <c r="AC273" s="6"/>
    </row>
    <row r="274" ht="14.25" customHeight="1">
      <c r="A274" s="28"/>
      <c r="B274" s="28"/>
      <c r="C274" s="29"/>
      <c r="D274" s="30"/>
      <c r="E274" s="28"/>
      <c r="F274" s="19"/>
      <c r="G274" s="6"/>
      <c r="H274" s="6"/>
      <c r="I274" s="6"/>
      <c r="J274" s="6"/>
      <c r="K274" s="6"/>
      <c r="L274" s="6"/>
      <c r="M274" s="6"/>
      <c r="N274" s="6"/>
      <c r="O274" s="6"/>
      <c r="P274" s="6"/>
      <c r="Q274" s="6"/>
      <c r="R274" s="6"/>
      <c r="S274" s="6"/>
      <c r="T274" s="6"/>
      <c r="U274" s="6"/>
      <c r="V274" s="6"/>
      <c r="W274" s="6"/>
      <c r="X274" s="6"/>
      <c r="Y274" s="6"/>
      <c r="Z274" s="6"/>
      <c r="AA274" s="6"/>
      <c r="AB274" s="6"/>
      <c r="AC274" s="6"/>
    </row>
    <row r="275" ht="14.25" customHeight="1">
      <c r="A275" s="28"/>
      <c r="B275" s="28"/>
      <c r="C275" s="29"/>
      <c r="D275" s="30"/>
      <c r="E275" s="28"/>
      <c r="F275" s="19"/>
      <c r="G275" s="6"/>
      <c r="H275" s="6"/>
      <c r="I275" s="6"/>
      <c r="J275" s="6"/>
      <c r="K275" s="6"/>
      <c r="L275" s="6"/>
      <c r="M275" s="6"/>
      <c r="N275" s="6"/>
      <c r="O275" s="6"/>
      <c r="P275" s="6"/>
      <c r="Q275" s="6"/>
      <c r="R275" s="6"/>
      <c r="S275" s="6"/>
      <c r="T275" s="6"/>
      <c r="U275" s="6"/>
      <c r="V275" s="6"/>
      <c r="W275" s="6"/>
      <c r="X275" s="6"/>
      <c r="Y275" s="6"/>
      <c r="Z275" s="6"/>
      <c r="AA275" s="6"/>
      <c r="AB275" s="6"/>
      <c r="AC275" s="6"/>
    </row>
    <row r="276" ht="14.25" customHeight="1">
      <c r="A276" s="28"/>
      <c r="B276" s="28"/>
      <c r="C276" s="29"/>
      <c r="D276" s="30"/>
      <c r="E276" s="28"/>
      <c r="F276" s="19"/>
      <c r="G276" s="6"/>
      <c r="H276" s="6"/>
      <c r="I276" s="6"/>
      <c r="J276" s="6"/>
      <c r="K276" s="6"/>
      <c r="L276" s="6"/>
      <c r="M276" s="6"/>
      <c r="N276" s="6"/>
      <c r="O276" s="6"/>
      <c r="P276" s="6"/>
      <c r="Q276" s="6"/>
      <c r="R276" s="6"/>
      <c r="S276" s="6"/>
      <c r="T276" s="6"/>
      <c r="U276" s="6"/>
      <c r="V276" s="6"/>
      <c r="W276" s="6"/>
      <c r="X276" s="6"/>
      <c r="Y276" s="6"/>
      <c r="Z276" s="6"/>
      <c r="AA276" s="6"/>
      <c r="AB276" s="6"/>
      <c r="AC276" s="6"/>
    </row>
    <row r="277" ht="14.25" customHeight="1">
      <c r="A277" s="28"/>
      <c r="B277" s="28"/>
      <c r="C277" s="29"/>
      <c r="D277" s="30"/>
      <c r="E277" s="28"/>
      <c r="F277" s="19"/>
      <c r="G277" s="6"/>
      <c r="H277" s="6"/>
      <c r="I277" s="6"/>
      <c r="J277" s="6"/>
      <c r="K277" s="6"/>
      <c r="L277" s="6"/>
      <c r="M277" s="6"/>
      <c r="N277" s="6"/>
      <c r="O277" s="6"/>
      <c r="P277" s="6"/>
      <c r="Q277" s="6"/>
      <c r="R277" s="6"/>
      <c r="S277" s="6"/>
      <c r="T277" s="6"/>
      <c r="U277" s="6"/>
      <c r="V277" s="6"/>
      <c r="W277" s="6"/>
      <c r="X277" s="6"/>
      <c r="Y277" s="6"/>
      <c r="Z277" s="6"/>
      <c r="AA277" s="6"/>
      <c r="AB277" s="6"/>
      <c r="AC277" s="6"/>
    </row>
    <row r="278" ht="14.25" customHeight="1">
      <c r="A278" s="28"/>
      <c r="B278" s="28"/>
      <c r="C278" s="29"/>
      <c r="D278" s="30"/>
      <c r="E278" s="28"/>
      <c r="F278" s="19"/>
      <c r="G278" s="6"/>
      <c r="H278" s="6"/>
      <c r="I278" s="6"/>
      <c r="J278" s="6"/>
      <c r="K278" s="6"/>
      <c r="L278" s="6"/>
      <c r="M278" s="6"/>
      <c r="N278" s="6"/>
      <c r="O278" s="6"/>
      <c r="P278" s="6"/>
      <c r="Q278" s="6"/>
      <c r="R278" s="6"/>
      <c r="S278" s="6"/>
      <c r="T278" s="6"/>
      <c r="U278" s="6"/>
      <c r="V278" s="6"/>
      <c r="W278" s="6"/>
      <c r="X278" s="6"/>
      <c r="Y278" s="6"/>
      <c r="Z278" s="6"/>
      <c r="AA278" s="6"/>
      <c r="AB278" s="6"/>
      <c r="AC278" s="6"/>
    </row>
    <row r="279" ht="14.25" customHeight="1">
      <c r="A279" s="28"/>
      <c r="B279" s="28"/>
      <c r="C279" s="29"/>
      <c r="D279" s="30"/>
      <c r="E279" s="28"/>
      <c r="F279" s="19"/>
      <c r="G279" s="6"/>
      <c r="H279" s="6"/>
      <c r="I279" s="6"/>
      <c r="J279" s="6"/>
      <c r="K279" s="6"/>
      <c r="L279" s="6"/>
      <c r="M279" s="6"/>
      <c r="N279" s="6"/>
      <c r="O279" s="6"/>
      <c r="P279" s="6"/>
      <c r="Q279" s="6"/>
      <c r="R279" s="6"/>
      <c r="S279" s="6"/>
      <c r="T279" s="6"/>
      <c r="U279" s="6"/>
      <c r="V279" s="6"/>
      <c r="W279" s="6"/>
      <c r="X279" s="6"/>
      <c r="Y279" s="6"/>
      <c r="Z279" s="6"/>
      <c r="AA279" s="6"/>
      <c r="AB279" s="6"/>
      <c r="AC279" s="6"/>
    </row>
    <row r="280" ht="14.25" customHeight="1">
      <c r="A280" s="28"/>
      <c r="B280" s="28"/>
      <c r="C280" s="29"/>
      <c r="D280" s="30"/>
      <c r="E280" s="28"/>
      <c r="F280" s="19"/>
      <c r="G280" s="6"/>
      <c r="H280" s="6"/>
      <c r="I280" s="6"/>
      <c r="J280" s="6"/>
      <c r="K280" s="6"/>
      <c r="L280" s="6"/>
      <c r="M280" s="6"/>
      <c r="N280" s="6"/>
      <c r="O280" s="6"/>
      <c r="P280" s="6"/>
      <c r="Q280" s="6"/>
      <c r="R280" s="6"/>
      <c r="S280" s="6"/>
      <c r="T280" s="6"/>
      <c r="U280" s="6"/>
      <c r="V280" s="6"/>
      <c r="W280" s="6"/>
      <c r="X280" s="6"/>
      <c r="Y280" s="6"/>
      <c r="Z280" s="6"/>
      <c r="AA280" s="6"/>
      <c r="AB280" s="6"/>
      <c r="AC280" s="6"/>
    </row>
    <row r="281" ht="14.25" customHeight="1">
      <c r="A281" s="28"/>
      <c r="B281" s="28"/>
      <c r="C281" s="29"/>
      <c r="D281" s="30"/>
      <c r="E281" s="28"/>
      <c r="F281" s="19"/>
      <c r="G281" s="6"/>
      <c r="H281" s="6"/>
      <c r="I281" s="6"/>
      <c r="J281" s="6"/>
      <c r="K281" s="6"/>
      <c r="L281" s="6"/>
      <c r="M281" s="6"/>
      <c r="N281" s="6"/>
      <c r="O281" s="6"/>
      <c r="P281" s="6"/>
      <c r="Q281" s="6"/>
      <c r="R281" s="6"/>
      <c r="S281" s="6"/>
      <c r="T281" s="6"/>
      <c r="U281" s="6"/>
      <c r="V281" s="6"/>
      <c r="W281" s="6"/>
      <c r="X281" s="6"/>
      <c r="Y281" s="6"/>
      <c r="Z281" s="6"/>
      <c r="AA281" s="6"/>
      <c r="AB281" s="6"/>
      <c r="AC281" s="6"/>
    </row>
    <row r="282" ht="14.25" customHeight="1">
      <c r="A282" s="28"/>
      <c r="B282" s="28"/>
      <c r="C282" s="29"/>
      <c r="D282" s="30"/>
      <c r="E282" s="28"/>
      <c r="F282" s="19"/>
      <c r="G282" s="6"/>
      <c r="H282" s="6"/>
      <c r="I282" s="6"/>
      <c r="J282" s="6"/>
      <c r="K282" s="6"/>
      <c r="L282" s="6"/>
      <c r="M282" s="6"/>
      <c r="N282" s="6"/>
      <c r="O282" s="6"/>
      <c r="P282" s="6"/>
      <c r="Q282" s="6"/>
      <c r="R282" s="6"/>
      <c r="S282" s="6"/>
      <c r="T282" s="6"/>
      <c r="U282" s="6"/>
      <c r="V282" s="6"/>
      <c r="W282" s="6"/>
      <c r="X282" s="6"/>
      <c r="Y282" s="6"/>
      <c r="Z282" s="6"/>
      <c r="AA282" s="6"/>
      <c r="AB282" s="6"/>
      <c r="AC282" s="6"/>
    </row>
    <row r="283" ht="14.25" customHeight="1">
      <c r="A283" s="28"/>
      <c r="B283" s="28"/>
      <c r="C283" s="29"/>
      <c r="D283" s="30"/>
      <c r="E283" s="28"/>
      <c r="F283" s="19"/>
      <c r="G283" s="6"/>
      <c r="H283" s="6"/>
      <c r="I283" s="6"/>
      <c r="J283" s="6"/>
      <c r="K283" s="6"/>
      <c r="L283" s="6"/>
      <c r="M283" s="6"/>
      <c r="N283" s="6"/>
      <c r="O283" s="6"/>
      <c r="P283" s="6"/>
      <c r="Q283" s="6"/>
      <c r="R283" s="6"/>
      <c r="S283" s="6"/>
      <c r="T283" s="6"/>
      <c r="U283" s="6"/>
      <c r="V283" s="6"/>
      <c r="W283" s="6"/>
      <c r="X283" s="6"/>
      <c r="Y283" s="6"/>
      <c r="Z283" s="6"/>
      <c r="AA283" s="6"/>
      <c r="AB283" s="6"/>
      <c r="AC283" s="6"/>
    </row>
    <row r="284" ht="14.25" customHeight="1">
      <c r="A284" s="28"/>
      <c r="B284" s="28"/>
      <c r="C284" s="29"/>
      <c r="D284" s="30"/>
      <c r="E284" s="28"/>
      <c r="F284" s="19"/>
      <c r="G284" s="6"/>
      <c r="H284" s="6"/>
      <c r="I284" s="6"/>
      <c r="J284" s="6"/>
      <c r="K284" s="6"/>
      <c r="L284" s="6"/>
      <c r="M284" s="6"/>
      <c r="N284" s="6"/>
      <c r="O284" s="6"/>
      <c r="P284" s="6"/>
      <c r="Q284" s="6"/>
      <c r="R284" s="6"/>
      <c r="S284" s="6"/>
      <c r="T284" s="6"/>
      <c r="U284" s="6"/>
      <c r="V284" s="6"/>
      <c r="W284" s="6"/>
      <c r="X284" s="6"/>
      <c r="Y284" s="6"/>
      <c r="Z284" s="6"/>
      <c r="AA284" s="6"/>
      <c r="AB284" s="6"/>
      <c r="AC284" s="6"/>
    </row>
    <row r="285" ht="14.25" customHeight="1">
      <c r="A285" s="28"/>
      <c r="B285" s="28"/>
      <c r="C285" s="29"/>
      <c r="D285" s="30"/>
      <c r="E285" s="28"/>
      <c r="F285" s="19"/>
      <c r="G285" s="6"/>
      <c r="H285" s="6"/>
      <c r="I285" s="6"/>
      <c r="J285" s="6"/>
      <c r="K285" s="6"/>
      <c r="L285" s="6"/>
      <c r="M285" s="6"/>
      <c r="N285" s="6"/>
      <c r="O285" s="6"/>
      <c r="P285" s="6"/>
      <c r="Q285" s="6"/>
      <c r="R285" s="6"/>
      <c r="S285" s="6"/>
      <c r="T285" s="6"/>
      <c r="U285" s="6"/>
      <c r="V285" s="6"/>
      <c r="W285" s="6"/>
      <c r="X285" s="6"/>
      <c r="Y285" s="6"/>
      <c r="Z285" s="6"/>
      <c r="AA285" s="6"/>
      <c r="AB285" s="6"/>
      <c r="AC285" s="6"/>
    </row>
    <row r="286" ht="14.25" customHeight="1">
      <c r="A286" s="28"/>
      <c r="B286" s="28"/>
      <c r="C286" s="29"/>
      <c r="D286" s="30"/>
      <c r="E286" s="28"/>
      <c r="F286" s="19"/>
      <c r="G286" s="6"/>
      <c r="H286" s="6"/>
      <c r="I286" s="6"/>
      <c r="J286" s="6"/>
      <c r="K286" s="6"/>
      <c r="L286" s="6"/>
      <c r="M286" s="6"/>
      <c r="N286" s="6"/>
      <c r="O286" s="6"/>
      <c r="P286" s="6"/>
      <c r="Q286" s="6"/>
      <c r="R286" s="6"/>
      <c r="S286" s="6"/>
      <c r="T286" s="6"/>
      <c r="U286" s="6"/>
      <c r="V286" s="6"/>
      <c r="W286" s="6"/>
      <c r="X286" s="6"/>
      <c r="Y286" s="6"/>
      <c r="Z286" s="6"/>
      <c r="AA286" s="6"/>
      <c r="AB286" s="6"/>
      <c r="AC286" s="6"/>
    </row>
    <row r="287" ht="14.25" customHeight="1">
      <c r="A287" s="28"/>
      <c r="B287" s="28"/>
      <c r="C287" s="29"/>
      <c r="D287" s="30"/>
      <c r="E287" s="28"/>
      <c r="F287" s="19"/>
      <c r="G287" s="6"/>
      <c r="H287" s="6"/>
      <c r="I287" s="6"/>
      <c r="J287" s="6"/>
      <c r="K287" s="6"/>
      <c r="L287" s="6"/>
      <c r="M287" s="6"/>
      <c r="N287" s="6"/>
      <c r="O287" s="6"/>
      <c r="P287" s="6"/>
      <c r="Q287" s="6"/>
      <c r="R287" s="6"/>
      <c r="S287" s="6"/>
      <c r="T287" s="6"/>
      <c r="U287" s="6"/>
      <c r="V287" s="6"/>
      <c r="W287" s="6"/>
      <c r="X287" s="6"/>
      <c r="Y287" s="6"/>
      <c r="Z287" s="6"/>
      <c r="AA287" s="6"/>
      <c r="AB287" s="6"/>
      <c r="AC287" s="6"/>
    </row>
    <row r="288" ht="14.25" customHeight="1">
      <c r="A288" s="28"/>
      <c r="B288" s="28"/>
      <c r="C288" s="29"/>
      <c r="D288" s="30"/>
      <c r="E288" s="28"/>
      <c r="F288" s="19"/>
      <c r="G288" s="6"/>
      <c r="H288" s="6"/>
      <c r="I288" s="6"/>
      <c r="J288" s="6"/>
      <c r="K288" s="6"/>
      <c r="L288" s="6"/>
      <c r="M288" s="6"/>
      <c r="N288" s="6"/>
      <c r="O288" s="6"/>
      <c r="P288" s="6"/>
      <c r="Q288" s="6"/>
      <c r="R288" s="6"/>
      <c r="S288" s="6"/>
      <c r="T288" s="6"/>
      <c r="U288" s="6"/>
      <c r="V288" s="6"/>
      <c r="W288" s="6"/>
      <c r="X288" s="6"/>
      <c r="Y288" s="6"/>
      <c r="Z288" s="6"/>
      <c r="AA288" s="6"/>
      <c r="AB288" s="6"/>
      <c r="AC288" s="6"/>
    </row>
    <row r="289" ht="14.25" customHeight="1">
      <c r="A289" s="28"/>
      <c r="B289" s="28"/>
      <c r="C289" s="29"/>
      <c r="D289" s="30"/>
      <c r="E289" s="28"/>
      <c r="F289" s="19"/>
      <c r="G289" s="6"/>
      <c r="H289" s="6"/>
      <c r="I289" s="6"/>
      <c r="J289" s="6"/>
      <c r="K289" s="6"/>
      <c r="L289" s="6"/>
      <c r="M289" s="6"/>
      <c r="N289" s="6"/>
      <c r="O289" s="6"/>
      <c r="P289" s="6"/>
      <c r="Q289" s="6"/>
      <c r="R289" s="6"/>
      <c r="S289" s="6"/>
      <c r="T289" s="6"/>
      <c r="U289" s="6"/>
      <c r="V289" s="6"/>
      <c r="W289" s="6"/>
      <c r="X289" s="6"/>
      <c r="Y289" s="6"/>
      <c r="Z289" s="6"/>
      <c r="AA289" s="6"/>
      <c r="AB289" s="6"/>
      <c r="AC289" s="6"/>
    </row>
    <row r="290" ht="14.25" customHeight="1">
      <c r="A290" s="28"/>
      <c r="B290" s="28"/>
      <c r="C290" s="29"/>
      <c r="D290" s="30"/>
      <c r="E290" s="28"/>
      <c r="F290" s="19"/>
      <c r="G290" s="6"/>
      <c r="H290" s="6"/>
      <c r="I290" s="6"/>
      <c r="J290" s="6"/>
      <c r="K290" s="6"/>
      <c r="L290" s="6"/>
      <c r="M290" s="6"/>
      <c r="N290" s="6"/>
      <c r="O290" s="6"/>
      <c r="P290" s="6"/>
      <c r="Q290" s="6"/>
      <c r="R290" s="6"/>
      <c r="S290" s="6"/>
      <c r="T290" s="6"/>
      <c r="U290" s="6"/>
      <c r="V290" s="6"/>
      <c r="W290" s="6"/>
      <c r="X290" s="6"/>
      <c r="Y290" s="6"/>
      <c r="Z290" s="6"/>
      <c r="AA290" s="6"/>
      <c r="AB290" s="6"/>
      <c r="AC290" s="6"/>
    </row>
    <row r="291" ht="14.25" customHeight="1">
      <c r="A291" s="28"/>
      <c r="B291" s="28"/>
      <c r="C291" s="29"/>
      <c r="D291" s="30"/>
      <c r="E291" s="28"/>
      <c r="F291" s="19"/>
      <c r="G291" s="6"/>
      <c r="H291" s="6"/>
      <c r="I291" s="6"/>
      <c r="J291" s="6"/>
      <c r="K291" s="6"/>
      <c r="L291" s="6"/>
      <c r="M291" s="6"/>
      <c r="N291" s="6"/>
      <c r="O291" s="6"/>
      <c r="P291" s="6"/>
      <c r="Q291" s="6"/>
      <c r="R291" s="6"/>
      <c r="S291" s="6"/>
      <c r="T291" s="6"/>
      <c r="U291" s="6"/>
      <c r="V291" s="6"/>
      <c r="W291" s="6"/>
      <c r="X291" s="6"/>
      <c r="Y291" s="6"/>
      <c r="Z291" s="6"/>
      <c r="AA291" s="6"/>
      <c r="AB291" s="6"/>
      <c r="AC291" s="6"/>
    </row>
    <row r="292" ht="14.25" customHeight="1">
      <c r="A292" s="28"/>
      <c r="B292" s="28"/>
      <c r="C292" s="29"/>
      <c r="D292" s="30"/>
      <c r="E292" s="28"/>
      <c r="F292" s="19"/>
      <c r="G292" s="6"/>
      <c r="H292" s="6"/>
      <c r="I292" s="6"/>
      <c r="J292" s="6"/>
      <c r="K292" s="6"/>
      <c r="L292" s="6"/>
      <c r="M292" s="6"/>
      <c r="N292" s="6"/>
      <c r="O292" s="6"/>
      <c r="P292" s="6"/>
      <c r="Q292" s="6"/>
      <c r="R292" s="6"/>
      <c r="S292" s="6"/>
      <c r="T292" s="6"/>
      <c r="U292" s="6"/>
      <c r="V292" s="6"/>
      <c r="W292" s="6"/>
      <c r="X292" s="6"/>
      <c r="Y292" s="6"/>
      <c r="Z292" s="6"/>
      <c r="AA292" s="6"/>
      <c r="AB292" s="6"/>
      <c r="AC292" s="6"/>
    </row>
    <row r="293" ht="14.25" customHeight="1">
      <c r="A293" s="28"/>
      <c r="B293" s="28"/>
      <c r="C293" s="29"/>
      <c r="D293" s="30"/>
      <c r="E293" s="28"/>
      <c r="F293" s="19"/>
      <c r="G293" s="6"/>
      <c r="H293" s="6"/>
      <c r="I293" s="6"/>
      <c r="J293" s="6"/>
      <c r="K293" s="6"/>
      <c r="L293" s="6"/>
      <c r="M293" s="6"/>
      <c r="N293" s="6"/>
      <c r="O293" s="6"/>
      <c r="P293" s="6"/>
      <c r="Q293" s="6"/>
      <c r="R293" s="6"/>
      <c r="S293" s="6"/>
      <c r="T293" s="6"/>
      <c r="U293" s="6"/>
      <c r="V293" s="6"/>
      <c r="W293" s="6"/>
      <c r="X293" s="6"/>
      <c r="Y293" s="6"/>
      <c r="Z293" s="6"/>
      <c r="AA293" s="6"/>
      <c r="AB293" s="6"/>
      <c r="AC293" s="6"/>
    </row>
    <row r="294" ht="14.25" customHeight="1">
      <c r="A294" s="28"/>
      <c r="B294" s="28"/>
      <c r="C294" s="29"/>
      <c r="D294" s="30"/>
      <c r="E294" s="28"/>
      <c r="F294" s="19"/>
      <c r="G294" s="6"/>
      <c r="H294" s="6"/>
      <c r="I294" s="6"/>
      <c r="J294" s="6"/>
      <c r="K294" s="6"/>
      <c r="L294" s="6"/>
      <c r="M294" s="6"/>
      <c r="N294" s="6"/>
      <c r="O294" s="6"/>
      <c r="P294" s="6"/>
      <c r="Q294" s="6"/>
      <c r="R294" s="6"/>
      <c r="S294" s="6"/>
      <c r="T294" s="6"/>
      <c r="U294" s="6"/>
      <c r="V294" s="6"/>
      <c r="W294" s="6"/>
      <c r="X294" s="6"/>
      <c r="Y294" s="6"/>
      <c r="Z294" s="6"/>
      <c r="AA294" s="6"/>
      <c r="AB294" s="6"/>
      <c r="AC294" s="6"/>
    </row>
    <row r="295" ht="14.25" customHeight="1">
      <c r="A295" s="28"/>
      <c r="B295" s="28"/>
      <c r="C295" s="29"/>
      <c r="D295" s="30"/>
      <c r="E295" s="28"/>
      <c r="F295" s="19"/>
      <c r="G295" s="6"/>
      <c r="H295" s="6"/>
      <c r="I295" s="6"/>
      <c r="J295" s="6"/>
      <c r="K295" s="6"/>
      <c r="L295" s="6"/>
      <c r="M295" s="6"/>
      <c r="N295" s="6"/>
      <c r="O295" s="6"/>
      <c r="P295" s="6"/>
      <c r="Q295" s="6"/>
      <c r="R295" s="6"/>
      <c r="S295" s="6"/>
      <c r="T295" s="6"/>
      <c r="U295" s="6"/>
      <c r="V295" s="6"/>
      <c r="W295" s="6"/>
      <c r="X295" s="6"/>
      <c r="Y295" s="6"/>
      <c r="Z295" s="6"/>
      <c r="AA295" s="6"/>
      <c r="AB295" s="6"/>
      <c r="AC295" s="6"/>
    </row>
    <row r="296" ht="14.25" customHeight="1">
      <c r="A296" s="28"/>
      <c r="B296" s="28"/>
      <c r="C296" s="29"/>
      <c r="D296" s="30"/>
      <c r="E296" s="28"/>
      <c r="F296" s="19"/>
      <c r="G296" s="6"/>
      <c r="H296" s="6"/>
      <c r="I296" s="6"/>
      <c r="J296" s="6"/>
      <c r="K296" s="6"/>
      <c r="L296" s="6"/>
      <c r="M296" s="6"/>
      <c r="N296" s="6"/>
      <c r="O296" s="6"/>
      <c r="P296" s="6"/>
      <c r="Q296" s="6"/>
      <c r="R296" s="6"/>
      <c r="S296" s="6"/>
      <c r="T296" s="6"/>
      <c r="U296" s="6"/>
      <c r="V296" s="6"/>
      <c r="W296" s="6"/>
      <c r="X296" s="6"/>
      <c r="Y296" s="6"/>
      <c r="Z296" s="6"/>
      <c r="AA296" s="6"/>
      <c r="AB296" s="6"/>
      <c r="AC296" s="6"/>
    </row>
    <row r="297" ht="14.25" customHeight="1">
      <c r="A297" s="28"/>
      <c r="B297" s="28"/>
      <c r="C297" s="29"/>
      <c r="D297" s="30"/>
      <c r="E297" s="28"/>
      <c r="F297" s="19"/>
      <c r="G297" s="6"/>
      <c r="H297" s="6"/>
      <c r="I297" s="6"/>
      <c r="J297" s="6"/>
      <c r="K297" s="6"/>
      <c r="L297" s="6"/>
      <c r="M297" s="6"/>
      <c r="N297" s="6"/>
      <c r="O297" s="6"/>
      <c r="P297" s="6"/>
      <c r="Q297" s="6"/>
      <c r="R297" s="6"/>
      <c r="S297" s="6"/>
      <c r="T297" s="6"/>
      <c r="U297" s="6"/>
      <c r="V297" s="6"/>
      <c r="W297" s="6"/>
      <c r="X297" s="6"/>
      <c r="Y297" s="6"/>
      <c r="Z297" s="6"/>
      <c r="AA297" s="6"/>
      <c r="AB297" s="6"/>
      <c r="AC297" s="6"/>
    </row>
    <row r="298" ht="14.25" customHeight="1">
      <c r="A298" s="28"/>
      <c r="B298" s="28"/>
      <c r="C298" s="29"/>
      <c r="D298" s="30"/>
      <c r="E298" s="28"/>
      <c r="F298" s="19"/>
      <c r="G298" s="6"/>
      <c r="H298" s="6"/>
      <c r="I298" s="6"/>
      <c r="J298" s="6"/>
      <c r="K298" s="6"/>
      <c r="L298" s="6"/>
      <c r="M298" s="6"/>
      <c r="N298" s="6"/>
      <c r="O298" s="6"/>
      <c r="P298" s="6"/>
      <c r="Q298" s="6"/>
      <c r="R298" s="6"/>
      <c r="S298" s="6"/>
      <c r="T298" s="6"/>
      <c r="U298" s="6"/>
      <c r="V298" s="6"/>
      <c r="W298" s="6"/>
      <c r="X298" s="6"/>
      <c r="Y298" s="6"/>
      <c r="Z298" s="6"/>
      <c r="AA298" s="6"/>
      <c r="AB298" s="6"/>
      <c r="AC298" s="6"/>
    </row>
    <row r="299" ht="14.25" customHeight="1">
      <c r="A299" s="28"/>
      <c r="B299" s="28"/>
      <c r="C299" s="29"/>
      <c r="D299" s="30"/>
      <c r="E299" s="28"/>
      <c r="F299" s="19"/>
      <c r="G299" s="6"/>
      <c r="H299" s="6"/>
      <c r="I299" s="6"/>
      <c r="J299" s="6"/>
      <c r="K299" s="6"/>
      <c r="L299" s="6"/>
      <c r="M299" s="6"/>
      <c r="N299" s="6"/>
      <c r="O299" s="6"/>
      <c r="P299" s="6"/>
      <c r="Q299" s="6"/>
      <c r="R299" s="6"/>
      <c r="S299" s="6"/>
      <c r="T299" s="6"/>
      <c r="U299" s="6"/>
      <c r="V299" s="6"/>
      <c r="W299" s="6"/>
      <c r="X299" s="6"/>
      <c r="Y299" s="6"/>
      <c r="Z299" s="6"/>
      <c r="AA299" s="6"/>
      <c r="AB299" s="6"/>
      <c r="AC299" s="6"/>
    </row>
    <row r="300" ht="14.25" customHeight="1">
      <c r="A300" s="28"/>
      <c r="B300" s="28"/>
      <c r="C300" s="29"/>
      <c r="D300" s="30"/>
      <c r="E300" s="28"/>
      <c r="F300" s="19"/>
      <c r="G300" s="6"/>
      <c r="H300" s="6"/>
      <c r="I300" s="6"/>
      <c r="J300" s="6"/>
      <c r="K300" s="6"/>
      <c r="L300" s="6"/>
      <c r="M300" s="6"/>
      <c r="N300" s="6"/>
      <c r="O300" s="6"/>
      <c r="P300" s="6"/>
      <c r="Q300" s="6"/>
      <c r="R300" s="6"/>
      <c r="S300" s="6"/>
      <c r="T300" s="6"/>
      <c r="U300" s="6"/>
      <c r="V300" s="6"/>
      <c r="W300" s="6"/>
      <c r="X300" s="6"/>
      <c r="Y300" s="6"/>
      <c r="Z300" s="6"/>
      <c r="AA300" s="6"/>
      <c r="AB300" s="6"/>
      <c r="AC300" s="6"/>
    </row>
    <row r="301" ht="14.25" customHeight="1">
      <c r="A301" s="28"/>
      <c r="B301" s="28"/>
      <c r="C301" s="29"/>
      <c r="D301" s="30"/>
      <c r="E301" s="28"/>
      <c r="F301" s="19"/>
      <c r="G301" s="6"/>
      <c r="H301" s="6"/>
      <c r="I301" s="6"/>
      <c r="J301" s="6"/>
      <c r="K301" s="6"/>
      <c r="L301" s="6"/>
      <c r="M301" s="6"/>
      <c r="N301" s="6"/>
      <c r="O301" s="6"/>
      <c r="P301" s="6"/>
      <c r="Q301" s="6"/>
      <c r="R301" s="6"/>
      <c r="S301" s="6"/>
      <c r="T301" s="6"/>
      <c r="U301" s="6"/>
      <c r="V301" s="6"/>
      <c r="W301" s="6"/>
      <c r="X301" s="6"/>
      <c r="Y301" s="6"/>
      <c r="Z301" s="6"/>
      <c r="AA301" s="6"/>
      <c r="AB301" s="6"/>
      <c r="AC301" s="6"/>
    </row>
    <row r="302" ht="14.25" customHeight="1">
      <c r="A302" s="28"/>
      <c r="B302" s="28"/>
      <c r="C302" s="29"/>
      <c r="D302" s="30"/>
      <c r="E302" s="28"/>
      <c r="F302" s="19"/>
      <c r="G302" s="6"/>
      <c r="H302" s="6"/>
      <c r="I302" s="6"/>
      <c r="J302" s="6"/>
      <c r="K302" s="6"/>
      <c r="L302" s="6"/>
      <c r="M302" s="6"/>
      <c r="N302" s="6"/>
      <c r="O302" s="6"/>
      <c r="P302" s="6"/>
      <c r="Q302" s="6"/>
      <c r="R302" s="6"/>
      <c r="S302" s="6"/>
      <c r="T302" s="6"/>
      <c r="U302" s="6"/>
      <c r="V302" s="6"/>
      <c r="W302" s="6"/>
      <c r="X302" s="6"/>
      <c r="Y302" s="6"/>
      <c r="Z302" s="6"/>
      <c r="AA302" s="6"/>
      <c r="AB302" s="6"/>
      <c r="AC302" s="6"/>
    </row>
    <row r="303" ht="14.25" customHeight="1">
      <c r="A303" s="28"/>
      <c r="B303" s="28"/>
      <c r="C303" s="29"/>
      <c r="D303" s="30"/>
      <c r="E303" s="28"/>
      <c r="F303" s="19"/>
      <c r="G303" s="6"/>
      <c r="H303" s="6"/>
      <c r="I303" s="6"/>
      <c r="J303" s="6"/>
      <c r="K303" s="6"/>
      <c r="L303" s="6"/>
      <c r="M303" s="6"/>
      <c r="N303" s="6"/>
      <c r="O303" s="6"/>
      <c r="P303" s="6"/>
      <c r="Q303" s="6"/>
      <c r="R303" s="6"/>
      <c r="S303" s="6"/>
      <c r="T303" s="6"/>
      <c r="U303" s="6"/>
      <c r="V303" s="6"/>
      <c r="W303" s="6"/>
      <c r="X303" s="6"/>
      <c r="Y303" s="6"/>
      <c r="Z303" s="6"/>
      <c r="AA303" s="6"/>
      <c r="AB303" s="6"/>
      <c r="AC303" s="6"/>
    </row>
    <row r="304" ht="14.25" customHeight="1">
      <c r="A304" s="28"/>
      <c r="B304" s="28"/>
      <c r="C304" s="29"/>
      <c r="D304" s="30"/>
      <c r="E304" s="28"/>
      <c r="F304" s="19"/>
      <c r="G304" s="6"/>
      <c r="H304" s="6"/>
      <c r="I304" s="6"/>
      <c r="J304" s="6"/>
      <c r="K304" s="6"/>
      <c r="L304" s="6"/>
      <c r="M304" s="6"/>
      <c r="N304" s="6"/>
      <c r="O304" s="6"/>
      <c r="P304" s="6"/>
      <c r="Q304" s="6"/>
      <c r="R304" s="6"/>
      <c r="S304" s="6"/>
      <c r="T304" s="6"/>
      <c r="U304" s="6"/>
      <c r="V304" s="6"/>
      <c r="W304" s="6"/>
      <c r="X304" s="6"/>
      <c r="Y304" s="6"/>
      <c r="Z304" s="6"/>
      <c r="AA304" s="6"/>
      <c r="AB304" s="6"/>
      <c r="AC304" s="6"/>
    </row>
    <row r="305" ht="14.25" customHeight="1">
      <c r="A305" s="28"/>
      <c r="B305" s="28"/>
      <c r="C305" s="29"/>
      <c r="D305" s="30"/>
      <c r="E305" s="28"/>
      <c r="F305" s="19"/>
      <c r="G305" s="6"/>
      <c r="H305" s="6"/>
      <c r="I305" s="6"/>
      <c r="J305" s="6"/>
      <c r="K305" s="6"/>
      <c r="L305" s="6"/>
      <c r="M305" s="6"/>
      <c r="N305" s="6"/>
      <c r="O305" s="6"/>
      <c r="P305" s="6"/>
      <c r="Q305" s="6"/>
      <c r="R305" s="6"/>
      <c r="S305" s="6"/>
      <c r="T305" s="6"/>
      <c r="U305" s="6"/>
      <c r="V305" s="6"/>
      <c r="W305" s="6"/>
      <c r="X305" s="6"/>
      <c r="Y305" s="6"/>
      <c r="Z305" s="6"/>
      <c r="AA305" s="6"/>
      <c r="AB305" s="6"/>
      <c r="AC305" s="6"/>
    </row>
    <row r="306" ht="14.25" customHeight="1">
      <c r="A306" s="28"/>
      <c r="B306" s="28"/>
      <c r="C306" s="29"/>
      <c r="D306" s="30"/>
      <c r="E306" s="28"/>
      <c r="F306" s="19"/>
      <c r="G306" s="6"/>
      <c r="H306" s="6"/>
      <c r="I306" s="6"/>
      <c r="J306" s="6"/>
      <c r="K306" s="6"/>
      <c r="L306" s="6"/>
      <c r="M306" s="6"/>
      <c r="N306" s="6"/>
      <c r="O306" s="6"/>
      <c r="P306" s="6"/>
      <c r="Q306" s="6"/>
      <c r="R306" s="6"/>
      <c r="S306" s="6"/>
      <c r="T306" s="6"/>
      <c r="U306" s="6"/>
      <c r="V306" s="6"/>
      <c r="W306" s="6"/>
      <c r="X306" s="6"/>
      <c r="Y306" s="6"/>
      <c r="Z306" s="6"/>
      <c r="AA306" s="6"/>
      <c r="AB306" s="6"/>
      <c r="AC306" s="6"/>
    </row>
    <row r="307" ht="14.25" customHeight="1">
      <c r="A307" s="28"/>
      <c r="B307" s="28"/>
      <c r="C307" s="29"/>
      <c r="D307" s="30"/>
      <c r="E307" s="28"/>
      <c r="F307" s="19"/>
      <c r="G307" s="6"/>
      <c r="H307" s="6"/>
      <c r="I307" s="6"/>
      <c r="J307" s="6"/>
      <c r="K307" s="6"/>
      <c r="L307" s="6"/>
      <c r="M307" s="6"/>
      <c r="N307" s="6"/>
      <c r="O307" s="6"/>
      <c r="P307" s="6"/>
      <c r="Q307" s="6"/>
      <c r="R307" s="6"/>
      <c r="S307" s="6"/>
      <c r="T307" s="6"/>
      <c r="U307" s="6"/>
      <c r="V307" s="6"/>
      <c r="W307" s="6"/>
      <c r="X307" s="6"/>
      <c r="Y307" s="6"/>
      <c r="Z307" s="6"/>
      <c r="AA307" s="6"/>
      <c r="AB307" s="6"/>
      <c r="AC307" s="6"/>
    </row>
    <row r="308" ht="14.25" customHeight="1">
      <c r="A308" s="28"/>
      <c r="B308" s="28"/>
      <c r="C308" s="29"/>
      <c r="D308" s="30"/>
      <c r="E308" s="28"/>
      <c r="F308" s="19"/>
      <c r="G308" s="6"/>
      <c r="H308" s="6"/>
      <c r="I308" s="6"/>
      <c r="J308" s="6"/>
      <c r="K308" s="6"/>
      <c r="L308" s="6"/>
      <c r="M308" s="6"/>
      <c r="N308" s="6"/>
      <c r="O308" s="6"/>
      <c r="P308" s="6"/>
      <c r="Q308" s="6"/>
      <c r="R308" s="6"/>
      <c r="S308" s="6"/>
      <c r="T308" s="6"/>
      <c r="U308" s="6"/>
      <c r="V308" s="6"/>
      <c r="W308" s="6"/>
      <c r="X308" s="6"/>
      <c r="Y308" s="6"/>
      <c r="Z308" s="6"/>
      <c r="AA308" s="6"/>
      <c r="AB308" s="6"/>
      <c r="AC308" s="6"/>
    </row>
    <row r="309" ht="14.25" customHeight="1">
      <c r="A309" s="28"/>
      <c r="B309" s="28"/>
      <c r="C309" s="29"/>
      <c r="D309" s="30"/>
      <c r="E309" s="28"/>
      <c r="F309" s="19"/>
      <c r="G309" s="6"/>
      <c r="H309" s="6"/>
      <c r="I309" s="6"/>
      <c r="J309" s="6"/>
      <c r="K309" s="6"/>
      <c r="L309" s="6"/>
      <c r="M309" s="6"/>
      <c r="N309" s="6"/>
      <c r="O309" s="6"/>
      <c r="P309" s="6"/>
      <c r="Q309" s="6"/>
      <c r="R309" s="6"/>
      <c r="S309" s="6"/>
      <c r="T309" s="6"/>
      <c r="U309" s="6"/>
      <c r="V309" s="6"/>
      <c r="W309" s="6"/>
      <c r="X309" s="6"/>
      <c r="Y309" s="6"/>
      <c r="Z309" s="6"/>
      <c r="AA309" s="6"/>
      <c r="AB309" s="6"/>
      <c r="AC309" s="6"/>
    </row>
    <row r="310" ht="14.25" customHeight="1">
      <c r="A310" s="28"/>
      <c r="B310" s="28"/>
      <c r="C310" s="29"/>
      <c r="D310" s="30"/>
      <c r="E310" s="28"/>
      <c r="F310" s="19"/>
      <c r="G310" s="6"/>
      <c r="H310" s="6"/>
      <c r="I310" s="6"/>
      <c r="J310" s="6"/>
      <c r="K310" s="6"/>
      <c r="L310" s="6"/>
      <c r="M310" s="6"/>
      <c r="N310" s="6"/>
      <c r="O310" s="6"/>
      <c r="P310" s="6"/>
      <c r="Q310" s="6"/>
      <c r="R310" s="6"/>
      <c r="S310" s="6"/>
      <c r="T310" s="6"/>
      <c r="U310" s="6"/>
      <c r="V310" s="6"/>
      <c r="W310" s="6"/>
      <c r="X310" s="6"/>
      <c r="Y310" s="6"/>
      <c r="Z310" s="6"/>
      <c r="AA310" s="6"/>
      <c r="AB310" s="6"/>
      <c r="AC310" s="6"/>
    </row>
    <row r="311" ht="14.25" customHeight="1">
      <c r="A311" s="28"/>
      <c r="B311" s="28"/>
      <c r="C311" s="29"/>
      <c r="D311" s="30"/>
      <c r="E311" s="28"/>
      <c r="F311" s="19"/>
      <c r="G311" s="6"/>
      <c r="H311" s="6"/>
      <c r="I311" s="6"/>
      <c r="J311" s="6"/>
      <c r="K311" s="6"/>
      <c r="L311" s="6"/>
      <c r="M311" s="6"/>
      <c r="N311" s="6"/>
      <c r="O311" s="6"/>
      <c r="P311" s="6"/>
      <c r="Q311" s="6"/>
      <c r="R311" s="6"/>
      <c r="S311" s="6"/>
      <c r="T311" s="6"/>
      <c r="U311" s="6"/>
      <c r="V311" s="6"/>
      <c r="W311" s="6"/>
      <c r="X311" s="6"/>
      <c r="Y311" s="6"/>
      <c r="Z311" s="6"/>
      <c r="AA311" s="6"/>
      <c r="AB311" s="6"/>
      <c r="AC311" s="6"/>
    </row>
    <row r="312" ht="14.25" customHeight="1">
      <c r="A312" s="28"/>
      <c r="B312" s="28"/>
      <c r="C312" s="29"/>
      <c r="D312" s="30"/>
      <c r="E312" s="28"/>
      <c r="F312" s="19"/>
      <c r="G312" s="6"/>
      <c r="H312" s="6"/>
      <c r="I312" s="6"/>
      <c r="J312" s="6"/>
      <c r="K312" s="6"/>
      <c r="L312" s="6"/>
      <c r="M312" s="6"/>
      <c r="N312" s="6"/>
      <c r="O312" s="6"/>
      <c r="P312" s="6"/>
      <c r="Q312" s="6"/>
      <c r="R312" s="6"/>
      <c r="S312" s="6"/>
      <c r="T312" s="6"/>
      <c r="U312" s="6"/>
      <c r="V312" s="6"/>
      <c r="W312" s="6"/>
      <c r="X312" s="6"/>
      <c r="Y312" s="6"/>
      <c r="Z312" s="6"/>
      <c r="AA312" s="6"/>
      <c r="AB312" s="6"/>
      <c r="AC312" s="6"/>
    </row>
    <row r="313" ht="14.25" customHeight="1">
      <c r="A313" s="28"/>
      <c r="B313" s="28"/>
      <c r="C313" s="29"/>
      <c r="D313" s="30"/>
      <c r="E313" s="28"/>
      <c r="F313" s="19"/>
      <c r="G313" s="6"/>
      <c r="H313" s="6"/>
      <c r="I313" s="6"/>
      <c r="J313" s="6"/>
      <c r="K313" s="6"/>
      <c r="L313" s="6"/>
      <c r="M313" s="6"/>
      <c r="N313" s="6"/>
      <c r="O313" s="6"/>
      <c r="P313" s="6"/>
      <c r="Q313" s="6"/>
      <c r="R313" s="6"/>
      <c r="S313" s="6"/>
      <c r="T313" s="6"/>
      <c r="U313" s="6"/>
      <c r="V313" s="6"/>
      <c r="W313" s="6"/>
      <c r="X313" s="6"/>
      <c r="Y313" s="6"/>
      <c r="Z313" s="6"/>
      <c r="AA313" s="6"/>
      <c r="AB313" s="6"/>
      <c r="AC313" s="6"/>
    </row>
    <row r="314" ht="14.25" customHeight="1">
      <c r="A314" s="28"/>
      <c r="B314" s="28"/>
      <c r="C314" s="29"/>
      <c r="D314" s="30"/>
      <c r="E314" s="28"/>
      <c r="F314" s="19"/>
      <c r="G314" s="6"/>
      <c r="H314" s="6"/>
      <c r="I314" s="6"/>
      <c r="J314" s="6"/>
      <c r="K314" s="6"/>
      <c r="L314" s="6"/>
      <c r="M314" s="6"/>
      <c r="N314" s="6"/>
      <c r="O314" s="6"/>
      <c r="P314" s="6"/>
      <c r="Q314" s="6"/>
      <c r="R314" s="6"/>
      <c r="S314" s="6"/>
      <c r="T314" s="6"/>
      <c r="U314" s="6"/>
      <c r="V314" s="6"/>
      <c r="W314" s="6"/>
      <c r="X314" s="6"/>
      <c r="Y314" s="6"/>
      <c r="Z314" s="6"/>
      <c r="AA314" s="6"/>
      <c r="AB314" s="6"/>
      <c r="AC314" s="6"/>
    </row>
    <row r="315" ht="14.25" customHeight="1">
      <c r="A315" s="28"/>
      <c r="B315" s="28"/>
      <c r="C315" s="29"/>
      <c r="D315" s="30"/>
      <c r="E315" s="28"/>
      <c r="F315" s="19"/>
      <c r="G315" s="6"/>
      <c r="H315" s="6"/>
      <c r="I315" s="6"/>
      <c r="J315" s="6"/>
      <c r="K315" s="6"/>
      <c r="L315" s="6"/>
      <c r="M315" s="6"/>
      <c r="N315" s="6"/>
      <c r="O315" s="6"/>
      <c r="P315" s="6"/>
      <c r="Q315" s="6"/>
      <c r="R315" s="6"/>
      <c r="S315" s="6"/>
      <c r="T315" s="6"/>
      <c r="U315" s="6"/>
      <c r="V315" s="6"/>
      <c r="W315" s="6"/>
      <c r="X315" s="6"/>
      <c r="Y315" s="6"/>
      <c r="Z315" s="6"/>
      <c r="AA315" s="6"/>
      <c r="AB315" s="6"/>
      <c r="AC315" s="6"/>
    </row>
    <row r="316" ht="14.25" customHeight="1">
      <c r="A316" s="28"/>
      <c r="B316" s="28"/>
      <c r="C316" s="29"/>
      <c r="D316" s="30"/>
      <c r="E316" s="28"/>
      <c r="F316" s="19"/>
      <c r="G316" s="6"/>
      <c r="H316" s="6"/>
      <c r="I316" s="6"/>
      <c r="J316" s="6"/>
      <c r="K316" s="6"/>
      <c r="L316" s="6"/>
      <c r="M316" s="6"/>
      <c r="N316" s="6"/>
      <c r="O316" s="6"/>
      <c r="P316" s="6"/>
      <c r="Q316" s="6"/>
      <c r="R316" s="6"/>
      <c r="S316" s="6"/>
      <c r="T316" s="6"/>
      <c r="U316" s="6"/>
      <c r="V316" s="6"/>
      <c r="W316" s="6"/>
      <c r="X316" s="6"/>
      <c r="Y316" s="6"/>
      <c r="Z316" s="6"/>
      <c r="AA316" s="6"/>
      <c r="AB316" s="6"/>
      <c r="AC316" s="6"/>
    </row>
    <row r="317" ht="14.25" customHeight="1">
      <c r="A317" s="28"/>
      <c r="B317" s="28"/>
      <c r="C317" s="29"/>
      <c r="D317" s="30"/>
      <c r="E317" s="28"/>
      <c r="F317" s="19"/>
      <c r="G317" s="6"/>
      <c r="H317" s="6"/>
      <c r="I317" s="6"/>
      <c r="J317" s="6"/>
      <c r="K317" s="6"/>
      <c r="L317" s="6"/>
      <c r="M317" s="6"/>
      <c r="N317" s="6"/>
      <c r="O317" s="6"/>
      <c r="P317" s="6"/>
      <c r="Q317" s="6"/>
      <c r="R317" s="6"/>
      <c r="S317" s="6"/>
      <c r="T317" s="6"/>
      <c r="U317" s="6"/>
      <c r="V317" s="6"/>
      <c r="W317" s="6"/>
      <c r="X317" s="6"/>
      <c r="Y317" s="6"/>
      <c r="Z317" s="6"/>
      <c r="AA317" s="6"/>
      <c r="AB317" s="6"/>
      <c r="AC317" s="6"/>
    </row>
    <row r="318" ht="14.25" customHeight="1">
      <c r="A318" s="28"/>
      <c r="B318" s="28"/>
      <c r="C318" s="29"/>
      <c r="D318" s="30"/>
      <c r="E318" s="28"/>
      <c r="F318" s="19"/>
      <c r="G318" s="6"/>
      <c r="H318" s="6"/>
      <c r="I318" s="6"/>
      <c r="J318" s="6"/>
      <c r="K318" s="6"/>
      <c r="L318" s="6"/>
      <c r="M318" s="6"/>
      <c r="N318" s="6"/>
      <c r="O318" s="6"/>
      <c r="P318" s="6"/>
      <c r="Q318" s="6"/>
      <c r="R318" s="6"/>
      <c r="S318" s="6"/>
      <c r="T318" s="6"/>
      <c r="U318" s="6"/>
      <c r="V318" s="6"/>
      <c r="W318" s="6"/>
      <c r="X318" s="6"/>
      <c r="Y318" s="6"/>
      <c r="Z318" s="6"/>
      <c r="AA318" s="6"/>
      <c r="AB318" s="6"/>
      <c r="AC318" s="6"/>
    </row>
    <row r="319" ht="14.25" customHeight="1">
      <c r="A319" s="28"/>
      <c r="B319" s="28"/>
      <c r="C319" s="29"/>
      <c r="D319" s="30"/>
      <c r="E319" s="28"/>
      <c r="F319" s="19"/>
      <c r="G319" s="6"/>
      <c r="H319" s="6"/>
      <c r="I319" s="6"/>
      <c r="J319" s="6"/>
      <c r="K319" s="6"/>
      <c r="L319" s="6"/>
      <c r="M319" s="6"/>
      <c r="N319" s="6"/>
      <c r="O319" s="6"/>
      <c r="P319" s="6"/>
      <c r="Q319" s="6"/>
      <c r="R319" s="6"/>
      <c r="S319" s="6"/>
      <c r="T319" s="6"/>
      <c r="U319" s="6"/>
      <c r="V319" s="6"/>
      <c r="W319" s="6"/>
      <c r="X319" s="6"/>
      <c r="Y319" s="6"/>
      <c r="Z319" s="6"/>
      <c r="AA319" s="6"/>
      <c r="AB319" s="6"/>
      <c r="AC319" s="6"/>
    </row>
    <row r="320" ht="14.25" customHeight="1">
      <c r="A320" s="28"/>
      <c r="B320" s="28"/>
      <c r="C320" s="29"/>
      <c r="D320" s="30"/>
      <c r="E320" s="28"/>
      <c r="F320" s="19"/>
      <c r="G320" s="6"/>
      <c r="H320" s="6"/>
      <c r="I320" s="6"/>
      <c r="J320" s="6"/>
      <c r="K320" s="6"/>
      <c r="L320" s="6"/>
      <c r="M320" s="6"/>
      <c r="N320" s="6"/>
      <c r="O320" s="6"/>
      <c r="P320" s="6"/>
      <c r="Q320" s="6"/>
      <c r="R320" s="6"/>
      <c r="S320" s="6"/>
      <c r="T320" s="6"/>
      <c r="U320" s="6"/>
      <c r="V320" s="6"/>
      <c r="W320" s="6"/>
      <c r="X320" s="6"/>
      <c r="Y320" s="6"/>
      <c r="Z320" s="6"/>
      <c r="AA320" s="6"/>
      <c r="AB320" s="6"/>
      <c r="AC320" s="6"/>
    </row>
    <row r="321" ht="14.25" customHeight="1">
      <c r="A321" s="28"/>
      <c r="B321" s="28"/>
      <c r="C321" s="29"/>
      <c r="D321" s="30"/>
      <c r="E321" s="28"/>
      <c r="F321" s="19"/>
      <c r="G321" s="6"/>
      <c r="H321" s="6"/>
      <c r="I321" s="6"/>
      <c r="J321" s="6"/>
      <c r="K321" s="6"/>
      <c r="L321" s="6"/>
      <c r="M321" s="6"/>
      <c r="N321" s="6"/>
      <c r="O321" s="6"/>
      <c r="P321" s="6"/>
      <c r="Q321" s="6"/>
      <c r="R321" s="6"/>
      <c r="S321" s="6"/>
      <c r="T321" s="6"/>
      <c r="U321" s="6"/>
      <c r="V321" s="6"/>
      <c r="W321" s="6"/>
      <c r="X321" s="6"/>
      <c r="Y321" s="6"/>
      <c r="Z321" s="6"/>
      <c r="AA321" s="6"/>
      <c r="AB321" s="6"/>
      <c r="AC321" s="6"/>
    </row>
    <row r="322" ht="14.25" customHeight="1">
      <c r="A322" s="28"/>
      <c r="B322" s="28"/>
      <c r="C322" s="29"/>
      <c r="D322" s="30"/>
      <c r="E322" s="28"/>
      <c r="F322" s="19"/>
      <c r="G322" s="6"/>
      <c r="H322" s="6"/>
      <c r="I322" s="6"/>
      <c r="J322" s="6"/>
      <c r="K322" s="6"/>
      <c r="L322" s="6"/>
      <c r="M322" s="6"/>
      <c r="N322" s="6"/>
      <c r="O322" s="6"/>
      <c r="P322" s="6"/>
      <c r="Q322" s="6"/>
      <c r="R322" s="6"/>
      <c r="S322" s="6"/>
      <c r="T322" s="6"/>
      <c r="U322" s="6"/>
      <c r="V322" s="6"/>
      <c r="W322" s="6"/>
      <c r="X322" s="6"/>
      <c r="Y322" s="6"/>
      <c r="Z322" s="6"/>
      <c r="AA322" s="6"/>
      <c r="AB322" s="6"/>
      <c r="AC322" s="6"/>
    </row>
    <row r="323" ht="14.25" customHeight="1">
      <c r="A323" s="28"/>
      <c r="B323" s="28"/>
      <c r="C323" s="29"/>
      <c r="D323" s="30"/>
      <c r="E323" s="28"/>
      <c r="F323" s="19"/>
      <c r="G323" s="6"/>
      <c r="H323" s="6"/>
      <c r="I323" s="6"/>
      <c r="J323" s="6"/>
      <c r="K323" s="6"/>
      <c r="L323" s="6"/>
      <c r="M323" s="6"/>
      <c r="N323" s="6"/>
      <c r="O323" s="6"/>
      <c r="P323" s="6"/>
      <c r="Q323" s="6"/>
      <c r="R323" s="6"/>
      <c r="S323" s="6"/>
      <c r="T323" s="6"/>
      <c r="U323" s="6"/>
      <c r="V323" s="6"/>
      <c r="W323" s="6"/>
      <c r="X323" s="6"/>
      <c r="Y323" s="6"/>
      <c r="Z323" s="6"/>
      <c r="AA323" s="6"/>
      <c r="AB323" s="6"/>
      <c r="AC323" s="6"/>
    </row>
    <row r="324" ht="14.25" customHeight="1">
      <c r="A324" s="28"/>
      <c r="B324" s="28"/>
      <c r="C324" s="29"/>
      <c r="D324" s="30"/>
      <c r="E324" s="28"/>
      <c r="F324" s="19"/>
      <c r="G324" s="6"/>
      <c r="H324" s="6"/>
      <c r="I324" s="6"/>
      <c r="J324" s="6"/>
      <c r="K324" s="6"/>
      <c r="L324" s="6"/>
      <c r="M324" s="6"/>
      <c r="N324" s="6"/>
      <c r="O324" s="6"/>
      <c r="P324" s="6"/>
      <c r="Q324" s="6"/>
      <c r="R324" s="6"/>
      <c r="S324" s="6"/>
      <c r="T324" s="6"/>
      <c r="U324" s="6"/>
      <c r="V324" s="6"/>
      <c r="W324" s="6"/>
      <c r="X324" s="6"/>
      <c r="Y324" s="6"/>
      <c r="Z324" s="6"/>
      <c r="AA324" s="6"/>
      <c r="AB324" s="6"/>
      <c r="AC324" s="6"/>
    </row>
    <row r="325" ht="14.25" customHeight="1">
      <c r="A325" s="28"/>
      <c r="B325" s="28"/>
      <c r="C325" s="29"/>
      <c r="D325" s="30"/>
      <c r="E325" s="28"/>
      <c r="F325" s="19"/>
      <c r="G325" s="6"/>
      <c r="H325" s="6"/>
      <c r="I325" s="6"/>
      <c r="J325" s="6"/>
      <c r="K325" s="6"/>
      <c r="L325" s="6"/>
      <c r="M325" s="6"/>
      <c r="N325" s="6"/>
      <c r="O325" s="6"/>
      <c r="P325" s="6"/>
      <c r="Q325" s="6"/>
      <c r="R325" s="6"/>
      <c r="S325" s="6"/>
      <c r="T325" s="6"/>
      <c r="U325" s="6"/>
      <c r="V325" s="6"/>
      <c r="W325" s="6"/>
      <c r="X325" s="6"/>
      <c r="Y325" s="6"/>
      <c r="Z325" s="6"/>
      <c r="AA325" s="6"/>
      <c r="AB325" s="6"/>
      <c r="AC325" s="6"/>
    </row>
    <row r="326" ht="14.25" customHeight="1">
      <c r="A326" s="28"/>
      <c r="B326" s="28"/>
      <c r="C326" s="29"/>
      <c r="D326" s="30"/>
      <c r="E326" s="28"/>
      <c r="F326" s="19"/>
      <c r="G326" s="6"/>
      <c r="H326" s="6"/>
      <c r="I326" s="6"/>
      <c r="J326" s="6"/>
      <c r="K326" s="6"/>
      <c r="L326" s="6"/>
      <c r="M326" s="6"/>
      <c r="N326" s="6"/>
      <c r="O326" s="6"/>
      <c r="P326" s="6"/>
      <c r="Q326" s="6"/>
      <c r="R326" s="6"/>
      <c r="S326" s="6"/>
      <c r="T326" s="6"/>
      <c r="U326" s="6"/>
      <c r="V326" s="6"/>
      <c r="W326" s="6"/>
      <c r="X326" s="6"/>
      <c r="Y326" s="6"/>
      <c r="Z326" s="6"/>
      <c r="AA326" s="6"/>
      <c r="AB326" s="6"/>
      <c r="AC326" s="6"/>
    </row>
    <row r="327" ht="14.25" customHeight="1">
      <c r="A327" s="28"/>
      <c r="B327" s="28"/>
      <c r="C327" s="29"/>
      <c r="D327" s="30"/>
      <c r="E327" s="28"/>
      <c r="F327" s="19"/>
      <c r="G327" s="6"/>
      <c r="H327" s="6"/>
      <c r="I327" s="6"/>
      <c r="J327" s="6"/>
      <c r="K327" s="6"/>
      <c r="L327" s="6"/>
      <c r="M327" s="6"/>
      <c r="N327" s="6"/>
      <c r="O327" s="6"/>
      <c r="P327" s="6"/>
      <c r="Q327" s="6"/>
      <c r="R327" s="6"/>
      <c r="S327" s="6"/>
      <c r="T327" s="6"/>
      <c r="U327" s="6"/>
      <c r="V327" s="6"/>
      <c r="W327" s="6"/>
      <c r="X327" s="6"/>
      <c r="Y327" s="6"/>
      <c r="Z327" s="6"/>
      <c r="AA327" s="6"/>
      <c r="AB327" s="6"/>
      <c r="AC327" s="6"/>
    </row>
    <row r="328" ht="14.25" customHeight="1">
      <c r="A328" s="28"/>
      <c r="B328" s="28"/>
      <c r="C328" s="29"/>
      <c r="D328" s="30"/>
      <c r="E328" s="28"/>
      <c r="F328" s="19"/>
      <c r="G328" s="6"/>
      <c r="H328" s="6"/>
      <c r="I328" s="6"/>
      <c r="J328" s="6"/>
      <c r="K328" s="6"/>
      <c r="L328" s="6"/>
      <c r="M328" s="6"/>
      <c r="N328" s="6"/>
      <c r="O328" s="6"/>
      <c r="P328" s="6"/>
      <c r="Q328" s="6"/>
      <c r="R328" s="6"/>
      <c r="S328" s="6"/>
      <c r="T328" s="6"/>
      <c r="U328" s="6"/>
      <c r="V328" s="6"/>
      <c r="W328" s="6"/>
      <c r="X328" s="6"/>
      <c r="Y328" s="6"/>
      <c r="Z328" s="6"/>
      <c r="AA328" s="6"/>
      <c r="AB328" s="6"/>
      <c r="AC328" s="6"/>
    </row>
    <row r="329" ht="14.25" customHeight="1">
      <c r="A329" s="28"/>
      <c r="B329" s="28"/>
      <c r="C329" s="29"/>
      <c r="D329" s="30"/>
      <c r="E329" s="28"/>
      <c r="F329" s="19"/>
      <c r="G329" s="6"/>
      <c r="H329" s="6"/>
      <c r="I329" s="6"/>
      <c r="J329" s="6"/>
      <c r="K329" s="6"/>
      <c r="L329" s="6"/>
      <c r="M329" s="6"/>
      <c r="N329" s="6"/>
      <c r="O329" s="6"/>
      <c r="P329" s="6"/>
      <c r="Q329" s="6"/>
      <c r="R329" s="6"/>
      <c r="S329" s="6"/>
      <c r="T329" s="6"/>
      <c r="U329" s="6"/>
      <c r="V329" s="6"/>
      <c r="W329" s="6"/>
      <c r="X329" s="6"/>
      <c r="Y329" s="6"/>
      <c r="Z329" s="6"/>
      <c r="AA329" s="6"/>
      <c r="AB329" s="6"/>
      <c r="AC329" s="6"/>
    </row>
    <row r="330" ht="14.25" customHeight="1">
      <c r="A330" s="28"/>
      <c r="B330" s="28"/>
      <c r="C330" s="29"/>
      <c r="D330" s="30"/>
      <c r="E330" s="28"/>
      <c r="F330" s="19"/>
      <c r="G330" s="6"/>
      <c r="H330" s="6"/>
      <c r="I330" s="6"/>
      <c r="J330" s="6"/>
      <c r="K330" s="6"/>
      <c r="L330" s="6"/>
      <c r="M330" s="6"/>
      <c r="N330" s="6"/>
      <c r="O330" s="6"/>
      <c r="P330" s="6"/>
      <c r="Q330" s="6"/>
      <c r="R330" s="6"/>
      <c r="S330" s="6"/>
      <c r="T330" s="6"/>
      <c r="U330" s="6"/>
      <c r="V330" s="6"/>
      <c r="W330" s="6"/>
      <c r="X330" s="6"/>
      <c r="Y330" s="6"/>
      <c r="Z330" s="6"/>
      <c r="AA330" s="6"/>
      <c r="AB330" s="6"/>
      <c r="AC330" s="6"/>
    </row>
    <row r="331" ht="14.25" customHeight="1">
      <c r="A331" s="28"/>
      <c r="B331" s="28"/>
      <c r="C331" s="29"/>
      <c r="D331" s="30"/>
      <c r="E331" s="28"/>
      <c r="F331" s="19"/>
      <c r="G331" s="6"/>
      <c r="H331" s="6"/>
      <c r="I331" s="6"/>
      <c r="J331" s="6"/>
      <c r="K331" s="6"/>
      <c r="L331" s="6"/>
      <c r="M331" s="6"/>
      <c r="N331" s="6"/>
      <c r="O331" s="6"/>
      <c r="P331" s="6"/>
      <c r="Q331" s="6"/>
      <c r="R331" s="6"/>
      <c r="S331" s="6"/>
      <c r="T331" s="6"/>
      <c r="U331" s="6"/>
      <c r="V331" s="6"/>
      <c r="W331" s="6"/>
      <c r="X331" s="6"/>
      <c r="Y331" s="6"/>
      <c r="Z331" s="6"/>
      <c r="AA331" s="6"/>
      <c r="AB331" s="6"/>
      <c r="AC331" s="6"/>
    </row>
    <row r="332" ht="14.25" customHeight="1">
      <c r="A332" s="28"/>
      <c r="B332" s="28"/>
      <c r="C332" s="29"/>
      <c r="D332" s="30"/>
      <c r="E332" s="28"/>
      <c r="F332" s="19"/>
      <c r="G332" s="6"/>
      <c r="H332" s="6"/>
      <c r="I332" s="6"/>
      <c r="J332" s="6"/>
      <c r="K332" s="6"/>
      <c r="L332" s="6"/>
      <c r="M332" s="6"/>
      <c r="N332" s="6"/>
      <c r="O332" s="6"/>
      <c r="P332" s="6"/>
      <c r="Q332" s="6"/>
      <c r="R332" s="6"/>
      <c r="S332" s="6"/>
      <c r="T332" s="6"/>
      <c r="U332" s="6"/>
      <c r="V332" s="6"/>
      <c r="W332" s="6"/>
      <c r="X332" s="6"/>
      <c r="Y332" s="6"/>
      <c r="Z332" s="6"/>
      <c r="AA332" s="6"/>
      <c r="AB332" s="6"/>
      <c r="AC332" s="6"/>
    </row>
    <row r="333" ht="14.25" customHeight="1">
      <c r="A333" s="28"/>
      <c r="B333" s="28"/>
      <c r="C333" s="29"/>
      <c r="D333" s="30"/>
      <c r="E333" s="28"/>
      <c r="F333" s="19"/>
      <c r="G333" s="6"/>
      <c r="H333" s="6"/>
      <c r="I333" s="6"/>
      <c r="J333" s="6"/>
      <c r="K333" s="6"/>
      <c r="L333" s="6"/>
      <c r="M333" s="6"/>
      <c r="N333" s="6"/>
      <c r="O333" s="6"/>
      <c r="P333" s="6"/>
      <c r="Q333" s="6"/>
      <c r="R333" s="6"/>
      <c r="S333" s="6"/>
      <c r="T333" s="6"/>
      <c r="U333" s="6"/>
      <c r="V333" s="6"/>
      <c r="W333" s="6"/>
      <c r="X333" s="6"/>
      <c r="Y333" s="6"/>
      <c r="Z333" s="6"/>
      <c r="AA333" s="6"/>
      <c r="AB333" s="6"/>
      <c r="AC333" s="6"/>
    </row>
    <row r="334" ht="14.25" customHeight="1">
      <c r="A334" s="28"/>
      <c r="B334" s="28"/>
      <c r="C334" s="29"/>
      <c r="D334" s="30"/>
      <c r="E334" s="28"/>
      <c r="F334" s="19"/>
      <c r="G334" s="6"/>
      <c r="H334" s="6"/>
      <c r="I334" s="6"/>
      <c r="J334" s="6"/>
      <c r="K334" s="6"/>
      <c r="L334" s="6"/>
      <c r="M334" s="6"/>
      <c r="N334" s="6"/>
      <c r="O334" s="6"/>
      <c r="P334" s="6"/>
      <c r="Q334" s="6"/>
      <c r="R334" s="6"/>
      <c r="S334" s="6"/>
      <c r="T334" s="6"/>
      <c r="U334" s="6"/>
      <c r="V334" s="6"/>
      <c r="W334" s="6"/>
      <c r="X334" s="6"/>
      <c r="Y334" s="6"/>
      <c r="Z334" s="6"/>
      <c r="AA334" s="6"/>
      <c r="AB334" s="6"/>
      <c r="AC334" s="6"/>
    </row>
    <row r="335" ht="14.25" customHeight="1">
      <c r="A335" s="28"/>
      <c r="B335" s="28"/>
      <c r="C335" s="29"/>
      <c r="D335" s="30"/>
      <c r="E335" s="28"/>
      <c r="F335" s="19"/>
      <c r="G335" s="6"/>
      <c r="H335" s="6"/>
      <c r="I335" s="6"/>
      <c r="J335" s="6"/>
      <c r="K335" s="6"/>
      <c r="L335" s="6"/>
      <c r="M335" s="6"/>
      <c r="N335" s="6"/>
      <c r="O335" s="6"/>
      <c r="P335" s="6"/>
      <c r="Q335" s="6"/>
      <c r="R335" s="6"/>
      <c r="S335" s="6"/>
      <c r="T335" s="6"/>
      <c r="U335" s="6"/>
      <c r="V335" s="6"/>
      <c r="W335" s="6"/>
      <c r="X335" s="6"/>
      <c r="Y335" s="6"/>
      <c r="Z335" s="6"/>
      <c r="AA335" s="6"/>
      <c r="AB335" s="6"/>
      <c r="AC335" s="6"/>
    </row>
    <row r="336" ht="14.25" customHeight="1">
      <c r="A336" s="28"/>
      <c r="B336" s="28"/>
      <c r="C336" s="29"/>
      <c r="D336" s="30"/>
      <c r="E336" s="28"/>
      <c r="F336" s="19"/>
      <c r="G336" s="6"/>
      <c r="H336" s="6"/>
      <c r="I336" s="6"/>
      <c r="J336" s="6"/>
      <c r="K336" s="6"/>
      <c r="L336" s="6"/>
      <c r="M336" s="6"/>
      <c r="N336" s="6"/>
      <c r="O336" s="6"/>
      <c r="P336" s="6"/>
      <c r="Q336" s="6"/>
      <c r="R336" s="6"/>
      <c r="S336" s="6"/>
      <c r="T336" s="6"/>
      <c r="U336" s="6"/>
      <c r="V336" s="6"/>
      <c r="W336" s="6"/>
      <c r="X336" s="6"/>
      <c r="Y336" s="6"/>
      <c r="Z336" s="6"/>
      <c r="AA336" s="6"/>
      <c r="AB336" s="6"/>
      <c r="AC336" s="6"/>
    </row>
    <row r="337" ht="14.25" customHeight="1">
      <c r="A337" s="28"/>
      <c r="B337" s="28"/>
      <c r="C337" s="29"/>
      <c r="D337" s="30"/>
      <c r="E337" s="28"/>
      <c r="F337" s="19"/>
      <c r="G337" s="6"/>
      <c r="H337" s="6"/>
      <c r="I337" s="6"/>
      <c r="J337" s="6"/>
      <c r="K337" s="6"/>
      <c r="L337" s="6"/>
      <c r="M337" s="6"/>
      <c r="N337" s="6"/>
      <c r="O337" s="6"/>
      <c r="P337" s="6"/>
      <c r="Q337" s="6"/>
      <c r="R337" s="6"/>
      <c r="S337" s="6"/>
      <c r="T337" s="6"/>
      <c r="U337" s="6"/>
      <c r="V337" s="6"/>
      <c r="W337" s="6"/>
      <c r="X337" s="6"/>
      <c r="Y337" s="6"/>
      <c r="Z337" s="6"/>
      <c r="AA337" s="6"/>
      <c r="AB337" s="6"/>
      <c r="AC337" s="6"/>
    </row>
    <row r="338" ht="14.25" customHeight="1">
      <c r="A338" s="28"/>
      <c r="B338" s="28"/>
      <c r="C338" s="29"/>
      <c r="D338" s="30"/>
      <c r="E338" s="28"/>
      <c r="F338" s="19"/>
      <c r="G338" s="6"/>
      <c r="H338" s="6"/>
      <c r="I338" s="6"/>
      <c r="J338" s="6"/>
      <c r="K338" s="6"/>
      <c r="L338" s="6"/>
      <c r="M338" s="6"/>
      <c r="N338" s="6"/>
      <c r="O338" s="6"/>
      <c r="P338" s="6"/>
      <c r="Q338" s="6"/>
      <c r="R338" s="6"/>
      <c r="S338" s="6"/>
      <c r="T338" s="6"/>
      <c r="U338" s="6"/>
      <c r="V338" s="6"/>
      <c r="W338" s="6"/>
      <c r="X338" s="6"/>
      <c r="Y338" s="6"/>
      <c r="Z338" s="6"/>
      <c r="AA338" s="6"/>
      <c r="AB338" s="6"/>
      <c r="AC338" s="6"/>
    </row>
    <row r="339" ht="14.25" customHeight="1">
      <c r="A339" s="28"/>
      <c r="B339" s="28"/>
      <c r="C339" s="29"/>
      <c r="D339" s="30"/>
      <c r="E339" s="28"/>
      <c r="F339" s="19"/>
      <c r="G339" s="6"/>
      <c r="H339" s="6"/>
      <c r="I339" s="6"/>
      <c r="J339" s="6"/>
      <c r="K339" s="6"/>
      <c r="L339" s="6"/>
      <c r="M339" s="6"/>
      <c r="N339" s="6"/>
      <c r="O339" s="6"/>
      <c r="P339" s="6"/>
      <c r="Q339" s="6"/>
      <c r="R339" s="6"/>
      <c r="S339" s="6"/>
      <c r="T339" s="6"/>
      <c r="U339" s="6"/>
      <c r="V339" s="6"/>
      <c r="W339" s="6"/>
      <c r="X339" s="6"/>
      <c r="Y339" s="6"/>
      <c r="Z339" s="6"/>
      <c r="AA339" s="6"/>
      <c r="AB339" s="6"/>
      <c r="AC339" s="6"/>
    </row>
    <row r="340" ht="14.25" customHeight="1">
      <c r="A340" s="28"/>
      <c r="B340" s="28"/>
      <c r="C340" s="29"/>
      <c r="D340" s="30"/>
      <c r="E340" s="28"/>
      <c r="F340" s="19"/>
      <c r="G340" s="6"/>
      <c r="H340" s="6"/>
      <c r="I340" s="6"/>
      <c r="J340" s="6"/>
      <c r="K340" s="6"/>
      <c r="L340" s="6"/>
      <c r="M340" s="6"/>
      <c r="N340" s="6"/>
      <c r="O340" s="6"/>
      <c r="P340" s="6"/>
      <c r="Q340" s="6"/>
      <c r="R340" s="6"/>
      <c r="S340" s="6"/>
      <c r="T340" s="6"/>
      <c r="U340" s="6"/>
      <c r="V340" s="6"/>
      <c r="W340" s="6"/>
      <c r="X340" s="6"/>
      <c r="Y340" s="6"/>
      <c r="Z340" s="6"/>
      <c r="AA340" s="6"/>
      <c r="AB340" s="6"/>
      <c r="AC340" s="6"/>
    </row>
    <row r="341" ht="14.25" customHeight="1">
      <c r="A341" s="28"/>
      <c r="B341" s="28"/>
      <c r="C341" s="29"/>
      <c r="D341" s="30"/>
      <c r="E341" s="28"/>
      <c r="F341" s="19"/>
      <c r="G341" s="6"/>
      <c r="H341" s="6"/>
      <c r="I341" s="6"/>
      <c r="J341" s="6"/>
      <c r="K341" s="6"/>
      <c r="L341" s="6"/>
      <c r="M341" s="6"/>
      <c r="N341" s="6"/>
      <c r="O341" s="6"/>
      <c r="P341" s="6"/>
      <c r="Q341" s="6"/>
      <c r="R341" s="6"/>
      <c r="S341" s="6"/>
      <c r="T341" s="6"/>
      <c r="U341" s="6"/>
      <c r="V341" s="6"/>
      <c r="W341" s="6"/>
      <c r="X341" s="6"/>
      <c r="Y341" s="6"/>
      <c r="Z341" s="6"/>
      <c r="AA341" s="6"/>
      <c r="AB341" s="6"/>
      <c r="AC341" s="6"/>
    </row>
    <row r="342" ht="14.25" customHeight="1">
      <c r="A342" s="28"/>
      <c r="B342" s="28"/>
      <c r="C342" s="29"/>
      <c r="D342" s="30"/>
      <c r="E342" s="28"/>
      <c r="F342" s="19"/>
      <c r="G342" s="6"/>
      <c r="H342" s="6"/>
      <c r="I342" s="6"/>
      <c r="J342" s="6"/>
      <c r="K342" s="6"/>
      <c r="L342" s="6"/>
      <c r="M342" s="6"/>
      <c r="N342" s="6"/>
      <c r="O342" s="6"/>
      <c r="P342" s="6"/>
      <c r="Q342" s="6"/>
      <c r="R342" s="6"/>
      <c r="S342" s="6"/>
      <c r="T342" s="6"/>
      <c r="U342" s="6"/>
      <c r="V342" s="6"/>
      <c r="W342" s="6"/>
      <c r="X342" s="6"/>
      <c r="Y342" s="6"/>
      <c r="Z342" s="6"/>
      <c r="AA342" s="6"/>
      <c r="AB342" s="6"/>
      <c r="AC342" s="6"/>
    </row>
    <row r="343" ht="14.25" customHeight="1">
      <c r="A343" s="28"/>
      <c r="B343" s="28"/>
      <c r="C343" s="29"/>
      <c r="D343" s="30"/>
      <c r="E343" s="28"/>
      <c r="F343" s="19"/>
      <c r="G343" s="6"/>
      <c r="H343" s="6"/>
      <c r="I343" s="6"/>
      <c r="J343" s="6"/>
      <c r="K343" s="6"/>
      <c r="L343" s="6"/>
      <c r="M343" s="6"/>
      <c r="N343" s="6"/>
      <c r="O343" s="6"/>
      <c r="P343" s="6"/>
      <c r="Q343" s="6"/>
      <c r="R343" s="6"/>
      <c r="S343" s="6"/>
      <c r="T343" s="6"/>
      <c r="U343" s="6"/>
      <c r="V343" s="6"/>
      <c r="W343" s="6"/>
      <c r="X343" s="6"/>
      <c r="Y343" s="6"/>
      <c r="Z343" s="6"/>
      <c r="AA343" s="6"/>
      <c r="AB343" s="6"/>
      <c r="AC343" s="6"/>
    </row>
    <row r="344" ht="14.25" customHeight="1">
      <c r="A344" s="28"/>
      <c r="B344" s="28"/>
      <c r="C344" s="29"/>
      <c r="D344" s="30"/>
      <c r="E344" s="28"/>
      <c r="F344" s="19"/>
      <c r="G344" s="6"/>
      <c r="H344" s="6"/>
      <c r="I344" s="6"/>
      <c r="J344" s="6"/>
      <c r="K344" s="6"/>
      <c r="L344" s="6"/>
      <c r="M344" s="6"/>
      <c r="N344" s="6"/>
      <c r="O344" s="6"/>
      <c r="P344" s="6"/>
      <c r="Q344" s="6"/>
      <c r="R344" s="6"/>
      <c r="S344" s="6"/>
      <c r="T344" s="6"/>
      <c r="U344" s="6"/>
      <c r="V344" s="6"/>
      <c r="W344" s="6"/>
      <c r="X344" s="6"/>
      <c r="Y344" s="6"/>
      <c r="Z344" s="6"/>
      <c r="AA344" s="6"/>
      <c r="AB344" s="6"/>
      <c r="AC344" s="6"/>
    </row>
    <row r="345" ht="14.25" customHeight="1">
      <c r="A345" s="28"/>
      <c r="B345" s="28"/>
      <c r="C345" s="29"/>
      <c r="D345" s="30"/>
      <c r="E345" s="28"/>
      <c r="F345" s="19"/>
      <c r="G345" s="6"/>
      <c r="H345" s="6"/>
      <c r="I345" s="6"/>
      <c r="J345" s="6"/>
      <c r="K345" s="6"/>
      <c r="L345" s="6"/>
      <c r="M345" s="6"/>
      <c r="N345" s="6"/>
      <c r="O345" s="6"/>
      <c r="P345" s="6"/>
      <c r="Q345" s="6"/>
      <c r="R345" s="6"/>
      <c r="S345" s="6"/>
      <c r="T345" s="6"/>
      <c r="U345" s="6"/>
      <c r="V345" s="6"/>
      <c r="W345" s="6"/>
      <c r="X345" s="6"/>
      <c r="Y345" s="6"/>
      <c r="Z345" s="6"/>
      <c r="AA345" s="6"/>
      <c r="AB345" s="6"/>
      <c r="AC345" s="6"/>
    </row>
    <row r="346" ht="14.25" customHeight="1">
      <c r="A346" s="28"/>
      <c r="B346" s="28"/>
      <c r="C346" s="29"/>
      <c r="D346" s="30"/>
      <c r="E346" s="28"/>
      <c r="F346" s="19"/>
      <c r="G346" s="6"/>
      <c r="H346" s="6"/>
      <c r="I346" s="6"/>
      <c r="J346" s="6"/>
      <c r="K346" s="6"/>
      <c r="L346" s="6"/>
      <c r="M346" s="6"/>
      <c r="N346" s="6"/>
      <c r="O346" s="6"/>
      <c r="P346" s="6"/>
      <c r="Q346" s="6"/>
      <c r="R346" s="6"/>
      <c r="S346" s="6"/>
      <c r="T346" s="6"/>
      <c r="U346" s="6"/>
      <c r="V346" s="6"/>
      <c r="W346" s="6"/>
      <c r="X346" s="6"/>
      <c r="Y346" s="6"/>
      <c r="Z346" s="6"/>
      <c r="AA346" s="6"/>
      <c r="AB346" s="6"/>
      <c r="AC346" s="6"/>
    </row>
    <row r="347" ht="14.25" customHeight="1">
      <c r="A347" s="28"/>
      <c r="B347" s="28"/>
      <c r="C347" s="29"/>
      <c r="D347" s="30"/>
      <c r="E347" s="28"/>
      <c r="F347" s="19"/>
      <c r="G347" s="6"/>
      <c r="H347" s="6"/>
      <c r="I347" s="6"/>
      <c r="J347" s="6"/>
      <c r="K347" s="6"/>
      <c r="L347" s="6"/>
      <c r="M347" s="6"/>
      <c r="N347" s="6"/>
      <c r="O347" s="6"/>
      <c r="P347" s="6"/>
      <c r="Q347" s="6"/>
      <c r="R347" s="6"/>
      <c r="S347" s="6"/>
      <c r="T347" s="6"/>
      <c r="U347" s="6"/>
      <c r="V347" s="6"/>
      <c r="W347" s="6"/>
      <c r="X347" s="6"/>
      <c r="Y347" s="6"/>
      <c r="Z347" s="6"/>
      <c r="AA347" s="6"/>
      <c r="AB347" s="6"/>
      <c r="AC347" s="6"/>
    </row>
    <row r="348" ht="14.25" customHeight="1">
      <c r="A348" s="28"/>
      <c r="B348" s="28"/>
      <c r="C348" s="29"/>
      <c r="D348" s="30"/>
      <c r="E348" s="28"/>
      <c r="F348" s="19"/>
      <c r="G348" s="6"/>
      <c r="H348" s="6"/>
      <c r="I348" s="6"/>
      <c r="J348" s="6"/>
      <c r="K348" s="6"/>
      <c r="L348" s="6"/>
      <c r="M348" s="6"/>
      <c r="N348" s="6"/>
      <c r="O348" s="6"/>
      <c r="P348" s="6"/>
      <c r="Q348" s="6"/>
      <c r="R348" s="6"/>
      <c r="S348" s="6"/>
      <c r="T348" s="6"/>
      <c r="U348" s="6"/>
      <c r="V348" s="6"/>
      <c r="W348" s="6"/>
      <c r="X348" s="6"/>
      <c r="Y348" s="6"/>
      <c r="Z348" s="6"/>
      <c r="AA348" s="6"/>
      <c r="AB348" s="6"/>
      <c r="AC348" s="6"/>
    </row>
    <row r="349" ht="14.25" customHeight="1">
      <c r="A349" s="28"/>
      <c r="B349" s="28"/>
      <c r="C349" s="29"/>
      <c r="D349" s="30"/>
      <c r="E349" s="28"/>
      <c r="F349" s="19"/>
      <c r="G349" s="6"/>
      <c r="H349" s="6"/>
      <c r="I349" s="6"/>
      <c r="J349" s="6"/>
      <c r="K349" s="6"/>
      <c r="L349" s="6"/>
      <c r="M349" s="6"/>
      <c r="N349" s="6"/>
      <c r="O349" s="6"/>
      <c r="P349" s="6"/>
      <c r="Q349" s="6"/>
      <c r="R349" s="6"/>
      <c r="S349" s="6"/>
      <c r="T349" s="6"/>
      <c r="U349" s="6"/>
      <c r="V349" s="6"/>
      <c r="W349" s="6"/>
      <c r="X349" s="6"/>
      <c r="Y349" s="6"/>
      <c r="Z349" s="6"/>
      <c r="AA349" s="6"/>
      <c r="AB349" s="6"/>
      <c r="AC349" s="6"/>
    </row>
    <row r="350" ht="14.25" customHeight="1">
      <c r="A350" s="28"/>
      <c r="B350" s="28"/>
      <c r="C350" s="29"/>
      <c r="D350" s="30"/>
      <c r="E350" s="28"/>
      <c r="F350" s="19"/>
      <c r="G350" s="6"/>
      <c r="H350" s="6"/>
      <c r="I350" s="6"/>
      <c r="J350" s="6"/>
      <c r="K350" s="6"/>
      <c r="L350" s="6"/>
      <c r="M350" s="6"/>
      <c r="N350" s="6"/>
      <c r="O350" s="6"/>
      <c r="P350" s="6"/>
      <c r="Q350" s="6"/>
      <c r="R350" s="6"/>
      <c r="S350" s="6"/>
      <c r="T350" s="6"/>
      <c r="U350" s="6"/>
      <c r="V350" s="6"/>
      <c r="W350" s="6"/>
      <c r="X350" s="6"/>
      <c r="Y350" s="6"/>
      <c r="Z350" s="6"/>
      <c r="AA350" s="6"/>
      <c r="AB350" s="6"/>
      <c r="AC350" s="6"/>
    </row>
    <row r="351" ht="14.25" customHeight="1">
      <c r="A351" s="28"/>
      <c r="B351" s="28"/>
      <c r="C351" s="29"/>
      <c r="D351" s="30"/>
      <c r="E351" s="28"/>
      <c r="F351" s="19"/>
      <c r="G351" s="6"/>
      <c r="H351" s="6"/>
      <c r="I351" s="6"/>
      <c r="J351" s="6"/>
      <c r="K351" s="6"/>
      <c r="L351" s="6"/>
      <c r="M351" s="6"/>
      <c r="N351" s="6"/>
      <c r="O351" s="6"/>
      <c r="P351" s="6"/>
      <c r="Q351" s="6"/>
      <c r="R351" s="6"/>
      <c r="S351" s="6"/>
      <c r="T351" s="6"/>
      <c r="U351" s="6"/>
      <c r="V351" s="6"/>
      <c r="W351" s="6"/>
      <c r="X351" s="6"/>
      <c r="Y351" s="6"/>
      <c r="Z351" s="6"/>
      <c r="AA351" s="6"/>
      <c r="AB351" s="6"/>
      <c r="AC351" s="6"/>
    </row>
    <row r="352" ht="14.25" customHeight="1">
      <c r="A352" s="28"/>
      <c r="B352" s="28"/>
      <c r="C352" s="29"/>
      <c r="D352" s="30"/>
      <c r="E352" s="28"/>
      <c r="F352" s="19"/>
      <c r="G352" s="6"/>
      <c r="H352" s="6"/>
      <c r="I352" s="6"/>
      <c r="J352" s="6"/>
      <c r="K352" s="6"/>
      <c r="L352" s="6"/>
      <c r="M352" s="6"/>
      <c r="N352" s="6"/>
      <c r="O352" s="6"/>
      <c r="P352" s="6"/>
      <c r="Q352" s="6"/>
      <c r="R352" s="6"/>
      <c r="S352" s="6"/>
      <c r="T352" s="6"/>
      <c r="U352" s="6"/>
      <c r="V352" s="6"/>
      <c r="W352" s="6"/>
      <c r="X352" s="6"/>
      <c r="Y352" s="6"/>
      <c r="Z352" s="6"/>
      <c r="AA352" s="6"/>
      <c r="AB352" s="6"/>
      <c r="AC352" s="6"/>
    </row>
    <row r="353" ht="14.25" customHeight="1">
      <c r="A353" s="28"/>
      <c r="B353" s="28"/>
      <c r="C353" s="29"/>
      <c r="D353" s="30"/>
      <c r="E353" s="28"/>
      <c r="F353" s="19"/>
      <c r="G353" s="6"/>
      <c r="H353" s="6"/>
      <c r="I353" s="6"/>
      <c r="J353" s="6"/>
      <c r="K353" s="6"/>
      <c r="L353" s="6"/>
      <c r="M353" s="6"/>
      <c r="N353" s="6"/>
      <c r="O353" s="6"/>
      <c r="P353" s="6"/>
      <c r="Q353" s="6"/>
      <c r="R353" s="6"/>
      <c r="S353" s="6"/>
      <c r="T353" s="6"/>
      <c r="U353" s="6"/>
      <c r="V353" s="6"/>
      <c r="W353" s="6"/>
      <c r="X353" s="6"/>
      <c r="Y353" s="6"/>
      <c r="Z353" s="6"/>
      <c r="AA353" s="6"/>
      <c r="AB353" s="6"/>
      <c r="AC353" s="6"/>
    </row>
    <row r="354" ht="14.25" customHeight="1">
      <c r="A354" s="28"/>
      <c r="B354" s="28"/>
      <c r="C354" s="29"/>
      <c r="D354" s="30"/>
      <c r="E354" s="28"/>
      <c r="F354" s="19"/>
      <c r="G354" s="6"/>
      <c r="H354" s="6"/>
      <c r="I354" s="6"/>
      <c r="J354" s="6"/>
      <c r="K354" s="6"/>
      <c r="L354" s="6"/>
      <c r="M354" s="6"/>
      <c r="N354" s="6"/>
      <c r="O354" s="6"/>
      <c r="P354" s="6"/>
      <c r="Q354" s="6"/>
      <c r="R354" s="6"/>
      <c r="S354" s="6"/>
      <c r="T354" s="6"/>
      <c r="U354" s="6"/>
      <c r="V354" s="6"/>
      <c r="W354" s="6"/>
      <c r="X354" s="6"/>
      <c r="Y354" s="6"/>
      <c r="Z354" s="6"/>
      <c r="AA354" s="6"/>
      <c r="AB354" s="6"/>
      <c r="AC354" s="6"/>
    </row>
    <row r="355" ht="14.25" customHeight="1">
      <c r="A355" s="28"/>
      <c r="B355" s="28"/>
      <c r="C355" s="29"/>
      <c r="D355" s="30"/>
      <c r="E355" s="28"/>
      <c r="F355" s="19"/>
      <c r="G355" s="6"/>
      <c r="H355" s="6"/>
      <c r="I355" s="6"/>
      <c r="J355" s="6"/>
      <c r="K355" s="6"/>
      <c r="L355" s="6"/>
      <c r="M355" s="6"/>
      <c r="N355" s="6"/>
      <c r="O355" s="6"/>
      <c r="P355" s="6"/>
      <c r="Q355" s="6"/>
      <c r="R355" s="6"/>
      <c r="S355" s="6"/>
      <c r="T355" s="6"/>
      <c r="U355" s="6"/>
      <c r="V355" s="6"/>
      <c r="W355" s="6"/>
      <c r="X355" s="6"/>
      <c r="Y355" s="6"/>
      <c r="Z355" s="6"/>
      <c r="AA355" s="6"/>
      <c r="AB355" s="6"/>
      <c r="AC355" s="6"/>
    </row>
    <row r="356" ht="14.25" customHeight="1">
      <c r="A356" s="28"/>
      <c r="B356" s="28"/>
      <c r="C356" s="29"/>
      <c r="D356" s="30"/>
      <c r="E356" s="28"/>
      <c r="F356" s="19"/>
      <c r="G356" s="6"/>
      <c r="H356" s="6"/>
      <c r="I356" s="6"/>
      <c r="J356" s="6"/>
      <c r="K356" s="6"/>
      <c r="L356" s="6"/>
      <c r="M356" s="6"/>
      <c r="N356" s="6"/>
      <c r="O356" s="6"/>
      <c r="P356" s="6"/>
      <c r="Q356" s="6"/>
      <c r="R356" s="6"/>
      <c r="S356" s="6"/>
      <c r="T356" s="6"/>
      <c r="U356" s="6"/>
      <c r="V356" s="6"/>
      <c r="W356" s="6"/>
      <c r="X356" s="6"/>
      <c r="Y356" s="6"/>
      <c r="Z356" s="6"/>
      <c r="AA356" s="6"/>
      <c r="AB356" s="6"/>
      <c r="AC356" s="6"/>
    </row>
    <row r="357" ht="14.25" customHeight="1">
      <c r="A357" s="28"/>
      <c r="B357" s="28"/>
      <c r="C357" s="29"/>
      <c r="D357" s="30"/>
      <c r="E357" s="28"/>
      <c r="F357" s="19"/>
      <c r="G357" s="6"/>
      <c r="H357" s="6"/>
      <c r="I357" s="6"/>
      <c r="J357" s="6"/>
      <c r="K357" s="6"/>
      <c r="L357" s="6"/>
      <c r="M357" s="6"/>
      <c r="N357" s="6"/>
      <c r="O357" s="6"/>
      <c r="P357" s="6"/>
      <c r="Q357" s="6"/>
      <c r="R357" s="6"/>
      <c r="S357" s="6"/>
      <c r="T357" s="6"/>
      <c r="U357" s="6"/>
      <c r="V357" s="6"/>
      <c r="W357" s="6"/>
      <c r="X357" s="6"/>
      <c r="Y357" s="6"/>
      <c r="Z357" s="6"/>
      <c r="AA357" s="6"/>
      <c r="AB357" s="6"/>
      <c r="AC357" s="6"/>
    </row>
    <row r="358" ht="14.25" customHeight="1">
      <c r="A358" s="28"/>
      <c r="B358" s="28"/>
      <c r="C358" s="29"/>
      <c r="D358" s="30"/>
      <c r="E358" s="28"/>
      <c r="F358" s="19"/>
      <c r="G358" s="6"/>
      <c r="H358" s="6"/>
      <c r="I358" s="6"/>
      <c r="J358" s="6"/>
      <c r="K358" s="6"/>
      <c r="L358" s="6"/>
      <c r="M358" s="6"/>
      <c r="N358" s="6"/>
      <c r="O358" s="6"/>
      <c r="P358" s="6"/>
      <c r="Q358" s="6"/>
      <c r="R358" s="6"/>
      <c r="S358" s="6"/>
      <c r="T358" s="6"/>
      <c r="U358" s="6"/>
      <c r="V358" s="6"/>
      <c r="W358" s="6"/>
      <c r="X358" s="6"/>
      <c r="Y358" s="6"/>
      <c r="Z358" s="6"/>
      <c r="AA358" s="6"/>
      <c r="AB358" s="6"/>
      <c r="AC358" s="6"/>
    </row>
    <row r="359" ht="14.25" customHeight="1">
      <c r="A359" s="28"/>
      <c r="B359" s="28"/>
      <c r="C359" s="29"/>
      <c r="D359" s="30"/>
      <c r="E359" s="28"/>
      <c r="F359" s="19"/>
      <c r="G359" s="6"/>
      <c r="H359" s="6"/>
      <c r="I359" s="6"/>
      <c r="J359" s="6"/>
      <c r="K359" s="6"/>
      <c r="L359" s="6"/>
      <c r="M359" s="6"/>
      <c r="N359" s="6"/>
      <c r="O359" s="6"/>
      <c r="P359" s="6"/>
      <c r="Q359" s="6"/>
      <c r="R359" s="6"/>
      <c r="S359" s="6"/>
      <c r="T359" s="6"/>
      <c r="U359" s="6"/>
      <c r="V359" s="6"/>
      <c r="W359" s="6"/>
      <c r="X359" s="6"/>
      <c r="Y359" s="6"/>
      <c r="Z359" s="6"/>
      <c r="AA359" s="6"/>
      <c r="AB359" s="6"/>
      <c r="AC359" s="6"/>
    </row>
    <row r="360" ht="14.25" customHeight="1">
      <c r="A360" s="28"/>
      <c r="B360" s="28"/>
      <c r="C360" s="29"/>
      <c r="D360" s="30"/>
      <c r="E360" s="28"/>
      <c r="F360" s="19"/>
      <c r="G360" s="6"/>
      <c r="H360" s="6"/>
      <c r="I360" s="6"/>
      <c r="J360" s="6"/>
      <c r="K360" s="6"/>
      <c r="L360" s="6"/>
      <c r="M360" s="6"/>
      <c r="N360" s="6"/>
      <c r="O360" s="6"/>
      <c r="P360" s="6"/>
      <c r="Q360" s="6"/>
      <c r="R360" s="6"/>
      <c r="S360" s="6"/>
      <c r="T360" s="6"/>
      <c r="U360" s="6"/>
      <c r="V360" s="6"/>
      <c r="W360" s="6"/>
      <c r="X360" s="6"/>
      <c r="Y360" s="6"/>
      <c r="Z360" s="6"/>
      <c r="AA360" s="6"/>
      <c r="AB360" s="6"/>
      <c r="AC360" s="6"/>
    </row>
    <row r="361" ht="14.25" customHeight="1">
      <c r="A361" s="28"/>
      <c r="B361" s="28"/>
      <c r="C361" s="29"/>
      <c r="D361" s="30"/>
      <c r="E361" s="28"/>
      <c r="F361" s="19"/>
      <c r="G361" s="6"/>
      <c r="H361" s="6"/>
      <c r="I361" s="6"/>
      <c r="J361" s="6"/>
      <c r="K361" s="6"/>
      <c r="L361" s="6"/>
      <c r="M361" s="6"/>
      <c r="N361" s="6"/>
      <c r="O361" s="6"/>
      <c r="P361" s="6"/>
      <c r="Q361" s="6"/>
      <c r="R361" s="6"/>
      <c r="S361" s="6"/>
      <c r="T361" s="6"/>
      <c r="U361" s="6"/>
      <c r="V361" s="6"/>
      <c r="W361" s="6"/>
      <c r="X361" s="6"/>
      <c r="Y361" s="6"/>
      <c r="Z361" s="6"/>
      <c r="AA361" s="6"/>
      <c r="AB361" s="6"/>
      <c r="AC361" s="6"/>
    </row>
    <row r="362" ht="14.25" customHeight="1">
      <c r="A362" s="28"/>
      <c r="B362" s="28"/>
      <c r="C362" s="29"/>
      <c r="D362" s="30"/>
      <c r="E362" s="28"/>
      <c r="F362" s="19"/>
      <c r="G362" s="6"/>
      <c r="H362" s="6"/>
      <c r="I362" s="6"/>
      <c r="J362" s="6"/>
      <c r="K362" s="6"/>
      <c r="L362" s="6"/>
      <c r="M362" s="6"/>
      <c r="N362" s="6"/>
      <c r="O362" s="6"/>
      <c r="P362" s="6"/>
      <c r="Q362" s="6"/>
      <c r="R362" s="6"/>
      <c r="S362" s="6"/>
      <c r="T362" s="6"/>
      <c r="U362" s="6"/>
      <c r="V362" s="6"/>
      <c r="W362" s="6"/>
      <c r="X362" s="6"/>
      <c r="Y362" s="6"/>
      <c r="Z362" s="6"/>
      <c r="AA362" s="6"/>
      <c r="AB362" s="6"/>
      <c r="AC362" s="6"/>
    </row>
    <row r="363" ht="14.25" customHeight="1">
      <c r="A363" s="28"/>
      <c r="B363" s="28"/>
      <c r="C363" s="29"/>
      <c r="D363" s="30"/>
      <c r="E363" s="28"/>
      <c r="F363" s="19"/>
      <c r="G363" s="6"/>
      <c r="H363" s="6"/>
      <c r="I363" s="6"/>
      <c r="J363" s="6"/>
      <c r="K363" s="6"/>
      <c r="L363" s="6"/>
      <c r="M363" s="6"/>
      <c r="N363" s="6"/>
      <c r="O363" s="6"/>
      <c r="P363" s="6"/>
      <c r="Q363" s="6"/>
      <c r="R363" s="6"/>
      <c r="S363" s="6"/>
      <c r="T363" s="6"/>
      <c r="U363" s="6"/>
      <c r="V363" s="6"/>
      <c r="W363" s="6"/>
      <c r="X363" s="6"/>
      <c r="Y363" s="6"/>
      <c r="Z363" s="6"/>
      <c r="AA363" s="6"/>
      <c r="AB363" s="6"/>
      <c r="AC363" s="6"/>
    </row>
    <row r="364" ht="14.25" customHeight="1">
      <c r="A364" s="28"/>
      <c r="B364" s="28"/>
      <c r="C364" s="29"/>
      <c r="D364" s="30"/>
      <c r="E364" s="28"/>
      <c r="F364" s="19"/>
      <c r="G364" s="6"/>
      <c r="H364" s="6"/>
      <c r="I364" s="6"/>
      <c r="J364" s="6"/>
      <c r="K364" s="6"/>
      <c r="L364" s="6"/>
      <c r="M364" s="6"/>
      <c r="N364" s="6"/>
      <c r="O364" s="6"/>
      <c r="P364" s="6"/>
      <c r="Q364" s="6"/>
      <c r="R364" s="6"/>
      <c r="S364" s="6"/>
      <c r="T364" s="6"/>
      <c r="U364" s="6"/>
      <c r="V364" s="6"/>
      <c r="W364" s="6"/>
      <c r="X364" s="6"/>
      <c r="Y364" s="6"/>
      <c r="Z364" s="6"/>
      <c r="AA364" s="6"/>
      <c r="AB364" s="6"/>
      <c r="AC364" s="6"/>
    </row>
    <row r="365" ht="14.25" customHeight="1">
      <c r="A365" s="28"/>
      <c r="B365" s="28"/>
      <c r="C365" s="29"/>
      <c r="D365" s="30"/>
      <c r="E365" s="28"/>
      <c r="F365" s="19"/>
      <c r="G365" s="6"/>
      <c r="H365" s="6"/>
      <c r="I365" s="6"/>
      <c r="J365" s="6"/>
      <c r="K365" s="6"/>
      <c r="L365" s="6"/>
      <c r="M365" s="6"/>
      <c r="N365" s="6"/>
      <c r="O365" s="6"/>
      <c r="P365" s="6"/>
      <c r="Q365" s="6"/>
      <c r="R365" s="6"/>
      <c r="S365" s="6"/>
      <c r="T365" s="6"/>
      <c r="U365" s="6"/>
      <c r="V365" s="6"/>
      <c r="W365" s="6"/>
      <c r="X365" s="6"/>
      <c r="Y365" s="6"/>
      <c r="Z365" s="6"/>
      <c r="AA365" s="6"/>
      <c r="AB365" s="6"/>
      <c r="AC365" s="6"/>
    </row>
    <row r="366" ht="14.25" customHeight="1">
      <c r="A366" s="28"/>
      <c r="B366" s="28"/>
      <c r="C366" s="29"/>
      <c r="D366" s="30"/>
      <c r="E366" s="28"/>
      <c r="F366" s="19"/>
      <c r="G366" s="6"/>
      <c r="H366" s="6"/>
      <c r="I366" s="6"/>
      <c r="J366" s="6"/>
      <c r="K366" s="6"/>
      <c r="L366" s="6"/>
      <c r="M366" s="6"/>
      <c r="N366" s="6"/>
      <c r="O366" s="6"/>
      <c r="P366" s="6"/>
      <c r="Q366" s="6"/>
      <c r="R366" s="6"/>
      <c r="S366" s="6"/>
      <c r="T366" s="6"/>
      <c r="U366" s="6"/>
      <c r="V366" s="6"/>
      <c r="W366" s="6"/>
      <c r="X366" s="6"/>
      <c r="Y366" s="6"/>
      <c r="Z366" s="6"/>
      <c r="AA366" s="6"/>
      <c r="AB366" s="6"/>
      <c r="AC366" s="6"/>
    </row>
    <row r="367" ht="14.25" customHeight="1">
      <c r="A367" s="28"/>
      <c r="B367" s="28"/>
      <c r="C367" s="29"/>
      <c r="D367" s="30"/>
      <c r="E367" s="28"/>
      <c r="F367" s="19"/>
      <c r="G367" s="6"/>
      <c r="H367" s="6"/>
      <c r="I367" s="6"/>
      <c r="J367" s="6"/>
      <c r="K367" s="6"/>
      <c r="L367" s="6"/>
      <c r="M367" s="6"/>
      <c r="N367" s="6"/>
      <c r="O367" s="6"/>
      <c r="P367" s="6"/>
      <c r="Q367" s="6"/>
      <c r="R367" s="6"/>
      <c r="S367" s="6"/>
      <c r="T367" s="6"/>
      <c r="U367" s="6"/>
      <c r="V367" s="6"/>
      <c r="W367" s="6"/>
      <c r="X367" s="6"/>
      <c r="Y367" s="6"/>
      <c r="Z367" s="6"/>
      <c r="AA367" s="6"/>
      <c r="AB367" s="6"/>
      <c r="AC367" s="6"/>
    </row>
    <row r="368" ht="14.25" customHeight="1">
      <c r="A368" s="28"/>
      <c r="B368" s="28"/>
      <c r="C368" s="29"/>
      <c r="D368" s="30"/>
      <c r="E368" s="28"/>
      <c r="F368" s="19"/>
      <c r="G368" s="6"/>
      <c r="H368" s="6"/>
      <c r="I368" s="6"/>
      <c r="J368" s="6"/>
      <c r="K368" s="6"/>
      <c r="L368" s="6"/>
      <c r="M368" s="6"/>
      <c r="N368" s="6"/>
      <c r="O368" s="6"/>
      <c r="P368" s="6"/>
      <c r="Q368" s="6"/>
      <c r="R368" s="6"/>
      <c r="S368" s="6"/>
      <c r="T368" s="6"/>
      <c r="U368" s="6"/>
      <c r="V368" s="6"/>
      <c r="W368" s="6"/>
      <c r="X368" s="6"/>
      <c r="Y368" s="6"/>
      <c r="Z368" s="6"/>
      <c r="AA368" s="6"/>
      <c r="AB368" s="6"/>
      <c r="AC368" s="6"/>
    </row>
    <row r="369" ht="14.25" customHeight="1">
      <c r="A369" s="28"/>
      <c r="B369" s="28"/>
      <c r="C369" s="29"/>
      <c r="D369" s="30"/>
      <c r="E369" s="28"/>
      <c r="F369" s="19"/>
      <c r="G369" s="6"/>
      <c r="H369" s="6"/>
      <c r="I369" s="6"/>
      <c r="J369" s="6"/>
      <c r="K369" s="6"/>
      <c r="L369" s="6"/>
      <c r="M369" s="6"/>
      <c r="N369" s="6"/>
      <c r="O369" s="6"/>
      <c r="P369" s="6"/>
      <c r="Q369" s="6"/>
      <c r="R369" s="6"/>
      <c r="S369" s="6"/>
      <c r="T369" s="6"/>
      <c r="U369" s="6"/>
      <c r="V369" s="6"/>
      <c r="W369" s="6"/>
      <c r="X369" s="6"/>
      <c r="Y369" s="6"/>
      <c r="Z369" s="6"/>
      <c r="AA369" s="6"/>
      <c r="AB369" s="6"/>
      <c r="AC369" s="6"/>
    </row>
    <row r="370" ht="14.25" customHeight="1">
      <c r="A370" s="28"/>
      <c r="B370" s="28"/>
      <c r="C370" s="29"/>
      <c r="D370" s="30"/>
      <c r="E370" s="28"/>
      <c r="F370" s="19"/>
      <c r="G370" s="6"/>
      <c r="H370" s="6"/>
      <c r="I370" s="6"/>
      <c r="J370" s="6"/>
      <c r="K370" s="6"/>
      <c r="L370" s="6"/>
      <c r="M370" s="6"/>
      <c r="N370" s="6"/>
      <c r="O370" s="6"/>
      <c r="P370" s="6"/>
      <c r="Q370" s="6"/>
      <c r="R370" s="6"/>
      <c r="S370" s="6"/>
      <c r="T370" s="6"/>
      <c r="U370" s="6"/>
      <c r="V370" s="6"/>
      <c r="W370" s="6"/>
      <c r="X370" s="6"/>
      <c r="Y370" s="6"/>
      <c r="Z370" s="6"/>
      <c r="AA370" s="6"/>
      <c r="AB370" s="6"/>
      <c r="AC370" s="6"/>
    </row>
    <row r="371" ht="14.25" customHeight="1">
      <c r="A371" s="28"/>
      <c r="B371" s="28"/>
      <c r="C371" s="29"/>
      <c r="D371" s="30"/>
      <c r="E371" s="28"/>
      <c r="F371" s="19"/>
      <c r="G371" s="6"/>
      <c r="H371" s="6"/>
      <c r="I371" s="6"/>
      <c r="J371" s="6"/>
      <c r="K371" s="6"/>
      <c r="L371" s="6"/>
      <c r="M371" s="6"/>
      <c r="N371" s="6"/>
      <c r="O371" s="6"/>
      <c r="P371" s="6"/>
      <c r="Q371" s="6"/>
      <c r="R371" s="6"/>
      <c r="S371" s="6"/>
      <c r="T371" s="6"/>
      <c r="U371" s="6"/>
      <c r="V371" s="6"/>
      <c r="W371" s="6"/>
      <c r="X371" s="6"/>
      <c r="Y371" s="6"/>
      <c r="Z371" s="6"/>
      <c r="AA371" s="6"/>
      <c r="AB371" s="6"/>
      <c r="AC371" s="6"/>
    </row>
    <row r="372" ht="14.25" customHeight="1">
      <c r="A372" s="28"/>
      <c r="B372" s="28"/>
      <c r="C372" s="29"/>
      <c r="D372" s="30"/>
      <c r="E372" s="28"/>
      <c r="F372" s="19"/>
      <c r="G372" s="6"/>
      <c r="H372" s="6"/>
      <c r="I372" s="6"/>
      <c r="J372" s="6"/>
      <c r="K372" s="6"/>
      <c r="L372" s="6"/>
      <c r="M372" s="6"/>
      <c r="N372" s="6"/>
      <c r="O372" s="6"/>
      <c r="P372" s="6"/>
      <c r="Q372" s="6"/>
      <c r="R372" s="6"/>
      <c r="S372" s="6"/>
      <c r="T372" s="6"/>
      <c r="U372" s="6"/>
      <c r="V372" s="6"/>
      <c r="W372" s="6"/>
      <c r="X372" s="6"/>
      <c r="Y372" s="6"/>
      <c r="Z372" s="6"/>
      <c r="AA372" s="6"/>
      <c r="AB372" s="6"/>
      <c r="AC372" s="6"/>
    </row>
    <row r="373" ht="14.25" customHeight="1">
      <c r="A373" s="28"/>
      <c r="B373" s="28"/>
      <c r="C373" s="29"/>
      <c r="D373" s="30"/>
      <c r="E373" s="28"/>
      <c r="F373" s="19"/>
      <c r="G373" s="6"/>
      <c r="H373" s="6"/>
      <c r="I373" s="6"/>
      <c r="J373" s="6"/>
      <c r="K373" s="6"/>
      <c r="L373" s="6"/>
      <c r="M373" s="6"/>
      <c r="N373" s="6"/>
      <c r="O373" s="6"/>
      <c r="P373" s="6"/>
      <c r="Q373" s="6"/>
      <c r="R373" s="6"/>
      <c r="S373" s="6"/>
      <c r="T373" s="6"/>
      <c r="U373" s="6"/>
      <c r="V373" s="6"/>
      <c r="W373" s="6"/>
      <c r="X373" s="6"/>
      <c r="Y373" s="6"/>
      <c r="Z373" s="6"/>
      <c r="AA373" s="6"/>
      <c r="AB373" s="6"/>
      <c r="AC373" s="6"/>
    </row>
    <row r="374" ht="14.25" customHeight="1">
      <c r="A374" s="28"/>
      <c r="B374" s="28"/>
      <c r="C374" s="29"/>
      <c r="D374" s="30"/>
      <c r="E374" s="28"/>
      <c r="F374" s="19"/>
      <c r="G374" s="6"/>
      <c r="H374" s="6"/>
      <c r="I374" s="6"/>
      <c r="J374" s="6"/>
      <c r="K374" s="6"/>
      <c r="L374" s="6"/>
      <c r="M374" s="6"/>
      <c r="N374" s="6"/>
      <c r="O374" s="6"/>
      <c r="P374" s="6"/>
      <c r="Q374" s="6"/>
      <c r="R374" s="6"/>
      <c r="S374" s="6"/>
      <c r="T374" s="6"/>
      <c r="U374" s="6"/>
      <c r="V374" s="6"/>
      <c r="W374" s="6"/>
      <c r="X374" s="6"/>
      <c r="Y374" s="6"/>
      <c r="Z374" s="6"/>
      <c r="AA374" s="6"/>
      <c r="AB374" s="6"/>
      <c r="AC374" s="6"/>
    </row>
    <row r="375" ht="14.25" customHeight="1">
      <c r="A375" s="28"/>
      <c r="B375" s="28"/>
      <c r="C375" s="29"/>
      <c r="D375" s="30"/>
      <c r="E375" s="28"/>
      <c r="F375" s="19"/>
      <c r="G375" s="6"/>
      <c r="H375" s="6"/>
      <c r="I375" s="6"/>
      <c r="J375" s="6"/>
      <c r="K375" s="6"/>
      <c r="L375" s="6"/>
      <c r="M375" s="6"/>
      <c r="N375" s="6"/>
      <c r="O375" s="6"/>
      <c r="P375" s="6"/>
      <c r="Q375" s="6"/>
      <c r="R375" s="6"/>
      <c r="S375" s="6"/>
      <c r="T375" s="6"/>
      <c r="U375" s="6"/>
      <c r="V375" s="6"/>
      <c r="W375" s="6"/>
      <c r="X375" s="6"/>
      <c r="Y375" s="6"/>
      <c r="Z375" s="6"/>
      <c r="AA375" s="6"/>
      <c r="AB375" s="6"/>
      <c r="AC375" s="6"/>
    </row>
    <row r="376" ht="14.25" customHeight="1">
      <c r="A376" s="28"/>
      <c r="B376" s="28"/>
      <c r="C376" s="29"/>
      <c r="D376" s="30"/>
      <c r="E376" s="28"/>
      <c r="F376" s="19"/>
      <c r="G376" s="6"/>
      <c r="H376" s="6"/>
      <c r="I376" s="6"/>
      <c r="J376" s="6"/>
      <c r="K376" s="6"/>
      <c r="L376" s="6"/>
      <c r="M376" s="6"/>
      <c r="N376" s="6"/>
      <c r="O376" s="6"/>
      <c r="P376" s="6"/>
      <c r="Q376" s="6"/>
      <c r="R376" s="6"/>
      <c r="S376" s="6"/>
      <c r="T376" s="6"/>
      <c r="U376" s="6"/>
      <c r="V376" s="6"/>
      <c r="W376" s="6"/>
      <c r="X376" s="6"/>
      <c r="Y376" s="6"/>
      <c r="Z376" s="6"/>
      <c r="AA376" s="6"/>
      <c r="AB376" s="6"/>
      <c r="AC376" s="6"/>
    </row>
    <row r="377" ht="14.25" customHeight="1">
      <c r="A377" s="28"/>
      <c r="B377" s="28"/>
      <c r="C377" s="29"/>
      <c r="D377" s="30"/>
      <c r="E377" s="28"/>
      <c r="F377" s="19"/>
      <c r="G377" s="6"/>
      <c r="H377" s="6"/>
      <c r="I377" s="6"/>
      <c r="J377" s="6"/>
      <c r="K377" s="6"/>
      <c r="L377" s="6"/>
      <c r="M377" s="6"/>
      <c r="N377" s="6"/>
      <c r="O377" s="6"/>
      <c r="P377" s="6"/>
      <c r="Q377" s="6"/>
      <c r="R377" s="6"/>
      <c r="S377" s="6"/>
      <c r="T377" s="6"/>
      <c r="U377" s="6"/>
      <c r="V377" s="6"/>
      <c r="W377" s="6"/>
      <c r="X377" s="6"/>
      <c r="Y377" s="6"/>
      <c r="Z377" s="6"/>
      <c r="AA377" s="6"/>
      <c r="AB377" s="6"/>
      <c r="AC377" s="6"/>
    </row>
    <row r="378" ht="14.25" customHeight="1">
      <c r="A378" s="28"/>
      <c r="B378" s="28"/>
      <c r="C378" s="29"/>
      <c r="D378" s="30"/>
      <c r="E378" s="28"/>
      <c r="F378" s="19"/>
      <c r="G378" s="6"/>
      <c r="H378" s="6"/>
      <c r="I378" s="6"/>
      <c r="J378" s="6"/>
      <c r="K378" s="6"/>
      <c r="L378" s="6"/>
      <c r="M378" s="6"/>
      <c r="N378" s="6"/>
      <c r="O378" s="6"/>
      <c r="P378" s="6"/>
      <c r="Q378" s="6"/>
      <c r="R378" s="6"/>
      <c r="S378" s="6"/>
      <c r="T378" s="6"/>
      <c r="U378" s="6"/>
      <c r="V378" s="6"/>
      <c r="W378" s="6"/>
      <c r="X378" s="6"/>
      <c r="Y378" s="6"/>
      <c r="Z378" s="6"/>
      <c r="AA378" s="6"/>
      <c r="AB378" s="6"/>
      <c r="AC378" s="6"/>
    </row>
    <row r="379" ht="14.25" customHeight="1">
      <c r="A379" s="28"/>
      <c r="B379" s="28"/>
      <c r="C379" s="29"/>
      <c r="D379" s="30"/>
      <c r="E379" s="28"/>
      <c r="F379" s="19"/>
      <c r="G379" s="6"/>
      <c r="H379" s="6"/>
      <c r="I379" s="6"/>
      <c r="J379" s="6"/>
      <c r="K379" s="6"/>
      <c r="L379" s="6"/>
      <c r="M379" s="6"/>
      <c r="N379" s="6"/>
      <c r="O379" s="6"/>
      <c r="P379" s="6"/>
      <c r="Q379" s="6"/>
      <c r="R379" s="6"/>
      <c r="S379" s="6"/>
      <c r="T379" s="6"/>
      <c r="U379" s="6"/>
      <c r="V379" s="6"/>
      <c r="W379" s="6"/>
      <c r="X379" s="6"/>
      <c r="Y379" s="6"/>
      <c r="Z379" s="6"/>
      <c r="AA379" s="6"/>
      <c r="AB379" s="6"/>
      <c r="AC379" s="6"/>
    </row>
    <row r="380" ht="14.25" customHeight="1">
      <c r="A380" s="28"/>
      <c r="B380" s="28"/>
      <c r="C380" s="29"/>
      <c r="D380" s="30"/>
      <c r="E380" s="28"/>
      <c r="F380" s="19"/>
      <c r="G380" s="6"/>
      <c r="H380" s="6"/>
      <c r="I380" s="6"/>
      <c r="J380" s="6"/>
      <c r="K380" s="6"/>
      <c r="L380" s="6"/>
      <c r="M380" s="6"/>
      <c r="N380" s="6"/>
      <c r="O380" s="6"/>
      <c r="P380" s="6"/>
      <c r="Q380" s="6"/>
      <c r="R380" s="6"/>
      <c r="S380" s="6"/>
      <c r="T380" s="6"/>
      <c r="U380" s="6"/>
      <c r="V380" s="6"/>
      <c r="W380" s="6"/>
      <c r="X380" s="6"/>
      <c r="Y380" s="6"/>
      <c r="Z380" s="6"/>
      <c r="AA380" s="6"/>
      <c r="AB380" s="6"/>
      <c r="AC380" s="6"/>
    </row>
    <row r="381" ht="14.25" customHeight="1">
      <c r="A381" s="28"/>
      <c r="B381" s="28"/>
      <c r="C381" s="29"/>
      <c r="D381" s="30"/>
      <c r="E381" s="28"/>
      <c r="F381" s="19"/>
      <c r="G381" s="6"/>
      <c r="H381" s="6"/>
      <c r="I381" s="6"/>
      <c r="J381" s="6"/>
      <c r="K381" s="6"/>
      <c r="L381" s="6"/>
      <c r="M381" s="6"/>
      <c r="N381" s="6"/>
      <c r="O381" s="6"/>
      <c r="P381" s="6"/>
      <c r="Q381" s="6"/>
      <c r="R381" s="6"/>
      <c r="S381" s="6"/>
      <c r="T381" s="6"/>
      <c r="U381" s="6"/>
      <c r="V381" s="6"/>
      <c r="W381" s="6"/>
      <c r="X381" s="6"/>
      <c r="Y381" s="6"/>
      <c r="Z381" s="6"/>
      <c r="AA381" s="6"/>
      <c r="AB381" s="6"/>
      <c r="AC381" s="6"/>
    </row>
    <row r="382" ht="14.25" customHeight="1">
      <c r="A382" s="28"/>
      <c r="B382" s="28"/>
      <c r="C382" s="29"/>
      <c r="D382" s="30"/>
      <c r="E382" s="28"/>
      <c r="F382" s="19"/>
      <c r="G382" s="6"/>
      <c r="H382" s="6"/>
      <c r="I382" s="6"/>
      <c r="J382" s="6"/>
      <c r="K382" s="6"/>
      <c r="L382" s="6"/>
      <c r="M382" s="6"/>
      <c r="N382" s="6"/>
      <c r="O382" s="6"/>
      <c r="P382" s="6"/>
      <c r="Q382" s="6"/>
      <c r="R382" s="6"/>
      <c r="S382" s="6"/>
      <c r="T382" s="6"/>
      <c r="U382" s="6"/>
      <c r="V382" s="6"/>
      <c r="W382" s="6"/>
      <c r="X382" s="6"/>
      <c r="Y382" s="6"/>
      <c r="Z382" s="6"/>
      <c r="AA382" s="6"/>
      <c r="AB382" s="6"/>
      <c r="AC382" s="6"/>
    </row>
    <row r="383" ht="14.25" customHeight="1">
      <c r="A383" s="28"/>
      <c r="B383" s="28"/>
      <c r="C383" s="29"/>
      <c r="D383" s="30"/>
      <c r="E383" s="28"/>
      <c r="F383" s="19"/>
      <c r="G383" s="6"/>
      <c r="H383" s="6"/>
      <c r="I383" s="6"/>
      <c r="J383" s="6"/>
      <c r="K383" s="6"/>
      <c r="L383" s="6"/>
      <c r="M383" s="6"/>
      <c r="N383" s="6"/>
      <c r="O383" s="6"/>
      <c r="P383" s="6"/>
      <c r="Q383" s="6"/>
      <c r="R383" s="6"/>
      <c r="S383" s="6"/>
      <c r="T383" s="6"/>
      <c r="U383" s="6"/>
      <c r="V383" s="6"/>
      <c r="W383" s="6"/>
      <c r="X383" s="6"/>
      <c r="Y383" s="6"/>
      <c r="Z383" s="6"/>
      <c r="AA383" s="6"/>
      <c r="AB383" s="6"/>
      <c r="AC383" s="6"/>
    </row>
    <row r="384" ht="14.25" customHeight="1">
      <c r="A384" s="28"/>
      <c r="B384" s="28"/>
      <c r="C384" s="29"/>
      <c r="D384" s="30"/>
      <c r="E384" s="28"/>
      <c r="F384" s="19"/>
      <c r="G384" s="6"/>
      <c r="H384" s="6"/>
      <c r="I384" s="6"/>
      <c r="J384" s="6"/>
      <c r="K384" s="6"/>
      <c r="L384" s="6"/>
      <c r="M384" s="6"/>
      <c r="N384" s="6"/>
      <c r="O384" s="6"/>
      <c r="P384" s="6"/>
      <c r="Q384" s="6"/>
      <c r="R384" s="6"/>
      <c r="S384" s="6"/>
      <c r="T384" s="6"/>
      <c r="U384" s="6"/>
      <c r="V384" s="6"/>
      <c r="W384" s="6"/>
      <c r="X384" s="6"/>
      <c r="Y384" s="6"/>
      <c r="Z384" s="6"/>
      <c r="AA384" s="6"/>
      <c r="AB384" s="6"/>
      <c r="AC384" s="6"/>
    </row>
    <row r="385" ht="14.25" customHeight="1">
      <c r="A385" s="28"/>
      <c r="B385" s="28"/>
      <c r="C385" s="29"/>
      <c r="D385" s="30"/>
      <c r="E385" s="28"/>
      <c r="F385" s="19"/>
      <c r="G385" s="6"/>
      <c r="H385" s="6"/>
      <c r="I385" s="6"/>
      <c r="J385" s="6"/>
      <c r="K385" s="6"/>
      <c r="L385" s="6"/>
      <c r="M385" s="6"/>
      <c r="N385" s="6"/>
      <c r="O385" s="6"/>
      <c r="P385" s="6"/>
      <c r="Q385" s="6"/>
      <c r="R385" s="6"/>
      <c r="S385" s="6"/>
      <c r="T385" s="6"/>
      <c r="U385" s="6"/>
      <c r="V385" s="6"/>
      <c r="W385" s="6"/>
      <c r="X385" s="6"/>
      <c r="Y385" s="6"/>
      <c r="Z385" s="6"/>
      <c r="AA385" s="6"/>
      <c r="AB385" s="6"/>
      <c r="AC385" s="6"/>
    </row>
    <row r="386" ht="14.25" customHeight="1">
      <c r="A386" s="28"/>
      <c r="B386" s="28"/>
      <c r="C386" s="29"/>
      <c r="D386" s="30"/>
      <c r="E386" s="28"/>
      <c r="F386" s="19"/>
      <c r="G386" s="6"/>
      <c r="H386" s="6"/>
      <c r="I386" s="6"/>
      <c r="J386" s="6"/>
      <c r="K386" s="6"/>
      <c r="L386" s="6"/>
      <c r="M386" s="6"/>
      <c r="N386" s="6"/>
      <c r="O386" s="6"/>
      <c r="P386" s="6"/>
      <c r="Q386" s="6"/>
      <c r="R386" s="6"/>
      <c r="S386" s="6"/>
      <c r="T386" s="6"/>
      <c r="U386" s="6"/>
      <c r="V386" s="6"/>
      <c r="W386" s="6"/>
      <c r="X386" s="6"/>
      <c r="Y386" s="6"/>
      <c r="Z386" s="6"/>
      <c r="AA386" s="6"/>
      <c r="AB386" s="6"/>
      <c r="AC386" s="6"/>
    </row>
    <row r="387" ht="14.25" customHeight="1">
      <c r="A387" s="28"/>
      <c r="B387" s="28"/>
      <c r="C387" s="29"/>
      <c r="D387" s="30"/>
      <c r="E387" s="28"/>
      <c r="F387" s="19"/>
      <c r="G387" s="6"/>
      <c r="H387" s="6"/>
      <c r="I387" s="6"/>
      <c r="J387" s="6"/>
      <c r="K387" s="6"/>
      <c r="L387" s="6"/>
      <c r="M387" s="6"/>
      <c r="N387" s="6"/>
      <c r="O387" s="6"/>
      <c r="P387" s="6"/>
      <c r="Q387" s="6"/>
      <c r="R387" s="6"/>
      <c r="S387" s="6"/>
      <c r="T387" s="6"/>
      <c r="U387" s="6"/>
      <c r="V387" s="6"/>
      <c r="W387" s="6"/>
      <c r="X387" s="6"/>
      <c r="Y387" s="6"/>
      <c r="Z387" s="6"/>
      <c r="AA387" s="6"/>
      <c r="AB387" s="6"/>
      <c r="AC387" s="6"/>
    </row>
    <row r="388" ht="14.25" customHeight="1">
      <c r="A388" s="28"/>
      <c r="B388" s="28"/>
      <c r="C388" s="29"/>
      <c r="D388" s="30"/>
      <c r="E388" s="28"/>
      <c r="F388" s="19"/>
      <c r="G388" s="6"/>
      <c r="H388" s="6"/>
      <c r="I388" s="6"/>
      <c r="J388" s="6"/>
      <c r="K388" s="6"/>
      <c r="L388" s="6"/>
      <c r="M388" s="6"/>
      <c r="N388" s="6"/>
      <c r="O388" s="6"/>
      <c r="P388" s="6"/>
      <c r="Q388" s="6"/>
      <c r="R388" s="6"/>
      <c r="S388" s="6"/>
      <c r="T388" s="6"/>
      <c r="U388" s="6"/>
      <c r="V388" s="6"/>
      <c r="W388" s="6"/>
      <c r="X388" s="6"/>
      <c r="Y388" s="6"/>
      <c r="Z388" s="6"/>
      <c r="AA388" s="6"/>
      <c r="AB388" s="6"/>
      <c r="AC388" s="6"/>
    </row>
    <row r="389" ht="14.25" customHeight="1">
      <c r="A389" s="28"/>
      <c r="B389" s="28"/>
      <c r="C389" s="29"/>
      <c r="D389" s="30"/>
      <c r="E389" s="28"/>
      <c r="F389" s="19"/>
      <c r="G389" s="6"/>
      <c r="H389" s="6"/>
      <c r="I389" s="6"/>
      <c r="J389" s="6"/>
      <c r="K389" s="6"/>
      <c r="L389" s="6"/>
      <c r="M389" s="6"/>
      <c r="N389" s="6"/>
      <c r="O389" s="6"/>
      <c r="P389" s="6"/>
      <c r="Q389" s="6"/>
      <c r="R389" s="6"/>
      <c r="S389" s="6"/>
      <c r="T389" s="6"/>
      <c r="U389" s="6"/>
      <c r="V389" s="6"/>
      <c r="W389" s="6"/>
      <c r="X389" s="6"/>
      <c r="Y389" s="6"/>
      <c r="Z389" s="6"/>
      <c r="AA389" s="6"/>
      <c r="AB389" s="6"/>
      <c r="AC389" s="6"/>
    </row>
    <row r="390" ht="14.25" customHeight="1">
      <c r="A390" s="28"/>
      <c r="B390" s="28"/>
      <c r="C390" s="29"/>
      <c r="D390" s="30"/>
      <c r="E390" s="28"/>
      <c r="F390" s="19"/>
      <c r="G390" s="6"/>
      <c r="H390" s="6"/>
      <c r="I390" s="6"/>
      <c r="J390" s="6"/>
      <c r="K390" s="6"/>
      <c r="L390" s="6"/>
      <c r="M390" s="6"/>
      <c r="N390" s="6"/>
      <c r="O390" s="6"/>
      <c r="P390" s="6"/>
      <c r="Q390" s="6"/>
      <c r="R390" s="6"/>
      <c r="S390" s="6"/>
      <c r="T390" s="6"/>
      <c r="U390" s="6"/>
      <c r="V390" s="6"/>
      <c r="W390" s="6"/>
      <c r="X390" s="6"/>
      <c r="Y390" s="6"/>
      <c r="Z390" s="6"/>
      <c r="AA390" s="6"/>
      <c r="AB390" s="6"/>
      <c r="AC390" s="6"/>
    </row>
    <row r="391" ht="14.25" customHeight="1">
      <c r="A391" s="28"/>
      <c r="B391" s="28"/>
      <c r="C391" s="29"/>
      <c r="D391" s="30"/>
      <c r="E391" s="28"/>
      <c r="F391" s="19"/>
      <c r="G391" s="6"/>
      <c r="H391" s="6"/>
      <c r="I391" s="6"/>
      <c r="J391" s="6"/>
      <c r="K391" s="6"/>
      <c r="L391" s="6"/>
      <c r="M391" s="6"/>
      <c r="N391" s="6"/>
      <c r="O391" s="6"/>
      <c r="P391" s="6"/>
      <c r="Q391" s="6"/>
      <c r="R391" s="6"/>
      <c r="S391" s="6"/>
      <c r="T391" s="6"/>
      <c r="U391" s="6"/>
      <c r="V391" s="6"/>
      <c r="W391" s="6"/>
      <c r="X391" s="6"/>
      <c r="Y391" s="6"/>
      <c r="Z391" s="6"/>
      <c r="AA391" s="6"/>
      <c r="AB391" s="6"/>
      <c r="AC391" s="6"/>
    </row>
    <row r="392" ht="14.25" customHeight="1">
      <c r="A392" s="28"/>
      <c r="B392" s="28"/>
      <c r="C392" s="29"/>
      <c r="D392" s="30"/>
      <c r="E392" s="28"/>
      <c r="F392" s="19"/>
      <c r="G392" s="6"/>
      <c r="H392" s="6"/>
      <c r="I392" s="6"/>
      <c r="J392" s="6"/>
      <c r="K392" s="6"/>
      <c r="L392" s="6"/>
      <c r="M392" s="6"/>
      <c r="N392" s="6"/>
      <c r="O392" s="6"/>
      <c r="P392" s="6"/>
      <c r="Q392" s="6"/>
      <c r="R392" s="6"/>
      <c r="S392" s="6"/>
      <c r="T392" s="6"/>
      <c r="U392" s="6"/>
      <c r="V392" s="6"/>
      <c r="W392" s="6"/>
      <c r="X392" s="6"/>
      <c r="Y392" s="6"/>
      <c r="Z392" s="6"/>
      <c r="AA392" s="6"/>
      <c r="AB392" s="6"/>
      <c r="AC392" s="6"/>
    </row>
    <row r="393" ht="14.25" customHeight="1">
      <c r="A393" s="28"/>
      <c r="B393" s="28"/>
      <c r="C393" s="29"/>
      <c r="D393" s="30"/>
      <c r="E393" s="28"/>
      <c r="F393" s="19"/>
      <c r="G393" s="6"/>
      <c r="H393" s="6"/>
      <c r="I393" s="6"/>
      <c r="J393" s="6"/>
      <c r="K393" s="6"/>
      <c r="L393" s="6"/>
      <c r="M393" s="6"/>
      <c r="N393" s="6"/>
      <c r="O393" s="6"/>
      <c r="P393" s="6"/>
      <c r="Q393" s="6"/>
      <c r="R393" s="6"/>
      <c r="S393" s="6"/>
      <c r="T393" s="6"/>
      <c r="U393" s="6"/>
      <c r="V393" s="6"/>
      <c r="W393" s="6"/>
      <c r="X393" s="6"/>
      <c r="Y393" s="6"/>
      <c r="Z393" s="6"/>
      <c r="AA393" s="6"/>
      <c r="AB393" s="6"/>
      <c r="AC393" s="6"/>
    </row>
    <row r="394" ht="14.25" customHeight="1">
      <c r="A394" s="28"/>
      <c r="B394" s="28"/>
      <c r="C394" s="29"/>
      <c r="D394" s="30"/>
      <c r="E394" s="28"/>
      <c r="F394" s="19"/>
      <c r="G394" s="6"/>
      <c r="H394" s="6"/>
      <c r="I394" s="6"/>
      <c r="J394" s="6"/>
      <c r="K394" s="6"/>
      <c r="L394" s="6"/>
      <c r="M394" s="6"/>
      <c r="N394" s="6"/>
      <c r="O394" s="6"/>
      <c r="P394" s="6"/>
      <c r="Q394" s="6"/>
      <c r="R394" s="6"/>
      <c r="S394" s="6"/>
      <c r="T394" s="6"/>
      <c r="U394" s="6"/>
      <c r="V394" s="6"/>
      <c r="W394" s="6"/>
      <c r="X394" s="6"/>
      <c r="Y394" s="6"/>
      <c r="Z394" s="6"/>
      <c r="AA394" s="6"/>
      <c r="AB394" s="6"/>
      <c r="AC394" s="6"/>
    </row>
    <row r="395" ht="14.25" customHeight="1">
      <c r="A395" s="28"/>
      <c r="B395" s="28"/>
      <c r="C395" s="29"/>
      <c r="D395" s="30"/>
      <c r="E395" s="28"/>
      <c r="F395" s="19"/>
      <c r="G395" s="6"/>
      <c r="H395" s="6"/>
      <c r="I395" s="6"/>
      <c r="J395" s="6"/>
      <c r="K395" s="6"/>
      <c r="L395" s="6"/>
      <c r="M395" s="6"/>
      <c r="N395" s="6"/>
      <c r="O395" s="6"/>
      <c r="P395" s="6"/>
      <c r="Q395" s="6"/>
      <c r="R395" s="6"/>
      <c r="S395" s="6"/>
      <c r="T395" s="6"/>
      <c r="U395" s="6"/>
      <c r="V395" s="6"/>
      <c r="W395" s="6"/>
      <c r="X395" s="6"/>
      <c r="Y395" s="6"/>
      <c r="Z395" s="6"/>
      <c r="AA395" s="6"/>
      <c r="AB395" s="6"/>
      <c r="AC395" s="6"/>
    </row>
    <row r="396" ht="14.25" customHeight="1">
      <c r="A396" s="28"/>
      <c r="B396" s="28"/>
      <c r="C396" s="29"/>
      <c r="D396" s="30"/>
      <c r="E396" s="28"/>
      <c r="F396" s="19"/>
      <c r="G396" s="6"/>
      <c r="H396" s="6"/>
      <c r="I396" s="6"/>
      <c r="J396" s="6"/>
      <c r="K396" s="6"/>
      <c r="L396" s="6"/>
      <c r="M396" s="6"/>
      <c r="N396" s="6"/>
      <c r="O396" s="6"/>
      <c r="P396" s="6"/>
      <c r="Q396" s="6"/>
      <c r="R396" s="6"/>
      <c r="S396" s="6"/>
      <c r="T396" s="6"/>
      <c r="U396" s="6"/>
      <c r="V396" s="6"/>
      <c r="W396" s="6"/>
      <c r="X396" s="6"/>
      <c r="Y396" s="6"/>
      <c r="Z396" s="6"/>
      <c r="AA396" s="6"/>
      <c r="AB396" s="6"/>
      <c r="AC396" s="6"/>
    </row>
    <row r="397" ht="14.25" customHeight="1">
      <c r="A397" s="28"/>
      <c r="B397" s="28"/>
      <c r="C397" s="29"/>
      <c r="D397" s="30"/>
      <c r="E397" s="28"/>
      <c r="F397" s="19"/>
      <c r="G397" s="6"/>
      <c r="H397" s="6"/>
      <c r="I397" s="6"/>
      <c r="J397" s="6"/>
      <c r="K397" s="6"/>
      <c r="L397" s="6"/>
      <c r="M397" s="6"/>
      <c r="N397" s="6"/>
      <c r="O397" s="6"/>
      <c r="P397" s="6"/>
      <c r="Q397" s="6"/>
      <c r="R397" s="6"/>
      <c r="S397" s="6"/>
      <c r="T397" s="6"/>
      <c r="U397" s="6"/>
      <c r="V397" s="6"/>
      <c r="W397" s="6"/>
      <c r="X397" s="6"/>
      <c r="Y397" s="6"/>
      <c r="Z397" s="6"/>
      <c r="AA397" s="6"/>
      <c r="AB397" s="6"/>
      <c r="AC397" s="6"/>
    </row>
    <row r="398" ht="14.25" customHeight="1">
      <c r="A398" s="28"/>
      <c r="B398" s="28"/>
      <c r="C398" s="29"/>
      <c r="D398" s="30"/>
      <c r="E398" s="28"/>
      <c r="F398" s="19"/>
      <c r="G398" s="6"/>
      <c r="H398" s="6"/>
      <c r="I398" s="6"/>
      <c r="J398" s="6"/>
      <c r="K398" s="6"/>
      <c r="L398" s="6"/>
      <c r="M398" s="6"/>
      <c r="N398" s="6"/>
      <c r="O398" s="6"/>
      <c r="P398" s="6"/>
      <c r="Q398" s="6"/>
      <c r="R398" s="6"/>
      <c r="S398" s="6"/>
      <c r="T398" s="6"/>
      <c r="U398" s="6"/>
      <c r="V398" s="6"/>
      <c r="W398" s="6"/>
      <c r="X398" s="6"/>
      <c r="Y398" s="6"/>
      <c r="Z398" s="6"/>
      <c r="AA398" s="6"/>
      <c r="AB398" s="6"/>
      <c r="AC398" s="6"/>
    </row>
    <row r="399" ht="14.25" customHeight="1">
      <c r="A399" s="28"/>
      <c r="B399" s="28"/>
      <c r="C399" s="29"/>
      <c r="D399" s="30"/>
      <c r="E399" s="28"/>
      <c r="F399" s="19"/>
      <c r="G399" s="6"/>
      <c r="H399" s="6"/>
      <c r="I399" s="6"/>
      <c r="J399" s="6"/>
      <c r="K399" s="6"/>
      <c r="L399" s="6"/>
      <c r="M399" s="6"/>
      <c r="N399" s="6"/>
      <c r="O399" s="6"/>
      <c r="P399" s="6"/>
      <c r="Q399" s="6"/>
      <c r="R399" s="6"/>
      <c r="S399" s="6"/>
      <c r="T399" s="6"/>
      <c r="U399" s="6"/>
      <c r="V399" s="6"/>
      <c r="W399" s="6"/>
      <c r="X399" s="6"/>
      <c r="Y399" s="6"/>
      <c r="Z399" s="6"/>
      <c r="AA399" s="6"/>
      <c r="AB399" s="6"/>
      <c r="AC399" s="6"/>
    </row>
    <row r="400" ht="14.25" customHeight="1">
      <c r="A400" s="28"/>
      <c r="B400" s="28"/>
      <c r="C400" s="29"/>
      <c r="D400" s="30"/>
      <c r="E400" s="28"/>
      <c r="F400" s="19"/>
      <c r="G400" s="6"/>
      <c r="H400" s="6"/>
      <c r="I400" s="6"/>
      <c r="J400" s="6"/>
      <c r="K400" s="6"/>
      <c r="L400" s="6"/>
      <c r="M400" s="6"/>
      <c r="N400" s="6"/>
      <c r="O400" s="6"/>
      <c r="P400" s="6"/>
      <c r="Q400" s="6"/>
      <c r="R400" s="6"/>
      <c r="S400" s="6"/>
      <c r="T400" s="6"/>
      <c r="U400" s="6"/>
      <c r="V400" s="6"/>
      <c r="W400" s="6"/>
      <c r="X400" s="6"/>
      <c r="Y400" s="6"/>
      <c r="Z400" s="6"/>
      <c r="AA400" s="6"/>
      <c r="AB400" s="6"/>
      <c r="AC400" s="6"/>
    </row>
    <row r="401" ht="14.25" customHeight="1">
      <c r="A401" s="28"/>
      <c r="B401" s="28"/>
      <c r="C401" s="29"/>
      <c r="D401" s="30"/>
      <c r="E401" s="28"/>
      <c r="F401" s="19"/>
      <c r="G401" s="6"/>
      <c r="H401" s="6"/>
      <c r="I401" s="6"/>
      <c r="J401" s="6"/>
      <c r="K401" s="6"/>
      <c r="L401" s="6"/>
      <c r="M401" s="6"/>
      <c r="N401" s="6"/>
      <c r="O401" s="6"/>
      <c r="P401" s="6"/>
      <c r="Q401" s="6"/>
      <c r="R401" s="6"/>
      <c r="S401" s="6"/>
      <c r="T401" s="6"/>
      <c r="U401" s="6"/>
      <c r="V401" s="6"/>
      <c r="W401" s="6"/>
      <c r="X401" s="6"/>
      <c r="Y401" s="6"/>
      <c r="Z401" s="6"/>
      <c r="AA401" s="6"/>
      <c r="AB401" s="6"/>
      <c r="AC401" s="6"/>
    </row>
    <row r="402" ht="14.25" customHeight="1">
      <c r="A402" s="28"/>
      <c r="B402" s="28"/>
      <c r="C402" s="29"/>
      <c r="D402" s="30"/>
      <c r="E402" s="28"/>
      <c r="F402" s="19"/>
      <c r="G402" s="6"/>
      <c r="H402" s="6"/>
      <c r="I402" s="6"/>
      <c r="J402" s="6"/>
      <c r="K402" s="6"/>
      <c r="L402" s="6"/>
      <c r="M402" s="6"/>
      <c r="N402" s="6"/>
      <c r="O402" s="6"/>
      <c r="P402" s="6"/>
      <c r="Q402" s="6"/>
      <c r="R402" s="6"/>
      <c r="S402" s="6"/>
      <c r="T402" s="6"/>
      <c r="U402" s="6"/>
      <c r="V402" s="6"/>
      <c r="W402" s="6"/>
      <c r="X402" s="6"/>
      <c r="Y402" s="6"/>
      <c r="Z402" s="6"/>
      <c r="AA402" s="6"/>
      <c r="AB402" s="6"/>
      <c r="AC402" s="6"/>
    </row>
    <row r="403" ht="14.25" customHeight="1">
      <c r="A403" s="28"/>
      <c r="B403" s="28"/>
      <c r="C403" s="29"/>
      <c r="D403" s="30"/>
      <c r="E403" s="28"/>
      <c r="F403" s="19"/>
      <c r="G403" s="6"/>
      <c r="H403" s="6"/>
      <c r="I403" s="6"/>
      <c r="J403" s="6"/>
      <c r="K403" s="6"/>
      <c r="L403" s="6"/>
      <c r="M403" s="6"/>
      <c r="N403" s="6"/>
      <c r="O403" s="6"/>
      <c r="P403" s="6"/>
      <c r="Q403" s="6"/>
      <c r="R403" s="6"/>
      <c r="S403" s="6"/>
      <c r="T403" s="6"/>
      <c r="U403" s="6"/>
      <c r="V403" s="6"/>
      <c r="W403" s="6"/>
      <c r="X403" s="6"/>
      <c r="Y403" s="6"/>
      <c r="Z403" s="6"/>
      <c r="AA403" s="6"/>
      <c r="AB403" s="6"/>
      <c r="AC403" s="6"/>
    </row>
    <row r="404" ht="14.25" customHeight="1">
      <c r="A404" s="28"/>
      <c r="B404" s="28"/>
      <c r="C404" s="29"/>
      <c r="D404" s="30"/>
      <c r="E404" s="28"/>
      <c r="F404" s="19"/>
      <c r="G404" s="6"/>
      <c r="H404" s="6"/>
      <c r="I404" s="6"/>
      <c r="J404" s="6"/>
      <c r="K404" s="6"/>
      <c r="L404" s="6"/>
      <c r="M404" s="6"/>
      <c r="N404" s="6"/>
      <c r="O404" s="6"/>
      <c r="P404" s="6"/>
      <c r="Q404" s="6"/>
      <c r="R404" s="6"/>
      <c r="S404" s="6"/>
      <c r="T404" s="6"/>
      <c r="U404" s="6"/>
      <c r="V404" s="6"/>
      <c r="W404" s="6"/>
      <c r="X404" s="6"/>
      <c r="Y404" s="6"/>
      <c r="Z404" s="6"/>
      <c r="AA404" s="6"/>
      <c r="AB404" s="6"/>
      <c r="AC404" s="6"/>
    </row>
    <row r="405" ht="14.25" customHeight="1">
      <c r="A405" s="28"/>
      <c r="B405" s="28"/>
      <c r="C405" s="29"/>
      <c r="D405" s="30"/>
      <c r="E405" s="28"/>
      <c r="F405" s="19"/>
      <c r="G405" s="6"/>
      <c r="H405" s="6"/>
      <c r="I405" s="6"/>
      <c r="J405" s="6"/>
      <c r="K405" s="6"/>
      <c r="L405" s="6"/>
      <c r="M405" s="6"/>
      <c r="N405" s="6"/>
      <c r="O405" s="6"/>
      <c r="P405" s="6"/>
      <c r="Q405" s="6"/>
      <c r="R405" s="6"/>
      <c r="S405" s="6"/>
      <c r="T405" s="6"/>
      <c r="U405" s="6"/>
      <c r="V405" s="6"/>
      <c r="W405" s="6"/>
      <c r="X405" s="6"/>
      <c r="Y405" s="6"/>
      <c r="Z405" s="6"/>
      <c r="AA405" s="6"/>
      <c r="AB405" s="6"/>
      <c r="AC405" s="6"/>
    </row>
    <row r="406" ht="14.25" customHeight="1">
      <c r="A406" s="28"/>
      <c r="B406" s="28"/>
      <c r="C406" s="29"/>
      <c r="D406" s="30"/>
      <c r="E406" s="28"/>
      <c r="F406" s="19"/>
      <c r="G406" s="6"/>
      <c r="H406" s="6"/>
      <c r="I406" s="6"/>
      <c r="J406" s="6"/>
      <c r="K406" s="6"/>
      <c r="L406" s="6"/>
      <c r="M406" s="6"/>
      <c r="N406" s="6"/>
      <c r="O406" s="6"/>
      <c r="P406" s="6"/>
      <c r="Q406" s="6"/>
      <c r="R406" s="6"/>
      <c r="S406" s="6"/>
      <c r="T406" s="6"/>
      <c r="U406" s="6"/>
      <c r="V406" s="6"/>
      <c r="W406" s="6"/>
      <c r="X406" s="6"/>
      <c r="Y406" s="6"/>
      <c r="Z406" s="6"/>
      <c r="AA406" s="6"/>
      <c r="AB406" s="6"/>
      <c r="AC406" s="6"/>
    </row>
    <row r="407" ht="14.25" customHeight="1">
      <c r="A407" s="28"/>
      <c r="B407" s="28"/>
      <c r="C407" s="29"/>
      <c r="D407" s="30"/>
      <c r="E407" s="28"/>
      <c r="F407" s="19"/>
      <c r="G407" s="6"/>
      <c r="H407" s="6"/>
      <c r="I407" s="6"/>
      <c r="J407" s="6"/>
      <c r="K407" s="6"/>
      <c r="L407" s="6"/>
      <c r="M407" s="6"/>
      <c r="N407" s="6"/>
      <c r="O407" s="6"/>
      <c r="P407" s="6"/>
      <c r="Q407" s="6"/>
      <c r="R407" s="6"/>
      <c r="S407" s="6"/>
      <c r="T407" s="6"/>
      <c r="U407" s="6"/>
      <c r="V407" s="6"/>
      <c r="W407" s="6"/>
      <c r="X407" s="6"/>
      <c r="Y407" s="6"/>
      <c r="Z407" s="6"/>
      <c r="AA407" s="6"/>
      <c r="AB407" s="6"/>
      <c r="AC407" s="6"/>
    </row>
    <row r="408" ht="14.25" customHeight="1">
      <c r="A408" s="28"/>
      <c r="B408" s="28"/>
      <c r="C408" s="29"/>
      <c r="D408" s="30"/>
      <c r="E408" s="28"/>
      <c r="F408" s="19"/>
      <c r="G408" s="6"/>
      <c r="H408" s="6"/>
      <c r="I408" s="6"/>
      <c r="J408" s="6"/>
      <c r="K408" s="6"/>
      <c r="L408" s="6"/>
      <c r="M408" s="6"/>
      <c r="N408" s="6"/>
      <c r="O408" s="6"/>
      <c r="P408" s="6"/>
      <c r="Q408" s="6"/>
      <c r="R408" s="6"/>
      <c r="S408" s="6"/>
      <c r="T408" s="6"/>
      <c r="U408" s="6"/>
      <c r="V408" s="6"/>
      <c r="W408" s="6"/>
      <c r="X408" s="6"/>
      <c r="Y408" s="6"/>
      <c r="Z408" s="6"/>
      <c r="AA408" s="6"/>
      <c r="AB408" s="6"/>
      <c r="AC408" s="6"/>
    </row>
    <row r="409" ht="14.25" customHeight="1">
      <c r="A409" s="28"/>
      <c r="B409" s="28"/>
      <c r="C409" s="29"/>
      <c r="D409" s="30"/>
      <c r="E409" s="28"/>
      <c r="F409" s="19"/>
      <c r="G409" s="6"/>
      <c r="H409" s="6"/>
      <c r="I409" s="6"/>
      <c r="J409" s="6"/>
      <c r="K409" s="6"/>
      <c r="L409" s="6"/>
      <c r="M409" s="6"/>
      <c r="N409" s="6"/>
      <c r="O409" s="6"/>
      <c r="P409" s="6"/>
      <c r="Q409" s="6"/>
      <c r="R409" s="6"/>
      <c r="S409" s="6"/>
      <c r="T409" s="6"/>
      <c r="U409" s="6"/>
      <c r="V409" s="6"/>
      <c r="W409" s="6"/>
      <c r="X409" s="6"/>
      <c r="Y409" s="6"/>
      <c r="Z409" s="6"/>
      <c r="AA409" s="6"/>
      <c r="AB409" s="6"/>
      <c r="AC409" s="6"/>
    </row>
    <row r="410" ht="14.25" customHeight="1">
      <c r="A410" s="28"/>
      <c r="B410" s="28"/>
      <c r="C410" s="29"/>
      <c r="D410" s="30"/>
      <c r="E410" s="28"/>
      <c r="F410" s="19"/>
      <c r="G410" s="6"/>
      <c r="H410" s="6"/>
      <c r="I410" s="6"/>
      <c r="J410" s="6"/>
      <c r="K410" s="6"/>
      <c r="L410" s="6"/>
      <c r="M410" s="6"/>
      <c r="N410" s="6"/>
      <c r="O410" s="6"/>
      <c r="P410" s="6"/>
      <c r="Q410" s="6"/>
      <c r="R410" s="6"/>
      <c r="S410" s="6"/>
      <c r="T410" s="6"/>
      <c r="U410" s="6"/>
      <c r="V410" s="6"/>
      <c r="W410" s="6"/>
      <c r="X410" s="6"/>
      <c r="Y410" s="6"/>
      <c r="Z410" s="6"/>
      <c r="AA410" s="6"/>
      <c r="AB410" s="6"/>
      <c r="AC410" s="6"/>
    </row>
    <row r="411" ht="14.25" customHeight="1">
      <c r="A411" s="28"/>
      <c r="B411" s="28"/>
      <c r="C411" s="29"/>
      <c r="D411" s="30"/>
      <c r="E411" s="28"/>
      <c r="F411" s="19"/>
      <c r="G411" s="6"/>
      <c r="H411" s="6"/>
      <c r="I411" s="6"/>
      <c r="J411" s="6"/>
      <c r="K411" s="6"/>
      <c r="L411" s="6"/>
      <c r="M411" s="6"/>
      <c r="N411" s="6"/>
      <c r="O411" s="6"/>
      <c r="P411" s="6"/>
      <c r="Q411" s="6"/>
      <c r="R411" s="6"/>
      <c r="S411" s="6"/>
      <c r="T411" s="6"/>
      <c r="U411" s="6"/>
      <c r="V411" s="6"/>
      <c r="W411" s="6"/>
      <c r="X411" s="6"/>
      <c r="Y411" s="6"/>
      <c r="Z411" s="6"/>
      <c r="AA411" s="6"/>
      <c r="AB411" s="6"/>
      <c r="AC411" s="6"/>
    </row>
    <row r="412" ht="14.25" customHeight="1">
      <c r="A412" s="28"/>
      <c r="B412" s="28"/>
      <c r="C412" s="29"/>
      <c r="D412" s="30"/>
      <c r="E412" s="28"/>
      <c r="F412" s="19"/>
      <c r="G412" s="6"/>
      <c r="H412" s="6"/>
      <c r="I412" s="6"/>
      <c r="J412" s="6"/>
      <c r="K412" s="6"/>
      <c r="L412" s="6"/>
      <c r="M412" s="6"/>
      <c r="N412" s="6"/>
      <c r="O412" s="6"/>
      <c r="P412" s="6"/>
      <c r="Q412" s="6"/>
      <c r="R412" s="6"/>
      <c r="S412" s="6"/>
      <c r="T412" s="6"/>
      <c r="U412" s="6"/>
      <c r="V412" s="6"/>
      <c r="W412" s="6"/>
      <c r="X412" s="6"/>
      <c r="Y412" s="6"/>
      <c r="Z412" s="6"/>
      <c r="AA412" s="6"/>
      <c r="AB412" s="6"/>
      <c r="AC412" s="6"/>
    </row>
    <row r="413" ht="14.25" customHeight="1">
      <c r="A413" s="28"/>
      <c r="B413" s="28"/>
      <c r="C413" s="29"/>
      <c r="D413" s="30"/>
      <c r="E413" s="28"/>
      <c r="F413" s="19"/>
      <c r="G413" s="6"/>
      <c r="H413" s="6"/>
      <c r="I413" s="6"/>
      <c r="J413" s="6"/>
      <c r="K413" s="6"/>
      <c r="L413" s="6"/>
      <c r="M413" s="6"/>
      <c r="N413" s="6"/>
      <c r="O413" s="6"/>
      <c r="P413" s="6"/>
      <c r="Q413" s="6"/>
      <c r="R413" s="6"/>
      <c r="S413" s="6"/>
      <c r="T413" s="6"/>
      <c r="U413" s="6"/>
      <c r="V413" s="6"/>
      <c r="W413" s="6"/>
      <c r="X413" s="6"/>
      <c r="Y413" s="6"/>
      <c r="Z413" s="6"/>
      <c r="AA413" s="6"/>
      <c r="AB413" s="6"/>
      <c r="AC413" s="6"/>
    </row>
    <row r="414" ht="14.25" customHeight="1">
      <c r="A414" s="28"/>
      <c r="B414" s="28"/>
      <c r="C414" s="29"/>
      <c r="D414" s="30"/>
      <c r="E414" s="28"/>
      <c r="F414" s="19"/>
      <c r="G414" s="6"/>
      <c r="H414" s="6"/>
      <c r="I414" s="6"/>
      <c r="J414" s="6"/>
      <c r="K414" s="6"/>
      <c r="L414" s="6"/>
      <c r="M414" s="6"/>
      <c r="N414" s="6"/>
      <c r="O414" s="6"/>
      <c r="P414" s="6"/>
      <c r="Q414" s="6"/>
      <c r="R414" s="6"/>
      <c r="S414" s="6"/>
      <c r="T414" s="6"/>
      <c r="U414" s="6"/>
      <c r="V414" s="6"/>
      <c r="W414" s="6"/>
      <c r="X414" s="6"/>
      <c r="Y414" s="6"/>
      <c r="Z414" s="6"/>
      <c r="AA414" s="6"/>
      <c r="AB414" s="6"/>
      <c r="AC414" s="6"/>
    </row>
    <row r="415" ht="14.25" customHeight="1">
      <c r="A415" s="28"/>
      <c r="B415" s="28"/>
      <c r="C415" s="29"/>
      <c r="D415" s="30"/>
      <c r="E415" s="28"/>
      <c r="F415" s="19"/>
      <c r="G415" s="6"/>
      <c r="H415" s="6"/>
      <c r="I415" s="6"/>
      <c r="J415" s="6"/>
      <c r="K415" s="6"/>
      <c r="L415" s="6"/>
      <c r="M415" s="6"/>
      <c r="N415" s="6"/>
      <c r="O415" s="6"/>
      <c r="P415" s="6"/>
      <c r="Q415" s="6"/>
      <c r="R415" s="6"/>
      <c r="S415" s="6"/>
      <c r="T415" s="6"/>
      <c r="U415" s="6"/>
      <c r="V415" s="6"/>
      <c r="W415" s="6"/>
      <c r="X415" s="6"/>
      <c r="Y415" s="6"/>
      <c r="Z415" s="6"/>
      <c r="AA415" s="6"/>
      <c r="AB415" s="6"/>
      <c r="AC415" s="6"/>
    </row>
    <row r="416" ht="14.25" customHeight="1">
      <c r="A416" s="28"/>
      <c r="B416" s="28"/>
      <c r="C416" s="29"/>
      <c r="D416" s="30"/>
      <c r="E416" s="28"/>
      <c r="F416" s="19"/>
      <c r="G416" s="6"/>
      <c r="H416" s="6"/>
      <c r="I416" s="6"/>
      <c r="J416" s="6"/>
      <c r="K416" s="6"/>
      <c r="L416" s="6"/>
      <c r="M416" s="6"/>
      <c r="N416" s="6"/>
      <c r="O416" s="6"/>
      <c r="P416" s="6"/>
      <c r="Q416" s="6"/>
      <c r="R416" s="6"/>
      <c r="S416" s="6"/>
      <c r="T416" s="6"/>
      <c r="U416" s="6"/>
      <c r="V416" s="6"/>
      <c r="W416" s="6"/>
      <c r="X416" s="6"/>
      <c r="Y416" s="6"/>
      <c r="Z416" s="6"/>
      <c r="AA416" s="6"/>
      <c r="AB416" s="6"/>
      <c r="AC416" s="6"/>
    </row>
    <row r="417" ht="14.25" customHeight="1">
      <c r="A417" s="28"/>
      <c r="B417" s="28"/>
      <c r="C417" s="29"/>
      <c r="D417" s="30"/>
      <c r="E417" s="28"/>
      <c r="F417" s="19"/>
      <c r="G417" s="6"/>
      <c r="H417" s="6"/>
      <c r="I417" s="6"/>
      <c r="J417" s="6"/>
      <c r="K417" s="6"/>
      <c r="L417" s="6"/>
      <c r="M417" s="6"/>
      <c r="N417" s="6"/>
      <c r="O417" s="6"/>
      <c r="P417" s="6"/>
      <c r="Q417" s="6"/>
      <c r="R417" s="6"/>
      <c r="S417" s="6"/>
      <c r="T417" s="6"/>
      <c r="U417" s="6"/>
      <c r="V417" s="6"/>
      <c r="W417" s="6"/>
      <c r="X417" s="6"/>
      <c r="Y417" s="6"/>
      <c r="Z417" s="6"/>
      <c r="AA417" s="6"/>
      <c r="AB417" s="6"/>
      <c r="AC417" s="6"/>
    </row>
    <row r="418" ht="14.25" customHeight="1">
      <c r="A418" s="28"/>
      <c r="B418" s="28"/>
      <c r="C418" s="29"/>
      <c r="D418" s="30"/>
      <c r="E418" s="28"/>
      <c r="F418" s="19"/>
      <c r="G418" s="6"/>
      <c r="H418" s="6"/>
      <c r="I418" s="6"/>
      <c r="J418" s="6"/>
      <c r="K418" s="6"/>
      <c r="L418" s="6"/>
      <c r="M418" s="6"/>
      <c r="N418" s="6"/>
      <c r="O418" s="6"/>
      <c r="P418" s="6"/>
      <c r="Q418" s="6"/>
      <c r="R418" s="6"/>
      <c r="S418" s="6"/>
      <c r="T418" s="6"/>
      <c r="U418" s="6"/>
      <c r="V418" s="6"/>
      <c r="W418" s="6"/>
      <c r="X418" s="6"/>
      <c r="Y418" s="6"/>
      <c r="Z418" s="6"/>
      <c r="AA418" s="6"/>
      <c r="AB418" s="6"/>
      <c r="AC418" s="6"/>
    </row>
    <row r="419" ht="14.25" customHeight="1">
      <c r="A419" s="28"/>
      <c r="B419" s="28"/>
      <c r="C419" s="29"/>
      <c r="D419" s="30"/>
      <c r="E419" s="28"/>
      <c r="F419" s="19"/>
      <c r="G419" s="6"/>
      <c r="H419" s="6"/>
      <c r="I419" s="6"/>
      <c r="J419" s="6"/>
      <c r="K419" s="6"/>
      <c r="L419" s="6"/>
      <c r="M419" s="6"/>
      <c r="N419" s="6"/>
      <c r="O419" s="6"/>
      <c r="P419" s="6"/>
      <c r="Q419" s="6"/>
      <c r="R419" s="6"/>
      <c r="S419" s="6"/>
      <c r="T419" s="6"/>
      <c r="U419" s="6"/>
      <c r="V419" s="6"/>
      <c r="W419" s="6"/>
      <c r="X419" s="6"/>
      <c r="Y419" s="6"/>
      <c r="Z419" s="6"/>
      <c r="AA419" s="6"/>
      <c r="AB419" s="6"/>
      <c r="AC419" s="6"/>
    </row>
    <row r="420" ht="14.25" customHeight="1">
      <c r="A420" s="28"/>
      <c r="B420" s="28"/>
      <c r="C420" s="29"/>
      <c r="D420" s="30"/>
      <c r="E420" s="28"/>
      <c r="F420" s="19"/>
      <c r="G420" s="6"/>
      <c r="H420" s="6"/>
      <c r="I420" s="6"/>
      <c r="J420" s="6"/>
      <c r="K420" s="6"/>
      <c r="L420" s="6"/>
      <c r="M420" s="6"/>
      <c r="N420" s="6"/>
      <c r="O420" s="6"/>
      <c r="P420" s="6"/>
      <c r="Q420" s="6"/>
      <c r="R420" s="6"/>
      <c r="S420" s="6"/>
      <c r="T420" s="6"/>
      <c r="U420" s="6"/>
      <c r="V420" s="6"/>
      <c r="W420" s="6"/>
      <c r="X420" s="6"/>
      <c r="Y420" s="6"/>
      <c r="Z420" s="6"/>
      <c r="AA420" s="6"/>
      <c r="AB420" s="6"/>
      <c r="AC420" s="6"/>
    </row>
    <row r="421" ht="14.25" customHeight="1">
      <c r="A421" s="28"/>
      <c r="B421" s="28"/>
      <c r="C421" s="29"/>
      <c r="D421" s="30"/>
      <c r="E421" s="28"/>
      <c r="F421" s="19"/>
      <c r="G421" s="6"/>
      <c r="H421" s="6"/>
      <c r="I421" s="6"/>
      <c r="J421" s="6"/>
      <c r="K421" s="6"/>
      <c r="L421" s="6"/>
      <c r="M421" s="6"/>
      <c r="N421" s="6"/>
      <c r="O421" s="6"/>
      <c r="P421" s="6"/>
      <c r="Q421" s="6"/>
      <c r="R421" s="6"/>
      <c r="S421" s="6"/>
      <c r="T421" s="6"/>
      <c r="U421" s="6"/>
      <c r="V421" s="6"/>
      <c r="W421" s="6"/>
      <c r="X421" s="6"/>
      <c r="Y421" s="6"/>
      <c r="Z421" s="6"/>
      <c r="AA421" s="6"/>
      <c r="AB421" s="6"/>
      <c r="AC421" s="6"/>
    </row>
    <row r="422" ht="14.25" customHeight="1">
      <c r="A422" s="28"/>
      <c r="B422" s="28"/>
      <c r="C422" s="29"/>
      <c r="D422" s="30"/>
      <c r="E422" s="28"/>
      <c r="F422" s="19"/>
      <c r="G422" s="6"/>
      <c r="H422" s="6"/>
      <c r="I422" s="6"/>
      <c r="J422" s="6"/>
      <c r="K422" s="6"/>
      <c r="L422" s="6"/>
      <c r="M422" s="6"/>
      <c r="N422" s="6"/>
      <c r="O422" s="6"/>
      <c r="P422" s="6"/>
      <c r="Q422" s="6"/>
      <c r="R422" s="6"/>
      <c r="S422" s="6"/>
      <c r="T422" s="6"/>
      <c r="U422" s="6"/>
      <c r="V422" s="6"/>
      <c r="W422" s="6"/>
      <c r="X422" s="6"/>
      <c r="Y422" s="6"/>
      <c r="Z422" s="6"/>
      <c r="AA422" s="6"/>
      <c r="AB422" s="6"/>
      <c r="AC422" s="6"/>
    </row>
    <row r="423" ht="14.25" customHeight="1">
      <c r="A423" s="28"/>
      <c r="B423" s="28"/>
      <c r="C423" s="29"/>
      <c r="D423" s="30"/>
      <c r="E423" s="28"/>
      <c r="F423" s="19"/>
      <c r="G423" s="6"/>
      <c r="H423" s="6"/>
      <c r="I423" s="6"/>
      <c r="J423" s="6"/>
      <c r="K423" s="6"/>
      <c r="L423" s="6"/>
      <c r="M423" s="6"/>
      <c r="N423" s="6"/>
      <c r="O423" s="6"/>
      <c r="P423" s="6"/>
      <c r="Q423" s="6"/>
      <c r="R423" s="6"/>
      <c r="S423" s="6"/>
      <c r="T423" s="6"/>
      <c r="U423" s="6"/>
      <c r="V423" s="6"/>
      <c r="W423" s="6"/>
      <c r="X423" s="6"/>
      <c r="Y423" s="6"/>
      <c r="Z423" s="6"/>
      <c r="AA423" s="6"/>
      <c r="AB423" s="6"/>
      <c r="AC423" s="6"/>
    </row>
    <row r="424" ht="14.25" customHeight="1">
      <c r="A424" s="28"/>
      <c r="B424" s="28"/>
      <c r="C424" s="29"/>
      <c r="D424" s="30"/>
      <c r="E424" s="28"/>
      <c r="F424" s="19"/>
      <c r="G424" s="6"/>
      <c r="H424" s="6"/>
      <c r="I424" s="6"/>
      <c r="J424" s="6"/>
      <c r="K424" s="6"/>
      <c r="L424" s="6"/>
      <c r="M424" s="6"/>
      <c r="N424" s="6"/>
      <c r="O424" s="6"/>
      <c r="P424" s="6"/>
      <c r="Q424" s="6"/>
      <c r="R424" s="6"/>
      <c r="S424" s="6"/>
      <c r="T424" s="6"/>
      <c r="U424" s="6"/>
      <c r="V424" s="6"/>
      <c r="W424" s="6"/>
      <c r="X424" s="6"/>
      <c r="Y424" s="6"/>
      <c r="Z424" s="6"/>
      <c r="AA424" s="6"/>
      <c r="AB424" s="6"/>
      <c r="AC424" s="6"/>
    </row>
    <row r="425" ht="14.25" customHeight="1">
      <c r="A425" s="28"/>
      <c r="B425" s="28"/>
      <c r="C425" s="29"/>
      <c r="D425" s="30"/>
      <c r="E425" s="28"/>
      <c r="F425" s="19"/>
      <c r="G425" s="6"/>
      <c r="H425" s="6"/>
      <c r="I425" s="6"/>
      <c r="J425" s="6"/>
      <c r="K425" s="6"/>
      <c r="L425" s="6"/>
      <c r="M425" s="6"/>
      <c r="N425" s="6"/>
      <c r="O425" s="6"/>
      <c r="P425" s="6"/>
      <c r="Q425" s="6"/>
      <c r="R425" s="6"/>
      <c r="S425" s="6"/>
      <c r="T425" s="6"/>
      <c r="U425" s="6"/>
      <c r="V425" s="6"/>
      <c r="W425" s="6"/>
      <c r="X425" s="6"/>
      <c r="Y425" s="6"/>
      <c r="Z425" s="6"/>
      <c r="AA425" s="6"/>
      <c r="AB425" s="6"/>
      <c r="AC425" s="6"/>
    </row>
    <row r="426" ht="14.25" customHeight="1">
      <c r="A426" s="28"/>
      <c r="B426" s="28"/>
      <c r="C426" s="29"/>
      <c r="D426" s="30"/>
      <c r="E426" s="28"/>
      <c r="F426" s="19"/>
      <c r="G426" s="6"/>
      <c r="H426" s="6"/>
      <c r="I426" s="6"/>
      <c r="J426" s="6"/>
      <c r="K426" s="6"/>
      <c r="L426" s="6"/>
      <c r="M426" s="6"/>
      <c r="N426" s="6"/>
      <c r="O426" s="6"/>
      <c r="P426" s="6"/>
      <c r="Q426" s="6"/>
      <c r="R426" s="6"/>
      <c r="S426" s="6"/>
      <c r="T426" s="6"/>
      <c r="U426" s="6"/>
      <c r="V426" s="6"/>
      <c r="W426" s="6"/>
      <c r="X426" s="6"/>
      <c r="Y426" s="6"/>
      <c r="Z426" s="6"/>
      <c r="AA426" s="6"/>
      <c r="AB426" s="6"/>
      <c r="AC426" s="6"/>
    </row>
    <row r="427" ht="14.25" customHeight="1">
      <c r="A427" s="28"/>
      <c r="B427" s="28"/>
      <c r="C427" s="29"/>
      <c r="D427" s="30"/>
      <c r="E427" s="28"/>
      <c r="F427" s="19"/>
      <c r="G427" s="6"/>
      <c r="H427" s="6"/>
      <c r="I427" s="6"/>
      <c r="J427" s="6"/>
      <c r="K427" s="6"/>
      <c r="L427" s="6"/>
      <c r="M427" s="6"/>
      <c r="N427" s="6"/>
      <c r="O427" s="6"/>
      <c r="P427" s="6"/>
      <c r="Q427" s="6"/>
      <c r="R427" s="6"/>
      <c r="S427" s="6"/>
      <c r="T427" s="6"/>
      <c r="U427" s="6"/>
      <c r="V427" s="6"/>
      <c r="W427" s="6"/>
      <c r="X427" s="6"/>
      <c r="Y427" s="6"/>
      <c r="Z427" s="6"/>
      <c r="AA427" s="6"/>
      <c r="AB427" s="6"/>
      <c r="AC427" s="6"/>
    </row>
    <row r="428" ht="14.25" customHeight="1">
      <c r="A428" s="28"/>
      <c r="B428" s="28"/>
      <c r="C428" s="29"/>
      <c r="D428" s="30"/>
      <c r="E428" s="28"/>
      <c r="F428" s="19"/>
      <c r="G428" s="6"/>
      <c r="H428" s="6"/>
      <c r="I428" s="6"/>
      <c r="J428" s="6"/>
      <c r="K428" s="6"/>
      <c r="L428" s="6"/>
      <c r="M428" s="6"/>
      <c r="N428" s="6"/>
      <c r="O428" s="6"/>
      <c r="P428" s="6"/>
      <c r="Q428" s="6"/>
      <c r="R428" s="6"/>
      <c r="S428" s="6"/>
      <c r="T428" s="6"/>
      <c r="U428" s="6"/>
      <c r="V428" s="6"/>
      <c r="W428" s="6"/>
      <c r="X428" s="6"/>
      <c r="Y428" s="6"/>
      <c r="Z428" s="6"/>
      <c r="AA428" s="6"/>
      <c r="AB428" s="6"/>
      <c r="AC428" s="6"/>
    </row>
    <row r="429" ht="14.25" customHeight="1">
      <c r="A429" s="28"/>
      <c r="B429" s="28"/>
      <c r="C429" s="29"/>
      <c r="D429" s="30"/>
      <c r="E429" s="28"/>
      <c r="F429" s="19"/>
      <c r="G429" s="6"/>
      <c r="H429" s="6"/>
      <c r="I429" s="6"/>
      <c r="J429" s="6"/>
      <c r="K429" s="6"/>
      <c r="L429" s="6"/>
      <c r="M429" s="6"/>
      <c r="N429" s="6"/>
      <c r="O429" s="6"/>
      <c r="P429" s="6"/>
      <c r="Q429" s="6"/>
      <c r="R429" s="6"/>
      <c r="S429" s="6"/>
      <c r="T429" s="6"/>
      <c r="U429" s="6"/>
      <c r="V429" s="6"/>
      <c r="W429" s="6"/>
      <c r="X429" s="6"/>
      <c r="Y429" s="6"/>
      <c r="Z429" s="6"/>
      <c r="AA429" s="6"/>
      <c r="AB429" s="6"/>
      <c r="AC429" s="6"/>
    </row>
    <row r="430" ht="14.25" customHeight="1">
      <c r="A430" s="28"/>
      <c r="B430" s="28"/>
      <c r="C430" s="29"/>
      <c r="D430" s="30"/>
      <c r="E430" s="28"/>
      <c r="F430" s="19"/>
      <c r="G430" s="6"/>
      <c r="H430" s="6"/>
      <c r="I430" s="6"/>
      <c r="J430" s="6"/>
      <c r="K430" s="6"/>
      <c r="L430" s="6"/>
      <c r="M430" s="6"/>
      <c r="N430" s="6"/>
      <c r="O430" s="6"/>
      <c r="P430" s="6"/>
      <c r="Q430" s="6"/>
      <c r="R430" s="6"/>
      <c r="S430" s="6"/>
      <c r="T430" s="6"/>
      <c r="U430" s="6"/>
      <c r="V430" s="6"/>
      <c r="W430" s="6"/>
      <c r="X430" s="6"/>
      <c r="Y430" s="6"/>
      <c r="Z430" s="6"/>
      <c r="AA430" s="6"/>
      <c r="AB430" s="6"/>
      <c r="AC430" s="6"/>
    </row>
    <row r="431" ht="14.25" customHeight="1">
      <c r="A431" s="28"/>
      <c r="B431" s="28"/>
      <c r="C431" s="29"/>
      <c r="D431" s="30"/>
      <c r="E431" s="28"/>
      <c r="F431" s="19"/>
      <c r="G431" s="6"/>
      <c r="H431" s="6"/>
      <c r="I431" s="6"/>
      <c r="J431" s="6"/>
      <c r="K431" s="6"/>
      <c r="L431" s="6"/>
      <c r="M431" s="6"/>
      <c r="N431" s="6"/>
      <c r="O431" s="6"/>
      <c r="P431" s="6"/>
      <c r="Q431" s="6"/>
      <c r="R431" s="6"/>
      <c r="S431" s="6"/>
      <c r="T431" s="6"/>
      <c r="U431" s="6"/>
      <c r="V431" s="6"/>
      <c r="W431" s="6"/>
      <c r="X431" s="6"/>
      <c r="Y431" s="6"/>
      <c r="Z431" s="6"/>
      <c r="AA431" s="6"/>
      <c r="AB431" s="6"/>
      <c r="AC431" s="6"/>
    </row>
    <row r="432" ht="14.25" customHeight="1">
      <c r="A432" s="28"/>
      <c r="B432" s="28"/>
      <c r="C432" s="29"/>
      <c r="D432" s="30"/>
      <c r="E432" s="28"/>
      <c r="F432" s="19"/>
      <c r="G432" s="6"/>
      <c r="H432" s="6"/>
      <c r="I432" s="6"/>
      <c r="J432" s="6"/>
      <c r="K432" s="6"/>
      <c r="L432" s="6"/>
      <c r="M432" s="6"/>
      <c r="N432" s="6"/>
      <c r="O432" s="6"/>
      <c r="P432" s="6"/>
      <c r="Q432" s="6"/>
      <c r="R432" s="6"/>
      <c r="S432" s="6"/>
      <c r="T432" s="6"/>
      <c r="U432" s="6"/>
      <c r="V432" s="6"/>
      <c r="W432" s="6"/>
      <c r="X432" s="6"/>
      <c r="Y432" s="6"/>
      <c r="Z432" s="6"/>
      <c r="AA432" s="6"/>
      <c r="AB432" s="6"/>
      <c r="AC432" s="6"/>
    </row>
    <row r="433" ht="14.25" customHeight="1">
      <c r="A433" s="28"/>
      <c r="B433" s="28"/>
      <c r="C433" s="29"/>
      <c r="D433" s="30"/>
      <c r="E433" s="28"/>
      <c r="F433" s="19"/>
      <c r="G433" s="6"/>
      <c r="H433" s="6"/>
      <c r="I433" s="6"/>
      <c r="J433" s="6"/>
      <c r="K433" s="6"/>
      <c r="L433" s="6"/>
      <c r="M433" s="6"/>
      <c r="N433" s="6"/>
      <c r="O433" s="6"/>
      <c r="P433" s="6"/>
      <c r="Q433" s="6"/>
      <c r="R433" s="6"/>
      <c r="S433" s="6"/>
      <c r="T433" s="6"/>
      <c r="U433" s="6"/>
      <c r="V433" s="6"/>
      <c r="W433" s="6"/>
      <c r="X433" s="6"/>
      <c r="Y433" s="6"/>
      <c r="Z433" s="6"/>
      <c r="AA433" s="6"/>
      <c r="AB433" s="6"/>
      <c r="AC433" s="6"/>
    </row>
    <row r="434" ht="14.25" customHeight="1">
      <c r="A434" s="28"/>
      <c r="B434" s="28"/>
      <c r="C434" s="29"/>
      <c r="D434" s="30"/>
      <c r="E434" s="28"/>
      <c r="F434" s="19"/>
      <c r="G434" s="6"/>
      <c r="H434" s="6"/>
      <c r="I434" s="6"/>
      <c r="J434" s="6"/>
      <c r="K434" s="6"/>
      <c r="L434" s="6"/>
      <c r="M434" s="6"/>
      <c r="N434" s="6"/>
      <c r="O434" s="6"/>
      <c r="P434" s="6"/>
      <c r="Q434" s="6"/>
      <c r="R434" s="6"/>
      <c r="S434" s="6"/>
      <c r="T434" s="6"/>
      <c r="U434" s="6"/>
      <c r="V434" s="6"/>
      <c r="W434" s="6"/>
      <c r="X434" s="6"/>
      <c r="Y434" s="6"/>
      <c r="Z434" s="6"/>
      <c r="AA434" s="6"/>
      <c r="AB434" s="6"/>
      <c r="AC434" s="6"/>
    </row>
    <row r="435" ht="14.25" customHeight="1">
      <c r="A435" s="28"/>
      <c r="B435" s="28"/>
      <c r="C435" s="29"/>
      <c r="D435" s="30"/>
      <c r="E435" s="28"/>
      <c r="F435" s="19"/>
      <c r="G435" s="6"/>
      <c r="H435" s="6"/>
      <c r="I435" s="6"/>
      <c r="J435" s="6"/>
      <c r="K435" s="6"/>
      <c r="L435" s="6"/>
      <c r="M435" s="6"/>
      <c r="N435" s="6"/>
      <c r="O435" s="6"/>
      <c r="P435" s="6"/>
      <c r="Q435" s="6"/>
      <c r="R435" s="6"/>
      <c r="S435" s="6"/>
      <c r="T435" s="6"/>
      <c r="U435" s="6"/>
      <c r="V435" s="6"/>
      <c r="W435" s="6"/>
      <c r="X435" s="6"/>
      <c r="Y435" s="6"/>
      <c r="Z435" s="6"/>
      <c r="AA435" s="6"/>
      <c r="AB435" s="6"/>
      <c r="AC435" s="6"/>
    </row>
    <row r="436" ht="14.25" customHeight="1">
      <c r="A436" s="28"/>
      <c r="B436" s="28"/>
      <c r="C436" s="29"/>
      <c r="D436" s="30"/>
      <c r="E436" s="28"/>
      <c r="F436" s="19"/>
      <c r="G436" s="6"/>
      <c r="H436" s="6"/>
      <c r="I436" s="6"/>
      <c r="J436" s="6"/>
      <c r="K436" s="6"/>
      <c r="L436" s="6"/>
      <c r="M436" s="6"/>
      <c r="N436" s="6"/>
      <c r="O436" s="6"/>
      <c r="P436" s="6"/>
      <c r="Q436" s="6"/>
      <c r="R436" s="6"/>
      <c r="S436" s="6"/>
      <c r="T436" s="6"/>
      <c r="U436" s="6"/>
      <c r="V436" s="6"/>
      <c r="W436" s="6"/>
      <c r="X436" s="6"/>
      <c r="Y436" s="6"/>
      <c r="Z436" s="6"/>
      <c r="AA436" s="6"/>
      <c r="AB436" s="6"/>
      <c r="AC436" s="6"/>
    </row>
    <row r="437" ht="14.25" customHeight="1">
      <c r="A437" s="28"/>
      <c r="B437" s="28"/>
      <c r="C437" s="29"/>
      <c r="D437" s="30"/>
      <c r="E437" s="28"/>
      <c r="F437" s="19"/>
      <c r="G437" s="6"/>
      <c r="H437" s="6"/>
      <c r="I437" s="6"/>
      <c r="J437" s="6"/>
      <c r="K437" s="6"/>
      <c r="L437" s="6"/>
      <c r="M437" s="6"/>
      <c r="N437" s="6"/>
      <c r="O437" s="6"/>
      <c r="P437" s="6"/>
      <c r="Q437" s="6"/>
      <c r="R437" s="6"/>
      <c r="S437" s="6"/>
      <c r="T437" s="6"/>
      <c r="U437" s="6"/>
      <c r="V437" s="6"/>
      <c r="W437" s="6"/>
      <c r="X437" s="6"/>
      <c r="Y437" s="6"/>
      <c r="Z437" s="6"/>
      <c r="AA437" s="6"/>
      <c r="AB437" s="6"/>
      <c r="AC437" s="6"/>
    </row>
    <row r="438" ht="14.25" customHeight="1">
      <c r="A438" s="28"/>
      <c r="B438" s="28"/>
      <c r="C438" s="29"/>
      <c r="D438" s="30"/>
      <c r="E438" s="28"/>
      <c r="F438" s="19"/>
      <c r="G438" s="6"/>
      <c r="H438" s="6"/>
      <c r="I438" s="6"/>
      <c r="J438" s="6"/>
      <c r="K438" s="6"/>
      <c r="L438" s="6"/>
      <c r="M438" s="6"/>
      <c r="N438" s="6"/>
      <c r="O438" s="6"/>
      <c r="P438" s="6"/>
      <c r="Q438" s="6"/>
      <c r="R438" s="6"/>
      <c r="S438" s="6"/>
      <c r="T438" s="6"/>
      <c r="U438" s="6"/>
      <c r="V438" s="6"/>
      <c r="W438" s="6"/>
      <c r="X438" s="6"/>
      <c r="Y438" s="6"/>
      <c r="Z438" s="6"/>
      <c r="AA438" s="6"/>
      <c r="AB438" s="6"/>
      <c r="AC438" s="6"/>
    </row>
    <row r="439" ht="14.25" customHeight="1">
      <c r="A439" s="28"/>
      <c r="B439" s="28"/>
      <c r="C439" s="29"/>
      <c r="D439" s="30"/>
      <c r="E439" s="28"/>
      <c r="F439" s="19"/>
      <c r="G439" s="6"/>
      <c r="H439" s="6"/>
      <c r="I439" s="6"/>
      <c r="J439" s="6"/>
      <c r="K439" s="6"/>
      <c r="L439" s="6"/>
      <c r="M439" s="6"/>
      <c r="N439" s="6"/>
      <c r="O439" s="6"/>
      <c r="P439" s="6"/>
      <c r="Q439" s="6"/>
      <c r="R439" s="6"/>
      <c r="S439" s="6"/>
      <c r="T439" s="6"/>
      <c r="U439" s="6"/>
      <c r="V439" s="6"/>
      <c r="W439" s="6"/>
      <c r="X439" s="6"/>
      <c r="Y439" s="6"/>
      <c r="Z439" s="6"/>
      <c r="AA439" s="6"/>
      <c r="AB439" s="6"/>
      <c r="AC439" s="6"/>
    </row>
    <row r="440" ht="14.25" customHeight="1">
      <c r="A440" s="28"/>
      <c r="B440" s="28"/>
      <c r="C440" s="29"/>
      <c r="D440" s="30"/>
      <c r="E440" s="28"/>
      <c r="F440" s="19"/>
      <c r="G440" s="6"/>
      <c r="H440" s="6"/>
      <c r="I440" s="6"/>
      <c r="J440" s="6"/>
      <c r="K440" s="6"/>
      <c r="L440" s="6"/>
      <c r="M440" s="6"/>
      <c r="N440" s="6"/>
      <c r="O440" s="6"/>
      <c r="P440" s="6"/>
      <c r="Q440" s="6"/>
      <c r="R440" s="6"/>
      <c r="S440" s="6"/>
      <c r="T440" s="6"/>
      <c r="U440" s="6"/>
      <c r="V440" s="6"/>
      <c r="W440" s="6"/>
      <c r="X440" s="6"/>
      <c r="Y440" s="6"/>
      <c r="Z440" s="6"/>
      <c r="AA440" s="6"/>
      <c r="AB440" s="6"/>
      <c r="AC440" s="6"/>
    </row>
    <row r="441" ht="14.25" customHeight="1">
      <c r="A441" s="28"/>
      <c r="B441" s="28"/>
      <c r="C441" s="29"/>
      <c r="D441" s="30"/>
      <c r="E441" s="28"/>
      <c r="F441" s="19"/>
      <c r="G441" s="6"/>
      <c r="H441" s="6"/>
      <c r="I441" s="6"/>
      <c r="J441" s="6"/>
      <c r="K441" s="6"/>
      <c r="L441" s="6"/>
      <c r="M441" s="6"/>
      <c r="N441" s="6"/>
      <c r="O441" s="6"/>
      <c r="P441" s="6"/>
      <c r="Q441" s="6"/>
      <c r="R441" s="6"/>
      <c r="S441" s="6"/>
      <c r="T441" s="6"/>
      <c r="U441" s="6"/>
      <c r="V441" s="6"/>
      <c r="W441" s="6"/>
      <c r="X441" s="6"/>
      <c r="Y441" s="6"/>
      <c r="Z441" s="6"/>
      <c r="AA441" s="6"/>
      <c r="AB441" s="6"/>
      <c r="AC441" s="6"/>
    </row>
    <row r="442" ht="14.25" customHeight="1">
      <c r="A442" s="28"/>
      <c r="B442" s="28"/>
      <c r="C442" s="29"/>
      <c r="D442" s="30"/>
      <c r="E442" s="28"/>
      <c r="F442" s="19"/>
      <c r="G442" s="6"/>
      <c r="H442" s="6"/>
      <c r="I442" s="6"/>
      <c r="J442" s="6"/>
      <c r="K442" s="6"/>
      <c r="L442" s="6"/>
      <c r="M442" s="6"/>
      <c r="N442" s="6"/>
      <c r="O442" s="6"/>
      <c r="P442" s="6"/>
      <c r="Q442" s="6"/>
      <c r="R442" s="6"/>
      <c r="S442" s="6"/>
      <c r="T442" s="6"/>
      <c r="U442" s="6"/>
      <c r="V442" s="6"/>
      <c r="W442" s="6"/>
      <c r="X442" s="6"/>
      <c r="Y442" s="6"/>
      <c r="Z442" s="6"/>
      <c r="AA442" s="6"/>
      <c r="AB442" s="6"/>
      <c r="AC442" s="6"/>
    </row>
    <row r="443" ht="14.25" customHeight="1">
      <c r="A443" s="28"/>
      <c r="B443" s="28"/>
      <c r="C443" s="29"/>
      <c r="D443" s="30"/>
      <c r="E443" s="28"/>
      <c r="F443" s="19"/>
      <c r="G443" s="6"/>
      <c r="H443" s="6"/>
      <c r="I443" s="6"/>
      <c r="J443" s="6"/>
      <c r="K443" s="6"/>
      <c r="L443" s="6"/>
      <c r="M443" s="6"/>
      <c r="N443" s="6"/>
      <c r="O443" s="6"/>
      <c r="P443" s="6"/>
      <c r="Q443" s="6"/>
      <c r="R443" s="6"/>
      <c r="S443" s="6"/>
      <c r="T443" s="6"/>
      <c r="U443" s="6"/>
      <c r="V443" s="6"/>
      <c r="W443" s="6"/>
      <c r="X443" s="6"/>
      <c r="Y443" s="6"/>
      <c r="Z443" s="6"/>
      <c r="AA443" s="6"/>
      <c r="AB443" s="6"/>
      <c r="AC443" s="6"/>
    </row>
    <row r="444" ht="14.25" customHeight="1">
      <c r="A444" s="28"/>
      <c r="B444" s="28"/>
      <c r="C444" s="29"/>
      <c r="D444" s="30"/>
      <c r="E444" s="28"/>
      <c r="F444" s="19"/>
      <c r="G444" s="6"/>
      <c r="H444" s="6"/>
      <c r="I444" s="6"/>
      <c r="J444" s="6"/>
      <c r="K444" s="6"/>
      <c r="L444" s="6"/>
      <c r="M444" s="6"/>
      <c r="N444" s="6"/>
      <c r="O444" s="6"/>
      <c r="P444" s="6"/>
      <c r="Q444" s="6"/>
      <c r="R444" s="6"/>
      <c r="S444" s="6"/>
      <c r="T444" s="6"/>
      <c r="U444" s="6"/>
      <c r="V444" s="6"/>
      <c r="W444" s="6"/>
      <c r="X444" s="6"/>
      <c r="Y444" s="6"/>
      <c r="Z444" s="6"/>
      <c r="AA444" s="6"/>
      <c r="AB444" s="6"/>
      <c r="AC444" s="6"/>
    </row>
    <row r="445" ht="14.25" customHeight="1">
      <c r="A445" s="28"/>
      <c r="B445" s="28"/>
      <c r="C445" s="29"/>
      <c r="D445" s="30"/>
      <c r="E445" s="28"/>
      <c r="F445" s="19"/>
      <c r="G445" s="6"/>
      <c r="H445" s="6"/>
      <c r="I445" s="6"/>
      <c r="J445" s="6"/>
      <c r="K445" s="6"/>
      <c r="L445" s="6"/>
      <c r="M445" s="6"/>
      <c r="N445" s="6"/>
      <c r="O445" s="6"/>
      <c r="P445" s="6"/>
      <c r="Q445" s="6"/>
      <c r="R445" s="6"/>
      <c r="S445" s="6"/>
      <c r="T445" s="6"/>
      <c r="U445" s="6"/>
      <c r="V445" s="6"/>
      <c r="W445" s="6"/>
      <c r="X445" s="6"/>
      <c r="Y445" s="6"/>
      <c r="Z445" s="6"/>
      <c r="AA445" s="6"/>
      <c r="AB445" s="6"/>
      <c r="AC445" s="6"/>
    </row>
    <row r="446" ht="14.25" customHeight="1">
      <c r="A446" s="28"/>
      <c r="B446" s="28"/>
      <c r="C446" s="29"/>
      <c r="D446" s="30"/>
      <c r="E446" s="28"/>
      <c r="F446" s="19"/>
      <c r="G446" s="6"/>
      <c r="H446" s="6"/>
      <c r="I446" s="6"/>
      <c r="J446" s="6"/>
      <c r="K446" s="6"/>
      <c r="L446" s="6"/>
      <c r="M446" s="6"/>
      <c r="N446" s="6"/>
      <c r="O446" s="6"/>
      <c r="P446" s="6"/>
      <c r="Q446" s="6"/>
      <c r="R446" s="6"/>
      <c r="S446" s="6"/>
      <c r="T446" s="6"/>
      <c r="U446" s="6"/>
      <c r="V446" s="6"/>
      <c r="W446" s="6"/>
      <c r="X446" s="6"/>
      <c r="Y446" s="6"/>
      <c r="Z446" s="6"/>
      <c r="AA446" s="6"/>
      <c r="AB446" s="6"/>
      <c r="AC446" s="6"/>
    </row>
    <row r="447" ht="14.25" customHeight="1">
      <c r="A447" s="28"/>
      <c r="B447" s="28"/>
      <c r="C447" s="29"/>
      <c r="D447" s="30"/>
      <c r="E447" s="28"/>
      <c r="F447" s="19"/>
      <c r="G447" s="6"/>
      <c r="H447" s="6"/>
      <c r="I447" s="6"/>
      <c r="J447" s="6"/>
      <c r="K447" s="6"/>
      <c r="L447" s="6"/>
      <c r="M447" s="6"/>
      <c r="N447" s="6"/>
      <c r="O447" s="6"/>
      <c r="P447" s="6"/>
      <c r="Q447" s="6"/>
      <c r="R447" s="6"/>
      <c r="S447" s="6"/>
      <c r="T447" s="6"/>
      <c r="U447" s="6"/>
      <c r="V447" s="6"/>
      <c r="W447" s="6"/>
      <c r="X447" s="6"/>
      <c r="Y447" s="6"/>
      <c r="Z447" s="6"/>
      <c r="AA447" s="6"/>
      <c r="AB447" s="6"/>
      <c r="AC447" s="6"/>
    </row>
    <row r="448" ht="14.25" customHeight="1">
      <c r="A448" s="28"/>
      <c r="B448" s="28"/>
      <c r="C448" s="29"/>
      <c r="D448" s="30"/>
      <c r="E448" s="28"/>
      <c r="F448" s="19"/>
      <c r="G448" s="6"/>
      <c r="H448" s="6"/>
      <c r="I448" s="6"/>
      <c r="J448" s="6"/>
      <c r="K448" s="6"/>
      <c r="L448" s="6"/>
      <c r="M448" s="6"/>
      <c r="N448" s="6"/>
      <c r="O448" s="6"/>
      <c r="P448" s="6"/>
      <c r="Q448" s="6"/>
      <c r="R448" s="6"/>
      <c r="S448" s="6"/>
      <c r="T448" s="6"/>
      <c r="U448" s="6"/>
      <c r="V448" s="6"/>
      <c r="W448" s="6"/>
      <c r="X448" s="6"/>
      <c r="Y448" s="6"/>
      <c r="Z448" s="6"/>
      <c r="AA448" s="6"/>
      <c r="AB448" s="6"/>
      <c r="AC448" s="6"/>
    </row>
    <row r="449" ht="14.25" customHeight="1">
      <c r="A449" s="28"/>
      <c r="B449" s="28"/>
      <c r="C449" s="29"/>
      <c r="D449" s="30"/>
      <c r="E449" s="28"/>
      <c r="F449" s="19"/>
      <c r="G449" s="6"/>
      <c r="H449" s="6"/>
      <c r="I449" s="6"/>
      <c r="J449" s="6"/>
      <c r="K449" s="6"/>
      <c r="L449" s="6"/>
      <c r="M449" s="6"/>
      <c r="N449" s="6"/>
      <c r="O449" s="6"/>
      <c r="P449" s="6"/>
      <c r="Q449" s="6"/>
      <c r="R449" s="6"/>
      <c r="S449" s="6"/>
      <c r="T449" s="6"/>
      <c r="U449" s="6"/>
      <c r="V449" s="6"/>
      <c r="W449" s="6"/>
      <c r="X449" s="6"/>
      <c r="Y449" s="6"/>
      <c r="Z449" s="6"/>
      <c r="AA449" s="6"/>
      <c r="AB449" s="6"/>
      <c r="AC449" s="6"/>
    </row>
    <row r="450" ht="14.25" customHeight="1">
      <c r="A450" s="28"/>
      <c r="B450" s="28"/>
      <c r="C450" s="29"/>
      <c r="D450" s="30"/>
      <c r="E450" s="28"/>
      <c r="F450" s="19"/>
      <c r="G450" s="6"/>
      <c r="H450" s="6"/>
      <c r="I450" s="6"/>
      <c r="J450" s="6"/>
      <c r="K450" s="6"/>
      <c r="L450" s="6"/>
      <c r="M450" s="6"/>
      <c r="N450" s="6"/>
      <c r="O450" s="6"/>
      <c r="P450" s="6"/>
      <c r="Q450" s="6"/>
      <c r="R450" s="6"/>
      <c r="S450" s="6"/>
      <c r="T450" s="6"/>
      <c r="U450" s="6"/>
      <c r="V450" s="6"/>
      <c r="W450" s="6"/>
      <c r="X450" s="6"/>
      <c r="Y450" s="6"/>
      <c r="Z450" s="6"/>
      <c r="AA450" s="6"/>
      <c r="AB450" s="6"/>
      <c r="AC450" s="6"/>
    </row>
    <row r="451" ht="14.25" customHeight="1">
      <c r="A451" s="28"/>
      <c r="B451" s="28"/>
      <c r="C451" s="29"/>
      <c r="D451" s="30"/>
      <c r="E451" s="28"/>
      <c r="F451" s="19"/>
      <c r="G451" s="6"/>
      <c r="H451" s="6"/>
      <c r="I451" s="6"/>
      <c r="J451" s="6"/>
      <c r="K451" s="6"/>
      <c r="L451" s="6"/>
      <c r="M451" s="6"/>
      <c r="N451" s="6"/>
      <c r="O451" s="6"/>
      <c r="P451" s="6"/>
      <c r="Q451" s="6"/>
      <c r="R451" s="6"/>
      <c r="S451" s="6"/>
      <c r="T451" s="6"/>
      <c r="U451" s="6"/>
      <c r="V451" s="6"/>
      <c r="W451" s="6"/>
      <c r="X451" s="6"/>
      <c r="Y451" s="6"/>
      <c r="Z451" s="6"/>
      <c r="AA451" s="6"/>
      <c r="AB451" s="6"/>
      <c r="AC451" s="6"/>
    </row>
    <row r="452" ht="14.25" customHeight="1">
      <c r="A452" s="28"/>
      <c r="B452" s="28"/>
      <c r="C452" s="29"/>
      <c r="D452" s="30"/>
      <c r="E452" s="28"/>
      <c r="F452" s="19"/>
      <c r="G452" s="6"/>
      <c r="H452" s="6"/>
      <c r="I452" s="6"/>
      <c r="J452" s="6"/>
      <c r="K452" s="6"/>
      <c r="L452" s="6"/>
      <c r="M452" s="6"/>
      <c r="N452" s="6"/>
      <c r="O452" s="6"/>
      <c r="P452" s="6"/>
      <c r="Q452" s="6"/>
      <c r="R452" s="6"/>
      <c r="S452" s="6"/>
      <c r="T452" s="6"/>
      <c r="U452" s="6"/>
      <c r="V452" s="6"/>
      <c r="W452" s="6"/>
      <c r="X452" s="6"/>
      <c r="Y452" s="6"/>
      <c r="Z452" s="6"/>
      <c r="AA452" s="6"/>
      <c r="AB452" s="6"/>
      <c r="AC452" s="6"/>
    </row>
    <row r="453" ht="14.25" customHeight="1">
      <c r="A453" s="28"/>
      <c r="B453" s="28"/>
      <c r="C453" s="29"/>
      <c r="D453" s="30"/>
      <c r="E453" s="28"/>
      <c r="F453" s="19"/>
      <c r="G453" s="6"/>
      <c r="H453" s="6"/>
      <c r="I453" s="6"/>
      <c r="J453" s="6"/>
      <c r="K453" s="6"/>
      <c r="L453" s="6"/>
      <c r="M453" s="6"/>
      <c r="N453" s="6"/>
      <c r="O453" s="6"/>
      <c r="P453" s="6"/>
      <c r="Q453" s="6"/>
      <c r="R453" s="6"/>
      <c r="S453" s="6"/>
      <c r="T453" s="6"/>
      <c r="U453" s="6"/>
      <c r="V453" s="6"/>
      <c r="W453" s="6"/>
      <c r="X453" s="6"/>
      <c r="Y453" s="6"/>
      <c r="Z453" s="6"/>
      <c r="AA453" s="6"/>
      <c r="AB453" s="6"/>
      <c r="AC453" s="6"/>
    </row>
    <row r="454" ht="14.25" customHeight="1">
      <c r="A454" s="28"/>
      <c r="B454" s="28"/>
      <c r="C454" s="29"/>
      <c r="D454" s="30"/>
      <c r="E454" s="28"/>
      <c r="F454" s="19"/>
      <c r="G454" s="6"/>
      <c r="H454" s="6"/>
      <c r="I454" s="6"/>
      <c r="J454" s="6"/>
      <c r="K454" s="6"/>
      <c r="L454" s="6"/>
      <c r="M454" s="6"/>
      <c r="N454" s="6"/>
      <c r="O454" s="6"/>
      <c r="P454" s="6"/>
      <c r="Q454" s="6"/>
      <c r="R454" s="6"/>
      <c r="S454" s="6"/>
      <c r="T454" s="6"/>
      <c r="U454" s="6"/>
      <c r="V454" s="6"/>
      <c r="W454" s="6"/>
      <c r="X454" s="6"/>
      <c r="Y454" s="6"/>
      <c r="Z454" s="6"/>
      <c r="AA454" s="6"/>
      <c r="AB454" s="6"/>
      <c r="AC454" s="6"/>
    </row>
    <row r="455" ht="14.25" customHeight="1">
      <c r="A455" s="28"/>
      <c r="B455" s="28"/>
      <c r="C455" s="29"/>
      <c r="D455" s="30"/>
      <c r="E455" s="28"/>
      <c r="F455" s="19"/>
      <c r="G455" s="6"/>
      <c r="H455" s="6"/>
      <c r="I455" s="6"/>
      <c r="J455" s="6"/>
      <c r="K455" s="6"/>
      <c r="L455" s="6"/>
      <c r="M455" s="6"/>
      <c r="N455" s="6"/>
      <c r="O455" s="6"/>
      <c r="P455" s="6"/>
      <c r="Q455" s="6"/>
      <c r="R455" s="6"/>
      <c r="S455" s="6"/>
      <c r="T455" s="6"/>
      <c r="U455" s="6"/>
      <c r="V455" s="6"/>
      <c r="W455" s="6"/>
      <c r="X455" s="6"/>
      <c r="Y455" s="6"/>
      <c r="Z455" s="6"/>
      <c r="AA455" s="6"/>
      <c r="AB455" s="6"/>
      <c r="AC455" s="6"/>
    </row>
    <row r="456" ht="14.25" customHeight="1">
      <c r="A456" s="28"/>
      <c r="B456" s="28"/>
      <c r="C456" s="29"/>
      <c r="D456" s="30"/>
      <c r="E456" s="28"/>
      <c r="F456" s="19"/>
      <c r="G456" s="6"/>
      <c r="H456" s="6"/>
      <c r="I456" s="6"/>
      <c r="J456" s="6"/>
      <c r="K456" s="6"/>
      <c r="L456" s="6"/>
      <c r="M456" s="6"/>
      <c r="N456" s="6"/>
      <c r="O456" s="6"/>
      <c r="P456" s="6"/>
      <c r="Q456" s="6"/>
      <c r="R456" s="6"/>
      <c r="S456" s="6"/>
      <c r="T456" s="6"/>
      <c r="U456" s="6"/>
      <c r="V456" s="6"/>
      <c r="W456" s="6"/>
      <c r="X456" s="6"/>
      <c r="Y456" s="6"/>
      <c r="Z456" s="6"/>
      <c r="AA456" s="6"/>
      <c r="AB456" s="6"/>
      <c r="AC456" s="6"/>
    </row>
    <row r="457" ht="14.25" customHeight="1">
      <c r="A457" s="28"/>
      <c r="B457" s="28"/>
      <c r="C457" s="29"/>
      <c r="D457" s="30"/>
      <c r="E457" s="28"/>
      <c r="F457" s="19"/>
      <c r="G457" s="6"/>
      <c r="H457" s="6"/>
      <c r="I457" s="6"/>
      <c r="J457" s="6"/>
      <c r="K457" s="6"/>
      <c r="L457" s="6"/>
      <c r="M457" s="6"/>
      <c r="N457" s="6"/>
      <c r="O457" s="6"/>
      <c r="P457" s="6"/>
      <c r="Q457" s="6"/>
      <c r="R457" s="6"/>
      <c r="S457" s="6"/>
      <c r="T457" s="6"/>
      <c r="U457" s="6"/>
      <c r="V457" s="6"/>
      <c r="W457" s="6"/>
      <c r="X457" s="6"/>
      <c r="Y457" s="6"/>
      <c r="Z457" s="6"/>
      <c r="AA457" s="6"/>
      <c r="AB457" s="6"/>
      <c r="AC457" s="6"/>
    </row>
    <row r="458" ht="14.25" customHeight="1">
      <c r="A458" s="28"/>
      <c r="B458" s="28"/>
      <c r="C458" s="29"/>
      <c r="D458" s="30"/>
      <c r="E458" s="28"/>
      <c r="F458" s="19"/>
      <c r="G458" s="6"/>
      <c r="H458" s="6"/>
      <c r="I458" s="6"/>
      <c r="J458" s="6"/>
      <c r="K458" s="6"/>
      <c r="L458" s="6"/>
      <c r="M458" s="6"/>
      <c r="N458" s="6"/>
      <c r="O458" s="6"/>
      <c r="P458" s="6"/>
      <c r="Q458" s="6"/>
      <c r="R458" s="6"/>
      <c r="S458" s="6"/>
      <c r="T458" s="6"/>
      <c r="U458" s="6"/>
      <c r="V458" s="6"/>
      <c r="W458" s="6"/>
      <c r="X458" s="6"/>
      <c r="Y458" s="6"/>
      <c r="Z458" s="6"/>
      <c r="AA458" s="6"/>
      <c r="AB458" s="6"/>
      <c r="AC458" s="6"/>
    </row>
    <row r="459" ht="14.25" customHeight="1">
      <c r="A459" s="28"/>
      <c r="B459" s="28"/>
      <c r="C459" s="29"/>
      <c r="D459" s="30"/>
      <c r="E459" s="28"/>
      <c r="F459" s="19"/>
      <c r="G459" s="6"/>
      <c r="H459" s="6"/>
      <c r="I459" s="6"/>
      <c r="J459" s="6"/>
      <c r="K459" s="6"/>
      <c r="L459" s="6"/>
      <c r="M459" s="6"/>
      <c r="N459" s="6"/>
      <c r="O459" s="6"/>
      <c r="P459" s="6"/>
      <c r="Q459" s="6"/>
      <c r="R459" s="6"/>
      <c r="S459" s="6"/>
      <c r="T459" s="6"/>
      <c r="U459" s="6"/>
      <c r="V459" s="6"/>
      <c r="W459" s="6"/>
      <c r="X459" s="6"/>
      <c r="Y459" s="6"/>
      <c r="Z459" s="6"/>
      <c r="AA459" s="6"/>
      <c r="AB459" s="6"/>
      <c r="AC459" s="6"/>
    </row>
    <row r="460" ht="14.25" customHeight="1">
      <c r="A460" s="28"/>
      <c r="B460" s="28"/>
      <c r="C460" s="29"/>
      <c r="D460" s="30"/>
      <c r="E460" s="28"/>
      <c r="F460" s="19"/>
      <c r="G460" s="6"/>
      <c r="H460" s="6"/>
      <c r="I460" s="6"/>
      <c r="J460" s="6"/>
      <c r="K460" s="6"/>
      <c r="L460" s="6"/>
      <c r="M460" s="6"/>
      <c r="N460" s="6"/>
      <c r="O460" s="6"/>
      <c r="P460" s="6"/>
      <c r="Q460" s="6"/>
      <c r="R460" s="6"/>
      <c r="S460" s="6"/>
      <c r="T460" s="6"/>
      <c r="U460" s="6"/>
      <c r="V460" s="6"/>
      <c r="W460" s="6"/>
      <c r="X460" s="6"/>
      <c r="Y460" s="6"/>
      <c r="Z460" s="6"/>
      <c r="AA460" s="6"/>
      <c r="AB460" s="6"/>
      <c r="AC460" s="6"/>
    </row>
    <row r="461" ht="14.25" customHeight="1">
      <c r="A461" s="28"/>
      <c r="B461" s="28"/>
      <c r="C461" s="29"/>
      <c r="D461" s="30"/>
      <c r="E461" s="28"/>
      <c r="F461" s="19"/>
      <c r="G461" s="6"/>
      <c r="H461" s="6"/>
      <c r="I461" s="6"/>
      <c r="J461" s="6"/>
      <c r="K461" s="6"/>
      <c r="L461" s="6"/>
      <c r="M461" s="6"/>
      <c r="N461" s="6"/>
      <c r="O461" s="6"/>
      <c r="P461" s="6"/>
      <c r="Q461" s="6"/>
      <c r="R461" s="6"/>
      <c r="S461" s="6"/>
      <c r="T461" s="6"/>
      <c r="U461" s="6"/>
      <c r="V461" s="6"/>
      <c r="W461" s="6"/>
      <c r="X461" s="6"/>
      <c r="Y461" s="6"/>
      <c r="Z461" s="6"/>
      <c r="AA461" s="6"/>
      <c r="AB461" s="6"/>
      <c r="AC461" s="6"/>
    </row>
    <row r="462" ht="14.25" customHeight="1">
      <c r="A462" s="28"/>
      <c r="B462" s="28"/>
      <c r="C462" s="29"/>
      <c r="D462" s="30"/>
      <c r="E462" s="28"/>
      <c r="F462" s="19"/>
      <c r="G462" s="6"/>
      <c r="H462" s="6"/>
      <c r="I462" s="6"/>
      <c r="J462" s="6"/>
      <c r="K462" s="6"/>
      <c r="L462" s="6"/>
      <c r="M462" s="6"/>
      <c r="N462" s="6"/>
      <c r="O462" s="6"/>
      <c r="P462" s="6"/>
      <c r="Q462" s="6"/>
      <c r="R462" s="6"/>
      <c r="S462" s="6"/>
      <c r="T462" s="6"/>
      <c r="U462" s="6"/>
      <c r="V462" s="6"/>
      <c r="W462" s="6"/>
      <c r="X462" s="6"/>
      <c r="Y462" s="6"/>
      <c r="Z462" s="6"/>
      <c r="AA462" s="6"/>
      <c r="AB462" s="6"/>
      <c r="AC462" s="6"/>
    </row>
    <row r="463" ht="14.25" customHeight="1">
      <c r="A463" s="28"/>
      <c r="B463" s="28"/>
      <c r="C463" s="29"/>
      <c r="D463" s="30"/>
      <c r="E463" s="28"/>
      <c r="F463" s="19"/>
      <c r="G463" s="6"/>
      <c r="H463" s="6"/>
      <c r="I463" s="6"/>
      <c r="J463" s="6"/>
      <c r="K463" s="6"/>
      <c r="L463" s="6"/>
      <c r="M463" s="6"/>
      <c r="N463" s="6"/>
      <c r="O463" s="6"/>
      <c r="P463" s="6"/>
      <c r="Q463" s="6"/>
      <c r="R463" s="6"/>
      <c r="S463" s="6"/>
      <c r="T463" s="6"/>
      <c r="U463" s="6"/>
      <c r="V463" s="6"/>
      <c r="W463" s="6"/>
      <c r="X463" s="6"/>
      <c r="Y463" s="6"/>
      <c r="Z463" s="6"/>
      <c r="AA463" s="6"/>
      <c r="AB463" s="6"/>
      <c r="AC463" s="6"/>
    </row>
    <row r="464" ht="14.25" customHeight="1">
      <c r="A464" s="28"/>
      <c r="B464" s="28"/>
      <c r="C464" s="29"/>
      <c r="D464" s="30"/>
      <c r="E464" s="28"/>
      <c r="F464" s="19"/>
      <c r="G464" s="6"/>
      <c r="H464" s="6"/>
      <c r="I464" s="6"/>
      <c r="J464" s="6"/>
      <c r="K464" s="6"/>
      <c r="L464" s="6"/>
      <c r="M464" s="6"/>
      <c r="N464" s="6"/>
      <c r="O464" s="6"/>
      <c r="P464" s="6"/>
      <c r="Q464" s="6"/>
      <c r="R464" s="6"/>
      <c r="S464" s="6"/>
      <c r="T464" s="6"/>
      <c r="U464" s="6"/>
      <c r="V464" s="6"/>
      <c r="W464" s="6"/>
      <c r="X464" s="6"/>
      <c r="Y464" s="6"/>
      <c r="Z464" s="6"/>
      <c r="AA464" s="6"/>
      <c r="AB464" s="6"/>
      <c r="AC464" s="6"/>
    </row>
    <row r="465" ht="14.25" customHeight="1">
      <c r="A465" s="28"/>
      <c r="B465" s="28"/>
      <c r="C465" s="29"/>
      <c r="D465" s="30"/>
      <c r="E465" s="28"/>
      <c r="F465" s="19"/>
      <c r="G465" s="6"/>
      <c r="H465" s="6"/>
      <c r="I465" s="6"/>
      <c r="J465" s="6"/>
      <c r="K465" s="6"/>
      <c r="L465" s="6"/>
      <c r="M465" s="6"/>
      <c r="N465" s="6"/>
      <c r="O465" s="6"/>
      <c r="P465" s="6"/>
      <c r="Q465" s="6"/>
      <c r="R465" s="6"/>
      <c r="S465" s="6"/>
      <c r="T465" s="6"/>
      <c r="U465" s="6"/>
      <c r="V465" s="6"/>
      <c r="W465" s="6"/>
      <c r="X465" s="6"/>
      <c r="Y465" s="6"/>
      <c r="Z465" s="6"/>
      <c r="AA465" s="6"/>
      <c r="AB465" s="6"/>
      <c r="AC465" s="6"/>
    </row>
    <row r="466" ht="14.25" customHeight="1">
      <c r="A466" s="28"/>
      <c r="B466" s="28"/>
      <c r="C466" s="29"/>
      <c r="D466" s="30"/>
      <c r="E466" s="28"/>
      <c r="F466" s="19"/>
      <c r="G466" s="6"/>
      <c r="H466" s="6"/>
      <c r="I466" s="6"/>
      <c r="J466" s="6"/>
      <c r="K466" s="6"/>
      <c r="L466" s="6"/>
      <c r="M466" s="6"/>
      <c r="N466" s="6"/>
      <c r="O466" s="6"/>
      <c r="P466" s="6"/>
      <c r="Q466" s="6"/>
      <c r="R466" s="6"/>
      <c r="S466" s="6"/>
      <c r="T466" s="6"/>
      <c r="U466" s="6"/>
      <c r="V466" s="6"/>
      <c r="W466" s="6"/>
      <c r="X466" s="6"/>
      <c r="Y466" s="6"/>
      <c r="Z466" s="6"/>
      <c r="AA466" s="6"/>
      <c r="AB466" s="6"/>
      <c r="AC466" s="6"/>
    </row>
    <row r="467" ht="14.25" customHeight="1">
      <c r="A467" s="28"/>
      <c r="B467" s="28"/>
      <c r="C467" s="29"/>
      <c r="D467" s="30"/>
      <c r="E467" s="28"/>
      <c r="F467" s="19"/>
      <c r="G467" s="6"/>
      <c r="H467" s="6"/>
      <c r="I467" s="6"/>
      <c r="J467" s="6"/>
      <c r="K467" s="6"/>
      <c r="L467" s="6"/>
      <c r="M467" s="6"/>
      <c r="N467" s="6"/>
      <c r="O467" s="6"/>
      <c r="P467" s="6"/>
      <c r="Q467" s="6"/>
      <c r="R467" s="6"/>
      <c r="S467" s="6"/>
      <c r="T467" s="6"/>
      <c r="U467" s="6"/>
      <c r="V467" s="6"/>
      <c r="W467" s="6"/>
      <c r="X467" s="6"/>
      <c r="Y467" s="6"/>
      <c r="Z467" s="6"/>
      <c r="AA467" s="6"/>
      <c r="AB467" s="6"/>
      <c r="AC467" s="6"/>
    </row>
    <row r="468" ht="14.25" customHeight="1">
      <c r="A468" s="28"/>
      <c r="B468" s="28"/>
      <c r="C468" s="29"/>
      <c r="D468" s="30"/>
      <c r="E468" s="28"/>
      <c r="F468" s="19"/>
      <c r="G468" s="6"/>
      <c r="H468" s="6"/>
      <c r="I468" s="6"/>
      <c r="J468" s="6"/>
      <c r="K468" s="6"/>
      <c r="L468" s="6"/>
      <c r="M468" s="6"/>
      <c r="N468" s="6"/>
      <c r="O468" s="6"/>
      <c r="P468" s="6"/>
      <c r="Q468" s="6"/>
      <c r="R468" s="6"/>
      <c r="S468" s="6"/>
      <c r="T468" s="6"/>
      <c r="U468" s="6"/>
      <c r="V468" s="6"/>
      <c r="W468" s="6"/>
      <c r="X468" s="6"/>
      <c r="Y468" s="6"/>
      <c r="Z468" s="6"/>
      <c r="AA468" s="6"/>
      <c r="AB468" s="6"/>
      <c r="AC468" s="6"/>
    </row>
    <row r="469" ht="14.25" customHeight="1">
      <c r="A469" s="28"/>
      <c r="B469" s="28"/>
      <c r="C469" s="29"/>
      <c r="D469" s="30"/>
      <c r="E469" s="28"/>
      <c r="F469" s="19"/>
      <c r="G469" s="6"/>
      <c r="H469" s="6"/>
      <c r="I469" s="6"/>
      <c r="J469" s="6"/>
      <c r="K469" s="6"/>
      <c r="L469" s="6"/>
      <c r="M469" s="6"/>
      <c r="N469" s="6"/>
      <c r="O469" s="6"/>
      <c r="P469" s="6"/>
      <c r="Q469" s="6"/>
      <c r="R469" s="6"/>
      <c r="S469" s="6"/>
      <c r="T469" s="6"/>
      <c r="U469" s="6"/>
      <c r="V469" s="6"/>
      <c r="W469" s="6"/>
      <c r="X469" s="6"/>
      <c r="Y469" s="6"/>
      <c r="Z469" s="6"/>
      <c r="AA469" s="6"/>
      <c r="AB469" s="6"/>
      <c r="AC469" s="6"/>
    </row>
    <row r="470" ht="14.25" customHeight="1">
      <c r="A470" s="28"/>
      <c r="B470" s="28"/>
      <c r="C470" s="29"/>
      <c r="D470" s="30"/>
      <c r="E470" s="28"/>
      <c r="F470" s="19"/>
      <c r="G470" s="6"/>
      <c r="H470" s="6"/>
      <c r="I470" s="6"/>
      <c r="J470" s="6"/>
      <c r="K470" s="6"/>
      <c r="L470" s="6"/>
      <c r="M470" s="6"/>
      <c r="N470" s="6"/>
      <c r="O470" s="6"/>
      <c r="P470" s="6"/>
      <c r="Q470" s="6"/>
      <c r="R470" s="6"/>
      <c r="S470" s="6"/>
      <c r="T470" s="6"/>
      <c r="U470" s="6"/>
      <c r="V470" s="6"/>
      <c r="W470" s="6"/>
      <c r="X470" s="6"/>
      <c r="Y470" s="6"/>
      <c r="Z470" s="6"/>
      <c r="AA470" s="6"/>
      <c r="AB470" s="6"/>
      <c r="AC470" s="6"/>
    </row>
    <row r="471" ht="14.25" customHeight="1">
      <c r="A471" s="28"/>
      <c r="B471" s="28"/>
      <c r="C471" s="29"/>
      <c r="D471" s="30"/>
      <c r="E471" s="28"/>
      <c r="F471" s="19"/>
      <c r="G471" s="6"/>
      <c r="H471" s="6"/>
      <c r="I471" s="6"/>
      <c r="J471" s="6"/>
      <c r="K471" s="6"/>
      <c r="L471" s="6"/>
      <c r="M471" s="6"/>
      <c r="N471" s="6"/>
      <c r="O471" s="6"/>
      <c r="P471" s="6"/>
      <c r="Q471" s="6"/>
      <c r="R471" s="6"/>
      <c r="S471" s="6"/>
      <c r="T471" s="6"/>
      <c r="U471" s="6"/>
      <c r="V471" s="6"/>
      <c r="W471" s="6"/>
      <c r="X471" s="6"/>
      <c r="Y471" s="6"/>
      <c r="Z471" s="6"/>
      <c r="AA471" s="6"/>
      <c r="AB471" s="6"/>
      <c r="AC471" s="6"/>
    </row>
    <row r="472" ht="14.25" customHeight="1">
      <c r="A472" s="28"/>
      <c r="B472" s="28"/>
      <c r="C472" s="29"/>
      <c r="D472" s="30"/>
      <c r="E472" s="28"/>
      <c r="F472" s="19"/>
      <c r="G472" s="6"/>
      <c r="H472" s="6"/>
      <c r="I472" s="6"/>
      <c r="J472" s="6"/>
      <c r="K472" s="6"/>
      <c r="L472" s="6"/>
      <c r="M472" s="6"/>
      <c r="N472" s="6"/>
      <c r="O472" s="6"/>
      <c r="P472" s="6"/>
      <c r="Q472" s="6"/>
      <c r="R472" s="6"/>
      <c r="S472" s="6"/>
      <c r="T472" s="6"/>
      <c r="U472" s="6"/>
      <c r="V472" s="6"/>
      <c r="W472" s="6"/>
      <c r="X472" s="6"/>
      <c r="Y472" s="6"/>
      <c r="Z472" s="6"/>
      <c r="AA472" s="6"/>
      <c r="AB472" s="6"/>
      <c r="AC472" s="6"/>
    </row>
    <row r="473" ht="14.25" customHeight="1">
      <c r="A473" s="28"/>
      <c r="B473" s="28"/>
      <c r="C473" s="29"/>
      <c r="D473" s="30"/>
      <c r="E473" s="28"/>
      <c r="F473" s="19"/>
      <c r="G473" s="6"/>
      <c r="H473" s="6"/>
      <c r="I473" s="6"/>
      <c r="J473" s="6"/>
      <c r="K473" s="6"/>
      <c r="L473" s="6"/>
      <c r="M473" s="6"/>
      <c r="N473" s="6"/>
      <c r="O473" s="6"/>
      <c r="P473" s="6"/>
      <c r="Q473" s="6"/>
      <c r="R473" s="6"/>
      <c r="S473" s="6"/>
      <c r="T473" s="6"/>
      <c r="U473" s="6"/>
      <c r="V473" s="6"/>
      <c r="W473" s="6"/>
      <c r="X473" s="6"/>
      <c r="Y473" s="6"/>
      <c r="Z473" s="6"/>
      <c r="AA473" s="6"/>
      <c r="AB473" s="6"/>
      <c r="AC473" s="6"/>
    </row>
    <row r="474" ht="14.25" customHeight="1">
      <c r="A474" s="28"/>
      <c r="B474" s="28"/>
      <c r="C474" s="29"/>
      <c r="D474" s="30"/>
      <c r="E474" s="28"/>
      <c r="F474" s="19"/>
      <c r="G474" s="6"/>
      <c r="H474" s="6"/>
      <c r="I474" s="6"/>
      <c r="J474" s="6"/>
      <c r="K474" s="6"/>
      <c r="L474" s="6"/>
      <c r="M474" s="6"/>
      <c r="N474" s="6"/>
      <c r="O474" s="6"/>
      <c r="P474" s="6"/>
      <c r="Q474" s="6"/>
      <c r="R474" s="6"/>
      <c r="S474" s="6"/>
      <c r="T474" s="6"/>
      <c r="U474" s="6"/>
      <c r="V474" s="6"/>
      <c r="W474" s="6"/>
      <c r="X474" s="6"/>
      <c r="Y474" s="6"/>
      <c r="Z474" s="6"/>
      <c r="AA474" s="6"/>
      <c r="AB474" s="6"/>
      <c r="AC474" s="6"/>
    </row>
    <row r="475" ht="14.25" customHeight="1">
      <c r="A475" s="28"/>
      <c r="B475" s="28"/>
      <c r="C475" s="29"/>
      <c r="D475" s="30"/>
      <c r="E475" s="28"/>
      <c r="F475" s="19"/>
      <c r="G475" s="6"/>
      <c r="H475" s="6"/>
      <c r="I475" s="6"/>
      <c r="J475" s="6"/>
      <c r="K475" s="6"/>
      <c r="L475" s="6"/>
      <c r="M475" s="6"/>
      <c r="N475" s="6"/>
      <c r="O475" s="6"/>
      <c r="P475" s="6"/>
      <c r="Q475" s="6"/>
      <c r="R475" s="6"/>
      <c r="S475" s="6"/>
      <c r="T475" s="6"/>
      <c r="U475" s="6"/>
      <c r="V475" s="6"/>
      <c r="W475" s="6"/>
      <c r="X475" s="6"/>
      <c r="Y475" s="6"/>
      <c r="Z475" s="6"/>
      <c r="AA475" s="6"/>
      <c r="AB475" s="6"/>
      <c r="AC475" s="6"/>
    </row>
    <row r="476" ht="14.25" customHeight="1">
      <c r="A476" s="28"/>
      <c r="B476" s="28"/>
      <c r="C476" s="29"/>
      <c r="D476" s="30"/>
      <c r="E476" s="28"/>
      <c r="F476" s="19"/>
      <c r="G476" s="6"/>
      <c r="H476" s="6"/>
      <c r="I476" s="6"/>
      <c r="J476" s="6"/>
      <c r="K476" s="6"/>
      <c r="L476" s="6"/>
      <c r="M476" s="6"/>
      <c r="N476" s="6"/>
      <c r="O476" s="6"/>
      <c r="P476" s="6"/>
      <c r="Q476" s="6"/>
      <c r="R476" s="6"/>
      <c r="S476" s="6"/>
      <c r="T476" s="6"/>
      <c r="U476" s="6"/>
      <c r="V476" s="6"/>
      <c r="W476" s="6"/>
      <c r="X476" s="6"/>
      <c r="Y476" s="6"/>
      <c r="Z476" s="6"/>
      <c r="AA476" s="6"/>
      <c r="AB476" s="6"/>
      <c r="AC476" s="6"/>
    </row>
    <row r="477" ht="14.25" customHeight="1">
      <c r="A477" s="28"/>
      <c r="B477" s="28"/>
      <c r="C477" s="29"/>
      <c r="D477" s="30"/>
      <c r="E477" s="28"/>
      <c r="F477" s="19"/>
      <c r="G477" s="6"/>
      <c r="H477" s="6"/>
      <c r="I477" s="6"/>
      <c r="J477" s="6"/>
      <c r="K477" s="6"/>
      <c r="L477" s="6"/>
      <c r="M477" s="6"/>
      <c r="N477" s="6"/>
      <c r="O477" s="6"/>
      <c r="P477" s="6"/>
      <c r="Q477" s="6"/>
      <c r="R477" s="6"/>
      <c r="S477" s="6"/>
      <c r="T477" s="6"/>
      <c r="U477" s="6"/>
      <c r="V477" s="6"/>
      <c r="W477" s="6"/>
      <c r="X477" s="6"/>
      <c r="Y477" s="6"/>
      <c r="Z477" s="6"/>
      <c r="AA477" s="6"/>
      <c r="AB477" s="6"/>
      <c r="AC477" s="6"/>
    </row>
    <row r="478" ht="14.25" customHeight="1">
      <c r="A478" s="28"/>
      <c r="B478" s="28"/>
      <c r="C478" s="29"/>
      <c r="D478" s="30"/>
      <c r="E478" s="28"/>
      <c r="F478" s="19"/>
      <c r="G478" s="6"/>
      <c r="H478" s="6"/>
      <c r="I478" s="6"/>
      <c r="J478" s="6"/>
      <c r="K478" s="6"/>
      <c r="L478" s="6"/>
      <c r="M478" s="6"/>
      <c r="N478" s="6"/>
      <c r="O478" s="6"/>
      <c r="P478" s="6"/>
      <c r="Q478" s="6"/>
      <c r="R478" s="6"/>
      <c r="S478" s="6"/>
      <c r="T478" s="6"/>
      <c r="U478" s="6"/>
      <c r="V478" s="6"/>
      <c r="W478" s="6"/>
      <c r="X478" s="6"/>
      <c r="Y478" s="6"/>
      <c r="Z478" s="6"/>
      <c r="AA478" s="6"/>
      <c r="AB478" s="6"/>
      <c r="AC478" s="6"/>
    </row>
    <row r="479" ht="14.25" customHeight="1">
      <c r="A479" s="28"/>
      <c r="B479" s="28"/>
      <c r="C479" s="29"/>
      <c r="D479" s="30"/>
      <c r="E479" s="28"/>
      <c r="F479" s="19"/>
      <c r="G479" s="6"/>
      <c r="H479" s="6"/>
      <c r="I479" s="6"/>
      <c r="J479" s="6"/>
      <c r="K479" s="6"/>
      <c r="L479" s="6"/>
      <c r="M479" s="6"/>
      <c r="N479" s="6"/>
      <c r="O479" s="6"/>
      <c r="P479" s="6"/>
      <c r="Q479" s="6"/>
      <c r="R479" s="6"/>
      <c r="S479" s="6"/>
      <c r="T479" s="6"/>
      <c r="U479" s="6"/>
      <c r="V479" s="6"/>
      <c r="W479" s="6"/>
      <c r="X479" s="6"/>
      <c r="Y479" s="6"/>
      <c r="Z479" s="6"/>
      <c r="AA479" s="6"/>
      <c r="AB479" s="6"/>
      <c r="AC479" s="6"/>
    </row>
    <row r="480" ht="14.25" customHeight="1">
      <c r="A480" s="28"/>
      <c r="B480" s="28"/>
      <c r="C480" s="29"/>
      <c r="D480" s="30"/>
      <c r="E480" s="28"/>
      <c r="F480" s="19"/>
      <c r="G480" s="6"/>
      <c r="H480" s="6"/>
      <c r="I480" s="6"/>
      <c r="J480" s="6"/>
      <c r="K480" s="6"/>
      <c r="L480" s="6"/>
      <c r="M480" s="6"/>
      <c r="N480" s="6"/>
      <c r="O480" s="6"/>
      <c r="P480" s="6"/>
      <c r="Q480" s="6"/>
      <c r="R480" s="6"/>
      <c r="S480" s="6"/>
      <c r="T480" s="6"/>
      <c r="U480" s="6"/>
      <c r="V480" s="6"/>
      <c r="W480" s="6"/>
      <c r="X480" s="6"/>
      <c r="Y480" s="6"/>
      <c r="Z480" s="6"/>
      <c r="AA480" s="6"/>
      <c r="AB480" s="6"/>
      <c r="AC480" s="6"/>
    </row>
    <row r="481" ht="14.25" customHeight="1">
      <c r="A481" s="28"/>
      <c r="B481" s="28"/>
      <c r="C481" s="29"/>
      <c r="D481" s="30"/>
      <c r="E481" s="28"/>
      <c r="F481" s="19"/>
      <c r="G481" s="6"/>
      <c r="H481" s="6"/>
      <c r="I481" s="6"/>
      <c r="J481" s="6"/>
      <c r="K481" s="6"/>
      <c r="L481" s="6"/>
      <c r="M481" s="6"/>
      <c r="N481" s="6"/>
      <c r="O481" s="6"/>
      <c r="P481" s="6"/>
      <c r="Q481" s="6"/>
      <c r="R481" s="6"/>
      <c r="S481" s="6"/>
      <c r="T481" s="6"/>
      <c r="U481" s="6"/>
      <c r="V481" s="6"/>
      <c r="W481" s="6"/>
      <c r="X481" s="6"/>
      <c r="Y481" s="6"/>
      <c r="Z481" s="6"/>
      <c r="AA481" s="6"/>
      <c r="AB481" s="6"/>
      <c r="AC481" s="6"/>
    </row>
    <row r="482" ht="14.25" customHeight="1">
      <c r="A482" s="28"/>
      <c r="B482" s="28"/>
      <c r="C482" s="29"/>
      <c r="D482" s="30"/>
      <c r="E482" s="28"/>
      <c r="F482" s="19"/>
      <c r="G482" s="6"/>
      <c r="H482" s="6"/>
      <c r="I482" s="6"/>
      <c r="J482" s="6"/>
      <c r="K482" s="6"/>
      <c r="L482" s="6"/>
      <c r="M482" s="6"/>
      <c r="N482" s="6"/>
      <c r="O482" s="6"/>
      <c r="P482" s="6"/>
      <c r="Q482" s="6"/>
      <c r="R482" s="6"/>
      <c r="S482" s="6"/>
      <c r="T482" s="6"/>
      <c r="U482" s="6"/>
      <c r="V482" s="6"/>
      <c r="W482" s="6"/>
      <c r="X482" s="6"/>
      <c r="Y482" s="6"/>
      <c r="Z482" s="6"/>
      <c r="AA482" s="6"/>
      <c r="AB482" s="6"/>
      <c r="AC482" s="6"/>
    </row>
    <row r="483" ht="14.25" customHeight="1">
      <c r="A483" s="28"/>
      <c r="B483" s="28"/>
      <c r="C483" s="29"/>
      <c r="D483" s="30"/>
      <c r="E483" s="28"/>
      <c r="F483" s="19"/>
      <c r="G483" s="6"/>
      <c r="H483" s="6"/>
      <c r="I483" s="6"/>
      <c r="J483" s="6"/>
      <c r="K483" s="6"/>
      <c r="L483" s="6"/>
      <c r="M483" s="6"/>
      <c r="N483" s="6"/>
      <c r="O483" s="6"/>
      <c r="P483" s="6"/>
      <c r="Q483" s="6"/>
      <c r="R483" s="6"/>
      <c r="S483" s="6"/>
      <c r="T483" s="6"/>
      <c r="U483" s="6"/>
      <c r="V483" s="6"/>
      <c r="W483" s="6"/>
      <c r="X483" s="6"/>
      <c r="Y483" s="6"/>
      <c r="Z483" s="6"/>
      <c r="AA483" s="6"/>
      <c r="AB483" s="6"/>
      <c r="AC483" s="6"/>
    </row>
    <row r="484" ht="14.25" customHeight="1">
      <c r="A484" s="28"/>
      <c r="B484" s="28"/>
      <c r="C484" s="29"/>
      <c r="D484" s="30"/>
      <c r="E484" s="28"/>
      <c r="F484" s="19"/>
      <c r="G484" s="6"/>
      <c r="H484" s="6"/>
      <c r="I484" s="6"/>
      <c r="J484" s="6"/>
      <c r="K484" s="6"/>
      <c r="L484" s="6"/>
      <c r="M484" s="6"/>
      <c r="N484" s="6"/>
      <c r="O484" s="6"/>
      <c r="P484" s="6"/>
      <c r="Q484" s="6"/>
      <c r="R484" s="6"/>
      <c r="S484" s="6"/>
      <c r="T484" s="6"/>
      <c r="U484" s="6"/>
      <c r="V484" s="6"/>
      <c r="W484" s="6"/>
      <c r="X484" s="6"/>
      <c r="Y484" s="6"/>
      <c r="Z484" s="6"/>
      <c r="AA484" s="6"/>
      <c r="AB484" s="6"/>
      <c r="AC484" s="6"/>
    </row>
    <row r="485" ht="14.25" customHeight="1">
      <c r="A485" s="28"/>
      <c r="B485" s="28"/>
      <c r="C485" s="29"/>
      <c r="D485" s="30"/>
      <c r="E485" s="28"/>
      <c r="F485" s="19"/>
      <c r="G485" s="6"/>
      <c r="H485" s="6"/>
      <c r="I485" s="6"/>
      <c r="J485" s="6"/>
      <c r="K485" s="6"/>
      <c r="L485" s="6"/>
      <c r="M485" s="6"/>
      <c r="N485" s="6"/>
      <c r="O485" s="6"/>
      <c r="P485" s="6"/>
      <c r="Q485" s="6"/>
      <c r="R485" s="6"/>
      <c r="S485" s="6"/>
      <c r="T485" s="6"/>
      <c r="U485" s="6"/>
      <c r="V485" s="6"/>
      <c r="W485" s="6"/>
      <c r="X485" s="6"/>
      <c r="Y485" s="6"/>
      <c r="Z485" s="6"/>
      <c r="AA485" s="6"/>
      <c r="AB485" s="6"/>
      <c r="AC485" s="6"/>
    </row>
    <row r="486" ht="14.25" customHeight="1">
      <c r="A486" s="28"/>
      <c r="B486" s="28"/>
      <c r="C486" s="29"/>
      <c r="D486" s="30"/>
      <c r="E486" s="28"/>
      <c r="F486" s="19"/>
      <c r="G486" s="6"/>
      <c r="H486" s="6"/>
      <c r="I486" s="6"/>
      <c r="J486" s="6"/>
      <c r="K486" s="6"/>
      <c r="L486" s="6"/>
      <c r="M486" s="6"/>
      <c r="N486" s="6"/>
      <c r="O486" s="6"/>
      <c r="P486" s="6"/>
      <c r="Q486" s="6"/>
      <c r="R486" s="6"/>
      <c r="S486" s="6"/>
      <c r="T486" s="6"/>
      <c r="U486" s="6"/>
      <c r="V486" s="6"/>
      <c r="W486" s="6"/>
      <c r="X486" s="6"/>
      <c r="Y486" s="6"/>
      <c r="Z486" s="6"/>
      <c r="AA486" s="6"/>
      <c r="AB486" s="6"/>
      <c r="AC486" s="6"/>
    </row>
    <row r="487" ht="14.25" customHeight="1">
      <c r="A487" s="28"/>
      <c r="B487" s="28"/>
      <c r="C487" s="29"/>
      <c r="D487" s="30"/>
      <c r="E487" s="28"/>
      <c r="F487" s="19"/>
      <c r="G487" s="6"/>
      <c r="H487" s="6"/>
      <c r="I487" s="6"/>
      <c r="J487" s="6"/>
      <c r="K487" s="6"/>
      <c r="L487" s="6"/>
      <c r="M487" s="6"/>
      <c r="N487" s="6"/>
      <c r="O487" s="6"/>
      <c r="P487" s="6"/>
      <c r="Q487" s="6"/>
      <c r="R487" s="6"/>
      <c r="S487" s="6"/>
      <c r="T487" s="6"/>
      <c r="U487" s="6"/>
      <c r="V487" s="6"/>
      <c r="W487" s="6"/>
      <c r="X487" s="6"/>
      <c r="Y487" s="6"/>
      <c r="Z487" s="6"/>
      <c r="AA487" s="6"/>
      <c r="AB487" s="6"/>
      <c r="AC487" s="6"/>
    </row>
    <row r="488" ht="14.25" customHeight="1">
      <c r="A488" s="28"/>
      <c r="B488" s="28"/>
      <c r="C488" s="29"/>
      <c r="D488" s="30"/>
      <c r="E488" s="28"/>
      <c r="F488" s="19"/>
      <c r="G488" s="6"/>
      <c r="H488" s="6"/>
      <c r="I488" s="6"/>
      <c r="J488" s="6"/>
      <c r="K488" s="6"/>
      <c r="L488" s="6"/>
      <c r="M488" s="6"/>
      <c r="N488" s="6"/>
      <c r="O488" s="6"/>
      <c r="P488" s="6"/>
      <c r="Q488" s="6"/>
      <c r="R488" s="6"/>
      <c r="S488" s="6"/>
      <c r="T488" s="6"/>
      <c r="U488" s="6"/>
      <c r="V488" s="6"/>
      <c r="W488" s="6"/>
      <c r="X488" s="6"/>
      <c r="Y488" s="6"/>
      <c r="Z488" s="6"/>
      <c r="AA488" s="6"/>
      <c r="AB488" s="6"/>
      <c r="AC488" s="6"/>
    </row>
    <row r="489" ht="14.25" customHeight="1">
      <c r="A489" s="28"/>
      <c r="B489" s="28"/>
      <c r="C489" s="29"/>
      <c r="D489" s="30"/>
      <c r="E489" s="28"/>
      <c r="F489" s="19"/>
      <c r="G489" s="6"/>
      <c r="H489" s="6"/>
      <c r="I489" s="6"/>
      <c r="J489" s="6"/>
      <c r="K489" s="6"/>
      <c r="L489" s="6"/>
      <c r="M489" s="6"/>
      <c r="N489" s="6"/>
      <c r="O489" s="6"/>
      <c r="P489" s="6"/>
      <c r="Q489" s="6"/>
      <c r="R489" s="6"/>
      <c r="S489" s="6"/>
      <c r="T489" s="6"/>
      <c r="U489" s="6"/>
      <c r="V489" s="6"/>
      <c r="W489" s="6"/>
      <c r="X489" s="6"/>
      <c r="Y489" s="6"/>
      <c r="Z489" s="6"/>
      <c r="AA489" s="6"/>
      <c r="AB489" s="6"/>
      <c r="AC489" s="6"/>
    </row>
    <row r="490" ht="14.25" customHeight="1">
      <c r="A490" s="28"/>
      <c r="B490" s="28"/>
      <c r="C490" s="29"/>
      <c r="D490" s="30"/>
      <c r="E490" s="28"/>
      <c r="F490" s="19"/>
      <c r="G490" s="6"/>
      <c r="H490" s="6"/>
      <c r="I490" s="6"/>
      <c r="J490" s="6"/>
      <c r="K490" s="6"/>
      <c r="L490" s="6"/>
      <c r="M490" s="6"/>
      <c r="N490" s="6"/>
      <c r="O490" s="6"/>
      <c r="P490" s="6"/>
      <c r="Q490" s="6"/>
      <c r="R490" s="6"/>
      <c r="S490" s="6"/>
      <c r="T490" s="6"/>
      <c r="U490" s="6"/>
      <c r="V490" s="6"/>
      <c r="W490" s="6"/>
      <c r="X490" s="6"/>
      <c r="Y490" s="6"/>
      <c r="Z490" s="6"/>
      <c r="AA490" s="6"/>
      <c r="AB490" s="6"/>
      <c r="AC490" s="6"/>
    </row>
    <row r="491" ht="14.25" customHeight="1">
      <c r="A491" s="28"/>
      <c r="B491" s="28"/>
      <c r="C491" s="29"/>
      <c r="D491" s="30"/>
      <c r="E491" s="28"/>
      <c r="F491" s="19"/>
      <c r="G491" s="6"/>
      <c r="H491" s="6"/>
      <c r="I491" s="6"/>
      <c r="J491" s="6"/>
      <c r="K491" s="6"/>
      <c r="L491" s="6"/>
      <c r="M491" s="6"/>
      <c r="N491" s="6"/>
      <c r="O491" s="6"/>
      <c r="P491" s="6"/>
      <c r="Q491" s="6"/>
      <c r="R491" s="6"/>
      <c r="S491" s="6"/>
      <c r="T491" s="6"/>
      <c r="U491" s="6"/>
      <c r="V491" s="6"/>
      <c r="W491" s="6"/>
      <c r="X491" s="6"/>
      <c r="Y491" s="6"/>
      <c r="Z491" s="6"/>
      <c r="AA491" s="6"/>
      <c r="AB491" s="6"/>
      <c r="AC491" s="6"/>
    </row>
    <row r="492" ht="14.25" customHeight="1">
      <c r="A492" s="28"/>
      <c r="B492" s="28"/>
      <c r="C492" s="29"/>
      <c r="D492" s="30"/>
      <c r="E492" s="28"/>
      <c r="F492" s="19"/>
      <c r="G492" s="6"/>
      <c r="H492" s="6"/>
      <c r="I492" s="6"/>
      <c r="J492" s="6"/>
      <c r="K492" s="6"/>
      <c r="L492" s="6"/>
      <c r="M492" s="6"/>
      <c r="N492" s="6"/>
      <c r="O492" s="6"/>
      <c r="P492" s="6"/>
      <c r="Q492" s="6"/>
      <c r="R492" s="6"/>
      <c r="S492" s="6"/>
      <c r="T492" s="6"/>
      <c r="U492" s="6"/>
      <c r="V492" s="6"/>
      <c r="W492" s="6"/>
      <c r="X492" s="6"/>
      <c r="Y492" s="6"/>
      <c r="Z492" s="6"/>
      <c r="AA492" s="6"/>
      <c r="AB492" s="6"/>
      <c r="AC492" s="6"/>
    </row>
    <row r="493" ht="14.25" customHeight="1">
      <c r="A493" s="28"/>
      <c r="B493" s="28"/>
      <c r="C493" s="29"/>
      <c r="D493" s="30"/>
      <c r="E493" s="28"/>
      <c r="F493" s="19"/>
      <c r="G493" s="6"/>
      <c r="H493" s="6"/>
      <c r="I493" s="6"/>
      <c r="J493" s="6"/>
      <c r="K493" s="6"/>
      <c r="L493" s="6"/>
      <c r="M493" s="6"/>
      <c r="N493" s="6"/>
      <c r="O493" s="6"/>
      <c r="P493" s="6"/>
      <c r="Q493" s="6"/>
      <c r="R493" s="6"/>
      <c r="S493" s="6"/>
      <c r="T493" s="6"/>
      <c r="U493" s="6"/>
      <c r="V493" s="6"/>
      <c r="W493" s="6"/>
      <c r="X493" s="6"/>
      <c r="Y493" s="6"/>
      <c r="Z493" s="6"/>
      <c r="AA493" s="6"/>
      <c r="AB493" s="6"/>
      <c r="AC493" s="6"/>
    </row>
    <row r="494" ht="14.25" customHeight="1">
      <c r="A494" s="28"/>
      <c r="B494" s="28"/>
      <c r="C494" s="29"/>
      <c r="D494" s="30"/>
      <c r="E494" s="28"/>
      <c r="F494" s="19"/>
      <c r="G494" s="6"/>
      <c r="H494" s="6"/>
      <c r="I494" s="6"/>
      <c r="J494" s="6"/>
      <c r="K494" s="6"/>
      <c r="L494" s="6"/>
      <c r="M494" s="6"/>
      <c r="N494" s="6"/>
      <c r="O494" s="6"/>
      <c r="P494" s="6"/>
      <c r="Q494" s="6"/>
      <c r="R494" s="6"/>
      <c r="S494" s="6"/>
      <c r="T494" s="6"/>
      <c r="U494" s="6"/>
      <c r="V494" s="6"/>
      <c r="W494" s="6"/>
      <c r="X494" s="6"/>
      <c r="Y494" s="6"/>
      <c r="Z494" s="6"/>
      <c r="AA494" s="6"/>
      <c r="AB494" s="6"/>
      <c r="AC494" s="6"/>
    </row>
    <row r="495" ht="14.25" customHeight="1">
      <c r="A495" s="28"/>
      <c r="B495" s="28"/>
      <c r="C495" s="29"/>
      <c r="D495" s="30"/>
      <c r="E495" s="28"/>
      <c r="F495" s="19"/>
      <c r="G495" s="6"/>
      <c r="H495" s="6"/>
      <c r="I495" s="6"/>
      <c r="J495" s="6"/>
      <c r="K495" s="6"/>
      <c r="L495" s="6"/>
      <c r="M495" s="6"/>
      <c r="N495" s="6"/>
      <c r="O495" s="6"/>
      <c r="P495" s="6"/>
      <c r="Q495" s="6"/>
      <c r="R495" s="6"/>
      <c r="S495" s="6"/>
      <c r="T495" s="6"/>
      <c r="U495" s="6"/>
      <c r="V495" s="6"/>
      <c r="W495" s="6"/>
      <c r="X495" s="6"/>
      <c r="Y495" s="6"/>
      <c r="Z495" s="6"/>
      <c r="AA495" s="6"/>
      <c r="AB495" s="6"/>
      <c r="AC495" s="6"/>
    </row>
    <row r="496" ht="14.25" customHeight="1">
      <c r="A496" s="28"/>
      <c r="B496" s="28"/>
      <c r="C496" s="29"/>
      <c r="D496" s="30"/>
      <c r="E496" s="28"/>
      <c r="F496" s="19"/>
      <c r="G496" s="6"/>
      <c r="H496" s="6"/>
      <c r="I496" s="6"/>
      <c r="J496" s="6"/>
      <c r="K496" s="6"/>
      <c r="L496" s="6"/>
      <c r="M496" s="6"/>
      <c r="N496" s="6"/>
      <c r="O496" s="6"/>
      <c r="P496" s="6"/>
      <c r="Q496" s="6"/>
      <c r="R496" s="6"/>
      <c r="S496" s="6"/>
      <c r="T496" s="6"/>
      <c r="U496" s="6"/>
      <c r="V496" s="6"/>
      <c r="W496" s="6"/>
      <c r="X496" s="6"/>
      <c r="Y496" s="6"/>
      <c r="Z496" s="6"/>
      <c r="AA496" s="6"/>
      <c r="AB496" s="6"/>
      <c r="AC496" s="6"/>
    </row>
    <row r="497" ht="14.25" customHeight="1">
      <c r="A497" s="28"/>
      <c r="B497" s="28"/>
      <c r="C497" s="29"/>
      <c r="D497" s="30"/>
      <c r="E497" s="28"/>
      <c r="F497" s="19"/>
      <c r="G497" s="6"/>
      <c r="H497" s="6"/>
      <c r="I497" s="6"/>
      <c r="J497" s="6"/>
      <c r="K497" s="6"/>
      <c r="L497" s="6"/>
      <c r="M497" s="6"/>
      <c r="N497" s="6"/>
      <c r="O497" s="6"/>
      <c r="P497" s="6"/>
      <c r="Q497" s="6"/>
      <c r="R497" s="6"/>
      <c r="S497" s="6"/>
      <c r="T497" s="6"/>
      <c r="U497" s="6"/>
      <c r="V497" s="6"/>
      <c r="W497" s="6"/>
      <c r="X497" s="6"/>
      <c r="Y497" s="6"/>
      <c r="Z497" s="6"/>
      <c r="AA497" s="6"/>
      <c r="AB497" s="6"/>
      <c r="AC497" s="6"/>
    </row>
    <row r="498" ht="14.25" customHeight="1">
      <c r="A498" s="28"/>
      <c r="B498" s="28"/>
      <c r="C498" s="29"/>
      <c r="D498" s="30"/>
      <c r="E498" s="28"/>
      <c r="F498" s="19"/>
      <c r="G498" s="6"/>
      <c r="H498" s="6"/>
      <c r="I498" s="6"/>
      <c r="J498" s="6"/>
      <c r="K498" s="6"/>
      <c r="L498" s="6"/>
      <c r="M498" s="6"/>
      <c r="N498" s="6"/>
      <c r="O498" s="6"/>
      <c r="P498" s="6"/>
      <c r="Q498" s="6"/>
      <c r="R498" s="6"/>
      <c r="S498" s="6"/>
      <c r="T498" s="6"/>
      <c r="U498" s="6"/>
      <c r="V498" s="6"/>
      <c r="W498" s="6"/>
      <c r="X498" s="6"/>
      <c r="Y498" s="6"/>
      <c r="Z498" s="6"/>
      <c r="AA498" s="6"/>
      <c r="AB498" s="6"/>
      <c r="AC498" s="6"/>
    </row>
    <row r="499" ht="14.25" customHeight="1">
      <c r="A499" s="28"/>
      <c r="B499" s="28"/>
      <c r="C499" s="29"/>
      <c r="D499" s="30"/>
      <c r="E499" s="28"/>
      <c r="F499" s="19"/>
      <c r="G499" s="6"/>
      <c r="H499" s="6"/>
      <c r="I499" s="6"/>
      <c r="J499" s="6"/>
      <c r="K499" s="6"/>
      <c r="L499" s="6"/>
      <c r="M499" s="6"/>
      <c r="N499" s="6"/>
      <c r="O499" s="6"/>
      <c r="P499" s="6"/>
      <c r="Q499" s="6"/>
      <c r="R499" s="6"/>
      <c r="S499" s="6"/>
      <c r="T499" s="6"/>
      <c r="U499" s="6"/>
      <c r="V499" s="6"/>
      <c r="W499" s="6"/>
      <c r="X499" s="6"/>
      <c r="Y499" s="6"/>
      <c r="Z499" s="6"/>
      <c r="AA499" s="6"/>
      <c r="AB499" s="6"/>
      <c r="AC499" s="6"/>
    </row>
    <row r="500" ht="14.25" customHeight="1">
      <c r="A500" s="28"/>
      <c r="B500" s="28"/>
      <c r="C500" s="29"/>
      <c r="D500" s="30"/>
      <c r="E500" s="28"/>
      <c r="F500" s="19"/>
      <c r="G500" s="6"/>
      <c r="H500" s="6"/>
      <c r="I500" s="6"/>
      <c r="J500" s="6"/>
      <c r="K500" s="6"/>
      <c r="L500" s="6"/>
      <c r="M500" s="6"/>
      <c r="N500" s="6"/>
      <c r="O500" s="6"/>
      <c r="P500" s="6"/>
      <c r="Q500" s="6"/>
      <c r="R500" s="6"/>
      <c r="S500" s="6"/>
      <c r="T500" s="6"/>
      <c r="U500" s="6"/>
      <c r="V500" s="6"/>
      <c r="W500" s="6"/>
      <c r="X500" s="6"/>
      <c r="Y500" s="6"/>
      <c r="Z500" s="6"/>
      <c r="AA500" s="6"/>
      <c r="AB500" s="6"/>
      <c r="AC500" s="6"/>
    </row>
    <row r="501" ht="14.25" customHeight="1">
      <c r="A501" s="28"/>
      <c r="B501" s="28"/>
      <c r="C501" s="29"/>
      <c r="D501" s="30"/>
      <c r="E501" s="28"/>
      <c r="F501" s="19"/>
      <c r="G501" s="6"/>
      <c r="H501" s="6"/>
      <c r="I501" s="6"/>
      <c r="J501" s="6"/>
      <c r="K501" s="6"/>
      <c r="L501" s="6"/>
      <c r="M501" s="6"/>
      <c r="N501" s="6"/>
      <c r="O501" s="6"/>
      <c r="P501" s="6"/>
      <c r="Q501" s="6"/>
      <c r="R501" s="6"/>
      <c r="S501" s="6"/>
      <c r="T501" s="6"/>
      <c r="U501" s="6"/>
      <c r="V501" s="6"/>
      <c r="W501" s="6"/>
      <c r="X501" s="6"/>
      <c r="Y501" s="6"/>
      <c r="Z501" s="6"/>
      <c r="AA501" s="6"/>
      <c r="AB501" s="6"/>
      <c r="AC501" s="6"/>
    </row>
    <row r="502" ht="14.25" customHeight="1">
      <c r="A502" s="28"/>
      <c r="B502" s="28"/>
      <c r="C502" s="29"/>
      <c r="D502" s="30"/>
      <c r="E502" s="28"/>
      <c r="F502" s="19"/>
      <c r="G502" s="6"/>
      <c r="H502" s="6"/>
      <c r="I502" s="6"/>
      <c r="J502" s="6"/>
      <c r="K502" s="6"/>
      <c r="L502" s="6"/>
      <c r="M502" s="6"/>
      <c r="N502" s="6"/>
      <c r="O502" s="6"/>
      <c r="P502" s="6"/>
      <c r="Q502" s="6"/>
      <c r="R502" s="6"/>
      <c r="S502" s="6"/>
      <c r="T502" s="6"/>
      <c r="U502" s="6"/>
      <c r="V502" s="6"/>
      <c r="W502" s="6"/>
      <c r="X502" s="6"/>
      <c r="Y502" s="6"/>
      <c r="Z502" s="6"/>
      <c r="AA502" s="6"/>
      <c r="AB502" s="6"/>
      <c r="AC502" s="6"/>
    </row>
    <row r="503" ht="14.25" customHeight="1">
      <c r="A503" s="28"/>
      <c r="B503" s="28"/>
      <c r="C503" s="29"/>
      <c r="D503" s="30"/>
      <c r="E503" s="28"/>
      <c r="F503" s="19"/>
      <c r="G503" s="6"/>
      <c r="H503" s="6"/>
      <c r="I503" s="6"/>
      <c r="J503" s="6"/>
      <c r="K503" s="6"/>
      <c r="L503" s="6"/>
      <c r="M503" s="6"/>
      <c r="N503" s="6"/>
      <c r="O503" s="6"/>
      <c r="P503" s="6"/>
      <c r="Q503" s="6"/>
      <c r="R503" s="6"/>
      <c r="S503" s="6"/>
      <c r="T503" s="6"/>
      <c r="U503" s="6"/>
      <c r="V503" s="6"/>
      <c r="W503" s="6"/>
      <c r="X503" s="6"/>
      <c r="Y503" s="6"/>
      <c r="Z503" s="6"/>
      <c r="AA503" s="6"/>
      <c r="AB503" s="6"/>
      <c r="AC503" s="6"/>
    </row>
    <row r="504" ht="14.25" customHeight="1">
      <c r="A504" s="28"/>
      <c r="B504" s="28"/>
      <c r="C504" s="29"/>
      <c r="D504" s="30"/>
      <c r="E504" s="28"/>
      <c r="F504" s="19"/>
      <c r="G504" s="6"/>
      <c r="H504" s="6"/>
      <c r="I504" s="6"/>
      <c r="J504" s="6"/>
      <c r="K504" s="6"/>
      <c r="L504" s="6"/>
      <c r="M504" s="6"/>
      <c r="N504" s="6"/>
      <c r="O504" s="6"/>
      <c r="P504" s="6"/>
      <c r="Q504" s="6"/>
      <c r="R504" s="6"/>
      <c r="S504" s="6"/>
      <c r="T504" s="6"/>
      <c r="U504" s="6"/>
      <c r="V504" s="6"/>
      <c r="W504" s="6"/>
      <c r="X504" s="6"/>
      <c r="Y504" s="6"/>
      <c r="Z504" s="6"/>
      <c r="AA504" s="6"/>
      <c r="AB504" s="6"/>
      <c r="AC504" s="6"/>
    </row>
    <row r="505" ht="14.25" customHeight="1">
      <c r="A505" s="28"/>
      <c r="B505" s="28"/>
      <c r="C505" s="29"/>
      <c r="D505" s="30"/>
      <c r="E505" s="28"/>
      <c r="F505" s="19"/>
      <c r="G505" s="6"/>
      <c r="H505" s="6"/>
      <c r="I505" s="6"/>
      <c r="J505" s="6"/>
      <c r="K505" s="6"/>
      <c r="L505" s="6"/>
      <c r="M505" s="6"/>
      <c r="N505" s="6"/>
      <c r="O505" s="6"/>
      <c r="P505" s="6"/>
      <c r="Q505" s="6"/>
      <c r="R505" s="6"/>
      <c r="S505" s="6"/>
      <c r="T505" s="6"/>
      <c r="U505" s="6"/>
      <c r="V505" s="6"/>
      <c r="W505" s="6"/>
      <c r="X505" s="6"/>
      <c r="Y505" s="6"/>
      <c r="Z505" s="6"/>
      <c r="AA505" s="6"/>
      <c r="AB505" s="6"/>
      <c r="AC505" s="6"/>
    </row>
    <row r="506" ht="14.25" customHeight="1">
      <c r="A506" s="28"/>
      <c r="B506" s="28"/>
      <c r="C506" s="29"/>
      <c r="D506" s="30"/>
      <c r="E506" s="28"/>
      <c r="F506" s="19"/>
      <c r="G506" s="6"/>
      <c r="H506" s="6"/>
      <c r="I506" s="6"/>
      <c r="J506" s="6"/>
      <c r="K506" s="6"/>
      <c r="L506" s="6"/>
      <c r="M506" s="6"/>
      <c r="N506" s="6"/>
      <c r="O506" s="6"/>
      <c r="P506" s="6"/>
      <c r="Q506" s="6"/>
      <c r="R506" s="6"/>
      <c r="S506" s="6"/>
      <c r="T506" s="6"/>
      <c r="U506" s="6"/>
      <c r="V506" s="6"/>
      <c r="W506" s="6"/>
      <c r="X506" s="6"/>
      <c r="Y506" s="6"/>
      <c r="Z506" s="6"/>
      <c r="AA506" s="6"/>
      <c r="AB506" s="6"/>
      <c r="AC506" s="6"/>
    </row>
    <row r="507" ht="14.25" customHeight="1">
      <c r="A507" s="28"/>
      <c r="B507" s="28"/>
      <c r="C507" s="29"/>
      <c r="D507" s="30"/>
      <c r="E507" s="28"/>
      <c r="F507" s="19"/>
      <c r="G507" s="6"/>
      <c r="H507" s="6"/>
      <c r="I507" s="6"/>
      <c r="J507" s="6"/>
      <c r="K507" s="6"/>
      <c r="L507" s="6"/>
      <c r="M507" s="6"/>
      <c r="N507" s="6"/>
      <c r="O507" s="6"/>
      <c r="P507" s="6"/>
      <c r="Q507" s="6"/>
      <c r="R507" s="6"/>
      <c r="S507" s="6"/>
      <c r="T507" s="6"/>
      <c r="U507" s="6"/>
      <c r="V507" s="6"/>
      <c r="W507" s="6"/>
      <c r="X507" s="6"/>
      <c r="Y507" s="6"/>
      <c r="Z507" s="6"/>
      <c r="AA507" s="6"/>
      <c r="AB507" s="6"/>
      <c r="AC507" s="6"/>
    </row>
    <row r="508" ht="14.25" customHeight="1">
      <c r="A508" s="28"/>
      <c r="B508" s="28"/>
      <c r="C508" s="29"/>
      <c r="D508" s="30"/>
      <c r="E508" s="28"/>
      <c r="F508" s="19"/>
      <c r="G508" s="6"/>
      <c r="H508" s="6"/>
      <c r="I508" s="6"/>
      <c r="J508" s="6"/>
      <c r="K508" s="6"/>
      <c r="L508" s="6"/>
      <c r="M508" s="6"/>
      <c r="N508" s="6"/>
      <c r="O508" s="6"/>
      <c r="P508" s="6"/>
      <c r="Q508" s="6"/>
      <c r="R508" s="6"/>
      <c r="S508" s="6"/>
      <c r="T508" s="6"/>
      <c r="U508" s="6"/>
      <c r="V508" s="6"/>
      <c r="W508" s="6"/>
      <c r="X508" s="6"/>
      <c r="Y508" s="6"/>
      <c r="Z508" s="6"/>
      <c r="AA508" s="6"/>
      <c r="AB508" s="6"/>
      <c r="AC508" s="6"/>
    </row>
    <row r="509" ht="14.25" customHeight="1">
      <c r="A509" s="28"/>
      <c r="B509" s="28"/>
      <c r="C509" s="29"/>
      <c r="D509" s="30"/>
      <c r="E509" s="28"/>
      <c r="F509" s="19"/>
      <c r="G509" s="6"/>
      <c r="H509" s="6"/>
      <c r="I509" s="6"/>
      <c r="J509" s="6"/>
      <c r="K509" s="6"/>
      <c r="L509" s="6"/>
      <c r="M509" s="6"/>
      <c r="N509" s="6"/>
      <c r="O509" s="6"/>
      <c r="P509" s="6"/>
      <c r="Q509" s="6"/>
      <c r="R509" s="6"/>
      <c r="S509" s="6"/>
      <c r="T509" s="6"/>
      <c r="U509" s="6"/>
      <c r="V509" s="6"/>
      <c r="W509" s="6"/>
      <c r="X509" s="6"/>
      <c r="Y509" s="6"/>
      <c r="Z509" s="6"/>
      <c r="AA509" s="6"/>
      <c r="AB509" s="6"/>
      <c r="AC509" s="6"/>
    </row>
    <row r="510" ht="14.25" customHeight="1">
      <c r="A510" s="28"/>
      <c r="B510" s="28"/>
      <c r="C510" s="29"/>
      <c r="D510" s="30"/>
      <c r="E510" s="28"/>
      <c r="F510" s="19"/>
      <c r="G510" s="6"/>
      <c r="H510" s="6"/>
      <c r="I510" s="6"/>
      <c r="J510" s="6"/>
      <c r="K510" s="6"/>
      <c r="L510" s="6"/>
      <c r="M510" s="6"/>
      <c r="N510" s="6"/>
      <c r="O510" s="6"/>
      <c r="P510" s="6"/>
      <c r="Q510" s="6"/>
      <c r="R510" s="6"/>
      <c r="S510" s="6"/>
      <c r="T510" s="6"/>
      <c r="U510" s="6"/>
      <c r="V510" s="6"/>
      <c r="W510" s="6"/>
      <c r="X510" s="6"/>
      <c r="Y510" s="6"/>
      <c r="Z510" s="6"/>
      <c r="AA510" s="6"/>
      <c r="AB510" s="6"/>
      <c r="AC510" s="6"/>
    </row>
    <row r="511" ht="14.25" customHeight="1">
      <c r="A511" s="28"/>
      <c r="B511" s="28"/>
      <c r="C511" s="29"/>
      <c r="D511" s="30"/>
      <c r="E511" s="28"/>
      <c r="F511" s="19"/>
      <c r="G511" s="6"/>
      <c r="H511" s="6"/>
      <c r="I511" s="6"/>
      <c r="J511" s="6"/>
      <c r="K511" s="6"/>
      <c r="L511" s="6"/>
      <c r="M511" s="6"/>
      <c r="N511" s="6"/>
      <c r="O511" s="6"/>
      <c r="P511" s="6"/>
      <c r="Q511" s="6"/>
      <c r="R511" s="6"/>
      <c r="S511" s="6"/>
      <c r="T511" s="6"/>
      <c r="U511" s="6"/>
      <c r="V511" s="6"/>
      <c r="W511" s="6"/>
      <c r="X511" s="6"/>
      <c r="Y511" s="6"/>
      <c r="Z511" s="6"/>
      <c r="AA511" s="6"/>
      <c r="AB511" s="6"/>
      <c r="AC511" s="6"/>
    </row>
    <row r="512" ht="14.25" customHeight="1">
      <c r="A512" s="28"/>
      <c r="B512" s="28"/>
      <c r="C512" s="29"/>
      <c r="D512" s="30"/>
      <c r="E512" s="28"/>
      <c r="F512" s="19"/>
      <c r="G512" s="6"/>
      <c r="H512" s="6"/>
      <c r="I512" s="6"/>
      <c r="J512" s="6"/>
      <c r="K512" s="6"/>
      <c r="L512" s="6"/>
      <c r="M512" s="6"/>
      <c r="N512" s="6"/>
      <c r="O512" s="6"/>
      <c r="P512" s="6"/>
      <c r="Q512" s="6"/>
      <c r="R512" s="6"/>
      <c r="S512" s="6"/>
      <c r="T512" s="6"/>
      <c r="U512" s="6"/>
      <c r="V512" s="6"/>
      <c r="W512" s="6"/>
      <c r="X512" s="6"/>
      <c r="Y512" s="6"/>
      <c r="Z512" s="6"/>
      <c r="AA512" s="6"/>
      <c r="AB512" s="6"/>
      <c r="AC512" s="6"/>
    </row>
    <row r="513" ht="14.25" customHeight="1">
      <c r="A513" s="28"/>
      <c r="B513" s="28"/>
      <c r="C513" s="29"/>
      <c r="D513" s="30"/>
      <c r="E513" s="28"/>
      <c r="F513" s="19"/>
      <c r="G513" s="6"/>
      <c r="H513" s="6"/>
      <c r="I513" s="6"/>
      <c r="J513" s="6"/>
      <c r="K513" s="6"/>
      <c r="L513" s="6"/>
      <c r="M513" s="6"/>
      <c r="N513" s="6"/>
      <c r="O513" s="6"/>
      <c r="P513" s="6"/>
      <c r="Q513" s="6"/>
      <c r="R513" s="6"/>
      <c r="S513" s="6"/>
      <c r="T513" s="6"/>
      <c r="U513" s="6"/>
      <c r="V513" s="6"/>
      <c r="W513" s="6"/>
      <c r="X513" s="6"/>
      <c r="Y513" s="6"/>
      <c r="Z513" s="6"/>
      <c r="AA513" s="6"/>
      <c r="AB513" s="6"/>
      <c r="AC513" s="6"/>
    </row>
    <row r="514" ht="14.25" customHeight="1">
      <c r="A514" s="28"/>
      <c r="B514" s="28"/>
      <c r="C514" s="29"/>
      <c r="D514" s="30"/>
      <c r="E514" s="28"/>
      <c r="F514" s="19"/>
      <c r="G514" s="6"/>
      <c r="H514" s="6"/>
      <c r="I514" s="6"/>
      <c r="J514" s="6"/>
      <c r="K514" s="6"/>
      <c r="L514" s="6"/>
      <c r="M514" s="6"/>
      <c r="N514" s="6"/>
      <c r="O514" s="6"/>
      <c r="P514" s="6"/>
      <c r="Q514" s="6"/>
      <c r="R514" s="6"/>
      <c r="S514" s="6"/>
      <c r="T514" s="6"/>
      <c r="U514" s="6"/>
      <c r="V514" s="6"/>
      <c r="W514" s="6"/>
      <c r="X514" s="6"/>
      <c r="Y514" s="6"/>
      <c r="Z514" s="6"/>
      <c r="AA514" s="6"/>
      <c r="AB514" s="6"/>
      <c r="AC514" s="6"/>
    </row>
    <row r="515" ht="14.25" customHeight="1">
      <c r="A515" s="28"/>
      <c r="B515" s="28"/>
      <c r="C515" s="29"/>
      <c r="D515" s="30"/>
      <c r="E515" s="28"/>
      <c r="F515" s="19"/>
      <c r="G515" s="6"/>
      <c r="H515" s="6"/>
      <c r="I515" s="6"/>
      <c r="J515" s="6"/>
      <c r="K515" s="6"/>
      <c r="L515" s="6"/>
      <c r="M515" s="6"/>
      <c r="N515" s="6"/>
      <c r="O515" s="6"/>
      <c r="P515" s="6"/>
      <c r="Q515" s="6"/>
      <c r="R515" s="6"/>
      <c r="S515" s="6"/>
      <c r="T515" s="6"/>
      <c r="U515" s="6"/>
      <c r="V515" s="6"/>
      <c r="W515" s="6"/>
      <c r="X515" s="6"/>
      <c r="Y515" s="6"/>
      <c r="Z515" s="6"/>
      <c r="AA515" s="6"/>
      <c r="AB515" s="6"/>
      <c r="AC515" s="6"/>
    </row>
    <row r="516" ht="14.25" customHeight="1">
      <c r="A516" s="28"/>
      <c r="B516" s="28"/>
      <c r="C516" s="29"/>
      <c r="D516" s="30"/>
      <c r="E516" s="28"/>
      <c r="F516" s="19"/>
      <c r="G516" s="6"/>
      <c r="H516" s="6"/>
      <c r="I516" s="6"/>
      <c r="J516" s="6"/>
      <c r="K516" s="6"/>
      <c r="L516" s="6"/>
      <c r="M516" s="6"/>
      <c r="N516" s="6"/>
      <c r="O516" s="6"/>
      <c r="P516" s="6"/>
      <c r="Q516" s="6"/>
      <c r="R516" s="6"/>
      <c r="S516" s="6"/>
      <c r="T516" s="6"/>
      <c r="U516" s="6"/>
      <c r="V516" s="6"/>
      <c r="W516" s="6"/>
      <c r="X516" s="6"/>
      <c r="Y516" s="6"/>
      <c r="Z516" s="6"/>
      <c r="AA516" s="6"/>
      <c r="AB516" s="6"/>
      <c r="AC516" s="6"/>
    </row>
    <row r="517" ht="14.25" customHeight="1">
      <c r="A517" s="28"/>
      <c r="B517" s="28"/>
      <c r="C517" s="29"/>
      <c r="D517" s="30"/>
      <c r="E517" s="28"/>
      <c r="F517" s="19"/>
      <c r="G517" s="6"/>
      <c r="H517" s="6"/>
      <c r="I517" s="6"/>
      <c r="J517" s="6"/>
      <c r="K517" s="6"/>
      <c r="L517" s="6"/>
      <c r="M517" s="6"/>
      <c r="N517" s="6"/>
      <c r="O517" s="6"/>
      <c r="P517" s="6"/>
      <c r="Q517" s="6"/>
      <c r="R517" s="6"/>
      <c r="S517" s="6"/>
      <c r="T517" s="6"/>
      <c r="U517" s="6"/>
      <c r="V517" s="6"/>
      <c r="W517" s="6"/>
      <c r="X517" s="6"/>
      <c r="Y517" s="6"/>
      <c r="Z517" s="6"/>
      <c r="AA517" s="6"/>
      <c r="AB517" s="6"/>
      <c r="AC517" s="6"/>
    </row>
    <row r="518" ht="14.25" customHeight="1">
      <c r="A518" s="28"/>
      <c r="B518" s="28"/>
      <c r="C518" s="29"/>
      <c r="D518" s="30"/>
      <c r="E518" s="28"/>
      <c r="F518" s="19"/>
      <c r="G518" s="6"/>
      <c r="H518" s="6"/>
      <c r="I518" s="6"/>
      <c r="J518" s="6"/>
      <c r="K518" s="6"/>
      <c r="L518" s="6"/>
      <c r="M518" s="6"/>
      <c r="N518" s="6"/>
      <c r="O518" s="6"/>
      <c r="P518" s="6"/>
      <c r="Q518" s="6"/>
      <c r="R518" s="6"/>
      <c r="S518" s="6"/>
      <c r="T518" s="6"/>
      <c r="U518" s="6"/>
      <c r="V518" s="6"/>
      <c r="W518" s="6"/>
      <c r="X518" s="6"/>
      <c r="Y518" s="6"/>
      <c r="Z518" s="6"/>
      <c r="AA518" s="6"/>
      <c r="AB518" s="6"/>
      <c r="AC518" s="6"/>
    </row>
    <row r="519" ht="14.25" customHeight="1">
      <c r="A519" s="28"/>
      <c r="B519" s="28"/>
      <c r="C519" s="29"/>
      <c r="D519" s="30"/>
      <c r="E519" s="28"/>
      <c r="F519" s="19"/>
      <c r="G519" s="6"/>
      <c r="H519" s="6"/>
      <c r="I519" s="6"/>
      <c r="J519" s="6"/>
      <c r="K519" s="6"/>
      <c r="L519" s="6"/>
      <c r="M519" s="6"/>
      <c r="N519" s="6"/>
      <c r="O519" s="6"/>
      <c r="P519" s="6"/>
      <c r="Q519" s="6"/>
      <c r="R519" s="6"/>
      <c r="S519" s="6"/>
      <c r="T519" s="6"/>
      <c r="U519" s="6"/>
      <c r="V519" s="6"/>
      <c r="W519" s="6"/>
      <c r="X519" s="6"/>
      <c r="Y519" s="6"/>
      <c r="Z519" s="6"/>
      <c r="AA519" s="6"/>
      <c r="AB519" s="6"/>
      <c r="AC519" s="6"/>
    </row>
    <row r="520" ht="14.25" customHeight="1">
      <c r="A520" s="28"/>
      <c r="B520" s="28"/>
      <c r="C520" s="29"/>
      <c r="D520" s="30"/>
      <c r="E520" s="28"/>
      <c r="F520" s="19"/>
      <c r="G520" s="6"/>
      <c r="H520" s="6"/>
      <c r="I520" s="6"/>
      <c r="J520" s="6"/>
      <c r="K520" s="6"/>
      <c r="L520" s="6"/>
      <c r="M520" s="6"/>
      <c r="N520" s="6"/>
      <c r="O520" s="6"/>
      <c r="P520" s="6"/>
      <c r="Q520" s="6"/>
      <c r="R520" s="6"/>
      <c r="S520" s="6"/>
      <c r="T520" s="6"/>
      <c r="U520" s="6"/>
      <c r="V520" s="6"/>
      <c r="W520" s="6"/>
      <c r="X520" s="6"/>
      <c r="Y520" s="6"/>
      <c r="Z520" s="6"/>
      <c r="AA520" s="6"/>
      <c r="AB520" s="6"/>
      <c r="AC520" s="6"/>
    </row>
    <row r="521" ht="14.25" customHeight="1">
      <c r="A521" s="28"/>
      <c r="B521" s="28"/>
      <c r="C521" s="29"/>
      <c r="D521" s="30"/>
      <c r="E521" s="28"/>
      <c r="F521" s="19"/>
      <c r="G521" s="6"/>
      <c r="H521" s="6"/>
      <c r="I521" s="6"/>
      <c r="J521" s="6"/>
      <c r="K521" s="6"/>
      <c r="L521" s="6"/>
      <c r="M521" s="6"/>
      <c r="N521" s="6"/>
      <c r="O521" s="6"/>
      <c r="P521" s="6"/>
      <c r="Q521" s="6"/>
      <c r="R521" s="6"/>
      <c r="S521" s="6"/>
      <c r="T521" s="6"/>
      <c r="U521" s="6"/>
      <c r="V521" s="6"/>
      <c r="W521" s="6"/>
      <c r="X521" s="6"/>
      <c r="Y521" s="6"/>
      <c r="Z521" s="6"/>
      <c r="AA521" s="6"/>
      <c r="AB521" s="6"/>
      <c r="AC521" s="6"/>
    </row>
    <row r="522" ht="14.25" customHeight="1">
      <c r="A522" s="28"/>
      <c r="B522" s="28"/>
      <c r="C522" s="29"/>
      <c r="D522" s="30"/>
      <c r="E522" s="28"/>
      <c r="F522" s="19"/>
      <c r="G522" s="6"/>
      <c r="H522" s="6"/>
      <c r="I522" s="6"/>
      <c r="J522" s="6"/>
      <c r="K522" s="6"/>
      <c r="L522" s="6"/>
      <c r="M522" s="6"/>
      <c r="N522" s="6"/>
      <c r="O522" s="6"/>
      <c r="P522" s="6"/>
      <c r="Q522" s="6"/>
      <c r="R522" s="6"/>
      <c r="S522" s="6"/>
      <c r="T522" s="6"/>
      <c r="U522" s="6"/>
      <c r="V522" s="6"/>
      <c r="W522" s="6"/>
      <c r="X522" s="6"/>
      <c r="Y522" s="6"/>
      <c r="Z522" s="6"/>
      <c r="AA522" s="6"/>
      <c r="AB522" s="6"/>
      <c r="AC522" s="6"/>
    </row>
    <row r="523" ht="14.25" customHeight="1">
      <c r="A523" s="28"/>
      <c r="B523" s="28"/>
      <c r="C523" s="29"/>
      <c r="D523" s="30"/>
      <c r="E523" s="28"/>
      <c r="F523" s="19"/>
      <c r="G523" s="6"/>
      <c r="H523" s="6"/>
      <c r="I523" s="6"/>
      <c r="J523" s="6"/>
      <c r="K523" s="6"/>
      <c r="L523" s="6"/>
      <c r="M523" s="6"/>
      <c r="N523" s="6"/>
      <c r="O523" s="6"/>
      <c r="P523" s="6"/>
      <c r="Q523" s="6"/>
      <c r="R523" s="6"/>
      <c r="S523" s="6"/>
      <c r="T523" s="6"/>
      <c r="U523" s="6"/>
      <c r="V523" s="6"/>
      <c r="W523" s="6"/>
      <c r="X523" s="6"/>
      <c r="Y523" s="6"/>
      <c r="Z523" s="6"/>
      <c r="AA523" s="6"/>
      <c r="AB523" s="6"/>
      <c r="AC523" s="6"/>
    </row>
    <row r="524" ht="14.25" customHeight="1">
      <c r="A524" s="28"/>
      <c r="B524" s="28"/>
      <c r="C524" s="29"/>
      <c r="D524" s="30"/>
      <c r="E524" s="28"/>
      <c r="F524" s="19"/>
      <c r="G524" s="6"/>
      <c r="H524" s="6"/>
      <c r="I524" s="6"/>
      <c r="J524" s="6"/>
      <c r="K524" s="6"/>
      <c r="L524" s="6"/>
      <c r="M524" s="6"/>
      <c r="N524" s="6"/>
      <c r="O524" s="6"/>
      <c r="P524" s="6"/>
      <c r="Q524" s="6"/>
      <c r="R524" s="6"/>
      <c r="S524" s="6"/>
      <c r="T524" s="6"/>
      <c r="U524" s="6"/>
      <c r="V524" s="6"/>
      <c r="W524" s="6"/>
      <c r="X524" s="6"/>
      <c r="Y524" s="6"/>
      <c r="Z524" s="6"/>
      <c r="AA524" s="6"/>
      <c r="AB524" s="6"/>
      <c r="AC524" s="6"/>
    </row>
    <row r="525" ht="14.25" customHeight="1">
      <c r="A525" s="28"/>
      <c r="B525" s="28"/>
      <c r="C525" s="29"/>
      <c r="D525" s="30"/>
      <c r="E525" s="28"/>
      <c r="F525" s="19"/>
      <c r="G525" s="6"/>
      <c r="H525" s="6"/>
      <c r="I525" s="6"/>
      <c r="J525" s="6"/>
      <c r="K525" s="6"/>
      <c r="L525" s="6"/>
      <c r="M525" s="6"/>
      <c r="N525" s="6"/>
      <c r="O525" s="6"/>
      <c r="P525" s="6"/>
      <c r="Q525" s="6"/>
      <c r="R525" s="6"/>
      <c r="S525" s="6"/>
      <c r="T525" s="6"/>
      <c r="U525" s="6"/>
      <c r="V525" s="6"/>
      <c r="W525" s="6"/>
      <c r="X525" s="6"/>
      <c r="Y525" s="6"/>
      <c r="Z525" s="6"/>
      <c r="AA525" s="6"/>
      <c r="AB525" s="6"/>
      <c r="AC525" s="6"/>
    </row>
    <row r="526" ht="14.25" customHeight="1">
      <c r="A526" s="28"/>
      <c r="B526" s="28"/>
      <c r="C526" s="29"/>
      <c r="D526" s="30"/>
      <c r="E526" s="28"/>
      <c r="F526" s="19"/>
      <c r="G526" s="6"/>
      <c r="H526" s="6"/>
      <c r="I526" s="6"/>
      <c r="J526" s="6"/>
      <c r="K526" s="6"/>
      <c r="L526" s="6"/>
      <c r="M526" s="6"/>
      <c r="N526" s="6"/>
      <c r="O526" s="6"/>
      <c r="P526" s="6"/>
      <c r="Q526" s="6"/>
      <c r="R526" s="6"/>
      <c r="S526" s="6"/>
      <c r="T526" s="6"/>
      <c r="U526" s="6"/>
      <c r="V526" s="6"/>
      <c r="W526" s="6"/>
      <c r="X526" s="6"/>
      <c r="Y526" s="6"/>
      <c r="Z526" s="6"/>
      <c r="AA526" s="6"/>
      <c r="AB526" s="6"/>
      <c r="AC526" s="6"/>
    </row>
    <row r="527" ht="14.25" customHeight="1">
      <c r="A527" s="28"/>
      <c r="B527" s="28"/>
      <c r="C527" s="29"/>
      <c r="D527" s="30"/>
      <c r="E527" s="28"/>
      <c r="F527" s="19"/>
      <c r="G527" s="6"/>
      <c r="H527" s="6"/>
      <c r="I527" s="6"/>
      <c r="J527" s="6"/>
      <c r="K527" s="6"/>
      <c r="L527" s="6"/>
      <c r="M527" s="6"/>
      <c r="N527" s="6"/>
      <c r="O527" s="6"/>
      <c r="P527" s="6"/>
      <c r="Q527" s="6"/>
      <c r="R527" s="6"/>
      <c r="S527" s="6"/>
      <c r="T527" s="6"/>
      <c r="U527" s="6"/>
      <c r="V527" s="6"/>
      <c r="W527" s="6"/>
      <c r="X527" s="6"/>
      <c r="Y527" s="6"/>
      <c r="Z527" s="6"/>
      <c r="AA527" s="6"/>
      <c r="AB527" s="6"/>
      <c r="AC527" s="6"/>
    </row>
    <row r="528" ht="14.25" customHeight="1">
      <c r="A528" s="28"/>
      <c r="B528" s="28"/>
      <c r="C528" s="29"/>
      <c r="D528" s="30"/>
      <c r="E528" s="28"/>
      <c r="F528" s="19"/>
      <c r="G528" s="6"/>
      <c r="H528" s="6"/>
      <c r="I528" s="6"/>
      <c r="J528" s="6"/>
      <c r="K528" s="6"/>
      <c r="L528" s="6"/>
      <c r="M528" s="6"/>
      <c r="N528" s="6"/>
      <c r="O528" s="6"/>
      <c r="P528" s="6"/>
      <c r="Q528" s="6"/>
      <c r="R528" s="6"/>
      <c r="S528" s="6"/>
      <c r="T528" s="6"/>
      <c r="U528" s="6"/>
      <c r="V528" s="6"/>
      <c r="W528" s="6"/>
      <c r="X528" s="6"/>
      <c r="Y528" s="6"/>
      <c r="Z528" s="6"/>
      <c r="AA528" s="6"/>
      <c r="AB528" s="6"/>
      <c r="AC528" s="6"/>
    </row>
    <row r="529" ht="14.25" customHeight="1">
      <c r="A529" s="28"/>
      <c r="B529" s="28"/>
      <c r="C529" s="29"/>
      <c r="D529" s="30"/>
      <c r="E529" s="28"/>
      <c r="F529" s="19"/>
      <c r="G529" s="6"/>
      <c r="H529" s="6"/>
      <c r="I529" s="6"/>
      <c r="J529" s="6"/>
      <c r="K529" s="6"/>
      <c r="L529" s="6"/>
      <c r="M529" s="6"/>
      <c r="N529" s="6"/>
      <c r="O529" s="6"/>
      <c r="P529" s="6"/>
      <c r="Q529" s="6"/>
      <c r="R529" s="6"/>
      <c r="S529" s="6"/>
      <c r="T529" s="6"/>
      <c r="U529" s="6"/>
      <c r="V529" s="6"/>
      <c r="W529" s="6"/>
      <c r="X529" s="6"/>
      <c r="Y529" s="6"/>
      <c r="Z529" s="6"/>
      <c r="AA529" s="6"/>
      <c r="AB529" s="6"/>
      <c r="AC529" s="6"/>
    </row>
    <row r="530" ht="14.25" customHeight="1">
      <c r="A530" s="28"/>
      <c r="B530" s="28"/>
      <c r="C530" s="29"/>
      <c r="D530" s="30"/>
      <c r="E530" s="28"/>
      <c r="F530" s="19"/>
      <c r="G530" s="6"/>
      <c r="H530" s="6"/>
      <c r="I530" s="6"/>
      <c r="J530" s="6"/>
      <c r="K530" s="6"/>
      <c r="L530" s="6"/>
      <c r="M530" s="6"/>
      <c r="N530" s="6"/>
      <c r="O530" s="6"/>
      <c r="P530" s="6"/>
      <c r="Q530" s="6"/>
      <c r="R530" s="6"/>
      <c r="S530" s="6"/>
      <c r="T530" s="6"/>
      <c r="U530" s="6"/>
      <c r="V530" s="6"/>
      <c r="W530" s="6"/>
      <c r="X530" s="6"/>
      <c r="Y530" s="6"/>
      <c r="Z530" s="6"/>
      <c r="AA530" s="6"/>
      <c r="AB530" s="6"/>
      <c r="AC530" s="6"/>
    </row>
    <row r="531" ht="14.25" customHeight="1">
      <c r="A531" s="28"/>
      <c r="B531" s="28"/>
      <c r="C531" s="29"/>
      <c r="D531" s="30"/>
      <c r="E531" s="28"/>
      <c r="F531" s="19"/>
      <c r="G531" s="6"/>
      <c r="H531" s="6"/>
      <c r="I531" s="6"/>
      <c r="J531" s="6"/>
      <c r="K531" s="6"/>
      <c r="L531" s="6"/>
      <c r="M531" s="6"/>
      <c r="N531" s="6"/>
      <c r="O531" s="6"/>
      <c r="P531" s="6"/>
      <c r="Q531" s="6"/>
      <c r="R531" s="6"/>
      <c r="S531" s="6"/>
      <c r="T531" s="6"/>
      <c r="U531" s="6"/>
      <c r="V531" s="6"/>
      <c r="W531" s="6"/>
      <c r="X531" s="6"/>
      <c r="Y531" s="6"/>
      <c r="Z531" s="6"/>
      <c r="AA531" s="6"/>
      <c r="AB531" s="6"/>
      <c r="AC531" s="6"/>
    </row>
    <row r="532" ht="14.25" customHeight="1">
      <c r="A532" s="28"/>
      <c r="B532" s="28"/>
      <c r="C532" s="29"/>
      <c r="D532" s="30"/>
      <c r="E532" s="28"/>
      <c r="F532" s="19"/>
      <c r="G532" s="6"/>
      <c r="H532" s="6"/>
      <c r="I532" s="6"/>
      <c r="J532" s="6"/>
      <c r="K532" s="6"/>
      <c r="L532" s="6"/>
      <c r="M532" s="6"/>
      <c r="N532" s="6"/>
      <c r="O532" s="6"/>
      <c r="P532" s="6"/>
      <c r="Q532" s="6"/>
      <c r="R532" s="6"/>
      <c r="S532" s="6"/>
      <c r="T532" s="6"/>
      <c r="U532" s="6"/>
      <c r="V532" s="6"/>
      <c r="W532" s="6"/>
      <c r="X532" s="6"/>
      <c r="Y532" s="6"/>
      <c r="Z532" s="6"/>
      <c r="AA532" s="6"/>
      <c r="AB532" s="6"/>
      <c r="AC532" s="6"/>
    </row>
    <row r="533" ht="14.25" customHeight="1">
      <c r="A533" s="28"/>
      <c r="B533" s="28"/>
      <c r="C533" s="29"/>
      <c r="D533" s="30"/>
      <c r="E533" s="28"/>
      <c r="F533" s="19"/>
      <c r="G533" s="6"/>
      <c r="H533" s="6"/>
      <c r="I533" s="6"/>
      <c r="J533" s="6"/>
      <c r="K533" s="6"/>
      <c r="L533" s="6"/>
      <c r="M533" s="6"/>
      <c r="N533" s="6"/>
      <c r="O533" s="6"/>
      <c r="P533" s="6"/>
      <c r="Q533" s="6"/>
      <c r="R533" s="6"/>
      <c r="S533" s="6"/>
      <c r="T533" s="6"/>
      <c r="U533" s="6"/>
      <c r="V533" s="6"/>
      <c r="W533" s="6"/>
      <c r="X533" s="6"/>
      <c r="Y533" s="6"/>
      <c r="Z533" s="6"/>
      <c r="AA533" s="6"/>
      <c r="AB533" s="6"/>
      <c r="AC533" s="6"/>
    </row>
    <row r="534" ht="14.25" customHeight="1">
      <c r="A534" s="28"/>
      <c r="B534" s="28"/>
      <c r="C534" s="29"/>
      <c r="D534" s="30"/>
      <c r="E534" s="28"/>
      <c r="F534" s="19"/>
      <c r="G534" s="6"/>
      <c r="H534" s="6"/>
      <c r="I534" s="6"/>
      <c r="J534" s="6"/>
      <c r="K534" s="6"/>
      <c r="L534" s="6"/>
      <c r="M534" s="6"/>
      <c r="N534" s="6"/>
      <c r="O534" s="6"/>
      <c r="P534" s="6"/>
      <c r="Q534" s="6"/>
      <c r="R534" s="6"/>
      <c r="S534" s="6"/>
      <c r="T534" s="6"/>
      <c r="U534" s="6"/>
      <c r="V534" s="6"/>
      <c r="W534" s="6"/>
      <c r="X534" s="6"/>
      <c r="Y534" s="6"/>
      <c r="Z534" s="6"/>
      <c r="AA534" s="6"/>
      <c r="AB534" s="6"/>
      <c r="AC534" s="6"/>
    </row>
    <row r="535" ht="14.25" customHeight="1">
      <c r="A535" s="28"/>
      <c r="B535" s="28"/>
      <c r="C535" s="29"/>
      <c r="D535" s="30"/>
      <c r="E535" s="28"/>
      <c r="F535" s="19"/>
      <c r="G535" s="6"/>
      <c r="H535" s="6"/>
      <c r="I535" s="6"/>
      <c r="J535" s="6"/>
      <c r="K535" s="6"/>
      <c r="L535" s="6"/>
      <c r="M535" s="6"/>
      <c r="N535" s="6"/>
      <c r="O535" s="6"/>
      <c r="P535" s="6"/>
      <c r="Q535" s="6"/>
      <c r="R535" s="6"/>
      <c r="S535" s="6"/>
      <c r="T535" s="6"/>
      <c r="U535" s="6"/>
      <c r="V535" s="6"/>
      <c r="W535" s="6"/>
      <c r="X535" s="6"/>
      <c r="Y535" s="6"/>
      <c r="Z535" s="6"/>
      <c r="AA535" s="6"/>
      <c r="AB535" s="6"/>
      <c r="AC535" s="6"/>
    </row>
    <row r="536" ht="14.25" customHeight="1">
      <c r="A536" s="28"/>
      <c r="B536" s="28"/>
      <c r="C536" s="29"/>
      <c r="D536" s="30"/>
      <c r="E536" s="28"/>
      <c r="F536" s="19"/>
      <c r="G536" s="6"/>
      <c r="H536" s="6"/>
      <c r="I536" s="6"/>
      <c r="J536" s="6"/>
      <c r="K536" s="6"/>
      <c r="L536" s="6"/>
      <c r="M536" s="6"/>
      <c r="N536" s="6"/>
      <c r="O536" s="6"/>
      <c r="P536" s="6"/>
      <c r="Q536" s="6"/>
      <c r="R536" s="6"/>
      <c r="S536" s="6"/>
      <c r="T536" s="6"/>
      <c r="U536" s="6"/>
      <c r="V536" s="6"/>
      <c r="W536" s="6"/>
      <c r="X536" s="6"/>
      <c r="Y536" s="6"/>
      <c r="Z536" s="6"/>
      <c r="AA536" s="6"/>
      <c r="AB536" s="6"/>
      <c r="AC536" s="6"/>
    </row>
    <row r="537" ht="14.25" customHeight="1">
      <c r="A537" s="28"/>
      <c r="B537" s="28"/>
      <c r="C537" s="29"/>
      <c r="D537" s="30"/>
      <c r="E537" s="28"/>
      <c r="F537" s="19"/>
      <c r="G537" s="6"/>
      <c r="H537" s="6"/>
      <c r="I537" s="6"/>
      <c r="J537" s="6"/>
      <c r="K537" s="6"/>
      <c r="L537" s="6"/>
      <c r="M537" s="6"/>
      <c r="N537" s="6"/>
      <c r="O537" s="6"/>
      <c r="P537" s="6"/>
      <c r="Q537" s="6"/>
      <c r="R537" s="6"/>
      <c r="S537" s="6"/>
      <c r="T537" s="6"/>
      <c r="U537" s="6"/>
      <c r="V537" s="6"/>
      <c r="W537" s="6"/>
      <c r="X537" s="6"/>
      <c r="Y537" s="6"/>
      <c r="Z537" s="6"/>
      <c r="AA537" s="6"/>
      <c r="AB537" s="6"/>
      <c r="AC537" s="6"/>
    </row>
    <row r="538" ht="14.25" customHeight="1">
      <c r="A538" s="28"/>
      <c r="B538" s="28"/>
      <c r="C538" s="29"/>
      <c r="D538" s="30"/>
      <c r="E538" s="28"/>
      <c r="F538" s="19"/>
      <c r="G538" s="6"/>
      <c r="H538" s="6"/>
      <c r="I538" s="6"/>
      <c r="J538" s="6"/>
      <c r="K538" s="6"/>
      <c r="L538" s="6"/>
      <c r="M538" s="6"/>
      <c r="N538" s="6"/>
      <c r="O538" s="6"/>
      <c r="P538" s="6"/>
      <c r="Q538" s="6"/>
      <c r="R538" s="6"/>
      <c r="S538" s="6"/>
      <c r="T538" s="6"/>
      <c r="U538" s="6"/>
      <c r="V538" s="6"/>
      <c r="W538" s="6"/>
      <c r="X538" s="6"/>
      <c r="Y538" s="6"/>
      <c r="Z538" s="6"/>
      <c r="AA538" s="6"/>
      <c r="AB538" s="6"/>
      <c r="AC538" s="6"/>
    </row>
    <row r="539" ht="14.25" customHeight="1">
      <c r="A539" s="28"/>
      <c r="B539" s="28"/>
      <c r="C539" s="29"/>
      <c r="D539" s="30"/>
      <c r="E539" s="28"/>
      <c r="F539" s="19"/>
      <c r="G539" s="6"/>
      <c r="H539" s="6"/>
      <c r="I539" s="6"/>
      <c r="J539" s="6"/>
      <c r="K539" s="6"/>
      <c r="L539" s="6"/>
      <c r="M539" s="6"/>
      <c r="N539" s="6"/>
      <c r="O539" s="6"/>
      <c r="P539" s="6"/>
      <c r="Q539" s="6"/>
      <c r="R539" s="6"/>
      <c r="S539" s="6"/>
      <c r="T539" s="6"/>
      <c r="U539" s="6"/>
      <c r="V539" s="6"/>
      <c r="W539" s="6"/>
      <c r="X539" s="6"/>
      <c r="Y539" s="6"/>
      <c r="Z539" s="6"/>
      <c r="AA539" s="6"/>
      <c r="AB539" s="6"/>
      <c r="AC539" s="6"/>
    </row>
    <row r="540" ht="14.25" customHeight="1">
      <c r="A540" s="28"/>
      <c r="B540" s="28"/>
      <c r="C540" s="29"/>
      <c r="D540" s="30"/>
      <c r="E540" s="28"/>
      <c r="F540" s="19"/>
      <c r="G540" s="6"/>
      <c r="H540" s="6"/>
      <c r="I540" s="6"/>
      <c r="J540" s="6"/>
      <c r="K540" s="6"/>
      <c r="L540" s="6"/>
      <c r="M540" s="6"/>
      <c r="N540" s="6"/>
      <c r="O540" s="6"/>
      <c r="P540" s="6"/>
      <c r="Q540" s="6"/>
      <c r="R540" s="6"/>
      <c r="S540" s="6"/>
      <c r="T540" s="6"/>
      <c r="U540" s="6"/>
      <c r="V540" s="6"/>
      <c r="W540" s="6"/>
      <c r="X540" s="6"/>
      <c r="Y540" s="6"/>
      <c r="Z540" s="6"/>
      <c r="AA540" s="6"/>
      <c r="AB540" s="6"/>
      <c r="AC540" s="6"/>
    </row>
    <row r="541" ht="14.25" customHeight="1">
      <c r="A541" s="28"/>
      <c r="B541" s="28"/>
      <c r="C541" s="29"/>
      <c r="D541" s="30"/>
      <c r="E541" s="28"/>
      <c r="F541" s="19"/>
      <c r="G541" s="6"/>
      <c r="H541" s="6"/>
      <c r="I541" s="6"/>
      <c r="J541" s="6"/>
      <c r="K541" s="6"/>
      <c r="L541" s="6"/>
      <c r="M541" s="6"/>
      <c r="N541" s="6"/>
      <c r="O541" s="6"/>
      <c r="P541" s="6"/>
      <c r="Q541" s="6"/>
      <c r="R541" s="6"/>
      <c r="S541" s="6"/>
      <c r="T541" s="6"/>
      <c r="U541" s="6"/>
      <c r="V541" s="6"/>
      <c r="W541" s="6"/>
      <c r="X541" s="6"/>
      <c r="Y541" s="6"/>
      <c r="Z541" s="6"/>
      <c r="AA541" s="6"/>
      <c r="AB541" s="6"/>
      <c r="AC541" s="6"/>
    </row>
    <row r="542" ht="14.25" customHeight="1">
      <c r="A542" s="28"/>
      <c r="B542" s="28"/>
      <c r="C542" s="29"/>
      <c r="D542" s="30"/>
      <c r="E542" s="28"/>
      <c r="F542" s="19"/>
      <c r="G542" s="6"/>
      <c r="H542" s="6"/>
      <c r="I542" s="6"/>
      <c r="J542" s="6"/>
      <c r="K542" s="6"/>
      <c r="L542" s="6"/>
      <c r="M542" s="6"/>
      <c r="N542" s="6"/>
      <c r="O542" s="6"/>
      <c r="P542" s="6"/>
      <c r="Q542" s="6"/>
      <c r="R542" s="6"/>
      <c r="S542" s="6"/>
      <c r="T542" s="6"/>
      <c r="U542" s="6"/>
      <c r="V542" s="6"/>
      <c r="W542" s="6"/>
      <c r="X542" s="6"/>
      <c r="Y542" s="6"/>
      <c r="Z542" s="6"/>
      <c r="AA542" s="6"/>
      <c r="AB542" s="6"/>
      <c r="AC542" s="6"/>
    </row>
    <row r="543" ht="14.25" customHeight="1">
      <c r="A543" s="28"/>
      <c r="B543" s="28"/>
      <c r="C543" s="29"/>
      <c r="D543" s="30"/>
      <c r="E543" s="28"/>
      <c r="F543" s="19"/>
      <c r="G543" s="6"/>
      <c r="H543" s="6"/>
      <c r="I543" s="6"/>
      <c r="J543" s="6"/>
      <c r="K543" s="6"/>
      <c r="L543" s="6"/>
      <c r="M543" s="6"/>
      <c r="N543" s="6"/>
      <c r="O543" s="6"/>
      <c r="P543" s="6"/>
      <c r="Q543" s="6"/>
      <c r="R543" s="6"/>
      <c r="S543" s="6"/>
      <c r="T543" s="6"/>
      <c r="U543" s="6"/>
      <c r="V543" s="6"/>
      <c r="W543" s="6"/>
      <c r="X543" s="6"/>
      <c r="Y543" s="6"/>
      <c r="Z543" s="6"/>
      <c r="AA543" s="6"/>
      <c r="AB543" s="6"/>
      <c r="AC543" s="6"/>
    </row>
    <row r="544" ht="14.25" customHeight="1">
      <c r="A544" s="28"/>
      <c r="B544" s="28"/>
      <c r="C544" s="29"/>
      <c r="D544" s="30"/>
      <c r="E544" s="28"/>
      <c r="F544" s="19"/>
      <c r="G544" s="6"/>
      <c r="H544" s="6"/>
      <c r="I544" s="6"/>
      <c r="J544" s="6"/>
      <c r="K544" s="6"/>
      <c r="L544" s="6"/>
      <c r="M544" s="6"/>
      <c r="N544" s="6"/>
      <c r="O544" s="6"/>
      <c r="P544" s="6"/>
      <c r="Q544" s="6"/>
      <c r="R544" s="6"/>
      <c r="S544" s="6"/>
      <c r="T544" s="6"/>
      <c r="U544" s="6"/>
      <c r="V544" s="6"/>
      <c r="W544" s="6"/>
      <c r="X544" s="6"/>
      <c r="Y544" s="6"/>
      <c r="Z544" s="6"/>
      <c r="AA544" s="6"/>
      <c r="AB544" s="6"/>
      <c r="AC544" s="6"/>
    </row>
    <row r="545" ht="14.25" customHeight="1">
      <c r="A545" s="28"/>
      <c r="B545" s="28"/>
      <c r="C545" s="29"/>
      <c r="D545" s="30"/>
      <c r="E545" s="28"/>
      <c r="F545" s="19"/>
      <c r="G545" s="6"/>
      <c r="H545" s="6"/>
      <c r="I545" s="6"/>
      <c r="J545" s="6"/>
      <c r="K545" s="6"/>
      <c r="L545" s="6"/>
      <c r="M545" s="6"/>
      <c r="N545" s="6"/>
      <c r="O545" s="6"/>
      <c r="P545" s="6"/>
      <c r="Q545" s="6"/>
      <c r="R545" s="6"/>
      <c r="S545" s="6"/>
      <c r="T545" s="6"/>
      <c r="U545" s="6"/>
      <c r="V545" s="6"/>
      <c r="W545" s="6"/>
      <c r="X545" s="6"/>
      <c r="Y545" s="6"/>
      <c r="Z545" s="6"/>
      <c r="AA545" s="6"/>
      <c r="AB545" s="6"/>
      <c r="AC545" s="6"/>
    </row>
    <row r="546" ht="14.25" customHeight="1">
      <c r="A546" s="28"/>
      <c r="B546" s="28"/>
      <c r="C546" s="29"/>
      <c r="D546" s="30"/>
      <c r="E546" s="28"/>
      <c r="F546" s="19"/>
      <c r="G546" s="6"/>
      <c r="H546" s="6"/>
      <c r="I546" s="6"/>
      <c r="J546" s="6"/>
      <c r="K546" s="6"/>
      <c r="L546" s="6"/>
      <c r="M546" s="6"/>
      <c r="N546" s="6"/>
      <c r="O546" s="6"/>
      <c r="P546" s="6"/>
      <c r="Q546" s="6"/>
      <c r="R546" s="6"/>
      <c r="S546" s="6"/>
      <c r="T546" s="6"/>
      <c r="U546" s="6"/>
      <c r="V546" s="6"/>
      <c r="W546" s="6"/>
      <c r="X546" s="6"/>
      <c r="Y546" s="6"/>
      <c r="Z546" s="6"/>
      <c r="AA546" s="6"/>
      <c r="AB546" s="6"/>
      <c r="AC546" s="6"/>
    </row>
    <row r="547" ht="14.25" customHeight="1">
      <c r="A547" s="28"/>
      <c r="B547" s="28"/>
      <c r="C547" s="29"/>
      <c r="D547" s="30"/>
      <c r="E547" s="28"/>
      <c r="F547" s="19"/>
      <c r="G547" s="6"/>
      <c r="H547" s="6"/>
      <c r="I547" s="6"/>
      <c r="J547" s="6"/>
      <c r="K547" s="6"/>
      <c r="L547" s="6"/>
      <c r="M547" s="6"/>
      <c r="N547" s="6"/>
      <c r="O547" s="6"/>
      <c r="P547" s="6"/>
      <c r="Q547" s="6"/>
      <c r="R547" s="6"/>
      <c r="S547" s="6"/>
      <c r="T547" s="6"/>
      <c r="U547" s="6"/>
      <c r="V547" s="6"/>
      <c r="W547" s="6"/>
      <c r="X547" s="6"/>
      <c r="Y547" s="6"/>
      <c r="Z547" s="6"/>
      <c r="AA547" s="6"/>
      <c r="AB547" s="6"/>
      <c r="AC547" s="6"/>
    </row>
    <row r="548" ht="14.25" customHeight="1">
      <c r="A548" s="28"/>
      <c r="B548" s="28"/>
      <c r="C548" s="29"/>
      <c r="D548" s="30"/>
      <c r="E548" s="28"/>
      <c r="F548" s="19"/>
      <c r="G548" s="6"/>
      <c r="H548" s="6"/>
      <c r="I548" s="6"/>
      <c r="J548" s="6"/>
      <c r="K548" s="6"/>
      <c r="L548" s="6"/>
      <c r="M548" s="6"/>
      <c r="N548" s="6"/>
      <c r="O548" s="6"/>
      <c r="P548" s="6"/>
      <c r="Q548" s="6"/>
      <c r="R548" s="6"/>
      <c r="S548" s="6"/>
      <c r="T548" s="6"/>
      <c r="U548" s="6"/>
      <c r="V548" s="6"/>
      <c r="W548" s="6"/>
      <c r="X548" s="6"/>
      <c r="Y548" s="6"/>
      <c r="Z548" s="6"/>
      <c r="AA548" s="6"/>
      <c r="AB548" s="6"/>
      <c r="AC548" s="6"/>
    </row>
    <row r="549" ht="14.25" customHeight="1">
      <c r="A549" s="28"/>
      <c r="B549" s="28"/>
      <c r="C549" s="29"/>
      <c r="D549" s="30"/>
      <c r="E549" s="28"/>
      <c r="F549" s="19"/>
      <c r="G549" s="6"/>
      <c r="H549" s="6"/>
      <c r="I549" s="6"/>
      <c r="J549" s="6"/>
      <c r="K549" s="6"/>
      <c r="L549" s="6"/>
      <c r="M549" s="6"/>
      <c r="N549" s="6"/>
      <c r="O549" s="6"/>
      <c r="P549" s="6"/>
      <c r="Q549" s="6"/>
      <c r="R549" s="6"/>
      <c r="S549" s="6"/>
      <c r="T549" s="6"/>
      <c r="U549" s="6"/>
      <c r="V549" s="6"/>
      <c r="W549" s="6"/>
      <c r="X549" s="6"/>
      <c r="Y549" s="6"/>
      <c r="Z549" s="6"/>
      <c r="AA549" s="6"/>
      <c r="AB549" s="6"/>
      <c r="AC549" s="6"/>
    </row>
    <row r="550" ht="14.25" customHeight="1">
      <c r="A550" s="28"/>
      <c r="B550" s="28"/>
      <c r="C550" s="29"/>
      <c r="D550" s="30"/>
      <c r="E550" s="28"/>
      <c r="F550" s="19"/>
      <c r="G550" s="6"/>
      <c r="H550" s="6"/>
      <c r="I550" s="6"/>
      <c r="J550" s="6"/>
      <c r="K550" s="6"/>
      <c r="L550" s="6"/>
      <c r="M550" s="6"/>
      <c r="N550" s="6"/>
      <c r="O550" s="6"/>
      <c r="P550" s="6"/>
      <c r="Q550" s="6"/>
      <c r="R550" s="6"/>
      <c r="S550" s="6"/>
      <c r="T550" s="6"/>
      <c r="U550" s="6"/>
      <c r="V550" s="6"/>
      <c r="W550" s="6"/>
      <c r="X550" s="6"/>
      <c r="Y550" s="6"/>
      <c r="Z550" s="6"/>
      <c r="AA550" s="6"/>
      <c r="AB550" s="6"/>
      <c r="AC550" s="6"/>
    </row>
    <row r="551" ht="14.25" customHeight="1">
      <c r="A551" s="28"/>
      <c r="B551" s="28"/>
      <c r="C551" s="29"/>
      <c r="D551" s="30"/>
      <c r="E551" s="28"/>
      <c r="F551" s="19"/>
      <c r="G551" s="6"/>
      <c r="H551" s="6"/>
      <c r="I551" s="6"/>
      <c r="J551" s="6"/>
      <c r="K551" s="6"/>
      <c r="L551" s="6"/>
      <c r="M551" s="6"/>
      <c r="N551" s="6"/>
      <c r="O551" s="6"/>
      <c r="P551" s="6"/>
      <c r="Q551" s="6"/>
      <c r="R551" s="6"/>
      <c r="S551" s="6"/>
      <c r="T551" s="6"/>
      <c r="U551" s="6"/>
      <c r="V551" s="6"/>
      <c r="W551" s="6"/>
      <c r="X551" s="6"/>
      <c r="Y551" s="6"/>
      <c r="Z551" s="6"/>
      <c r="AA551" s="6"/>
      <c r="AB551" s="6"/>
      <c r="AC551" s="6"/>
    </row>
    <row r="552" ht="14.25" customHeight="1">
      <c r="A552" s="28"/>
      <c r="B552" s="28"/>
      <c r="C552" s="29"/>
      <c r="D552" s="30"/>
      <c r="E552" s="28"/>
      <c r="F552" s="19"/>
      <c r="G552" s="6"/>
      <c r="H552" s="6"/>
      <c r="I552" s="6"/>
      <c r="J552" s="6"/>
      <c r="K552" s="6"/>
      <c r="L552" s="6"/>
      <c r="M552" s="6"/>
      <c r="N552" s="6"/>
      <c r="O552" s="6"/>
      <c r="P552" s="6"/>
      <c r="Q552" s="6"/>
      <c r="R552" s="6"/>
      <c r="S552" s="6"/>
      <c r="T552" s="6"/>
      <c r="U552" s="6"/>
      <c r="V552" s="6"/>
      <c r="W552" s="6"/>
      <c r="X552" s="6"/>
      <c r="Y552" s="6"/>
      <c r="Z552" s="6"/>
      <c r="AA552" s="6"/>
      <c r="AB552" s="6"/>
      <c r="AC552" s="6"/>
    </row>
    <row r="553" ht="14.25" customHeight="1">
      <c r="A553" s="28"/>
      <c r="B553" s="28"/>
      <c r="C553" s="29"/>
      <c r="D553" s="30"/>
      <c r="E553" s="28"/>
      <c r="F553" s="19"/>
      <c r="G553" s="6"/>
      <c r="H553" s="6"/>
      <c r="I553" s="6"/>
      <c r="J553" s="6"/>
      <c r="K553" s="6"/>
      <c r="L553" s="6"/>
      <c r="M553" s="6"/>
      <c r="N553" s="6"/>
      <c r="O553" s="6"/>
      <c r="P553" s="6"/>
      <c r="Q553" s="6"/>
      <c r="R553" s="6"/>
      <c r="S553" s="6"/>
      <c r="T553" s="6"/>
      <c r="U553" s="6"/>
      <c r="V553" s="6"/>
      <c r="W553" s="6"/>
      <c r="X553" s="6"/>
      <c r="Y553" s="6"/>
      <c r="Z553" s="6"/>
      <c r="AA553" s="6"/>
      <c r="AB553" s="6"/>
      <c r="AC553" s="6"/>
    </row>
    <row r="554" ht="14.25" customHeight="1">
      <c r="A554" s="28"/>
      <c r="B554" s="28"/>
      <c r="C554" s="29"/>
      <c r="D554" s="30"/>
      <c r="E554" s="28"/>
      <c r="F554" s="19"/>
      <c r="G554" s="6"/>
      <c r="H554" s="6"/>
      <c r="I554" s="6"/>
      <c r="J554" s="6"/>
      <c r="K554" s="6"/>
      <c r="L554" s="6"/>
      <c r="M554" s="6"/>
      <c r="N554" s="6"/>
      <c r="O554" s="6"/>
      <c r="P554" s="6"/>
      <c r="Q554" s="6"/>
      <c r="R554" s="6"/>
      <c r="S554" s="6"/>
      <c r="T554" s="6"/>
      <c r="U554" s="6"/>
      <c r="V554" s="6"/>
      <c r="W554" s="6"/>
      <c r="X554" s="6"/>
      <c r="Y554" s="6"/>
      <c r="Z554" s="6"/>
      <c r="AA554" s="6"/>
      <c r="AB554" s="6"/>
      <c r="AC554" s="6"/>
    </row>
    <row r="555" ht="14.25" customHeight="1">
      <c r="A555" s="28"/>
      <c r="B555" s="28"/>
      <c r="C555" s="29"/>
      <c r="D555" s="30"/>
      <c r="E555" s="28"/>
      <c r="F555" s="19"/>
      <c r="G555" s="6"/>
      <c r="H555" s="6"/>
      <c r="I555" s="6"/>
      <c r="J555" s="6"/>
      <c r="K555" s="6"/>
      <c r="L555" s="6"/>
      <c r="M555" s="6"/>
      <c r="N555" s="6"/>
      <c r="O555" s="6"/>
      <c r="P555" s="6"/>
      <c r="Q555" s="6"/>
      <c r="R555" s="6"/>
      <c r="S555" s="6"/>
      <c r="T555" s="6"/>
      <c r="U555" s="6"/>
      <c r="V555" s="6"/>
      <c r="W555" s="6"/>
      <c r="X555" s="6"/>
      <c r="Y555" s="6"/>
      <c r="Z555" s="6"/>
      <c r="AA555" s="6"/>
      <c r="AB555" s="6"/>
      <c r="AC555" s="6"/>
    </row>
    <row r="556" ht="14.25" customHeight="1">
      <c r="A556" s="28"/>
      <c r="B556" s="28"/>
      <c r="C556" s="29"/>
      <c r="D556" s="30"/>
      <c r="E556" s="28"/>
      <c r="F556" s="19"/>
      <c r="G556" s="6"/>
      <c r="H556" s="6"/>
      <c r="I556" s="6"/>
      <c r="J556" s="6"/>
      <c r="K556" s="6"/>
      <c r="L556" s="6"/>
      <c r="M556" s="6"/>
      <c r="N556" s="6"/>
      <c r="O556" s="6"/>
      <c r="P556" s="6"/>
      <c r="Q556" s="6"/>
      <c r="R556" s="6"/>
      <c r="S556" s="6"/>
      <c r="T556" s="6"/>
      <c r="U556" s="6"/>
      <c r="V556" s="6"/>
      <c r="W556" s="6"/>
      <c r="X556" s="6"/>
      <c r="Y556" s="6"/>
      <c r="Z556" s="6"/>
      <c r="AA556" s="6"/>
      <c r="AB556" s="6"/>
      <c r="AC556" s="6"/>
    </row>
    <row r="557" ht="14.25" customHeight="1">
      <c r="A557" s="28"/>
      <c r="B557" s="28"/>
      <c r="C557" s="29"/>
      <c r="D557" s="30"/>
      <c r="E557" s="28"/>
      <c r="F557" s="19"/>
      <c r="G557" s="6"/>
      <c r="H557" s="6"/>
      <c r="I557" s="6"/>
      <c r="J557" s="6"/>
      <c r="K557" s="6"/>
      <c r="L557" s="6"/>
      <c r="M557" s="6"/>
      <c r="N557" s="6"/>
      <c r="O557" s="6"/>
      <c r="P557" s="6"/>
      <c r="Q557" s="6"/>
      <c r="R557" s="6"/>
      <c r="S557" s="6"/>
      <c r="T557" s="6"/>
      <c r="U557" s="6"/>
      <c r="V557" s="6"/>
      <c r="W557" s="6"/>
      <c r="X557" s="6"/>
      <c r="Y557" s="6"/>
      <c r="Z557" s="6"/>
      <c r="AA557" s="6"/>
      <c r="AB557" s="6"/>
      <c r="AC557" s="6"/>
    </row>
    <row r="558" ht="14.25" customHeight="1">
      <c r="A558" s="28"/>
      <c r="B558" s="28"/>
      <c r="C558" s="29"/>
      <c r="D558" s="30"/>
      <c r="E558" s="28"/>
      <c r="F558" s="19"/>
      <c r="G558" s="6"/>
      <c r="H558" s="6"/>
      <c r="I558" s="6"/>
      <c r="J558" s="6"/>
      <c r="K558" s="6"/>
      <c r="L558" s="6"/>
      <c r="M558" s="6"/>
      <c r="N558" s="6"/>
      <c r="O558" s="6"/>
      <c r="P558" s="6"/>
      <c r="Q558" s="6"/>
      <c r="R558" s="6"/>
      <c r="S558" s="6"/>
      <c r="T558" s="6"/>
      <c r="U558" s="6"/>
      <c r="V558" s="6"/>
      <c r="W558" s="6"/>
      <c r="X558" s="6"/>
      <c r="Y558" s="6"/>
      <c r="Z558" s="6"/>
      <c r="AA558" s="6"/>
      <c r="AB558" s="6"/>
      <c r="AC558" s="6"/>
    </row>
    <row r="559" ht="14.25" customHeight="1">
      <c r="A559" s="28"/>
      <c r="B559" s="28"/>
      <c r="C559" s="29"/>
      <c r="D559" s="30"/>
      <c r="E559" s="28"/>
      <c r="F559" s="19"/>
      <c r="G559" s="6"/>
      <c r="H559" s="6"/>
      <c r="I559" s="6"/>
      <c r="J559" s="6"/>
      <c r="K559" s="6"/>
      <c r="L559" s="6"/>
      <c r="M559" s="6"/>
      <c r="N559" s="6"/>
      <c r="O559" s="6"/>
      <c r="P559" s="6"/>
      <c r="Q559" s="6"/>
      <c r="R559" s="6"/>
      <c r="S559" s="6"/>
      <c r="T559" s="6"/>
      <c r="U559" s="6"/>
      <c r="V559" s="6"/>
      <c r="W559" s="6"/>
      <c r="X559" s="6"/>
      <c r="Y559" s="6"/>
      <c r="Z559" s="6"/>
      <c r="AA559" s="6"/>
      <c r="AB559" s="6"/>
      <c r="AC559" s="6"/>
    </row>
    <row r="560" ht="14.25" customHeight="1">
      <c r="A560" s="28"/>
      <c r="B560" s="28"/>
      <c r="C560" s="29"/>
      <c r="D560" s="30"/>
      <c r="E560" s="28"/>
      <c r="F560" s="19"/>
      <c r="G560" s="6"/>
      <c r="H560" s="6"/>
      <c r="I560" s="6"/>
      <c r="J560" s="6"/>
      <c r="K560" s="6"/>
      <c r="L560" s="6"/>
      <c r="M560" s="6"/>
      <c r="N560" s="6"/>
      <c r="O560" s="6"/>
      <c r="P560" s="6"/>
      <c r="Q560" s="6"/>
      <c r="R560" s="6"/>
      <c r="S560" s="6"/>
      <c r="T560" s="6"/>
      <c r="U560" s="6"/>
      <c r="V560" s="6"/>
      <c r="W560" s="6"/>
      <c r="X560" s="6"/>
      <c r="Y560" s="6"/>
      <c r="Z560" s="6"/>
      <c r="AA560" s="6"/>
      <c r="AB560" s="6"/>
      <c r="AC560" s="6"/>
    </row>
    <row r="561" ht="14.25" customHeight="1">
      <c r="A561" s="28"/>
      <c r="B561" s="28"/>
      <c r="C561" s="29"/>
      <c r="D561" s="30"/>
      <c r="E561" s="28"/>
      <c r="F561" s="19"/>
      <c r="G561" s="6"/>
      <c r="H561" s="6"/>
      <c r="I561" s="6"/>
      <c r="J561" s="6"/>
      <c r="K561" s="6"/>
      <c r="L561" s="6"/>
      <c r="M561" s="6"/>
      <c r="N561" s="6"/>
      <c r="O561" s="6"/>
      <c r="P561" s="6"/>
      <c r="Q561" s="6"/>
      <c r="R561" s="6"/>
      <c r="S561" s="6"/>
      <c r="T561" s="6"/>
      <c r="U561" s="6"/>
      <c r="V561" s="6"/>
      <c r="W561" s="6"/>
      <c r="X561" s="6"/>
      <c r="Y561" s="6"/>
      <c r="Z561" s="6"/>
      <c r="AA561" s="6"/>
      <c r="AB561" s="6"/>
      <c r="AC561" s="6"/>
    </row>
    <row r="562" ht="14.25" customHeight="1">
      <c r="A562" s="28"/>
      <c r="B562" s="28"/>
      <c r="C562" s="29"/>
      <c r="D562" s="30"/>
      <c r="E562" s="28"/>
      <c r="F562" s="19"/>
      <c r="G562" s="6"/>
      <c r="H562" s="6"/>
      <c r="I562" s="6"/>
      <c r="J562" s="6"/>
      <c r="K562" s="6"/>
      <c r="L562" s="6"/>
      <c r="M562" s="6"/>
      <c r="N562" s="6"/>
      <c r="O562" s="6"/>
      <c r="P562" s="6"/>
      <c r="Q562" s="6"/>
      <c r="R562" s="6"/>
      <c r="S562" s="6"/>
      <c r="T562" s="6"/>
      <c r="U562" s="6"/>
      <c r="V562" s="6"/>
      <c r="W562" s="6"/>
      <c r="X562" s="6"/>
      <c r="Y562" s="6"/>
      <c r="Z562" s="6"/>
      <c r="AA562" s="6"/>
      <c r="AB562" s="6"/>
      <c r="AC562" s="6"/>
    </row>
    <row r="563" ht="14.25" customHeight="1">
      <c r="A563" s="28"/>
      <c r="B563" s="28"/>
      <c r="C563" s="29"/>
      <c r="D563" s="30"/>
      <c r="E563" s="28"/>
      <c r="F563" s="19"/>
      <c r="G563" s="6"/>
      <c r="H563" s="6"/>
      <c r="I563" s="6"/>
      <c r="J563" s="6"/>
      <c r="K563" s="6"/>
      <c r="L563" s="6"/>
      <c r="M563" s="6"/>
      <c r="N563" s="6"/>
      <c r="O563" s="6"/>
      <c r="P563" s="6"/>
      <c r="Q563" s="6"/>
      <c r="R563" s="6"/>
      <c r="S563" s="6"/>
      <c r="T563" s="6"/>
      <c r="U563" s="6"/>
      <c r="V563" s="6"/>
      <c r="W563" s="6"/>
      <c r="X563" s="6"/>
      <c r="Y563" s="6"/>
      <c r="Z563" s="6"/>
      <c r="AA563" s="6"/>
      <c r="AB563" s="6"/>
      <c r="AC563" s="6"/>
    </row>
    <row r="564" ht="14.25" customHeight="1">
      <c r="A564" s="28"/>
      <c r="B564" s="28"/>
      <c r="C564" s="29"/>
      <c r="D564" s="30"/>
      <c r="E564" s="28"/>
      <c r="F564" s="19"/>
      <c r="G564" s="6"/>
      <c r="H564" s="6"/>
      <c r="I564" s="6"/>
      <c r="J564" s="6"/>
      <c r="K564" s="6"/>
      <c r="L564" s="6"/>
      <c r="M564" s="6"/>
      <c r="N564" s="6"/>
      <c r="O564" s="6"/>
      <c r="P564" s="6"/>
      <c r="Q564" s="6"/>
      <c r="R564" s="6"/>
      <c r="S564" s="6"/>
      <c r="T564" s="6"/>
      <c r="U564" s="6"/>
      <c r="V564" s="6"/>
      <c r="W564" s="6"/>
      <c r="X564" s="6"/>
      <c r="Y564" s="6"/>
      <c r="Z564" s="6"/>
      <c r="AA564" s="6"/>
      <c r="AB564" s="6"/>
      <c r="AC564" s="6"/>
    </row>
    <row r="565" ht="14.25" customHeight="1">
      <c r="A565" s="28"/>
      <c r="B565" s="28"/>
      <c r="C565" s="29"/>
      <c r="D565" s="30"/>
      <c r="E565" s="28"/>
      <c r="F565" s="19"/>
      <c r="G565" s="6"/>
      <c r="H565" s="6"/>
      <c r="I565" s="6"/>
      <c r="J565" s="6"/>
      <c r="K565" s="6"/>
      <c r="L565" s="6"/>
      <c r="M565" s="6"/>
      <c r="N565" s="6"/>
      <c r="O565" s="6"/>
      <c r="P565" s="6"/>
      <c r="Q565" s="6"/>
      <c r="R565" s="6"/>
      <c r="S565" s="6"/>
      <c r="T565" s="6"/>
      <c r="U565" s="6"/>
      <c r="V565" s="6"/>
      <c r="W565" s="6"/>
      <c r="X565" s="6"/>
      <c r="Y565" s="6"/>
      <c r="Z565" s="6"/>
      <c r="AA565" s="6"/>
      <c r="AB565" s="6"/>
      <c r="AC565" s="6"/>
    </row>
    <row r="566" ht="14.25" customHeight="1">
      <c r="A566" s="28"/>
      <c r="B566" s="28"/>
      <c r="C566" s="29"/>
      <c r="D566" s="30"/>
      <c r="E566" s="28"/>
      <c r="F566" s="19"/>
      <c r="G566" s="6"/>
      <c r="H566" s="6"/>
      <c r="I566" s="6"/>
      <c r="J566" s="6"/>
      <c r="K566" s="6"/>
      <c r="L566" s="6"/>
      <c r="M566" s="6"/>
      <c r="N566" s="6"/>
      <c r="O566" s="6"/>
      <c r="P566" s="6"/>
      <c r="Q566" s="6"/>
      <c r="R566" s="6"/>
      <c r="S566" s="6"/>
      <c r="T566" s="6"/>
      <c r="U566" s="6"/>
      <c r="V566" s="6"/>
      <c r="W566" s="6"/>
      <c r="X566" s="6"/>
      <c r="Y566" s="6"/>
      <c r="Z566" s="6"/>
      <c r="AA566" s="6"/>
      <c r="AB566" s="6"/>
      <c r="AC566" s="6"/>
    </row>
    <row r="567" ht="14.25" customHeight="1">
      <c r="A567" s="28"/>
      <c r="B567" s="28"/>
      <c r="C567" s="29"/>
      <c r="D567" s="30"/>
      <c r="E567" s="28"/>
      <c r="F567" s="19"/>
      <c r="G567" s="6"/>
      <c r="H567" s="6"/>
      <c r="I567" s="6"/>
      <c r="J567" s="6"/>
      <c r="K567" s="6"/>
      <c r="L567" s="6"/>
      <c r="M567" s="6"/>
      <c r="N567" s="6"/>
      <c r="O567" s="6"/>
      <c r="P567" s="6"/>
      <c r="Q567" s="6"/>
      <c r="R567" s="6"/>
      <c r="S567" s="6"/>
      <c r="T567" s="6"/>
      <c r="U567" s="6"/>
      <c r="V567" s="6"/>
      <c r="W567" s="6"/>
      <c r="X567" s="6"/>
      <c r="Y567" s="6"/>
      <c r="Z567" s="6"/>
      <c r="AA567" s="6"/>
      <c r="AB567" s="6"/>
      <c r="AC567" s="6"/>
    </row>
    <row r="568" ht="14.25" customHeight="1">
      <c r="A568" s="28"/>
      <c r="B568" s="28"/>
      <c r="C568" s="29"/>
      <c r="D568" s="30"/>
      <c r="E568" s="28"/>
      <c r="F568" s="19"/>
      <c r="G568" s="6"/>
      <c r="H568" s="6"/>
      <c r="I568" s="6"/>
      <c r="J568" s="6"/>
      <c r="K568" s="6"/>
      <c r="L568" s="6"/>
      <c r="M568" s="6"/>
      <c r="N568" s="6"/>
      <c r="O568" s="6"/>
      <c r="P568" s="6"/>
      <c r="Q568" s="6"/>
      <c r="R568" s="6"/>
      <c r="S568" s="6"/>
      <c r="T568" s="6"/>
      <c r="U568" s="6"/>
      <c r="V568" s="6"/>
      <c r="W568" s="6"/>
      <c r="X568" s="6"/>
      <c r="Y568" s="6"/>
      <c r="Z568" s="6"/>
      <c r="AA568" s="6"/>
      <c r="AB568" s="6"/>
      <c r="AC568" s="6"/>
    </row>
    <row r="569" ht="14.25" customHeight="1">
      <c r="A569" s="28"/>
      <c r="B569" s="28"/>
      <c r="C569" s="29"/>
      <c r="D569" s="30"/>
      <c r="E569" s="28"/>
      <c r="F569" s="19"/>
      <c r="G569" s="6"/>
      <c r="H569" s="6"/>
      <c r="I569" s="6"/>
      <c r="J569" s="6"/>
      <c r="K569" s="6"/>
      <c r="L569" s="6"/>
      <c r="M569" s="6"/>
      <c r="N569" s="6"/>
      <c r="O569" s="6"/>
      <c r="P569" s="6"/>
      <c r="Q569" s="6"/>
      <c r="R569" s="6"/>
      <c r="S569" s="6"/>
      <c r="T569" s="6"/>
      <c r="U569" s="6"/>
      <c r="V569" s="6"/>
      <c r="W569" s="6"/>
      <c r="X569" s="6"/>
      <c r="Y569" s="6"/>
      <c r="Z569" s="6"/>
      <c r="AA569" s="6"/>
      <c r="AB569" s="6"/>
      <c r="AC569" s="6"/>
    </row>
    <row r="570" ht="14.25" customHeight="1">
      <c r="A570" s="28"/>
      <c r="B570" s="28"/>
      <c r="C570" s="29"/>
      <c r="D570" s="30"/>
      <c r="E570" s="28"/>
      <c r="F570" s="19"/>
      <c r="G570" s="6"/>
      <c r="H570" s="6"/>
      <c r="I570" s="6"/>
      <c r="J570" s="6"/>
      <c r="K570" s="6"/>
      <c r="L570" s="6"/>
      <c r="M570" s="6"/>
      <c r="N570" s="6"/>
      <c r="O570" s="6"/>
      <c r="P570" s="6"/>
      <c r="Q570" s="6"/>
      <c r="R570" s="6"/>
      <c r="S570" s="6"/>
      <c r="T570" s="6"/>
      <c r="U570" s="6"/>
      <c r="V570" s="6"/>
      <c r="W570" s="6"/>
      <c r="X570" s="6"/>
      <c r="Y570" s="6"/>
      <c r="Z570" s="6"/>
      <c r="AA570" s="6"/>
      <c r="AB570" s="6"/>
      <c r="AC570" s="6"/>
    </row>
    <row r="571" ht="14.25" customHeight="1">
      <c r="A571" s="28"/>
      <c r="B571" s="28"/>
      <c r="C571" s="29"/>
      <c r="D571" s="30"/>
      <c r="E571" s="28"/>
      <c r="F571" s="19"/>
      <c r="G571" s="6"/>
      <c r="H571" s="6"/>
      <c r="I571" s="6"/>
      <c r="J571" s="6"/>
      <c r="K571" s="6"/>
      <c r="L571" s="6"/>
      <c r="M571" s="6"/>
      <c r="N571" s="6"/>
      <c r="O571" s="6"/>
      <c r="P571" s="6"/>
      <c r="Q571" s="6"/>
      <c r="R571" s="6"/>
      <c r="S571" s="6"/>
      <c r="T571" s="6"/>
      <c r="U571" s="6"/>
      <c r="V571" s="6"/>
      <c r="W571" s="6"/>
      <c r="X571" s="6"/>
      <c r="Y571" s="6"/>
      <c r="Z571" s="6"/>
      <c r="AA571" s="6"/>
      <c r="AB571" s="6"/>
      <c r="AC571" s="6"/>
    </row>
    <row r="572" ht="14.25" customHeight="1">
      <c r="A572" s="28"/>
      <c r="B572" s="28"/>
      <c r="C572" s="29"/>
      <c r="D572" s="30"/>
      <c r="E572" s="28"/>
      <c r="F572" s="19"/>
      <c r="G572" s="6"/>
      <c r="H572" s="6"/>
      <c r="I572" s="6"/>
      <c r="J572" s="6"/>
      <c r="K572" s="6"/>
      <c r="L572" s="6"/>
      <c r="M572" s="6"/>
      <c r="N572" s="6"/>
      <c r="O572" s="6"/>
      <c r="P572" s="6"/>
      <c r="Q572" s="6"/>
      <c r="R572" s="6"/>
      <c r="S572" s="6"/>
      <c r="T572" s="6"/>
      <c r="U572" s="6"/>
      <c r="V572" s="6"/>
      <c r="W572" s="6"/>
      <c r="X572" s="6"/>
      <c r="Y572" s="6"/>
      <c r="Z572" s="6"/>
      <c r="AA572" s="6"/>
      <c r="AB572" s="6"/>
      <c r="AC572" s="6"/>
    </row>
    <row r="573" ht="14.25" customHeight="1">
      <c r="A573" s="28"/>
      <c r="B573" s="28"/>
      <c r="C573" s="29"/>
      <c r="D573" s="30"/>
      <c r="E573" s="28"/>
      <c r="F573" s="19"/>
      <c r="G573" s="6"/>
      <c r="H573" s="6"/>
      <c r="I573" s="6"/>
      <c r="J573" s="6"/>
      <c r="K573" s="6"/>
      <c r="L573" s="6"/>
      <c r="M573" s="6"/>
      <c r="N573" s="6"/>
      <c r="O573" s="6"/>
      <c r="P573" s="6"/>
      <c r="Q573" s="6"/>
      <c r="R573" s="6"/>
      <c r="S573" s="6"/>
      <c r="T573" s="6"/>
      <c r="U573" s="6"/>
      <c r="V573" s="6"/>
      <c r="W573" s="6"/>
      <c r="X573" s="6"/>
      <c r="Y573" s="6"/>
      <c r="Z573" s="6"/>
      <c r="AA573" s="6"/>
      <c r="AB573" s="6"/>
      <c r="AC573" s="6"/>
    </row>
    <row r="574" ht="14.25" customHeight="1">
      <c r="A574" s="28"/>
      <c r="B574" s="28"/>
      <c r="C574" s="29"/>
      <c r="D574" s="30"/>
      <c r="E574" s="28"/>
      <c r="F574" s="19"/>
      <c r="G574" s="6"/>
      <c r="H574" s="6"/>
      <c r="I574" s="6"/>
      <c r="J574" s="6"/>
      <c r="K574" s="6"/>
      <c r="L574" s="6"/>
      <c r="M574" s="6"/>
      <c r="N574" s="6"/>
      <c r="O574" s="6"/>
      <c r="P574" s="6"/>
      <c r="Q574" s="6"/>
      <c r="R574" s="6"/>
      <c r="S574" s="6"/>
      <c r="T574" s="6"/>
      <c r="U574" s="6"/>
      <c r="V574" s="6"/>
      <c r="W574" s="6"/>
      <c r="X574" s="6"/>
      <c r="Y574" s="6"/>
      <c r="Z574" s="6"/>
      <c r="AA574" s="6"/>
      <c r="AB574" s="6"/>
      <c r="AC574" s="6"/>
    </row>
    <row r="575" ht="14.25" customHeight="1">
      <c r="A575" s="28"/>
      <c r="B575" s="28"/>
      <c r="C575" s="29"/>
      <c r="D575" s="30"/>
      <c r="E575" s="28"/>
      <c r="F575" s="19"/>
      <c r="G575" s="6"/>
      <c r="H575" s="6"/>
      <c r="I575" s="6"/>
      <c r="J575" s="6"/>
      <c r="K575" s="6"/>
      <c r="L575" s="6"/>
      <c r="M575" s="6"/>
      <c r="N575" s="6"/>
      <c r="O575" s="6"/>
      <c r="P575" s="6"/>
      <c r="Q575" s="6"/>
      <c r="R575" s="6"/>
      <c r="S575" s="6"/>
      <c r="T575" s="6"/>
      <c r="U575" s="6"/>
      <c r="V575" s="6"/>
      <c r="W575" s="6"/>
      <c r="X575" s="6"/>
      <c r="Y575" s="6"/>
      <c r="Z575" s="6"/>
      <c r="AA575" s="6"/>
      <c r="AB575" s="6"/>
      <c r="AC575" s="6"/>
    </row>
    <row r="576" ht="14.25" customHeight="1">
      <c r="A576" s="28"/>
      <c r="B576" s="28"/>
      <c r="C576" s="29"/>
      <c r="D576" s="30"/>
      <c r="E576" s="28"/>
      <c r="F576" s="19"/>
      <c r="G576" s="6"/>
      <c r="H576" s="6"/>
      <c r="I576" s="6"/>
      <c r="J576" s="6"/>
      <c r="K576" s="6"/>
      <c r="L576" s="6"/>
      <c r="M576" s="6"/>
      <c r="N576" s="6"/>
      <c r="O576" s="6"/>
      <c r="P576" s="6"/>
      <c r="Q576" s="6"/>
      <c r="R576" s="6"/>
      <c r="S576" s="6"/>
      <c r="T576" s="6"/>
      <c r="U576" s="6"/>
      <c r="V576" s="6"/>
      <c r="W576" s="6"/>
      <c r="X576" s="6"/>
      <c r="Y576" s="6"/>
      <c r="Z576" s="6"/>
      <c r="AA576" s="6"/>
      <c r="AB576" s="6"/>
      <c r="AC576" s="6"/>
    </row>
    <row r="577" ht="14.25" customHeight="1">
      <c r="A577" s="28"/>
      <c r="B577" s="28"/>
      <c r="C577" s="29"/>
      <c r="D577" s="30"/>
      <c r="E577" s="28"/>
      <c r="F577" s="19"/>
      <c r="G577" s="6"/>
      <c r="H577" s="6"/>
      <c r="I577" s="6"/>
      <c r="J577" s="6"/>
      <c r="K577" s="6"/>
      <c r="L577" s="6"/>
      <c r="M577" s="6"/>
      <c r="N577" s="6"/>
      <c r="O577" s="6"/>
      <c r="P577" s="6"/>
      <c r="Q577" s="6"/>
      <c r="R577" s="6"/>
      <c r="S577" s="6"/>
      <c r="T577" s="6"/>
      <c r="U577" s="6"/>
      <c r="V577" s="6"/>
      <c r="W577" s="6"/>
      <c r="X577" s="6"/>
      <c r="Y577" s="6"/>
      <c r="Z577" s="6"/>
      <c r="AA577" s="6"/>
      <c r="AB577" s="6"/>
      <c r="AC577" s="6"/>
    </row>
    <row r="578" ht="14.25" customHeight="1">
      <c r="A578" s="28"/>
      <c r="B578" s="28"/>
      <c r="C578" s="29"/>
      <c r="D578" s="30"/>
      <c r="E578" s="28"/>
      <c r="F578" s="19"/>
      <c r="G578" s="6"/>
      <c r="H578" s="6"/>
      <c r="I578" s="6"/>
      <c r="J578" s="6"/>
      <c r="K578" s="6"/>
      <c r="L578" s="6"/>
      <c r="M578" s="6"/>
      <c r="N578" s="6"/>
      <c r="O578" s="6"/>
      <c r="P578" s="6"/>
      <c r="Q578" s="6"/>
      <c r="R578" s="6"/>
      <c r="S578" s="6"/>
      <c r="T578" s="6"/>
      <c r="U578" s="6"/>
      <c r="V578" s="6"/>
      <c r="W578" s="6"/>
      <c r="X578" s="6"/>
      <c r="Y578" s="6"/>
      <c r="Z578" s="6"/>
      <c r="AA578" s="6"/>
      <c r="AB578" s="6"/>
      <c r="AC578" s="6"/>
    </row>
    <row r="579" ht="14.25" customHeight="1">
      <c r="A579" s="28"/>
      <c r="B579" s="28"/>
      <c r="C579" s="29"/>
      <c r="D579" s="30"/>
      <c r="E579" s="28"/>
      <c r="F579" s="19"/>
      <c r="G579" s="6"/>
      <c r="H579" s="6"/>
      <c r="I579" s="6"/>
      <c r="J579" s="6"/>
      <c r="K579" s="6"/>
      <c r="L579" s="6"/>
      <c r="M579" s="6"/>
      <c r="N579" s="6"/>
      <c r="O579" s="6"/>
      <c r="P579" s="6"/>
      <c r="Q579" s="6"/>
      <c r="R579" s="6"/>
      <c r="S579" s="6"/>
      <c r="T579" s="6"/>
      <c r="U579" s="6"/>
      <c r="V579" s="6"/>
      <c r="W579" s="6"/>
      <c r="X579" s="6"/>
      <c r="Y579" s="6"/>
      <c r="Z579" s="6"/>
      <c r="AA579" s="6"/>
      <c r="AB579" s="6"/>
      <c r="AC579" s="6"/>
    </row>
    <row r="580" ht="14.25" customHeight="1">
      <c r="A580" s="28"/>
      <c r="B580" s="28"/>
      <c r="C580" s="29"/>
      <c r="D580" s="30"/>
      <c r="E580" s="28"/>
      <c r="F580" s="19"/>
      <c r="G580" s="6"/>
      <c r="H580" s="6"/>
      <c r="I580" s="6"/>
      <c r="J580" s="6"/>
      <c r="K580" s="6"/>
      <c r="L580" s="6"/>
      <c r="M580" s="6"/>
      <c r="N580" s="6"/>
      <c r="O580" s="6"/>
      <c r="P580" s="6"/>
      <c r="Q580" s="6"/>
      <c r="R580" s="6"/>
      <c r="S580" s="6"/>
      <c r="T580" s="6"/>
      <c r="U580" s="6"/>
      <c r="V580" s="6"/>
      <c r="W580" s="6"/>
      <c r="X580" s="6"/>
      <c r="Y580" s="6"/>
      <c r="Z580" s="6"/>
      <c r="AA580" s="6"/>
      <c r="AB580" s="6"/>
      <c r="AC580" s="6"/>
    </row>
    <row r="581" ht="14.25" customHeight="1">
      <c r="A581" s="28"/>
      <c r="B581" s="28"/>
      <c r="C581" s="29"/>
      <c r="D581" s="30"/>
      <c r="E581" s="28"/>
      <c r="F581" s="19"/>
      <c r="G581" s="6"/>
      <c r="H581" s="6"/>
      <c r="I581" s="6"/>
      <c r="J581" s="6"/>
      <c r="K581" s="6"/>
      <c r="L581" s="6"/>
      <c r="M581" s="6"/>
      <c r="N581" s="6"/>
      <c r="O581" s="6"/>
      <c r="P581" s="6"/>
      <c r="Q581" s="6"/>
      <c r="R581" s="6"/>
      <c r="S581" s="6"/>
      <c r="T581" s="6"/>
      <c r="U581" s="6"/>
      <c r="V581" s="6"/>
      <c r="W581" s="6"/>
      <c r="X581" s="6"/>
      <c r="Y581" s="6"/>
      <c r="Z581" s="6"/>
      <c r="AA581" s="6"/>
      <c r="AB581" s="6"/>
      <c r="AC581" s="6"/>
    </row>
    <row r="582" ht="14.25" customHeight="1">
      <c r="A582" s="28"/>
      <c r="B582" s="28"/>
      <c r="C582" s="29"/>
      <c r="D582" s="30"/>
      <c r="E582" s="28"/>
      <c r="F582" s="19"/>
      <c r="G582" s="6"/>
      <c r="H582" s="6"/>
      <c r="I582" s="6"/>
      <c r="J582" s="6"/>
      <c r="K582" s="6"/>
      <c r="L582" s="6"/>
      <c r="M582" s="6"/>
      <c r="N582" s="6"/>
      <c r="O582" s="6"/>
      <c r="P582" s="6"/>
      <c r="Q582" s="6"/>
      <c r="R582" s="6"/>
      <c r="S582" s="6"/>
      <c r="T582" s="6"/>
      <c r="U582" s="6"/>
      <c r="V582" s="6"/>
      <c r="W582" s="6"/>
      <c r="X582" s="6"/>
      <c r="Y582" s="6"/>
      <c r="Z582" s="6"/>
      <c r="AA582" s="6"/>
      <c r="AB582" s="6"/>
      <c r="AC582" s="6"/>
    </row>
    <row r="583" ht="14.25" customHeight="1">
      <c r="A583" s="28"/>
      <c r="B583" s="28"/>
      <c r="C583" s="29"/>
      <c r="D583" s="30"/>
      <c r="E583" s="28"/>
      <c r="F583" s="19"/>
      <c r="G583" s="6"/>
      <c r="H583" s="6"/>
      <c r="I583" s="6"/>
      <c r="J583" s="6"/>
      <c r="K583" s="6"/>
      <c r="L583" s="6"/>
      <c r="M583" s="6"/>
      <c r="N583" s="6"/>
      <c r="O583" s="6"/>
      <c r="P583" s="6"/>
      <c r="Q583" s="6"/>
      <c r="R583" s="6"/>
      <c r="S583" s="6"/>
      <c r="T583" s="6"/>
      <c r="U583" s="6"/>
      <c r="V583" s="6"/>
      <c r="W583" s="6"/>
      <c r="X583" s="6"/>
      <c r="Y583" s="6"/>
      <c r="Z583" s="6"/>
      <c r="AA583" s="6"/>
      <c r="AB583" s="6"/>
      <c r="AC583" s="6"/>
    </row>
    <row r="584" ht="14.25" customHeight="1">
      <c r="A584" s="28"/>
      <c r="B584" s="28"/>
      <c r="C584" s="29"/>
      <c r="D584" s="30"/>
      <c r="E584" s="28"/>
      <c r="F584" s="19"/>
      <c r="G584" s="6"/>
      <c r="H584" s="6"/>
      <c r="I584" s="6"/>
      <c r="J584" s="6"/>
      <c r="K584" s="6"/>
      <c r="L584" s="6"/>
      <c r="M584" s="6"/>
      <c r="N584" s="6"/>
      <c r="O584" s="6"/>
      <c r="P584" s="6"/>
      <c r="Q584" s="6"/>
      <c r="R584" s="6"/>
      <c r="S584" s="6"/>
      <c r="T584" s="6"/>
      <c r="U584" s="6"/>
      <c r="V584" s="6"/>
      <c r="W584" s="6"/>
      <c r="X584" s="6"/>
      <c r="Y584" s="6"/>
      <c r="Z584" s="6"/>
      <c r="AA584" s="6"/>
      <c r="AB584" s="6"/>
      <c r="AC584" s="6"/>
    </row>
    <row r="585" ht="14.25" customHeight="1">
      <c r="A585" s="28"/>
      <c r="B585" s="28"/>
      <c r="C585" s="29"/>
      <c r="D585" s="30"/>
      <c r="E585" s="28"/>
      <c r="F585" s="19"/>
      <c r="G585" s="6"/>
      <c r="H585" s="6"/>
      <c r="I585" s="6"/>
      <c r="J585" s="6"/>
      <c r="K585" s="6"/>
      <c r="L585" s="6"/>
      <c r="M585" s="6"/>
      <c r="N585" s="6"/>
      <c r="O585" s="6"/>
      <c r="P585" s="6"/>
      <c r="Q585" s="6"/>
      <c r="R585" s="6"/>
      <c r="S585" s="6"/>
      <c r="T585" s="6"/>
      <c r="U585" s="6"/>
      <c r="V585" s="6"/>
      <c r="W585" s="6"/>
      <c r="X585" s="6"/>
      <c r="Y585" s="6"/>
      <c r="Z585" s="6"/>
      <c r="AA585" s="6"/>
      <c r="AB585" s="6"/>
      <c r="AC585" s="6"/>
    </row>
    <row r="586" ht="14.25" customHeight="1">
      <c r="A586" s="28"/>
      <c r="B586" s="28"/>
      <c r="C586" s="29"/>
      <c r="D586" s="30"/>
      <c r="E586" s="28"/>
      <c r="F586" s="19"/>
      <c r="G586" s="6"/>
      <c r="H586" s="6"/>
      <c r="I586" s="6"/>
      <c r="J586" s="6"/>
      <c r="K586" s="6"/>
      <c r="L586" s="6"/>
      <c r="M586" s="6"/>
      <c r="N586" s="6"/>
      <c r="O586" s="6"/>
      <c r="P586" s="6"/>
      <c r="Q586" s="6"/>
      <c r="R586" s="6"/>
      <c r="S586" s="6"/>
      <c r="T586" s="6"/>
      <c r="U586" s="6"/>
      <c r="V586" s="6"/>
      <c r="W586" s="6"/>
      <c r="X586" s="6"/>
      <c r="Y586" s="6"/>
      <c r="Z586" s="6"/>
      <c r="AA586" s="6"/>
      <c r="AB586" s="6"/>
      <c r="AC586" s="6"/>
    </row>
    <row r="587" ht="14.25" customHeight="1">
      <c r="A587" s="28"/>
      <c r="B587" s="28"/>
      <c r="C587" s="29"/>
      <c r="D587" s="30"/>
      <c r="E587" s="28"/>
      <c r="F587" s="19"/>
      <c r="G587" s="6"/>
      <c r="H587" s="6"/>
      <c r="I587" s="6"/>
      <c r="J587" s="6"/>
      <c r="K587" s="6"/>
      <c r="L587" s="6"/>
      <c r="M587" s="6"/>
      <c r="N587" s="6"/>
      <c r="O587" s="6"/>
      <c r="P587" s="6"/>
      <c r="Q587" s="6"/>
      <c r="R587" s="6"/>
      <c r="S587" s="6"/>
      <c r="T587" s="6"/>
      <c r="U587" s="6"/>
      <c r="V587" s="6"/>
      <c r="W587" s="6"/>
      <c r="X587" s="6"/>
      <c r="Y587" s="6"/>
      <c r="Z587" s="6"/>
      <c r="AA587" s="6"/>
      <c r="AB587" s="6"/>
      <c r="AC587" s="6"/>
    </row>
    <row r="588" ht="14.25" customHeight="1">
      <c r="A588" s="28"/>
      <c r="B588" s="28"/>
      <c r="C588" s="29"/>
      <c r="D588" s="30"/>
      <c r="E588" s="28"/>
      <c r="F588" s="19"/>
      <c r="G588" s="6"/>
      <c r="H588" s="6"/>
      <c r="I588" s="6"/>
      <c r="J588" s="6"/>
      <c r="K588" s="6"/>
      <c r="L588" s="6"/>
      <c r="M588" s="6"/>
      <c r="N588" s="6"/>
      <c r="O588" s="6"/>
      <c r="P588" s="6"/>
      <c r="Q588" s="6"/>
      <c r="R588" s="6"/>
      <c r="S588" s="6"/>
      <c r="T588" s="6"/>
      <c r="U588" s="6"/>
      <c r="V588" s="6"/>
      <c r="W588" s="6"/>
      <c r="X588" s="6"/>
      <c r="Y588" s="6"/>
      <c r="Z588" s="6"/>
      <c r="AA588" s="6"/>
      <c r="AB588" s="6"/>
      <c r="AC588" s="6"/>
    </row>
    <row r="589" ht="14.25" customHeight="1">
      <c r="A589" s="28"/>
      <c r="B589" s="28"/>
      <c r="C589" s="29"/>
      <c r="D589" s="30"/>
      <c r="E589" s="28"/>
      <c r="F589" s="19"/>
      <c r="G589" s="6"/>
      <c r="H589" s="6"/>
      <c r="I589" s="6"/>
      <c r="J589" s="6"/>
      <c r="K589" s="6"/>
      <c r="L589" s="6"/>
      <c r="M589" s="6"/>
      <c r="N589" s="6"/>
      <c r="O589" s="6"/>
      <c r="P589" s="6"/>
      <c r="Q589" s="6"/>
      <c r="R589" s="6"/>
      <c r="S589" s="6"/>
      <c r="T589" s="6"/>
      <c r="U589" s="6"/>
      <c r="V589" s="6"/>
      <c r="W589" s="6"/>
      <c r="X589" s="6"/>
      <c r="Y589" s="6"/>
      <c r="Z589" s="6"/>
      <c r="AA589" s="6"/>
      <c r="AB589" s="6"/>
      <c r="AC589" s="6"/>
    </row>
    <row r="590" ht="14.25" customHeight="1">
      <c r="A590" s="28"/>
      <c r="B590" s="28"/>
      <c r="C590" s="29"/>
      <c r="D590" s="30"/>
      <c r="E590" s="28"/>
      <c r="F590" s="19"/>
      <c r="G590" s="6"/>
      <c r="H590" s="6"/>
      <c r="I590" s="6"/>
      <c r="J590" s="6"/>
      <c r="K590" s="6"/>
      <c r="L590" s="6"/>
      <c r="M590" s="6"/>
      <c r="N590" s="6"/>
      <c r="O590" s="6"/>
      <c r="P590" s="6"/>
      <c r="Q590" s="6"/>
      <c r="R590" s="6"/>
      <c r="S590" s="6"/>
      <c r="T590" s="6"/>
      <c r="U590" s="6"/>
      <c r="V590" s="6"/>
      <c r="W590" s="6"/>
      <c r="X590" s="6"/>
      <c r="Y590" s="6"/>
      <c r="Z590" s="6"/>
      <c r="AA590" s="6"/>
      <c r="AB590" s="6"/>
      <c r="AC590" s="6"/>
    </row>
    <row r="591" ht="14.25" customHeight="1">
      <c r="A591" s="28"/>
      <c r="B591" s="28"/>
      <c r="C591" s="29"/>
      <c r="D591" s="30"/>
      <c r="E591" s="28"/>
      <c r="F591" s="19"/>
      <c r="G591" s="6"/>
      <c r="H591" s="6"/>
      <c r="I591" s="6"/>
      <c r="J591" s="6"/>
      <c r="K591" s="6"/>
      <c r="L591" s="6"/>
      <c r="M591" s="6"/>
      <c r="N591" s="6"/>
      <c r="O591" s="6"/>
      <c r="P591" s="6"/>
      <c r="Q591" s="6"/>
      <c r="R591" s="6"/>
      <c r="S591" s="6"/>
      <c r="T591" s="6"/>
      <c r="U591" s="6"/>
      <c r="V591" s="6"/>
      <c r="W591" s="6"/>
      <c r="X591" s="6"/>
      <c r="Y591" s="6"/>
      <c r="Z591" s="6"/>
      <c r="AA591" s="6"/>
      <c r="AB591" s="6"/>
      <c r="AC591" s="6"/>
    </row>
    <row r="592" ht="14.25" customHeight="1">
      <c r="A592" s="28"/>
      <c r="B592" s="28"/>
      <c r="C592" s="29"/>
      <c r="D592" s="30"/>
      <c r="E592" s="28"/>
      <c r="F592" s="19"/>
      <c r="G592" s="6"/>
      <c r="H592" s="6"/>
      <c r="I592" s="6"/>
      <c r="J592" s="6"/>
      <c r="K592" s="6"/>
      <c r="L592" s="6"/>
      <c r="M592" s="6"/>
      <c r="N592" s="6"/>
      <c r="O592" s="6"/>
      <c r="P592" s="6"/>
      <c r="Q592" s="6"/>
      <c r="R592" s="6"/>
      <c r="S592" s="6"/>
      <c r="T592" s="6"/>
      <c r="U592" s="6"/>
      <c r="V592" s="6"/>
      <c r="W592" s="6"/>
      <c r="X592" s="6"/>
      <c r="Y592" s="6"/>
      <c r="Z592" s="6"/>
      <c r="AA592" s="6"/>
      <c r="AB592" s="6"/>
      <c r="AC592" s="6"/>
    </row>
    <row r="593" ht="14.25" customHeight="1">
      <c r="A593" s="28"/>
      <c r="B593" s="28"/>
      <c r="C593" s="29"/>
      <c r="D593" s="30"/>
      <c r="E593" s="28"/>
      <c r="F593" s="19"/>
      <c r="G593" s="6"/>
      <c r="H593" s="6"/>
      <c r="I593" s="6"/>
      <c r="J593" s="6"/>
      <c r="K593" s="6"/>
      <c r="L593" s="6"/>
      <c r="M593" s="6"/>
      <c r="N593" s="6"/>
      <c r="O593" s="6"/>
      <c r="P593" s="6"/>
      <c r="Q593" s="6"/>
      <c r="R593" s="6"/>
      <c r="S593" s="6"/>
      <c r="T593" s="6"/>
      <c r="U593" s="6"/>
      <c r="V593" s="6"/>
      <c r="W593" s="6"/>
      <c r="X593" s="6"/>
      <c r="Y593" s="6"/>
      <c r="Z593" s="6"/>
      <c r="AA593" s="6"/>
      <c r="AB593" s="6"/>
      <c r="AC593" s="6"/>
    </row>
    <row r="594" ht="14.25" customHeight="1">
      <c r="A594" s="28"/>
      <c r="B594" s="28"/>
      <c r="C594" s="29"/>
      <c r="D594" s="30"/>
      <c r="E594" s="28"/>
      <c r="F594" s="19"/>
      <c r="G594" s="6"/>
      <c r="H594" s="6"/>
      <c r="I594" s="6"/>
      <c r="J594" s="6"/>
      <c r="K594" s="6"/>
      <c r="L594" s="6"/>
      <c r="M594" s="6"/>
      <c r="N594" s="6"/>
      <c r="O594" s="6"/>
      <c r="P594" s="6"/>
      <c r="Q594" s="6"/>
      <c r="R594" s="6"/>
      <c r="S594" s="6"/>
      <c r="T594" s="6"/>
      <c r="U594" s="6"/>
      <c r="V594" s="6"/>
      <c r="W594" s="6"/>
      <c r="X594" s="6"/>
      <c r="Y594" s="6"/>
      <c r="Z594" s="6"/>
      <c r="AA594" s="6"/>
      <c r="AB594" s="6"/>
      <c r="AC594" s="6"/>
    </row>
    <row r="595" ht="14.25" customHeight="1">
      <c r="A595" s="28"/>
      <c r="B595" s="28"/>
      <c r="C595" s="29"/>
      <c r="D595" s="30"/>
      <c r="E595" s="28"/>
      <c r="F595" s="19"/>
      <c r="G595" s="6"/>
      <c r="H595" s="6"/>
      <c r="I595" s="6"/>
      <c r="J595" s="6"/>
      <c r="K595" s="6"/>
      <c r="L595" s="6"/>
      <c r="M595" s="6"/>
      <c r="N595" s="6"/>
      <c r="O595" s="6"/>
      <c r="P595" s="6"/>
      <c r="Q595" s="6"/>
      <c r="R595" s="6"/>
      <c r="S595" s="6"/>
      <c r="T595" s="6"/>
      <c r="U595" s="6"/>
      <c r="V595" s="6"/>
      <c r="W595" s="6"/>
      <c r="X595" s="6"/>
      <c r="Y595" s="6"/>
      <c r="Z595" s="6"/>
      <c r="AA595" s="6"/>
      <c r="AB595" s="6"/>
      <c r="AC595" s="6"/>
    </row>
    <row r="596" ht="14.25" customHeight="1">
      <c r="A596" s="28"/>
      <c r="B596" s="28"/>
      <c r="C596" s="29"/>
      <c r="D596" s="30"/>
      <c r="E596" s="28"/>
      <c r="F596" s="19"/>
      <c r="G596" s="6"/>
      <c r="H596" s="6"/>
      <c r="I596" s="6"/>
      <c r="J596" s="6"/>
      <c r="K596" s="6"/>
      <c r="L596" s="6"/>
      <c r="M596" s="6"/>
      <c r="N596" s="6"/>
      <c r="O596" s="6"/>
      <c r="P596" s="6"/>
      <c r="Q596" s="6"/>
      <c r="R596" s="6"/>
      <c r="S596" s="6"/>
      <c r="T596" s="6"/>
      <c r="U596" s="6"/>
      <c r="V596" s="6"/>
      <c r="W596" s="6"/>
      <c r="X596" s="6"/>
      <c r="Y596" s="6"/>
      <c r="Z596" s="6"/>
      <c r="AA596" s="6"/>
      <c r="AB596" s="6"/>
      <c r="AC596" s="6"/>
    </row>
    <row r="597" ht="14.25" customHeight="1">
      <c r="A597" s="28"/>
      <c r="B597" s="28"/>
      <c r="C597" s="29"/>
      <c r="D597" s="30"/>
      <c r="E597" s="28"/>
      <c r="F597" s="19"/>
      <c r="G597" s="6"/>
      <c r="H597" s="6"/>
      <c r="I597" s="6"/>
      <c r="J597" s="6"/>
      <c r="K597" s="6"/>
      <c r="L597" s="6"/>
      <c r="M597" s="6"/>
      <c r="N597" s="6"/>
      <c r="O597" s="6"/>
      <c r="P597" s="6"/>
      <c r="Q597" s="6"/>
      <c r="R597" s="6"/>
      <c r="S597" s="6"/>
      <c r="T597" s="6"/>
      <c r="U597" s="6"/>
      <c r="V597" s="6"/>
      <c r="W597" s="6"/>
      <c r="X597" s="6"/>
      <c r="Y597" s="6"/>
      <c r="Z597" s="6"/>
      <c r="AA597" s="6"/>
      <c r="AB597" s="6"/>
      <c r="AC597" s="6"/>
    </row>
    <row r="598" ht="14.25" customHeight="1">
      <c r="A598" s="28"/>
      <c r="B598" s="28"/>
      <c r="C598" s="29"/>
      <c r="D598" s="30"/>
      <c r="E598" s="28"/>
      <c r="F598" s="19"/>
      <c r="G598" s="6"/>
      <c r="H598" s="6"/>
      <c r="I598" s="6"/>
      <c r="J598" s="6"/>
      <c r="K598" s="6"/>
      <c r="L598" s="6"/>
      <c r="M598" s="6"/>
      <c r="N598" s="6"/>
      <c r="O598" s="6"/>
      <c r="P598" s="6"/>
      <c r="Q598" s="6"/>
      <c r="R598" s="6"/>
      <c r="S598" s="6"/>
      <c r="T598" s="6"/>
      <c r="U598" s="6"/>
      <c r="V598" s="6"/>
      <c r="W598" s="6"/>
      <c r="X598" s="6"/>
      <c r="Y598" s="6"/>
      <c r="Z598" s="6"/>
      <c r="AA598" s="6"/>
      <c r="AB598" s="6"/>
      <c r="AC598" s="6"/>
    </row>
    <row r="599" ht="14.25" customHeight="1">
      <c r="A599" s="28"/>
      <c r="B599" s="28"/>
      <c r="C599" s="29"/>
      <c r="D599" s="30"/>
      <c r="E599" s="28"/>
      <c r="F599" s="19"/>
      <c r="G599" s="6"/>
      <c r="H599" s="6"/>
      <c r="I599" s="6"/>
      <c r="J599" s="6"/>
      <c r="K599" s="6"/>
      <c r="L599" s="6"/>
      <c r="M599" s="6"/>
      <c r="N599" s="6"/>
      <c r="O599" s="6"/>
      <c r="P599" s="6"/>
      <c r="Q599" s="6"/>
      <c r="R599" s="6"/>
      <c r="S599" s="6"/>
      <c r="T599" s="6"/>
      <c r="U599" s="6"/>
      <c r="V599" s="6"/>
      <c r="W599" s="6"/>
      <c r="X599" s="6"/>
      <c r="Y599" s="6"/>
      <c r="Z599" s="6"/>
      <c r="AA599" s="6"/>
      <c r="AB599" s="6"/>
      <c r="AC599" s="6"/>
    </row>
    <row r="600" ht="14.25" customHeight="1">
      <c r="A600" s="28"/>
      <c r="B600" s="28"/>
      <c r="C600" s="29"/>
      <c r="D600" s="30"/>
      <c r="E600" s="28"/>
      <c r="F600" s="19"/>
      <c r="G600" s="6"/>
      <c r="H600" s="6"/>
      <c r="I600" s="6"/>
      <c r="J600" s="6"/>
      <c r="K600" s="6"/>
      <c r="L600" s="6"/>
      <c r="M600" s="6"/>
      <c r="N600" s="6"/>
      <c r="O600" s="6"/>
      <c r="P600" s="6"/>
      <c r="Q600" s="6"/>
      <c r="R600" s="6"/>
      <c r="S600" s="6"/>
      <c r="T600" s="6"/>
      <c r="U600" s="6"/>
      <c r="V600" s="6"/>
      <c r="W600" s="6"/>
      <c r="X600" s="6"/>
      <c r="Y600" s="6"/>
      <c r="Z600" s="6"/>
      <c r="AA600" s="6"/>
      <c r="AB600" s="6"/>
      <c r="AC600" s="6"/>
    </row>
    <row r="601" ht="14.25" customHeight="1">
      <c r="A601" s="28"/>
      <c r="B601" s="28"/>
      <c r="C601" s="29"/>
      <c r="D601" s="30"/>
      <c r="E601" s="28"/>
      <c r="F601" s="19"/>
      <c r="G601" s="6"/>
      <c r="H601" s="6"/>
      <c r="I601" s="6"/>
      <c r="J601" s="6"/>
      <c r="K601" s="6"/>
      <c r="L601" s="6"/>
      <c r="M601" s="6"/>
      <c r="N601" s="6"/>
      <c r="O601" s="6"/>
      <c r="P601" s="6"/>
      <c r="Q601" s="6"/>
      <c r="R601" s="6"/>
      <c r="S601" s="6"/>
      <c r="T601" s="6"/>
      <c r="U601" s="6"/>
      <c r="V601" s="6"/>
      <c r="W601" s="6"/>
      <c r="X601" s="6"/>
      <c r="Y601" s="6"/>
      <c r="Z601" s="6"/>
      <c r="AA601" s="6"/>
      <c r="AB601" s="6"/>
      <c r="AC601" s="6"/>
    </row>
    <row r="602" ht="14.25" customHeight="1">
      <c r="A602" s="28"/>
      <c r="B602" s="28"/>
      <c r="C602" s="29"/>
      <c r="D602" s="30"/>
      <c r="E602" s="28"/>
      <c r="F602" s="19"/>
      <c r="G602" s="6"/>
      <c r="H602" s="6"/>
      <c r="I602" s="6"/>
      <c r="J602" s="6"/>
      <c r="K602" s="6"/>
      <c r="L602" s="6"/>
      <c r="M602" s="6"/>
      <c r="N602" s="6"/>
      <c r="O602" s="6"/>
      <c r="P602" s="6"/>
      <c r="Q602" s="6"/>
      <c r="R602" s="6"/>
      <c r="S602" s="6"/>
      <c r="T602" s="6"/>
      <c r="U602" s="6"/>
      <c r="V602" s="6"/>
      <c r="W602" s="6"/>
      <c r="X602" s="6"/>
      <c r="Y602" s="6"/>
      <c r="Z602" s="6"/>
      <c r="AA602" s="6"/>
      <c r="AB602" s="6"/>
      <c r="AC602" s="6"/>
    </row>
    <row r="603" ht="14.25" customHeight="1">
      <c r="A603" s="28"/>
      <c r="B603" s="28"/>
      <c r="C603" s="29"/>
      <c r="D603" s="30"/>
      <c r="E603" s="28"/>
      <c r="F603" s="19"/>
      <c r="G603" s="6"/>
      <c r="H603" s="6"/>
      <c r="I603" s="6"/>
      <c r="J603" s="6"/>
      <c r="K603" s="6"/>
      <c r="L603" s="6"/>
      <c r="M603" s="6"/>
      <c r="N603" s="6"/>
      <c r="O603" s="6"/>
      <c r="P603" s="6"/>
      <c r="Q603" s="6"/>
      <c r="R603" s="6"/>
      <c r="S603" s="6"/>
      <c r="T603" s="6"/>
      <c r="U603" s="6"/>
      <c r="V603" s="6"/>
      <c r="W603" s="6"/>
      <c r="X603" s="6"/>
      <c r="Y603" s="6"/>
      <c r="Z603" s="6"/>
      <c r="AA603" s="6"/>
      <c r="AB603" s="6"/>
      <c r="AC603" s="6"/>
    </row>
    <row r="604" ht="14.25" customHeight="1">
      <c r="A604" s="28"/>
      <c r="B604" s="28"/>
      <c r="C604" s="29"/>
      <c r="D604" s="30"/>
      <c r="E604" s="28"/>
      <c r="F604" s="19"/>
      <c r="G604" s="6"/>
      <c r="H604" s="6"/>
      <c r="I604" s="6"/>
      <c r="J604" s="6"/>
      <c r="K604" s="6"/>
      <c r="L604" s="6"/>
      <c r="M604" s="6"/>
      <c r="N604" s="6"/>
      <c r="O604" s="6"/>
      <c r="P604" s="6"/>
      <c r="Q604" s="6"/>
      <c r="R604" s="6"/>
      <c r="S604" s="6"/>
      <c r="T604" s="6"/>
      <c r="U604" s="6"/>
      <c r="V604" s="6"/>
      <c r="W604" s="6"/>
      <c r="X604" s="6"/>
      <c r="Y604" s="6"/>
      <c r="Z604" s="6"/>
      <c r="AA604" s="6"/>
      <c r="AB604" s="6"/>
      <c r="AC604" s="6"/>
    </row>
    <row r="605" ht="14.25" customHeight="1">
      <c r="A605" s="28"/>
      <c r="B605" s="28"/>
      <c r="C605" s="29"/>
      <c r="D605" s="30"/>
      <c r="E605" s="28"/>
      <c r="F605" s="19"/>
      <c r="G605" s="6"/>
      <c r="H605" s="6"/>
      <c r="I605" s="6"/>
      <c r="J605" s="6"/>
      <c r="K605" s="6"/>
      <c r="L605" s="6"/>
      <c r="M605" s="6"/>
      <c r="N605" s="6"/>
      <c r="O605" s="6"/>
      <c r="P605" s="6"/>
      <c r="Q605" s="6"/>
      <c r="R605" s="6"/>
      <c r="S605" s="6"/>
      <c r="T605" s="6"/>
      <c r="U605" s="6"/>
      <c r="V605" s="6"/>
      <c r="W605" s="6"/>
      <c r="X605" s="6"/>
      <c r="Y605" s="6"/>
      <c r="Z605" s="6"/>
      <c r="AA605" s="6"/>
      <c r="AB605" s="6"/>
      <c r="AC605" s="6"/>
    </row>
    <row r="606" ht="14.25" customHeight="1">
      <c r="A606" s="28"/>
      <c r="B606" s="28"/>
      <c r="C606" s="29"/>
      <c r="D606" s="30"/>
      <c r="E606" s="28"/>
      <c r="F606" s="19"/>
      <c r="G606" s="6"/>
      <c r="H606" s="6"/>
      <c r="I606" s="6"/>
      <c r="J606" s="6"/>
      <c r="K606" s="6"/>
      <c r="L606" s="6"/>
      <c r="M606" s="6"/>
      <c r="N606" s="6"/>
      <c r="O606" s="6"/>
      <c r="P606" s="6"/>
      <c r="Q606" s="6"/>
      <c r="R606" s="6"/>
      <c r="S606" s="6"/>
      <c r="T606" s="6"/>
      <c r="U606" s="6"/>
      <c r="V606" s="6"/>
      <c r="W606" s="6"/>
      <c r="X606" s="6"/>
      <c r="Y606" s="6"/>
      <c r="Z606" s="6"/>
      <c r="AA606" s="6"/>
      <c r="AB606" s="6"/>
      <c r="AC606" s="6"/>
    </row>
    <row r="607" ht="14.25" customHeight="1">
      <c r="A607" s="28"/>
      <c r="B607" s="28"/>
      <c r="C607" s="29"/>
      <c r="D607" s="30"/>
      <c r="E607" s="28"/>
      <c r="F607" s="19"/>
      <c r="G607" s="6"/>
      <c r="H607" s="6"/>
      <c r="I607" s="6"/>
      <c r="J607" s="6"/>
      <c r="K607" s="6"/>
      <c r="L607" s="6"/>
      <c r="M607" s="6"/>
      <c r="N607" s="6"/>
      <c r="O607" s="6"/>
      <c r="P607" s="6"/>
      <c r="Q607" s="6"/>
      <c r="R607" s="6"/>
      <c r="S607" s="6"/>
      <c r="T607" s="6"/>
      <c r="U607" s="6"/>
      <c r="V607" s="6"/>
      <c r="W607" s="6"/>
      <c r="X607" s="6"/>
      <c r="Y607" s="6"/>
      <c r="Z607" s="6"/>
      <c r="AA607" s="6"/>
      <c r="AB607" s="6"/>
      <c r="AC607" s="6"/>
    </row>
    <row r="608" ht="14.25" customHeight="1">
      <c r="A608" s="28"/>
      <c r="B608" s="28"/>
      <c r="C608" s="29"/>
      <c r="D608" s="30"/>
      <c r="E608" s="28"/>
      <c r="F608" s="19"/>
      <c r="G608" s="6"/>
      <c r="H608" s="6"/>
      <c r="I608" s="6"/>
      <c r="J608" s="6"/>
      <c r="K608" s="6"/>
      <c r="L608" s="6"/>
      <c r="M608" s="6"/>
      <c r="N608" s="6"/>
      <c r="O608" s="6"/>
      <c r="P608" s="6"/>
      <c r="Q608" s="6"/>
      <c r="R608" s="6"/>
      <c r="S608" s="6"/>
      <c r="T608" s="6"/>
      <c r="U608" s="6"/>
      <c r="V608" s="6"/>
      <c r="W608" s="6"/>
      <c r="X608" s="6"/>
      <c r="Y608" s="6"/>
      <c r="Z608" s="6"/>
      <c r="AA608" s="6"/>
      <c r="AB608" s="6"/>
      <c r="AC608" s="6"/>
    </row>
    <row r="609" ht="14.25" customHeight="1">
      <c r="A609" s="28"/>
      <c r="B609" s="28"/>
      <c r="C609" s="29"/>
      <c r="D609" s="30"/>
      <c r="E609" s="28"/>
      <c r="F609" s="19"/>
      <c r="G609" s="6"/>
      <c r="H609" s="6"/>
      <c r="I609" s="6"/>
      <c r="J609" s="6"/>
      <c r="K609" s="6"/>
      <c r="L609" s="6"/>
      <c r="M609" s="6"/>
      <c r="N609" s="6"/>
      <c r="O609" s="6"/>
      <c r="P609" s="6"/>
      <c r="Q609" s="6"/>
      <c r="R609" s="6"/>
      <c r="S609" s="6"/>
      <c r="T609" s="6"/>
      <c r="U609" s="6"/>
      <c r="V609" s="6"/>
      <c r="W609" s="6"/>
      <c r="X609" s="6"/>
      <c r="Y609" s="6"/>
      <c r="Z609" s="6"/>
      <c r="AA609" s="6"/>
      <c r="AB609" s="6"/>
      <c r="AC609" s="6"/>
    </row>
    <row r="610" ht="14.25" customHeight="1">
      <c r="A610" s="28"/>
      <c r="B610" s="28"/>
      <c r="C610" s="29"/>
      <c r="D610" s="30"/>
      <c r="E610" s="28"/>
      <c r="F610" s="19"/>
      <c r="G610" s="6"/>
      <c r="H610" s="6"/>
      <c r="I610" s="6"/>
      <c r="J610" s="6"/>
      <c r="K610" s="6"/>
      <c r="L610" s="6"/>
      <c r="M610" s="6"/>
      <c r="N610" s="6"/>
      <c r="O610" s="6"/>
      <c r="P610" s="6"/>
      <c r="Q610" s="6"/>
      <c r="R610" s="6"/>
      <c r="S610" s="6"/>
      <c r="T610" s="6"/>
      <c r="U610" s="6"/>
      <c r="V610" s="6"/>
      <c r="W610" s="6"/>
      <c r="X610" s="6"/>
      <c r="Y610" s="6"/>
      <c r="Z610" s="6"/>
      <c r="AA610" s="6"/>
      <c r="AB610" s="6"/>
      <c r="AC610" s="6"/>
    </row>
    <row r="611" ht="14.25" customHeight="1">
      <c r="A611" s="28"/>
      <c r="B611" s="28"/>
      <c r="C611" s="29"/>
      <c r="D611" s="30"/>
      <c r="E611" s="28"/>
      <c r="F611" s="19"/>
      <c r="G611" s="6"/>
      <c r="H611" s="6"/>
      <c r="I611" s="6"/>
      <c r="J611" s="6"/>
      <c r="K611" s="6"/>
      <c r="L611" s="6"/>
      <c r="M611" s="6"/>
      <c r="N611" s="6"/>
      <c r="O611" s="6"/>
      <c r="P611" s="6"/>
      <c r="Q611" s="6"/>
      <c r="R611" s="6"/>
      <c r="S611" s="6"/>
      <c r="T611" s="6"/>
      <c r="U611" s="6"/>
      <c r="V611" s="6"/>
      <c r="W611" s="6"/>
      <c r="X611" s="6"/>
      <c r="Y611" s="6"/>
      <c r="Z611" s="6"/>
      <c r="AA611" s="6"/>
      <c r="AB611" s="6"/>
      <c r="AC611" s="6"/>
    </row>
    <row r="612" ht="14.25" customHeight="1">
      <c r="A612" s="28"/>
      <c r="B612" s="28"/>
      <c r="C612" s="29"/>
      <c r="D612" s="30"/>
      <c r="E612" s="28"/>
      <c r="F612" s="19"/>
      <c r="G612" s="6"/>
      <c r="H612" s="6"/>
      <c r="I612" s="6"/>
      <c r="J612" s="6"/>
      <c r="K612" s="6"/>
      <c r="L612" s="6"/>
      <c r="M612" s="6"/>
      <c r="N612" s="6"/>
      <c r="O612" s="6"/>
      <c r="P612" s="6"/>
      <c r="Q612" s="6"/>
      <c r="R612" s="6"/>
      <c r="S612" s="6"/>
      <c r="T612" s="6"/>
      <c r="U612" s="6"/>
      <c r="V612" s="6"/>
      <c r="W612" s="6"/>
      <c r="X612" s="6"/>
      <c r="Y612" s="6"/>
      <c r="Z612" s="6"/>
      <c r="AA612" s="6"/>
      <c r="AB612" s="6"/>
      <c r="AC612" s="6"/>
    </row>
    <row r="613" ht="14.25" customHeight="1">
      <c r="A613" s="28"/>
      <c r="B613" s="28"/>
      <c r="C613" s="29"/>
      <c r="D613" s="30"/>
      <c r="E613" s="28"/>
      <c r="F613" s="19"/>
      <c r="G613" s="6"/>
      <c r="H613" s="6"/>
      <c r="I613" s="6"/>
      <c r="J613" s="6"/>
      <c r="K613" s="6"/>
      <c r="L613" s="6"/>
      <c r="M613" s="6"/>
      <c r="N613" s="6"/>
      <c r="O613" s="6"/>
      <c r="P613" s="6"/>
      <c r="Q613" s="6"/>
      <c r="R613" s="6"/>
      <c r="S613" s="6"/>
      <c r="T613" s="6"/>
      <c r="U613" s="6"/>
      <c r="V613" s="6"/>
      <c r="W613" s="6"/>
      <c r="X613" s="6"/>
      <c r="Y613" s="6"/>
      <c r="Z613" s="6"/>
      <c r="AA613" s="6"/>
      <c r="AB613" s="6"/>
      <c r="AC613" s="6"/>
    </row>
    <row r="614" ht="14.25" customHeight="1">
      <c r="A614" s="28"/>
      <c r="B614" s="28"/>
      <c r="C614" s="29"/>
      <c r="D614" s="30"/>
      <c r="E614" s="28"/>
      <c r="F614" s="19"/>
      <c r="G614" s="6"/>
      <c r="H614" s="6"/>
      <c r="I614" s="6"/>
      <c r="J614" s="6"/>
      <c r="K614" s="6"/>
      <c r="L614" s="6"/>
      <c r="M614" s="6"/>
      <c r="N614" s="6"/>
      <c r="O614" s="6"/>
      <c r="P614" s="6"/>
      <c r="Q614" s="6"/>
      <c r="R614" s="6"/>
      <c r="S614" s="6"/>
      <c r="T614" s="6"/>
      <c r="U614" s="6"/>
      <c r="V614" s="6"/>
      <c r="W614" s="6"/>
      <c r="X614" s="6"/>
      <c r="Y614" s="6"/>
      <c r="Z614" s="6"/>
      <c r="AA614" s="6"/>
      <c r="AB614" s="6"/>
      <c r="AC614" s="6"/>
    </row>
    <row r="615" ht="14.25" customHeight="1">
      <c r="A615" s="28"/>
      <c r="B615" s="28"/>
      <c r="C615" s="29"/>
      <c r="D615" s="30"/>
      <c r="E615" s="28"/>
      <c r="F615" s="19"/>
      <c r="G615" s="6"/>
      <c r="H615" s="6"/>
      <c r="I615" s="6"/>
      <c r="J615" s="6"/>
      <c r="K615" s="6"/>
      <c r="L615" s="6"/>
      <c r="M615" s="6"/>
      <c r="N615" s="6"/>
      <c r="O615" s="6"/>
      <c r="P615" s="6"/>
      <c r="Q615" s="6"/>
      <c r="R615" s="6"/>
      <c r="S615" s="6"/>
      <c r="T615" s="6"/>
      <c r="U615" s="6"/>
      <c r="V615" s="6"/>
      <c r="W615" s="6"/>
      <c r="X615" s="6"/>
      <c r="Y615" s="6"/>
      <c r="Z615" s="6"/>
      <c r="AA615" s="6"/>
      <c r="AB615" s="6"/>
      <c r="AC615" s="6"/>
    </row>
    <row r="616" ht="14.25" customHeight="1">
      <c r="A616" s="28"/>
      <c r="B616" s="28"/>
      <c r="C616" s="29"/>
      <c r="D616" s="30"/>
      <c r="E616" s="28"/>
      <c r="F616" s="19"/>
      <c r="G616" s="6"/>
      <c r="H616" s="6"/>
      <c r="I616" s="6"/>
      <c r="J616" s="6"/>
      <c r="K616" s="6"/>
      <c r="L616" s="6"/>
      <c r="M616" s="6"/>
      <c r="N616" s="6"/>
      <c r="O616" s="6"/>
      <c r="P616" s="6"/>
      <c r="Q616" s="6"/>
      <c r="R616" s="6"/>
      <c r="S616" s="6"/>
      <c r="T616" s="6"/>
      <c r="U616" s="6"/>
      <c r="V616" s="6"/>
      <c r="W616" s="6"/>
      <c r="X616" s="6"/>
      <c r="Y616" s="6"/>
      <c r="Z616" s="6"/>
      <c r="AA616" s="6"/>
      <c r="AB616" s="6"/>
      <c r="AC616" s="6"/>
    </row>
    <row r="617" ht="14.25" customHeight="1">
      <c r="A617" s="28"/>
      <c r="B617" s="28"/>
      <c r="C617" s="29"/>
      <c r="D617" s="30"/>
      <c r="E617" s="28"/>
      <c r="F617" s="19"/>
      <c r="G617" s="6"/>
      <c r="H617" s="6"/>
      <c r="I617" s="6"/>
      <c r="J617" s="6"/>
      <c r="K617" s="6"/>
      <c r="L617" s="6"/>
      <c r="M617" s="6"/>
      <c r="N617" s="6"/>
      <c r="O617" s="6"/>
      <c r="P617" s="6"/>
      <c r="Q617" s="6"/>
      <c r="R617" s="6"/>
      <c r="S617" s="6"/>
      <c r="T617" s="6"/>
      <c r="U617" s="6"/>
      <c r="V617" s="6"/>
      <c r="W617" s="6"/>
      <c r="X617" s="6"/>
      <c r="Y617" s="6"/>
      <c r="Z617" s="6"/>
      <c r="AA617" s="6"/>
      <c r="AB617" s="6"/>
      <c r="AC617" s="6"/>
    </row>
    <row r="618" ht="14.25" customHeight="1">
      <c r="A618" s="28"/>
      <c r="B618" s="28"/>
      <c r="C618" s="29"/>
      <c r="D618" s="30"/>
      <c r="E618" s="28"/>
      <c r="F618" s="19"/>
      <c r="G618" s="6"/>
      <c r="H618" s="6"/>
      <c r="I618" s="6"/>
      <c r="J618" s="6"/>
      <c r="K618" s="6"/>
      <c r="L618" s="6"/>
      <c r="M618" s="6"/>
      <c r="N618" s="6"/>
      <c r="O618" s="6"/>
      <c r="P618" s="6"/>
      <c r="Q618" s="6"/>
      <c r="R618" s="6"/>
      <c r="S618" s="6"/>
      <c r="T618" s="6"/>
      <c r="U618" s="6"/>
      <c r="V618" s="6"/>
      <c r="W618" s="6"/>
      <c r="X618" s="6"/>
      <c r="Y618" s="6"/>
      <c r="Z618" s="6"/>
      <c r="AA618" s="6"/>
      <c r="AB618" s="6"/>
      <c r="AC618" s="6"/>
    </row>
    <row r="619" ht="14.25" customHeight="1">
      <c r="A619" s="28"/>
      <c r="B619" s="28"/>
      <c r="C619" s="29"/>
      <c r="D619" s="30"/>
      <c r="E619" s="28"/>
      <c r="F619" s="19"/>
      <c r="G619" s="6"/>
      <c r="H619" s="6"/>
      <c r="I619" s="6"/>
      <c r="J619" s="6"/>
      <c r="K619" s="6"/>
      <c r="L619" s="6"/>
      <c r="M619" s="6"/>
      <c r="N619" s="6"/>
      <c r="O619" s="6"/>
      <c r="P619" s="6"/>
      <c r="Q619" s="6"/>
      <c r="R619" s="6"/>
      <c r="S619" s="6"/>
      <c r="T619" s="6"/>
      <c r="U619" s="6"/>
      <c r="V619" s="6"/>
      <c r="W619" s="6"/>
      <c r="X619" s="6"/>
      <c r="Y619" s="6"/>
      <c r="Z619" s="6"/>
      <c r="AA619" s="6"/>
      <c r="AB619" s="6"/>
      <c r="AC619" s="6"/>
    </row>
    <row r="620" ht="14.25" customHeight="1">
      <c r="A620" s="28"/>
      <c r="B620" s="28"/>
      <c r="C620" s="29"/>
      <c r="D620" s="30"/>
      <c r="E620" s="28"/>
      <c r="F620" s="19"/>
      <c r="G620" s="6"/>
      <c r="H620" s="6"/>
      <c r="I620" s="6"/>
      <c r="J620" s="6"/>
      <c r="K620" s="6"/>
      <c r="L620" s="6"/>
      <c r="M620" s="6"/>
      <c r="N620" s="6"/>
      <c r="O620" s="6"/>
      <c r="P620" s="6"/>
      <c r="Q620" s="6"/>
      <c r="R620" s="6"/>
      <c r="S620" s="6"/>
      <c r="T620" s="6"/>
      <c r="U620" s="6"/>
      <c r="V620" s="6"/>
      <c r="W620" s="6"/>
      <c r="X620" s="6"/>
      <c r="Y620" s="6"/>
      <c r="Z620" s="6"/>
      <c r="AA620" s="6"/>
      <c r="AB620" s="6"/>
      <c r="AC620" s="6"/>
    </row>
    <row r="621" ht="14.25" customHeight="1">
      <c r="A621" s="28"/>
      <c r="B621" s="28"/>
      <c r="C621" s="29"/>
      <c r="D621" s="30"/>
      <c r="E621" s="28"/>
      <c r="F621" s="19"/>
      <c r="G621" s="6"/>
      <c r="H621" s="6"/>
      <c r="I621" s="6"/>
      <c r="J621" s="6"/>
      <c r="K621" s="6"/>
      <c r="L621" s="6"/>
      <c r="M621" s="6"/>
      <c r="N621" s="6"/>
      <c r="O621" s="6"/>
      <c r="P621" s="6"/>
      <c r="Q621" s="6"/>
      <c r="R621" s="6"/>
      <c r="S621" s="6"/>
      <c r="T621" s="6"/>
      <c r="U621" s="6"/>
      <c r="V621" s="6"/>
      <c r="W621" s="6"/>
      <c r="X621" s="6"/>
      <c r="Y621" s="6"/>
      <c r="Z621" s="6"/>
      <c r="AA621" s="6"/>
      <c r="AB621" s="6"/>
      <c r="AC621" s="6"/>
    </row>
    <row r="622" ht="14.25" customHeight="1">
      <c r="A622" s="28"/>
      <c r="B622" s="28"/>
      <c r="C622" s="29"/>
      <c r="D622" s="30"/>
      <c r="E622" s="28"/>
      <c r="F622" s="19"/>
      <c r="G622" s="6"/>
      <c r="H622" s="6"/>
      <c r="I622" s="6"/>
      <c r="J622" s="6"/>
      <c r="K622" s="6"/>
      <c r="L622" s="6"/>
      <c r="M622" s="6"/>
      <c r="N622" s="6"/>
      <c r="O622" s="6"/>
      <c r="P622" s="6"/>
      <c r="Q622" s="6"/>
      <c r="R622" s="6"/>
      <c r="S622" s="6"/>
      <c r="T622" s="6"/>
      <c r="U622" s="6"/>
      <c r="V622" s="6"/>
      <c r="W622" s="6"/>
      <c r="X622" s="6"/>
      <c r="Y622" s="6"/>
      <c r="Z622" s="6"/>
      <c r="AA622" s="6"/>
      <c r="AB622" s="6"/>
      <c r="AC622" s="6"/>
    </row>
    <row r="623" ht="14.25" customHeight="1">
      <c r="A623" s="28"/>
      <c r="B623" s="28"/>
      <c r="C623" s="29"/>
      <c r="D623" s="30"/>
      <c r="E623" s="28"/>
      <c r="F623" s="19"/>
      <c r="G623" s="6"/>
      <c r="H623" s="6"/>
      <c r="I623" s="6"/>
      <c r="J623" s="6"/>
      <c r="K623" s="6"/>
      <c r="L623" s="6"/>
      <c r="M623" s="6"/>
      <c r="N623" s="6"/>
      <c r="O623" s="6"/>
      <c r="P623" s="6"/>
      <c r="Q623" s="6"/>
      <c r="R623" s="6"/>
      <c r="S623" s="6"/>
      <c r="T623" s="6"/>
      <c r="U623" s="6"/>
      <c r="V623" s="6"/>
      <c r="W623" s="6"/>
      <c r="X623" s="6"/>
      <c r="Y623" s="6"/>
      <c r="Z623" s="6"/>
      <c r="AA623" s="6"/>
      <c r="AB623" s="6"/>
      <c r="AC623" s="6"/>
    </row>
    <row r="624" ht="14.25" customHeight="1">
      <c r="A624" s="28"/>
      <c r="B624" s="28"/>
      <c r="C624" s="29"/>
      <c r="D624" s="30"/>
      <c r="E624" s="28"/>
      <c r="F624" s="19"/>
      <c r="G624" s="6"/>
      <c r="H624" s="6"/>
      <c r="I624" s="6"/>
      <c r="J624" s="6"/>
      <c r="K624" s="6"/>
      <c r="L624" s="6"/>
      <c r="M624" s="6"/>
      <c r="N624" s="6"/>
      <c r="O624" s="6"/>
      <c r="P624" s="6"/>
      <c r="Q624" s="6"/>
      <c r="R624" s="6"/>
      <c r="S624" s="6"/>
      <c r="T624" s="6"/>
      <c r="U624" s="6"/>
      <c r="V624" s="6"/>
      <c r="W624" s="6"/>
      <c r="X624" s="6"/>
      <c r="Y624" s="6"/>
      <c r="Z624" s="6"/>
      <c r="AA624" s="6"/>
      <c r="AB624" s="6"/>
      <c r="AC624" s="6"/>
    </row>
    <row r="625" ht="14.25" customHeight="1">
      <c r="A625" s="28"/>
      <c r="B625" s="28"/>
      <c r="C625" s="29"/>
      <c r="D625" s="30"/>
      <c r="E625" s="28"/>
      <c r="F625" s="19"/>
      <c r="G625" s="6"/>
      <c r="H625" s="6"/>
      <c r="I625" s="6"/>
      <c r="J625" s="6"/>
      <c r="K625" s="6"/>
      <c r="L625" s="6"/>
      <c r="M625" s="6"/>
      <c r="N625" s="6"/>
      <c r="O625" s="6"/>
      <c r="P625" s="6"/>
      <c r="Q625" s="6"/>
      <c r="R625" s="6"/>
      <c r="S625" s="6"/>
      <c r="T625" s="6"/>
      <c r="U625" s="6"/>
      <c r="V625" s="6"/>
      <c r="W625" s="6"/>
      <c r="X625" s="6"/>
      <c r="Y625" s="6"/>
      <c r="Z625" s="6"/>
      <c r="AA625" s="6"/>
      <c r="AB625" s="6"/>
      <c r="AC625" s="6"/>
    </row>
    <row r="626" ht="14.25" customHeight="1">
      <c r="A626" s="28"/>
      <c r="B626" s="28"/>
      <c r="C626" s="29"/>
      <c r="D626" s="30"/>
      <c r="E626" s="28"/>
      <c r="F626" s="19"/>
      <c r="G626" s="6"/>
      <c r="H626" s="6"/>
      <c r="I626" s="6"/>
      <c r="J626" s="6"/>
      <c r="K626" s="6"/>
      <c r="L626" s="6"/>
      <c r="M626" s="6"/>
      <c r="N626" s="6"/>
      <c r="O626" s="6"/>
      <c r="P626" s="6"/>
      <c r="Q626" s="6"/>
      <c r="R626" s="6"/>
      <c r="S626" s="6"/>
      <c r="T626" s="6"/>
      <c r="U626" s="6"/>
      <c r="V626" s="6"/>
      <c r="W626" s="6"/>
      <c r="X626" s="6"/>
      <c r="Y626" s="6"/>
      <c r="Z626" s="6"/>
      <c r="AA626" s="6"/>
      <c r="AB626" s="6"/>
      <c r="AC626" s="6"/>
    </row>
    <row r="627" ht="14.25" customHeight="1">
      <c r="A627" s="28"/>
      <c r="B627" s="28"/>
      <c r="C627" s="29"/>
      <c r="D627" s="30"/>
      <c r="E627" s="28"/>
      <c r="F627" s="19"/>
      <c r="G627" s="6"/>
      <c r="H627" s="6"/>
      <c r="I627" s="6"/>
      <c r="J627" s="6"/>
      <c r="K627" s="6"/>
      <c r="L627" s="6"/>
      <c r="M627" s="6"/>
      <c r="N627" s="6"/>
      <c r="O627" s="6"/>
      <c r="P627" s="6"/>
      <c r="Q627" s="6"/>
      <c r="R627" s="6"/>
      <c r="S627" s="6"/>
      <c r="T627" s="6"/>
      <c r="U627" s="6"/>
      <c r="V627" s="6"/>
      <c r="W627" s="6"/>
      <c r="X627" s="6"/>
      <c r="Y627" s="6"/>
      <c r="Z627" s="6"/>
      <c r="AA627" s="6"/>
      <c r="AB627" s="6"/>
      <c r="AC627" s="6"/>
    </row>
    <row r="628" ht="14.25" customHeight="1">
      <c r="A628" s="28"/>
      <c r="B628" s="28"/>
      <c r="C628" s="29"/>
      <c r="D628" s="30"/>
      <c r="E628" s="28"/>
      <c r="F628" s="19"/>
      <c r="G628" s="6"/>
      <c r="H628" s="6"/>
      <c r="I628" s="6"/>
      <c r="J628" s="6"/>
      <c r="K628" s="6"/>
      <c r="L628" s="6"/>
      <c r="M628" s="6"/>
      <c r="N628" s="6"/>
      <c r="O628" s="6"/>
      <c r="P628" s="6"/>
      <c r="Q628" s="6"/>
      <c r="R628" s="6"/>
      <c r="S628" s="6"/>
      <c r="T628" s="6"/>
      <c r="U628" s="6"/>
      <c r="V628" s="6"/>
      <c r="W628" s="6"/>
      <c r="X628" s="6"/>
      <c r="Y628" s="6"/>
      <c r="Z628" s="6"/>
      <c r="AA628" s="6"/>
      <c r="AB628" s="6"/>
      <c r="AC628" s="6"/>
    </row>
    <row r="629" ht="14.25" customHeight="1">
      <c r="A629" s="28"/>
      <c r="B629" s="28"/>
      <c r="C629" s="29"/>
      <c r="D629" s="30"/>
      <c r="E629" s="28"/>
      <c r="F629" s="19"/>
      <c r="G629" s="6"/>
      <c r="H629" s="6"/>
      <c r="I629" s="6"/>
      <c r="J629" s="6"/>
      <c r="K629" s="6"/>
      <c r="L629" s="6"/>
      <c r="M629" s="6"/>
      <c r="N629" s="6"/>
      <c r="O629" s="6"/>
      <c r="P629" s="6"/>
      <c r="Q629" s="6"/>
      <c r="R629" s="6"/>
      <c r="S629" s="6"/>
      <c r="T629" s="6"/>
      <c r="U629" s="6"/>
      <c r="V629" s="6"/>
      <c r="W629" s="6"/>
      <c r="X629" s="6"/>
      <c r="Y629" s="6"/>
      <c r="Z629" s="6"/>
      <c r="AA629" s="6"/>
      <c r="AB629" s="6"/>
      <c r="AC629" s="6"/>
    </row>
    <row r="630" ht="14.25" customHeight="1">
      <c r="A630" s="28"/>
      <c r="B630" s="28"/>
      <c r="C630" s="29"/>
      <c r="D630" s="30"/>
      <c r="E630" s="28"/>
      <c r="F630" s="19"/>
      <c r="G630" s="6"/>
      <c r="H630" s="6"/>
      <c r="I630" s="6"/>
      <c r="J630" s="6"/>
      <c r="K630" s="6"/>
      <c r="L630" s="6"/>
      <c r="M630" s="6"/>
      <c r="N630" s="6"/>
      <c r="O630" s="6"/>
      <c r="P630" s="6"/>
      <c r="Q630" s="6"/>
      <c r="R630" s="6"/>
      <c r="S630" s="6"/>
      <c r="T630" s="6"/>
      <c r="U630" s="6"/>
      <c r="V630" s="6"/>
      <c r="W630" s="6"/>
      <c r="X630" s="6"/>
      <c r="Y630" s="6"/>
      <c r="Z630" s="6"/>
      <c r="AA630" s="6"/>
      <c r="AB630" s="6"/>
      <c r="AC630" s="6"/>
    </row>
    <row r="631" ht="14.25" customHeight="1">
      <c r="A631" s="28"/>
      <c r="B631" s="28"/>
      <c r="C631" s="29"/>
      <c r="D631" s="30"/>
      <c r="E631" s="28"/>
      <c r="F631" s="19"/>
      <c r="G631" s="6"/>
      <c r="H631" s="6"/>
      <c r="I631" s="6"/>
      <c r="J631" s="6"/>
      <c r="K631" s="6"/>
      <c r="L631" s="6"/>
      <c r="M631" s="6"/>
      <c r="N631" s="6"/>
      <c r="O631" s="6"/>
      <c r="P631" s="6"/>
      <c r="Q631" s="6"/>
      <c r="R631" s="6"/>
      <c r="S631" s="6"/>
      <c r="T631" s="6"/>
      <c r="U631" s="6"/>
      <c r="V631" s="6"/>
      <c r="W631" s="6"/>
      <c r="X631" s="6"/>
      <c r="Y631" s="6"/>
      <c r="Z631" s="6"/>
      <c r="AA631" s="6"/>
      <c r="AB631" s="6"/>
      <c r="AC631" s="6"/>
    </row>
    <row r="632" ht="14.25" customHeight="1">
      <c r="A632" s="28"/>
      <c r="B632" s="28"/>
      <c r="C632" s="29"/>
      <c r="D632" s="30"/>
      <c r="E632" s="28"/>
      <c r="F632" s="19"/>
      <c r="G632" s="6"/>
      <c r="H632" s="6"/>
      <c r="I632" s="6"/>
      <c r="J632" s="6"/>
      <c r="K632" s="6"/>
      <c r="L632" s="6"/>
      <c r="M632" s="6"/>
      <c r="N632" s="6"/>
      <c r="O632" s="6"/>
      <c r="P632" s="6"/>
      <c r="Q632" s="6"/>
      <c r="R632" s="6"/>
      <c r="S632" s="6"/>
      <c r="T632" s="6"/>
      <c r="U632" s="6"/>
      <c r="V632" s="6"/>
      <c r="W632" s="6"/>
      <c r="X632" s="6"/>
      <c r="Y632" s="6"/>
      <c r="Z632" s="6"/>
      <c r="AA632" s="6"/>
      <c r="AB632" s="6"/>
      <c r="AC632" s="6"/>
    </row>
    <row r="633" ht="14.25" customHeight="1">
      <c r="A633" s="28"/>
      <c r="B633" s="28"/>
      <c r="C633" s="29"/>
      <c r="D633" s="30"/>
      <c r="E633" s="28"/>
      <c r="F633" s="19"/>
      <c r="G633" s="6"/>
      <c r="H633" s="6"/>
      <c r="I633" s="6"/>
      <c r="J633" s="6"/>
      <c r="K633" s="6"/>
      <c r="L633" s="6"/>
      <c r="M633" s="6"/>
      <c r="N633" s="6"/>
      <c r="O633" s="6"/>
      <c r="P633" s="6"/>
      <c r="Q633" s="6"/>
      <c r="R633" s="6"/>
      <c r="S633" s="6"/>
      <c r="T633" s="6"/>
      <c r="U633" s="6"/>
      <c r="V633" s="6"/>
      <c r="W633" s="6"/>
      <c r="X633" s="6"/>
      <c r="Y633" s="6"/>
      <c r="Z633" s="6"/>
      <c r="AA633" s="6"/>
      <c r="AB633" s="6"/>
      <c r="AC633" s="6"/>
    </row>
    <row r="634" ht="14.25" customHeight="1">
      <c r="A634" s="28"/>
      <c r="B634" s="28"/>
      <c r="C634" s="29"/>
      <c r="D634" s="30"/>
      <c r="E634" s="28"/>
      <c r="F634" s="19"/>
      <c r="G634" s="6"/>
      <c r="H634" s="6"/>
      <c r="I634" s="6"/>
      <c r="J634" s="6"/>
      <c r="K634" s="6"/>
      <c r="L634" s="6"/>
      <c r="M634" s="6"/>
      <c r="N634" s="6"/>
      <c r="O634" s="6"/>
      <c r="P634" s="6"/>
      <c r="Q634" s="6"/>
      <c r="R634" s="6"/>
      <c r="S634" s="6"/>
      <c r="T634" s="6"/>
      <c r="U634" s="6"/>
      <c r="V634" s="6"/>
      <c r="W634" s="6"/>
      <c r="X634" s="6"/>
      <c r="Y634" s="6"/>
      <c r="Z634" s="6"/>
      <c r="AA634" s="6"/>
      <c r="AB634" s="6"/>
      <c r="AC634" s="6"/>
    </row>
    <row r="635" ht="14.25" customHeight="1">
      <c r="A635" s="28"/>
      <c r="B635" s="28"/>
      <c r="C635" s="29"/>
      <c r="D635" s="30"/>
      <c r="E635" s="28"/>
      <c r="F635" s="19"/>
      <c r="G635" s="6"/>
      <c r="H635" s="6"/>
      <c r="I635" s="6"/>
      <c r="J635" s="6"/>
      <c r="K635" s="6"/>
      <c r="L635" s="6"/>
      <c r="M635" s="6"/>
      <c r="N635" s="6"/>
      <c r="O635" s="6"/>
      <c r="P635" s="6"/>
      <c r="Q635" s="6"/>
      <c r="R635" s="6"/>
      <c r="S635" s="6"/>
      <c r="T635" s="6"/>
      <c r="U635" s="6"/>
      <c r="V635" s="6"/>
      <c r="W635" s="6"/>
      <c r="X635" s="6"/>
      <c r="Y635" s="6"/>
      <c r="Z635" s="6"/>
      <c r="AA635" s="6"/>
      <c r="AB635" s="6"/>
      <c r="AC635" s="6"/>
    </row>
    <row r="636" ht="14.25" customHeight="1">
      <c r="A636" s="28"/>
      <c r="B636" s="28"/>
      <c r="C636" s="29"/>
      <c r="D636" s="30"/>
      <c r="E636" s="28"/>
      <c r="F636" s="19"/>
      <c r="G636" s="6"/>
      <c r="H636" s="6"/>
      <c r="I636" s="6"/>
      <c r="J636" s="6"/>
      <c r="K636" s="6"/>
      <c r="L636" s="6"/>
      <c r="M636" s="6"/>
      <c r="N636" s="6"/>
      <c r="O636" s="6"/>
      <c r="P636" s="6"/>
      <c r="Q636" s="6"/>
      <c r="R636" s="6"/>
      <c r="S636" s="6"/>
      <c r="T636" s="6"/>
      <c r="U636" s="6"/>
      <c r="V636" s="6"/>
      <c r="W636" s="6"/>
      <c r="X636" s="6"/>
      <c r="Y636" s="6"/>
      <c r="Z636" s="6"/>
      <c r="AA636" s="6"/>
      <c r="AB636" s="6"/>
      <c r="AC636" s="6"/>
    </row>
    <row r="637" ht="14.25" customHeight="1">
      <c r="A637" s="28"/>
      <c r="B637" s="28"/>
      <c r="C637" s="29"/>
      <c r="D637" s="30"/>
      <c r="E637" s="28"/>
      <c r="F637" s="19"/>
      <c r="G637" s="6"/>
      <c r="H637" s="6"/>
      <c r="I637" s="6"/>
      <c r="J637" s="6"/>
      <c r="K637" s="6"/>
      <c r="L637" s="6"/>
      <c r="M637" s="6"/>
      <c r="N637" s="6"/>
      <c r="O637" s="6"/>
      <c r="P637" s="6"/>
      <c r="Q637" s="6"/>
      <c r="R637" s="6"/>
      <c r="S637" s="6"/>
      <c r="T637" s="6"/>
      <c r="U637" s="6"/>
      <c r="V637" s="6"/>
      <c r="W637" s="6"/>
      <c r="X637" s="6"/>
      <c r="Y637" s="6"/>
      <c r="Z637" s="6"/>
      <c r="AA637" s="6"/>
      <c r="AB637" s="6"/>
      <c r="AC637" s="6"/>
    </row>
    <row r="638" ht="14.25" customHeight="1">
      <c r="A638" s="28"/>
      <c r="B638" s="28"/>
      <c r="C638" s="29"/>
      <c r="D638" s="30"/>
      <c r="E638" s="28"/>
      <c r="F638" s="19"/>
      <c r="G638" s="6"/>
      <c r="H638" s="6"/>
      <c r="I638" s="6"/>
      <c r="J638" s="6"/>
      <c r="K638" s="6"/>
      <c r="L638" s="6"/>
      <c r="M638" s="6"/>
      <c r="N638" s="6"/>
      <c r="O638" s="6"/>
      <c r="P638" s="6"/>
      <c r="Q638" s="6"/>
      <c r="R638" s="6"/>
      <c r="S638" s="6"/>
      <c r="T638" s="6"/>
      <c r="U638" s="6"/>
      <c r="V638" s="6"/>
      <c r="W638" s="6"/>
      <c r="X638" s="6"/>
      <c r="Y638" s="6"/>
      <c r="Z638" s="6"/>
      <c r="AA638" s="6"/>
      <c r="AB638" s="6"/>
      <c r="AC638" s="6"/>
    </row>
    <row r="639" ht="14.25" customHeight="1">
      <c r="A639" s="28"/>
      <c r="B639" s="28"/>
      <c r="C639" s="29"/>
      <c r="D639" s="30"/>
      <c r="E639" s="28"/>
      <c r="F639" s="19"/>
      <c r="G639" s="6"/>
      <c r="H639" s="6"/>
      <c r="I639" s="6"/>
      <c r="J639" s="6"/>
      <c r="K639" s="6"/>
      <c r="L639" s="6"/>
      <c r="M639" s="6"/>
      <c r="N639" s="6"/>
      <c r="O639" s="6"/>
      <c r="P639" s="6"/>
      <c r="Q639" s="6"/>
      <c r="R639" s="6"/>
      <c r="S639" s="6"/>
      <c r="T639" s="6"/>
      <c r="U639" s="6"/>
      <c r="V639" s="6"/>
      <c r="W639" s="6"/>
      <c r="X639" s="6"/>
      <c r="Y639" s="6"/>
      <c r="Z639" s="6"/>
      <c r="AA639" s="6"/>
      <c r="AB639" s="6"/>
      <c r="AC639" s="6"/>
    </row>
    <row r="640" ht="14.25" customHeight="1">
      <c r="A640" s="28"/>
      <c r="B640" s="28"/>
      <c r="C640" s="29"/>
      <c r="D640" s="30"/>
      <c r="E640" s="28"/>
      <c r="F640" s="19"/>
      <c r="G640" s="6"/>
      <c r="H640" s="6"/>
      <c r="I640" s="6"/>
      <c r="J640" s="6"/>
      <c r="K640" s="6"/>
      <c r="L640" s="6"/>
      <c r="M640" s="6"/>
      <c r="N640" s="6"/>
      <c r="O640" s="6"/>
      <c r="P640" s="6"/>
      <c r="Q640" s="6"/>
      <c r="R640" s="6"/>
      <c r="S640" s="6"/>
      <c r="T640" s="6"/>
      <c r="U640" s="6"/>
      <c r="V640" s="6"/>
      <c r="W640" s="6"/>
      <c r="X640" s="6"/>
      <c r="Y640" s="6"/>
      <c r="Z640" s="6"/>
      <c r="AA640" s="6"/>
      <c r="AB640" s="6"/>
      <c r="AC640" s="6"/>
    </row>
    <row r="641" ht="14.25" customHeight="1">
      <c r="A641" s="28"/>
      <c r="B641" s="28"/>
      <c r="C641" s="29"/>
      <c r="D641" s="30"/>
      <c r="E641" s="28"/>
      <c r="F641" s="19"/>
      <c r="G641" s="6"/>
      <c r="H641" s="6"/>
      <c r="I641" s="6"/>
      <c r="J641" s="6"/>
      <c r="K641" s="6"/>
      <c r="L641" s="6"/>
      <c r="M641" s="6"/>
      <c r="N641" s="6"/>
      <c r="O641" s="6"/>
      <c r="P641" s="6"/>
      <c r="Q641" s="6"/>
      <c r="R641" s="6"/>
      <c r="S641" s="6"/>
      <c r="T641" s="6"/>
      <c r="U641" s="6"/>
      <c r="V641" s="6"/>
      <c r="W641" s="6"/>
      <c r="X641" s="6"/>
      <c r="Y641" s="6"/>
      <c r="Z641" s="6"/>
      <c r="AA641" s="6"/>
      <c r="AB641" s="6"/>
      <c r="AC641" s="6"/>
    </row>
    <row r="642" ht="14.25" customHeight="1">
      <c r="A642" s="28"/>
      <c r="B642" s="28"/>
      <c r="C642" s="29"/>
      <c r="D642" s="30"/>
      <c r="E642" s="28"/>
      <c r="F642" s="19"/>
      <c r="G642" s="6"/>
      <c r="H642" s="6"/>
      <c r="I642" s="6"/>
      <c r="J642" s="6"/>
      <c r="K642" s="6"/>
      <c r="L642" s="6"/>
      <c r="M642" s="6"/>
      <c r="N642" s="6"/>
      <c r="O642" s="6"/>
      <c r="P642" s="6"/>
      <c r="Q642" s="6"/>
      <c r="R642" s="6"/>
      <c r="S642" s="6"/>
      <c r="T642" s="6"/>
      <c r="U642" s="6"/>
      <c r="V642" s="6"/>
      <c r="W642" s="6"/>
      <c r="X642" s="6"/>
      <c r="Y642" s="6"/>
      <c r="Z642" s="6"/>
      <c r="AA642" s="6"/>
      <c r="AB642" s="6"/>
      <c r="AC642" s="6"/>
    </row>
    <row r="643" ht="14.25" customHeight="1">
      <c r="A643" s="28"/>
      <c r="B643" s="28"/>
      <c r="C643" s="29"/>
      <c r="D643" s="30"/>
      <c r="E643" s="28"/>
      <c r="F643" s="19"/>
      <c r="G643" s="6"/>
      <c r="H643" s="6"/>
      <c r="I643" s="6"/>
      <c r="J643" s="6"/>
      <c r="K643" s="6"/>
      <c r="L643" s="6"/>
      <c r="M643" s="6"/>
      <c r="N643" s="6"/>
      <c r="O643" s="6"/>
      <c r="P643" s="6"/>
      <c r="Q643" s="6"/>
      <c r="R643" s="6"/>
      <c r="S643" s="6"/>
      <c r="T643" s="6"/>
      <c r="U643" s="6"/>
      <c r="V643" s="6"/>
      <c r="W643" s="6"/>
      <c r="X643" s="6"/>
      <c r="Y643" s="6"/>
      <c r="Z643" s="6"/>
      <c r="AA643" s="6"/>
      <c r="AB643" s="6"/>
      <c r="AC643" s="6"/>
    </row>
    <row r="644" ht="14.25" customHeight="1">
      <c r="A644" s="28"/>
      <c r="B644" s="28"/>
      <c r="C644" s="29"/>
      <c r="D644" s="30"/>
      <c r="E644" s="28"/>
      <c r="F644" s="19"/>
      <c r="G644" s="6"/>
      <c r="H644" s="6"/>
      <c r="I644" s="6"/>
      <c r="J644" s="6"/>
      <c r="K644" s="6"/>
      <c r="L644" s="6"/>
      <c r="M644" s="6"/>
      <c r="N644" s="6"/>
      <c r="O644" s="6"/>
      <c r="P644" s="6"/>
      <c r="Q644" s="6"/>
      <c r="R644" s="6"/>
      <c r="S644" s="6"/>
      <c r="T644" s="6"/>
      <c r="U644" s="6"/>
      <c r="V644" s="6"/>
      <c r="W644" s="6"/>
      <c r="X644" s="6"/>
      <c r="Y644" s="6"/>
      <c r="Z644" s="6"/>
      <c r="AA644" s="6"/>
      <c r="AB644" s="6"/>
      <c r="AC644" s="6"/>
    </row>
    <row r="645" ht="14.25" customHeight="1">
      <c r="A645" s="28"/>
      <c r="B645" s="28"/>
      <c r="C645" s="29"/>
      <c r="D645" s="30"/>
      <c r="E645" s="28"/>
      <c r="F645" s="19"/>
      <c r="G645" s="6"/>
      <c r="H645" s="6"/>
      <c r="I645" s="6"/>
      <c r="J645" s="6"/>
      <c r="K645" s="6"/>
      <c r="L645" s="6"/>
      <c r="M645" s="6"/>
      <c r="N645" s="6"/>
      <c r="O645" s="6"/>
      <c r="P645" s="6"/>
      <c r="Q645" s="6"/>
      <c r="R645" s="6"/>
      <c r="S645" s="6"/>
      <c r="T645" s="6"/>
      <c r="U645" s="6"/>
      <c r="V645" s="6"/>
      <c r="W645" s="6"/>
      <c r="X645" s="6"/>
      <c r="Y645" s="6"/>
      <c r="Z645" s="6"/>
      <c r="AA645" s="6"/>
      <c r="AB645" s="6"/>
      <c r="AC645" s="6"/>
    </row>
    <row r="646" ht="14.25" customHeight="1">
      <c r="A646" s="28"/>
      <c r="B646" s="28"/>
      <c r="C646" s="29"/>
      <c r="D646" s="30"/>
      <c r="E646" s="28"/>
      <c r="F646" s="19"/>
      <c r="G646" s="6"/>
      <c r="H646" s="6"/>
      <c r="I646" s="6"/>
      <c r="J646" s="6"/>
      <c r="K646" s="6"/>
      <c r="L646" s="6"/>
      <c r="M646" s="6"/>
      <c r="N646" s="6"/>
      <c r="O646" s="6"/>
      <c r="P646" s="6"/>
      <c r="Q646" s="6"/>
      <c r="R646" s="6"/>
      <c r="S646" s="6"/>
      <c r="T646" s="6"/>
      <c r="U646" s="6"/>
      <c r="V646" s="6"/>
      <c r="W646" s="6"/>
      <c r="X646" s="6"/>
      <c r="Y646" s="6"/>
      <c r="Z646" s="6"/>
      <c r="AA646" s="6"/>
      <c r="AB646" s="6"/>
      <c r="AC646" s="6"/>
    </row>
    <row r="647" ht="14.25" customHeight="1">
      <c r="A647" s="28"/>
      <c r="B647" s="28"/>
      <c r="C647" s="29"/>
      <c r="D647" s="30"/>
      <c r="E647" s="28"/>
      <c r="F647" s="19"/>
      <c r="G647" s="6"/>
      <c r="H647" s="6"/>
      <c r="I647" s="6"/>
      <c r="J647" s="6"/>
      <c r="K647" s="6"/>
      <c r="L647" s="6"/>
      <c r="M647" s="6"/>
      <c r="N647" s="6"/>
      <c r="O647" s="6"/>
      <c r="P647" s="6"/>
      <c r="Q647" s="6"/>
      <c r="R647" s="6"/>
      <c r="S647" s="6"/>
      <c r="T647" s="6"/>
      <c r="U647" s="6"/>
      <c r="V647" s="6"/>
      <c r="W647" s="6"/>
      <c r="X647" s="6"/>
      <c r="Y647" s="6"/>
      <c r="Z647" s="6"/>
      <c r="AA647" s="6"/>
      <c r="AB647" s="6"/>
      <c r="AC647" s="6"/>
    </row>
    <row r="648" ht="14.25" customHeight="1">
      <c r="A648" s="28"/>
      <c r="B648" s="28"/>
      <c r="C648" s="29"/>
      <c r="D648" s="30"/>
      <c r="E648" s="28"/>
      <c r="F648" s="19"/>
      <c r="G648" s="6"/>
      <c r="H648" s="6"/>
      <c r="I648" s="6"/>
      <c r="J648" s="6"/>
      <c r="K648" s="6"/>
      <c r="L648" s="6"/>
      <c r="M648" s="6"/>
      <c r="N648" s="6"/>
      <c r="O648" s="6"/>
      <c r="P648" s="6"/>
      <c r="Q648" s="6"/>
      <c r="R648" s="6"/>
      <c r="S648" s="6"/>
      <c r="T648" s="6"/>
      <c r="U648" s="6"/>
      <c r="V648" s="6"/>
      <c r="W648" s="6"/>
      <c r="X648" s="6"/>
      <c r="Y648" s="6"/>
      <c r="Z648" s="6"/>
      <c r="AA648" s="6"/>
      <c r="AB648" s="6"/>
      <c r="AC648" s="6"/>
    </row>
    <row r="649" ht="14.25" customHeight="1">
      <c r="A649" s="28"/>
      <c r="B649" s="28"/>
      <c r="C649" s="29"/>
      <c r="D649" s="30"/>
      <c r="E649" s="28"/>
      <c r="F649" s="19"/>
      <c r="G649" s="6"/>
      <c r="H649" s="6"/>
      <c r="I649" s="6"/>
      <c r="J649" s="6"/>
      <c r="K649" s="6"/>
      <c r="L649" s="6"/>
      <c r="M649" s="6"/>
      <c r="N649" s="6"/>
      <c r="O649" s="6"/>
      <c r="P649" s="6"/>
      <c r="Q649" s="6"/>
      <c r="R649" s="6"/>
      <c r="S649" s="6"/>
      <c r="T649" s="6"/>
      <c r="U649" s="6"/>
      <c r="V649" s="6"/>
      <c r="W649" s="6"/>
      <c r="X649" s="6"/>
      <c r="Y649" s="6"/>
      <c r="Z649" s="6"/>
      <c r="AA649" s="6"/>
      <c r="AB649" s="6"/>
      <c r="AC649" s="6"/>
    </row>
    <row r="650" ht="14.25" customHeight="1">
      <c r="A650" s="28"/>
      <c r="B650" s="28"/>
      <c r="C650" s="29"/>
      <c r="D650" s="30"/>
      <c r="E650" s="28"/>
      <c r="F650" s="19"/>
      <c r="G650" s="6"/>
      <c r="H650" s="6"/>
      <c r="I650" s="6"/>
      <c r="J650" s="6"/>
      <c r="K650" s="6"/>
      <c r="L650" s="6"/>
      <c r="M650" s="6"/>
      <c r="N650" s="6"/>
      <c r="O650" s="6"/>
      <c r="P650" s="6"/>
      <c r="Q650" s="6"/>
      <c r="R650" s="6"/>
      <c r="S650" s="6"/>
      <c r="T650" s="6"/>
      <c r="U650" s="6"/>
      <c r="V650" s="6"/>
      <c r="W650" s="6"/>
      <c r="X650" s="6"/>
      <c r="Y650" s="6"/>
      <c r="Z650" s="6"/>
      <c r="AA650" s="6"/>
      <c r="AB650" s="6"/>
      <c r="AC650" s="6"/>
    </row>
    <row r="651" ht="14.25" customHeight="1">
      <c r="A651" s="28"/>
      <c r="B651" s="28"/>
      <c r="C651" s="29"/>
      <c r="D651" s="30"/>
      <c r="E651" s="28"/>
      <c r="F651" s="19"/>
      <c r="G651" s="6"/>
      <c r="H651" s="6"/>
      <c r="I651" s="6"/>
      <c r="J651" s="6"/>
      <c r="K651" s="6"/>
      <c r="L651" s="6"/>
      <c r="M651" s="6"/>
      <c r="N651" s="6"/>
      <c r="O651" s="6"/>
      <c r="P651" s="6"/>
      <c r="Q651" s="6"/>
      <c r="R651" s="6"/>
      <c r="S651" s="6"/>
      <c r="T651" s="6"/>
      <c r="U651" s="6"/>
      <c r="V651" s="6"/>
      <c r="W651" s="6"/>
      <c r="X651" s="6"/>
      <c r="Y651" s="6"/>
      <c r="Z651" s="6"/>
      <c r="AA651" s="6"/>
      <c r="AB651" s="6"/>
      <c r="AC651" s="6"/>
    </row>
    <row r="652" ht="14.25" customHeight="1">
      <c r="A652" s="28"/>
      <c r="B652" s="28"/>
      <c r="C652" s="29"/>
      <c r="D652" s="30"/>
      <c r="E652" s="28"/>
      <c r="F652" s="19"/>
      <c r="G652" s="6"/>
      <c r="H652" s="6"/>
      <c r="I652" s="6"/>
      <c r="J652" s="6"/>
      <c r="K652" s="6"/>
      <c r="L652" s="6"/>
      <c r="M652" s="6"/>
      <c r="N652" s="6"/>
      <c r="O652" s="6"/>
      <c r="P652" s="6"/>
      <c r="Q652" s="6"/>
      <c r="R652" s="6"/>
      <c r="S652" s="6"/>
      <c r="T652" s="6"/>
      <c r="U652" s="6"/>
      <c r="V652" s="6"/>
      <c r="W652" s="6"/>
      <c r="X652" s="6"/>
      <c r="Y652" s="6"/>
      <c r="Z652" s="6"/>
      <c r="AA652" s="6"/>
      <c r="AB652" s="6"/>
      <c r="AC652" s="6"/>
    </row>
    <row r="653" ht="14.25" customHeight="1">
      <c r="A653" s="28"/>
      <c r="B653" s="28"/>
      <c r="C653" s="29"/>
      <c r="D653" s="30"/>
      <c r="E653" s="28"/>
      <c r="F653" s="19"/>
      <c r="G653" s="6"/>
      <c r="H653" s="6"/>
      <c r="I653" s="6"/>
      <c r="J653" s="6"/>
      <c r="K653" s="6"/>
      <c r="L653" s="6"/>
      <c r="M653" s="6"/>
      <c r="N653" s="6"/>
      <c r="O653" s="6"/>
      <c r="P653" s="6"/>
      <c r="Q653" s="6"/>
      <c r="R653" s="6"/>
      <c r="S653" s="6"/>
      <c r="T653" s="6"/>
      <c r="U653" s="6"/>
      <c r="V653" s="6"/>
      <c r="W653" s="6"/>
      <c r="X653" s="6"/>
      <c r="Y653" s="6"/>
      <c r="Z653" s="6"/>
      <c r="AA653" s="6"/>
      <c r="AB653" s="6"/>
      <c r="AC653" s="6"/>
    </row>
    <row r="654" ht="14.25" customHeight="1">
      <c r="A654" s="28"/>
      <c r="B654" s="28"/>
      <c r="C654" s="29"/>
      <c r="D654" s="30"/>
      <c r="E654" s="28"/>
      <c r="F654" s="19"/>
      <c r="G654" s="6"/>
      <c r="H654" s="6"/>
      <c r="I654" s="6"/>
      <c r="J654" s="6"/>
      <c r="K654" s="6"/>
      <c r="L654" s="6"/>
      <c r="M654" s="6"/>
      <c r="N654" s="6"/>
      <c r="O654" s="6"/>
      <c r="P654" s="6"/>
      <c r="Q654" s="6"/>
      <c r="R654" s="6"/>
      <c r="S654" s="6"/>
      <c r="T654" s="6"/>
      <c r="U654" s="6"/>
      <c r="V654" s="6"/>
      <c r="W654" s="6"/>
      <c r="X654" s="6"/>
      <c r="Y654" s="6"/>
      <c r="Z654" s="6"/>
      <c r="AA654" s="6"/>
      <c r="AB654" s="6"/>
      <c r="AC654" s="6"/>
    </row>
    <row r="655" ht="14.25" customHeight="1">
      <c r="A655" s="28"/>
      <c r="B655" s="28"/>
      <c r="C655" s="29"/>
      <c r="D655" s="30"/>
      <c r="E655" s="28"/>
      <c r="F655" s="19"/>
      <c r="G655" s="6"/>
      <c r="H655" s="6"/>
      <c r="I655" s="6"/>
      <c r="J655" s="6"/>
      <c r="K655" s="6"/>
      <c r="L655" s="6"/>
      <c r="M655" s="6"/>
      <c r="N655" s="6"/>
      <c r="O655" s="6"/>
      <c r="P655" s="6"/>
      <c r="Q655" s="6"/>
      <c r="R655" s="6"/>
      <c r="S655" s="6"/>
      <c r="T655" s="6"/>
      <c r="U655" s="6"/>
      <c r="V655" s="6"/>
      <c r="W655" s="6"/>
      <c r="X655" s="6"/>
      <c r="Y655" s="6"/>
      <c r="Z655" s="6"/>
      <c r="AA655" s="6"/>
      <c r="AB655" s="6"/>
      <c r="AC655" s="6"/>
    </row>
    <row r="656" ht="14.25" customHeight="1">
      <c r="A656" s="28"/>
      <c r="B656" s="28"/>
      <c r="C656" s="29"/>
      <c r="D656" s="30"/>
      <c r="E656" s="28"/>
      <c r="F656" s="19"/>
      <c r="G656" s="6"/>
      <c r="H656" s="6"/>
      <c r="I656" s="6"/>
      <c r="J656" s="6"/>
      <c r="K656" s="6"/>
      <c r="L656" s="6"/>
      <c r="M656" s="6"/>
      <c r="N656" s="6"/>
      <c r="O656" s="6"/>
      <c r="P656" s="6"/>
      <c r="Q656" s="6"/>
      <c r="R656" s="6"/>
      <c r="S656" s="6"/>
      <c r="T656" s="6"/>
      <c r="U656" s="6"/>
      <c r="V656" s="6"/>
      <c r="W656" s="6"/>
      <c r="X656" s="6"/>
      <c r="Y656" s="6"/>
      <c r="Z656" s="6"/>
      <c r="AA656" s="6"/>
      <c r="AB656" s="6"/>
      <c r="AC656" s="6"/>
    </row>
    <row r="657" ht="14.25" customHeight="1">
      <c r="A657" s="28"/>
      <c r="B657" s="28"/>
      <c r="C657" s="29"/>
      <c r="D657" s="30"/>
      <c r="E657" s="28"/>
      <c r="F657" s="19"/>
      <c r="G657" s="6"/>
      <c r="H657" s="6"/>
      <c r="I657" s="6"/>
      <c r="J657" s="6"/>
      <c r="K657" s="6"/>
      <c r="L657" s="6"/>
      <c r="M657" s="6"/>
      <c r="N657" s="6"/>
      <c r="O657" s="6"/>
      <c r="P657" s="6"/>
      <c r="Q657" s="6"/>
      <c r="R657" s="6"/>
      <c r="S657" s="6"/>
      <c r="T657" s="6"/>
      <c r="U657" s="6"/>
      <c r="V657" s="6"/>
      <c r="W657" s="6"/>
      <c r="X657" s="6"/>
      <c r="Y657" s="6"/>
      <c r="Z657" s="6"/>
      <c r="AA657" s="6"/>
      <c r="AB657" s="6"/>
      <c r="AC657" s="6"/>
    </row>
    <row r="658" ht="14.25" customHeight="1">
      <c r="A658" s="28"/>
      <c r="B658" s="28"/>
      <c r="C658" s="29"/>
      <c r="D658" s="30"/>
      <c r="E658" s="28"/>
      <c r="F658" s="19"/>
      <c r="G658" s="6"/>
      <c r="H658" s="6"/>
      <c r="I658" s="6"/>
      <c r="J658" s="6"/>
      <c r="K658" s="6"/>
      <c r="L658" s="6"/>
      <c r="M658" s="6"/>
      <c r="N658" s="6"/>
      <c r="O658" s="6"/>
      <c r="P658" s="6"/>
      <c r="Q658" s="6"/>
      <c r="R658" s="6"/>
      <c r="S658" s="6"/>
      <c r="T658" s="6"/>
      <c r="U658" s="6"/>
      <c r="V658" s="6"/>
      <c r="W658" s="6"/>
      <c r="X658" s="6"/>
      <c r="Y658" s="6"/>
      <c r="Z658" s="6"/>
      <c r="AA658" s="6"/>
      <c r="AB658" s="6"/>
      <c r="AC658" s="6"/>
    </row>
    <row r="659" ht="14.25" customHeight="1">
      <c r="A659" s="28"/>
      <c r="B659" s="28"/>
      <c r="C659" s="29"/>
      <c r="D659" s="30"/>
      <c r="E659" s="28"/>
      <c r="F659" s="19"/>
      <c r="G659" s="6"/>
      <c r="H659" s="6"/>
      <c r="I659" s="6"/>
      <c r="J659" s="6"/>
      <c r="K659" s="6"/>
      <c r="L659" s="6"/>
      <c r="M659" s="6"/>
      <c r="N659" s="6"/>
      <c r="O659" s="6"/>
      <c r="P659" s="6"/>
      <c r="Q659" s="6"/>
      <c r="R659" s="6"/>
      <c r="S659" s="6"/>
      <c r="T659" s="6"/>
      <c r="U659" s="6"/>
      <c r="V659" s="6"/>
      <c r="W659" s="6"/>
      <c r="X659" s="6"/>
      <c r="Y659" s="6"/>
      <c r="Z659" s="6"/>
      <c r="AA659" s="6"/>
      <c r="AB659" s="6"/>
      <c r="AC659" s="6"/>
    </row>
    <row r="660" ht="14.25" customHeight="1">
      <c r="A660" s="28"/>
      <c r="B660" s="28"/>
      <c r="C660" s="29"/>
      <c r="D660" s="30"/>
      <c r="E660" s="28"/>
      <c r="F660" s="19"/>
      <c r="G660" s="6"/>
      <c r="H660" s="6"/>
      <c r="I660" s="6"/>
      <c r="J660" s="6"/>
      <c r="K660" s="6"/>
      <c r="L660" s="6"/>
      <c r="M660" s="6"/>
      <c r="N660" s="6"/>
      <c r="O660" s="6"/>
      <c r="P660" s="6"/>
      <c r="Q660" s="6"/>
      <c r="R660" s="6"/>
      <c r="S660" s="6"/>
      <c r="T660" s="6"/>
      <c r="U660" s="6"/>
      <c r="V660" s="6"/>
      <c r="W660" s="6"/>
      <c r="X660" s="6"/>
      <c r="Y660" s="6"/>
      <c r="Z660" s="6"/>
      <c r="AA660" s="6"/>
      <c r="AB660" s="6"/>
      <c r="AC660" s="6"/>
    </row>
    <row r="661" ht="14.25" customHeight="1">
      <c r="A661" s="28"/>
      <c r="B661" s="28"/>
      <c r="C661" s="29"/>
      <c r="D661" s="30"/>
      <c r="E661" s="28"/>
      <c r="F661" s="19"/>
      <c r="G661" s="6"/>
      <c r="H661" s="6"/>
      <c r="I661" s="6"/>
      <c r="J661" s="6"/>
      <c r="K661" s="6"/>
      <c r="L661" s="6"/>
      <c r="M661" s="6"/>
      <c r="N661" s="6"/>
      <c r="O661" s="6"/>
      <c r="P661" s="6"/>
      <c r="Q661" s="6"/>
      <c r="R661" s="6"/>
      <c r="S661" s="6"/>
      <c r="T661" s="6"/>
      <c r="U661" s="6"/>
      <c r="V661" s="6"/>
      <c r="W661" s="6"/>
      <c r="X661" s="6"/>
      <c r="Y661" s="6"/>
      <c r="Z661" s="6"/>
      <c r="AA661" s="6"/>
      <c r="AB661" s="6"/>
      <c r="AC661" s="6"/>
    </row>
    <row r="662" ht="14.25" customHeight="1">
      <c r="A662" s="28"/>
      <c r="B662" s="28"/>
      <c r="C662" s="29"/>
      <c r="D662" s="30"/>
      <c r="E662" s="28"/>
      <c r="F662" s="19"/>
      <c r="G662" s="6"/>
      <c r="H662" s="6"/>
      <c r="I662" s="6"/>
      <c r="J662" s="6"/>
      <c r="K662" s="6"/>
      <c r="L662" s="6"/>
      <c r="M662" s="6"/>
      <c r="N662" s="6"/>
      <c r="O662" s="6"/>
      <c r="P662" s="6"/>
      <c r="Q662" s="6"/>
      <c r="R662" s="6"/>
      <c r="S662" s="6"/>
      <c r="T662" s="6"/>
      <c r="U662" s="6"/>
      <c r="V662" s="6"/>
      <c r="W662" s="6"/>
      <c r="X662" s="6"/>
      <c r="Y662" s="6"/>
      <c r="Z662" s="6"/>
      <c r="AA662" s="6"/>
      <c r="AB662" s="6"/>
      <c r="AC662" s="6"/>
    </row>
    <row r="663" ht="14.25" customHeight="1">
      <c r="A663" s="28"/>
      <c r="B663" s="28"/>
      <c r="C663" s="29"/>
      <c r="D663" s="30"/>
      <c r="E663" s="28"/>
      <c r="F663" s="19"/>
      <c r="G663" s="6"/>
      <c r="H663" s="6"/>
      <c r="I663" s="6"/>
      <c r="J663" s="6"/>
      <c r="K663" s="6"/>
      <c r="L663" s="6"/>
      <c r="M663" s="6"/>
      <c r="N663" s="6"/>
      <c r="O663" s="6"/>
      <c r="P663" s="6"/>
      <c r="Q663" s="6"/>
      <c r="R663" s="6"/>
      <c r="S663" s="6"/>
      <c r="T663" s="6"/>
      <c r="U663" s="6"/>
      <c r="V663" s="6"/>
      <c r="W663" s="6"/>
      <c r="X663" s="6"/>
      <c r="Y663" s="6"/>
      <c r="Z663" s="6"/>
      <c r="AA663" s="6"/>
      <c r="AB663" s="6"/>
      <c r="AC663" s="6"/>
    </row>
    <row r="664" ht="14.25" customHeight="1">
      <c r="A664" s="28"/>
      <c r="B664" s="28"/>
      <c r="C664" s="29"/>
      <c r="D664" s="30"/>
      <c r="E664" s="28"/>
      <c r="F664" s="19"/>
      <c r="G664" s="6"/>
      <c r="H664" s="6"/>
      <c r="I664" s="6"/>
      <c r="J664" s="6"/>
      <c r="K664" s="6"/>
      <c r="L664" s="6"/>
      <c r="M664" s="6"/>
      <c r="N664" s="6"/>
      <c r="O664" s="6"/>
      <c r="P664" s="6"/>
      <c r="Q664" s="6"/>
      <c r="R664" s="6"/>
      <c r="S664" s="6"/>
      <c r="T664" s="6"/>
      <c r="U664" s="6"/>
      <c r="V664" s="6"/>
      <c r="W664" s="6"/>
      <c r="X664" s="6"/>
      <c r="Y664" s="6"/>
      <c r="Z664" s="6"/>
      <c r="AA664" s="6"/>
      <c r="AB664" s="6"/>
      <c r="AC664" s="6"/>
    </row>
    <row r="665" ht="14.25" customHeight="1">
      <c r="A665" s="28"/>
      <c r="B665" s="28"/>
      <c r="C665" s="29"/>
      <c r="D665" s="30"/>
      <c r="E665" s="28"/>
      <c r="F665" s="19"/>
      <c r="G665" s="6"/>
      <c r="H665" s="6"/>
      <c r="I665" s="6"/>
      <c r="J665" s="6"/>
      <c r="K665" s="6"/>
      <c r="L665" s="6"/>
      <c r="M665" s="6"/>
      <c r="N665" s="6"/>
      <c r="O665" s="6"/>
      <c r="P665" s="6"/>
      <c r="Q665" s="6"/>
      <c r="R665" s="6"/>
      <c r="S665" s="6"/>
      <c r="T665" s="6"/>
      <c r="U665" s="6"/>
      <c r="V665" s="6"/>
      <c r="W665" s="6"/>
      <c r="X665" s="6"/>
      <c r="Y665" s="6"/>
      <c r="Z665" s="6"/>
      <c r="AA665" s="6"/>
      <c r="AB665" s="6"/>
      <c r="AC665" s="6"/>
    </row>
    <row r="666" ht="14.25" customHeight="1">
      <c r="A666" s="28"/>
      <c r="B666" s="28"/>
      <c r="C666" s="29"/>
      <c r="D666" s="30"/>
      <c r="E666" s="28"/>
      <c r="F666" s="19"/>
      <c r="G666" s="6"/>
      <c r="H666" s="6"/>
      <c r="I666" s="6"/>
      <c r="J666" s="6"/>
      <c r="K666" s="6"/>
      <c r="L666" s="6"/>
      <c r="M666" s="6"/>
      <c r="N666" s="6"/>
      <c r="O666" s="6"/>
      <c r="P666" s="6"/>
      <c r="Q666" s="6"/>
      <c r="R666" s="6"/>
      <c r="S666" s="6"/>
      <c r="T666" s="6"/>
      <c r="U666" s="6"/>
      <c r="V666" s="6"/>
      <c r="W666" s="6"/>
      <c r="X666" s="6"/>
      <c r="Y666" s="6"/>
      <c r="Z666" s="6"/>
      <c r="AA666" s="6"/>
      <c r="AB666" s="6"/>
      <c r="AC666" s="6"/>
    </row>
    <row r="667" ht="14.25" customHeight="1">
      <c r="A667" s="28"/>
      <c r="B667" s="28"/>
      <c r="C667" s="29"/>
      <c r="D667" s="30"/>
      <c r="E667" s="28"/>
      <c r="F667" s="19"/>
      <c r="G667" s="6"/>
      <c r="H667" s="6"/>
      <c r="I667" s="6"/>
      <c r="J667" s="6"/>
      <c r="K667" s="6"/>
      <c r="L667" s="6"/>
      <c r="M667" s="6"/>
      <c r="N667" s="6"/>
      <c r="O667" s="6"/>
      <c r="P667" s="6"/>
      <c r="Q667" s="6"/>
      <c r="R667" s="6"/>
      <c r="S667" s="6"/>
      <c r="T667" s="6"/>
      <c r="U667" s="6"/>
      <c r="V667" s="6"/>
      <c r="W667" s="6"/>
      <c r="X667" s="6"/>
      <c r="Y667" s="6"/>
      <c r="Z667" s="6"/>
      <c r="AA667" s="6"/>
      <c r="AB667" s="6"/>
      <c r="AC667" s="6"/>
    </row>
    <row r="668" ht="14.25" customHeight="1">
      <c r="A668" s="28"/>
      <c r="B668" s="28"/>
      <c r="C668" s="29"/>
      <c r="D668" s="30"/>
      <c r="E668" s="28"/>
      <c r="F668" s="19"/>
      <c r="G668" s="6"/>
      <c r="H668" s="6"/>
      <c r="I668" s="6"/>
      <c r="J668" s="6"/>
      <c r="K668" s="6"/>
      <c r="L668" s="6"/>
      <c r="M668" s="6"/>
      <c r="N668" s="6"/>
      <c r="O668" s="6"/>
      <c r="P668" s="6"/>
      <c r="Q668" s="6"/>
      <c r="R668" s="6"/>
      <c r="S668" s="6"/>
      <c r="T668" s="6"/>
      <c r="U668" s="6"/>
      <c r="V668" s="6"/>
      <c r="W668" s="6"/>
      <c r="X668" s="6"/>
      <c r="Y668" s="6"/>
      <c r="Z668" s="6"/>
      <c r="AA668" s="6"/>
      <c r="AB668" s="6"/>
      <c r="AC668" s="6"/>
    </row>
    <row r="669" ht="14.25" customHeight="1">
      <c r="A669" s="28"/>
      <c r="B669" s="28"/>
      <c r="C669" s="29"/>
      <c r="D669" s="30"/>
      <c r="E669" s="28"/>
      <c r="F669" s="19"/>
      <c r="G669" s="6"/>
      <c r="H669" s="6"/>
      <c r="I669" s="6"/>
      <c r="J669" s="6"/>
      <c r="K669" s="6"/>
      <c r="L669" s="6"/>
      <c r="M669" s="6"/>
      <c r="N669" s="6"/>
      <c r="O669" s="6"/>
      <c r="P669" s="6"/>
      <c r="Q669" s="6"/>
      <c r="R669" s="6"/>
      <c r="S669" s="6"/>
      <c r="T669" s="6"/>
      <c r="U669" s="6"/>
      <c r="V669" s="6"/>
      <c r="W669" s="6"/>
      <c r="X669" s="6"/>
      <c r="Y669" s="6"/>
      <c r="Z669" s="6"/>
      <c r="AA669" s="6"/>
      <c r="AB669" s="6"/>
      <c r="AC669" s="6"/>
    </row>
    <row r="670" ht="14.25" customHeight="1">
      <c r="A670" s="28"/>
      <c r="B670" s="28"/>
      <c r="C670" s="29"/>
      <c r="D670" s="30"/>
      <c r="E670" s="28"/>
      <c r="F670" s="19"/>
      <c r="G670" s="6"/>
      <c r="H670" s="6"/>
      <c r="I670" s="6"/>
      <c r="J670" s="6"/>
      <c r="K670" s="6"/>
      <c r="L670" s="6"/>
      <c r="M670" s="6"/>
      <c r="N670" s="6"/>
      <c r="O670" s="6"/>
      <c r="P670" s="6"/>
      <c r="Q670" s="6"/>
      <c r="R670" s="6"/>
      <c r="S670" s="6"/>
      <c r="T670" s="6"/>
      <c r="U670" s="6"/>
      <c r="V670" s="6"/>
      <c r="W670" s="6"/>
      <c r="X670" s="6"/>
      <c r="Y670" s="6"/>
      <c r="Z670" s="6"/>
      <c r="AA670" s="6"/>
      <c r="AB670" s="6"/>
      <c r="AC670" s="6"/>
    </row>
    <row r="671" ht="14.25" customHeight="1">
      <c r="A671" s="28"/>
      <c r="B671" s="28"/>
      <c r="C671" s="29"/>
      <c r="D671" s="30"/>
      <c r="E671" s="28"/>
      <c r="F671" s="19"/>
      <c r="G671" s="6"/>
      <c r="H671" s="6"/>
      <c r="I671" s="6"/>
      <c r="J671" s="6"/>
      <c r="K671" s="6"/>
      <c r="L671" s="6"/>
      <c r="M671" s="6"/>
      <c r="N671" s="6"/>
      <c r="O671" s="6"/>
      <c r="P671" s="6"/>
      <c r="Q671" s="6"/>
      <c r="R671" s="6"/>
      <c r="S671" s="6"/>
      <c r="T671" s="6"/>
      <c r="U671" s="6"/>
      <c r="V671" s="6"/>
      <c r="W671" s="6"/>
      <c r="X671" s="6"/>
      <c r="Y671" s="6"/>
      <c r="Z671" s="6"/>
      <c r="AA671" s="6"/>
      <c r="AB671" s="6"/>
      <c r="AC671" s="6"/>
    </row>
    <row r="672" ht="14.25" customHeight="1">
      <c r="A672" s="28"/>
      <c r="B672" s="28"/>
      <c r="C672" s="29"/>
      <c r="D672" s="30"/>
      <c r="E672" s="28"/>
      <c r="F672" s="19"/>
      <c r="G672" s="6"/>
      <c r="H672" s="6"/>
      <c r="I672" s="6"/>
      <c r="J672" s="6"/>
      <c r="K672" s="6"/>
      <c r="L672" s="6"/>
      <c r="M672" s="6"/>
      <c r="N672" s="6"/>
      <c r="O672" s="6"/>
      <c r="P672" s="6"/>
      <c r="Q672" s="6"/>
      <c r="R672" s="6"/>
      <c r="S672" s="6"/>
      <c r="T672" s="6"/>
      <c r="U672" s="6"/>
      <c r="V672" s="6"/>
      <c r="W672" s="6"/>
      <c r="X672" s="6"/>
      <c r="Y672" s="6"/>
      <c r="Z672" s="6"/>
      <c r="AA672" s="6"/>
      <c r="AB672" s="6"/>
      <c r="AC672" s="6"/>
    </row>
    <row r="673" ht="14.25" customHeight="1">
      <c r="A673" s="28"/>
      <c r="B673" s="28"/>
      <c r="C673" s="29"/>
      <c r="D673" s="30"/>
      <c r="E673" s="28"/>
      <c r="F673" s="19"/>
      <c r="G673" s="6"/>
      <c r="H673" s="6"/>
      <c r="I673" s="6"/>
      <c r="J673" s="6"/>
      <c r="K673" s="6"/>
      <c r="L673" s="6"/>
      <c r="M673" s="6"/>
      <c r="N673" s="6"/>
      <c r="O673" s="6"/>
      <c r="P673" s="6"/>
      <c r="Q673" s="6"/>
      <c r="R673" s="6"/>
      <c r="S673" s="6"/>
      <c r="T673" s="6"/>
      <c r="U673" s="6"/>
      <c r="V673" s="6"/>
      <c r="W673" s="6"/>
      <c r="X673" s="6"/>
      <c r="Y673" s="6"/>
      <c r="Z673" s="6"/>
      <c r="AA673" s="6"/>
      <c r="AB673" s="6"/>
      <c r="AC673" s="6"/>
    </row>
    <row r="674" ht="14.25" customHeight="1">
      <c r="A674" s="28"/>
      <c r="B674" s="28"/>
      <c r="C674" s="29"/>
      <c r="D674" s="30"/>
      <c r="E674" s="28"/>
      <c r="F674" s="19"/>
      <c r="G674" s="6"/>
      <c r="H674" s="6"/>
      <c r="I674" s="6"/>
      <c r="J674" s="6"/>
      <c r="K674" s="6"/>
      <c r="L674" s="6"/>
      <c r="M674" s="6"/>
      <c r="N674" s="6"/>
      <c r="O674" s="6"/>
      <c r="P674" s="6"/>
      <c r="Q674" s="6"/>
      <c r="R674" s="6"/>
      <c r="S674" s="6"/>
      <c r="T674" s="6"/>
      <c r="U674" s="6"/>
      <c r="V674" s="6"/>
      <c r="W674" s="6"/>
      <c r="X674" s="6"/>
      <c r="Y674" s="6"/>
      <c r="Z674" s="6"/>
      <c r="AA674" s="6"/>
      <c r="AB674" s="6"/>
      <c r="AC674" s="6"/>
    </row>
    <row r="675" ht="14.25" customHeight="1">
      <c r="A675" s="28"/>
      <c r="B675" s="28"/>
      <c r="C675" s="29"/>
      <c r="D675" s="30"/>
      <c r="E675" s="28"/>
      <c r="F675" s="19"/>
      <c r="G675" s="6"/>
      <c r="H675" s="6"/>
      <c r="I675" s="6"/>
      <c r="J675" s="6"/>
      <c r="K675" s="6"/>
      <c r="L675" s="6"/>
      <c r="M675" s="6"/>
      <c r="N675" s="6"/>
      <c r="O675" s="6"/>
      <c r="P675" s="6"/>
      <c r="Q675" s="6"/>
      <c r="R675" s="6"/>
      <c r="S675" s="6"/>
      <c r="T675" s="6"/>
      <c r="U675" s="6"/>
      <c r="V675" s="6"/>
      <c r="W675" s="6"/>
      <c r="X675" s="6"/>
      <c r="Y675" s="6"/>
      <c r="Z675" s="6"/>
      <c r="AA675" s="6"/>
      <c r="AB675" s="6"/>
      <c r="AC675" s="6"/>
    </row>
    <row r="676" ht="14.25" customHeight="1">
      <c r="A676" s="28"/>
      <c r="B676" s="28"/>
      <c r="C676" s="29"/>
      <c r="D676" s="30"/>
      <c r="E676" s="28"/>
      <c r="F676" s="19"/>
      <c r="G676" s="6"/>
      <c r="H676" s="6"/>
      <c r="I676" s="6"/>
      <c r="J676" s="6"/>
      <c r="K676" s="6"/>
      <c r="L676" s="6"/>
      <c r="M676" s="6"/>
      <c r="N676" s="6"/>
      <c r="O676" s="6"/>
      <c r="P676" s="6"/>
      <c r="Q676" s="6"/>
      <c r="R676" s="6"/>
      <c r="S676" s="6"/>
      <c r="T676" s="6"/>
      <c r="U676" s="6"/>
      <c r="V676" s="6"/>
      <c r="W676" s="6"/>
      <c r="X676" s="6"/>
      <c r="Y676" s="6"/>
      <c r="Z676" s="6"/>
      <c r="AA676" s="6"/>
      <c r="AB676" s="6"/>
      <c r="AC676" s="6"/>
    </row>
    <row r="677" ht="14.25" customHeight="1">
      <c r="A677" s="28"/>
      <c r="B677" s="28"/>
      <c r="C677" s="29"/>
      <c r="D677" s="30"/>
      <c r="E677" s="28"/>
      <c r="F677" s="19"/>
      <c r="G677" s="6"/>
      <c r="H677" s="6"/>
      <c r="I677" s="6"/>
      <c r="J677" s="6"/>
      <c r="K677" s="6"/>
      <c r="L677" s="6"/>
      <c r="M677" s="6"/>
      <c r="N677" s="6"/>
      <c r="O677" s="6"/>
      <c r="P677" s="6"/>
      <c r="Q677" s="6"/>
      <c r="R677" s="6"/>
      <c r="S677" s="6"/>
      <c r="T677" s="6"/>
      <c r="U677" s="6"/>
      <c r="V677" s="6"/>
      <c r="W677" s="6"/>
      <c r="X677" s="6"/>
      <c r="Y677" s="6"/>
      <c r="Z677" s="6"/>
      <c r="AA677" s="6"/>
      <c r="AB677" s="6"/>
      <c r="AC677" s="6"/>
    </row>
    <row r="678" ht="14.25" customHeight="1">
      <c r="A678" s="28"/>
      <c r="B678" s="28"/>
      <c r="C678" s="29"/>
      <c r="D678" s="30"/>
      <c r="E678" s="28"/>
      <c r="F678" s="19"/>
      <c r="G678" s="6"/>
      <c r="H678" s="6"/>
      <c r="I678" s="6"/>
      <c r="J678" s="6"/>
      <c r="K678" s="6"/>
      <c r="L678" s="6"/>
      <c r="M678" s="6"/>
      <c r="N678" s="6"/>
      <c r="O678" s="6"/>
      <c r="P678" s="6"/>
      <c r="Q678" s="6"/>
      <c r="R678" s="6"/>
      <c r="S678" s="6"/>
      <c r="T678" s="6"/>
      <c r="U678" s="6"/>
      <c r="V678" s="6"/>
      <c r="W678" s="6"/>
      <c r="X678" s="6"/>
      <c r="Y678" s="6"/>
      <c r="Z678" s="6"/>
      <c r="AA678" s="6"/>
      <c r="AB678" s="6"/>
      <c r="AC678" s="6"/>
    </row>
    <row r="679" ht="14.25" customHeight="1">
      <c r="A679" s="28"/>
      <c r="B679" s="28"/>
      <c r="C679" s="29"/>
      <c r="D679" s="30"/>
      <c r="E679" s="28"/>
      <c r="F679" s="19"/>
      <c r="G679" s="6"/>
      <c r="H679" s="6"/>
      <c r="I679" s="6"/>
      <c r="J679" s="6"/>
      <c r="K679" s="6"/>
      <c r="L679" s="6"/>
      <c r="M679" s="6"/>
      <c r="N679" s="6"/>
      <c r="O679" s="6"/>
      <c r="P679" s="6"/>
      <c r="Q679" s="6"/>
      <c r="R679" s="6"/>
      <c r="S679" s="6"/>
      <c r="T679" s="6"/>
      <c r="U679" s="6"/>
      <c r="V679" s="6"/>
      <c r="W679" s="6"/>
      <c r="X679" s="6"/>
      <c r="Y679" s="6"/>
      <c r="Z679" s="6"/>
      <c r="AA679" s="6"/>
      <c r="AB679" s="6"/>
      <c r="AC679" s="6"/>
    </row>
    <row r="680" ht="14.25" customHeight="1">
      <c r="A680" s="28"/>
      <c r="B680" s="28"/>
      <c r="C680" s="29"/>
      <c r="D680" s="30"/>
      <c r="E680" s="28"/>
      <c r="F680" s="19"/>
      <c r="G680" s="6"/>
      <c r="H680" s="6"/>
      <c r="I680" s="6"/>
      <c r="J680" s="6"/>
      <c r="K680" s="6"/>
      <c r="L680" s="6"/>
      <c r="M680" s="6"/>
      <c r="N680" s="6"/>
      <c r="O680" s="6"/>
      <c r="P680" s="6"/>
      <c r="Q680" s="6"/>
      <c r="R680" s="6"/>
      <c r="S680" s="6"/>
      <c r="T680" s="6"/>
      <c r="U680" s="6"/>
      <c r="V680" s="6"/>
      <c r="W680" s="6"/>
      <c r="X680" s="6"/>
      <c r="Y680" s="6"/>
      <c r="Z680" s="6"/>
      <c r="AA680" s="6"/>
      <c r="AB680" s="6"/>
      <c r="AC680" s="6"/>
    </row>
    <row r="681" ht="14.25" customHeight="1">
      <c r="A681" s="28"/>
      <c r="B681" s="28"/>
      <c r="C681" s="29"/>
      <c r="D681" s="30"/>
      <c r="E681" s="28"/>
      <c r="F681" s="19"/>
      <c r="G681" s="6"/>
      <c r="H681" s="6"/>
      <c r="I681" s="6"/>
      <c r="J681" s="6"/>
      <c r="K681" s="6"/>
      <c r="L681" s="6"/>
      <c r="M681" s="6"/>
      <c r="N681" s="6"/>
      <c r="O681" s="6"/>
      <c r="P681" s="6"/>
      <c r="Q681" s="6"/>
      <c r="R681" s="6"/>
      <c r="S681" s="6"/>
      <c r="T681" s="6"/>
      <c r="U681" s="6"/>
      <c r="V681" s="6"/>
      <c r="W681" s="6"/>
      <c r="X681" s="6"/>
      <c r="Y681" s="6"/>
      <c r="Z681" s="6"/>
      <c r="AA681" s="6"/>
      <c r="AB681" s="6"/>
      <c r="AC681" s="6"/>
    </row>
    <row r="682" ht="14.25" customHeight="1">
      <c r="A682" s="28"/>
      <c r="B682" s="28"/>
      <c r="C682" s="29"/>
      <c r="D682" s="30"/>
      <c r="E682" s="28"/>
      <c r="F682" s="19"/>
      <c r="G682" s="6"/>
      <c r="H682" s="6"/>
      <c r="I682" s="6"/>
      <c r="J682" s="6"/>
      <c r="K682" s="6"/>
      <c r="L682" s="6"/>
      <c r="M682" s="6"/>
      <c r="N682" s="6"/>
      <c r="O682" s="6"/>
      <c r="P682" s="6"/>
      <c r="Q682" s="6"/>
      <c r="R682" s="6"/>
      <c r="S682" s="6"/>
      <c r="T682" s="6"/>
      <c r="U682" s="6"/>
      <c r="V682" s="6"/>
      <c r="W682" s="6"/>
      <c r="X682" s="6"/>
      <c r="Y682" s="6"/>
      <c r="Z682" s="6"/>
      <c r="AA682" s="6"/>
      <c r="AB682" s="6"/>
      <c r="AC682" s="6"/>
    </row>
    <row r="683" ht="14.25" customHeight="1">
      <c r="A683" s="28"/>
      <c r="B683" s="28"/>
      <c r="C683" s="29"/>
      <c r="D683" s="30"/>
      <c r="E683" s="28"/>
      <c r="F683" s="19"/>
      <c r="G683" s="6"/>
      <c r="H683" s="6"/>
      <c r="I683" s="6"/>
      <c r="J683" s="6"/>
      <c r="K683" s="6"/>
      <c r="L683" s="6"/>
      <c r="M683" s="6"/>
      <c r="N683" s="6"/>
      <c r="O683" s="6"/>
      <c r="P683" s="6"/>
      <c r="Q683" s="6"/>
      <c r="R683" s="6"/>
      <c r="S683" s="6"/>
      <c r="T683" s="6"/>
      <c r="U683" s="6"/>
      <c r="V683" s="6"/>
      <c r="W683" s="6"/>
      <c r="X683" s="6"/>
      <c r="Y683" s="6"/>
      <c r="Z683" s="6"/>
      <c r="AA683" s="6"/>
      <c r="AB683" s="6"/>
      <c r="AC683" s="6"/>
    </row>
    <row r="684" ht="14.25" customHeight="1">
      <c r="A684" s="28"/>
      <c r="B684" s="28"/>
      <c r="C684" s="29"/>
      <c r="D684" s="30"/>
      <c r="E684" s="28"/>
      <c r="F684" s="19"/>
      <c r="G684" s="6"/>
      <c r="H684" s="6"/>
      <c r="I684" s="6"/>
      <c r="J684" s="6"/>
      <c r="K684" s="6"/>
      <c r="L684" s="6"/>
      <c r="M684" s="6"/>
      <c r="N684" s="6"/>
      <c r="O684" s="6"/>
      <c r="P684" s="6"/>
      <c r="Q684" s="6"/>
      <c r="R684" s="6"/>
      <c r="S684" s="6"/>
      <c r="T684" s="6"/>
      <c r="U684" s="6"/>
      <c r="V684" s="6"/>
      <c r="W684" s="6"/>
      <c r="X684" s="6"/>
      <c r="Y684" s="6"/>
      <c r="Z684" s="6"/>
      <c r="AA684" s="6"/>
      <c r="AB684" s="6"/>
      <c r="AC684" s="6"/>
    </row>
    <row r="685" ht="14.25" customHeight="1">
      <c r="A685" s="28"/>
      <c r="B685" s="28"/>
      <c r="C685" s="29"/>
      <c r="D685" s="30"/>
      <c r="E685" s="28"/>
      <c r="F685" s="19"/>
      <c r="G685" s="6"/>
      <c r="H685" s="6"/>
      <c r="I685" s="6"/>
      <c r="J685" s="6"/>
      <c r="K685" s="6"/>
      <c r="L685" s="6"/>
      <c r="M685" s="6"/>
      <c r="N685" s="6"/>
      <c r="O685" s="6"/>
      <c r="P685" s="6"/>
      <c r="Q685" s="6"/>
      <c r="R685" s="6"/>
      <c r="S685" s="6"/>
      <c r="T685" s="6"/>
      <c r="U685" s="6"/>
      <c r="V685" s="6"/>
      <c r="W685" s="6"/>
      <c r="X685" s="6"/>
      <c r="Y685" s="6"/>
      <c r="Z685" s="6"/>
      <c r="AA685" s="6"/>
      <c r="AB685" s="6"/>
      <c r="AC685" s="6"/>
    </row>
    <row r="686" ht="14.25" customHeight="1">
      <c r="A686" s="28"/>
      <c r="B686" s="28"/>
      <c r="C686" s="29"/>
      <c r="D686" s="30"/>
      <c r="E686" s="28"/>
      <c r="F686" s="19"/>
      <c r="G686" s="6"/>
      <c r="H686" s="6"/>
      <c r="I686" s="6"/>
      <c r="J686" s="6"/>
      <c r="K686" s="6"/>
      <c r="L686" s="6"/>
      <c r="M686" s="6"/>
      <c r="N686" s="6"/>
      <c r="O686" s="6"/>
      <c r="P686" s="6"/>
      <c r="Q686" s="6"/>
      <c r="R686" s="6"/>
      <c r="S686" s="6"/>
      <c r="T686" s="6"/>
      <c r="U686" s="6"/>
      <c r="V686" s="6"/>
      <c r="W686" s="6"/>
      <c r="X686" s="6"/>
      <c r="Y686" s="6"/>
      <c r="Z686" s="6"/>
      <c r="AA686" s="6"/>
      <c r="AB686" s="6"/>
      <c r="AC686" s="6"/>
    </row>
    <row r="687" ht="14.25" customHeight="1">
      <c r="A687" s="28"/>
      <c r="B687" s="28"/>
      <c r="C687" s="29"/>
      <c r="D687" s="30"/>
      <c r="E687" s="28"/>
      <c r="F687" s="19"/>
      <c r="G687" s="6"/>
      <c r="H687" s="6"/>
      <c r="I687" s="6"/>
      <c r="J687" s="6"/>
      <c r="K687" s="6"/>
      <c r="L687" s="6"/>
      <c r="M687" s="6"/>
      <c r="N687" s="6"/>
      <c r="O687" s="6"/>
      <c r="P687" s="6"/>
      <c r="Q687" s="6"/>
      <c r="R687" s="6"/>
      <c r="S687" s="6"/>
      <c r="T687" s="6"/>
      <c r="U687" s="6"/>
      <c r="V687" s="6"/>
      <c r="W687" s="6"/>
      <c r="X687" s="6"/>
      <c r="Y687" s="6"/>
      <c r="Z687" s="6"/>
      <c r="AA687" s="6"/>
      <c r="AB687" s="6"/>
      <c r="AC687" s="6"/>
    </row>
    <row r="688" ht="14.25" customHeight="1">
      <c r="A688" s="28"/>
      <c r="B688" s="28"/>
      <c r="C688" s="29"/>
      <c r="D688" s="30"/>
      <c r="E688" s="28"/>
      <c r="F688" s="19"/>
      <c r="G688" s="6"/>
      <c r="H688" s="6"/>
      <c r="I688" s="6"/>
      <c r="J688" s="6"/>
      <c r="K688" s="6"/>
      <c r="L688" s="6"/>
      <c r="M688" s="6"/>
      <c r="N688" s="6"/>
      <c r="O688" s="6"/>
      <c r="P688" s="6"/>
      <c r="Q688" s="6"/>
      <c r="R688" s="6"/>
      <c r="S688" s="6"/>
      <c r="T688" s="6"/>
      <c r="U688" s="6"/>
      <c r="V688" s="6"/>
      <c r="W688" s="6"/>
      <c r="X688" s="6"/>
      <c r="Y688" s="6"/>
      <c r="Z688" s="6"/>
      <c r="AA688" s="6"/>
      <c r="AB688" s="6"/>
      <c r="AC688" s="6"/>
    </row>
    <row r="689" ht="14.25" customHeight="1">
      <c r="A689" s="28"/>
      <c r="B689" s="28"/>
      <c r="C689" s="29"/>
      <c r="D689" s="30"/>
      <c r="E689" s="28"/>
      <c r="F689" s="19"/>
      <c r="G689" s="6"/>
      <c r="H689" s="6"/>
      <c r="I689" s="6"/>
      <c r="J689" s="6"/>
      <c r="K689" s="6"/>
      <c r="L689" s="6"/>
      <c r="M689" s="6"/>
      <c r="N689" s="6"/>
      <c r="O689" s="6"/>
      <c r="P689" s="6"/>
      <c r="Q689" s="6"/>
      <c r="R689" s="6"/>
      <c r="S689" s="6"/>
      <c r="T689" s="6"/>
      <c r="U689" s="6"/>
      <c r="V689" s="6"/>
      <c r="W689" s="6"/>
      <c r="X689" s="6"/>
      <c r="Y689" s="6"/>
      <c r="Z689" s="6"/>
      <c r="AA689" s="6"/>
      <c r="AB689" s="6"/>
      <c r="AC689" s="6"/>
    </row>
    <row r="690" ht="14.25" customHeight="1">
      <c r="A690" s="28"/>
      <c r="B690" s="28"/>
      <c r="C690" s="29"/>
      <c r="D690" s="30"/>
      <c r="E690" s="28"/>
      <c r="F690" s="19"/>
      <c r="G690" s="6"/>
      <c r="H690" s="6"/>
      <c r="I690" s="6"/>
      <c r="J690" s="6"/>
      <c r="K690" s="6"/>
      <c r="L690" s="6"/>
      <c r="M690" s="6"/>
      <c r="N690" s="6"/>
      <c r="O690" s="6"/>
      <c r="P690" s="6"/>
      <c r="Q690" s="6"/>
      <c r="R690" s="6"/>
      <c r="S690" s="6"/>
      <c r="T690" s="6"/>
      <c r="U690" s="6"/>
      <c r="V690" s="6"/>
      <c r="W690" s="6"/>
      <c r="X690" s="6"/>
      <c r="Y690" s="6"/>
      <c r="Z690" s="6"/>
      <c r="AA690" s="6"/>
      <c r="AB690" s="6"/>
      <c r="AC690" s="6"/>
    </row>
    <row r="691" ht="14.25" customHeight="1">
      <c r="A691" s="28"/>
      <c r="B691" s="28"/>
      <c r="C691" s="29"/>
      <c r="D691" s="30"/>
      <c r="E691" s="28"/>
      <c r="F691" s="19"/>
      <c r="G691" s="6"/>
      <c r="H691" s="6"/>
      <c r="I691" s="6"/>
      <c r="J691" s="6"/>
      <c r="K691" s="6"/>
      <c r="L691" s="6"/>
      <c r="M691" s="6"/>
      <c r="N691" s="6"/>
      <c r="O691" s="6"/>
      <c r="P691" s="6"/>
      <c r="Q691" s="6"/>
      <c r="R691" s="6"/>
      <c r="S691" s="6"/>
      <c r="T691" s="6"/>
      <c r="U691" s="6"/>
      <c r="V691" s="6"/>
      <c r="W691" s="6"/>
      <c r="X691" s="6"/>
      <c r="Y691" s="6"/>
      <c r="Z691" s="6"/>
      <c r="AA691" s="6"/>
      <c r="AB691" s="6"/>
      <c r="AC691" s="6"/>
    </row>
    <row r="692" ht="14.25" customHeight="1">
      <c r="A692" s="28"/>
      <c r="B692" s="28"/>
      <c r="C692" s="29"/>
      <c r="D692" s="30"/>
      <c r="E692" s="28"/>
      <c r="F692" s="19"/>
      <c r="G692" s="6"/>
      <c r="H692" s="6"/>
      <c r="I692" s="6"/>
      <c r="J692" s="6"/>
      <c r="K692" s="6"/>
      <c r="L692" s="6"/>
      <c r="M692" s="6"/>
      <c r="N692" s="6"/>
      <c r="O692" s="6"/>
      <c r="P692" s="6"/>
      <c r="Q692" s="6"/>
      <c r="R692" s="6"/>
      <c r="S692" s="6"/>
      <c r="T692" s="6"/>
      <c r="U692" s="6"/>
      <c r="V692" s="6"/>
      <c r="W692" s="6"/>
      <c r="X692" s="6"/>
      <c r="Y692" s="6"/>
      <c r="Z692" s="6"/>
      <c r="AA692" s="6"/>
      <c r="AB692" s="6"/>
      <c r="AC692" s="6"/>
    </row>
    <row r="693" ht="14.25" customHeight="1">
      <c r="A693" s="28"/>
      <c r="B693" s="28"/>
      <c r="C693" s="29"/>
      <c r="D693" s="30"/>
      <c r="E693" s="28"/>
      <c r="F693" s="19"/>
      <c r="G693" s="6"/>
      <c r="H693" s="6"/>
      <c r="I693" s="6"/>
      <c r="J693" s="6"/>
      <c r="K693" s="6"/>
      <c r="L693" s="6"/>
      <c r="M693" s="6"/>
      <c r="N693" s="6"/>
      <c r="O693" s="6"/>
      <c r="P693" s="6"/>
      <c r="Q693" s="6"/>
      <c r="R693" s="6"/>
      <c r="S693" s="6"/>
      <c r="T693" s="6"/>
      <c r="U693" s="6"/>
      <c r="V693" s="6"/>
      <c r="W693" s="6"/>
      <c r="X693" s="6"/>
      <c r="Y693" s="6"/>
      <c r="Z693" s="6"/>
      <c r="AA693" s="6"/>
      <c r="AB693" s="6"/>
      <c r="AC693" s="6"/>
    </row>
    <row r="694" ht="14.25" customHeight="1">
      <c r="A694" s="28"/>
      <c r="B694" s="28"/>
      <c r="C694" s="29"/>
      <c r="D694" s="30"/>
      <c r="E694" s="28"/>
      <c r="F694" s="19"/>
      <c r="G694" s="6"/>
      <c r="H694" s="6"/>
      <c r="I694" s="6"/>
      <c r="J694" s="6"/>
      <c r="K694" s="6"/>
      <c r="L694" s="6"/>
      <c r="M694" s="6"/>
      <c r="N694" s="6"/>
      <c r="O694" s="6"/>
      <c r="P694" s="6"/>
      <c r="Q694" s="6"/>
      <c r="R694" s="6"/>
      <c r="S694" s="6"/>
      <c r="T694" s="6"/>
      <c r="U694" s="6"/>
      <c r="V694" s="6"/>
      <c r="W694" s="6"/>
      <c r="X694" s="6"/>
      <c r="Y694" s="6"/>
      <c r="Z694" s="6"/>
      <c r="AA694" s="6"/>
      <c r="AB694" s="6"/>
      <c r="AC694" s="6"/>
    </row>
    <row r="695" ht="14.25" customHeight="1">
      <c r="A695" s="28"/>
      <c r="B695" s="28"/>
      <c r="C695" s="29"/>
      <c r="D695" s="30"/>
      <c r="E695" s="28"/>
      <c r="F695" s="19"/>
      <c r="G695" s="6"/>
      <c r="H695" s="6"/>
      <c r="I695" s="6"/>
      <c r="J695" s="6"/>
      <c r="K695" s="6"/>
      <c r="L695" s="6"/>
      <c r="M695" s="6"/>
      <c r="N695" s="6"/>
      <c r="O695" s="6"/>
      <c r="P695" s="6"/>
      <c r="Q695" s="6"/>
      <c r="R695" s="6"/>
      <c r="S695" s="6"/>
      <c r="T695" s="6"/>
      <c r="U695" s="6"/>
      <c r="V695" s="6"/>
      <c r="W695" s="6"/>
      <c r="X695" s="6"/>
      <c r="Y695" s="6"/>
      <c r="Z695" s="6"/>
      <c r="AA695" s="6"/>
      <c r="AB695" s="6"/>
      <c r="AC695" s="6"/>
    </row>
    <row r="696" ht="14.25" customHeight="1">
      <c r="A696" s="28"/>
      <c r="B696" s="28"/>
      <c r="C696" s="29"/>
      <c r="D696" s="30"/>
      <c r="E696" s="28"/>
      <c r="F696" s="19"/>
      <c r="G696" s="6"/>
      <c r="H696" s="6"/>
      <c r="I696" s="6"/>
      <c r="J696" s="6"/>
      <c r="K696" s="6"/>
      <c r="L696" s="6"/>
      <c r="M696" s="6"/>
      <c r="N696" s="6"/>
      <c r="O696" s="6"/>
      <c r="P696" s="6"/>
      <c r="Q696" s="6"/>
      <c r="R696" s="6"/>
      <c r="S696" s="6"/>
      <c r="T696" s="6"/>
      <c r="U696" s="6"/>
      <c r="V696" s="6"/>
      <c r="W696" s="6"/>
      <c r="X696" s="6"/>
      <c r="Y696" s="6"/>
      <c r="Z696" s="6"/>
      <c r="AA696" s="6"/>
      <c r="AB696" s="6"/>
      <c r="AC696" s="6"/>
    </row>
    <row r="697" ht="14.25" customHeight="1">
      <c r="A697" s="28"/>
      <c r="B697" s="28"/>
      <c r="C697" s="29"/>
      <c r="D697" s="30"/>
      <c r="E697" s="28"/>
      <c r="F697" s="19"/>
      <c r="G697" s="6"/>
      <c r="H697" s="6"/>
      <c r="I697" s="6"/>
      <c r="J697" s="6"/>
      <c r="K697" s="6"/>
      <c r="L697" s="6"/>
      <c r="M697" s="6"/>
      <c r="N697" s="6"/>
      <c r="O697" s="6"/>
      <c r="P697" s="6"/>
      <c r="Q697" s="6"/>
      <c r="R697" s="6"/>
      <c r="S697" s="6"/>
      <c r="T697" s="6"/>
      <c r="U697" s="6"/>
      <c r="V697" s="6"/>
      <c r="W697" s="6"/>
      <c r="X697" s="6"/>
      <c r="Y697" s="6"/>
      <c r="Z697" s="6"/>
      <c r="AA697" s="6"/>
      <c r="AB697" s="6"/>
      <c r="AC697" s="6"/>
    </row>
    <row r="698" ht="14.25" customHeight="1">
      <c r="A698" s="28"/>
      <c r="B698" s="28"/>
      <c r="C698" s="29"/>
      <c r="D698" s="30"/>
      <c r="E698" s="28"/>
      <c r="F698" s="19"/>
      <c r="G698" s="6"/>
      <c r="H698" s="6"/>
      <c r="I698" s="6"/>
      <c r="J698" s="6"/>
      <c r="K698" s="6"/>
      <c r="L698" s="6"/>
      <c r="M698" s="6"/>
      <c r="N698" s="6"/>
      <c r="O698" s="6"/>
      <c r="P698" s="6"/>
      <c r="Q698" s="6"/>
      <c r="R698" s="6"/>
      <c r="S698" s="6"/>
      <c r="T698" s="6"/>
      <c r="U698" s="6"/>
      <c r="V698" s="6"/>
      <c r="W698" s="6"/>
      <c r="X698" s="6"/>
      <c r="Y698" s="6"/>
      <c r="Z698" s="6"/>
      <c r="AA698" s="6"/>
      <c r="AB698" s="6"/>
      <c r="AC698" s="6"/>
    </row>
    <row r="699" ht="14.25" customHeight="1">
      <c r="A699" s="28"/>
      <c r="B699" s="28"/>
      <c r="C699" s="29"/>
      <c r="D699" s="30"/>
      <c r="E699" s="28"/>
      <c r="F699" s="19"/>
      <c r="G699" s="6"/>
      <c r="H699" s="6"/>
      <c r="I699" s="6"/>
      <c r="J699" s="6"/>
      <c r="K699" s="6"/>
      <c r="L699" s="6"/>
      <c r="M699" s="6"/>
      <c r="N699" s="6"/>
      <c r="O699" s="6"/>
      <c r="P699" s="6"/>
      <c r="Q699" s="6"/>
      <c r="R699" s="6"/>
      <c r="S699" s="6"/>
      <c r="T699" s="6"/>
      <c r="U699" s="6"/>
      <c r="V699" s="6"/>
      <c r="W699" s="6"/>
      <c r="X699" s="6"/>
      <c r="Y699" s="6"/>
      <c r="Z699" s="6"/>
      <c r="AA699" s="6"/>
      <c r="AB699" s="6"/>
      <c r="AC699" s="6"/>
    </row>
    <row r="700" ht="14.25" customHeight="1">
      <c r="A700" s="28"/>
      <c r="B700" s="28"/>
      <c r="C700" s="29"/>
      <c r="D700" s="30"/>
      <c r="E700" s="28"/>
      <c r="F700" s="19"/>
      <c r="G700" s="6"/>
      <c r="H700" s="6"/>
      <c r="I700" s="6"/>
      <c r="J700" s="6"/>
      <c r="K700" s="6"/>
      <c r="L700" s="6"/>
      <c r="M700" s="6"/>
      <c r="N700" s="6"/>
      <c r="O700" s="6"/>
      <c r="P700" s="6"/>
      <c r="Q700" s="6"/>
      <c r="R700" s="6"/>
      <c r="S700" s="6"/>
      <c r="T700" s="6"/>
      <c r="U700" s="6"/>
      <c r="V700" s="6"/>
      <c r="W700" s="6"/>
      <c r="X700" s="6"/>
      <c r="Y700" s="6"/>
      <c r="Z700" s="6"/>
      <c r="AA700" s="6"/>
      <c r="AB700" s="6"/>
      <c r="AC700" s="6"/>
    </row>
    <row r="701" ht="14.25" customHeight="1">
      <c r="A701" s="28"/>
      <c r="B701" s="28"/>
      <c r="C701" s="29"/>
      <c r="D701" s="30"/>
      <c r="E701" s="28"/>
      <c r="F701" s="19"/>
      <c r="G701" s="6"/>
      <c r="H701" s="6"/>
      <c r="I701" s="6"/>
      <c r="J701" s="6"/>
      <c r="K701" s="6"/>
      <c r="L701" s="6"/>
      <c r="M701" s="6"/>
      <c r="N701" s="6"/>
      <c r="O701" s="6"/>
      <c r="P701" s="6"/>
      <c r="Q701" s="6"/>
      <c r="R701" s="6"/>
      <c r="S701" s="6"/>
      <c r="T701" s="6"/>
      <c r="U701" s="6"/>
      <c r="V701" s="6"/>
      <c r="W701" s="6"/>
      <c r="X701" s="6"/>
      <c r="Y701" s="6"/>
      <c r="Z701" s="6"/>
      <c r="AA701" s="6"/>
      <c r="AB701" s="6"/>
      <c r="AC701" s="6"/>
    </row>
    <row r="702" ht="14.25" customHeight="1">
      <c r="A702" s="28"/>
      <c r="B702" s="28"/>
      <c r="C702" s="29"/>
      <c r="D702" s="30"/>
      <c r="E702" s="28"/>
      <c r="F702" s="19"/>
      <c r="G702" s="6"/>
      <c r="H702" s="6"/>
      <c r="I702" s="6"/>
      <c r="J702" s="6"/>
      <c r="K702" s="6"/>
      <c r="L702" s="6"/>
      <c r="M702" s="6"/>
      <c r="N702" s="6"/>
      <c r="O702" s="6"/>
      <c r="P702" s="6"/>
      <c r="Q702" s="6"/>
      <c r="R702" s="6"/>
      <c r="S702" s="6"/>
      <c r="T702" s="6"/>
      <c r="U702" s="6"/>
      <c r="V702" s="6"/>
      <c r="W702" s="6"/>
      <c r="X702" s="6"/>
      <c r="Y702" s="6"/>
      <c r="Z702" s="6"/>
      <c r="AA702" s="6"/>
      <c r="AB702" s="6"/>
      <c r="AC702" s="6"/>
    </row>
    <row r="703" ht="14.25" customHeight="1">
      <c r="A703" s="28"/>
      <c r="B703" s="28"/>
      <c r="C703" s="29"/>
      <c r="D703" s="30"/>
      <c r="E703" s="28"/>
      <c r="F703" s="19"/>
      <c r="G703" s="6"/>
      <c r="H703" s="6"/>
      <c r="I703" s="6"/>
      <c r="J703" s="6"/>
      <c r="K703" s="6"/>
      <c r="L703" s="6"/>
      <c r="M703" s="6"/>
      <c r="N703" s="6"/>
      <c r="O703" s="6"/>
      <c r="P703" s="6"/>
      <c r="Q703" s="6"/>
      <c r="R703" s="6"/>
      <c r="S703" s="6"/>
      <c r="T703" s="6"/>
      <c r="U703" s="6"/>
      <c r="V703" s="6"/>
      <c r="W703" s="6"/>
      <c r="X703" s="6"/>
      <c r="Y703" s="6"/>
      <c r="Z703" s="6"/>
      <c r="AA703" s="6"/>
      <c r="AB703" s="6"/>
      <c r="AC703" s="6"/>
    </row>
    <row r="704" ht="14.25" customHeight="1">
      <c r="A704" s="28"/>
      <c r="B704" s="28"/>
      <c r="C704" s="29"/>
      <c r="D704" s="30"/>
      <c r="E704" s="28"/>
      <c r="F704" s="19"/>
      <c r="G704" s="6"/>
      <c r="H704" s="6"/>
      <c r="I704" s="6"/>
      <c r="J704" s="6"/>
      <c r="K704" s="6"/>
      <c r="L704" s="6"/>
      <c r="M704" s="6"/>
      <c r="N704" s="6"/>
      <c r="O704" s="6"/>
      <c r="P704" s="6"/>
      <c r="Q704" s="6"/>
      <c r="R704" s="6"/>
      <c r="S704" s="6"/>
      <c r="T704" s="6"/>
      <c r="U704" s="6"/>
      <c r="V704" s="6"/>
      <c r="W704" s="6"/>
      <c r="X704" s="6"/>
      <c r="Y704" s="6"/>
      <c r="Z704" s="6"/>
      <c r="AA704" s="6"/>
      <c r="AB704" s="6"/>
      <c r="AC704" s="6"/>
    </row>
    <row r="705" ht="14.25" customHeight="1">
      <c r="A705" s="28"/>
      <c r="B705" s="28"/>
      <c r="C705" s="29"/>
      <c r="D705" s="30"/>
      <c r="E705" s="28"/>
      <c r="F705" s="19"/>
      <c r="G705" s="6"/>
      <c r="H705" s="6"/>
      <c r="I705" s="6"/>
      <c r="J705" s="6"/>
      <c r="K705" s="6"/>
      <c r="L705" s="6"/>
      <c r="M705" s="6"/>
      <c r="N705" s="6"/>
      <c r="O705" s="6"/>
      <c r="P705" s="6"/>
      <c r="Q705" s="6"/>
      <c r="R705" s="6"/>
      <c r="S705" s="6"/>
      <c r="T705" s="6"/>
      <c r="U705" s="6"/>
      <c r="V705" s="6"/>
      <c r="W705" s="6"/>
      <c r="X705" s="6"/>
      <c r="Y705" s="6"/>
      <c r="Z705" s="6"/>
      <c r="AA705" s="6"/>
      <c r="AB705" s="6"/>
      <c r="AC705" s="6"/>
    </row>
    <row r="706" ht="14.25" customHeight="1">
      <c r="A706" s="28"/>
      <c r="B706" s="28"/>
      <c r="C706" s="29"/>
      <c r="D706" s="30"/>
      <c r="E706" s="28"/>
      <c r="F706" s="19"/>
      <c r="G706" s="6"/>
      <c r="H706" s="6"/>
      <c r="I706" s="6"/>
      <c r="J706" s="6"/>
      <c r="K706" s="6"/>
      <c r="L706" s="6"/>
      <c r="M706" s="6"/>
      <c r="N706" s="6"/>
      <c r="O706" s="6"/>
      <c r="P706" s="6"/>
      <c r="Q706" s="6"/>
      <c r="R706" s="6"/>
      <c r="S706" s="6"/>
      <c r="T706" s="6"/>
      <c r="U706" s="6"/>
      <c r="V706" s="6"/>
      <c r="W706" s="6"/>
      <c r="X706" s="6"/>
      <c r="Y706" s="6"/>
      <c r="Z706" s="6"/>
      <c r="AA706" s="6"/>
      <c r="AB706" s="6"/>
      <c r="AC706" s="6"/>
    </row>
    <row r="707" ht="14.25" customHeight="1">
      <c r="A707" s="28"/>
      <c r="B707" s="28"/>
      <c r="C707" s="29"/>
      <c r="D707" s="30"/>
      <c r="E707" s="28"/>
      <c r="F707" s="19"/>
      <c r="G707" s="6"/>
      <c r="H707" s="6"/>
      <c r="I707" s="6"/>
      <c r="J707" s="6"/>
      <c r="K707" s="6"/>
      <c r="L707" s="6"/>
      <c r="M707" s="6"/>
      <c r="N707" s="6"/>
      <c r="O707" s="6"/>
      <c r="P707" s="6"/>
      <c r="Q707" s="6"/>
      <c r="R707" s="6"/>
      <c r="S707" s="6"/>
      <c r="T707" s="6"/>
      <c r="U707" s="6"/>
      <c r="V707" s="6"/>
      <c r="W707" s="6"/>
      <c r="X707" s="6"/>
      <c r="Y707" s="6"/>
      <c r="Z707" s="6"/>
      <c r="AA707" s="6"/>
      <c r="AB707" s="6"/>
      <c r="AC707" s="6"/>
    </row>
    <row r="708" ht="14.25" customHeight="1">
      <c r="A708" s="28"/>
      <c r="B708" s="28"/>
      <c r="C708" s="29"/>
      <c r="D708" s="30"/>
      <c r="E708" s="28"/>
      <c r="F708" s="19"/>
      <c r="G708" s="6"/>
      <c r="H708" s="6"/>
      <c r="I708" s="6"/>
      <c r="J708" s="6"/>
      <c r="K708" s="6"/>
      <c r="L708" s="6"/>
      <c r="M708" s="6"/>
      <c r="N708" s="6"/>
      <c r="O708" s="6"/>
      <c r="P708" s="6"/>
      <c r="Q708" s="6"/>
      <c r="R708" s="6"/>
      <c r="S708" s="6"/>
      <c r="T708" s="6"/>
      <c r="U708" s="6"/>
      <c r="V708" s="6"/>
      <c r="W708" s="6"/>
      <c r="X708" s="6"/>
      <c r="Y708" s="6"/>
      <c r="Z708" s="6"/>
      <c r="AA708" s="6"/>
      <c r="AB708" s="6"/>
      <c r="AC708" s="6"/>
    </row>
    <row r="709" ht="14.25" customHeight="1">
      <c r="A709" s="28"/>
      <c r="B709" s="28"/>
      <c r="C709" s="29"/>
      <c r="D709" s="30"/>
      <c r="E709" s="28"/>
      <c r="F709" s="19"/>
      <c r="G709" s="6"/>
      <c r="H709" s="6"/>
      <c r="I709" s="6"/>
      <c r="J709" s="6"/>
      <c r="K709" s="6"/>
      <c r="L709" s="6"/>
      <c r="M709" s="6"/>
      <c r="N709" s="6"/>
      <c r="O709" s="6"/>
      <c r="P709" s="6"/>
      <c r="Q709" s="6"/>
      <c r="R709" s="6"/>
      <c r="S709" s="6"/>
      <c r="T709" s="6"/>
      <c r="U709" s="6"/>
      <c r="V709" s="6"/>
      <c r="W709" s="6"/>
      <c r="X709" s="6"/>
      <c r="Y709" s="6"/>
      <c r="Z709" s="6"/>
      <c r="AA709" s="6"/>
      <c r="AB709" s="6"/>
      <c r="AC709" s="6"/>
    </row>
    <row r="710" ht="14.25" customHeight="1">
      <c r="A710" s="28"/>
      <c r="B710" s="28"/>
      <c r="C710" s="29"/>
      <c r="D710" s="30"/>
      <c r="E710" s="28"/>
      <c r="F710" s="19"/>
      <c r="G710" s="6"/>
      <c r="H710" s="6"/>
      <c r="I710" s="6"/>
      <c r="J710" s="6"/>
      <c r="K710" s="6"/>
      <c r="L710" s="6"/>
      <c r="M710" s="6"/>
      <c r="N710" s="6"/>
      <c r="O710" s="6"/>
      <c r="P710" s="6"/>
      <c r="Q710" s="6"/>
      <c r="R710" s="6"/>
      <c r="S710" s="6"/>
      <c r="T710" s="6"/>
      <c r="U710" s="6"/>
      <c r="V710" s="6"/>
      <c r="W710" s="6"/>
      <c r="X710" s="6"/>
      <c r="Y710" s="6"/>
      <c r="Z710" s="6"/>
      <c r="AA710" s="6"/>
      <c r="AB710" s="6"/>
      <c r="AC710" s="6"/>
    </row>
    <row r="711" ht="14.25" customHeight="1">
      <c r="A711" s="28"/>
      <c r="B711" s="28"/>
      <c r="C711" s="29"/>
      <c r="D711" s="30"/>
      <c r="E711" s="28"/>
      <c r="F711" s="19"/>
      <c r="G711" s="6"/>
      <c r="H711" s="6"/>
      <c r="I711" s="6"/>
      <c r="J711" s="6"/>
      <c r="K711" s="6"/>
      <c r="L711" s="6"/>
      <c r="M711" s="6"/>
      <c r="N711" s="6"/>
      <c r="O711" s="6"/>
      <c r="P711" s="6"/>
      <c r="Q711" s="6"/>
      <c r="R711" s="6"/>
      <c r="S711" s="6"/>
      <c r="T711" s="6"/>
      <c r="U711" s="6"/>
      <c r="V711" s="6"/>
      <c r="W711" s="6"/>
      <c r="X711" s="6"/>
      <c r="Y711" s="6"/>
      <c r="Z711" s="6"/>
      <c r="AA711" s="6"/>
      <c r="AB711" s="6"/>
      <c r="AC711" s="6"/>
    </row>
    <row r="712" ht="14.25" customHeight="1">
      <c r="A712" s="28"/>
      <c r="B712" s="28"/>
      <c r="C712" s="29"/>
      <c r="D712" s="30"/>
      <c r="E712" s="28"/>
      <c r="F712" s="19"/>
      <c r="G712" s="6"/>
      <c r="H712" s="6"/>
      <c r="I712" s="6"/>
      <c r="J712" s="6"/>
      <c r="K712" s="6"/>
      <c r="L712" s="6"/>
      <c r="M712" s="6"/>
      <c r="N712" s="6"/>
      <c r="O712" s="6"/>
      <c r="P712" s="6"/>
      <c r="Q712" s="6"/>
      <c r="R712" s="6"/>
      <c r="S712" s="6"/>
      <c r="T712" s="6"/>
      <c r="U712" s="6"/>
      <c r="V712" s="6"/>
      <c r="W712" s="6"/>
      <c r="X712" s="6"/>
      <c r="Y712" s="6"/>
      <c r="Z712" s="6"/>
      <c r="AA712" s="6"/>
      <c r="AB712" s="6"/>
      <c r="AC712" s="6"/>
    </row>
    <row r="713" ht="14.25" customHeight="1">
      <c r="A713" s="28"/>
      <c r="B713" s="28"/>
      <c r="C713" s="29"/>
      <c r="D713" s="30"/>
      <c r="E713" s="28"/>
      <c r="F713" s="19"/>
      <c r="G713" s="6"/>
      <c r="H713" s="6"/>
      <c r="I713" s="6"/>
      <c r="J713" s="6"/>
      <c r="K713" s="6"/>
      <c r="L713" s="6"/>
      <c r="M713" s="6"/>
      <c r="N713" s="6"/>
      <c r="O713" s="6"/>
      <c r="P713" s="6"/>
      <c r="Q713" s="6"/>
      <c r="R713" s="6"/>
      <c r="S713" s="6"/>
      <c r="T713" s="6"/>
      <c r="U713" s="6"/>
      <c r="V713" s="6"/>
      <c r="W713" s="6"/>
      <c r="X713" s="6"/>
      <c r="Y713" s="6"/>
      <c r="Z713" s="6"/>
      <c r="AA713" s="6"/>
      <c r="AB713" s="6"/>
      <c r="AC713" s="6"/>
    </row>
    <row r="714" ht="14.25" customHeight="1">
      <c r="A714" s="28"/>
      <c r="B714" s="28"/>
      <c r="C714" s="29"/>
      <c r="D714" s="30"/>
      <c r="E714" s="28"/>
      <c r="F714" s="19"/>
      <c r="G714" s="6"/>
      <c r="H714" s="6"/>
      <c r="I714" s="6"/>
      <c r="J714" s="6"/>
      <c r="K714" s="6"/>
      <c r="L714" s="6"/>
      <c r="M714" s="6"/>
      <c r="N714" s="6"/>
      <c r="O714" s="6"/>
      <c r="P714" s="6"/>
      <c r="Q714" s="6"/>
      <c r="R714" s="6"/>
      <c r="S714" s="6"/>
      <c r="T714" s="6"/>
      <c r="U714" s="6"/>
      <c r="V714" s="6"/>
      <c r="W714" s="6"/>
      <c r="X714" s="6"/>
      <c r="Y714" s="6"/>
      <c r="Z714" s="6"/>
      <c r="AA714" s="6"/>
      <c r="AB714" s="6"/>
      <c r="AC714" s="6"/>
    </row>
    <row r="715" ht="14.25" customHeight="1">
      <c r="A715" s="28"/>
      <c r="B715" s="28"/>
      <c r="C715" s="29"/>
      <c r="D715" s="30"/>
      <c r="E715" s="28"/>
      <c r="F715" s="19"/>
      <c r="G715" s="6"/>
      <c r="H715" s="6"/>
      <c r="I715" s="6"/>
      <c r="J715" s="6"/>
      <c r="K715" s="6"/>
      <c r="L715" s="6"/>
      <c r="M715" s="6"/>
      <c r="N715" s="6"/>
      <c r="O715" s="6"/>
      <c r="P715" s="6"/>
      <c r="Q715" s="6"/>
      <c r="R715" s="6"/>
      <c r="S715" s="6"/>
      <c r="T715" s="6"/>
      <c r="U715" s="6"/>
      <c r="V715" s="6"/>
      <c r="W715" s="6"/>
      <c r="X715" s="6"/>
      <c r="Y715" s="6"/>
      <c r="Z715" s="6"/>
      <c r="AA715" s="6"/>
      <c r="AB715" s="6"/>
      <c r="AC715" s="6"/>
    </row>
    <row r="716" ht="14.25" customHeight="1">
      <c r="A716" s="28"/>
      <c r="B716" s="28"/>
      <c r="C716" s="29"/>
      <c r="D716" s="30"/>
      <c r="E716" s="28"/>
      <c r="F716" s="19"/>
      <c r="G716" s="6"/>
      <c r="H716" s="6"/>
      <c r="I716" s="6"/>
      <c r="J716" s="6"/>
      <c r="K716" s="6"/>
      <c r="L716" s="6"/>
      <c r="M716" s="6"/>
      <c r="N716" s="6"/>
      <c r="O716" s="6"/>
      <c r="P716" s="6"/>
      <c r="Q716" s="6"/>
      <c r="R716" s="6"/>
      <c r="S716" s="6"/>
      <c r="T716" s="6"/>
      <c r="U716" s="6"/>
      <c r="V716" s="6"/>
      <c r="W716" s="6"/>
      <c r="X716" s="6"/>
      <c r="Y716" s="6"/>
      <c r="Z716" s="6"/>
      <c r="AA716" s="6"/>
      <c r="AB716" s="6"/>
      <c r="AC716" s="6"/>
    </row>
    <row r="717" ht="14.25" customHeight="1">
      <c r="A717" s="28"/>
      <c r="B717" s="28"/>
      <c r="C717" s="29"/>
      <c r="D717" s="30"/>
      <c r="E717" s="28"/>
      <c r="F717" s="19"/>
      <c r="G717" s="6"/>
      <c r="H717" s="6"/>
      <c r="I717" s="6"/>
      <c r="J717" s="6"/>
      <c r="K717" s="6"/>
      <c r="L717" s="6"/>
      <c r="M717" s="6"/>
      <c r="N717" s="6"/>
      <c r="O717" s="6"/>
      <c r="P717" s="6"/>
      <c r="Q717" s="6"/>
      <c r="R717" s="6"/>
      <c r="S717" s="6"/>
      <c r="T717" s="6"/>
      <c r="U717" s="6"/>
      <c r="V717" s="6"/>
      <c r="W717" s="6"/>
      <c r="X717" s="6"/>
      <c r="Y717" s="6"/>
      <c r="Z717" s="6"/>
      <c r="AA717" s="6"/>
      <c r="AB717" s="6"/>
      <c r="AC717" s="6"/>
    </row>
    <row r="718" ht="14.25" customHeight="1">
      <c r="A718" s="28"/>
      <c r="B718" s="28"/>
      <c r="C718" s="29"/>
      <c r="D718" s="30"/>
      <c r="E718" s="28"/>
      <c r="F718" s="19"/>
      <c r="G718" s="6"/>
      <c r="H718" s="6"/>
      <c r="I718" s="6"/>
      <c r="J718" s="6"/>
      <c r="K718" s="6"/>
      <c r="L718" s="6"/>
      <c r="M718" s="6"/>
      <c r="N718" s="6"/>
      <c r="O718" s="6"/>
      <c r="P718" s="6"/>
      <c r="Q718" s="6"/>
      <c r="R718" s="6"/>
      <c r="S718" s="6"/>
      <c r="T718" s="6"/>
      <c r="U718" s="6"/>
      <c r="V718" s="6"/>
      <c r="W718" s="6"/>
      <c r="X718" s="6"/>
      <c r="Y718" s="6"/>
      <c r="Z718" s="6"/>
      <c r="AA718" s="6"/>
      <c r="AB718" s="6"/>
      <c r="AC718" s="6"/>
    </row>
    <row r="719" ht="14.25" customHeight="1">
      <c r="A719" s="28"/>
      <c r="B719" s="28"/>
      <c r="C719" s="29"/>
      <c r="D719" s="30"/>
      <c r="E719" s="28"/>
      <c r="F719" s="19"/>
      <c r="G719" s="6"/>
      <c r="H719" s="6"/>
      <c r="I719" s="6"/>
      <c r="J719" s="6"/>
      <c r="K719" s="6"/>
      <c r="L719" s="6"/>
      <c r="M719" s="6"/>
      <c r="N719" s="6"/>
      <c r="O719" s="6"/>
      <c r="P719" s="6"/>
      <c r="Q719" s="6"/>
      <c r="R719" s="6"/>
      <c r="S719" s="6"/>
      <c r="T719" s="6"/>
      <c r="U719" s="6"/>
      <c r="V719" s="6"/>
      <c r="W719" s="6"/>
      <c r="X719" s="6"/>
      <c r="Y719" s="6"/>
      <c r="Z719" s="6"/>
      <c r="AA719" s="6"/>
      <c r="AB719" s="6"/>
      <c r="AC719" s="6"/>
    </row>
    <row r="720" ht="14.25" customHeight="1">
      <c r="A720" s="28"/>
      <c r="B720" s="28"/>
      <c r="C720" s="29"/>
      <c r="D720" s="30"/>
      <c r="E720" s="28"/>
      <c r="F720" s="19"/>
      <c r="G720" s="6"/>
      <c r="H720" s="6"/>
      <c r="I720" s="6"/>
      <c r="J720" s="6"/>
      <c r="K720" s="6"/>
      <c r="L720" s="6"/>
      <c r="M720" s="6"/>
      <c r="N720" s="6"/>
      <c r="O720" s="6"/>
      <c r="P720" s="6"/>
      <c r="Q720" s="6"/>
      <c r="R720" s="6"/>
      <c r="S720" s="6"/>
      <c r="T720" s="6"/>
      <c r="U720" s="6"/>
      <c r="V720" s="6"/>
      <c r="W720" s="6"/>
      <c r="X720" s="6"/>
      <c r="Y720" s="6"/>
      <c r="Z720" s="6"/>
      <c r="AA720" s="6"/>
      <c r="AB720" s="6"/>
      <c r="AC720" s="6"/>
    </row>
    <row r="721" ht="14.25" customHeight="1">
      <c r="A721" s="28"/>
      <c r="B721" s="28"/>
      <c r="C721" s="29"/>
      <c r="D721" s="30"/>
      <c r="E721" s="28"/>
      <c r="F721" s="19"/>
      <c r="G721" s="6"/>
      <c r="H721" s="6"/>
      <c r="I721" s="6"/>
      <c r="J721" s="6"/>
      <c r="K721" s="6"/>
      <c r="L721" s="6"/>
      <c r="M721" s="6"/>
      <c r="N721" s="6"/>
      <c r="O721" s="6"/>
      <c r="P721" s="6"/>
      <c r="Q721" s="6"/>
      <c r="R721" s="6"/>
      <c r="S721" s="6"/>
      <c r="T721" s="6"/>
      <c r="U721" s="6"/>
      <c r="V721" s="6"/>
      <c r="W721" s="6"/>
      <c r="X721" s="6"/>
      <c r="Y721" s="6"/>
      <c r="Z721" s="6"/>
      <c r="AA721" s="6"/>
      <c r="AB721" s="6"/>
      <c r="AC721" s="6"/>
    </row>
    <row r="722" ht="14.25" customHeight="1">
      <c r="A722" s="28"/>
      <c r="B722" s="28"/>
      <c r="C722" s="29"/>
      <c r="D722" s="30"/>
      <c r="E722" s="28"/>
      <c r="F722" s="19"/>
      <c r="G722" s="6"/>
      <c r="H722" s="6"/>
      <c r="I722" s="6"/>
      <c r="J722" s="6"/>
      <c r="K722" s="6"/>
      <c r="L722" s="6"/>
      <c r="M722" s="6"/>
      <c r="N722" s="6"/>
      <c r="O722" s="6"/>
      <c r="P722" s="6"/>
      <c r="Q722" s="6"/>
      <c r="R722" s="6"/>
      <c r="S722" s="6"/>
      <c r="T722" s="6"/>
      <c r="U722" s="6"/>
      <c r="V722" s="6"/>
      <c r="W722" s="6"/>
      <c r="X722" s="6"/>
      <c r="Y722" s="6"/>
      <c r="Z722" s="6"/>
      <c r="AA722" s="6"/>
      <c r="AB722" s="6"/>
      <c r="AC722" s="6"/>
    </row>
    <row r="723" ht="14.25" customHeight="1">
      <c r="A723" s="28"/>
      <c r="B723" s="28"/>
      <c r="C723" s="29"/>
      <c r="D723" s="30"/>
      <c r="E723" s="28"/>
      <c r="F723" s="19"/>
      <c r="G723" s="6"/>
      <c r="H723" s="6"/>
      <c r="I723" s="6"/>
      <c r="J723" s="6"/>
      <c r="K723" s="6"/>
      <c r="L723" s="6"/>
      <c r="M723" s="6"/>
      <c r="N723" s="6"/>
      <c r="O723" s="6"/>
      <c r="P723" s="6"/>
      <c r="Q723" s="6"/>
      <c r="R723" s="6"/>
      <c r="S723" s="6"/>
      <c r="T723" s="6"/>
      <c r="U723" s="6"/>
      <c r="V723" s="6"/>
      <c r="W723" s="6"/>
      <c r="X723" s="6"/>
      <c r="Y723" s="6"/>
      <c r="Z723" s="6"/>
      <c r="AA723" s="6"/>
      <c r="AB723" s="6"/>
      <c r="AC723" s="6"/>
    </row>
    <row r="724" ht="14.25" customHeight="1">
      <c r="A724" s="28"/>
      <c r="B724" s="28"/>
      <c r="C724" s="29"/>
      <c r="D724" s="30"/>
      <c r="E724" s="28"/>
      <c r="F724" s="19"/>
      <c r="G724" s="6"/>
      <c r="H724" s="6"/>
      <c r="I724" s="6"/>
      <c r="J724" s="6"/>
      <c r="K724" s="6"/>
      <c r="L724" s="6"/>
      <c r="M724" s="6"/>
      <c r="N724" s="6"/>
      <c r="O724" s="6"/>
      <c r="P724" s="6"/>
      <c r="Q724" s="6"/>
      <c r="R724" s="6"/>
      <c r="S724" s="6"/>
      <c r="T724" s="6"/>
      <c r="U724" s="6"/>
      <c r="V724" s="6"/>
      <c r="W724" s="6"/>
      <c r="X724" s="6"/>
      <c r="Y724" s="6"/>
      <c r="Z724" s="6"/>
      <c r="AA724" s="6"/>
      <c r="AB724" s="6"/>
      <c r="AC724" s="6"/>
    </row>
    <row r="725" ht="14.25" customHeight="1">
      <c r="A725" s="28"/>
      <c r="B725" s="28"/>
      <c r="C725" s="29"/>
      <c r="D725" s="30"/>
      <c r="E725" s="28"/>
      <c r="F725" s="19"/>
      <c r="G725" s="6"/>
      <c r="H725" s="6"/>
      <c r="I725" s="6"/>
      <c r="J725" s="6"/>
      <c r="K725" s="6"/>
      <c r="L725" s="6"/>
      <c r="M725" s="6"/>
      <c r="N725" s="6"/>
      <c r="O725" s="6"/>
      <c r="P725" s="6"/>
      <c r="Q725" s="6"/>
      <c r="R725" s="6"/>
      <c r="S725" s="6"/>
      <c r="T725" s="6"/>
      <c r="U725" s="6"/>
      <c r="V725" s="6"/>
      <c r="W725" s="6"/>
      <c r="X725" s="6"/>
      <c r="Y725" s="6"/>
      <c r="Z725" s="6"/>
      <c r="AA725" s="6"/>
      <c r="AB725" s="6"/>
      <c r="AC725" s="6"/>
    </row>
    <row r="726" ht="14.25" customHeight="1">
      <c r="A726" s="28"/>
      <c r="B726" s="28"/>
      <c r="C726" s="29"/>
      <c r="D726" s="30"/>
      <c r="E726" s="28"/>
      <c r="F726" s="19"/>
      <c r="G726" s="6"/>
      <c r="H726" s="6"/>
      <c r="I726" s="6"/>
      <c r="J726" s="6"/>
      <c r="K726" s="6"/>
      <c r="L726" s="6"/>
      <c r="M726" s="6"/>
      <c r="N726" s="6"/>
      <c r="O726" s="6"/>
      <c r="P726" s="6"/>
      <c r="Q726" s="6"/>
      <c r="R726" s="6"/>
      <c r="S726" s="6"/>
      <c r="T726" s="6"/>
      <c r="U726" s="6"/>
      <c r="V726" s="6"/>
      <c r="W726" s="6"/>
      <c r="X726" s="6"/>
      <c r="Y726" s="6"/>
      <c r="Z726" s="6"/>
      <c r="AA726" s="6"/>
      <c r="AB726" s="6"/>
      <c r="AC726" s="6"/>
    </row>
    <row r="727" ht="14.25" customHeight="1">
      <c r="A727" s="28"/>
      <c r="B727" s="28"/>
      <c r="C727" s="29"/>
      <c r="D727" s="30"/>
      <c r="E727" s="28"/>
      <c r="F727" s="19"/>
      <c r="G727" s="6"/>
      <c r="H727" s="6"/>
      <c r="I727" s="6"/>
      <c r="J727" s="6"/>
      <c r="K727" s="6"/>
      <c r="L727" s="6"/>
      <c r="M727" s="6"/>
      <c r="N727" s="6"/>
      <c r="O727" s="6"/>
      <c r="P727" s="6"/>
      <c r="Q727" s="6"/>
      <c r="R727" s="6"/>
      <c r="S727" s="6"/>
      <c r="T727" s="6"/>
      <c r="U727" s="6"/>
      <c r="V727" s="6"/>
      <c r="W727" s="6"/>
      <c r="X727" s="6"/>
      <c r="Y727" s="6"/>
      <c r="Z727" s="6"/>
      <c r="AA727" s="6"/>
      <c r="AB727" s="6"/>
      <c r="AC727" s="6"/>
    </row>
    <row r="728" ht="14.25" customHeight="1">
      <c r="A728" s="28"/>
      <c r="B728" s="28"/>
      <c r="C728" s="29"/>
      <c r="D728" s="30"/>
      <c r="E728" s="28"/>
      <c r="F728" s="19"/>
      <c r="G728" s="6"/>
      <c r="H728" s="6"/>
      <c r="I728" s="6"/>
      <c r="J728" s="6"/>
      <c r="K728" s="6"/>
      <c r="L728" s="6"/>
      <c r="M728" s="6"/>
      <c r="N728" s="6"/>
      <c r="O728" s="6"/>
      <c r="P728" s="6"/>
      <c r="Q728" s="6"/>
      <c r="R728" s="6"/>
      <c r="S728" s="6"/>
      <c r="T728" s="6"/>
      <c r="U728" s="6"/>
      <c r="V728" s="6"/>
      <c r="W728" s="6"/>
      <c r="X728" s="6"/>
      <c r="Y728" s="6"/>
      <c r="Z728" s="6"/>
      <c r="AA728" s="6"/>
      <c r="AB728" s="6"/>
      <c r="AC728" s="6"/>
    </row>
    <row r="729" ht="14.25" customHeight="1">
      <c r="A729" s="28"/>
      <c r="B729" s="28"/>
      <c r="C729" s="29"/>
      <c r="D729" s="30"/>
      <c r="E729" s="28"/>
      <c r="F729" s="19"/>
      <c r="G729" s="6"/>
      <c r="H729" s="6"/>
      <c r="I729" s="6"/>
      <c r="J729" s="6"/>
      <c r="K729" s="6"/>
      <c r="L729" s="6"/>
      <c r="M729" s="6"/>
      <c r="N729" s="6"/>
      <c r="O729" s="6"/>
      <c r="P729" s="6"/>
      <c r="Q729" s="6"/>
      <c r="R729" s="6"/>
      <c r="S729" s="6"/>
      <c r="T729" s="6"/>
      <c r="U729" s="6"/>
      <c r="V729" s="6"/>
      <c r="W729" s="6"/>
      <c r="X729" s="6"/>
      <c r="Y729" s="6"/>
      <c r="Z729" s="6"/>
      <c r="AA729" s="6"/>
      <c r="AB729" s="6"/>
      <c r="AC729" s="6"/>
    </row>
    <row r="730" ht="14.25" customHeight="1">
      <c r="A730" s="28"/>
      <c r="B730" s="28"/>
      <c r="C730" s="29"/>
      <c r="D730" s="30"/>
      <c r="E730" s="28"/>
      <c r="F730" s="19"/>
      <c r="G730" s="6"/>
      <c r="H730" s="6"/>
      <c r="I730" s="6"/>
      <c r="J730" s="6"/>
      <c r="K730" s="6"/>
      <c r="L730" s="6"/>
      <c r="M730" s="6"/>
      <c r="N730" s="6"/>
      <c r="O730" s="6"/>
      <c r="P730" s="6"/>
      <c r="Q730" s="6"/>
      <c r="R730" s="6"/>
      <c r="S730" s="6"/>
      <c r="T730" s="6"/>
      <c r="U730" s="6"/>
      <c r="V730" s="6"/>
      <c r="W730" s="6"/>
      <c r="X730" s="6"/>
      <c r="Y730" s="6"/>
      <c r="Z730" s="6"/>
      <c r="AA730" s="6"/>
      <c r="AB730" s="6"/>
      <c r="AC730" s="6"/>
    </row>
    <row r="731" ht="14.25" customHeight="1">
      <c r="A731" s="28"/>
      <c r="B731" s="28"/>
      <c r="C731" s="29"/>
      <c r="D731" s="30"/>
      <c r="E731" s="28"/>
      <c r="F731" s="19"/>
      <c r="G731" s="6"/>
      <c r="H731" s="6"/>
      <c r="I731" s="6"/>
      <c r="J731" s="6"/>
      <c r="K731" s="6"/>
      <c r="L731" s="6"/>
      <c r="M731" s="6"/>
      <c r="N731" s="6"/>
      <c r="O731" s="6"/>
      <c r="P731" s="6"/>
      <c r="Q731" s="6"/>
      <c r="R731" s="6"/>
      <c r="S731" s="6"/>
      <c r="T731" s="6"/>
      <c r="U731" s="6"/>
      <c r="V731" s="6"/>
      <c r="W731" s="6"/>
      <c r="X731" s="6"/>
      <c r="Y731" s="6"/>
      <c r="Z731" s="6"/>
      <c r="AA731" s="6"/>
      <c r="AB731" s="6"/>
      <c r="AC731" s="6"/>
    </row>
    <row r="732" ht="14.25" customHeight="1">
      <c r="A732" s="28"/>
      <c r="B732" s="28"/>
      <c r="C732" s="29"/>
      <c r="D732" s="30"/>
      <c r="E732" s="28"/>
      <c r="F732" s="19"/>
      <c r="G732" s="6"/>
      <c r="H732" s="6"/>
      <c r="I732" s="6"/>
      <c r="J732" s="6"/>
      <c r="K732" s="6"/>
      <c r="L732" s="6"/>
      <c r="M732" s="6"/>
      <c r="N732" s="6"/>
      <c r="O732" s="6"/>
      <c r="P732" s="6"/>
      <c r="Q732" s="6"/>
      <c r="R732" s="6"/>
      <c r="S732" s="6"/>
      <c r="T732" s="6"/>
      <c r="U732" s="6"/>
      <c r="V732" s="6"/>
      <c r="W732" s="6"/>
      <c r="X732" s="6"/>
      <c r="Y732" s="6"/>
      <c r="Z732" s="6"/>
      <c r="AA732" s="6"/>
      <c r="AB732" s="6"/>
      <c r="AC732" s="6"/>
    </row>
    <row r="733" ht="14.25" customHeight="1">
      <c r="A733" s="28"/>
      <c r="B733" s="28"/>
      <c r="C733" s="29"/>
      <c r="D733" s="30"/>
      <c r="E733" s="28"/>
      <c r="F733" s="19"/>
      <c r="G733" s="6"/>
      <c r="H733" s="6"/>
      <c r="I733" s="6"/>
      <c r="J733" s="6"/>
      <c r="K733" s="6"/>
      <c r="L733" s="6"/>
      <c r="M733" s="6"/>
      <c r="N733" s="6"/>
      <c r="O733" s="6"/>
      <c r="P733" s="6"/>
      <c r="Q733" s="6"/>
      <c r="R733" s="6"/>
      <c r="S733" s="6"/>
      <c r="T733" s="6"/>
      <c r="U733" s="6"/>
      <c r="V733" s="6"/>
      <c r="W733" s="6"/>
      <c r="X733" s="6"/>
      <c r="Y733" s="6"/>
      <c r="Z733" s="6"/>
      <c r="AA733" s="6"/>
      <c r="AB733" s="6"/>
      <c r="AC733" s="6"/>
    </row>
    <row r="734" ht="14.25" customHeight="1">
      <c r="A734" s="28"/>
      <c r="B734" s="28"/>
      <c r="C734" s="29"/>
      <c r="D734" s="30"/>
      <c r="E734" s="28"/>
      <c r="F734" s="19"/>
      <c r="G734" s="6"/>
      <c r="H734" s="6"/>
      <c r="I734" s="6"/>
      <c r="J734" s="6"/>
      <c r="K734" s="6"/>
      <c r="L734" s="6"/>
      <c r="M734" s="6"/>
      <c r="N734" s="6"/>
      <c r="O734" s="6"/>
      <c r="P734" s="6"/>
      <c r="Q734" s="6"/>
      <c r="R734" s="6"/>
      <c r="S734" s="6"/>
      <c r="T734" s="6"/>
      <c r="U734" s="6"/>
      <c r="V734" s="6"/>
      <c r="W734" s="6"/>
      <c r="X734" s="6"/>
      <c r="Y734" s="6"/>
      <c r="Z734" s="6"/>
      <c r="AA734" s="6"/>
      <c r="AB734" s="6"/>
      <c r="AC734" s="6"/>
    </row>
    <row r="735" ht="14.25" customHeight="1">
      <c r="A735" s="28"/>
      <c r="B735" s="28"/>
      <c r="C735" s="29"/>
      <c r="D735" s="30"/>
      <c r="E735" s="28"/>
      <c r="F735" s="19"/>
      <c r="G735" s="6"/>
      <c r="H735" s="6"/>
      <c r="I735" s="6"/>
      <c r="J735" s="6"/>
      <c r="K735" s="6"/>
      <c r="L735" s="6"/>
      <c r="M735" s="6"/>
      <c r="N735" s="6"/>
      <c r="O735" s="6"/>
      <c r="P735" s="6"/>
      <c r="Q735" s="6"/>
      <c r="R735" s="6"/>
      <c r="S735" s="6"/>
      <c r="T735" s="6"/>
      <c r="U735" s="6"/>
      <c r="V735" s="6"/>
      <c r="W735" s="6"/>
      <c r="X735" s="6"/>
      <c r="Y735" s="6"/>
      <c r="Z735" s="6"/>
      <c r="AA735" s="6"/>
      <c r="AB735" s="6"/>
      <c r="AC735" s="6"/>
    </row>
    <row r="736" ht="14.25" customHeight="1">
      <c r="A736" s="28"/>
      <c r="B736" s="28"/>
      <c r="C736" s="29"/>
      <c r="D736" s="30"/>
      <c r="E736" s="28"/>
      <c r="F736" s="19"/>
      <c r="G736" s="6"/>
      <c r="H736" s="6"/>
      <c r="I736" s="6"/>
      <c r="J736" s="6"/>
      <c r="K736" s="6"/>
      <c r="L736" s="6"/>
      <c r="M736" s="6"/>
      <c r="N736" s="6"/>
      <c r="O736" s="6"/>
      <c r="P736" s="6"/>
      <c r="Q736" s="6"/>
      <c r="R736" s="6"/>
      <c r="S736" s="6"/>
      <c r="T736" s="6"/>
      <c r="U736" s="6"/>
      <c r="V736" s="6"/>
      <c r="W736" s="6"/>
      <c r="X736" s="6"/>
      <c r="Y736" s="6"/>
      <c r="Z736" s="6"/>
      <c r="AA736" s="6"/>
      <c r="AB736" s="6"/>
      <c r="AC736" s="6"/>
    </row>
    <row r="737" ht="14.25" customHeight="1">
      <c r="A737" s="28"/>
      <c r="B737" s="28"/>
      <c r="C737" s="29"/>
      <c r="D737" s="30"/>
      <c r="E737" s="28"/>
      <c r="F737" s="19"/>
      <c r="G737" s="6"/>
      <c r="H737" s="6"/>
      <c r="I737" s="6"/>
      <c r="J737" s="6"/>
      <c r="K737" s="6"/>
      <c r="L737" s="6"/>
      <c r="M737" s="6"/>
      <c r="N737" s="6"/>
      <c r="O737" s="6"/>
      <c r="P737" s="6"/>
      <c r="Q737" s="6"/>
      <c r="R737" s="6"/>
      <c r="S737" s="6"/>
      <c r="T737" s="6"/>
      <c r="U737" s="6"/>
      <c r="V737" s="6"/>
      <c r="W737" s="6"/>
      <c r="X737" s="6"/>
      <c r="Y737" s="6"/>
      <c r="Z737" s="6"/>
      <c r="AA737" s="6"/>
      <c r="AB737" s="6"/>
      <c r="AC737" s="6"/>
    </row>
    <row r="738" ht="14.25" customHeight="1">
      <c r="A738" s="28"/>
      <c r="B738" s="28"/>
      <c r="C738" s="29"/>
      <c r="D738" s="30"/>
      <c r="E738" s="28"/>
      <c r="F738" s="19"/>
      <c r="G738" s="6"/>
      <c r="H738" s="6"/>
      <c r="I738" s="6"/>
      <c r="J738" s="6"/>
      <c r="K738" s="6"/>
      <c r="L738" s="6"/>
      <c r="M738" s="6"/>
      <c r="N738" s="6"/>
      <c r="O738" s="6"/>
      <c r="P738" s="6"/>
      <c r="Q738" s="6"/>
      <c r="R738" s="6"/>
      <c r="S738" s="6"/>
      <c r="T738" s="6"/>
      <c r="U738" s="6"/>
      <c r="V738" s="6"/>
      <c r="W738" s="6"/>
      <c r="X738" s="6"/>
      <c r="Y738" s="6"/>
      <c r="Z738" s="6"/>
      <c r="AA738" s="6"/>
      <c r="AB738" s="6"/>
      <c r="AC738" s="6"/>
    </row>
    <row r="739" ht="14.25" customHeight="1">
      <c r="A739" s="28"/>
      <c r="B739" s="28"/>
      <c r="C739" s="29"/>
      <c r="D739" s="30"/>
      <c r="E739" s="28"/>
      <c r="F739" s="19"/>
      <c r="G739" s="6"/>
      <c r="H739" s="6"/>
      <c r="I739" s="6"/>
      <c r="J739" s="6"/>
      <c r="K739" s="6"/>
      <c r="L739" s="6"/>
      <c r="M739" s="6"/>
      <c r="N739" s="6"/>
      <c r="O739" s="6"/>
      <c r="P739" s="6"/>
      <c r="Q739" s="6"/>
      <c r="R739" s="6"/>
      <c r="S739" s="6"/>
      <c r="T739" s="6"/>
      <c r="U739" s="6"/>
      <c r="V739" s="6"/>
      <c r="W739" s="6"/>
      <c r="X739" s="6"/>
      <c r="Y739" s="6"/>
      <c r="Z739" s="6"/>
      <c r="AA739" s="6"/>
      <c r="AB739" s="6"/>
      <c r="AC739" s="6"/>
    </row>
    <row r="740" ht="14.25" customHeight="1">
      <c r="A740" s="28"/>
      <c r="B740" s="28"/>
      <c r="C740" s="29"/>
      <c r="D740" s="30"/>
      <c r="E740" s="28"/>
      <c r="F740" s="19"/>
      <c r="G740" s="6"/>
      <c r="H740" s="6"/>
      <c r="I740" s="6"/>
      <c r="J740" s="6"/>
      <c r="K740" s="6"/>
      <c r="L740" s="6"/>
      <c r="M740" s="6"/>
      <c r="N740" s="6"/>
      <c r="O740" s="6"/>
      <c r="P740" s="6"/>
      <c r="Q740" s="6"/>
      <c r="R740" s="6"/>
      <c r="S740" s="6"/>
      <c r="T740" s="6"/>
      <c r="U740" s="6"/>
      <c r="V740" s="6"/>
      <c r="W740" s="6"/>
      <c r="X740" s="6"/>
      <c r="Y740" s="6"/>
      <c r="Z740" s="6"/>
      <c r="AA740" s="6"/>
      <c r="AB740" s="6"/>
      <c r="AC740" s="6"/>
    </row>
    <row r="741" ht="14.25" customHeight="1">
      <c r="A741" s="28"/>
      <c r="B741" s="28"/>
      <c r="C741" s="29"/>
      <c r="D741" s="30"/>
      <c r="E741" s="28"/>
      <c r="F741" s="19"/>
      <c r="G741" s="6"/>
      <c r="H741" s="6"/>
      <c r="I741" s="6"/>
      <c r="J741" s="6"/>
      <c r="K741" s="6"/>
      <c r="L741" s="6"/>
      <c r="M741" s="6"/>
      <c r="N741" s="6"/>
      <c r="O741" s="6"/>
      <c r="P741" s="6"/>
      <c r="Q741" s="6"/>
      <c r="R741" s="6"/>
      <c r="S741" s="6"/>
      <c r="T741" s="6"/>
      <c r="U741" s="6"/>
      <c r="V741" s="6"/>
      <c r="W741" s="6"/>
      <c r="X741" s="6"/>
      <c r="Y741" s="6"/>
      <c r="Z741" s="6"/>
      <c r="AA741" s="6"/>
      <c r="AB741" s="6"/>
      <c r="AC741" s="6"/>
    </row>
    <row r="742" ht="14.25" customHeight="1">
      <c r="A742" s="28"/>
      <c r="B742" s="28"/>
      <c r="C742" s="29"/>
      <c r="D742" s="30"/>
      <c r="E742" s="28"/>
      <c r="F742" s="19"/>
      <c r="G742" s="6"/>
      <c r="H742" s="6"/>
      <c r="I742" s="6"/>
      <c r="J742" s="6"/>
      <c r="K742" s="6"/>
      <c r="L742" s="6"/>
      <c r="M742" s="6"/>
      <c r="N742" s="6"/>
      <c r="O742" s="6"/>
      <c r="P742" s="6"/>
      <c r="Q742" s="6"/>
      <c r="R742" s="6"/>
      <c r="S742" s="6"/>
      <c r="T742" s="6"/>
      <c r="U742" s="6"/>
      <c r="V742" s="6"/>
      <c r="W742" s="6"/>
      <c r="X742" s="6"/>
      <c r="Y742" s="6"/>
      <c r="Z742" s="6"/>
      <c r="AA742" s="6"/>
      <c r="AB742" s="6"/>
      <c r="AC742" s="6"/>
    </row>
    <row r="743" ht="14.25" customHeight="1">
      <c r="A743" s="28"/>
      <c r="B743" s="28"/>
      <c r="C743" s="29"/>
      <c r="D743" s="30"/>
      <c r="E743" s="28"/>
      <c r="F743" s="19"/>
      <c r="G743" s="6"/>
      <c r="H743" s="6"/>
      <c r="I743" s="6"/>
      <c r="J743" s="6"/>
      <c r="K743" s="6"/>
      <c r="L743" s="6"/>
      <c r="M743" s="6"/>
      <c r="N743" s="6"/>
      <c r="O743" s="6"/>
      <c r="P743" s="6"/>
      <c r="Q743" s="6"/>
      <c r="R743" s="6"/>
      <c r="S743" s="6"/>
      <c r="T743" s="6"/>
      <c r="U743" s="6"/>
      <c r="V743" s="6"/>
      <c r="W743" s="6"/>
      <c r="X743" s="6"/>
      <c r="Y743" s="6"/>
      <c r="Z743" s="6"/>
      <c r="AA743" s="6"/>
      <c r="AB743" s="6"/>
      <c r="AC743" s="6"/>
    </row>
    <row r="744" ht="14.25" customHeight="1">
      <c r="A744" s="28"/>
      <c r="B744" s="28"/>
      <c r="C744" s="29"/>
      <c r="D744" s="30"/>
      <c r="E744" s="28"/>
      <c r="F744" s="19"/>
      <c r="G744" s="6"/>
      <c r="H744" s="6"/>
      <c r="I744" s="6"/>
      <c r="J744" s="6"/>
      <c r="K744" s="6"/>
      <c r="L744" s="6"/>
      <c r="M744" s="6"/>
      <c r="N744" s="6"/>
      <c r="O744" s="6"/>
      <c r="P744" s="6"/>
      <c r="Q744" s="6"/>
      <c r="R744" s="6"/>
      <c r="S744" s="6"/>
      <c r="T744" s="6"/>
      <c r="U744" s="6"/>
      <c r="V744" s="6"/>
      <c r="W744" s="6"/>
      <c r="X744" s="6"/>
      <c r="Y744" s="6"/>
      <c r="Z744" s="6"/>
      <c r="AA744" s="6"/>
      <c r="AB744" s="6"/>
      <c r="AC744" s="6"/>
    </row>
    <row r="745" ht="14.25" customHeight="1">
      <c r="A745" s="28"/>
      <c r="B745" s="28"/>
      <c r="C745" s="29"/>
      <c r="D745" s="30"/>
      <c r="E745" s="28"/>
      <c r="F745" s="19"/>
      <c r="G745" s="6"/>
      <c r="H745" s="6"/>
      <c r="I745" s="6"/>
      <c r="J745" s="6"/>
      <c r="K745" s="6"/>
      <c r="L745" s="6"/>
      <c r="M745" s="6"/>
      <c r="N745" s="6"/>
      <c r="O745" s="6"/>
      <c r="P745" s="6"/>
      <c r="Q745" s="6"/>
      <c r="R745" s="6"/>
      <c r="S745" s="6"/>
      <c r="T745" s="6"/>
      <c r="U745" s="6"/>
      <c r="V745" s="6"/>
      <c r="W745" s="6"/>
      <c r="X745" s="6"/>
      <c r="Y745" s="6"/>
      <c r="Z745" s="6"/>
      <c r="AA745" s="6"/>
      <c r="AB745" s="6"/>
      <c r="AC745" s="6"/>
    </row>
    <row r="746" ht="14.25" customHeight="1">
      <c r="A746" s="28"/>
      <c r="B746" s="28"/>
      <c r="C746" s="29"/>
      <c r="D746" s="30"/>
      <c r="E746" s="28"/>
      <c r="F746" s="19"/>
      <c r="G746" s="6"/>
      <c r="H746" s="6"/>
      <c r="I746" s="6"/>
      <c r="J746" s="6"/>
      <c r="K746" s="6"/>
      <c r="L746" s="6"/>
      <c r="M746" s="6"/>
      <c r="N746" s="6"/>
      <c r="O746" s="6"/>
      <c r="P746" s="6"/>
      <c r="Q746" s="6"/>
      <c r="R746" s="6"/>
      <c r="S746" s="6"/>
      <c r="T746" s="6"/>
      <c r="U746" s="6"/>
      <c r="V746" s="6"/>
      <c r="W746" s="6"/>
      <c r="X746" s="6"/>
      <c r="Y746" s="6"/>
      <c r="Z746" s="6"/>
      <c r="AA746" s="6"/>
      <c r="AB746" s="6"/>
      <c r="AC746" s="6"/>
    </row>
    <row r="747" ht="14.25" customHeight="1">
      <c r="A747" s="28"/>
      <c r="B747" s="28"/>
      <c r="C747" s="29"/>
      <c r="D747" s="30"/>
      <c r="E747" s="28"/>
      <c r="F747" s="19"/>
      <c r="G747" s="6"/>
      <c r="H747" s="6"/>
      <c r="I747" s="6"/>
      <c r="J747" s="6"/>
      <c r="K747" s="6"/>
      <c r="L747" s="6"/>
      <c r="M747" s="6"/>
      <c r="N747" s="6"/>
      <c r="O747" s="6"/>
      <c r="P747" s="6"/>
      <c r="Q747" s="6"/>
      <c r="R747" s="6"/>
      <c r="S747" s="6"/>
      <c r="T747" s="6"/>
      <c r="U747" s="6"/>
      <c r="V747" s="6"/>
      <c r="W747" s="6"/>
      <c r="X747" s="6"/>
      <c r="Y747" s="6"/>
      <c r="Z747" s="6"/>
      <c r="AA747" s="6"/>
      <c r="AB747" s="6"/>
      <c r="AC747" s="6"/>
    </row>
    <row r="748" ht="14.25" customHeight="1">
      <c r="A748" s="28"/>
      <c r="B748" s="28"/>
      <c r="C748" s="29"/>
      <c r="D748" s="30"/>
      <c r="E748" s="28"/>
      <c r="F748" s="19"/>
      <c r="G748" s="6"/>
      <c r="H748" s="6"/>
      <c r="I748" s="6"/>
      <c r="J748" s="6"/>
      <c r="K748" s="6"/>
      <c r="L748" s="6"/>
      <c r="M748" s="6"/>
      <c r="N748" s="6"/>
      <c r="O748" s="6"/>
      <c r="P748" s="6"/>
      <c r="Q748" s="6"/>
      <c r="R748" s="6"/>
      <c r="S748" s="6"/>
      <c r="T748" s="6"/>
      <c r="U748" s="6"/>
      <c r="V748" s="6"/>
      <c r="W748" s="6"/>
      <c r="X748" s="6"/>
      <c r="Y748" s="6"/>
      <c r="Z748" s="6"/>
      <c r="AA748" s="6"/>
      <c r="AB748" s="6"/>
      <c r="AC748" s="6"/>
    </row>
    <row r="749" ht="14.25" customHeight="1">
      <c r="A749" s="28"/>
      <c r="B749" s="28"/>
      <c r="C749" s="29"/>
      <c r="D749" s="30"/>
      <c r="E749" s="28"/>
      <c r="F749" s="19"/>
      <c r="G749" s="6"/>
      <c r="H749" s="6"/>
      <c r="I749" s="6"/>
      <c r="J749" s="6"/>
      <c r="K749" s="6"/>
      <c r="L749" s="6"/>
      <c r="M749" s="6"/>
      <c r="N749" s="6"/>
      <c r="O749" s="6"/>
      <c r="P749" s="6"/>
      <c r="Q749" s="6"/>
      <c r="R749" s="6"/>
      <c r="S749" s="6"/>
      <c r="T749" s="6"/>
      <c r="U749" s="6"/>
      <c r="V749" s="6"/>
      <c r="W749" s="6"/>
      <c r="X749" s="6"/>
      <c r="Y749" s="6"/>
      <c r="Z749" s="6"/>
      <c r="AA749" s="6"/>
      <c r="AB749" s="6"/>
      <c r="AC749" s="6"/>
    </row>
    <row r="750" ht="14.25" customHeight="1">
      <c r="A750" s="28"/>
      <c r="B750" s="28"/>
      <c r="C750" s="29"/>
      <c r="D750" s="30"/>
      <c r="E750" s="28"/>
      <c r="F750" s="19"/>
      <c r="G750" s="6"/>
      <c r="H750" s="6"/>
      <c r="I750" s="6"/>
      <c r="J750" s="6"/>
      <c r="K750" s="6"/>
      <c r="L750" s="6"/>
      <c r="M750" s="6"/>
      <c r="N750" s="6"/>
      <c r="O750" s="6"/>
      <c r="P750" s="6"/>
      <c r="Q750" s="6"/>
      <c r="R750" s="6"/>
      <c r="S750" s="6"/>
      <c r="T750" s="6"/>
      <c r="U750" s="6"/>
      <c r="V750" s="6"/>
      <c r="W750" s="6"/>
      <c r="X750" s="6"/>
      <c r="Y750" s="6"/>
      <c r="Z750" s="6"/>
      <c r="AA750" s="6"/>
      <c r="AB750" s="6"/>
      <c r="AC750" s="6"/>
    </row>
    <row r="751" ht="14.25" customHeight="1">
      <c r="A751" s="28"/>
      <c r="B751" s="28"/>
      <c r="C751" s="29"/>
      <c r="D751" s="30"/>
      <c r="E751" s="28"/>
      <c r="F751" s="19"/>
      <c r="G751" s="6"/>
      <c r="H751" s="6"/>
      <c r="I751" s="6"/>
      <c r="J751" s="6"/>
      <c r="K751" s="6"/>
      <c r="L751" s="6"/>
      <c r="M751" s="6"/>
      <c r="N751" s="6"/>
      <c r="O751" s="6"/>
      <c r="P751" s="6"/>
      <c r="Q751" s="6"/>
      <c r="R751" s="6"/>
      <c r="S751" s="6"/>
      <c r="T751" s="6"/>
      <c r="U751" s="6"/>
      <c r="V751" s="6"/>
      <c r="W751" s="6"/>
      <c r="X751" s="6"/>
      <c r="Y751" s="6"/>
      <c r="Z751" s="6"/>
      <c r="AA751" s="6"/>
      <c r="AB751" s="6"/>
      <c r="AC751" s="6"/>
    </row>
    <row r="752" ht="14.25" customHeight="1">
      <c r="A752" s="28"/>
      <c r="B752" s="28"/>
      <c r="C752" s="29"/>
      <c r="D752" s="30"/>
      <c r="E752" s="28"/>
      <c r="F752" s="19"/>
      <c r="G752" s="6"/>
      <c r="H752" s="6"/>
      <c r="I752" s="6"/>
      <c r="J752" s="6"/>
      <c r="K752" s="6"/>
      <c r="L752" s="6"/>
      <c r="M752" s="6"/>
      <c r="N752" s="6"/>
      <c r="O752" s="6"/>
      <c r="P752" s="6"/>
      <c r="Q752" s="6"/>
      <c r="R752" s="6"/>
      <c r="S752" s="6"/>
      <c r="T752" s="6"/>
      <c r="U752" s="6"/>
      <c r="V752" s="6"/>
      <c r="W752" s="6"/>
      <c r="X752" s="6"/>
      <c r="Y752" s="6"/>
      <c r="Z752" s="6"/>
      <c r="AA752" s="6"/>
      <c r="AB752" s="6"/>
      <c r="AC752" s="6"/>
    </row>
    <row r="753" ht="14.25" customHeight="1">
      <c r="A753" s="28"/>
      <c r="B753" s="28"/>
      <c r="C753" s="29"/>
      <c r="D753" s="30"/>
      <c r="E753" s="28"/>
      <c r="F753" s="19"/>
      <c r="G753" s="6"/>
      <c r="H753" s="6"/>
      <c r="I753" s="6"/>
      <c r="J753" s="6"/>
      <c r="K753" s="6"/>
      <c r="L753" s="6"/>
      <c r="M753" s="6"/>
      <c r="N753" s="6"/>
      <c r="O753" s="6"/>
      <c r="P753" s="6"/>
      <c r="Q753" s="6"/>
      <c r="R753" s="6"/>
      <c r="S753" s="6"/>
      <c r="T753" s="6"/>
      <c r="U753" s="6"/>
      <c r="V753" s="6"/>
      <c r="W753" s="6"/>
      <c r="X753" s="6"/>
      <c r="Y753" s="6"/>
      <c r="Z753" s="6"/>
      <c r="AA753" s="6"/>
      <c r="AB753" s="6"/>
      <c r="AC753" s="6"/>
    </row>
    <row r="754" ht="14.25" customHeight="1">
      <c r="A754" s="28"/>
      <c r="B754" s="28"/>
      <c r="C754" s="29"/>
      <c r="D754" s="30"/>
      <c r="E754" s="28"/>
      <c r="F754" s="19"/>
      <c r="G754" s="6"/>
      <c r="H754" s="6"/>
      <c r="I754" s="6"/>
      <c r="J754" s="6"/>
      <c r="K754" s="6"/>
      <c r="L754" s="6"/>
      <c r="M754" s="6"/>
      <c r="N754" s="6"/>
      <c r="O754" s="6"/>
      <c r="P754" s="6"/>
      <c r="Q754" s="6"/>
      <c r="R754" s="6"/>
      <c r="S754" s="6"/>
      <c r="T754" s="6"/>
      <c r="U754" s="6"/>
      <c r="V754" s="6"/>
      <c r="W754" s="6"/>
      <c r="X754" s="6"/>
      <c r="Y754" s="6"/>
      <c r="Z754" s="6"/>
      <c r="AA754" s="6"/>
      <c r="AB754" s="6"/>
      <c r="AC754" s="6"/>
    </row>
    <row r="755" ht="14.25" customHeight="1">
      <c r="A755" s="28"/>
      <c r="B755" s="28"/>
      <c r="C755" s="29"/>
      <c r="D755" s="30"/>
      <c r="E755" s="28"/>
      <c r="F755" s="19"/>
      <c r="G755" s="6"/>
      <c r="H755" s="6"/>
      <c r="I755" s="6"/>
      <c r="J755" s="6"/>
      <c r="K755" s="6"/>
      <c r="L755" s="6"/>
      <c r="M755" s="6"/>
      <c r="N755" s="6"/>
      <c r="O755" s="6"/>
      <c r="P755" s="6"/>
      <c r="Q755" s="6"/>
      <c r="R755" s="6"/>
      <c r="S755" s="6"/>
      <c r="T755" s="6"/>
      <c r="U755" s="6"/>
      <c r="V755" s="6"/>
      <c r="W755" s="6"/>
      <c r="X755" s="6"/>
      <c r="Y755" s="6"/>
      <c r="Z755" s="6"/>
      <c r="AA755" s="6"/>
      <c r="AB755" s="6"/>
      <c r="AC755" s="6"/>
    </row>
    <row r="756" ht="14.25" customHeight="1">
      <c r="A756" s="28"/>
      <c r="B756" s="28"/>
      <c r="C756" s="29"/>
      <c r="D756" s="30"/>
      <c r="E756" s="28"/>
      <c r="F756" s="19"/>
      <c r="G756" s="6"/>
      <c r="H756" s="6"/>
      <c r="I756" s="6"/>
      <c r="J756" s="6"/>
      <c r="K756" s="6"/>
      <c r="L756" s="6"/>
      <c r="M756" s="6"/>
      <c r="N756" s="6"/>
      <c r="O756" s="6"/>
      <c r="P756" s="6"/>
      <c r="Q756" s="6"/>
      <c r="R756" s="6"/>
      <c r="S756" s="6"/>
      <c r="T756" s="6"/>
      <c r="U756" s="6"/>
      <c r="V756" s="6"/>
      <c r="W756" s="6"/>
      <c r="X756" s="6"/>
      <c r="Y756" s="6"/>
      <c r="Z756" s="6"/>
      <c r="AA756" s="6"/>
      <c r="AB756" s="6"/>
      <c r="AC756" s="6"/>
    </row>
    <row r="757" ht="14.25" customHeight="1">
      <c r="A757" s="28"/>
      <c r="B757" s="28"/>
      <c r="C757" s="29"/>
      <c r="D757" s="30"/>
      <c r="E757" s="28"/>
      <c r="F757" s="19"/>
      <c r="G757" s="6"/>
      <c r="H757" s="6"/>
      <c r="I757" s="6"/>
      <c r="J757" s="6"/>
      <c r="K757" s="6"/>
      <c r="L757" s="6"/>
      <c r="M757" s="6"/>
      <c r="N757" s="6"/>
      <c r="O757" s="6"/>
      <c r="P757" s="6"/>
      <c r="Q757" s="6"/>
      <c r="R757" s="6"/>
      <c r="S757" s="6"/>
      <c r="T757" s="6"/>
      <c r="U757" s="6"/>
      <c r="V757" s="6"/>
      <c r="W757" s="6"/>
      <c r="X757" s="6"/>
      <c r="Y757" s="6"/>
      <c r="Z757" s="6"/>
      <c r="AA757" s="6"/>
      <c r="AB757" s="6"/>
      <c r="AC757" s="6"/>
    </row>
    <row r="758" ht="14.25" customHeight="1">
      <c r="A758" s="28"/>
      <c r="B758" s="28"/>
      <c r="C758" s="29"/>
      <c r="D758" s="30"/>
      <c r="E758" s="28"/>
      <c r="F758" s="19"/>
      <c r="G758" s="6"/>
      <c r="H758" s="6"/>
      <c r="I758" s="6"/>
      <c r="J758" s="6"/>
      <c r="K758" s="6"/>
      <c r="L758" s="6"/>
      <c r="M758" s="6"/>
      <c r="N758" s="6"/>
      <c r="O758" s="6"/>
      <c r="P758" s="6"/>
      <c r="Q758" s="6"/>
      <c r="R758" s="6"/>
      <c r="S758" s="6"/>
      <c r="T758" s="6"/>
      <c r="U758" s="6"/>
      <c r="V758" s="6"/>
      <c r="W758" s="6"/>
      <c r="X758" s="6"/>
      <c r="Y758" s="6"/>
      <c r="Z758" s="6"/>
      <c r="AA758" s="6"/>
      <c r="AB758" s="6"/>
      <c r="AC758" s="6"/>
    </row>
    <row r="759" ht="14.25" customHeight="1">
      <c r="A759" s="28"/>
      <c r="B759" s="28"/>
      <c r="C759" s="29"/>
      <c r="D759" s="30"/>
      <c r="E759" s="28"/>
      <c r="F759" s="19"/>
      <c r="G759" s="6"/>
      <c r="H759" s="6"/>
      <c r="I759" s="6"/>
      <c r="J759" s="6"/>
      <c r="K759" s="6"/>
      <c r="L759" s="6"/>
      <c r="M759" s="6"/>
      <c r="N759" s="6"/>
      <c r="O759" s="6"/>
      <c r="P759" s="6"/>
      <c r="Q759" s="6"/>
      <c r="R759" s="6"/>
      <c r="S759" s="6"/>
      <c r="T759" s="6"/>
      <c r="U759" s="6"/>
      <c r="V759" s="6"/>
      <c r="W759" s="6"/>
      <c r="X759" s="6"/>
      <c r="Y759" s="6"/>
      <c r="Z759" s="6"/>
      <c r="AA759" s="6"/>
      <c r="AB759" s="6"/>
      <c r="AC759" s="6"/>
    </row>
    <row r="760" ht="14.25" customHeight="1">
      <c r="A760" s="28"/>
      <c r="B760" s="28"/>
      <c r="C760" s="29"/>
      <c r="D760" s="30"/>
      <c r="E760" s="28"/>
      <c r="F760" s="19"/>
      <c r="G760" s="6"/>
      <c r="H760" s="6"/>
      <c r="I760" s="6"/>
      <c r="J760" s="6"/>
      <c r="K760" s="6"/>
      <c r="L760" s="6"/>
      <c r="M760" s="6"/>
      <c r="N760" s="6"/>
      <c r="O760" s="6"/>
      <c r="P760" s="6"/>
      <c r="Q760" s="6"/>
      <c r="R760" s="6"/>
      <c r="S760" s="6"/>
      <c r="T760" s="6"/>
      <c r="U760" s="6"/>
      <c r="V760" s="6"/>
      <c r="W760" s="6"/>
      <c r="X760" s="6"/>
      <c r="Y760" s="6"/>
      <c r="Z760" s="6"/>
      <c r="AA760" s="6"/>
      <c r="AB760" s="6"/>
      <c r="AC760" s="6"/>
    </row>
    <row r="761" ht="14.25" customHeight="1">
      <c r="A761" s="28"/>
      <c r="B761" s="28"/>
      <c r="C761" s="29"/>
      <c r="D761" s="30"/>
      <c r="E761" s="28"/>
      <c r="F761" s="19"/>
      <c r="G761" s="6"/>
      <c r="H761" s="6"/>
      <c r="I761" s="6"/>
      <c r="J761" s="6"/>
      <c r="K761" s="6"/>
      <c r="L761" s="6"/>
      <c r="M761" s="6"/>
      <c r="N761" s="6"/>
      <c r="O761" s="6"/>
      <c r="P761" s="6"/>
      <c r="Q761" s="6"/>
      <c r="R761" s="6"/>
      <c r="S761" s="6"/>
      <c r="T761" s="6"/>
      <c r="U761" s="6"/>
      <c r="V761" s="6"/>
      <c r="W761" s="6"/>
      <c r="X761" s="6"/>
      <c r="Y761" s="6"/>
      <c r="Z761" s="6"/>
      <c r="AA761" s="6"/>
      <c r="AB761" s="6"/>
      <c r="AC761" s="6"/>
    </row>
    <row r="762" ht="14.25" customHeight="1">
      <c r="A762" s="28"/>
      <c r="B762" s="28"/>
      <c r="C762" s="29"/>
      <c r="D762" s="30"/>
      <c r="E762" s="28"/>
      <c r="F762" s="19"/>
      <c r="G762" s="6"/>
      <c r="H762" s="6"/>
      <c r="I762" s="6"/>
      <c r="J762" s="6"/>
      <c r="K762" s="6"/>
      <c r="L762" s="6"/>
      <c r="M762" s="6"/>
      <c r="N762" s="6"/>
      <c r="O762" s="6"/>
      <c r="P762" s="6"/>
      <c r="Q762" s="6"/>
      <c r="R762" s="6"/>
      <c r="S762" s="6"/>
      <c r="T762" s="6"/>
      <c r="U762" s="6"/>
      <c r="V762" s="6"/>
      <c r="W762" s="6"/>
      <c r="X762" s="6"/>
      <c r="Y762" s="6"/>
      <c r="Z762" s="6"/>
      <c r="AA762" s="6"/>
      <c r="AB762" s="6"/>
      <c r="AC762" s="6"/>
    </row>
    <row r="763" ht="14.25" customHeight="1">
      <c r="A763" s="28"/>
      <c r="B763" s="28"/>
      <c r="C763" s="29"/>
      <c r="D763" s="30"/>
      <c r="E763" s="28"/>
      <c r="F763" s="19"/>
      <c r="G763" s="6"/>
      <c r="H763" s="6"/>
      <c r="I763" s="6"/>
      <c r="J763" s="6"/>
      <c r="K763" s="6"/>
      <c r="L763" s="6"/>
      <c r="M763" s="6"/>
      <c r="N763" s="6"/>
      <c r="O763" s="6"/>
      <c r="P763" s="6"/>
      <c r="Q763" s="6"/>
      <c r="R763" s="6"/>
      <c r="S763" s="6"/>
      <c r="T763" s="6"/>
      <c r="U763" s="6"/>
      <c r="V763" s="6"/>
      <c r="W763" s="6"/>
      <c r="X763" s="6"/>
      <c r="Y763" s="6"/>
      <c r="Z763" s="6"/>
      <c r="AA763" s="6"/>
      <c r="AB763" s="6"/>
      <c r="AC763" s="6"/>
    </row>
    <row r="764" ht="14.25" customHeight="1">
      <c r="A764" s="28"/>
      <c r="B764" s="28"/>
      <c r="C764" s="29"/>
      <c r="D764" s="30"/>
      <c r="E764" s="28"/>
      <c r="F764" s="19"/>
      <c r="G764" s="6"/>
      <c r="H764" s="6"/>
      <c r="I764" s="6"/>
      <c r="J764" s="6"/>
      <c r="K764" s="6"/>
      <c r="L764" s="6"/>
      <c r="M764" s="6"/>
      <c r="N764" s="6"/>
      <c r="O764" s="6"/>
      <c r="P764" s="6"/>
      <c r="Q764" s="6"/>
      <c r="R764" s="6"/>
      <c r="S764" s="6"/>
      <c r="T764" s="6"/>
      <c r="U764" s="6"/>
      <c r="V764" s="6"/>
      <c r="W764" s="6"/>
      <c r="X764" s="6"/>
      <c r="Y764" s="6"/>
      <c r="Z764" s="6"/>
      <c r="AA764" s="6"/>
      <c r="AB764" s="6"/>
      <c r="AC764" s="6"/>
    </row>
    <row r="765" ht="14.25" customHeight="1">
      <c r="A765" s="28"/>
      <c r="B765" s="28"/>
      <c r="C765" s="29"/>
      <c r="D765" s="30"/>
      <c r="E765" s="28"/>
      <c r="F765" s="19"/>
      <c r="G765" s="6"/>
      <c r="H765" s="6"/>
      <c r="I765" s="6"/>
      <c r="J765" s="6"/>
      <c r="K765" s="6"/>
      <c r="L765" s="6"/>
      <c r="M765" s="6"/>
      <c r="N765" s="6"/>
      <c r="O765" s="6"/>
      <c r="P765" s="6"/>
      <c r="Q765" s="6"/>
      <c r="R765" s="6"/>
      <c r="S765" s="6"/>
      <c r="T765" s="6"/>
      <c r="U765" s="6"/>
      <c r="V765" s="6"/>
      <c r="W765" s="6"/>
      <c r="X765" s="6"/>
      <c r="Y765" s="6"/>
      <c r="Z765" s="6"/>
      <c r="AA765" s="6"/>
      <c r="AB765" s="6"/>
      <c r="AC765" s="6"/>
    </row>
    <row r="766" ht="14.25" customHeight="1">
      <c r="A766" s="28"/>
      <c r="B766" s="28"/>
      <c r="C766" s="29"/>
      <c r="D766" s="30"/>
      <c r="E766" s="28"/>
      <c r="F766" s="19"/>
      <c r="G766" s="6"/>
      <c r="H766" s="6"/>
      <c r="I766" s="6"/>
      <c r="J766" s="6"/>
      <c r="K766" s="6"/>
      <c r="L766" s="6"/>
      <c r="M766" s="6"/>
      <c r="N766" s="6"/>
      <c r="O766" s="6"/>
      <c r="P766" s="6"/>
      <c r="Q766" s="6"/>
      <c r="R766" s="6"/>
      <c r="S766" s="6"/>
      <c r="T766" s="6"/>
      <c r="U766" s="6"/>
      <c r="V766" s="6"/>
      <c r="W766" s="6"/>
      <c r="X766" s="6"/>
      <c r="Y766" s="6"/>
      <c r="Z766" s="6"/>
      <c r="AA766" s="6"/>
      <c r="AB766" s="6"/>
      <c r="AC766" s="6"/>
    </row>
    <row r="767" ht="14.25" customHeight="1">
      <c r="A767" s="28"/>
      <c r="B767" s="28"/>
      <c r="C767" s="29"/>
      <c r="D767" s="30"/>
      <c r="E767" s="28"/>
      <c r="F767" s="19"/>
      <c r="G767" s="6"/>
      <c r="H767" s="6"/>
      <c r="I767" s="6"/>
      <c r="J767" s="6"/>
      <c r="K767" s="6"/>
      <c r="L767" s="6"/>
      <c r="M767" s="6"/>
      <c r="N767" s="6"/>
      <c r="O767" s="6"/>
      <c r="P767" s="6"/>
      <c r="Q767" s="6"/>
      <c r="R767" s="6"/>
      <c r="S767" s="6"/>
      <c r="T767" s="6"/>
      <c r="U767" s="6"/>
      <c r="V767" s="6"/>
      <c r="W767" s="6"/>
      <c r="X767" s="6"/>
      <c r="Y767" s="6"/>
      <c r="Z767" s="6"/>
      <c r="AA767" s="6"/>
      <c r="AB767" s="6"/>
      <c r="AC767" s="6"/>
    </row>
    <row r="768" ht="14.25" customHeight="1">
      <c r="A768" s="28"/>
      <c r="B768" s="28"/>
      <c r="C768" s="29"/>
      <c r="D768" s="30"/>
      <c r="E768" s="28"/>
      <c r="F768" s="19"/>
      <c r="G768" s="6"/>
      <c r="H768" s="6"/>
      <c r="I768" s="6"/>
      <c r="J768" s="6"/>
      <c r="K768" s="6"/>
      <c r="L768" s="6"/>
      <c r="M768" s="6"/>
      <c r="N768" s="6"/>
      <c r="O768" s="6"/>
      <c r="P768" s="6"/>
      <c r="Q768" s="6"/>
      <c r="R768" s="6"/>
      <c r="S768" s="6"/>
      <c r="T768" s="6"/>
      <c r="U768" s="6"/>
      <c r="V768" s="6"/>
      <c r="W768" s="6"/>
      <c r="X768" s="6"/>
      <c r="Y768" s="6"/>
      <c r="Z768" s="6"/>
      <c r="AA768" s="6"/>
      <c r="AB768" s="6"/>
      <c r="AC768" s="6"/>
    </row>
    <row r="769" ht="14.25" customHeight="1">
      <c r="A769" s="28"/>
      <c r="B769" s="28"/>
      <c r="C769" s="29"/>
      <c r="D769" s="30"/>
      <c r="E769" s="28"/>
      <c r="F769" s="19"/>
      <c r="G769" s="6"/>
      <c r="H769" s="6"/>
      <c r="I769" s="6"/>
      <c r="J769" s="6"/>
      <c r="K769" s="6"/>
      <c r="L769" s="6"/>
      <c r="M769" s="6"/>
      <c r="N769" s="6"/>
      <c r="O769" s="6"/>
      <c r="P769" s="6"/>
      <c r="Q769" s="6"/>
      <c r="R769" s="6"/>
      <c r="S769" s="6"/>
      <c r="T769" s="6"/>
      <c r="U769" s="6"/>
      <c r="V769" s="6"/>
      <c r="W769" s="6"/>
      <c r="X769" s="6"/>
      <c r="Y769" s="6"/>
      <c r="Z769" s="6"/>
      <c r="AA769" s="6"/>
      <c r="AB769" s="6"/>
      <c r="AC769" s="6"/>
    </row>
    <row r="770" ht="14.25" customHeight="1">
      <c r="A770" s="28"/>
      <c r="B770" s="28"/>
      <c r="C770" s="29"/>
      <c r="D770" s="30"/>
      <c r="E770" s="28"/>
      <c r="F770" s="19"/>
      <c r="G770" s="6"/>
      <c r="H770" s="6"/>
      <c r="I770" s="6"/>
      <c r="J770" s="6"/>
      <c r="K770" s="6"/>
      <c r="L770" s="6"/>
      <c r="M770" s="6"/>
      <c r="N770" s="6"/>
      <c r="O770" s="6"/>
      <c r="P770" s="6"/>
      <c r="Q770" s="6"/>
      <c r="R770" s="6"/>
      <c r="S770" s="6"/>
      <c r="T770" s="6"/>
      <c r="U770" s="6"/>
      <c r="V770" s="6"/>
      <c r="W770" s="6"/>
      <c r="X770" s="6"/>
      <c r="Y770" s="6"/>
      <c r="Z770" s="6"/>
      <c r="AA770" s="6"/>
      <c r="AB770" s="6"/>
      <c r="AC770" s="6"/>
    </row>
    <row r="771" ht="14.25" customHeight="1">
      <c r="A771" s="28"/>
      <c r="B771" s="28"/>
      <c r="C771" s="29"/>
      <c r="D771" s="30"/>
      <c r="E771" s="28"/>
      <c r="F771" s="19"/>
      <c r="G771" s="6"/>
      <c r="H771" s="6"/>
      <c r="I771" s="6"/>
      <c r="J771" s="6"/>
      <c r="K771" s="6"/>
      <c r="L771" s="6"/>
      <c r="M771" s="6"/>
      <c r="N771" s="6"/>
      <c r="O771" s="6"/>
      <c r="P771" s="6"/>
      <c r="Q771" s="6"/>
      <c r="R771" s="6"/>
      <c r="S771" s="6"/>
      <c r="T771" s="6"/>
      <c r="U771" s="6"/>
      <c r="V771" s="6"/>
      <c r="W771" s="6"/>
      <c r="X771" s="6"/>
      <c r="Y771" s="6"/>
      <c r="Z771" s="6"/>
      <c r="AA771" s="6"/>
      <c r="AB771" s="6"/>
      <c r="AC771" s="6"/>
    </row>
    <row r="772" ht="14.25" customHeight="1">
      <c r="A772" s="28"/>
      <c r="B772" s="28"/>
      <c r="C772" s="29"/>
      <c r="D772" s="30"/>
      <c r="E772" s="28"/>
      <c r="F772" s="19"/>
      <c r="G772" s="6"/>
      <c r="H772" s="6"/>
      <c r="I772" s="6"/>
      <c r="J772" s="6"/>
      <c r="K772" s="6"/>
      <c r="L772" s="6"/>
      <c r="M772" s="6"/>
      <c r="N772" s="6"/>
      <c r="O772" s="6"/>
      <c r="P772" s="6"/>
      <c r="Q772" s="6"/>
      <c r="R772" s="6"/>
      <c r="S772" s="6"/>
      <c r="T772" s="6"/>
      <c r="U772" s="6"/>
      <c r="V772" s="6"/>
      <c r="W772" s="6"/>
      <c r="X772" s="6"/>
      <c r="Y772" s="6"/>
      <c r="Z772" s="6"/>
      <c r="AA772" s="6"/>
      <c r="AB772" s="6"/>
      <c r="AC772" s="6"/>
    </row>
    <row r="773" ht="14.25" customHeight="1">
      <c r="A773" s="28"/>
      <c r="B773" s="28"/>
      <c r="C773" s="29"/>
      <c r="D773" s="30"/>
      <c r="E773" s="28"/>
      <c r="F773" s="19"/>
      <c r="G773" s="6"/>
      <c r="H773" s="6"/>
      <c r="I773" s="6"/>
      <c r="J773" s="6"/>
      <c r="K773" s="6"/>
      <c r="L773" s="6"/>
      <c r="M773" s="6"/>
      <c r="N773" s="6"/>
      <c r="O773" s="6"/>
      <c r="P773" s="6"/>
      <c r="Q773" s="6"/>
      <c r="R773" s="6"/>
      <c r="S773" s="6"/>
      <c r="T773" s="6"/>
      <c r="U773" s="6"/>
      <c r="V773" s="6"/>
      <c r="W773" s="6"/>
      <c r="X773" s="6"/>
      <c r="Y773" s="6"/>
      <c r="Z773" s="6"/>
      <c r="AA773" s="6"/>
      <c r="AB773" s="6"/>
      <c r="AC773" s="6"/>
    </row>
    <row r="774" ht="14.25" customHeight="1">
      <c r="A774" s="28"/>
      <c r="B774" s="28"/>
      <c r="C774" s="29"/>
      <c r="D774" s="30"/>
      <c r="E774" s="28"/>
      <c r="F774" s="19"/>
      <c r="G774" s="6"/>
      <c r="H774" s="6"/>
      <c r="I774" s="6"/>
      <c r="J774" s="6"/>
      <c r="K774" s="6"/>
      <c r="L774" s="6"/>
      <c r="M774" s="6"/>
      <c r="N774" s="6"/>
      <c r="O774" s="6"/>
      <c r="P774" s="6"/>
      <c r="Q774" s="6"/>
      <c r="R774" s="6"/>
      <c r="S774" s="6"/>
      <c r="T774" s="6"/>
      <c r="U774" s="6"/>
      <c r="V774" s="6"/>
      <c r="W774" s="6"/>
      <c r="X774" s="6"/>
      <c r="Y774" s="6"/>
      <c r="Z774" s="6"/>
      <c r="AA774" s="6"/>
      <c r="AB774" s="6"/>
      <c r="AC774" s="6"/>
    </row>
    <row r="775" ht="14.25" customHeight="1">
      <c r="A775" s="28"/>
      <c r="B775" s="28"/>
      <c r="C775" s="29"/>
      <c r="D775" s="30"/>
      <c r="E775" s="28"/>
      <c r="F775" s="19"/>
      <c r="G775" s="6"/>
      <c r="H775" s="6"/>
      <c r="I775" s="6"/>
      <c r="J775" s="6"/>
      <c r="K775" s="6"/>
      <c r="L775" s="6"/>
      <c r="M775" s="6"/>
      <c r="N775" s="6"/>
      <c r="O775" s="6"/>
      <c r="P775" s="6"/>
      <c r="Q775" s="6"/>
      <c r="R775" s="6"/>
      <c r="S775" s="6"/>
      <c r="T775" s="6"/>
      <c r="U775" s="6"/>
      <c r="V775" s="6"/>
      <c r="W775" s="6"/>
      <c r="X775" s="6"/>
      <c r="Y775" s="6"/>
      <c r="Z775" s="6"/>
      <c r="AA775" s="6"/>
      <c r="AB775" s="6"/>
      <c r="AC775" s="6"/>
    </row>
    <row r="776" ht="14.25" customHeight="1">
      <c r="A776" s="28"/>
      <c r="B776" s="28"/>
      <c r="C776" s="29"/>
      <c r="D776" s="30"/>
      <c r="E776" s="28"/>
      <c r="F776" s="19"/>
      <c r="G776" s="6"/>
      <c r="H776" s="6"/>
      <c r="I776" s="6"/>
      <c r="J776" s="6"/>
      <c r="K776" s="6"/>
      <c r="L776" s="6"/>
      <c r="M776" s="6"/>
      <c r="N776" s="6"/>
      <c r="O776" s="6"/>
      <c r="P776" s="6"/>
      <c r="Q776" s="6"/>
      <c r="R776" s="6"/>
      <c r="S776" s="6"/>
      <c r="T776" s="6"/>
      <c r="U776" s="6"/>
      <c r="V776" s="6"/>
      <c r="W776" s="6"/>
      <c r="X776" s="6"/>
      <c r="Y776" s="6"/>
      <c r="Z776" s="6"/>
      <c r="AA776" s="6"/>
      <c r="AB776" s="6"/>
      <c r="AC776" s="6"/>
    </row>
    <row r="777" ht="14.25" customHeight="1">
      <c r="A777" s="28"/>
      <c r="B777" s="28"/>
      <c r="C777" s="29"/>
      <c r="D777" s="30"/>
      <c r="E777" s="28"/>
      <c r="F777" s="19"/>
      <c r="G777" s="6"/>
      <c r="H777" s="6"/>
      <c r="I777" s="6"/>
      <c r="J777" s="6"/>
      <c r="K777" s="6"/>
      <c r="L777" s="6"/>
      <c r="M777" s="6"/>
      <c r="N777" s="6"/>
      <c r="O777" s="6"/>
      <c r="P777" s="6"/>
      <c r="Q777" s="6"/>
      <c r="R777" s="6"/>
      <c r="S777" s="6"/>
      <c r="T777" s="6"/>
      <c r="U777" s="6"/>
      <c r="V777" s="6"/>
      <c r="W777" s="6"/>
      <c r="X777" s="6"/>
      <c r="Y777" s="6"/>
      <c r="Z777" s="6"/>
      <c r="AA777" s="6"/>
      <c r="AB777" s="6"/>
      <c r="AC777" s="6"/>
    </row>
    <row r="778" ht="14.25" customHeight="1">
      <c r="A778" s="28"/>
      <c r="B778" s="28"/>
      <c r="C778" s="29"/>
      <c r="D778" s="30"/>
      <c r="E778" s="28"/>
      <c r="F778" s="19"/>
      <c r="G778" s="6"/>
      <c r="H778" s="6"/>
      <c r="I778" s="6"/>
      <c r="J778" s="6"/>
      <c r="K778" s="6"/>
      <c r="L778" s="6"/>
      <c r="M778" s="6"/>
      <c r="N778" s="6"/>
      <c r="O778" s="6"/>
      <c r="P778" s="6"/>
      <c r="Q778" s="6"/>
      <c r="R778" s="6"/>
      <c r="S778" s="6"/>
      <c r="T778" s="6"/>
      <c r="U778" s="6"/>
      <c r="V778" s="6"/>
      <c r="W778" s="6"/>
      <c r="X778" s="6"/>
      <c r="Y778" s="6"/>
      <c r="Z778" s="6"/>
      <c r="AA778" s="6"/>
      <c r="AB778" s="6"/>
      <c r="AC778" s="6"/>
    </row>
    <row r="779" ht="14.25" customHeight="1">
      <c r="A779" s="28"/>
      <c r="B779" s="28"/>
      <c r="C779" s="29"/>
      <c r="D779" s="30"/>
      <c r="E779" s="28"/>
      <c r="F779" s="19"/>
      <c r="G779" s="6"/>
      <c r="H779" s="6"/>
      <c r="I779" s="6"/>
      <c r="J779" s="6"/>
      <c r="K779" s="6"/>
      <c r="L779" s="6"/>
      <c r="M779" s="6"/>
      <c r="N779" s="6"/>
      <c r="O779" s="6"/>
      <c r="P779" s="6"/>
      <c r="Q779" s="6"/>
      <c r="R779" s="6"/>
      <c r="S779" s="6"/>
      <c r="T779" s="6"/>
      <c r="U779" s="6"/>
      <c r="V779" s="6"/>
      <c r="W779" s="6"/>
      <c r="X779" s="6"/>
      <c r="Y779" s="6"/>
      <c r="Z779" s="6"/>
      <c r="AA779" s="6"/>
      <c r="AB779" s="6"/>
      <c r="AC779" s="6"/>
    </row>
    <row r="780" ht="14.25" customHeight="1">
      <c r="A780" s="28"/>
      <c r="B780" s="28"/>
      <c r="C780" s="29"/>
      <c r="D780" s="30"/>
      <c r="E780" s="28"/>
      <c r="F780" s="19"/>
      <c r="G780" s="6"/>
      <c r="H780" s="6"/>
      <c r="I780" s="6"/>
      <c r="J780" s="6"/>
      <c r="K780" s="6"/>
      <c r="L780" s="6"/>
      <c r="M780" s="6"/>
      <c r="N780" s="6"/>
      <c r="O780" s="6"/>
      <c r="P780" s="6"/>
      <c r="Q780" s="6"/>
      <c r="R780" s="6"/>
      <c r="S780" s="6"/>
      <c r="T780" s="6"/>
      <c r="U780" s="6"/>
      <c r="V780" s="6"/>
      <c r="W780" s="6"/>
      <c r="X780" s="6"/>
      <c r="Y780" s="6"/>
      <c r="Z780" s="6"/>
      <c r="AA780" s="6"/>
      <c r="AB780" s="6"/>
      <c r="AC780" s="6"/>
    </row>
    <row r="781" ht="14.25" customHeight="1">
      <c r="A781" s="28"/>
      <c r="B781" s="28"/>
      <c r="C781" s="29"/>
      <c r="D781" s="30"/>
      <c r="E781" s="28"/>
      <c r="F781" s="19"/>
      <c r="G781" s="6"/>
      <c r="H781" s="6"/>
      <c r="I781" s="6"/>
      <c r="J781" s="6"/>
      <c r="K781" s="6"/>
      <c r="L781" s="6"/>
      <c r="M781" s="6"/>
      <c r="N781" s="6"/>
      <c r="O781" s="6"/>
      <c r="P781" s="6"/>
      <c r="Q781" s="6"/>
      <c r="R781" s="6"/>
      <c r="S781" s="6"/>
      <c r="T781" s="6"/>
      <c r="U781" s="6"/>
      <c r="V781" s="6"/>
      <c r="W781" s="6"/>
      <c r="X781" s="6"/>
      <c r="Y781" s="6"/>
      <c r="Z781" s="6"/>
      <c r="AA781" s="6"/>
      <c r="AB781" s="6"/>
      <c r="AC781" s="6"/>
    </row>
    <row r="782" ht="14.25" customHeight="1">
      <c r="A782" s="28"/>
      <c r="B782" s="28"/>
      <c r="C782" s="29"/>
      <c r="D782" s="30"/>
      <c r="E782" s="28"/>
      <c r="F782" s="19"/>
      <c r="G782" s="6"/>
      <c r="H782" s="6"/>
      <c r="I782" s="6"/>
      <c r="J782" s="6"/>
      <c r="K782" s="6"/>
      <c r="L782" s="6"/>
      <c r="M782" s="6"/>
      <c r="N782" s="6"/>
      <c r="O782" s="6"/>
      <c r="P782" s="6"/>
      <c r="Q782" s="6"/>
      <c r="R782" s="6"/>
      <c r="S782" s="6"/>
      <c r="T782" s="6"/>
      <c r="U782" s="6"/>
      <c r="V782" s="6"/>
      <c r="W782" s="6"/>
      <c r="X782" s="6"/>
      <c r="Y782" s="6"/>
      <c r="Z782" s="6"/>
      <c r="AA782" s="6"/>
      <c r="AB782" s="6"/>
      <c r="AC782" s="6"/>
    </row>
    <row r="783" ht="14.25" customHeight="1">
      <c r="A783" s="28"/>
      <c r="B783" s="28"/>
      <c r="C783" s="29"/>
      <c r="D783" s="30"/>
      <c r="E783" s="28"/>
      <c r="F783" s="19"/>
      <c r="G783" s="6"/>
      <c r="H783" s="6"/>
      <c r="I783" s="6"/>
      <c r="J783" s="6"/>
      <c r="K783" s="6"/>
      <c r="L783" s="6"/>
      <c r="M783" s="6"/>
      <c r="N783" s="6"/>
      <c r="O783" s="6"/>
      <c r="P783" s="6"/>
      <c r="Q783" s="6"/>
      <c r="R783" s="6"/>
      <c r="S783" s="6"/>
      <c r="T783" s="6"/>
      <c r="U783" s="6"/>
      <c r="V783" s="6"/>
      <c r="W783" s="6"/>
      <c r="X783" s="6"/>
      <c r="Y783" s="6"/>
      <c r="Z783" s="6"/>
      <c r="AA783" s="6"/>
      <c r="AB783" s="6"/>
      <c r="AC783" s="6"/>
    </row>
    <row r="784" ht="14.25" customHeight="1">
      <c r="A784" s="28"/>
      <c r="B784" s="28"/>
      <c r="C784" s="29"/>
      <c r="D784" s="30"/>
      <c r="E784" s="28"/>
      <c r="F784" s="19"/>
      <c r="G784" s="6"/>
      <c r="H784" s="6"/>
      <c r="I784" s="6"/>
      <c r="J784" s="6"/>
      <c r="K784" s="6"/>
      <c r="L784" s="6"/>
      <c r="M784" s="6"/>
      <c r="N784" s="6"/>
      <c r="O784" s="6"/>
      <c r="P784" s="6"/>
      <c r="Q784" s="6"/>
      <c r="R784" s="6"/>
      <c r="S784" s="6"/>
      <c r="T784" s="6"/>
      <c r="U784" s="6"/>
      <c r="V784" s="6"/>
      <c r="W784" s="6"/>
      <c r="X784" s="6"/>
      <c r="Y784" s="6"/>
      <c r="Z784" s="6"/>
      <c r="AA784" s="6"/>
      <c r="AB784" s="6"/>
      <c r="AC784" s="6"/>
    </row>
    <row r="785" ht="14.25" customHeight="1">
      <c r="A785" s="28"/>
      <c r="B785" s="28"/>
      <c r="C785" s="29"/>
      <c r="D785" s="30"/>
      <c r="E785" s="28"/>
      <c r="F785" s="19"/>
      <c r="G785" s="6"/>
      <c r="H785" s="6"/>
      <c r="I785" s="6"/>
      <c r="J785" s="6"/>
      <c r="K785" s="6"/>
      <c r="L785" s="6"/>
      <c r="M785" s="6"/>
      <c r="N785" s="6"/>
      <c r="O785" s="6"/>
      <c r="P785" s="6"/>
      <c r="Q785" s="6"/>
      <c r="R785" s="6"/>
      <c r="S785" s="6"/>
      <c r="T785" s="6"/>
      <c r="U785" s="6"/>
      <c r="V785" s="6"/>
      <c r="W785" s="6"/>
      <c r="X785" s="6"/>
      <c r="Y785" s="6"/>
      <c r="Z785" s="6"/>
      <c r="AA785" s="6"/>
      <c r="AB785" s="6"/>
      <c r="AC785" s="6"/>
    </row>
    <row r="786" ht="14.25" customHeight="1">
      <c r="A786" s="28"/>
      <c r="B786" s="28"/>
      <c r="C786" s="29"/>
      <c r="D786" s="30"/>
      <c r="E786" s="28"/>
      <c r="F786" s="19"/>
      <c r="G786" s="6"/>
      <c r="H786" s="6"/>
      <c r="I786" s="6"/>
      <c r="J786" s="6"/>
      <c r="K786" s="6"/>
      <c r="L786" s="6"/>
      <c r="M786" s="6"/>
      <c r="N786" s="6"/>
      <c r="O786" s="6"/>
      <c r="P786" s="6"/>
      <c r="Q786" s="6"/>
      <c r="R786" s="6"/>
      <c r="S786" s="6"/>
      <c r="T786" s="6"/>
      <c r="U786" s="6"/>
      <c r="V786" s="6"/>
      <c r="W786" s="6"/>
      <c r="X786" s="6"/>
      <c r="Y786" s="6"/>
      <c r="Z786" s="6"/>
      <c r="AA786" s="6"/>
      <c r="AB786" s="6"/>
      <c r="AC786" s="6"/>
    </row>
    <row r="787" ht="14.25" customHeight="1">
      <c r="A787" s="28"/>
      <c r="B787" s="28"/>
      <c r="C787" s="29"/>
      <c r="D787" s="30"/>
      <c r="E787" s="28"/>
      <c r="F787" s="19"/>
      <c r="G787" s="6"/>
      <c r="H787" s="6"/>
      <c r="I787" s="6"/>
      <c r="J787" s="6"/>
      <c r="K787" s="6"/>
      <c r="L787" s="6"/>
      <c r="M787" s="6"/>
      <c r="N787" s="6"/>
      <c r="O787" s="6"/>
      <c r="P787" s="6"/>
      <c r="Q787" s="6"/>
      <c r="R787" s="6"/>
      <c r="S787" s="6"/>
      <c r="T787" s="6"/>
      <c r="U787" s="6"/>
      <c r="V787" s="6"/>
      <c r="W787" s="6"/>
      <c r="X787" s="6"/>
      <c r="Y787" s="6"/>
      <c r="Z787" s="6"/>
      <c r="AA787" s="6"/>
      <c r="AB787" s="6"/>
      <c r="AC787" s="6"/>
    </row>
    <row r="788" ht="14.25" customHeight="1">
      <c r="A788" s="28"/>
      <c r="B788" s="28"/>
      <c r="C788" s="29"/>
      <c r="D788" s="30"/>
      <c r="E788" s="28"/>
      <c r="F788" s="19"/>
      <c r="G788" s="6"/>
      <c r="H788" s="6"/>
      <c r="I788" s="6"/>
      <c r="J788" s="6"/>
      <c r="K788" s="6"/>
      <c r="L788" s="6"/>
      <c r="M788" s="6"/>
      <c r="N788" s="6"/>
      <c r="O788" s="6"/>
      <c r="P788" s="6"/>
      <c r="Q788" s="6"/>
      <c r="R788" s="6"/>
      <c r="S788" s="6"/>
      <c r="T788" s="6"/>
      <c r="U788" s="6"/>
      <c r="V788" s="6"/>
      <c r="W788" s="6"/>
      <c r="X788" s="6"/>
      <c r="Y788" s="6"/>
      <c r="Z788" s="6"/>
      <c r="AA788" s="6"/>
      <c r="AB788" s="6"/>
      <c r="AC788" s="6"/>
    </row>
    <row r="789" ht="14.25" customHeight="1">
      <c r="A789" s="28"/>
      <c r="B789" s="28"/>
      <c r="C789" s="29"/>
      <c r="D789" s="30"/>
      <c r="E789" s="28"/>
      <c r="F789" s="19"/>
      <c r="G789" s="6"/>
      <c r="H789" s="6"/>
      <c r="I789" s="6"/>
      <c r="J789" s="6"/>
      <c r="K789" s="6"/>
      <c r="L789" s="6"/>
      <c r="M789" s="6"/>
      <c r="N789" s="6"/>
      <c r="O789" s="6"/>
      <c r="P789" s="6"/>
      <c r="Q789" s="6"/>
      <c r="R789" s="6"/>
      <c r="S789" s="6"/>
      <c r="T789" s="6"/>
      <c r="U789" s="6"/>
      <c r="V789" s="6"/>
      <c r="W789" s="6"/>
      <c r="X789" s="6"/>
      <c r="Y789" s="6"/>
      <c r="Z789" s="6"/>
      <c r="AA789" s="6"/>
      <c r="AB789" s="6"/>
      <c r="AC789" s="6"/>
    </row>
    <row r="790" ht="14.25" customHeight="1">
      <c r="A790" s="28"/>
      <c r="B790" s="28"/>
      <c r="C790" s="29"/>
      <c r="D790" s="30"/>
      <c r="E790" s="28"/>
      <c r="F790" s="19"/>
      <c r="G790" s="6"/>
      <c r="H790" s="6"/>
      <c r="I790" s="6"/>
      <c r="J790" s="6"/>
      <c r="K790" s="6"/>
      <c r="L790" s="6"/>
      <c r="M790" s="6"/>
      <c r="N790" s="6"/>
      <c r="O790" s="6"/>
      <c r="P790" s="6"/>
      <c r="Q790" s="6"/>
      <c r="R790" s="6"/>
      <c r="S790" s="6"/>
      <c r="T790" s="6"/>
      <c r="U790" s="6"/>
      <c r="V790" s="6"/>
      <c r="W790" s="6"/>
      <c r="X790" s="6"/>
      <c r="Y790" s="6"/>
      <c r="Z790" s="6"/>
      <c r="AA790" s="6"/>
      <c r="AB790" s="6"/>
      <c r="AC790" s="6"/>
    </row>
    <row r="791" ht="14.25" customHeight="1">
      <c r="A791" s="28"/>
      <c r="B791" s="28"/>
      <c r="C791" s="29"/>
      <c r="D791" s="30"/>
      <c r="E791" s="28"/>
      <c r="F791" s="19"/>
      <c r="G791" s="6"/>
      <c r="H791" s="6"/>
      <c r="I791" s="6"/>
      <c r="J791" s="6"/>
      <c r="K791" s="6"/>
      <c r="L791" s="6"/>
      <c r="M791" s="6"/>
      <c r="N791" s="6"/>
      <c r="O791" s="6"/>
      <c r="P791" s="6"/>
      <c r="Q791" s="6"/>
      <c r="R791" s="6"/>
      <c r="S791" s="6"/>
      <c r="T791" s="6"/>
      <c r="U791" s="6"/>
      <c r="V791" s="6"/>
      <c r="W791" s="6"/>
      <c r="X791" s="6"/>
      <c r="Y791" s="6"/>
      <c r="Z791" s="6"/>
      <c r="AA791" s="6"/>
      <c r="AB791" s="6"/>
      <c r="AC791" s="6"/>
    </row>
    <row r="792" ht="14.25" customHeight="1">
      <c r="A792" s="28"/>
      <c r="B792" s="28"/>
      <c r="C792" s="29"/>
      <c r="D792" s="30"/>
      <c r="E792" s="28"/>
      <c r="F792" s="19"/>
      <c r="G792" s="6"/>
      <c r="H792" s="6"/>
      <c r="I792" s="6"/>
      <c r="J792" s="6"/>
      <c r="K792" s="6"/>
      <c r="L792" s="6"/>
      <c r="M792" s="6"/>
      <c r="N792" s="6"/>
      <c r="O792" s="6"/>
      <c r="P792" s="6"/>
      <c r="Q792" s="6"/>
      <c r="R792" s="6"/>
      <c r="S792" s="6"/>
      <c r="T792" s="6"/>
      <c r="U792" s="6"/>
      <c r="V792" s="6"/>
      <c r="W792" s="6"/>
      <c r="X792" s="6"/>
      <c r="Y792" s="6"/>
      <c r="Z792" s="6"/>
      <c r="AA792" s="6"/>
      <c r="AB792" s="6"/>
      <c r="AC792" s="6"/>
    </row>
    <row r="793" ht="14.25" customHeight="1">
      <c r="A793" s="28"/>
      <c r="B793" s="28"/>
      <c r="C793" s="29"/>
      <c r="D793" s="30"/>
      <c r="E793" s="28"/>
      <c r="F793" s="19"/>
      <c r="G793" s="6"/>
      <c r="H793" s="6"/>
      <c r="I793" s="6"/>
      <c r="J793" s="6"/>
      <c r="K793" s="6"/>
      <c r="L793" s="6"/>
      <c r="M793" s="6"/>
      <c r="N793" s="6"/>
      <c r="O793" s="6"/>
      <c r="P793" s="6"/>
      <c r="Q793" s="6"/>
      <c r="R793" s="6"/>
      <c r="S793" s="6"/>
      <c r="T793" s="6"/>
      <c r="U793" s="6"/>
      <c r="V793" s="6"/>
      <c r="W793" s="6"/>
      <c r="X793" s="6"/>
      <c r="Y793" s="6"/>
      <c r="Z793" s="6"/>
      <c r="AA793" s="6"/>
      <c r="AB793" s="6"/>
      <c r="AC793" s="6"/>
    </row>
    <row r="794" ht="14.25" customHeight="1">
      <c r="A794" s="28"/>
      <c r="B794" s="28"/>
      <c r="C794" s="29"/>
      <c r="D794" s="30"/>
      <c r="E794" s="28"/>
      <c r="F794" s="19"/>
      <c r="G794" s="6"/>
      <c r="H794" s="6"/>
      <c r="I794" s="6"/>
      <c r="J794" s="6"/>
      <c r="K794" s="6"/>
      <c r="L794" s="6"/>
      <c r="M794" s="6"/>
      <c r="N794" s="6"/>
      <c r="O794" s="6"/>
      <c r="P794" s="6"/>
      <c r="Q794" s="6"/>
      <c r="R794" s="6"/>
      <c r="S794" s="6"/>
      <c r="T794" s="6"/>
      <c r="U794" s="6"/>
      <c r="V794" s="6"/>
      <c r="W794" s="6"/>
      <c r="X794" s="6"/>
      <c r="Y794" s="6"/>
      <c r="Z794" s="6"/>
      <c r="AA794" s="6"/>
      <c r="AB794" s="6"/>
      <c r="AC794" s="6"/>
    </row>
    <row r="795" ht="14.25" customHeight="1">
      <c r="A795" s="28"/>
      <c r="B795" s="28"/>
      <c r="C795" s="29"/>
      <c r="D795" s="30"/>
      <c r="E795" s="28"/>
      <c r="F795" s="19"/>
      <c r="G795" s="6"/>
      <c r="H795" s="6"/>
      <c r="I795" s="6"/>
      <c r="J795" s="6"/>
      <c r="K795" s="6"/>
      <c r="L795" s="6"/>
      <c r="M795" s="6"/>
      <c r="N795" s="6"/>
      <c r="O795" s="6"/>
      <c r="P795" s="6"/>
      <c r="Q795" s="6"/>
      <c r="R795" s="6"/>
      <c r="S795" s="6"/>
      <c r="T795" s="6"/>
      <c r="U795" s="6"/>
      <c r="V795" s="6"/>
      <c r="W795" s="6"/>
      <c r="X795" s="6"/>
      <c r="Y795" s="6"/>
      <c r="Z795" s="6"/>
      <c r="AA795" s="6"/>
      <c r="AB795" s="6"/>
      <c r="AC795" s="6"/>
    </row>
    <row r="796" ht="14.25" customHeight="1">
      <c r="A796" s="28"/>
      <c r="B796" s="28"/>
      <c r="C796" s="29"/>
      <c r="D796" s="30"/>
      <c r="E796" s="28"/>
      <c r="F796" s="19"/>
      <c r="G796" s="6"/>
      <c r="H796" s="6"/>
      <c r="I796" s="6"/>
      <c r="J796" s="6"/>
      <c r="K796" s="6"/>
      <c r="L796" s="6"/>
      <c r="M796" s="6"/>
      <c r="N796" s="6"/>
      <c r="O796" s="6"/>
      <c r="P796" s="6"/>
      <c r="Q796" s="6"/>
      <c r="R796" s="6"/>
      <c r="S796" s="6"/>
      <c r="T796" s="6"/>
      <c r="U796" s="6"/>
      <c r="V796" s="6"/>
      <c r="W796" s="6"/>
      <c r="X796" s="6"/>
      <c r="Y796" s="6"/>
      <c r="Z796" s="6"/>
      <c r="AA796" s="6"/>
      <c r="AB796" s="6"/>
      <c r="AC796" s="6"/>
    </row>
    <row r="797" ht="14.25" customHeight="1">
      <c r="A797" s="28"/>
      <c r="B797" s="28"/>
      <c r="C797" s="29"/>
      <c r="D797" s="30"/>
      <c r="E797" s="28"/>
      <c r="F797" s="19"/>
      <c r="G797" s="6"/>
      <c r="H797" s="6"/>
      <c r="I797" s="6"/>
      <c r="J797" s="6"/>
      <c r="K797" s="6"/>
      <c r="L797" s="6"/>
      <c r="M797" s="6"/>
      <c r="N797" s="6"/>
      <c r="O797" s="6"/>
      <c r="P797" s="6"/>
      <c r="Q797" s="6"/>
      <c r="R797" s="6"/>
      <c r="S797" s="6"/>
      <c r="T797" s="6"/>
      <c r="U797" s="6"/>
      <c r="V797" s="6"/>
      <c r="W797" s="6"/>
      <c r="X797" s="6"/>
      <c r="Y797" s="6"/>
      <c r="Z797" s="6"/>
      <c r="AA797" s="6"/>
      <c r="AB797" s="6"/>
      <c r="AC797" s="6"/>
    </row>
    <row r="798" ht="14.25" customHeight="1">
      <c r="A798" s="28"/>
      <c r="B798" s="28"/>
      <c r="C798" s="29"/>
      <c r="D798" s="30"/>
      <c r="E798" s="28"/>
      <c r="F798" s="19"/>
      <c r="G798" s="6"/>
      <c r="H798" s="6"/>
      <c r="I798" s="6"/>
      <c r="J798" s="6"/>
      <c r="K798" s="6"/>
      <c r="L798" s="6"/>
      <c r="M798" s="6"/>
      <c r="N798" s="6"/>
      <c r="O798" s="6"/>
      <c r="P798" s="6"/>
      <c r="Q798" s="6"/>
      <c r="R798" s="6"/>
      <c r="S798" s="6"/>
      <c r="T798" s="6"/>
      <c r="U798" s="6"/>
      <c r="V798" s="6"/>
      <c r="W798" s="6"/>
      <c r="X798" s="6"/>
      <c r="Y798" s="6"/>
      <c r="Z798" s="6"/>
      <c r="AA798" s="6"/>
      <c r="AB798" s="6"/>
      <c r="AC798" s="6"/>
    </row>
    <row r="799" ht="14.25" customHeight="1">
      <c r="A799" s="28"/>
      <c r="B799" s="28"/>
      <c r="C799" s="29"/>
      <c r="D799" s="30"/>
      <c r="E799" s="28"/>
      <c r="F799" s="19"/>
      <c r="G799" s="6"/>
      <c r="H799" s="6"/>
      <c r="I799" s="6"/>
      <c r="J799" s="6"/>
      <c r="K799" s="6"/>
      <c r="L799" s="6"/>
      <c r="M799" s="6"/>
      <c r="N799" s="6"/>
      <c r="O799" s="6"/>
      <c r="P799" s="6"/>
      <c r="Q799" s="6"/>
      <c r="R799" s="6"/>
      <c r="S799" s="6"/>
      <c r="T799" s="6"/>
      <c r="U799" s="6"/>
      <c r="V799" s="6"/>
      <c r="W799" s="6"/>
      <c r="X799" s="6"/>
      <c r="Y799" s="6"/>
      <c r="Z799" s="6"/>
      <c r="AA799" s="6"/>
      <c r="AB799" s="6"/>
      <c r="AC799" s="6"/>
    </row>
    <row r="800" ht="14.25" customHeight="1">
      <c r="A800" s="28"/>
      <c r="B800" s="28"/>
      <c r="C800" s="29"/>
      <c r="D800" s="30"/>
      <c r="E800" s="28"/>
      <c r="F800" s="19"/>
      <c r="G800" s="6"/>
      <c r="H800" s="6"/>
      <c r="I800" s="6"/>
      <c r="J800" s="6"/>
      <c r="K800" s="6"/>
      <c r="L800" s="6"/>
      <c r="M800" s="6"/>
      <c r="N800" s="6"/>
      <c r="O800" s="6"/>
      <c r="P800" s="6"/>
      <c r="Q800" s="6"/>
      <c r="R800" s="6"/>
      <c r="S800" s="6"/>
      <c r="T800" s="6"/>
      <c r="U800" s="6"/>
      <c r="V800" s="6"/>
      <c r="W800" s="6"/>
      <c r="X800" s="6"/>
      <c r="Y800" s="6"/>
      <c r="Z800" s="6"/>
      <c r="AA800" s="6"/>
      <c r="AB800" s="6"/>
      <c r="AC800" s="6"/>
    </row>
    <row r="801" ht="14.25" customHeight="1">
      <c r="A801" s="28"/>
      <c r="B801" s="28"/>
      <c r="C801" s="29"/>
      <c r="D801" s="30"/>
      <c r="E801" s="28"/>
      <c r="F801" s="19"/>
      <c r="G801" s="6"/>
      <c r="H801" s="6"/>
      <c r="I801" s="6"/>
      <c r="J801" s="6"/>
      <c r="K801" s="6"/>
      <c r="L801" s="6"/>
      <c r="M801" s="6"/>
      <c r="N801" s="6"/>
      <c r="O801" s="6"/>
      <c r="P801" s="6"/>
      <c r="Q801" s="6"/>
      <c r="R801" s="6"/>
      <c r="S801" s="6"/>
      <c r="T801" s="6"/>
      <c r="U801" s="6"/>
      <c r="V801" s="6"/>
      <c r="W801" s="6"/>
      <c r="X801" s="6"/>
      <c r="Y801" s="6"/>
      <c r="Z801" s="6"/>
      <c r="AA801" s="6"/>
      <c r="AB801" s="6"/>
      <c r="AC801" s="6"/>
    </row>
    <row r="802" ht="14.25" customHeight="1">
      <c r="A802" s="28"/>
      <c r="B802" s="28"/>
      <c r="C802" s="29"/>
      <c r="D802" s="30"/>
      <c r="E802" s="28"/>
      <c r="F802" s="19"/>
      <c r="G802" s="6"/>
      <c r="H802" s="6"/>
      <c r="I802" s="6"/>
      <c r="J802" s="6"/>
      <c r="K802" s="6"/>
      <c r="L802" s="6"/>
      <c r="M802" s="6"/>
      <c r="N802" s="6"/>
      <c r="O802" s="6"/>
      <c r="P802" s="6"/>
      <c r="Q802" s="6"/>
      <c r="R802" s="6"/>
      <c r="S802" s="6"/>
      <c r="T802" s="6"/>
      <c r="U802" s="6"/>
      <c r="V802" s="6"/>
      <c r="W802" s="6"/>
      <c r="X802" s="6"/>
      <c r="Y802" s="6"/>
      <c r="Z802" s="6"/>
      <c r="AA802" s="6"/>
      <c r="AB802" s="6"/>
      <c r="AC802" s="6"/>
    </row>
    <row r="803" ht="14.25" customHeight="1">
      <c r="A803" s="28"/>
      <c r="B803" s="28"/>
      <c r="C803" s="29"/>
      <c r="D803" s="30"/>
      <c r="E803" s="28"/>
      <c r="F803" s="19"/>
      <c r="G803" s="6"/>
      <c r="H803" s="6"/>
      <c r="I803" s="6"/>
      <c r="J803" s="6"/>
      <c r="K803" s="6"/>
      <c r="L803" s="6"/>
      <c r="M803" s="6"/>
      <c r="N803" s="6"/>
      <c r="O803" s="6"/>
      <c r="P803" s="6"/>
      <c r="Q803" s="6"/>
      <c r="R803" s="6"/>
      <c r="S803" s="6"/>
      <c r="T803" s="6"/>
      <c r="U803" s="6"/>
      <c r="V803" s="6"/>
      <c r="W803" s="6"/>
      <c r="X803" s="6"/>
      <c r="Y803" s="6"/>
      <c r="Z803" s="6"/>
      <c r="AA803" s="6"/>
      <c r="AB803" s="6"/>
      <c r="AC803" s="6"/>
    </row>
    <row r="804" ht="14.25" customHeight="1">
      <c r="A804" s="28"/>
      <c r="B804" s="28"/>
      <c r="C804" s="29"/>
      <c r="D804" s="30"/>
      <c r="E804" s="28"/>
      <c r="F804" s="19"/>
      <c r="G804" s="6"/>
      <c r="H804" s="6"/>
      <c r="I804" s="6"/>
      <c r="J804" s="6"/>
      <c r="K804" s="6"/>
      <c r="L804" s="6"/>
      <c r="M804" s="6"/>
      <c r="N804" s="6"/>
      <c r="O804" s="6"/>
      <c r="P804" s="6"/>
      <c r="Q804" s="6"/>
      <c r="R804" s="6"/>
      <c r="S804" s="6"/>
      <c r="T804" s="6"/>
      <c r="U804" s="6"/>
      <c r="V804" s="6"/>
      <c r="W804" s="6"/>
      <c r="X804" s="6"/>
      <c r="Y804" s="6"/>
      <c r="Z804" s="6"/>
      <c r="AA804" s="6"/>
      <c r="AB804" s="6"/>
      <c r="AC804" s="6"/>
    </row>
    <row r="805" ht="14.25" customHeight="1">
      <c r="A805" s="28"/>
      <c r="B805" s="28"/>
      <c r="C805" s="29"/>
      <c r="D805" s="30"/>
      <c r="E805" s="28"/>
      <c r="F805" s="19"/>
      <c r="G805" s="6"/>
      <c r="H805" s="6"/>
      <c r="I805" s="6"/>
      <c r="J805" s="6"/>
      <c r="K805" s="6"/>
      <c r="L805" s="6"/>
      <c r="M805" s="6"/>
      <c r="N805" s="6"/>
      <c r="O805" s="6"/>
      <c r="P805" s="6"/>
      <c r="Q805" s="6"/>
      <c r="R805" s="6"/>
      <c r="S805" s="6"/>
      <c r="T805" s="6"/>
      <c r="U805" s="6"/>
      <c r="V805" s="6"/>
      <c r="W805" s="6"/>
      <c r="X805" s="6"/>
      <c r="Y805" s="6"/>
      <c r="Z805" s="6"/>
      <c r="AA805" s="6"/>
      <c r="AB805" s="6"/>
      <c r="AC805" s="6"/>
    </row>
    <row r="806" ht="14.25" customHeight="1">
      <c r="A806" s="28"/>
      <c r="B806" s="28"/>
      <c r="C806" s="29"/>
      <c r="D806" s="30"/>
      <c r="E806" s="28"/>
      <c r="F806" s="19"/>
      <c r="G806" s="6"/>
      <c r="H806" s="6"/>
      <c r="I806" s="6"/>
      <c r="J806" s="6"/>
      <c r="K806" s="6"/>
      <c r="L806" s="6"/>
      <c r="M806" s="6"/>
      <c r="N806" s="6"/>
      <c r="O806" s="6"/>
      <c r="P806" s="6"/>
      <c r="Q806" s="6"/>
      <c r="R806" s="6"/>
      <c r="S806" s="6"/>
      <c r="T806" s="6"/>
      <c r="U806" s="6"/>
      <c r="V806" s="6"/>
      <c r="W806" s="6"/>
      <c r="X806" s="6"/>
      <c r="Y806" s="6"/>
      <c r="Z806" s="6"/>
      <c r="AA806" s="6"/>
      <c r="AB806" s="6"/>
      <c r="AC806" s="6"/>
    </row>
    <row r="807" ht="14.25" customHeight="1">
      <c r="A807" s="28"/>
      <c r="B807" s="28"/>
      <c r="C807" s="29"/>
      <c r="D807" s="30"/>
      <c r="E807" s="28"/>
      <c r="F807" s="19"/>
      <c r="G807" s="6"/>
      <c r="H807" s="6"/>
      <c r="I807" s="6"/>
      <c r="J807" s="6"/>
      <c r="K807" s="6"/>
      <c r="L807" s="6"/>
      <c r="M807" s="6"/>
      <c r="N807" s="6"/>
      <c r="O807" s="6"/>
      <c r="P807" s="6"/>
      <c r="Q807" s="6"/>
      <c r="R807" s="6"/>
      <c r="S807" s="6"/>
      <c r="T807" s="6"/>
      <c r="U807" s="6"/>
      <c r="V807" s="6"/>
      <c r="W807" s="6"/>
      <c r="X807" s="6"/>
      <c r="Y807" s="6"/>
      <c r="Z807" s="6"/>
      <c r="AA807" s="6"/>
      <c r="AB807" s="6"/>
      <c r="AC807" s="6"/>
    </row>
    <row r="808" ht="14.25" customHeight="1">
      <c r="A808" s="28"/>
      <c r="B808" s="28"/>
      <c r="C808" s="29"/>
      <c r="D808" s="30"/>
      <c r="E808" s="28"/>
      <c r="F808" s="19"/>
      <c r="G808" s="6"/>
      <c r="H808" s="6"/>
      <c r="I808" s="6"/>
      <c r="J808" s="6"/>
      <c r="K808" s="6"/>
      <c r="L808" s="6"/>
      <c r="M808" s="6"/>
      <c r="N808" s="6"/>
      <c r="O808" s="6"/>
      <c r="P808" s="6"/>
      <c r="Q808" s="6"/>
      <c r="R808" s="6"/>
      <c r="S808" s="6"/>
      <c r="T808" s="6"/>
      <c r="U808" s="6"/>
      <c r="V808" s="6"/>
      <c r="W808" s="6"/>
      <c r="X808" s="6"/>
      <c r="Y808" s="6"/>
      <c r="Z808" s="6"/>
      <c r="AA808" s="6"/>
      <c r="AB808" s="6"/>
      <c r="AC808" s="6"/>
    </row>
    <row r="809" ht="14.25" customHeight="1">
      <c r="A809" s="28"/>
      <c r="B809" s="28"/>
      <c r="C809" s="29"/>
      <c r="D809" s="30"/>
      <c r="E809" s="28"/>
      <c r="F809" s="19"/>
      <c r="G809" s="6"/>
      <c r="H809" s="6"/>
      <c r="I809" s="6"/>
      <c r="J809" s="6"/>
      <c r="K809" s="6"/>
      <c r="L809" s="6"/>
      <c r="M809" s="6"/>
      <c r="N809" s="6"/>
      <c r="O809" s="6"/>
      <c r="P809" s="6"/>
      <c r="Q809" s="6"/>
      <c r="R809" s="6"/>
      <c r="S809" s="6"/>
      <c r="T809" s="6"/>
      <c r="U809" s="6"/>
      <c r="V809" s="6"/>
      <c r="W809" s="6"/>
      <c r="X809" s="6"/>
      <c r="Y809" s="6"/>
      <c r="Z809" s="6"/>
      <c r="AA809" s="6"/>
      <c r="AB809" s="6"/>
      <c r="AC809" s="6"/>
    </row>
    <row r="810" ht="14.25" customHeight="1">
      <c r="A810" s="28"/>
      <c r="B810" s="28"/>
      <c r="C810" s="29"/>
      <c r="D810" s="30"/>
      <c r="E810" s="28"/>
      <c r="F810" s="19"/>
      <c r="G810" s="6"/>
      <c r="H810" s="6"/>
      <c r="I810" s="6"/>
      <c r="J810" s="6"/>
      <c r="K810" s="6"/>
      <c r="L810" s="6"/>
      <c r="M810" s="6"/>
      <c r="N810" s="6"/>
      <c r="O810" s="6"/>
      <c r="P810" s="6"/>
      <c r="Q810" s="6"/>
      <c r="R810" s="6"/>
      <c r="S810" s="6"/>
      <c r="T810" s="6"/>
      <c r="U810" s="6"/>
      <c r="V810" s="6"/>
      <c r="W810" s="6"/>
      <c r="X810" s="6"/>
      <c r="Y810" s="6"/>
      <c r="Z810" s="6"/>
      <c r="AA810" s="6"/>
      <c r="AB810" s="6"/>
      <c r="AC810" s="6"/>
    </row>
    <row r="811" ht="14.25" customHeight="1">
      <c r="A811" s="28"/>
      <c r="B811" s="28"/>
      <c r="C811" s="29"/>
      <c r="D811" s="30"/>
      <c r="E811" s="28"/>
      <c r="F811" s="19"/>
      <c r="G811" s="6"/>
      <c r="H811" s="6"/>
      <c r="I811" s="6"/>
      <c r="J811" s="6"/>
      <c r="K811" s="6"/>
      <c r="L811" s="6"/>
      <c r="M811" s="6"/>
      <c r="N811" s="6"/>
      <c r="O811" s="6"/>
      <c r="P811" s="6"/>
      <c r="Q811" s="6"/>
      <c r="R811" s="6"/>
      <c r="S811" s="6"/>
      <c r="T811" s="6"/>
      <c r="U811" s="6"/>
      <c r="V811" s="6"/>
      <c r="W811" s="6"/>
      <c r="X811" s="6"/>
      <c r="Y811" s="6"/>
      <c r="Z811" s="6"/>
      <c r="AA811" s="6"/>
      <c r="AB811" s="6"/>
      <c r="AC811" s="6"/>
    </row>
    <row r="812" ht="14.25" customHeight="1">
      <c r="A812" s="28"/>
      <c r="B812" s="28"/>
      <c r="C812" s="29"/>
      <c r="D812" s="30"/>
      <c r="E812" s="28"/>
      <c r="F812" s="19"/>
      <c r="G812" s="6"/>
      <c r="H812" s="6"/>
      <c r="I812" s="6"/>
      <c r="J812" s="6"/>
      <c r="K812" s="6"/>
      <c r="L812" s="6"/>
      <c r="M812" s="6"/>
      <c r="N812" s="6"/>
      <c r="O812" s="6"/>
      <c r="P812" s="6"/>
      <c r="Q812" s="6"/>
      <c r="R812" s="6"/>
      <c r="S812" s="6"/>
      <c r="T812" s="6"/>
      <c r="U812" s="6"/>
      <c r="V812" s="6"/>
      <c r="W812" s="6"/>
      <c r="X812" s="6"/>
      <c r="Y812" s="6"/>
      <c r="Z812" s="6"/>
      <c r="AA812" s="6"/>
      <c r="AB812" s="6"/>
      <c r="AC812" s="6"/>
    </row>
    <row r="813" ht="14.25" customHeight="1">
      <c r="A813" s="28"/>
      <c r="B813" s="28"/>
      <c r="C813" s="29"/>
      <c r="D813" s="30"/>
      <c r="E813" s="28"/>
      <c r="F813" s="19"/>
      <c r="G813" s="6"/>
      <c r="H813" s="6"/>
      <c r="I813" s="6"/>
      <c r="J813" s="6"/>
      <c r="K813" s="6"/>
      <c r="L813" s="6"/>
      <c r="M813" s="6"/>
      <c r="N813" s="6"/>
      <c r="O813" s="6"/>
      <c r="P813" s="6"/>
      <c r="Q813" s="6"/>
      <c r="R813" s="6"/>
      <c r="S813" s="6"/>
      <c r="T813" s="6"/>
      <c r="U813" s="6"/>
      <c r="V813" s="6"/>
      <c r="W813" s="6"/>
      <c r="X813" s="6"/>
      <c r="Y813" s="6"/>
      <c r="Z813" s="6"/>
      <c r="AA813" s="6"/>
      <c r="AB813" s="6"/>
      <c r="AC813" s="6"/>
    </row>
    <row r="814" ht="14.25" customHeight="1">
      <c r="A814" s="28"/>
      <c r="B814" s="28"/>
      <c r="C814" s="29"/>
      <c r="D814" s="30"/>
      <c r="E814" s="28"/>
      <c r="F814" s="19"/>
      <c r="G814" s="6"/>
      <c r="H814" s="6"/>
      <c r="I814" s="6"/>
      <c r="J814" s="6"/>
      <c r="K814" s="6"/>
      <c r="L814" s="6"/>
      <c r="M814" s="6"/>
      <c r="N814" s="6"/>
      <c r="O814" s="6"/>
      <c r="P814" s="6"/>
      <c r="Q814" s="6"/>
      <c r="R814" s="6"/>
      <c r="S814" s="6"/>
      <c r="T814" s="6"/>
      <c r="U814" s="6"/>
      <c r="V814" s="6"/>
      <c r="W814" s="6"/>
      <c r="X814" s="6"/>
      <c r="Y814" s="6"/>
      <c r="Z814" s="6"/>
      <c r="AA814" s="6"/>
      <c r="AB814" s="6"/>
      <c r="AC814" s="6"/>
    </row>
    <row r="815" ht="14.25" customHeight="1">
      <c r="A815" s="28"/>
      <c r="B815" s="28"/>
      <c r="C815" s="29"/>
      <c r="D815" s="30"/>
      <c r="E815" s="28"/>
      <c r="F815" s="19"/>
      <c r="G815" s="6"/>
      <c r="H815" s="6"/>
      <c r="I815" s="6"/>
      <c r="J815" s="6"/>
      <c r="K815" s="6"/>
      <c r="L815" s="6"/>
      <c r="M815" s="6"/>
      <c r="N815" s="6"/>
      <c r="O815" s="6"/>
      <c r="P815" s="6"/>
      <c r="Q815" s="6"/>
      <c r="R815" s="6"/>
      <c r="S815" s="6"/>
      <c r="T815" s="6"/>
      <c r="U815" s="6"/>
      <c r="V815" s="6"/>
      <c r="W815" s="6"/>
      <c r="X815" s="6"/>
      <c r="Y815" s="6"/>
      <c r="Z815" s="6"/>
      <c r="AA815" s="6"/>
      <c r="AB815" s="6"/>
      <c r="AC815" s="6"/>
    </row>
    <row r="816" ht="14.25" customHeight="1">
      <c r="A816" s="28"/>
      <c r="B816" s="28"/>
      <c r="C816" s="29"/>
      <c r="D816" s="30"/>
      <c r="E816" s="28"/>
      <c r="F816" s="19"/>
      <c r="G816" s="6"/>
      <c r="H816" s="6"/>
      <c r="I816" s="6"/>
      <c r="J816" s="6"/>
      <c r="K816" s="6"/>
      <c r="L816" s="6"/>
      <c r="M816" s="6"/>
      <c r="N816" s="6"/>
      <c r="O816" s="6"/>
      <c r="P816" s="6"/>
      <c r="Q816" s="6"/>
      <c r="R816" s="6"/>
      <c r="S816" s="6"/>
      <c r="T816" s="6"/>
      <c r="U816" s="6"/>
      <c r="V816" s="6"/>
      <c r="W816" s="6"/>
      <c r="X816" s="6"/>
      <c r="Y816" s="6"/>
      <c r="Z816" s="6"/>
      <c r="AA816" s="6"/>
      <c r="AB816" s="6"/>
      <c r="AC816" s="6"/>
    </row>
    <row r="817" ht="14.25" customHeight="1">
      <c r="A817" s="28"/>
      <c r="B817" s="28"/>
      <c r="C817" s="29"/>
      <c r="D817" s="30"/>
      <c r="E817" s="28"/>
      <c r="F817" s="19"/>
      <c r="G817" s="6"/>
      <c r="H817" s="6"/>
      <c r="I817" s="6"/>
      <c r="J817" s="6"/>
      <c r="K817" s="6"/>
      <c r="L817" s="6"/>
      <c r="M817" s="6"/>
      <c r="N817" s="6"/>
      <c r="O817" s="6"/>
      <c r="P817" s="6"/>
      <c r="Q817" s="6"/>
      <c r="R817" s="6"/>
      <c r="S817" s="6"/>
      <c r="T817" s="6"/>
      <c r="U817" s="6"/>
      <c r="V817" s="6"/>
      <c r="W817" s="6"/>
      <c r="X817" s="6"/>
      <c r="Y817" s="6"/>
      <c r="Z817" s="6"/>
      <c r="AA817" s="6"/>
      <c r="AB817" s="6"/>
      <c r="AC817" s="6"/>
    </row>
    <row r="818" ht="14.25" customHeight="1">
      <c r="A818" s="28"/>
      <c r="B818" s="28"/>
      <c r="C818" s="29"/>
      <c r="D818" s="30"/>
      <c r="E818" s="28"/>
      <c r="F818" s="19"/>
      <c r="G818" s="6"/>
      <c r="H818" s="6"/>
      <c r="I818" s="6"/>
      <c r="J818" s="6"/>
      <c r="K818" s="6"/>
      <c r="L818" s="6"/>
      <c r="M818" s="6"/>
      <c r="N818" s="6"/>
      <c r="O818" s="6"/>
      <c r="P818" s="6"/>
      <c r="Q818" s="6"/>
      <c r="R818" s="6"/>
      <c r="S818" s="6"/>
      <c r="T818" s="6"/>
      <c r="U818" s="6"/>
      <c r="V818" s="6"/>
      <c r="W818" s="6"/>
      <c r="X818" s="6"/>
      <c r="Y818" s="6"/>
      <c r="Z818" s="6"/>
      <c r="AA818" s="6"/>
      <c r="AB818" s="6"/>
      <c r="AC818" s="6"/>
    </row>
    <row r="819" ht="14.25" customHeight="1">
      <c r="A819" s="28"/>
      <c r="B819" s="28"/>
      <c r="C819" s="29"/>
      <c r="D819" s="30"/>
      <c r="E819" s="28"/>
      <c r="F819" s="19"/>
      <c r="G819" s="6"/>
      <c r="H819" s="6"/>
      <c r="I819" s="6"/>
      <c r="J819" s="6"/>
      <c r="K819" s="6"/>
      <c r="L819" s="6"/>
      <c r="M819" s="6"/>
      <c r="N819" s="6"/>
      <c r="O819" s="6"/>
      <c r="P819" s="6"/>
      <c r="Q819" s="6"/>
      <c r="R819" s="6"/>
      <c r="S819" s="6"/>
      <c r="T819" s="6"/>
      <c r="U819" s="6"/>
      <c r="V819" s="6"/>
      <c r="W819" s="6"/>
      <c r="X819" s="6"/>
      <c r="Y819" s="6"/>
      <c r="Z819" s="6"/>
      <c r="AA819" s="6"/>
      <c r="AB819" s="6"/>
      <c r="AC819" s="6"/>
    </row>
    <row r="820" ht="14.25" customHeight="1">
      <c r="A820" s="28"/>
      <c r="B820" s="28"/>
      <c r="C820" s="29"/>
      <c r="D820" s="30"/>
      <c r="E820" s="28"/>
      <c r="F820" s="19"/>
      <c r="G820" s="6"/>
      <c r="H820" s="6"/>
      <c r="I820" s="6"/>
      <c r="J820" s="6"/>
      <c r="K820" s="6"/>
      <c r="L820" s="6"/>
      <c r="M820" s="6"/>
      <c r="N820" s="6"/>
      <c r="O820" s="6"/>
      <c r="P820" s="6"/>
      <c r="Q820" s="6"/>
      <c r="R820" s="6"/>
      <c r="S820" s="6"/>
      <c r="T820" s="6"/>
      <c r="U820" s="6"/>
      <c r="V820" s="6"/>
      <c r="W820" s="6"/>
      <c r="X820" s="6"/>
      <c r="Y820" s="6"/>
      <c r="Z820" s="6"/>
      <c r="AA820" s="6"/>
      <c r="AB820" s="6"/>
      <c r="AC820" s="6"/>
    </row>
    <row r="821" ht="14.25" customHeight="1">
      <c r="A821" s="28"/>
      <c r="B821" s="28"/>
      <c r="C821" s="29"/>
      <c r="D821" s="30"/>
      <c r="E821" s="28"/>
      <c r="F821" s="19"/>
      <c r="G821" s="6"/>
      <c r="H821" s="6"/>
      <c r="I821" s="6"/>
      <c r="J821" s="6"/>
      <c r="K821" s="6"/>
      <c r="L821" s="6"/>
      <c r="M821" s="6"/>
      <c r="N821" s="6"/>
      <c r="O821" s="6"/>
      <c r="P821" s="6"/>
      <c r="Q821" s="6"/>
      <c r="R821" s="6"/>
      <c r="S821" s="6"/>
      <c r="T821" s="6"/>
      <c r="U821" s="6"/>
      <c r="V821" s="6"/>
      <c r="W821" s="6"/>
      <c r="X821" s="6"/>
      <c r="Y821" s="6"/>
      <c r="Z821" s="6"/>
      <c r="AA821" s="6"/>
      <c r="AB821" s="6"/>
      <c r="AC821" s="6"/>
    </row>
    <row r="822" ht="14.25" customHeight="1">
      <c r="A822" s="28"/>
      <c r="B822" s="28"/>
      <c r="C822" s="29"/>
      <c r="D822" s="30"/>
      <c r="E822" s="28"/>
      <c r="F822" s="19"/>
      <c r="G822" s="6"/>
      <c r="H822" s="6"/>
      <c r="I822" s="6"/>
      <c r="J822" s="6"/>
      <c r="K822" s="6"/>
      <c r="L822" s="6"/>
      <c r="M822" s="6"/>
      <c r="N822" s="6"/>
      <c r="O822" s="6"/>
      <c r="P822" s="6"/>
      <c r="Q822" s="6"/>
      <c r="R822" s="6"/>
      <c r="S822" s="6"/>
      <c r="T822" s="6"/>
      <c r="U822" s="6"/>
      <c r="V822" s="6"/>
      <c r="W822" s="6"/>
      <c r="X822" s="6"/>
      <c r="Y822" s="6"/>
      <c r="Z822" s="6"/>
      <c r="AA822" s="6"/>
      <c r="AB822" s="6"/>
      <c r="AC822" s="6"/>
    </row>
    <row r="823" ht="14.25" customHeight="1">
      <c r="A823" s="28"/>
      <c r="B823" s="28"/>
      <c r="C823" s="29"/>
      <c r="D823" s="30"/>
      <c r="E823" s="28"/>
      <c r="F823" s="19"/>
      <c r="G823" s="6"/>
      <c r="H823" s="6"/>
      <c r="I823" s="6"/>
      <c r="J823" s="6"/>
      <c r="K823" s="6"/>
      <c r="L823" s="6"/>
      <c r="M823" s="6"/>
      <c r="N823" s="6"/>
      <c r="O823" s="6"/>
      <c r="P823" s="6"/>
      <c r="Q823" s="6"/>
      <c r="R823" s="6"/>
      <c r="S823" s="6"/>
      <c r="T823" s="6"/>
      <c r="U823" s="6"/>
      <c r="V823" s="6"/>
      <c r="W823" s="6"/>
      <c r="X823" s="6"/>
      <c r="Y823" s="6"/>
      <c r="Z823" s="6"/>
      <c r="AA823" s="6"/>
      <c r="AB823" s="6"/>
      <c r="AC823" s="6"/>
    </row>
    <row r="824" ht="14.25" customHeight="1">
      <c r="A824" s="28"/>
      <c r="B824" s="28"/>
      <c r="C824" s="29"/>
      <c r="D824" s="30"/>
      <c r="E824" s="28"/>
      <c r="F824" s="19"/>
      <c r="G824" s="6"/>
      <c r="H824" s="6"/>
      <c r="I824" s="6"/>
      <c r="J824" s="6"/>
      <c r="K824" s="6"/>
      <c r="L824" s="6"/>
      <c r="M824" s="6"/>
      <c r="N824" s="6"/>
      <c r="O824" s="6"/>
      <c r="P824" s="6"/>
      <c r="Q824" s="6"/>
      <c r="R824" s="6"/>
      <c r="S824" s="6"/>
      <c r="T824" s="6"/>
      <c r="U824" s="6"/>
      <c r="V824" s="6"/>
      <c r="W824" s="6"/>
      <c r="X824" s="6"/>
      <c r="Y824" s="6"/>
      <c r="Z824" s="6"/>
      <c r="AA824" s="6"/>
      <c r="AB824" s="6"/>
      <c r="AC824" s="6"/>
    </row>
    <row r="825" ht="14.25" customHeight="1">
      <c r="A825" s="28"/>
      <c r="B825" s="28"/>
      <c r="C825" s="29"/>
      <c r="D825" s="30"/>
      <c r="E825" s="28"/>
      <c r="F825" s="19"/>
      <c r="G825" s="6"/>
      <c r="H825" s="6"/>
      <c r="I825" s="6"/>
      <c r="J825" s="6"/>
      <c r="K825" s="6"/>
      <c r="L825" s="6"/>
      <c r="M825" s="6"/>
      <c r="N825" s="6"/>
      <c r="O825" s="6"/>
      <c r="P825" s="6"/>
      <c r="Q825" s="6"/>
      <c r="R825" s="6"/>
      <c r="S825" s="6"/>
      <c r="T825" s="6"/>
      <c r="U825" s="6"/>
      <c r="V825" s="6"/>
      <c r="W825" s="6"/>
      <c r="X825" s="6"/>
      <c r="Y825" s="6"/>
      <c r="Z825" s="6"/>
      <c r="AA825" s="6"/>
      <c r="AB825" s="6"/>
      <c r="AC825" s="6"/>
    </row>
    <row r="826" ht="14.25" customHeight="1">
      <c r="A826" s="28"/>
      <c r="B826" s="28"/>
      <c r="C826" s="29"/>
      <c r="D826" s="30"/>
      <c r="E826" s="28"/>
      <c r="F826" s="19"/>
      <c r="G826" s="6"/>
      <c r="H826" s="6"/>
      <c r="I826" s="6"/>
      <c r="J826" s="6"/>
      <c r="K826" s="6"/>
      <c r="L826" s="6"/>
      <c r="M826" s="6"/>
      <c r="N826" s="6"/>
      <c r="O826" s="6"/>
      <c r="P826" s="6"/>
      <c r="Q826" s="6"/>
      <c r="R826" s="6"/>
      <c r="S826" s="6"/>
      <c r="T826" s="6"/>
      <c r="U826" s="6"/>
      <c r="V826" s="6"/>
      <c r="W826" s="6"/>
      <c r="X826" s="6"/>
      <c r="Y826" s="6"/>
      <c r="Z826" s="6"/>
      <c r="AA826" s="6"/>
      <c r="AB826" s="6"/>
      <c r="AC826" s="6"/>
    </row>
    <row r="827" ht="14.25" customHeight="1">
      <c r="A827" s="28"/>
      <c r="B827" s="28"/>
      <c r="C827" s="29"/>
      <c r="D827" s="30"/>
      <c r="E827" s="28"/>
      <c r="F827" s="19"/>
      <c r="G827" s="6"/>
      <c r="H827" s="6"/>
      <c r="I827" s="6"/>
      <c r="J827" s="6"/>
      <c r="K827" s="6"/>
      <c r="L827" s="6"/>
      <c r="M827" s="6"/>
      <c r="N827" s="6"/>
      <c r="O827" s="6"/>
      <c r="P827" s="6"/>
      <c r="Q827" s="6"/>
      <c r="R827" s="6"/>
      <c r="S827" s="6"/>
      <c r="T827" s="6"/>
      <c r="U827" s="6"/>
      <c r="V827" s="6"/>
      <c r="W827" s="6"/>
      <c r="X827" s="6"/>
      <c r="Y827" s="6"/>
      <c r="Z827" s="6"/>
      <c r="AA827" s="6"/>
      <c r="AB827" s="6"/>
      <c r="AC827" s="6"/>
    </row>
    <row r="828" ht="14.25" customHeight="1">
      <c r="A828" s="28"/>
      <c r="B828" s="28"/>
      <c r="C828" s="29"/>
      <c r="D828" s="30"/>
      <c r="E828" s="28"/>
      <c r="F828" s="19"/>
      <c r="G828" s="6"/>
      <c r="H828" s="6"/>
      <c r="I828" s="6"/>
      <c r="J828" s="6"/>
      <c r="K828" s="6"/>
      <c r="L828" s="6"/>
      <c r="M828" s="6"/>
      <c r="N828" s="6"/>
      <c r="O828" s="6"/>
      <c r="P828" s="6"/>
      <c r="Q828" s="6"/>
      <c r="R828" s="6"/>
      <c r="S828" s="6"/>
      <c r="T828" s="6"/>
      <c r="U828" s="6"/>
      <c r="V828" s="6"/>
      <c r="W828" s="6"/>
      <c r="X828" s="6"/>
      <c r="Y828" s="6"/>
      <c r="Z828" s="6"/>
      <c r="AA828" s="6"/>
      <c r="AB828" s="6"/>
      <c r="AC828" s="6"/>
    </row>
    <row r="829" ht="14.25" customHeight="1">
      <c r="A829" s="28"/>
      <c r="B829" s="28"/>
      <c r="C829" s="29"/>
      <c r="D829" s="30"/>
      <c r="E829" s="28"/>
      <c r="F829" s="19"/>
      <c r="G829" s="6"/>
      <c r="H829" s="6"/>
      <c r="I829" s="6"/>
      <c r="J829" s="6"/>
      <c r="K829" s="6"/>
      <c r="L829" s="6"/>
      <c r="M829" s="6"/>
      <c r="N829" s="6"/>
      <c r="O829" s="6"/>
      <c r="P829" s="6"/>
      <c r="Q829" s="6"/>
      <c r="R829" s="6"/>
      <c r="S829" s="6"/>
      <c r="T829" s="6"/>
      <c r="U829" s="6"/>
      <c r="V829" s="6"/>
      <c r="W829" s="6"/>
      <c r="X829" s="6"/>
      <c r="Y829" s="6"/>
      <c r="Z829" s="6"/>
      <c r="AA829" s="6"/>
      <c r="AB829" s="6"/>
      <c r="AC829" s="6"/>
    </row>
    <row r="830" ht="14.25" customHeight="1">
      <c r="A830" s="28"/>
      <c r="B830" s="28"/>
      <c r="C830" s="29"/>
      <c r="D830" s="30"/>
      <c r="E830" s="28"/>
      <c r="F830" s="19"/>
      <c r="G830" s="6"/>
      <c r="H830" s="6"/>
      <c r="I830" s="6"/>
      <c r="J830" s="6"/>
      <c r="K830" s="6"/>
      <c r="L830" s="6"/>
      <c r="M830" s="6"/>
      <c r="N830" s="6"/>
      <c r="O830" s="6"/>
      <c r="P830" s="6"/>
      <c r="Q830" s="6"/>
      <c r="R830" s="6"/>
      <c r="S830" s="6"/>
      <c r="T830" s="6"/>
      <c r="U830" s="6"/>
      <c r="V830" s="6"/>
      <c r="W830" s="6"/>
      <c r="X830" s="6"/>
      <c r="Y830" s="6"/>
      <c r="Z830" s="6"/>
      <c r="AA830" s="6"/>
      <c r="AB830" s="6"/>
      <c r="AC830" s="6"/>
    </row>
    <row r="831" ht="14.25" customHeight="1">
      <c r="A831" s="28"/>
      <c r="B831" s="28"/>
      <c r="C831" s="29"/>
      <c r="D831" s="30"/>
      <c r="E831" s="28"/>
      <c r="F831" s="19"/>
      <c r="G831" s="6"/>
      <c r="H831" s="6"/>
      <c r="I831" s="6"/>
      <c r="J831" s="6"/>
      <c r="K831" s="6"/>
      <c r="L831" s="6"/>
      <c r="M831" s="6"/>
      <c r="N831" s="6"/>
      <c r="O831" s="6"/>
      <c r="P831" s="6"/>
      <c r="Q831" s="6"/>
      <c r="R831" s="6"/>
      <c r="S831" s="6"/>
      <c r="T831" s="6"/>
      <c r="U831" s="6"/>
      <c r="V831" s="6"/>
      <c r="W831" s="6"/>
      <c r="X831" s="6"/>
      <c r="Y831" s="6"/>
      <c r="Z831" s="6"/>
      <c r="AA831" s="6"/>
      <c r="AB831" s="6"/>
      <c r="AC831" s="6"/>
    </row>
    <row r="832" ht="14.25" customHeight="1">
      <c r="A832" s="28"/>
      <c r="B832" s="28"/>
      <c r="C832" s="29"/>
      <c r="D832" s="30"/>
      <c r="E832" s="28"/>
      <c r="F832" s="19"/>
      <c r="G832" s="6"/>
      <c r="H832" s="6"/>
      <c r="I832" s="6"/>
      <c r="J832" s="6"/>
      <c r="K832" s="6"/>
      <c r="L832" s="6"/>
      <c r="M832" s="6"/>
      <c r="N832" s="6"/>
      <c r="O832" s="6"/>
      <c r="P832" s="6"/>
      <c r="Q832" s="6"/>
      <c r="R832" s="6"/>
      <c r="S832" s="6"/>
      <c r="T832" s="6"/>
      <c r="U832" s="6"/>
      <c r="V832" s="6"/>
      <c r="W832" s="6"/>
      <c r="X832" s="6"/>
      <c r="Y832" s="6"/>
      <c r="Z832" s="6"/>
      <c r="AA832" s="6"/>
      <c r="AB832" s="6"/>
      <c r="AC832" s="6"/>
    </row>
    <row r="833" ht="14.25" customHeight="1">
      <c r="A833" s="28"/>
      <c r="B833" s="28"/>
      <c r="C833" s="29"/>
      <c r="D833" s="30"/>
      <c r="E833" s="28"/>
      <c r="F833" s="19"/>
      <c r="G833" s="6"/>
      <c r="H833" s="6"/>
      <c r="I833" s="6"/>
      <c r="J833" s="6"/>
      <c r="K833" s="6"/>
      <c r="L833" s="6"/>
      <c r="M833" s="6"/>
      <c r="N833" s="6"/>
      <c r="O833" s="6"/>
      <c r="P833" s="6"/>
      <c r="Q833" s="6"/>
      <c r="R833" s="6"/>
      <c r="S833" s="6"/>
      <c r="T833" s="6"/>
      <c r="U833" s="6"/>
      <c r="V833" s="6"/>
      <c r="W833" s="6"/>
      <c r="X833" s="6"/>
      <c r="Y833" s="6"/>
      <c r="Z833" s="6"/>
      <c r="AA833" s="6"/>
      <c r="AB833" s="6"/>
      <c r="AC833" s="6"/>
    </row>
    <row r="834" ht="14.25" customHeight="1">
      <c r="A834" s="28"/>
      <c r="B834" s="28"/>
      <c r="C834" s="29"/>
      <c r="D834" s="30"/>
      <c r="E834" s="28"/>
      <c r="F834" s="19"/>
      <c r="G834" s="6"/>
      <c r="H834" s="6"/>
      <c r="I834" s="6"/>
      <c r="J834" s="6"/>
      <c r="K834" s="6"/>
      <c r="L834" s="6"/>
      <c r="M834" s="6"/>
      <c r="N834" s="6"/>
      <c r="O834" s="6"/>
      <c r="P834" s="6"/>
      <c r="Q834" s="6"/>
      <c r="R834" s="6"/>
      <c r="S834" s="6"/>
      <c r="T834" s="6"/>
      <c r="U834" s="6"/>
      <c r="V834" s="6"/>
      <c r="W834" s="6"/>
      <c r="X834" s="6"/>
      <c r="Y834" s="6"/>
      <c r="Z834" s="6"/>
      <c r="AA834" s="6"/>
      <c r="AB834" s="6"/>
      <c r="AC834" s="6"/>
    </row>
    <row r="835" ht="14.25" customHeight="1">
      <c r="A835" s="28"/>
      <c r="B835" s="28"/>
      <c r="C835" s="29"/>
      <c r="D835" s="30"/>
      <c r="E835" s="28"/>
      <c r="F835" s="19"/>
      <c r="G835" s="6"/>
      <c r="H835" s="6"/>
      <c r="I835" s="6"/>
      <c r="J835" s="6"/>
      <c r="K835" s="6"/>
      <c r="L835" s="6"/>
      <c r="M835" s="6"/>
      <c r="N835" s="6"/>
      <c r="O835" s="6"/>
      <c r="P835" s="6"/>
      <c r="Q835" s="6"/>
      <c r="R835" s="6"/>
      <c r="S835" s="6"/>
      <c r="T835" s="6"/>
      <c r="U835" s="6"/>
      <c r="V835" s="6"/>
      <c r="W835" s="6"/>
      <c r="X835" s="6"/>
      <c r="Y835" s="6"/>
      <c r="Z835" s="6"/>
      <c r="AA835" s="6"/>
      <c r="AB835" s="6"/>
      <c r="AC835" s="6"/>
    </row>
    <row r="836" ht="14.25" customHeight="1">
      <c r="A836" s="28"/>
      <c r="B836" s="28"/>
      <c r="C836" s="29"/>
      <c r="D836" s="30"/>
      <c r="E836" s="28"/>
      <c r="F836" s="19"/>
      <c r="G836" s="6"/>
      <c r="H836" s="6"/>
      <c r="I836" s="6"/>
      <c r="J836" s="6"/>
      <c r="K836" s="6"/>
      <c r="L836" s="6"/>
      <c r="M836" s="6"/>
      <c r="N836" s="6"/>
      <c r="O836" s="6"/>
      <c r="P836" s="6"/>
      <c r="Q836" s="6"/>
      <c r="R836" s="6"/>
      <c r="S836" s="6"/>
      <c r="T836" s="6"/>
      <c r="U836" s="6"/>
      <c r="V836" s="6"/>
      <c r="W836" s="6"/>
      <c r="X836" s="6"/>
      <c r="Y836" s="6"/>
      <c r="Z836" s="6"/>
      <c r="AA836" s="6"/>
      <c r="AB836" s="6"/>
      <c r="AC836" s="6"/>
    </row>
    <row r="837" ht="14.25" customHeight="1">
      <c r="A837" s="28"/>
      <c r="B837" s="28"/>
      <c r="C837" s="29"/>
      <c r="D837" s="30"/>
      <c r="E837" s="28"/>
      <c r="F837" s="19"/>
      <c r="G837" s="6"/>
      <c r="H837" s="6"/>
      <c r="I837" s="6"/>
      <c r="J837" s="6"/>
      <c r="K837" s="6"/>
      <c r="L837" s="6"/>
      <c r="M837" s="6"/>
      <c r="N837" s="6"/>
      <c r="O837" s="6"/>
      <c r="P837" s="6"/>
      <c r="Q837" s="6"/>
      <c r="R837" s="6"/>
      <c r="S837" s="6"/>
      <c r="T837" s="6"/>
      <c r="U837" s="6"/>
      <c r="V837" s="6"/>
      <c r="W837" s="6"/>
      <c r="X837" s="6"/>
      <c r="Y837" s="6"/>
      <c r="Z837" s="6"/>
      <c r="AA837" s="6"/>
      <c r="AB837" s="6"/>
      <c r="AC837" s="6"/>
    </row>
    <row r="838" ht="14.25" customHeight="1">
      <c r="A838" s="28"/>
      <c r="B838" s="28"/>
      <c r="C838" s="29"/>
      <c r="D838" s="30"/>
      <c r="E838" s="28"/>
      <c r="F838" s="19"/>
      <c r="G838" s="6"/>
      <c r="H838" s="6"/>
      <c r="I838" s="6"/>
      <c r="J838" s="6"/>
      <c r="K838" s="6"/>
      <c r="L838" s="6"/>
      <c r="M838" s="6"/>
      <c r="N838" s="6"/>
      <c r="O838" s="6"/>
      <c r="P838" s="6"/>
      <c r="Q838" s="6"/>
      <c r="R838" s="6"/>
      <c r="S838" s="6"/>
      <c r="T838" s="6"/>
      <c r="U838" s="6"/>
      <c r="V838" s="6"/>
      <c r="W838" s="6"/>
      <c r="X838" s="6"/>
      <c r="Y838" s="6"/>
      <c r="Z838" s="6"/>
      <c r="AA838" s="6"/>
      <c r="AB838" s="6"/>
      <c r="AC838" s="6"/>
    </row>
    <row r="839" ht="14.25" customHeight="1">
      <c r="A839" s="28"/>
      <c r="B839" s="28"/>
      <c r="C839" s="29"/>
      <c r="D839" s="30"/>
      <c r="E839" s="28"/>
      <c r="F839" s="19"/>
      <c r="G839" s="6"/>
      <c r="H839" s="6"/>
      <c r="I839" s="6"/>
      <c r="J839" s="6"/>
      <c r="K839" s="6"/>
      <c r="L839" s="6"/>
      <c r="M839" s="6"/>
      <c r="N839" s="6"/>
      <c r="O839" s="6"/>
      <c r="P839" s="6"/>
      <c r="Q839" s="6"/>
      <c r="R839" s="6"/>
      <c r="S839" s="6"/>
      <c r="T839" s="6"/>
      <c r="U839" s="6"/>
      <c r="V839" s="6"/>
      <c r="W839" s="6"/>
      <c r="X839" s="6"/>
      <c r="Y839" s="6"/>
      <c r="Z839" s="6"/>
      <c r="AA839" s="6"/>
      <c r="AB839" s="6"/>
      <c r="AC839" s="6"/>
    </row>
    <row r="840" ht="14.25" customHeight="1">
      <c r="A840" s="28"/>
      <c r="B840" s="28"/>
      <c r="C840" s="29"/>
      <c r="D840" s="30"/>
      <c r="E840" s="28"/>
      <c r="F840" s="19"/>
      <c r="G840" s="6"/>
      <c r="H840" s="6"/>
      <c r="I840" s="6"/>
      <c r="J840" s="6"/>
      <c r="K840" s="6"/>
      <c r="L840" s="6"/>
      <c r="M840" s="6"/>
      <c r="N840" s="6"/>
      <c r="O840" s="6"/>
      <c r="P840" s="6"/>
      <c r="Q840" s="6"/>
      <c r="R840" s="6"/>
      <c r="S840" s="6"/>
      <c r="T840" s="6"/>
      <c r="U840" s="6"/>
      <c r="V840" s="6"/>
      <c r="W840" s="6"/>
      <c r="X840" s="6"/>
      <c r="Y840" s="6"/>
      <c r="Z840" s="6"/>
      <c r="AA840" s="6"/>
      <c r="AB840" s="6"/>
      <c r="AC840" s="6"/>
    </row>
    <row r="841" ht="14.25" customHeight="1">
      <c r="A841" s="28"/>
      <c r="B841" s="28"/>
      <c r="C841" s="29"/>
      <c r="D841" s="30"/>
      <c r="E841" s="28"/>
      <c r="F841" s="19"/>
      <c r="G841" s="6"/>
      <c r="H841" s="6"/>
      <c r="I841" s="6"/>
      <c r="J841" s="6"/>
      <c r="K841" s="6"/>
      <c r="L841" s="6"/>
      <c r="M841" s="6"/>
      <c r="N841" s="6"/>
      <c r="O841" s="6"/>
      <c r="P841" s="6"/>
      <c r="Q841" s="6"/>
      <c r="R841" s="6"/>
      <c r="S841" s="6"/>
      <c r="T841" s="6"/>
      <c r="U841" s="6"/>
      <c r="V841" s="6"/>
      <c r="W841" s="6"/>
      <c r="X841" s="6"/>
      <c r="Y841" s="6"/>
      <c r="Z841" s="6"/>
      <c r="AA841" s="6"/>
      <c r="AB841" s="6"/>
      <c r="AC841" s="6"/>
    </row>
    <row r="842" ht="14.25" customHeight="1">
      <c r="A842" s="28"/>
      <c r="B842" s="28"/>
      <c r="C842" s="29"/>
      <c r="D842" s="30"/>
      <c r="E842" s="28"/>
      <c r="F842" s="19"/>
      <c r="G842" s="6"/>
      <c r="H842" s="6"/>
      <c r="I842" s="6"/>
      <c r="J842" s="6"/>
      <c r="K842" s="6"/>
      <c r="L842" s="6"/>
      <c r="M842" s="6"/>
      <c r="N842" s="6"/>
      <c r="O842" s="6"/>
      <c r="P842" s="6"/>
      <c r="Q842" s="6"/>
      <c r="R842" s="6"/>
      <c r="S842" s="6"/>
      <c r="T842" s="6"/>
      <c r="U842" s="6"/>
      <c r="V842" s="6"/>
      <c r="W842" s="6"/>
      <c r="X842" s="6"/>
      <c r="Y842" s="6"/>
      <c r="Z842" s="6"/>
      <c r="AA842" s="6"/>
      <c r="AB842" s="6"/>
      <c r="AC842" s="6"/>
    </row>
    <row r="843" ht="14.25" customHeight="1">
      <c r="A843" s="28"/>
      <c r="B843" s="28"/>
      <c r="C843" s="29"/>
      <c r="D843" s="30"/>
      <c r="E843" s="28"/>
      <c r="F843" s="19"/>
      <c r="G843" s="6"/>
      <c r="H843" s="6"/>
      <c r="I843" s="6"/>
      <c r="J843" s="6"/>
      <c r="K843" s="6"/>
      <c r="L843" s="6"/>
      <c r="M843" s="6"/>
      <c r="N843" s="6"/>
      <c r="O843" s="6"/>
      <c r="P843" s="6"/>
      <c r="Q843" s="6"/>
      <c r="R843" s="6"/>
      <c r="S843" s="6"/>
      <c r="T843" s="6"/>
      <c r="U843" s="6"/>
      <c r="V843" s="6"/>
      <c r="W843" s="6"/>
      <c r="X843" s="6"/>
      <c r="Y843" s="6"/>
      <c r="Z843" s="6"/>
      <c r="AA843" s="6"/>
      <c r="AB843" s="6"/>
      <c r="AC843" s="6"/>
    </row>
    <row r="844" ht="14.25" customHeight="1">
      <c r="A844" s="28"/>
      <c r="B844" s="28"/>
      <c r="C844" s="29"/>
      <c r="D844" s="30"/>
      <c r="E844" s="28"/>
      <c r="F844" s="19"/>
      <c r="G844" s="6"/>
      <c r="H844" s="6"/>
      <c r="I844" s="6"/>
      <c r="J844" s="6"/>
      <c r="K844" s="6"/>
      <c r="L844" s="6"/>
      <c r="M844" s="6"/>
      <c r="N844" s="6"/>
      <c r="O844" s="6"/>
      <c r="P844" s="6"/>
      <c r="Q844" s="6"/>
      <c r="R844" s="6"/>
      <c r="S844" s="6"/>
      <c r="T844" s="6"/>
      <c r="U844" s="6"/>
      <c r="V844" s="6"/>
      <c r="W844" s="6"/>
      <c r="X844" s="6"/>
      <c r="Y844" s="6"/>
      <c r="Z844" s="6"/>
      <c r="AA844" s="6"/>
      <c r="AB844" s="6"/>
      <c r="AC844" s="6"/>
    </row>
    <row r="845" ht="14.25" customHeight="1">
      <c r="A845" s="28"/>
      <c r="B845" s="28"/>
      <c r="C845" s="29"/>
      <c r="D845" s="30"/>
      <c r="E845" s="28"/>
      <c r="F845" s="19"/>
      <c r="G845" s="6"/>
      <c r="H845" s="6"/>
      <c r="I845" s="6"/>
      <c r="J845" s="6"/>
      <c r="K845" s="6"/>
      <c r="L845" s="6"/>
      <c r="M845" s="6"/>
      <c r="N845" s="6"/>
      <c r="O845" s="6"/>
      <c r="P845" s="6"/>
      <c r="Q845" s="6"/>
      <c r="R845" s="6"/>
      <c r="S845" s="6"/>
      <c r="T845" s="6"/>
      <c r="U845" s="6"/>
      <c r="V845" s="6"/>
      <c r="W845" s="6"/>
      <c r="X845" s="6"/>
      <c r="Y845" s="6"/>
      <c r="Z845" s="6"/>
      <c r="AA845" s="6"/>
      <c r="AB845" s="6"/>
      <c r="AC845" s="6"/>
    </row>
    <row r="846" ht="14.25" customHeight="1">
      <c r="A846" s="28"/>
      <c r="B846" s="28"/>
      <c r="C846" s="29"/>
      <c r="D846" s="30"/>
      <c r="E846" s="28"/>
      <c r="F846" s="19"/>
      <c r="G846" s="6"/>
      <c r="H846" s="6"/>
      <c r="I846" s="6"/>
      <c r="J846" s="6"/>
      <c r="K846" s="6"/>
      <c r="L846" s="6"/>
      <c r="M846" s="6"/>
      <c r="N846" s="6"/>
      <c r="O846" s="6"/>
      <c r="P846" s="6"/>
      <c r="Q846" s="6"/>
      <c r="R846" s="6"/>
      <c r="S846" s="6"/>
      <c r="T846" s="6"/>
      <c r="U846" s="6"/>
      <c r="V846" s="6"/>
      <c r="W846" s="6"/>
      <c r="X846" s="6"/>
      <c r="Y846" s="6"/>
      <c r="Z846" s="6"/>
      <c r="AA846" s="6"/>
      <c r="AB846" s="6"/>
      <c r="AC846" s="6"/>
    </row>
    <row r="847" ht="14.25" customHeight="1">
      <c r="A847" s="28"/>
      <c r="B847" s="28"/>
      <c r="C847" s="29"/>
      <c r="D847" s="30"/>
      <c r="E847" s="28"/>
      <c r="F847" s="19"/>
      <c r="G847" s="6"/>
      <c r="H847" s="6"/>
      <c r="I847" s="6"/>
      <c r="J847" s="6"/>
      <c r="K847" s="6"/>
      <c r="L847" s="6"/>
      <c r="M847" s="6"/>
      <c r="N847" s="6"/>
      <c r="O847" s="6"/>
      <c r="P847" s="6"/>
      <c r="Q847" s="6"/>
      <c r="R847" s="6"/>
      <c r="S847" s="6"/>
      <c r="T847" s="6"/>
      <c r="U847" s="6"/>
      <c r="V847" s="6"/>
      <c r="W847" s="6"/>
      <c r="X847" s="6"/>
      <c r="Y847" s="6"/>
      <c r="Z847" s="6"/>
      <c r="AA847" s="6"/>
      <c r="AB847" s="6"/>
      <c r="AC847" s="6"/>
    </row>
    <row r="848" ht="14.25" customHeight="1">
      <c r="A848" s="28"/>
      <c r="B848" s="28"/>
      <c r="C848" s="29"/>
      <c r="D848" s="30"/>
      <c r="E848" s="28"/>
      <c r="F848" s="19"/>
      <c r="G848" s="6"/>
      <c r="H848" s="6"/>
      <c r="I848" s="6"/>
      <c r="J848" s="6"/>
      <c r="K848" s="6"/>
      <c r="L848" s="6"/>
      <c r="M848" s="6"/>
      <c r="N848" s="6"/>
      <c r="O848" s="6"/>
      <c r="P848" s="6"/>
      <c r="Q848" s="6"/>
      <c r="R848" s="6"/>
      <c r="S848" s="6"/>
      <c r="T848" s="6"/>
      <c r="U848" s="6"/>
      <c r="V848" s="6"/>
      <c r="W848" s="6"/>
      <c r="X848" s="6"/>
      <c r="Y848" s="6"/>
      <c r="Z848" s="6"/>
      <c r="AA848" s="6"/>
      <c r="AB848" s="6"/>
      <c r="AC848" s="6"/>
    </row>
    <row r="849" ht="14.25" customHeight="1">
      <c r="A849" s="28"/>
      <c r="B849" s="28"/>
      <c r="C849" s="29"/>
      <c r="D849" s="30"/>
      <c r="E849" s="28"/>
      <c r="F849" s="19"/>
      <c r="G849" s="6"/>
      <c r="H849" s="6"/>
      <c r="I849" s="6"/>
      <c r="J849" s="6"/>
      <c r="K849" s="6"/>
      <c r="L849" s="6"/>
      <c r="M849" s="6"/>
      <c r="N849" s="6"/>
      <c r="O849" s="6"/>
      <c r="P849" s="6"/>
      <c r="Q849" s="6"/>
      <c r="R849" s="6"/>
      <c r="S849" s="6"/>
      <c r="T849" s="6"/>
      <c r="U849" s="6"/>
      <c r="V849" s="6"/>
      <c r="W849" s="6"/>
      <c r="X849" s="6"/>
      <c r="Y849" s="6"/>
      <c r="Z849" s="6"/>
      <c r="AA849" s="6"/>
      <c r="AB849" s="6"/>
      <c r="AC849" s="6"/>
    </row>
    <row r="850" ht="14.25" customHeight="1">
      <c r="A850" s="28"/>
      <c r="B850" s="28"/>
      <c r="C850" s="29"/>
      <c r="D850" s="30"/>
      <c r="E850" s="28"/>
      <c r="F850" s="19"/>
      <c r="G850" s="6"/>
      <c r="H850" s="6"/>
      <c r="I850" s="6"/>
      <c r="J850" s="6"/>
      <c r="K850" s="6"/>
      <c r="L850" s="6"/>
      <c r="M850" s="6"/>
      <c r="N850" s="6"/>
      <c r="O850" s="6"/>
      <c r="P850" s="6"/>
      <c r="Q850" s="6"/>
      <c r="R850" s="6"/>
      <c r="S850" s="6"/>
      <c r="T850" s="6"/>
      <c r="U850" s="6"/>
      <c r="V850" s="6"/>
      <c r="W850" s="6"/>
      <c r="X850" s="6"/>
      <c r="Y850" s="6"/>
      <c r="Z850" s="6"/>
      <c r="AA850" s="6"/>
      <c r="AB850" s="6"/>
      <c r="AC850" s="6"/>
    </row>
    <row r="851" ht="14.25" customHeight="1">
      <c r="A851" s="28"/>
      <c r="B851" s="28"/>
      <c r="C851" s="29"/>
      <c r="D851" s="30"/>
      <c r="E851" s="28"/>
      <c r="F851" s="19"/>
      <c r="G851" s="6"/>
      <c r="H851" s="6"/>
      <c r="I851" s="6"/>
      <c r="J851" s="6"/>
      <c r="K851" s="6"/>
      <c r="L851" s="6"/>
      <c r="M851" s="6"/>
      <c r="N851" s="6"/>
      <c r="O851" s="6"/>
      <c r="P851" s="6"/>
      <c r="Q851" s="6"/>
      <c r="R851" s="6"/>
      <c r="S851" s="6"/>
      <c r="T851" s="6"/>
      <c r="U851" s="6"/>
      <c r="V851" s="6"/>
      <c r="W851" s="6"/>
      <c r="X851" s="6"/>
      <c r="Y851" s="6"/>
      <c r="Z851" s="6"/>
      <c r="AA851" s="6"/>
      <c r="AB851" s="6"/>
      <c r="AC851" s="6"/>
    </row>
    <row r="852" ht="14.25" customHeight="1">
      <c r="A852" s="28"/>
      <c r="B852" s="28"/>
      <c r="C852" s="29"/>
      <c r="D852" s="30"/>
      <c r="E852" s="28"/>
      <c r="F852" s="19"/>
      <c r="G852" s="6"/>
      <c r="H852" s="6"/>
      <c r="I852" s="6"/>
      <c r="J852" s="6"/>
      <c r="K852" s="6"/>
      <c r="L852" s="6"/>
      <c r="M852" s="6"/>
      <c r="N852" s="6"/>
      <c r="O852" s="6"/>
      <c r="P852" s="6"/>
      <c r="Q852" s="6"/>
      <c r="R852" s="6"/>
      <c r="S852" s="6"/>
      <c r="T852" s="6"/>
      <c r="U852" s="6"/>
      <c r="V852" s="6"/>
      <c r="W852" s="6"/>
      <c r="X852" s="6"/>
      <c r="Y852" s="6"/>
      <c r="Z852" s="6"/>
      <c r="AA852" s="6"/>
      <c r="AB852" s="6"/>
      <c r="AC852" s="6"/>
    </row>
    <row r="853" ht="14.25" customHeight="1">
      <c r="A853" s="28"/>
      <c r="B853" s="28"/>
      <c r="C853" s="29"/>
      <c r="D853" s="30"/>
      <c r="E853" s="28"/>
      <c r="F853" s="19"/>
      <c r="G853" s="6"/>
      <c r="H853" s="6"/>
      <c r="I853" s="6"/>
      <c r="J853" s="6"/>
      <c r="K853" s="6"/>
      <c r="L853" s="6"/>
      <c r="M853" s="6"/>
      <c r="N853" s="6"/>
      <c r="O853" s="6"/>
      <c r="P853" s="6"/>
      <c r="Q853" s="6"/>
      <c r="R853" s="6"/>
      <c r="S853" s="6"/>
      <c r="T853" s="6"/>
      <c r="U853" s="6"/>
      <c r="V853" s="6"/>
      <c r="W853" s="6"/>
      <c r="X853" s="6"/>
      <c r="Y853" s="6"/>
      <c r="Z853" s="6"/>
      <c r="AA853" s="6"/>
      <c r="AB853" s="6"/>
      <c r="AC853" s="6"/>
    </row>
    <row r="854" ht="14.25" customHeight="1">
      <c r="A854" s="28"/>
      <c r="B854" s="28"/>
      <c r="C854" s="29"/>
      <c r="D854" s="30"/>
      <c r="E854" s="28"/>
      <c r="F854" s="19"/>
      <c r="G854" s="6"/>
      <c r="H854" s="6"/>
      <c r="I854" s="6"/>
      <c r="J854" s="6"/>
      <c r="K854" s="6"/>
      <c r="L854" s="6"/>
      <c r="M854" s="6"/>
      <c r="N854" s="6"/>
      <c r="O854" s="6"/>
      <c r="P854" s="6"/>
      <c r="Q854" s="6"/>
      <c r="R854" s="6"/>
      <c r="S854" s="6"/>
      <c r="T854" s="6"/>
      <c r="U854" s="6"/>
      <c r="V854" s="6"/>
      <c r="W854" s="6"/>
      <c r="X854" s="6"/>
      <c r="Y854" s="6"/>
      <c r="Z854" s="6"/>
      <c r="AA854" s="6"/>
      <c r="AB854" s="6"/>
      <c r="AC854" s="6"/>
    </row>
    <row r="855" ht="14.25" customHeight="1">
      <c r="A855" s="28"/>
      <c r="B855" s="28"/>
      <c r="C855" s="29"/>
      <c r="D855" s="30"/>
      <c r="E855" s="28"/>
      <c r="F855" s="19"/>
      <c r="G855" s="6"/>
      <c r="H855" s="6"/>
      <c r="I855" s="6"/>
      <c r="J855" s="6"/>
      <c r="K855" s="6"/>
      <c r="L855" s="6"/>
      <c r="M855" s="6"/>
      <c r="N855" s="6"/>
      <c r="O855" s="6"/>
      <c r="P855" s="6"/>
      <c r="Q855" s="6"/>
      <c r="R855" s="6"/>
      <c r="S855" s="6"/>
      <c r="T855" s="6"/>
      <c r="U855" s="6"/>
      <c r="V855" s="6"/>
      <c r="W855" s="6"/>
      <c r="X855" s="6"/>
      <c r="Y855" s="6"/>
      <c r="Z855" s="6"/>
      <c r="AA855" s="6"/>
      <c r="AB855" s="6"/>
      <c r="AC855" s="6"/>
    </row>
    <row r="856" ht="14.25" customHeight="1">
      <c r="A856" s="28"/>
      <c r="B856" s="28"/>
      <c r="C856" s="29"/>
      <c r="D856" s="30"/>
      <c r="E856" s="28"/>
      <c r="F856" s="19"/>
      <c r="G856" s="6"/>
      <c r="H856" s="6"/>
      <c r="I856" s="6"/>
      <c r="J856" s="6"/>
      <c r="K856" s="6"/>
      <c r="L856" s="6"/>
      <c r="M856" s="6"/>
      <c r="N856" s="6"/>
      <c r="O856" s="6"/>
      <c r="P856" s="6"/>
      <c r="Q856" s="6"/>
      <c r="R856" s="6"/>
      <c r="S856" s="6"/>
      <c r="T856" s="6"/>
      <c r="U856" s="6"/>
      <c r="V856" s="6"/>
      <c r="W856" s="6"/>
      <c r="X856" s="6"/>
      <c r="Y856" s="6"/>
      <c r="Z856" s="6"/>
      <c r="AA856" s="6"/>
      <c r="AB856" s="6"/>
      <c r="AC856" s="6"/>
    </row>
    <row r="857" ht="14.25" customHeight="1">
      <c r="A857" s="28"/>
      <c r="B857" s="28"/>
      <c r="C857" s="29"/>
      <c r="D857" s="30"/>
      <c r="E857" s="28"/>
      <c r="F857" s="19"/>
      <c r="G857" s="6"/>
      <c r="H857" s="6"/>
      <c r="I857" s="6"/>
      <c r="J857" s="6"/>
      <c r="K857" s="6"/>
      <c r="L857" s="6"/>
      <c r="M857" s="6"/>
      <c r="N857" s="6"/>
      <c r="O857" s="6"/>
      <c r="P857" s="6"/>
      <c r="Q857" s="6"/>
      <c r="R857" s="6"/>
      <c r="S857" s="6"/>
      <c r="T857" s="6"/>
      <c r="U857" s="6"/>
      <c r="V857" s="6"/>
      <c r="W857" s="6"/>
      <c r="X857" s="6"/>
      <c r="Y857" s="6"/>
      <c r="Z857" s="6"/>
      <c r="AA857" s="6"/>
      <c r="AB857" s="6"/>
      <c r="AC857" s="6"/>
    </row>
    <row r="858" ht="14.25" customHeight="1">
      <c r="A858" s="28"/>
      <c r="B858" s="28"/>
      <c r="C858" s="29"/>
      <c r="D858" s="30"/>
      <c r="E858" s="28"/>
      <c r="F858" s="19"/>
      <c r="G858" s="6"/>
      <c r="H858" s="6"/>
      <c r="I858" s="6"/>
      <c r="J858" s="6"/>
      <c r="K858" s="6"/>
      <c r="L858" s="6"/>
      <c r="M858" s="6"/>
      <c r="N858" s="6"/>
      <c r="O858" s="6"/>
      <c r="P858" s="6"/>
      <c r="Q858" s="6"/>
      <c r="R858" s="6"/>
      <c r="S858" s="6"/>
      <c r="T858" s="6"/>
      <c r="U858" s="6"/>
      <c r="V858" s="6"/>
      <c r="W858" s="6"/>
      <c r="X858" s="6"/>
      <c r="Y858" s="6"/>
      <c r="Z858" s="6"/>
      <c r="AA858" s="6"/>
      <c r="AB858" s="6"/>
      <c r="AC858" s="6"/>
    </row>
    <row r="859" ht="14.25" customHeight="1">
      <c r="A859" s="28"/>
      <c r="B859" s="28"/>
      <c r="C859" s="29"/>
      <c r="D859" s="30"/>
      <c r="E859" s="28"/>
      <c r="F859" s="19"/>
      <c r="G859" s="6"/>
      <c r="H859" s="6"/>
      <c r="I859" s="6"/>
      <c r="J859" s="6"/>
      <c r="K859" s="6"/>
      <c r="L859" s="6"/>
      <c r="M859" s="6"/>
      <c r="N859" s="6"/>
      <c r="O859" s="6"/>
      <c r="P859" s="6"/>
      <c r="Q859" s="6"/>
      <c r="R859" s="6"/>
      <c r="S859" s="6"/>
      <c r="T859" s="6"/>
      <c r="U859" s="6"/>
      <c r="V859" s="6"/>
      <c r="W859" s="6"/>
      <c r="X859" s="6"/>
      <c r="Y859" s="6"/>
      <c r="Z859" s="6"/>
      <c r="AA859" s="6"/>
      <c r="AB859" s="6"/>
      <c r="AC859" s="6"/>
    </row>
    <row r="860" ht="14.25" customHeight="1">
      <c r="A860" s="28"/>
      <c r="B860" s="28"/>
      <c r="C860" s="29"/>
      <c r="D860" s="30"/>
      <c r="E860" s="28"/>
      <c r="F860" s="19"/>
      <c r="G860" s="6"/>
      <c r="H860" s="6"/>
      <c r="I860" s="6"/>
      <c r="J860" s="6"/>
      <c r="K860" s="6"/>
      <c r="L860" s="6"/>
      <c r="M860" s="6"/>
      <c r="N860" s="6"/>
      <c r="O860" s="6"/>
      <c r="P860" s="6"/>
      <c r="Q860" s="6"/>
      <c r="R860" s="6"/>
      <c r="S860" s="6"/>
      <c r="T860" s="6"/>
      <c r="U860" s="6"/>
      <c r="V860" s="6"/>
      <c r="W860" s="6"/>
      <c r="X860" s="6"/>
      <c r="Y860" s="6"/>
      <c r="Z860" s="6"/>
      <c r="AA860" s="6"/>
      <c r="AB860" s="6"/>
      <c r="AC860" s="6"/>
    </row>
    <row r="861" ht="14.25" customHeight="1">
      <c r="A861" s="28"/>
      <c r="B861" s="28"/>
      <c r="C861" s="29"/>
      <c r="D861" s="30"/>
      <c r="E861" s="28"/>
      <c r="F861" s="19"/>
      <c r="G861" s="6"/>
      <c r="H861" s="6"/>
      <c r="I861" s="6"/>
      <c r="J861" s="6"/>
      <c r="K861" s="6"/>
      <c r="L861" s="6"/>
      <c r="M861" s="6"/>
      <c r="N861" s="6"/>
      <c r="O861" s="6"/>
      <c r="P861" s="6"/>
      <c r="Q861" s="6"/>
      <c r="R861" s="6"/>
      <c r="S861" s="6"/>
      <c r="T861" s="6"/>
      <c r="U861" s="6"/>
      <c r="V861" s="6"/>
      <c r="W861" s="6"/>
      <c r="X861" s="6"/>
      <c r="Y861" s="6"/>
      <c r="Z861" s="6"/>
      <c r="AA861" s="6"/>
      <c r="AB861" s="6"/>
      <c r="AC861" s="6"/>
    </row>
    <row r="862" ht="14.25" customHeight="1">
      <c r="A862" s="28"/>
      <c r="B862" s="28"/>
      <c r="C862" s="29"/>
      <c r="D862" s="30"/>
      <c r="E862" s="28"/>
      <c r="F862" s="19"/>
      <c r="G862" s="6"/>
      <c r="H862" s="6"/>
      <c r="I862" s="6"/>
      <c r="J862" s="6"/>
      <c r="K862" s="6"/>
      <c r="L862" s="6"/>
      <c r="M862" s="6"/>
      <c r="N862" s="6"/>
      <c r="O862" s="6"/>
      <c r="P862" s="6"/>
      <c r="Q862" s="6"/>
      <c r="R862" s="6"/>
      <c r="S862" s="6"/>
      <c r="T862" s="6"/>
      <c r="U862" s="6"/>
      <c r="V862" s="6"/>
      <c r="W862" s="6"/>
      <c r="X862" s="6"/>
      <c r="Y862" s="6"/>
      <c r="Z862" s="6"/>
      <c r="AA862" s="6"/>
      <c r="AB862" s="6"/>
      <c r="AC862" s="6"/>
    </row>
    <row r="863" ht="14.25" customHeight="1">
      <c r="A863" s="28"/>
      <c r="B863" s="28"/>
      <c r="C863" s="29"/>
      <c r="D863" s="30"/>
      <c r="E863" s="28"/>
      <c r="F863" s="19"/>
      <c r="G863" s="6"/>
      <c r="H863" s="6"/>
      <c r="I863" s="6"/>
      <c r="J863" s="6"/>
      <c r="K863" s="6"/>
      <c r="L863" s="6"/>
      <c r="M863" s="6"/>
      <c r="N863" s="6"/>
      <c r="O863" s="6"/>
      <c r="P863" s="6"/>
      <c r="Q863" s="6"/>
      <c r="R863" s="6"/>
      <c r="S863" s="6"/>
      <c r="T863" s="6"/>
      <c r="U863" s="6"/>
      <c r="V863" s="6"/>
      <c r="W863" s="6"/>
      <c r="X863" s="6"/>
      <c r="Y863" s="6"/>
      <c r="Z863" s="6"/>
      <c r="AA863" s="6"/>
      <c r="AB863" s="6"/>
      <c r="AC863" s="6"/>
    </row>
    <row r="864" ht="14.25" customHeight="1">
      <c r="A864" s="28"/>
      <c r="B864" s="28"/>
      <c r="C864" s="29"/>
      <c r="D864" s="30"/>
      <c r="E864" s="28"/>
      <c r="F864" s="19"/>
      <c r="G864" s="6"/>
      <c r="H864" s="6"/>
      <c r="I864" s="6"/>
      <c r="J864" s="6"/>
      <c r="K864" s="6"/>
      <c r="L864" s="6"/>
      <c r="M864" s="6"/>
      <c r="N864" s="6"/>
      <c r="O864" s="6"/>
      <c r="P864" s="6"/>
      <c r="Q864" s="6"/>
      <c r="R864" s="6"/>
      <c r="S864" s="6"/>
      <c r="T864" s="6"/>
      <c r="U864" s="6"/>
      <c r="V864" s="6"/>
      <c r="W864" s="6"/>
      <c r="X864" s="6"/>
      <c r="Y864" s="6"/>
      <c r="Z864" s="6"/>
      <c r="AA864" s="6"/>
      <c r="AB864" s="6"/>
      <c r="AC864" s="6"/>
    </row>
    <row r="865" ht="14.25" customHeight="1">
      <c r="A865" s="28"/>
      <c r="B865" s="28"/>
      <c r="C865" s="29"/>
      <c r="D865" s="30"/>
      <c r="E865" s="28"/>
      <c r="F865" s="19"/>
      <c r="G865" s="6"/>
      <c r="H865" s="6"/>
      <c r="I865" s="6"/>
      <c r="J865" s="6"/>
      <c r="K865" s="6"/>
      <c r="L865" s="6"/>
      <c r="M865" s="6"/>
      <c r="N865" s="6"/>
      <c r="O865" s="6"/>
      <c r="P865" s="6"/>
      <c r="Q865" s="6"/>
      <c r="R865" s="6"/>
      <c r="S865" s="6"/>
      <c r="T865" s="6"/>
      <c r="U865" s="6"/>
      <c r="V865" s="6"/>
      <c r="W865" s="6"/>
      <c r="X865" s="6"/>
      <c r="Y865" s="6"/>
      <c r="Z865" s="6"/>
      <c r="AA865" s="6"/>
      <c r="AB865" s="6"/>
      <c r="AC865" s="6"/>
    </row>
    <row r="866" ht="14.25" customHeight="1">
      <c r="A866" s="28"/>
      <c r="B866" s="28"/>
      <c r="C866" s="29"/>
      <c r="D866" s="30"/>
      <c r="E866" s="28"/>
      <c r="F866" s="19"/>
      <c r="G866" s="6"/>
      <c r="H866" s="6"/>
      <c r="I866" s="6"/>
      <c r="J866" s="6"/>
      <c r="K866" s="6"/>
      <c r="L866" s="6"/>
      <c r="M866" s="6"/>
      <c r="N866" s="6"/>
      <c r="O866" s="6"/>
      <c r="P866" s="6"/>
      <c r="Q866" s="6"/>
      <c r="R866" s="6"/>
      <c r="S866" s="6"/>
      <c r="T866" s="6"/>
      <c r="U866" s="6"/>
      <c r="V866" s="6"/>
      <c r="W866" s="6"/>
      <c r="X866" s="6"/>
      <c r="Y866" s="6"/>
      <c r="Z866" s="6"/>
      <c r="AA866" s="6"/>
      <c r="AB866" s="6"/>
      <c r="AC866" s="6"/>
    </row>
    <row r="867" ht="14.25" customHeight="1">
      <c r="A867" s="28"/>
      <c r="B867" s="28"/>
      <c r="C867" s="29"/>
      <c r="D867" s="30"/>
      <c r="E867" s="28"/>
      <c r="F867" s="19"/>
      <c r="G867" s="6"/>
      <c r="H867" s="6"/>
      <c r="I867" s="6"/>
      <c r="J867" s="6"/>
      <c r="K867" s="6"/>
      <c r="L867" s="6"/>
      <c r="M867" s="6"/>
      <c r="N867" s="6"/>
      <c r="O867" s="6"/>
      <c r="P867" s="6"/>
      <c r="Q867" s="6"/>
      <c r="R867" s="6"/>
      <c r="S867" s="6"/>
      <c r="T867" s="6"/>
      <c r="U867" s="6"/>
      <c r="V867" s="6"/>
      <c r="W867" s="6"/>
      <c r="X867" s="6"/>
      <c r="Y867" s="6"/>
      <c r="Z867" s="6"/>
      <c r="AA867" s="6"/>
      <c r="AB867" s="6"/>
      <c r="AC867" s="6"/>
    </row>
    <row r="868" ht="14.25" customHeight="1">
      <c r="A868" s="28"/>
      <c r="B868" s="28"/>
      <c r="C868" s="29"/>
      <c r="D868" s="30"/>
      <c r="E868" s="28"/>
      <c r="F868" s="19"/>
      <c r="G868" s="6"/>
      <c r="H868" s="6"/>
      <c r="I868" s="6"/>
      <c r="J868" s="6"/>
      <c r="K868" s="6"/>
      <c r="L868" s="6"/>
      <c r="M868" s="6"/>
      <c r="N868" s="6"/>
      <c r="O868" s="6"/>
      <c r="P868" s="6"/>
      <c r="Q868" s="6"/>
      <c r="R868" s="6"/>
      <c r="S868" s="6"/>
      <c r="T868" s="6"/>
      <c r="U868" s="6"/>
      <c r="V868" s="6"/>
      <c r="W868" s="6"/>
      <c r="X868" s="6"/>
      <c r="Y868" s="6"/>
      <c r="Z868" s="6"/>
      <c r="AA868" s="6"/>
      <c r="AB868" s="6"/>
      <c r="AC868" s="6"/>
    </row>
    <row r="869" ht="14.25" customHeight="1">
      <c r="A869" s="28"/>
      <c r="B869" s="28"/>
      <c r="C869" s="29"/>
      <c r="D869" s="30"/>
      <c r="E869" s="28"/>
      <c r="F869" s="19"/>
      <c r="G869" s="6"/>
      <c r="H869" s="6"/>
      <c r="I869" s="6"/>
      <c r="J869" s="6"/>
      <c r="K869" s="6"/>
      <c r="L869" s="6"/>
      <c r="M869" s="6"/>
      <c r="N869" s="6"/>
      <c r="O869" s="6"/>
      <c r="P869" s="6"/>
      <c r="Q869" s="6"/>
      <c r="R869" s="6"/>
      <c r="S869" s="6"/>
      <c r="T869" s="6"/>
      <c r="U869" s="6"/>
      <c r="V869" s="6"/>
      <c r="W869" s="6"/>
      <c r="X869" s="6"/>
      <c r="Y869" s="6"/>
      <c r="Z869" s="6"/>
      <c r="AA869" s="6"/>
      <c r="AB869" s="6"/>
      <c r="AC869" s="6"/>
    </row>
    <row r="870" ht="14.25" customHeight="1">
      <c r="A870" s="28"/>
      <c r="B870" s="28"/>
      <c r="C870" s="29"/>
      <c r="D870" s="30"/>
      <c r="E870" s="28"/>
      <c r="F870" s="19"/>
      <c r="G870" s="6"/>
      <c r="H870" s="6"/>
      <c r="I870" s="6"/>
      <c r="J870" s="6"/>
      <c r="K870" s="6"/>
      <c r="L870" s="6"/>
      <c r="M870" s="6"/>
      <c r="N870" s="6"/>
      <c r="O870" s="6"/>
      <c r="P870" s="6"/>
      <c r="Q870" s="6"/>
      <c r="R870" s="6"/>
      <c r="S870" s="6"/>
      <c r="T870" s="6"/>
      <c r="U870" s="6"/>
      <c r="V870" s="6"/>
      <c r="W870" s="6"/>
      <c r="X870" s="6"/>
      <c r="Y870" s="6"/>
      <c r="Z870" s="6"/>
      <c r="AA870" s="6"/>
      <c r="AB870" s="6"/>
      <c r="AC870" s="6"/>
    </row>
    <row r="871" ht="14.25" customHeight="1">
      <c r="A871" s="28"/>
      <c r="B871" s="28"/>
      <c r="C871" s="29"/>
      <c r="D871" s="30"/>
      <c r="E871" s="28"/>
      <c r="F871" s="19"/>
      <c r="G871" s="6"/>
      <c r="H871" s="6"/>
      <c r="I871" s="6"/>
      <c r="J871" s="6"/>
      <c r="K871" s="6"/>
      <c r="L871" s="6"/>
      <c r="M871" s="6"/>
      <c r="N871" s="6"/>
      <c r="O871" s="6"/>
      <c r="P871" s="6"/>
      <c r="Q871" s="6"/>
      <c r="R871" s="6"/>
      <c r="S871" s="6"/>
      <c r="T871" s="6"/>
      <c r="U871" s="6"/>
      <c r="V871" s="6"/>
      <c r="W871" s="6"/>
      <c r="X871" s="6"/>
      <c r="Y871" s="6"/>
      <c r="Z871" s="6"/>
      <c r="AA871" s="6"/>
      <c r="AB871" s="6"/>
      <c r="AC871" s="6"/>
    </row>
    <row r="872" ht="14.25" customHeight="1">
      <c r="A872" s="28"/>
      <c r="B872" s="28"/>
      <c r="C872" s="29"/>
      <c r="D872" s="30"/>
      <c r="E872" s="28"/>
      <c r="F872" s="19"/>
      <c r="G872" s="6"/>
      <c r="H872" s="6"/>
      <c r="I872" s="6"/>
      <c r="J872" s="6"/>
      <c r="K872" s="6"/>
      <c r="L872" s="6"/>
      <c r="M872" s="6"/>
      <c r="N872" s="6"/>
      <c r="O872" s="6"/>
      <c r="P872" s="6"/>
      <c r="Q872" s="6"/>
      <c r="R872" s="6"/>
      <c r="S872" s="6"/>
      <c r="T872" s="6"/>
      <c r="U872" s="6"/>
      <c r="V872" s="6"/>
      <c r="W872" s="6"/>
      <c r="X872" s="6"/>
      <c r="Y872" s="6"/>
      <c r="Z872" s="6"/>
      <c r="AA872" s="6"/>
      <c r="AB872" s="6"/>
      <c r="AC872" s="6"/>
    </row>
    <row r="873" ht="14.25" customHeight="1">
      <c r="A873" s="28"/>
      <c r="B873" s="28"/>
      <c r="C873" s="29"/>
      <c r="D873" s="30"/>
      <c r="E873" s="28"/>
      <c r="F873" s="19"/>
      <c r="G873" s="6"/>
      <c r="H873" s="6"/>
      <c r="I873" s="6"/>
      <c r="J873" s="6"/>
      <c r="K873" s="6"/>
      <c r="L873" s="6"/>
      <c r="M873" s="6"/>
      <c r="N873" s="6"/>
      <c r="O873" s="6"/>
      <c r="P873" s="6"/>
      <c r="Q873" s="6"/>
      <c r="R873" s="6"/>
      <c r="S873" s="6"/>
      <c r="T873" s="6"/>
      <c r="U873" s="6"/>
      <c r="V873" s="6"/>
      <c r="W873" s="6"/>
      <c r="X873" s="6"/>
      <c r="Y873" s="6"/>
      <c r="Z873" s="6"/>
      <c r="AA873" s="6"/>
      <c r="AB873" s="6"/>
      <c r="AC873" s="6"/>
    </row>
    <row r="874" ht="14.25" customHeight="1">
      <c r="A874" s="28"/>
      <c r="B874" s="28"/>
      <c r="C874" s="29"/>
      <c r="D874" s="30"/>
      <c r="E874" s="28"/>
      <c r="F874" s="19"/>
      <c r="G874" s="6"/>
      <c r="H874" s="6"/>
      <c r="I874" s="6"/>
      <c r="J874" s="6"/>
      <c r="K874" s="6"/>
      <c r="L874" s="6"/>
      <c r="M874" s="6"/>
      <c r="N874" s="6"/>
      <c r="O874" s="6"/>
      <c r="P874" s="6"/>
      <c r="Q874" s="6"/>
      <c r="R874" s="6"/>
      <c r="S874" s="6"/>
      <c r="T874" s="6"/>
      <c r="U874" s="6"/>
      <c r="V874" s="6"/>
      <c r="W874" s="6"/>
      <c r="X874" s="6"/>
      <c r="Y874" s="6"/>
      <c r="Z874" s="6"/>
      <c r="AA874" s="6"/>
      <c r="AB874" s="6"/>
      <c r="AC874" s="6"/>
    </row>
    <row r="875" ht="14.25" customHeight="1">
      <c r="A875" s="28"/>
      <c r="B875" s="28"/>
      <c r="C875" s="29"/>
      <c r="D875" s="30"/>
      <c r="E875" s="28"/>
      <c r="F875" s="19"/>
      <c r="G875" s="6"/>
      <c r="H875" s="6"/>
      <c r="I875" s="6"/>
      <c r="J875" s="6"/>
      <c r="K875" s="6"/>
      <c r="L875" s="6"/>
      <c r="M875" s="6"/>
      <c r="N875" s="6"/>
      <c r="O875" s="6"/>
      <c r="P875" s="6"/>
      <c r="Q875" s="6"/>
      <c r="R875" s="6"/>
      <c r="S875" s="6"/>
      <c r="T875" s="6"/>
      <c r="U875" s="6"/>
      <c r="V875" s="6"/>
      <c r="W875" s="6"/>
      <c r="X875" s="6"/>
      <c r="Y875" s="6"/>
      <c r="Z875" s="6"/>
      <c r="AA875" s="6"/>
      <c r="AB875" s="6"/>
      <c r="AC875" s="6"/>
    </row>
    <row r="876" ht="14.25" customHeight="1">
      <c r="A876" s="28"/>
      <c r="B876" s="28"/>
      <c r="C876" s="29"/>
      <c r="D876" s="30"/>
      <c r="E876" s="28"/>
      <c r="F876" s="19"/>
      <c r="G876" s="6"/>
      <c r="H876" s="6"/>
      <c r="I876" s="6"/>
      <c r="J876" s="6"/>
      <c r="K876" s="6"/>
      <c r="L876" s="6"/>
      <c r="M876" s="6"/>
      <c r="N876" s="6"/>
      <c r="O876" s="6"/>
      <c r="P876" s="6"/>
      <c r="Q876" s="6"/>
      <c r="R876" s="6"/>
      <c r="S876" s="6"/>
      <c r="T876" s="6"/>
      <c r="U876" s="6"/>
      <c r="V876" s="6"/>
      <c r="W876" s="6"/>
      <c r="X876" s="6"/>
      <c r="Y876" s="6"/>
      <c r="Z876" s="6"/>
      <c r="AA876" s="6"/>
      <c r="AB876" s="6"/>
      <c r="AC876" s="6"/>
    </row>
    <row r="877" ht="14.25" customHeight="1">
      <c r="A877" s="28"/>
      <c r="B877" s="28"/>
      <c r="C877" s="29"/>
      <c r="D877" s="30"/>
      <c r="E877" s="28"/>
      <c r="F877" s="19"/>
      <c r="G877" s="6"/>
      <c r="H877" s="6"/>
      <c r="I877" s="6"/>
      <c r="J877" s="6"/>
      <c r="K877" s="6"/>
      <c r="L877" s="6"/>
      <c r="M877" s="6"/>
      <c r="N877" s="6"/>
      <c r="O877" s="6"/>
      <c r="P877" s="6"/>
      <c r="Q877" s="6"/>
      <c r="R877" s="6"/>
      <c r="S877" s="6"/>
      <c r="T877" s="6"/>
      <c r="U877" s="6"/>
      <c r="V877" s="6"/>
      <c r="W877" s="6"/>
      <c r="X877" s="6"/>
      <c r="Y877" s="6"/>
      <c r="Z877" s="6"/>
      <c r="AA877" s="6"/>
      <c r="AB877" s="6"/>
      <c r="AC877" s="6"/>
    </row>
    <row r="878" ht="14.25" customHeight="1">
      <c r="A878" s="28"/>
      <c r="B878" s="28"/>
      <c r="C878" s="29"/>
      <c r="D878" s="30"/>
      <c r="E878" s="28"/>
      <c r="F878" s="19"/>
      <c r="G878" s="6"/>
      <c r="H878" s="6"/>
      <c r="I878" s="6"/>
      <c r="J878" s="6"/>
      <c r="K878" s="6"/>
      <c r="L878" s="6"/>
      <c r="M878" s="6"/>
      <c r="N878" s="6"/>
      <c r="O878" s="6"/>
      <c r="P878" s="6"/>
      <c r="Q878" s="6"/>
      <c r="R878" s="6"/>
      <c r="S878" s="6"/>
      <c r="T878" s="6"/>
      <c r="U878" s="6"/>
      <c r="V878" s="6"/>
      <c r="W878" s="6"/>
      <c r="X878" s="6"/>
      <c r="Y878" s="6"/>
      <c r="Z878" s="6"/>
      <c r="AA878" s="6"/>
      <c r="AB878" s="6"/>
      <c r="AC878" s="6"/>
    </row>
    <row r="879" ht="14.25" customHeight="1">
      <c r="A879" s="28"/>
      <c r="B879" s="28"/>
      <c r="C879" s="29"/>
      <c r="D879" s="30"/>
      <c r="E879" s="28"/>
      <c r="F879" s="19"/>
      <c r="G879" s="6"/>
      <c r="H879" s="6"/>
      <c r="I879" s="6"/>
      <c r="J879" s="6"/>
      <c r="K879" s="6"/>
      <c r="L879" s="6"/>
      <c r="M879" s="6"/>
      <c r="N879" s="6"/>
      <c r="O879" s="6"/>
      <c r="P879" s="6"/>
      <c r="Q879" s="6"/>
      <c r="R879" s="6"/>
      <c r="S879" s="6"/>
      <c r="T879" s="6"/>
      <c r="U879" s="6"/>
      <c r="V879" s="6"/>
      <c r="W879" s="6"/>
      <c r="X879" s="6"/>
      <c r="Y879" s="6"/>
      <c r="Z879" s="6"/>
      <c r="AA879" s="6"/>
      <c r="AB879" s="6"/>
      <c r="AC879" s="6"/>
    </row>
    <row r="880" ht="14.25" customHeight="1">
      <c r="A880" s="28"/>
      <c r="B880" s="28"/>
      <c r="C880" s="29"/>
      <c r="D880" s="30"/>
      <c r="E880" s="28"/>
      <c r="F880" s="19"/>
      <c r="G880" s="6"/>
      <c r="H880" s="6"/>
      <c r="I880" s="6"/>
      <c r="J880" s="6"/>
      <c r="K880" s="6"/>
      <c r="L880" s="6"/>
      <c r="M880" s="6"/>
      <c r="N880" s="6"/>
      <c r="O880" s="6"/>
      <c r="P880" s="6"/>
      <c r="Q880" s="6"/>
      <c r="R880" s="6"/>
      <c r="S880" s="6"/>
      <c r="T880" s="6"/>
      <c r="U880" s="6"/>
      <c r="V880" s="6"/>
      <c r="W880" s="6"/>
      <c r="X880" s="6"/>
      <c r="Y880" s="6"/>
      <c r="Z880" s="6"/>
      <c r="AA880" s="6"/>
      <c r="AB880" s="6"/>
      <c r="AC880" s="6"/>
    </row>
    <row r="881" ht="14.25" customHeight="1">
      <c r="A881" s="28"/>
      <c r="B881" s="28"/>
      <c r="C881" s="29"/>
      <c r="D881" s="30"/>
      <c r="E881" s="28"/>
      <c r="F881" s="19"/>
      <c r="G881" s="6"/>
      <c r="H881" s="6"/>
      <c r="I881" s="6"/>
      <c r="J881" s="6"/>
      <c r="K881" s="6"/>
      <c r="L881" s="6"/>
      <c r="M881" s="6"/>
      <c r="N881" s="6"/>
      <c r="O881" s="6"/>
      <c r="P881" s="6"/>
      <c r="Q881" s="6"/>
      <c r="R881" s="6"/>
      <c r="S881" s="6"/>
      <c r="T881" s="6"/>
      <c r="U881" s="6"/>
      <c r="V881" s="6"/>
      <c r="W881" s="6"/>
      <c r="X881" s="6"/>
      <c r="Y881" s="6"/>
      <c r="Z881" s="6"/>
      <c r="AA881" s="6"/>
      <c r="AB881" s="6"/>
      <c r="AC881" s="6"/>
    </row>
    <row r="882" ht="14.25" customHeight="1">
      <c r="A882" s="28"/>
      <c r="B882" s="28"/>
      <c r="C882" s="29"/>
      <c r="D882" s="30"/>
      <c r="E882" s="28"/>
      <c r="F882" s="19"/>
      <c r="G882" s="6"/>
      <c r="H882" s="6"/>
      <c r="I882" s="6"/>
      <c r="J882" s="6"/>
      <c r="K882" s="6"/>
      <c r="L882" s="6"/>
      <c r="M882" s="6"/>
      <c r="N882" s="6"/>
      <c r="O882" s="6"/>
      <c r="P882" s="6"/>
      <c r="Q882" s="6"/>
      <c r="R882" s="6"/>
      <c r="S882" s="6"/>
      <c r="T882" s="6"/>
      <c r="U882" s="6"/>
      <c r="V882" s="6"/>
      <c r="W882" s="6"/>
      <c r="X882" s="6"/>
      <c r="Y882" s="6"/>
      <c r="Z882" s="6"/>
      <c r="AA882" s="6"/>
      <c r="AB882" s="6"/>
      <c r="AC882" s="6"/>
    </row>
    <row r="883" ht="14.25" customHeight="1">
      <c r="A883" s="28"/>
      <c r="B883" s="28"/>
      <c r="C883" s="29"/>
      <c r="D883" s="30"/>
      <c r="E883" s="28"/>
      <c r="F883" s="19"/>
      <c r="G883" s="6"/>
      <c r="H883" s="6"/>
      <c r="I883" s="6"/>
      <c r="J883" s="6"/>
      <c r="K883" s="6"/>
      <c r="L883" s="6"/>
      <c r="M883" s="6"/>
      <c r="N883" s="6"/>
      <c r="O883" s="6"/>
      <c r="P883" s="6"/>
      <c r="Q883" s="6"/>
      <c r="R883" s="6"/>
      <c r="S883" s="6"/>
      <c r="T883" s="6"/>
      <c r="U883" s="6"/>
      <c r="V883" s="6"/>
      <c r="W883" s="6"/>
      <c r="X883" s="6"/>
      <c r="Y883" s="6"/>
      <c r="Z883" s="6"/>
      <c r="AA883" s="6"/>
      <c r="AB883" s="6"/>
      <c r="AC883" s="6"/>
    </row>
    <row r="884" ht="14.25" customHeight="1">
      <c r="A884" s="28"/>
      <c r="B884" s="28"/>
      <c r="C884" s="29"/>
      <c r="D884" s="30"/>
      <c r="E884" s="28"/>
      <c r="F884" s="19"/>
      <c r="G884" s="6"/>
      <c r="H884" s="6"/>
      <c r="I884" s="6"/>
      <c r="J884" s="6"/>
      <c r="K884" s="6"/>
      <c r="L884" s="6"/>
      <c r="M884" s="6"/>
      <c r="N884" s="6"/>
      <c r="O884" s="6"/>
      <c r="P884" s="6"/>
      <c r="Q884" s="6"/>
      <c r="R884" s="6"/>
      <c r="S884" s="6"/>
      <c r="T884" s="6"/>
      <c r="U884" s="6"/>
      <c r="V884" s="6"/>
      <c r="W884" s="6"/>
      <c r="X884" s="6"/>
      <c r="Y884" s="6"/>
      <c r="Z884" s="6"/>
      <c r="AA884" s="6"/>
      <c r="AB884" s="6"/>
      <c r="AC884" s="6"/>
    </row>
    <row r="885" ht="14.25" customHeight="1">
      <c r="A885" s="28"/>
      <c r="B885" s="28"/>
      <c r="C885" s="29"/>
      <c r="D885" s="30"/>
      <c r="E885" s="28"/>
      <c r="F885" s="19"/>
      <c r="G885" s="6"/>
      <c r="H885" s="6"/>
      <c r="I885" s="6"/>
      <c r="J885" s="6"/>
      <c r="K885" s="6"/>
      <c r="L885" s="6"/>
      <c r="M885" s="6"/>
      <c r="N885" s="6"/>
      <c r="O885" s="6"/>
      <c r="P885" s="6"/>
      <c r="Q885" s="6"/>
      <c r="R885" s="6"/>
      <c r="S885" s="6"/>
      <c r="T885" s="6"/>
      <c r="U885" s="6"/>
      <c r="V885" s="6"/>
      <c r="W885" s="6"/>
      <c r="X885" s="6"/>
      <c r="Y885" s="6"/>
      <c r="Z885" s="6"/>
      <c r="AA885" s="6"/>
      <c r="AB885" s="6"/>
      <c r="AC885" s="6"/>
    </row>
    <row r="886" ht="14.25" customHeight="1">
      <c r="A886" s="28"/>
      <c r="B886" s="28"/>
      <c r="C886" s="29"/>
      <c r="D886" s="30"/>
      <c r="E886" s="28"/>
      <c r="F886" s="19"/>
      <c r="G886" s="6"/>
      <c r="H886" s="6"/>
      <c r="I886" s="6"/>
      <c r="J886" s="6"/>
      <c r="K886" s="6"/>
      <c r="L886" s="6"/>
      <c r="M886" s="6"/>
      <c r="N886" s="6"/>
      <c r="O886" s="6"/>
      <c r="P886" s="6"/>
      <c r="Q886" s="6"/>
      <c r="R886" s="6"/>
      <c r="S886" s="6"/>
      <c r="T886" s="6"/>
      <c r="U886" s="6"/>
      <c r="V886" s="6"/>
      <c r="W886" s="6"/>
      <c r="X886" s="6"/>
      <c r="Y886" s="6"/>
      <c r="Z886" s="6"/>
      <c r="AA886" s="6"/>
      <c r="AB886" s="6"/>
      <c r="AC886" s="6"/>
    </row>
    <row r="887" ht="14.25" customHeight="1">
      <c r="A887" s="28"/>
      <c r="B887" s="28"/>
      <c r="C887" s="29"/>
      <c r="D887" s="30"/>
      <c r="E887" s="28"/>
      <c r="F887" s="19"/>
      <c r="G887" s="6"/>
      <c r="H887" s="6"/>
      <c r="I887" s="6"/>
      <c r="J887" s="6"/>
      <c r="K887" s="6"/>
      <c r="L887" s="6"/>
      <c r="M887" s="6"/>
      <c r="N887" s="6"/>
      <c r="O887" s="6"/>
      <c r="P887" s="6"/>
      <c r="Q887" s="6"/>
      <c r="R887" s="6"/>
      <c r="S887" s="6"/>
      <c r="T887" s="6"/>
      <c r="U887" s="6"/>
      <c r="V887" s="6"/>
      <c r="W887" s="6"/>
      <c r="X887" s="6"/>
      <c r="Y887" s="6"/>
      <c r="Z887" s="6"/>
      <c r="AA887" s="6"/>
      <c r="AB887" s="6"/>
      <c r="AC887" s="6"/>
    </row>
    <row r="888" ht="14.25" customHeight="1">
      <c r="A888" s="28"/>
      <c r="B888" s="28"/>
      <c r="C888" s="29"/>
      <c r="D888" s="30"/>
      <c r="E888" s="28"/>
      <c r="F888" s="19"/>
      <c r="G888" s="6"/>
      <c r="H888" s="6"/>
      <c r="I888" s="6"/>
      <c r="J888" s="6"/>
      <c r="K888" s="6"/>
      <c r="L888" s="6"/>
      <c r="M888" s="6"/>
      <c r="N888" s="6"/>
      <c r="O888" s="6"/>
      <c r="P888" s="6"/>
      <c r="Q888" s="6"/>
      <c r="R888" s="6"/>
      <c r="S888" s="6"/>
      <c r="T888" s="6"/>
      <c r="U888" s="6"/>
      <c r="V888" s="6"/>
      <c r="W888" s="6"/>
      <c r="X888" s="6"/>
      <c r="Y888" s="6"/>
      <c r="Z888" s="6"/>
      <c r="AA888" s="6"/>
      <c r="AB888" s="6"/>
      <c r="AC888" s="6"/>
    </row>
    <row r="889" ht="14.25" customHeight="1">
      <c r="A889" s="28"/>
      <c r="B889" s="28"/>
      <c r="C889" s="29"/>
      <c r="D889" s="30"/>
      <c r="E889" s="28"/>
      <c r="F889" s="19"/>
      <c r="G889" s="6"/>
      <c r="H889" s="6"/>
      <c r="I889" s="6"/>
      <c r="J889" s="6"/>
      <c r="K889" s="6"/>
      <c r="L889" s="6"/>
      <c r="M889" s="6"/>
      <c r="N889" s="6"/>
      <c r="O889" s="6"/>
      <c r="P889" s="6"/>
      <c r="Q889" s="6"/>
      <c r="R889" s="6"/>
      <c r="S889" s="6"/>
      <c r="T889" s="6"/>
      <c r="U889" s="6"/>
      <c r="V889" s="6"/>
      <c r="W889" s="6"/>
      <c r="X889" s="6"/>
      <c r="Y889" s="6"/>
      <c r="Z889" s="6"/>
      <c r="AA889" s="6"/>
      <c r="AB889" s="6"/>
      <c r="AC889" s="6"/>
    </row>
    <row r="890" ht="14.25" customHeight="1">
      <c r="A890" s="28"/>
      <c r="B890" s="28"/>
      <c r="C890" s="29"/>
      <c r="D890" s="30"/>
      <c r="E890" s="28"/>
      <c r="F890" s="19"/>
      <c r="G890" s="6"/>
      <c r="H890" s="6"/>
      <c r="I890" s="6"/>
      <c r="J890" s="6"/>
      <c r="K890" s="6"/>
      <c r="L890" s="6"/>
      <c r="M890" s="6"/>
      <c r="N890" s="6"/>
      <c r="O890" s="6"/>
      <c r="P890" s="6"/>
      <c r="Q890" s="6"/>
      <c r="R890" s="6"/>
      <c r="S890" s="6"/>
      <c r="T890" s="6"/>
      <c r="U890" s="6"/>
      <c r="V890" s="6"/>
      <c r="W890" s="6"/>
      <c r="X890" s="6"/>
      <c r="Y890" s="6"/>
      <c r="Z890" s="6"/>
      <c r="AA890" s="6"/>
      <c r="AB890" s="6"/>
      <c r="AC890" s="6"/>
    </row>
    <row r="891" ht="14.25" customHeight="1">
      <c r="A891" s="28"/>
      <c r="B891" s="28"/>
      <c r="C891" s="29"/>
      <c r="D891" s="30"/>
      <c r="E891" s="28"/>
      <c r="F891" s="19"/>
      <c r="G891" s="6"/>
      <c r="H891" s="6"/>
      <c r="I891" s="6"/>
      <c r="J891" s="6"/>
      <c r="K891" s="6"/>
      <c r="L891" s="6"/>
      <c r="M891" s="6"/>
      <c r="N891" s="6"/>
      <c r="O891" s="6"/>
      <c r="P891" s="6"/>
      <c r="Q891" s="6"/>
      <c r="R891" s="6"/>
      <c r="S891" s="6"/>
      <c r="T891" s="6"/>
      <c r="U891" s="6"/>
      <c r="V891" s="6"/>
      <c r="W891" s="6"/>
      <c r="X891" s="6"/>
      <c r="Y891" s="6"/>
      <c r="Z891" s="6"/>
      <c r="AA891" s="6"/>
      <c r="AB891" s="6"/>
      <c r="AC891" s="6"/>
    </row>
    <row r="892" ht="14.25" customHeight="1">
      <c r="A892" s="28"/>
      <c r="B892" s="28"/>
      <c r="C892" s="29"/>
      <c r="D892" s="30"/>
      <c r="E892" s="28"/>
      <c r="F892" s="19"/>
      <c r="G892" s="6"/>
      <c r="H892" s="6"/>
      <c r="I892" s="6"/>
      <c r="J892" s="6"/>
      <c r="K892" s="6"/>
      <c r="L892" s="6"/>
      <c r="M892" s="6"/>
      <c r="N892" s="6"/>
      <c r="O892" s="6"/>
      <c r="P892" s="6"/>
      <c r="Q892" s="6"/>
      <c r="R892" s="6"/>
      <c r="S892" s="6"/>
      <c r="T892" s="6"/>
      <c r="U892" s="6"/>
      <c r="V892" s="6"/>
      <c r="W892" s="6"/>
      <c r="X892" s="6"/>
      <c r="Y892" s="6"/>
      <c r="Z892" s="6"/>
      <c r="AA892" s="6"/>
      <c r="AB892" s="6"/>
      <c r="AC892" s="6"/>
    </row>
    <row r="893" ht="14.25" customHeight="1">
      <c r="A893" s="28"/>
      <c r="B893" s="28"/>
      <c r="C893" s="29"/>
      <c r="D893" s="30"/>
      <c r="E893" s="28"/>
      <c r="F893" s="19"/>
      <c r="G893" s="6"/>
      <c r="H893" s="6"/>
      <c r="I893" s="6"/>
      <c r="J893" s="6"/>
      <c r="K893" s="6"/>
      <c r="L893" s="6"/>
      <c r="M893" s="6"/>
      <c r="N893" s="6"/>
      <c r="O893" s="6"/>
      <c r="P893" s="6"/>
      <c r="Q893" s="6"/>
      <c r="R893" s="6"/>
      <c r="S893" s="6"/>
      <c r="T893" s="6"/>
      <c r="U893" s="6"/>
      <c r="V893" s="6"/>
      <c r="W893" s="6"/>
      <c r="X893" s="6"/>
      <c r="Y893" s="6"/>
      <c r="Z893" s="6"/>
      <c r="AA893" s="6"/>
      <c r="AB893" s="6"/>
      <c r="AC893" s="6"/>
    </row>
    <row r="894" ht="14.25" customHeight="1">
      <c r="A894" s="28"/>
      <c r="B894" s="28"/>
      <c r="C894" s="29"/>
      <c r="D894" s="30"/>
      <c r="E894" s="28"/>
      <c r="F894" s="19"/>
      <c r="G894" s="6"/>
      <c r="H894" s="6"/>
      <c r="I894" s="6"/>
      <c r="J894" s="6"/>
      <c r="K894" s="6"/>
      <c r="L894" s="6"/>
      <c r="M894" s="6"/>
      <c r="N894" s="6"/>
      <c r="O894" s="6"/>
      <c r="P894" s="6"/>
      <c r="Q894" s="6"/>
      <c r="R894" s="6"/>
      <c r="S894" s="6"/>
      <c r="T894" s="6"/>
      <c r="U894" s="6"/>
      <c r="V894" s="6"/>
      <c r="W894" s="6"/>
      <c r="X894" s="6"/>
      <c r="Y894" s="6"/>
      <c r="Z894" s="6"/>
      <c r="AA894" s="6"/>
      <c r="AB894" s="6"/>
      <c r="AC894" s="6"/>
    </row>
    <row r="895" ht="14.25" customHeight="1">
      <c r="A895" s="28"/>
      <c r="B895" s="28"/>
      <c r="C895" s="29"/>
      <c r="D895" s="30"/>
      <c r="E895" s="28"/>
      <c r="F895" s="19"/>
      <c r="G895" s="6"/>
      <c r="H895" s="6"/>
      <c r="I895" s="6"/>
      <c r="J895" s="6"/>
      <c r="K895" s="6"/>
      <c r="L895" s="6"/>
      <c r="M895" s="6"/>
      <c r="N895" s="6"/>
      <c r="O895" s="6"/>
      <c r="P895" s="6"/>
      <c r="Q895" s="6"/>
      <c r="R895" s="6"/>
      <c r="S895" s="6"/>
      <c r="T895" s="6"/>
      <c r="U895" s="6"/>
      <c r="V895" s="6"/>
      <c r="W895" s="6"/>
      <c r="X895" s="6"/>
      <c r="Y895" s="6"/>
      <c r="Z895" s="6"/>
      <c r="AA895" s="6"/>
      <c r="AB895" s="6"/>
      <c r="AC895" s="6"/>
    </row>
    <row r="896" ht="14.25" customHeight="1">
      <c r="A896" s="28"/>
      <c r="B896" s="28"/>
      <c r="C896" s="29"/>
      <c r="D896" s="30"/>
      <c r="E896" s="28"/>
      <c r="F896" s="19"/>
      <c r="G896" s="6"/>
      <c r="H896" s="6"/>
      <c r="I896" s="6"/>
      <c r="J896" s="6"/>
      <c r="K896" s="6"/>
      <c r="L896" s="6"/>
      <c r="M896" s="6"/>
      <c r="N896" s="6"/>
      <c r="O896" s="6"/>
      <c r="P896" s="6"/>
      <c r="Q896" s="6"/>
      <c r="R896" s="6"/>
      <c r="S896" s="6"/>
      <c r="T896" s="6"/>
      <c r="U896" s="6"/>
      <c r="V896" s="6"/>
      <c r="W896" s="6"/>
      <c r="X896" s="6"/>
      <c r="Y896" s="6"/>
      <c r="Z896" s="6"/>
      <c r="AA896" s="6"/>
      <c r="AB896" s="6"/>
      <c r="AC896" s="6"/>
    </row>
    <row r="897" ht="14.25" customHeight="1">
      <c r="A897" s="28"/>
      <c r="B897" s="28"/>
      <c r="C897" s="29"/>
      <c r="D897" s="30"/>
      <c r="E897" s="28"/>
      <c r="F897" s="19"/>
      <c r="G897" s="6"/>
      <c r="H897" s="6"/>
      <c r="I897" s="6"/>
      <c r="J897" s="6"/>
      <c r="K897" s="6"/>
      <c r="L897" s="6"/>
      <c r="M897" s="6"/>
      <c r="N897" s="6"/>
      <c r="O897" s="6"/>
      <c r="P897" s="6"/>
      <c r="Q897" s="6"/>
      <c r="R897" s="6"/>
      <c r="S897" s="6"/>
      <c r="T897" s="6"/>
      <c r="U897" s="6"/>
      <c r="V897" s="6"/>
      <c r="W897" s="6"/>
      <c r="X897" s="6"/>
      <c r="Y897" s="6"/>
      <c r="Z897" s="6"/>
      <c r="AA897" s="6"/>
      <c r="AB897" s="6"/>
      <c r="AC897" s="6"/>
    </row>
    <row r="898" ht="14.25" customHeight="1">
      <c r="A898" s="28"/>
      <c r="B898" s="28"/>
      <c r="C898" s="29"/>
      <c r="D898" s="30"/>
      <c r="E898" s="28"/>
      <c r="F898" s="19"/>
      <c r="G898" s="6"/>
      <c r="H898" s="6"/>
      <c r="I898" s="6"/>
      <c r="J898" s="6"/>
      <c r="K898" s="6"/>
      <c r="L898" s="6"/>
      <c r="M898" s="6"/>
      <c r="N898" s="6"/>
      <c r="O898" s="6"/>
      <c r="P898" s="6"/>
      <c r="Q898" s="6"/>
      <c r="R898" s="6"/>
      <c r="S898" s="6"/>
      <c r="T898" s="6"/>
      <c r="U898" s="6"/>
      <c r="V898" s="6"/>
      <c r="W898" s="6"/>
      <c r="X898" s="6"/>
      <c r="Y898" s="6"/>
      <c r="Z898" s="6"/>
      <c r="AA898" s="6"/>
      <c r="AB898" s="6"/>
      <c r="AC898" s="6"/>
    </row>
    <row r="899" ht="14.25" customHeight="1">
      <c r="A899" s="28"/>
      <c r="B899" s="28"/>
      <c r="C899" s="29"/>
      <c r="D899" s="30"/>
      <c r="E899" s="28"/>
      <c r="F899" s="19"/>
      <c r="G899" s="6"/>
      <c r="H899" s="6"/>
      <c r="I899" s="6"/>
      <c r="J899" s="6"/>
      <c r="K899" s="6"/>
      <c r="L899" s="6"/>
      <c r="M899" s="6"/>
      <c r="N899" s="6"/>
      <c r="O899" s="6"/>
      <c r="P899" s="6"/>
      <c r="Q899" s="6"/>
      <c r="R899" s="6"/>
      <c r="S899" s="6"/>
      <c r="T899" s="6"/>
      <c r="U899" s="6"/>
      <c r="V899" s="6"/>
      <c r="W899" s="6"/>
      <c r="X899" s="6"/>
      <c r="Y899" s="6"/>
      <c r="Z899" s="6"/>
      <c r="AA899" s="6"/>
      <c r="AB899" s="6"/>
      <c r="AC899" s="6"/>
    </row>
    <row r="900" ht="14.25" customHeight="1">
      <c r="A900" s="28"/>
      <c r="B900" s="28"/>
      <c r="C900" s="29"/>
      <c r="D900" s="30"/>
      <c r="E900" s="28"/>
      <c r="F900" s="19"/>
      <c r="G900" s="6"/>
      <c r="H900" s="6"/>
      <c r="I900" s="6"/>
      <c r="J900" s="6"/>
      <c r="K900" s="6"/>
      <c r="L900" s="6"/>
      <c r="M900" s="6"/>
      <c r="N900" s="6"/>
      <c r="O900" s="6"/>
      <c r="P900" s="6"/>
      <c r="Q900" s="6"/>
      <c r="R900" s="6"/>
      <c r="S900" s="6"/>
      <c r="T900" s="6"/>
      <c r="U900" s="6"/>
      <c r="V900" s="6"/>
      <c r="W900" s="6"/>
      <c r="X900" s="6"/>
      <c r="Y900" s="6"/>
      <c r="Z900" s="6"/>
      <c r="AA900" s="6"/>
      <c r="AB900" s="6"/>
      <c r="AC900" s="6"/>
    </row>
    <row r="901" ht="14.25" customHeight="1">
      <c r="A901" s="28"/>
      <c r="B901" s="28"/>
      <c r="C901" s="29"/>
      <c r="D901" s="30"/>
      <c r="E901" s="28"/>
      <c r="F901" s="19"/>
      <c r="G901" s="6"/>
      <c r="H901" s="6"/>
      <c r="I901" s="6"/>
      <c r="J901" s="6"/>
      <c r="K901" s="6"/>
      <c r="L901" s="6"/>
      <c r="M901" s="6"/>
      <c r="N901" s="6"/>
      <c r="O901" s="6"/>
      <c r="P901" s="6"/>
      <c r="Q901" s="6"/>
      <c r="R901" s="6"/>
      <c r="S901" s="6"/>
      <c r="T901" s="6"/>
      <c r="U901" s="6"/>
      <c r="V901" s="6"/>
      <c r="W901" s="6"/>
      <c r="X901" s="6"/>
      <c r="Y901" s="6"/>
      <c r="Z901" s="6"/>
      <c r="AA901" s="6"/>
      <c r="AB901" s="6"/>
      <c r="AC901" s="6"/>
    </row>
    <row r="902" ht="14.25" customHeight="1">
      <c r="A902" s="28"/>
      <c r="B902" s="28"/>
      <c r="C902" s="29"/>
      <c r="D902" s="30"/>
      <c r="E902" s="28"/>
      <c r="F902" s="19"/>
      <c r="G902" s="6"/>
      <c r="H902" s="6"/>
      <c r="I902" s="6"/>
      <c r="J902" s="6"/>
      <c r="K902" s="6"/>
      <c r="L902" s="6"/>
      <c r="M902" s="6"/>
      <c r="N902" s="6"/>
      <c r="O902" s="6"/>
      <c r="P902" s="6"/>
      <c r="Q902" s="6"/>
      <c r="R902" s="6"/>
      <c r="S902" s="6"/>
      <c r="T902" s="6"/>
      <c r="U902" s="6"/>
      <c r="V902" s="6"/>
      <c r="W902" s="6"/>
      <c r="X902" s="6"/>
      <c r="Y902" s="6"/>
      <c r="Z902" s="6"/>
      <c r="AA902" s="6"/>
      <c r="AB902" s="6"/>
      <c r="AC902" s="6"/>
    </row>
    <row r="903" ht="14.25" customHeight="1">
      <c r="A903" s="28"/>
      <c r="B903" s="28"/>
      <c r="C903" s="29"/>
      <c r="D903" s="30"/>
      <c r="E903" s="28"/>
      <c r="F903" s="19"/>
      <c r="G903" s="6"/>
      <c r="H903" s="6"/>
      <c r="I903" s="6"/>
      <c r="J903" s="6"/>
      <c r="K903" s="6"/>
      <c r="L903" s="6"/>
      <c r="M903" s="6"/>
      <c r="N903" s="6"/>
      <c r="O903" s="6"/>
      <c r="P903" s="6"/>
      <c r="Q903" s="6"/>
      <c r="R903" s="6"/>
      <c r="S903" s="6"/>
      <c r="T903" s="6"/>
      <c r="U903" s="6"/>
      <c r="V903" s="6"/>
      <c r="W903" s="6"/>
      <c r="X903" s="6"/>
      <c r="Y903" s="6"/>
      <c r="Z903" s="6"/>
      <c r="AA903" s="6"/>
      <c r="AB903" s="6"/>
      <c r="AC903" s="6"/>
    </row>
    <row r="904" ht="14.25" customHeight="1">
      <c r="A904" s="28"/>
      <c r="B904" s="28"/>
      <c r="C904" s="29"/>
      <c r="D904" s="30"/>
      <c r="E904" s="28"/>
      <c r="F904" s="19"/>
      <c r="G904" s="6"/>
      <c r="H904" s="6"/>
      <c r="I904" s="6"/>
      <c r="J904" s="6"/>
      <c r="K904" s="6"/>
      <c r="L904" s="6"/>
      <c r="M904" s="6"/>
      <c r="N904" s="6"/>
      <c r="O904" s="6"/>
      <c r="P904" s="6"/>
      <c r="Q904" s="6"/>
      <c r="R904" s="6"/>
      <c r="S904" s="6"/>
      <c r="T904" s="6"/>
      <c r="U904" s="6"/>
      <c r="V904" s="6"/>
      <c r="W904" s="6"/>
      <c r="X904" s="6"/>
      <c r="Y904" s="6"/>
      <c r="Z904" s="6"/>
      <c r="AA904" s="6"/>
      <c r="AB904" s="6"/>
      <c r="AC904" s="6"/>
    </row>
    <row r="905" ht="14.25" customHeight="1">
      <c r="A905" s="28"/>
      <c r="B905" s="28"/>
      <c r="C905" s="29"/>
      <c r="D905" s="30"/>
      <c r="E905" s="28"/>
      <c r="F905" s="19"/>
      <c r="G905" s="6"/>
      <c r="H905" s="6"/>
      <c r="I905" s="6"/>
      <c r="J905" s="6"/>
      <c r="K905" s="6"/>
      <c r="L905" s="6"/>
      <c r="M905" s="6"/>
      <c r="N905" s="6"/>
      <c r="O905" s="6"/>
      <c r="P905" s="6"/>
      <c r="Q905" s="6"/>
      <c r="R905" s="6"/>
      <c r="S905" s="6"/>
      <c r="T905" s="6"/>
      <c r="U905" s="6"/>
      <c r="V905" s="6"/>
      <c r="W905" s="6"/>
      <c r="X905" s="6"/>
      <c r="Y905" s="6"/>
      <c r="Z905" s="6"/>
      <c r="AA905" s="6"/>
      <c r="AB905" s="6"/>
      <c r="AC905" s="6"/>
    </row>
    <row r="906" ht="14.25" customHeight="1">
      <c r="A906" s="28"/>
      <c r="B906" s="28"/>
      <c r="C906" s="29"/>
      <c r="D906" s="30"/>
      <c r="E906" s="28"/>
      <c r="F906" s="19"/>
      <c r="G906" s="6"/>
      <c r="H906" s="6"/>
      <c r="I906" s="6"/>
      <c r="J906" s="6"/>
      <c r="K906" s="6"/>
      <c r="L906" s="6"/>
      <c r="M906" s="6"/>
      <c r="N906" s="6"/>
      <c r="O906" s="6"/>
      <c r="P906" s="6"/>
      <c r="Q906" s="6"/>
      <c r="R906" s="6"/>
      <c r="S906" s="6"/>
      <c r="T906" s="6"/>
      <c r="U906" s="6"/>
      <c r="V906" s="6"/>
      <c r="W906" s="6"/>
      <c r="X906" s="6"/>
      <c r="Y906" s="6"/>
      <c r="Z906" s="6"/>
      <c r="AA906" s="6"/>
      <c r="AB906" s="6"/>
      <c r="AC906" s="6"/>
    </row>
    <row r="907" ht="14.25" customHeight="1">
      <c r="A907" s="28"/>
      <c r="B907" s="28"/>
      <c r="C907" s="29"/>
      <c r="D907" s="30"/>
      <c r="E907" s="28"/>
      <c r="F907" s="19"/>
      <c r="G907" s="6"/>
      <c r="H907" s="6"/>
      <c r="I907" s="6"/>
      <c r="J907" s="6"/>
      <c r="K907" s="6"/>
      <c r="L907" s="6"/>
      <c r="M907" s="6"/>
      <c r="N907" s="6"/>
      <c r="O907" s="6"/>
      <c r="P907" s="6"/>
      <c r="Q907" s="6"/>
      <c r="R907" s="6"/>
      <c r="S907" s="6"/>
      <c r="T907" s="6"/>
      <c r="U907" s="6"/>
      <c r="V907" s="6"/>
      <c r="W907" s="6"/>
      <c r="X907" s="6"/>
      <c r="Y907" s="6"/>
      <c r="Z907" s="6"/>
      <c r="AA907" s="6"/>
      <c r="AB907" s="6"/>
      <c r="AC907" s="6"/>
    </row>
    <row r="908" ht="14.25" customHeight="1">
      <c r="A908" s="28"/>
      <c r="B908" s="28"/>
      <c r="C908" s="29"/>
      <c r="D908" s="30"/>
      <c r="E908" s="28"/>
      <c r="F908" s="19"/>
      <c r="G908" s="6"/>
      <c r="H908" s="6"/>
      <c r="I908" s="6"/>
      <c r="J908" s="6"/>
      <c r="K908" s="6"/>
      <c r="L908" s="6"/>
      <c r="M908" s="6"/>
      <c r="N908" s="6"/>
      <c r="O908" s="6"/>
      <c r="P908" s="6"/>
      <c r="Q908" s="6"/>
      <c r="R908" s="6"/>
      <c r="S908" s="6"/>
      <c r="T908" s="6"/>
      <c r="U908" s="6"/>
      <c r="V908" s="6"/>
      <c r="W908" s="6"/>
      <c r="X908" s="6"/>
      <c r="Y908" s="6"/>
      <c r="Z908" s="6"/>
      <c r="AA908" s="6"/>
      <c r="AB908" s="6"/>
      <c r="AC908" s="6"/>
    </row>
    <row r="909" ht="14.25" customHeight="1">
      <c r="A909" s="28"/>
      <c r="B909" s="28"/>
      <c r="C909" s="29"/>
      <c r="D909" s="30"/>
      <c r="E909" s="28"/>
      <c r="F909" s="19"/>
      <c r="G909" s="6"/>
      <c r="H909" s="6"/>
      <c r="I909" s="6"/>
      <c r="J909" s="6"/>
      <c r="K909" s="6"/>
      <c r="L909" s="6"/>
      <c r="M909" s="6"/>
      <c r="N909" s="6"/>
      <c r="O909" s="6"/>
      <c r="P909" s="6"/>
      <c r="Q909" s="6"/>
      <c r="R909" s="6"/>
      <c r="S909" s="6"/>
      <c r="T909" s="6"/>
      <c r="U909" s="6"/>
      <c r="V909" s="6"/>
      <c r="W909" s="6"/>
      <c r="X909" s="6"/>
      <c r="Y909" s="6"/>
      <c r="Z909" s="6"/>
      <c r="AA909" s="6"/>
      <c r="AB909" s="6"/>
      <c r="AC909" s="6"/>
    </row>
    <row r="910" ht="14.25" customHeight="1">
      <c r="A910" s="28"/>
      <c r="B910" s="28"/>
      <c r="C910" s="29"/>
      <c r="D910" s="30"/>
      <c r="E910" s="28"/>
      <c r="F910" s="19"/>
      <c r="G910" s="6"/>
      <c r="H910" s="6"/>
      <c r="I910" s="6"/>
      <c r="J910" s="6"/>
      <c r="K910" s="6"/>
      <c r="L910" s="6"/>
      <c r="M910" s="6"/>
      <c r="N910" s="6"/>
      <c r="O910" s="6"/>
      <c r="P910" s="6"/>
      <c r="Q910" s="6"/>
      <c r="R910" s="6"/>
      <c r="S910" s="6"/>
      <c r="T910" s="6"/>
      <c r="U910" s="6"/>
      <c r="V910" s="6"/>
      <c r="W910" s="6"/>
      <c r="X910" s="6"/>
      <c r="Y910" s="6"/>
      <c r="Z910" s="6"/>
      <c r="AA910" s="6"/>
      <c r="AB910" s="6"/>
      <c r="AC910" s="6"/>
    </row>
    <row r="911" ht="14.25" customHeight="1">
      <c r="A911" s="28"/>
      <c r="B911" s="28"/>
      <c r="C911" s="29"/>
      <c r="D911" s="30"/>
      <c r="E911" s="28"/>
      <c r="F911" s="19"/>
      <c r="G911" s="6"/>
      <c r="H911" s="6"/>
      <c r="I911" s="6"/>
      <c r="J911" s="6"/>
      <c r="K911" s="6"/>
      <c r="L911" s="6"/>
      <c r="M911" s="6"/>
      <c r="N911" s="6"/>
      <c r="O911" s="6"/>
      <c r="P911" s="6"/>
      <c r="Q911" s="6"/>
      <c r="R911" s="6"/>
      <c r="S911" s="6"/>
      <c r="T911" s="6"/>
      <c r="U911" s="6"/>
      <c r="V911" s="6"/>
      <c r="W911" s="6"/>
      <c r="X911" s="6"/>
      <c r="Y911" s="6"/>
      <c r="Z911" s="6"/>
      <c r="AA911" s="6"/>
      <c r="AB911" s="6"/>
      <c r="AC911" s="6"/>
    </row>
    <row r="912" ht="14.25" customHeight="1">
      <c r="A912" s="28"/>
      <c r="B912" s="28"/>
      <c r="C912" s="29"/>
      <c r="D912" s="30"/>
      <c r="E912" s="28"/>
      <c r="F912" s="19"/>
      <c r="G912" s="6"/>
      <c r="H912" s="6"/>
      <c r="I912" s="6"/>
      <c r="J912" s="6"/>
      <c r="K912" s="6"/>
      <c r="L912" s="6"/>
      <c r="M912" s="6"/>
      <c r="N912" s="6"/>
      <c r="O912" s="6"/>
      <c r="P912" s="6"/>
      <c r="Q912" s="6"/>
      <c r="R912" s="6"/>
      <c r="S912" s="6"/>
      <c r="T912" s="6"/>
      <c r="U912" s="6"/>
      <c r="V912" s="6"/>
      <c r="W912" s="6"/>
      <c r="X912" s="6"/>
      <c r="Y912" s="6"/>
      <c r="Z912" s="6"/>
      <c r="AA912" s="6"/>
      <c r="AB912" s="6"/>
      <c r="AC912" s="6"/>
    </row>
    <row r="913" ht="14.25" customHeight="1">
      <c r="A913" s="28"/>
      <c r="B913" s="28"/>
      <c r="C913" s="29"/>
      <c r="D913" s="30"/>
      <c r="E913" s="28"/>
      <c r="F913" s="19"/>
      <c r="G913" s="6"/>
      <c r="H913" s="6"/>
      <c r="I913" s="6"/>
      <c r="J913" s="6"/>
      <c r="K913" s="6"/>
      <c r="L913" s="6"/>
      <c r="M913" s="6"/>
      <c r="N913" s="6"/>
      <c r="O913" s="6"/>
      <c r="P913" s="6"/>
      <c r="Q913" s="6"/>
      <c r="R913" s="6"/>
      <c r="S913" s="6"/>
      <c r="T913" s="6"/>
      <c r="U913" s="6"/>
      <c r="V913" s="6"/>
      <c r="W913" s="6"/>
      <c r="X913" s="6"/>
      <c r="Y913" s="6"/>
      <c r="Z913" s="6"/>
      <c r="AA913" s="6"/>
      <c r="AB913" s="6"/>
      <c r="AC913" s="6"/>
    </row>
    <row r="914" ht="14.25" customHeight="1">
      <c r="A914" s="28"/>
      <c r="B914" s="28"/>
      <c r="C914" s="29"/>
      <c r="D914" s="30"/>
      <c r="E914" s="28"/>
      <c r="F914" s="19"/>
      <c r="G914" s="6"/>
      <c r="H914" s="6"/>
      <c r="I914" s="6"/>
      <c r="J914" s="6"/>
      <c r="K914" s="6"/>
      <c r="L914" s="6"/>
      <c r="M914" s="6"/>
      <c r="N914" s="6"/>
      <c r="O914" s="6"/>
      <c r="P914" s="6"/>
      <c r="Q914" s="6"/>
      <c r="R914" s="6"/>
      <c r="S914" s="6"/>
      <c r="T914" s="6"/>
      <c r="U914" s="6"/>
      <c r="V914" s="6"/>
      <c r="W914" s="6"/>
      <c r="X914" s="6"/>
      <c r="Y914" s="6"/>
      <c r="Z914" s="6"/>
      <c r="AA914" s="6"/>
      <c r="AB914" s="6"/>
      <c r="AC914" s="6"/>
    </row>
    <row r="915" ht="14.25" customHeight="1">
      <c r="A915" s="28"/>
      <c r="B915" s="28"/>
      <c r="C915" s="29"/>
      <c r="D915" s="30"/>
      <c r="E915" s="28"/>
      <c r="F915" s="19"/>
      <c r="G915" s="6"/>
      <c r="H915" s="6"/>
      <c r="I915" s="6"/>
      <c r="J915" s="6"/>
      <c r="K915" s="6"/>
      <c r="L915" s="6"/>
      <c r="M915" s="6"/>
      <c r="N915" s="6"/>
      <c r="O915" s="6"/>
      <c r="P915" s="6"/>
      <c r="Q915" s="6"/>
      <c r="R915" s="6"/>
      <c r="S915" s="6"/>
      <c r="T915" s="6"/>
      <c r="U915" s="6"/>
      <c r="V915" s="6"/>
      <c r="W915" s="6"/>
      <c r="X915" s="6"/>
      <c r="Y915" s="6"/>
      <c r="Z915" s="6"/>
      <c r="AA915" s="6"/>
      <c r="AB915" s="6"/>
      <c r="AC915" s="6"/>
    </row>
    <row r="916" ht="14.25" customHeight="1">
      <c r="A916" s="28"/>
      <c r="B916" s="28"/>
      <c r="C916" s="29"/>
      <c r="D916" s="30"/>
      <c r="E916" s="28"/>
      <c r="F916" s="19"/>
      <c r="G916" s="6"/>
      <c r="H916" s="6"/>
      <c r="I916" s="6"/>
      <c r="J916" s="6"/>
      <c r="K916" s="6"/>
      <c r="L916" s="6"/>
      <c r="M916" s="6"/>
      <c r="N916" s="6"/>
      <c r="O916" s="6"/>
      <c r="P916" s="6"/>
      <c r="Q916" s="6"/>
      <c r="R916" s="6"/>
      <c r="S916" s="6"/>
      <c r="T916" s="6"/>
      <c r="U916" s="6"/>
      <c r="V916" s="6"/>
      <c r="W916" s="6"/>
      <c r="X916" s="6"/>
      <c r="Y916" s="6"/>
      <c r="Z916" s="6"/>
      <c r="AA916" s="6"/>
      <c r="AB916" s="6"/>
      <c r="AC916" s="6"/>
    </row>
    <row r="917" ht="14.25" customHeight="1">
      <c r="A917" s="28"/>
      <c r="B917" s="28"/>
      <c r="C917" s="29"/>
      <c r="D917" s="30"/>
      <c r="E917" s="28"/>
      <c r="F917" s="19"/>
      <c r="G917" s="6"/>
      <c r="H917" s="6"/>
      <c r="I917" s="6"/>
      <c r="J917" s="6"/>
      <c r="K917" s="6"/>
      <c r="L917" s="6"/>
      <c r="M917" s="6"/>
      <c r="N917" s="6"/>
      <c r="O917" s="6"/>
      <c r="P917" s="6"/>
      <c r="Q917" s="6"/>
      <c r="R917" s="6"/>
      <c r="S917" s="6"/>
      <c r="T917" s="6"/>
      <c r="U917" s="6"/>
      <c r="V917" s="6"/>
      <c r="W917" s="6"/>
      <c r="X917" s="6"/>
      <c r="Y917" s="6"/>
      <c r="Z917" s="6"/>
      <c r="AA917" s="6"/>
      <c r="AB917" s="6"/>
      <c r="AC917" s="6"/>
    </row>
    <row r="918" ht="14.25" customHeight="1">
      <c r="A918" s="28"/>
      <c r="B918" s="28"/>
      <c r="C918" s="29"/>
      <c r="D918" s="30"/>
      <c r="E918" s="28"/>
      <c r="F918" s="19"/>
      <c r="G918" s="6"/>
      <c r="H918" s="6"/>
      <c r="I918" s="6"/>
      <c r="J918" s="6"/>
      <c r="K918" s="6"/>
      <c r="L918" s="6"/>
      <c r="M918" s="6"/>
      <c r="N918" s="6"/>
      <c r="O918" s="6"/>
      <c r="P918" s="6"/>
      <c r="Q918" s="6"/>
      <c r="R918" s="6"/>
      <c r="S918" s="6"/>
      <c r="T918" s="6"/>
      <c r="U918" s="6"/>
      <c r="V918" s="6"/>
      <c r="W918" s="6"/>
      <c r="X918" s="6"/>
      <c r="Y918" s="6"/>
      <c r="Z918" s="6"/>
      <c r="AA918" s="6"/>
      <c r="AB918" s="6"/>
      <c r="AC918" s="6"/>
    </row>
    <row r="919" ht="14.25" customHeight="1">
      <c r="A919" s="28"/>
      <c r="B919" s="28"/>
      <c r="C919" s="29"/>
      <c r="D919" s="30"/>
      <c r="E919" s="28"/>
      <c r="F919" s="19"/>
      <c r="G919" s="6"/>
      <c r="H919" s="6"/>
      <c r="I919" s="6"/>
      <c r="J919" s="6"/>
      <c r="K919" s="6"/>
      <c r="L919" s="6"/>
      <c r="M919" s="6"/>
      <c r="N919" s="6"/>
      <c r="O919" s="6"/>
      <c r="P919" s="6"/>
      <c r="Q919" s="6"/>
      <c r="R919" s="6"/>
      <c r="S919" s="6"/>
      <c r="T919" s="6"/>
      <c r="U919" s="6"/>
      <c r="V919" s="6"/>
      <c r="W919" s="6"/>
      <c r="X919" s="6"/>
      <c r="Y919" s="6"/>
      <c r="Z919" s="6"/>
      <c r="AA919" s="6"/>
      <c r="AB919" s="6"/>
      <c r="AC919" s="6"/>
    </row>
    <row r="920" ht="14.25" customHeight="1">
      <c r="A920" s="28"/>
      <c r="B920" s="28"/>
      <c r="C920" s="29"/>
      <c r="D920" s="30"/>
      <c r="E920" s="28"/>
      <c r="F920" s="19"/>
      <c r="G920" s="6"/>
      <c r="H920" s="6"/>
      <c r="I920" s="6"/>
      <c r="J920" s="6"/>
      <c r="K920" s="6"/>
      <c r="L920" s="6"/>
      <c r="M920" s="6"/>
      <c r="N920" s="6"/>
      <c r="O920" s="6"/>
      <c r="P920" s="6"/>
      <c r="Q920" s="6"/>
      <c r="R920" s="6"/>
      <c r="S920" s="6"/>
      <c r="T920" s="6"/>
      <c r="U920" s="6"/>
      <c r="V920" s="6"/>
      <c r="W920" s="6"/>
      <c r="X920" s="6"/>
      <c r="Y920" s="6"/>
      <c r="Z920" s="6"/>
      <c r="AA920" s="6"/>
      <c r="AB920" s="6"/>
      <c r="AC920" s="6"/>
    </row>
    <row r="921" ht="14.25" customHeight="1">
      <c r="A921" s="28"/>
      <c r="B921" s="28"/>
      <c r="C921" s="29"/>
      <c r="D921" s="30"/>
      <c r="E921" s="28"/>
      <c r="F921" s="19"/>
      <c r="G921" s="6"/>
      <c r="H921" s="6"/>
      <c r="I921" s="6"/>
      <c r="J921" s="6"/>
      <c r="K921" s="6"/>
      <c r="L921" s="6"/>
      <c r="M921" s="6"/>
      <c r="N921" s="6"/>
      <c r="O921" s="6"/>
      <c r="P921" s="6"/>
      <c r="Q921" s="6"/>
      <c r="R921" s="6"/>
      <c r="S921" s="6"/>
      <c r="T921" s="6"/>
      <c r="U921" s="6"/>
      <c r="V921" s="6"/>
      <c r="W921" s="6"/>
      <c r="X921" s="6"/>
      <c r="Y921" s="6"/>
      <c r="Z921" s="6"/>
      <c r="AA921" s="6"/>
      <c r="AB921" s="6"/>
      <c r="AC921" s="6"/>
    </row>
    <row r="922" ht="14.25" customHeight="1">
      <c r="A922" s="28"/>
      <c r="B922" s="28"/>
      <c r="C922" s="29"/>
      <c r="D922" s="30"/>
      <c r="E922" s="28"/>
      <c r="F922" s="19"/>
      <c r="G922" s="6"/>
      <c r="H922" s="6"/>
      <c r="I922" s="6"/>
      <c r="J922" s="6"/>
      <c r="K922" s="6"/>
      <c r="L922" s="6"/>
      <c r="M922" s="6"/>
      <c r="N922" s="6"/>
      <c r="O922" s="6"/>
      <c r="P922" s="6"/>
      <c r="Q922" s="6"/>
      <c r="R922" s="6"/>
      <c r="S922" s="6"/>
      <c r="T922" s="6"/>
      <c r="U922" s="6"/>
      <c r="V922" s="6"/>
      <c r="W922" s="6"/>
      <c r="X922" s="6"/>
      <c r="Y922" s="6"/>
      <c r="Z922" s="6"/>
      <c r="AA922" s="6"/>
      <c r="AB922" s="6"/>
      <c r="AC922" s="6"/>
    </row>
    <row r="923" ht="14.25" customHeight="1">
      <c r="A923" s="28"/>
      <c r="B923" s="28"/>
      <c r="C923" s="29"/>
      <c r="D923" s="30"/>
      <c r="E923" s="28"/>
      <c r="F923" s="19"/>
      <c r="G923" s="6"/>
      <c r="H923" s="6"/>
      <c r="I923" s="6"/>
      <c r="J923" s="6"/>
      <c r="K923" s="6"/>
      <c r="L923" s="6"/>
      <c r="M923" s="6"/>
      <c r="N923" s="6"/>
      <c r="O923" s="6"/>
      <c r="P923" s="6"/>
      <c r="Q923" s="6"/>
      <c r="R923" s="6"/>
      <c r="S923" s="6"/>
      <c r="T923" s="6"/>
      <c r="U923" s="6"/>
      <c r="V923" s="6"/>
      <c r="W923" s="6"/>
      <c r="X923" s="6"/>
      <c r="Y923" s="6"/>
      <c r="Z923" s="6"/>
      <c r="AA923" s="6"/>
      <c r="AB923" s="6"/>
      <c r="AC923" s="6"/>
    </row>
    <row r="924" ht="14.25" customHeight="1">
      <c r="A924" s="28"/>
      <c r="B924" s="28"/>
      <c r="C924" s="29"/>
      <c r="D924" s="30"/>
      <c r="E924" s="28"/>
      <c r="F924" s="19"/>
      <c r="G924" s="6"/>
      <c r="H924" s="6"/>
      <c r="I924" s="6"/>
      <c r="J924" s="6"/>
      <c r="K924" s="6"/>
      <c r="L924" s="6"/>
      <c r="M924" s="6"/>
      <c r="N924" s="6"/>
      <c r="O924" s="6"/>
      <c r="P924" s="6"/>
      <c r="Q924" s="6"/>
      <c r="R924" s="6"/>
      <c r="S924" s="6"/>
      <c r="T924" s="6"/>
      <c r="U924" s="6"/>
      <c r="V924" s="6"/>
      <c r="W924" s="6"/>
      <c r="X924" s="6"/>
      <c r="Y924" s="6"/>
      <c r="Z924" s="6"/>
      <c r="AA924" s="6"/>
      <c r="AB924" s="6"/>
      <c r="AC924" s="6"/>
    </row>
    <row r="925" ht="14.25" customHeight="1">
      <c r="A925" s="28"/>
      <c r="B925" s="28"/>
      <c r="C925" s="29"/>
      <c r="D925" s="30"/>
      <c r="E925" s="28"/>
      <c r="F925" s="19"/>
      <c r="G925" s="6"/>
      <c r="H925" s="6"/>
      <c r="I925" s="6"/>
      <c r="J925" s="6"/>
      <c r="K925" s="6"/>
      <c r="L925" s="6"/>
      <c r="M925" s="6"/>
      <c r="N925" s="6"/>
      <c r="O925" s="6"/>
      <c r="P925" s="6"/>
      <c r="Q925" s="6"/>
      <c r="R925" s="6"/>
      <c r="S925" s="6"/>
      <c r="T925" s="6"/>
      <c r="U925" s="6"/>
      <c r="V925" s="6"/>
      <c r="W925" s="6"/>
      <c r="X925" s="6"/>
      <c r="Y925" s="6"/>
      <c r="Z925" s="6"/>
      <c r="AA925" s="6"/>
      <c r="AB925" s="6"/>
      <c r="AC925" s="6"/>
    </row>
    <row r="926" ht="14.25" customHeight="1">
      <c r="A926" s="28"/>
      <c r="B926" s="28"/>
      <c r="C926" s="29"/>
      <c r="D926" s="30"/>
      <c r="E926" s="28"/>
      <c r="F926" s="19"/>
      <c r="G926" s="6"/>
      <c r="H926" s="6"/>
      <c r="I926" s="6"/>
      <c r="J926" s="6"/>
      <c r="K926" s="6"/>
      <c r="L926" s="6"/>
      <c r="M926" s="6"/>
      <c r="N926" s="6"/>
      <c r="O926" s="6"/>
      <c r="P926" s="6"/>
      <c r="Q926" s="6"/>
      <c r="R926" s="6"/>
      <c r="S926" s="6"/>
      <c r="T926" s="6"/>
      <c r="U926" s="6"/>
      <c r="V926" s="6"/>
      <c r="W926" s="6"/>
      <c r="X926" s="6"/>
      <c r="Y926" s="6"/>
      <c r="Z926" s="6"/>
      <c r="AA926" s="6"/>
      <c r="AB926" s="6"/>
      <c r="AC926" s="6"/>
    </row>
    <row r="927" ht="14.25" customHeight="1">
      <c r="A927" s="28"/>
      <c r="B927" s="28"/>
      <c r="C927" s="29"/>
      <c r="D927" s="30"/>
      <c r="E927" s="28"/>
      <c r="F927" s="19"/>
      <c r="G927" s="6"/>
      <c r="H927" s="6"/>
      <c r="I927" s="6"/>
      <c r="J927" s="6"/>
      <c r="K927" s="6"/>
      <c r="L927" s="6"/>
      <c r="M927" s="6"/>
      <c r="N927" s="6"/>
      <c r="O927" s="6"/>
      <c r="P927" s="6"/>
      <c r="Q927" s="6"/>
      <c r="R927" s="6"/>
      <c r="S927" s="6"/>
      <c r="T927" s="6"/>
      <c r="U927" s="6"/>
      <c r="V927" s="6"/>
      <c r="W927" s="6"/>
      <c r="X927" s="6"/>
      <c r="Y927" s="6"/>
      <c r="Z927" s="6"/>
      <c r="AA927" s="6"/>
      <c r="AB927" s="6"/>
      <c r="AC927" s="6"/>
    </row>
    <row r="928" ht="14.25" customHeight="1">
      <c r="A928" s="28"/>
      <c r="B928" s="28"/>
      <c r="C928" s="29"/>
      <c r="D928" s="30"/>
      <c r="E928" s="28"/>
      <c r="F928" s="19"/>
      <c r="G928" s="6"/>
      <c r="H928" s="6"/>
      <c r="I928" s="6"/>
      <c r="J928" s="6"/>
      <c r="K928" s="6"/>
      <c r="L928" s="6"/>
      <c r="M928" s="6"/>
      <c r="N928" s="6"/>
      <c r="O928" s="6"/>
      <c r="P928" s="6"/>
      <c r="Q928" s="6"/>
      <c r="R928" s="6"/>
      <c r="S928" s="6"/>
      <c r="T928" s="6"/>
      <c r="U928" s="6"/>
      <c r="V928" s="6"/>
      <c r="W928" s="6"/>
      <c r="X928" s="6"/>
      <c r="Y928" s="6"/>
      <c r="Z928" s="6"/>
      <c r="AA928" s="6"/>
      <c r="AB928" s="6"/>
      <c r="AC928" s="6"/>
    </row>
    <row r="929" ht="14.25" customHeight="1">
      <c r="A929" s="28"/>
      <c r="B929" s="28"/>
      <c r="C929" s="29"/>
      <c r="D929" s="30"/>
      <c r="E929" s="28"/>
      <c r="F929" s="19"/>
      <c r="G929" s="6"/>
      <c r="H929" s="6"/>
      <c r="I929" s="6"/>
      <c r="J929" s="6"/>
      <c r="K929" s="6"/>
      <c r="L929" s="6"/>
      <c r="M929" s="6"/>
      <c r="N929" s="6"/>
      <c r="O929" s="6"/>
      <c r="P929" s="6"/>
      <c r="Q929" s="6"/>
      <c r="R929" s="6"/>
      <c r="S929" s="6"/>
      <c r="T929" s="6"/>
      <c r="U929" s="6"/>
      <c r="V929" s="6"/>
      <c r="W929" s="6"/>
      <c r="X929" s="6"/>
      <c r="Y929" s="6"/>
      <c r="Z929" s="6"/>
      <c r="AA929" s="6"/>
      <c r="AB929" s="6"/>
      <c r="AC929" s="6"/>
    </row>
    <row r="930" ht="14.25" customHeight="1">
      <c r="A930" s="28"/>
      <c r="B930" s="28"/>
      <c r="C930" s="29"/>
      <c r="D930" s="30"/>
      <c r="E930" s="28"/>
      <c r="F930" s="19"/>
      <c r="G930" s="6"/>
      <c r="H930" s="6"/>
      <c r="I930" s="6"/>
      <c r="J930" s="6"/>
      <c r="K930" s="6"/>
      <c r="L930" s="6"/>
      <c r="M930" s="6"/>
      <c r="N930" s="6"/>
      <c r="O930" s="6"/>
      <c r="P930" s="6"/>
      <c r="Q930" s="6"/>
      <c r="R930" s="6"/>
      <c r="S930" s="6"/>
      <c r="T930" s="6"/>
      <c r="U930" s="6"/>
      <c r="V930" s="6"/>
      <c r="W930" s="6"/>
      <c r="X930" s="6"/>
      <c r="Y930" s="6"/>
      <c r="Z930" s="6"/>
      <c r="AA930" s="6"/>
      <c r="AB930" s="6"/>
      <c r="AC930" s="6"/>
    </row>
    <row r="931" ht="14.25" customHeight="1">
      <c r="A931" s="28"/>
      <c r="B931" s="28"/>
      <c r="C931" s="29"/>
      <c r="D931" s="30"/>
      <c r="E931" s="28"/>
      <c r="F931" s="19"/>
      <c r="G931" s="6"/>
      <c r="H931" s="6"/>
      <c r="I931" s="6"/>
      <c r="J931" s="6"/>
      <c r="K931" s="6"/>
      <c r="L931" s="6"/>
      <c r="M931" s="6"/>
      <c r="N931" s="6"/>
      <c r="O931" s="6"/>
      <c r="P931" s="6"/>
      <c r="Q931" s="6"/>
      <c r="R931" s="6"/>
      <c r="S931" s="6"/>
      <c r="T931" s="6"/>
      <c r="U931" s="6"/>
      <c r="V931" s="6"/>
      <c r="W931" s="6"/>
      <c r="X931" s="6"/>
      <c r="Y931" s="6"/>
      <c r="Z931" s="6"/>
      <c r="AA931" s="6"/>
      <c r="AB931" s="6"/>
      <c r="AC931" s="6"/>
    </row>
    <row r="932" ht="14.25" customHeight="1">
      <c r="A932" s="28"/>
      <c r="B932" s="28"/>
      <c r="C932" s="29"/>
      <c r="D932" s="30"/>
      <c r="E932" s="28"/>
      <c r="F932" s="19"/>
      <c r="G932" s="6"/>
      <c r="H932" s="6"/>
      <c r="I932" s="6"/>
      <c r="J932" s="6"/>
      <c r="K932" s="6"/>
      <c r="L932" s="6"/>
      <c r="M932" s="6"/>
      <c r="N932" s="6"/>
      <c r="O932" s="6"/>
      <c r="P932" s="6"/>
      <c r="Q932" s="6"/>
      <c r="R932" s="6"/>
      <c r="S932" s="6"/>
      <c r="T932" s="6"/>
      <c r="U932" s="6"/>
      <c r="V932" s="6"/>
      <c r="W932" s="6"/>
      <c r="X932" s="6"/>
      <c r="Y932" s="6"/>
      <c r="Z932" s="6"/>
      <c r="AA932" s="6"/>
      <c r="AB932" s="6"/>
      <c r="AC932" s="6"/>
    </row>
    <row r="933" ht="14.25" customHeight="1">
      <c r="A933" s="28"/>
      <c r="B933" s="28"/>
      <c r="C933" s="29"/>
      <c r="D933" s="30"/>
      <c r="E933" s="28"/>
      <c r="F933" s="19"/>
      <c r="G933" s="6"/>
      <c r="H933" s="6"/>
      <c r="I933" s="6"/>
      <c r="J933" s="6"/>
      <c r="K933" s="6"/>
      <c r="L933" s="6"/>
      <c r="M933" s="6"/>
      <c r="N933" s="6"/>
      <c r="O933" s="6"/>
      <c r="P933" s="6"/>
      <c r="Q933" s="6"/>
      <c r="R933" s="6"/>
      <c r="S933" s="6"/>
      <c r="T933" s="6"/>
      <c r="U933" s="6"/>
      <c r="V933" s="6"/>
      <c r="W933" s="6"/>
      <c r="X933" s="6"/>
      <c r="Y933" s="6"/>
      <c r="Z933" s="6"/>
      <c r="AA933" s="6"/>
      <c r="AB933" s="6"/>
      <c r="AC933" s="6"/>
    </row>
    <row r="934" ht="14.25" customHeight="1">
      <c r="A934" s="28"/>
      <c r="B934" s="28"/>
      <c r="C934" s="29"/>
      <c r="D934" s="30"/>
      <c r="E934" s="28"/>
      <c r="F934" s="19"/>
      <c r="G934" s="6"/>
      <c r="H934" s="6"/>
      <c r="I934" s="6"/>
      <c r="J934" s="6"/>
      <c r="K934" s="6"/>
      <c r="L934" s="6"/>
      <c r="M934" s="6"/>
      <c r="N934" s="6"/>
      <c r="O934" s="6"/>
      <c r="P934" s="6"/>
      <c r="Q934" s="6"/>
      <c r="R934" s="6"/>
      <c r="S934" s="6"/>
      <c r="T934" s="6"/>
      <c r="U934" s="6"/>
      <c r="V934" s="6"/>
      <c r="W934" s="6"/>
      <c r="X934" s="6"/>
      <c r="Y934" s="6"/>
      <c r="Z934" s="6"/>
      <c r="AA934" s="6"/>
      <c r="AB934" s="6"/>
      <c r="AC934" s="6"/>
    </row>
    <row r="935" ht="14.25" customHeight="1">
      <c r="A935" s="28"/>
      <c r="B935" s="28"/>
      <c r="C935" s="29"/>
      <c r="D935" s="30"/>
      <c r="E935" s="28"/>
      <c r="F935" s="19"/>
      <c r="G935" s="6"/>
      <c r="H935" s="6"/>
      <c r="I935" s="6"/>
      <c r="J935" s="6"/>
      <c r="K935" s="6"/>
      <c r="L935" s="6"/>
      <c r="M935" s="6"/>
      <c r="N935" s="6"/>
      <c r="O935" s="6"/>
      <c r="P935" s="6"/>
      <c r="Q935" s="6"/>
      <c r="R935" s="6"/>
      <c r="S935" s="6"/>
      <c r="T935" s="6"/>
      <c r="U935" s="6"/>
      <c r="V935" s="6"/>
      <c r="W935" s="6"/>
      <c r="X935" s="6"/>
      <c r="Y935" s="6"/>
      <c r="Z935" s="6"/>
      <c r="AA935" s="6"/>
      <c r="AB935" s="6"/>
      <c r="AC935" s="6"/>
    </row>
    <row r="936" ht="14.25" customHeight="1">
      <c r="A936" s="28"/>
      <c r="B936" s="28"/>
      <c r="C936" s="29"/>
      <c r="D936" s="30"/>
      <c r="E936" s="28"/>
      <c r="F936" s="19"/>
      <c r="G936" s="6"/>
      <c r="H936" s="6"/>
      <c r="I936" s="6"/>
      <c r="J936" s="6"/>
      <c r="K936" s="6"/>
      <c r="L936" s="6"/>
      <c r="M936" s="6"/>
      <c r="N936" s="6"/>
      <c r="O936" s="6"/>
      <c r="P936" s="6"/>
      <c r="Q936" s="6"/>
      <c r="R936" s="6"/>
      <c r="S936" s="6"/>
      <c r="T936" s="6"/>
      <c r="U936" s="6"/>
      <c r="V936" s="6"/>
      <c r="W936" s="6"/>
      <c r="X936" s="6"/>
      <c r="Y936" s="6"/>
      <c r="Z936" s="6"/>
      <c r="AA936" s="6"/>
      <c r="AB936" s="6"/>
      <c r="AC936" s="6"/>
    </row>
    <row r="937" ht="14.25" customHeight="1">
      <c r="A937" s="28"/>
      <c r="B937" s="28"/>
      <c r="C937" s="29"/>
      <c r="D937" s="30"/>
      <c r="E937" s="28"/>
      <c r="F937" s="19"/>
      <c r="G937" s="6"/>
      <c r="H937" s="6"/>
      <c r="I937" s="6"/>
      <c r="J937" s="6"/>
      <c r="K937" s="6"/>
      <c r="L937" s="6"/>
      <c r="M937" s="6"/>
      <c r="N937" s="6"/>
      <c r="O937" s="6"/>
      <c r="P937" s="6"/>
      <c r="Q937" s="6"/>
      <c r="R937" s="6"/>
      <c r="S937" s="6"/>
      <c r="T937" s="6"/>
      <c r="U937" s="6"/>
      <c r="V937" s="6"/>
      <c r="W937" s="6"/>
      <c r="X937" s="6"/>
      <c r="Y937" s="6"/>
      <c r="Z937" s="6"/>
      <c r="AA937" s="6"/>
      <c r="AB937" s="6"/>
      <c r="AC937" s="6"/>
    </row>
    <row r="938" ht="14.25" customHeight="1">
      <c r="A938" s="28"/>
      <c r="B938" s="28"/>
      <c r="C938" s="29"/>
      <c r="D938" s="30"/>
      <c r="E938" s="28"/>
      <c r="F938" s="19"/>
      <c r="G938" s="6"/>
      <c r="H938" s="6"/>
      <c r="I938" s="6"/>
      <c r="J938" s="6"/>
      <c r="K938" s="6"/>
      <c r="L938" s="6"/>
      <c r="M938" s="6"/>
      <c r="N938" s="6"/>
      <c r="O938" s="6"/>
      <c r="P938" s="6"/>
      <c r="Q938" s="6"/>
      <c r="R938" s="6"/>
      <c r="S938" s="6"/>
      <c r="T938" s="6"/>
      <c r="U938" s="6"/>
      <c r="V938" s="6"/>
      <c r="W938" s="6"/>
      <c r="X938" s="6"/>
      <c r="Y938" s="6"/>
      <c r="Z938" s="6"/>
      <c r="AA938" s="6"/>
      <c r="AB938" s="6"/>
      <c r="AC938" s="6"/>
    </row>
    <row r="939" ht="14.25" customHeight="1">
      <c r="A939" s="28"/>
      <c r="B939" s="28"/>
      <c r="C939" s="29"/>
      <c r="D939" s="30"/>
      <c r="E939" s="28"/>
      <c r="F939" s="19"/>
      <c r="G939" s="6"/>
      <c r="H939" s="6"/>
      <c r="I939" s="6"/>
      <c r="J939" s="6"/>
      <c r="K939" s="6"/>
      <c r="L939" s="6"/>
      <c r="M939" s="6"/>
      <c r="N939" s="6"/>
      <c r="O939" s="6"/>
      <c r="P939" s="6"/>
      <c r="Q939" s="6"/>
      <c r="R939" s="6"/>
      <c r="S939" s="6"/>
      <c r="T939" s="6"/>
      <c r="U939" s="6"/>
      <c r="V939" s="6"/>
      <c r="W939" s="6"/>
      <c r="X939" s="6"/>
      <c r="Y939" s="6"/>
      <c r="Z939" s="6"/>
      <c r="AA939" s="6"/>
      <c r="AB939" s="6"/>
      <c r="AC939" s="6"/>
    </row>
    <row r="940" ht="14.25" customHeight="1">
      <c r="A940" s="28"/>
      <c r="B940" s="28"/>
      <c r="C940" s="29"/>
      <c r="D940" s="30"/>
      <c r="E940" s="28"/>
      <c r="F940" s="19"/>
      <c r="G940" s="6"/>
      <c r="H940" s="6"/>
      <c r="I940" s="6"/>
      <c r="J940" s="6"/>
      <c r="K940" s="6"/>
      <c r="L940" s="6"/>
      <c r="M940" s="6"/>
      <c r="N940" s="6"/>
      <c r="O940" s="6"/>
      <c r="P940" s="6"/>
      <c r="Q940" s="6"/>
      <c r="R940" s="6"/>
      <c r="S940" s="6"/>
      <c r="T940" s="6"/>
      <c r="U940" s="6"/>
      <c r="V940" s="6"/>
      <c r="W940" s="6"/>
      <c r="X940" s="6"/>
      <c r="Y940" s="6"/>
      <c r="Z940" s="6"/>
      <c r="AA940" s="6"/>
      <c r="AB940" s="6"/>
      <c r="AC940" s="6"/>
    </row>
    <row r="941" ht="14.25" customHeight="1">
      <c r="A941" s="28"/>
      <c r="B941" s="28"/>
      <c r="C941" s="29"/>
      <c r="D941" s="30"/>
      <c r="E941" s="28"/>
      <c r="F941" s="19"/>
      <c r="G941" s="6"/>
      <c r="H941" s="6"/>
      <c r="I941" s="6"/>
      <c r="J941" s="6"/>
      <c r="K941" s="6"/>
      <c r="L941" s="6"/>
      <c r="M941" s="6"/>
      <c r="N941" s="6"/>
      <c r="O941" s="6"/>
      <c r="P941" s="6"/>
      <c r="Q941" s="6"/>
      <c r="R941" s="6"/>
      <c r="S941" s="6"/>
      <c r="T941" s="6"/>
      <c r="U941" s="6"/>
      <c r="V941" s="6"/>
      <c r="W941" s="6"/>
      <c r="X941" s="6"/>
      <c r="Y941" s="6"/>
      <c r="Z941" s="6"/>
      <c r="AA941" s="6"/>
      <c r="AB941" s="6"/>
      <c r="AC941" s="6"/>
    </row>
    <row r="942" ht="14.25" customHeight="1">
      <c r="A942" s="28"/>
      <c r="B942" s="28"/>
      <c r="C942" s="29"/>
      <c r="D942" s="30"/>
      <c r="E942" s="28"/>
      <c r="F942" s="19"/>
      <c r="G942" s="6"/>
      <c r="H942" s="6"/>
      <c r="I942" s="6"/>
      <c r="J942" s="6"/>
      <c r="K942" s="6"/>
      <c r="L942" s="6"/>
      <c r="M942" s="6"/>
      <c r="N942" s="6"/>
      <c r="O942" s="6"/>
      <c r="P942" s="6"/>
      <c r="Q942" s="6"/>
      <c r="R942" s="6"/>
      <c r="S942" s="6"/>
      <c r="T942" s="6"/>
      <c r="U942" s="6"/>
      <c r="V942" s="6"/>
      <c r="W942" s="6"/>
      <c r="X942" s="6"/>
      <c r="Y942" s="6"/>
      <c r="Z942" s="6"/>
      <c r="AA942" s="6"/>
      <c r="AB942" s="6"/>
      <c r="AC942" s="6"/>
    </row>
    <row r="943" ht="14.25" customHeight="1">
      <c r="A943" s="28"/>
      <c r="B943" s="28"/>
      <c r="C943" s="29"/>
      <c r="D943" s="30"/>
      <c r="E943" s="28"/>
      <c r="F943" s="19"/>
      <c r="G943" s="6"/>
      <c r="H943" s="6"/>
      <c r="I943" s="6"/>
      <c r="J943" s="6"/>
      <c r="K943" s="6"/>
      <c r="L943" s="6"/>
      <c r="M943" s="6"/>
      <c r="N943" s="6"/>
      <c r="O943" s="6"/>
      <c r="P943" s="6"/>
      <c r="Q943" s="6"/>
      <c r="R943" s="6"/>
      <c r="S943" s="6"/>
      <c r="T943" s="6"/>
      <c r="U943" s="6"/>
      <c r="V943" s="6"/>
      <c r="W943" s="6"/>
      <c r="X943" s="6"/>
      <c r="Y943" s="6"/>
      <c r="Z943" s="6"/>
      <c r="AA943" s="6"/>
      <c r="AB943" s="6"/>
      <c r="AC943" s="6"/>
    </row>
    <row r="944" ht="14.25" customHeight="1">
      <c r="A944" s="28"/>
      <c r="B944" s="28"/>
      <c r="C944" s="29"/>
      <c r="D944" s="30"/>
      <c r="E944" s="28"/>
      <c r="F944" s="19"/>
      <c r="G944" s="6"/>
      <c r="H944" s="6"/>
      <c r="I944" s="6"/>
      <c r="J944" s="6"/>
      <c r="K944" s="6"/>
      <c r="L944" s="6"/>
      <c r="M944" s="6"/>
      <c r="N944" s="6"/>
      <c r="O944" s="6"/>
      <c r="P944" s="6"/>
      <c r="Q944" s="6"/>
      <c r="R944" s="6"/>
      <c r="S944" s="6"/>
      <c r="T944" s="6"/>
      <c r="U944" s="6"/>
      <c r="V944" s="6"/>
      <c r="W944" s="6"/>
      <c r="X944" s="6"/>
      <c r="Y944" s="6"/>
      <c r="Z944" s="6"/>
      <c r="AA944" s="6"/>
      <c r="AB944" s="6"/>
      <c r="AC944" s="6"/>
    </row>
    <row r="945" ht="14.25" customHeight="1">
      <c r="A945" s="28"/>
      <c r="B945" s="28"/>
      <c r="C945" s="29"/>
      <c r="D945" s="30"/>
      <c r="E945" s="28"/>
      <c r="F945" s="19"/>
      <c r="G945" s="6"/>
      <c r="H945" s="6"/>
      <c r="I945" s="6"/>
      <c r="J945" s="6"/>
      <c r="K945" s="6"/>
      <c r="L945" s="6"/>
      <c r="M945" s="6"/>
      <c r="N945" s="6"/>
      <c r="O945" s="6"/>
      <c r="P945" s="6"/>
      <c r="Q945" s="6"/>
      <c r="R945" s="6"/>
      <c r="S945" s="6"/>
      <c r="T945" s="6"/>
      <c r="U945" s="6"/>
      <c r="V945" s="6"/>
      <c r="W945" s="6"/>
      <c r="X945" s="6"/>
      <c r="Y945" s="6"/>
      <c r="Z945" s="6"/>
      <c r="AA945" s="6"/>
      <c r="AB945" s="6"/>
      <c r="AC945" s="6"/>
    </row>
    <row r="946" ht="14.25" customHeight="1">
      <c r="A946" s="28"/>
      <c r="B946" s="28"/>
      <c r="C946" s="29"/>
      <c r="D946" s="30"/>
      <c r="E946" s="28"/>
      <c r="F946" s="19"/>
      <c r="G946" s="6"/>
      <c r="H946" s="6"/>
      <c r="I946" s="6"/>
      <c r="J946" s="6"/>
      <c r="K946" s="6"/>
      <c r="L946" s="6"/>
      <c r="M946" s="6"/>
      <c r="N946" s="6"/>
      <c r="O946" s="6"/>
      <c r="P946" s="6"/>
      <c r="Q946" s="6"/>
      <c r="R946" s="6"/>
      <c r="S946" s="6"/>
      <c r="T946" s="6"/>
      <c r="U946" s="6"/>
      <c r="V946" s="6"/>
      <c r="W946" s="6"/>
      <c r="X946" s="6"/>
      <c r="Y946" s="6"/>
      <c r="Z946" s="6"/>
      <c r="AA946" s="6"/>
      <c r="AB946" s="6"/>
      <c r="AC946" s="6"/>
    </row>
    <row r="947" ht="14.25" customHeight="1">
      <c r="A947" s="28"/>
      <c r="B947" s="28"/>
      <c r="C947" s="29"/>
      <c r="D947" s="30"/>
      <c r="E947" s="28"/>
      <c r="F947" s="19"/>
      <c r="G947" s="6"/>
      <c r="H947" s="6"/>
      <c r="I947" s="6"/>
      <c r="J947" s="6"/>
      <c r="K947" s="6"/>
      <c r="L947" s="6"/>
      <c r="M947" s="6"/>
      <c r="N947" s="6"/>
      <c r="O947" s="6"/>
      <c r="P947" s="6"/>
      <c r="Q947" s="6"/>
      <c r="R947" s="6"/>
      <c r="S947" s="6"/>
      <c r="T947" s="6"/>
      <c r="U947" s="6"/>
      <c r="V947" s="6"/>
      <c r="W947" s="6"/>
      <c r="X947" s="6"/>
      <c r="Y947" s="6"/>
      <c r="Z947" s="6"/>
      <c r="AA947" s="6"/>
      <c r="AB947" s="6"/>
      <c r="AC947" s="6"/>
    </row>
    <row r="948" ht="14.25" customHeight="1">
      <c r="A948" s="28"/>
      <c r="B948" s="28"/>
      <c r="C948" s="29"/>
      <c r="D948" s="30"/>
      <c r="E948" s="28"/>
      <c r="F948" s="19"/>
      <c r="G948" s="6"/>
      <c r="H948" s="6"/>
      <c r="I948" s="6"/>
      <c r="J948" s="6"/>
      <c r="K948" s="6"/>
      <c r="L948" s="6"/>
      <c r="M948" s="6"/>
      <c r="N948" s="6"/>
      <c r="O948" s="6"/>
      <c r="P948" s="6"/>
      <c r="Q948" s="6"/>
      <c r="R948" s="6"/>
      <c r="S948" s="6"/>
      <c r="T948" s="6"/>
      <c r="U948" s="6"/>
      <c r="V948" s="6"/>
      <c r="W948" s="6"/>
      <c r="X948" s="6"/>
      <c r="Y948" s="6"/>
      <c r="Z948" s="6"/>
      <c r="AA948" s="6"/>
      <c r="AB948" s="6"/>
      <c r="AC948" s="6"/>
    </row>
    <row r="949" ht="14.25" customHeight="1">
      <c r="A949" s="28"/>
      <c r="B949" s="28"/>
      <c r="C949" s="29"/>
      <c r="D949" s="30"/>
      <c r="E949" s="28"/>
      <c r="F949" s="19"/>
      <c r="G949" s="6"/>
      <c r="H949" s="6"/>
      <c r="I949" s="6"/>
      <c r="J949" s="6"/>
      <c r="K949" s="6"/>
      <c r="L949" s="6"/>
      <c r="M949" s="6"/>
      <c r="N949" s="6"/>
      <c r="O949" s="6"/>
      <c r="P949" s="6"/>
      <c r="Q949" s="6"/>
      <c r="R949" s="6"/>
      <c r="S949" s="6"/>
      <c r="T949" s="6"/>
      <c r="U949" s="6"/>
      <c r="V949" s="6"/>
      <c r="W949" s="6"/>
      <c r="X949" s="6"/>
      <c r="Y949" s="6"/>
      <c r="Z949" s="6"/>
      <c r="AA949" s="6"/>
      <c r="AB949" s="6"/>
      <c r="AC949" s="6"/>
    </row>
    <row r="950" ht="14.25" customHeight="1">
      <c r="A950" s="28"/>
      <c r="B950" s="28"/>
      <c r="C950" s="29"/>
      <c r="D950" s="30"/>
      <c r="E950" s="28"/>
      <c r="F950" s="19"/>
      <c r="G950" s="6"/>
      <c r="H950" s="6"/>
      <c r="I950" s="6"/>
      <c r="J950" s="6"/>
      <c r="K950" s="6"/>
      <c r="L950" s="6"/>
      <c r="M950" s="6"/>
      <c r="N950" s="6"/>
      <c r="O950" s="6"/>
      <c r="P950" s="6"/>
      <c r="Q950" s="6"/>
      <c r="R950" s="6"/>
      <c r="S950" s="6"/>
      <c r="T950" s="6"/>
      <c r="U950" s="6"/>
      <c r="V950" s="6"/>
      <c r="W950" s="6"/>
      <c r="X950" s="6"/>
      <c r="Y950" s="6"/>
      <c r="Z950" s="6"/>
      <c r="AA950" s="6"/>
      <c r="AB950" s="6"/>
      <c r="AC950" s="6"/>
    </row>
    <row r="951" ht="14.25" customHeight="1">
      <c r="A951" s="28"/>
      <c r="B951" s="28"/>
      <c r="C951" s="29"/>
      <c r="D951" s="30"/>
      <c r="E951" s="28"/>
      <c r="F951" s="19"/>
      <c r="G951" s="6"/>
      <c r="H951" s="6"/>
      <c r="I951" s="6"/>
      <c r="J951" s="6"/>
      <c r="K951" s="6"/>
      <c r="L951" s="6"/>
      <c r="M951" s="6"/>
      <c r="N951" s="6"/>
      <c r="O951" s="6"/>
      <c r="P951" s="6"/>
      <c r="Q951" s="6"/>
      <c r="R951" s="6"/>
      <c r="S951" s="6"/>
      <c r="T951" s="6"/>
      <c r="U951" s="6"/>
      <c r="V951" s="6"/>
      <c r="W951" s="6"/>
      <c r="X951" s="6"/>
      <c r="Y951" s="6"/>
      <c r="Z951" s="6"/>
      <c r="AA951" s="6"/>
      <c r="AB951" s="6"/>
      <c r="AC951" s="6"/>
    </row>
    <row r="952" ht="14.25" customHeight="1">
      <c r="A952" s="28"/>
      <c r="B952" s="28"/>
      <c r="C952" s="29"/>
      <c r="D952" s="30"/>
      <c r="E952" s="28"/>
      <c r="F952" s="19"/>
      <c r="G952" s="6"/>
      <c r="H952" s="6"/>
      <c r="I952" s="6"/>
      <c r="J952" s="6"/>
      <c r="K952" s="6"/>
      <c r="L952" s="6"/>
      <c r="M952" s="6"/>
      <c r="N952" s="6"/>
      <c r="O952" s="6"/>
      <c r="P952" s="6"/>
      <c r="Q952" s="6"/>
      <c r="R952" s="6"/>
      <c r="S952" s="6"/>
      <c r="T952" s="6"/>
      <c r="U952" s="6"/>
      <c r="V952" s="6"/>
      <c r="W952" s="6"/>
      <c r="X952" s="6"/>
      <c r="Y952" s="6"/>
      <c r="Z952" s="6"/>
      <c r="AA952" s="6"/>
      <c r="AB952" s="6"/>
      <c r="AC952" s="6"/>
    </row>
    <row r="953" ht="14.25" customHeight="1">
      <c r="A953" s="28"/>
      <c r="B953" s="28"/>
      <c r="C953" s="29"/>
      <c r="D953" s="30"/>
      <c r="E953" s="28"/>
      <c r="F953" s="19"/>
      <c r="G953" s="6"/>
      <c r="H953" s="6"/>
      <c r="I953" s="6"/>
      <c r="J953" s="6"/>
      <c r="K953" s="6"/>
      <c r="L953" s="6"/>
      <c r="M953" s="6"/>
      <c r="N953" s="6"/>
      <c r="O953" s="6"/>
      <c r="P953" s="6"/>
      <c r="Q953" s="6"/>
      <c r="R953" s="6"/>
      <c r="S953" s="6"/>
      <c r="T953" s="6"/>
      <c r="U953" s="6"/>
      <c r="V953" s="6"/>
      <c r="W953" s="6"/>
      <c r="X953" s="6"/>
      <c r="Y953" s="6"/>
      <c r="Z953" s="6"/>
      <c r="AA953" s="6"/>
      <c r="AB953" s="6"/>
      <c r="AC953" s="6"/>
    </row>
    <row r="954" ht="14.25" customHeight="1">
      <c r="A954" s="28"/>
      <c r="B954" s="28"/>
      <c r="C954" s="29"/>
      <c r="D954" s="30"/>
      <c r="E954" s="28"/>
      <c r="F954" s="19"/>
      <c r="G954" s="6"/>
      <c r="H954" s="6"/>
      <c r="I954" s="6"/>
      <c r="J954" s="6"/>
      <c r="K954" s="6"/>
      <c r="L954" s="6"/>
      <c r="M954" s="6"/>
      <c r="N954" s="6"/>
      <c r="O954" s="6"/>
      <c r="P954" s="6"/>
      <c r="Q954" s="6"/>
      <c r="R954" s="6"/>
      <c r="S954" s="6"/>
      <c r="T954" s="6"/>
      <c r="U954" s="6"/>
      <c r="V954" s="6"/>
      <c r="W954" s="6"/>
      <c r="X954" s="6"/>
      <c r="Y954" s="6"/>
      <c r="Z954" s="6"/>
      <c r="AA954" s="6"/>
      <c r="AB954" s="6"/>
      <c r="AC954" s="6"/>
    </row>
    <row r="955" ht="14.25" customHeight="1">
      <c r="A955" s="28"/>
      <c r="B955" s="28"/>
      <c r="C955" s="29"/>
      <c r="D955" s="30"/>
      <c r="E955" s="28"/>
      <c r="F955" s="19"/>
      <c r="G955" s="6"/>
      <c r="H955" s="6"/>
      <c r="I955" s="6"/>
      <c r="J955" s="6"/>
      <c r="K955" s="6"/>
      <c r="L955" s="6"/>
      <c r="M955" s="6"/>
      <c r="N955" s="6"/>
      <c r="O955" s="6"/>
      <c r="P955" s="6"/>
      <c r="Q955" s="6"/>
      <c r="R955" s="6"/>
      <c r="S955" s="6"/>
      <c r="T955" s="6"/>
      <c r="U955" s="6"/>
      <c r="V955" s="6"/>
      <c r="W955" s="6"/>
      <c r="X955" s="6"/>
      <c r="Y955" s="6"/>
      <c r="Z955" s="6"/>
      <c r="AA955" s="6"/>
      <c r="AB955" s="6"/>
      <c r="AC955" s="6"/>
    </row>
    <row r="956" ht="14.25" customHeight="1">
      <c r="A956" s="28"/>
      <c r="B956" s="28"/>
      <c r="C956" s="29"/>
      <c r="D956" s="30"/>
      <c r="E956" s="28"/>
      <c r="F956" s="19"/>
      <c r="G956" s="6"/>
      <c r="H956" s="6"/>
      <c r="I956" s="6"/>
      <c r="J956" s="6"/>
      <c r="K956" s="6"/>
      <c r="L956" s="6"/>
      <c r="M956" s="6"/>
      <c r="N956" s="6"/>
      <c r="O956" s="6"/>
      <c r="P956" s="6"/>
      <c r="Q956" s="6"/>
      <c r="R956" s="6"/>
      <c r="S956" s="6"/>
      <c r="T956" s="6"/>
      <c r="U956" s="6"/>
      <c r="V956" s="6"/>
      <c r="W956" s="6"/>
      <c r="X956" s="6"/>
      <c r="Y956" s="6"/>
      <c r="Z956" s="6"/>
      <c r="AA956" s="6"/>
      <c r="AB956" s="6"/>
      <c r="AC956" s="6"/>
    </row>
    <row r="957" ht="14.25" customHeight="1">
      <c r="A957" s="28"/>
      <c r="B957" s="28"/>
      <c r="C957" s="29"/>
      <c r="D957" s="30"/>
      <c r="E957" s="28"/>
      <c r="F957" s="19"/>
      <c r="G957" s="6"/>
      <c r="H957" s="6"/>
      <c r="I957" s="6"/>
      <c r="J957" s="6"/>
      <c r="K957" s="6"/>
      <c r="L957" s="6"/>
      <c r="M957" s="6"/>
      <c r="N957" s="6"/>
      <c r="O957" s="6"/>
      <c r="P957" s="6"/>
      <c r="Q957" s="6"/>
      <c r="R957" s="6"/>
      <c r="S957" s="6"/>
      <c r="T957" s="6"/>
      <c r="U957" s="6"/>
      <c r="V957" s="6"/>
      <c r="W957" s="6"/>
      <c r="X957" s="6"/>
      <c r="Y957" s="6"/>
      <c r="Z957" s="6"/>
      <c r="AA957" s="6"/>
      <c r="AB957" s="6"/>
      <c r="AC957" s="6"/>
    </row>
    <row r="958" ht="14.25" customHeight="1">
      <c r="A958" s="28"/>
      <c r="B958" s="28"/>
      <c r="C958" s="29"/>
      <c r="D958" s="30"/>
      <c r="E958" s="28"/>
      <c r="F958" s="19"/>
      <c r="G958" s="6"/>
      <c r="H958" s="6"/>
      <c r="I958" s="6"/>
      <c r="J958" s="6"/>
      <c r="K958" s="6"/>
      <c r="L958" s="6"/>
      <c r="M958" s="6"/>
      <c r="N958" s="6"/>
      <c r="O958" s="6"/>
      <c r="P958" s="6"/>
      <c r="Q958" s="6"/>
      <c r="R958" s="6"/>
      <c r="S958" s="6"/>
      <c r="T958" s="6"/>
      <c r="U958" s="6"/>
      <c r="V958" s="6"/>
      <c r="W958" s="6"/>
      <c r="X958" s="6"/>
      <c r="Y958" s="6"/>
      <c r="Z958" s="6"/>
      <c r="AA958" s="6"/>
      <c r="AB958" s="6"/>
      <c r="AC958" s="6"/>
    </row>
    <row r="959" ht="14.25" customHeight="1">
      <c r="A959" s="28"/>
      <c r="B959" s="28"/>
      <c r="C959" s="29"/>
      <c r="D959" s="30"/>
      <c r="E959" s="28"/>
      <c r="F959" s="19"/>
      <c r="G959" s="6"/>
      <c r="H959" s="6"/>
      <c r="I959" s="6"/>
      <c r="J959" s="6"/>
      <c r="K959" s="6"/>
      <c r="L959" s="6"/>
      <c r="M959" s="6"/>
      <c r="N959" s="6"/>
      <c r="O959" s="6"/>
      <c r="P959" s="6"/>
      <c r="Q959" s="6"/>
      <c r="R959" s="6"/>
      <c r="S959" s="6"/>
      <c r="T959" s="6"/>
      <c r="U959" s="6"/>
      <c r="V959" s="6"/>
      <c r="W959" s="6"/>
      <c r="X959" s="6"/>
      <c r="Y959" s="6"/>
      <c r="Z959" s="6"/>
      <c r="AA959" s="6"/>
      <c r="AB959" s="6"/>
      <c r="AC959" s="6"/>
    </row>
    <row r="960" ht="14.25" customHeight="1">
      <c r="A960" s="28"/>
      <c r="B960" s="28"/>
      <c r="C960" s="29"/>
      <c r="D960" s="30"/>
      <c r="E960" s="28"/>
      <c r="F960" s="19"/>
      <c r="G960" s="6"/>
      <c r="H960" s="6"/>
      <c r="I960" s="6"/>
      <c r="J960" s="6"/>
      <c r="K960" s="6"/>
      <c r="L960" s="6"/>
      <c r="M960" s="6"/>
      <c r="N960" s="6"/>
      <c r="O960" s="6"/>
      <c r="P960" s="6"/>
      <c r="Q960" s="6"/>
      <c r="R960" s="6"/>
      <c r="S960" s="6"/>
      <c r="T960" s="6"/>
      <c r="U960" s="6"/>
      <c r="V960" s="6"/>
      <c r="W960" s="6"/>
      <c r="X960" s="6"/>
      <c r="Y960" s="6"/>
      <c r="Z960" s="6"/>
      <c r="AA960" s="6"/>
      <c r="AB960" s="6"/>
      <c r="AC960" s="6"/>
    </row>
    <row r="961" ht="14.25" customHeight="1">
      <c r="A961" s="28"/>
      <c r="B961" s="28"/>
      <c r="C961" s="29"/>
      <c r="D961" s="30"/>
      <c r="E961" s="28"/>
      <c r="F961" s="19"/>
      <c r="G961" s="6"/>
      <c r="H961" s="6"/>
      <c r="I961" s="6"/>
      <c r="J961" s="6"/>
      <c r="K961" s="6"/>
      <c r="L961" s="6"/>
      <c r="M961" s="6"/>
      <c r="N961" s="6"/>
      <c r="O961" s="6"/>
      <c r="P961" s="6"/>
      <c r="Q961" s="6"/>
      <c r="R961" s="6"/>
      <c r="S961" s="6"/>
      <c r="T961" s="6"/>
      <c r="U961" s="6"/>
      <c r="V961" s="6"/>
      <c r="W961" s="6"/>
      <c r="X961" s="6"/>
      <c r="Y961" s="6"/>
      <c r="Z961" s="6"/>
      <c r="AA961" s="6"/>
      <c r="AB961" s="6"/>
      <c r="AC961" s="6"/>
    </row>
    <row r="962" ht="14.25" customHeight="1">
      <c r="A962" s="28"/>
      <c r="B962" s="28"/>
      <c r="C962" s="29"/>
      <c r="D962" s="30"/>
      <c r="E962" s="28"/>
      <c r="F962" s="19"/>
      <c r="G962" s="6"/>
      <c r="H962" s="6"/>
      <c r="I962" s="6"/>
      <c r="J962" s="6"/>
      <c r="K962" s="6"/>
      <c r="L962" s="6"/>
      <c r="M962" s="6"/>
      <c r="N962" s="6"/>
      <c r="O962" s="6"/>
      <c r="P962" s="6"/>
      <c r="Q962" s="6"/>
      <c r="R962" s="6"/>
      <c r="S962" s="6"/>
      <c r="T962" s="6"/>
      <c r="U962" s="6"/>
      <c r="V962" s="6"/>
      <c r="W962" s="6"/>
      <c r="X962" s="6"/>
      <c r="Y962" s="6"/>
      <c r="Z962" s="6"/>
      <c r="AA962" s="6"/>
      <c r="AB962" s="6"/>
      <c r="AC962" s="6"/>
    </row>
    <row r="963" ht="14.25" customHeight="1">
      <c r="A963" s="28"/>
      <c r="B963" s="28"/>
      <c r="C963" s="29"/>
      <c r="D963" s="30"/>
      <c r="E963" s="28"/>
      <c r="F963" s="19"/>
      <c r="G963" s="6"/>
      <c r="H963" s="6"/>
      <c r="I963" s="6"/>
      <c r="J963" s="6"/>
      <c r="K963" s="6"/>
      <c r="L963" s="6"/>
      <c r="M963" s="6"/>
      <c r="N963" s="6"/>
      <c r="O963" s="6"/>
      <c r="P963" s="6"/>
      <c r="Q963" s="6"/>
      <c r="R963" s="6"/>
      <c r="S963" s="6"/>
      <c r="T963" s="6"/>
      <c r="U963" s="6"/>
      <c r="V963" s="6"/>
      <c r="W963" s="6"/>
      <c r="X963" s="6"/>
      <c r="Y963" s="6"/>
      <c r="Z963" s="6"/>
      <c r="AA963" s="6"/>
      <c r="AB963" s="6"/>
      <c r="AC963" s="6"/>
    </row>
    <row r="964" ht="14.25" customHeight="1">
      <c r="A964" s="28"/>
      <c r="B964" s="28"/>
      <c r="C964" s="29"/>
      <c r="D964" s="30"/>
      <c r="E964" s="28"/>
      <c r="F964" s="19"/>
      <c r="G964" s="6"/>
      <c r="H964" s="6"/>
      <c r="I964" s="6"/>
      <c r="J964" s="6"/>
      <c r="K964" s="6"/>
      <c r="L964" s="6"/>
      <c r="M964" s="6"/>
      <c r="N964" s="6"/>
      <c r="O964" s="6"/>
      <c r="P964" s="6"/>
      <c r="Q964" s="6"/>
      <c r="R964" s="6"/>
      <c r="S964" s="6"/>
      <c r="T964" s="6"/>
      <c r="U964" s="6"/>
      <c r="V964" s="6"/>
      <c r="W964" s="6"/>
      <c r="X964" s="6"/>
      <c r="Y964" s="6"/>
      <c r="Z964" s="6"/>
      <c r="AA964" s="6"/>
      <c r="AB964" s="6"/>
      <c r="AC964" s="6"/>
    </row>
    <row r="965" ht="14.25" customHeight="1">
      <c r="A965" s="28"/>
      <c r="B965" s="28"/>
      <c r="C965" s="29"/>
      <c r="D965" s="30"/>
      <c r="E965" s="28"/>
      <c r="F965" s="19"/>
      <c r="G965" s="6"/>
      <c r="H965" s="6"/>
      <c r="I965" s="6"/>
      <c r="J965" s="6"/>
      <c r="K965" s="6"/>
      <c r="L965" s="6"/>
      <c r="M965" s="6"/>
      <c r="N965" s="6"/>
      <c r="O965" s="6"/>
      <c r="P965" s="6"/>
      <c r="Q965" s="6"/>
      <c r="R965" s="6"/>
      <c r="S965" s="6"/>
      <c r="T965" s="6"/>
      <c r="U965" s="6"/>
      <c r="V965" s="6"/>
      <c r="W965" s="6"/>
      <c r="X965" s="6"/>
      <c r="Y965" s="6"/>
      <c r="Z965" s="6"/>
      <c r="AA965" s="6"/>
      <c r="AB965" s="6"/>
      <c r="AC965" s="6"/>
    </row>
    <row r="966" ht="14.25" customHeight="1">
      <c r="A966" s="28"/>
      <c r="B966" s="28"/>
      <c r="C966" s="29"/>
      <c r="D966" s="30"/>
      <c r="E966" s="28"/>
      <c r="F966" s="19"/>
      <c r="G966" s="6"/>
      <c r="H966" s="6"/>
      <c r="I966" s="6"/>
      <c r="J966" s="6"/>
      <c r="K966" s="6"/>
      <c r="L966" s="6"/>
      <c r="M966" s="6"/>
      <c r="N966" s="6"/>
      <c r="O966" s="6"/>
      <c r="P966" s="6"/>
      <c r="Q966" s="6"/>
      <c r="R966" s="6"/>
      <c r="S966" s="6"/>
      <c r="T966" s="6"/>
      <c r="U966" s="6"/>
      <c r="V966" s="6"/>
      <c r="W966" s="6"/>
      <c r="X966" s="6"/>
      <c r="Y966" s="6"/>
      <c r="Z966" s="6"/>
      <c r="AA966" s="6"/>
      <c r="AB966" s="6"/>
      <c r="AC966" s="6"/>
    </row>
    <row r="967" ht="14.25" customHeight="1">
      <c r="A967" s="28"/>
      <c r="B967" s="28"/>
      <c r="C967" s="29"/>
      <c r="D967" s="30"/>
      <c r="E967" s="28"/>
      <c r="F967" s="19"/>
      <c r="G967" s="6"/>
      <c r="H967" s="6"/>
      <c r="I967" s="6"/>
      <c r="J967" s="6"/>
      <c r="K967" s="6"/>
      <c r="L967" s="6"/>
      <c r="M967" s="6"/>
      <c r="N967" s="6"/>
      <c r="O967" s="6"/>
      <c r="P967" s="6"/>
      <c r="Q967" s="6"/>
      <c r="R967" s="6"/>
      <c r="S967" s="6"/>
      <c r="T967" s="6"/>
      <c r="U967" s="6"/>
      <c r="V967" s="6"/>
      <c r="W967" s="6"/>
      <c r="X967" s="6"/>
      <c r="Y967" s="6"/>
      <c r="Z967" s="6"/>
      <c r="AA967" s="6"/>
      <c r="AB967" s="6"/>
      <c r="AC967" s="6"/>
    </row>
    <row r="968" ht="14.25" customHeight="1">
      <c r="A968" s="28"/>
      <c r="B968" s="28"/>
      <c r="C968" s="29"/>
      <c r="D968" s="30"/>
      <c r="E968" s="28"/>
      <c r="F968" s="19"/>
      <c r="G968" s="6"/>
      <c r="H968" s="6"/>
      <c r="I968" s="6"/>
      <c r="J968" s="6"/>
      <c r="K968" s="6"/>
      <c r="L968" s="6"/>
      <c r="M968" s="6"/>
      <c r="N968" s="6"/>
      <c r="O968" s="6"/>
      <c r="P968" s="6"/>
      <c r="Q968" s="6"/>
      <c r="R968" s="6"/>
      <c r="S968" s="6"/>
      <c r="T968" s="6"/>
      <c r="U968" s="6"/>
      <c r="V968" s="6"/>
      <c r="W968" s="6"/>
      <c r="X968" s="6"/>
      <c r="Y968" s="6"/>
      <c r="Z968" s="6"/>
      <c r="AA968" s="6"/>
      <c r="AB968" s="6"/>
      <c r="AC968" s="6"/>
    </row>
    <row r="969" ht="14.25" customHeight="1">
      <c r="A969" s="28"/>
      <c r="B969" s="28"/>
      <c r="C969" s="29"/>
      <c r="D969" s="30"/>
      <c r="E969" s="28"/>
      <c r="F969" s="19"/>
      <c r="G969" s="6"/>
      <c r="H969" s="6"/>
      <c r="I969" s="6"/>
      <c r="J969" s="6"/>
      <c r="K969" s="6"/>
      <c r="L969" s="6"/>
      <c r="M969" s="6"/>
      <c r="N969" s="6"/>
      <c r="O969" s="6"/>
      <c r="P969" s="6"/>
      <c r="Q969" s="6"/>
      <c r="R969" s="6"/>
      <c r="S969" s="6"/>
      <c r="T969" s="6"/>
      <c r="U969" s="6"/>
      <c r="V969" s="6"/>
      <c r="W969" s="6"/>
      <c r="X969" s="6"/>
      <c r="Y969" s="6"/>
      <c r="Z969" s="6"/>
      <c r="AA969" s="6"/>
      <c r="AB969" s="6"/>
      <c r="AC969" s="6"/>
    </row>
    <row r="970" ht="14.25" customHeight="1">
      <c r="A970" s="28"/>
      <c r="B970" s="28"/>
      <c r="C970" s="29"/>
      <c r="D970" s="30"/>
      <c r="E970" s="28"/>
      <c r="F970" s="19"/>
      <c r="G970" s="6"/>
      <c r="H970" s="6"/>
      <c r="I970" s="6"/>
      <c r="J970" s="6"/>
      <c r="K970" s="6"/>
      <c r="L970" s="6"/>
      <c r="M970" s="6"/>
      <c r="N970" s="6"/>
      <c r="O970" s="6"/>
      <c r="P970" s="6"/>
      <c r="Q970" s="6"/>
      <c r="R970" s="6"/>
      <c r="S970" s="6"/>
      <c r="T970" s="6"/>
      <c r="U970" s="6"/>
      <c r="V970" s="6"/>
      <c r="W970" s="6"/>
      <c r="X970" s="6"/>
      <c r="Y970" s="6"/>
      <c r="Z970" s="6"/>
      <c r="AA970" s="6"/>
      <c r="AB970" s="6"/>
      <c r="AC970" s="6"/>
    </row>
    <row r="971" ht="14.25" customHeight="1">
      <c r="A971" s="28"/>
      <c r="B971" s="28"/>
      <c r="C971" s="29"/>
      <c r="D971" s="30"/>
      <c r="E971" s="28"/>
      <c r="F971" s="19"/>
      <c r="G971" s="6"/>
      <c r="H971" s="6"/>
      <c r="I971" s="6"/>
      <c r="J971" s="6"/>
      <c r="K971" s="6"/>
      <c r="L971" s="6"/>
      <c r="M971" s="6"/>
      <c r="N971" s="6"/>
      <c r="O971" s="6"/>
      <c r="P971" s="6"/>
      <c r="Q971" s="6"/>
      <c r="R971" s="6"/>
      <c r="S971" s="6"/>
      <c r="T971" s="6"/>
      <c r="U971" s="6"/>
      <c r="V971" s="6"/>
      <c r="W971" s="6"/>
      <c r="X971" s="6"/>
      <c r="Y971" s="6"/>
      <c r="Z971" s="6"/>
      <c r="AA971" s="6"/>
      <c r="AB971" s="6"/>
      <c r="AC971" s="6"/>
    </row>
    <row r="972" ht="14.25" customHeight="1">
      <c r="A972" s="28"/>
      <c r="B972" s="28"/>
      <c r="C972" s="29"/>
      <c r="D972" s="30"/>
      <c r="E972" s="28"/>
      <c r="F972" s="19"/>
      <c r="G972" s="6"/>
      <c r="H972" s="6"/>
      <c r="I972" s="6"/>
      <c r="J972" s="6"/>
      <c r="K972" s="6"/>
      <c r="L972" s="6"/>
      <c r="M972" s="6"/>
      <c r="N972" s="6"/>
      <c r="O972" s="6"/>
      <c r="P972" s="6"/>
      <c r="Q972" s="6"/>
      <c r="R972" s="6"/>
      <c r="S972" s="6"/>
      <c r="T972" s="6"/>
      <c r="U972" s="6"/>
      <c r="V972" s="6"/>
      <c r="W972" s="6"/>
      <c r="X972" s="6"/>
      <c r="Y972" s="6"/>
      <c r="Z972" s="6"/>
      <c r="AA972" s="6"/>
      <c r="AB972" s="6"/>
      <c r="AC972" s="6"/>
    </row>
    <row r="973" ht="14.25" customHeight="1">
      <c r="A973" s="28"/>
      <c r="B973" s="28"/>
      <c r="C973" s="29"/>
      <c r="D973" s="30"/>
      <c r="E973" s="28"/>
      <c r="F973" s="19"/>
      <c r="G973" s="6"/>
      <c r="H973" s="6"/>
      <c r="I973" s="6"/>
      <c r="J973" s="6"/>
      <c r="K973" s="6"/>
      <c r="L973" s="6"/>
      <c r="M973" s="6"/>
      <c r="N973" s="6"/>
      <c r="O973" s="6"/>
      <c r="P973" s="6"/>
      <c r="Q973" s="6"/>
      <c r="R973" s="6"/>
      <c r="S973" s="6"/>
      <c r="T973" s="6"/>
      <c r="U973" s="6"/>
      <c r="V973" s="6"/>
      <c r="W973" s="6"/>
      <c r="X973" s="6"/>
      <c r="Y973" s="6"/>
      <c r="Z973" s="6"/>
      <c r="AA973" s="6"/>
      <c r="AB973" s="6"/>
      <c r="AC973" s="6"/>
    </row>
    <row r="974" ht="14.25" customHeight="1">
      <c r="A974" s="28"/>
      <c r="B974" s="28"/>
      <c r="C974" s="29"/>
      <c r="D974" s="30"/>
      <c r="E974" s="28"/>
      <c r="F974" s="19"/>
      <c r="G974" s="6"/>
      <c r="H974" s="6"/>
      <c r="I974" s="6"/>
      <c r="J974" s="6"/>
      <c r="K974" s="6"/>
      <c r="L974" s="6"/>
      <c r="M974" s="6"/>
      <c r="N974" s="6"/>
      <c r="O974" s="6"/>
      <c r="P974" s="6"/>
      <c r="Q974" s="6"/>
      <c r="R974" s="6"/>
      <c r="S974" s="6"/>
      <c r="T974" s="6"/>
      <c r="U974" s="6"/>
      <c r="V974" s="6"/>
      <c r="W974" s="6"/>
      <c r="X974" s="6"/>
      <c r="Y974" s="6"/>
      <c r="Z974" s="6"/>
      <c r="AA974" s="6"/>
      <c r="AB974" s="6"/>
      <c r="AC974" s="6"/>
    </row>
    <row r="975" ht="14.25" customHeight="1">
      <c r="A975" s="28"/>
      <c r="B975" s="28"/>
      <c r="C975" s="29"/>
      <c r="D975" s="30"/>
      <c r="E975" s="28"/>
      <c r="F975" s="19"/>
      <c r="G975" s="6"/>
      <c r="H975" s="6"/>
      <c r="I975" s="6"/>
      <c r="J975" s="6"/>
      <c r="K975" s="6"/>
      <c r="L975" s="6"/>
      <c r="M975" s="6"/>
      <c r="N975" s="6"/>
      <c r="O975" s="6"/>
      <c r="P975" s="6"/>
      <c r="Q975" s="6"/>
      <c r="R975" s="6"/>
      <c r="S975" s="6"/>
      <c r="T975" s="6"/>
      <c r="U975" s="6"/>
      <c r="V975" s="6"/>
      <c r="W975" s="6"/>
      <c r="X975" s="6"/>
      <c r="Y975" s="6"/>
      <c r="Z975" s="6"/>
      <c r="AA975" s="6"/>
      <c r="AB975" s="6"/>
      <c r="AC975" s="6"/>
    </row>
    <row r="976" ht="14.25" customHeight="1">
      <c r="A976" s="28"/>
      <c r="B976" s="28"/>
      <c r="C976" s="29"/>
      <c r="D976" s="30"/>
      <c r="E976" s="28"/>
      <c r="F976" s="19"/>
      <c r="G976" s="6"/>
      <c r="H976" s="6"/>
      <c r="I976" s="6"/>
      <c r="J976" s="6"/>
      <c r="K976" s="6"/>
      <c r="L976" s="6"/>
      <c r="M976" s="6"/>
      <c r="N976" s="6"/>
      <c r="O976" s="6"/>
      <c r="P976" s="6"/>
      <c r="Q976" s="6"/>
      <c r="R976" s="6"/>
      <c r="S976" s="6"/>
      <c r="T976" s="6"/>
      <c r="U976" s="6"/>
      <c r="V976" s="6"/>
      <c r="W976" s="6"/>
      <c r="X976" s="6"/>
      <c r="Y976" s="6"/>
      <c r="Z976" s="6"/>
      <c r="AA976" s="6"/>
      <c r="AB976" s="6"/>
      <c r="AC976" s="6"/>
    </row>
    <row r="977" ht="14.25" customHeight="1">
      <c r="A977" s="28"/>
      <c r="B977" s="28"/>
      <c r="C977" s="29"/>
      <c r="D977" s="30"/>
      <c r="E977" s="28"/>
      <c r="F977" s="19"/>
      <c r="G977" s="6"/>
      <c r="H977" s="6"/>
      <c r="I977" s="6"/>
      <c r="J977" s="6"/>
      <c r="K977" s="6"/>
      <c r="L977" s="6"/>
      <c r="M977" s="6"/>
      <c r="N977" s="6"/>
      <c r="O977" s="6"/>
      <c r="P977" s="6"/>
      <c r="Q977" s="6"/>
      <c r="R977" s="6"/>
      <c r="S977" s="6"/>
      <c r="T977" s="6"/>
      <c r="U977" s="6"/>
      <c r="V977" s="6"/>
      <c r="W977" s="6"/>
      <c r="X977" s="6"/>
      <c r="Y977" s="6"/>
      <c r="Z977" s="6"/>
      <c r="AA977" s="6"/>
      <c r="AB977" s="6"/>
      <c r="AC977" s="6"/>
    </row>
    <row r="978" ht="14.25" customHeight="1">
      <c r="A978" s="28"/>
      <c r="B978" s="28"/>
      <c r="C978" s="29"/>
      <c r="D978" s="30"/>
      <c r="E978" s="28"/>
      <c r="F978" s="19"/>
      <c r="G978" s="6"/>
      <c r="H978" s="6"/>
      <c r="I978" s="6"/>
      <c r="J978" s="6"/>
      <c r="K978" s="6"/>
      <c r="L978" s="6"/>
      <c r="M978" s="6"/>
      <c r="N978" s="6"/>
      <c r="O978" s="6"/>
      <c r="P978" s="6"/>
      <c r="Q978" s="6"/>
      <c r="R978" s="6"/>
      <c r="S978" s="6"/>
      <c r="T978" s="6"/>
      <c r="U978" s="6"/>
      <c r="V978" s="6"/>
      <c r="W978" s="6"/>
      <c r="X978" s="6"/>
      <c r="Y978" s="6"/>
      <c r="Z978" s="6"/>
      <c r="AA978" s="6"/>
      <c r="AB978" s="6"/>
      <c r="AC978" s="6"/>
    </row>
    <row r="979" ht="14.25" customHeight="1">
      <c r="A979" s="28"/>
      <c r="B979" s="28"/>
      <c r="C979" s="29"/>
      <c r="D979" s="30"/>
      <c r="E979" s="28"/>
      <c r="F979" s="19"/>
      <c r="G979" s="6"/>
      <c r="H979" s="6"/>
      <c r="I979" s="6"/>
      <c r="J979" s="6"/>
      <c r="K979" s="6"/>
      <c r="L979" s="6"/>
      <c r="M979" s="6"/>
      <c r="N979" s="6"/>
      <c r="O979" s="6"/>
      <c r="P979" s="6"/>
      <c r="Q979" s="6"/>
      <c r="R979" s="6"/>
      <c r="S979" s="6"/>
      <c r="T979" s="6"/>
      <c r="U979" s="6"/>
      <c r="V979" s="6"/>
      <c r="W979" s="6"/>
      <c r="X979" s="6"/>
      <c r="Y979" s="6"/>
      <c r="Z979" s="6"/>
      <c r="AA979" s="6"/>
      <c r="AB979" s="6"/>
      <c r="AC979" s="6"/>
    </row>
    <row r="980" ht="14.25" customHeight="1">
      <c r="A980" s="28"/>
      <c r="B980" s="28"/>
      <c r="C980" s="29"/>
      <c r="D980" s="30"/>
      <c r="E980" s="28"/>
      <c r="F980" s="19"/>
      <c r="G980" s="6"/>
      <c r="H980" s="6"/>
      <c r="I980" s="6"/>
      <c r="J980" s="6"/>
      <c r="K980" s="6"/>
      <c r="L980" s="6"/>
      <c r="M980" s="6"/>
      <c r="N980" s="6"/>
      <c r="O980" s="6"/>
      <c r="P980" s="6"/>
      <c r="Q980" s="6"/>
      <c r="R980" s="6"/>
      <c r="S980" s="6"/>
      <c r="T980" s="6"/>
      <c r="U980" s="6"/>
      <c r="V980" s="6"/>
      <c r="W980" s="6"/>
      <c r="X980" s="6"/>
      <c r="Y980" s="6"/>
      <c r="Z980" s="6"/>
      <c r="AA980" s="6"/>
      <c r="AB980" s="6"/>
      <c r="AC980" s="6"/>
    </row>
    <row r="981" ht="14.25" customHeight="1">
      <c r="A981" s="28"/>
      <c r="B981" s="28"/>
      <c r="C981" s="29"/>
      <c r="D981" s="30"/>
      <c r="E981" s="28"/>
      <c r="F981" s="19"/>
      <c r="G981" s="6"/>
      <c r="H981" s="6"/>
      <c r="I981" s="6"/>
      <c r="J981" s="6"/>
      <c r="K981" s="6"/>
      <c r="L981" s="6"/>
      <c r="M981" s="6"/>
      <c r="N981" s="6"/>
      <c r="O981" s="6"/>
      <c r="P981" s="6"/>
      <c r="Q981" s="6"/>
      <c r="R981" s="6"/>
      <c r="S981" s="6"/>
      <c r="T981" s="6"/>
      <c r="U981" s="6"/>
      <c r="V981" s="6"/>
      <c r="W981" s="6"/>
      <c r="X981" s="6"/>
      <c r="Y981" s="6"/>
      <c r="Z981" s="6"/>
      <c r="AA981" s="6"/>
      <c r="AB981" s="6"/>
      <c r="AC981" s="6"/>
    </row>
    <row r="982" ht="14.25" customHeight="1">
      <c r="A982" s="28"/>
      <c r="B982" s="28"/>
      <c r="C982" s="29"/>
      <c r="D982" s="30"/>
      <c r="E982" s="28"/>
      <c r="F982" s="19"/>
      <c r="G982" s="6"/>
      <c r="H982" s="6"/>
      <c r="I982" s="6"/>
      <c r="J982" s="6"/>
      <c r="K982" s="6"/>
      <c r="L982" s="6"/>
      <c r="M982" s="6"/>
      <c r="N982" s="6"/>
      <c r="O982" s="6"/>
      <c r="P982" s="6"/>
      <c r="Q982" s="6"/>
      <c r="R982" s="6"/>
      <c r="S982" s="6"/>
      <c r="T982" s="6"/>
      <c r="U982" s="6"/>
      <c r="V982" s="6"/>
      <c r="W982" s="6"/>
      <c r="X982" s="6"/>
      <c r="Y982" s="6"/>
      <c r="Z982" s="6"/>
      <c r="AA982" s="6"/>
      <c r="AB982" s="6"/>
      <c r="AC982" s="6"/>
    </row>
    <row r="983" ht="14.25" customHeight="1">
      <c r="A983" s="28"/>
      <c r="B983" s="28"/>
      <c r="C983" s="29"/>
      <c r="D983" s="30"/>
      <c r="E983" s="28"/>
      <c r="F983" s="19"/>
      <c r="G983" s="6"/>
      <c r="H983" s="6"/>
      <c r="I983" s="6"/>
      <c r="J983" s="6"/>
      <c r="K983" s="6"/>
      <c r="L983" s="6"/>
      <c r="M983" s="6"/>
      <c r="N983" s="6"/>
      <c r="O983" s="6"/>
      <c r="P983" s="6"/>
      <c r="Q983" s="6"/>
      <c r="R983" s="6"/>
      <c r="S983" s="6"/>
      <c r="T983" s="6"/>
      <c r="U983" s="6"/>
      <c r="V983" s="6"/>
      <c r="W983" s="6"/>
      <c r="X983" s="6"/>
      <c r="Y983" s="6"/>
      <c r="Z983" s="6"/>
      <c r="AA983" s="6"/>
      <c r="AB983" s="6"/>
      <c r="AC983" s="6"/>
    </row>
    <row r="984" ht="14.25" customHeight="1">
      <c r="A984" s="28"/>
      <c r="B984" s="28"/>
      <c r="C984" s="29"/>
      <c r="D984" s="30"/>
      <c r="E984" s="28"/>
      <c r="F984" s="19"/>
      <c r="G984" s="6"/>
      <c r="H984" s="6"/>
      <c r="I984" s="6"/>
      <c r="J984" s="6"/>
      <c r="K984" s="6"/>
      <c r="L984" s="6"/>
      <c r="M984" s="6"/>
      <c r="N984" s="6"/>
      <c r="O984" s="6"/>
      <c r="P984" s="6"/>
      <c r="Q984" s="6"/>
      <c r="R984" s="6"/>
      <c r="S984" s="6"/>
      <c r="T984" s="6"/>
      <c r="U984" s="6"/>
      <c r="V984" s="6"/>
      <c r="W984" s="6"/>
      <c r="X984" s="6"/>
      <c r="Y984" s="6"/>
      <c r="Z984" s="6"/>
      <c r="AA984" s="6"/>
      <c r="AB984" s="6"/>
      <c r="AC984" s="6"/>
    </row>
    <row r="985" ht="14.25" customHeight="1">
      <c r="A985" s="28"/>
      <c r="B985" s="28"/>
      <c r="C985" s="29"/>
      <c r="D985" s="30"/>
      <c r="E985" s="28"/>
      <c r="F985" s="19"/>
      <c r="G985" s="6"/>
      <c r="H985" s="6"/>
      <c r="I985" s="6"/>
      <c r="J985" s="6"/>
      <c r="K985" s="6"/>
      <c r="L985" s="6"/>
      <c r="M985" s="6"/>
      <c r="N985" s="6"/>
      <c r="O985" s="6"/>
      <c r="P985" s="6"/>
      <c r="Q985" s="6"/>
      <c r="R985" s="6"/>
      <c r="S985" s="6"/>
      <c r="T985" s="6"/>
      <c r="U985" s="6"/>
      <c r="V985" s="6"/>
      <c r="W985" s="6"/>
      <c r="X985" s="6"/>
      <c r="Y985" s="6"/>
      <c r="Z985" s="6"/>
      <c r="AA985" s="6"/>
      <c r="AB985" s="6"/>
      <c r="AC985" s="6"/>
    </row>
    <row r="986" ht="14.25" customHeight="1">
      <c r="A986" s="28"/>
      <c r="B986" s="28"/>
      <c r="C986" s="29"/>
      <c r="D986" s="30"/>
      <c r="E986" s="28"/>
      <c r="F986" s="19"/>
      <c r="G986" s="6"/>
      <c r="H986" s="6"/>
      <c r="I986" s="6"/>
      <c r="J986" s="6"/>
      <c r="K986" s="6"/>
      <c r="L986" s="6"/>
      <c r="M986" s="6"/>
      <c r="N986" s="6"/>
      <c r="O986" s="6"/>
      <c r="P986" s="6"/>
      <c r="Q986" s="6"/>
      <c r="R986" s="6"/>
      <c r="S986" s="6"/>
      <c r="T986" s="6"/>
      <c r="U986" s="6"/>
      <c r="V986" s="6"/>
      <c r="W986" s="6"/>
      <c r="X986" s="6"/>
      <c r="Y986" s="6"/>
      <c r="Z986" s="6"/>
      <c r="AA986" s="6"/>
      <c r="AB986" s="6"/>
      <c r="AC986" s="6"/>
    </row>
    <row r="987" ht="14.25" customHeight="1">
      <c r="A987" s="28"/>
      <c r="B987" s="28"/>
      <c r="C987" s="29"/>
      <c r="D987" s="30"/>
      <c r="E987" s="28"/>
      <c r="F987" s="19"/>
      <c r="G987" s="6"/>
      <c r="H987" s="6"/>
      <c r="I987" s="6"/>
      <c r="J987" s="6"/>
      <c r="K987" s="6"/>
      <c r="L987" s="6"/>
      <c r="M987" s="6"/>
      <c r="N987" s="6"/>
      <c r="O987" s="6"/>
      <c r="P987" s="6"/>
      <c r="Q987" s="6"/>
      <c r="R987" s="6"/>
      <c r="S987" s="6"/>
      <c r="T987" s="6"/>
      <c r="U987" s="6"/>
      <c r="V987" s="6"/>
      <c r="W987" s="6"/>
      <c r="X987" s="6"/>
      <c r="Y987" s="6"/>
      <c r="Z987" s="6"/>
      <c r="AA987" s="6"/>
      <c r="AB987" s="6"/>
      <c r="AC987" s="6"/>
    </row>
    <row r="988" ht="14.25" customHeight="1">
      <c r="A988" s="28"/>
      <c r="B988" s="28"/>
      <c r="C988" s="29"/>
      <c r="D988" s="30"/>
      <c r="E988" s="28"/>
      <c r="F988" s="19"/>
      <c r="G988" s="6"/>
      <c r="H988" s="6"/>
      <c r="I988" s="6"/>
      <c r="J988" s="6"/>
      <c r="K988" s="6"/>
      <c r="L988" s="6"/>
      <c r="M988" s="6"/>
      <c r="N988" s="6"/>
      <c r="O988" s="6"/>
      <c r="P988" s="6"/>
      <c r="Q988" s="6"/>
      <c r="R988" s="6"/>
      <c r="S988" s="6"/>
      <c r="T988" s="6"/>
      <c r="U988" s="6"/>
      <c r="V988" s="6"/>
      <c r="W988" s="6"/>
      <c r="X988" s="6"/>
      <c r="Y988" s="6"/>
      <c r="Z988" s="6"/>
      <c r="AA988" s="6"/>
      <c r="AB988" s="6"/>
      <c r="AC988" s="6"/>
    </row>
    <row r="989" ht="14.25" customHeight="1">
      <c r="A989" s="28"/>
      <c r="B989" s="28"/>
      <c r="C989" s="29"/>
      <c r="D989" s="30"/>
      <c r="E989" s="28"/>
      <c r="F989" s="19"/>
      <c r="G989" s="6"/>
      <c r="H989" s="6"/>
      <c r="I989" s="6"/>
      <c r="J989" s="6"/>
      <c r="K989" s="6"/>
      <c r="L989" s="6"/>
      <c r="M989" s="6"/>
      <c r="N989" s="6"/>
      <c r="O989" s="6"/>
      <c r="P989" s="6"/>
      <c r="Q989" s="6"/>
      <c r="R989" s="6"/>
      <c r="S989" s="6"/>
      <c r="T989" s="6"/>
      <c r="U989" s="6"/>
      <c r="V989" s="6"/>
      <c r="W989" s="6"/>
      <c r="X989" s="6"/>
      <c r="Y989" s="6"/>
      <c r="Z989" s="6"/>
      <c r="AA989" s="6"/>
      <c r="AB989" s="6"/>
      <c r="AC989" s="6"/>
    </row>
    <row r="990" ht="14.25" customHeight="1">
      <c r="A990" s="28"/>
      <c r="B990" s="28"/>
      <c r="C990" s="29"/>
      <c r="D990" s="30"/>
      <c r="E990" s="28"/>
      <c r="F990" s="19"/>
      <c r="G990" s="6"/>
      <c r="H990" s="6"/>
      <c r="I990" s="6"/>
      <c r="J990" s="6"/>
      <c r="K990" s="6"/>
      <c r="L990" s="6"/>
      <c r="M990" s="6"/>
      <c r="N990" s="6"/>
      <c r="O990" s="6"/>
      <c r="P990" s="6"/>
      <c r="Q990" s="6"/>
      <c r="R990" s="6"/>
      <c r="S990" s="6"/>
      <c r="T990" s="6"/>
      <c r="U990" s="6"/>
      <c r="V990" s="6"/>
      <c r="W990" s="6"/>
      <c r="X990" s="6"/>
      <c r="Y990" s="6"/>
      <c r="Z990" s="6"/>
      <c r="AA990" s="6"/>
      <c r="AB990" s="6"/>
      <c r="AC990" s="6"/>
    </row>
    <row r="991" ht="14.25" customHeight="1">
      <c r="A991" s="28"/>
      <c r="B991" s="28"/>
      <c r="C991" s="29"/>
      <c r="D991" s="30"/>
      <c r="E991" s="28"/>
      <c r="F991" s="19"/>
      <c r="G991" s="6"/>
      <c r="H991" s="6"/>
      <c r="I991" s="6"/>
      <c r="J991" s="6"/>
      <c r="K991" s="6"/>
      <c r="L991" s="6"/>
      <c r="M991" s="6"/>
      <c r="N991" s="6"/>
      <c r="O991" s="6"/>
      <c r="P991" s="6"/>
      <c r="Q991" s="6"/>
      <c r="R991" s="6"/>
      <c r="S991" s="6"/>
      <c r="T991" s="6"/>
      <c r="U991" s="6"/>
      <c r="V991" s="6"/>
      <c r="W991" s="6"/>
      <c r="X991" s="6"/>
      <c r="Y991" s="6"/>
      <c r="Z991" s="6"/>
      <c r="AA991" s="6"/>
      <c r="AB991" s="6"/>
      <c r="AC991" s="6"/>
    </row>
    <row r="992" ht="14.25" customHeight="1">
      <c r="A992" s="28"/>
      <c r="B992" s="28"/>
      <c r="C992" s="29"/>
      <c r="D992" s="30"/>
      <c r="E992" s="28"/>
      <c r="F992" s="19"/>
      <c r="G992" s="6"/>
      <c r="H992" s="6"/>
      <c r="I992" s="6"/>
      <c r="J992" s="6"/>
      <c r="K992" s="6"/>
      <c r="L992" s="6"/>
      <c r="M992" s="6"/>
      <c r="N992" s="6"/>
      <c r="O992" s="6"/>
      <c r="P992" s="6"/>
      <c r="Q992" s="6"/>
      <c r="R992" s="6"/>
      <c r="S992" s="6"/>
      <c r="T992" s="6"/>
      <c r="U992" s="6"/>
      <c r="V992" s="6"/>
      <c r="W992" s="6"/>
      <c r="X992" s="6"/>
      <c r="Y992" s="6"/>
      <c r="Z992" s="6"/>
      <c r="AA992" s="6"/>
      <c r="AB992" s="6"/>
      <c r="AC992" s="6"/>
    </row>
    <row r="993" ht="14.25" customHeight="1">
      <c r="A993" s="28"/>
      <c r="B993" s="28"/>
      <c r="C993" s="29"/>
      <c r="D993" s="30"/>
      <c r="E993" s="28"/>
      <c r="F993" s="19"/>
      <c r="G993" s="6"/>
      <c r="H993" s="6"/>
      <c r="I993" s="6"/>
      <c r="J993" s="6"/>
      <c r="K993" s="6"/>
      <c r="L993" s="6"/>
      <c r="M993" s="6"/>
      <c r="N993" s="6"/>
      <c r="O993" s="6"/>
      <c r="P993" s="6"/>
      <c r="Q993" s="6"/>
      <c r="R993" s="6"/>
      <c r="S993" s="6"/>
      <c r="T993" s="6"/>
      <c r="U993" s="6"/>
      <c r="V993" s="6"/>
      <c r="W993" s="6"/>
      <c r="X993" s="6"/>
      <c r="Y993" s="6"/>
      <c r="Z993" s="6"/>
      <c r="AA993" s="6"/>
      <c r="AB993" s="6"/>
      <c r="AC993" s="6"/>
    </row>
    <row r="994" ht="14.25" customHeight="1">
      <c r="A994" s="28"/>
      <c r="B994" s="28"/>
      <c r="C994" s="29"/>
      <c r="D994" s="30"/>
      <c r="E994" s="28"/>
      <c r="F994" s="19"/>
      <c r="G994" s="6"/>
      <c r="H994" s="6"/>
      <c r="I994" s="6"/>
      <c r="J994" s="6"/>
      <c r="K994" s="6"/>
      <c r="L994" s="6"/>
      <c r="M994" s="6"/>
      <c r="N994" s="6"/>
      <c r="O994" s="6"/>
      <c r="P994" s="6"/>
      <c r="Q994" s="6"/>
      <c r="R994" s="6"/>
      <c r="S994" s="6"/>
      <c r="T994" s="6"/>
      <c r="U994" s="6"/>
      <c r="V994" s="6"/>
      <c r="W994" s="6"/>
      <c r="X994" s="6"/>
      <c r="Y994" s="6"/>
      <c r="Z994" s="6"/>
      <c r="AA994" s="6"/>
      <c r="AB994" s="6"/>
      <c r="AC994" s="6"/>
    </row>
    <row r="995" ht="14.25" customHeight="1">
      <c r="A995" s="28"/>
      <c r="B995" s="28"/>
      <c r="C995" s="29"/>
      <c r="D995" s="30"/>
      <c r="E995" s="28"/>
      <c r="F995" s="19"/>
      <c r="G995" s="6"/>
      <c r="H995" s="6"/>
      <c r="I995" s="6"/>
      <c r="J995" s="6"/>
      <c r="K995" s="6"/>
      <c r="L995" s="6"/>
      <c r="M995" s="6"/>
      <c r="N995" s="6"/>
      <c r="O995" s="6"/>
      <c r="P995" s="6"/>
      <c r="Q995" s="6"/>
      <c r="R995" s="6"/>
      <c r="S995" s="6"/>
      <c r="T995" s="6"/>
      <c r="U995" s="6"/>
      <c r="V995" s="6"/>
      <c r="W995" s="6"/>
      <c r="X995" s="6"/>
      <c r="Y995" s="6"/>
      <c r="Z995" s="6"/>
      <c r="AA995" s="6"/>
      <c r="AB995" s="6"/>
      <c r="AC995" s="6"/>
    </row>
    <row r="996" ht="14.25" customHeight="1">
      <c r="A996" s="28"/>
      <c r="B996" s="28"/>
      <c r="C996" s="29"/>
      <c r="D996" s="30"/>
      <c r="E996" s="28"/>
      <c r="F996" s="19"/>
      <c r="G996" s="6"/>
      <c r="H996" s="6"/>
      <c r="I996" s="6"/>
      <c r="J996" s="6"/>
      <c r="K996" s="6"/>
      <c r="L996" s="6"/>
      <c r="M996" s="6"/>
      <c r="N996" s="6"/>
      <c r="O996" s="6"/>
      <c r="P996" s="6"/>
      <c r="Q996" s="6"/>
      <c r="R996" s="6"/>
      <c r="S996" s="6"/>
      <c r="T996" s="6"/>
      <c r="U996" s="6"/>
      <c r="V996" s="6"/>
      <c r="W996" s="6"/>
      <c r="X996" s="6"/>
      <c r="Y996" s="6"/>
      <c r="Z996" s="6"/>
      <c r="AA996" s="6"/>
      <c r="AB996" s="6"/>
      <c r="AC996" s="6"/>
    </row>
    <row r="997" ht="14.25" customHeight="1">
      <c r="A997" s="28"/>
      <c r="B997" s="28"/>
      <c r="C997" s="29"/>
      <c r="D997" s="30"/>
      <c r="E997" s="28"/>
      <c r="F997" s="19"/>
      <c r="G997" s="6"/>
      <c r="H997" s="6"/>
      <c r="I997" s="6"/>
      <c r="J997" s="6"/>
      <c r="K997" s="6"/>
      <c r="L997" s="6"/>
      <c r="M997" s="6"/>
      <c r="N997" s="6"/>
      <c r="O997" s="6"/>
      <c r="P997" s="6"/>
      <c r="Q997" s="6"/>
      <c r="R997" s="6"/>
      <c r="S997" s="6"/>
      <c r="T997" s="6"/>
      <c r="U997" s="6"/>
      <c r="V997" s="6"/>
      <c r="W997" s="6"/>
      <c r="X997" s="6"/>
      <c r="Y997" s="6"/>
      <c r="Z997" s="6"/>
      <c r="AA997" s="6"/>
      <c r="AB997" s="6"/>
      <c r="AC997" s="6"/>
    </row>
    <row r="998" ht="14.25" customHeight="1">
      <c r="A998" s="28"/>
      <c r="B998" s="28"/>
      <c r="C998" s="29"/>
      <c r="D998" s="30"/>
      <c r="E998" s="28"/>
      <c r="F998" s="19"/>
      <c r="G998" s="6"/>
      <c r="H998" s="6"/>
      <c r="I998" s="6"/>
      <c r="J998" s="6"/>
      <c r="K998" s="6"/>
      <c r="L998" s="6"/>
      <c r="M998" s="6"/>
      <c r="N998" s="6"/>
      <c r="O998" s="6"/>
      <c r="P998" s="6"/>
      <c r="Q998" s="6"/>
      <c r="R998" s="6"/>
      <c r="S998" s="6"/>
      <c r="T998" s="6"/>
      <c r="U998" s="6"/>
      <c r="V998" s="6"/>
      <c r="W998" s="6"/>
      <c r="X998" s="6"/>
      <c r="Y998" s="6"/>
      <c r="Z998" s="6"/>
      <c r="AA998" s="6"/>
      <c r="AB998" s="6"/>
      <c r="AC998" s="6"/>
    </row>
    <row r="999" ht="14.25" customHeight="1">
      <c r="A999" s="28"/>
      <c r="B999" s="28"/>
      <c r="C999" s="29"/>
      <c r="D999" s="30"/>
      <c r="E999" s="28"/>
      <c r="F999" s="19"/>
      <c r="G999" s="6"/>
      <c r="H999" s="6"/>
      <c r="I999" s="6"/>
      <c r="J999" s="6"/>
      <c r="K999" s="6"/>
      <c r="L999" s="6"/>
      <c r="M999" s="6"/>
      <c r="N999" s="6"/>
      <c r="O999" s="6"/>
      <c r="P999" s="6"/>
      <c r="Q999" s="6"/>
      <c r="R999" s="6"/>
      <c r="S999" s="6"/>
      <c r="T999" s="6"/>
      <c r="U999" s="6"/>
      <c r="V999" s="6"/>
      <c r="W999" s="6"/>
      <c r="X999" s="6"/>
      <c r="Y999" s="6"/>
      <c r="Z999" s="6"/>
      <c r="AA999" s="6"/>
      <c r="AB999" s="6"/>
      <c r="AC999" s="6"/>
    </row>
    <row r="1000" ht="14.25" customHeight="1">
      <c r="A1000" s="28"/>
      <c r="B1000" s="28"/>
      <c r="C1000" s="29"/>
      <c r="D1000" s="30"/>
      <c r="E1000" s="28"/>
      <c r="F1000" s="19"/>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sheetData>
  <mergeCells count="5">
    <mergeCell ref="A1:E1"/>
    <mergeCell ref="I1:L1"/>
    <mergeCell ref="O1:P1"/>
    <mergeCell ref="S1:T1"/>
    <mergeCell ref="V1:W1"/>
  </mergeCells>
  <conditionalFormatting sqref="A3:A99">
    <cfRule type="expression" dxfId="5" priority="1">
      <formula>A3&lt;&gt;""</formula>
    </cfRule>
  </conditionalFormatting>
  <conditionalFormatting sqref="A3:F40">
    <cfRule type="expression" dxfId="6" priority="2">
      <formula>$D3&gt;0</formula>
    </cfRule>
  </conditionalFormatting>
  <conditionalFormatting sqref="A3:F99">
    <cfRule type="expression" dxfId="7" priority="3">
      <formula>AND(A3&lt;&gt;"",A4="")</formula>
    </cfRule>
  </conditionalFormatting>
  <conditionalFormatting sqref="F3:F99">
    <cfRule type="expression" dxfId="8" priority="4">
      <formula>F3&lt;&gt;""</formula>
    </cfRule>
  </conditionalFormatting>
  <conditionalFormatting sqref="I3:I60">
    <cfRule type="expression" dxfId="7" priority="5">
      <formula>AND(I3&lt;&gt;"",I4="")</formula>
    </cfRule>
  </conditionalFormatting>
  <conditionalFormatting sqref="I3:I60">
    <cfRule type="expression" dxfId="5" priority="6">
      <formula>I3&lt;&gt;""</formula>
    </cfRule>
  </conditionalFormatting>
  <conditionalFormatting sqref="I3:K69">
    <cfRule type="expression" dxfId="7" priority="7">
      <formula>AND($K3&lt;&gt;"",$K4="")</formula>
    </cfRule>
  </conditionalFormatting>
  <conditionalFormatting sqref="J3:K69">
    <cfRule type="expression" dxfId="7" priority="8">
      <formula>AND(J3&lt;&gt;"",J4="")</formula>
    </cfRule>
  </conditionalFormatting>
  <conditionalFormatting sqref="L3:L69">
    <cfRule type="expression" dxfId="8" priority="9">
      <formula>I3&lt;&gt;""</formula>
    </cfRule>
  </conditionalFormatting>
  <conditionalFormatting sqref="L3:L69">
    <cfRule type="expression" dxfId="7" priority="10">
      <formula>AND(I3&lt;&gt;"",I4="")</formula>
    </cfRule>
  </conditionalFormatting>
  <conditionalFormatting sqref="O3:Q21">
    <cfRule type="expression" dxfId="9" priority="11">
      <formula>O3&lt;&gt;""</formula>
    </cfRule>
  </conditionalFormatting>
  <conditionalFormatting sqref="O3:Q30">
    <cfRule type="expression" dxfId="7" priority="12">
      <formula>AND(O3&lt;&gt;"",O4="")</formula>
    </cfRule>
  </conditionalFormatting>
  <conditionalFormatting sqref="S3:S21">
    <cfRule type="expression" dxfId="9" priority="13">
      <formula>S3&lt;&gt;""</formula>
    </cfRule>
  </conditionalFormatting>
  <conditionalFormatting sqref="S3:T21">
    <cfRule type="expression" dxfId="7" priority="14">
      <formula>AND($S3&lt;&gt;"",$S4="")</formula>
    </cfRule>
  </conditionalFormatting>
  <conditionalFormatting sqref="T3:T21">
    <cfRule type="expression" dxfId="8" priority="15">
      <formula>S3&lt;&gt;""</formula>
    </cfRule>
  </conditionalFormatting>
  <conditionalFormatting sqref="V3:W21">
    <cfRule type="expression" dxfId="9" priority="16">
      <formula>$V3&lt;&gt;""</formula>
    </cfRule>
  </conditionalFormatting>
  <conditionalFormatting sqref="V3:W21">
    <cfRule type="expression" dxfId="7" priority="17">
      <formula>AND($V3&lt;&gt;"",$V4="")</formula>
    </cfRule>
  </conditionalFormatting>
  <conditionalFormatting sqref="AA1:AA99">
    <cfRule type="expression" dxfId="5" priority="18">
      <formula>AA1&lt;&gt;""</formula>
    </cfRule>
  </conditionalFormatting>
  <conditionalFormatting sqref="AA1:AC99">
    <cfRule type="expression" dxfId="7" priority="19">
      <formula>AND(AA1&lt;&gt;"",AA2="")</formula>
    </cfRule>
  </conditionalFormatting>
  <conditionalFormatting sqref="AC1:AC99">
    <cfRule type="expression" dxfId="8" priority="20">
      <formula>AA1&lt;&gt;""</formula>
    </cfRule>
  </conditionalFormatting>
  <dataValidations>
    <dataValidation type="list" allowBlank="1" showErrorMessage="1" sqref="Z1">
      <formula1>'cost checklist'!$R:$R</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63"/>
    <col customWidth="1" min="2" max="2" width="21.25"/>
    <col customWidth="1" min="3" max="3" width="24.63"/>
    <col customWidth="1" min="4" max="4" width="12.63"/>
    <col customWidth="1" min="5" max="5" width="14.88"/>
    <col customWidth="1" min="6" max="6" width="12.63"/>
    <col customWidth="1" min="7" max="7" width="18.25"/>
    <col customWidth="1" min="8" max="8" width="8.75"/>
    <col customWidth="1" min="9" max="9" width="16.38"/>
    <col customWidth="1" min="10" max="26" width="8.63"/>
  </cols>
  <sheetData>
    <row r="1" ht="25.5" customHeight="1">
      <c r="A1" s="31" t="s">
        <v>38</v>
      </c>
      <c r="B1" s="31" t="s">
        <v>39</v>
      </c>
      <c r="C1" s="32" t="s">
        <v>40</v>
      </c>
      <c r="D1" s="31" t="s">
        <v>41</v>
      </c>
      <c r="E1" s="32" t="s">
        <v>42</v>
      </c>
      <c r="F1" s="31" t="s">
        <v>43</v>
      </c>
      <c r="G1" s="31" t="s">
        <v>44</v>
      </c>
      <c r="H1" s="32" t="s">
        <v>45</v>
      </c>
      <c r="I1" s="33" t="s">
        <v>46</v>
      </c>
      <c r="J1" s="34"/>
      <c r="K1" s="34"/>
      <c r="L1" s="34"/>
      <c r="M1" s="34"/>
      <c r="N1" s="34"/>
      <c r="O1" s="34"/>
      <c r="P1" s="34"/>
      <c r="Q1" s="34"/>
      <c r="R1" s="34"/>
      <c r="S1" s="34"/>
      <c r="T1" s="34"/>
      <c r="U1" s="34"/>
      <c r="V1" s="34"/>
      <c r="W1" s="34"/>
      <c r="X1" s="34"/>
      <c r="Y1" s="34"/>
      <c r="Z1" s="34"/>
    </row>
    <row r="2" ht="39.0" hidden="1" customHeight="1">
      <c r="A2" s="26" t="s">
        <v>47</v>
      </c>
      <c r="B2" s="26" t="str">
        <f t="array" ref="B2">_xlfn.XLOOKUP(Checklist!$A2,tblTargets[TargetID],tblTargets[DisplayName])</f>
        <v>Airship Lv 1</v>
      </c>
      <c r="C2" s="21" t="str">
        <f t="array" ref="C2">_xlfn.XLOOKUP(
 A2,
 tblTargetStatus[TargetID],
 tblTargetStatus[successors],
 ""
)</f>
        <v>Airship Lv 2, Astrolabe, Cinema Projector, Dagger, Helmet, Safe, Telescope, Tetrachloroaurate, Festival Returns Accepted, Quest for Knowledge Chapter 5 Accepted</v>
      </c>
      <c r="D2" s="26" t="str">
        <f t="array" ref="D2">_xlfn.XLOOKUP(
 A2,
 tblTargets[TargetID],
 tblTargets[TargetType],
 ""
)</f>
        <v>BUILDING</v>
      </c>
      <c r="E2" s="45" t="str">
        <f t="array" ref="E2">_xlfn.XLOOKUP(
 A2,
 tblTargetStatus[TargetID],
 tblTargetStatus[ChainAwareStatus],
 ""
)</f>
        <v>BLOCKED</v>
      </c>
      <c r="F2" s="45">
        <v>44.0</v>
      </c>
      <c r="G2" s="46" t="b">
        <v>0</v>
      </c>
      <c r="H2" s="45" t="b">
        <f t="array" ref="H2">_xlfn.XLOOKUP(
 A2,
 tblTargetStatus[TargetID],
 tblTargetStatus[TargetFunded],
 ""
)</f>
        <v>0</v>
      </c>
      <c r="I2" s="45">
        <f t="array" ref="I2">IF(
 D2&lt;&gt;"BUILDING",
 "",
 IF(
  Player!$H$1="Active",
  _xlfn.XLOOKUP(
   A2,
   tblrecommended[ActiveTargetID],
   tblrecommended[Order],
   ""
  ),
  _xlfn.XLOOKUP(
   A2,
   tblrecommended[PassiveTargetID],
   tblrecommended[Order],
   ""
  )
 )
)</f>
        <v>44</v>
      </c>
    </row>
    <row r="3" ht="25.5" hidden="1" customHeight="1">
      <c r="A3" s="26" t="s">
        <v>58</v>
      </c>
      <c r="B3" s="26" t="str">
        <f t="array" ref="B3">_xlfn.XLOOKUP(Checklist!$A3,tblTargets[TargetID],tblTargets[DisplayName])</f>
        <v>Airship Lv 2</v>
      </c>
      <c r="C3" s="21" t="str">
        <f t="array" ref="C3">_xlfn.XLOOKUP(
 A3,
 tblTargetStatus[TargetID],
 tblTargetStatus[successors],
 ""
)</f>
        <v>Airship maxed</v>
      </c>
      <c r="D3" s="26" t="str">
        <f t="array" ref="D3">_xlfn.XLOOKUP(
 A3,
 tblTargets[TargetID],
 tblTargets[TargetType],
 ""
)</f>
        <v>BUILDING</v>
      </c>
      <c r="E3" s="45" t="str">
        <f t="array" ref="E3">_xlfn.XLOOKUP(
 A3,
 tblTargetStatus[TargetID],
 tblTargetStatus[ChainAwareStatus],
 ""
)</f>
        <v>BLOCKED</v>
      </c>
      <c r="F3" s="45">
        <v>45.0</v>
      </c>
      <c r="G3" s="45" t="b">
        <v>0</v>
      </c>
      <c r="H3" s="45" t="b">
        <f t="array" ref="H3">_xlfn.XLOOKUP(
 A3,
 tblTargetStatus[TargetID],
 tblTargetStatus[TargetFunded],
 ""
)</f>
        <v>0</v>
      </c>
      <c r="I3" s="45">
        <f t="array" ref="I3">IF(
 D3&lt;&gt;"BUILDING",
 "",
 IF(
  Player!$H$1="Active",
  _xlfn.XLOOKUP(
   A3,
   tblrecommended[ActiveTargetID],
   tblrecommended[Order],
   ""
  ),
  _xlfn.XLOOKUP(
   A3,
   tblrecommended[PassiveTargetID],
   tblrecommended[Order],
   ""
  )
 )
)</f>
        <v>45</v>
      </c>
    </row>
    <row r="4" ht="25.5" hidden="1" customHeight="1">
      <c r="A4" s="26" t="s">
        <v>62</v>
      </c>
      <c r="B4" s="26" t="str">
        <f t="array" ref="B4">_xlfn.XLOOKUP(Checklist!$A4,tblTargets[TargetID],tblTargets[DisplayName])</f>
        <v>Alchemist's Hut Lv 1</v>
      </c>
      <c r="C4" s="21" t="str">
        <f t="array" ref="C4">_xlfn.XLOOKUP(
 A4,
 tblTargetStatus[TargetID],
 tblTargetStatus[successors],
 ""
)</f>
        <v>Alchemist's Hut Lv 2</v>
      </c>
      <c r="D4" s="26" t="str">
        <f t="array" ref="D4">_xlfn.XLOOKUP(
 A4,
 tblTargets[TargetID],
 tblTargets[TargetType],
 ""
)</f>
        <v>BUILDING</v>
      </c>
      <c r="E4" s="45" t="str">
        <f t="array" ref="E4">_xlfn.XLOOKUP(
 A4,
 tblTargetStatus[TargetID],
 tblTargetStatus[ChainAwareStatus],
 ""
)</f>
        <v>ONE AWAY</v>
      </c>
      <c r="F4" s="45">
        <v>4.0</v>
      </c>
      <c r="G4" s="45" t="b">
        <v>0</v>
      </c>
      <c r="H4" s="45" t="b">
        <f t="array" ref="H4">_xlfn.XLOOKUP(
 A4,
 tblTargetStatus[TargetID],
 tblTargetStatus[TargetFunded],
 ""
)</f>
        <v>0</v>
      </c>
      <c r="I4" s="45">
        <f t="array" ref="I4">IF(
 D4&lt;&gt;"BUILDING",
 "",
 IF(
  Player!$H$1="Active",
  _xlfn.XLOOKUP(
   A4,
   tblrecommended[ActiveTargetID],
   tblrecommended[Order],
   ""
  ),
  _xlfn.XLOOKUP(
   A4,
   tblrecommended[PassiveTargetID],
   tblrecommended[Order],
   ""
  )
 )
)</f>
        <v>4</v>
      </c>
    </row>
    <row r="5" ht="25.5" hidden="1" customHeight="1">
      <c r="A5" s="26" t="s">
        <v>65</v>
      </c>
      <c r="B5" s="26" t="str">
        <f t="array" ref="B5">_xlfn.XLOOKUP(Checklist!$A5,tblTargets[TargetID],tblTargets[DisplayName])</f>
        <v>Alchemist's Hut Lv 2</v>
      </c>
      <c r="C5" s="21" t="str">
        <f t="array" ref="C5">_xlfn.XLOOKUP(
 A5,
 tblTargetStatus[TargetID],
 tblTargetStatus[successors],
 ""
)</f>
        <v>Alchemist's Hut Lv 3</v>
      </c>
      <c r="D5" s="26" t="str">
        <f t="array" ref="D5">_xlfn.XLOOKUP(
 A5,
 tblTargets[TargetID],
 tblTargets[TargetType],
 ""
)</f>
        <v>BUILDING</v>
      </c>
      <c r="E5" s="45" t="str">
        <f t="array" ref="E5">_xlfn.XLOOKUP(
 A5,
 tblTargetStatus[TargetID],
 tblTargetStatus[ChainAwareStatus],
 ""
)</f>
        <v>BLOCKED</v>
      </c>
      <c r="F5" s="45">
        <v>5.0</v>
      </c>
      <c r="G5" s="45" t="b">
        <v>0</v>
      </c>
      <c r="H5" s="45" t="b">
        <f t="array" ref="H5">_xlfn.XLOOKUP(
 A5,
 tblTargetStatus[TargetID],
 tblTargetStatus[TargetFunded],
 ""
)</f>
        <v>0</v>
      </c>
      <c r="I5" s="45">
        <f t="array" ref="I5">IF(
 D5&lt;&gt;"BUILDING",
 "",
 IF(
  Player!$H$1="Active",
  _xlfn.XLOOKUP(
   A5,
   tblrecommended[ActiveTargetID],
   tblrecommended[Order],
   ""
  ),
  _xlfn.XLOOKUP(
   A5,
   tblrecommended[PassiveTargetID],
   tblrecommended[Order],
   ""
  )
 )
)</f>
        <v>5</v>
      </c>
    </row>
    <row r="6" ht="25.5" hidden="1" customHeight="1">
      <c r="A6" s="26" t="s">
        <v>68</v>
      </c>
      <c r="B6" s="26" t="str">
        <f t="array" ref="B6">_xlfn.XLOOKUP(Checklist!$A6,tblTargets[TargetID],tblTargets[DisplayName])</f>
        <v>Alchemist's Hut Lv 3</v>
      </c>
      <c r="C6" s="21" t="str">
        <f t="array" ref="C6">_xlfn.XLOOKUP(
 A6,
 tblTargetStatus[TargetID],
 tblTargetStatus[successors],
 ""
)</f>
        <v>Alchemist's Hut Lv 4</v>
      </c>
      <c r="D6" s="26" t="str">
        <f t="array" ref="D6">_xlfn.XLOOKUP(
 A6,
 tblTargets[TargetID],
 tblTargets[TargetType],
 ""
)</f>
        <v>BUILDING</v>
      </c>
      <c r="E6" s="45" t="str">
        <f t="array" ref="E6">_xlfn.XLOOKUP(
 A6,
 tblTargetStatus[TargetID],
 tblTargetStatus[ChainAwareStatus],
 ""
)</f>
        <v>BLOCKED</v>
      </c>
      <c r="F6" s="45">
        <v>51.0</v>
      </c>
      <c r="G6" s="45" t="b">
        <v>0</v>
      </c>
      <c r="H6" s="45" t="b">
        <f t="array" ref="H6">_xlfn.XLOOKUP(
 A6,
 tblTargetStatus[TargetID],
 tblTargetStatus[TargetFunded],
 ""
)</f>
        <v>0</v>
      </c>
      <c r="I6" s="45">
        <f t="array" ref="I6">IF(
 D6&lt;&gt;"BUILDING",
 "",
 IF(
  Player!$H$1="Active",
  _xlfn.XLOOKUP(
   A6,
   tblrecommended[ActiveTargetID],
   tblrecommended[Order],
   ""
  ),
  _xlfn.XLOOKUP(
   A6,
   tblrecommended[PassiveTargetID],
   tblrecommended[Order],
   ""
  )
 )
)</f>
        <v>51</v>
      </c>
    </row>
    <row r="7" ht="25.5" hidden="1" customHeight="1">
      <c r="A7" s="26" t="s">
        <v>71</v>
      </c>
      <c r="B7" s="26" t="str">
        <f t="array" ref="B7">_xlfn.XLOOKUP(Checklist!$A7,tblTargets[TargetID],tblTargets[DisplayName])</f>
        <v>Alchemist's Hut Lv 4</v>
      </c>
      <c r="C7" s="21" t="str">
        <f t="array" ref="C7">_xlfn.XLOOKUP(
 A7,
 tblTargetStatus[TargetID],
 tblTargetStatus[successors],
 ""
)</f>
        <v>Alchemist's Hut Lv 5</v>
      </c>
      <c r="D7" s="26" t="str">
        <f t="array" ref="D7">_xlfn.XLOOKUP(
 A7,
 tblTargets[TargetID],
 tblTargets[TargetType],
 ""
)</f>
        <v>BUILDING</v>
      </c>
      <c r="E7" s="45" t="str">
        <f t="array" ref="E7">_xlfn.XLOOKUP(
 A7,
 tblTargetStatus[TargetID],
 tblTargetStatus[ChainAwareStatus],
 ""
)</f>
        <v>BLOCKED</v>
      </c>
      <c r="F7" s="45">
        <v>52.0</v>
      </c>
      <c r="G7" s="45" t="b">
        <v>0</v>
      </c>
      <c r="H7" s="45" t="b">
        <f t="array" ref="H7">_xlfn.XLOOKUP(
 A7,
 tblTargetStatus[TargetID],
 tblTargetStatus[TargetFunded],
 ""
)</f>
        <v>0</v>
      </c>
      <c r="I7" s="45">
        <f t="array" ref="I7">IF(
 D7&lt;&gt;"BUILDING",
 "",
 IF(
  Player!$H$1="Active",
  _xlfn.XLOOKUP(
   A7,
   tblrecommended[ActiveTargetID],
   tblrecommended[Order],
   ""
  ),
  _xlfn.XLOOKUP(
   A7,
   tblrecommended[PassiveTargetID],
   tblrecommended[Order],
   ""
  )
 )
)</f>
        <v>52</v>
      </c>
    </row>
    <row r="8" ht="25.5" hidden="1" customHeight="1">
      <c r="A8" s="26" t="s">
        <v>77</v>
      </c>
      <c r="B8" s="26" t="str">
        <f t="array" ref="B8">_xlfn.XLOOKUP(Checklist!$A8,tblTargets[TargetID],tblTargets[DisplayName])</f>
        <v>Alchemist's Hut Lv 5</v>
      </c>
      <c r="C8" s="21" t="str">
        <f t="array" ref="C8">_xlfn.XLOOKUP(
 A8,
 tblTargetStatus[TargetID],
 tblTargetStatus[successors],
 ""
)</f>
        <v>Alchemist's Hut Lv 6</v>
      </c>
      <c r="D8" s="26" t="str">
        <f t="array" ref="D8">_xlfn.XLOOKUP(
 A8,
 tblTargets[TargetID],
 tblTargets[TargetType],
 ""
)</f>
        <v>BUILDING</v>
      </c>
      <c r="E8" s="45" t="str">
        <f t="array" ref="E8">_xlfn.XLOOKUP(
 A8,
 tblTargetStatus[TargetID],
 tblTargetStatus[ChainAwareStatus],
 ""
)</f>
        <v>BLOCKED</v>
      </c>
      <c r="F8" s="45">
        <v>53.0</v>
      </c>
      <c r="G8" s="45" t="b">
        <v>0</v>
      </c>
      <c r="H8" s="45" t="b">
        <f t="array" ref="H8">_xlfn.XLOOKUP(
 A8,
 tblTargetStatus[TargetID],
 tblTargetStatus[TargetFunded],
 ""
)</f>
        <v>0</v>
      </c>
      <c r="I8" s="45">
        <f t="array" ref="I8">IF(
 D8&lt;&gt;"BUILDING",
 "",
 IF(
  Player!$H$1="Active",
  _xlfn.XLOOKUP(
   A8,
   tblrecommended[ActiveTargetID],
   tblrecommended[Order],
   ""
  ),
  _xlfn.XLOOKUP(
   A8,
   tblrecommended[PassiveTargetID],
   tblrecommended[Order],
   ""
  )
 )
)</f>
        <v>53</v>
      </c>
    </row>
    <row r="9" ht="25.5" hidden="1" customHeight="1">
      <c r="A9" s="26" t="s">
        <v>81</v>
      </c>
      <c r="B9" s="26" t="str">
        <f t="array" ref="B9">_xlfn.XLOOKUP(Checklist!$A9,tblTargets[TargetID],tblTargets[DisplayName])</f>
        <v>Alchemist's Hut Lv 6</v>
      </c>
      <c r="C9" s="21" t="str">
        <f t="array" ref="C9">_xlfn.XLOOKUP(
 A9,
 tblTargetStatus[TargetID],
 tblTargetStatus[successors],
 ""
)</f>
        <v>Alchemists Hut maxed, Flamethrower, Tetrachloroaurate</v>
      </c>
      <c r="D9" s="26" t="str">
        <f t="array" ref="D9">_xlfn.XLOOKUP(
 A9,
 tblTargets[TargetID],
 tblTargets[TargetType],
 ""
)</f>
        <v>BUILDING</v>
      </c>
      <c r="E9" s="45" t="str">
        <f t="array" ref="E9">_xlfn.XLOOKUP(
 A9,
 tblTargetStatus[TargetID],
 tblTargetStatus[ChainAwareStatus],
 ""
)</f>
        <v>BLOCKED</v>
      </c>
      <c r="F9" s="45">
        <v>54.0</v>
      </c>
      <c r="G9" s="45" t="b">
        <v>0</v>
      </c>
      <c r="H9" s="45" t="b">
        <f t="array" ref="H9">_xlfn.XLOOKUP(
 A9,
 tblTargetStatus[TargetID],
 tblTargetStatus[TargetFunded],
 ""
)</f>
        <v>0</v>
      </c>
      <c r="I9" s="45">
        <f t="array" ref="I9">IF(
 D9&lt;&gt;"BUILDING",
 "",
 IF(
  Player!$H$1="Active",
  _xlfn.XLOOKUP(
   A9,
   tblrecommended[ActiveTargetID],
   tblrecommended[Order],
   ""
  ),
  _xlfn.XLOOKUP(
   A9,
   tblrecommended[PassiveTargetID],
   tblrecommended[Order],
   ""
  )
 )
)</f>
        <v>54</v>
      </c>
    </row>
    <row r="10" ht="25.5" hidden="1" customHeight="1">
      <c r="A10" s="26" t="s">
        <v>85</v>
      </c>
      <c r="B10" s="26" t="str">
        <f t="array" ref="B10">_xlfn.XLOOKUP(Checklist!$A10,tblTargets[TargetID],tblTargets[DisplayName])</f>
        <v>Bonsai Lv 1</v>
      </c>
      <c r="C10" s="21" t="str">
        <f t="array" ref="C10">_xlfn.XLOOKUP(
 A10,
 tblTargetStatus[TargetID],
 tblTargetStatus[successors],
 ""
)</f>
        <v>Bonsai Lv 2</v>
      </c>
      <c r="D10" s="26" t="str">
        <f t="array" ref="D10">_xlfn.XLOOKUP(
 A10,
 tblTargets[TargetID],
 tblTargets[TargetType],
 ""
)</f>
        <v>BUILDING</v>
      </c>
      <c r="E10" s="45" t="str">
        <f t="array" ref="E10">_xlfn.XLOOKUP(
 A10,
 tblTargetStatus[TargetID],
 tblTargetStatus[ChainAwareStatus],
 ""
)</f>
        <v>ONE AWAY</v>
      </c>
      <c r="F10" s="45">
        <v>89.0</v>
      </c>
      <c r="G10" s="45" t="b">
        <v>0</v>
      </c>
      <c r="H10" s="45" t="b">
        <f t="array" ref="H10">_xlfn.XLOOKUP(
 A10,
 tblTargetStatus[TargetID],
 tblTargetStatus[TargetFunded],
 ""
)</f>
        <v>0</v>
      </c>
      <c r="I10" s="45">
        <f t="array" ref="I10">IF(
 D10&lt;&gt;"BUILDING",
 "",
 IF(
  Player!$H$1="Active",
  _xlfn.XLOOKUP(
   A10,
   tblrecommended[ActiveTargetID],
   tblrecommended[Order],
   ""
  ),
  _xlfn.XLOOKUP(
   A10,
   tblrecommended[PassiveTargetID],
   tblrecommended[Order],
   ""
  )
 )
)</f>
        <v>89</v>
      </c>
    </row>
    <row r="11" ht="25.5" hidden="1" customHeight="1">
      <c r="A11" s="26" t="s">
        <v>90</v>
      </c>
      <c r="B11" s="26" t="str">
        <f t="array" ref="B11">_xlfn.XLOOKUP(Checklist!$A11,tblTargets[TargetID],tblTargets[DisplayName])</f>
        <v>Bonsai Lv 2</v>
      </c>
      <c r="C11" s="21" t="str">
        <f t="array" ref="C11">_xlfn.XLOOKUP(
 A11,
 tblTargetStatus[TargetID],
 tblTargetStatus[successors],
 ""
)</f>
        <v/>
      </c>
      <c r="D11" s="26" t="str">
        <f t="array" ref="D11">_xlfn.XLOOKUP(
 A11,
 tblTargets[TargetID],
 tblTargets[TargetType],
 ""
)</f>
        <v>BUILDING</v>
      </c>
      <c r="E11" s="45" t="str">
        <f t="array" ref="E11">_xlfn.XLOOKUP(
 A11,
 tblTargetStatus[TargetID],
 tblTargetStatus[ChainAwareStatus],
 ""
)</f>
        <v>BLOCKED</v>
      </c>
      <c r="F11" s="45">
        <v>90.0</v>
      </c>
      <c r="G11" s="45" t="b">
        <v>0</v>
      </c>
      <c r="H11" s="45" t="b">
        <f t="array" ref="H11">_xlfn.XLOOKUP(
 A11,
 tblTargetStatus[TargetID],
 tblTargetStatus[TargetFunded],
 ""
)</f>
        <v>0</v>
      </c>
      <c r="I11" s="45">
        <f t="array" ref="I11">IF(
 D11&lt;&gt;"BUILDING",
 "",
 IF(
  Player!$H$1="Active",
  _xlfn.XLOOKUP(
   A11,
   tblrecommended[ActiveTargetID],
   tblrecommended[Order],
   ""
  ),
  _xlfn.XLOOKUP(
   A11,
   tblrecommended[PassiveTargetID],
   tblrecommended[Order],
   ""
  )
 )
)</f>
        <v>90</v>
      </c>
    </row>
    <row r="12" ht="25.5" hidden="1" customHeight="1">
      <c r="A12" s="26" t="s">
        <v>96</v>
      </c>
      <c r="B12" s="26" t="str">
        <f t="array" ref="B12">_xlfn.XLOOKUP(Checklist!$A12,tblTargets[TargetID],tblTargets[DisplayName])</f>
        <v>Bridge Lv 1</v>
      </c>
      <c r="C12" s="21" t="str">
        <f t="array" ref="C12">_xlfn.XLOOKUP(
 A12,
 tblTargetStatus[TargetID],
 tblTargetStatus[successors],
 ""
)</f>
        <v>Airship Lv 1, Bridge maxed, Caravan Lv 1, Outpost Lv 1, Station Lv 1, Tailor Lv 1, Guild Banner, Guild Codex, Guild Supplies, Festival Accepted, Honor, Glory, Sushi Accepted, Silk Road Accepted</v>
      </c>
      <c r="D12" s="26" t="str">
        <f t="array" ref="D12">_xlfn.XLOOKUP(
 A12,
 tblTargets[TargetID],
 tblTargets[TargetType],
 ""
)</f>
        <v>BUILDING</v>
      </c>
      <c r="E12" s="45" t="str">
        <f t="array" ref="E12">_xlfn.XLOOKUP(
 A12,
 tblTargetStatus[TargetID],
 tblTargetStatus[ChainAwareStatus],
 ""
)</f>
        <v>ONE AWAY</v>
      </c>
      <c r="F12" s="45">
        <v>27.0</v>
      </c>
      <c r="G12" s="45" t="b">
        <v>0</v>
      </c>
      <c r="H12" s="45" t="b">
        <f t="array" ref="H12">_xlfn.XLOOKUP(
 A12,
 tblTargetStatus[TargetID],
 tblTargetStatus[TargetFunded],
 ""
)</f>
        <v>0</v>
      </c>
      <c r="I12" s="45">
        <f t="array" ref="I12">IF(
 D12&lt;&gt;"BUILDING",
 "",
 IF(
  Player!$H$1="Active",
  _xlfn.XLOOKUP(
   A12,
   tblrecommended[ActiveTargetID],
   tblrecommended[Order],
   ""
  ),
  _xlfn.XLOOKUP(
   A12,
   tblrecommended[PassiveTargetID],
   tblrecommended[Order],
   ""
  )
 )
)</f>
        <v>27</v>
      </c>
    </row>
    <row r="13" ht="25.5" hidden="1" customHeight="1">
      <c r="A13" s="26" t="s">
        <v>103</v>
      </c>
      <c r="B13" s="26" t="str">
        <f t="array" ref="B13">_xlfn.XLOOKUP(Checklist!$A13,tblTargets[TargetID],tblTargets[DisplayName])</f>
        <v>Caravan Lv 1</v>
      </c>
      <c r="C13" s="21" t="str">
        <f t="array" ref="C13">_xlfn.XLOOKUP(
 A13,
 tblTargetStatus[TargetID],
 tblTargetStatus[successors],
 ""
)</f>
        <v>Caravan Lv 2</v>
      </c>
      <c r="D13" s="26" t="str">
        <f t="array" ref="D13">_xlfn.XLOOKUP(
 A13,
 tblTargets[TargetID],
 tblTargets[TargetType],
 ""
)</f>
        <v>BUILDING</v>
      </c>
      <c r="E13" s="45" t="str">
        <f t="array" ref="E13">_xlfn.XLOOKUP(
 A13,
 tblTargetStatus[TargetID],
 tblTargetStatus[ChainAwareStatus],
 ""
)</f>
        <v>BLOCKED</v>
      </c>
      <c r="F13" s="45">
        <v>36.0</v>
      </c>
      <c r="G13" s="45" t="b">
        <v>0</v>
      </c>
      <c r="H13" s="45" t="b">
        <f t="array" ref="H13">_xlfn.XLOOKUP(
 A13,
 tblTargetStatus[TargetID],
 tblTargetStatus[TargetFunded],
 ""
)</f>
        <v>0</v>
      </c>
      <c r="I13" s="45">
        <f t="array" ref="I13">IF(
 D13&lt;&gt;"BUILDING",
 "",
 IF(
  Player!$H$1="Active",
  _xlfn.XLOOKUP(
   A13,
   tblrecommended[ActiveTargetID],
   tblrecommended[Order],
   ""
  ),
  _xlfn.XLOOKUP(
   A13,
   tblrecommended[PassiveTargetID],
   tblrecommended[Order],
   ""
  )
 )
)</f>
        <v>36</v>
      </c>
    </row>
    <row r="14" ht="25.5" hidden="1" customHeight="1">
      <c r="A14" s="26" t="s">
        <v>112</v>
      </c>
      <c r="B14" s="26" t="str">
        <f t="array" ref="B14">_xlfn.XLOOKUP(Checklist!$A14,tblTargets[TargetID],tblTargets[DisplayName])</f>
        <v>Caravan Lv 2</v>
      </c>
      <c r="C14" s="21" t="str">
        <f t="array" ref="C14">_xlfn.XLOOKUP(
 A14,
 tblTargetStatus[TargetID],
 tblTargetStatus[successors],
 ""
)</f>
        <v>Caravan Lv 3</v>
      </c>
      <c r="D14" s="26" t="str">
        <f t="array" ref="D14">_xlfn.XLOOKUP(
 A14,
 tblTargets[TargetID],
 tblTargets[TargetType],
 ""
)</f>
        <v>BUILDING</v>
      </c>
      <c r="E14" s="45" t="str">
        <f t="array" ref="E14">_xlfn.XLOOKUP(
 A14,
 tblTargetStatus[TargetID],
 tblTargetStatus[ChainAwareStatus],
 ""
)</f>
        <v>BLOCKED</v>
      </c>
      <c r="F14" s="45">
        <v>37.0</v>
      </c>
      <c r="G14" s="45" t="b">
        <v>0</v>
      </c>
      <c r="H14" s="45" t="b">
        <f t="array" ref="H14">_xlfn.XLOOKUP(
 A14,
 tblTargetStatus[TargetID],
 tblTargetStatus[TargetFunded],
 ""
)</f>
        <v>0</v>
      </c>
      <c r="I14" s="45">
        <f t="array" ref="I14">IF(
 D14&lt;&gt;"BUILDING",
 "",
 IF(
  Player!$H$1="Active",
  _xlfn.XLOOKUP(
   A14,
   tblrecommended[ActiveTargetID],
   tblrecommended[Order],
   ""
  ),
  _xlfn.XLOOKUP(
   A14,
   tblrecommended[PassiveTargetID],
   tblrecommended[Order],
   ""
  )
 )
)</f>
        <v>37</v>
      </c>
    </row>
    <row r="15" ht="25.5" hidden="1" customHeight="1">
      <c r="A15" s="26" t="s">
        <v>116</v>
      </c>
      <c r="B15" s="26" t="str">
        <f t="array" ref="B15">_xlfn.XLOOKUP(Checklist!$A15,tblTargets[TargetID],tblTargets[DisplayName])</f>
        <v>Caravan Lv 3</v>
      </c>
      <c r="C15" s="21" t="str">
        <f t="array" ref="C15">_xlfn.XLOOKUP(
 A15,
 tblTargetStatus[TargetID],
 tblTargetStatus[successors],
 ""
)</f>
        <v>Caravan Lv 4</v>
      </c>
      <c r="D15" s="26" t="str">
        <f t="array" ref="D15">_xlfn.XLOOKUP(
 A15,
 tblTargets[TargetID],
 tblTargets[TargetType],
 ""
)</f>
        <v>BUILDING</v>
      </c>
      <c r="E15" s="45" t="str">
        <f t="array" ref="E15">_xlfn.XLOOKUP(
 A15,
 tblTargetStatus[TargetID],
 tblTargetStatus[ChainAwareStatus],
 ""
)</f>
        <v>BLOCKED</v>
      </c>
      <c r="F15" s="45">
        <v>38.0</v>
      </c>
      <c r="G15" s="45" t="b">
        <v>0</v>
      </c>
      <c r="H15" s="45" t="b">
        <f t="array" ref="H15">_xlfn.XLOOKUP(
 A15,
 tblTargetStatus[TargetID],
 tblTargetStatus[TargetFunded],
 ""
)</f>
        <v>0</v>
      </c>
      <c r="I15" s="45">
        <f t="array" ref="I15">IF(
 D15&lt;&gt;"BUILDING",
 "",
 IF(
  Player!$H$1="Active",
  _xlfn.XLOOKUP(
   A15,
   tblrecommended[ActiveTargetID],
   tblrecommended[Order],
   ""
  ),
  _xlfn.XLOOKUP(
   A15,
   tblrecommended[PassiveTargetID],
   tblrecommended[Order],
   ""
  )
 )
)</f>
        <v>38</v>
      </c>
    </row>
    <row r="16" ht="25.5" hidden="1" customHeight="1">
      <c r="A16" s="26" t="s">
        <v>122</v>
      </c>
      <c r="B16" s="26" t="str">
        <f t="array" ref="B16">_xlfn.XLOOKUP(Checklist!$A16,tblTargets[TargetID],tblTargets[DisplayName])</f>
        <v>Caravan Lv 4</v>
      </c>
      <c r="C16" s="21" t="str">
        <f t="array" ref="C16">_xlfn.XLOOKUP(
 A16,
 tblTargetStatus[TargetID],
 tblTargetStatus[successors],
 ""
)</f>
        <v/>
      </c>
      <c r="D16" s="26" t="str">
        <f t="array" ref="D16">_xlfn.XLOOKUP(
 A16,
 tblTargets[TargetID],
 tblTargets[TargetType],
 ""
)</f>
        <v>BUILDING</v>
      </c>
      <c r="E16" s="45" t="str">
        <f t="array" ref="E16">_xlfn.XLOOKUP(
 A16,
 tblTargetStatus[TargetID],
 tblTargetStatus[ChainAwareStatus],
 ""
)</f>
        <v>BLOCKED</v>
      </c>
      <c r="F16" s="45">
        <v>39.0</v>
      </c>
      <c r="G16" s="45" t="b">
        <v>0</v>
      </c>
      <c r="H16" s="45" t="b">
        <f t="array" ref="H16">_xlfn.XLOOKUP(
 A16,
 tblTargetStatus[TargetID],
 tblTargetStatus[TargetFunded],
 ""
)</f>
        <v>0</v>
      </c>
      <c r="I16" s="45">
        <f t="array" ref="I16">IF(
 D16&lt;&gt;"BUILDING",
 "",
 IF(
  Player!$H$1="Active",
  _xlfn.XLOOKUP(
   A16,
   tblrecommended[ActiveTargetID],
   tblrecommended[Order],
   ""
  ),
  _xlfn.XLOOKUP(
   A16,
   tblrecommended[PassiveTargetID],
   tblrecommended[Order],
   ""
  )
 )
)</f>
        <v>39</v>
      </c>
    </row>
    <row r="17" ht="25.5" hidden="1" customHeight="1">
      <c r="A17" s="26" t="s">
        <v>127</v>
      </c>
      <c r="B17" s="26" t="str">
        <f t="array" ref="B17">_xlfn.XLOOKUP(Checklist!$A17,tblTargets[TargetID],tblTargets[DisplayName])</f>
        <v>Chicken Lv 1</v>
      </c>
      <c r="C17" s="21" t="str">
        <f t="array" ref="C17">_xlfn.XLOOKUP(
 A17,
 tblTargetStatus[TargetID],
 tblTargetStatus[successors],
 ""
)</f>
        <v>Chicken Lv 2</v>
      </c>
      <c r="D17" s="26" t="str">
        <f t="array" ref="D17">_xlfn.XLOOKUP(
 A17,
 tblTargets[TargetID],
 tblTargets[TargetType],
 ""
)</f>
        <v>BUILDING</v>
      </c>
      <c r="E17" s="45" t="str">
        <f t="array" ref="E17">_xlfn.XLOOKUP(
 A17,
 tblTargetStatus[TargetID],
 tblTargetStatus[ChainAwareStatus],
 ""
)</f>
        <v>ONE AWAY</v>
      </c>
      <c r="F17" s="45">
        <v>55.0</v>
      </c>
      <c r="G17" s="45" t="b">
        <v>0</v>
      </c>
      <c r="H17" s="45" t="b">
        <f t="array" ref="H17">_xlfn.XLOOKUP(
 A17,
 tblTargetStatus[TargetID],
 tblTargetStatus[TargetFunded],
 ""
)</f>
        <v>0</v>
      </c>
      <c r="I17" s="45">
        <f t="array" ref="I17">IF(
 D17&lt;&gt;"BUILDING",
 "",
 IF(
  Player!$H$1="Active",
  _xlfn.XLOOKUP(
   A17,
   tblrecommended[ActiveTargetID],
   tblrecommended[Order],
   ""
  ),
  _xlfn.XLOOKUP(
   A17,
   tblrecommended[PassiveTargetID],
   tblrecommended[Order],
   ""
  )
 )
)</f>
        <v>55</v>
      </c>
    </row>
    <row r="18" ht="25.5" hidden="1" customHeight="1">
      <c r="A18" s="26" t="s">
        <v>131</v>
      </c>
      <c r="B18" s="26" t="str">
        <f t="array" ref="B18">_xlfn.XLOOKUP(Checklist!$A18,tblTargets[TargetID],tblTargets[DisplayName])</f>
        <v>Chicken Lv 2</v>
      </c>
      <c r="C18" s="21" t="str">
        <f t="array" ref="C18">_xlfn.XLOOKUP(
 A18,
 tblTargetStatus[TargetID],
 tblTargetStatus[successors],
 ""
)</f>
        <v/>
      </c>
      <c r="D18" s="26" t="str">
        <f t="array" ref="D18">_xlfn.XLOOKUP(
 A18,
 tblTargets[TargetID],
 tblTargets[TargetType],
 ""
)</f>
        <v>BUILDING</v>
      </c>
      <c r="E18" s="45" t="str">
        <f t="array" ref="E18">_xlfn.XLOOKUP(
 A18,
 tblTargetStatus[TargetID],
 tblTargetStatus[ChainAwareStatus],
 ""
)</f>
        <v>BLOCKED</v>
      </c>
      <c r="F18" s="45">
        <v>56.0</v>
      </c>
      <c r="G18" s="45" t="b">
        <v>0</v>
      </c>
      <c r="H18" s="45" t="b">
        <f t="array" ref="H18">_xlfn.XLOOKUP(
 A18,
 tblTargetStatus[TargetID],
 tblTargetStatus[TargetFunded],
 ""
)</f>
        <v>0</v>
      </c>
      <c r="I18" s="45">
        <f t="array" ref="I18">IF(
 D18&lt;&gt;"BUILDING",
 "",
 IF(
  Player!$H$1="Active",
  _xlfn.XLOOKUP(
   A18,
   tblrecommended[ActiveTargetID],
   tblrecommended[Order],
   ""
  ),
  _xlfn.XLOOKUP(
   A18,
   tblrecommended[PassiveTargetID],
   tblrecommended[Order],
   ""
  )
 )
)</f>
        <v>56</v>
      </c>
    </row>
    <row r="19" ht="25.5" hidden="1" customHeight="1">
      <c r="A19" s="26" t="s">
        <v>138</v>
      </c>
      <c r="B19" s="26" t="str">
        <f t="array" ref="B19">_xlfn.XLOOKUP(Checklist!$A19,tblTargets[TargetID],tblTargets[DisplayName])</f>
        <v>Dairy Lv 1</v>
      </c>
      <c r="C19" s="21" t="str">
        <f t="array" ref="C19">_xlfn.XLOOKUP(
 A19,
 tblTargetStatus[TargetID],
 tblTargetStatus[successors],
 ""
)</f>
        <v>Dairy Lv 2</v>
      </c>
      <c r="D19" s="26" t="str">
        <f t="array" ref="D19">_xlfn.XLOOKUP(
 A19,
 tblTargets[TargetID],
 tblTargets[TargetType],
 ""
)</f>
        <v>BUILDING</v>
      </c>
      <c r="E19" s="45" t="str">
        <f t="array" ref="E19">_xlfn.XLOOKUP(
 A19,
 tblTargetStatus[TargetID],
 tblTargetStatus[ChainAwareStatus],
 ""
)</f>
        <v>BLOCKED</v>
      </c>
      <c r="F19" s="45">
        <v>77.0</v>
      </c>
      <c r="G19" s="45" t="b">
        <v>0</v>
      </c>
      <c r="H19" s="45" t="b">
        <f t="array" ref="H19">_xlfn.XLOOKUP(
 A19,
 tblTargetStatus[TargetID],
 tblTargetStatus[TargetFunded],
 ""
)</f>
        <v>0</v>
      </c>
      <c r="I19" s="45">
        <f t="array" ref="I19">IF(
 D19&lt;&gt;"BUILDING",
 "",
 IF(
  Player!$H$1="Active",
  _xlfn.XLOOKUP(
   A19,
   tblrecommended[ActiveTargetID],
   tblrecommended[Order],
   ""
  ),
  _xlfn.XLOOKUP(
   A19,
   tblrecommended[PassiveTargetID],
   tblrecommended[Order],
   ""
  )
 )
)</f>
        <v>77</v>
      </c>
    </row>
    <row r="20" ht="25.5" hidden="1" customHeight="1">
      <c r="A20" s="26" t="s">
        <v>145</v>
      </c>
      <c r="B20" s="26" t="str">
        <f t="array" ref="B20">_xlfn.XLOOKUP(Checklist!$A20,tblTargets[TargetID],tblTargets[DisplayName])</f>
        <v>Dairy Lv 2</v>
      </c>
      <c r="C20" s="21" t="str">
        <f t="array" ref="C20">_xlfn.XLOOKUP(
 A20,
 tblTargetStatus[TargetID],
 tblTargetStatus[successors],
 ""
)</f>
        <v>dairy maxed, The Ordinary Days of an Adventurer Chapter 6 Accepted, Visit Dungeon@ 6B</v>
      </c>
      <c r="D20" s="26" t="str">
        <f t="array" ref="D20">_xlfn.XLOOKUP(
 A20,
 tblTargets[TargetID],
 tblTargets[TargetType],
 ""
)</f>
        <v>BUILDING</v>
      </c>
      <c r="E20" s="45" t="str">
        <f t="array" ref="E20">_xlfn.XLOOKUP(
 A20,
 tblTargetStatus[TargetID],
 tblTargetStatus[ChainAwareStatus],
 ""
)</f>
        <v>BLOCKED</v>
      </c>
      <c r="F20" s="45">
        <v>78.0</v>
      </c>
      <c r="G20" s="45" t="b">
        <v>0</v>
      </c>
      <c r="H20" s="45" t="b">
        <f t="array" ref="H20">_xlfn.XLOOKUP(
 A20,
 tblTargetStatus[TargetID],
 tblTargetStatus[TargetFunded],
 ""
)</f>
        <v>0</v>
      </c>
      <c r="I20" s="45">
        <f t="array" ref="I20">IF(
 D20&lt;&gt;"BUILDING",
 "",
 IF(
  Player!$H$1="Active",
  _xlfn.XLOOKUP(
   A20,
   tblrecommended[ActiveTargetID],
   tblrecommended[Order],
   ""
  ),
  _xlfn.XLOOKUP(
   A20,
   tblrecommended[PassiveTargetID],
   tblrecommended[Order],
   ""
  )
 )
)</f>
        <v>78</v>
      </c>
    </row>
    <row r="21" ht="25.5" hidden="1" customHeight="1">
      <c r="A21" s="26" t="s">
        <v>151</v>
      </c>
      <c r="B21" s="26" t="str">
        <f t="array" ref="B21">_xlfn.XLOOKUP(Checklist!$A21,tblTargets[TargetID],tblTargets[DisplayName])</f>
        <v>Dungeon Lv 1</v>
      </c>
      <c r="C21" s="21" t="str">
        <f t="array" ref="C21">_xlfn.XLOOKUP(
 A21,
 tblTargetStatus[TargetID],
 tblTargetStatus[successors],
 ""
)</f>
        <v>Dungeon Lv 2, Emerald Tablet, Historical Library, Trigonometry, Quest for Knowledge Chapter 1 Accepted, Meet Traveling Merchant @1B, Complete Dungeon 1A</v>
      </c>
      <c r="D21" s="26" t="str">
        <f t="array" ref="D21">_xlfn.XLOOKUP(
 A21,
 tblTargets[TargetID],
 tblTargets[TargetType],
 ""
)</f>
        <v>BUILDING</v>
      </c>
      <c r="E21" s="45" t="str">
        <f t="array" ref="E21">_xlfn.XLOOKUP(
 A21,
 tblTargetStatus[TargetID],
 tblTargetStatus[ChainAwareStatus],
 ""
)</f>
        <v>ONE AWAY</v>
      </c>
      <c r="F21" s="45">
        <v>12.0</v>
      </c>
      <c r="G21" s="45" t="b">
        <v>0</v>
      </c>
      <c r="H21" s="45" t="b">
        <f t="array" ref="H21">_xlfn.XLOOKUP(
 A21,
 tblTargetStatus[TargetID],
 tblTargetStatus[TargetFunded],
 ""
)</f>
        <v>0</v>
      </c>
      <c r="I21" s="45">
        <f t="array" ref="I21">IF(
 D21&lt;&gt;"BUILDING",
 "",
 IF(
  Player!$H$1="Active",
  _xlfn.XLOOKUP(
   A21,
   tblrecommended[ActiveTargetID],
   tblrecommended[Order],
   ""
  ),
  _xlfn.XLOOKUP(
   A21,
   tblrecommended[PassiveTargetID],
   tblrecommended[Order],
   ""
  )
 )
)</f>
        <v>12</v>
      </c>
    </row>
    <row r="22" ht="25.5" hidden="1" customHeight="1">
      <c r="A22" s="26" t="s">
        <v>159</v>
      </c>
      <c r="B22" s="26" t="str">
        <f t="array" ref="B22">_xlfn.XLOOKUP(Checklist!$A22,tblTargets[TargetID],tblTargets[DisplayName])</f>
        <v>Dungeon Lv 2</v>
      </c>
      <c r="C22" s="21" t="str">
        <f t="array" ref="C22">_xlfn.XLOOKUP(
 A22,
 tblTargetStatus[TargetID],
 tblTargetStatus[successors],
 ""
)</f>
        <v>Dungeon Lv 3, Meet Mech Adventurer@2B</v>
      </c>
      <c r="D22" s="26" t="str">
        <f t="array" ref="D22">_xlfn.XLOOKUP(
 A22,
 tblTargets[TargetID],
 tblTargets[TargetType],
 ""
)</f>
        <v>BUILDING</v>
      </c>
      <c r="E22" s="45" t="str">
        <f t="array" ref="E22">_xlfn.XLOOKUP(
 A22,
 tblTargetStatus[TargetID],
 tblTargetStatus[ChainAwareStatus],
 ""
)</f>
        <v>BLOCKED</v>
      </c>
      <c r="F22" s="45">
        <v>16.0</v>
      </c>
      <c r="G22" s="45" t="b">
        <v>0</v>
      </c>
      <c r="H22" s="45" t="b">
        <f t="array" ref="H22">_xlfn.XLOOKUP(
 A22,
 tblTargetStatus[TargetID],
 tblTargetStatus[TargetFunded],
 ""
)</f>
        <v>0</v>
      </c>
      <c r="I22" s="45">
        <f t="array" ref="I22">IF(
 D22&lt;&gt;"BUILDING",
 "",
 IF(
  Player!$H$1="Active",
  _xlfn.XLOOKUP(
   A22,
   tblrecommended[ActiveTargetID],
   tblrecommended[Order],
   ""
  ),
  _xlfn.XLOOKUP(
   A22,
   tblrecommended[PassiveTargetID],
   tblrecommended[Order],
   ""
  )
 )
)</f>
        <v>16</v>
      </c>
    </row>
    <row r="23" ht="25.5" hidden="1" customHeight="1">
      <c r="A23" s="26" t="s">
        <v>165</v>
      </c>
      <c r="B23" s="26" t="str">
        <f t="array" ref="B23">_xlfn.XLOOKUP(Checklist!$A23,tblTargets[TargetID],tblTargets[DisplayName])</f>
        <v>Dungeon Lv 3</v>
      </c>
      <c r="C23" s="21" t="str">
        <f t="array" ref="C23">_xlfn.XLOOKUP(
 A23,
 tblTargetStatus[TargetID],
 tblTargetStatus[successors],
 ""
)</f>
        <v>Dungeon Lv 4, Great Hall, Dungeon - Great Hall, Green Potion Finished</v>
      </c>
      <c r="D23" s="26" t="str">
        <f t="array" ref="D23">_xlfn.XLOOKUP(
 A23,
 tblTargets[TargetID],
 tblTargets[TargetType],
 ""
)</f>
        <v>BUILDING</v>
      </c>
      <c r="E23" s="45" t="str">
        <f t="array" ref="E23">_xlfn.XLOOKUP(
 A23,
 tblTargetStatus[TargetID],
 tblTargetStatus[ChainAwareStatus],
 ""
)</f>
        <v>BLOCKED</v>
      </c>
      <c r="F23" s="45">
        <v>43.0</v>
      </c>
      <c r="G23" s="45" t="b">
        <v>0</v>
      </c>
      <c r="H23" s="45" t="b">
        <f t="array" ref="H23">_xlfn.XLOOKUP(
 A23,
 tblTargetStatus[TargetID],
 tblTargetStatus[TargetFunded],
 ""
)</f>
        <v>0</v>
      </c>
      <c r="I23" s="45">
        <f t="array" ref="I23">IF(
 D23&lt;&gt;"BUILDING",
 "",
 IF(
  Player!$H$1="Active",
  _xlfn.XLOOKUP(
   A23,
   tblrecommended[ActiveTargetID],
   tblrecommended[Order],
   ""
  ),
  _xlfn.XLOOKUP(
   A23,
   tblrecommended[PassiveTargetID],
   tblrecommended[Order],
   ""
  )
 )
)</f>
        <v>43</v>
      </c>
    </row>
    <row r="24" ht="25.5" hidden="1" customHeight="1">
      <c r="A24" s="26" t="s">
        <v>172</v>
      </c>
      <c r="B24" s="26" t="str">
        <f t="array" ref="B24">_xlfn.XLOOKUP(Checklist!$A24,tblTargets[TargetID],tblTargets[DisplayName])</f>
        <v>Dungeon Lv 4</v>
      </c>
      <c r="C24" s="21" t="str">
        <f t="array" ref="C24">_xlfn.XLOOKUP(
 A24,
 tblTargetStatus[TargetID],
 tblTargetStatus[successors],
 ""
)</f>
        <v>Dungeon Lv 5, Kitchen and Buttery, Pantry, Culinary Battle Accepted, Dragon teeth Accepted, Meet Fat Demon@4A, Meet Old Man@4C</v>
      </c>
      <c r="D24" s="26" t="str">
        <f t="array" ref="D24">_xlfn.XLOOKUP(
 A24,
 tblTargets[TargetID],
 tblTargets[TargetType],
 ""
)</f>
        <v>BUILDING</v>
      </c>
      <c r="E24" s="45" t="str">
        <f t="array" ref="E24">_xlfn.XLOOKUP(
 A24,
 tblTargetStatus[TargetID],
 tblTargetStatus[ChainAwareStatus],
 ""
)</f>
        <v>BLOCKED</v>
      </c>
      <c r="F24" s="45">
        <v>64.0</v>
      </c>
      <c r="G24" s="45" t="b">
        <v>0</v>
      </c>
      <c r="H24" s="45" t="b">
        <f t="array" ref="H24">_xlfn.XLOOKUP(
 A24,
 tblTargetStatus[TargetID],
 tblTargetStatus[TargetFunded],
 ""
)</f>
        <v>0</v>
      </c>
      <c r="I24" s="45">
        <f t="array" ref="I24">IF(
 D24&lt;&gt;"BUILDING",
 "",
 IF(
  Player!$H$1="Active",
  _xlfn.XLOOKUP(
   A24,
   tblrecommended[ActiveTargetID],
   tblrecommended[Order],
   ""
  ),
  _xlfn.XLOOKUP(
   A24,
   tblrecommended[PassiveTargetID],
   tblrecommended[Order],
   ""
  )
 )
)</f>
        <v>64</v>
      </c>
    </row>
    <row r="25" ht="25.5" hidden="1" customHeight="1">
      <c r="A25" s="26" t="s">
        <v>177</v>
      </c>
      <c r="B25" s="26" t="str">
        <f t="array" ref="B25">_xlfn.XLOOKUP(Checklist!$A25,tblTargets[TargetID],tblTargets[DisplayName])</f>
        <v>Dungeon Lv 5</v>
      </c>
      <c r="C25" s="21" t="str">
        <f t="array" ref="C25">_xlfn.XLOOKUP(
 A25,
 tblTargetStatus[TargetID],
 tblTargetStatus[successors],
 ""
)</f>
        <v>dungeon maxed, Dungeon Lv 6, Attic, Courtyard, Lair lvl. 1, Tavern, Metal Detector, Magic Beans Accepted, Tame A Critter, Complete Dungeon 5C</v>
      </c>
      <c r="D25" s="26" t="str">
        <f t="array" ref="D25">_xlfn.XLOOKUP(
 A25,
 tblTargets[TargetID],
 tblTargets[TargetType],
 ""
)</f>
        <v>BUILDING</v>
      </c>
      <c r="E25" s="45" t="str">
        <f t="array" ref="E25">_xlfn.XLOOKUP(
 A25,
 tblTargetStatus[TargetID],
 tblTargetStatus[ChainAwareStatus],
 ""
)</f>
        <v>BLOCKED</v>
      </c>
      <c r="F25" s="45">
        <v>65.0</v>
      </c>
      <c r="G25" s="45" t="b">
        <v>0</v>
      </c>
      <c r="H25" s="45" t="b">
        <f t="array" ref="H25">_xlfn.XLOOKUP(
 A25,
 tblTargetStatus[TargetID],
 tblTargetStatus[TargetFunded],
 ""
)</f>
        <v>0</v>
      </c>
      <c r="I25" s="45">
        <f t="array" ref="I25">IF(
 D25&lt;&gt;"BUILDING",
 "",
 IF(
  Player!$H$1="Active",
  _xlfn.XLOOKUP(
   A25,
   tblrecommended[ActiveTargetID],
   tblrecommended[Order],
   ""
  ),
  _xlfn.XLOOKUP(
   A25,
   tblrecommended[PassiveTargetID],
   tblrecommended[Order],
   ""
  )
 )
)</f>
        <v>65</v>
      </c>
    </row>
    <row r="26" ht="25.5" hidden="1" customHeight="1">
      <c r="A26" s="26" t="s">
        <v>182</v>
      </c>
      <c r="B26" s="26" t="str">
        <f t="array" ref="B26">_xlfn.XLOOKUP(Checklist!$A26,tblTargets[TargetID],tblTargets[DisplayName])</f>
        <v>Dungeon Lv 6</v>
      </c>
      <c r="C26" s="21" t="str">
        <f t="array" ref="C26">_xlfn.XLOOKUP(
 A26,
 tblTargetStatus[TargetID],
 tblTargetStatus[successors],
 ""
)</f>
        <v>Complete Dungeon 6C</v>
      </c>
      <c r="D26" s="26" t="str">
        <f t="array" ref="D26">_xlfn.XLOOKUP(
 A26,
 tblTargets[TargetID],
 tblTargets[TargetType],
 ""
)</f>
        <v>BUILDING</v>
      </c>
      <c r="E26" s="45" t="str">
        <f t="array" ref="E26">_xlfn.XLOOKUP(
 A26,
 tblTargetStatus[TargetID],
 tblTargetStatus[ChainAwareStatus],
 ""
)</f>
        <v>BLOCKED</v>
      </c>
      <c r="F26" s="45" t="s">
        <v>186</v>
      </c>
      <c r="G26" s="45" t="b">
        <v>0</v>
      </c>
      <c r="H26" s="45" t="str">
        <f t="array" ref="H26">_xlfn.XLOOKUP(
 A26,
 tblTargetStatus[TargetID],
 tblTargetStatus[TargetFunded],
 ""
)</f>
        <v>N/A</v>
      </c>
      <c r="I26" s="45" t="str">
        <f t="array" ref="I26">IF(
 D26&lt;&gt;"BUILDING",
 "",
 IF(
  Player!$H$1="Active",
  _xlfn.XLOOKUP(
   A26,
   tblrecommended[ActiveTargetID],
   tblrecommended[Order],
   ""
  ),
  _xlfn.XLOOKUP(
   A26,
   tblrecommended[PassiveTargetID],
   tblrecommended[Order],
   ""
  )
 )
)</f>
        <v/>
      </c>
    </row>
    <row r="27" ht="25.5" hidden="1" customHeight="1">
      <c r="A27" s="26" t="s">
        <v>188</v>
      </c>
      <c r="B27" s="26" t="str">
        <f t="array" ref="B27">_xlfn.XLOOKUP(Checklist!$A27,tblTargets[TargetID],tblTargets[DisplayName])</f>
        <v>Fermentory Lv 1</v>
      </c>
      <c r="C27" s="21" t="str">
        <f t="array" ref="C27">_xlfn.XLOOKUP(
 A27,
 tblTargetStatus[TargetID],
 tblTargetStatus[successors],
 ""
)</f>
        <v>Fermentory Lv 2</v>
      </c>
      <c r="D27" s="26" t="str">
        <f t="array" ref="D27">_xlfn.XLOOKUP(
 A27,
 tblTargets[TargetID],
 tblTargets[TargetType],
 ""
)</f>
        <v>BUILDING</v>
      </c>
      <c r="E27" s="45" t="str">
        <f t="array" ref="E27">_xlfn.XLOOKUP(
 A27,
 tblTargetStatus[TargetID],
 tblTargetStatus[ChainAwareStatus],
 ""
)</f>
        <v>BLOCKED</v>
      </c>
      <c r="F27" s="45">
        <v>72.0</v>
      </c>
      <c r="G27" s="45" t="b">
        <v>0</v>
      </c>
      <c r="H27" s="45" t="b">
        <f t="array" ref="H27">_xlfn.XLOOKUP(
 A27,
 tblTargetStatus[TargetID],
 tblTargetStatus[TargetFunded],
 ""
)</f>
        <v>0</v>
      </c>
      <c r="I27" s="45">
        <f t="array" ref="I27">IF(
 D27&lt;&gt;"BUILDING",
 "",
 IF(
  Player!$H$1="Active",
  _xlfn.XLOOKUP(
   A27,
   tblrecommended[ActiveTargetID],
   tblrecommended[Order],
   ""
  ),
  _xlfn.XLOOKUP(
   A27,
   tblrecommended[PassiveTargetID],
   tblrecommended[Order],
   ""
  )
 )
)</f>
        <v>72</v>
      </c>
    </row>
    <row r="28" ht="25.5" hidden="1" customHeight="1">
      <c r="A28" s="26" t="s">
        <v>195</v>
      </c>
      <c r="B28" s="26" t="str">
        <f t="array" ref="B28">_xlfn.XLOOKUP(Checklist!$A28,tblTargets[TargetID],tblTargets[DisplayName])</f>
        <v>Fermentory Lv 2</v>
      </c>
      <c r="C28" s="21" t="str">
        <f t="array" ref="C28">_xlfn.XLOOKUP(
 A28,
 tblTargetStatus[TargetID],
 tblTargetStatus[successors],
 ""
)</f>
        <v>Fermentory Lv 3</v>
      </c>
      <c r="D28" s="26" t="str">
        <f t="array" ref="D28">_xlfn.XLOOKUP(
 A28,
 tblTargets[TargetID],
 tblTargets[TargetType],
 ""
)</f>
        <v>BUILDING</v>
      </c>
      <c r="E28" s="45" t="str">
        <f t="array" ref="E28">_xlfn.XLOOKUP(
 A28,
 tblTargetStatus[TargetID],
 tblTargetStatus[ChainAwareStatus],
 ""
)</f>
        <v>BLOCKED</v>
      </c>
      <c r="F28" s="45">
        <v>73.0</v>
      </c>
      <c r="G28" s="45" t="b">
        <v>0</v>
      </c>
      <c r="H28" s="45" t="b">
        <f t="array" ref="H28">_xlfn.XLOOKUP(
 A28,
 tblTargetStatus[TargetID],
 tblTargetStatus[TargetFunded],
 ""
)</f>
        <v>0</v>
      </c>
      <c r="I28" s="45">
        <f t="array" ref="I28">IF(
 D28&lt;&gt;"BUILDING",
 "",
 IF(
  Player!$H$1="Active",
  _xlfn.XLOOKUP(
   A28,
   tblrecommended[ActiveTargetID],
   tblrecommended[Order],
   ""
  ),
  _xlfn.XLOOKUP(
   A28,
   tblrecommended[PassiveTargetID],
   tblrecommended[Order],
   ""
  )
 )
)</f>
        <v>73</v>
      </c>
    </row>
    <row r="29" ht="25.5" hidden="1" customHeight="1">
      <c r="A29" s="26" t="s">
        <v>199</v>
      </c>
      <c r="B29" s="26" t="str">
        <f t="array" ref="B29">_xlfn.XLOOKUP(Checklist!$A29,tblTargets[TargetID],tblTargets[DisplayName])</f>
        <v>Fermentory Lv 3</v>
      </c>
      <c r="C29" s="21" t="str">
        <f t="array" ref="C29">_xlfn.XLOOKUP(
 A29,
 tblTargetStatus[TargetID],
 tblTargetStatus[successors],
 ""
)</f>
        <v>Fermentory Lv 4</v>
      </c>
      <c r="D29" s="26" t="str">
        <f t="array" ref="D29">_xlfn.XLOOKUP(
 A29,
 tblTargets[TargetID],
 tblTargets[TargetType],
 ""
)</f>
        <v>BUILDING</v>
      </c>
      <c r="E29" s="45" t="str">
        <f t="array" ref="E29">_xlfn.XLOOKUP(
 A29,
 tblTargetStatus[TargetID],
 tblTargetStatus[ChainAwareStatus],
 ""
)</f>
        <v>BLOCKED</v>
      </c>
      <c r="F29" s="45">
        <v>74.0</v>
      </c>
      <c r="G29" s="45" t="b">
        <v>0</v>
      </c>
      <c r="H29" s="45" t="b">
        <f t="array" ref="H29">_xlfn.XLOOKUP(
 A29,
 tblTargetStatus[TargetID],
 tblTargetStatus[TargetFunded],
 ""
)</f>
        <v>0</v>
      </c>
      <c r="I29" s="45">
        <f t="array" ref="I29">IF(
 D29&lt;&gt;"BUILDING",
 "",
 IF(
  Player!$H$1="Active",
  _xlfn.XLOOKUP(
   A29,
   tblrecommended[ActiveTargetID],
   tblrecommended[Order],
   ""
  ),
  _xlfn.XLOOKUP(
   A29,
   tblrecommended[PassiveTargetID],
   tblrecommended[Order],
   ""
  )
 )
)</f>
        <v>74</v>
      </c>
    </row>
    <row r="30" ht="25.5" hidden="1" customHeight="1">
      <c r="A30" s="26" t="s">
        <v>205</v>
      </c>
      <c r="B30" s="26" t="str">
        <f t="array" ref="B30">_xlfn.XLOOKUP(Checklist!$A30,tblTargets[TargetID],tblTargets[DisplayName])</f>
        <v>Fermentory Lv 4</v>
      </c>
      <c r="C30" s="21" t="str">
        <f t="array" ref="C30">_xlfn.XLOOKUP(
 A30,
 tblTargetStatus[TargetID],
 tblTargetStatus[successors],
 ""
)</f>
        <v>Fermentory Lv 5</v>
      </c>
      <c r="D30" s="26" t="str">
        <f t="array" ref="D30">_xlfn.XLOOKUP(
 A30,
 tblTargets[TargetID],
 tblTargets[TargetType],
 ""
)</f>
        <v>BUILDING</v>
      </c>
      <c r="E30" s="45" t="str">
        <f t="array" ref="E30">_xlfn.XLOOKUP(
 A30,
 tblTargetStatus[TargetID],
 tblTargetStatus[ChainAwareStatus],
 ""
)</f>
        <v>BLOCKED</v>
      </c>
      <c r="F30" s="45">
        <v>79.0</v>
      </c>
      <c r="G30" s="45" t="b">
        <v>0</v>
      </c>
      <c r="H30" s="45" t="b">
        <f t="array" ref="H30">_xlfn.XLOOKUP(
 A30,
 tblTargetStatus[TargetID],
 tblTargetStatus[TargetFunded],
 ""
)</f>
        <v>0</v>
      </c>
      <c r="I30" s="45">
        <f t="array" ref="I30">IF(
 D30&lt;&gt;"BUILDING",
 "",
 IF(
  Player!$H$1="Active",
  _xlfn.XLOOKUP(
   A30,
   tblrecommended[ActiveTargetID],
   tblrecommended[Order],
   ""
  ),
  _xlfn.XLOOKUP(
   A30,
   tblrecommended[PassiveTargetID],
   tblrecommended[Order],
   ""
  )
 )
)</f>
        <v>79</v>
      </c>
    </row>
    <row r="31" ht="25.5" hidden="1" customHeight="1">
      <c r="A31" s="26" t="s">
        <v>208</v>
      </c>
      <c r="B31" s="26" t="str">
        <f t="array" ref="B31">_xlfn.XLOOKUP(Checklist!$A31,tblTargets[TargetID],tblTargets[DisplayName])</f>
        <v>Fermentory Lv 5</v>
      </c>
      <c r="C31" s="21" t="str">
        <f t="array" ref="C31">_xlfn.XLOOKUP(
 A31,
 tblTargetStatus[TargetID],
 tblTargetStatus[successors],
 ""
)</f>
        <v>Fermentory Lv 6</v>
      </c>
      <c r="D31" s="26" t="str">
        <f t="array" ref="D31">_xlfn.XLOOKUP(
 A31,
 tblTargets[TargetID],
 tblTargets[TargetType],
 ""
)</f>
        <v>BUILDING</v>
      </c>
      <c r="E31" s="45" t="str">
        <f t="array" ref="E31">_xlfn.XLOOKUP(
 A31,
 tblTargetStatus[TargetID],
 tblTargetStatus[ChainAwareStatus],
 ""
)</f>
        <v>BLOCKED</v>
      </c>
      <c r="F31" s="45">
        <v>80.0</v>
      </c>
      <c r="G31" s="45" t="b">
        <v>0</v>
      </c>
      <c r="H31" s="45" t="b">
        <f t="array" ref="H31">_xlfn.XLOOKUP(
 A31,
 tblTargetStatus[TargetID],
 tblTargetStatus[TargetFunded],
 ""
)</f>
        <v>0</v>
      </c>
      <c r="I31" s="45">
        <f t="array" ref="I31">IF(
 D31&lt;&gt;"BUILDING",
 "",
 IF(
  Player!$H$1="Active",
  _xlfn.XLOOKUP(
   A31,
   tblrecommended[ActiveTargetID],
   tblrecommended[Order],
   ""
  ),
  _xlfn.XLOOKUP(
   A31,
   tblrecommended[PassiveTargetID],
   tblrecommended[Order],
   ""
  )
 )
)</f>
        <v>80</v>
      </c>
    </row>
    <row r="32" ht="25.5" hidden="1" customHeight="1">
      <c r="A32" s="26" t="s">
        <v>214</v>
      </c>
      <c r="B32" s="26" t="str">
        <f t="array" ref="B32">_xlfn.XLOOKUP(Checklist!$A32,tblTargets[TargetID],tblTargets[DisplayName])</f>
        <v>Fermentory Lv 6</v>
      </c>
      <c r="C32" s="21" t="str">
        <f t="array" ref="C32">_xlfn.XLOOKUP(
 A32,
 tblTargetStatus[TargetID],
 tblTargetStatus[successors],
 ""
)</f>
        <v>Fermentory maxed, Festival of Beans Accepted</v>
      </c>
      <c r="D32" s="26" t="str">
        <f t="array" ref="D32">_xlfn.XLOOKUP(
 A32,
 tblTargets[TargetID],
 tblTargets[TargetType],
 ""
)</f>
        <v>BUILDING</v>
      </c>
      <c r="E32" s="45" t="str">
        <f t="array" ref="E32">_xlfn.XLOOKUP(
 A32,
 tblTargetStatus[TargetID],
 tblTargetStatus[ChainAwareStatus],
 ""
)</f>
        <v>BLOCKED</v>
      </c>
      <c r="F32" s="45">
        <v>81.0</v>
      </c>
      <c r="G32" s="45" t="b">
        <v>0</v>
      </c>
      <c r="H32" s="45" t="b">
        <f t="array" ref="H32">_xlfn.XLOOKUP(
 A32,
 tblTargetStatus[TargetID],
 tblTargetStatus[TargetFunded],
 ""
)</f>
        <v>0</v>
      </c>
      <c r="I32" s="45">
        <f t="array" ref="I32">IF(
 D32&lt;&gt;"BUILDING",
 "",
 IF(
  Player!$H$1="Active",
  _xlfn.XLOOKUP(
   A32,
   tblrecommended[ActiveTargetID],
   tblrecommended[Order],
   ""
  ),
  _xlfn.XLOOKUP(
   A32,
   tblrecommended[PassiveTargetID],
   tblrecommended[Order],
   ""
  )
 )
)</f>
        <v>81</v>
      </c>
    </row>
    <row r="33" ht="25.5" hidden="1" customHeight="1">
      <c r="A33" s="26" t="s">
        <v>219</v>
      </c>
      <c r="B33" s="26" t="str">
        <f t="array" ref="B33">_xlfn.XLOOKUP(Checklist!$A33,tblTargets[TargetID],tblTargets[DisplayName])</f>
        <v>Field Lv 1</v>
      </c>
      <c r="C33" s="21" t="str">
        <f t="array" ref="C33">_xlfn.XLOOKUP(
 A33,
 tblTargetStatus[TargetID],
 tblTargetStatus[successors],
 ""
)</f>
        <v>Field Lv 2, Quest for Knowledge Chapter 1 Finished</v>
      </c>
      <c r="D33" s="26" t="str">
        <f t="array" ref="D33">_xlfn.XLOOKUP(
 A33,
 tblTargets[TargetID],
 tblTargets[TargetType],
 ""
)</f>
        <v>BUILDING</v>
      </c>
      <c r="E33" s="45" t="str">
        <f t="array" ref="E33">_xlfn.XLOOKUP(
 A33,
 tblTargetStatus[TargetID],
 tblTargetStatus[ChainAwareStatus],
 ""
)</f>
        <v>ONE AWAY</v>
      </c>
      <c r="F33" s="45">
        <v>6.0</v>
      </c>
      <c r="G33" s="45" t="b">
        <v>0</v>
      </c>
      <c r="H33" s="45" t="b">
        <f t="array" ref="H33">_xlfn.XLOOKUP(
 A33,
 tblTargetStatus[TargetID],
 tblTargetStatus[TargetFunded],
 ""
)</f>
        <v>0</v>
      </c>
      <c r="I33" s="45">
        <f t="array" ref="I33">IF(
 D33&lt;&gt;"BUILDING",
 "",
 IF(
  Player!$H$1="Active",
  _xlfn.XLOOKUP(
   A33,
   tblrecommended[ActiveTargetID],
   tblrecommended[Order],
   ""
  ),
  _xlfn.XLOOKUP(
   A33,
   tblrecommended[PassiveTargetID],
   tblrecommended[Order],
   ""
  )
 )
)</f>
        <v>6</v>
      </c>
    </row>
    <row r="34" ht="25.5" hidden="1" customHeight="1">
      <c r="A34" s="26" t="s">
        <v>225</v>
      </c>
      <c r="B34" s="26" t="str">
        <f t="array" ref="B34">_xlfn.XLOOKUP(Checklist!$A34,tblTargets[TargetID],tblTargets[DisplayName])</f>
        <v>Field Lv 2</v>
      </c>
      <c r="C34" s="21" t="str">
        <f t="array" ref="C34">_xlfn.XLOOKUP(
 A34,
 tblTargetStatus[TargetID],
 tblTargetStatus[successors],
 ""
)</f>
        <v>Field maxed</v>
      </c>
      <c r="D34" s="26" t="str">
        <f t="array" ref="D34">_xlfn.XLOOKUP(
 A34,
 tblTargets[TargetID],
 tblTargets[TargetType],
 ""
)</f>
        <v>BUILDING</v>
      </c>
      <c r="E34" s="45" t="str">
        <f t="array" ref="E34">_xlfn.XLOOKUP(
 A34,
 tblTargetStatus[TargetID],
 tblTargetStatus[ChainAwareStatus],
 ""
)</f>
        <v>BLOCKED</v>
      </c>
      <c r="F34" s="45">
        <v>8.0</v>
      </c>
      <c r="G34" s="45" t="b">
        <v>0</v>
      </c>
      <c r="H34" s="45" t="b">
        <f t="array" ref="H34">_xlfn.XLOOKUP(
 A34,
 tblTargetStatus[TargetID],
 tblTargetStatus[TargetFunded],
 ""
)</f>
        <v>0</v>
      </c>
      <c r="I34" s="45">
        <f t="array" ref="I34">IF(
 D34&lt;&gt;"BUILDING",
 "",
 IF(
  Player!$H$1="Active",
  _xlfn.XLOOKUP(
   A34,
   tblrecommended[ActiveTargetID],
   tblrecommended[Order],
   ""
  ),
  _xlfn.XLOOKUP(
   A34,
   tblrecommended[PassiveTargetID],
   tblrecommended[Order],
   ""
  )
 )
)</f>
        <v>8</v>
      </c>
    </row>
    <row r="35" ht="25.5" hidden="1" customHeight="1">
      <c r="A35" s="26" t="s">
        <v>230</v>
      </c>
      <c r="B35" s="26" t="str">
        <f t="array" ref="B35">_xlfn.XLOOKUP(Checklist!$A35,tblTargets[TargetID],tblTargets[DisplayName])</f>
        <v>Food Stall Lv 1</v>
      </c>
      <c r="C35" s="21" t="str">
        <f t="array" ref="C35">_xlfn.XLOOKUP(
 A35,
 tblTargetStatus[TargetID],
 tblTargetStatus[successors],
 ""
)</f>
        <v>Food Stall Lv 2, Quest for Knowledge Chapter 1 Finished</v>
      </c>
      <c r="D35" s="26" t="str">
        <f t="array" ref="D35">_xlfn.XLOOKUP(
 A35,
 tblTargets[TargetID],
 tblTargets[TargetType],
 ""
)</f>
        <v>BUILDING</v>
      </c>
      <c r="E35" s="45" t="str">
        <f t="array" ref="E35">_xlfn.XLOOKUP(
 A35,
 tblTargetStatus[TargetID],
 tblTargetStatus[ChainAwareStatus],
 ""
)</f>
        <v>ONE AWAY</v>
      </c>
      <c r="F35" s="45">
        <v>7.0</v>
      </c>
      <c r="G35" s="45" t="b">
        <v>0</v>
      </c>
      <c r="H35" s="45" t="b">
        <f t="array" ref="H35">_xlfn.XLOOKUP(
 A35,
 tblTargetStatus[TargetID],
 tblTargetStatus[TargetFunded],
 ""
)</f>
        <v>0</v>
      </c>
      <c r="I35" s="45">
        <f t="array" ref="I35">IF(
 D35&lt;&gt;"BUILDING",
 "",
 IF(
  Player!$H$1="Active",
  _xlfn.XLOOKUP(
   A35,
   tblrecommended[ActiveTargetID],
   tblrecommended[Order],
   ""
  ),
  _xlfn.XLOOKUP(
   A35,
   tblrecommended[PassiveTargetID],
   tblrecommended[Order],
   ""
  )
 )
)</f>
        <v>7</v>
      </c>
    </row>
    <row r="36" ht="25.5" hidden="1" customHeight="1">
      <c r="A36" s="26" t="s">
        <v>234</v>
      </c>
      <c r="B36" s="26" t="str">
        <f t="array" ref="B36">_xlfn.XLOOKUP(Checklist!$A36,tblTargets[TargetID],tblTargets[DisplayName])</f>
        <v>Food Stall Lv 2</v>
      </c>
      <c r="C36" s="21" t="str">
        <f t="array" ref="C36">_xlfn.XLOOKUP(
 A36,
 tblTargetStatus[TargetID],
 tblTargetStatus[successors],
 ""
)</f>
        <v>Food Stall Lv 3, Shogun's Katana Chapter 3 Finished</v>
      </c>
      <c r="D36" s="26" t="str">
        <f t="array" ref="D36">_xlfn.XLOOKUP(
 A36,
 tblTargets[TargetID],
 tblTargets[TargetType],
 ""
)</f>
        <v>BUILDING</v>
      </c>
      <c r="E36" s="45" t="str">
        <f t="array" ref="E36">_xlfn.XLOOKUP(
 A36,
 tblTargetStatus[TargetID],
 tblTargetStatus[ChainAwareStatus],
 ""
)</f>
        <v>BLOCKED</v>
      </c>
      <c r="F36" s="45">
        <v>25.0</v>
      </c>
      <c r="G36" s="45" t="b">
        <v>0</v>
      </c>
      <c r="H36" s="45" t="b">
        <f t="array" ref="H36">_xlfn.XLOOKUP(
 A36,
 tblTargetStatus[TargetID],
 tblTargetStatus[TargetFunded],
 ""
)</f>
        <v>0</v>
      </c>
      <c r="I36" s="45">
        <f t="array" ref="I36">IF(
 D36&lt;&gt;"BUILDING",
 "",
 IF(
  Player!$H$1="Active",
  _xlfn.XLOOKUP(
   A36,
   tblrecommended[ActiveTargetID],
   tblrecommended[Order],
   ""
  ),
  _xlfn.XLOOKUP(
   A36,
   tblrecommended[PassiveTargetID],
   tblrecommended[Order],
   ""
  )
 )
)</f>
        <v>25</v>
      </c>
    </row>
    <row r="37" ht="25.5" hidden="1" customHeight="1">
      <c r="A37" s="26" t="s">
        <v>239</v>
      </c>
      <c r="B37" s="26" t="str">
        <f t="array" ref="B37">_xlfn.XLOOKUP(Checklist!$A37,tblTargets[TargetID],tblTargets[DisplayName])</f>
        <v>Food Stall Lv 3</v>
      </c>
      <c r="C37" s="21" t="str">
        <f t="array" ref="C37">_xlfn.XLOOKUP(
 A37,
 tblTargetStatus[TargetID],
 tblTargetStatus[successors],
 ""
)</f>
        <v>Food stall maxed, Guild Supplies, Shogun's Katana Chapter 6 Finished</v>
      </c>
      <c r="D37" s="26" t="str">
        <f t="array" ref="D37">_xlfn.XLOOKUP(
 A37,
 tblTargets[TargetID],
 tblTargets[TargetType],
 ""
)</f>
        <v>BUILDING</v>
      </c>
      <c r="E37" s="45" t="str">
        <f t="array" ref="E37">_xlfn.XLOOKUP(
 A37,
 tblTargetStatus[TargetID],
 tblTargetStatus[ChainAwareStatus],
 ""
)</f>
        <v>BLOCKED</v>
      </c>
      <c r="F37" s="45">
        <v>26.0</v>
      </c>
      <c r="G37" s="45" t="b">
        <v>0</v>
      </c>
      <c r="H37" s="45" t="b">
        <f t="array" ref="H37">_xlfn.XLOOKUP(
 A37,
 tblTargetStatus[TargetID],
 tblTargetStatus[TargetFunded],
 ""
)</f>
        <v>0</v>
      </c>
      <c r="I37" s="45">
        <f t="array" ref="I37">IF(
 D37&lt;&gt;"BUILDING",
 "",
 IF(
  Player!$H$1="Active",
  _xlfn.XLOOKUP(
   A37,
   tblrecommended[ActiveTargetID],
   tblrecommended[Order],
   ""
  ),
  _xlfn.XLOOKUP(
   A37,
   tblrecommended[PassiveTargetID],
   tblrecommended[Order],
   ""
  )
 )
)</f>
        <v>26</v>
      </c>
    </row>
    <row r="38" ht="25.5" hidden="1" customHeight="1">
      <c r="A38" s="26" t="s">
        <v>243</v>
      </c>
      <c r="B38" s="26" t="str">
        <f t="array" ref="B38">_xlfn.XLOOKUP(Checklist!$A38,tblTargets[TargetID],tblTargets[DisplayName])</f>
        <v>Furnace Lv 1</v>
      </c>
      <c r="C38" s="21" t="str">
        <f t="array" ref="C38">_xlfn.XLOOKUP(
 A38,
 tblTargetStatus[TargetID],
 tblTargetStatus[successors],
 ""
)</f>
        <v>Furnace Lv 2, Shogun's Katana Chapter 1 Finished</v>
      </c>
      <c r="D38" s="26" t="str">
        <f t="array" ref="D38">_xlfn.XLOOKUP(
 A38,
 tblTargets[TargetID],
 tblTargets[TargetType],
 ""
)</f>
        <v>BUILDING</v>
      </c>
      <c r="E38" s="45" t="str">
        <f t="array" ref="E38">_xlfn.XLOOKUP(
 A38,
 tblTargetStatus[TargetID],
 tblTargetStatus[ChainAwareStatus],
 ""
)</f>
        <v>ONE AWAY</v>
      </c>
      <c r="F38" s="45">
        <v>10.0</v>
      </c>
      <c r="G38" s="45" t="b">
        <v>0</v>
      </c>
      <c r="H38" s="45" t="b">
        <f t="array" ref="H38">_xlfn.XLOOKUP(
 A38,
 tblTargetStatus[TargetID],
 tblTargetStatus[TargetFunded],
 ""
)</f>
        <v>0</v>
      </c>
      <c r="I38" s="45">
        <f t="array" ref="I38">IF(
 D38&lt;&gt;"BUILDING",
 "",
 IF(
  Player!$H$1="Active",
  _xlfn.XLOOKUP(
   A38,
   tblrecommended[ActiveTargetID],
   tblrecommended[Order],
   ""
  ),
  _xlfn.XLOOKUP(
   A38,
   tblrecommended[PassiveTargetID],
   tblrecommended[Order],
   ""
  )
 )
)</f>
        <v>10</v>
      </c>
    </row>
    <row r="39" ht="25.5" hidden="1" customHeight="1">
      <c r="A39" s="26" t="s">
        <v>246</v>
      </c>
      <c r="B39" s="26" t="str">
        <f t="array" ref="B39">_xlfn.XLOOKUP(Checklist!$A39,tblTargets[TargetID],tblTargets[DisplayName])</f>
        <v>Furnace Lv 2</v>
      </c>
      <c r="C39" s="21" t="str">
        <f t="array" ref="C39">_xlfn.XLOOKUP(
 A39,
 tblTargetStatus[TargetID],
 tblTargetStatus[successors],
 ""
)</f>
        <v>Furnace Lv 3</v>
      </c>
      <c r="D39" s="26" t="str">
        <f t="array" ref="D39">_xlfn.XLOOKUP(
 A39,
 tblTargets[TargetID],
 tblTargets[TargetType],
 ""
)</f>
        <v>BUILDING</v>
      </c>
      <c r="E39" s="45" t="str">
        <f t="array" ref="E39">_xlfn.XLOOKUP(
 A39,
 tblTargetStatus[TargetID],
 tblTargetStatus[ChainAwareStatus],
 ""
)</f>
        <v>BLOCKED</v>
      </c>
      <c r="F39" s="45">
        <v>11.0</v>
      </c>
      <c r="G39" s="45" t="b">
        <v>0</v>
      </c>
      <c r="H39" s="45" t="b">
        <f t="array" ref="H39">_xlfn.XLOOKUP(
 A39,
 tblTargetStatus[TargetID],
 tblTargetStatus[TargetFunded],
 ""
)</f>
        <v>0</v>
      </c>
      <c r="I39" s="45">
        <f t="array" ref="I39">IF(
 D39&lt;&gt;"BUILDING",
 "",
 IF(
  Player!$H$1="Active",
  _xlfn.XLOOKUP(
   A39,
   tblrecommended[ActiveTargetID],
   tblrecommended[Order],
   ""
  ),
  _xlfn.XLOOKUP(
   A39,
   tblrecommended[PassiveTargetID],
   tblrecommended[Order],
   ""
  )
 )
)</f>
        <v>11</v>
      </c>
    </row>
    <row r="40" ht="25.5" hidden="1" customHeight="1">
      <c r="A40" s="26" t="s">
        <v>251</v>
      </c>
      <c r="B40" s="26" t="str">
        <f t="array" ref="B40">_xlfn.XLOOKUP(Checklist!$A40,tblTargets[TargetID],tblTargets[DisplayName])</f>
        <v>Furnace Lv 3</v>
      </c>
      <c r="C40" s="21" t="str">
        <f t="array" ref="C40">_xlfn.XLOOKUP(
 A40,
 tblTargetStatus[TargetID],
 tblTargetStatus[successors],
 ""
)</f>
        <v>Furnace maxed, Hotei Statuette</v>
      </c>
      <c r="D40" s="26" t="str">
        <f t="array" ref="D40">_xlfn.XLOOKUP(
 A40,
 tblTargets[TargetID],
 tblTargets[TargetType],
 ""
)</f>
        <v>BUILDING</v>
      </c>
      <c r="E40" s="45" t="str">
        <f t="array" ref="E40">_xlfn.XLOOKUP(
 A40,
 tblTargetStatus[TargetID],
 tblTargetStatus[ChainAwareStatus],
 ""
)</f>
        <v>BLOCKED</v>
      </c>
      <c r="F40" s="45">
        <v>46.0</v>
      </c>
      <c r="G40" s="45" t="b">
        <v>0</v>
      </c>
      <c r="H40" s="45" t="b">
        <f t="array" ref="H40">_xlfn.XLOOKUP(
 A40,
 tblTargetStatus[TargetID],
 tblTargetStatus[TargetFunded],
 ""
)</f>
        <v>0</v>
      </c>
      <c r="I40" s="45">
        <f t="array" ref="I40">IF(
 D40&lt;&gt;"BUILDING",
 "",
 IF(
  Player!$H$1="Active",
  _xlfn.XLOOKUP(
   A40,
   tblrecommended[ActiveTargetID],
   tblrecommended[Order],
   ""
  ),
  _xlfn.XLOOKUP(
   A40,
   tblrecommended[PassiveTargetID],
   tblrecommended[Order],
   ""
  )
 )
)</f>
        <v>46</v>
      </c>
    </row>
    <row r="41" ht="25.5" hidden="1" customHeight="1">
      <c r="A41" s="26" t="s">
        <v>255</v>
      </c>
      <c r="B41" s="26" t="str">
        <f t="array" ref="B41">_xlfn.XLOOKUP(Checklist!$A41,tblTargets[TargetID],tblTargets[DisplayName])</f>
        <v>Garden Lv 1</v>
      </c>
      <c r="C41" s="21" t="str">
        <f t="array" ref="C41">_xlfn.XLOOKUP(
 A41,
 tblTargetStatus[TargetID],
 tblTargetStatus[successors],
 ""
)</f>
        <v>Garden Lv 2</v>
      </c>
      <c r="D41" s="26" t="str">
        <f t="array" ref="D41">_xlfn.XLOOKUP(
 A41,
 tblTargets[TargetID],
 tblTargets[TargetType],
 ""
)</f>
        <v>BUILDING</v>
      </c>
      <c r="E41" s="45" t="str">
        <f t="array" ref="E41">_xlfn.XLOOKUP(
 A41,
 tblTargetStatus[TargetID],
 tblTargetStatus[ChainAwareStatus],
 ""
)</f>
        <v>ONE AWAY</v>
      </c>
      <c r="F41" s="45">
        <v>86.0</v>
      </c>
      <c r="G41" s="45" t="b">
        <v>0</v>
      </c>
      <c r="H41" s="45" t="b">
        <f t="array" ref="H41">_xlfn.XLOOKUP(
 A41,
 tblTargetStatus[TargetID],
 tblTargetStatus[TargetFunded],
 ""
)</f>
        <v>0</v>
      </c>
      <c r="I41" s="45">
        <f t="array" ref="I41">IF(
 D41&lt;&gt;"BUILDING",
 "",
 IF(
  Player!$H$1="Active",
  _xlfn.XLOOKUP(
   A41,
   tblrecommended[ActiveTargetID],
   tblrecommended[Order],
   ""
  ),
  _xlfn.XLOOKUP(
   A41,
   tblrecommended[PassiveTargetID],
   tblrecommended[Order],
   ""
  )
 )
)</f>
        <v>86</v>
      </c>
    </row>
    <row r="42" ht="25.5" hidden="1" customHeight="1">
      <c r="A42" s="26" t="s">
        <v>258</v>
      </c>
      <c r="B42" s="26" t="str">
        <f t="array" ref="B42">_xlfn.XLOOKUP(Checklist!$A42,tblTargets[TargetID],tblTargets[DisplayName])</f>
        <v>Garden Lv 2</v>
      </c>
      <c r="C42" s="21" t="str">
        <f t="array" ref="C42">_xlfn.XLOOKUP(
 A42,
 tblTargetStatus[TargetID],
 tblTargetStatus[successors],
 ""
)</f>
        <v>Garden Lv 3</v>
      </c>
      <c r="D42" s="26" t="str">
        <f t="array" ref="D42">_xlfn.XLOOKUP(
 A42,
 tblTargets[TargetID],
 tblTargets[TargetType],
 ""
)</f>
        <v>BUILDING</v>
      </c>
      <c r="E42" s="45" t="str">
        <f t="array" ref="E42">_xlfn.XLOOKUP(
 A42,
 tblTargetStatus[TargetID],
 tblTargetStatus[ChainAwareStatus],
 ""
)</f>
        <v>BLOCKED</v>
      </c>
      <c r="F42" s="45">
        <v>87.0</v>
      </c>
      <c r="G42" s="45" t="b">
        <v>0</v>
      </c>
      <c r="H42" s="45" t="b">
        <f t="array" ref="H42">_xlfn.XLOOKUP(
 A42,
 tblTargetStatus[TargetID],
 tblTargetStatus[TargetFunded],
 ""
)</f>
        <v>0</v>
      </c>
      <c r="I42" s="45">
        <f t="array" ref="I42">IF(
 D42&lt;&gt;"BUILDING",
 "",
 IF(
  Player!$H$1="Active",
  _xlfn.XLOOKUP(
   A42,
   tblrecommended[ActiveTargetID],
   tblrecommended[Order],
   ""
  ),
  _xlfn.XLOOKUP(
   A42,
   tblrecommended[PassiveTargetID],
   tblrecommended[Order],
   ""
  )
 )
)</f>
        <v>87</v>
      </c>
    </row>
    <row r="43" ht="25.5" hidden="1" customHeight="1">
      <c r="A43" s="26" t="s">
        <v>262</v>
      </c>
      <c r="B43" s="26" t="str">
        <f t="array" ref="B43">_xlfn.XLOOKUP(Checklist!$A43,tblTargets[TargetID],tblTargets[DisplayName])</f>
        <v>Garden Lv 3</v>
      </c>
      <c r="C43" s="21" t="str">
        <f t="array" ref="C43">_xlfn.XLOOKUP(
 A43,
 tblTargetStatus[TargetID],
 tblTargetStatus[successors],
 ""
)</f>
        <v>Garden maxed</v>
      </c>
      <c r="D43" s="26" t="str">
        <f t="array" ref="D43">_xlfn.XLOOKUP(
 A43,
 tblTargets[TargetID],
 tblTargets[TargetType],
 ""
)</f>
        <v>BUILDING</v>
      </c>
      <c r="E43" s="45" t="str">
        <f t="array" ref="E43">_xlfn.XLOOKUP(
 A43,
 tblTargetStatus[TargetID],
 tblTargetStatus[ChainAwareStatus],
 ""
)</f>
        <v>BLOCKED</v>
      </c>
      <c r="F43" s="45">
        <v>88.0</v>
      </c>
      <c r="G43" s="45" t="b">
        <v>0</v>
      </c>
      <c r="H43" s="45" t="b">
        <f t="array" ref="H43">_xlfn.XLOOKUP(
 A43,
 tblTargetStatus[TargetID],
 tblTargetStatus[TargetFunded],
 ""
)</f>
        <v>0</v>
      </c>
      <c r="I43" s="45">
        <f t="array" ref="I43">IF(
 D43&lt;&gt;"BUILDING",
 "",
 IF(
  Player!$H$1="Active",
  _xlfn.XLOOKUP(
   A43,
   tblrecommended[ActiveTargetID],
   tblrecommended[Order],
   ""
  ),
  _xlfn.XLOOKUP(
   A43,
   tblrecommended[PassiveTargetID],
   tblrecommended[Order],
   ""
  )
 )
)</f>
        <v>88</v>
      </c>
    </row>
    <row r="44" ht="25.5" hidden="1" customHeight="1">
      <c r="A44" s="26" t="s">
        <v>269</v>
      </c>
      <c r="B44" s="26" t="str">
        <f t="array" ref="B44">_xlfn.XLOOKUP(Checklist!$A44,tblTargets[TargetID],tblTargets[DisplayName])</f>
        <v>Gong Lv 1</v>
      </c>
      <c r="C44" s="21" t="str">
        <f t="array" ref="C44">_xlfn.XLOOKUP(
 A44,
 tblTargetStatus[TargetID],
 tblTargetStatus[successors],
 ""
)</f>
        <v/>
      </c>
      <c r="D44" s="26" t="str">
        <f t="array" ref="D44">_xlfn.XLOOKUP(
 A44,
 tblTargets[TargetID],
 tblTargets[TargetType],
 ""
)</f>
        <v>BUILDING</v>
      </c>
      <c r="E44" s="45" t="str">
        <f t="array" ref="E44">_xlfn.XLOOKUP(
 A44,
 tblTargetStatus[TargetID],
 tblTargetStatus[ChainAwareStatus],
 ""
)</f>
        <v>ONE AWAY</v>
      </c>
      <c r="F44" s="45">
        <v>102.0</v>
      </c>
      <c r="G44" s="45" t="b">
        <v>0</v>
      </c>
      <c r="H44" s="45" t="b">
        <f t="array" ref="H44">_xlfn.XLOOKUP(
 A44,
 tblTargetStatus[TargetID],
 tblTargetStatus[TargetFunded],
 ""
)</f>
        <v>0</v>
      </c>
      <c r="I44" s="45">
        <f t="array" ref="I44">IF(
 D44&lt;&gt;"BUILDING",
 "",
 IF(
  Player!$H$1="Active",
  _xlfn.XLOOKUP(
   A44,
   tblrecommended[ActiveTargetID],
   tblrecommended[Order],
   ""
  ),
  _xlfn.XLOOKUP(
   A44,
   tblrecommended[PassiveTargetID],
   tblrecommended[Order],
   ""
  )
 )
)</f>
        <v>102</v>
      </c>
    </row>
    <row r="45" ht="25.5" hidden="1" customHeight="1">
      <c r="A45" s="26" t="s">
        <v>275</v>
      </c>
      <c r="B45" s="26" t="str">
        <f t="array" ref="B45">_xlfn.XLOOKUP(Checklist!$A45,tblTargets[TargetID],tblTargets[DisplayName])</f>
        <v>Guild Lv 1</v>
      </c>
      <c r="C45" s="21" t="str">
        <f t="array" ref="C45">_xlfn.XLOOKUP(
 A45,
 tblTargetStatus[TargetID],
 tblTargetStatus[successors],
 ""
)</f>
        <v>Guild Lv 2</v>
      </c>
      <c r="D45" s="26" t="str">
        <f t="array" ref="D45">_xlfn.XLOOKUP(
 A45,
 tblTargets[TargetID],
 tblTargets[TargetType],
 ""
)</f>
        <v>BUILDING</v>
      </c>
      <c r="E45" s="45" t="str">
        <f t="array" ref="E45">_xlfn.XLOOKUP(
 A45,
 tblTargetStatus[TargetID],
 tblTargetStatus[ChainAwareStatus],
 ""
)</f>
        <v>COMPLETED</v>
      </c>
      <c r="F45" s="45" t="s">
        <v>186</v>
      </c>
      <c r="G45" s="45" t="b">
        <v>1</v>
      </c>
      <c r="H45" s="45" t="str">
        <f t="array" ref="H45">_xlfn.XLOOKUP(
 A45,
 tblTargetStatus[TargetID],
 tblTargetStatus[TargetFunded],
 ""
)</f>
        <v>N/A</v>
      </c>
      <c r="I45" s="45" t="str">
        <f t="array" ref="I45">IF(
 D45&lt;&gt;"BUILDING",
 "",
 IF(
  Player!$H$1="Active",
  _xlfn.XLOOKUP(
   A45,
   tblrecommended[ActiveTargetID],
   tblrecommended[Order],
   ""
  ),
  _xlfn.XLOOKUP(
   A45,
   tblrecommended[PassiveTargetID],
   tblrecommended[Order],
   ""
  )
 )
)</f>
        <v/>
      </c>
    </row>
    <row r="46" ht="25.5" hidden="1" customHeight="1">
      <c r="A46" s="26" t="s">
        <v>282</v>
      </c>
      <c r="B46" s="26" t="str">
        <f t="array" ref="B46">_xlfn.XLOOKUP(Checklist!$A46,tblTargets[TargetID],tblTargets[DisplayName])</f>
        <v>Guild Lv 2</v>
      </c>
      <c r="C46" s="21" t="str">
        <f t="array" ref="C46">_xlfn.XLOOKUP(
 A46,
 tblTargetStatus[TargetID],
 tblTargetStatus[successors],
 ""
)</f>
        <v>Alchemist's Hut Lv 2, Food Stall Lv 2, Guild Lv 3, Warehouse Lv 2</v>
      </c>
      <c r="D46" s="26" t="str">
        <f t="array" ref="D46">_xlfn.XLOOKUP(
 A46,
 tblTargets[TargetID],
 tblTargets[TargetType],
 ""
)</f>
        <v>BUILDING</v>
      </c>
      <c r="E46" s="45" t="str">
        <f t="array" ref="E46">_xlfn.XLOOKUP(
 A46,
 tblTargetStatus[TargetID],
 tblTargetStatus[ChainAwareStatus],
 ""
)</f>
        <v>READY</v>
      </c>
      <c r="F46" s="45">
        <v>1.0</v>
      </c>
      <c r="G46" s="45" t="b">
        <v>0</v>
      </c>
      <c r="H46" s="45" t="b">
        <f t="array" ref="H46">_xlfn.XLOOKUP(
 A46,
 tblTargetStatus[TargetID],
 tblTargetStatus[TargetFunded],
 ""
)</f>
        <v>0</v>
      </c>
      <c r="I46" s="45">
        <f t="array" ref="I46">IF(
 D46&lt;&gt;"BUILDING",
 "",
 IF(
  Player!$H$1="Active",
  _xlfn.XLOOKUP(
   A46,
   tblrecommended[ActiveTargetID],
   tblrecommended[Order],
   ""
  ),
  _xlfn.XLOOKUP(
   A46,
   tblrecommended[PassiveTargetID],
   tblrecommended[Order],
   ""
  )
 )
)</f>
        <v>1</v>
      </c>
    </row>
    <row r="47" ht="25.5" hidden="1" customHeight="1">
      <c r="A47" s="26" t="s">
        <v>291</v>
      </c>
      <c r="B47" s="26" t="str">
        <f t="array" ref="B47">_xlfn.XLOOKUP(Checklist!$A47,tblTargets[TargetID],tblTargets[DisplayName])</f>
        <v>Guild Lv 3</v>
      </c>
      <c r="C47" s="21" t="str">
        <f t="array" ref="C47">_xlfn.XLOOKUP(
 A47,
 tblTargetStatus[TargetID],
 tblTargetStatus[successors],
 ""
)</f>
        <v>Alchemist's Hut Lv 3, Alchemist's Hut Lv 4, Guild Lv 4, Warehouse Lv 3</v>
      </c>
      <c r="D47" s="26" t="str">
        <f t="array" ref="D47">_xlfn.XLOOKUP(
 A47,
 tblTargets[TargetID],
 tblTargets[TargetType],
 ""
)</f>
        <v>BUILDING</v>
      </c>
      <c r="E47" s="45" t="str">
        <f t="array" ref="E47">_xlfn.XLOOKUP(
 A47,
 tblTargetStatus[TargetID],
 tblTargetStatus[ChainAwareStatus],
 ""
)</f>
        <v>ONE AWAY</v>
      </c>
      <c r="F47" s="45">
        <v>17.0</v>
      </c>
      <c r="G47" s="45" t="b">
        <v>0</v>
      </c>
      <c r="H47" s="45" t="b">
        <f t="array" ref="H47">_xlfn.XLOOKUP(
 A47,
 tblTargetStatus[TargetID],
 tblTargetStatus[TargetFunded],
 ""
)</f>
        <v>0</v>
      </c>
      <c r="I47" s="45">
        <f t="array" ref="I47">IF(
 D47&lt;&gt;"BUILDING",
 "",
 IF(
  Player!$H$1="Active",
  _xlfn.XLOOKUP(
   A47,
   tblrecommended[ActiveTargetID],
   tblrecommended[Order],
   ""
  ),
  _xlfn.XLOOKUP(
   A47,
   tblrecommended[PassiveTargetID],
   tblrecommended[Order],
   ""
  )
 )
)</f>
        <v>17</v>
      </c>
    </row>
    <row r="48" ht="25.5" hidden="1" customHeight="1">
      <c r="A48" s="26" t="s">
        <v>295</v>
      </c>
      <c r="B48" s="26" t="str">
        <f t="array" ref="B48">_xlfn.XLOOKUP(Checklist!$A48,tblTargets[TargetID],tblTargets[DisplayName])</f>
        <v>Guild Lv 4</v>
      </c>
      <c r="C48" s="21" t="str">
        <f t="array" ref="C48">_xlfn.XLOOKUP(
 A48,
 tblTargetStatus[TargetID],
 tblTargetStatus[successors],
 ""
)</f>
        <v>Alchemist's Hut Lv 4, Guild Lv 5, Warehouse Lv 4</v>
      </c>
      <c r="D48" s="26" t="str">
        <f t="array" ref="D48">_xlfn.XLOOKUP(
 A48,
 tblTargets[TargetID],
 tblTargets[TargetType],
 ""
)</f>
        <v>BUILDING</v>
      </c>
      <c r="E48" s="45" t="str">
        <f t="array" ref="E48">_xlfn.XLOOKUP(
 A48,
 tblTargetStatus[TargetID],
 tblTargetStatus[ChainAwareStatus],
 ""
)</f>
        <v>BLOCKED</v>
      </c>
      <c r="F48" s="45">
        <v>23.0</v>
      </c>
      <c r="G48" s="45" t="b">
        <v>0</v>
      </c>
      <c r="H48" s="45" t="b">
        <f t="array" ref="H48">_xlfn.XLOOKUP(
 A48,
 tblTargetStatus[TargetID],
 tblTargetStatus[TargetFunded],
 ""
)</f>
        <v>0</v>
      </c>
      <c r="I48" s="45">
        <f t="array" ref="I48">IF(
 D48&lt;&gt;"BUILDING",
 "",
 IF(
  Player!$H$1="Active",
  _xlfn.XLOOKUP(
   A48,
   tblrecommended[ActiveTargetID],
   tblrecommended[Order],
   ""
  ),
  _xlfn.XLOOKUP(
   A48,
   tblrecommended[PassiveTargetID],
   tblrecommended[Order],
   ""
  )
 )
)</f>
        <v>23</v>
      </c>
    </row>
    <row r="49" ht="25.5" hidden="1" customHeight="1">
      <c r="A49" s="26" t="s">
        <v>302</v>
      </c>
      <c r="B49" s="26" t="str">
        <f t="array" ref="B49">_xlfn.XLOOKUP(Checklist!$A49,tblTargets[TargetID],tblTargets[DisplayName])</f>
        <v>Guild Lv 5</v>
      </c>
      <c r="C49" s="21" t="str">
        <f t="array" ref="C49">_xlfn.XLOOKUP(
 A49,
 tblTargetStatus[TargetID],
 tblTargetStatus[successors],
 ""
)</f>
        <v>Alchemist's Hut Lv 5, Warehouse Lv 5, Emerald Tablet, Guild Codex, Historical Library, Trigonometry, Build the Guild Finished</v>
      </c>
      <c r="D49" s="26" t="str">
        <f t="array" ref="D49">_xlfn.XLOOKUP(
 A49,
 tblTargets[TargetID],
 tblTargets[TargetType],
 ""
)</f>
        <v>BUILDING</v>
      </c>
      <c r="E49" s="45" t="str">
        <f t="array" ref="E49">_xlfn.XLOOKUP(
 A49,
 tblTargetStatus[TargetID],
 tblTargetStatus[ChainAwareStatus],
 ""
)</f>
        <v>BLOCKED</v>
      </c>
      <c r="F49" s="45">
        <v>29.0</v>
      </c>
      <c r="G49" s="45" t="b">
        <v>0</v>
      </c>
      <c r="H49" s="45" t="b">
        <f t="array" ref="H49">_xlfn.XLOOKUP(
 A49,
 tblTargetStatus[TargetID],
 tblTargetStatus[TargetFunded],
 ""
)</f>
        <v>0</v>
      </c>
      <c r="I49" s="45">
        <f t="array" ref="I49">IF(
 D49&lt;&gt;"BUILDING",
 "",
 IF(
  Player!$H$1="Active",
  _xlfn.XLOOKUP(
   A49,
   tblrecommended[ActiveTargetID],
   tblrecommended[Order],
   ""
  ),
  _xlfn.XLOOKUP(
   A49,
   tblrecommended[PassiveTargetID],
   tblrecommended[Order],
   ""
  )
 )
)</f>
        <v>29</v>
      </c>
    </row>
    <row r="50" ht="25.5" hidden="1" customHeight="1">
      <c r="A50" s="26" t="s">
        <v>310</v>
      </c>
      <c r="B50" s="26" t="str">
        <f t="array" ref="B50">_xlfn.XLOOKUP(Checklist!$A50,tblTargets[TargetID],tblTargets[DisplayName])</f>
        <v>Guild: Video Game Arcade Lv 1</v>
      </c>
      <c r="C50" s="21" t="str">
        <f t="array" ref="C50">_xlfn.XLOOKUP(
 A50,
 tblTargetStatus[TargetID],
 tblTargetStatus[successors],
 ""
)</f>
        <v/>
      </c>
      <c r="D50" s="26" t="str">
        <f t="array" ref="D50">_xlfn.XLOOKUP(
 A50,
 tblTargets[TargetID],
 tblTargets[TargetType],
 ""
)</f>
        <v>BUILDING</v>
      </c>
      <c r="E50" s="45" t="str">
        <f t="array" ref="E50">_xlfn.XLOOKUP(
 A50,
 tblTargetStatus[TargetID],
 tblTargetStatus[ChainAwareStatus],
 ""
)</f>
        <v>BLOCKED</v>
      </c>
      <c r="F50" s="45" t="s">
        <v>186</v>
      </c>
      <c r="G50" s="45" t="b">
        <v>0</v>
      </c>
      <c r="H50" s="45" t="b">
        <f t="array" ref="H50">_xlfn.XLOOKUP(
 A50,
 tblTargetStatus[TargetID],
 tblTargetStatus[TargetFunded],
 ""
)</f>
        <v>0</v>
      </c>
      <c r="I50" s="45" t="str">
        <f t="array" ref="I50">IF(
 D50&lt;&gt;"BUILDING",
 "",
 IF(
  Player!$H$1="Active",
  _xlfn.XLOOKUP(
   A50,
   tblrecommended[ActiveTargetID],
   tblrecommended[Order],
   ""
  ),
  _xlfn.XLOOKUP(
   A50,
   tblrecommended[PassiveTargetID],
   tblrecommended[Order],
   ""
  )
 )
)</f>
        <v/>
      </c>
    </row>
    <row r="51" ht="25.5" hidden="1" customHeight="1">
      <c r="A51" s="26" t="s">
        <v>314</v>
      </c>
      <c r="B51" s="26" t="str">
        <f t="array" ref="B51">_xlfn.XLOOKUP(Checklist!$A51,tblTargets[TargetID],tblTargets[DisplayName])</f>
        <v>Laboratory Lv 1</v>
      </c>
      <c r="C51" s="21" t="str">
        <f t="array" ref="C51">_xlfn.XLOOKUP(
 A51,
 tblTargetStatus[TargetID],
 tblTargetStatus[successors],
 ""
)</f>
        <v>Laboratory Lv 2</v>
      </c>
      <c r="D51" s="26" t="str">
        <f t="array" ref="D51">_xlfn.XLOOKUP(
 A51,
 tblTargets[TargetID],
 tblTargets[TargetType],
 ""
)</f>
        <v>BUILDING</v>
      </c>
      <c r="E51" s="45" t="str">
        <f t="array" ref="E51">_xlfn.XLOOKUP(
 A51,
 tblTargetStatus[TargetID],
 tblTargetStatus[ChainAwareStatus],
 ""
)</f>
        <v>BLOCKED</v>
      </c>
      <c r="F51" s="45">
        <v>66.0</v>
      </c>
      <c r="G51" s="45" t="b">
        <v>0</v>
      </c>
      <c r="H51" s="45" t="b">
        <f t="array" ref="H51">_xlfn.XLOOKUP(
 A51,
 tblTargetStatus[TargetID],
 tblTargetStatus[TargetFunded],
 ""
)</f>
        <v>0</v>
      </c>
      <c r="I51" s="45">
        <f t="array" ref="I51">IF(
 D51&lt;&gt;"BUILDING",
 "",
 IF(
  Player!$H$1="Active",
  _xlfn.XLOOKUP(
   A51,
   tblrecommended[ActiveTargetID],
   tblrecommended[Order],
   ""
  ),
  _xlfn.XLOOKUP(
   A51,
   tblrecommended[PassiveTargetID],
   tblrecommended[Order],
   ""
  )
 )
)</f>
        <v>66</v>
      </c>
    </row>
    <row r="52" ht="25.5" hidden="1" customHeight="1">
      <c r="A52" s="26" t="s">
        <v>319</v>
      </c>
      <c r="B52" s="26" t="str">
        <f t="array" ref="B52">_xlfn.XLOOKUP(Checklist!$A52,tblTargets[TargetID],tblTargets[DisplayName])</f>
        <v>Laboratory Lv 2</v>
      </c>
      <c r="C52" s="21" t="str">
        <f t="array" ref="C52">_xlfn.XLOOKUP(
 A52,
 tblTargetStatus[TargetID],
 tblTargetStatus[successors],
 ""
)</f>
        <v>Laboratory Lv 3</v>
      </c>
      <c r="D52" s="26" t="str">
        <f t="array" ref="D52">_xlfn.XLOOKUP(
 A52,
 tblTargets[TargetID],
 tblTargets[TargetType],
 ""
)</f>
        <v>BUILDING</v>
      </c>
      <c r="E52" s="45" t="str">
        <f t="array" ref="E52">_xlfn.XLOOKUP(
 A52,
 tblTargetStatus[TargetID],
 tblTargetStatus[ChainAwareStatus],
 ""
)</f>
        <v>BLOCKED</v>
      </c>
      <c r="F52" s="45">
        <v>67.0</v>
      </c>
      <c r="G52" s="45" t="b">
        <v>0</v>
      </c>
      <c r="H52" s="45" t="b">
        <f t="array" ref="H52">_xlfn.XLOOKUP(
 A52,
 tblTargetStatus[TargetID],
 tblTargetStatus[TargetFunded],
 ""
)</f>
        <v>0</v>
      </c>
      <c r="I52" s="45">
        <f t="array" ref="I52">IF(
 D52&lt;&gt;"BUILDING",
 "",
 IF(
  Player!$H$1="Active",
  _xlfn.XLOOKUP(
   A52,
   tblrecommended[ActiveTargetID],
   tblrecommended[Order],
   ""
  ),
  _xlfn.XLOOKUP(
   A52,
   tblrecommended[PassiveTargetID],
   tblrecommended[Order],
   ""
  )
 )
)</f>
        <v>67</v>
      </c>
    </row>
    <row r="53" ht="25.5" hidden="1" customHeight="1">
      <c r="A53" s="26" t="s">
        <v>322</v>
      </c>
      <c r="B53" s="26" t="str">
        <f t="array" ref="B53">_xlfn.XLOOKUP(Checklist!$A53,tblTargets[TargetID],tblTargets[DisplayName])</f>
        <v>Laboratory Lv 3</v>
      </c>
      <c r="C53" s="21" t="str">
        <f t="array" ref="C53">_xlfn.XLOOKUP(
 A53,
 tblTargetStatus[TargetID],
 tblTargetStatus[successors],
 ""
)</f>
        <v>Laboratory Lv 4</v>
      </c>
      <c r="D53" s="26" t="str">
        <f t="array" ref="D53">_xlfn.XLOOKUP(
 A53,
 tblTargets[TargetID],
 tblTargets[TargetType],
 ""
)</f>
        <v>BUILDING</v>
      </c>
      <c r="E53" s="45" t="str">
        <f t="array" ref="E53">_xlfn.XLOOKUP(
 A53,
 tblTargetStatus[TargetID],
 tblTargetStatus[ChainAwareStatus],
 ""
)</f>
        <v>BLOCKED</v>
      </c>
      <c r="F53" s="45">
        <v>68.0</v>
      </c>
      <c r="G53" s="45" t="b">
        <v>0</v>
      </c>
      <c r="H53" s="45" t="b">
        <f t="array" ref="H53">_xlfn.XLOOKUP(
 A53,
 tblTargetStatus[TargetID],
 tblTargetStatus[TargetFunded],
 ""
)</f>
        <v>0</v>
      </c>
      <c r="I53" s="45">
        <f t="array" ref="I53">IF(
 D53&lt;&gt;"BUILDING",
 "",
 IF(
  Player!$H$1="Active",
  _xlfn.XLOOKUP(
   A53,
   tblrecommended[ActiveTargetID],
   tblrecommended[Order],
   ""
  ),
  _xlfn.XLOOKUP(
   A53,
   tblrecommended[PassiveTargetID],
   tblrecommended[Order],
   ""
  )
 )
)</f>
        <v>68</v>
      </c>
    </row>
    <row r="54" ht="25.5" hidden="1" customHeight="1">
      <c r="A54" s="26" t="s">
        <v>325</v>
      </c>
      <c r="B54" s="26" t="str">
        <f t="array" ref="B54">_xlfn.XLOOKUP(Checklist!$A54,tblTargets[TargetID],tblTargets[DisplayName])</f>
        <v>Laboratory Lv 4</v>
      </c>
      <c r="C54" s="21" t="str">
        <f t="array" ref="C54">_xlfn.XLOOKUP(
 A54,
 tblTargetStatus[TargetID],
 tblTargetStatus[successors],
 ""
)</f>
        <v>Laboratory Lv 5</v>
      </c>
      <c r="D54" s="26" t="str">
        <f t="array" ref="D54">_xlfn.XLOOKUP(
 A54,
 tblTargets[TargetID],
 tblTargets[TargetType],
 ""
)</f>
        <v>BUILDING</v>
      </c>
      <c r="E54" s="45" t="str">
        <f t="array" ref="E54">_xlfn.XLOOKUP(
 A54,
 tblTargetStatus[TargetID],
 tblTargetStatus[ChainAwareStatus],
 ""
)</f>
        <v>BLOCKED</v>
      </c>
      <c r="F54" s="45">
        <v>75.0</v>
      </c>
      <c r="G54" s="45" t="b">
        <v>0</v>
      </c>
      <c r="H54" s="45" t="b">
        <f t="array" ref="H54">_xlfn.XLOOKUP(
 A54,
 tblTargetStatus[TargetID],
 tblTargetStatus[TargetFunded],
 ""
)</f>
        <v>0</v>
      </c>
      <c r="I54" s="45">
        <f t="array" ref="I54">IF(
 D54&lt;&gt;"BUILDING",
 "",
 IF(
  Player!$H$1="Active",
  _xlfn.XLOOKUP(
   A54,
   tblrecommended[ActiveTargetID],
   tblrecommended[Order],
   ""
  ),
  _xlfn.XLOOKUP(
   A54,
   tblrecommended[PassiveTargetID],
   tblrecommended[Order],
   ""
  )
 )
)</f>
        <v>75</v>
      </c>
    </row>
    <row r="55" ht="25.5" hidden="1" customHeight="1">
      <c r="A55" s="26" t="s">
        <v>328</v>
      </c>
      <c r="B55" s="26" t="str">
        <f t="array" ref="B55">_xlfn.XLOOKUP(Checklist!$A55,tblTargets[TargetID],tblTargets[DisplayName])</f>
        <v>Laboratory Lv 5</v>
      </c>
      <c r="C55" s="21" t="str">
        <f t="array" ref="C55">_xlfn.XLOOKUP(
 A55,
 tblTargetStatus[TargetID],
 tblTargetStatus[successors],
 ""
)</f>
        <v>Laboratory maxed, Ahead of Time Chapter 1 Finished</v>
      </c>
      <c r="D55" s="26" t="str">
        <f t="array" ref="D55">_xlfn.XLOOKUP(
 A55,
 tblTargets[TargetID],
 tblTargets[TargetType],
 ""
)</f>
        <v>BUILDING</v>
      </c>
      <c r="E55" s="45" t="str">
        <f t="array" ref="E55">_xlfn.XLOOKUP(
 A55,
 tblTargetStatus[TargetID],
 tblTargetStatus[ChainAwareStatus],
 ""
)</f>
        <v>BLOCKED</v>
      </c>
      <c r="F55" s="45">
        <v>76.0</v>
      </c>
      <c r="G55" s="45" t="b">
        <v>0</v>
      </c>
      <c r="H55" s="45" t="b">
        <f t="array" ref="H55">_xlfn.XLOOKUP(
 A55,
 tblTargetStatus[TargetID],
 tblTargetStatus[TargetFunded],
 ""
)</f>
        <v>0</v>
      </c>
      <c r="I55" s="45">
        <f t="array" ref="I55">IF(
 D55&lt;&gt;"BUILDING",
 "",
 IF(
  Player!$H$1="Active",
  _xlfn.XLOOKUP(
   A55,
   tblrecommended[ActiveTargetID],
   tblrecommended[Order],
   ""
  ),
  _xlfn.XLOOKUP(
   A55,
   tblrecommended[PassiveTargetID],
   tblrecommended[Order],
   ""
  )
 )
)</f>
        <v>76</v>
      </c>
    </row>
    <row r="56" ht="25.5" hidden="1" customHeight="1">
      <c r="A56" s="26" t="s">
        <v>333</v>
      </c>
      <c r="B56" s="26" t="str">
        <f t="array" ref="B56">_xlfn.XLOOKUP(Checklist!$A56,tblTargets[TargetID],tblTargets[DisplayName])</f>
        <v>Laboratory: Data Center Lv 1</v>
      </c>
      <c r="C56" s="21" t="str">
        <f t="array" ref="C56">_xlfn.XLOOKUP(
 A56,
 tblTargetStatus[TargetID],
 tblTargetStatus[successors],
 ""
)</f>
        <v>Laboratory: Data Center maxed, Ahead of Time Chapter 5 Finished</v>
      </c>
      <c r="D56" s="26" t="str">
        <f t="array" ref="D56">_xlfn.XLOOKUP(
 A56,
 tblTargets[TargetID],
 tblTargets[TargetType],
 ""
)</f>
        <v>BUILDING</v>
      </c>
      <c r="E56" s="45" t="str">
        <f t="array" ref="E56">_xlfn.XLOOKUP(
 A56,
 tblTargetStatus[TargetID],
 tblTargetStatus[ChainAwareStatus],
 ""
)</f>
        <v>BLOCKED</v>
      </c>
      <c r="F56" s="45" t="s">
        <v>186</v>
      </c>
      <c r="G56" s="45" t="b">
        <v>0</v>
      </c>
      <c r="H56" s="45" t="b">
        <f t="array" ref="H56">_xlfn.XLOOKUP(
 A56,
 tblTargetStatus[TargetID],
 tblTargetStatus[TargetFunded],
 ""
)</f>
        <v>0</v>
      </c>
      <c r="I56" s="45" t="str">
        <f t="array" ref="I56">IF(
 D56&lt;&gt;"BUILDING",
 "",
 IF(
  Player!$H$1="Active",
  _xlfn.XLOOKUP(
   A56,
   tblrecommended[ActiveTargetID],
   tblrecommended[Order],
   ""
  ),
  _xlfn.XLOOKUP(
   A56,
   tblrecommended[PassiveTargetID],
   tblrecommended[Order],
   ""
  )
 )
)</f>
        <v/>
      </c>
    </row>
    <row r="57" ht="25.5" hidden="1" customHeight="1">
      <c r="A57" s="26" t="s">
        <v>338</v>
      </c>
      <c r="B57" s="26" t="str">
        <f t="array" ref="B57">_xlfn.XLOOKUP(Checklist!$A57,tblTargets[TargetID],tblTargets[DisplayName])</f>
        <v>Lumber Lv 1</v>
      </c>
      <c r="C57" s="21" t="str">
        <f t="array" ref="C57">_xlfn.XLOOKUP(
 A57,
 tblTargetStatus[TargetID],
 tblTargetStatus[successors],
 ""
)</f>
        <v>Lumber Lv 2</v>
      </c>
      <c r="D57" s="26" t="str">
        <f t="array" ref="D57">_xlfn.XLOOKUP(
 A57,
 tblTargets[TargetID],
 tblTargets[TargetType],
 ""
)</f>
        <v>BUILDING</v>
      </c>
      <c r="E57" s="45" t="str">
        <f t="array" ref="E57">_xlfn.XLOOKUP(
 A57,
 tblTargetStatus[TargetID],
 tblTargetStatus[ChainAwareStatus],
 ""
)</f>
        <v>ONE AWAY</v>
      </c>
      <c r="F57" s="45">
        <v>13.0</v>
      </c>
      <c r="G57" s="45" t="b">
        <v>0</v>
      </c>
      <c r="H57" s="45" t="b">
        <f t="array" ref="H57">_xlfn.XLOOKUP(
 A57,
 tblTargetStatus[TargetID],
 tblTargetStatus[TargetFunded],
 ""
)</f>
        <v>0</v>
      </c>
      <c r="I57" s="45">
        <f t="array" ref="I57">IF(
 D57&lt;&gt;"BUILDING",
 "",
 IF(
  Player!$H$1="Active",
  _xlfn.XLOOKUP(
   A57,
   tblrecommended[ActiveTargetID],
   tblrecommended[Order],
   ""
  ),
  _xlfn.XLOOKUP(
   A57,
   tblrecommended[PassiveTargetID],
   tblrecommended[Order],
   ""
  )
 )
)</f>
        <v>13</v>
      </c>
    </row>
    <row r="58" ht="25.5" hidden="1" customHeight="1">
      <c r="A58" s="26" t="s">
        <v>344</v>
      </c>
      <c r="B58" s="26" t="str">
        <f t="array" ref="B58">_xlfn.XLOOKUP(Checklist!$A58,tblTargets[TargetID],tblTargets[DisplayName])</f>
        <v>Lumber Lv 2</v>
      </c>
      <c r="C58" s="21" t="str">
        <f t="array" ref="C58">_xlfn.XLOOKUP(
 A58,
 tblTargetStatus[TargetID],
 tblTargetStatus[successors],
 ""
)</f>
        <v>Lumber Lv 3</v>
      </c>
      <c r="D58" s="26" t="str">
        <f t="array" ref="D58">_xlfn.XLOOKUP(
 A58,
 tblTargets[TargetID],
 tblTargets[TargetType],
 ""
)</f>
        <v>BUILDING</v>
      </c>
      <c r="E58" s="45" t="str">
        <f t="array" ref="E58">_xlfn.XLOOKUP(
 A58,
 tblTargetStatus[TargetID],
 tblTargetStatus[ChainAwareStatus],
 ""
)</f>
        <v>BLOCKED</v>
      </c>
      <c r="F58" s="45">
        <v>14.0</v>
      </c>
      <c r="G58" s="45" t="b">
        <v>0</v>
      </c>
      <c r="H58" s="45" t="b">
        <f t="array" ref="H58">_xlfn.XLOOKUP(
 A58,
 tblTargetStatus[TargetID],
 tblTargetStatus[TargetFunded],
 ""
)</f>
        <v>0</v>
      </c>
      <c r="I58" s="45">
        <f t="array" ref="I58">IF(
 D58&lt;&gt;"BUILDING",
 "",
 IF(
  Player!$H$1="Active",
  _xlfn.XLOOKUP(
   A58,
   tblrecommended[ActiveTargetID],
   tblrecommended[Order],
   ""
  ),
  _xlfn.XLOOKUP(
   A58,
   tblrecommended[PassiveTargetID],
   tblrecommended[Order],
   ""
  )
 )
)</f>
        <v>14</v>
      </c>
    </row>
    <row r="59" ht="25.5" hidden="1" customHeight="1">
      <c r="A59" s="26" t="s">
        <v>348</v>
      </c>
      <c r="B59" s="26" t="str">
        <f t="array" ref="B59">_xlfn.XLOOKUP(Checklist!$A59,tblTargets[TargetID],tblTargets[DisplayName])</f>
        <v>Lumber Lv 3</v>
      </c>
      <c r="C59" s="21" t="str">
        <f t="array" ref="C59">_xlfn.XLOOKUP(
 A59,
 tblTargetStatus[TargetID],
 tblTargetStatus[successors],
 ""
)</f>
        <v>Shogun's Katana Chapter 2 Finished</v>
      </c>
      <c r="D59" s="26" t="str">
        <f t="array" ref="D59">_xlfn.XLOOKUP(
 A59,
 tblTargets[TargetID],
 tblTargets[TargetType],
 ""
)</f>
        <v>BUILDING</v>
      </c>
      <c r="E59" s="45" t="str">
        <f t="array" ref="E59">_xlfn.XLOOKUP(
 A59,
 tblTargetStatus[TargetID],
 tblTargetStatus[ChainAwareStatus],
 ""
)</f>
        <v>BLOCKED</v>
      </c>
      <c r="F59" s="45">
        <v>18.0</v>
      </c>
      <c r="G59" s="45" t="b">
        <v>0</v>
      </c>
      <c r="H59" s="45" t="b">
        <f t="array" ref="H59">_xlfn.XLOOKUP(
 A59,
 tblTargetStatus[TargetID],
 tblTargetStatus[TargetFunded],
 ""
)</f>
        <v>0</v>
      </c>
      <c r="I59" s="45">
        <f t="array" ref="I59">IF(
 D59&lt;&gt;"BUILDING",
 "",
 IF(
  Player!$H$1="Active",
  _xlfn.XLOOKUP(
   A59,
   tblrecommended[ActiveTargetID],
   tblrecommended[Order],
   ""
  ),
  _xlfn.XLOOKUP(
   A59,
   tblrecommended[PassiveTargetID],
   tblrecommended[Order],
   ""
  )
 )
)</f>
        <v>18</v>
      </c>
    </row>
    <row r="60" ht="25.5" hidden="1" customHeight="1">
      <c r="A60" s="26" t="s">
        <v>354</v>
      </c>
      <c r="B60" s="26" t="str">
        <f t="array" ref="B60">_xlfn.XLOOKUP(Checklist!$A60,tblTargets[TargetID],tblTargets[DisplayName])</f>
        <v>Onsen Lv 1</v>
      </c>
      <c r="C60" s="21" t="str">
        <f t="array" ref="C60">_xlfn.XLOOKUP(
 A60,
 tblTargetStatus[TargetID],
 tblTargetStatus[successors],
 ""
)</f>
        <v>Onsen Lv 2</v>
      </c>
      <c r="D60" s="26" t="str">
        <f t="array" ref="D60">_xlfn.XLOOKUP(
 A60,
 tblTargets[TargetID],
 tblTargets[TargetType],
 ""
)</f>
        <v>BUILDING</v>
      </c>
      <c r="E60" s="45" t="str">
        <f t="array" ref="E60">_xlfn.XLOOKUP(
 A60,
 tblTargetStatus[TargetID],
 tblTargetStatus[ChainAwareStatus],
 ""
)</f>
        <v>ONE AWAY</v>
      </c>
      <c r="F60" s="45">
        <v>91.0</v>
      </c>
      <c r="G60" s="45" t="b">
        <v>0</v>
      </c>
      <c r="H60" s="45" t="b">
        <f t="array" ref="H60">_xlfn.XLOOKUP(
 A60,
 tblTargetStatus[TargetID],
 tblTargetStatus[TargetFunded],
 ""
)</f>
        <v>0</v>
      </c>
      <c r="I60" s="45">
        <f t="array" ref="I60">IF(
 D60&lt;&gt;"BUILDING",
 "",
 IF(
  Player!$H$1="Active",
  _xlfn.XLOOKUP(
   A60,
   tblrecommended[ActiveTargetID],
   tblrecommended[Order],
   ""
  ),
  _xlfn.XLOOKUP(
   A60,
   tblrecommended[PassiveTargetID],
   tblrecommended[Order],
   ""
  )
 )
)</f>
        <v>91</v>
      </c>
    </row>
    <row r="61" ht="25.5" hidden="1" customHeight="1">
      <c r="A61" s="26" t="s">
        <v>359</v>
      </c>
      <c r="B61" s="26" t="str">
        <f t="array" ref="B61">_xlfn.XLOOKUP(Checklist!$A61,tblTargets[TargetID],tblTargets[DisplayName])</f>
        <v>Onsen Lv 2</v>
      </c>
      <c r="C61" s="21" t="str">
        <f t="array" ref="C61">_xlfn.XLOOKUP(
 A61,
 tblTargetStatus[TargetID],
 tblTargetStatus[successors],
 ""
)</f>
        <v/>
      </c>
      <c r="D61" s="26" t="str">
        <f t="array" ref="D61">_xlfn.XLOOKUP(
 A61,
 tblTargets[TargetID],
 tblTargets[TargetType],
 ""
)</f>
        <v>BUILDING</v>
      </c>
      <c r="E61" s="45" t="str">
        <f t="array" ref="E61">_xlfn.XLOOKUP(
 A61,
 tblTargetStatus[TargetID],
 tblTargetStatus[ChainAwareStatus],
 ""
)</f>
        <v>BLOCKED</v>
      </c>
      <c r="F61" s="45">
        <v>92.0</v>
      </c>
      <c r="G61" s="45" t="b">
        <v>0</v>
      </c>
      <c r="H61" s="45" t="b">
        <f t="array" ref="H61">_xlfn.XLOOKUP(
 A61,
 tblTargetStatus[TargetID],
 tblTargetStatus[TargetFunded],
 ""
)</f>
        <v>0</v>
      </c>
      <c r="I61" s="45">
        <f t="array" ref="I61">IF(
 D61&lt;&gt;"BUILDING",
 "",
 IF(
  Player!$H$1="Active",
  _xlfn.XLOOKUP(
   A61,
   tblrecommended[ActiveTargetID],
   tblrecommended[Order],
   ""
  ),
  _xlfn.XLOOKUP(
   A61,
   tblrecommended[PassiveTargetID],
   tblrecommended[Order],
   ""
  )
 )
)</f>
        <v>92</v>
      </c>
    </row>
    <row r="62" ht="25.5" hidden="1" customHeight="1">
      <c r="A62" s="26" t="s">
        <v>362</v>
      </c>
      <c r="B62" s="26" t="str">
        <f t="array" ref="B62">_xlfn.XLOOKUP(Checklist!$A62,tblTargets[TargetID],tblTargets[DisplayName])</f>
        <v>Outpost Lv 1</v>
      </c>
      <c r="C62" s="21" t="str">
        <f t="array" ref="C62">_xlfn.XLOOKUP(
 A62,
 tblTargetStatus[TargetID],
 tblTargetStatus[successors],
 ""
)</f>
        <v>Outpost Lv 2</v>
      </c>
      <c r="D62" s="26" t="str">
        <f t="array" ref="D62">_xlfn.XLOOKUP(
 A62,
 tblTargets[TargetID],
 tblTargets[TargetType],
 ""
)</f>
        <v>BUILDING</v>
      </c>
      <c r="E62" s="45" t="str">
        <f t="array" ref="E62">_xlfn.XLOOKUP(
 A62,
 tblTargetStatus[TargetID],
 tblTargetStatus[ChainAwareStatus],
 ""
)</f>
        <v>BLOCKED</v>
      </c>
      <c r="F62" s="45">
        <v>28.0</v>
      </c>
      <c r="G62" s="45" t="b">
        <v>0</v>
      </c>
      <c r="H62" s="45" t="b">
        <f t="array" ref="H62">_xlfn.XLOOKUP(
 A62,
 tblTargetStatus[TargetID],
 tblTargetStatus[TargetFunded],
 ""
)</f>
        <v>0</v>
      </c>
      <c r="I62" s="45">
        <f t="array" ref="I62">IF(
 D62&lt;&gt;"BUILDING",
 "",
 IF(
  Player!$H$1="Active",
  _xlfn.XLOOKUP(
   A62,
   tblrecommended[ActiveTargetID],
   tblrecommended[Order],
   ""
  ),
  _xlfn.XLOOKUP(
   A62,
   tblrecommended[PassiveTargetID],
   tblrecommended[Order],
   ""
  )
 )
)</f>
        <v>28</v>
      </c>
    </row>
    <row r="63" ht="25.5" hidden="1" customHeight="1">
      <c r="A63" s="26" t="s">
        <v>364</v>
      </c>
      <c r="B63" s="26" t="str">
        <f t="array" ref="B63">_xlfn.XLOOKUP(Checklist!$A63,tblTargets[TargetID],tblTargets[DisplayName])</f>
        <v>Outpost Lv 2</v>
      </c>
      <c r="C63" s="21" t="str">
        <f t="array" ref="C63">_xlfn.XLOOKUP(
 A63,
 tblTargetStatus[TargetID],
 tblTargetStatus[successors],
 ""
)</f>
        <v>Outpost Lv 3</v>
      </c>
      <c r="D63" s="26" t="str">
        <f t="array" ref="D63">_xlfn.XLOOKUP(
 A63,
 tblTargets[TargetID],
 tblTargets[TargetType],
 ""
)</f>
        <v>BUILDING</v>
      </c>
      <c r="E63" s="45" t="str">
        <f t="array" ref="E63">_xlfn.XLOOKUP(
 A63,
 tblTargetStatus[TargetID],
 tblTargetStatus[ChainAwareStatus],
 ""
)</f>
        <v>BLOCKED</v>
      </c>
      <c r="F63" s="45">
        <v>35.0</v>
      </c>
      <c r="G63" s="45" t="b">
        <v>0</v>
      </c>
      <c r="H63" s="45" t="b">
        <f t="array" ref="H63">_xlfn.XLOOKUP(
 A63,
 tblTargetStatus[TargetID],
 tblTargetStatus[TargetFunded],
 ""
)</f>
        <v>0</v>
      </c>
      <c r="I63" s="45">
        <f t="array" ref="I63">IF(
 D63&lt;&gt;"BUILDING",
 "",
 IF(
  Player!$H$1="Active",
  _xlfn.XLOOKUP(
   A63,
   tblrecommended[ActiveTargetID],
   tblrecommended[Order],
   ""
  ),
  _xlfn.XLOOKUP(
   A63,
   tblrecommended[PassiveTargetID],
   tblrecommended[Order],
   ""
  )
 )
)</f>
        <v>35</v>
      </c>
    </row>
    <row r="64" ht="25.5" hidden="1" customHeight="1">
      <c r="A64" s="26" t="s">
        <v>366</v>
      </c>
      <c r="B64" s="26" t="str">
        <f t="array" ref="B64">_xlfn.XLOOKUP(Checklist!$A64,tblTargets[TargetID],tblTargets[DisplayName])</f>
        <v>Outpost Lv 3</v>
      </c>
      <c r="C64" s="21" t="str">
        <f t="array" ref="C64">_xlfn.XLOOKUP(
 A64,
 tblTargetStatus[TargetID],
 tblTargetStatus[successors],
 ""
)</f>
        <v>Outpost maxed, Honor, Glory, Sushi Finished</v>
      </c>
      <c r="D64" s="26" t="str">
        <f t="array" ref="D64">_xlfn.XLOOKUP(
 A64,
 tblTargets[TargetID],
 tblTargets[TargetType],
 ""
)</f>
        <v>BUILDING</v>
      </c>
      <c r="E64" s="45" t="str">
        <f t="array" ref="E64">_xlfn.XLOOKUP(
 A64,
 tblTargetStatus[TargetID],
 tblTargetStatus[ChainAwareStatus],
 ""
)</f>
        <v>BLOCKED</v>
      </c>
      <c r="F64" s="45">
        <v>50.0</v>
      </c>
      <c r="G64" s="45" t="b">
        <v>0</v>
      </c>
      <c r="H64" s="45" t="b">
        <f t="array" ref="H64">_xlfn.XLOOKUP(
 A64,
 tblTargetStatus[TargetID],
 tblTargetStatus[TargetFunded],
 ""
)</f>
        <v>0</v>
      </c>
      <c r="I64" s="45">
        <f t="array" ref="I64">IF(
 D64&lt;&gt;"BUILDING",
 "",
 IF(
  Player!$H$1="Active",
  _xlfn.XLOOKUP(
   A64,
   tblrecommended[ActiveTargetID],
   tblrecommended[Order],
   ""
  ),
  _xlfn.XLOOKUP(
   A64,
   tblrecommended[PassiveTargetID],
   tblrecommended[Order],
   ""
  )
 )
)</f>
        <v>50</v>
      </c>
    </row>
    <row r="65" ht="25.5" hidden="1" customHeight="1">
      <c r="A65" s="26" t="s">
        <v>368</v>
      </c>
      <c r="B65" s="26" t="str">
        <f t="array" ref="B65">_xlfn.XLOOKUP(Checklist!$A65,tblTargets[TargetID],tblTargets[DisplayName])</f>
        <v>Pagoda Lv 1</v>
      </c>
      <c r="C65" s="21" t="str">
        <f t="array" ref="C65">_xlfn.XLOOKUP(
 A65,
 tblTargetStatus[TargetID],
 tblTargetStatus[successors],
 ""
)</f>
        <v>Pagoda Lv 2</v>
      </c>
      <c r="D65" s="26" t="str">
        <f t="array" ref="D65">_xlfn.XLOOKUP(
 A65,
 tblTargets[TargetID],
 tblTargets[TargetType],
 ""
)</f>
        <v>BUILDING</v>
      </c>
      <c r="E65" s="45" t="str">
        <f t="array" ref="E65">_xlfn.XLOOKUP(
 A65,
 tblTargetStatus[TargetID],
 tblTargetStatus[ChainAwareStatus],
 ""
)</f>
        <v>ONE AWAY</v>
      </c>
      <c r="F65" s="45">
        <v>57.0</v>
      </c>
      <c r="G65" s="45" t="b">
        <v>0</v>
      </c>
      <c r="H65" s="45" t="b">
        <f t="array" ref="H65">_xlfn.XLOOKUP(
 A65,
 tblTargetStatus[TargetID],
 tblTargetStatus[TargetFunded],
 ""
)</f>
        <v>0</v>
      </c>
      <c r="I65" s="45">
        <f t="array" ref="I65">IF(
 D65&lt;&gt;"BUILDING",
 "",
 IF(
  Player!$H$1="Active",
  _xlfn.XLOOKUP(
   A65,
   tblrecommended[ActiveTargetID],
   tblrecommended[Order],
   ""
  ),
  _xlfn.XLOOKUP(
   A65,
   tblrecommended[PassiveTargetID],
   tblrecommended[Order],
   ""
  )
 )
)</f>
        <v>57</v>
      </c>
    </row>
    <row r="66" ht="25.5" hidden="1" customHeight="1">
      <c r="A66" s="26" t="s">
        <v>370</v>
      </c>
      <c r="B66" s="26" t="str">
        <f t="array" ref="B66">_xlfn.XLOOKUP(Checklist!$A66,tblTargets[TargetID],tblTargets[DisplayName])</f>
        <v>Pagoda Lv 2</v>
      </c>
      <c r="C66" s="21" t="str">
        <f t="array" ref="C66">_xlfn.XLOOKUP(
 A66,
 tblTargetStatus[TargetID],
 tblTargetStatus[successors],
 ""
)</f>
        <v>Pagoda Lv 3</v>
      </c>
      <c r="D66" s="26" t="str">
        <f t="array" ref="D66">_xlfn.XLOOKUP(
 A66,
 tblTargets[TargetID],
 tblTargets[TargetType],
 ""
)</f>
        <v>BUILDING</v>
      </c>
      <c r="E66" s="45" t="str">
        <f t="array" ref="E66">_xlfn.XLOOKUP(
 A66,
 tblTargetStatus[TargetID],
 tblTargetStatus[ChainAwareStatus],
 ""
)</f>
        <v>BLOCKED</v>
      </c>
      <c r="F66" s="45">
        <v>58.0</v>
      </c>
      <c r="G66" s="45" t="b">
        <v>0</v>
      </c>
      <c r="H66" s="45" t="b">
        <f t="array" ref="H66">_xlfn.XLOOKUP(
 A66,
 tblTargetStatus[TargetID],
 tblTargetStatus[TargetFunded],
 ""
)</f>
        <v>0</v>
      </c>
      <c r="I66" s="45">
        <f t="array" ref="I66">IF(
 D66&lt;&gt;"BUILDING",
 "",
 IF(
  Player!$H$1="Active",
  _xlfn.XLOOKUP(
   A66,
   tblrecommended[ActiveTargetID],
   tblrecommended[Order],
   ""
  ),
  _xlfn.XLOOKUP(
   A66,
   tblrecommended[PassiveTargetID],
   tblrecommended[Order],
   ""
  )
 )
)</f>
        <v>58</v>
      </c>
    </row>
    <row r="67" ht="25.5" hidden="1" customHeight="1">
      <c r="A67" s="26" t="s">
        <v>372</v>
      </c>
      <c r="B67" s="26" t="str">
        <f t="array" ref="B67">_xlfn.XLOOKUP(Checklist!$A67,tblTargets[TargetID],tblTargets[DisplayName])</f>
        <v>Pagoda Lv 3</v>
      </c>
      <c r="C67" s="21" t="str">
        <f t="array" ref="C67">_xlfn.XLOOKUP(
 A67,
 tblTargetStatus[TargetID],
 tblTargetStatus[successors],
 ""
)</f>
        <v>Pagoda Lv 4</v>
      </c>
      <c r="D67" s="26" t="str">
        <f t="array" ref="D67">_xlfn.XLOOKUP(
 A67,
 tblTargets[TargetID],
 tblTargets[TargetType],
 ""
)</f>
        <v>BUILDING</v>
      </c>
      <c r="E67" s="45" t="str">
        <f t="array" ref="E67">_xlfn.XLOOKUP(
 A67,
 tblTargetStatus[TargetID],
 tblTargetStatus[ChainAwareStatus],
 ""
)</f>
        <v>BLOCKED</v>
      </c>
      <c r="F67" s="45">
        <v>59.0</v>
      </c>
      <c r="G67" s="45" t="b">
        <v>0</v>
      </c>
      <c r="H67" s="45" t="b">
        <f t="array" ref="H67">_xlfn.XLOOKUP(
 A67,
 tblTargetStatus[TargetID],
 tblTargetStatus[TargetFunded],
 ""
)</f>
        <v>0</v>
      </c>
      <c r="I67" s="45">
        <f t="array" ref="I67">IF(
 D67&lt;&gt;"BUILDING",
 "",
 IF(
  Player!$H$1="Active",
  _xlfn.XLOOKUP(
   A67,
   tblrecommended[ActiveTargetID],
   tblrecommended[Order],
   ""
  ),
  _xlfn.XLOOKUP(
   A67,
   tblrecommended[PassiveTargetID],
   tblrecommended[Order],
   ""
  )
 )
)</f>
        <v>59</v>
      </c>
    </row>
    <row r="68" ht="25.5" hidden="1" customHeight="1">
      <c r="A68" s="26" t="s">
        <v>374</v>
      </c>
      <c r="B68" s="26" t="str">
        <f t="array" ref="B68">_xlfn.XLOOKUP(Checklist!$A68,tblTargets[TargetID],tblTargets[DisplayName])</f>
        <v>Pagoda Lv 4</v>
      </c>
      <c r="C68" s="21" t="str">
        <f t="array" ref="C68">_xlfn.XLOOKUP(
 A68,
 tblTargetStatus[TargetID],
 tblTargetStatus[successors],
 ""
)</f>
        <v>Pagoda Lv 5</v>
      </c>
      <c r="D68" s="26" t="str">
        <f t="array" ref="D68">_xlfn.XLOOKUP(
 A68,
 tblTargets[TargetID],
 tblTargets[TargetType],
 ""
)</f>
        <v>BUILDING</v>
      </c>
      <c r="E68" s="45" t="str">
        <f t="array" ref="E68">_xlfn.XLOOKUP(
 A68,
 tblTargetStatus[TargetID],
 tblTargetStatus[ChainAwareStatus],
 ""
)</f>
        <v>BLOCKED</v>
      </c>
      <c r="F68" s="45">
        <v>60.0</v>
      </c>
      <c r="G68" s="45" t="b">
        <v>0</v>
      </c>
      <c r="H68" s="45" t="b">
        <f t="array" ref="H68">_xlfn.XLOOKUP(
 A68,
 tblTargetStatus[TargetID],
 tblTargetStatus[TargetFunded],
 ""
)</f>
        <v>0</v>
      </c>
      <c r="I68" s="45">
        <f t="array" ref="I68">IF(
 D68&lt;&gt;"BUILDING",
 "",
 IF(
  Player!$H$1="Active",
  _xlfn.XLOOKUP(
   A68,
   tblrecommended[ActiveTargetID],
   tblrecommended[Order],
   ""
  ),
  _xlfn.XLOOKUP(
   A68,
   tblrecommended[PassiveTargetID],
   tblrecommended[Order],
   ""
  )
 )
)</f>
        <v>60</v>
      </c>
    </row>
    <row r="69" ht="25.5" hidden="1" customHeight="1">
      <c r="A69" s="26" t="s">
        <v>376</v>
      </c>
      <c r="B69" s="26" t="str">
        <f t="array" ref="B69">_xlfn.XLOOKUP(Checklist!$A69,tblTargets[TargetID],tblTargets[DisplayName])</f>
        <v>Pagoda Lv 5</v>
      </c>
      <c r="C69" s="21" t="str">
        <f t="array" ref="C69">_xlfn.XLOOKUP(
 A69,
 tblTargetStatus[TargetID],
 tblTargetStatus[successors],
 ""
)</f>
        <v>Pagoda Lv 6</v>
      </c>
      <c r="D69" s="26" t="str">
        <f t="array" ref="D69">_xlfn.XLOOKUP(
 A69,
 tblTargets[TargetID],
 tblTargets[TargetType],
 ""
)</f>
        <v>BUILDING</v>
      </c>
      <c r="E69" s="45" t="str">
        <f t="array" ref="E69">_xlfn.XLOOKUP(
 A69,
 tblTargetStatus[TargetID],
 tblTargetStatus[ChainAwareStatus],
 ""
)</f>
        <v>BLOCKED</v>
      </c>
      <c r="F69" s="45">
        <v>61.0</v>
      </c>
      <c r="G69" s="45" t="b">
        <v>0</v>
      </c>
      <c r="H69" s="45" t="b">
        <f t="array" ref="H69">_xlfn.XLOOKUP(
 A69,
 tblTargetStatus[TargetID],
 tblTargetStatus[TargetFunded],
 ""
)</f>
        <v>0</v>
      </c>
      <c r="I69" s="45">
        <f t="array" ref="I69">IF(
 D69&lt;&gt;"BUILDING",
 "",
 IF(
  Player!$H$1="Active",
  _xlfn.XLOOKUP(
   A69,
   tblrecommended[ActiveTargetID],
   tblrecommended[Order],
   ""
  ),
  _xlfn.XLOOKUP(
   A69,
   tblrecommended[PassiveTargetID],
   tblrecommended[Order],
   ""
  )
 )
)</f>
        <v>61</v>
      </c>
    </row>
    <row r="70" ht="25.5" hidden="1" customHeight="1">
      <c r="A70" s="26" t="s">
        <v>378</v>
      </c>
      <c r="B70" s="26" t="str">
        <f t="array" ref="B70">_xlfn.XLOOKUP(Checklist!$A70,tblTargets[TargetID],tblTargets[DisplayName])</f>
        <v>Pagoda Lv 6</v>
      </c>
      <c r="C70" s="21" t="str">
        <f t="array" ref="C70">_xlfn.XLOOKUP(
 A70,
 tblTargetStatus[TargetID],
 tblTargetStatus[successors],
 ""
)</f>
        <v>Pagoda Lv 7</v>
      </c>
      <c r="D70" s="26" t="str">
        <f t="array" ref="D70">_xlfn.XLOOKUP(
 A70,
 tblTargets[TargetID],
 tblTargets[TargetType],
 ""
)</f>
        <v>BUILDING</v>
      </c>
      <c r="E70" s="45" t="str">
        <f t="array" ref="E70">_xlfn.XLOOKUP(
 A70,
 tblTargetStatus[TargetID],
 tblTargetStatus[ChainAwareStatus],
 ""
)</f>
        <v>BLOCKED</v>
      </c>
      <c r="F70" s="45">
        <v>62.0</v>
      </c>
      <c r="G70" s="45" t="b">
        <v>0</v>
      </c>
      <c r="H70" s="45" t="b">
        <f t="array" ref="H70">_xlfn.XLOOKUP(
 A70,
 tblTargetStatus[TargetID],
 tblTargetStatus[TargetFunded],
 ""
)</f>
        <v>0</v>
      </c>
      <c r="I70" s="45">
        <f t="array" ref="I70">IF(
 D70&lt;&gt;"BUILDING",
 "",
 IF(
  Player!$H$1="Active",
  _xlfn.XLOOKUP(
   A70,
   tblrecommended[ActiveTargetID],
   tblrecommended[Order],
   ""
  ),
  _xlfn.XLOOKUP(
   A70,
   tblrecommended[PassiveTargetID],
   tblrecommended[Order],
   ""
  )
 )
)</f>
        <v>62</v>
      </c>
    </row>
    <row r="71" ht="25.5" hidden="1" customHeight="1">
      <c r="A71" s="26" t="s">
        <v>381</v>
      </c>
      <c r="B71" s="26" t="str">
        <f t="array" ref="B71">_xlfn.XLOOKUP(Checklist!$A71,tblTargets[TargetID],tblTargets[DisplayName])</f>
        <v>Pagoda Lv 7</v>
      </c>
      <c r="C71" s="21" t="str">
        <f t="array" ref="C71">_xlfn.XLOOKUP(
 A71,
 tblTargetStatus[TargetID],
 tblTargetStatus[successors],
 ""
)</f>
        <v>Build the Pagoda Finished</v>
      </c>
      <c r="D71" s="26" t="str">
        <f t="array" ref="D71">_xlfn.XLOOKUP(
 A71,
 tblTargets[TargetID],
 tblTargets[TargetType],
 ""
)</f>
        <v>BUILDING</v>
      </c>
      <c r="E71" s="45" t="str">
        <f t="array" ref="E71">_xlfn.XLOOKUP(
 A71,
 tblTargetStatus[TargetID],
 tblTargetStatus[ChainAwareStatus],
 ""
)</f>
        <v>BLOCKED</v>
      </c>
      <c r="F71" s="45">
        <v>63.0</v>
      </c>
      <c r="G71" s="45" t="b">
        <v>0</v>
      </c>
      <c r="H71" s="45" t="b">
        <f t="array" ref="H71">_xlfn.XLOOKUP(
 A71,
 tblTargetStatus[TargetID],
 tblTargetStatus[TargetFunded],
 ""
)</f>
        <v>0</v>
      </c>
      <c r="I71" s="45">
        <f t="array" ref="I71">IF(
 D71&lt;&gt;"BUILDING",
 "",
 IF(
  Player!$H$1="Active",
  _xlfn.XLOOKUP(
   A71,
   tblrecommended[ActiveTargetID],
   tblrecommended[Order],
   ""
  ),
  _xlfn.XLOOKUP(
   A71,
   tblrecommended[PassiveTargetID],
   tblrecommended[Order],
   ""
  )
 )
)</f>
        <v>63</v>
      </c>
    </row>
    <row r="72" ht="25.5" hidden="1" customHeight="1">
      <c r="A72" s="26" t="s">
        <v>383</v>
      </c>
      <c r="B72" s="26" t="str">
        <f t="array" ref="B72">_xlfn.XLOOKUP(Checklist!$A72,tblTargets[TargetID],tblTargets[DisplayName])</f>
        <v>Pier Lv 1</v>
      </c>
      <c r="C72" s="21" t="str">
        <f t="array" ref="C72">_xlfn.XLOOKUP(
 A72,
 tblTargetStatus[TargetID],
 tblTargetStatus[successors],
 ""
)</f>
        <v>Ship Lv 1, Shogun's Katana Chapter 2 Finished</v>
      </c>
      <c r="D72" s="26" t="str">
        <f t="array" ref="D72">_xlfn.XLOOKUP(
 A72,
 tblTargets[TargetID],
 tblTargets[TargetType],
 ""
)</f>
        <v>BUILDING</v>
      </c>
      <c r="E72" s="45" t="str">
        <f t="array" ref="E72">_xlfn.XLOOKUP(
 A72,
 tblTargetStatus[TargetID],
 tblTargetStatus[ChainAwareStatus],
 ""
)</f>
        <v>BLOCKED</v>
      </c>
      <c r="F72" s="45">
        <v>19.0</v>
      </c>
      <c r="G72" s="45" t="b">
        <v>0</v>
      </c>
      <c r="H72" s="45" t="b">
        <f t="array" ref="H72">_xlfn.XLOOKUP(
 A72,
 tblTargetStatus[TargetID],
 tblTargetStatus[TargetFunded],
 ""
)</f>
        <v>0</v>
      </c>
      <c r="I72" s="45">
        <f t="array" ref="I72">IF(
 D72&lt;&gt;"BUILDING",
 "",
 IF(
  Player!$H$1="Active",
  _xlfn.XLOOKUP(
   A72,
   tblrecommended[ActiveTargetID],
   tblrecommended[Order],
   ""
  ),
  _xlfn.XLOOKUP(
   A72,
   tblrecommended[PassiveTargetID],
   tblrecommended[Order],
   ""
  )
 )
)</f>
        <v>19</v>
      </c>
    </row>
    <row r="73" ht="25.5" hidden="1" customHeight="1">
      <c r="A73" s="26" t="s">
        <v>385</v>
      </c>
      <c r="B73" s="26" t="str">
        <f t="array" ref="B73">_xlfn.XLOOKUP(Checklist!$A73,tblTargets[TargetID],tblTargets[DisplayName])</f>
        <v>Rock Garden Lv 1</v>
      </c>
      <c r="C73" s="21" t="str">
        <f t="array" ref="C73">_xlfn.XLOOKUP(
 A73,
 tblTargetStatus[TargetID],
 tblTargetStatus[successors],
 ""
)</f>
        <v>Rock Garden Lv 2</v>
      </c>
      <c r="D73" s="26" t="str">
        <f t="array" ref="D73">_xlfn.XLOOKUP(
 A73,
 tblTargets[TargetID],
 tblTargets[TargetType],
 ""
)</f>
        <v>BUILDING</v>
      </c>
      <c r="E73" s="45" t="str">
        <f t="array" ref="E73">_xlfn.XLOOKUP(
 A73,
 tblTargetStatus[TargetID],
 tblTargetStatus[ChainAwareStatus],
 ""
)</f>
        <v>ONE AWAY</v>
      </c>
      <c r="F73" s="45">
        <v>83.0</v>
      </c>
      <c r="G73" s="45" t="b">
        <v>0</v>
      </c>
      <c r="H73" s="45" t="b">
        <f t="array" ref="H73">_xlfn.XLOOKUP(
 A73,
 tblTargetStatus[TargetID],
 tblTargetStatus[TargetFunded],
 ""
)</f>
        <v>0</v>
      </c>
      <c r="I73" s="45">
        <f t="array" ref="I73">IF(
 D73&lt;&gt;"BUILDING",
 "",
 IF(
  Player!$H$1="Active",
  _xlfn.XLOOKUP(
   A73,
   tblrecommended[ActiveTargetID],
   tblrecommended[Order],
   ""
  ),
  _xlfn.XLOOKUP(
   A73,
   tblrecommended[PassiveTargetID],
   tblrecommended[Order],
   ""
  )
 )
)</f>
        <v>83</v>
      </c>
    </row>
    <row r="74" ht="25.5" hidden="1" customHeight="1">
      <c r="A74" s="26" t="s">
        <v>388</v>
      </c>
      <c r="B74" s="26" t="str">
        <f t="array" ref="B74">_xlfn.XLOOKUP(Checklist!$A74,tblTargets[TargetID],tblTargets[DisplayName])</f>
        <v>Rock Garden Lv 2</v>
      </c>
      <c r="C74" s="21" t="str">
        <f t="array" ref="C74">_xlfn.XLOOKUP(
 A74,
 tblTargetStatus[TargetID],
 tblTargetStatus[successors],
 ""
)</f>
        <v>Rock Garden Lv 3</v>
      </c>
      <c r="D74" s="26" t="str">
        <f t="array" ref="D74">_xlfn.XLOOKUP(
 A74,
 tblTargets[TargetID],
 tblTargets[TargetType],
 ""
)</f>
        <v>BUILDING</v>
      </c>
      <c r="E74" s="45" t="str">
        <f t="array" ref="E74">_xlfn.XLOOKUP(
 A74,
 tblTargetStatus[TargetID],
 tblTargetStatus[ChainAwareStatus],
 ""
)</f>
        <v>BLOCKED</v>
      </c>
      <c r="F74" s="45">
        <v>84.0</v>
      </c>
      <c r="G74" s="45" t="b">
        <v>0</v>
      </c>
      <c r="H74" s="45" t="b">
        <f t="array" ref="H74">_xlfn.XLOOKUP(
 A74,
 tblTargetStatus[TargetID],
 tblTargetStatus[TargetFunded],
 ""
)</f>
        <v>0</v>
      </c>
      <c r="I74" s="45">
        <f t="array" ref="I74">IF(
 D74&lt;&gt;"BUILDING",
 "",
 IF(
  Player!$H$1="Active",
  _xlfn.XLOOKUP(
   A74,
   tblrecommended[ActiveTargetID],
   tblrecommended[Order],
   ""
  ),
  _xlfn.XLOOKUP(
   A74,
   tblrecommended[PassiveTargetID],
   tblrecommended[Order],
   ""
  )
 )
)</f>
        <v>84</v>
      </c>
    </row>
    <row r="75" ht="25.5" hidden="1" customHeight="1">
      <c r="A75" s="26" t="s">
        <v>390</v>
      </c>
      <c r="B75" s="26" t="str">
        <f t="array" ref="B75">_xlfn.XLOOKUP(Checklist!$A75,tblTargets[TargetID],tblTargets[DisplayName])</f>
        <v>Rock Garden Lv 3</v>
      </c>
      <c r="C75" s="21" t="str">
        <f t="array" ref="C75">_xlfn.XLOOKUP(
 A75,
 tblTargetStatus[TargetID],
 tblTargetStatus[successors],
 ""
)</f>
        <v>Rock Garden maxed</v>
      </c>
      <c r="D75" s="26" t="str">
        <f t="array" ref="D75">_xlfn.XLOOKUP(
 A75,
 tblTargets[TargetID],
 tblTargets[TargetType],
 ""
)</f>
        <v>BUILDING</v>
      </c>
      <c r="E75" s="45" t="str">
        <f t="array" ref="E75">_xlfn.XLOOKUP(
 A75,
 tblTargetStatus[TargetID],
 tblTargetStatus[ChainAwareStatus],
 ""
)</f>
        <v>BLOCKED</v>
      </c>
      <c r="F75" s="45">
        <v>85.0</v>
      </c>
      <c r="G75" s="45" t="b">
        <v>0</v>
      </c>
      <c r="H75" s="45" t="b">
        <f t="array" ref="H75">_xlfn.XLOOKUP(
 A75,
 tblTargetStatus[TargetID],
 tblTargetStatus[TargetFunded],
 ""
)</f>
        <v>0</v>
      </c>
      <c r="I75" s="45">
        <f t="array" ref="I75">IF(
 D75&lt;&gt;"BUILDING",
 "",
 IF(
  Player!$H$1="Active",
  _xlfn.XLOOKUP(
   A75,
   tblrecommended[ActiveTargetID],
   tblrecommended[Order],
   ""
  ),
  _xlfn.XLOOKUP(
   A75,
   tblrecommended[PassiveTargetID],
   tblrecommended[Order],
   ""
  )
 )
)</f>
        <v>85</v>
      </c>
    </row>
    <row r="76" ht="25.5" hidden="1" customHeight="1">
      <c r="A76" s="26" t="s">
        <v>393</v>
      </c>
      <c r="B76" s="26" t="str">
        <f t="array" ref="B76">_xlfn.XLOOKUP(Checklist!$A76,tblTargets[TargetID],tblTargets[DisplayName])</f>
        <v>Ship Lv 1</v>
      </c>
      <c r="C76" s="21" t="str">
        <f t="array" ref="C76">_xlfn.XLOOKUP(
 A76,
 tblTargetStatus[TargetID],
 tblTargetStatus[successors],
 ""
)</f>
        <v>Ship Lv 2, Necklace For Haruka, Spicy Odyssey Accepted, Obtain Any Artifact, Shogun's Katana Chapter 3 Finished</v>
      </c>
      <c r="D76" s="26" t="str">
        <f t="array" ref="D76">_xlfn.XLOOKUP(
 A76,
 tblTargets[TargetID],
 tblTargets[TargetType],
 ""
)</f>
        <v>BUILDING</v>
      </c>
      <c r="E76" s="45" t="str">
        <f t="array" ref="E76">_xlfn.XLOOKUP(
 A76,
 tblTargetStatus[TargetID],
 tblTargetStatus[ChainAwareStatus],
 ""
)</f>
        <v>BLOCKED</v>
      </c>
      <c r="F76" s="45">
        <v>20.0</v>
      </c>
      <c r="G76" s="45" t="b">
        <v>0</v>
      </c>
      <c r="H76" s="45" t="b">
        <f t="array" ref="H76">_xlfn.XLOOKUP(
 A76,
 tblTargetStatus[TargetID],
 tblTargetStatus[TargetFunded],
 ""
)</f>
        <v>0</v>
      </c>
      <c r="I76" s="45">
        <f t="array" ref="I76">IF(
 D76&lt;&gt;"BUILDING",
 "",
 IF(
  Player!$H$1="Active",
  _xlfn.XLOOKUP(
   A76,
   tblrecommended[ActiveTargetID],
   tblrecommended[Order],
   ""
  ),
  _xlfn.XLOOKUP(
   A76,
   tblrecommended[PassiveTargetID],
   tblrecommended[Order],
   ""
  )
 )
)</f>
        <v>20</v>
      </c>
    </row>
    <row r="77" ht="25.5" hidden="1" customHeight="1">
      <c r="A77" s="26" t="s">
        <v>396</v>
      </c>
      <c r="B77" s="26" t="str">
        <f t="array" ref="B77">_xlfn.XLOOKUP(Checklist!$A77,tblTargets[TargetID],tblTargets[DisplayName])</f>
        <v>Ship Lv 2</v>
      </c>
      <c r="C77" s="21" t="str">
        <f t="array" ref="C77">_xlfn.XLOOKUP(
 A77,
 tblTargetStatus[TargetID],
 tblTargetStatus[successors],
 ""
)</f>
        <v>Ship Lv 3, Shogun's Katana Chapter 4 Finished</v>
      </c>
      <c r="D77" s="26" t="str">
        <f t="array" ref="D77">_xlfn.XLOOKUP(
 A77,
 tblTargets[TargetID],
 tblTargets[TargetType],
 ""
)</f>
        <v>BUILDING</v>
      </c>
      <c r="E77" s="45" t="str">
        <f t="array" ref="E77">_xlfn.XLOOKUP(
 A77,
 tblTargetStatus[TargetID],
 tblTargetStatus[ChainAwareStatus],
 ""
)</f>
        <v>BLOCKED</v>
      </c>
      <c r="F77" s="45">
        <v>21.0</v>
      </c>
      <c r="G77" s="45" t="b">
        <v>0</v>
      </c>
      <c r="H77" s="45" t="b">
        <f t="array" ref="H77">_xlfn.XLOOKUP(
 A77,
 tblTargetStatus[TargetID],
 tblTargetStatus[TargetFunded],
 ""
)</f>
        <v>0</v>
      </c>
      <c r="I77" s="45">
        <f t="array" ref="I77">IF(
 D77&lt;&gt;"BUILDING",
 "",
 IF(
  Player!$H$1="Active",
  _xlfn.XLOOKUP(
   A77,
   tblrecommended[ActiveTargetID],
   tblrecommended[Order],
   ""
  ),
  _xlfn.XLOOKUP(
   A77,
   tblrecommended[PassiveTargetID],
   tblrecommended[Order],
   ""
  )
 )
)</f>
        <v>21</v>
      </c>
    </row>
    <row r="78" ht="25.5" hidden="1" customHeight="1">
      <c r="A78" s="26" t="s">
        <v>399</v>
      </c>
      <c r="B78" s="26" t="str">
        <f t="array" ref="B78">_xlfn.XLOOKUP(Checklist!$A78,tblTargets[TargetID],tblTargets[DisplayName])</f>
        <v>Ship Lv 3</v>
      </c>
      <c r="C78" s="21" t="str">
        <f t="array" ref="C78">_xlfn.XLOOKUP(
 A78,
 tblTargetStatus[TargetID],
 tblTargetStatus[successors],
 ""
)</f>
        <v>Ship Lv 4, Shogun's Katana Chapter 5 Finished, Shogun's Katana Chapter 6 Finished</v>
      </c>
      <c r="D78" s="26" t="str">
        <f t="array" ref="D78">_xlfn.XLOOKUP(
 A78,
 tblTargets[TargetID],
 tblTargets[TargetType],
 ""
)</f>
        <v>BUILDING</v>
      </c>
      <c r="E78" s="45" t="str">
        <f t="array" ref="E78">_xlfn.XLOOKUP(
 A78,
 tblTargetStatus[TargetID],
 tblTargetStatus[ChainAwareStatus],
 ""
)</f>
        <v>BLOCKED</v>
      </c>
      <c r="F78" s="45">
        <v>22.0</v>
      </c>
      <c r="G78" s="45" t="b">
        <v>0</v>
      </c>
      <c r="H78" s="45" t="b">
        <f t="array" ref="H78">_xlfn.XLOOKUP(
 A78,
 tblTargetStatus[TargetID],
 tblTargetStatus[TargetFunded],
 ""
)</f>
        <v>0</v>
      </c>
      <c r="I78" s="45">
        <f t="array" ref="I78">IF(
 D78&lt;&gt;"BUILDING",
 "",
 IF(
  Player!$H$1="Active",
  _xlfn.XLOOKUP(
   A78,
   tblrecommended[ActiveTargetID],
   tblrecommended[Order],
   ""
  ),
  _xlfn.XLOOKUP(
   A78,
   tblrecommended[PassiveTargetID],
   tblrecommended[Order],
   ""
  )
 )
)</f>
        <v>22</v>
      </c>
    </row>
    <row r="79" ht="25.5" hidden="1" customHeight="1">
      <c r="A79" s="26" t="s">
        <v>402</v>
      </c>
      <c r="B79" s="26" t="str">
        <f t="array" ref="B79">_xlfn.XLOOKUP(Checklist!$A79,tblTargets[TargetID],tblTargets[DisplayName])</f>
        <v>Ship Lv 4</v>
      </c>
      <c r="C79" s="21" t="str">
        <f t="array" ref="C79">_xlfn.XLOOKUP(
 A79,
 tblTargetStatus[TargetID],
 tblTargetStatus[successors],
 ""
)</f>
        <v>Astrolabe, Spicy Odyssey Finished</v>
      </c>
      <c r="D79" s="26" t="str">
        <f t="array" ref="D79">_xlfn.XLOOKUP(
 A79,
 tblTargets[TargetID],
 tblTargets[TargetType],
 ""
)</f>
        <v>BUILDING</v>
      </c>
      <c r="E79" s="45" t="str">
        <f t="array" ref="E79">_xlfn.XLOOKUP(
 A79,
 tblTargetStatus[TargetID],
 tblTargetStatus[ChainAwareStatus],
 ""
)</f>
        <v>BLOCKED</v>
      </c>
      <c r="F79" s="45">
        <v>24.0</v>
      </c>
      <c r="G79" s="45" t="b">
        <v>0</v>
      </c>
      <c r="H79" s="45" t="b">
        <f t="array" ref="H79">_xlfn.XLOOKUP(
 A79,
 tblTargetStatus[TargetID],
 tblTargetStatus[TargetFunded],
 ""
)</f>
        <v>0</v>
      </c>
      <c r="I79" s="45">
        <f t="array" ref="I79">IF(
 D79&lt;&gt;"BUILDING",
 "",
 IF(
  Player!$H$1="Active",
  _xlfn.XLOOKUP(
   A79,
   tblrecommended[ActiveTargetID],
   tblrecommended[Order],
   ""
  ),
  _xlfn.XLOOKUP(
   A79,
   tblrecommended[PassiveTargetID],
   tblrecommended[Order],
   ""
  )
 )
)</f>
        <v>24</v>
      </c>
    </row>
    <row r="80" ht="25.5" hidden="1" customHeight="1">
      <c r="A80" s="26" t="s">
        <v>404</v>
      </c>
      <c r="B80" s="26" t="str">
        <f t="array" ref="B80">_xlfn.XLOOKUP(Checklist!$A80,tblTargets[TargetID],tblTargets[DisplayName])</f>
        <v>Shop Lv 1</v>
      </c>
      <c r="C80" s="21" t="str">
        <f t="array" ref="C80">_xlfn.XLOOKUP(
 A80,
 tblTargetStatus[TargetID],
 tblTargetStatus[successors],
 ""
)</f>
        <v>Shop Lv 2</v>
      </c>
      <c r="D80" s="26" t="str">
        <f t="array" ref="D80">_xlfn.XLOOKUP(
 A80,
 tblTargets[TargetID],
 tblTargets[TargetType],
 ""
)</f>
        <v>BUILDING</v>
      </c>
      <c r="E80" s="45" t="str">
        <f t="array" ref="E80">_xlfn.XLOOKUP(
 A80,
 tblTargetStatus[TargetID],
 tblTargetStatus[ChainAwareStatus],
 ""
)</f>
        <v>ONE AWAY</v>
      </c>
      <c r="F80" s="45">
        <v>3.0</v>
      </c>
      <c r="G80" s="45" t="b">
        <v>0</v>
      </c>
      <c r="H80" s="45" t="b">
        <f t="array" ref="H80">_xlfn.XLOOKUP(
 A80,
 tblTargetStatus[TargetID],
 tblTargetStatus[TargetFunded],
 ""
)</f>
        <v>0</v>
      </c>
      <c r="I80" s="45">
        <f t="array" ref="I80">IF(
 D80&lt;&gt;"BUILDING",
 "",
 IF(
  Player!$H$1="Active",
  _xlfn.XLOOKUP(
   A80,
   tblrecommended[ActiveTargetID],
   tblrecommended[Order],
   ""
  ),
  _xlfn.XLOOKUP(
   A80,
   tblrecommended[PassiveTargetID],
   tblrecommended[Order],
   ""
  )
 )
)</f>
        <v>3</v>
      </c>
    </row>
    <row r="81" ht="25.5" hidden="1" customHeight="1">
      <c r="A81" s="26" t="s">
        <v>406</v>
      </c>
      <c r="B81" s="26" t="str">
        <f t="array" ref="B81">_xlfn.XLOOKUP(Checklist!$A81,tblTargets[TargetID],tblTargets[DisplayName])</f>
        <v>Shop Lv 2</v>
      </c>
      <c r="C81" s="21" t="str">
        <f t="array" ref="C81">_xlfn.XLOOKUP(
 A81,
 tblTargetStatus[TargetID],
 tblTargetStatus[successors],
 ""
)</f>
        <v>Shop Lv 3</v>
      </c>
      <c r="D81" s="26" t="str">
        <f t="array" ref="D81">_xlfn.XLOOKUP(
 A81,
 tblTargets[TargetID],
 tblTargets[TargetType],
 ""
)</f>
        <v>BUILDING</v>
      </c>
      <c r="E81" s="45" t="str">
        <f t="array" ref="E81">_xlfn.XLOOKUP(
 A81,
 tblTargetStatus[TargetID],
 tblTargetStatus[ChainAwareStatus],
 ""
)</f>
        <v>BLOCKED</v>
      </c>
      <c r="F81" s="45">
        <v>100.0</v>
      </c>
      <c r="G81" s="45" t="b">
        <v>0</v>
      </c>
      <c r="H81" s="45" t="b">
        <f t="array" ref="H81">_xlfn.XLOOKUP(
 A81,
 tblTargetStatus[TargetID],
 tblTargetStatus[TargetFunded],
 ""
)</f>
        <v>0</v>
      </c>
      <c r="I81" s="45">
        <f t="array" ref="I81">IF(
 D81&lt;&gt;"BUILDING",
 "",
 IF(
  Player!$H$1="Active",
  _xlfn.XLOOKUP(
   A81,
   tblrecommended[ActiveTargetID],
   tblrecommended[Order],
   ""
  ),
  _xlfn.XLOOKUP(
   A81,
   tblrecommended[PassiveTargetID],
   tblrecommended[Order],
   ""
  )
 )
)</f>
        <v>100</v>
      </c>
    </row>
    <row r="82" ht="25.5" hidden="1" customHeight="1">
      <c r="A82" s="26" t="s">
        <v>408</v>
      </c>
      <c r="B82" s="26" t="str">
        <f t="array" ref="B82">_xlfn.XLOOKUP(Checklist!$A82,tblTargets[TargetID],tblTargets[DisplayName])</f>
        <v>Shop Lv 3</v>
      </c>
      <c r="C82" s="21" t="str">
        <f t="array" ref="C82">_xlfn.XLOOKUP(
 A82,
 tblTargetStatus[TargetID],
 tblTargetStatus[successors],
 ""
)</f>
        <v>shop maxed</v>
      </c>
      <c r="D82" s="26" t="str">
        <f t="array" ref="D82">_xlfn.XLOOKUP(
 A82,
 tblTargets[TargetID],
 tblTargets[TargetType],
 ""
)</f>
        <v>BUILDING</v>
      </c>
      <c r="E82" s="45" t="str">
        <f t="array" ref="E82">_xlfn.XLOOKUP(
 A82,
 tblTargetStatus[TargetID],
 tblTargetStatus[ChainAwareStatus],
 ""
)</f>
        <v>BLOCKED</v>
      </c>
      <c r="F82" s="45">
        <v>101.0</v>
      </c>
      <c r="G82" s="45" t="b">
        <v>0</v>
      </c>
      <c r="H82" s="45" t="b">
        <f t="array" ref="H82">_xlfn.XLOOKUP(
 A82,
 tblTargetStatus[TargetID],
 tblTargetStatus[TargetFunded],
 ""
)</f>
        <v>0</v>
      </c>
      <c r="I82" s="45">
        <f t="array" ref="I82">IF(
 D82&lt;&gt;"BUILDING",
 "",
 IF(
  Player!$H$1="Active",
  _xlfn.XLOOKUP(
   A82,
   tblrecommended[ActiveTargetID],
   tblrecommended[Order],
   ""
  ),
  _xlfn.XLOOKUP(
   A82,
   tblrecommended[PassiveTargetID],
   tblrecommended[Order],
   ""
  )
 )
)</f>
        <v>101</v>
      </c>
    </row>
    <row r="83" ht="25.5" hidden="1" customHeight="1">
      <c r="A83" s="26" t="s">
        <v>410</v>
      </c>
      <c r="B83" s="26" t="str">
        <f t="array" ref="B83">_xlfn.XLOOKUP(Checklist!$A83,tblTargets[TargetID],tblTargets[DisplayName])</f>
        <v>Smithy Lv 1</v>
      </c>
      <c r="C83" s="21" t="str">
        <f t="array" ref="C83">_xlfn.XLOOKUP(
 A83,
 tblTargetStatus[TargetID],
 tblTargetStatus[successors],
 ""
)</f>
        <v>Smithy Lv 2</v>
      </c>
      <c r="D83" s="26" t="str">
        <f t="array" ref="D83">_xlfn.XLOOKUP(
 A83,
 tblTargets[TargetID],
 tblTargets[TargetType],
 ""
)</f>
        <v>BUILDING</v>
      </c>
      <c r="E83" s="45" t="str">
        <f t="array" ref="E83">_xlfn.XLOOKUP(
 A83,
 tblTargetStatus[TargetID],
 tblTargetStatus[ChainAwareStatus],
 ""
)</f>
        <v>ONE AWAY</v>
      </c>
      <c r="F83" s="45">
        <v>40.0</v>
      </c>
      <c r="G83" s="45" t="b">
        <v>0</v>
      </c>
      <c r="H83" s="45" t="b">
        <f t="array" ref="H83">_xlfn.XLOOKUP(
 A83,
 tblTargetStatus[TargetID],
 tblTargetStatus[TargetFunded],
 ""
)</f>
        <v>0</v>
      </c>
      <c r="I83" s="45">
        <f t="array" ref="I83">IF(
 D83&lt;&gt;"BUILDING",
 "",
 IF(
  Player!$H$1="Active",
  _xlfn.XLOOKUP(
   A83,
   tblrecommended[ActiveTargetID],
   tblrecommended[Order],
   ""
  ),
  _xlfn.XLOOKUP(
   A83,
   tblrecommended[PassiveTargetID],
   tblrecommended[Order],
   ""
  )
 )
)</f>
        <v>40</v>
      </c>
    </row>
    <row r="84" ht="25.5" hidden="1" customHeight="1">
      <c r="A84" s="26" t="s">
        <v>414</v>
      </c>
      <c r="B84" s="26" t="str">
        <f t="array" ref="B84">_xlfn.XLOOKUP(Checklist!$A84,tblTargets[TargetID],tblTargets[DisplayName])</f>
        <v>Smithy Lv 2</v>
      </c>
      <c r="C84" s="21" t="str">
        <f t="array" ref="C84">_xlfn.XLOOKUP(
 A84,
 tblTargetStatus[TargetID],
 tblTargetStatus[successors],
 ""
)</f>
        <v>Smithy Lv 3</v>
      </c>
      <c r="D84" s="26" t="str">
        <f t="array" ref="D84">_xlfn.XLOOKUP(
 A84,
 tblTargets[TargetID],
 tblTargets[TargetType],
 ""
)</f>
        <v>BUILDING</v>
      </c>
      <c r="E84" s="45" t="str">
        <f t="array" ref="E84">_xlfn.XLOOKUP(
 A84,
 tblTargetStatus[TargetID],
 tblTargetStatus[ChainAwareStatus],
 ""
)</f>
        <v>BLOCKED</v>
      </c>
      <c r="F84" s="45">
        <v>41.0</v>
      </c>
      <c r="G84" s="45" t="b">
        <v>0</v>
      </c>
      <c r="H84" s="45" t="b">
        <f t="array" ref="H84">_xlfn.XLOOKUP(
 A84,
 tblTargetStatus[TargetID],
 tblTargetStatus[TargetFunded],
 ""
)</f>
        <v>0</v>
      </c>
      <c r="I84" s="45">
        <f t="array" ref="I84">IF(
 D84&lt;&gt;"BUILDING",
 "",
 IF(
  Player!$H$1="Active",
  _xlfn.XLOOKUP(
   A84,
   tblrecommended[ActiveTargetID],
   tblrecommended[Order],
   ""
  ),
  _xlfn.XLOOKUP(
   A84,
   tblrecommended[PassiveTargetID],
   tblrecommended[Order],
   ""
  )
 )
)</f>
        <v>41</v>
      </c>
    </row>
    <row r="85" ht="25.5" hidden="1" customHeight="1">
      <c r="A85" s="26" t="s">
        <v>415</v>
      </c>
      <c r="B85" s="26" t="str">
        <f t="array" ref="B85">_xlfn.XLOOKUP(Checklist!$A85,tblTargets[TargetID],tblTargets[DisplayName])</f>
        <v>Smithy Lv 3</v>
      </c>
      <c r="C85" s="21" t="str">
        <f t="array" ref="C85">_xlfn.XLOOKUP(
 A85,
 tblTargetStatus[TargetID],
 tblTargetStatus[successors],
 ""
)</f>
        <v>smithy maxed, Dagger</v>
      </c>
      <c r="D85" s="26" t="str">
        <f t="array" ref="D85">_xlfn.XLOOKUP(
 A85,
 tblTargets[TargetID],
 tblTargets[TargetType],
 ""
)</f>
        <v>BUILDING</v>
      </c>
      <c r="E85" s="45" t="str">
        <f t="array" ref="E85">_xlfn.XLOOKUP(
 A85,
 tblTargetStatus[TargetID],
 tblTargetStatus[ChainAwareStatus],
 ""
)</f>
        <v>BLOCKED</v>
      </c>
      <c r="F85" s="45">
        <v>42.0</v>
      </c>
      <c r="G85" s="45" t="b">
        <v>0</v>
      </c>
      <c r="H85" s="45" t="b">
        <f t="array" ref="H85">_xlfn.XLOOKUP(
 A85,
 tblTargetStatus[TargetID],
 tblTargetStatus[TargetFunded],
 ""
)</f>
        <v>0</v>
      </c>
      <c r="I85" s="45">
        <f t="array" ref="I85">IF(
 D85&lt;&gt;"BUILDING",
 "",
 IF(
  Player!$H$1="Active",
  _xlfn.XLOOKUP(
   A85,
   tblrecommended[ActiveTargetID],
   tblrecommended[Order],
   ""
  ),
  _xlfn.XLOOKUP(
   A85,
   tblrecommended[PassiveTargetID],
   tblrecommended[Order],
   ""
  )
 )
)</f>
        <v>42</v>
      </c>
    </row>
    <row r="86" ht="25.5" hidden="1" customHeight="1">
      <c r="A86" s="26" t="s">
        <v>418</v>
      </c>
      <c r="B86" s="26" t="str">
        <f t="array" ref="B86">_xlfn.XLOOKUP(Checklist!$A86,tblTargets[TargetID],tblTargets[DisplayName])</f>
        <v>Station Lv 1</v>
      </c>
      <c r="C86" s="21" t="str">
        <f t="array" ref="C86">_xlfn.XLOOKUP(
 A86,
 tblTargetStatus[TargetID],
 tblTargetStatus[successors],
 ""
)</f>
        <v>Train Lv 1, Journey Through Japan By Train Accepted, Journey Through Japan By Train Finished</v>
      </c>
      <c r="D86" s="26" t="str">
        <f t="array" ref="D86">_xlfn.XLOOKUP(
 A86,
 tblTargets[TargetID],
 tblTargets[TargetType],
 ""
)</f>
        <v>BUILDING</v>
      </c>
      <c r="E86" s="45" t="str">
        <f t="array" ref="E86">_xlfn.XLOOKUP(
 A86,
 tblTargetStatus[TargetID],
 tblTargetStatus[ChainAwareStatus],
 ""
)</f>
        <v>BLOCKED</v>
      </c>
      <c r="F86" s="45">
        <v>69.0</v>
      </c>
      <c r="G86" s="45" t="b">
        <v>0</v>
      </c>
      <c r="H86" s="45" t="b">
        <f t="array" ref="H86">_xlfn.XLOOKUP(
 A86,
 tblTargetStatus[TargetID],
 tblTargetStatus[TargetFunded],
 ""
)</f>
        <v>0</v>
      </c>
      <c r="I86" s="45">
        <f t="array" ref="I86">IF(
 D86&lt;&gt;"BUILDING",
 "",
 IF(
  Player!$H$1="Active",
  _xlfn.XLOOKUP(
   A86,
   tblrecommended[ActiveTargetID],
   tblrecommended[Order],
   ""
  ),
  _xlfn.XLOOKUP(
   A86,
   tblrecommended[PassiveTargetID],
   tblrecommended[Order],
   ""
  )
 )
)</f>
        <v>69</v>
      </c>
    </row>
    <row r="87" ht="25.5" hidden="1" customHeight="1">
      <c r="A87" s="26" t="s">
        <v>420</v>
      </c>
      <c r="B87" s="26" t="str">
        <f t="array" ref="B87">_xlfn.XLOOKUP(Checklist!$A87,tblTargets[TargetID],tblTargets[DisplayName])</f>
        <v>Tailor Lv 1</v>
      </c>
      <c r="C87" s="21" t="str">
        <f t="array" ref="C87">_xlfn.XLOOKUP(
 A87,
 tblTargetStatus[TargetID],
 tblTargetStatus[successors],
 ""
)</f>
        <v>Tailor Lv 2</v>
      </c>
      <c r="D87" s="26" t="str">
        <f t="array" ref="D87">_xlfn.XLOOKUP(
 A87,
 tblTargets[TargetID],
 tblTargets[TargetType],
 ""
)</f>
        <v>BUILDING</v>
      </c>
      <c r="E87" s="45" t="str">
        <f t="array" ref="E87">_xlfn.XLOOKUP(
 A87,
 tblTargetStatus[TargetID],
 tblTargetStatus[ChainAwareStatus],
 ""
)</f>
        <v>BLOCKED</v>
      </c>
      <c r="F87" s="45">
        <v>47.0</v>
      </c>
      <c r="G87" s="45" t="b">
        <v>0</v>
      </c>
      <c r="H87" s="45" t="b">
        <f t="array" ref="H87">_xlfn.XLOOKUP(
 A87,
 tblTargetStatus[TargetID],
 tblTargetStatus[TargetFunded],
 ""
)</f>
        <v>0</v>
      </c>
      <c r="I87" s="45">
        <f t="array" ref="I87">IF(
 D87&lt;&gt;"BUILDING",
 "",
 IF(
  Player!$H$1="Active",
  _xlfn.XLOOKUP(
   A87,
   tblrecommended[ActiveTargetID],
   tblrecommended[Order],
   ""
  ),
  _xlfn.XLOOKUP(
   A87,
   tblrecommended[PassiveTargetID],
   tblrecommended[Order],
   ""
  )
 )
)</f>
        <v>47</v>
      </c>
    </row>
    <row r="88" ht="25.5" hidden="1" customHeight="1">
      <c r="A88" s="26" t="s">
        <v>421</v>
      </c>
      <c r="B88" s="26" t="str">
        <f t="array" ref="B88">_xlfn.XLOOKUP(Checklist!$A88,tblTargets[TargetID],tblTargets[DisplayName])</f>
        <v>Tailor Lv 2</v>
      </c>
      <c r="C88" s="21" t="str">
        <f t="array" ref="C88">_xlfn.XLOOKUP(
 A88,
 tblTargetStatus[TargetID],
 tblTargetStatus[successors],
 ""
)</f>
        <v>Tailor Lv 3, Guild Banner, Tailor - Ariadnes Thread, Tailor - Armor For A Hero Lvl 1, Tailor - Colored Threads, Tailor - Strong Stitch</v>
      </c>
      <c r="D88" s="26" t="str">
        <f t="array" ref="D88">_xlfn.XLOOKUP(
 A88,
 tblTargets[TargetID],
 tblTargets[TargetType],
 ""
)</f>
        <v>BUILDING</v>
      </c>
      <c r="E88" s="45" t="str">
        <f t="array" ref="E88">_xlfn.XLOOKUP(
 A88,
 tblTargetStatus[TargetID],
 tblTargetStatus[ChainAwareStatus],
 ""
)</f>
        <v>BLOCKED</v>
      </c>
      <c r="F88" s="45">
        <v>48.0</v>
      </c>
      <c r="G88" s="45" t="b">
        <v>0</v>
      </c>
      <c r="H88" s="45" t="b">
        <f t="array" ref="H88">_xlfn.XLOOKUP(
 A88,
 tblTargetStatus[TargetID],
 tblTargetStatus[TargetFunded],
 ""
)</f>
        <v>0</v>
      </c>
      <c r="I88" s="45">
        <f t="array" ref="I88">IF(
 D88&lt;&gt;"BUILDING",
 "",
 IF(
  Player!$H$1="Active",
  _xlfn.XLOOKUP(
   A88,
   tblrecommended[ActiveTargetID],
   tblrecommended[Order],
   ""
  ),
  _xlfn.XLOOKUP(
   A88,
   tblrecommended[PassiveTargetID],
   tblrecommended[Order],
   ""
  )
 )
)</f>
        <v>48</v>
      </c>
    </row>
    <row r="89" ht="25.5" hidden="1" customHeight="1">
      <c r="A89" s="26" t="s">
        <v>424</v>
      </c>
      <c r="B89" s="26" t="str">
        <f t="array" ref="B89">_xlfn.XLOOKUP(Checklist!$A89,tblTargets[TargetID],tblTargets[DisplayName])</f>
        <v>Tailor Lv 3</v>
      </c>
      <c r="C89" s="21" t="str">
        <f t="array" ref="C89">_xlfn.XLOOKUP(
 A89,
 tblTargetStatus[TargetID],
 tblTargetStatus[successors],
 ""
)</f>
        <v>tailor maxed, Hat Of Concentration, Helmet</v>
      </c>
      <c r="D89" s="26" t="str">
        <f t="array" ref="D89">_xlfn.XLOOKUP(
 A89,
 tblTargets[TargetID],
 tblTargets[TargetType],
 ""
)</f>
        <v>BUILDING</v>
      </c>
      <c r="E89" s="45" t="str">
        <f t="array" ref="E89">_xlfn.XLOOKUP(
 A89,
 tblTargetStatus[TargetID],
 tblTargetStatus[ChainAwareStatus],
 ""
)</f>
        <v>BLOCKED</v>
      </c>
      <c r="F89" s="45">
        <v>49.0</v>
      </c>
      <c r="G89" s="45" t="b">
        <v>0</v>
      </c>
      <c r="H89" s="45" t="b">
        <f t="array" ref="H89">_xlfn.XLOOKUP(
 A89,
 tblTargetStatus[TargetID],
 tblTargetStatus[TargetFunded],
 ""
)</f>
        <v>0</v>
      </c>
      <c r="I89" s="45">
        <f t="array" ref="I89">IF(
 D89&lt;&gt;"BUILDING",
 "",
 IF(
  Player!$H$1="Active",
  _xlfn.XLOOKUP(
   A89,
   tblrecommended[ActiveTargetID],
   tblrecommended[Order],
   ""
  ),
  _xlfn.XLOOKUP(
   A89,
   tblrecommended[PassiveTargetID],
   tblrecommended[Order],
   ""
  )
 )
)</f>
        <v>49</v>
      </c>
    </row>
    <row r="90" ht="25.5" hidden="1" customHeight="1">
      <c r="A90" s="26" t="s">
        <v>427</v>
      </c>
      <c r="B90" s="26" t="str">
        <f t="array" ref="B90">_xlfn.XLOOKUP(Checklist!$A90,tblTargets[TargetID],tblTargets[DisplayName])</f>
        <v>Train Lv 1</v>
      </c>
      <c r="C90" s="21" t="str">
        <f t="array" ref="C90">_xlfn.XLOOKUP(
 A90,
 tblTargetStatus[TargetID],
 tblTargetStatus[successors],
 ""
)</f>
        <v>Train Lv 2, Train: Freight Carriage Lv 1, Train: Passenger Carriage Lv 1, Train - Automatic Lubricator, Train - Compound Engine, Train - Superheater, Visit Kyoto, Visit Nagasaki, Visit Osaka, Visit Wakayama, Journey Through Japan By Train Finished</v>
      </c>
      <c r="D90" s="26" t="str">
        <f t="array" ref="D90">_xlfn.XLOOKUP(
 A90,
 tblTargets[TargetID],
 tblTargets[TargetType],
 ""
)</f>
        <v>BUILDING</v>
      </c>
      <c r="E90" s="45" t="str">
        <f t="array" ref="E90">_xlfn.XLOOKUP(
 A90,
 tblTargetStatus[TargetID],
 tblTargetStatus[ChainAwareStatus],
 ""
)</f>
        <v>BLOCKED</v>
      </c>
      <c r="F90" s="45">
        <v>70.0</v>
      </c>
      <c r="G90" s="45" t="b">
        <v>0</v>
      </c>
      <c r="H90" s="45" t="b">
        <f t="array" ref="H90">_xlfn.XLOOKUP(
 A90,
 tblTargetStatus[TargetID],
 tblTargetStatus[TargetFunded],
 ""
)</f>
        <v>0</v>
      </c>
      <c r="I90" s="45">
        <f t="array" ref="I90">IF(
 D90&lt;&gt;"BUILDING",
 "",
 IF(
  Player!$H$1="Active",
  _xlfn.XLOOKUP(
   A90,
   tblrecommended[ActiveTargetID],
   tblrecommended[Order],
   ""
  ),
  _xlfn.XLOOKUP(
   A90,
   tblrecommended[PassiveTargetID],
   tblrecommended[Order],
   ""
  )
 )
)</f>
        <v>70</v>
      </c>
    </row>
    <row r="91" ht="25.5" hidden="1" customHeight="1">
      <c r="A91" s="26" t="s">
        <v>429</v>
      </c>
      <c r="B91" s="26" t="str">
        <f t="array" ref="B91">_xlfn.XLOOKUP(Checklist!$A91,tblTargets[TargetID],tblTargets[DisplayName])</f>
        <v>Train Lv 2</v>
      </c>
      <c r="C91" s="21" t="str">
        <f t="array" ref="C91">_xlfn.XLOOKUP(
 A91,
 tblTargetStatus[TargetID],
 tblTargetStatus[successors],
 ""
)</f>
        <v>train maxed, Visit Aomori, Visit Fukushima, Visit Tokyo, Journey Through Japan By Train Finished</v>
      </c>
      <c r="D91" s="26" t="str">
        <f t="array" ref="D91">_xlfn.XLOOKUP(
 A91,
 tblTargets[TargetID],
 tblTargets[TargetType],
 ""
)</f>
        <v>BUILDING</v>
      </c>
      <c r="E91" s="45" t="str">
        <f t="array" ref="E91">_xlfn.XLOOKUP(
 A91,
 tblTargetStatus[TargetID],
 tblTargetStatus[ChainAwareStatus],
 ""
)</f>
        <v>BLOCKED</v>
      </c>
      <c r="F91" s="45">
        <v>71.0</v>
      </c>
      <c r="G91" s="45" t="b">
        <v>0</v>
      </c>
      <c r="H91" s="45" t="b">
        <f t="array" ref="H91">_xlfn.XLOOKUP(
 A91,
 tblTargetStatus[TargetID],
 tblTargetStatus[TargetFunded],
 ""
)</f>
        <v>0</v>
      </c>
      <c r="I91" s="45">
        <f t="array" ref="I91">IF(
 D91&lt;&gt;"BUILDING",
 "",
 IF(
  Player!$H$1="Active",
  _xlfn.XLOOKUP(
   A91,
   tblrecommended[ActiveTargetID],
   tblrecommended[Order],
   ""
  ),
  _xlfn.XLOOKUP(
   A91,
   tblrecommended[PassiveTargetID],
   tblrecommended[Order],
   ""
  )
 )
)</f>
        <v>71</v>
      </c>
    </row>
    <row r="92" ht="25.5" hidden="1" customHeight="1">
      <c r="A92" s="26" t="s">
        <v>431</v>
      </c>
      <c r="B92" s="26" t="str">
        <f t="array" ref="B92">_xlfn.XLOOKUP(Checklist!$A92,tblTargets[TargetID],tblTargets[DisplayName])</f>
        <v>Train: Freight Carriage Lv 1</v>
      </c>
      <c r="C92" s="21" t="str">
        <f t="array" ref="C92">_xlfn.XLOOKUP(
 A92,
 tblTargetStatus[TargetID],
 tblTargetStatus[successors],
 ""
)</f>
        <v>Train: Freight Carriage Lv 2</v>
      </c>
      <c r="D92" s="26" t="str">
        <f t="array" ref="D92">_xlfn.XLOOKUP(
 A92,
 tblTargets[TargetID],
 tblTargets[TargetType],
 ""
)</f>
        <v>BUILDING</v>
      </c>
      <c r="E92" s="45" t="str">
        <f t="array" ref="E92">_xlfn.XLOOKUP(
 A92,
 tblTargetStatus[TargetID],
 tblTargetStatus[ChainAwareStatus],
 ""
)</f>
        <v>BLOCKED</v>
      </c>
      <c r="F92" s="45" t="s">
        <v>186</v>
      </c>
      <c r="G92" s="45" t="b">
        <v>0</v>
      </c>
      <c r="H92" s="45" t="b">
        <f t="array" ref="H92">_xlfn.XLOOKUP(
 A92,
 tblTargetStatus[TargetID],
 tblTargetStatus[TargetFunded],
 ""
)</f>
        <v>0</v>
      </c>
      <c r="I92" s="45" t="str">
        <f t="array" ref="I92">IF(
 D92&lt;&gt;"BUILDING",
 "",
 IF(
  Player!$H$1="Active",
  _xlfn.XLOOKUP(
   A92,
   tblrecommended[ActiveTargetID],
   tblrecommended[Order],
   ""
  ),
  _xlfn.XLOOKUP(
   A92,
   tblrecommended[PassiveTargetID],
   tblrecommended[Order],
   ""
  )
 )
)</f>
        <v/>
      </c>
    </row>
    <row r="93" ht="25.5" hidden="1" customHeight="1">
      <c r="A93" s="26" t="s">
        <v>433</v>
      </c>
      <c r="B93" s="26" t="str">
        <f t="array" ref="B93">_xlfn.XLOOKUP(Checklist!$A93,tblTargets[TargetID],tblTargets[DisplayName])</f>
        <v>Train: Freight Carriage Lv 2</v>
      </c>
      <c r="C93" s="21" t="str">
        <f t="array" ref="C93">_xlfn.XLOOKUP(
 A93,
 tblTargetStatus[TargetID],
 tblTargetStatus[successors],
 ""
)</f>
        <v/>
      </c>
      <c r="D93" s="26" t="str">
        <f t="array" ref="D93">_xlfn.XLOOKUP(
 A93,
 tblTargets[TargetID],
 tblTargets[TargetType],
 ""
)</f>
        <v>BUILDING</v>
      </c>
      <c r="E93" s="45" t="str">
        <f t="array" ref="E93">_xlfn.XLOOKUP(
 A93,
 tblTargetStatus[TargetID],
 tblTargetStatus[ChainAwareStatus],
 ""
)</f>
        <v>BLOCKED</v>
      </c>
      <c r="F93" s="45" t="s">
        <v>186</v>
      </c>
      <c r="G93" s="45" t="b">
        <v>0</v>
      </c>
      <c r="H93" s="45" t="b">
        <f t="array" ref="H93">_xlfn.XLOOKUP(
 A93,
 tblTargetStatus[TargetID],
 tblTargetStatus[TargetFunded],
 ""
)</f>
        <v>0</v>
      </c>
      <c r="I93" s="45" t="str">
        <f t="array" ref="I93">IF(
 D93&lt;&gt;"BUILDING",
 "",
 IF(
  Player!$H$1="Active",
  _xlfn.XLOOKUP(
   A93,
   tblrecommended[ActiveTargetID],
   tblrecommended[Order],
   ""
  ),
  _xlfn.XLOOKUP(
   A93,
   tblrecommended[PassiveTargetID],
   tblrecommended[Order],
   ""
  )
 )
)</f>
        <v/>
      </c>
    </row>
    <row r="94" ht="25.5" hidden="1" customHeight="1">
      <c r="A94" s="26" t="s">
        <v>435</v>
      </c>
      <c r="B94" s="26" t="str">
        <f t="array" ref="B94">_xlfn.XLOOKUP(Checklist!$A94,tblTargets[TargetID],tblTargets[DisplayName])</f>
        <v>Train: Passenger Carriage Lv 1</v>
      </c>
      <c r="C94" s="21" t="str">
        <f t="array" ref="C94">_xlfn.XLOOKUP(
 A94,
 tblTargetStatus[TargetID],
 tblTargetStatus[successors],
 ""
)</f>
        <v>Train: Passenger Carriage Lv 2, Journey Through Japan By Train Finished</v>
      </c>
      <c r="D94" s="26" t="str">
        <f t="array" ref="D94">_xlfn.XLOOKUP(
 A94,
 tblTargets[TargetID],
 tblTargets[TargetType],
 ""
)</f>
        <v>BUILDING</v>
      </c>
      <c r="E94" s="45" t="str">
        <f t="array" ref="E94">_xlfn.XLOOKUP(
 A94,
 tblTargetStatus[TargetID],
 tblTargetStatus[ChainAwareStatus],
 ""
)</f>
        <v>BLOCKED</v>
      </c>
      <c r="F94" s="45" t="s">
        <v>186</v>
      </c>
      <c r="G94" s="45" t="b">
        <v>0</v>
      </c>
      <c r="H94" s="45" t="b">
        <f t="array" ref="H94">_xlfn.XLOOKUP(
 A94,
 tblTargetStatus[TargetID],
 tblTargetStatus[TargetFunded],
 ""
)</f>
        <v>0</v>
      </c>
      <c r="I94" s="45" t="str">
        <f t="array" ref="I94">IF(
 D94&lt;&gt;"BUILDING",
 "",
 IF(
  Player!$H$1="Active",
  _xlfn.XLOOKUP(
   A94,
   tblrecommended[ActiveTargetID],
   tblrecommended[Order],
   ""
  ),
  _xlfn.XLOOKUP(
   A94,
   tblrecommended[PassiveTargetID],
   tblrecommended[Order],
   ""
  )
 )
)</f>
        <v/>
      </c>
    </row>
    <row r="95" ht="25.5" hidden="1" customHeight="1">
      <c r="A95" s="26" t="s">
        <v>438</v>
      </c>
      <c r="B95" s="26" t="str">
        <f t="array" ref="B95">_xlfn.XLOOKUP(Checklist!$A95,tblTargets[TargetID],tblTargets[DisplayName])</f>
        <v>Train: Passenger Carriage Lv 2</v>
      </c>
      <c r="C95" s="21" t="str">
        <f t="array" ref="C95">_xlfn.XLOOKUP(
 A95,
 tblTargetStatus[TargetID],
 tblTargetStatus[successors],
 ""
)</f>
        <v/>
      </c>
      <c r="D95" s="26" t="str">
        <f t="array" ref="D95">_xlfn.XLOOKUP(
 A95,
 tblTargets[TargetID],
 tblTargets[TargetType],
 ""
)</f>
        <v>BUILDING</v>
      </c>
      <c r="E95" s="45" t="str">
        <f t="array" ref="E95">_xlfn.XLOOKUP(
 A95,
 tblTargetStatus[TargetID],
 tblTargetStatus[ChainAwareStatus],
 ""
)</f>
        <v>BLOCKED</v>
      </c>
      <c r="F95" s="45" t="s">
        <v>186</v>
      </c>
      <c r="G95" s="45" t="b">
        <v>0</v>
      </c>
      <c r="H95" s="45" t="b">
        <f t="array" ref="H95">_xlfn.XLOOKUP(
 A95,
 tblTargetStatus[TargetID],
 tblTargetStatus[TargetFunded],
 ""
)</f>
        <v>0</v>
      </c>
      <c r="I95" s="45" t="str">
        <f t="array" ref="I95">IF(
 D95&lt;&gt;"BUILDING",
 "",
 IF(
  Player!$H$1="Active",
  _xlfn.XLOOKUP(
   A95,
   tblrecommended[ActiveTargetID],
   tblrecommended[Order],
   ""
  ),
  _xlfn.XLOOKUP(
   A95,
   tblrecommended[PassiveTargetID],
   tblrecommended[Order],
   ""
  )
 )
)</f>
        <v/>
      </c>
    </row>
    <row r="96" ht="25.5" hidden="1" customHeight="1">
      <c r="A96" s="26" t="s">
        <v>440</v>
      </c>
      <c r="B96" s="26" t="str">
        <f t="array" ref="B96">_xlfn.XLOOKUP(Checklist!$A96,tblTargets[TargetID],tblTargets[DisplayName])</f>
        <v>Warehouse Lv 1</v>
      </c>
      <c r="C96" s="21" t="str">
        <f t="array" ref="C96">_xlfn.XLOOKUP(
 A96,
 tblTargetStatus[TargetID],
 tblTargetStatus[successors],
 ""
)</f>
        <v>Pier Lv 1, Warehouse Lv 2, Shogun's Katana Chapter 2 Finished</v>
      </c>
      <c r="D96" s="26" t="str">
        <f t="array" ref="D96">_xlfn.XLOOKUP(
 A96,
 tblTargets[TargetID],
 tblTargets[TargetType],
 ""
)</f>
        <v>BUILDING</v>
      </c>
      <c r="E96" s="45" t="str">
        <f t="array" ref="E96">_xlfn.XLOOKUP(
 A96,
 tblTargetStatus[TargetID],
 tblTargetStatus[ChainAwareStatus],
 ""
)</f>
        <v>ONE AWAY</v>
      </c>
      <c r="F96" s="45">
        <v>2.0</v>
      </c>
      <c r="G96" s="45" t="b">
        <v>0</v>
      </c>
      <c r="H96" s="45" t="b">
        <f t="array" ref="H96">_xlfn.XLOOKUP(
 A96,
 tblTargetStatus[TargetID],
 tblTargetStatus[TargetFunded],
 ""
)</f>
        <v>0</v>
      </c>
      <c r="I96" s="45">
        <f t="array" ref="I96">IF(
 D96&lt;&gt;"BUILDING",
 "",
 IF(
  Player!$H$1="Active",
  _xlfn.XLOOKUP(
   A96,
   tblrecommended[ActiveTargetID],
   tblrecommended[Order],
   ""
  ),
  _xlfn.XLOOKUP(
   A96,
   tblrecommended[PassiveTargetID],
   tblrecommended[Order],
   ""
  )
 )
)</f>
        <v>2</v>
      </c>
    </row>
    <row r="97" ht="25.5" hidden="1" customHeight="1">
      <c r="A97" s="26" t="s">
        <v>442</v>
      </c>
      <c r="B97" s="26" t="str">
        <f t="array" ref="B97">_xlfn.XLOOKUP(Checklist!$A97,tblTargets[TargetID],tblTargets[DisplayName])</f>
        <v>Warehouse Lv 2</v>
      </c>
      <c r="C97" s="21" t="str">
        <f t="array" ref="C97">_xlfn.XLOOKUP(
 A97,
 tblTargetStatus[TargetID],
 tblTargetStatus[successors],
 ""
)</f>
        <v>Warehouse Lv 3</v>
      </c>
      <c r="D97" s="26" t="str">
        <f t="array" ref="D97">_xlfn.XLOOKUP(
 A97,
 tblTargets[TargetID],
 tblTargets[TargetType],
 ""
)</f>
        <v>BUILDING</v>
      </c>
      <c r="E97" s="45" t="str">
        <f t="array" ref="E97">_xlfn.XLOOKUP(
 A97,
 tblTargetStatus[TargetID],
 tblTargetStatus[ChainAwareStatus],
 ""
)</f>
        <v>BLOCKED</v>
      </c>
      <c r="F97" s="45">
        <v>94.0</v>
      </c>
      <c r="G97" s="45" t="b">
        <v>0</v>
      </c>
      <c r="H97" s="45" t="b">
        <f t="array" ref="H97">_xlfn.XLOOKUP(
 A97,
 tblTargetStatus[TargetID],
 tblTargetStatus[TargetFunded],
 ""
)</f>
        <v>0</v>
      </c>
      <c r="I97" s="45">
        <f t="array" ref="I97">IF(
 D97&lt;&gt;"BUILDING",
 "",
 IF(
  Player!$H$1="Active",
  _xlfn.XLOOKUP(
   A97,
   tblrecommended[ActiveTargetID],
   tblrecommended[Order],
   ""
  ),
  _xlfn.XLOOKUP(
   A97,
   tblrecommended[PassiveTargetID],
   tblrecommended[Order],
   ""
  )
 )
)</f>
        <v>94</v>
      </c>
    </row>
    <row r="98" ht="25.5" hidden="1" customHeight="1">
      <c r="A98" s="26" t="s">
        <v>445</v>
      </c>
      <c r="B98" s="26" t="str">
        <f t="array" ref="B98">_xlfn.XLOOKUP(Checklist!$A98,tblTargets[TargetID],tblTargets[DisplayName])</f>
        <v>Warehouse Lv 3</v>
      </c>
      <c r="C98" s="21" t="str">
        <f t="array" ref="C98">_xlfn.XLOOKUP(
 A98,
 tblTargetStatus[TargetID],
 tblTargetStatus[successors],
 ""
)</f>
        <v>Warehouse Lv 4</v>
      </c>
      <c r="D98" s="26" t="str">
        <f t="array" ref="D98">_xlfn.XLOOKUP(
 A98,
 tblTargets[TargetID],
 tblTargets[TargetType],
 ""
)</f>
        <v>BUILDING</v>
      </c>
      <c r="E98" s="45" t="str">
        <f t="array" ref="E98">_xlfn.XLOOKUP(
 A98,
 tblTargetStatus[TargetID],
 tblTargetStatus[ChainAwareStatus],
 ""
)</f>
        <v>BLOCKED</v>
      </c>
      <c r="F98" s="45">
        <v>95.0</v>
      </c>
      <c r="G98" s="45" t="b">
        <v>0</v>
      </c>
      <c r="H98" s="45" t="b">
        <f t="array" ref="H98">_xlfn.XLOOKUP(
 A98,
 tblTargetStatus[TargetID],
 tblTargetStatus[TargetFunded],
 ""
)</f>
        <v>0</v>
      </c>
      <c r="I98" s="45">
        <f t="array" ref="I98">IF(
 D98&lt;&gt;"BUILDING",
 "",
 IF(
  Player!$H$1="Active",
  _xlfn.XLOOKUP(
   A98,
   tblrecommended[ActiveTargetID],
   tblrecommended[Order],
   ""
  ),
  _xlfn.XLOOKUP(
   A98,
   tblrecommended[PassiveTargetID],
   tblrecommended[Order],
   ""
  )
 )
)</f>
        <v>95</v>
      </c>
    </row>
    <row r="99" ht="25.5" hidden="1" customHeight="1">
      <c r="A99" s="26" t="s">
        <v>447</v>
      </c>
      <c r="B99" s="26" t="str">
        <f t="array" ref="B99">_xlfn.XLOOKUP(Checklist!$A99,tblTargets[TargetID],tblTargets[DisplayName])</f>
        <v>Warehouse Lv 4</v>
      </c>
      <c r="C99" s="21" t="str">
        <f t="array" ref="C99">_xlfn.XLOOKUP(
 A99,
 tblTargetStatus[TargetID],
 tblTargetStatus[successors],
 ""
)</f>
        <v>Warehouse Lv 5</v>
      </c>
      <c r="D99" s="26" t="str">
        <f t="array" ref="D99">_xlfn.XLOOKUP(
 A99,
 tblTargets[TargetID],
 tblTargets[TargetType],
 ""
)</f>
        <v>BUILDING</v>
      </c>
      <c r="E99" s="45" t="str">
        <f t="array" ref="E99">_xlfn.XLOOKUP(
 A99,
 tblTargetStatus[TargetID],
 tblTargetStatus[ChainAwareStatus],
 ""
)</f>
        <v>BLOCKED</v>
      </c>
      <c r="F99" s="45">
        <v>96.0</v>
      </c>
      <c r="G99" s="45" t="b">
        <v>0</v>
      </c>
      <c r="H99" s="45" t="b">
        <f t="array" ref="H99">_xlfn.XLOOKUP(
 A99,
 tblTargetStatus[TargetID],
 tblTargetStatus[TargetFunded],
 ""
)</f>
        <v>0</v>
      </c>
      <c r="I99" s="45">
        <f t="array" ref="I99">IF(
 D99&lt;&gt;"BUILDING",
 "",
 IF(
  Player!$H$1="Active",
  _xlfn.XLOOKUP(
   A99,
   tblrecommended[ActiveTargetID],
   tblrecommended[Order],
   ""
  ),
  _xlfn.XLOOKUP(
   A99,
   tblrecommended[PassiveTargetID],
   tblrecommended[Order],
   ""
  )
 )
)</f>
        <v>96</v>
      </c>
    </row>
    <row r="100" ht="25.5" hidden="1" customHeight="1">
      <c r="A100" s="26" t="s">
        <v>449</v>
      </c>
      <c r="B100" s="26" t="str">
        <f t="array" ref="B100">_xlfn.XLOOKUP(Checklist!$A100,tblTargets[TargetID],tblTargets[DisplayName])</f>
        <v>Warehouse Lv 5</v>
      </c>
      <c r="C100" s="21" t="str">
        <f t="array" ref="C100">_xlfn.XLOOKUP(
 A100,
 tblTargetStatus[TargetID],
 tblTargetStatus[successors],
 ""
)</f>
        <v>Warehouse Lv 6</v>
      </c>
      <c r="D100" s="26" t="str">
        <f t="array" ref="D100">_xlfn.XLOOKUP(
 A100,
 tblTargets[TargetID],
 tblTargets[TargetType],
 ""
)</f>
        <v>BUILDING</v>
      </c>
      <c r="E100" s="45" t="str">
        <f t="array" ref="E100">_xlfn.XLOOKUP(
 A100,
 tblTargetStatus[TargetID],
 tblTargetStatus[ChainAwareStatus],
 ""
)</f>
        <v>BLOCKED</v>
      </c>
      <c r="F100" s="45">
        <v>97.0</v>
      </c>
      <c r="G100" s="45" t="b">
        <v>0</v>
      </c>
      <c r="H100" s="45" t="b">
        <f t="array" ref="H100">_xlfn.XLOOKUP(
 A100,
 tblTargetStatus[TargetID],
 tblTargetStatus[TargetFunded],
 ""
)</f>
        <v>0</v>
      </c>
      <c r="I100" s="45">
        <f t="array" ref="I100">IF(
 D100&lt;&gt;"BUILDING",
 "",
 IF(
  Player!$H$1="Active",
  _xlfn.XLOOKUP(
   A100,
   tblrecommended[ActiveTargetID],
   tblrecommended[Order],
   ""
  ),
  _xlfn.XLOOKUP(
   A100,
   tblrecommended[PassiveTargetID],
   tblrecommended[Order],
   ""
  )
 )
)</f>
        <v>97</v>
      </c>
    </row>
    <row r="101" ht="25.5" hidden="1" customHeight="1">
      <c r="A101" s="26" t="s">
        <v>451</v>
      </c>
      <c r="B101" s="26" t="str">
        <f t="array" ref="B101">_xlfn.XLOOKUP(Checklist!$A101,tblTargets[TargetID],tblTargets[DisplayName])</f>
        <v>Warehouse Lv 6</v>
      </c>
      <c r="C101" s="21" t="str">
        <f t="array" ref="C101">_xlfn.XLOOKUP(
 A101,
 tblTargetStatus[TargetID],
 tblTargetStatus[successors],
 ""
)</f>
        <v>Warehouse Lv 7</v>
      </c>
      <c r="D101" s="26" t="str">
        <f t="array" ref="D101">_xlfn.XLOOKUP(
 A101,
 tblTargets[TargetID],
 tblTargets[TargetType],
 ""
)</f>
        <v>BUILDING</v>
      </c>
      <c r="E101" s="45" t="str">
        <f t="array" ref="E101">_xlfn.XLOOKUP(
 A101,
 tblTargetStatus[TargetID],
 tblTargetStatus[ChainAwareStatus],
 ""
)</f>
        <v>BLOCKED</v>
      </c>
      <c r="F101" s="45">
        <v>98.0</v>
      </c>
      <c r="G101" s="45" t="b">
        <v>0</v>
      </c>
      <c r="H101" s="45" t="b">
        <f t="array" ref="H101">_xlfn.XLOOKUP(
 A101,
 tblTargetStatus[TargetID],
 tblTargetStatus[TargetFunded],
 ""
)</f>
        <v>0</v>
      </c>
      <c r="I101" s="45">
        <f t="array" ref="I101">IF(
 D101&lt;&gt;"BUILDING",
 "",
 IF(
  Player!$H$1="Active",
  _xlfn.XLOOKUP(
   A101,
   tblrecommended[ActiveTargetID],
   tblrecommended[Order],
   ""
  ),
  _xlfn.XLOOKUP(
   A101,
   tblrecommended[PassiveTargetID],
   tblrecommended[Order],
   ""
  )
 )
)</f>
        <v>98</v>
      </c>
    </row>
    <row r="102" ht="25.5" hidden="1" customHeight="1">
      <c r="A102" s="26" t="s">
        <v>453</v>
      </c>
      <c r="B102" s="26" t="str">
        <f t="array" ref="B102">_xlfn.XLOOKUP(Checklist!$A102,tblTargets[TargetID],tblTargets[DisplayName])</f>
        <v>Warehouse Lv 7</v>
      </c>
      <c r="C102" s="21" t="str">
        <f t="array" ref="C102">_xlfn.XLOOKUP(
 A102,
 tblTargetStatus[TargetID],
 tblTargetStatus[successors],
 ""
)</f>
        <v>warehouse maxed</v>
      </c>
      <c r="D102" s="26" t="str">
        <f t="array" ref="D102">_xlfn.XLOOKUP(
 A102,
 tblTargets[TargetID],
 tblTargets[TargetType],
 ""
)</f>
        <v>BUILDING</v>
      </c>
      <c r="E102" s="45" t="str">
        <f t="array" ref="E102">_xlfn.XLOOKUP(
 A102,
 tblTargetStatus[TargetID],
 tblTargetStatus[ChainAwareStatus],
 ""
)</f>
        <v>BLOCKED</v>
      </c>
      <c r="F102" s="45">
        <v>99.0</v>
      </c>
      <c r="G102" s="45" t="b">
        <v>0</v>
      </c>
      <c r="H102" s="45" t="b">
        <f t="array" ref="H102">_xlfn.XLOOKUP(
 A102,
 tblTargetStatus[TargetID],
 tblTargetStatus[TargetFunded],
 ""
)</f>
        <v>0</v>
      </c>
      <c r="I102" s="45">
        <f t="array" ref="I102">IF(
 D102&lt;&gt;"BUILDING",
 "",
 IF(
  Player!$H$1="Active",
  _xlfn.XLOOKUP(
   A102,
   tblrecommended[ActiveTargetID],
   tblrecommended[Order],
   ""
  ),
  _xlfn.XLOOKUP(
   A102,
   tblrecommended[PassiveTargetID],
   tblrecommended[Order],
   ""
  )
 )
)</f>
        <v>99</v>
      </c>
    </row>
    <row r="103" ht="25.5" hidden="1" customHeight="1">
      <c r="A103" s="26" t="s">
        <v>455</v>
      </c>
      <c r="B103" s="26" t="str">
        <f t="array" ref="B103">_xlfn.XLOOKUP(Checklist!$A103,tblTargets[TargetID],tblTargets[DisplayName])</f>
        <v>Windmill Lv 1</v>
      </c>
      <c r="C103" s="21" t="str">
        <f t="array" ref="C103">_xlfn.XLOOKUP(
 A103,
 tblTargetStatus[TargetID],
 tblTargetStatus[successors],
 ""
)</f>
        <v>Windmill Lv 2</v>
      </c>
      <c r="D103" s="26" t="str">
        <f t="array" ref="D103">_xlfn.XLOOKUP(
 A103,
 tblTargets[TargetID],
 tblTargets[TargetType],
 ""
)</f>
        <v>BUILDING</v>
      </c>
      <c r="E103" s="45" t="str">
        <f t="array" ref="E103">_xlfn.XLOOKUP(
 A103,
 tblTargetStatus[TargetID],
 tblTargetStatus[ChainAwareStatus],
 ""
)</f>
        <v>ONE AWAY</v>
      </c>
      <c r="F103" s="45">
        <v>9.0</v>
      </c>
      <c r="G103" s="45" t="b">
        <v>0</v>
      </c>
      <c r="H103" s="45" t="b">
        <f t="array" ref="H103">_xlfn.XLOOKUP(
 A103,
 tblTargetStatus[TargetID],
 tblTargetStatus[TargetFunded],
 ""
)</f>
        <v>0</v>
      </c>
      <c r="I103" s="45">
        <f t="array" ref="I103">IF(
 D103&lt;&gt;"BUILDING",
 "",
 IF(
  Player!$H$1="Active",
  _xlfn.XLOOKUP(
   A103,
   tblrecommended[ActiveTargetID],
   tblrecommended[Order],
   ""
  ),
  _xlfn.XLOOKUP(
   A103,
   tblrecommended[PassiveTargetID],
   tblrecommended[Order],
   ""
  )
 )
)</f>
        <v>9</v>
      </c>
    </row>
    <row r="104" ht="25.5" hidden="1" customHeight="1">
      <c r="A104" s="26" t="s">
        <v>457</v>
      </c>
      <c r="B104" s="26" t="str">
        <f t="array" ref="B104">_xlfn.XLOOKUP(Checklist!$A104,tblTargets[TargetID],tblTargets[DisplayName])</f>
        <v>Windmill Lv 2</v>
      </c>
      <c r="C104" s="21" t="str">
        <f t="array" ref="C104">_xlfn.XLOOKUP(
 A104,
 tblTargetStatus[TargetID],
 tblTargetStatus[successors],
 ""
)</f>
        <v>windmill maxed</v>
      </c>
      <c r="D104" s="26" t="str">
        <f t="array" ref="D104">_xlfn.XLOOKUP(
 A104,
 tblTargets[TargetID],
 tblTargets[TargetType],
 ""
)</f>
        <v>BUILDING</v>
      </c>
      <c r="E104" s="45" t="str">
        <f t="array" ref="E104">_xlfn.XLOOKUP(
 A104,
 tblTargetStatus[TargetID],
 tblTargetStatus[ChainAwareStatus],
 ""
)</f>
        <v>BLOCKED</v>
      </c>
      <c r="F104" s="45">
        <v>15.0</v>
      </c>
      <c r="G104" s="45" t="b">
        <v>0</v>
      </c>
      <c r="H104" s="45" t="b">
        <f t="array" ref="H104">_xlfn.XLOOKUP(
 A104,
 tblTargetStatus[TargetID],
 tblTargetStatus[TargetFunded],
 ""
)</f>
        <v>0</v>
      </c>
      <c r="I104" s="45">
        <f t="array" ref="I104">IF(
 D104&lt;&gt;"BUILDING",
 "",
 IF(
  Player!$H$1="Active",
  _xlfn.XLOOKUP(
   A104,
   tblrecommended[ActiveTargetID],
   tblrecommended[Order],
   ""
  ),
  _xlfn.XLOOKUP(
   A104,
   tblrecommended[PassiveTargetID],
   tblrecommended[Order],
   ""
  )
 )
)</f>
        <v>15</v>
      </c>
    </row>
    <row r="105" ht="25.5" hidden="1" customHeight="1">
      <c r="A105" s="26" t="s">
        <v>460</v>
      </c>
      <c r="B105" s="26" t="str">
        <f t="array" ref="B105">_xlfn.XLOOKUP(Checklist!$A105,tblTargets[TargetID],tblTargets[DisplayName])</f>
        <v>Workshop Lv 1</v>
      </c>
      <c r="C105" s="21" t="str">
        <f t="array" ref="C105">_xlfn.XLOOKUP(
 A105,
 tblTargetStatus[TargetID],
 tblTargetStatus[successors],
 ""
)</f>
        <v>Workshop Lv 2</v>
      </c>
      <c r="D105" s="26" t="str">
        <f t="array" ref="D105">_xlfn.XLOOKUP(
 A105,
 tblTargets[TargetID],
 tblTargets[TargetType],
 ""
)</f>
        <v>BUILDING</v>
      </c>
      <c r="E105" s="45" t="str">
        <f t="array" ref="E105">_xlfn.XLOOKUP(
 A105,
 tblTargetStatus[TargetID],
 tblTargetStatus[ChainAwareStatus],
 ""
)</f>
        <v>ONE AWAY</v>
      </c>
      <c r="F105" s="45">
        <v>30.0</v>
      </c>
      <c r="G105" s="45" t="b">
        <v>0</v>
      </c>
      <c r="H105" s="45" t="b">
        <f t="array" ref="H105">_xlfn.XLOOKUP(
 A105,
 tblTargetStatus[TargetID],
 tblTargetStatus[TargetFunded],
 ""
)</f>
        <v>0</v>
      </c>
      <c r="I105" s="45">
        <f t="array" ref="I105">IF(
 D105&lt;&gt;"BUILDING",
 "",
 IF(
  Player!$H$1="Active",
  _xlfn.XLOOKUP(
   A105,
   tblrecommended[ActiveTargetID],
   tblrecommended[Order],
   ""
  ),
  _xlfn.XLOOKUP(
   A105,
   tblrecommended[PassiveTargetID],
   tblrecommended[Order],
   ""
  )
 )
)</f>
        <v>30</v>
      </c>
    </row>
    <row r="106" ht="25.5" hidden="1" customHeight="1">
      <c r="A106" s="26" t="s">
        <v>463</v>
      </c>
      <c r="B106" s="26" t="str">
        <f t="array" ref="B106">_xlfn.XLOOKUP(Checklist!$A106,tblTargets[TargetID],tblTargets[DisplayName])</f>
        <v>Workshop Lv 2</v>
      </c>
      <c r="C106" s="21" t="str">
        <f t="array" ref="C106">_xlfn.XLOOKUP(
 A106,
 tblTargetStatus[TargetID],
 tblTargetStatus[successors],
 ""
)</f>
        <v>Workshop Lv 3</v>
      </c>
      <c r="D106" s="26" t="str">
        <f t="array" ref="D106">_xlfn.XLOOKUP(
 A106,
 tblTargets[TargetID],
 tblTargets[TargetType],
 ""
)</f>
        <v>BUILDING</v>
      </c>
      <c r="E106" s="45" t="str">
        <f t="array" ref="E106">_xlfn.XLOOKUP(
 A106,
 tblTargetStatus[TargetID],
 tblTargetStatus[ChainAwareStatus],
 ""
)</f>
        <v>BLOCKED</v>
      </c>
      <c r="F106" s="45">
        <v>31.0</v>
      </c>
      <c r="G106" s="45" t="b">
        <v>0</v>
      </c>
      <c r="H106" s="45" t="b">
        <f t="array" ref="H106">_xlfn.XLOOKUP(
 A106,
 tblTargetStatus[TargetID],
 tblTargetStatus[TargetFunded],
 ""
)</f>
        <v>0</v>
      </c>
      <c r="I106" s="45">
        <f t="array" ref="I106">IF(
 D106&lt;&gt;"BUILDING",
 "",
 IF(
  Player!$H$1="Active",
  _xlfn.XLOOKUP(
   A106,
   tblrecommended[ActiveTargetID],
   tblrecommended[Order],
   ""
  ),
  _xlfn.XLOOKUP(
   A106,
   tblrecommended[PassiveTargetID],
   tblrecommended[Order],
   ""
  )
 )
)</f>
        <v>31</v>
      </c>
    </row>
    <row r="107" ht="25.5" hidden="1" customHeight="1">
      <c r="A107" s="26" t="s">
        <v>473</v>
      </c>
      <c r="B107" s="26" t="str">
        <f t="array" ref="B107">_xlfn.XLOOKUP(Checklist!$A107,tblTargets[TargetID],tblTargets[DisplayName])</f>
        <v>Workshop Lv 3</v>
      </c>
      <c r="C107" s="21" t="str">
        <f t="array" ref="C107">_xlfn.XLOOKUP(
 A107,
 tblTargetStatus[TargetID],
 tblTargetStatus[successors],
 ""
)</f>
        <v>Workshop Lv 4</v>
      </c>
      <c r="D107" s="26" t="str">
        <f t="array" ref="D107">_xlfn.XLOOKUP(
 A107,
 tblTargets[TargetID],
 tblTargets[TargetType],
 ""
)</f>
        <v>BUILDING</v>
      </c>
      <c r="E107" s="45" t="str">
        <f t="array" ref="E107">_xlfn.XLOOKUP(
 A107,
 tblTargetStatus[TargetID],
 tblTargetStatus[ChainAwareStatus],
 ""
)</f>
        <v>BLOCKED</v>
      </c>
      <c r="F107" s="45">
        <v>32.0</v>
      </c>
      <c r="G107" s="45" t="b">
        <v>0</v>
      </c>
      <c r="H107" s="45" t="b">
        <f t="array" ref="H107">_xlfn.XLOOKUP(
 A107,
 tblTargetStatus[TargetID],
 tblTargetStatus[TargetFunded],
 ""
)</f>
        <v>0</v>
      </c>
      <c r="I107" s="45">
        <f t="array" ref="I107">IF(
 D107&lt;&gt;"BUILDING",
 "",
 IF(
  Player!$H$1="Active",
  _xlfn.XLOOKUP(
   A107,
   tblrecommended[ActiveTargetID],
   tblrecommended[Order],
   ""
  ),
  _xlfn.XLOOKUP(
   A107,
   tblrecommended[PassiveTargetID],
   tblrecommended[Order],
   ""
  )
 )
)</f>
        <v>32</v>
      </c>
    </row>
    <row r="108" ht="25.5" hidden="1" customHeight="1">
      <c r="A108" s="26" t="s">
        <v>475</v>
      </c>
      <c r="B108" s="26" t="str">
        <f t="array" ref="B108">_xlfn.XLOOKUP(Checklist!$A108,tblTargets[TargetID],tblTargets[DisplayName])</f>
        <v>Workshop Lv 4</v>
      </c>
      <c r="C108" s="21" t="str">
        <f t="array" ref="C108">_xlfn.XLOOKUP(
 A108,
 tblTargetStatus[TargetID],
 tblTargetStatus[successors],
 ""
)</f>
        <v>Workshop Lv 5</v>
      </c>
      <c r="D108" s="26" t="str">
        <f t="array" ref="D108">_xlfn.XLOOKUP(
 A108,
 tblTargets[TargetID],
 tblTargets[TargetType],
 ""
)</f>
        <v>BUILDING</v>
      </c>
      <c r="E108" s="45" t="str">
        <f t="array" ref="E108">_xlfn.XLOOKUP(
 A108,
 tblTargetStatus[TargetID],
 tblTargetStatus[ChainAwareStatus],
 ""
)</f>
        <v>BLOCKED</v>
      </c>
      <c r="F108" s="45">
        <v>33.0</v>
      </c>
      <c r="G108" s="45" t="b">
        <v>0</v>
      </c>
      <c r="H108" s="45" t="b">
        <f t="array" ref="H108">_xlfn.XLOOKUP(
 A108,
 tblTargetStatus[TargetID],
 tblTargetStatus[TargetFunded],
 ""
)</f>
        <v>0</v>
      </c>
      <c r="I108" s="45">
        <f t="array" ref="I108">IF(
 D108&lt;&gt;"BUILDING",
 "",
 IF(
  Player!$H$1="Active",
  _xlfn.XLOOKUP(
   A108,
   tblrecommended[ActiveTargetID],
   tblrecommended[Order],
   ""
  ),
  _xlfn.XLOOKUP(
   A108,
   tblrecommended[PassiveTargetID],
   tblrecommended[Order],
   ""
  )
 )
)</f>
        <v>33</v>
      </c>
    </row>
    <row r="109" ht="25.5" hidden="1" customHeight="1">
      <c r="A109" s="26" t="s">
        <v>478</v>
      </c>
      <c r="B109" s="26" t="str">
        <f t="array" ref="B109">_xlfn.XLOOKUP(Checklist!$A109,tblTargets[TargetID],tblTargets[DisplayName])</f>
        <v>Workshop Lv 5</v>
      </c>
      <c r="C109" s="21" t="str">
        <f t="array" ref="C109">_xlfn.XLOOKUP(
 A109,
 tblTargetStatus[TargetID],
 tblTargetStatus[successors],
 ""
)</f>
        <v>workshop maxed, Barometer, Cinema Projector, Necklace For Haruka, Safe, Solver 1 Prototype, Telescope</v>
      </c>
      <c r="D109" s="26" t="str">
        <f t="array" ref="D109">_xlfn.XLOOKUP(
 A109,
 tblTargets[TargetID],
 tblTargets[TargetType],
 ""
)</f>
        <v>BUILDING</v>
      </c>
      <c r="E109" s="45" t="str">
        <f t="array" ref="E109">_xlfn.XLOOKUP(
 A109,
 tblTargetStatus[TargetID],
 tblTargetStatus[ChainAwareStatus],
 ""
)</f>
        <v>BLOCKED</v>
      </c>
      <c r="F109" s="45">
        <v>34.0</v>
      </c>
      <c r="G109" s="45" t="b">
        <v>0</v>
      </c>
      <c r="H109" s="45" t="b">
        <f t="array" ref="H109">_xlfn.XLOOKUP(
 A109,
 tblTargetStatus[TargetID],
 tblTargetStatus[TargetFunded],
 ""
)</f>
        <v>0</v>
      </c>
      <c r="I109" s="45">
        <f t="array" ref="I109">IF(
 D109&lt;&gt;"BUILDING",
 "",
 IF(
  Player!$H$1="Active",
  _xlfn.XLOOKUP(
   A109,
   tblrecommended[ActiveTargetID],
   tblrecommended[Order],
   ""
  ),
  _xlfn.XLOOKUP(
   A109,
   tblrecommended[PassiveTargetID],
   tblrecommended[Order],
   ""
  )
 )
)</f>
        <v>34</v>
      </c>
    </row>
    <row r="110" ht="25.5" hidden="1" customHeight="1">
      <c r="A110" s="26" t="s">
        <v>480</v>
      </c>
      <c r="B110" s="26" t="str">
        <f t="array" ref="B110">_xlfn.XLOOKUP(Checklist!$A110,tblTargets[TargetID],tblTargets[DisplayName])</f>
        <v>Armory</v>
      </c>
      <c r="C110" s="21" t="str">
        <f t="array" ref="C110">_xlfn.XLOOKUP(
 A110,
 tblTargetStatus[TargetID],
 tblTargetStatus[successors],
 ""
)</f>
        <v>Armory 1 Lv 1</v>
      </c>
      <c r="D110" s="26" t="str">
        <f t="array" ref="D110">_xlfn.XLOOKUP(
 A110,
 tblTargets[TargetID],
 tblTargets[TargetType],
 ""
)</f>
        <v>CITADEL</v>
      </c>
      <c r="E110" s="45" t="str">
        <f t="array" ref="E110">_xlfn.XLOOKUP(
 A110,
 tblTargetStatus[TargetID],
 tblTargetStatus[ChainAwareStatus],
 ""
)</f>
        <v>BLOCKED</v>
      </c>
      <c r="F110" s="45"/>
      <c r="G110" s="45" t="b">
        <v>0</v>
      </c>
      <c r="H110" s="45" t="b">
        <f t="array" ref="H110">_xlfn.XLOOKUP(
 A110,
 tblTargetStatus[TargetID],
 tblTargetStatus[TargetFunded],
 ""
)</f>
        <v>0</v>
      </c>
      <c r="I110" s="45" t="str">
        <f t="array" ref="I110">IF(
 D110&lt;&gt;"BUILDING",
 "",
 IF(
  Player!$H$1="Active",
  _xlfn.XLOOKUP(
   A110,
   tblrecommended[ActiveTargetID],
   tblrecommended[Order],
   ""
  ),
  _xlfn.XLOOKUP(
   A110,
   tblrecommended[PassiveTargetID],
   tblrecommended[Order],
   ""
  )
 )
)</f>
        <v/>
      </c>
    </row>
    <row r="111" ht="25.5" hidden="1" customHeight="1">
      <c r="A111" s="26" t="s">
        <v>482</v>
      </c>
      <c r="B111" s="26" t="str">
        <f t="array" ref="B111">_xlfn.XLOOKUP(Checklist!$A111,tblTargets[TargetID],tblTargets[DisplayName])</f>
        <v>Attic</v>
      </c>
      <c r="C111" s="21" t="str">
        <f t="array" ref="C111">_xlfn.XLOOKUP(
 A111,
 tblTargetStatus[TargetID],
 tblTargetStatus[successors],
 ""
)</f>
        <v>Attic Lv 1</v>
      </c>
      <c r="D111" s="26" t="str">
        <f t="array" ref="D111">_xlfn.XLOOKUP(
 A111,
 tblTargets[TargetID],
 tblTargets[TargetType],
 ""
)</f>
        <v>CITADEL</v>
      </c>
      <c r="E111" s="45" t="str">
        <f t="array" ref="E111">_xlfn.XLOOKUP(
 A111,
 tblTargetStatus[TargetID],
 tblTargetStatus[ChainAwareStatus],
 ""
)</f>
        <v>BLOCKED</v>
      </c>
      <c r="F111" s="45"/>
      <c r="G111" s="45" t="b">
        <v>0</v>
      </c>
      <c r="H111" s="45" t="b">
        <f t="array" ref="H111">_xlfn.XLOOKUP(
 A111,
 tblTargetStatus[TargetID],
 tblTargetStatus[TargetFunded],
 ""
)</f>
        <v>0</v>
      </c>
      <c r="I111" s="45" t="str">
        <f t="array" ref="I111">IF(
 D111&lt;&gt;"BUILDING",
 "",
 IF(
  Player!$H$1="Active",
  _xlfn.XLOOKUP(
   A111,
   tblrecommended[ActiveTargetID],
   tblrecommended[Order],
   ""
  ),
  _xlfn.XLOOKUP(
   A111,
   tblrecommended[PassiveTargetID],
   tblrecommended[Order],
   ""
  )
 )
)</f>
        <v/>
      </c>
    </row>
    <row r="112" ht="25.5" hidden="1" customHeight="1">
      <c r="A112" s="26" t="s">
        <v>498</v>
      </c>
      <c r="B112" s="26" t="str">
        <f t="array" ref="B112">_xlfn.XLOOKUP(Checklist!$A112,tblTargets[TargetID],tblTargets[DisplayName])</f>
        <v>Cheese Cave</v>
      </c>
      <c r="C112" s="21" t="str">
        <f t="array" ref="C112">_xlfn.XLOOKUP(
 A112,
 tblTargetStatus[TargetID],
 tblTargetStatus[successors],
 ""
)</f>
        <v/>
      </c>
      <c r="D112" s="26" t="str">
        <f t="array" ref="D112">_xlfn.XLOOKUP(
 A112,
 tblTargets[TargetID],
 tblTargets[TargetType],
 ""
)</f>
        <v>CITADEL</v>
      </c>
      <c r="E112" s="45" t="str">
        <f t="array" ref="E112">_xlfn.XLOOKUP(
 A112,
 tblTargetStatus[TargetID],
 tblTargetStatus[ChainAwareStatus],
 ""
)</f>
        <v>BLOCKED</v>
      </c>
      <c r="F112" s="45"/>
      <c r="G112" s="45" t="b">
        <v>0</v>
      </c>
      <c r="H112" s="45" t="b">
        <f t="array" ref="H112">_xlfn.XLOOKUP(
 A112,
 tblTargetStatus[TargetID],
 tblTargetStatus[TargetFunded],
 ""
)</f>
        <v>0</v>
      </c>
      <c r="I112" s="45" t="str">
        <f t="array" ref="I112">IF(
 D112&lt;&gt;"BUILDING",
 "",
 IF(
  Player!$H$1="Active",
  _xlfn.XLOOKUP(
   A112,
   tblrecommended[ActiveTargetID],
   tblrecommended[Order],
   ""
  ),
  _xlfn.XLOOKUP(
   A112,
   tblrecommended[PassiveTargetID],
   tblrecommended[Order],
   ""
  )
 )
)</f>
        <v/>
      </c>
    </row>
    <row r="113" ht="25.5" hidden="1" customHeight="1">
      <c r="A113" s="26" t="s">
        <v>500</v>
      </c>
      <c r="B113" s="26" t="str">
        <f t="array" ref="B113">_xlfn.XLOOKUP(Checklist!$A113,tblTargets[TargetID],tblTargets[DisplayName])</f>
        <v>Courtyard</v>
      </c>
      <c r="C113" s="21" t="str">
        <f t="array" ref="C113">_xlfn.XLOOKUP(
 A113,
 tblTargetStatus[TargetID],
 tblTargetStatus[successors],
 ""
)</f>
        <v>Courtyard 1 Lv 1, Courtyard 2 Lv 1</v>
      </c>
      <c r="D113" s="26" t="str">
        <f t="array" ref="D113">_xlfn.XLOOKUP(
 A113,
 tblTargets[TargetID],
 tblTargets[TargetType],
 ""
)</f>
        <v>CITADEL</v>
      </c>
      <c r="E113" s="45" t="str">
        <f t="array" ref="E113">_xlfn.XLOOKUP(
 A113,
 tblTargetStatus[TargetID],
 tblTargetStatus[ChainAwareStatus],
 ""
)</f>
        <v>BLOCKED</v>
      </c>
      <c r="F113" s="45"/>
      <c r="G113" s="45" t="b">
        <v>0</v>
      </c>
      <c r="H113" s="45" t="b">
        <f t="array" ref="H113">_xlfn.XLOOKUP(
 A113,
 tblTargetStatus[TargetID],
 tblTargetStatus[TargetFunded],
 ""
)</f>
        <v>0</v>
      </c>
      <c r="I113" s="45" t="str">
        <f t="array" ref="I113">IF(
 D113&lt;&gt;"BUILDING",
 "",
 IF(
  Player!$H$1="Active",
  _xlfn.XLOOKUP(
   A113,
   tblrecommended[ActiveTargetID],
   tblrecommended[Order],
   ""
  ),
  _xlfn.XLOOKUP(
   A113,
   tblrecommended[PassiveTargetID],
   tblrecommended[Order],
   ""
  )
 )
)</f>
        <v/>
      </c>
    </row>
    <row r="114" ht="25.5" hidden="1" customHeight="1">
      <c r="A114" s="26" t="s">
        <v>502</v>
      </c>
      <c r="B114" s="26" t="str">
        <f t="array" ref="B114">_xlfn.XLOOKUP(Checklist!$A114,tblTargets[TargetID],tblTargets[DisplayName])</f>
        <v>Gallery</v>
      </c>
      <c r="C114" s="21" t="str">
        <f t="array" ref="C114">_xlfn.XLOOKUP(
 A114,
 tblTargetStatus[TargetID],
 tblTargetStatus[successors],
 ""
)</f>
        <v>Gallery 1 Lv 1, Gallery 2 Lv 1, Gallery 3 Lv 1</v>
      </c>
      <c r="D114" s="26" t="str">
        <f t="array" ref="D114">_xlfn.XLOOKUP(
 A114,
 tblTargets[TargetID],
 tblTargets[TargetType],
 ""
)</f>
        <v>CITADEL</v>
      </c>
      <c r="E114" s="45" t="str">
        <f t="array" ref="E114">_xlfn.XLOOKUP(
 A114,
 tblTargetStatus[TargetID],
 tblTargetStatus[ChainAwareStatus],
 ""
)</f>
        <v>BLOCKED</v>
      </c>
      <c r="F114" s="45"/>
      <c r="G114" s="45" t="b">
        <v>0</v>
      </c>
      <c r="H114" s="45" t="b">
        <f t="array" ref="H114">_xlfn.XLOOKUP(
 A114,
 tblTargetStatus[TargetID],
 tblTargetStatus[TargetFunded],
 ""
)</f>
        <v>0</v>
      </c>
      <c r="I114" s="45" t="str">
        <f t="array" ref="I114">IF(
 D114&lt;&gt;"BUILDING",
 "",
 IF(
  Player!$H$1="Active",
  _xlfn.XLOOKUP(
   A114,
   tblrecommended[ActiveTargetID],
   tblrecommended[Order],
   ""
  ),
  _xlfn.XLOOKUP(
   A114,
   tblrecommended[PassiveTargetID],
   tblrecommended[Order],
   ""
  )
 )
)</f>
        <v/>
      </c>
    </row>
    <row r="115" ht="25.5" hidden="1" customHeight="1">
      <c r="A115" s="26" t="s">
        <v>505</v>
      </c>
      <c r="B115" s="26" t="str">
        <f t="array" ref="B115">_xlfn.XLOOKUP(Checklist!$A115,tblTargets[TargetID],tblTargets[DisplayName])</f>
        <v>Great Hall</v>
      </c>
      <c r="C115" s="21" t="str">
        <f t="array" ref="C115">_xlfn.XLOOKUP(
 A115,
 tblTargetStatus[TargetID],
 tblTargetStatus[successors],
 ""
)</f>
        <v>Cheese Cave, Courtyard, Historical Library 1 Lv 1, Historical Library 2 Lv 1, Horse Lv 1, Statue Lv 1, Tame A Critter</v>
      </c>
      <c r="D115" s="26" t="str">
        <f t="array" ref="D115">_xlfn.XLOOKUP(
 A115,
 tblTargets[TargetID],
 tblTargets[TargetType],
 ""
)</f>
        <v>CITADEL</v>
      </c>
      <c r="E115" s="45" t="str">
        <f t="array" ref="E115">_xlfn.XLOOKUP(
 A115,
 tblTargetStatus[TargetID],
 tblTargetStatus[ChainAwareStatus],
 ""
)</f>
        <v>BLOCKED</v>
      </c>
      <c r="F115" s="45"/>
      <c r="G115" s="45" t="b">
        <v>0</v>
      </c>
      <c r="H115" s="45" t="b">
        <f t="array" ref="H115">_xlfn.XLOOKUP(
 A115,
 tblTargetStatus[TargetID],
 tblTargetStatus[TargetFunded],
 ""
)</f>
        <v>0</v>
      </c>
      <c r="I115" s="45" t="str">
        <f t="array" ref="I115">IF(
 D115&lt;&gt;"BUILDING",
 "",
 IF(
  Player!$H$1="Active",
  _xlfn.XLOOKUP(
   A115,
   tblrecommended[ActiveTargetID],
   tblrecommended[Order],
   ""
  ),
  _xlfn.XLOOKUP(
   A115,
   tblrecommended[PassiveTargetID],
   tblrecommended[Order],
   ""
  )
 )
)</f>
        <v/>
      </c>
    </row>
    <row r="116" ht="25.5" hidden="1" customHeight="1">
      <c r="A116" s="26" t="s">
        <v>509</v>
      </c>
      <c r="B116" s="26" t="str">
        <f t="array" ref="B116">_xlfn.XLOOKUP(Checklist!$A116,tblTargets[TargetID],tblTargets[DisplayName])</f>
        <v>Kitchen and Buttery</v>
      </c>
      <c r="C116" s="21" t="str">
        <f t="array" ref="C116">_xlfn.XLOOKUP(
 A116,
 tblTargetStatus[TargetID],
 tblTargetStatus[successors],
 ""
)</f>
        <v>Kitchen And Buttery 1 Lv 1, Kitchen And Buttery 2 Lv 1</v>
      </c>
      <c r="D116" s="26" t="str">
        <f t="array" ref="D116">_xlfn.XLOOKUP(
 A116,
 tblTargets[TargetID],
 tblTargets[TargetType],
 ""
)</f>
        <v>CITADEL</v>
      </c>
      <c r="E116" s="45" t="str">
        <f t="array" ref="E116">_xlfn.XLOOKUP(
 A116,
 tblTargetStatus[TargetID],
 tblTargetStatus[ChainAwareStatus],
 ""
)</f>
        <v>BLOCKED</v>
      </c>
      <c r="F116" s="45"/>
      <c r="G116" s="45" t="b">
        <v>0</v>
      </c>
      <c r="H116" s="45" t="b">
        <f t="array" ref="H116">_xlfn.XLOOKUP(
 A116,
 tblTargetStatus[TargetID],
 tblTargetStatus[TargetFunded],
 ""
)</f>
        <v>0</v>
      </c>
      <c r="I116" s="45" t="str">
        <f t="array" ref="I116">IF(
 D116&lt;&gt;"BUILDING",
 "",
 IF(
  Player!$H$1="Active",
  _xlfn.XLOOKUP(
   A116,
   tblrecommended[ActiveTargetID],
   tblrecommended[Order],
   ""
  ),
  _xlfn.XLOOKUP(
   A116,
   tblrecommended[PassiveTargetID],
   tblrecommended[Order],
   ""
  )
 )
)</f>
        <v/>
      </c>
    </row>
    <row r="117" ht="25.5" hidden="1" customHeight="1">
      <c r="A117" s="26" t="s">
        <v>511</v>
      </c>
      <c r="B117" s="26" t="str">
        <f t="array" ref="B117">_xlfn.XLOOKUP(Checklist!$A117,tblTargets[TargetID],tblTargets[DisplayName])</f>
        <v>Lair lvl. 1</v>
      </c>
      <c r="C117" s="21" t="str">
        <f t="array" ref="C117">_xlfn.XLOOKUP(
 A117,
 tblTargetStatus[TargetID],
 tblTargetStatus[successors],
 ""
)</f>
        <v>Lair lvl. 2</v>
      </c>
      <c r="D117" s="26" t="str">
        <f t="array" ref="D117">_xlfn.XLOOKUP(
 A117,
 tblTargets[TargetID],
 tblTargets[TargetType],
 ""
)</f>
        <v>CITADEL</v>
      </c>
      <c r="E117" s="45" t="str">
        <f t="array" ref="E117">_xlfn.XLOOKUP(
 A117,
 tblTargetStatus[TargetID],
 tblTargetStatus[ChainAwareStatus],
 ""
)</f>
        <v>BLOCKED</v>
      </c>
      <c r="F117" s="45">
        <v>50.0</v>
      </c>
      <c r="G117" s="45" t="b">
        <v>0</v>
      </c>
      <c r="H117" s="45" t="b">
        <f t="array" ref="H117">_xlfn.XLOOKUP(
 A117,
 tblTargetStatus[TargetID],
 tblTargetStatus[TargetFunded],
 ""
)</f>
        <v>0</v>
      </c>
      <c r="I117" s="45" t="str">
        <f t="array" ref="I117">IF(
 D117&lt;&gt;"BUILDING",
 "",
 IF(
  Player!$H$1="Active",
  _xlfn.XLOOKUP(
   A117,
   tblrecommended[ActiveTargetID],
   tblrecommended[Order],
   ""
  ),
  _xlfn.XLOOKUP(
   A117,
   tblrecommended[PassiveTargetID],
   tblrecommended[Order],
   ""
  )
 )
)</f>
        <v/>
      </c>
    </row>
    <row r="118" ht="25.5" hidden="1" customHeight="1">
      <c r="A118" s="26" t="s">
        <v>513</v>
      </c>
      <c r="B118" s="26" t="str">
        <f t="array" ref="B118">_xlfn.XLOOKUP(Checklist!$A118,tblTargets[TargetID],tblTargets[DisplayName])</f>
        <v>Lair lvl. 2</v>
      </c>
      <c r="C118" s="21" t="str">
        <f t="array" ref="C118">_xlfn.XLOOKUP(
 A118,
 tblTargetStatus[TargetID],
 tblTargetStatus[successors],
 ""
)</f>
        <v/>
      </c>
      <c r="D118" s="26" t="str">
        <f t="array" ref="D118">_xlfn.XLOOKUP(
 A118,
 tblTargets[TargetID],
 tblTargets[TargetType],
 ""
)</f>
        <v>CITADEL</v>
      </c>
      <c r="E118" s="45" t="str">
        <f t="array" ref="E118">_xlfn.XLOOKUP(
 A118,
 tblTargetStatus[TargetID],
 tblTargetStatus[ChainAwareStatus],
 ""
)</f>
        <v>BLOCKED</v>
      </c>
      <c r="F118" s="45"/>
      <c r="G118" s="45" t="b">
        <v>0</v>
      </c>
      <c r="H118" s="45" t="b">
        <f t="array" ref="H118">_xlfn.XLOOKUP(
 A118,
 tblTargetStatus[TargetID],
 tblTargetStatus[TargetFunded],
 ""
)</f>
        <v>0</v>
      </c>
      <c r="I118" s="45" t="str">
        <f t="array" ref="I118">IF(
 D118&lt;&gt;"BUILDING",
 "",
 IF(
  Player!$H$1="Active",
  _xlfn.XLOOKUP(
   A118,
   tblrecommended[ActiveTargetID],
   tblrecommended[Order],
   ""
  ),
  _xlfn.XLOOKUP(
   A118,
   tblrecommended[PassiveTargetID],
   tblrecommended[Order],
   ""
  )
 )
)</f>
        <v/>
      </c>
    </row>
    <row r="119" ht="25.5" hidden="1" customHeight="1">
      <c r="A119" s="26" t="s">
        <v>515</v>
      </c>
      <c r="B119" s="26" t="str">
        <f t="array" ref="B119">_xlfn.XLOOKUP(Checklist!$A119,tblTargets[TargetID],tblTargets[DisplayName])</f>
        <v>Mushroom Farm</v>
      </c>
      <c r="C119" s="21" t="str">
        <f t="array" ref="C119">_xlfn.XLOOKUP(
 A119,
 tblTargetStatus[TargetID],
 tblTargetStatus[successors],
 ""
)</f>
        <v>Mushroom Farm Lv 1</v>
      </c>
      <c r="D119" s="26" t="str">
        <f t="array" ref="D119">_xlfn.XLOOKUP(
 A119,
 tblTargets[TargetID],
 tblTargets[TargetType],
 ""
)</f>
        <v>CITADEL</v>
      </c>
      <c r="E119" s="45" t="str">
        <f t="array" ref="E119">_xlfn.XLOOKUP(
 A119,
 tblTargetStatus[TargetID],
 tblTargetStatus[ChainAwareStatus],
 ""
)</f>
        <v>BLOCKED</v>
      </c>
      <c r="F119" s="45"/>
      <c r="G119" s="45" t="b">
        <v>0</v>
      </c>
      <c r="H119" s="45" t="b">
        <f t="array" ref="H119">_xlfn.XLOOKUP(
 A119,
 tblTargetStatus[TargetID],
 tblTargetStatus[TargetFunded],
 ""
)</f>
        <v>0</v>
      </c>
      <c r="I119" s="45" t="str">
        <f t="array" ref="I119">IF(
 D119&lt;&gt;"BUILDING",
 "",
 IF(
  Player!$H$1="Active",
  _xlfn.XLOOKUP(
   A119,
   tblrecommended[ActiveTargetID],
   tblrecommended[Order],
   ""
  ),
  _xlfn.XLOOKUP(
   A119,
   tblrecommended[PassiveTargetID],
   tblrecommended[Order],
   ""
  )
 )
)</f>
        <v/>
      </c>
    </row>
    <row r="120" ht="25.5" hidden="1" customHeight="1">
      <c r="A120" s="26" t="s">
        <v>516</v>
      </c>
      <c r="B120" s="26" t="str">
        <f t="array" ref="B120">_xlfn.XLOOKUP(Checklist!$A120,tblTargets[TargetID],tblTargets[DisplayName])</f>
        <v>Orangery</v>
      </c>
      <c r="C120" s="21" t="str">
        <f t="array" ref="C120">_xlfn.XLOOKUP(
 A120,
 tblTargetStatus[TargetID],
 tblTargetStatus[successors],
 ""
)</f>
        <v>Orangery Lv 1</v>
      </c>
      <c r="D120" s="26" t="str">
        <f t="array" ref="D120">_xlfn.XLOOKUP(
 A120,
 tblTargets[TargetID],
 tblTargets[TargetType],
 ""
)</f>
        <v>CITADEL</v>
      </c>
      <c r="E120" s="45" t="str">
        <f t="array" ref="E120">_xlfn.XLOOKUP(
 A120,
 tblTargetStatus[TargetID],
 tblTargetStatus[ChainAwareStatus],
 ""
)</f>
        <v>BLOCKED</v>
      </c>
      <c r="F120" s="45"/>
      <c r="G120" s="45" t="b">
        <v>0</v>
      </c>
      <c r="H120" s="45" t="b">
        <f t="array" ref="H120">_xlfn.XLOOKUP(
 A120,
 tblTargetStatus[TargetID],
 tblTargetStatus[TargetFunded],
 ""
)</f>
        <v>0</v>
      </c>
      <c r="I120" s="45" t="str">
        <f t="array" ref="I120">IF(
 D120&lt;&gt;"BUILDING",
 "",
 IF(
  Player!$H$1="Active",
  _xlfn.XLOOKUP(
   A120,
   tblrecommended[ActiveTargetID],
   tblrecommended[Order],
   ""
  ),
  _xlfn.XLOOKUP(
   A120,
   tblrecommended[PassiveTargetID],
   tblrecommended[Order],
   ""
  )
 )
)</f>
        <v/>
      </c>
    </row>
    <row r="121" ht="25.5" hidden="1" customHeight="1">
      <c r="A121" s="26" t="s">
        <v>518</v>
      </c>
      <c r="B121" s="26" t="str">
        <f t="array" ref="B121">_xlfn.XLOOKUP(Checklist!$A121,tblTargets[TargetID],tblTargets[DisplayName])</f>
        <v>Pantry</v>
      </c>
      <c r="C121" s="21" t="str">
        <f t="array" ref="C121">_xlfn.XLOOKUP(
 A121,
 tblTargetStatus[TargetID],
 tblTargetStatus[successors],
 ""
)</f>
        <v>Pantry 1 Lv 1, Pantry 2 Lv 1, Pantry 3 Lv 1, Pantry 4 Lv 1</v>
      </c>
      <c r="D121" s="26" t="str">
        <f t="array" ref="D121">_xlfn.XLOOKUP(
 A121,
 tblTargets[TargetID],
 tblTargets[TargetType],
 ""
)</f>
        <v>CITADEL</v>
      </c>
      <c r="E121" s="45" t="str">
        <f t="array" ref="E121">_xlfn.XLOOKUP(
 A121,
 tblTargetStatus[TargetID],
 tblTargetStatus[ChainAwareStatus],
 ""
)</f>
        <v>BLOCKED</v>
      </c>
      <c r="F121" s="45"/>
      <c r="G121" s="45" t="b">
        <v>0</v>
      </c>
      <c r="H121" s="45" t="b">
        <f t="array" ref="H121">_xlfn.XLOOKUP(
 A121,
 tblTargetStatus[TargetID],
 tblTargetStatus[TargetFunded],
 ""
)</f>
        <v>0</v>
      </c>
      <c r="I121" s="45" t="str">
        <f t="array" ref="I121">IF(
 D121&lt;&gt;"BUILDING",
 "",
 IF(
  Player!$H$1="Active",
  _xlfn.XLOOKUP(
   A121,
   tblrecommended[ActiveTargetID],
   tblrecommended[Order],
   ""
  ),
  _xlfn.XLOOKUP(
   A121,
   tblrecommended[PassiveTargetID],
   tblrecommended[Order],
   ""
  )
 )
)</f>
        <v/>
      </c>
    </row>
    <row r="122" ht="25.5" hidden="1" customHeight="1">
      <c r="A122" s="26" t="s">
        <v>521</v>
      </c>
      <c r="B122" s="26" t="str">
        <f t="array" ref="B122">_xlfn.XLOOKUP(Checklist!$A122,tblTargets[TargetID],tblTargets[DisplayName])</f>
        <v>Tavern</v>
      </c>
      <c r="C122" s="21" t="str">
        <f t="array" ref="C122">_xlfn.XLOOKUP(
 A122,
 tblTargetStatus[TargetID],
 tblTargetStatus[successors],
 ""
)</f>
        <v>Tavern Lv 1</v>
      </c>
      <c r="D122" s="26" t="str">
        <f t="array" ref="D122">_xlfn.XLOOKUP(
 A122,
 tblTargets[TargetID],
 tblTargets[TargetType],
 ""
)</f>
        <v>CITADEL</v>
      </c>
      <c r="E122" s="45" t="str">
        <f t="array" ref="E122">_xlfn.XLOOKUP(
 A122,
 tblTargetStatus[TargetID],
 tblTargetStatus[ChainAwareStatus],
 ""
)</f>
        <v>BLOCKED</v>
      </c>
      <c r="F122" s="45"/>
      <c r="G122" s="45" t="b">
        <v>0</v>
      </c>
      <c r="H122" s="45" t="b">
        <f t="array" ref="H122">_xlfn.XLOOKUP(
 A122,
 tblTargetStatus[TargetID],
 tblTargetStatus[TargetFunded],
 ""
)</f>
        <v>0</v>
      </c>
      <c r="I122" s="45" t="str">
        <f t="array" ref="I122">IF(
 D122&lt;&gt;"BUILDING",
 "",
 IF(
  Player!$H$1="Active",
  _xlfn.XLOOKUP(
   A122,
   tblrecommended[ActiveTargetID],
   tblrecommended[Order],
   ""
  ),
  _xlfn.XLOOKUP(
   A122,
   tblrecommended[PassiveTargetID],
   tblrecommended[Order],
   ""
  )
 )
)</f>
        <v/>
      </c>
    </row>
    <row r="123" ht="25.5" hidden="1" customHeight="1">
      <c r="A123" s="26" t="s">
        <v>523</v>
      </c>
      <c r="B123" s="26" t="str">
        <f t="array" ref="B123">_xlfn.XLOOKUP(Checklist!$A123,tblTargets[TargetID],tblTargets[DisplayName])</f>
        <v>Treasury</v>
      </c>
      <c r="C123" s="21" t="str">
        <f t="array" ref="C123">_xlfn.XLOOKUP(
 A123,
 tblTargetStatus[TargetID],
 tblTargetStatus[successors],
 ""
)</f>
        <v>Treasury 1 Lv 1, Treasury 2 Lv 1, Treasury 3 Lv 1</v>
      </c>
      <c r="D123" s="26" t="str">
        <f t="array" ref="D123">_xlfn.XLOOKUP(
 A123,
 tblTargets[TargetID],
 tblTargets[TargetType],
 ""
)</f>
        <v>CITADEL</v>
      </c>
      <c r="E123" s="45" t="str">
        <f t="array" ref="E123">_xlfn.XLOOKUP(
 A123,
 tblTargetStatus[TargetID],
 tblTargetStatus[ChainAwareStatus],
 ""
)</f>
        <v>BLOCKED</v>
      </c>
      <c r="F123" s="45"/>
      <c r="G123" s="45" t="b">
        <v>0</v>
      </c>
      <c r="H123" s="45" t="b">
        <f t="array" ref="H123">_xlfn.XLOOKUP(
 A123,
 tblTargetStatus[TargetID],
 tblTargetStatus[TargetFunded],
 ""
)</f>
        <v>0</v>
      </c>
      <c r="I123" s="45" t="str">
        <f t="array" ref="I123">IF(
 D123&lt;&gt;"BUILDING",
 "",
 IF(
  Player!$H$1="Active",
  _xlfn.XLOOKUP(
   A123,
   tblrecommended[ActiveTargetID],
   tblrecommended[Order],
   ""
  ),
  _xlfn.XLOOKUP(
   A123,
   tblrecommended[PassiveTargetID],
   tblrecommended[Order],
   ""
  )
 )
)</f>
        <v/>
      </c>
    </row>
    <row r="124" ht="25.5" hidden="1" customHeight="1">
      <c r="A124" s="26" t="s">
        <v>525</v>
      </c>
      <c r="B124" s="26" t="str">
        <f t="array" ref="B124">_xlfn.XLOOKUP(Checklist!$A124,tblTargets[TargetID],tblTargets[DisplayName])</f>
        <v>Tunnel</v>
      </c>
      <c r="C124" s="21" t="str">
        <f t="array" ref="C124">_xlfn.XLOOKUP(
 A124,
 tblTargetStatus[TargetID],
 tblTargetStatus[successors],
 ""
)</f>
        <v>Send Train to Sapporo, Ahead of Time Chapter 2 Finished</v>
      </c>
      <c r="D124" s="26" t="str">
        <f t="array" ref="D124">_xlfn.XLOOKUP(
 A124,
 tblTargets[TargetID],
 tblTargets[TargetType],
 ""
)</f>
        <v>CITADEL</v>
      </c>
      <c r="E124" s="45" t="str">
        <f t="array" ref="E124">_xlfn.XLOOKUP(
 A124,
 tblTargetStatus[TargetID],
 tblTargetStatus[ChainAwareStatus],
 ""
)</f>
        <v>BLOCKED</v>
      </c>
      <c r="F124" s="45"/>
      <c r="G124" s="45" t="b">
        <v>0</v>
      </c>
      <c r="H124" s="45" t="b">
        <f t="array" ref="H124">_xlfn.XLOOKUP(
 A124,
 tblTargetStatus[TargetID],
 tblTargetStatus[TargetFunded],
 ""
)</f>
        <v>0</v>
      </c>
      <c r="I124" s="45" t="str">
        <f t="array" ref="I124">IF(
 D124&lt;&gt;"BUILDING",
 "",
 IF(
  Player!$H$1="Active",
  _xlfn.XLOOKUP(
   A124,
   tblrecommended[ActiveTargetID],
   tblrecommended[Order],
   ""
  ),
  _xlfn.XLOOKUP(
   A124,
   tblrecommended[PassiveTargetID],
   tblrecommended[Order],
   ""
  )
 )
)</f>
        <v/>
      </c>
    </row>
    <row r="125" ht="25.5" hidden="1" customHeight="1">
      <c r="A125" s="26" t="s">
        <v>528</v>
      </c>
      <c r="B125" s="26" t="str">
        <f t="array" ref="B125">_xlfn.XLOOKUP(Checklist!$A125,tblTargets[TargetID],tblTargets[DisplayName])</f>
        <v>Alchemist Hall Lv 1</v>
      </c>
      <c r="C125" s="21" t="str">
        <f t="array" ref="C125">_xlfn.XLOOKUP(
 A125,
 tblTargetStatus[TargetID],
 tblTargetStatus[successors],
 ""
)</f>
        <v>Alchemist Hall Lv 2, Letter from the Dark Lady Finished</v>
      </c>
      <c r="D125" s="26" t="str">
        <f t="array" ref="D125">_xlfn.XLOOKUP(
 A125,
 tblTargets[TargetID],
 tblTargets[TargetType],
 ""
)</f>
        <v>COLLECTION</v>
      </c>
      <c r="E125" s="45" t="str">
        <f t="array" ref="E125">_xlfn.XLOOKUP(
 A125,
 tblTargetStatus[TargetID],
 tblTargetStatus[ChainAwareStatus],
 ""
)</f>
        <v>BLOCKED</v>
      </c>
      <c r="F125" s="45"/>
      <c r="G125" s="45" t="b">
        <v>0</v>
      </c>
      <c r="H125" s="45" t="b">
        <f t="array" ref="H125">_xlfn.XLOOKUP(
 A125,
 tblTargetStatus[TargetID],
 tblTargetStatus[TargetFunded],
 ""
)</f>
        <v>0</v>
      </c>
      <c r="I125" s="45" t="str">
        <f t="array" ref="I125">IF(
 D125&lt;&gt;"BUILDING",
 "",
 IF(
  Player!$H$1="Active",
  _xlfn.XLOOKUP(
   A125,
   tblrecommended[ActiveTargetID],
   tblrecommended[Order],
   ""
  ),
  _xlfn.XLOOKUP(
   A125,
   tblrecommended[PassiveTargetID],
   tblrecommended[Order],
   ""
  )
 )
)</f>
        <v/>
      </c>
    </row>
    <row r="126" ht="25.5" hidden="1" customHeight="1">
      <c r="A126" s="26" t="s">
        <v>532</v>
      </c>
      <c r="B126" s="26" t="str">
        <f t="array" ref="B126">_xlfn.XLOOKUP(Checklist!$A126,tblTargets[TargetID],tblTargets[DisplayName])</f>
        <v>Alchemist Hall Lv 2</v>
      </c>
      <c r="C126" s="21" t="str">
        <f t="array" ref="C126">_xlfn.XLOOKUP(
 A126,
 tblTargetStatus[TargetID],
 tblTargetStatus[successors],
 ""
)</f>
        <v/>
      </c>
      <c r="D126" s="26" t="str">
        <f t="array" ref="D126">_xlfn.XLOOKUP(
 A126,
 tblTargets[TargetID],
 tblTargets[TargetType],
 ""
)</f>
        <v>COLLECTION</v>
      </c>
      <c r="E126" s="45" t="str">
        <f t="array" ref="E126">_xlfn.XLOOKUP(
 A126,
 tblTargetStatus[TargetID],
 tblTargetStatus[ChainAwareStatus],
 ""
)</f>
        <v>BLOCKED</v>
      </c>
      <c r="F126" s="45"/>
      <c r="G126" s="45" t="b">
        <v>0</v>
      </c>
      <c r="H126" s="45" t="b">
        <f t="array" ref="H126">_xlfn.XLOOKUP(
 A126,
 tblTargetStatus[TargetID],
 tblTargetStatus[TargetFunded],
 ""
)</f>
        <v>0</v>
      </c>
      <c r="I126" s="45" t="str">
        <f t="array" ref="I126">IF(
 D126&lt;&gt;"BUILDING",
 "",
 IF(
  Player!$H$1="Active",
  _xlfn.XLOOKUP(
   A126,
   tblrecommended[ActiveTargetID],
   tblrecommended[Order],
   ""
  ),
  _xlfn.XLOOKUP(
   A126,
   tblrecommended[PassiveTargetID],
   tblrecommended[Order],
   ""
  )
 )
)</f>
        <v/>
      </c>
    </row>
    <row r="127" ht="25.5" hidden="1" customHeight="1">
      <c r="A127" s="26" t="s">
        <v>535</v>
      </c>
      <c r="B127" s="26" t="str">
        <f t="array" ref="B127">_xlfn.XLOOKUP(Checklist!$A127,tblTargets[TargetID],tblTargets[DisplayName])</f>
        <v>Alchemist Hall Lv 1</v>
      </c>
      <c r="C127" s="21" t="str">
        <f t="array" ref="C127">_xlfn.XLOOKUP(
 A127,
 tblTargetStatus[TargetID],
 tblTargetStatus[successors],
 ""
)</f>
        <v>Alchemist Hall Lv 2, Letter from the Dark Lady Finished</v>
      </c>
      <c r="D127" s="26" t="str">
        <f t="array" ref="D127">_xlfn.XLOOKUP(
 A127,
 tblTargets[TargetID],
 tblTargets[TargetType],
 ""
)</f>
        <v>COLLECTION</v>
      </c>
      <c r="E127" s="45" t="str">
        <f t="array" ref="E127">_xlfn.XLOOKUP(
 A127,
 tblTargetStatus[TargetID],
 tblTargetStatus[ChainAwareStatus],
 ""
)</f>
        <v>BLOCKED</v>
      </c>
      <c r="F127" s="45"/>
      <c r="G127" s="45" t="b">
        <v>0</v>
      </c>
      <c r="H127" s="45" t="b">
        <f t="array" ref="H127">_xlfn.XLOOKUP(
 A127,
 tblTargetStatus[TargetID],
 tblTargetStatus[TargetFunded],
 ""
)</f>
        <v>0</v>
      </c>
      <c r="I127" s="45" t="str">
        <f t="array" ref="I127">IF(
 D127&lt;&gt;"BUILDING",
 "",
 IF(
  Player!$H$1="Active",
  _xlfn.XLOOKUP(
   A127,
   tblrecommended[ActiveTargetID],
   tblrecommended[Order],
   ""
  ),
  _xlfn.XLOOKUP(
   A127,
   tblrecommended[PassiveTargetID],
   tblrecommended[Order],
   ""
  )
 )
)</f>
        <v/>
      </c>
    </row>
    <row r="128" ht="25.5" hidden="1" customHeight="1">
      <c r="A128" s="26" t="s">
        <v>537</v>
      </c>
      <c r="B128" s="26" t="str">
        <f t="array" ref="B128">_xlfn.XLOOKUP(Checklist!$A128,tblTargets[TargetID],tblTargets[DisplayName])</f>
        <v>Alchemist Hall Lv 2</v>
      </c>
      <c r="C128" s="21" t="str">
        <f t="array" ref="C128">_xlfn.XLOOKUP(
 A128,
 tblTargetStatus[TargetID],
 tblTargetStatus[successors],
 ""
)</f>
        <v/>
      </c>
      <c r="D128" s="26" t="str">
        <f t="array" ref="D128">_xlfn.XLOOKUP(
 A128,
 tblTargets[TargetID],
 tblTargets[TargetType],
 ""
)</f>
        <v>COLLECTION</v>
      </c>
      <c r="E128" s="45" t="str">
        <f t="array" ref="E128">_xlfn.XLOOKUP(
 A128,
 tblTargetStatus[TargetID],
 tblTargetStatus[ChainAwareStatus],
 ""
)</f>
        <v>BLOCKED</v>
      </c>
      <c r="F128" s="45"/>
      <c r="G128" s="45" t="b">
        <v>0</v>
      </c>
      <c r="H128" s="45" t="b">
        <f t="array" ref="H128">_xlfn.XLOOKUP(
 A128,
 tblTargetStatus[TargetID],
 tblTargetStatus[TargetFunded],
 ""
)</f>
        <v>0</v>
      </c>
      <c r="I128" s="45" t="str">
        <f t="array" ref="I128">IF(
 D128&lt;&gt;"BUILDING",
 "",
 IF(
  Player!$H$1="Active",
  _xlfn.XLOOKUP(
   A128,
   tblrecommended[ActiveTargetID],
   tblrecommended[Order],
   ""
  ),
  _xlfn.XLOOKUP(
   A128,
   tblrecommended[PassiveTargetID],
   tblrecommended[Order],
   ""
  )
 )
)</f>
        <v/>
      </c>
    </row>
    <row r="129" ht="25.5" hidden="1" customHeight="1">
      <c r="A129" s="26" t="s">
        <v>540</v>
      </c>
      <c r="B129" s="26" t="str">
        <f t="array" ref="B129">_xlfn.XLOOKUP(Checklist!$A129,tblTargets[TargetID],tblTargets[DisplayName])</f>
        <v>Alchemist Hall Lv 1</v>
      </c>
      <c r="C129" s="21" t="str">
        <f t="array" ref="C129">_xlfn.XLOOKUP(
 A129,
 tblTargetStatus[TargetID],
 tblTargetStatus[successors],
 ""
)</f>
        <v>Alchemist Hall Lv 2, Letter from the Dark Lady Finished</v>
      </c>
      <c r="D129" s="26" t="str">
        <f t="array" ref="D129">_xlfn.XLOOKUP(
 A129,
 tblTargets[TargetID],
 tblTargets[TargetType],
 ""
)</f>
        <v>COLLECTION</v>
      </c>
      <c r="E129" s="45" t="str">
        <f t="array" ref="E129">_xlfn.XLOOKUP(
 A129,
 tblTargetStatus[TargetID],
 tblTargetStatus[ChainAwareStatus],
 ""
)</f>
        <v>BLOCKED</v>
      </c>
      <c r="F129" s="45"/>
      <c r="G129" s="45" t="b">
        <v>0</v>
      </c>
      <c r="H129" s="45" t="b">
        <f t="array" ref="H129">_xlfn.XLOOKUP(
 A129,
 tblTargetStatus[TargetID],
 tblTargetStatus[TargetFunded],
 ""
)</f>
        <v>0</v>
      </c>
      <c r="I129" s="45" t="str">
        <f t="array" ref="I129">IF(
 D129&lt;&gt;"BUILDING",
 "",
 IF(
  Player!$H$1="Active",
  _xlfn.XLOOKUP(
   A129,
   tblrecommended[ActiveTargetID],
   tblrecommended[Order],
   ""
  ),
  _xlfn.XLOOKUP(
   A129,
   tblrecommended[PassiveTargetID],
   tblrecommended[Order],
   ""
  )
 )
)</f>
        <v/>
      </c>
    </row>
    <row r="130" ht="25.5" hidden="1" customHeight="1">
      <c r="A130" s="26" t="s">
        <v>542</v>
      </c>
      <c r="B130" s="26" t="str">
        <f t="array" ref="B130">_xlfn.XLOOKUP(Checklist!$A130,tblTargets[TargetID],tblTargets[DisplayName])</f>
        <v>Alchemist Hall Lv 2</v>
      </c>
      <c r="C130" s="21" t="str">
        <f t="array" ref="C130">_xlfn.XLOOKUP(
 A130,
 tblTargetStatus[TargetID],
 tblTargetStatus[successors],
 ""
)</f>
        <v/>
      </c>
      <c r="D130" s="26" t="str">
        <f t="array" ref="D130">_xlfn.XLOOKUP(
 A130,
 tblTargets[TargetID],
 tblTargets[TargetType],
 ""
)</f>
        <v>COLLECTION</v>
      </c>
      <c r="E130" s="45" t="str">
        <f t="array" ref="E130">_xlfn.XLOOKUP(
 A130,
 tblTargetStatus[TargetID],
 tblTargetStatus[ChainAwareStatus],
 ""
)</f>
        <v>BLOCKED</v>
      </c>
      <c r="F130" s="45"/>
      <c r="G130" s="45" t="b">
        <v>0</v>
      </c>
      <c r="H130" s="45" t="b">
        <f t="array" ref="H130">_xlfn.XLOOKUP(
 A130,
 tblTargetStatus[TargetID],
 tblTargetStatus[TargetFunded],
 ""
)</f>
        <v>0</v>
      </c>
      <c r="I130" s="45" t="str">
        <f t="array" ref="I130">IF(
 D130&lt;&gt;"BUILDING",
 "",
 IF(
  Player!$H$1="Active",
  _xlfn.XLOOKUP(
   A130,
   tblrecommended[ActiveTargetID],
   tblrecommended[Order],
   ""
  ),
  _xlfn.XLOOKUP(
   A130,
   tblrecommended[PassiveTargetID],
   tblrecommended[Order],
   ""
  )
 )
)</f>
        <v/>
      </c>
    </row>
    <row r="131" ht="25.5" hidden="1" customHeight="1">
      <c r="A131" s="26" t="s">
        <v>544</v>
      </c>
      <c r="B131" s="26" t="str">
        <f t="array" ref="B131">_xlfn.XLOOKUP(Checklist!$A131,tblTargets[TargetID],tblTargets[DisplayName])</f>
        <v>Armory 1 Lv 1</v>
      </c>
      <c r="C131" s="21" t="str">
        <f t="array" ref="C131">_xlfn.XLOOKUP(
 A131,
 tblTargetStatus[TargetID],
 tblTargetStatus[successors],
 ""
)</f>
        <v>Armory 1 Lv 2</v>
      </c>
      <c r="D131" s="26" t="str">
        <f t="array" ref="D131">_xlfn.XLOOKUP(
 A131,
 tblTargets[TargetID],
 tblTargets[TargetType],
 ""
)</f>
        <v>COLLECTION</v>
      </c>
      <c r="E131" s="45" t="str">
        <f t="array" ref="E131">_xlfn.XLOOKUP(
 A131,
 tblTargetStatus[TargetID],
 tblTargetStatus[ChainAwareStatus],
 ""
)</f>
        <v>BLOCKED</v>
      </c>
      <c r="F131" s="45"/>
      <c r="G131" s="45" t="b">
        <v>0</v>
      </c>
      <c r="H131" s="45" t="b">
        <f t="array" ref="H131">_xlfn.XLOOKUP(
 A131,
 tblTargetStatus[TargetID],
 tblTargetStatus[TargetFunded],
 ""
)</f>
        <v>0</v>
      </c>
      <c r="I131" s="45" t="str">
        <f t="array" ref="I131">IF(
 D131&lt;&gt;"BUILDING",
 "",
 IF(
  Player!$H$1="Active",
  _xlfn.XLOOKUP(
   A131,
   tblrecommended[ActiveTargetID],
   tblrecommended[Order],
   ""
  ),
  _xlfn.XLOOKUP(
   A131,
   tblrecommended[PassiveTargetID],
   tblrecommended[Order],
   ""
  )
 )
)</f>
        <v/>
      </c>
    </row>
    <row r="132" ht="25.5" hidden="1" customHeight="1">
      <c r="A132" s="26" t="s">
        <v>546</v>
      </c>
      <c r="B132" s="26" t="str">
        <f t="array" ref="B132">_xlfn.XLOOKUP(Checklist!$A132,tblTargets[TargetID],tblTargets[DisplayName])</f>
        <v>Armory 1 Lv 2</v>
      </c>
      <c r="C132" s="21" t="str">
        <f t="array" ref="C132">_xlfn.XLOOKUP(
 A132,
 tblTargetStatus[TargetID],
 tblTargetStatus[successors],
 ""
)</f>
        <v>Armory 1 Lv 3</v>
      </c>
      <c r="D132" s="26" t="str">
        <f t="array" ref="D132">_xlfn.XLOOKUP(
 A132,
 tblTargets[TargetID],
 tblTargets[TargetType],
 ""
)</f>
        <v>COLLECTION</v>
      </c>
      <c r="E132" s="45" t="str">
        <f t="array" ref="E132">_xlfn.XLOOKUP(
 A132,
 tblTargetStatus[TargetID],
 tblTargetStatus[ChainAwareStatus],
 ""
)</f>
        <v>BLOCKED</v>
      </c>
      <c r="F132" s="45"/>
      <c r="G132" s="45" t="b">
        <v>0</v>
      </c>
      <c r="H132" s="45" t="b">
        <f t="array" ref="H132">_xlfn.XLOOKUP(
 A132,
 tblTargetStatus[TargetID],
 tblTargetStatus[TargetFunded],
 ""
)</f>
        <v>0</v>
      </c>
      <c r="I132" s="45" t="str">
        <f t="array" ref="I132">IF(
 D132&lt;&gt;"BUILDING",
 "",
 IF(
  Player!$H$1="Active",
  _xlfn.XLOOKUP(
   A132,
   tblrecommended[ActiveTargetID],
   tblrecommended[Order],
   ""
  ),
  _xlfn.XLOOKUP(
   A132,
   tblrecommended[PassiveTargetID],
   tblrecommended[Order],
   ""
  )
 )
)</f>
        <v/>
      </c>
    </row>
    <row r="133" ht="25.5" hidden="1" customHeight="1">
      <c r="A133" s="26" t="s">
        <v>549</v>
      </c>
      <c r="B133" s="26" t="str">
        <f t="array" ref="B133">_xlfn.XLOOKUP(Checklist!$A133,tblTargets[TargetID],tblTargets[DisplayName])</f>
        <v>Armory 1 Lv 3</v>
      </c>
      <c r="C133" s="21" t="str">
        <f t="array" ref="C133">_xlfn.XLOOKUP(
 A133,
 tblTargetStatus[TargetID],
 tblTargetStatus[successors],
 ""
)</f>
        <v/>
      </c>
      <c r="D133" s="26" t="str">
        <f t="array" ref="D133">_xlfn.XLOOKUP(
 A133,
 tblTargets[TargetID],
 tblTargets[TargetType],
 ""
)</f>
        <v>COLLECTION</v>
      </c>
      <c r="E133" s="45" t="str">
        <f t="array" ref="E133">_xlfn.XLOOKUP(
 A133,
 tblTargetStatus[TargetID],
 tblTargetStatus[ChainAwareStatus],
 ""
)</f>
        <v>BLOCKED</v>
      </c>
      <c r="F133" s="45"/>
      <c r="G133" s="45" t="b">
        <v>0</v>
      </c>
      <c r="H133" s="45" t="b">
        <f t="array" ref="H133">_xlfn.XLOOKUP(
 A133,
 tblTargetStatus[TargetID],
 tblTargetStatus[TargetFunded],
 ""
)</f>
        <v>0</v>
      </c>
      <c r="I133" s="45" t="str">
        <f t="array" ref="I133">IF(
 D133&lt;&gt;"BUILDING",
 "",
 IF(
  Player!$H$1="Active",
  _xlfn.XLOOKUP(
   A133,
   tblrecommended[ActiveTargetID],
   tblrecommended[Order],
   ""
  ),
  _xlfn.XLOOKUP(
   A133,
   tblrecommended[PassiveTargetID],
   tblrecommended[Order],
   ""
  )
 )
)</f>
        <v/>
      </c>
    </row>
    <row r="134" ht="25.5" hidden="1" customHeight="1">
      <c r="A134" s="26" t="s">
        <v>551</v>
      </c>
      <c r="B134" s="26" t="str">
        <f t="array" ref="B134">_xlfn.XLOOKUP(Checklist!$A134,tblTargets[TargetID],tblTargets[DisplayName])</f>
        <v>Armory 2 Lv 1</v>
      </c>
      <c r="C134" s="21" t="str">
        <f t="array" ref="C134">_xlfn.XLOOKUP(
 A134,
 tblTargetStatus[TargetID],
 tblTargetStatus[successors],
 ""
)</f>
        <v/>
      </c>
      <c r="D134" s="26" t="str">
        <f t="array" ref="D134">_xlfn.XLOOKUP(
 A134,
 tblTargets[TargetID],
 tblTargets[TargetType],
 ""
)</f>
        <v>COLLECTION</v>
      </c>
      <c r="E134" s="45" t="str">
        <f t="array" ref="E134">_xlfn.XLOOKUP(
 A134,
 tblTargetStatus[TargetID],
 tblTargetStatus[ChainAwareStatus],
 ""
)</f>
        <v>BLOCKED</v>
      </c>
      <c r="F134" s="45"/>
      <c r="G134" s="45" t="b">
        <v>0</v>
      </c>
      <c r="H134" s="45" t="b">
        <f t="array" ref="H134">_xlfn.XLOOKUP(
 A134,
 tblTargetStatus[TargetID],
 tblTargetStatus[TargetFunded],
 ""
)</f>
        <v>0</v>
      </c>
      <c r="I134" s="45" t="str">
        <f t="array" ref="I134">IF(
 D134&lt;&gt;"BUILDING",
 "",
 IF(
  Player!$H$1="Active",
  _xlfn.XLOOKUP(
   A134,
   tblrecommended[ActiveTargetID],
   tblrecommended[Order],
   ""
  ),
  _xlfn.XLOOKUP(
   A134,
   tblrecommended[PassiveTargetID],
   tblrecommended[Order],
   ""
  )
 )
)</f>
        <v/>
      </c>
    </row>
    <row r="135" ht="25.5" hidden="1" customHeight="1">
      <c r="A135" s="26" t="s">
        <v>553</v>
      </c>
      <c r="B135" s="26" t="str">
        <f t="array" ref="B135">_xlfn.XLOOKUP(Checklist!$A135,tblTargets[TargetID],tblTargets[DisplayName])</f>
        <v>Attic Lv 1</v>
      </c>
      <c r="C135" s="21" t="str">
        <f t="array" ref="C135">_xlfn.XLOOKUP(
 A135,
 tblTargetStatus[TargetID],
 tblTargetStatus[successors],
 ""
)</f>
        <v>Attic Lv 2</v>
      </c>
      <c r="D135" s="26" t="str">
        <f t="array" ref="D135">_xlfn.XLOOKUP(
 A135,
 tblTargets[TargetID],
 tblTargets[TargetType],
 ""
)</f>
        <v>COLLECTION</v>
      </c>
      <c r="E135" s="45" t="str">
        <f t="array" ref="E135">_xlfn.XLOOKUP(
 A135,
 tblTargetStatus[TargetID],
 tblTargetStatus[ChainAwareStatus],
 ""
)</f>
        <v>BLOCKED</v>
      </c>
      <c r="F135" s="45"/>
      <c r="G135" s="45" t="b">
        <v>0</v>
      </c>
      <c r="H135" s="45" t="b">
        <f t="array" ref="H135">_xlfn.XLOOKUP(
 A135,
 tblTargetStatus[TargetID],
 tblTargetStatus[TargetFunded],
 ""
)</f>
        <v>0</v>
      </c>
      <c r="I135" s="45" t="str">
        <f t="array" ref="I135">IF(
 D135&lt;&gt;"BUILDING",
 "",
 IF(
  Player!$H$1="Active",
  _xlfn.XLOOKUP(
   A135,
   tblrecommended[ActiveTargetID],
   tblrecommended[Order],
   ""
  ),
  _xlfn.XLOOKUP(
   A135,
   tblrecommended[PassiveTargetID],
   tblrecommended[Order],
   ""
  )
 )
)</f>
        <v/>
      </c>
    </row>
    <row r="136" ht="25.5" hidden="1" customHeight="1">
      <c r="A136" s="26" t="s">
        <v>556</v>
      </c>
      <c r="B136" s="26" t="str">
        <f t="array" ref="B136">_xlfn.XLOOKUP(Checklist!$A136,tblTargets[TargetID],tblTargets[DisplayName])</f>
        <v>Attic Lv 2</v>
      </c>
      <c r="C136" s="21" t="str">
        <f t="array" ref="C136">_xlfn.XLOOKUP(
 A136,
 tblTargetStatus[TargetID],
 tblTargetStatus[successors],
 ""
)</f>
        <v>Attic Lv 3</v>
      </c>
      <c r="D136" s="26" t="str">
        <f t="array" ref="D136">_xlfn.XLOOKUP(
 A136,
 tblTargets[TargetID],
 tblTargets[TargetType],
 ""
)</f>
        <v>COLLECTION</v>
      </c>
      <c r="E136" s="45" t="str">
        <f t="array" ref="E136">_xlfn.XLOOKUP(
 A136,
 tblTargetStatus[TargetID],
 tblTargetStatus[ChainAwareStatus],
 ""
)</f>
        <v>BLOCKED</v>
      </c>
      <c r="F136" s="45"/>
      <c r="G136" s="45" t="b">
        <v>0</v>
      </c>
      <c r="H136" s="45" t="b">
        <f t="array" ref="H136">_xlfn.XLOOKUP(
 A136,
 tblTargetStatus[TargetID],
 tblTargetStatus[TargetFunded],
 ""
)</f>
        <v>0</v>
      </c>
      <c r="I136" s="45" t="str">
        <f t="array" ref="I136">IF(
 D136&lt;&gt;"BUILDING",
 "",
 IF(
  Player!$H$1="Active",
  _xlfn.XLOOKUP(
   A136,
   tblrecommended[ActiveTargetID],
   tblrecommended[Order],
   ""
  ),
  _xlfn.XLOOKUP(
   A136,
   tblrecommended[PassiveTargetID],
   tblrecommended[Order],
   ""
  )
 )
)</f>
        <v/>
      </c>
    </row>
    <row r="137" ht="25.5" hidden="1" customHeight="1">
      <c r="A137" s="26" t="s">
        <v>558</v>
      </c>
      <c r="B137" s="26" t="str">
        <f t="array" ref="B137">_xlfn.XLOOKUP(Checklist!$A137,tblTargets[TargetID],tblTargets[DisplayName])</f>
        <v>Attic Lv 3</v>
      </c>
      <c r="C137" s="21" t="str">
        <f t="array" ref="C137">_xlfn.XLOOKUP(
 A137,
 tblTargetStatus[TargetID],
 tblTargetStatus[successors],
 ""
)</f>
        <v>Attic Lv 4</v>
      </c>
      <c r="D137" s="26" t="str">
        <f t="array" ref="D137">_xlfn.XLOOKUP(
 A137,
 tblTargets[TargetID],
 tblTargets[TargetType],
 ""
)</f>
        <v>COLLECTION</v>
      </c>
      <c r="E137" s="45" t="str">
        <f t="array" ref="E137">_xlfn.XLOOKUP(
 A137,
 tblTargetStatus[TargetID],
 tblTargetStatus[ChainAwareStatus],
 ""
)</f>
        <v>BLOCKED</v>
      </c>
      <c r="F137" s="45"/>
      <c r="G137" s="45" t="b">
        <v>0</v>
      </c>
      <c r="H137" s="45" t="b">
        <f t="array" ref="H137">_xlfn.XLOOKUP(
 A137,
 tblTargetStatus[TargetID],
 tblTargetStatus[TargetFunded],
 ""
)</f>
        <v>0</v>
      </c>
      <c r="I137" s="45" t="str">
        <f t="array" ref="I137">IF(
 D137&lt;&gt;"BUILDING",
 "",
 IF(
  Player!$H$1="Active",
  _xlfn.XLOOKUP(
   A137,
   tblrecommended[ActiveTargetID],
   tblrecommended[Order],
   ""
  ),
  _xlfn.XLOOKUP(
   A137,
   tblrecommended[PassiveTargetID],
   tblrecommended[Order],
   ""
  )
 )
)</f>
        <v/>
      </c>
    </row>
    <row r="138" ht="25.5" hidden="1" customHeight="1">
      <c r="A138" s="26" t="s">
        <v>560</v>
      </c>
      <c r="B138" s="26" t="str">
        <f t="array" ref="B138">_xlfn.XLOOKUP(Checklist!$A138,tblTargets[TargetID],tblTargets[DisplayName])</f>
        <v>Attic Lv 4</v>
      </c>
      <c r="C138" s="21" t="str">
        <f t="array" ref="C138">_xlfn.XLOOKUP(
 A138,
 tblTargetStatus[TargetID],
 tblTargetStatus[successors],
 ""
)</f>
        <v>Attic Lv 5</v>
      </c>
      <c r="D138" s="26" t="str">
        <f t="array" ref="D138">_xlfn.XLOOKUP(
 A138,
 tblTargets[TargetID],
 tblTargets[TargetType],
 ""
)</f>
        <v>COLLECTION</v>
      </c>
      <c r="E138" s="45" t="str">
        <f t="array" ref="E138">_xlfn.XLOOKUP(
 A138,
 tblTargetStatus[TargetID],
 tblTargetStatus[ChainAwareStatus],
 ""
)</f>
        <v>BLOCKED</v>
      </c>
      <c r="F138" s="45"/>
      <c r="G138" s="45" t="b">
        <v>0</v>
      </c>
      <c r="H138" s="45" t="b">
        <f t="array" ref="H138">_xlfn.XLOOKUP(
 A138,
 tblTargetStatus[TargetID],
 tblTargetStatus[TargetFunded],
 ""
)</f>
        <v>0</v>
      </c>
      <c r="I138" s="45" t="str">
        <f t="array" ref="I138">IF(
 D138&lt;&gt;"BUILDING",
 "",
 IF(
  Player!$H$1="Active",
  _xlfn.XLOOKUP(
   A138,
   tblrecommended[ActiveTargetID],
   tblrecommended[Order],
   ""
  ),
  _xlfn.XLOOKUP(
   A138,
   tblrecommended[PassiveTargetID],
   tblrecommended[Order],
   ""
  )
 )
)</f>
        <v/>
      </c>
    </row>
    <row r="139" ht="25.5" hidden="1" customHeight="1">
      <c r="A139" s="26" t="s">
        <v>563</v>
      </c>
      <c r="B139" s="26" t="str">
        <f t="array" ref="B139">_xlfn.XLOOKUP(Checklist!$A139,tblTargets[TargetID],tblTargets[DisplayName])</f>
        <v>Attic Lv 5</v>
      </c>
      <c r="C139" s="21" t="str">
        <f t="array" ref="C139">_xlfn.XLOOKUP(
 A139,
 tblTargetStatus[TargetID],
 tblTargetStatus[successors],
 ""
)</f>
        <v/>
      </c>
      <c r="D139" s="26" t="str">
        <f t="array" ref="D139">_xlfn.XLOOKUP(
 A139,
 tblTargets[TargetID],
 tblTargets[TargetType],
 ""
)</f>
        <v>COLLECTION</v>
      </c>
      <c r="E139" s="45" t="str">
        <f t="array" ref="E139">_xlfn.XLOOKUP(
 A139,
 tblTargetStatus[TargetID],
 tblTargetStatus[ChainAwareStatus],
 ""
)</f>
        <v>BLOCKED</v>
      </c>
      <c r="F139" s="45"/>
      <c r="G139" s="45" t="b">
        <v>0</v>
      </c>
      <c r="H139" s="45" t="b">
        <f t="array" ref="H139">_xlfn.XLOOKUP(
 A139,
 tblTargetStatus[TargetID],
 tblTargetStatus[TargetFunded],
 ""
)</f>
        <v>0</v>
      </c>
      <c r="I139" s="45" t="str">
        <f t="array" ref="I139">IF(
 D139&lt;&gt;"BUILDING",
 "",
 IF(
  Player!$H$1="Active",
  _xlfn.XLOOKUP(
   A139,
   tblrecommended[ActiveTargetID],
   tblrecommended[Order],
   ""
  ),
  _xlfn.XLOOKUP(
   A139,
   tblrecommended[PassiveTargetID],
   tblrecommended[Order],
   ""
  )
 )
)</f>
        <v/>
      </c>
    </row>
    <row r="140" ht="25.5" hidden="1" customHeight="1">
      <c r="A140" s="26" t="s">
        <v>565</v>
      </c>
      <c r="B140" s="26" t="str">
        <f t="array" ref="B140">_xlfn.XLOOKUP(Checklist!$A140,tblTargets[TargetID],tblTargets[DisplayName])</f>
        <v>Bone Dragon Lv 1</v>
      </c>
      <c r="C140" s="21" t="str">
        <f t="array" ref="C140">_xlfn.XLOOKUP(
 A140,
 tblTargetStatus[TargetID],
 tblTargetStatus[successors],
 ""
)</f>
        <v>Bone Dragon Lv 2, Letter from the Dark Lady Finished</v>
      </c>
      <c r="D140" s="26" t="str">
        <f t="array" ref="D140">_xlfn.XLOOKUP(
 A140,
 tblTargets[TargetID],
 tblTargets[TargetType],
 ""
)</f>
        <v>COLLECTION</v>
      </c>
      <c r="E140" s="45" t="str">
        <f t="array" ref="E140">_xlfn.XLOOKUP(
 A140,
 tblTargetStatus[TargetID],
 tblTargetStatus[ChainAwareStatus],
 ""
)</f>
        <v>BLOCKED</v>
      </c>
      <c r="F140" s="45"/>
      <c r="G140" s="45" t="b">
        <v>0</v>
      </c>
      <c r="H140" s="45" t="b">
        <f t="array" ref="H140">_xlfn.XLOOKUP(
 A140,
 tblTargetStatus[TargetID],
 tblTargetStatus[TargetFunded],
 ""
)</f>
        <v>0</v>
      </c>
      <c r="I140" s="45" t="str">
        <f t="array" ref="I140">IF(
 D140&lt;&gt;"BUILDING",
 "",
 IF(
  Player!$H$1="Active",
  _xlfn.XLOOKUP(
   A140,
   tblrecommended[ActiveTargetID],
   tblrecommended[Order],
   ""
  ),
  _xlfn.XLOOKUP(
   A140,
   tblrecommended[PassiveTargetID],
   tblrecommended[Order],
   ""
  )
 )
)</f>
        <v/>
      </c>
    </row>
    <row r="141" ht="25.5" hidden="1" customHeight="1">
      <c r="A141" s="26" t="s">
        <v>567</v>
      </c>
      <c r="B141" s="26" t="str">
        <f t="array" ref="B141">_xlfn.XLOOKUP(Checklist!$A141,tblTargets[TargetID],tblTargets[DisplayName])</f>
        <v>Bone Dragon Lv 2</v>
      </c>
      <c r="C141" s="21" t="str">
        <f t="array" ref="C141">_xlfn.XLOOKUP(
 A141,
 tblTargetStatus[TargetID],
 tblTargetStatus[successors],
 ""
)</f>
        <v/>
      </c>
      <c r="D141" s="26" t="str">
        <f t="array" ref="D141">_xlfn.XLOOKUP(
 A141,
 tblTargets[TargetID],
 tblTargets[TargetType],
 ""
)</f>
        <v>COLLECTION</v>
      </c>
      <c r="E141" s="45" t="str">
        <f t="array" ref="E141">_xlfn.XLOOKUP(
 A141,
 tblTargetStatus[TargetID],
 tblTargetStatus[ChainAwareStatus],
 ""
)</f>
        <v>BLOCKED</v>
      </c>
      <c r="F141" s="45"/>
      <c r="G141" s="45" t="b">
        <v>0</v>
      </c>
      <c r="H141" s="45" t="b">
        <f t="array" ref="H141">_xlfn.XLOOKUP(
 A141,
 tblTargetStatus[TargetID],
 tblTargetStatus[TargetFunded],
 ""
)</f>
        <v>0</v>
      </c>
      <c r="I141" s="45" t="str">
        <f t="array" ref="I141">IF(
 D141&lt;&gt;"BUILDING",
 "",
 IF(
  Player!$H$1="Active",
  _xlfn.XLOOKUP(
   A141,
   tblrecommended[ActiveTargetID],
   tblrecommended[Order],
   ""
  ),
  _xlfn.XLOOKUP(
   A141,
   tblrecommended[PassiveTargetID],
   tblrecommended[Order],
   ""
  )
 )
)</f>
        <v/>
      </c>
    </row>
    <row r="142" ht="25.5" hidden="1" customHeight="1">
      <c r="A142" s="26" t="s">
        <v>569</v>
      </c>
      <c r="B142" s="26" t="str">
        <f t="array" ref="B142">_xlfn.XLOOKUP(Checklist!$A142,tblTargets[TargetID],tblTargets[DisplayName])</f>
        <v>Broken Lever</v>
      </c>
      <c r="C142" s="21" t="str">
        <f t="array" ref="C142">_xlfn.XLOOKUP(
 A142,
 tblTargetStatus[TargetID],
 tblTargetStatus[successors],
 ""
)</f>
        <v>Collapsed Staircase, Letter from the Dark Lady Finished</v>
      </c>
      <c r="D142" s="26" t="str">
        <f t="array" ref="D142">_xlfn.XLOOKUP(
 A142,
 tblTargets[TargetID],
 tblTargets[TargetType],
 ""
)</f>
        <v>COLLECTION</v>
      </c>
      <c r="E142" s="45" t="str">
        <f t="array" ref="E142">_xlfn.XLOOKUP(
 A142,
 tblTargetStatus[TargetID],
 tblTargetStatus[ChainAwareStatus],
 ""
)</f>
        <v>BLOCKED</v>
      </c>
      <c r="F142" s="45"/>
      <c r="G142" s="45" t="b">
        <v>0</v>
      </c>
      <c r="H142" s="45" t="b">
        <f t="array" ref="H142">_xlfn.XLOOKUP(
 A142,
 tblTargetStatus[TargetID],
 tblTargetStatus[TargetFunded],
 ""
)</f>
        <v>0</v>
      </c>
      <c r="I142" s="45" t="str">
        <f t="array" ref="I142">IF(
 D142&lt;&gt;"BUILDING",
 "",
 IF(
  Player!$H$1="Active",
  _xlfn.XLOOKUP(
   A142,
   tblrecommended[ActiveTargetID],
   tblrecommended[Order],
   ""
  ),
  _xlfn.XLOOKUP(
   A142,
   tblrecommended[PassiveTargetID],
   tblrecommended[Order],
   ""
  )
 )
)</f>
        <v/>
      </c>
    </row>
    <row r="143" ht="25.5" hidden="1" customHeight="1">
      <c r="A143" s="26" t="s">
        <v>572</v>
      </c>
      <c r="B143" s="26" t="str">
        <f t="array" ref="B143">_xlfn.XLOOKUP(Checklist!$A143,tblTargets[TargetID],tblTargets[DisplayName])</f>
        <v>Broken Minecart</v>
      </c>
      <c r="C143" s="21" t="str">
        <f t="array" ref="C143">_xlfn.XLOOKUP(
 A143,
 tblTargetStatus[TargetID],
 tblTargetStatus[successors],
 ""
)</f>
        <v>Crystal Cave, Letter from the Dark Lady Finished</v>
      </c>
      <c r="D143" s="26" t="str">
        <f t="array" ref="D143">_xlfn.XLOOKUP(
 A143,
 tblTargets[TargetID],
 tblTargets[TargetType],
 ""
)</f>
        <v>COLLECTION</v>
      </c>
      <c r="E143" s="45" t="str">
        <f t="array" ref="E143">_xlfn.XLOOKUP(
 A143,
 tblTargetStatus[TargetID],
 tblTargetStatus[ChainAwareStatus],
 ""
)</f>
        <v>BLOCKED</v>
      </c>
      <c r="F143" s="45"/>
      <c r="G143" s="45" t="b">
        <v>0</v>
      </c>
      <c r="H143" s="45" t="b">
        <f t="array" ref="H143">_xlfn.XLOOKUP(
 A143,
 tblTargetStatus[TargetID],
 tblTargetStatus[TargetFunded],
 ""
)</f>
        <v>0</v>
      </c>
      <c r="I143" s="45" t="str">
        <f t="array" ref="I143">IF(
 D143&lt;&gt;"BUILDING",
 "",
 IF(
  Player!$H$1="Active",
  _xlfn.XLOOKUP(
   A143,
   tblrecommended[ActiveTargetID],
   tblrecommended[Order],
   ""
  ),
  _xlfn.XLOOKUP(
   A143,
   tblrecommended[PassiveTargetID],
   tblrecommended[Order],
   ""
  )
 )
)</f>
        <v/>
      </c>
    </row>
    <row r="144" ht="25.5" hidden="1" customHeight="1">
      <c r="A144" s="26" t="s">
        <v>575</v>
      </c>
      <c r="B144" s="26" t="str">
        <f t="array" ref="B144">_xlfn.XLOOKUP(Checklist!$A144,tblTargets[TargetID],tblTargets[DisplayName])</f>
        <v>Cave-in Alchemist Hall</v>
      </c>
      <c r="C144" s="21" t="str">
        <f t="array" ref="C144">_xlfn.XLOOKUP(
 A144,
 tblTargetStatus[TargetID],
 tblTargetStatus[successors],
 ""
)</f>
        <v>Alchemist Hall Lv 1, Alchemist Hall Lv 1, Alchemist Hall Lv 1, Letter from the Dark Lady Finished</v>
      </c>
      <c r="D144" s="26" t="str">
        <f t="array" ref="D144">_xlfn.XLOOKUP(
 A144,
 tblTargets[TargetID],
 tblTargets[TargetType],
 ""
)</f>
        <v>COLLECTION</v>
      </c>
      <c r="E144" s="45" t="str">
        <f t="array" ref="E144">_xlfn.XLOOKUP(
 A144,
 tblTargetStatus[TargetID],
 tblTargetStatus[ChainAwareStatus],
 ""
)</f>
        <v>BLOCKED</v>
      </c>
      <c r="F144" s="45"/>
      <c r="G144" s="45" t="b">
        <v>0</v>
      </c>
      <c r="H144" s="45" t="b">
        <f t="array" ref="H144">_xlfn.XLOOKUP(
 A144,
 tblTargetStatus[TargetID],
 tblTargetStatus[TargetFunded],
 ""
)</f>
        <v>0</v>
      </c>
      <c r="I144" s="45" t="str">
        <f t="array" ref="I144">IF(
 D144&lt;&gt;"BUILDING",
 "",
 IF(
  Player!$H$1="Active",
  _xlfn.XLOOKUP(
   A144,
   tblrecommended[ActiveTargetID],
   tblrecommended[Order],
   ""
  ),
  _xlfn.XLOOKUP(
   A144,
   tblrecommended[PassiveTargetID],
   tblrecommended[Order],
   ""
  )
 )
)</f>
        <v/>
      </c>
    </row>
    <row r="145" ht="25.5" hidden="1" customHeight="1">
      <c r="A145" s="26" t="s">
        <v>578</v>
      </c>
      <c r="B145" s="26" t="str">
        <f t="array" ref="B145">_xlfn.XLOOKUP(Checklist!$A145,tblTargets[TargetID],tblTargets[DisplayName])</f>
        <v>Cave-in Bone Dragon</v>
      </c>
      <c r="C145" s="21" t="str">
        <f t="array" ref="C145">_xlfn.XLOOKUP(
 A145,
 tblTargetStatus[TargetID],
 tblTargetStatus[successors],
 ""
)</f>
        <v>Bone Dragon Lv 1, Letter from the Dark Lady Finished</v>
      </c>
      <c r="D145" s="26" t="str">
        <f t="array" ref="D145">_xlfn.XLOOKUP(
 A145,
 tblTargets[TargetID],
 tblTargets[TargetType],
 ""
)</f>
        <v>COLLECTION</v>
      </c>
      <c r="E145" s="45" t="str">
        <f t="array" ref="E145">_xlfn.XLOOKUP(
 A145,
 tblTargetStatus[TargetID],
 tblTargetStatus[ChainAwareStatus],
 ""
)</f>
        <v>BLOCKED</v>
      </c>
      <c r="F145" s="45"/>
      <c r="G145" s="45" t="b">
        <v>0</v>
      </c>
      <c r="H145" s="45" t="b">
        <f t="array" ref="H145">_xlfn.XLOOKUP(
 A145,
 tblTargetStatus[TargetID],
 tblTargetStatus[TargetFunded],
 ""
)</f>
        <v>0</v>
      </c>
      <c r="I145" s="45" t="str">
        <f t="array" ref="I145">IF(
 D145&lt;&gt;"BUILDING",
 "",
 IF(
  Player!$H$1="Active",
  _xlfn.XLOOKUP(
   A145,
   tblrecommended[ActiveTargetID],
   tblrecommended[Order],
   ""
  ),
  _xlfn.XLOOKUP(
   A145,
   tblrecommended[PassiveTargetID],
   tblrecommended[Order],
   ""
  )
 )
)</f>
        <v/>
      </c>
    </row>
    <row r="146" ht="25.5" hidden="1" customHeight="1">
      <c r="A146" s="26" t="s">
        <v>581</v>
      </c>
      <c r="B146" s="26" t="str">
        <f t="array" ref="B146">_xlfn.XLOOKUP(Checklist!$A146,tblTargets[TargetID],tblTargets[DisplayName])</f>
        <v>Collapsed Staircase</v>
      </c>
      <c r="C146" s="21" t="str">
        <f t="array" ref="C146">_xlfn.XLOOKUP(
 A146,
 tblTargetStatus[TargetID],
 tblTargetStatus[successors],
 ""
)</f>
        <v>Cave-in Alchemist Hall, Cave-in Bone Dragon, Rotten Ladder, Collection Staircase, Letter from the Dark Lady Finished</v>
      </c>
      <c r="D146" s="26" t="str">
        <f t="array" ref="D146">_xlfn.XLOOKUP(
 A146,
 tblTargets[TargetID],
 tblTargets[TargetType],
 ""
)</f>
        <v>COLLECTION</v>
      </c>
      <c r="E146" s="45" t="str">
        <f t="array" ref="E146">_xlfn.XLOOKUP(
 A146,
 tblTargetStatus[TargetID],
 tblTargetStatus[ChainAwareStatus],
 ""
)</f>
        <v>BLOCKED</v>
      </c>
      <c r="F146" s="45"/>
      <c r="G146" s="45" t="b">
        <v>0</v>
      </c>
      <c r="H146" s="45" t="b">
        <f t="array" ref="H146">_xlfn.XLOOKUP(
 A146,
 tblTargetStatus[TargetID],
 tblTargetStatus[TargetFunded],
 ""
)</f>
        <v>0</v>
      </c>
      <c r="I146" s="45" t="str">
        <f t="array" ref="I146">IF(
 D146&lt;&gt;"BUILDING",
 "",
 IF(
  Player!$H$1="Active",
  _xlfn.XLOOKUP(
   A146,
   tblrecommended[ActiveTargetID],
   tblrecommended[Order],
   ""
  ),
  _xlfn.XLOOKUP(
   A146,
   tblrecommended[PassiveTargetID],
   tblrecommended[Order],
   ""
  )
 )
)</f>
        <v/>
      </c>
    </row>
    <row r="147" ht="25.5" hidden="1" customHeight="1">
      <c r="A147" s="26" t="s">
        <v>584</v>
      </c>
      <c r="B147" s="26" t="str">
        <f t="array" ref="B147">_xlfn.XLOOKUP(Checklist!$A147,tblTargets[TargetID],tblTargets[DisplayName])</f>
        <v>Courtyard 1 Lv 1</v>
      </c>
      <c r="C147" s="21" t="str">
        <f t="array" ref="C147">_xlfn.XLOOKUP(
 A147,
 tblTargetStatus[TargetID],
 tblTargetStatus[successors],
 ""
)</f>
        <v>Courtyard 1 Lv 2</v>
      </c>
      <c r="D147" s="26" t="str">
        <f t="array" ref="D147">_xlfn.XLOOKUP(
 A147,
 tblTargets[TargetID],
 tblTargets[TargetType],
 ""
)</f>
        <v>COLLECTION</v>
      </c>
      <c r="E147" s="45" t="str">
        <f t="array" ref="E147">_xlfn.XLOOKUP(
 A147,
 tblTargetStatus[TargetID],
 tblTargetStatus[ChainAwareStatus],
 ""
)</f>
        <v>BLOCKED</v>
      </c>
      <c r="F147" s="45"/>
      <c r="G147" s="45" t="b">
        <v>0</v>
      </c>
      <c r="H147" s="45" t="b">
        <f t="array" ref="H147">_xlfn.XLOOKUP(
 A147,
 tblTargetStatus[TargetID],
 tblTargetStatus[TargetFunded],
 ""
)</f>
        <v>0</v>
      </c>
      <c r="I147" s="45" t="str">
        <f t="array" ref="I147">IF(
 D147&lt;&gt;"BUILDING",
 "",
 IF(
  Player!$H$1="Active",
  _xlfn.XLOOKUP(
   A147,
   tblrecommended[ActiveTargetID],
   tblrecommended[Order],
   ""
  ),
  _xlfn.XLOOKUP(
   A147,
   tblrecommended[PassiveTargetID],
   tblrecommended[Order],
   ""
  )
 )
)</f>
        <v/>
      </c>
    </row>
    <row r="148" ht="25.5" hidden="1" customHeight="1">
      <c r="A148" s="26" t="s">
        <v>586</v>
      </c>
      <c r="B148" s="26" t="str">
        <f t="array" ref="B148">_xlfn.XLOOKUP(Checklist!$A148,tblTargets[TargetID],tblTargets[DisplayName])</f>
        <v>Courtyard 1 Lv 2</v>
      </c>
      <c r="C148" s="21" t="str">
        <f t="array" ref="C148">_xlfn.XLOOKUP(
 A148,
 tblTargetStatus[TargetID],
 tblTargetStatus[successors],
 ""
)</f>
        <v/>
      </c>
      <c r="D148" s="26" t="str">
        <f t="array" ref="D148">_xlfn.XLOOKUP(
 A148,
 tblTargets[TargetID],
 tblTargets[TargetType],
 ""
)</f>
        <v>COLLECTION</v>
      </c>
      <c r="E148" s="45" t="str">
        <f t="array" ref="E148">_xlfn.XLOOKUP(
 A148,
 tblTargetStatus[TargetID],
 tblTargetStatus[ChainAwareStatus],
 ""
)</f>
        <v>BLOCKED</v>
      </c>
      <c r="F148" s="45"/>
      <c r="G148" s="45" t="b">
        <v>0</v>
      </c>
      <c r="H148" s="45" t="b">
        <f t="array" ref="H148">_xlfn.XLOOKUP(
 A148,
 tblTargetStatus[TargetID],
 tblTargetStatus[TargetFunded],
 ""
)</f>
        <v>0</v>
      </c>
      <c r="I148" s="45" t="str">
        <f t="array" ref="I148">IF(
 D148&lt;&gt;"BUILDING",
 "",
 IF(
  Player!$H$1="Active",
  _xlfn.XLOOKUP(
   A148,
   tblrecommended[ActiveTargetID],
   tblrecommended[Order],
   ""
  ),
  _xlfn.XLOOKUP(
   A148,
   tblrecommended[PassiveTargetID],
   tblrecommended[Order],
   ""
  )
 )
)</f>
        <v/>
      </c>
    </row>
    <row r="149" ht="25.5" hidden="1" customHeight="1">
      <c r="A149" s="26" t="s">
        <v>589</v>
      </c>
      <c r="B149" s="26" t="str">
        <f t="array" ref="B149">_xlfn.XLOOKUP(Checklist!$A149,tblTargets[TargetID],tblTargets[DisplayName])</f>
        <v>Courtyard 2 Lv 1</v>
      </c>
      <c r="C149" s="21" t="str">
        <f t="array" ref="C149">_xlfn.XLOOKUP(
 A149,
 tblTargetStatus[TargetID],
 tblTargetStatus[successors],
 ""
)</f>
        <v/>
      </c>
      <c r="D149" s="26" t="str">
        <f t="array" ref="D149">_xlfn.XLOOKUP(
 A149,
 tblTargets[TargetID],
 tblTargets[TargetType],
 ""
)</f>
        <v>COLLECTION</v>
      </c>
      <c r="E149" s="45" t="str">
        <f t="array" ref="E149">_xlfn.XLOOKUP(
 A149,
 tblTargetStatus[TargetID],
 tblTargetStatus[ChainAwareStatus],
 ""
)</f>
        <v>BLOCKED</v>
      </c>
      <c r="F149" s="45"/>
      <c r="G149" s="45" t="b">
        <v>0</v>
      </c>
      <c r="H149" s="45" t="b">
        <f t="array" ref="H149">_xlfn.XLOOKUP(
 A149,
 tblTargetStatus[TargetID],
 tblTargetStatus[TargetFunded],
 ""
)</f>
        <v>0</v>
      </c>
      <c r="I149" s="45" t="str">
        <f t="array" ref="I149">IF(
 D149&lt;&gt;"BUILDING",
 "",
 IF(
  Player!$H$1="Active",
  _xlfn.XLOOKUP(
   A149,
   tblrecommended[ActiveTargetID],
   tblrecommended[Order],
   ""
  ),
  _xlfn.XLOOKUP(
   A149,
   tblrecommended[PassiveTargetID],
   tblrecommended[Order],
   ""
  )
 )
)</f>
        <v/>
      </c>
    </row>
    <row r="150" ht="25.5" hidden="1" customHeight="1">
      <c r="A150" s="26" t="s">
        <v>591</v>
      </c>
      <c r="B150" s="26" t="str">
        <f t="array" ref="B150">_xlfn.XLOOKUP(Checklist!$A150,tblTargets[TargetID],tblTargets[DisplayName])</f>
        <v>Crystal Cave</v>
      </c>
      <c r="C150" s="21" t="str">
        <f t="array" ref="C150">_xlfn.XLOOKUP(
 A150,
 tblTargetStatus[TargetID],
 tblTargetStatus[successors],
 ""
)</f>
        <v/>
      </c>
      <c r="D150" s="26" t="str">
        <f t="array" ref="D150">_xlfn.XLOOKUP(
 A150,
 tblTargets[TargetID],
 tblTargets[TargetType],
 ""
)</f>
        <v>COLLECTION</v>
      </c>
      <c r="E150" s="45" t="str">
        <f t="array" ref="E150">_xlfn.XLOOKUP(
 A150,
 tblTargetStatus[TargetID],
 tblTargetStatus[ChainAwareStatus],
 ""
)</f>
        <v>BLOCKED</v>
      </c>
      <c r="F150" s="45"/>
      <c r="G150" s="45" t="b">
        <v>0</v>
      </c>
      <c r="H150" s="45" t="b">
        <f t="array" ref="H150">_xlfn.XLOOKUP(
 A150,
 tblTargetStatus[TargetID],
 tblTargetStatus[TargetFunded],
 ""
)</f>
        <v>0</v>
      </c>
      <c r="I150" s="45" t="str">
        <f t="array" ref="I150">IF(
 D150&lt;&gt;"BUILDING",
 "",
 IF(
  Player!$H$1="Active",
  _xlfn.XLOOKUP(
   A150,
   tblrecommended[ActiveTargetID],
   tblrecommended[Order],
   ""
  ),
  _xlfn.XLOOKUP(
   A150,
   tblrecommended[PassiveTargetID],
   tblrecommended[Order],
   ""
  )
 )
)</f>
        <v/>
      </c>
    </row>
    <row r="151" ht="25.5" hidden="1" customHeight="1">
      <c r="A151" s="26" t="s">
        <v>594</v>
      </c>
      <c r="B151" s="26" t="str">
        <f t="array" ref="B151">_xlfn.XLOOKUP(Checklist!$A151,tblTargets[TargetID],tblTargets[DisplayName])</f>
        <v>Gallery 1 Lv 1</v>
      </c>
      <c r="C151" s="21" t="str">
        <f t="array" ref="C151">_xlfn.XLOOKUP(
 A151,
 tblTargetStatus[TargetID],
 tblTargetStatus[successors],
 ""
)</f>
        <v>Gallery 1 Lv 2</v>
      </c>
      <c r="D151" s="26" t="str">
        <f t="array" ref="D151">_xlfn.XLOOKUP(
 A151,
 tblTargets[TargetID],
 tblTargets[TargetType],
 ""
)</f>
        <v>COLLECTION</v>
      </c>
      <c r="E151" s="45" t="str">
        <f t="array" ref="E151">_xlfn.XLOOKUP(
 A151,
 tblTargetStatus[TargetID],
 tblTargetStatus[ChainAwareStatus],
 ""
)</f>
        <v>BLOCKED</v>
      </c>
      <c r="F151" s="45"/>
      <c r="G151" s="45" t="b">
        <v>0</v>
      </c>
      <c r="H151" s="45" t="b">
        <f t="array" ref="H151">_xlfn.XLOOKUP(
 A151,
 tblTargetStatus[TargetID],
 tblTargetStatus[TargetFunded],
 ""
)</f>
        <v>0</v>
      </c>
      <c r="I151" s="45" t="str">
        <f t="array" ref="I151">IF(
 D151&lt;&gt;"BUILDING",
 "",
 IF(
  Player!$H$1="Active",
  _xlfn.XLOOKUP(
   A151,
   tblrecommended[ActiveTargetID],
   tblrecommended[Order],
   ""
  ),
  _xlfn.XLOOKUP(
   A151,
   tblrecommended[PassiveTargetID],
   tblrecommended[Order],
   ""
  )
 )
)</f>
        <v/>
      </c>
    </row>
    <row r="152" ht="25.5" hidden="1" customHeight="1">
      <c r="A152" s="26" t="s">
        <v>596</v>
      </c>
      <c r="B152" s="26" t="str">
        <f t="array" ref="B152">_xlfn.XLOOKUP(Checklist!$A152,tblTargets[TargetID],tblTargets[DisplayName])</f>
        <v>Gallery 1 Lv 2</v>
      </c>
      <c r="C152" s="21" t="str">
        <f t="array" ref="C152">_xlfn.XLOOKUP(
 A152,
 tblTargetStatus[TargetID],
 tblTargetStatus[successors],
 ""
)</f>
        <v>Gallery 1 Lv 3</v>
      </c>
      <c r="D152" s="26" t="str">
        <f t="array" ref="D152">_xlfn.XLOOKUP(
 A152,
 tblTargets[TargetID],
 tblTargets[TargetType],
 ""
)</f>
        <v>COLLECTION</v>
      </c>
      <c r="E152" s="45" t="str">
        <f t="array" ref="E152">_xlfn.XLOOKUP(
 A152,
 tblTargetStatus[TargetID],
 tblTargetStatus[ChainAwareStatus],
 ""
)</f>
        <v>BLOCKED</v>
      </c>
      <c r="F152" s="45"/>
      <c r="G152" s="45" t="b">
        <v>0</v>
      </c>
      <c r="H152" s="45" t="b">
        <f t="array" ref="H152">_xlfn.XLOOKUP(
 A152,
 tblTargetStatus[TargetID],
 tblTargetStatus[TargetFunded],
 ""
)</f>
        <v>0</v>
      </c>
      <c r="I152" s="45" t="str">
        <f t="array" ref="I152">IF(
 D152&lt;&gt;"BUILDING",
 "",
 IF(
  Player!$H$1="Active",
  _xlfn.XLOOKUP(
   A152,
   tblrecommended[ActiveTargetID],
   tblrecommended[Order],
   ""
  ),
  _xlfn.XLOOKUP(
   A152,
   tblrecommended[PassiveTargetID],
   tblrecommended[Order],
   ""
  )
 )
)</f>
        <v/>
      </c>
    </row>
    <row r="153" ht="25.5" hidden="1" customHeight="1">
      <c r="A153" s="26" t="s">
        <v>598</v>
      </c>
      <c r="B153" s="26" t="str">
        <f t="array" ref="B153">_xlfn.XLOOKUP(Checklist!$A153,tblTargets[TargetID],tblTargets[DisplayName])</f>
        <v>Gallery 1 Lv 3</v>
      </c>
      <c r="C153" s="21" t="str">
        <f t="array" ref="C153">_xlfn.XLOOKUP(
 A153,
 tblTargetStatus[TargetID],
 tblTargetStatus[successors],
 ""
)</f>
        <v>Gallery 1 Lv 4</v>
      </c>
      <c r="D153" s="26" t="str">
        <f t="array" ref="D153">_xlfn.XLOOKUP(
 A153,
 tblTargets[TargetID],
 tblTargets[TargetType],
 ""
)</f>
        <v>COLLECTION</v>
      </c>
      <c r="E153" s="45" t="str">
        <f t="array" ref="E153">_xlfn.XLOOKUP(
 A153,
 tblTargetStatus[TargetID],
 tblTargetStatus[ChainAwareStatus],
 ""
)</f>
        <v>BLOCKED</v>
      </c>
      <c r="F153" s="45"/>
      <c r="G153" s="45" t="b">
        <v>0</v>
      </c>
      <c r="H153" s="45" t="b">
        <f t="array" ref="H153">_xlfn.XLOOKUP(
 A153,
 tblTargetStatus[TargetID],
 tblTargetStatus[TargetFunded],
 ""
)</f>
        <v>0</v>
      </c>
      <c r="I153" s="45" t="str">
        <f t="array" ref="I153">IF(
 D153&lt;&gt;"BUILDING",
 "",
 IF(
  Player!$H$1="Active",
  _xlfn.XLOOKUP(
   A153,
   tblrecommended[ActiveTargetID],
   tblrecommended[Order],
   ""
  ),
  _xlfn.XLOOKUP(
   A153,
   tblrecommended[PassiveTargetID],
   tblrecommended[Order],
   ""
  )
 )
)</f>
        <v/>
      </c>
    </row>
    <row r="154" ht="25.5" hidden="1" customHeight="1">
      <c r="A154" s="26" t="s">
        <v>600</v>
      </c>
      <c r="B154" s="26" t="str">
        <f t="array" ref="B154">_xlfn.XLOOKUP(Checklist!$A154,tblTargets[TargetID],tblTargets[DisplayName])</f>
        <v>Gallery 1 Lv 4</v>
      </c>
      <c r="C154" s="21" t="str">
        <f t="array" ref="C154">_xlfn.XLOOKUP(
 A154,
 tblTargetStatus[TargetID],
 tblTargetStatus[successors],
 ""
)</f>
        <v>Gallery 1 Lv 5</v>
      </c>
      <c r="D154" s="26" t="str">
        <f t="array" ref="D154">_xlfn.XLOOKUP(
 A154,
 tblTargets[TargetID],
 tblTargets[TargetType],
 ""
)</f>
        <v>COLLECTION</v>
      </c>
      <c r="E154" s="45" t="str">
        <f t="array" ref="E154">_xlfn.XLOOKUP(
 A154,
 tblTargetStatus[TargetID],
 tblTargetStatus[ChainAwareStatus],
 ""
)</f>
        <v>BLOCKED</v>
      </c>
      <c r="F154" s="45"/>
      <c r="G154" s="45" t="b">
        <v>0</v>
      </c>
      <c r="H154" s="45" t="b">
        <f t="array" ref="H154">_xlfn.XLOOKUP(
 A154,
 tblTargetStatus[TargetID],
 tblTargetStatus[TargetFunded],
 ""
)</f>
        <v>0</v>
      </c>
      <c r="I154" s="45" t="str">
        <f t="array" ref="I154">IF(
 D154&lt;&gt;"BUILDING",
 "",
 IF(
  Player!$H$1="Active",
  _xlfn.XLOOKUP(
   A154,
   tblrecommended[ActiveTargetID],
   tblrecommended[Order],
   ""
  ),
  _xlfn.XLOOKUP(
   A154,
   tblrecommended[PassiveTargetID],
   tblrecommended[Order],
   ""
  )
 )
)</f>
        <v/>
      </c>
    </row>
    <row r="155" ht="25.5" hidden="1" customHeight="1">
      <c r="A155" s="26" t="s">
        <v>603</v>
      </c>
      <c r="B155" s="26" t="str">
        <f t="array" ref="B155">_xlfn.XLOOKUP(Checklist!$A155,tblTargets[TargetID],tblTargets[DisplayName])</f>
        <v>Gallery 1 Lv 5</v>
      </c>
      <c r="C155" s="21" t="str">
        <f t="array" ref="C155">_xlfn.XLOOKUP(
 A155,
 tblTargetStatus[TargetID],
 tblTargetStatus[successors],
 ""
)</f>
        <v/>
      </c>
      <c r="D155" s="26" t="str">
        <f t="array" ref="D155">_xlfn.XLOOKUP(
 A155,
 tblTargets[TargetID],
 tblTargets[TargetType],
 ""
)</f>
        <v>COLLECTION</v>
      </c>
      <c r="E155" s="45" t="str">
        <f t="array" ref="E155">_xlfn.XLOOKUP(
 A155,
 tblTargetStatus[TargetID],
 tblTargetStatus[ChainAwareStatus],
 ""
)</f>
        <v>BLOCKED</v>
      </c>
      <c r="F155" s="45"/>
      <c r="G155" s="45" t="b">
        <v>0</v>
      </c>
      <c r="H155" s="45" t="b">
        <f t="array" ref="H155">_xlfn.XLOOKUP(
 A155,
 tblTargetStatus[TargetID],
 tblTargetStatus[TargetFunded],
 ""
)</f>
        <v>0</v>
      </c>
      <c r="I155" s="45" t="str">
        <f t="array" ref="I155">IF(
 D155&lt;&gt;"BUILDING",
 "",
 IF(
  Player!$H$1="Active",
  _xlfn.XLOOKUP(
   A155,
   tblrecommended[ActiveTargetID],
   tblrecommended[Order],
   ""
  ),
  _xlfn.XLOOKUP(
   A155,
   tblrecommended[PassiveTargetID],
   tblrecommended[Order],
   ""
  )
 )
)</f>
        <v/>
      </c>
    </row>
    <row r="156" ht="25.5" hidden="1" customHeight="1">
      <c r="A156" s="26" t="s">
        <v>605</v>
      </c>
      <c r="B156" s="26" t="str">
        <f t="array" ref="B156">_xlfn.XLOOKUP(Checklist!$A156,tblTargets[TargetID],tblTargets[DisplayName])</f>
        <v>Gallery 2 Lv 1</v>
      </c>
      <c r="C156" s="21" t="str">
        <f t="array" ref="C156">_xlfn.XLOOKUP(
 A156,
 tblTargetStatus[TargetID],
 tblTargetStatus[successors],
 ""
)</f>
        <v>Gallery 2 Lv 2</v>
      </c>
      <c r="D156" s="26" t="str">
        <f t="array" ref="D156">_xlfn.XLOOKUP(
 A156,
 tblTargets[TargetID],
 tblTargets[TargetType],
 ""
)</f>
        <v>COLLECTION</v>
      </c>
      <c r="E156" s="45" t="str">
        <f t="array" ref="E156">_xlfn.XLOOKUP(
 A156,
 tblTargetStatus[TargetID],
 tblTargetStatus[ChainAwareStatus],
 ""
)</f>
        <v>BLOCKED</v>
      </c>
      <c r="F156" s="45"/>
      <c r="G156" s="45" t="b">
        <v>0</v>
      </c>
      <c r="H156" s="45" t="b">
        <f t="array" ref="H156">_xlfn.XLOOKUP(
 A156,
 tblTargetStatus[TargetID],
 tblTargetStatus[TargetFunded],
 ""
)</f>
        <v>0</v>
      </c>
      <c r="I156" s="45" t="str">
        <f t="array" ref="I156">IF(
 D156&lt;&gt;"BUILDING",
 "",
 IF(
  Player!$H$1="Active",
  _xlfn.XLOOKUP(
   A156,
   tblrecommended[ActiveTargetID],
   tblrecommended[Order],
   ""
  ),
  _xlfn.XLOOKUP(
   A156,
   tblrecommended[PassiveTargetID],
   tblrecommended[Order],
   ""
  )
 )
)</f>
        <v/>
      </c>
    </row>
    <row r="157" ht="25.5" hidden="1" customHeight="1">
      <c r="A157" s="26" t="s">
        <v>607</v>
      </c>
      <c r="B157" s="26" t="str">
        <f t="array" ref="B157">_xlfn.XLOOKUP(Checklist!$A157,tblTargets[TargetID],tblTargets[DisplayName])</f>
        <v>Gallery 2 Lv 2</v>
      </c>
      <c r="C157" s="21" t="str">
        <f t="array" ref="C157">_xlfn.XLOOKUP(
 A157,
 tblTargetStatus[TargetID],
 tblTargetStatus[successors],
 ""
)</f>
        <v>Gallery 2 Lv 3</v>
      </c>
      <c r="D157" s="26" t="str">
        <f t="array" ref="D157">_xlfn.XLOOKUP(
 A157,
 tblTargets[TargetID],
 tblTargets[TargetType],
 ""
)</f>
        <v>COLLECTION</v>
      </c>
      <c r="E157" s="45" t="str">
        <f t="array" ref="E157">_xlfn.XLOOKUP(
 A157,
 tblTargetStatus[TargetID],
 tblTargetStatus[ChainAwareStatus],
 ""
)</f>
        <v>BLOCKED</v>
      </c>
      <c r="F157" s="45"/>
      <c r="G157" s="45" t="b">
        <v>0</v>
      </c>
      <c r="H157" s="45" t="b">
        <f t="array" ref="H157">_xlfn.XLOOKUP(
 A157,
 tblTargetStatus[TargetID],
 tblTargetStatus[TargetFunded],
 ""
)</f>
        <v>0</v>
      </c>
      <c r="I157" s="45" t="str">
        <f t="array" ref="I157">IF(
 D157&lt;&gt;"BUILDING",
 "",
 IF(
  Player!$H$1="Active",
  _xlfn.XLOOKUP(
   A157,
   tblrecommended[ActiveTargetID],
   tblrecommended[Order],
   ""
  ),
  _xlfn.XLOOKUP(
   A157,
   tblrecommended[PassiveTargetID],
   tblrecommended[Order],
   ""
  )
 )
)</f>
        <v/>
      </c>
    </row>
    <row r="158" ht="25.5" hidden="1" customHeight="1">
      <c r="A158" s="26" t="s">
        <v>610</v>
      </c>
      <c r="B158" s="26" t="str">
        <f t="array" ref="B158">_xlfn.XLOOKUP(Checklist!$A158,tblTargets[TargetID],tblTargets[DisplayName])</f>
        <v>Gallery 2 Lv 3</v>
      </c>
      <c r="C158" s="21" t="str">
        <f t="array" ref="C158">_xlfn.XLOOKUP(
 A158,
 tblTargetStatus[TargetID],
 tblTargetStatus[successors],
 ""
)</f>
        <v>Gallery 2 Lv 4</v>
      </c>
      <c r="D158" s="26" t="str">
        <f t="array" ref="D158">_xlfn.XLOOKUP(
 A158,
 tblTargets[TargetID],
 tblTargets[TargetType],
 ""
)</f>
        <v>COLLECTION</v>
      </c>
      <c r="E158" s="45" t="str">
        <f t="array" ref="E158">_xlfn.XLOOKUP(
 A158,
 tblTargetStatus[TargetID],
 tblTargetStatus[ChainAwareStatus],
 ""
)</f>
        <v>BLOCKED</v>
      </c>
      <c r="F158" s="45"/>
      <c r="G158" s="45" t="b">
        <v>0</v>
      </c>
      <c r="H158" s="45" t="b">
        <f t="array" ref="H158">_xlfn.XLOOKUP(
 A158,
 tblTargetStatus[TargetID],
 tblTargetStatus[TargetFunded],
 ""
)</f>
        <v>0</v>
      </c>
      <c r="I158" s="45" t="str">
        <f t="array" ref="I158">IF(
 D158&lt;&gt;"BUILDING",
 "",
 IF(
  Player!$H$1="Active",
  _xlfn.XLOOKUP(
   A158,
   tblrecommended[ActiveTargetID],
   tblrecommended[Order],
   ""
  ),
  _xlfn.XLOOKUP(
   A158,
   tblrecommended[PassiveTargetID],
   tblrecommended[Order],
   ""
  )
 )
)</f>
        <v/>
      </c>
    </row>
    <row r="159" ht="25.5" hidden="1" customHeight="1">
      <c r="A159" s="26" t="s">
        <v>612</v>
      </c>
      <c r="B159" s="26" t="str">
        <f t="array" ref="B159">_xlfn.XLOOKUP(Checklist!$A159,tblTargets[TargetID],tblTargets[DisplayName])</f>
        <v>Gallery 2 Lv 4</v>
      </c>
      <c r="C159" s="21" t="str">
        <f t="array" ref="C159">_xlfn.XLOOKUP(
 A159,
 tblTargetStatus[TargetID],
 tblTargetStatus[successors],
 ""
)</f>
        <v>Gallery 2 Lv 5</v>
      </c>
      <c r="D159" s="26" t="str">
        <f t="array" ref="D159">_xlfn.XLOOKUP(
 A159,
 tblTargets[TargetID],
 tblTargets[TargetType],
 ""
)</f>
        <v>COLLECTION</v>
      </c>
      <c r="E159" s="45" t="str">
        <f t="array" ref="E159">_xlfn.XLOOKUP(
 A159,
 tblTargetStatus[TargetID],
 tblTargetStatus[ChainAwareStatus],
 ""
)</f>
        <v>BLOCKED</v>
      </c>
      <c r="F159" s="45"/>
      <c r="G159" s="45" t="b">
        <v>0</v>
      </c>
      <c r="H159" s="45" t="b">
        <f t="array" ref="H159">_xlfn.XLOOKUP(
 A159,
 tblTargetStatus[TargetID],
 tblTargetStatus[TargetFunded],
 ""
)</f>
        <v>0</v>
      </c>
      <c r="I159" s="45" t="str">
        <f t="array" ref="I159">IF(
 D159&lt;&gt;"BUILDING",
 "",
 IF(
  Player!$H$1="Active",
  _xlfn.XLOOKUP(
   A159,
   tblrecommended[ActiveTargetID],
   tblrecommended[Order],
   ""
  ),
  _xlfn.XLOOKUP(
   A159,
   tblrecommended[PassiveTargetID],
   tblrecommended[Order],
   ""
  )
 )
)</f>
        <v/>
      </c>
    </row>
    <row r="160" ht="25.5" hidden="1" customHeight="1">
      <c r="A160" s="26" t="s">
        <v>614</v>
      </c>
      <c r="B160" s="26" t="str">
        <f t="array" ref="B160">_xlfn.XLOOKUP(Checklist!$A160,tblTargets[TargetID],tblTargets[DisplayName])</f>
        <v>Gallery 2 Lv 5</v>
      </c>
      <c r="C160" s="21" t="str">
        <f t="array" ref="C160">_xlfn.XLOOKUP(
 A160,
 tblTargetStatus[TargetID],
 tblTargetStatus[successors],
 ""
)</f>
        <v/>
      </c>
      <c r="D160" s="26" t="str">
        <f t="array" ref="D160">_xlfn.XLOOKUP(
 A160,
 tblTargets[TargetID],
 tblTargets[TargetType],
 ""
)</f>
        <v>COLLECTION</v>
      </c>
      <c r="E160" s="45" t="str">
        <f t="array" ref="E160">_xlfn.XLOOKUP(
 A160,
 tblTargetStatus[TargetID],
 tblTargetStatus[ChainAwareStatus],
 ""
)</f>
        <v>BLOCKED</v>
      </c>
      <c r="F160" s="45"/>
      <c r="G160" s="45" t="b">
        <v>0</v>
      </c>
      <c r="H160" s="45" t="b">
        <f t="array" ref="H160">_xlfn.XLOOKUP(
 A160,
 tblTargetStatus[TargetID],
 tblTargetStatus[TargetFunded],
 ""
)</f>
        <v>0</v>
      </c>
      <c r="I160" s="45" t="str">
        <f t="array" ref="I160">IF(
 D160&lt;&gt;"BUILDING",
 "",
 IF(
  Player!$H$1="Active",
  _xlfn.XLOOKUP(
   A160,
   tblrecommended[ActiveTargetID],
   tblrecommended[Order],
   ""
  ),
  _xlfn.XLOOKUP(
   A160,
   tblrecommended[PassiveTargetID],
   tblrecommended[Order],
   ""
  )
 )
)</f>
        <v/>
      </c>
    </row>
    <row r="161" ht="25.5" hidden="1" customHeight="1">
      <c r="A161" s="26" t="s">
        <v>616</v>
      </c>
      <c r="B161" s="26" t="str">
        <f t="array" ref="B161">_xlfn.XLOOKUP(Checklist!$A161,tblTargets[TargetID],tblTargets[DisplayName])</f>
        <v>Gallery 3 Lv 1</v>
      </c>
      <c r="C161" s="21" t="str">
        <f t="array" ref="C161">_xlfn.XLOOKUP(
 A161,
 tblTargetStatus[TargetID],
 tblTargetStatus[successors],
 ""
)</f>
        <v>Gallery 3 Lv 2</v>
      </c>
      <c r="D161" s="26" t="str">
        <f t="array" ref="D161">_xlfn.XLOOKUP(
 A161,
 tblTargets[TargetID],
 tblTargets[TargetType],
 ""
)</f>
        <v>COLLECTION</v>
      </c>
      <c r="E161" s="45" t="str">
        <f t="array" ref="E161">_xlfn.XLOOKUP(
 A161,
 tblTargetStatus[TargetID],
 tblTargetStatus[ChainAwareStatus],
 ""
)</f>
        <v>BLOCKED</v>
      </c>
      <c r="F161" s="45"/>
      <c r="G161" s="45" t="b">
        <v>0</v>
      </c>
      <c r="H161" s="45" t="b">
        <f t="array" ref="H161">_xlfn.XLOOKUP(
 A161,
 tblTargetStatus[TargetID],
 tblTargetStatus[TargetFunded],
 ""
)</f>
        <v>0</v>
      </c>
      <c r="I161" s="45" t="str">
        <f t="array" ref="I161">IF(
 D161&lt;&gt;"BUILDING",
 "",
 IF(
  Player!$H$1="Active",
  _xlfn.XLOOKUP(
   A161,
   tblrecommended[ActiveTargetID],
   tblrecommended[Order],
   ""
  ),
  _xlfn.XLOOKUP(
   A161,
   tblrecommended[PassiveTargetID],
   tblrecommended[Order],
   ""
  )
 )
)</f>
        <v/>
      </c>
    </row>
    <row r="162" ht="25.5" hidden="1" customHeight="1">
      <c r="A162" s="26" t="s">
        <v>618</v>
      </c>
      <c r="B162" s="26" t="str">
        <f t="array" ref="B162">_xlfn.XLOOKUP(Checklist!$A162,tblTargets[TargetID],tblTargets[DisplayName])</f>
        <v>Gallery 3 Lv 2</v>
      </c>
      <c r="C162" s="21" t="str">
        <f t="array" ref="C162">_xlfn.XLOOKUP(
 A162,
 tblTargetStatus[TargetID],
 tblTargetStatus[successors],
 ""
)</f>
        <v>Gallery 3 Lv 3</v>
      </c>
      <c r="D162" s="26" t="str">
        <f t="array" ref="D162">_xlfn.XLOOKUP(
 A162,
 tblTargets[TargetID],
 tblTargets[TargetType],
 ""
)</f>
        <v>COLLECTION</v>
      </c>
      <c r="E162" s="45" t="str">
        <f t="array" ref="E162">_xlfn.XLOOKUP(
 A162,
 tblTargetStatus[TargetID],
 tblTargetStatus[ChainAwareStatus],
 ""
)</f>
        <v>BLOCKED</v>
      </c>
      <c r="F162" s="45"/>
      <c r="G162" s="45" t="b">
        <v>0</v>
      </c>
      <c r="H162" s="45" t="b">
        <f t="array" ref="H162">_xlfn.XLOOKUP(
 A162,
 tblTargetStatus[TargetID],
 tblTargetStatus[TargetFunded],
 ""
)</f>
        <v>0</v>
      </c>
      <c r="I162" s="45" t="str">
        <f t="array" ref="I162">IF(
 D162&lt;&gt;"BUILDING",
 "",
 IF(
  Player!$H$1="Active",
  _xlfn.XLOOKUP(
   A162,
   tblrecommended[ActiveTargetID],
   tblrecommended[Order],
   ""
  ),
  _xlfn.XLOOKUP(
   A162,
   tblrecommended[PassiveTargetID],
   tblrecommended[Order],
   ""
  )
 )
)</f>
        <v/>
      </c>
    </row>
    <row r="163" ht="25.5" hidden="1" customHeight="1">
      <c r="A163" s="26" t="s">
        <v>627</v>
      </c>
      <c r="B163" s="26" t="str">
        <f t="array" ref="B163">_xlfn.XLOOKUP(Checklist!$A163,tblTargets[TargetID],tblTargets[DisplayName])</f>
        <v>Gallery 3 Lv 3</v>
      </c>
      <c r="C163" s="21" t="str">
        <f t="array" ref="C163">_xlfn.XLOOKUP(
 A163,
 tblTargetStatus[TargetID],
 tblTargetStatus[successors],
 ""
)</f>
        <v>Gallery 3 Lv 4</v>
      </c>
      <c r="D163" s="26" t="str">
        <f t="array" ref="D163">_xlfn.XLOOKUP(
 A163,
 tblTargets[TargetID],
 tblTargets[TargetType],
 ""
)</f>
        <v>COLLECTION</v>
      </c>
      <c r="E163" s="45" t="str">
        <f t="array" ref="E163">_xlfn.XLOOKUP(
 A163,
 tblTargetStatus[TargetID],
 tblTargetStatus[ChainAwareStatus],
 ""
)</f>
        <v>BLOCKED</v>
      </c>
      <c r="F163" s="45"/>
      <c r="G163" s="45" t="b">
        <v>0</v>
      </c>
      <c r="H163" s="45" t="b">
        <f t="array" ref="H163">_xlfn.XLOOKUP(
 A163,
 tblTargetStatus[TargetID],
 tblTargetStatus[TargetFunded],
 ""
)</f>
        <v>0</v>
      </c>
      <c r="I163" s="45" t="str">
        <f t="array" ref="I163">IF(
 D163&lt;&gt;"BUILDING",
 "",
 IF(
  Player!$H$1="Active",
  _xlfn.XLOOKUP(
   A163,
   tblrecommended[ActiveTargetID],
   tblrecommended[Order],
   ""
  ),
  _xlfn.XLOOKUP(
   A163,
   tblrecommended[PassiveTargetID],
   tblrecommended[Order],
   ""
  )
 )
)</f>
        <v/>
      </c>
    </row>
    <row r="164" ht="25.5" hidden="1" customHeight="1">
      <c r="A164" s="26" t="s">
        <v>631</v>
      </c>
      <c r="B164" s="26" t="str">
        <f t="array" ref="B164">_xlfn.XLOOKUP(Checklist!$A164,tblTargets[TargetID],tblTargets[DisplayName])</f>
        <v>Gallery 3 Lv 4</v>
      </c>
      <c r="C164" s="21" t="str">
        <f t="array" ref="C164">_xlfn.XLOOKUP(
 A164,
 tblTargetStatus[TargetID],
 tblTargetStatus[successors],
 ""
)</f>
        <v>Gallery 3 Lv 5</v>
      </c>
      <c r="D164" s="26" t="str">
        <f t="array" ref="D164">_xlfn.XLOOKUP(
 A164,
 tblTargets[TargetID],
 tblTargets[TargetType],
 ""
)</f>
        <v>COLLECTION</v>
      </c>
      <c r="E164" s="45" t="str">
        <f t="array" ref="E164">_xlfn.XLOOKUP(
 A164,
 tblTargetStatus[TargetID],
 tblTargetStatus[ChainAwareStatus],
 ""
)</f>
        <v>BLOCKED</v>
      </c>
      <c r="F164" s="45"/>
      <c r="G164" s="45" t="b">
        <v>0</v>
      </c>
      <c r="H164" s="45" t="b">
        <f t="array" ref="H164">_xlfn.XLOOKUP(
 A164,
 tblTargetStatus[TargetID],
 tblTargetStatus[TargetFunded],
 ""
)</f>
        <v>0</v>
      </c>
      <c r="I164" s="45" t="str">
        <f t="array" ref="I164">IF(
 D164&lt;&gt;"BUILDING",
 "",
 IF(
  Player!$H$1="Active",
  _xlfn.XLOOKUP(
   A164,
   tblrecommended[ActiveTargetID],
   tblrecommended[Order],
   ""
  ),
  _xlfn.XLOOKUP(
   A164,
   tblrecommended[PassiveTargetID],
   tblrecommended[Order],
   ""
  )
 )
)</f>
        <v/>
      </c>
    </row>
    <row r="165" ht="25.5" hidden="1" customHeight="1">
      <c r="A165" s="26" t="s">
        <v>635</v>
      </c>
      <c r="B165" s="26" t="str">
        <f t="array" ref="B165">_xlfn.XLOOKUP(Checklist!$A165,tblTargets[TargetID],tblTargets[DisplayName])</f>
        <v>Gallery 3 Lv 5</v>
      </c>
      <c r="C165" s="21" t="str">
        <f t="array" ref="C165">_xlfn.XLOOKUP(
 A165,
 tblTargetStatus[TargetID],
 tblTargetStatus[successors],
 ""
)</f>
        <v/>
      </c>
      <c r="D165" s="26" t="str">
        <f t="array" ref="D165">_xlfn.XLOOKUP(
 A165,
 tblTargets[TargetID],
 tblTargets[TargetType],
 ""
)</f>
        <v>COLLECTION</v>
      </c>
      <c r="E165" s="45" t="str">
        <f t="array" ref="E165">_xlfn.XLOOKUP(
 A165,
 tblTargetStatus[TargetID],
 tblTargetStatus[ChainAwareStatus],
 ""
)</f>
        <v>BLOCKED</v>
      </c>
      <c r="F165" s="45"/>
      <c r="G165" s="45" t="b">
        <v>0</v>
      </c>
      <c r="H165" s="45" t="b">
        <f t="array" ref="H165">_xlfn.XLOOKUP(
 A165,
 tblTargetStatus[TargetID],
 tblTargetStatus[TargetFunded],
 ""
)</f>
        <v>0</v>
      </c>
      <c r="I165" s="45" t="str">
        <f t="array" ref="I165">IF(
 D165&lt;&gt;"BUILDING",
 "",
 IF(
  Player!$H$1="Active",
  _xlfn.XLOOKUP(
   A165,
   tblrecommended[ActiveTargetID],
   tblrecommended[Order],
   ""
  ),
  _xlfn.XLOOKUP(
   A165,
   tblrecommended[PassiveTargetID],
   tblrecommended[Order],
   ""
  )
 )
)</f>
        <v/>
      </c>
    </row>
    <row r="166" ht="25.5" hidden="1" customHeight="1">
      <c r="A166" s="26" t="s">
        <v>640</v>
      </c>
      <c r="B166" s="26" t="str">
        <f t="array" ref="B166">_xlfn.XLOOKUP(Checklist!$A166,tblTargets[TargetID],tblTargets[DisplayName])</f>
        <v>Historical Library 1 Lv 1</v>
      </c>
      <c r="C166" s="21" t="str">
        <f t="array" ref="C166">_xlfn.XLOOKUP(
 A166,
 tblTargetStatus[TargetID],
 tblTargetStatus[successors],
 ""
)</f>
        <v>Historical Library 1 Lv 2</v>
      </c>
      <c r="D166" s="26" t="str">
        <f t="array" ref="D166">_xlfn.XLOOKUP(
 A166,
 tblTargets[TargetID],
 tblTargets[TargetType],
 ""
)</f>
        <v>COLLECTION</v>
      </c>
      <c r="E166" s="45" t="str">
        <f t="array" ref="E166">_xlfn.XLOOKUP(
 A166,
 tblTargetStatus[TargetID],
 tblTargetStatus[ChainAwareStatus],
 ""
)</f>
        <v>BLOCKED</v>
      </c>
      <c r="F166" s="45"/>
      <c r="G166" s="45" t="b">
        <v>0</v>
      </c>
      <c r="H166" s="45" t="b">
        <f t="array" ref="H166">_xlfn.XLOOKUP(
 A166,
 tblTargetStatus[TargetID],
 tblTargetStatus[TargetFunded],
 ""
)</f>
        <v>0</v>
      </c>
      <c r="I166" s="45" t="str">
        <f t="array" ref="I166">IF(
 D166&lt;&gt;"BUILDING",
 "",
 IF(
  Player!$H$1="Active",
  _xlfn.XLOOKUP(
   A166,
   tblrecommended[ActiveTargetID],
   tblrecommended[Order],
   ""
  ),
  _xlfn.XLOOKUP(
   A166,
   tblrecommended[PassiveTargetID],
   tblrecommended[Order],
   ""
  )
 )
)</f>
        <v/>
      </c>
    </row>
    <row r="167" ht="25.5" hidden="1" customHeight="1">
      <c r="A167" s="26" t="s">
        <v>643</v>
      </c>
      <c r="B167" s="26" t="str">
        <f t="array" ref="B167">_xlfn.XLOOKUP(Checklist!$A167,tblTargets[TargetID],tblTargets[DisplayName])</f>
        <v>Historical Library 1 Lv 2</v>
      </c>
      <c r="C167" s="21" t="str">
        <f t="array" ref="C167">_xlfn.XLOOKUP(
 A167,
 tblTargetStatus[TargetID],
 tblTargetStatus[successors],
 ""
)</f>
        <v>Historical Library 1 Lv 3</v>
      </c>
      <c r="D167" s="26" t="str">
        <f t="array" ref="D167">_xlfn.XLOOKUP(
 A167,
 tblTargets[TargetID],
 tblTargets[TargetType],
 ""
)</f>
        <v>COLLECTION</v>
      </c>
      <c r="E167" s="45" t="str">
        <f t="array" ref="E167">_xlfn.XLOOKUP(
 A167,
 tblTargetStatus[TargetID],
 tblTargetStatus[ChainAwareStatus],
 ""
)</f>
        <v>BLOCKED</v>
      </c>
      <c r="F167" s="45">
        <v>20.0</v>
      </c>
      <c r="G167" s="45" t="b">
        <v>0</v>
      </c>
      <c r="H167" s="45" t="b">
        <f t="array" ref="H167">_xlfn.XLOOKUP(
 A167,
 tblTargetStatus[TargetID],
 tblTargetStatus[TargetFunded],
 ""
)</f>
        <v>0</v>
      </c>
      <c r="I167" s="45" t="str">
        <f t="array" ref="I167">IF(
 D167&lt;&gt;"BUILDING",
 "",
 IF(
  Player!$H$1="Active",
  _xlfn.XLOOKUP(
   A167,
   tblrecommended[ActiveTargetID],
   tblrecommended[Order],
   ""
  ),
  _xlfn.XLOOKUP(
   A167,
   tblrecommended[PassiveTargetID],
   tblrecommended[Order],
   ""
  )
 )
)</f>
        <v/>
      </c>
    </row>
    <row r="168" ht="25.5" hidden="1" customHeight="1">
      <c r="A168" s="26" t="s">
        <v>647</v>
      </c>
      <c r="B168" s="26" t="str">
        <f t="array" ref="B168">_xlfn.XLOOKUP(Checklist!$A168,tblTargets[TargetID],tblTargets[DisplayName])</f>
        <v>Historical Library 1 Lv 3</v>
      </c>
      <c r="C168" s="21" t="str">
        <f t="array" ref="C168">_xlfn.XLOOKUP(
 A168,
 tblTargetStatus[TargetID],
 tblTargetStatus[successors],
 ""
)</f>
        <v/>
      </c>
      <c r="D168" s="26" t="str">
        <f t="array" ref="D168">_xlfn.XLOOKUP(
 A168,
 tblTargets[TargetID],
 tblTargets[TargetType],
 ""
)</f>
        <v>COLLECTION</v>
      </c>
      <c r="E168" s="45" t="str">
        <f t="array" ref="E168">_xlfn.XLOOKUP(
 A168,
 tblTargetStatus[TargetID],
 tblTargetStatus[ChainAwareStatus],
 ""
)</f>
        <v>BLOCKED</v>
      </c>
      <c r="F168" s="45"/>
      <c r="G168" s="45" t="b">
        <v>0</v>
      </c>
      <c r="H168" s="45" t="b">
        <f t="array" ref="H168">_xlfn.XLOOKUP(
 A168,
 tblTargetStatus[TargetID],
 tblTargetStatus[TargetFunded],
 ""
)</f>
        <v>0</v>
      </c>
      <c r="I168" s="45" t="str">
        <f t="array" ref="I168">IF(
 D168&lt;&gt;"BUILDING",
 "",
 IF(
  Player!$H$1="Active",
  _xlfn.XLOOKUP(
   A168,
   tblrecommended[ActiveTargetID],
   tblrecommended[Order],
   ""
  ),
  _xlfn.XLOOKUP(
   A168,
   tblrecommended[PassiveTargetID],
   tblrecommended[Order],
   ""
  )
 )
)</f>
        <v/>
      </c>
    </row>
    <row r="169" ht="25.5" hidden="1" customHeight="1">
      <c r="A169" s="26" t="s">
        <v>649</v>
      </c>
      <c r="B169" s="26" t="str">
        <f t="array" ref="B169">_xlfn.XLOOKUP(Checklist!$A169,tblTargets[TargetID],tblTargets[DisplayName])</f>
        <v>Historical Library 2 Lv 1</v>
      </c>
      <c r="C169" s="21" t="str">
        <f t="array" ref="C169">_xlfn.XLOOKUP(
 A169,
 tblTargetStatus[TargetID],
 tblTargetStatus[successors],
 ""
)</f>
        <v>Historical Library 2 Lv 2</v>
      </c>
      <c r="D169" s="26" t="str">
        <f t="array" ref="D169">_xlfn.XLOOKUP(
 A169,
 tblTargets[TargetID],
 tblTargets[TargetType],
 ""
)</f>
        <v>COLLECTION</v>
      </c>
      <c r="E169" s="45" t="str">
        <f t="array" ref="E169">_xlfn.XLOOKUP(
 A169,
 tblTargetStatus[TargetID],
 tblTargetStatus[ChainAwareStatus],
 ""
)</f>
        <v>BLOCKED</v>
      </c>
      <c r="F169" s="45"/>
      <c r="G169" s="45" t="b">
        <v>0</v>
      </c>
      <c r="H169" s="45" t="b">
        <f t="array" ref="H169">_xlfn.XLOOKUP(
 A169,
 tblTargetStatus[TargetID],
 tblTargetStatus[TargetFunded],
 ""
)</f>
        <v>0</v>
      </c>
      <c r="I169" s="45" t="str">
        <f t="array" ref="I169">IF(
 D169&lt;&gt;"BUILDING",
 "",
 IF(
  Player!$H$1="Active",
  _xlfn.XLOOKUP(
   A169,
   tblrecommended[ActiveTargetID],
   tblrecommended[Order],
   ""
  ),
  _xlfn.XLOOKUP(
   A169,
   tblrecommended[PassiveTargetID],
   tblrecommended[Order],
   ""
  )
 )
)</f>
        <v/>
      </c>
    </row>
    <row r="170" ht="25.5" hidden="1" customHeight="1">
      <c r="A170" s="26" t="s">
        <v>654</v>
      </c>
      <c r="B170" s="26" t="str">
        <f t="array" ref="B170">_xlfn.XLOOKUP(Checklist!$A170,tblTargets[TargetID],tblTargets[DisplayName])</f>
        <v>Historical Library 2 Lv 2</v>
      </c>
      <c r="C170" s="21" t="str">
        <f t="array" ref="C170">_xlfn.XLOOKUP(
 A170,
 tblTargetStatus[TargetID],
 tblTargetStatus[successors],
 ""
)</f>
        <v>Historical Library 2 Lv 3</v>
      </c>
      <c r="D170" s="26" t="str">
        <f t="array" ref="D170">_xlfn.XLOOKUP(
 A170,
 tblTargets[TargetID],
 tblTargets[TargetType],
 ""
)</f>
        <v>COLLECTION</v>
      </c>
      <c r="E170" s="45" t="str">
        <f t="array" ref="E170">_xlfn.XLOOKUP(
 A170,
 tblTargetStatus[TargetID],
 tblTargetStatus[ChainAwareStatus],
 ""
)</f>
        <v>BLOCKED</v>
      </c>
      <c r="F170" s="45"/>
      <c r="G170" s="45" t="b">
        <v>0</v>
      </c>
      <c r="H170" s="45" t="b">
        <f t="array" ref="H170">_xlfn.XLOOKUP(
 A170,
 tblTargetStatus[TargetID],
 tblTargetStatus[TargetFunded],
 ""
)</f>
        <v>0</v>
      </c>
      <c r="I170" s="45" t="str">
        <f t="array" ref="I170">IF(
 D170&lt;&gt;"BUILDING",
 "",
 IF(
  Player!$H$1="Active",
  _xlfn.XLOOKUP(
   A170,
   tblrecommended[ActiveTargetID],
   tblrecommended[Order],
   ""
  ),
  _xlfn.XLOOKUP(
   A170,
   tblrecommended[PassiveTargetID],
   tblrecommended[Order],
   ""
  )
 )
)</f>
        <v/>
      </c>
    </row>
    <row r="171" ht="25.5" hidden="1" customHeight="1">
      <c r="A171" s="26" t="s">
        <v>658</v>
      </c>
      <c r="B171" s="26" t="str">
        <f t="array" ref="B171">_xlfn.XLOOKUP(Checklist!$A171,tblTargets[TargetID],tblTargets[DisplayName])</f>
        <v>Historical Library 2 Lv 3</v>
      </c>
      <c r="C171" s="21" t="str">
        <f t="array" ref="C171">_xlfn.XLOOKUP(
 A171,
 tblTargetStatus[TargetID],
 tblTargetStatus[successors],
 ""
)</f>
        <v/>
      </c>
      <c r="D171" s="26" t="str">
        <f t="array" ref="D171">_xlfn.XLOOKUP(
 A171,
 tblTargets[TargetID],
 tblTargets[TargetType],
 ""
)</f>
        <v>COLLECTION</v>
      </c>
      <c r="E171" s="45" t="str">
        <f t="array" ref="E171">_xlfn.XLOOKUP(
 A171,
 tblTargetStatus[TargetID],
 tblTargetStatus[ChainAwareStatus],
 ""
)</f>
        <v>BLOCKED</v>
      </c>
      <c r="F171" s="45">
        <v>21.0</v>
      </c>
      <c r="G171" s="45" t="b">
        <v>0</v>
      </c>
      <c r="H171" s="45" t="b">
        <f t="array" ref="H171">_xlfn.XLOOKUP(
 A171,
 tblTargetStatus[TargetID],
 tblTargetStatus[TargetFunded],
 ""
)</f>
        <v>0</v>
      </c>
      <c r="I171" s="45" t="str">
        <f t="array" ref="I171">IF(
 D171&lt;&gt;"BUILDING",
 "",
 IF(
  Player!$H$1="Active",
  _xlfn.XLOOKUP(
   A171,
   tblrecommended[ActiveTargetID],
   tblrecommended[Order],
   ""
  ),
  _xlfn.XLOOKUP(
   A171,
   tblrecommended[PassiveTargetID],
   tblrecommended[Order],
   ""
  )
 )
)</f>
        <v/>
      </c>
    </row>
    <row r="172" ht="25.5" hidden="1" customHeight="1">
      <c r="A172" s="26" t="s">
        <v>662</v>
      </c>
      <c r="B172" s="26" t="str">
        <f t="array" ref="B172">_xlfn.XLOOKUP(Checklist!$A172,tblTargets[TargetID],tblTargets[DisplayName])</f>
        <v>Horse Lv 1</v>
      </c>
      <c r="C172" s="21" t="str">
        <f t="array" ref="C172">_xlfn.XLOOKUP(
 A172,
 tblTargetStatus[TargetID],
 tblTargetStatus[successors],
 ""
)</f>
        <v/>
      </c>
      <c r="D172" s="26" t="str">
        <f t="array" ref="D172">_xlfn.XLOOKUP(
 A172,
 tblTargets[TargetID],
 tblTargets[TargetType],
 ""
)</f>
        <v>COLLECTION</v>
      </c>
      <c r="E172" s="45" t="str">
        <f t="array" ref="E172">_xlfn.XLOOKUP(
 A172,
 tblTargetStatus[TargetID],
 tblTargetStatus[ChainAwareStatus],
 ""
)</f>
        <v>BLOCKED</v>
      </c>
      <c r="F172" s="45">
        <v>800.0</v>
      </c>
      <c r="G172" s="45" t="b">
        <v>0</v>
      </c>
      <c r="H172" s="45" t="b">
        <f t="array" ref="H172">_xlfn.XLOOKUP(
 A172,
 tblTargetStatus[TargetID],
 tblTargetStatus[TargetFunded],
 ""
)</f>
        <v>0</v>
      </c>
      <c r="I172" s="45" t="str">
        <f t="array" ref="I172">IF(
 D172&lt;&gt;"BUILDING",
 "",
 IF(
  Player!$H$1="Active",
  _xlfn.XLOOKUP(
   A172,
   tblrecommended[ActiveTargetID],
   tblrecommended[Order],
   ""
  ),
  _xlfn.XLOOKUP(
   A172,
   tblrecommended[PassiveTargetID],
   tblrecommended[Order],
   ""
  )
 )
)</f>
        <v/>
      </c>
    </row>
    <row r="173" ht="25.5" hidden="1" customHeight="1">
      <c r="A173" s="26" t="s">
        <v>666</v>
      </c>
      <c r="B173" s="26" t="str">
        <f t="array" ref="B173">_xlfn.XLOOKUP(Checklist!$A173,tblTargets[TargetID],tblTargets[DisplayName])</f>
        <v>Kitchen And Buttery 1 Lv 1</v>
      </c>
      <c r="C173" s="21" t="str">
        <f t="array" ref="C173">_xlfn.XLOOKUP(
 A173,
 tblTargetStatus[TargetID],
 tblTargetStatus[successors],
 ""
)</f>
        <v>Kitchen And Buttery 1 Lv 2</v>
      </c>
      <c r="D173" s="26" t="str">
        <f t="array" ref="D173">_xlfn.XLOOKUP(
 A173,
 tblTargets[TargetID],
 tblTargets[TargetType],
 ""
)</f>
        <v>COLLECTION</v>
      </c>
      <c r="E173" s="45" t="str">
        <f t="array" ref="E173">_xlfn.XLOOKUP(
 A173,
 tblTargetStatus[TargetID],
 tblTargetStatus[ChainAwareStatus],
 ""
)</f>
        <v>BLOCKED</v>
      </c>
      <c r="F173" s="45"/>
      <c r="G173" s="45" t="b">
        <v>0</v>
      </c>
      <c r="H173" s="45" t="b">
        <f t="array" ref="H173">_xlfn.XLOOKUP(
 A173,
 tblTargetStatus[TargetID],
 tblTargetStatus[TargetFunded],
 ""
)</f>
        <v>0</v>
      </c>
      <c r="I173" s="45" t="str">
        <f t="array" ref="I173">IF(
 D173&lt;&gt;"BUILDING",
 "",
 IF(
  Player!$H$1="Active",
  _xlfn.XLOOKUP(
   A173,
   tblrecommended[ActiveTargetID],
   tblrecommended[Order],
   ""
  ),
  _xlfn.XLOOKUP(
   A173,
   tblrecommended[PassiveTargetID],
   tblrecommended[Order],
   ""
  )
 )
)</f>
        <v/>
      </c>
    </row>
    <row r="174" ht="25.5" hidden="1" customHeight="1">
      <c r="A174" s="26" t="s">
        <v>669</v>
      </c>
      <c r="B174" s="26" t="str">
        <f t="array" ref="B174">_xlfn.XLOOKUP(Checklist!$A174,tblTargets[TargetID],tblTargets[DisplayName])</f>
        <v>Kitchen And Buttery 1 Lv 2</v>
      </c>
      <c r="C174" s="21" t="str">
        <f t="array" ref="C174">_xlfn.XLOOKUP(
 A174,
 tblTargetStatus[TargetID],
 tblTargetStatus[successors],
 ""
)</f>
        <v>Kitchen And Buttery 1 Lv 3</v>
      </c>
      <c r="D174" s="26" t="str">
        <f t="array" ref="D174">_xlfn.XLOOKUP(
 A174,
 tblTargets[TargetID],
 tblTargets[TargetType],
 ""
)</f>
        <v>COLLECTION</v>
      </c>
      <c r="E174" s="45" t="str">
        <f t="array" ref="E174">_xlfn.XLOOKUP(
 A174,
 tblTargetStatus[TargetID],
 tblTargetStatus[ChainAwareStatus],
 ""
)</f>
        <v>BLOCKED</v>
      </c>
      <c r="F174" s="45"/>
      <c r="G174" s="45" t="b">
        <v>0</v>
      </c>
      <c r="H174" s="45" t="b">
        <f t="array" ref="H174">_xlfn.XLOOKUP(
 A174,
 tblTargetStatus[TargetID],
 tblTargetStatus[TargetFunded],
 ""
)</f>
        <v>0</v>
      </c>
      <c r="I174" s="45" t="str">
        <f t="array" ref="I174">IF(
 D174&lt;&gt;"BUILDING",
 "",
 IF(
  Player!$H$1="Active",
  _xlfn.XLOOKUP(
   A174,
   tblrecommended[ActiveTargetID],
   tblrecommended[Order],
   ""
  ),
  _xlfn.XLOOKUP(
   A174,
   tblrecommended[PassiveTargetID],
   tblrecommended[Order],
   ""
  )
 )
)</f>
        <v/>
      </c>
    </row>
    <row r="175" ht="25.5" hidden="1" customHeight="1">
      <c r="A175" s="26" t="s">
        <v>673</v>
      </c>
      <c r="B175" s="26" t="str">
        <f t="array" ref="B175">_xlfn.XLOOKUP(Checklist!$A175,tblTargets[TargetID],tblTargets[DisplayName])</f>
        <v>Kitchen And Buttery 1 Lv 3</v>
      </c>
      <c r="C175" s="21" t="str">
        <f t="array" ref="C175">_xlfn.XLOOKUP(
 A175,
 tblTargetStatus[TargetID],
 tblTargetStatus[successors],
 ""
)</f>
        <v>Kitchen And Buttery 1 Lv 4</v>
      </c>
      <c r="D175" s="26" t="str">
        <f t="array" ref="D175">_xlfn.XLOOKUP(
 A175,
 tblTargets[TargetID],
 tblTargets[TargetType],
 ""
)</f>
        <v>COLLECTION</v>
      </c>
      <c r="E175" s="45" t="str">
        <f t="array" ref="E175">_xlfn.XLOOKUP(
 A175,
 tblTargetStatus[TargetID],
 tblTargetStatus[ChainAwareStatus],
 ""
)</f>
        <v>BLOCKED</v>
      </c>
      <c r="F175" s="45"/>
      <c r="G175" s="45" t="b">
        <v>0</v>
      </c>
      <c r="H175" s="45" t="b">
        <f t="array" ref="H175">_xlfn.XLOOKUP(
 A175,
 tblTargetStatus[TargetID],
 tblTargetStatus[TargetFunded],
 ""
)</f>
        <v>0</v>
      </c>
      <c r="I175" s="45" t="str">
        <f t="array" ref="I175">IF(
 D175&lt;&gt;"BUILDING",
 "",
 IF(
  Player!$H$1="Active",
  _xlfn.XLOOKUP(
   A175,
   tblrecommended[ActiveTargetID],
   tblrecommended[Order],
   ""
  ),
  _xlfn.XLOOKUP(
   A175,
   tblrecommended[PassiveTargetID],
   tblrecommended[Order],
   ""
  )
 )
)</f>
        <v/>
      </c>
    </row>
    <row r="176" ht="25.5" hidden="1" customHeight="1">
      <c r="A176" s="26" t="s">
        <v>677</v>
      </c>
      <c r="B176" s="26" t="str">
        <f t="array" ref="B176">_xlfn.XLOOKUP(Checklist!$A176,tblTargets[TargetID],tblTargets[DisplayName])</f>
        <v>Kitchen And Buttery 1 Lv 4</v>
      </c>
      <c r="C176" s="21" t="str">
        <f t="array" ref="C176">_xlfn.XLOOKUP(
 A176,
 tblTargetStatus[TargetID],
 tblTargetStatus[successors],
 ""
)</f>
        <v>Kitchen And Buttery 1 Lv 5</v>
      </c>
      <c r="D176" s="26" t="str">
        <f t="array" ref="D176">_xlfn.XLOOKUP(
 A176,
 tblTargets[TargetID],
 tblTargets[TargetType],
 ""
)</f>
        <v>COLLECTION</v>
      </c>
      <c r="E176" s="45" t="str">
        <f t="array" ref="E176">_xlfn.XLOOKUP(
 A176,
 tblTargetStatus[TargetID],
 tblTargetStatus[ChainAwareStatus],
 ""
)</f>
        <v>BLOCKED</v>
      </c>
      <c r="F176" s="45">
        <v>23.0</v>
      </c>
      <c r="G176" s="45" t="b">
        <v>0</v>
      </c>
      <c r="H176" s="45" t="b">
        <f t="array" ref="H176">_xlfn.XLOOKUP(
 A176,
 tblTargetStatus[TargetID],
 tblTargetStatus[TargetFunded],
 ""
)</f>
        <v>0</v>
      </c>
      <c r="I176" s="45" t="str">
        <f t="array" ref="I176">IF(
 D176&lt;&gt;"BUILDING",
 "",
 IF(
  Player!$H$1="Active",
  _xlfn.XLOOKUP(
   A176,
   tblrecommended[ActiveTargetID],
   tblrecommended[Order],
   ""
  ),
  _xlfn.XLOOKUP(
   A176,
   tblrecommended[PassiveTargetID],
   tblrecommended[Order],
   ""
  )
 )
)</f>
        <v/>
      </c>
    </row>
    <row r="177" ht="25.5" hidden="1" customHeight="1">
      <c r="A177" s="26" t="s">
        <v>681</v>
      </c>
      <c r="B177" s="26" t="str">
        <f t="array" ref="B177">_xlfn.XLOOKUP(Checklist!$A177,tblTargets[TargetID],tblTargets[DisplayName])</f>
        <v>Kitchen And Buttery 1 Lv 5</v>
      </c>
      <c r="C177" s="21" t="str">
        <f t="array" ref="C177">_xlfn.XLOOKUP(
 A177,
 tblTargetStatus[TargetID],
 tblTargetStatus[successors],
 ""
)</f>
        <v/>
      </c>
      <c r="D177" s="26" t="str">
        <f t="array" ref="D177">_xlfn.XLOOKUP(
 A177,
 tblTargets[TargetID],
 tblTargets[TargetType],
 ""
)</f>
        <v>COLLECTION</v>
      </c>
      <c r="E177" s="45" t="str">
        <f t="array" ref="E177">_xlfn.XLOOKUP(
 A177,
 tblTargetStatus[TargetID],
 tblTargetStatus[ChainAwareStatus],
 ""
)</f>
        <v>BLOCKED</v>
      </c>
      <c r="F177" s="45"/>
      <c r="G177" s="45" t="b">
        <v>0</v>
      </c>
      <c r="H177" s="45" t="b">
        <f t="array" ref="H177">_xlfn.XLOOKUP(
 A177,
 tblTargetStatus[TargetID],
 tblTargetStatus[TargetFunded],
 ""
)</f>
        <v>0</v>
      </c>
      <c r="I177" s="45" t="str">
        <f t="array" ref="I177">IF(
 D177&lt;&gt;"BUILDING",
 "",
 IF(
  Player!$H$1="Active",
  _xlfn.XLOOKUP(
   A177,
   tblrecommended[ActiveTargetID],
   tblrecommended[Order],
   ""
  ),
  _xlfn.XLOOKUP(
   A177,
   tblrecommended[PassiveTargetID],
   tblrecommended[Order],
   ""
  )
 )
)</f>
        <v/>
      </c>
    </row>
    <row r="178" ht="25.5" hidden="1" customHeight="1">
      <c r="A178" s="26" t="s">
        <v>685</v>
      </c>
      <c r="B178" s="26" t="str">
        <f t="array" ref="B178">_xlfn.XLOOKUP(Checklist!$A178,tblTargets[TargetID],tblTargets[DisplayName])</f>
        <v>Kitchen And Buttery 2 Lv 1</v>
      </c>
      <c r="C178" s="21" t="str">
        <f t="array" ref="C178">_xlfn.XLOOKUP(
 A178,
 tblTargetStatus[TargetID],
 tblTargetStatus[successors],
 ""
)</f>
        <v/>
      </c>
      <c r="D178" s="26" t="str">
        <f t="array" ref="D178">_xlfn.XLOOKUP(
 A178,
 tblTargets[TargetID],
 tblTargets[TargetType],
 ""
)</f>
        <v>COLLECTION</v>
      </c>
      <c r="E178" s="45" t="str">
        <f t="array" ref="E178">_xlfn.XLOOKUP(
 A178,
 tblTargetStatus[TargetID],
 tblTargetStatus[ChainAwareStatus],
 ""
)</f>
        <v>BLOCKED</v>
      </c>
      <c r="F178" s="45"/>
      <c r="G178" s="45" t="b">
        <v>0</v>
      </c>
      <c r="H178" s="45" t="b">
        <f t="array" ref="H178">_xlfn.XLOOKUP(
 A178,
 tblTargetStatus[TargetID],
 tblTargetStatus[TargetFunded],
 ""
)</f>
        <v>0</v>
      </c>
      <c r="I178" s="45" t="str">
        <f t="array" ref="I178">IF(
 D178&lt;&gt;"BUILDING",
 "",
 IF(
  Player!$H$1="Active",
  _xlfn.XLOOKUP(
   A178,
   tblrecommended[ActiveTargetID],
   tblrecommended[Order],
   ""
  ),
  _xlfn.XLOOKUP(
   A178,
   tblrecommended[PassiveTargetID],
   tblrecommended[Order],
   ""
  )
 )
)</f>
        <v/>
      </c>
    </row>
    <row r="179" ht="25.5" hidden="1" customHeight="1">
      <c r="A179" s="26" t="s">
        <v>691</v>
      </c>
      <c r="B179" s="26" t="str">
        <f t="array" ref="B179">_xlfn.XLOOKUP(Checklist!$A179,tblTargets[TargetID],tblTargets[DisplayName])</f>
        <v>Mushroom Farm Lv 1</v>
      </c>
      <c r="C179" s="21" t="str">
        <f t="array" ref="C179">_xlfn.XLOOKUP(
 A179,
 tblTargetStatus[TargetID],
 tblTargetStatus[successors],
 ""
)</f>
        <v>Mushroom Farm Lv 2</v>
      </c>
      <c r="D179" s="26" t="str">
        <f t="array" ref="D179">_xlfn.XLOOKUP(
 A179,
 tblTargets[TargetID],
 tblTargets[TargetType],
 ""
)</f>
        <v>COLLECTION</v>
      </c>
      <c r="E179" s="45" t="str">
        <f t="array" ref="E179">_xlfn.XLOOKUP(
 A179,
 tblTargetStatus[TargetID],
 tblTargetStatus[ChainAwareStatus],
 ""
)</f>
        <v>BLOCKED</v>
      </c>
      <c r="F179" s="45"/>
      <c r="G179" s="45" t="b">
        <v>0</v>
      </c>
      <c r="H179" s="45" t="b">
        <f t="array" ref="H179">_xlfn.XLOOKUP(
 A179,
 tblTargetStatus[TargetID],
 tblTargetStatus[TargetFunded],
 ""
)</f>
        <v>0</v>
      </c>
      <c r="I179" s="45" t="str">
        <f t="array" ref="I179">IF(
 D179&lt;&gt;"BUILDING",
 "",
 IF(
  Player!$H$1="Active",
  _xlfn.XLOOKUP(
   A179,
   tblrecommended[ActiveTargetID],
   tblrecommended[Order],
   ""
  ),
  _xlfn.XLOOKUP(
   A179,
   tblrecommended[PassiveTargetID],
   tblrecommended[Order],
   ""
  )
 )
)</f>
        <v/>
      </c>
    </row>
    <row r="180" ht="25.5" hidden="1" customHeight="1">
      <c r="A180" s="26" t="s">
        <v>695</v>
      </c>
      <c r="B180" s="26" t="str">
        <f t="array" ref="B180">_xlfn.XLOOKUP(Checklist!$A180,tblTargets[TargetID],tblTargets[DisplayName])</f>
        <v>Mushroom Farm Lv 2</v>
      </c>
      <c r="C180" s="21" t="str">
        <f t="array" ref="C180">_xlfn.XLOOKUP(
 A180,
 tblTargetStatus[TargetID],
 tblTargetStatus[successors],
 ""
)</f>
        <v/>
      </c>
      <c r="D180" s="26" t="str">
        <f t="array" ref="D180">_xlfn.XLOOKUP(
 A180,
 tblTargets[TargetID],
 tblTargets[TargetType],
 ""
)</f>
        <v>COLLECTION</v>
      </c>
      <c r="E180" s="45" t="str">
        <f t="array" ref="E180">_xlfn.XLOOKUP(
 A180,
 tblTargetStatus[TargetID],
 tblTargetStatus[ChainAwareStatus],
 ""
)</f>
        <v>BLOCKED</v>
      </c>
      <c r="F180" s="45"/>
      <c r="G180" s="45" t="b">
        <v>0</v>
      </c>
      <c r="H180" s="45" t="b">
        <f t="array" ref="H180">_xlfn.XLOOKUP(
 A180,
 tblTargetStatus[TargetID],
 tblTargetStatus[TargetFunded],
 ""
)</f>
        <v>0</v>
      </c>
      <c r="I180" s="45" t="str">
        <f t="array" ref="I180">IF(
 D180&lt;&gt;"BUILDING",
 "",
 IF(
  Player!$H$1="Active",
  _xlfn.XLOOKUP(
   A180,
   tblrecommended[ActiveTargetID],
   tblrecommended[Order],
   ""
  ),
  _xlfn.XLOOKUP(
   A180,
   tblrecommended[PassiveTargetID],
   tblrecommended[Order],
   ""
  )
 )
)</f>
        <v/>
      </c>
    </row>
    <row r="181" ht="25.5" hidden="1" customHeight="1">
      <c r="A181" s="26" t="s">
        <v>698</v>
      </c>
      <c r="B181" s="26" t="str">
        <f t="array" ref="B181">_xlfn.XLOOKUP(Checklist!$A181,tblTargets[TargetID],tblTargets[DisplayName])</f>
        <v>Orangery Lv 1</v>
      </c>
      <c r="C181" s="21" t="str">
        <f t="array" ref="C181">_xlfn.XLOOKUP(
 A181,
 tblTargetStatus[TargetID],
 tblTargetStatus[successors],
 ""
)</f>
        <v>Orangery Lv 2</v>
      </c>
      <c r="D181" s="26" t="str">
        <f t="array" ref="D181">_xlfn.XLOOKUP(
 A181,
 tblTargets[TargetID],
 tblTargets[TargetType],
 ""
)</f>
        <v>COLLECTION</v>
      </c>
      <c r="E181" s="45" t="str">
        <f t="array" ref="E181">_xlfn.XLOOKUP(
 A181,
 tblTargetStatus[TargetID],
 tblTargetStatus[ChainAwareStatus],
 ""
)</f>
        <v>BLOCKED</v>
      </c>
      <c r="F181" s="45"/>
      <c r="G181" s="45" t="b">
        <v>0</v>
      </c>
      <c r="H181" s="45" t="b">
        <f t="array" ref="H181">_xlfn.XLOOKUP(
 A181,
 tblTargetStatus[TargetID],
 tblTargetStatus[TargetFunded],
 ""
)</f>
        <v>0</v>
      </c>
      <c r="I181" s="45" t="str">
        <f t="array" ref="I181">IF(
 D181&lt;&gt;"BUILDING",
 "",
 IF(
  Player!$H$1="Active",
  _xlfn.XLOOKUP(
   A181,
   tblrecommended[ActiveTargetID],
   tblrecommended[Order],
   ""
  ),
  _xlfn.XLOOKUP(
   A181,
   tblrecommended[PassiveTargetID],
   tblrecommended[Order],
   ""
  )
 )
)</f>
        <v/>
      </c>
    </row>
    <row r="182" ht="25.5" hidden="1" customHeight="1">
      <c r="A182" s="26" t="s">
        <v>703</v>
      </c>
      <c r="B182" s="26" t="str">
        <f t="array" ref="B182">_xlfn.XLOOKUP(Checklist!$A182,tblTargets[TargetID],tblTargets[DisplayName])</f>
        <v>Orangery Lv 2</v>
      </c>
      <c r="C182" s="21" t="str">
        <f t="array" ref="C182">_xlfn.XLOOKUP(
 A182,
 tblTargetStatus[TargetID],
 tblTargetStatus[successors],
 ""
)</f>
        <v/>
      </c>
      <c r="D182" s="26" t="str">
        <f t="array" ref="D182">_xlfn.XLOOKUP(
 A182,
 tblTargets[TargetID],
 tblTargets[TargetType],
 ""
)</f>
        <v>COLLECTION</v>
      </c>
      <c r="E182" s="45" t="str">
        <f t="array" ref="E182">_xlfn.XLOOKUP(
 A182,
 tblTargetStatus[TargetID],
 tblTargetStatus[ChainAwareStatus],
 ""
)</f>
        <v>BLOCKED</v>
      </c>
      <c r="F182" s="45"/>
      <c r="G182" s="45" t="b">
        <v>0</v>
      </c>
      <c r="H182" s="45" t="b">
        <f t="array" ref="H182">_xlfn.XLOOKUP(
 A182,
 tblTargetStatus[TargetID],
 tblTargetStatus[TargetFunded],
 ""
)</f>
        <v>0</v>
      </c>
      <c r="I182" s="45" t="str">
        <f t="array" ref="I182">IF(
 D182&lt;&gt;"BUILDING",
 "",
 IF(
  Player!$H$1="Active",
  _xlfn.XLOOKUP(
   A182,
   tblrecommended[ActiveTargetID],
   tblrecommended[Order],
   ""
  ),
  _xlfn.XLOOKUP(
   A182,
   tblrecommended[PassiveTargetID],
   tblrecommended[Order],
   ""
  )
 )
)</f>
        <v/>
      </c>
    </row>
    <row r="183" ht="25.5" hidden="1" customHeight="1">
      <c r="A183" s="26" t="s">
        <v>707</v>
      </c>
      <c r="B183" s="26" t="str">
        <f t="array" ref="B183">_xlfn.XLOOKUP(Checklist!$A183,tblTargets[TargetID],tblTargets[DisplayName])</f>
        <v>Pantry 1 Lv 1</v>
      </c>
      <c r="C183" s="21" t="str">
        <f t="array" ref="C183">_xlfn.XLOOKUP(
 A183,
 tblTargetStatus[TargetID],
 tblTargetStatus[successors],
 ""
)</f>
        <v>Pantry 1 Lv 2</v>
      </c>
      <c r="D183" s="26" t="str">
        <f t="array" ref="D183">_xlfn.XLOOKUP(
 A183,
 tblTargets[TargetID],
 tblTargets[TargetType],
 ""
)</f>
        <v>COLLECTION</v>
      </c>
      <c r="E183" s="45" t="str">
        <f t="array" ref="E183">_xlfn.XLOOKUP(
 A183,
 tblTargetStatus[TargetID],
 tblTargetStatus[ChainAwareStatus],
 ""
)</f>
        <v>BLOCKED</v>
      </c>
      <c r="F183" s="45"/>
      <c r="G183" s="45" t="b">
        <v>0</v>
      </c>
      <c r="H183" s="45" t="b">
        <f t="array" ref="H183">_xlfn.XLOOKUP(
 A183,
 tblTargetStatus[TargetID],
 tblTargetStatus[TargetFunded],
 ""
)</f>
        <v>0</v>
      </c>
      <c r="I183" s="45" t="str">
        <f t="array" ref="I183">IF(
 D183&lt;&gt;"BUILDING",
 "",
 IF(
  Player!$H$1="Active",
  _xlfn.XLOOKUP(
   A183,
   tblrecommended[ActiveTargetID],
   tblrecommended[Order],
   ""
  ),
  _xlfn.XLOOKUP(
   A183,
   tblrecommended[PassiveTargetID],
   tblrecommended[Order],
   ""
  )
 )
)</f>
        <v/>
      </c>
    </row>
    <row r="184" ht="25.5" hidden="1" customHeight="1">
      <c r="A184" s="26" t="s">
        <v>710</v>
      </c>
      <c r="B184" s="26" t="str">
        <f t="array" ref="B184">_xlfn.XLOOKUP(Checklist!$A184,tblTargets[TargetID],tblTargets[DisplayName])</f>
        <v>Pantry 1 Lv 2</v>
      </c>
      <c r="C184" s="21" t="str">
        <f t="array" ref="C184">_xlfn.XLOOKUP(
 A184,
 tblTargetStatus[TargetID],
 tblTargetStatus[successors],
 ""
)</f>
        <v>Pantry 1 Lv 3</v>
      </c>
      <c r="D184" s="26" t="str">
        <f t="array" ref="D184">_xlfn.XLOOKUP(
 A184,
 tblTargets[TargetID],
 tblTargets[TargetType],
 ""
)</f>
        <v>COLLECTION</v>
      </c>
      <c r="E184" s="45" t="str">
        <f t="array" ref="E184">_xlfn.XLOOKUP(
 A184,
 tblTargetStatus[TargetID],
 tblTargetStatus[ChainAwareStatus],
 ""
)</f>
        <v>BLOCKED</v>
      </c>
      <c r="F184" s="45"/>
      <c r="G184" s="45" t="b">
        <v>0</v>
      </c>
      <c r="H184" s="45" t="b">
        <f t="array" ref="H184">_xlfn.XLOOKUP(
 A184,
 tblTargetStatus[TargetID],
 tblTargetStatus[TargetFunded],
 ""
)</f>
        <v>0</v>
      </c>
      <c r="I184" s="45" t="str">
        <f t="array" ref="I184">IF(
 D184&lt;&gt;"BUILDING",
 "",
 IF(
  Player!$H$1="Active",
  _xlfn.XLOOKUP(
   A184,
   tblrecommended[ActiveTargetID],
   tblrecommended[Order],
   ""
  ),
  _xlfn.XLOOKUP(
   A184,
   tblrecommended[PassiveTargetID],
   tblrecommended[Order],
   ""
  )
 )
)</f>
        <v/>
      </c>
    </row>
    <row r="185" ht="25.5" hidden="1" customHeight="1">
      <c r="A185" s="26" t="s">
        <v>713</v>
      </c>
      <c r="B185" s="26" t="str">
        <f t="array" ref="B185">_xlfn.XLOOKUP(Checklist!$A185,tblTargets[TargetID],tblTargets[DisplayName])</f>
        <v>Pantry 1 Lv 3</v>
      </c>
      <c r="C185" s="21" t="str">
        <f t="array" ref="C185">_xlfn.XLOOKUP(
 A185,
 tblTargetStatus[TargetID],
 tblTargetStatus[successors],
 ""
)</f>
        <v>Pantry 1 Lv 4</v>
      </c>
      <c r="D185" s="26" t="str">
        <f t="array" ref="D185">_xlfn.XLOOKUP(
 A185,
 tblTargets[TargetID],
 tblTargets[TargetType],
 ""
)</f>
        <v>COLLECTION</v>
      </c>
      <c r="E185" s="45" t="str">
        <f t="array" ref="E185">_xlfn.XLOOKUP(
 A185,
 tblTargetStatus[TargetID],
 tblTargetStatus[ChainAwareStatus],
 ""
)</f>
        <v>BLOCKED</v>
      </c>
      <c r="F185" s="45"/>
      <c r="G185" s="45" t="b">
        <v>0</v>
      </c>
      <c r="H185" s="45" t="b">
        <f t="array" ref="H185">_xlfn.XLOOKUP(
 A185,
 tblTargetStatus[TargetID],
 tblTargetStatus[TargetFunded],
 ""
)</f>
        <v>0</v>
      </c>
      <c r="I185" s="45" t="str">
        <f t="array" ref="I185">IF(
 D185&lt;&gt;"BUILDING",
 "",
 IF(
  Player!$H$1="Active",
  _xlfn.XLOOKUP(
   A185,
   tblrecommended[ActiveTargetID],
   tblrecommended[Order],
   ""
  ),
  _xlfn.XLOOKUP(
   A185,
   tblrecommended[PassiveTargetID],
   tblrecommended[Order],
   ""
  )
 )
)</f>
        <v/>
      </c>
    </row>
    <row r="186" ht="25.5" hidden="1" customHeight="1">
      <c r="A186" s="26" t="s">
        <v>716</v>
      </c>
      <c r="B186" s="26" t="str">
        <f t="array" ref="B186">_xlfn.XLOOKUP(Checklist!$A186,tblTargets[TargetID],tblTargets[DisplayName])</f>
        <v>Pantry 1 Lv 4</v>
      </c>
      <c r="C186" s="21" t="str">
        <f t="array" ref="C186">_xlfn.XLOOKUP(
 A186,
 tblTargetStatus[TargetID],
 tblTargetStatus[successors],
 ""
)</f>
        <v>Pantry 1 Lv 5</v>
      </c>
      <c r="D186" s="26" t="str">
        <f t="array" ref="D186">_xlfn.XLOOKUP(
 A186,
 tblTargets[TargetID],
 tblTargets[TargetType],
 ""
)</f>
        <v>COLLECTION</v>
      </c>
      <c r="E186" s="45" t="str">
        <f t="array" ref="E186">_xlfn.XLOOKUP(
 A186,
 tblTargetStatus[TargetID],
 tblTargetStatus[ChainAwareStatus],
 ""
)</f>
        <v>BLOCKED</v>
      </c>
      <c r="F186" s="45"/>
      <c r="G186" s="45" t="b">
        <v>0</v>
      </c>
      <c r="H186" s="45" t="b">
        <f t="array" ref="H186">_xlfn.XLOOKUP(
 A186,
 tblTargetStatus[TargetID],
 tblTargetStatus[TargetFunded],
 ""
)</f>
        <v>0</v>
      </c>
      <c r="I186" s="45" t="str">
        <f t="array" ref="I186">IF(
 D186&lt;&gt;"BUILDING",
 "",
 IF(
  Player!$H$1="Active",
  _xlfn.XLOOKUP(
   A186,
   tblrecommended[ActiveTargetID],
   tblrecommended[Order],
   ""
  ),
  _xlfn.XLOOKUP(
   A186,
   tblrecommended[PassiveTargetID],
   tblrecommended[Order],
   ""
  )
 )
)</f>
        <v/>
      </c>
    </row>
    <row r="187" ht="25.5" hidden="1" customHeight="1">
      <c r="A187" s="26" t="s">
        <v>719</v>
      </c>
      <c r="B187" s="26" t="str">
        <f t="array" ref="B187">_xlfn.XLOOKUP(Checklist!$A187,tblTargets[TargetID],tblTargets[DisplayName])</f>
        <v>Pantry 1 Lv 5</v>
      </c>
      <c r="C187" s="21" t="str">
        <f t="array" ref="C187">_xlfn.XLOOKUP(
 A187,
 tblTargetStatus[TargetID],
 tblTargetStatus[successors],
 ""
)</f>
        <v/>
      </c>
      <c r="D187" s="26" t="str">
        <f t="array" ref="D187">_xlfn.XLOOKUP(
 A187,
 tblTargets[TargetID],
 tblTargets[TargetType],
 ""
)</f>
        <v>COLLECTION</v>
      </c>
      <c r="E187" s="45" t="str">
        <f t="array" ref="E187">_xlfn.XLOOKUP(
 A187,
 tblTargetStatus[TargetID],
 tblTargetStatus[ChainAwareStatus],
 ""
)</f>
        <v>BLOCKED</v>
      </c>
      <c r="F187" s="45">
        <v>24.0</v>
      </c>
      <c r="G187" s="45" t="b">
        <v>0</v>
      </c>
      <c r="H187" s="45" t="b">
        <f t="array" ref="H187">_xlfn.XLOOKUP(
 A187,
 tblTargetStatus[TargetID],
 tblTargetStatus[TargetFunded],
 ""
)</f>
        <v>0</v>
      </c>
      <c r="I187" s="45" t="str">
        <f t="array" ref="I187">IF(
 D187&lt;&gt;"BUILDING",
 "",
 IF(
  Player!$H$1="Active",
  _xlfn.XLOOKUP(
   A187,
   tblrecommended[ActiveTargetID],
   tblrecommended[Order],
   ""
  ),
  _xlfn.XLOOKUP(
   A187,
   tblrecommended[PassiveTargetID],
   tblrecommended[Order],
   ""
  )
 )
)</f>
        <v/>
      </c>
    </row>
    <row r="188" ht="25.5" hidden="1" customHeight="1">
      <c r="A188" s="26" t="s">
        <v>722</v>
      </c>
      <c r="B188" s="26" t="str">
        <f t="array" ref="B188">_xlfn.XLOOKUP(Checklist!$A188,tblTargets[TargetID],tblTargets[DisplayName])</f>
        <v>Pantry 2 Lv 1</v>
      </c>
      <c r="C188" s="21" t="str">
        <f t="array" ref="C188">_xlfn.XLOOKUP(
 A188,
 tblTargetStatus[TargetID],
 tblTargetStatus[successors],
 ""
)</f>
        <v>Pantry 2 Lv 2</v>
      </c>
      <c r="D188" s="26" t="str">
        <f t="array" ref="D188">_xlfn.XLOOKUP(
 A188,
 tblTargets[TargetID],
 tblTargets[TargetType],
 ""
)</f>
        <v>COLLECTION</v>
      </c>
      <c r="E188" s="45" t="str">
        <f t="array" ref="E188">_xlfn.XLOOKUP(
 A188,
 tblTargetStatus[TargetID],
 tblTargetStatus[ChainAwareStatus],
 ""
)</f>
        <v>BLOCKED</v>
      </c>
      <c r="F188" s="45"/>
      <c r="G188" s="45" t="b">
        <v>0</v>
      </c>
      <c r="H188" s="45" t="b">
        <f t="array" ref="H188">_xlfn.XLOOKUP(
 A188,
 tblTargetStatus[TargetID],
 tblTargetStatus[TargetFunded],
 ""
)</f>
        <v>0</v>
      </c>
      <c r="I188" s="45" t="str">
        <f t="array" ref="I188">IF(
 D188&lt;&gt;"BUILDING",
 "",
 IF(
  Player!$H$1="Active",
  _xlfn.XLOOKUP(
   A188,
   tblrecommended[ActiveTargetID],
   tblrecommended[Order],
   ""
  ),
  _xlfn.XLOOKUP(
   A188,
   tblrecommended[PassiveTargetID],
   tblrecommended[Order],
   ""
  )
 )
)</f>
        <v/>
      </c>
    </row>
    <row r="189" ht="25.5" hidden="1" customHeight="1">
      <c r="A189" s="26" t="s">
        <v>727</v>
      </c>
      <c r="B189" s="26" t="str">
        <f t="array" ref="B189">_xlfn.XLOOKUP(Checklist!$A189,tblTargets[TargetID],tblTargets[DisplayName])</f>
        <v>Pantry 2 Lv 2</v>
      </c>
      <c r="C189" s="21" t="str">
        <f t="array" ref="C189">_xlfn.XLOOKUP(
 A189,
 tblTargetStatus[TargetID],
 tblTargetStatus[successors],
 ""
)</f>
        <v>Pantry 2 Lv 3</v>
      </c>
      <c r="D189" s="26" t="str">
        <f t="array" ref="D189">_xlfn.XLOOKUP(
 A189,
 tblTargets[TargetID],
 tblTargets[TargetType],
 ""
)</f>
        <v>COLLECTION</v>
      </c>
      <c r="E189" s="45" t="str">
        <f t="array" ref="E189">_xlfn.XLOOKUP(
 A189,
 tblTargetStatus[TargetID],
 tblTargetStatus[ChainAwareStatus],
 ""
)</f>
        <v>BLOCKED</v>
      </c>
      <c r="F189" s="45"/>
      <c r="G189" s="45" t="b">
        <v>0</v>
      </c>
      <c r="H189" s="45" t="b">
        <f t="array" ref="H189">_xlfn.XLOOKUP(
 A189,
 tblTargetStatus[TargetID],
 tblTargetStatus[TargetFunded],
 ""
)</f>
        <v>0</v>
      </c>
      <c r="I189" s="45" t="str">
        <f t="array" ref="I189">IF(
 D189&lt;&gt;"BUILDING",
 "",
 IF(
  Player!$H$1="Active",
  _xlfn.XLOOKUP(
   A189,
   tblrecommended[ActiveTargetID],
   tblrecommended[Order],
   ""
  ),
  _xlfn.XLOOKUP(
   A189,
   tblrecommended[PassiveTargetID],
   tblrecommended[Order],
   ""
  )
 )
)</f>
        <v/>
      </c>
    </row>
    <row r="190" ht="25.5" hidden="1" customHeight="1">
      <c r="A190" s="26" t="s">
        <v>731</v>
      </c>
      <c r="B190" s="26" t="str">
        <f t="array" ref="B190">_xlfn.XLOOKUP(Checklist!$A190,tblTargets[TargetID],tblTargets[DisplayName])</f>
        <v>Pantry 2 Lv 3</v>
      </c>
      <c r="C190" s="21" t="str">
        <f t="array" ref="C190">_xlfn.XLOOKUP(
 A190,
 tblTargetStatus[TargetID],
 tblTargetStatus[successors],
 ""
)</f>
        <v>Pantry 2 Lv 4</v>
      </c>
      <c r="D190" s="26" t="str">
        <f t="array" ref="D190">_xlfn.XLOOKUP(
 A190,
 tblTargets[TargetID],
 tblTargets[TargetType],
 ""
)</f>
        <v>COLLECTION</v>
      </c>
      <c r="E190" s="45" t="str">
        <f t="array" ref="E190">_xlfn.XLOOKUP(
 A190,
 tblTargetStatus[TargetID],
 tblTargetStatus[ChainAwareStatus],
 ""
)</f>
        <v>BLOCKED</v>
      </c>
      <c r="F190" s="45"/>
      <c r="G190" s="45" t="b">
        <v>0</v>
      </c>
      <c r="H190" s="45" t="b">
        <f t="array" ref="H190">_xlfn.XLOOKUP(
 A190,
 tblTargetStatus[TargetID],
 tblTargetStatus[TargetFunded],
 ""
)</f>
        <v>0</v>
      </c>
      <c r="I190" s="45" t="str">
        <f t="array" ref="I190">IF(
 D190&lt;&gt;"BUILDING",
 "",
 IF(
  Player!$H$1="Active",
  _xlfn.XLOOKUP(
   A190,
   tblrecommended[ActiveTargetID],
   tblrecommended[Order],
   ""
  ),
  _xlfn.XLOOKUP(
   A190,
   tblrecommended[PassiveTargetID],
   tblrecommended[Order],
   ""
  )
 )
)</f>
        <v/>
      </c>
    </row>
    <row r="191" ht="25.5" hidden="1" customHeight="1">
      <c r="A191" s="26" t="s">
        <v>735</v>
      </c>
      <c r="B191" s="26" t="str">
        <f t="array" ref="B191">_xlfn.XLOOKUP(Checklist!$A191,tblTargets[TargetID],tblTargets[DisplayName])</f>
        <v>Pantry 2 Lv 4</v>
      </c>
      <c r="C191" s="21" t="str">
        <f t="array" ref="C191">_xlfn.XLOOKUP(
 A191,
 tblTargetStatus[TargetID],
 tblTargetStatus[successors],
 ""
)</f>
        <v>Pantry 2 Lv 5</v>
      </c>
      <c r="D191" s="26" t="str">
        <f t="array" ref="D191">_xlfn.XLOOKUP(
 A191,
 tblTargets[TargetID],
 tblTargets[TargetType],
 ""
)</f>
        <v>COLLECTION</v>
      </c>
      <c r="E191" s="45" t="str">
        <f t="array" ref="E191">_xlfn.XLOOKUP(
 A191,
 tblTargetStatus[TargetID],
 tblTargetStatus[ChainAwareStatus],
 ""
)</f>
        <v>BLOCKED</v>
      </c>
      <c r="F191" s="45"/>
      <c r="G191" s="45" t="b">
        <v>0</v>
      </c>
      <c r="H191" s="45" t="b">
        <f t="array" ref="H191">_xlfn.XLOOKUP(
 A191,
 tblTargetStatus[TargetID],
 tblTargetStatus[TargetFunded],
 ""
)</f>
        <v>0</v>
      </c>
      <c r="I191" s="45" t="str">
        <f t="array" ref="I191">IF(
 D191&lt;&gt;"BUILDING",
 "",
 IF(
  Player!$H$1="Active",
  _xlfn.XLOOKUP(
   A191,
   tblrecommended[ActiveTargetID],
   tblrecommended[Order],
   ""
  ),
  _xlfn.XLOOKUP(
   A191,
   tblrecommended[PassiveTargetID],
   tblrecommended[Order],
   ""
  )
 )
)</f>
        <v/>
      </c>
    </row>
    <row r="192" ht="25.5" hidden="1" customHeight="1">
      <c r="A192" s="26" t="s">
        <v>739</v>
      </c>
      <c r="B192" s="26" t="str">
        <f t="array" ref="B192">_xlfn.XLOOKUP(Checklist!$A192,tblTargets[TargetID],tblTargets[DisplayName])</f>
        <v>Pantry 2 Lv 5</v>
      </c>
      <c r="C192" s="21" t="str">
        <f t="array" ref="C192">_xlfn.XLOOKUP(
 A192,
 tblTargetStatus[TargetID],
 tblTargetStatus[successors],
 ""
)</f>
        <v/>
      </c>
      <c r="D192" s="26" t="str">
        <f t="array" ref="D192">_xlfn.XLOOKUP(
 A192,
 tblTargets[TargetID],
 tblTargets[TargetType],
 ""
)</f>
        <v>COLLECTION</v>
      </c>
      <c r="E192" s="45" t="str">
        <f t="array" ref="E192">_xlfn.XLOOKUP(
 A192,
 tblTargetStatus[TargetID],
 tblTargetStatus[ChainAwareStatus],
 ""
)</f>
        <v>BLOCKED</v>
      </c>
      <c r="F192" s="45"/>
      <c r="G192" s="45" t="b">
        <v>0</v>
      </c>
      <c r="H192" s="45" t="b">
        <f t="array" ref="H192">_xlfn.XLOOKUP(
 A192,
 tblTargetStatus[TargetID],
 tblTargetStatus[TargetFunded],
 ""
)</f>
        <v>0</v>
      </c>
      <c r="I192" s="45" t="str">
        <f t="array" ref="I192">IF(
 D192&lt;&gt;"BUILDING",
 "",
 IF(
  Player!$H$1="Active",
  _xlfn.XLOOKUP(
   A192,
   tblrecommended[ActiveTargetID],
   tblrecommended[Order],
   ""
  ),
  _xlfn.XLOOKUP(
   A192,
   tblrecommended[PassiveTargetID],
   tblrecommended[Order],
   ""
  )
 )
)</f>
        <v/>
      </c>
    </row>
    <row r="193" ht="25.5" hidden="1" customHeight="1">
      <c r="A193" s="26" t="s">
        <v>754</v>
      </c>
      <c r="B193" s="26" t="str">
        <f t="array" ref="B193">_xlfn.XLOOKUP(Checklist!$A193,tblTargets[TargetID],tblTargets[DisplayName])</f>
        <v>Pantry 3 Lv 1</v>
      </c>
      <c r="C193" s="21" t="str">
        <f t="array" ref="C193">_xlfn.XLOOKUP(
 A193,
 tblTargetStatus[TargetID],
 tblTargetStatus[successors],
 ""
)</f>
        <v>Pantry 3 Lv 2</v>
      </c>
      <c r="D193" s="26" t="str">
        <f t="array" ref="D193">_xlfn.XLOOKUP(
 A193,
 tblTargets[TargetID],
 tblTargets[TargetType],
 ""
)</f>
        <v>COLLECTION</v>
      </c>
      <c r="E193" s="45" t="str">
        <f t="array" ref="E193">_xlfn.XLOOKUP(
 A193,
 tblTargetStatus[TargetID],
 tblTargetStatus[ChainAwareStatus],
 ""
)</f>
        <v>BLOCKED</v>
      </c>
      <c r="F193" s="45"/>
      <c r="G193" s="45" t="b">
        <v>0</v>
      </c>
      <c r="H193" s="45" t="b">
        <f t="array" ref="H193">_xlfn.XLOOKUP(
 A193,
 tblTargetStatus[TargetID],
 tblTargetStatus[TargetFunded],
 ""
)</f>
        <v>0</v>
      </c>
      <c r="I193" s="45" t="str">
        <f t="array" ref="I193">IF(
 D193&lt;&gt;"BUILDING",
 "",
 IF(
  Player!$H$1="Active",
  _xlfn.XLOOKUP(
   A193,
   tblrecommended[ActiveTargetID],
   tblrecommended[Order],
   ""
  ),
  _xlfn.XLOOKUP(
   A193,
   tblrecommended[PassiveTargetID],
   tblrecommended[Order],
   ""
  )
 )
)</f>
        <v/>
      </c>
    </row>
    <row r="194" ht="25.5" hidden="1" customHeight="1">
      <c r="A194" s="26" t="s">
        <v>758</v>
      </c>
      <c r="B194" s="26" t="str">
        <f t="array" ref="B194">_xlfn.XLOOKUP(Checklist!$A194,tblTargets[TargetID],tblTargets[DisplayName])</f>
        <v>Pantry 3 Lv 2</v>
      </c>
      <c r="C194" s="21" t="str">
        <f t="array" ref="C194">_xlfn.XLOOKUP(
 A194,
 tblTargetStatus[TargetID],
 tblTargetStatus[successors],
 ""
)</f>
        <v>Pantry 3 Lv 3</v>
      </c>
      <c r="D194" s="26" t="str">
        <f t="array" ref="D194">_xlfn.XLOOKUP(
 A194,
 tblTargets[TargetID],
 tblTargets[TargetType],
 ""
)</f>
        <v>COLLECTION</v>
      </c>
      <c r="E194" s="45" t="str">
        <f t="array" ref="E194">_xlfn.XLOOKUP(
 A194,
 tblTargetStatus[TargetID],
 tblTargetStatus[ChainAwareStatus],
 ""
)</f>
        <v>BLOCKED</v>
      </c>
      <c r="F194" s="45"/>
      <c r="G194" s="45" t="b">
        <v>0</v>
      </c>
      <c r="H194" s="45" t="b">
        <f t="array" ref="H194">_xlfn.XLOOKUP(
 A194,
 tblTargetStatus[TargetID],
 tblTargetStatus[TargetFunded],
 ""
)</f>
        <v>0</v>
      </c>
      <c r="I194" s="45" t="str">
        <f t="array" ref="I194">IF(
 D194&lt;&gt;"BUILDING",
 "",
 IF(
  Player!$H$1="Active",
  _xlfn.XLOOKUP(
   A194,
   tblrecommended[ActiveTargetID],
   tblrecommended[Order],
   ""
  ),
  _xlfn.XLOOKUP(
   A194,
   tblrecommended[PassiveTargetID],
   tblrecommended[Order],
   ""
  )
 )
)</f>
        <v/>
      </c>
    </row>
    <row r="195" ht="25.5" hidden="1" customHeight="1">
      <c r="A195" s="26" t="s">
        <v>762</v>
      </c>
      <c r="B195" s="26" t="str">
        <f t="array" ref="B195">_xlfn.XLOOKUP(Checklist!$A195,tblTargets[TargetID],tblTargets[DisplayName])</f>
        <v>Pantry 3 Lv 3</v>
      </c>
      <c r="C195" s="21" t="str">
        <f t="array" ref="C195">_xlfn.XLOOKUP(
 A195,
 tblTargetStatus[TargetID],
 tblTargetStatus[successors],
 ""
)</f>
        <v>Pantry 3 Lv 4</v>
      </c>
      <c r="D195" s="26" t="str">
        <f t="array" ref="D195">_xlfn.XLOOKUP(
 A195,
 tblTargets[TargetID],
 tblTargets[TargetType],
 ""
)</f>
        <v>COLLECTION</v>
      </c>
      <c r="E195" s="45" t="str">
        <f t="array" ref="E195">_xlfn.XLOOKUP(
 A195,
 tblTargetStatus[TargetID],
 tblTargetStatus[ChainAwareStatus],
 ""
)</f>
        <v>BLOCKED</v>
      </c>
      <c r="F195" s="45"/>
      <c r="G195" s="45" t="b">
        <v>0</v>
      </c>
      <c r="H195" s="45" t="b">
        <f t="array" ref="H195">_xlfn.XLOOKUP(
 A195,
 tblTargetStatus[TargetID],
 tblTargetStatus[TargetFunded],
 ""
)</f>
        <v>0</v>
      </c>
      <c r="I195" s="45" t="str">
        <f t="array" ref="I195">IF(
 D195&lt;&gt;"BUILDING",
 "",
 IF(
  Player!$H$1="Active",
  _xlfn.XLOOKUP(
   A195,
   tblrecommended[ActiveTargetID],
   tblrecommended[Order],
   ""
  ),
  _xlfn.XLOOKUP(
   A195,
   tblrecommended[PassiveTargetID],
   tblrecommended[Order],
   ""
  )
 )
)</f>
        <v/>
      </c>
    </row>
    <row r="196" ht="25.5" hidden="1" customHeight="1">
      <c r="A196" s="26" t="s">
        <v>765</v>
      </c>
      <c r="B196" s="26" t="str">
        <f t="array" ref="B196">_xlfn.XLOOKUP(Checklist!$A196,tblTargets[TargetID],tblTargets[DisplayName])</f>
        <v>Pantry 3 Lv 4</v>
      </c>
      <c r="C196" s="21" t="str">
        <f t="array" ref="C196">_xlfn.XLOOKUP(
 A196,
 tblTargetStatus[TargetID],
 tblTargetStatus[successors],
 ""
)</f>
        <v>Pantry 3 Lv 5</v>
      </c>
      <c r="D196" s="26" t="str">
        <f t="array" ref="D196">_xlfn.XLOOKUP(
 A196,
 tblTargets[TargetID],
 tblTargets[TargetType],
 ""
)</f>
        <v>COLLECTION</v>
      </c>
      <c r="E196" s="45" t="str">
        <f t="array" ref="E196">_xlfn.XLOOKUP(
 A196,
 tblTargetStatus[TargetID],
 tblTargetStatus[ChainAwareStatus],
 ""
)</f>
        <v>BLOCKED</v>
      </c>
      <c r="F196" s="45"/>
      <c r="G196" s="45" t="b">
        <v>0</v>
      </c>
      <c r="H196" s="45" t="b">
        <f t="array" ref="H196">_xlfn.XLOOKUP(
 A196,
 tblTargetStatus[TargetID],
 tblTargetStatus[TargetFunded],
 ""
)</f>
        <v>0</v>
      </c>
      <c r="I196" s="45" t="str">
        <f t="array" ref="I196">IF(
 D196&lt;&gt;"BUILDING",
 "",
 IF(
  Player!$H$1="Active",
  _xlfn.XLOOKUP(
   A196,
   tblrecommended[ActiveTargetID],
   tblrecommended[Order],
   ""
  ),
  _xlfn.XLOOKUP(
   A196,
   tblrecommended[PassiveTargetID],
   tblrecommended[Order],
   ""
  )
 )
)</f>
        <v/>
      </c>
    </row>
    <row r="197" ht="25.5" hidden="1" customHeight="1">
      <c r="A197" s="26" t="s">
        <v>769</v>
      </c>
      <c r="B197" s="26" t="str">
        <f t="array" ref="B197">_xlfn.XLOOKUP(Checklist!$A197,tblTargets[TargetID],tblTargets[DisplayName])</f>
        <v>Pantry 3 Lv 5</v>
      </c>
      <c r="C197" s="21" t="str">
        <f t="array" ref="C197">_xlfn.XLOOKUP(
 A197,
 tblTargetStatus[TargetID],
 tblTargetStatus[successors],
 ""
)</f>
        <v/>
      </c>
      <c r="D197" s="26" t="str">
        <f t="array" ref="D197">_xlfn.XLOOKUP(
 A197,
 tblTargets[TargetID],
 tblTargets[TargetType],
 ""
)</f>
        <v>COLLECTION</v>
      </c>
      <c r="E197" s="45" t="str">
        <f t="array" ref="E197">_xlfn.XLOOKUP(
 A197,
 tblTargetStatus[TargetID],
 tblTargetStatus[ChainAwareStatus],
 ""
)</f>
        <v>BLOCKED</v>
      </c>
      <c r="F197" s="45">
        <v>26.0</v>
      </c>
      <c r="G197" s="45" t="b">
        <v>0</v>
      </c>
      <c r="H197" s="45" t="b">
        <f t="array" ref="H197">_xlfn.XLOOKUP(
 A197,
 tblTargetStatus[TargetID],
 tblTargetStatus[TargetFunded],
 ""
)</f>
        <v>0</v>
      </c>
      <c r="I197" s="45" t="str">
        <f t="array" ref="I197">IF(
 D197&lt;&gt;"BUILDING",
 "",
 IF(
  Player!$H$1="Active",
  _xlfn.XLOOKUP(
   A197,
   tblrecommended[ActiveTargetID],
   tblrecommended[Order],
   ""
  ),
  _xlfn.XLOOKUP(
   A197,
   tblrecommended[PassiveTargetID],
   tblrecommended[Order],
   ""
  )
 )
)</f>
        <v/>
      </c>
    </row>
    <row r="198" ht="25.5" hidden="1" customHeight="1">
      <c r="A198" s="26" t="s">
        <v>773</v>
      </c>
      <c r="B198" s="26" t="str">
        <f t="array" ref="B198">_xlfn.XLOOKUP(Checklist!$A198,tblTargets[TargetID],tblTargets[DisplayName])</f>
        <v>Pantry 4 Lv 1</v>
      </c>
      <c r="C198" s="21" t="str">
        <f t="array" ref="C198">_xlfn.XLOOKUP(
 A198,
 tblTargetStatus[TargetID],
 tblTargetStatus[successors],
 ""
)</f>
        <v/>
      </c>
      <c r="D198" s="26" t="str">
        <f t="array" ref="D198">_xlfn.XLOOKUP(
 A198,
 tblTargets[TargetID],
 tblTargets[TargetType],
 ""
)</f>
        <v>COLLECTION</v>
      </c>
      <c r="E198" s="45" t="str">
        <f t="array" ref="E198">_xlfn.XLOOKUP(
 A198,
 tblTargetStatus[TargetID],
 tblTargetStatus[ChainAwareStatus],
 ""
)</f>
        <v>BLOCKED</v>
      </c>
      <c r="F198" s="45"/>
      <c r="G198" s="45" t="b">
        <v>0</v>
      </c>
      <c r="H198" s="45" t="b">
        <f t="array" ref="H198">_xlfn.XLOOKUP(
 A198,
 tblTargetStatus[TargetID],
 tblTargetStatus[TargetFunded],
 ""
)</f>
        <v>0</v>
      </c>
      <c r="I198" s="45" t="str">
        <f t="array" ref="I198">IF(
 D198&lt;&gt;"BUILDING",
 "",
 IF(
  Player!$H$1="Active",
  _xlfn.XLOOKUP(
   A198,
   tblrecommended[ActiveTargetID],
   tblrecommended[Order],
   ""
  ),
  _xlfn.XLOOKUP(
   A198,
   tblrecommended[PassiveTargetID],
   tblrecommended[Order],
   ""
  )
 )
)</f>
        <v/>
      </c>
    </row>
    <row r="199" ht="25.5" hidden="1" customHeight="1">
      <c r="A199" s="26" t="s">
        <v>776</v>
      </c>
      <c r="B199" s="26" t="str">
        <f t="array" ref="B199">_xlfn.XLOOKUP(Checklist!$A199,tblTargets[TargetID],tblTargets[DisplayName])</f>
        <v>Rotten Ladder</v>
      </c>
      <c r="C199" s="21" t="str">
        <f t="array" ref="C199">_xlfn.XLOOKUP(
 A199,
 tblTargetStatus[TargetID],
 tblTargetStatus[successors],
 ""
)</f>
        <v>Broken Minecart, Letter from the Dark Lady Finished</v>
      </c>
      <c r="D199" s="26" t="str">
        <f t="array" ref="D199">_xlfn.XLOOKUP(
 A199,
 tblTargets[TargetID],
 tblTargets[TargetType],
 ""
)</f>
        <v>COLLECTION</v>
      </c>
      <c r="E199" s="45" t="str">
        <f t="array" ref="E199">_xlfn.XLOOKUP(
 A199,
 tblTargetStatus[TargetID],
 tblTargetStatus[ChainAwareStatus],
 ""
)</f>
        <v>BLOCKED</v>
      </c>
      <c r="F199" s="45"/>
      <c r="G199" s="45" t="b">
        <v>0</v>
      </c>
      <c r="H199" s="45" t="b">
        <f t="array" ref="H199">_xlfn.XLOOKUP(
 A199,
 tblTargetStatus[TargetID],
 tblTargetStatus[TargetFunded],
 ""
)</f>
        <v>0</v>
      </c>
      <c r="I199" s="45" t="str">
        <f t="array" ref="I199">IF(
 D199&lt;&gt;"BUILDING",
 "",
 IF(
  Player!$H$1="Active",
  _xlfn.XLOOKUP(
   A199,
   tblrecommended[ActiveTargetID],
   tblrecommended[Order],
   ""
  ),
  _xlfn.XLOOKUP(
   A199,
   tblrecommended[PassiveTargetID],
   tblrecommended[Order],
   ""
  )
 )
)</f>
        <v/>
      </c>
    </row>
    <row r="200" ht="25.5" hidden="1" customHeight="1">
      <c r="A200" s="26" t="s">
        <v>781</v>
      </c>
      <c r="B200" s="26" t="str">
        <f t="array" ref="B200">_xlfn.XLOOKUP(Checklist!$A200,tblTargets[TargetID],tblTargets[DisplayName])</f>
        <v>Collection Staircase</v>
      </c>
      <c r="C200" s="21" t="str">
        <f t="array" ref="C200">_xlfn.XLOOKUP(
 A200,
 tblTargetStatus[TargetID],
 tblTargetStatus[successors],
 ""
)</f>
        <v/>
      </c>
      <c r="D200" s="26" t="str">
        <f t="array" ref="D200">_xlfn.XLOOKUP(
 A200,
 tblTargets[TargetID],
 tblTargets[TargetType],
 ""
)</f>
        <v>COLLECTION</v>
      </c>
      <c r="E200" s="45" t="str">
        <f t="array" ref="E200">_xlfn.XLOOKUP(
 A200,
 tblTargetStatus[TargetID],
 tblTargetStatus[ChainAwareStatus],
 ""
)</f>
        <v>BLOCKED</v>
      </c>
      <c r="F200" s="45"/>
      <c r="G200" s="45" t="b">
        <v>0</v>
      </c>
      <c r="H200" s="45" t="b">
        <f t="array" ref="H200">_xlfn.XLOOKUP(
 A200,
 tblTargetStatus[TargetID],
 tblTargetStatus[TargetFunded],
 ""
)</f>
        <v>0</v>
      </c>
      <c r="I200" s="45" t="str">
        <f t="array" ref="I200">IF(
 D200&lt;&gt;"BUILDING",
 "",
 IF(
  Player!$H$1="Active",
  _xlfn.XLOOKUP(
   A200,
   tblrecommended[ActiveTargetID],
   tblrecommended[Order],
   ""
  ),
  _xlfn.XLOOKUP(
   A200,
   tblrecommended[PassiveTargetID],
   tblrecommended[Order],
   ""
  )
 )
)</f>
        <v/>
      </c>
    </row>
    <row r="201" ht="25.5" hidden="1" customHeight="1">
      <c r="A201" s="26" t="s">
        <v>785</v>
      </c>
      <c r="B201" s="26" t="str">
        <f t="array" ref="B201">_xlfn.XLOOKUP(Checklist!$A201,tblTargets[TargetID],tblTargets[DisplayName])</f>
        <v>Statue Lv 1</v>
      </c>
      <c r="C201" s="21" t="str">
        <f t="array" ref="C201">_xlfn.XLOOKUP(
 A201,
 tblTargetStatus[TargetID],
 tblTargetStatus[successors],
 ""
)</f>
        <v/>
      </c>
      <c r="D201" s="26" t="str">
        <f t="array" ref="D201">_xlfn.XLOOKUP(
 A201,
 tblTargets[TargetID],
 tblTargets[TargetType],
 ""
)</f>
        <v>COLLECTION</v>
      </c>
      <c r="E201" s="45" t="str">
        <f t="array" ref="E201">_xlfn.XLOOKUP(
 A201,
 tblTargetStatus[TargetID],
 tblTargetStatus[ChainAwareStatus],
 ""
)</f>
        <v>BLOCKED</v>
      </c>
      <c r="F201" s="45"/>
      <c r="G201" s="45" t="b">
        <v>0</v>
      </c>
      <c r="H201" s="45" t="b">
        <f t="array" ref="H201">_xlfn.XLOOKUP(
 A201,
 tblTargetStatus[TargetID],
 tblTargetStatus[TargetFunded],
 ""
)</f>
        <v>0</v>
      </c>
      <c r="I201" s="45" t="str">
        <f t="array" ref="I201">IF(
 D201&lt;&gt;"BUILDING",
 "",
 IF(
  Player!$H$1="Active",
  _xlfn.XLOOKUP(
   A201,
   tblrecommended[ActiveTargetID],
   tblrecommended[Order],
   ""
  ),
  _xlfn.XLOOKUP(
   A201,
   tblrecommended[PassiveTargetID],
   tblrecommended[Order],
   ""
  )
 )
)</f>
        <v/>
      </c>
    </row>
    <row r="202" ht="25.5" hidden="1" customHeight="1">
      <c r="A202" s="26" t="s">
        <v>789</v>
      </c>
      <c r="B202" s="26" t="str">
        <f t="array" ref="B202">_xlfn.XLOOKUP(Checklist!$A202,tblTargets[TargetID],tblTargets[DisplayName])</f>
        <v>Tavern Lv 1</v>
      </c>
      <c r="C202" s="21" t="str">
        <f t="array" ref="C202">_xlfn.XLOOKUP(
 A202,
 tblTargetStatus[TargetID],
 tblTargetStatus[successors],
 ""
)</f>
        <v>Tavern Lv 2</v>
      </c>
      <c r="D202" s="26" t="str">
        <f t="array" ref="D202">_xlfn.XLOOKUP(
 A202,
 tblTargets[TargetID],
 tblTargets[TargetType],
 ""
)</f>
        <v>COLLECTION</v>
      </c>
      <c r="E202" s="45" t="str">
        <f t="array" ref="E202">_xlfn.XLOOKUP(
 A202,
 tblTargetStatus[TargetID],
 tblTargetStatus[ChainAwareStatus],
 ""
)</f>
        <v>BLOCKED</v>
      </c>
      <c r="F202" s="45"/>
      <c r="G202" s="45" t="b">
        <v>0</v>
      </c>
      <c r="H202" s="45" t="b">
        <f t="array" ref="H202">_xlfn.XLOOKUP(
 A202,
 tblTargetStatus[TargetID],
 tblTargetStatus[TargetFunded],
 ""
)</f>
        <v>0</v>
      </c>
      <c r="I202" s="45" t="str">
        <f t="array" ref="I202">IF(
 D202&lt;&gt;"BUILDING",
 "",
 IF(
  Player!$H$1="Active",
  _xlfn.XLOOKUP(
   A202,
   tblrecommended[ActiveTargetID],
   tblrecommended[Order],
   ""
  ),
  _xlfn.XLOOKUP(
   A202,
   tblrecommended[PassiveTargetID],
   tblrecommended[Order],
   ""
  )
 )
)</f>
        <v/>
      </c>
    </row>
    <row r="203" ht="25.5" hidden="1" customHeight="1">
      <c r="A203" s="26" t="s">
        <v>795</v>
      </c>
      <c r="B203" s="26" t="str">
        <f t="array" ref="B203">_xlfn.XLOOKUP(Checklist!$A203,tblTargets[TargetID],tblTargets[DisplayName])</f>
        <v>Tavern Lv 2</v>
      </c>
      <c r="C203" s="21" t="str">
        <f t="array" ref="C203">_xlfn.XLOOKUP(
 A203,
 tblTargetStatus[TargetID],
 tblTargetStatus[successors],
 ""
)</f>
        <v/>
      </c>
      <c r="D203" s="26" t="str">
        <f t="array" ref="D203">_xlfn.XLOOKUP(
 A203,
 tblTargets[TargetID],
 tblTargets[TargetType],
 ""
)</f>
        <v>COLLECTION</v>
      </c>
      <c r="E203" s="45" t="str">
        <f t="array" ref="E203">_xlfn.XLOOKUP(
 A203,
 tblTargetStatus[TargetID],
 tblTargetStatus[ChainAwareStatus],
 ""
)</f>
        <v>BLOCKED</v>
      </c>
      <c r="F203" s="45"/>
      <c r="G203" s="45" t="b">
        <v>0</v>
      </c>
      <c r="H203" s="45" t="b">
        <f t="array" ref="H203">_xlfn.XLOOKUP(
 A203,
 tblTargetStatus[TargetID],
 tblTargetStatus[TargetFunded],
 ""
)</f>
        <v>0</v>
      </c>
      <c r="I203" s="45" t="str">
        <f t="array" ref="I203">IF(
 D203&lt;&gt;"BUILDING",
 "",
 IF(
  Player!$H$1="Active",
  _xlfn.XLOOKUP(
   A203,
   tblrecommended[ActiveTargetID],
   tblrecommended[Order],
   ""
  ),
  _xlfn.XLOOKUP(
   A203,
   tblrecommended[PassiveTargetID],
   tblrecommended[Order],
   ""
  )
 )
)</f>
        <v/>
      </c>
    </row>
    <row r="204" ht="25.5" hidden="1" customHeight="1">
      <c r="A204" s="26" t="s">
        <v>799</v>
      </c>
      <c r="B204" s="26" t="str">
        <f t="array" ref="B204">_xlfn.XLOOKUP(Checklist!$A204,tblTargets[TargetID],tblTargets[DisplayName])</f>
        <v>Treasury 1 Lv 1</v>
      </c>
      <c r="C204" s="21" t="str">
        <f t="array" ref="C204">_xlfn.XLOOKUP(
 A204,
 tblTargetStatus[TargetID],
 tblTargetStatus[successors],
 ""
)</f>
        <v>Treasury 1 Lv 2</v>
      </c>
      <c r="D204" s="26" t="str">
        <f t="array" ref="D204">_xlfn.XLOOKUP(
 A204,
 tblTargets[TargetID],
 tblTargets[TargetType],
 ""
)</f>
        <v>COLLECTION</v>
      </c>
      <c r="E204" s="45" t="str">
        <f t="array" ref="E204">_xlfn.XLOOKUP(
 A204,
 tblTargetStatus[TargetID],
 tblTargetStatus[ChainAwareStatus],
 ""
)</f>
        <v>BLOCKED</v>
      </c>
      <c r="F204" s="45"/>
      <c r="G204" s="45" t="b">
        <v>0</v>
      </c>
      <c r="H204" s="45" t="b">
        <f t="array" ref="H204">_xlfn.XLOOKUP(
 A204,
 tblTargetStatus[TargetID],
 tblTargetStatus[TargetFunded],
 ""
)</f>
        <v>0</v>
      </c>
      <c r="I204" s="45" t="str">
        <f t="array" ref="I204">IF(
 D204&lt;&gt;"BUILDING",
 "",
 IF(
  Player!$H$1="Active",
  _xlfn.XLOOKUP(
   A204,
   tblrecommended[ActiveTargetID],
   tblrecommended[Order],
   ""
  ),
  _xlfn.XLOOKUP(
   A204,
   tblrecommended[PassiveTargetID],
   tblrecommended[Order],
   ""
  )
 )
)</f>
        <v/>
      </c>
    </row>
    <row r="205" ht="25.5" hidden="1" customHeight="1">
      <c r="A205" s="26" t="s">
        <v>803</v>
      </c>
      <c r="B205" s="26" t="str">
        <f t="array" ref="B205">_xlfn.XLOOKUP(Checklist!$A205,tblTargets[TargetID],tblTargets[DisplayName])</f>
        <v>Treasury 1 Lv 2</v>
      </c>
      <c r="C205" s="21" t="str">
        <f t="array" ref="C205">_xlfn.XLOOKUP(
 A205,
 tblTargetStatus[TargetID],
 tblTargetStatus[successors],
 ""
)</f>
        <v>Treasury 1 Lv 3</v>
      </c>
      <c r="D205" s="26" t="str">
        <f t="array" ref="D205">_xlfn.XLOOKUP(
 A205,
 tblTargets[TargetID],
 tblTargets[TargetType],
 ""
)</f>
        <v>COLLECTION</v>
      </c>
      <c r="E205" s="45" t="str">
        <f t="array" ref="E205">_xlfn.XLOOKUP(
 A205,
 tblTargetStatus[TargetID],
 tblTargetStatus[ChainAwareStatus],
 ""
)</f>
        <v>BLOCKED</v>
      </c>
      <c r="F205" s="45"/>
      <c r="G205" s="45" t="b">
        <v>0</v>
      </c>
      <c r="H205" s="45" t="b">
        <f t="array" ref="H205">_xlfn.XLOOKUP(
 A205,
 tblTargetStatus[TargetID],
 tblTargetStatus[TargetFunded],
 ""
)</f>
        <v>0</v>
      </c>
      <c r="I205" s="45" t="str">
        <f t="array" ref="I205">IF(
 D205&lt;&gt;"BUILDING",
 "",
 IF(
  Player!$H$1="Active",
  _xlfn.XLOOKUP(
   A205,
   tblrecommended[ActiveTargetID],
   tblrecommended[Order],
   ""
  ),
  _xlfn.XLOOKUP(
   A205,
   tblrecommended[PassiveTargetID],
   tblrecommended[Order],
   ""
  )
 )
)</f>
        <v/>
      </c>
    </row>
    <row r="206" ht="25.5" hidden="1" customHeight="1">
      <c r="A206" s="26" t="s">
        <v>808</v>
      </c>
      <c r="B206" s="26" t="str">
        <f t="array" ref="B206">_xlfn.XLOOKUP(Checklist!$A206,tblTargets[TargetID],tblTargets[DisplayName])</f>
        <v>Treasury 1 Lv 3</v>
      </c>
      <c r="C206" s="21" t="str">
        <f t="array" ref="C206">_xlfn.XLOOKUP(
 A206,
 tblTargetStatus[TargetID],
 tblTargetStatus[successors],
 ""
)</f>
        <v>Treasury 1 Lv 4</v>
      </c>
      <c r="D206" s="26" t="str">
        <f t="array" ref="D206">_xlfn.XLOOKUP(
 A206,
 tblTargets[TargetID],
 tblTargets[TargetType],
 ""
)</f>
        <v>COLLECTION</v>
      </c>
      <c r="E206" s="45" t="str">
        <f t="array" ref="E206">_xlfn.XLOOKUP(
 A206,
 tblTargetStatus[TargetID],
 tblTargetStatus[ChainAwareStatus],
 ""
)</f>
        <v>BLOCKED</v>
      </c>
      <c r="F206" s="45"/>
      <c r="G206" s="45" t="b">
        <v>0</v>
      </c>
      <c r="H206" s="45" t="b">
        <f t="array" ref="H206">_xlfn.XLOOKUP(
 A206,
 tblTargetStatus[TargetID],
 tblTargetStatus[TargetFunded],
 ""
)</f>
        <v>0</v>
      </c>
      <c r="I206" s="45" t="str">
        <f t="array" ref="I206">IF(
 D206&lt;&gt;"BUILDING",
 "",
 IF(
  Player!$H$1="Active",
  _xlfn.XLOOKUP(
   A206,
   tblrecommended[ActiveTargetID],
   tblrecommended[Order],
   ""
  ),
  _xlfn.XLOOKUP(
   A206,
   tblrecommended[PassiveTargetID],
   tblrecommended[Order],
   ""
  )
 )
)</f>
        <v/>
      </c>
    </row>
    <row r="207" ht="25.5" hidden="1" customHeight="1">
      <c r="A207" s="26" t="s">
        <v>811</v>
      </c>
      <c r="B207" s="26" t="str">
        <f t="array" ref="B207">_xlfn.XLOOKUP(Checklist!$A207,tblTargets[TargetID],tblTargets[DisplayName])</f>
        <v>Treasury 1 Lv 4</v>
      </c>
      <c r="C207" s="21" t="str">
        <f t="array" ref="C207">_xlfn.XLOOKUP(
 A207,
 tblTargetStatus[TargetID],
 tblTargetStatus[successors],
 ""
)</f>
        <v>Treasury 1 Lv 5</v>
      </c>
      <c r="D207" s="26" t="str">
        <f t="array" ref="D207">_xlfn.XLOOKUP(
 A207,
 tblTargets[TargetID],
 tblTargets[TargetType],
 ""
)</f>
        <v>COLLECTION</v>
      </c>
      <c r="E207" s="45" t="str">
        <f t="array" ref="E207">_xlfn.XLOOKUP(
 A207,
 tblTargetStatus[TargetID],
 tblTargetStatus[ChainAwareStatus],
 ""
)</f>
        <v>BLOCKED</v>
      </c>
      <c r="F207" s="45"/>
      <c r="G207" s="45" t="b">
        <v>0</v>
      </c>
      <c r="H207" s="45" t="b">
        <f t="array" ref="H207">_xlfn.XLOOKUP(
 A207,
 tblTargetStatus[TargetID],
 tblTargetStatus[TargetFunded],
 ""
)</f>
        <v>0</v>
      </c>
      <c r="I207" s="45" t="str">
        <f t="array" ref="I207">IF(
 D207&lt;&gt;"BUILDING",
 "",
 IF(
  Player!$H$1="Active",
  _xlfn.XLOOKUP(
   A207,
   tblrecommended[ActiveTargetID],
   tblrecommended[Order],
   ""
  ),
  _xlfn.XLOOKUP(
   A207,
   tblrecommended[PassiveTargetID],
   tblrecommended[Order],
   ""
  )
 )
)</f>
        <v/>
      </c>
    </row>
    <row r="208" ht="25.5" hidden="1" customHeight="1">
      <c r="A208" s="26" t="s">
        <v>815</v>
      </c>
      <c r="B208" s="26" t="str">
        <f t="array" ref="B208">_xlfn.XLOOKUP(Checklist!$A208,tblTargets[TargetID],tblTargets[DisplayName])</f>
        <v>Treasury 1 Lv 5</v>
      </c>
      <c r="C208" s="21" t="str">
        <f t="array" ref="C208">_xlfn.XLOOKUP(
 A208,
 tblTargetStatus[TargetID],
 tblTargetStatus[successors],
 ""
)</f>
        <v/>
      </c>
      <c r="D208" s="26" t="str">
        <f t="array" ref="D208">_xlfn.XLOOKUP(
 A208,
 tblTargets[TargetID],
 tblTargets[TargetType],
 ""
)</f>
        <v>COLLECTION</v>
      </c>
      <c r="E208" s="45" t="str">
        <f t="array" ref="E208">_xlfn.XLOOKUP(
 A208,
 tblTargetStatus[TargetID],
 tblTargetStatus[ChainAwareStatus],
 ""
)</f>
        <v>BLOCKED</v>
      </c>
      <c r="F208" s="45"/>
      <c r="G208" s="45" t="b">
        <v>0</v>
      </c>
      <c r="H208" s="45" t="b">
        <f t="array" ref="H208">_xlfn.XLOOKUP(
 A208,
 tblTargetStatus[TargetID],
 tblTargetStatus[TargetFunded],
 ""
)</f>
        <v>0</v>
      </c>
      <c r="I208" s="45" t="str">
        <f t="array" ref="I208">IF(
 D208&lt;&gt;"BUILDING",
 "",
 IF(
  Player!$H$1="Active",
  _xlfn.XLOOKUP(
   A208,
   tblrecommended[ActiveTargetID],
   tblrecommended[Order],
   ""
  ),
  _xlfn.XLOOKUP(
   A208,
   tblrecommended[PassiveTargetID],
   tblrecommended[Order],
   ""
  )
 )
)</f>
        <v/>
      </c>
    </row>
    <row r="209" ht="25.5" hidden="1" customHeight="1">
      <c r="A209" s="26" t="s">
        <v>818</v>
      </c>
      <c r="B209" s="26" t="str">
        <f t="array" ref="B209">_xlfn.XLOOKUP(Checklist!$A209,tblTargets[TargetID],tblTargets[DisplayName])</f>
        <v>Treasury 2 Lv 1</v>
      </c>
      <c r="C209" s="21" t="str">
        <f t="array" ref="C209">_xlfn.XLOOKUP(
 A209,
 tblTargetStatus[TargetID],
 tblTargetStatus[successors],
 ""
)</f>
        <v>Treasury 2 Lv 2</v>
      </c>
      <c r="D209" s="26" t="str">
        <f t="array" ref="D209">_xlfn.XLOOKUP(
 A209,
 tblTargets[TargetID],
 tblTargets[TargetType],
 ""
)</f>
        <v>COLLECTION</v>
      </c>
      <c r="E209" s="45" t="str">
        <f t="array" ref="E209">_xlfn.XLOOKUP(
 A209,
 tblTargetStatus[TargetID],
 tblTargetStatus[ChainAwareStatus],
 ""
)</f>
        <v>BLOCKED</v>
      </c>
      <c r="F209" s="45"/>
      <c r="G209" s="45" t="b">
        <v>0</v>
      </c>
      <c r="H209" s="45" t="b">
        <f t="array" ref="H209">_xlfn.XLOOKUP(
 A209,
 tblTargetStatus[TargetID],
 tblTargetStatus[TargetFunded],
 ""
)</f>
        <v>0</v>
      </c>
      <c r="I209" s="45" t="str">
        <f t="array" ref="I209">IF(
 D209&lt;&gt;"BUILDING",
 "",
 IF(
  Player!$H$1="Active",
  _xlfn.XLOOKUP(
   A209,
   tblrecommended[ActiveTargetID],
   tblrecommended[Order],
   ""
  ),
  _xlfn.XLOOKUP(
   A209,
   tblrecommended[PassiveTargetID],
   tblrecommended[Order],
   ""
  )
 )
)</f>
        <v/>
      </c>
    </row>
    <row r="210" ht="25.5" hidden="1" customHeight="1">
      <c r="A210" s="26" t="s">
        <v>822</v>
      </c>
      <c r="B210" s="26" t="str">
        <f t="array" ref="B210">_xlfn.XLOOKUP(Checklist!$A210,tblTargets[TargetID],tblTargets[DisplayName])</f>
        <v>Treasury 2 Lv 2</v>
      </c>
      <c r="C210" s="21" t="str">
        <f t="array" ref="C210">_xlfn.XLOOKUP(
 A210,
 tblTargetStatus[TargetID],
 tblTargetStatus[successors],
 ""
)</f>
        <v>Treasury 2 Lv 3</v>
      </c>
      <c r="D210" s="26" t="str">
        <f t="array" ref="D210">_xlfn.XLOOKUP(
 A210,
 tblTargets[TargetID],
 tblTargets[TargetType],
 ""
)</f>
        <v>COLLECTION</v>
      </c>
      <c r="E210" s="45" t="str">
        <f t="array" ref="E210">_xlfn.XLOOKUP(
 A210,
 tblTargetStatus[TargetID],
 tblTargetStatus[ChainAwareStatus],
 ""
)</f>
        <v>BLOCKED</v>
      </c>
      <c r="F210" s="45"/>
      <c r="G210" s="45" t="b">
        <v>0</v>
      </c>
      <c r="H210" s="45" t="b">
        <f t="array" ref="H210">_xlfn.XLOOKUP(
 A210,
 tblTargetStatus[TargetID],
 tblTargetStatus[TargetFunded],
 ""
)</f>
        <v>0</v>
      </c>
      <c r="I210" s="45" t="str">
        <f t="array" ref="I210">IF(
 D210&lt;&gt;"BUILDING",
 "",
 IF(
  Player!$H$1="Active",
  _xlfn.XLOOKUP(
   A210,
   tblrecommended[ActiveTargetID],
   tblrecommended[Order],
   ""
  ),
  _xlfn.XLOOKUP(
   A210,
   tblrecommended[PassiveTargetID],
   tblrecommended[Order],
   ""
  )
 )
)</f>
        <v/>
      </c>
    </row>
    <row r="211" ht="25.5" hidden="1" customHeight="1">
      <c r="A211" s="26" t="s">
        <v>826</v>
      </c>
      <c r="B211" s="26" t="str">
        <f t="array" ref="B211">_xlfn.XLOOKUP(Checklist!$A211,tblTargets[TargetID],tblTargets[DisplayName])</f>
        <v>Treasury 2 Lv 3</v>
      </c>
      <c r="C211" s="21" t="str">
        <f t="array" ref="C211">_xlfn.XLOOKUP(
 A211,
 tblTargetStatus[TargetID],
 tblTargetStatus[successors],
 ""
)</f>
        <v/>
      </c>
      <c r="D211" s="26" t="str">
        <f t="array" ref="D211">_xlfn.XLOOKUP(
 A211,
 tblTargets[TargetID],
 tblTargets[TargetType],
 ""
)</f>
        <v>COLLECTION</v>
      </c>
      <c r="E211" s="45" t="str">
        <f t="array" ref="E211">_xlfn.XLOOKUP(
 A211,
 tblTargetStatus[TargetID],
 tblTargetStatus[ChainAwareStatus],
 ""
)</f>
        <v>BLOCKED</v>
      </c>
      <c r="F211" s="45"/>
      <c r="G211" s="45" t="b">
        <v>0</v>
      </c>
      <c r="H211" s="45" t="b">
        <f t="array" ref="H211">_xlfn.XLOOKUP(
 A211,
 tblTargetStatus[TargetID],
 tblTargetStatus[TargetFunded],
 ""
)</f>
        <v>0</v>
      </c>
      <c r="I211" s="45" t="str">
        <f t="array" ref="I211">IF(
 D211&lt;&gt;"BUILDING",
 "",
 IF(
  Player!$H$1="Active",
  _xlfn.XLOOKUP(
   A211,
   tblrecommended[ActiveTargetID],
   tblrecommended[Order],
   ""
  ),
  _xlfn.XLOOKUP(
   A211,
   tblrecommended[PassiveTargetID],
   tblrecommended[Order],
   ""
  )
 )
)</f>
        <v/>
      </c>
    </row>
    <row r="212" ht="25.5" hidden="1" customHeight="1">
      <c r="A212" s="26" t="s">
        <v>829</v>
      </c>
      <c r="B212" s="26" t="str">
        <f t="array" ref="B212">_xlfn.XLOOKUP(Checklist!$A212,tblTargets[TargetID],tblTargets[DisplayName])</f>
        <v>Treasury 3 Lv 1</v>
      </c>
      <c r="C212" s="21" t="str">
        <f t="array" ref="C212">_xlfn.XLOOKUP(
 A212,
 tblTargetStatus[TargetID],
 tblTargetStatus[successors],
 ""
)</f>
        <v/>
      </c>
      <c r="D212" s="26" t="str">
        <f t="array" ref="D212">_xlfn.XLOOKUP(
 A212,
 tblTargets[TargetID],
 tblTargets[TargetType],
 ""
)</f>
        <v>COLLECTION</v>
      </c>
      <c r="E212" s="45" t="str">
        <f t="array" ref="E212">_xlfn.XLOOKUP(
 A212,
 tblTargetStatus[TargetID],
 tblTargetStatus[ChainAwareStatus],
 ""
)</f>
        <v>BLOCKED</v>
      </c>
      <c r="F212" s="45"/>
      <c r="G212" s="45" t="b">
        <v>0</v>
      </c>
      <c r="H212" s="45" t="b">
        <f t="array" ref="H212">_xlfn.XLOOKUP(
 A212,
 tblTargetStatus[TargetID],
 tblTargetStatus[TargetFunded],
 ""
)</f>
        <v>0</v>
      </c>
      <c r="I212" s="45" t="str">
        <f t="array" ref="I212">IF(
 D212&lt;&gt;"BUILDING",
 "",
 IF(
  Player!$H$1="Active",
  _xlfn.XLOOKUP(
   A212,
   tblrecommended[ActiveTargetID],
   tblrecommended[Order],
   ""
  ),
  _xlfn.XLOOKUP(
   A212,
   tblrecommended[PassiveTargetID],
   tblrecommended[Order],
   ""
  )
 )
)</f>
        <v/>
      </c>
    </row>
    <row r="213" ht="25.5" hidden="1" customHeight="1">
      <c r="A213" s="26" t="s">
        <v>833</v>
      </c>
      <c r="B213" s="26" t="str">
        <f t="array" ref="B213">_xlfn.XLOOKUP(Checklist!$A213,tblTargets[TargetID],tblTargets[DisplayName])</f>
        <v>Astrolabe</v>
      </c>
      <c r="C213" s="21" t="str">
        <f t="array" ref="C213">_xlfn.XLOOKUP(
 A213,
 tblTargetStatus[TargetID],
 tblTargetStatus[successors],
 ""
)</f>
        <v/>
      </c>
      <c r="D213" s="26" t="str">
        <f t="array" ref="D213">_xlfn.XLOOKUP(
 A213,
 tblTargets[TargetID],
 tblTargets[TargetType],
 ""
)</f>
        <v>CRAFTIFACT</v>
      </c>
      <c r="E213" s="45" t="str">
        <f t="array" ref="E213">_xlfn.XLOOKUP(
 A213,
 tblTargetStatus[TargetID],
 tblTargetStatus[ChainAwareStatus],
 ""
)</f>
        <v>BLOCKED</v>
      </c>
      <c r="F213" s="45"/>
      <c r="G213" s="45" t="b">
        <v>0</v>
      </c>
      <c r="H213" s="45" t="b">
        <f t="array" ref="H213">_xlfn.XLOOKUP(
 A213,
 tblTargetStatus[TargetID],
 tblTargetStatus[TargetFunded],
 ""
)</f>
        <v>0</v>
      </c>
      <c r="I213" s="45" t="str">
        <f t="array" ref="I213">IF(
 D213&lt;&gt;"BUILDING",
 "",
 IF(
  Player!$H$1="Active",
  _xlfn.XLOOKUP(
   A213,
   tblrecommended[ActiveTargetID],
   tblrecommended[Order],
   ""
  ),
  _xlfn.XLOOKUP(
   A213,
   tblrecommended[PassiveTargetID],
   tblrecommended[Order],
   ""
  )
 )
)</f>
        <v/>
      </c>
    </row>
    <row r="214" ht="25.5" hidden="1" customHeight="1">
      <c r="A214" s="26" t="s">
        <v>838</v>
      </c>
      <c r="B214" s="26" t="str">
        <f t="array" ref="B214">_xlfn.XLOOKUP(Checklist!$A214,tblTargets[TargetID],tblTargets[DisplayName])</f>
        <v>Barometer</v>
      </c>
      <c r="C214" s="21" t="str">
        <f t="array" ref="C214">_xlfn.XLOOKUP(
 A214,
 tblTargetStatus[TargetID],
 tblTargetStatus[successors],
 ""
)</f>
        <v/>
      </c>
      <c r="D214" s="26" t="str">
        <f t="array" ref="D214">_xlfn.XLOOKUP(
 A214,
 tblTargets[TargetID],
 tblTargets[TargetType],
 ""
)</f>
        <v>CRAFTIFACT</v>
      </c>
      <c r="E214" s="45" t="str">
        <f t="array" ref="E214">_xlfn.XLOOKUP(
 A214,
 tblTargetStatus[TargetID],
 tblTargetStatus[ChainAwareStatus],
 ""
)</f>
        <v>BLOCKED</v>
      </c>
      <c r="F214" s="45"/>
      <c r="G214" s="45" t="b">
        <v>0</v>
      </c>
      <c r="H214" s="45" t="b">
        <f t="array" ref="H214">_xlfn.XLOOKUP(
 A214,
 tblTargetStatus[TargetID],
 tblTargetStatus[TargetFunded],
 ""
)</f>
        <v>0</v>
      </c>
      <c r="I214" s="45" t="str">
        <f t="array" ref="I214">IF(
 D214&lt;&gt;"BUILDING",
 "",
 IF(
  Player!$H$1="Active",
  _xlfn.XLOOKUP(
   A214,
   tblrecommended[ActiveTargetID],
   tblrecommended[Order],
   ""
  ),
  _xlfn.XLOOKUP(
   A214,
   tblrecommended[PassiveTargetID],
   tblrecommended[Order],
   ""
  )
 )
)</f>
        <v/>
      </c>
    </row>
    <row r="215" ht="25.5" hidden="1" customHeight="1">
      <c r="A215" s="26" t="s">
        <v>841</v>
      </c>
      <c r="B215" s="26" t="str">
        <f t="array" ref="B215">_xlfn.XLOOKUP(Checklist!$A215,tblTargets[TargetID],tblTargets[DisplayName])</f>
        <v>Cinema Projector</v>
      </c>
      <c r="C215" s="21" t="str">
        <f t="array" ref="C215">_xlfn.XLOOKUP(
 A215,
 tblTargetStatus[TargetID],
 tblTargetStatus[successors],
 ""
)</f>
        <v/>
      </c>
      <c r="D215" s="26" t="str">
        <f t="array" ref="D215">_xlfn.XLOOKUP(
 A215,
 tblTargets[TargetID],
 tblTargets[TargetType],
 ""
)</f>
        <v>CRAFTIFACT</v>
      </c>
      <c r="E215" s="45" t="str">
        <f t="array" ref="E215">_xlfn.XLOOKUP(
 A215,
 tblTargetStatus[TargetID],
 tblTargetStatus[ChainAwareStatus],
 ""
)</f>
        <v>BLOCKED</v>
      </c>
      <c r="F215" s="45"/>
      <c r="G215" s="45" t="b">
        <v>0</v>
      </c>
      <c r="H215" s="45" t="b">
        <f t="array" ref="H215">_xlfn.XLOOKUP(
 A215,
 tblTargetStatus[TargetID],
 tblTargetStatus[TargetFunded],
 ""
)</f>
        <v>0</v>
      </c>
      <c r="I215" s="45" t="str">
        <f t="array" ref="I215">IF(
 D215&lt;&gt;"BUILDING",
 "",
 IF(
  Player!$H$1="Active",
  _xlfn.XLOOKUP(
   A215,
   tblrecommended[ActiveTargetID],
   tblrecommended[Order],
   ""
  ),
  _xlfn.XLOOKUP(
   A215,
   tblrecommended[PassiveTargetID],
   tblrecommended[Order],
   ""
  )
 )
)</f>
        <v/>
      </c>
    </row>
    <row r="216" ht="25.5" hidden="1" customHeight="1">
      <c r="A216" s="26" t="s">
        <v>846</v>
      </c>
      <c r="B216" s="26" t="str">
        <f t="array" ref="B216">_xlfn.XLOOKUP(Checklist!$A216,tblTargets[TargetID],tblTargets[DisplayName])</f>
        <v>Dagger</v>
      </c>
      <c r="C216" s="21" t="str">
        <f t="array" ref="C216">_xlfn.XLOOKUP(
 A216,
 tblTargetStatus[TargetID],
 tblTargetStatus[successors],
 ""
)</f>
        <v/>
      </c>
      <c r="D216" s="26" t="str">
        <f t="array" ref="D216">_xlfn.XLOOKUP(
 A216,
 tblTargets[TargetID],
 tblTargets[TargetType],
 ""
)</f>
        <v>CRAFTIFACT</v>
      </c>
      <c r="E216" s="45" t="str">
        <f t="array" ref="E216">_xlfn.XLOOKUP(
 A216,
 tblTargetStatus[TargetID],
 tblTargetStatus[ChainAwareStatus],
 ""
)</f>
        <v>BLOCKED</v>
      </c>
      <c r="F216" s="45"/>
      <c r="G216" s="45" t="b">
        <v>0</v>
      </c>
      <c r="H216" s="45" t="b">
        <f t="array" ref="H216">_xlfn.XLOOKUP(
 A216,
 tblTargetStatus[TargetID],
 tblTargetStatus[TargetFunded],
 ""
)</f>
        <v>0</v>
      </c>
      <c r="I216" s="45" t="str">
        <f t="array" ref="I216">IF(
 D216&lt;&gt;"BUILDING",
 "",
 IF(
  Player!$H$1="Active",
  _xlfn.XLOOKUP(
   A216,
   tblrecommended[ActiveTargetID],
   tblrecommended[Order],
   ""
  ),
  _xlfn.XLOOKUP(
   A216,
   tblrecommended[PassiveTargetID],
   tblrecommended[Order],
   ""
  )
 )
)</f>
        <v/>
      </c>
    </row>
    <row r="217" ht="25.5" hidden="1" customHeight="1">
      <c r="A217" s="26" t="s">
        <v>850</v>
      </c>
      <c r="B217" s="26" t="str">
        <f t="array" ref="B217">_xlfn.XLOOKUP(Checklist!$A217,tblTargets[TargetID],tblTargets[DisplayName])</f>
        <v>Emerald Tablet</v>
      </c>
      <c r="C217" s="21" t="str">
        <f t="array" ref="C217">_xlfn.XLOOKUP(
 A217,
 tblTargetStatus[TargetID],
 tblTargetStatus[successors],
 ""
)</f>
        <v>Quest for Knowledge Chapter 3 Finished</v>
      </c>
      <c r="D217" s="26" t="str">
        <f t="array" ref="D217">_xlfn.XLOOKUP(
 A217,
 tblTargets[TargetID],
 tblTargets[TargetType],
 ""
)</f>
        <v>CRAFTIFACT</v>
      </c>
      <c r="E217" s="45" t="str">
        <f t="array" ref="E217">_xlfn.XLOOKUP(
 A217,
 tblTargetStatus[TargetID],
 tblTargetStatus[ChainAwareStatus],
 ""
)</f>
        <v>BLOCKED</v>
      </c>
      <c r="F217" s="45"/>
      <c r="G217" s="45" t="b">
        <v>0</v>
      </c>
      <c r="H217" s="45" t="b">
        <f t="array" ref="H217">_xlfn.XLOOKUP(
 A217,
 tblTargetStatus[TargetID],
 tblTargetStatus[TargetFunded],
 ""
)</f>
        <v>0</v>
      </c>
      <c r="I217" s="45" t="str">
        <f t="array" ref="I217">IF(
 D217&lt;&gt;"BUILDING",
 "",
 IF(
  Player!$H$1="Active",
  _xlfn.XLOOKUP(
   A217,
   tblrecommended[ActiveTargetID],
   tblrecommended[Order],
   ""
  ),
  _xlfn.XLOOKUP(
   A217,
   tblrecommended[PassiveTargetID],
   tblrecommended[Order],
   ""
  )
 )
)</f>
        <v/>
      </c>
    </row>
    <row r="218" ht="25.5" hidden="1" customHeight="1">
      <c r="A218" s="26" t="s">
        <v>853</v>
      </c>
      <c r="B218" s="26" t="str">
        <f t="array" ref="B218">_xlfn.XLOOKUP(Checklist!$A218,tblTargets[TargetID],tblTargets[DisplayName])</f>
        <v>Flamethrower</v>
      </c>
      <c r="C218" s="21" t="str">
        <f t="array" ref="C218">_xlfn.XLOOKUP(
 A218,
 tblTargetStatus[TargetID],
 tblTargetStatus[successors],
 ""
)</f>
        <v/>
      </c>
      <c r="D218" s="26" t="str">
        <f t="array" ref="D218">_xlfn.XLOOKUP(
 A218,
 tblTargets[TargetID],
 tblTargets[TargetType],
 ""
)</f>
        <v>CRAFTIFACT</v>
      </c>
      <c r="E218" s="45" t="str">
        <f t="array" ref="E218">_xlfn.XLOOKUP(
 A218,
 tblTargetStatus[TargetID],
 tblTargetStatus[ChainAwareStatus],
 ""
)</f>
        <v>BLOCKED</v>
      </c>
      <c r="F218" s="45">
        <v>25.0</v>
      </c>
      <c r="G218" s="45" t="b">
        <v>0</v>
      </c>
      <c r="H218" s="45" t="b">
        <f t="array" ref="H218">_xlfn.XLOOKUP(
 A218,
 tblTargetStatus[TargetID],
 tblTargetStatus[TargetFunded],
 ""
)</f>
        <v>0</v>
      </c>
      <c r="I218" s="45" t="str">
        <f t="array" ref="I218">IF(
 D218&lt;&gt;"BUILDING",
 "",
 IF(
  Player!$H$1="Active",
  _xlfn.XLOOKUP(
   A218,
   tblrecommended[ActiveTargetID],
   tblrecommended[Order],
   ""
  ),
  _xlfn.XLOOKUP(
   A218,
   tblrecommended[PassiveTargetID],
   tblrecommended[Order],
   ""
  )
 )
)</f>
        <v/>
      </c>
    </row>
    <row r="219" ht="25.5" hidden="1" customHeight="1">
      <c r="A219" s="26" t="s">
        <v>858</v>
      </c>
      <c r="B219" s="26" t="str">
        <f t="array" ref="B219">_xlfn.XLOOKUP(Checklist!$A219,tblTargets[TargetID],tblTargets[DisplayName])</f>
        <v>Guild Banner</v>
      </c>
      <c r="C219" s="21" t="str">
        <f t="array" ref="C219">_xlfn.XLOOKUP(
 A219,
 tblTargetStatus[TargetID],
 tblTargetStatus[successors],
 ""
)</f>
        <v>Honor, Glory, Sushi Finished</v>
      </c>
      <c r="D219" s="26" t="str">
        <f t="array" ref="D219">_xlfn.XLOOKUP(
 A219,
 tblTargets[TargetID],
 tblTargets[TargetType],
 ""
)</f>
        <v>CRAFTIFACT</v>
      </c>
      <c r="E219" s="45" t="str">
        <f t="array" ref="E219">_xlfn.XLOOKUP(
 A219,
 tblTargetStatus[TargetID],
 tblTargetStatus[ChainAwareStatus],
 ""
)</f>
        <v>BLOCKED</v>
      </c>
      <c r="F219" s="45"/>
      <c r="G219" s="45" t="b">
        <v>0</v>
      </c>
      <c r="H219" s="45" t="b">
        <f t="array" ref="H219">_xlfn.XLOOKUP(
 A219,
 tblTargetStatus[TargetID],
 tblTargetStatus[TargetFunded],
 ""
)</f>
        <v>0</v>
      </c>
      <c r="I219" s="45" t="str">
        <f t="array" ref="I219">IF(
 D219&lt;&gt;"BUILDING",
 "",
 IF(
  Player!$H$1="Active",
  _xlfn.XLOOKUP(
   A219,
   tblrecommended[ActiveTargetID],
   tblrecommended[Order],
   ""
  ),
  _xlfn.XLOOKUP(
   A219,
   tblrecommended[PassiveTargetID],
   tblrecommended[Order],
   ""
  )
 )
)</f>
        <v/>
      </c>
    </row>
    <row r="220" ht="25.5" hidden="1" customHeight="1">
      <c r="A220" s="26" t="s">
        <v>861</v>
      </c>
      <c r="B220" s="26" t="str">
        <f t="array" ref="B220">_xlfn.XLOOKUP(Checklist!$A220,tblTargets[TargetID],tblTargets[DisplayName])</f>
        <v>Guild Codex</v>
      </c>
      <c r="C220" s="21" t="str">
        <f t="array" ref="C220">_xlfn.XLOOKUP(
 A220,
 tblTargetStatus[TargetID],
 tblTargetStatus[successors],
 ""
)</f>
        <v>Honor, Glory, Sushi Finished</v>
      </c>
      <c r="D220" s="26" t="str">
        <f t="array" ref="D220">_xlfn.XLOOKUP(
 A220,
 tblTargets[TargetID],
 tblTargets[TargetType],
 ""
)</f>
        <v>CRAFTIFACT</v>
      </c>
      <c r="E220" s="45" t="str">
        <f t="array" ref="E220">_xlfn.XLOOKUP(
 A220,
 tblTargetStatus[TargetID],
 tblTargetStatus[ChainAwareStatus],
 ""
)</f>
        <v>BLOCKED</v>
      </c>
      <c r="F220" s="45"/>
      <c r="G220" s="45" t="b">
        <v>0</v>
      </c>
      <c r="H220" s="45" t="b">
        <f t="array" ref="H220">_xlfn.XLOOKUP(
 A220,
 tblTargetStatus[TargetID],
 tblTargetStatus[TargetFunded],
 ""
)</f>
        <v>0</v>
      </c>
      <c r="I220" s="45" t="str">
        <f t="array" ref="I220">IF(
 D220&lt;&gt;"BUILDING",
 "",
 IF(
  Player!$H$1="Active",
  _xlfn.XLOOKUP(
   A220,
   tblrecommended[ActiveTargetID],
   tblrecommended[Order],
   ""
  ),
  _xlfn.XLOOKUP(
   A220,
   tblrecommended[PassiveTargetID],
   tblrecommended[Order],
   ""
  )
 )
)</f>
        <v/>
      </c>
    </row>
    <row r="221" ht="25.5" hidden="1" customHeight="1">
      <c r="A221" s="26" t="s">
        <v>864</v>
      </c>
      <c r="B221" s="26" t="str">
        <f t="array" ref="B221">_xlfn.XLOOKUP(Checklist!$A221,tblTargets[TargetID],tblTargets[DisplayName])</f>
        <v>Guild Supplies</v>
      </c>
      <c r="C221" s="21" t="str">
        <f t="array" ref="C221">_xlfn.XLOOKUP(
 A221,
 tblTargetStatus[TargetID],
 tblTargetStatus[successors],
 ""
)</f>
        <v>Honor, Glory, Sushi Finished</v>
      </c>
      <c r="D221" s="26" t="str">
        <f t="array" ref="D221">_xlfn.XLOOKUP(
 A221,
 tblTargets[TargetID],
 tblTargets[TargetType],
 ""
)</f>
        <v>CRAFTIFACT</v>
      </c>
      <c r="E221" s="45" t="str">
        <f t="array" ref="E221">_xlfn.XLOOKUP(
 A221,
 tblTargetStatus[TargetID],
 tblTargetStatus[ChainAwareStatus],
 ""
)</f>
        <v>BLOCKED</v>
      </c>
      <c r="F221" s="45"/>
      <c r="G221" s="45" t="b">
        <v>0</v>
      </c>
      <c r="H221" s="45" t="b">
        <f t="array" ref="H221">_xlfn.XLOOKUP(
 A221,
 tblTargetStatus[TargetID],
 tblTargetStatus[TargetFunded],
 ""
)</f>
        <v>0</v>
      </c>
      <c r="I221" s="45" t="str">
        <f t="array" ref="I221">IF(
 D221&lt;&gt;"BUILDING",
 "",
 IF(
  Player!$H$1="Active",
  _xlfn.XLOOKUP(
   A221,
   tblrecommended[ActiveTargetID],
   tblrecommended[Order],
   ""
  ),
  _xlfn.XLOOKUP(
   A221,
   tblrecommended[PassiveTargetID],
   tblrecommended[Order],
   ""
  )
 )
)</f>
        <v/>
      </c>
    </row>
    <row r="222" ht="25.5" hidden="1" customHeight="1">
      <c r="A222" s="26" t="s">
        <v>867</v>
      </c>
      <c r="B222" s="26" t="str">
        <f t="array" ref="B222">_xlfn.XLOOKUP(Checklist!$A222,tblTargets[TargetID],tblTargets[DisplayName])</f>
        <v>Hat Of Concentration</v>
      </c>
      <c r="C222" s="21" t="str">
        <f t="array" ref="C222">_xlfn.XLOOKUP(
 A222,
 tblTargetStatus[TargetID],
 tblTargetStatus[successors],
 ""
)</f>
        <v/>
      </c>
      <c r="D222" s="26" t="str">
        <f t="array" ref="D222">_xlfn.XLOOKUP(
 A222,
 tblTargets[TargetID],
 tblTargets[TargetType],
 ""
)</f>
        <v>CRAFTIFACT</v>
      </c>
      <c r="E222" s="45" t="str">
        <f t="array" ref="E222">_xlfn.XLOOKUP(
 A222,
 tblTargetStatus[TargetID],
 tblTargetStatus[ChainAwareStatus],
 ""
)</f>
        <v>BLOCKED</v>
      </c>
      <c r="F222" s="45">
        <v>29.0</v>
      </c>
      <c r="G222" s="45" t="b">
        <v>0</v>
      </c>
      <c r="H222" s="45" t="b">
        <f t="array" ref="H222">_xlfn.XLOOKUP(
 A222,
 tblTargetStatus[TargetID],
 tblTargetStatus[TargetFunded],
 ""
)</f>
        <v>0</v>
      </c>
      <c r="I222" s="45" t="str">
        <f t="array" ref="I222">IF(
 D222&lt;&gt;"BUILDING",
 "",
 IF(
  Player!$H$1="Active",
  _xlfn.XLOOKUP(
   A222,
   tblrecommended[ActiveTargetID],
   tblrecommended[Order],
   ""
  ),
  _xlfn.XLOOKUP(
   A222,
   tblrecommended[PassiveTargetID],
   tblrecommended[Order],
   ""
  )
 )
)</f>
        <v/>
      </c>
    </row>
    <row r="223" ht="25.5" hidden="1" customHeight="1">
      <c r="A223" s="26" t="s">
        <v>872</v>
      </c>
      <c r="B223" s="26" t="str">
        <f t="array" ref="B223">_xlfn.XLOOKUP(Checklist!$A223,tblTargets[TargetID],tblTargets[DisplayName])</f>
        <v>Helmet</v>
      </c>
      <c r="C223" s="21" t="str">
        <f t="array" ref="C223">_xlfn.XLOOKUP(
 A223,
 tblTargetStatus[TargetID],
 tblTargetStatus[successors],
 ""
)</f>
        <v/>
      </c>
      <c r="D223" s="26" t="str">
        <f t="array" ref="D223">_xlfn.XLOOKUP(
 A223,
 tblTargets[TargetID],
 tblTargets[TargetType],
 ""
)</f>
        <v>CRAFTIFACT</v>
      </c>
      <c r="E223" s="45" t="str">
        <f t="array" ref="E223">_xlfn.XLOOKUP(
 A223,
 tblTargetStatus[TargetID],
 tblTargetStatus[ChainAwareStatus],
 ""
)</f>
        <v>BLOCKED</v>
      </c>
      <c r="F223" s="45"/>
      <c r="G223" s="45" t="b">
        <v>0</v>
      </c>
      <c r="H223" s="45" t="b">
        <f t="array" ref="H223">_xlfn.XLOOKUP(
 A223,
 tblTargetStatus[TargetID],
 tblTargetStatus[TargetFunded],
 ""
)</f>
        <v>0</v>
      </c>
      <c r="I223" s="45" t="str">
        <f t="array" ref="I223">IF(
 D223&lt;&gt;"BUILDING",
 "",
 IF(
  Player!$H$1="Active",
  _xlfn.XLOOKUP(
   A223,
   tblrecommended[ActiveTargetID],
   tblrecommended[Order],
   ""
  ),
  _xlfn.XLOOKUP(
   A223,
   tblrecommended[PassiveTargetID],
   tblrecommended[Order],
   ""
  )
 )
)</f>
        <v/>
      </c>
    </row>
    <row r="224" ht="25.5" hidden="1" customHeight="1">
      <c r="A224" s="26" t="s">
        <v>876</v>
      </c>
      <c r="B224" s="26" t="str">
        <f t="array" ref="B224">_xlfn.XLOOKUP(Checklist!$A224,tblTargets[TargetID],tblTargets[DisplayName])</f>
        <v>Historical Library</v>
      </c>
      <c r="C224" s="21" t="str">
        <f t="array" ref="C224">_xlfn.XLOOKUP(
 A224,
 tblTargetStatus[TargetID],
 tblTargetStatus[successors],
 ""
)</f>
        <v>Historical Library 1 Lv 1, Quest for Knowledge Chapter 4 Finished</v>
      </c>
      <c r="D224" s="26" t="str">
        <f t="array" ref="D224">_xlfn.XLOOKUP(
 A224,
 tblTargets[TargetID],
 tblTargets[TargetType],
 ""
)</f>
        <v>CRAFTIFACT</v>
      </c>
      <c r="E224" s="45" t="str">
        <f t="array" ref="E224">_xlfn.XLOOKUP(
 A224,
 tblTargetStatus[TargetID],
 tblTargetStatus[ChainAwareStatus],
 ""
)</f>
        <v>BLOCKED</v>
      </c>
      <c r="F224" s="45"/>
      <c r="G224" s="45" t="b">
        <v>0</v>
      </c>
      <c r="H224" s="45" t="b">
        <f t="array" ref="H224">_xlfn.XLOOKUP(
 A224,
 tblTargetStatus[TargetID],
 tblTargetStatus[TargetFunded],
 ""
)</f>
        <v>0</v>
      </c>
      <c r="I224" s="45" t="str">
        <f t="array" ref="I224">IF(
 D224&lt;&gt;"BUILDING",
 "",
 IF(
  Player!$H$1="Active",
  _xlfn.XLOOKUP(
   A224,
   tblrecommended[ActiveTargetID],
   tblrecommended[Order],
   ""
  ),
  _xlfn.XLOOKUP(
   A224,
   tblrecommended[PassiveTargetID],
   tblrecommended[Order],
   ""
  )
 )
)</f>
        <v/>
      </c>
    </row>
    <row r="225" ht="25.5" hidden="1" customHeight="1">
      <c r="A225" s="26" t="s">
        <v>881</v>
      </c>
      <c r="B225" s="26" t="str">
        <f t="array" ref="B225">_xlfn.XLOOKUP(Checklist!$A225,tblTargets[TargetID],tblTargets[DisplayName])</f>
        <v>Hotei Statuette</v>
      </c>
      <c r="C225" s="21" t="str">
        <f t="array" ref="C225">_xlfn.XLOOKUP(
 A225,
 tblTargetStatus[TargetID],
 tblTargetStatus[successors],
 ""
)</f>
        <v/>
      </c>
      <c r="D225" s="26" t="str">
        <f t="array" ref="D225">_xlfn.XLOOKUP(
 A225,
 tblTargets[TargetID],
 tblTargets[TargetType],
 ""
)</f>
        <v>CRAFTIFACT</v>
      </c>
      <c r="E225" s="45" t="str">
        <f t="array" ref="E225">_xlfn.XLOOKUP(
 A225,
 tblTargetStatus[TargetID],
 tblTargetStatus[ChainAwareStatus],
 ""
)</f>
        <v>BLOCKED</v>
      </c>
      <c r="F225" s="45"/>
      <c r="G225" s="45" t="b">
        <v>0</v>
      </c>
      <c r="H225" s="45" t="b">
        <f t="array" ref="H225">_xlfn.XLOOKUP(
 A225,
 tblTargetStatus[TargetID],
 tblTargetStatus[TargetFunded],
 ""
)</f>
        <v>0</v>
      </c>
      <c r="I225" s="45" t="str">
        <f t="array" ref="I225">IF(
 D225&lt;&gt;"BUILDING",
 "",
 IF(
  Player!$H$1="Active",
  _xlfn.XLOOKUP(
   A225,
   tblrecommended[ActiveTargetID],
   tblrecommended[Order],
   ""
  ),
  _xlfn.XLOOKUP(
   A225,
   tblrecommended[PassiveTargetID],
   tblrecommended[Order],
   ""
  )
 )
)</f>
        <v/>
      </c>
    </row>
    <row r="226" ht="25.5" hidden="1" customHeight="1">
      <c r="A226" s="26" t="s">
        <v>885</v>
      </c>
      <c r="B226" s="26" t="str">
        <f t="array" ref="B226">_xlfn.XLOOKUP(Checklist!$A226,tblTargets[TargetID],tblTargets[DisplayName])</f>
        <v>Metal Detector</v>
      </c>
      <c r="C226" s="21" t="str">
        <f t="array" ref="C226">_xlfn.XLOOKUP(
 A226,
 tblTargetStatus[TargetID],
 tblTargetStatus[successors],
 ""
)</f>
        <v/>
      </c>
      <c r="D226" s="26" t="str">
        <f t="array" ref="D226">_xlfn.XLOOKUP(
 A226,
 tblTargets[TargetID],
 tblTargets[TargetType],
 ""
)</f>
        <v>CRAFTIFACT</v>
      </c>
      <c r="E226" s="45" t="str">
        <f t="array" ref="E226">_xlfn.XLOOKUP(
 A226,
 tblTargetStatus[TargetID],
 tblTargetStatus[ChainAwareStatus],
 ""
)</f>
        <v>BLOCKED</v>
      </c>
      <c r="F226" s="45"/>
      <c r="G226" s="45" t="b">
        <v>0</v>
      </c>
      <c r="H226" s="45" t="b">
        <f t="array" ref="H226">_xlfn.XLOOKUP(
 A226,
 tblTargetStatus[TargetID],
 tblTargetStatus[TargetFunded],
 ""
)</f>
        <v>0</v>
      </c>
      <c r="I226" s="45" t="str">
        <f t="array" ref="I226">IF(
 D226&lt;&gt;"BUILDING",
 "",
 IF(
  Player!$H$1="Active",
  _xlfn.XLOOKUP(
   A226,
   tblrecommended[ActiveTargetID],
   tblrecommended[Order],
   ""
  ),
  _xlfn.XLOOKUP(
   A226,
   tblrecommended[PassiveTargetID],
   tblrecommended[Order],
   ""
  )
 )
)</f>
        <v/>
      </c>
    </row>
    <row r="227" ht="25.5" hidden="1" customHeight="1">
      <c r="A227" s="26" t="s">
        <v>891</v>
      </c>
      <c r="B227" s="26" t="str">
        <f t="array" ref="B227">_xlfn.XLOOKUP(Checklist!$A227,tblTargets[TargetID],tblTargets[DisplayName])</f>
        <v>Necklace For Haruka</v>
      </c>
      <c r="C227" s="21" t="str">
        <f t="array" ref="C227">_xlfn.XLOOKUP(
 A227,
 tblTargetStatus[TargetID],
 tblTargetStatus[successors],
 ""
)</f>
        <v/>
      </c>
      <c r="D227" s="26" t="str">
        <f t="array" ref="D227">_xlfn.XLOOKUP(
 A227,
 tblTargets[TargetID],
 tblTargets[TargetType],
 ""
)</f>
        <v>CRAFTIFACT</v>
      </c>
      <c r="E227" s="45" t="str">
        <f t="array" ref="E227">_xlfn.XLOOKUP(
 A227,
 tblTargetStatus[TargetID],
 tblTargetStatus[ChainAwareStatus],
 ""
)</f>
        <v>BLOCKED</v>
      </c>
      <c r="F227" s="45"/>
      <c r="G227" s="45" t="b">
        <v>0</v>
      </c>
      <c r="H227" s="45" t="b">
        <f t="array" ref="H227">_xlfn.XLOOKUP(
 A227,
 tblTargetStatus[TargetID],
 tblTargetStatus[TargetFunded],
 ""
)</f>
        <v>0</v>
      </c>
      <c r="I227" s="45" t="str">
        <f t="array" ref="I227">IF(
 D227&lt;&gt;"BUILDING",
 "",
 IF(
  Player!$H$1="Active",
  _xlfn.XLOOKUP(
   A227,
   tblrecommended[ActiveTargetID],
   tblrecommended[Order],
   ""
  ),
  _xlfn.XLOOKUP(
   A227,
   tblrecommended[PassiveTargetID],
   tblrecommended[Order],
   ""
  )
 )
)</f>
        <v/>
      </c>
    </row>
    <row r="228" ht="25.5" hidden="1" customHeight="1">
      <c r="A228" s="26" t="s">
        <v>895</v>
      </c>
      <c r="B228" s="26" t="str">
        <f t="array" ref="B228">_xlfn.XLOOKUP(Checklist!$A228,tblTargets[TargetID],tblTargets[DisplayName])</f>
        <v>Safe</v>
      </c>
      <c r="C228" s="21" t="str">
        <f t="array" ref="C228">_xlfn.XLOOKUP(
 A228,
 tblTargetStatus[TargetID],
 tblTargetStatus[successors],
 ""
)</f>
        <v/>
      </c>
      <c r="D228" s="26" t="str">
        <f t="array" ref="D228">_xlfn.XLOOKUP(
 A228,
 tblTargets[TargetID],
 tblTargets[TargetType],
 ""
)</f>
        <v>CRAFTIFACT</v>
      </c>
      <c r="E228" s="45" t="str">
        <f t="array" ref="E228">_xlfn.XLOOKUP(
 A228,
 tblTargetStatus[TargetID],
 tblTargetStatus[ChainAwareStatus],
 ""
)</f>
        <v>BLOCKED</v>
      </c>
      <c r="F228" s="45">
        <v>500.0</v>
      </c>
      <c r="G228" s="45" t="b">
        <v>0</v>
      </c>
      <c r="H228" s="45" t="b">
        <f t="array" ref="H228">_xlfn.XLOOKUP(
 A228,
 tblTargetStatus[TargetID],
 tblTargetStatus[TargetFunded],
 ""
)</f>
        <v>0</v>
      </c>
      <c r="I228" s="45" t="str">
        <f t="array" ref="I228">IF(
 D228&lt;&gt;"BUILDING",
 "",
 IF(
  Player!$H$1="Active",
  _xlfn.XLOOKUP(
   A228,
   tblrecommended[ActiveTargetID],
   tblrecommended[Order],
   ""
  ),
  _xlfn.XLOOKUP(
   A228,
   tblrecommended[PassiveTargetID],
   tblrecommended[Order],
   ""
  )
 )
)</f>
        <v/>
      </c>
    </row>
    <row r="229" ht="25.5" hidden="1" customHeight="1">
      <c r="A229" s="26" t="s">
        <v>898</v>
      </c>
      <c r="B229" s="26" t="str">
        <f t="array" ref="B229">_xlfn.XLOOKUP(Checklist!$A229,tblTargets[TargetID],tblTargets[DisplayName])</f>
        <v>Solver 1 Prototype</v>
      </c>
      <c r="C229" s="21" t="str">
        <f t="array" ref="C229">_xlfn.XLOOKUP(
 A229,
 tblTargetStatus[TargetID],
 tblTargetStatus[successors],
 ""
)</f>
        <v>Laboratory Lv 1, Ahead of Time Chapter 1 Accepted, Meet mechanical adventurer in Dungeon 3A, Once Upon a Forest Chapter 14 Finished</v>
      </c>
      <c r="D229" s="26" t="str">
        <f t="array" ref="D229">_xlfn.XLOOKUP(
 A229,
 tblTargets[TargetID],
 tblTargets[TargetType],
 ""
)</f>
        <v>CRAFTIFACT</v>
      </c>
      <c r="E229" s="45" t="str">
        <f t="array" ref="E229">_xlfn.XLOOKUP(
 A229,
 tblTargetStatus[TargetID],
 tblTargetStatus[ChainAwareStatus],
 ""
)</f>
        <v>BLOCKED</v>
      </c>
      <c r="F229" s="45"/>
      <c r="G229" s="45" t="b">
        <v>0</v>
      </c>
      <c r="H229" s="45" t="b">
        <f t="array" ref="H229">_xlfn.XLOOKUP(
 A229,
 tblTargetStatus[TargetID],
 tblTargetStatus[TargetFunded],
 ""
)</f>
        <v>0</v>
      </c>
      <c r="I229" s="45" t="str">
        <f t="array" ref="I229">IF(
 D229&lt;&gt;"BUILDING",
 "",
 IF(
  Player!$H$1="Active",
  _xlfn.XLOOKUP(
   A229,
   tblrecommended[ActiveTargetID],
   tblrecommended[Order],
   ""
  ),
  _xlfn.XLOOKUP(
   A229,
   tblrecommended[PassiveTargetID],
   tblrecommended[Order],
   ""
  )
 )
)</f>
        <v/>
      </c>
    </row>
    <row r="230" ht="25.5" hidden="1" customHeight="1">
      <c r="A230" s="26" t="s">
        <v>905</v>
      </c>
      <c r="B230" s="26" t="str">
        <f t="array" ref="B230">_xlfn.XLOOKUP(Checklist!$A230,tblTargets[TargetID],tblTargets[DisplayName])</f>
        <v>Telescope</v>
      </c>
      <c r="C230" s="21" t="str">
        <f t="array" ref="C230">_xlfn.XLOOKUP(
 A230,
 tblTargetStatus[TargetID],
 tblTargetStatus[successors],
 ""
)</f>
        <v>Laboratory Lv 1, Quest for Knowledge Chapter 5 Finished</v>
      </c>
      <c r="D230" s="26" t="str">
        <f t="array" ref="D230">_xlfn.XLOOKUP(
 A230,
 tblTargets[TargetID],
 tblTargets[TargetType],
 ""
)</f>
        <v>CRAFTIFACT</v>
      </c>
      <c r="E230" s="45" t="str">
        <f t="array" ref="E230">_xlfn.XLOOKUP(
 A230,
 tblTargetStatus[TargetID],
 tblTargetStatus[ChainAwareStatus],
 ""
)</f>
        <v>BLOCKED</v>
      </c>
      <c r="F230" s="45"/>
      <c r="G230" s="45" t="b">
        <v>0</v>
      </c>
      <c r="H230" s="45" t="b">
        <f t="array" ref="H230">_xlfn.XLOOKUP(
 A230,
 tblTargetStatus[TargetID],
 tblTargetStatus[TargetFunded],
 ""
)</f>
        <v>0</v>
      </c>
      <c r="I230" s="45" t="str">
        <f t="array" ref="I230">IF(
 D230&lt;&gt;"BUILDING",
 "",
 IF(
  Player!$H$1="Active",
  _xlfn.XLOOKUP(
   A230,
   tblrecommended[ActiveTargetID],
   tblrecommended[Order],
   ""
  ),
  _xlfn.XLOOKUP(
   A230,
   tblrecommended[PassiveTargetID],
   tblrecommended[Order],
   ""
  )
 )
)</f>
        <v/>
      </c>
    </row>
    <row r="231" ht="25.5" hidden="1" customHeight="1">
      <c r="A231" s="26" t="s">
        <v>910</v>
      </c>
      <c r="B231" s="26" t="str">
        <f t="array" ref="B231">_xlfn.XLOOKUP(Checklist!$A231,tblTargets[TargetID],tblTargets[DisplayName])</f>
        <v>Tetrachloroaurate</v>
      </c>
      <c r="C231" s="21" t="str">
        <f t="array" ref="C231">_xlfn.XLOOKUP(
 A231,
 tblTargetStatus[TargetID],
 tblTargetStatus[successors],
 ""
)</f>
        <v/>
      </c>
      <c r="D231" s="26" t="str">
        <f t="array" ref="D231">_xlfn.XLOOKUP(
 A231,
 tblTargets[TargetID],
 tblTargets[TargetType],
 ""
)</f>
        <v>CRAFTIFACT</v>
      </c>
      <c r="E231" s="45" t="str">
        <f t="array" ref="E231">_xlfn.XLOOKUP(
 A231,
 tblTargetStatus[TargetID],
 tblTargetStatus[ChainAwareStatus],
 ""
)</f>
        <v>BLOCKED</v>
      </c>
      <c r="F231" s="45"/>
      <c r="G231" s="45" t="b">
        <v>0</v>
      </c>
      <c r="H231" s="45" t="b">
        <f t="array" ref="H231">_xlfn.XLOOKUP(
 A231,
 tblTargetStatus[TargetID],
 tblTargetStatus[TargetFunded],
 ""
)</f>
        <v>0</v>
      </c>
      <c r="I231" s="45" t="str">
        <f t="array" ref="I231">IF(
 D231&lt;&gt;"BUILDING",
 "",
 IF(
  Player!$H$1="Active",
  _xlfn.XLOOKUP(
   A231,
   tblrecommended[ActiveTargetID],
   tblrecommended[Order],
   ""
  ),
  _xlfn.XLOOKUP(
   A231,
   tblrecommended[PassiveTargetID],
   tblrecommended[Order],
   ""
  )
 )
)</f>
        <v/>
      </c>
    </row>
    <row r="232" ht="25.5" hidden="1" customHeight="1">
      <c r="A232" s="26" t="s">
        <v>914</v>
      </c>
      <c r="B232" s="26" t="str">
        <f t="array" ref="B232">_xlfn.XLOOKUP(Checklist!$A232,tblTargets[TargetID],tblTargets[DisplayName])</f>
        <v>Trigonometry</v>
      </c>
      <c r="C232" s="21" t="str">
        <f t="array" ref="C232">_xlfn.XLOOKUP(
 A232,
 tblTargetStatus[TargetID],
 tblTargetStatus[successors],
 ""
)</f>
        <v>Quest for Knowledge Chapter 2 Finished</v>
      </c>
      <c r="D232" s="26" t="str">
        <f t="array" ref="D232">_xlfn.XLOOKUP(
 A232,
 tblTargets[TargetID],
 tblTargets[TargetType],
 ""
)</f>
        <v>CRAFTIFACT</v>
      </c>
      <c r="E232" s="45" t="str">
        <f t="array" ref="E232">_xlfn.XLOOKUP(
 A232,
 tblTargetStatus[TargetID],
 tblTargetStatus[ChainAwareStatus],
 ""
)</f>
        <v>BLOCKED</v>
      </c>
      <c r="F232" s="45"/>
      <c r="G232" s="45" t="b">
        <v>0</v>
      </c>
      <c r="H232" s="45" t="b">
        <f t="array" ref="H232">_xlfn.XLOOKUP(
 A232,
 tblTargetStatus[TargetID],
 tblTargetStatus[TargetFunded],
 ""
)</f>
        <v>0</v>
      </c>
      <c r="I232" s="45" t="str">
        <f t="array" ref="I232">IF(
 D232&lt;&gt;"BUILDING",
 "",
 IF(
  Player!$H$1="Active",
  _xlfn.XLOOKUP(
   A232,
   tblrecommended[ActiveTargetID],
   tblrecommended[Order],
   ""
  ),
  _xlfn.XLOOKUP(
   A232,
   tblrecommended[PassiveTargetID],
   tblrecommended[Order],
   ""
  )
 )
)</f>
        <v/>
      </c>
    </row>
    <row r="233" ht="25.5" hidden="1" customHeight="1">
      <c r="A233" s="26" t="s">
        <v>920</v>
      </c>
      <c r="B233" s="26" t="str">
        <f t="array" ref="B233">_xlfn.XLOOKUP(Checklist!$A233,tblTargets[TargetID],tblTargets[DisplayName])</f>
        <v>Ahead of Time Chapter 1 Accepted</v>
      </c>
      <c r="C233" s="21" t="str">
        <f t="array" ref="C233">_xlfn.XLOOKUP(
 A233,
 tblTargetStatus[TargetID],
 tblTargetStatus[successors],
 ""
)</f>
        <v>Laboratory Lv 1, Ahead of Time Chapter 1 Finished, Deliver Bedroll to  4B , Deliver Horn to  2C , Deliver Pizza Diavola to  5B , Deliver Pizza Diavola to  5C , Deliver Porcini pasta to  3C , Deliver Potion Ambrosia to  3B , Deliver Potion Berserker rage to  1C , Deliver Yuba to  4C , Alchemist's Hut - Perfect Fertilizer</v>
      </c>
      <c r="D233" s="26" t="str">
        <f t="array" ref="D233">_xlfn.XLOOKUP(
 A233,
 tblTargets[TargetID],
 tblTargets[TargetType],
 ""
)</f>
        <v>QUEST</v>
      </c>
      <c r="E233" s="45" t="str">
        <f t="array" ref="E233">_xlfn.XLOOKUP(
 A233,
 tblTargetStatus[TargetID],
 tblTargetStatus[ChainAwareStatus],
 ""
)</f>
        <v>BLOCKED</v>
      </c>
      <c r="F233" s="45"/>
      <c r="G233" s="45" t="b">
        <v>0</v>
      </c>
      <c r="H233" s="45" t="str">
        <f t="array" ref="H233">_xlfn.XLOOKUP(
 A233,
 tblTargetStatus[TargetID],
 tblTargetStatus[TargetFunded],
 ""
)</f>
        <v>N/A</v>
      </c>
      <c r="I233" s="45" t="str">
        <f t="array" ref="I233">IF(
 D233&lt;&gt;"BUILDING",
 "",
 IF(
  Player!$H$1="Active",
  _xlfn.XLOOKUP(
   A233,
   tblrecommended[ActiveTargetID],
   tblrecommended[Order],
   ""
  ),
  _xlfn.XLOOKUP(
   A233,
   tblrecommended[PassiveTargetID],
   tblrecommended[Order],
   ""
  )
 )
)</f>
        <v/>
      </c>
    </row>
    <row r="234" ht="25.5" hidden="1" customHeight="1">
      <c r="A234" s="26" t="s">
        <v>924</v>
      </c>
      <c r="B234" s="26" t="str">
        <f t="array" ref="B234">_xlfn.XLOOKUP(Checklist!$A234,tblTargets[TargetID],tblTargets[DisplayName])</f>
        <v>Ahead of Time Chapter 1 Finished</v>
      </c>
      <c r="C234" s="21" t="str">
        <f t="array" ref="C234">_xlfn.XLOOKUP(
 A234,
 tblTargetStatus[TargetID],
 tblTargetStatus[successors],
 ""
)</f>
        <v>Ahead of Time Chapter 2 Accepted, Visit Dungeon@6A</v>
      </c>
      <c r="D234" s="26" t="str">
        <f t="array" ref="D234">_xlfn.XLOOKUP(
 A234,
 tblTargets[TargetID],
 tblTargets[TargetType],
 ""
)</f>
        <v>QUEST</v>
      </c>
      <c r="E234" s="45" t="str">
        <f t="array" ref="E234">_xlfn.XLOOKUP(
 A234,
 tblTargetStatus[TargetID],
 tblTargetStatus[ChainAwareStatus],
 ""
)</f>
        <v>BLOCKED</v>
      </c>
      <c r="F234" s="45"/>
      <c r="G234" s="45" t="b">
        <v>0</v>
      </c>
      <c r="H234" s="45" t="b">
        <f t="array" ref="H234">_xlfn.XLOOKUP(
 A234,
 tblTargetStatus[TargetID],
 tblTargetStatus[TargetFunded],
 ""
)</f>
        <v>0</v>
      </c>
      <c r="I234" s="45" t="str">
        <f t="array" ref="I234">IF(
 D234&lt;&gt;"BUILDING",
 "",
 IF(
  Player!$H$1="Active",
  _xlfn.XLOOKUP(
   A234,
   tblrecommended[ActiveTargetID],
   tblrecommended[Order],
   ""
  ),
  _xlfn.XLOOKUP(
   A234,
   tblrecommended[PassiveTargetID],
   tblrecommended[Order],
   ""
  )
 )
)</f>
        <v/>
      </c>
    </row>
    <row r="235" ht="25.5" hidden="1" customHeight="1">
      <c r="A235" s="26" t="s">
        <v>933</v>
      </c>
      <c r="B235" s="26" t="str">
        <f t="array" ref="B235">_xlfn.XLOOKUP(Checklist!$A235,tblTargets[TargetID],tblTargets[DisplayName])</f>
        <v>Ahead of Time Chapter 2 Accepted</v>
      </c>
      <c r="C235" s="21" t="str">
        <f t="array" ref="C235">_xlfn.XLOOKUP(
 A235,
 tblTargetStatus[TargetID],
 tblTargetStatus[successors],
 ""
)</f>
        <v>Tunnel, Ahead of Time Chapter 2 Finished</v>
      </c>
      <c r="D235" s="26" t="str">
        <f t="array" ref="D235">_xlfn.XLOOKUP(
 A235,
 tblTargets[TargetID],
 tblTargets[TargetType],
 ""
)</f>
        <v>QUEST</v>
      </c>
      <c r="E235" s="45" t="str">
        <f t="array" ref="E235">_xlfn.XLOOKUP(
 A235,
 tblTargetStatus[TargetID],
 tblTargetStatus[ChainAwareStatus],
 ""
)</f>
        <v>BLOCKED</v>
      </c>
      <c r="F235" s="45"/>
      <c r="G235" s="45" t="b">
        <v>0</v>
      </c>
      <c r="H235" s="45" t="str">
        <f t="array" ref="H235">_xlfn.XLOOKUP(
 A235,
 tblTargetStatus[TargetID],
 tblTargetStatus[TargetFunded],
 ""
)</f>
        <v>N/A</v>
      </c>
      <c r="I235" s="45" t="str">
        <f t="array" ref="I235">IF(
 D235&lt;&gt;"BUILDING",
 "",
 IF(
  Player!$H$1="Active",
  _xlfn.XLOOKUP(
   A235,
   tblrecommended[ActiveTargetID],
   tblrecommended[Order],
   ""
  ),
  _xlfn.XLOOKUP(
   A235,
   tblrecommended[PassiveTargetID],
   tblrecommended[Order],
   ""
  )
 )
)</f>
        <v/>
      </c>
    </row>
    <row r="236" ht="25.5" hidden="1" customHeight="1">
      <c r="A236" s="26" t="s">
        <v>937</v>
      </c>
      <c r="B236" s="26" t="str">
        <f t="array" ref="B236">_xlfn.XLOOKUP(Checklist!$A236,tblTargets[TargetID],tblTargets[DisplayName])</f>
        <v>Ahead of Time Chapter 2 Finished</v>
      </c>
      <c r="C236" s="21" t="str">
        <f t="array" ref="C236">_xlfn.XLOOKUP(
 A236,
 tblTargetStatus[TargetID],
 tblTargetStatus[successors],
 ""
)</f>
        <v>Ahead of Time Chapter 3 Accepted</v>
      </c>
      <c r="D236" s="26" t="str">
        <f t="array" ref="D236">_xlfn.XLOOKUP(
 A236,
 tblTargets[TargetID],
 tblTargets[TargetType],
 ""
)</f>
        <v>QUEST</v>
      </c>
      <c r="E236" s="45" t="str">
        <f t="array" ref="E236">_xlfn.XLOOKUP(
 A236,
 tblTargetStatus[TargetID],
 tblTargetStatus[ChainAwareStatus],
 ""
)</f>
        <v>BLOCKED</v>
      </c>
      <c r="F236" s="45"/>
      <c r="G236" s="45" t="b">
        <v>0</v>
      </c>
      <c r="H236" s="45" t="str">
        <f t="array" ref="H236">_xlfn.XLOOKUP(
 A236,
 tblTargetStatus[TargetID],
 tblTargetStatus[TargetFunded],
 ""
)</f>
        <v>N/A</v>
      </c>
      <c r="I236" s="45" t="str">
        <f t="array" ref="I236">IF(
 D236&lt;&gt;"BUILDING",
 "",
 IF(
  Player!$H$1="Active",
  _xlfn.XLOOKUP(
   A236,
   tblrecommended[ActiveTargetID],
   tblrecommended[Order],
   ""
  ),
  _xlfn.XLOOKUP(
   A236,
   tblrecommended[PassiveTargetID],
   tblrecommended[Order],
   ""
  )
 )
)</f>
        <v/>
      </c>
    </row>
    <row r="237" ht="25.5" hidden="1" customHeight="1">
      <c r="A237" s="26" t="s">
        <v>942</v>
      </c>
      <c r="B237" s="26" t="str">
        <f t="array" ref="B237">_xlfn.XLOOKUP(Checklist!$A237,tblTargets[TargetID],tblTargets[DisplayName])</f>
        <v>Ahead of Time Chapter 3 Accepted</v>
      </c>
      <c r="C237" s="21" t="str">
        <f t="array" ref="C237">_xlfn.XLOOKUP(
 A237,
 tblTargetStatus[TargetID],
 tblTargetStatus[successors],
 ""
)</f>
        <v>Complete Dungeon 6D, Ahead of Time Chapter 3 Finished, Meet Alchemist in 6D, Meet Dark Lady in 6D</v>
      </c>
      <c r="D237" s="26" t="str">
        <f t="array" ref="D237">_xlfn.XLOOKUP(
 A237,
 tblTargets[TargetID],
 tblTargets[TargetType],
 ""
)</f>
        <v>QUEST</v>
      </c>
      <c r="E237" s="45" t="str">
        <f t="array" ref="E237">_xlfn.XLOOKUP(
 A237,
 tblTargetStatus[TargetID],
 tblTargetStatus[ChainAwareStatus],
 ""
)</f>
        <v>BLOCKED</v>
      </c>
      <c r="F237" s="45"/>
      <c r="G237" s="45" t="b">
        <v>0</v>
      </c>
      <c r="H237" s="45" t="str">
        <f t="array" ref="H237">_xlfn.XLOOKUP(
 A237,
 tblTargetStatus[TargetID],
 tblTargetStatus[TargetFunded],
 ""
)</f>
        <v>N/A</v>
      </c>
      <c r="I237" s="45" t="str">
        <f t="array" ref="I237">IF(
 D237&lt;&gt;"BUILDING",
 "",
 IF(
  Player!$H$1="Active",
  _xlfn.XLOOKUP(
   A237,
   tblrecommended[ActiveTargetID],
   tblrecommended[Order],
   ""
  ),
  _xlfn.XLOOKUP(
   A237,
   tblrecommended[PassiveTargetID],
   tblrecommended[Order],
   ""
  )
 )
)</f>
        <v/>
      </c>
    </row>
    <row r="238" ht="25.5" hidden="1" customHeight="1">
      <c r="A238" s="26" t="s">
        <v>945</v>
      </c>
      <c r="B238" s="26" t="str">
        <f t="array" ref="B238">_xlfn.XLOOKUP(Checklist!$A238,tblTargets[TargetID],tblTargets[DisplayName])</f>
        <v>Ahead of Time Chapter 3 Finished</v>
      </c>
      <c r="C238" s="21" t="str">
        <f t="array" ref="C238">_xlfn.XLOOKUP(
 A238,
 tblTargetStatus[TargetID],
 tblTargetStatus[successors],
 ""
)</f>
        <v>Ahead of Time Chapter 4 Accepted</v>
      </c>
      <c r="D238" s="26" t="str">
        <f t="array" ref="D238">_xlfn.XLOOKUP(
 A238,
 tblTargets[TargetID],
 tblTargets[TargetType],
 ""
)</f>
        <v>QUEST</v>
      </c>
      <c r="E238" s="45" t="str">
        <f t="array" ref="E238">_xlfn.XLOOKUP(
 A238,
 tblTargetStatus[TargetID],
 tblTargetStatus[ChainAwareStatus],
 ""
)</f>
        <v>BLOCKED</v>
      </c>
      <c r="F238" s="45"/>
      <c r="G238" s="45" t="b">
        <v>0</v>
      </c>
      <c r="H238" s="45" t="str">
        <f t="array" ref="H238">_xlfn.XLOOKUP(
 A238,
 tblTargetStatus[TargetID],
 tblTargetStatus[TargetFunded],
 ""
)</f>
        <v>N/A</v>
      </c>
      <c r="I238" s="45" t="str">
        <f t="array" ref="I238">IF(
 D238&lt;&gt;"BUILDING",
 "",
 IF(
  Player!$H$1="Active",
  _xlfn.XLOOKUP(
   A238,
   tblrecommended[ActiveTargetID],
   tblrecommended[Order],
   ""
  ),
  _xlfn.XLOOKUP(
   A238,
   tblrecommended[PassiveTargetID],
   tblrecommended[Order],
   ""
  )
 )
)</f>
        <v/>
      </c>
    </row>
    <row r="239" ht="25.5" hidden="1" customHeight="1">
      <c r="A239" s="26" t="s">
        <v>949</v>
      </c>
      <c r="B239" s="26" t="str">
        <f t="array" ref="B239">_xlfn.XLOOKUP(Checklist!$A239,tblTargets[TargetID],tblTargets[DisplayName])</f>
        <v>Ahead of Time Chapter 4 Accepted</v>
      </c>
      <c r="C239" s="21" t="str">
        <f t="array" ref="C239">_xlfn.XLOOKUP(
 A239,
 tblTargetStatus[TargetID],
 tblTargetStatus[successors],
 ""
)</f>
        <v>Ahead of Time Chapter 4 Finished, Send Train to Sapporo</v>
      </c>
      <c r="D239" s="26" t="str">
        <f t="array" ref="D239">_xlfn.XLOOKUP(
 A239,
 tblTargets[TargetID],
 tblTargets[TargetType],
 ""
)</f>
        <v>QUEST</v>
      </c>
      <c r="E239" s="45" t="str">
        <f t="array" ref="E239">_xlfn.XLOOKUP(
 A239,
 tblTargetStatus[TargetID],
 tblTargetStatus[ChainAwareStatus],
 ""
)</f>
        <v>BLOCKED</v>
      </c>
      <c r="F239" s="45"/>
      <c r="G239" s="45" t="b">
        <v>0</v>
      </c>
      <c r="H239" s="45" t="str">
        <f t="array" ref="H239">_xlfn.XLOOKUP(
 A239,
 tblTargetStatus[TargetID],
 tblTargetStatus[TargetFunded],
 ""
)</f>
        <v>N/A</v>
      </c>
      <c r="I239" s="45" t="str">
        <f t="array" ref="I239">IF(
 D239&lt;&gt;"BUILDING",
 "",
 IF(
  Player!$H$1="Active",
  _xlfn.XLOOKUP(
   A239,
   tblrecommended[ActiveTargetID],
   tblrecommended[Order],
   ""
  ),
  _xlfn.XLOOKUP(
   A239,
   tblrecommended[PassiveTargetID],
   tblrecommended[Order],
   ""
  )
 )
)</f>
        <v/>
      </c>
    </row>
    <row r="240" ht="25.5" hidden="1" customHeight="1">
      <c r="A240" s="26" t="s">
        <v>953</v>
      </c>
      <c r="B240" s="26" t="str">
        <f t="array" ref="B240">_xlfn.XLOOKUP(Checklist!$A240,tblTargets[TargetID],tblTargets[DisplayName])</f>
        <v>Ahead of Time Chapter 4 Finished</v>
      </c>
      <c r="C240" s="21" t="str">
        <f t="array" ref="C240">_xlfn.XLOOKUP(
 A240,
 tblTargetStatus[TargetID],
 tblTargetStatus[successors],
 ""
)</f>
        <v>Guild: Video Game Arcade Lv 1, Ahead of Time Chapter 5 Accepted, Outpost - Tax Return On Floppy Disk</v>
      </c>
      <c r="D240" s="26" t="str">
        <f t="array" ref="D240">_xlfn.XLOOKUP(
 A240,
 tblTargets[TargetID],
 tblTargets[TargetType],
 ""
)</f>
        <v>QUEST</v>
      </c>
      <c r="E240" s="45" t="str">
        <f t="array" ref="E240">_xlfn.XLOOKUP(
 A240,
 tblTargetStatus[TargetID],
 tblTargetStatus[ChainAwareStatus],
 ""
)</f>
        <v>BLOCKED</v>
      </c>
      <c r="F240" s="45"/>
      <c r="G240" s="45" t="b">
        <v>0</v>
      </c>
      <c r="H240" s="45" t="str">
        <f t="array" ref="H240">_xlfn.XLOOKUP(
 A240,
 tblTargetStatus[TargetID],
 tblTargetStatus[TargetFunded],
 ""
)</f>
        <v>N/A</v>
      </c>
      <c r="I240" s="45" t="str">
        <f t="array" ref="I240">IF(
 D240&lt;&gt;"BUILDING",
 "",
 IF(
  Player!$H$1="Active",
  _xlfn.XLOOKUP(
   A240,
   tblrecommended[ActiveTargetID],
   tblrecommended[Order],
   ""
  ),
  _xlfn.XLOOKUP(
   A240,
   tblrecommended[PassiveTargetID],
   tblrecommended[Order],
   ""
  )
 )
)</f>
        <v/>
      </c>
    </row>
    <row r="241" ht="25.5" hidden="1" customHeight="1">
      <c r="A241" s="26" t="s">
        <v>957</v>
      </c>
      <c r="B241" s="26" t="str">
        <f t="array" ref="B241">_xlfn.XLOOKUP(Checklist!$A241,tblTargets[TargetID],tblTargets[DisplayName])</f>
        <v>Ahead of Time Chapter 5 Accepted</v>
      </c>
      <c r="C241" s="21" t="str">
        <f t="array" ref="C241">_xlfn.XLOOKUP(
 A241,
 tblTargetStatus[TargetID],
 tblTargetStatus[successors],
 ""
)</f>
        <v>Laboratory: Data Center Lv 1, Ahead of Time Chapter 5 Finished, Laboratory - Digitization, Laboratory - Experiments, Laboratory - Research And Development</v>
      </c>
      <c r="D241" s="26" t="str">
        <f t="array" ref="D241">_xlfn.XLOOKUP(
 A241,
 tblTargets[TargetID],
 tblTargets[TargetType],
 ""
)</f>
        <v>QUEST</v>
      </c>
      <c r="E241" s="45" t="str">
        <f t="array" ref="E241">_xlfn.XLOOKUP(
 A241,
 tblTargetStatus[TargetID],
 tblTargetStatus[ChainAwareStatus],
 ""
)</f>
        <v>BLOCKED</v>
      </c>
      <c r="F241" s="45"/>
      <c r="G241" s="45" t="b">
        <v>0</v>
      </c>
      <c r="H241" s="45" t="str">
        <f t="array" ref="H241">_xlfn.XLOOKUP(
 A241,
 tblTargetStatus[TargetID],
 tblTargetStatus[TargetFunded],
 ""
)</f>
        <v>N/A</v>
      </c>
      <c r="I241" s="45" t="str">
        <f t="array" ref="I241">IF(
 D241&lt;&gt;"BUILDING",
 "",
 IF(
  Player!$H$1="Active",
  _xlfn.XLOOKUP(
   A241,
   tblrecommended[ActiveTargetID],
   tblrecommended[Order],
   ""
  ),
  _xlfn.XLOOKUP(
   A241,
   tblrecommended[PassiveTargetID],
   tblrecommended[Order],
   ""
  )
 )
)</f>
        <v/>
      </c>
    </row>
    <row r="242" ht="25.5" hidden="1" customHeight="1">
      <c r="A242" s="26" t="s">
        <v>963</v>
      </c>
      <c r="B242" s="26" t="str">
        <f t="array" ref="B242">_xlfn.XLOOKUP(Checklist!$A242,tblTargets[TargetID],tblTargets[DisplayName])</f>
        <v>Ahead of Time Chapter 5 Finished</v>
      </c>
      <c r="C242" s="21" t="str">
        <f t="array" ref="C242">_xlfn.XLOOKUP(
 A242,
 tblTargetStatus[TargetID],
 tblTargetStatus[successors],
 ""
)</f>
        <v>Guild: Video Game Arcade Lv 1, Outpost - Tax Return On Floppy Disk, Train - Onboard Computer</v>
      </c>
      <c r="D242" s="26" t="str">
        <f t="array" ref="D242">_xlfn.XLOOKUP(
 A242,
 tblTargets[TargetID],
 tblTargets[TargetType],
 ""
)</f>
        <v>QUEST</v>
      </c>
      <c r="E242" s="45" t="str">
        <f t="array" ref="E242">_xlfn.XLOOKUP(
 A242,
 tblTargetStatus[TargetID],
 tblTargetStatus[ChainAwareStatus],
 ""
)</f>
        <v>BLOCKED</v>
      </c>
      <c r="F242" s="45"/>
      <c r="G242" s="45" t="b">
        <v>0</v>
      </c>
      <c r="H242" s="45" t="str">
        <f t="array" ref="H242">_xlfn.XLOOKUP(
 A242,
 tblTargetStatus[TargetID],
 tblTargetStatus[TargetFunded],
 ""
)</f>
        <v>N/A</v>
      </c>
      <c r="I242" s="45" t="str">
        <f t="array" ref="I242">IF(
 D242&lt;&gt;"BUILDING",
 "",
 IF(
  Player!$H$1="Active",
  _xlfn.XLOOKUP(
   A242,
   tblrecommended[ActiveTargetID],
   tblrecommended[Order],
   ""
  ),
  _xlfn.XLOOKUP(
   A242,
   tblrecommended[PassiveTargetID],
   tblrecommended[Order],
   ""
  )
 )
)</f>
        <v/>
      </c>
    </row>
    <row r="243" ht="25.5" hidden="1" customHeight="1">
      <c r="A243" s="26" t="s">
        <v>964</v>
      </c>
      <c r="B243" s="26" t="str">
        <f t="array" ref="B243">_xlfn.XLOOKUP(Checklist!$A243,tblTargets[TargetID],tblTargets[DisplayName])</f>
        <v>Build the Guild Accepted</v>
      </c>
      <c r="C243" s="21" t="str">
        <f t="array" ref="C243">_xlfn.XLOOKUP(
 A243,
 tblTargetStatus[TargetID],
 tblTargetStatus[successors],
 ""
)</f>
        <v>Build the Guild Finished</v>
      </c>
      <c r="D243" s="26" t="str">
        <f t="array" ref="D243">_xlfn.XLOOKUP(
 A243,
 tblTargets[TargetID],
 tblTargets[TargetType],
 ""
)</f>
        <v>QUEST</v>
      </c>
      <c r="E243" s="45" t="str">
        <f t="array" ref="E243">_xlfn.XLOOKUP(
 A243,
 tblTargetStatus[TargetID],
 tblTargetStatus[ChainAwareStatus],
 ""
)</f>
        <v>READY</v>
      </c>
      <c r="F243" s="45"/>
      <c r="G243" s="45" t="b">
        <v>0</v>
      </c>
      <c r="H243" s="45" t="str">
        <f t="array" ref="H243">_xlfn.XLOOKUP(
 A243,
 tblTargetStatus[TargetID],
 tblTargetStatus[TargetFunded],
 ""
)</f>
        <v>N/A</v>
      </c>
      <c r="I243" s="45" t="str">
        <f t="array" ref="I243">IF(
 D243&lt;&gt;"BUILDING",
 "",
 IF(
  Player!$H$1="Active",
  _xlfn.XLOOKUP(
   A243,
   tblrecommended[ActiveTargetID],
   tblrecommended[Order],
   ""
  ),
  _xlfn.XLOOKUP(
   A243,
   tblrecommended[PassiveTargetID],
   tblrecommended[Order],
   ""
  )
 )
)</f>
        <v/>
      </c>
    </row>
    <row r="244" ht="25.5" hidden="1" customHeight="1">
      <c r="A244" s="26" t="s">
        <v>967</v>
      </c>
      <c r="B244" s="26" t="str">
        <f t="array" ref="B244">_xlfn.XLOOKUP(Checklist!$A244,tblTargets[TargetID],tblTargets[DisplayName])</f>
        <v>Build the Guild Finished</v>
      </c>
      <c r="C244" s="21" t="str">
        <f t="array" ref="C244">_xlfn.XLOOKUP(
 A244,
 tblTargetStatus[TargetID],
 tblTargetStatus[successors],
 ""
)</f>
        <v/>
      </c>
      <c r="D244" s="26" t="str">
        <f t="array" ref="D244">_xlfn.XLOOKUP(
 A244,
 tblTargets[TargetID],
 tblTargets[TargetType],
 ""
)</f>
        <v>QUEST</v>
      </c>
      <c r="E244" s="45" t="str">
        <f t="array" ref="E244">_xlfn.XLOOKUP(
 A244,
 tblTargetStatus[TargetID],
 tblTargetStatus[ChainAwareStatus],
 ""
)</f>
        <v>BLOCKED</v>
      </c>
      <c r="F244" s="45"/>
      <c r="G244" s="45" t="b">
        <v>0</v>
      </c>
      <c r="H244" s="45" t="str">
        <f t="array" ref="H244">_xlfn.XLOOKUP(
 A244,
 tblTargetStatus[TargetID],
 tblTargetStatus[TargetFunded],
 ""
)</f>
        <v>N/A</v>
      </c>
      <c r="I244" s="45" t="str">
        <f t="array" ref="I244">IF(
 D244&lt;&gt;"BUILDING",
 "",
 IF(
  Player!$H$1="Active",
  _xlfn.XLOOKUP(
   A244,
   tblrecommended[ActiveTargetID],
   tblrecommended[Order],
   ""
  ),
  _xlfn.XLOOKUP(
   A244,
   tblrecommended[PassiveTargetID],
   tblrecommended[Order],
   ""
  )
 )
)</f>
        <v/>
      </c>
    </row>
    <row r="245" ht="25.5" hidden="1" customHeight="1">
      <c r="A245" s="26" t="s">
        <v>971</v>
      </c>
      <c r="B245" s="26" t="str">
        <f t="array" ref="B245">_xlfn.XLOOKUP(Checklist!$A245,tblTargets[TargetID],tblTargets[DisplayName])</f>
        <v>Build the Pagoda Accepted</v>
      </c>
      <c r="C245" s="21" t="str">
        <f t="array" ref="C245">_xlfn.XLOOKUP(
 A245,
 tblTargetStatus[TargetID],
 tblTargetStatus[successors],
 ""
)</f>
        <v>Build the Pagoda Finished</v>
      </c>
      <c r="D245" s="26" t="str">
        <f t="array" ref="D245">_xlfn.XLOOKUP(
 A245,
 tblTargets[TargetID],
 tblTargets[TargetType],
 ""
)</f>
        <v>QUEST</v>
      </c>
      <c r="E245" s="45" t="str">
        <f t="array" ref="E245">_xlfn.XLOOKUP(
 A245,
 tblTargetStatus[TargetID],
 tblTargetStatus[ChainAwareStatus],
 ""
)</f>
        <v>READY</v>
      </c>
      <c r="F245" s="45"/>
      <c r="G245" s="45" t="b">
        <v>0</v>
      </c>
      <c r="H245" s="45" t="str">
        <f t="array" ref="H245">_xlfn.XLOOKUP(
 A245,
 tblTargetStatus[TargetID],
 tblTargetStatus[TargetFunded],
 ""
)</f>
        <v>N/A</v>
      </c>
      <c r="I245" s="45" t="str">
        <f t="array" ref="I245">IF(
 D245&lt;&gt;"BUILDING",
 "",
 IF(
  Player!$H$1="Active",
  _xlfn.XLOOKUP(
   A245,
   tblrecommended[ActiveTargetID],
   tblrecommended[Order],
   ""
  ),
  _xlfn.XLOOKUP(
   A245,
   tblrecommended[PassiveTargetID],
   tblrecommended[Order],
   ""
  )
 )
)</f>
        <v/>
      </c>
    </row>
    <row r="246" ht="25.5" hidden="1" customHeight="1">
      <c r="A246" s="26" t="s">
        <v>975</v>
      </c>
      <c r="B246" s="26" t="str">
        <f t="array" ref="B246">_xlfn.XLOOKUP(Checklist!$A246,tblTargets[TargetID],tblTargets[DisplayName])</f>
        <v>Build the Pagoda Finished</v>
      </c>
      <c r="C246" s="21" t="str">
        <f t="array" ref="C246">_xlfn.XLOOKUP(
 A246,
 tblTargetStatus[TargetID],
 tblTargetStatus[successors],
 ""
)</f>
        <v/>
      </c>
      <c r="D246" s="26" t="str">
        <f t="array" ref="D246">_xlfn.XLOOKUP(
 A246,
 tblTargets[TargetID],
 tblTargets[TargetType],
 ""
)</f>
        <v>QUEST</v>
      </c>
      <c r="E246" s="45" t="str">
        <f t="array" ref="E246">_xlfn.XLOOKUP(
 A246,
 tblTargetStatus[TargetID],
 tblTargetStatus[ChainAwareStatus],
 ""
)</f>
        <v>BLOCKED</v>
      </c>
      <c r="F246" s="45"/>
      <c r="G246" s="45" t="b">
        <v>0</v>
      </c>
      <c r="H246" s="45" t="str">
        <f t="array" ref="H246">_xlfn.XLOOKUP(
 A246,
 tblTargetStatus[TargetID],
 tblTargetStatus[TargetFunded],
 ""
)</f>
        <v>N/A</v>
      </c>
      <c r="I246" s="45" t="str">
        <f t="array" ref="I246">IF(
 D246&lt;&gt;"BUILDING",
 "",
 IF(
  Player!$H$1="Active",
  _xlfn.XLOOKUP(
   A246,
   tblrecommended[ActiveTargetID],
   tblrecommended[Order],
   ""
  ),
  _xlfn.XLOOKUP(
   A246,
   tblrecommended[PassiveTargetID],
   tblrecommended[Order],
   ""
  )
 )
)</f>
        <v/>
      </c>
    </row>
    <row r="247" ht="25.5" hidden="1" customHeight="1">
      <c r="A247" s="26" t="s">
        <v>979</v>
      </c>
      <c r="B247" s="26" t="str">
        <f t="array" ref="B247">_xlfn.XLOOKUP(Checklist!$A247,tblTargets[TargetID],tblTargets[DisplayName])</f>
        <v>Culinary Battle Accepted</v>
      </c>
      <c r="C247" s="21" t="str">
        <f t="array" ref="C247">_xlfn.XLOOKUP(
 A247,
 tblTargetStatus[TargetID],
 tblTargetStatus[successors],
 ""
)</f>
        <v>Culinary Battle Finished</v>
      </c>
      <c r="D247" s="26" t="str">
        <f t="array" ref="D247">_xlfn.XLOOKUP(
 A247,
 tblTargets[TargetID],
 tblTargets[TargetType],
 ""
)</f>
        <v>QUEST</v>
      </c>
      <c r="E247" s="45" t="str">
        <f t="array" ref="E247">_xlfn.XLOOKUP(
 A247,
 tblTargetStatus[TargetID],
 tblTargetStatus[ChainAwareStatus],
 ""
)</f>
        <v>BLOCKED</v>
      </c>
      <c r="F247" s="45"/>
      <c r="G247" s="45" t="b">
        <v>0</v>
      </c>
      <c r="H247" s="45" t="str">
        <f t="array" ref="H247">_xlfn.XLOOKUP(
 A247,
 tblTargetStatus[TargetID],
 tblTargetStatus[TargetFunded],
 ""
)</f>
        <v>N/A</v>
      </c>
      <c r="I247" s="45" t="str">
        <f t="array" ref="I247">IF(
 D247&lt;&gt;"BUILDING",
 "",
 IF(
  Player!$H$1="Active",
  _xlfn.XLOOKUP(
   A247,
   tblrecommended[ActiveTargetID],
   tblrecommended[Order],
   ""
  ),
  _xlfn.XLOOKUP(
   A247,
   tblrecommended[PassiveTargetID],
   tblrecommended[Order],
   ""
  )
 )
)</f>
        <v/>
      </c>
    </row>
    <row r="248" ht="25.5" hidden="1" customHeight="1">
      <c r="A248" s="26" t="s">
        <v>982</v>
      </c>
      <c r="B248" s="26" t="str">
        <f t="array" ref="B248">_xlfn.XLOOKUP(Checklist!$A248,tblTargets[TargetID],tblTargets[DisplayName])</f>
        <v>Culinary Battle Finished</v>
      </c>
      <c r="C248" s="21" t="str">
        <f t="array" ref="C248">_xlfn.XLOOKUP(
 A248,
 tblTargetStatus[TargetID],
 tblTargetStatus[successors],
 ""
)</f>
        <v/>
      </c>
      <c r="D248" s="26" t="str">
        <f t="array" ref="D248">_xlfn.XLOOKUP(
 A248,
 tblTargets[TargetID],
 tblTargets[TargetType],
 ""
)</f>
        <v>QUEST</v>
      </c>
      <c r="E248" s="45" t="str">
        <f t="array" ref="E248">_xlfn.XLOOKUP(
 A248,
 tblTargetStatus[TargetID],
 tblTargetStatus[ChainAwareStatus],
 ""
)</f>
        <v>BLOCKED</v>
      </c>
      <c r="F248" s="45"/>
      <c r="G248" s="45" t="b">
        <v>0</v>
      </c>
      <c r="H248" s="45" t="b">
        <f t="array" ref="H248">_xlfn.XLOOKUP(
 A248,
 tblTargetStatus[TargetID],
 tblTargetStatus[TargetFunded],
 ""
)</f>
        <v>0</v>
      </c>
      <c r="I248" s="45" t="str">
        <f t="array" ref="I248">IF(
 D248&lt;&gt;"BUILDING",
 "",
 IF(
  Player!$H$1="Active",
  _xlfn.XLOOKUP(
   A248,
   tblrecommended[ActiveTargetID],
   tblrecommended[Order],
   ""
  ),
  _xlfn.XLOOKUP(
   A248,
   tblrecommended[PassiveTargetID],
   tblrecommended[Order],
   ""
  )
 )
)</f>
        <v/>
      </c>
    </row>
    <row r="249" ht="25.5" hidden="1" customHeight="1">
      <c r="A249" s="26" t="s">
        <v>986</v>
      </c>
      <c r="B249" s="26" t="str">
        <f t="array" ref="B249">_xlfn.XLOOKUP(Checklist!$A249,tblTargets[TargetID],tblTargets[DisplayName])</f>
        <v>Dragon teeth Accepted</v>
      </c>
      <c r="C249" s="21" t="str">
        <f t="array" ref="C249">_xlfn.XLOOKUP(
 A249,
 tblTargetStatus[TargetID],
 tblTargetStatus[successors],
 ""
)</f>
        <v>Dragon teeth Finished, Defeat Bone Dragon in 4C</v>
      </c>
      <c r="D249" s="26" t="str">
        <f t="array" ref="D249">_xlfn.XLOOKUP(
 A249,
 tblTargets[TargetID],
 tblTargets[TargetType],
 ""
)</f>
        <v>QUEST</v>
      </c>
      <c r="E249" s="45" t="str">
        <f t="array" ref="E249">_xlfn.XLOOKUP(
 A249,
 tblTargetStatus[TargetID],
 tblTargetStatus[ChainAwareStatus],
 ""
)</f>
        <v>BLOCKED</v>
      </c>
      <c r="F249" s="45"/>
      <c r="G249" s="45" t="b">
        <v>0</v>
      </c>
      <c r="H249" s="45" t="str">
        <f t="array" ref="H249">_xlfn.XLOOKUP(
 A249,
 tblTargetStatus[TargetID],
 tblTargetStatus[TargetFunded],
 ""
)</f>
        <v>N/A</v>
      </c>
      <c r="I249" s="45" t="str">
        <f t="array" ref="I249">IF(
 D249&lt;&gt;"BUILDING",
 "",
 IF(
  Player!$H$1="Active",
  _xlfn.XLOOKUP(
   A249,
   tblrecommended[ActiveTargetID],
   tblrecommended[Order],
   ""
  ),
  _xlfn.XLOOKUP(
   A249,
   tblrecommended[PassiveTargetID],
   tblrecommended[Order],
   ""
  )
 )
)</f>
        <v/>
      </c>
    </row>
    <row r="250" ht="25.5" hidden="1" customHeight="1">
      <c r="A250" s="26" t="s">
        <v>991</v>
      </c>
      <c r="B250" s="26" t="str">
        <f t="array" ref="B250">_xlfn.XLOOKUP(Checklist!$A250,tblTargets[TargetID],tblTargets[DisplayName])</f>
        <v>Dragon teeth Finished</v>
      </c>
      <c r="C250" s="21" t="str">
        <f t="array" ref="C250">_xlfn.XLOOKUP(
 A250,
 tblTargetStatus[TargetID],
 tblTargetStatus[successors],
 ""
)</f>
        <v>The Ring of the Dark Lady Accepted, Undead Revenge Accepted, Complete Dungeon 5C, Meet Dark Lady@4A, Visit Dungeon@5A </v>
      </c>
      <c r="D250" s="26" t="str">
        <f t="array" ref="D250">_xlfn.XLOOKUP(
 A250,
 tblTargets[TargetID],
 tblTargets[TargetType],
 ""
)</f>
        <v>QUEST</v>
      </c>
      <c r="E250" s="45" t="str">
        <f t="array" ref="E250">_xlfn.XLOOKUP(
 A250,
 tblTargetStatus[TargetID],
 tblTargetStatus[ChainAwareStatus],
 ""
)</f>
        <v>BLOCKED</v>
      </c>
      <c r="F250" s="45"/>
      <c r="G250" s="45" t="b">
        <v>0</v>
      </c>
      <c r="H250" s="45" t="str">
        <f t="array" ref="H250">_xlfn.XLOOKUP(
 A250,
 tblTargetStatus[TargetID],
 tblTargetStatus[TargetFunded],
 ""
)</f>
        <v>N/A</v>
      </c>
      <c r="I250" s="45" t="str">
        <f t="array" ref="I250">IF(
 D250&lt;&gt;"BUILDING",
 "",
 IF(
  Player!$H$1="Active",
  _xlfn.XLOOKUP(
   A250,
   tblrecommended[ActiveTargetID],
   tblrecommended[Order],
   ""
  ),
  _xlfn.XLOOKUP(
   A250,
   tblrecommended[PassiveTargetID],
   tblrecommended[Order],
   ""
  )
 )
)</f>
        <v/>
      </c>
    </row>
    <row r="251" ht="25.5" hidden="1" customHeight="1">
      <c r="A251" s="26" t="s">
        <v>995</v>
      </c>
      <c r="B251" s="26" t="str">
        <f t="array" ref="B251">_xlfn.XLOOKUP(Checklist!$A251,tblTargets[TargetID],tblTargets[DisplayName])</f>
        <v>Festival Accepted</v>
      </c>
      <c r="C251" s="21" t="str">
        <f t="array" ref="C251">_xlfn.XLOOKUP(
 A251,
 tblTargetStatus[TargetID],
 tblTargetStatus[successors],
 ""
)</f>
        <v>Festival Finished</v>
      </c>
      <c r="D251" s="26" t="str">
        <f t="array" ref="D251">_xlfn.XLOOKUP(
 A251,
 tblTargets[TargetID],
 tblTargets[TargetType],
 ""
)</f>
        <v>QUEST</v>
      </c>
      <c r="E251" s="45" t="str">
        <f t="array" ref="E251">_xlfn.XLOOKUP(
 A251,
 tblTargetStatus[TargetID],
 tblTargetStatus[ChainAwareStatus],
 ""
)</f>
        <v>BLOCKED</v>
      </c>
      <c r="F251" s="45"/>
      <c r="G251" s="45" t="b">
        <v>0</v>
      </c>
      <c r="H251" s="45" t="str">
        <f t="array" ref="H251">_xlfn.XLOOKUP(
 A251,
 tblTargetStatus[TargetID],
 tblTargetStatus[TargetFunded],
 ""
)</f>
        <v>N/A</v>
      </c>
      <c r="I251" s="45" t="str">
        <f t="array" ref="I251">IF(
 D251&lt;&gt;"BUILDING",
 "",
 IF(
  Player!$H$1="Active",
  _xlfn.XLOOKUP(
   A251,
   tblrecommended[ActiveTargetID],
   tblrecommended[Order],
   ""
  ),
  _xlfn.XLOOKUP(
   A251,
   tblrecommended[PassiveTargetID],
   tblrecommended[Order],
   ""
  )
 )
)</f>
        <v/>
      </c>
    </row>
    <row r="252" ht="25.5" hidden="1" customHeight="1">
      <c r="A252" s="26" t="s">
        <v>999</v>
      </c>
      <c r="B252" s="26" t="str">
        <f t="array" ref="B252">_xlfn.XLOOKUP(Checklist!$A252,tblTargets[TargetID],tblTargets[DisplayName])</f>
        <v>Festival Finished</v>
      </c>
      <c r="C252" s="21" t="str">
        <f t="array" ref="C252">_xlfn.XLOOKUP(
 A252,
 tblTargetStatus[TargetID],
 tblTargetStatus[successors],
 ""
)</f>
        <v>Festival Returns Accepted</v>
      </c>
      <c r="D252" s="26" t="str">
        <f t="array" ref="D252">_xlfn.XLOOKUP(
 A252,
 tblTargets[TargetID],
 tblTargets[TargetType],
 ""
)</f>
        <v>QUEST</v>
      </c>
      <c r="E252" s="45" t="str">
        <f t="array" ref="E252">_xlfn.XLOOKUP(
 A252,
 tblTargetStatus[TargetID],
 tblTargetStatus[ChainAwareStatus],
 ""
)</f>
        <v>BLOCKED</v>
      </c>
      <c r="F252" s="45"/>
      <c r="G252" s="45" t="b">
        <v>0</v>
      </c>
      <c r="H252" s="45" t="b">
        <f t="array" ref="H252">_xlfn.XLOOKUP(
 A252,
 tblTargetStatus[TargetID],
 tblTargetStatus[TargetFunded],
 ""
)</f>
        <v>0</v>
      </c>
      <c r="I252" s="45" t="str">
        <f t="array" ref="I252">IF(
 D252&lt;&gt;"BUILDING",
 "",
 IF(
  Player!$H$1="Active",
  _xlfn.XLOOKUP(
   A252,
   tblrecommended[ActiveTargetID],
   tblrecommended[Order],
   ""
  ),
  _xlfn.XLOOKUP(
   A252,
   tblrecommended[PassiveTargetID],
   tblrecommended[Order],
   ""
  )
 )
)</f>
        <v/>
      </c>
    </row>
    <row r="253" ht="25.5" hidden="1" customHeight="1">
      <c r="A253" s="26" t="s">
        <v>1003</v>
      </c>
      <c r="B253" s="26" t="str">
        <f t="array" ref="B253">_xlfn.XLOOKUP(Checklist!$A253,tblTargets[TargetID],tblTargets[DisplayName])</f>
        <v>Festival of Beans Accepted</v>
      </c>
      <c r="C253" s="21" t="str">
        <f t="array" ref="C253">_xlfn.XLOOKUP(
 A253,
 tblTargetStatus[TargetID],
 tblTargetStatus[successors],
 ""
)</f>
        <v>Festival of Beans Finished</v>
      </c>
      <c r="D253" s="26" t="str">
        <f t="array" ref="D253">_xlfn.XLOOKUP(
 A253,
 tblTargets[TargetID],
 tblTargets[TargetType],
 ""
)</f>
        <v>QUEST</v>
      </c>
      <c r="E253" s="45" t="str">
        <f t="array" ref="E253">_xlfn.XLOOKUP(
 A253,
 tblTargetStatus[TargetID],
 tblTargetStatus[ChainAwareStatus],
 ""
)</f>
        <v>BLOCKED</v>
      </c>
      <c r="F253" s="45"/>
      <c r="G253" s="45" t="b">
        <v>0</v>
      </c>
      <c r="H253" s="45" t="str">
        <f t="array" ref="H253">_xlfn.XLOOKUP(
 A253,
 tblTargetStatus[TargetID],
 tblTargetStatus[TargetFunded],
 ""
)</f>
        <v>N/A</v>
      </c>
      <c r="I253" s="45" t="str">
        <f t="array" ref="I253">IF(
 D253&lt;&gt;"BUILDING",
 "",
 IF(
  Player!$H$1="Active",
  _xlfn.XLOOKUP(
   A253,
   tblrecommended[ActiveTargetID],
   tblrecommended[Order],
   ""
  ),
  _xlfn.XLOOKUP(
   A253,
   tblrecommended[PassiveTargetID],
   tblrecommended[Order],
   ""
  )
 )
)</f>
        <v/>
      </c>
    </row>
    <row r="254" ht="25.5" hidden="1" customHeight="1">
      <c r="A254" s="26" t="s">
        <v>1007</v>
      </c>
      <c r="B254" s="26" t="str">
        <f t="array" ref="B254">_xlfn.XLOOKUP(Checklist!$A254,tblTargets[TargetID],tblTargets[DisplayName])</f>
        <v>Festival of Beans Finished</v>
      </c>
      <c r="C254" s="21" t="str">
        <f t="array" ref="C254">_xlfn.XLOOKUP(
 A254,
 tblTargetStatus[TargetID],
 tblTargetStatus[successors],
 ""
)</f>
        <v/>
      </c>
      <c r="D254" s="26" t="str">
        <f t="array" ref="D254">_xlfn.XLOOKUP(
 A254,
 tblTargets[TargetID],
 tblTargets[TargetType],
 ""
)</f>
        <v>QUEST</v>
      </c>
      <c r="E254" s="45" t="str">
        <f t="array" ref="E254">_xlfn.XLOOKUP(
 A254,
 tblTargetStatus[TargetID],
 tblTargetStatus[ChainAwareStatus],
 ""
)</f>
        <v>BLOCKED</v>
      </c>
      <c r="F254" s="45"/>
      <c r="G254" s="45" t="b">
        <v>0</v>
      </c>
      <c r="H254" s="45" t="b">
        <f t="array" ref="H254">_xlfn.XLOOKUP(
 A254,
 tblTargetStatus[TargetID],
 tblTargetStatus[TargetFunded],
 ""
)</f>
        <v>0</v>
      </c>
      <c r="I254" s="45" t="str">
        <f t="array" ref="I254">IF(
 D254&lt;&gt;"BUILDING",
 "",
 IF(
  Player!$H$1="Active",
  _xlfn.XLOOKUP(
   A254,
   tblrecommended[ActiveTargetID],
   tblrecommended[Order],
   ""
  ),
  _xlfn.XLOOKUP(
   A254,
   tblrecommended[PassiveTargetID],
   tblrecommended[Order],
   ""
  )
 )
)</f>
        <v/>
      </c>
    </row>
    <row r="255" ht="25.5" hidden="1" customHeight="1">
      <c r="A255" s="26" t="s">
        <v>1011</v>
      </c>
      <c r="B255" s="26" t="str">
        <f t="array" ref="B255">_xlfn.XLOOKUP(Checklist!$A255,tblTargets[TargetID],tblTargets[DisplayName])</f>
        <v>Festival Returns Accepted</v>
      </c>
      <c r="C255" s="21" t="str">
        <f t="array" ref="C255">_xlfn.XLOOKUP(
 A255,
 tblTargetStatus[TargetID],
 tblTargetStatus[successors],
 ""
)</f>
        <v>Festival Returns Finished</v>
      </c>
      <c r="D255" s="26" t="str">
        <f t="array" ref="D255">_xlfn.XLOOKUP(
 A255,
 tblTargets[TargetID],
 tblTargets[TargetType],
 ""
)</f>
        <v>QUEST</v>
      </c>
      <c r="E255" s="45" t="str">
        <f t="array" ref="E255">_xlfn.XLOOKUP(
 A255,
 tblTargetStatus[TargetID],
 tblTargetStatus[ChainAwareStatus],
 ""
)</f>
        <v>BLOCKED</v>
      </c>
      <c r="F255" s="45"/>
      <c r="G255" s="45" t="b">
        <v>0</v>
      </c>
      <c r="H255" s="45" t="str">
        <f t="array" ref="H255">_xlfn.XLOOKUP(
 A255,
 tblTargetStatus[TargetID],
 tblTargetStatus[TargetFunded],
 ""
)</f>
        <v>N/A</v>
      </c>
      <c r="I255" s="45" t="str">
        <f t="array" ref="I255">IF(
 D255&lt;&gt;"BUILDING",
 "",
 IF(
  Player!$H$1="Active",
  _xlfn.XLOOKUP(
   A255,
   tblrecommended[ActiveTargetID],
   tblrecommended[Order],
   ""
  ),
  _xlfn.XLOOKUP(
   A255,
   tblrecommended[PassiveTargetID],
   tblrecommended[Order],
   ""
  )
 )
)</f>
        <v/>
      </c>
    </row>
    <row r="256" ht="25.5" hidden="1" customHeight="1">
      <c r="A256" s="26" t="s">
        <v>1016</v>
      </c>
      <c r="B256" s="26" t="str">
        <f t="array" ref="B256">_xlfn.XLOOKUP(Checklist!$A256,tblTargets[TargetID],tblTargets[DisplayName])</f>
        <v>Festival Returns Finished</v>
      </c>
      <c r="C256" s="21" t="str">
        <f t="array" ref="C256">_xlfn.XLOOKUP(
 A256,
 tblTargetStatus[TargetID],
 tblTargetStatus[successors],
 ""
)</f>
        <v>Festival of Beans Accepted</v>
      </c>
      <c r="D256" s="26" t="str">
        <f t="array" ref="D256">_xlfn.XLOOKUP(
 A256,
 tblTargets[TargetID],
 tblTargets[TargetType],
 ""
)</f>
        <v>QUEST</v>
      </c>
      <c r="E256" s="45" t="str">
        <f t="array" ref="E256">_xlfn.XLOOKUP(
 A256,
 tblTargetStatus[TargetID],
 tblTargetStatus[ChainAwareStatus],
 ""
)</f>
        <v>BLOCKED</v>
      </c>
      <c r="F256" s="45"/>
      <c r="G256" s="45" t="b">
        <v>0</v>
      </c>
      <c r="H256" s="45" t="b">
        <f t="array" ref="H256">_xlfn.XLOOKUP(
 A256,
 tblTargetStatus[TargetID],
 tblTargetStatus[TargetFunded],
 ""
)</f>
        <v>0</v>
      </c>
      <c r="I256" s="45" t="str">
        <f t="array" ref="I256">IF(
 D256&lt;&gt;"BUILDING",
 "",
 IF(
  Player!$H$1="Active",
  _xlfn.XLOOKUP(
   A256,
   tblrecommended[ActiveTargetID],
   tblrecommended[Order],
   ""
  ),
  _xlfn.XLOOKUP(
   A256,
   tblrecommended[PassiveTargetID],
   tblrecommended[Order],
   ""
  )
 )
)</f>
        <v/>
      </c>
    </row>
    <row r="257" ht="25.5" hidden="1" customHeight="1">
      <c r="A257" s="26" t="s">
        <v>1019</v>
      </c>
      <c r="B257" s="26" t="str">
        <f t="array" ref="B257">_xlfn.XLOOKUP(Checklist!$A257,tblTargets[TargetID],tblTargets[DisplayName])</f>
        <v>Green Potion Accepted</v>
      </c>
      <c r="C257" s="21" t="str">
        <f t="array" ref="C257">_xlfn.XLOOKUP(
 A257,
 tblTargetStatus[TargetID],
 tblTargetStatus[successors],
 ""
)</f>
        <v>Green Potion Finished, Obtain Reagent from 3A</v>
      </c>
      <c r="D257" s="26" t="str">
        <f t="array" ref="D257">_xlfn.XLOOKUP(
 A257,
 tblTargets[TargetID],
 tblTargets[TargetType],
 ""
)</f>
        <v>QUEST</v>
      </c>
      <c r="E257" s="45" t="str">
        <f t="array" ref="E257">_xlfn.XLOOKUP(
 A257,
 tblTargetStatus[TargetID],
 tblTargetStatus[ChainAwareStatus],
 ""
)</f>
        <v>BLOCKED</v>
      </c>
      <c r="F257" s="45"/>
      <c r="G257" s="45" t="b">
        <v>0</v>
      </c>
      <c r="H257" s="45" t="str">
        <f t="array" ref="H257">_xlfn.XLOOKUP(
 A257,
 tblTargetStatus[TargetID],
 tblTargetStatus[TargetFunded],
 ""
)</f>
        <v>N/A</v>
      </c>
      <c r="I257" s="45" t="str">
        <f t="array" ref="I257">IF(
 D257&lt;&gt;"BUILDING",
 "",
 IF(
  Player!$H$1="Active",
  _xlfn.XLOOKUP(
   A257,
   tblrecommended[ActiveTargetID],
   tblrecommended[Order],
   ""
  ),
  _xlfn.XLOOKUP(
   A257,
   tblrecommended[PassiveTargetID],
   tblrecommended[Order],
   ""
  )
 )
)</f>
        <v/>
      </c>
    </row>
    <row r="258" ht="25.5" hidden="1" customHeight="1">
      <c r="A258" s="26" t="s">
        <v>1023</v>
      </c>
      <c r="B258" s="26" t="str">
        <f t="array" ref="B258">_xlfn.XLOOKUP(Checklist!$A258,tblTargets[TargetID],tblTargets[DisplayName])</f>
        <v>Green Potion Finished</v>
      </c>
      <c r="C258" s="21" t="str">
        <f t="array" ref="C258">_xlfn.XLOOKUP(
 A258,
 tblTargetStatus[TargetID],
 tblTargetStatus[successors],
 ""
)</f>
        <v/>
      </c>
      <c r="D258" s="26" t="str">
        <f t="array" ref="D258">_xlfn.XLOOKUP(
 A258,
 tblTargets[TargetID],
 tblTargets[TargetType],
 ""
)</f>
        <v>QUEST</v>
      </c>
      <c r="E258" s="45" t="str">
        <f t="array" ref="E258">_xlfn.XLOOKUP(
 A258,
 tblTargetStatus[TargetID],
 tblTargetStatus[ChainAwareStatus],
 ""
)</f>
        <v>BLOCKED</v>
      </c>
      <c r="F258" s="45"/>
      <c r="G258" s="45" t="b">
        <v>0</v>
      </c>
      <c r="H258" s="45" t="b">
        <f t="array" ref="H258">_xlfn.XLOOKUP(
 A258,
 tblTargetStatus[TargetID],
 tblTargetStatus[TargetFunded],
 ""
)</f>
        <v>0</v>
      </c>
      <c r="I258" s="45" t="str">
        <f t="array" ref="I258">IF(
 D258&lt;&gt;"BUILDING",
 "",
 IF(
  Player!$H$1="Active",
  _xlfn.XLOOKUP(
   A258,
   tblrecommended[ActiveTargetID],
   tblrecommended[Order],
   ""
  ),
  _xlfn.XLOOKUP(
   A258,
   tblrecommended[PassiveTargetID],
   tblrecommended[Order],
   ""
  )
 )
)</f>
        <v/>
      </c>
    </row>
    <row r="259" ht="25.5" hidden="1" customHeight="1">
      <c r="A259" s="26" t="s">
        <v>1027</v>
      </c>
      <c r="B259" s="26" t="str">
        <f t="array" ref="B259">_xlfn.XLOOKUP(Checklist!$A259,tblTargets[TargetID],tblTargets[DisplayName])</f>
        <v>Honor, Glory, Sushi Accepted</v>
      </c>
      <c r="C259" s="21" t="str">
        <f t="array" ref="C259">_xlfn.XLOOKUP(
 A259,
 tblTargetStatus[TargetID],
 tblTargetStatus[successors],
 ""
)</f>
        <v>Honor, Glory, Sushi Finished</v>
      </c>
      <c r="D259" s="26" t="str">
        <f t="array" ref="D259">_xlfn.XLOOKUP(
 A259,
 tblTargets[TargetID],
 tblTargets[TargetType],
 ""
)</f>
        <v>QUEST</v>
      </c>
      <c r="E259" s="45" t="str">
        <f t="array" ref="E259">_xlfn.XLOOKUP(
 A259,
 tblTargetStatus[TargetID],
 tblTargetStatus[ChainAwareStatus],
 ""
)</f>
        <v>BLOCKED</v>
      </c>
      <c r="F259" s="45"/>
      <c r="G259" s="45" t="b">
        <v>0</v>
      </c>
      <c r="H259" s="45" t="str">
        <f t="array" ref="H259">_xlfn.XLOOKUP(
 A259,
 tblTargetStatus[TargetID],
 tblTargetStatus[TargetFunded],
 ""
)</f>
        <v>N/A</v>
      </c>
      <c r="I259" s="45" t="str">
        <f t="array" ref="I259">IF(
 D259&lt;&gt;"BUILDING",
 "",
 IF(
  Player!$H$1="Active",
  _xlfn.XLOOKUP(
   A259,
   tblrecommended[ActiveTargetID],
   tblrecommended[Order],
   ""
  ),
  _xlfn.XLOOKUP(
   A259,
   tblrecommended[PassiveTargetID],
   tblrecommended[Order],
   ""
  )
 )
)</f>
        <v/>
      </c>
    </row>
    <row r="260" ht="25.5" hidden="1" customHeight="1">
      <c r="A260" s="26" t="s">
        <v>1032</v>
      </c>
      <c r="B260" s="26" t="str">
        <f t="array" ref="B260">_xlfn.XLOOKUP(Checklist!$A260,tblTargets[TargetID],tblTargets[DisplayName])</f>
        <v>Honor, Glory, Sushi Finished</v>
      </c>
      <c r="C260" s="21" t="str">
        <f t="array" ref="C260">_xlfn.XLOOKUP(
 A260,
 tblTargetStatus[TargetID],
 tblTargetStatus[successors],
 ""
)</f>
        <v/>
      </c>
      <c r="D260" s="26" t="str">
        <f t="array" ref="D260">_xlfn.XLOOKUP(
 A260,
 tblTargets[TargetID],
 tblTargets[TargetType],
 ""
)</f>
        <v>QUEST</v>
      </c>
      <c r="E260" s="45" t="str">
        <f t="array" ref="E260">_xlfn.XLOOKUP(
 A260,
 tblTargetStatus[TargetID],
 tblTargetStatus[ChainAwareStatus],
 ""
)</f>
        <v>BLOCKED</v>
      </c>
      <c r="F260" s="45"/>
      <c r="G260" s="45" t="b">
        <v>0</v>
      </c>
      <c r="H260" s="45" t="str">
        <f t="array" ref="H260">_xlfn.XLOOKUP(
 A260,
 tblTargetStatus[TargetID],
 tblTargetStatus[TargetFunded],
 ""
)</f>
        <v>N/A</v>
      </c>
      <c r="I260" s="45" t="str">
        <f t="array" ref="I260">IF(
 D260&lt;&gt;"BUILDING",
 "",
 IF(
  Player!$H$1="Active",
  _xlfn.XLOOKUP(
   A260,
   tblrecommended[ActiveTargetID],
   tblrecommended[Order],
   ""
  ),
  _xlfn.XLOOKUP(
   A260,
   tblrecommended[PassiveTargetID],
   tblrecommended[Order],
   ""
  )
 )
)</f>
        <v/>
      </c>
    </row>
    <row r="261" ht="25.5" hidden="1" customHeight="1">
      <c r="A261" s="26" t="s">
        <v>1036</v>
      </c>
      <c r="B261" s="26" t="str">
        <f t="array" ref="B261">_xlfn.XLOOKUP(Checklist!$A261,tblTargets[TargetID],tblTargets[DisplayName])</f>
        <v>Journey Through Japan By Train Accepted</v>
      </c>
      <c r="C261" s="21" t="str">
        <f t="array" ref="C261">_xlfn.XLOOKUP(
 A261,
 tblTargetStatus[TargetID],
 tblTargetStatus[successors],
 ""
)</f>
        <v>Journey Through Japan By Train Finished, Obtain Blueprint, Visit Aomori, Visit Fukushima, Visit Kyoto, Visit Nagasaki, Visit Osaka, Visit Tokyo, Visit Wakayama</v>
      </c>
      <c r="D261" s="26" t="str">
        <f t="array" ref="D261">_xlfn.XLOOKUP(
 A261,
 tblTargets[TargetID],
 tblTargets[TargetType],
 ""
)</f>
        <v>QUEST</v>
      </c>
      <c r="E261" s="45" t="str">
        <f t="array" ref="E261">_xlfn.XLOOKUP(
 A261,
 tblTargetStatus[TargetID],
 tblTargetStatus[ChainAwareStatus],
 ""
)</f>
        <v>BLOCKED</v>
      </c>
      <c r="F261" s="45"/>
      <c r="G261" s="45" t="b">
        <v>0</v>
      </c>
      <c r="H261" s="45" t="str">
        <f t="array" ref="H261">_xlfn.XLOOKUP(
 A261,
 tblTargetStatus[TargetID],
 tblTargetStatus[TargetFunded],
 ""
)</f>
        <v>N/A</v>
      </c>
      <c r="I261" s="45" t="str">
        <f t="array" ref="I261">IF(
 D261&lt;&gt;"BUILDING",
 "",
 IF(
  Player!$H$1="Active",
  _xlfn.XLOOKUP(
   A261,
   tblrecommended[ActiveTargetID],
   tblrecommended[Order],
   ""
  ),
  _xlfn.XLOOKUP(
   A261,
   tblrecommended[PassiveTargetID],
   tblrecommended[Order],
   ""
  )
 )
)</f>
        <v/>
      </c>
    </row>
    <row r="262" ht="25.5" hidden="1" customHeight="1">
      <c r="A262" s="26" t="s">
        <v>1039</v>
      </c>
      <c r="B262" s="26" t="str">
        <f t="array" ref="B262">_xlfn.XLOOKUP(Checklist!$A262,tblTargets[TargetID],tblTargets[DisplayName])</f>
        <v>Journey Through Japan By Train Finished</v>
      </c>
      <c r="C262" s="21" t="str">
        <f t="array" ref="C262">_xlfn.XLOOKUP(
 A262,
 tblTargetStatus[TargetID],
 tblTargetStatus[successors],
 ""
)</f>
        <v>Ahead of Time Chapter 2 Accepted</v>
      </c>
      <c r="D262" s="26" t="str">
        <f t="array" ref="D262">_xlfn.XLOOKUP(
 A262,
 tblTargets[TargetID],
 tblTargets[TargetType],
 ""
)</f>
        <v>QUEST</v>
      </c>
      <c r="E262" s="45" t="str">
        <f t="array" ref="E262">_xlfn.XLOOKUP(
 A262,
 tblTargetStatus[TargetID],
 tblTargetStatus[ChainAwareStatus],
 ""
)</f>
        <v>BLOCKED</v>
      </c>
      <c r="F262" s="45"/>
      <c r="G262" s="45" t="b">
        <v>0</v>
      </c>
      <c r="H262" s="45" t="str">
        <f t="array" ref="H262">_xlfn.XLOOKUP(
 A262,
 tblTargetStatus[TargetID],
 tblTargetStatus[TargetFunded],
 ""
)</f>
        <v>N/A</v>
      </c>
      <c r="I262" s="45" t="str">
        <f t="array" ref="I262">IF(
 D262&lt;&gt;"BUILDING",
 "",
 IF(
  Player!$H$1="Active",
  _xlfn.XLOOKUP(
   A262,
   tblrecommended[ActiveTargetID],
   tblrecommended[Order],
   ""
  ),
  _xlfn.XLOOKUP(
   A262,
   tblrecommended[PassiveTargetID],
   tblrecommended[Order],
   ""
  )
 )
)</f>
        <v/>
      </c>
    </row>
    <row r="263" ht="25.5" hidden="1" customHeight="1">
      <c r="A263" s="26" t="s">
        <v>1044</v>
      </c>
      <c r="B263" s="26" t="str">
        <f t="array" ref="B263">_xlfn.XLOOKUP(Checklist!$A263,tblTargets[TargetID],tblTargets[DisplayName])</f>
        <v>Letter from the Dark Lady Accepted</v>
      </c>
      <c r="C263" s="21" t="str">
        <f t="array" ref="C263">_xlfn.XLOOKUP(
 A263,
 tblTargetStatus[TargetID],
 tblTargetStatus[successors],
 ""
)</f>
        <v>Broken Lever, Letter from the Dark Lady Finished</v>
      </c>
      <c r="D263" s="26" t="str">
        <f t="array" ref="D263">_xlfn.XLOOKUP(
 A263,
 tblTargets[TargetID],
 tblTargets[TargetType],
 ""
)</f>
        <v>QUEST</v>
      </c>
      <c r="E263" s="45" t="str">
        <f t="array" ref="E263">_xlfn.XLOOKUP(
 A263,
 tblTargetStatus[TargetID],
 tblTargetStatus[ChainAwareStatus],
 ""
)</f>
        <v>BLOCKED</v>
      </c>
      <c r="F263" s="45"/>
      <c r="G263" s="45" t="b">
        <v>0</v>
      </c>
      <c r="H263" s="45" t="str">
        <f t="array" ref="H263">_xlfn.XLOOKUP(
 A263,
 tblTargetStatus[TargetID],
 tblTargetStatus[TargetFunded],
 ""
)</f>
        <v>N/A</v>
      </c>
      <c r="I263" s="45" t="str">
        <f t="array" ref="I263">IF(
 D263&lt;&gt;"BUILDING",
 "",
 IF(
  Player!$H$1="Active",
  _xlfn.XLOOKUP(
   A263,
   tblrecommended[ActiveTargetID],
   tblrecommended[Order],
   ""
  ),
  _xlfn.XLOOKUP(
   A263,
   tblrecommended[PassiveTargetID],
   tblrecommended[Order],
   ""
  )
 )
)</f>
        <v/>
      </c>
    </row>
    <row r="264" ht="25.5" hidden="1" customHeight="1">
      <c r="A264" s="26" t="s">
        <v>1048</v>
      </c>
      <c r="B264" s="26" t="str">
        <f t="array" ref="B264">_xlfn.XLOOKUP(Checklist!$A264,tblTargets[TargetID],tblTargets[DisplayName])</f>
        <v>Letter from the Dark Lady Finished</v>
      </c>
      <c r="C264" s="21" t="str">
        <f t="array" ref="C264">_xlfn.XLOOKUP(
 A264,
 tblTargetStatus[TargetID],
 tblTargetStatus[successors],
 ""
)</f>
        <v/>
      </c>
      <c r="D264" s="26" t="str">
        <f t="array" ref="D264">_xlfn.XLOOKUP(
 A264,
 tblTargets[TargetID],
 tblTargets[TargetType],
 ""
)</f>
        <v>QUEST</v>
      </c>
      <c r="E264" s="45" t="str">
        <f t="array" ref="E264">_xlfn.XLOOKUP(
 A264,
 tblTargetStatus[TargetID],
 tblTargetStatus[ChainAwareStatus],
 ""
)</f>
        <v>BLOCKED</v>
      </c>
      <c r="F264" s="45"/>
      <c r="G264" s="45" t="b">
        <v>0</v>
      </c>
      <c r="H264" s="45" t="str">
        <f t="array" ref="H264">_xlfn.XLOOKUP(
 A264,
 tblTargetStatus[TargetID],
 tblTargetStatus[TargetFunded],
 ""
)</f>
        <v>N/A</v>
      </c>
      <c r="I264" s="45" t="str">
        <f t="array" ref="I264">IF(
 D264&lt;&gt;"BUILDING",
 "",
 IF(
  Player!$H$1="Active",
  _xlfn.XLOOKUP(
   A264,
   tblrecommended[ActiveTargetID],
   tblrecommended[Order],
   ""
  ),
  _xlfn.XLOOKUP(
   A264,
   tblrecommended[PassiveTargetID],
   tblrecommended[Order],
   ""
  )
 )
)</f>
        <v/>
      </c>
    </row>
    <row r="265" ht="25.5" hidden="1" customHeight="1">
      <c r="A265" s="26" t="s">
        <v>1053</v>
      </c>
      <c r="B265" s="26" t="str">
        <f t="array" ref="B265">_xlfn.XLOOKUP(Checklist!$A265,tblTargets[TargetID],tblTargets[DisplayName])</f>
        <v>Magic Beans Accepted</v>
      </c>
      <c r="C265" s="21" t="str">
        <f t="array" ref="C265">_xlfn.XLOOKUP(
 A265,
 tblTargetStatus[TargetID],
 tblTargetStatus[successors],
 ""
)</f>
        <v>Magic Beans Finished, Deliver Inarizushi to 4B, Deliver Teriyaki Salmon to 4C, Deliver Tofu to 4A</v>
      </c>
      <c r="D265" s="26" t="str">
        <f t="array" ref="D265">_xlfn.XLOOKUP(
 A265,
 tblTargets[TargetID],
 tblTargets[TargetType],
 ""
)</f>
        <v>QUEST</v>
      </c>
      <c r="E265" s="45" t="str">
        <f t="array" ref="E265">_xlfn.XLOOKUP(
 A265,
 tblTargetStatus[TargetID],
 tblTargetStatus[ChainAwareStatus],
 ""
)</f>
        <v>BLOCKED</v>
      </c>
      <c r="F265" s="45"/>
      <c r="G265" s="45" t="b">
        <v>0</v>
      </c>
      <c r="H265" s="45" t="str">
        <f t="array" ref="H265">_xlfn.XLOOKUP(
 A265,
 tblTargetStatus[TargetID],
 tblTargetStatus[TargetFunded],
 ""
)</f>
        <v>N/A</v>
      </c>
      <c r="I265" s="45" t="str">
        <f t="array" ref="I265">IF(
 D265&lt;&gt;"BUILDING",
 "",
 IF(
  Player!$H$1="Active",
  _xlfn.XLOOKUP(
   A265,
   tblrecommended[ActiveTargetID],
   tblrecommended[Order],
   ""
  ),
  _xlfn.XLOOKUP(
   A265,
   tblrecommended[PassiveTargetID],
   tblrecommended[Order],
   ""
  )
 )
)</f>
        <v/>
      </c>
    </row>
    <row r="266" ht="25.5" hidden="1" customHeight="1">
      <c r="A266" s="26" t="s">
        <v>1057</v>
      </c>
      <c r="B266" s="26" t="str">
        <f t="array" ref="B266">_xlfn.XLOOKUP(Checklist!$A266,tblTargets[TargetID],tblTargets[DisplayName])</f>
        <v>Magic Beans Finished</v>
      </c>
      <c r="C266" s="21" t="str">
        <f t="array" ref="C266">_xlfn.XLOOKUP(
 A266,
 tblTargetStatus[TargetID],
 tblTargetStatus[successors],
 ""
)</f>
        <v>Fermentory Lv 1, Ahead of Time Chapter 1 Accepted, Meet mechanical adventurer in Dungeon 3A, Alchemists Hut - Advanced Fertilizer, Field - Soybean, Food Stall - Miso Soup</v>
      </c>
      <c r="D266" s="26" t="str">
        <f t="array" ref="D266">_xlfn.XLOOKUP(
 A266,
 tblTargets[TargetID],
 tblTargets[TargetType],
 ""
)</f>
        <v>QUEST</v>
      </c>
      <c r="E266" s="45" t="str">
        <f t="array" ref="E266">_xlfn.XLOOKUP(
 A266,
 tblTargetStatus[TargetID],
 tblTargetStatus[ChainAwareStatus],
 ""
)</f>
        <v>BLOCKED</v>
      </c>
      <c r="F266" s="45"/>
      <c r="G266" s="45" t="b">
        <v>0</v>
      </c>
      <c r="H266" s="45" t="b">
        <f t="array" ref="H266">_xlfn.XLOOKUP(
 A266,
 tblTargetStatus[TargetID],
 tblTargetStatus[TargetFunded],
 ""
)</f>
        <v>0</v>
      </c>
      <c r="I266" s="45" t="str">
        <f t="array" ref="I266">IF(
 D266&lt;&gt;"BUILDING",
 "",
 IF(
  Player!$H$1="Active",
  _xlfn.XLOOKUP(
   A266,
   tblrecommended[ActiveTargetID],
   tblrecommended[Order],
   ""
  ),
  _xlfn.XLOOKUP(
   A266,
   tblrecommended[PassiveTargetID],
   tblrecommended[Order],
   ""
  )
 )
)</f>
        <v/>
      </c>
    </row>
    <row r="267" ht="25.5" hidden="1" customHeight="1">
      <c r="A267" s="26" t="s">
        <v>1064</v>
      </c>
      <c r="B267" s="26" t="str">
        <f t="array" ref="B267">_xlfn.XLOOKUP(Checklist!$A267,tblTargets[TargetID],tblTargets[DisplayName])</f>
        <v>Once Upon a Forest Chapter 1 Accepted</v>
      </c>
      <c r="C267" s="21" t="str">
        <f t="array" ref="C267">_xlfn.XLOOKUP(
 A267,
 tblTargetStatus[TargetID],
 tblTargetStatus[successors],
 ""
)</f>
        <v>Once Upon a Forest Chapter 1 Finished, Find Jade Gate in 2C</v>
      </c>
      <c r="D267" s="26" t="str">
        <f t="array" ref="D267">_xlfn.XLOOKUP(
 A267,
 tblTargets[TargetID],
 tblTargets[TargetType],
 ""
)</f>
        <v>QUEST</v>
      </c>
      <c r="E267" s="45" t="str">
        <f t="array" ref="E267">_xlfn.XLOOKUP(
 A267,
 tblTargetStatus[TargetID],
 tblTargetStatus[ChainAwareStatus],
 ""
)</f>
        <v>BLOCKED</v>
      </c>
      <c r="F267" s="45"/>
      <c r="G267" s="45" t="b">
        <v>0</v>
      </c>
      <c r="H267" s="45" t="str">
        <f t="array" ref="H267">_xlfn.XLOOKUP(
 A267,
 tblTargetStatus[TargetID],
 tblTargetStatus[TargetFunded],
 ""
)</f>
        <v>N/A</v>
      </c>
      <c r="I267" s="45" t="str">
        <f t="array" ref="I267">IF(
 D267&lt;&gt;"BUILDING",
 "",
 IF(
  Player!$H$1="Active",
  _xlfn.XLOOKUP(
   A267,
   tblrecommended[ActiveTargetID],
   tblrecommended[Order],
   ""
  ),
  _xlfn.XLOOKUP(
   A267,
   tblrecommended[PassiveTargetID],
   tblrecommended[Order],
   ""
  )
 )
)</f>
        <v/>
      </c>
    </row>
    <row r="268" ht="25.5" hidden="1" customHeight="1">
      <c r="A268" s="26" t="s">
        <v>1070</v>
      </c>
      <c r="B268" s="26" t="str">
        <f t="array" ref="B268">_xlfn.XLOOKUP(Checklist!$A268,tblTargets[TargetID],tblTargets[DisplayName])</f>
        <v>Once Upon a Forest Chapter 1 Finished</v>
      </c>
      <c r="C268" s="21" t="str">
        <f t="array" ref="C268">_xlfn.XLOOKUP(
 A268,
 tblTargetStatus[TargetID],
 tblTargetStatus[successors],
 ""
)</f>
        <v>Once Upon a Forest Chapter 2 Accepted, Meet Raven @F1 on first entrance</v>
      </c>
      <c r="D268" s="26" t="str">
        <f t="array" ref="D268">_xlfn.XLOOKUP(
 A268,
 tblTargets[TargetID],
 tblTargets[TargetType],
 ""
)</f>
        <v>QUEST</v>
      </c>
      <c r="E268" s="45" t="str">
        <f t="array" ref="E268">_xlfn.XLOOKUP(
 A268,
 tblTargetStatus[TargetID],
 tblTargetStatus[ChainAwareStatus],
 ""
)</f>
        <v>BLOCKED</v>
      </c>
      <c r="F268" s="45"/>
      <c r="G268" s="45" t="b">
        <v>0</v>
      </c>
      <c r="H268" s="45" t="str">
        <f t="array" ref="H268">_xlfn.XLOOKUP(
 A268,
 tblTargetStatus[TargetID],
 tblTargetStatus[TargetFunded],
 ""
)</f>
        <v>N/A</v>
      </c>
      <c r="I268" s="45" t="str">
        <f t="array" ref="I268">IF(
 D268&lt;&gt;"BUILDING",
 "",
 IF(
  Player!$H$1="Active",
  _xlfn.XLOOKUP(
   A268,
   tblrecommended[ActiveTargetID],
   tblrecommended[Order],
   ""
  ),
  _xlfn.XLOOKUP(
   A268,
   tblrecommended[PassiveTargetID],
   tblrecommended[Order],
   ""
  )
 )
)</f>
        <v/>
      </c>
    </row>
    <row r="269" ht="25.5" hidden="1" customHeight="1">
      <c r="A269" s="26" t="s">
        <v>1076</v>
      </c>
      <c r="B269" s="26" t="str">
        <f t="array" ref="B269">_xlfn.XLOOKUP(Checklist!$A269,tblTargets[TargetID],tblTargets[DisplayName])</f>
        <v>Once Upon a Forest Chapter 10 Accepted</v>
      </c>
      <c r="C269" s="21" t="str">
        <f t="array" ref="C269">_xlfn.XLOOKUP(
 A269,
 tblTargetStatus[TargetID],
 tblTargetStatus[successors],
 ""
)</f>
        <v>Once Upon a Forest Chapter 10 Finished, Once Upon a Forest Chapter 11 Accepted, Deliver Balm To Hunter @F2, Meet Pilot@F3</v>
      </c>
      <c r="D269" s="26" t="str">
        <f t="array" ref="D269">_xlfn.XLOOKUP(
 A269,
 tblTargets[TargetID],
 tblTargets[TargetType],
 ""
)</f>
        <v>QUEST</v>
      </c>
      <c r="E269" s="45" t="str">
        <f t="array" ref="E269">_xlfn.XLOOKUP(
 A269,
 tblTargetStatus[TargetID],
 tblTargetStatus[ChainAwareStatus],
 ""
)</f>
        <v>BLOCKED</v>
      </c>
      <c r="F269" s="45"/>
      <c r="G269" s="45" t="b">
        <v>0</v>
      </c>
      <c r="H269" s="45" t="str">
        <f t="array" ref="H269">_xlfn.XLOOKUP(
 A269,
 tblTargetStatus[TargetID],
 tblTargetStatus[TargetFunded],
 ""
)</f>
        <v>N/A</v>
      </c>
      <c r="I269" s="45" t="str">
        <f t="array" ref="I269">IF(
 D269&lt;&gt;"BUILDING",
 "",
 IF(
  Player!$H$1="Active",
  _xlfn.XLOOKUP(
   A269,
   tblrecommended[ActiveTargetID],
   tblrecommended[Order],
   ""
  ),
  _xlfn.XLOOKUP(
   A269,
   tblrecommended[PassiveTargetID],
   tblrecommended[Order],
   ""
  )
 )
)</f>
        <v/>
      </c>
    </row>
    <row r="270" ht="25.5" hidden="1" customHeight="1">
      <c r="A270" s="26" t="s">
        <v>1084</v>
      </c>
      <c r="B270" s="26" t="str">
        <f t="array" ref="B270">_xlfn.XLOOKUP(Checklist!$A270,tblTargets[TargetID],tblTargets[DisplayName])</f>
        <v>Once Upon a Forest Chapter 10 Finished</v>
      </c>
      <c r="C270" s="21" t="str">
        <f t="array" ref="C270">_xlfn.XLOOKUP(
 A270,
 tblTargetStatus[TargetID],
 tblTargetStatus[successors],
 ""
)</f>
        <v>Hat Of Concentration, Tailor - Salamander Velour</v>
      </c>
      <c r="D270" s="26" t="str">
        <f t="array" ref="D270">_xlfn.XLOOKUP(
 A270,
 tblTargets[TargetID],
 tblTargets[TargetType],
 ""
)</f>
        <v>QUEST</v>
      </c>
      <c r="E270" s="45" t="str">
        <f t="array" ref="E270">_xlfn.XLOOKUP(
 A270,
 tblTargetStatus[TargetID],
 tblTargetStatus[ChainAwareStatus],
 ""
)</f>
        <v>BLOCKED</v>
      </c>
      <c r="F270" s="45"/>
      <c r="G270" s="45" t="b">
        <v>0</v>
      </c>
      <c r="H270" s="45" t="str">
        <f t="array" ref="H270">_xlfn.XLOOKUP(
 A270,
 tblTargetStatus[TargetID],
 tblTargetStatus[TargetFunded],
 ""
)</f>
        <v>N/A</v>
      </c>
      <c r="I270" s="45" t="str">
        <f t="array" ref="I270">IF(
 D270&lt;&gt;"BUILDING",
 "",
 IF(
  Player!$H$1="Active",
  _xlfn.XLOOKUP(
   A270,
   tblrecommended[ActiveTargetID],
   tblrecommended[Order],
   ""
  ),
  _xlfn.XLOOKUP(
   A270,
   tblrecommended[PassiveTargetID],
   tblrecommended[Order],
   ""
  )
 )
)</f>
        <v/>
      </c>
    </row>
    <row r="271" ht="25.5" hidden="1" customHeight="1">
      <c r="A271" s="26" t="s">
        <v>1089</v>
      </c>
      <c r="B271" s="26" t="str">
        <f t="array" ref="B271">_xlfn.XLOOKUP(Checklist!$A271,tblTargets[TargetID],tblTargets[DisplayName])</f>
        <v>Once Upon a Forest Chapter 11 Accepted</v>
      </c>
      <c r="C271" s="21" t="str">
        <f t="array" ref="C271">_xlfn.XLOOKUP(
 A271,
 tblTargetStatus[TargetID],
 tblTargetStatus[successors],
 ""
)</f>
        <v>Once Upon a Forest Chapter 11 Finished, Once Upon a Forest Chapter 12 Accepted, Meet Mr Diligence@F1, Visit Melbourne in Airship</v>
      </c>
      <c r="D271" s="26" t="str">
        <f t="array" ref="D271">_xlfn.XLOOKUP(
 A271,
 tblTargets[TargetID],
 tblTargets[TargetType],
 ""
)</f>
        <v>QUEST</v>
      </c>
      <c r="E271" s="45" t="str">
        <f t="array" ref="E271">_xlfn.XLOOKUP(
 A271,
 tblTargetStatus[TargetID],
 tblTargetStatus[ChainAwareStatus],
 ""
)</f>
        <v>BLOCKED</v>
      </c>
      <c r="F271" s="45"/>
      <c r="G271" s="45" t="b">
        <v>0</v>
      </c>
      <c r="H271" s="45" t="str">
        <f t="array" ref="H271">_xlfn.XLOOKUP(
 A271,
 tblTargetStatus[TargetID],
 tblTargetStatus[TargetFunded],
 ""
)</f>
        <v>N/A</v>
      </c>
      <c r="I271" s="45" t="str">
        <f t="array" ref="I271">IF(
 D271&lt;&gt;"BUILDING",
 "",
 IF(
  Player!$H$1="Active",
  _xlfn.XLOOKUP(
   A271,
   tblrecommended[ActiveTargetID],
   tblrecommended[Order],
   ""
  ),
  _xlfn.XLOOKUP(
   A271,
   tblrecommended[PassiveTargetID],
   tblrecommended[Order],
   ""
  )
 )
)</f>
        <v/>
      </c>
    </row>
    <row r="272" ht="25.5" hidden="1" customHeight="1">
      <c r="A272" s="26" t="s">
        <v>1094</v>
      </c>
      <c r="B272" s="26" t="str">
        <f t="array" ref="B272">_xlfn.XLOOKUP(Checklist!$A272,tblTargets[TargetID],tblTargets[DisplayName])</f>
        <v>Once Upon a Forest Chapter 11 Finished</v>
      </c>
      <c r="C272" s="21" t="str">
        <f t="array" ref="C272">_xlfn.XLOOKUP(
 A272,
 tblTargetStatus[TargetID],
 tblTargetStatus[successors],
 ""
)</f>
        <v>Flamethrower, Metal Detector, Airship - Titanium Longerons, Furnace - Titanium Parts, Train - Titanium Components</v>
      </c>
      <c r="D272" s="26" t="str">
        <f t="array" ref="D272">_xlfn.XLOOKUP(
 A272,
 tblTargets[TargetID],
 tblTargets[TargetType],
 ""
)</f>
        <v>QUEST</v>
      </c>
      <c r="E272" s="45" t="str">
        <f t="array" ref="E272">_xlfn.XLOOKUP(
 A272,
 tblTargetStatus[TargetID],
 tblTargetStatus[ChainAwareStatus],
 ""
)</f>
        <v>BLOCKED</v>
      </c>
      <c r="F272" s="45"/>
      <c r="G272" s="45" t="b">
        <v>0</v>
      </c>
      <c r="H272" s="45" t="str">
        <f t="array" ref="H272">_xlfn.XLOOKUP(
 A272,
 tblTargetStatus[TargetID],
 tblTargetStatus[TargetFunded],
 ""
)</f>
        <v>N/A</v>
      </c>
      <c r="I272" s="45" t="str">
        <f t="array" ref="I272">IF(
 D272&lt;&gt;"BUILDING",
 "",
 IF(
  Player!$H$1="Active",
  _xlfn.XLOOKUP(
   A272,
   tblrecommended[ActiveTargetID],
   tblrecommended[Order],
   ""
  ),
  _xlfn.XLOOKUP(
   A272,
   tblrecommended[PassiveTargetID],
   tblrecommended[Order],
   ""
  )
 )
)</f>
        <v/>
      </c>
    </row>
    <row r="273" ht="25.5" hidden="1" customHeight="1">
      <c r="A273" s="26" t="s">
        <v>1098</v>
      </c>
      <c r="B273" s="26" t="str">
        <f t="array" ref="B273">_xlfn.XLOOKUP(Checklist!$A273,tblTargets[TargetID],tblTargets[DisplayName])</f>
        <v>Once Upon a Forest Chapter 12 Accepted</v>
      </c>
      <c r="C273" s="21" t="str">
        <f t="array" ref="C273">_xlfn.XLOOKUP(
 A273,
 tblTargetStatus[TargetID],
 tblTargetStatus[successors],
 ""
)</f>
        <v>Once Upon a Forest Chapter 12 Finished, Once Upon a Forest Chapter 13 Accepted, Escort Mr and Mrs Diligance through F1, Escort Mr and Mrs Diligance through F2, Escort Mr and Mrs Diligance through F3, Escort Mr and Mrs Diligance through F4, Meet Foodie Demon@F2</v>
      </c>
      <c r="D273" s="26" t="str">
        <f t="array" ref="D273">_xlfn.XLOOKUP(
 A273,
 tblTargets[TargetID],
 tblTargets[TargetType],
 ""
)</f>
        <v>QUEST</v>
      </c>
      <c r="E273" s="45" t="str">
        <f t="array" ref="E273">_xlfn.XLOOKUP(
 A273,
 tblTargetStatus[TargetID],
 tblTargetStatus[ChainAwareStatus],
 ""
)</f>
        <v>BLOCKED</v>
      </c>
      <c r="F273" s="45"/>
      <c r="G273" s="45" t="b">
        <v>0</v>
      </c>
      <c r="H273" s="45" t="str">
        <f t="array" ref="H273">_xlfn.XLOOKUP(
 A273,
 tblTargetStatus[TargetID],
 tblTargetStatus[TargetFunded],
 ""
)</f>
        <v>N/A</v>
      </c>
      <c r="I273" s="45" t="str">
        <f t="array" ref="I273">IF(
 D273&lt;&gt;"BUILDING",
 "",
 IF(
  Player!$H$1="Active",
  _xlfn.XLOOKUP(
   A273,
   tblrecommended[ActiveTargetID],
   tblrecommended[Order],
   ""
  ),
  _xlfn.XLOOKUP(
   A273,
   tblrecommended[PassiveTargetID],
   tblrecommended[Order],
   ""
  )
 )
)</f>
        <v/>
      </c>
    </row>
    <row r="274" ht="25.5" hidden="1" customHeight="1">
      <c r="A274" s="26" t="s">
        <v>1102</v>
      </c>
      <c r="B274" s="26" t="str">
        <f t="array" ref="B274">_xlfn.XLOOKUP(Checklist!$A274,tblTargets[TargetID],tblTargets[DisplayName])</f>
        <v>Once Upon a Forest Chapter 12 Finished</v>
      </c>
      <c r="C274" s="21" t="str">
        <f t="array" ref="C274">_xlfn.XLOOKUP(
 A274,
 tblTargetStatus[TargetID],
 tblTargetStatus[successors],
 ""
)</f>
        <v>Once Upon a Forest Chapter 14 Accepted, The Ordinary Days of an Adventurer Chapter 1 Accepted, The Ordinary Days of an Adventurer Chapter 2 Accepted, Meet Methusalem@F3, Meet Samurai Panda@6A, Smithy - Sword For A Hero Lvl 4+</v>
      </c>
      <c r="D274" s="26" t="str">
        <f t="array" ref="D274">_xlfn.XLOOKUP(
 A274,
 tblTargets[TargetID],
 tblTargets[TargetType],
 ""
)</f>
        <v>QUEST</v>
      </c>
      <c r="E274" s="45" t="str">
        <f t="array" ref="E274">_xlfn.XLOOKUP(
 A274,
 tblTargetStatus[TargetID],
 tblTargetStatus[ChainAwareStatus],
 ""
)</f>
        <v>BLOCKED</v>
      </c>
      <c r="F274" s="45"/>
      <c r="G274" s="45" t="b">
        <v>0</v>
      </c>
      <c r="H274" s="45" t="str">
        <f t="array" ref="H274">_xlfn.XLOOKUP(
 A274,
 tblTargetStatus[TargetID],
 tblTargetStatus[TargetFunded],
 ""
)</f>
        <v>N/A</v>
      </c>
      <c r="I274" s="45" t="str">
        <f t="array" ref="I274">IF(
 D274&lt;&gt;"BUILDING",
 "",
 IF(
  Player!$H$1="Active",
  _xlfn.XLOOKUP(
   A274,
   tblrecommended[ActiveTargetID],
   tblrecommended[Order],
   ""
  ),
  _xlfn.XLOOKUP(
   A274,
   tblrecommended[PassiveTargetID],
   tblrecommended[Order],
   ""
  )
 )
)</f>
        <v/>
      </c>
    </row>
    <row r="275" ht="25.5" hidden="1" customHeight="1">
      <c r="A275" s="26" t="s">
        <v>1107</v>
      </c>
      <c r="B275" s="26" t="str">
        <f t="array" ref="B275">_xlfn.XLOOKUP(Checklist!$A275,tblTargets[TargetID],tblTargets[DisplayName])</f>
        <v>Once Upon a Forest Chapter 13 Accepted</v>
      </c>
      <c r="C275" s="21" t="str">
        <f t="array" ref="C275">_xlfn.XLOOKUP(
 A275,
 tblTargetStatus[TargetID],
 tblTargetStatus[successors],
 ""
)</f>
        <v>Once Upon a Forest Chapter 13 Finished, Escort Mr and Mrs Diligance through F1, Escort Mr and Mrs Diligance through F2, Escort Mr and Mrs Diligance through F3, Escort Mr and Mrs Diligance through F4</v>
      </c>
      <c r="D275" s="26" t="str">
        <f t="array" ref="D275">_xlfn.XLOOKUP(
 A275,
 tblTargets[TargetID],
 tblTargets[TargetType],
 ""
)</f>
        <v>QUEST</v>
      </c>
      <c r="E275" s="45" t="str">
        <f t="array" ref="E275">_xlfn.XLOOKUP(
 A275,
 tblTargetStatus[TargetID],
 tblTargetStatus[ChainAwareStatus],
 ""
)</f>
        <v>BLOCKED</v>
      </c>
      <c r="F275" s="45"/>
      <c r="G275" s="45" t="b">
        <v>0</v>
      </c>
      <c r="H275" s="45" t="str">
        <f t="array" ref="H275">_xlfn.XLOOKUP(
 A275,
 tblTargetStatus[TargetID],
 tblTargetStatus[TargetFunded],
 ""
)</f>
        <v>N/A</v>
      </c>
      <c r="I275" s="45" t="str">
        <f t="array" ref="I275">IF(
 D275&lt;&gt;"BUILDING",
 "",
 IF(
  Player!$H$1="Active",
  _xlfn.XLOOKUP(
   A275,
   tblrecommended[ActiveTargetID],
   tblrecommended[Order],
   ""
  ),
  _xlfn.XLOOKUP(
   A275,
   tblrecommended[PassiveTargetID],
   tblrecommended[Order],
   ""
  )
 )
)</f>
        <v/>
      </c>
    </row>
    <row r="276" ht="25.5" hidden="1" customHeight="1">
      <c r="A276" s="26" t="s">
        <v>1110</v>
      </c>
      <c r="B276" s="26" t="str">
        <f t="array" ref="B276">_xlfn.XLOOKUP(Checklist!$A276,tblTargets[TargetID],tblTargets[DisplayName])</f>
        <v>Once Upon a Forest Chapter 13 Finished</v>
      </c>
      <c r="C276" s="21" t="str">
        <f t="array" ref="C276">_xlfn.XLOOKUP(
 A276,
 tblTargetStatus[TargetID],
 tblTargetStatus[successors],
 ""
)</f>
        <v>Once Upon a Forest Chapter 15 Accepted, Meet Raven@F1</v>
      </c>
      <c r="D276" s="26" t="str">
        <f t="array" ref="D276">_xlfn.XLOOKUP(
 A276,
 tblTargets[TargetID],
 tblTargets[TargetType],
 ""
)</f>
        <v>QUEST</v>
      </c>
      <c r="E276" s="45" t="str">
        <f t="array" ref="E276">_xlfn.XLOOKUP(
 A276,
 tblTargetStatus[TargetID],
 tblTargetStatus[ChainAwareStatus],
 ""
)</f>
        <v>BLOCKED</v>
      </c>
      <c r="F276" s="45"/>
      <c r="G276" s="45" t="b">
        <v>0</v>
      </c>
      <c r="H276" s="45" t="b">
        <f t="array" ref="H276">_xlfn.XLOOKUP(
 A276,
 tblTargetStatus[TargetID],
 tblTargetStatus[TargetFunded],
 ""
)</f>
        <v>0</v>
      </c>
      <c r="I276" s="45" t="str">
        <f t="array" ref="I276">IF(
 D276&lt;&gt;"BUILDING",
 "",
 IF(
  Player!$H$1="Active",
  _xlfn.XLOOKUP(
   A276,
   tblrecommended[ActiveTargetID],
   tblrecommended[Order],
   ""
  ),
  _xlfn.XLOOKUP(
   A276,
   tblrecommended[PassiveTargetID],
   tblrecommended[Order],
   ""
  )
 )
)</f>
        <v/>
      </c>
    </row>
    <row r="277" ht="25.5" hidden="1" customHeight="1">
      <c r="A277" s="26" t="s">
        <v>1114</v>
      </c>
      <c r="B277" s="26" t="str">
        <f t="array" ref="B277">_xlfn.XLOOKUP(Checklist!$A277,tblTargets[TargetID],tblTargets[DisplayName])</f>
        <v>Once Upon a Forest Chapter 14 Accepted</v>
      </c>
      <c r="C277" s="21" t="str">
        <f t="array" ref="C277">_xlfn.XLOOKUP(
 A277,
 tblTargetStatus[TargetID],
 tblTargetStatus[successors],
 ""
)</f>
        <v>Once Upon a Forest Chapter 14 Finished</v>
      </c>
      <c r="D277" s="26" t="str">
        <f t="array" ref="D277">_xlfn.XLOOKUP(
 A277,
 tblTargets[TargetID],
 tblTargets[TargetType],
 ""
)</f>
        <v>QUEST</v>
      </c>
      <c r="E277" s="45" t="str">
        <f t="array" ref="E277">_xlfn.XLOOKUP(
 A277,
 tblTargetStatus[TargetID],
 tblTargetStatus[ChainAwareStatus],
 ""
)</f>
        <v>BLOCKED</v>
      </c>
      <c r="F277" s="45"/>
      <c r="G277" s="45" t="b">
        <v>0</v>
      </c>
      <c r="H277" s="45" t="str">
        <f t="array" ref="H277">_xlfn.XLOOKUP(
 A277,
 tblTargetStatus[TargetID],
 tblTargetStatus[TargetFunded],
 ""
)</f>
        <v>N/A</v>
      </c>
      <c r="I277" s="45" t="str">
        <f t="array" ref="I277">IF(
 D277&lt;&gt;"BUILDING",
 "",
 IF(
  Player!$H$1="Active",
  _xlfn.XLOOKUP(
   A277,
   tblrecommended[ActiveTargetID],
   tblrecommended[Order],
   ""
  ),
  _xlfn.XLOOKUP(
   A277,
   tblrecommended[PassiveTargetID],
   tblrecommended[Order],
   ""
  )
 )
)</f>
        <v/>
      </c>
    </row>
    <row r="278" ht="25.5" hidden="1" customHeight="1">
      <c r="A278" s="26" t="s">
        <v>1118</v>
      </c>
      <c r="B278" s="26" t="str">
        <f t="array" ref="B278">_xlfn.XLOOKUP(Checklist!$A278,tblTargets[TargetID],tblTargets[DisplayName])</f>
        <v>Once Upon a Forest Chapter 14 Finished</v>
      </c>
      <c r="C278" s="21" t="str">
        <f t="array" ref="C278">_xlfn.XLOOKUP(
 A278,
 tblTargetStatus[TargetID],
 tblTargetStatus[successors],
 ""
)</f>
        <v>Once Upon a Forest Chapter 15 Accepted, Meet Raven@F1</v>
      </c>
      <c r="D278" s="26" t="str">
        <f t="array" ref="D278">_xlfn.XLOOKUP(
 A278,
 tblTargets[TargetID],
 tblTargets[TargetType],
 ""
)</f>
        <v>QUEST</v>
      </c>
      <c r="E278" s="45" t="str">
        <f t="array" ref="E278">_xlfn.XLOOKUP(
 A278,
 tblTargetStatus[TargetID],
 tblTargetStatus[ChainAwareStatus],
 ""
)</f>
        <v>BLOCKED</v>
      </c>
      <c r="F278" s="45"/>
      <c r="G278" s="45" t="b">
        <v>0</v>
      </c>
      <c r="H278" s="45" t="str">
        <f t="array" ref="H278">_xlfn.XLOOKUP(
 A278,
 tblTargetStatus[TargetID],
 tblTargetStatus[TargetFunded],
 ""
)</f>
        <v>N/A</v>
      </c>
      <c r="I278" s="45" t="str">
        <f t="array" ref="I278">IF(
 D278&lt;&gt;"BUILDING",
 "",
 IF(
  Player!$H$1="Active",
  _xlfn.XLOOKUP(
   A278,
   tblrecommended[ActiveTargetID],
   tblrecommended[Order],
   ""
  ),
  _xlfn.XLOOKUP(
   A278,
   tblrecommended[PassiveTargetID],
   tblrecommended[Order],
   ""
  )
 )
)</f>
        <v/>
      </c>
    </row>
    <row r="279" ht="25.5" hidden="1" customHeight="1">
      <c r="A279" s="26" t="s">
        <v>1122</v>
      </c>
      <c r="B279" s="26" t="str">
        <f t="array" ref="B279">_xlfn.XLOOKUP(Checklist!$A279,tblTargets[TargetID],tblTargets[DisplayName])</f>
        <v>Once Upon a Forest Chapter 15 Accepted</v>
      </c>
      <c r="C279" s="21" t="str">
        <f t="array" ref="C279">_xlfn.XLOOKUP(
 A279,
 tblTargetStatus[TargetID],
 tblTargetStatus[successors],
 ""
)</f>
        <v>Once Upon a Forest Chapter 15 Finished, Meet the raven in F2</v>
      </c>
      <c r="D279" s="26" t="str">
        <f t="array" ref="D279">_xlfn.XLOOKUP(
 A279,
 tblTargets[TargetID],
 tblTargets[TargetType],
 ""
)</f>
        <v>QUEST</v>
      </c>
      <c r="E279" s="45" t="str">
        <f t="array" ref="E279">_xlfn.XLOOKUP(
 A279,
 tblTargetStatus[TargetID],
 tblTargetStatus[ChainAwareStatus],
 ""
)</f>
        <v>BLOCKED</v>
      </c>
      <c r="F279" s="45"/>
      <c r="G279" s="45" t="b">
        <v>0</v>
      </c>
      <c r="H279" s="45" t="str">
        <f t="array" ref="H279">_xlfn.XLOOKUP(
 A279,
 tblTargetStatus[TargetID],
 tblTargetStatus[TargetFunded],
 ""
)</f>
        <v>N/A</v>
      </c>
      <c r="I279" s="45" t="str">
        <f t="array" ref="I279">IF(
 D279&lt;&gt;"BUILDING",
 "",
 IF(
  Player!$H$1="Active",
  _xlfn.XLOOKUP(
   A279,
   tblrecommended[ActiveTargetID],
   tblrecommended[Order],
   ""
  ),
  _xlfn.XLOOKUP(
   A279,
   tblrecommended[PassiveTargetID],
   tblrecommended[Order],
   ""
  )
 )
)</f>
        <v/>
      </c>
    </row>
    <row r="280" ht="25.5" hidden="1" customHeight="1">
      <c r="A280" s="26" t="s">
        <v>1127</v>
      </c>
      <c r="B280" s="26" t="str">
        <f t="array" ref="B280">_xlfn.XLOOKUP(Checklist!$A280,tblTargets[TargetID],tblTargets[DisplayName])</f>
        <v>Once Upon a Forest Chapter 15 Finished</v>
      </c>
      <c r="C280" s="21" t="str">
        <f t="array" ref="C280">_xlfn.XLOOKUP(
 A280,
 tblTargetStatus[TargetID],
 tblTargetStatus[successors],
 ""
)</f>
        <v>Armory, Gallery, Treasury, Meet mechanical adventurer in Dungeon 3A</v>
      </c>
      <c r="D280" s="26" t="str">
        <f t="array" ref="D280">_xlfn.XLOOKUP(
 A280,
 tblTargets[TargetID],
 tblTargets[TargetType],
 ""
)</f>
        <v>QUEST</v>
      </c>
      <c r="E280" s="45" t="str">
        <f t="array" ref="E280">_xlfn.XLOOKUP(
 A280,
 tblTargetStatus[TargetID],
 tblTargetStatus[ChainAwareStatus],
 ""
)</f>
        <v>BLOCKED</v>
      </c>
      <c r="F280" s="45"/>
      <c r="G280" s="45" t="b">
        <v>0</v>
      </c>
      <c r="H280" s="45" t="str">
        <f t="array" ref="H280">_xlfn.XLOOKUP(
 A280,
 tblTargetStatus[TargetID],
 tblTargetStatus[TargetFunded],
 ""
)</f>
        <v>N/A</v>
      </c>
      <c r="I280" s="45" t="str">
        <f t="array" ref="I280">IF(
 D280&lt;&gt;"BUILDING",
 "",
 IF(
  Player!$H$1="Active",
  _xlfn.XLOOKUP(
   A280,
   tblrecommended[ActiveTargetID],
   tblrecommended[Order],
   ""
  ),
  _xlfn.XLOOKUP(
   A280,
   tblrecommended[PassiveTargetID],
   tblrecommended[Order],
   ""
  )
 )
)</f>
        <v/>
      </c>
    </row>
    <row r="281" ht="25.5" hidden="1" customHeight="1">
      <c r="A281" s="26" t="s">
        <v>1130</v>
      </c>
      <c r="B281" s="26" t="str">
        <f t="array" ref="B281">_xlfn.XLOOKUP(Checklist!$A281,tblTargets[TargetID],tblTargets[DisplayName])</f>
        <v>Once Upon a Forest Chapter 2 Accepted</v>
      </c>
      <c r="C281" s="21" t="str">
        <f t="array" ref="C281">_xlfn.XLOOKUP(
 A281,
 tblTargetStatus[TargetID],
 tblTargetStatus[successors],
 ""
)</f>
        <v>Once Upon a Forest Chapter 2 Finished, Complete F1 for the first time</v>
      </c>
      <c r="D281" s="26" t="str">
        <f t="array" ref="D281">_xlfn.XLOOKUP(
 A281,
 tblTargets[TargetID],
 tblTargets[TargetType],
 ""
)</f>
        <v>QUEST</v>
      </c>
      <c r="E281" s="45" t="str">
        <f t="array" ref="E281">_xlfn.XLOOKUP(
 A281,
 tblTargetStatus[TargetID],
 tblTargetStatus[ChainAwareStatus],
 ""
)</f>
        <v>BLOCKED</v>
      </c>
      <c r="F281" s="45"/>
      <c r="G281" s="45" t="b">
        <v>0</v>
      </c>
      <c r="H281" s="45" t="str">
        <f t="array" ref="H281">_xlfn.XLOOKUP(
 A281,
 tblTargetStatus[TargetID],
 tblTargetStatus[TargetFunded],
 ""
)</f>
        <v>N/A</v>
      </c>
      <c r="I281" s="45" t="str">
        <f t="array" ref="I281">IF(
 D281&lt;&gt;"BUILDING",
 "",
 IF(
  Player!$H$1="Active",
  _xlfn.XLOOKUP(
   A281,
   tblrecommended[ActiveTargetID],
   tblrecommended[Order],
   ""
  ),
  _xlfn.XLOOKUP(
   A281,
   tblrecommended[PassiveTargetID],
   tblrecommended[Order],
   ""
  )
 )
)</f>
        <v/>
      </c>
    </row>
    <row r="282" ht="25.5" hidden="1" customHeight="1">
      <c r="A282" s="26" t="s">
        <v>1134</v>
      </c>
      <c r="B282" s="26" t="str">
        <f t="array" ref="B282">_xlfn.XLOOKUP(Checklist!$A282,tblTargets[TargetID],tblTargets[DisplayName])</f>
        <v>Once Upon a Forest Chapter 2 Finished</v>
      </c>
      <c r="C282" s="21" t="str">
        <f t="array" ref="C282">_xlfn.XLOOKUP(
 A282,
 tblTargetStatus[TargetID],
 tblTargetStatus[successors],
 ""
)</f>
        <v>Courtyard, Horse Lv 1, Once Upon a Forest Chapter 3 Accepted, Meet mechanical adventurer in Dungeon F1</v>
      </c>
      <c r="D282" s="26" t="str">
        <f t="array" ref="D282">_xlfn.XLOOKUP(
 A282,
 tblTargets[TargetID],
 tblTargets[TargetType],
 ""
)</f>
        <v>QUEST</v>
      </c>
      <c r="E282" s="45" t="str">
        <f t="array" ref="E282">_xlfn.XLOOKUP(
 A282,
 tblTargetStatus[TargetID],
 tblTargetStatus[ChainAwareStatus],
 ""
)</f>
        <v>BLOCKED</v>
      </c>
      <c r="F282" s="45"/>
      <c r="G282" s="45" t="b">
        <v>0</v>
      </c>
      <c r="H282" s="45" t="str">
        <f t="array" ref="H282">_xlfn.XLOOKUP(
 A282,
 tblTargetStatus[TargetID],
 tblTargetStatus[TargetFunded],
 ""
)</f>
        <v>N/A</v>
      </c>
      <c r="I282" s="45" t="str">
        <f t="array" ref="I282">IF(
 D282&lt;&gt;"BUILDING",
 "",
 IF(
  Player!$H$1="Active",
  _xlfn.XLOOKUP(
   A282,
   tblrecommended[ActiveTargetID],
   tblrecommended[Order],
   ""
  ),
  _xlfn.XLOOKUP(
   A282,
   tblrecommended[PassiveTargetID],
   tblrecommended[Order],
   ""
  )
 )
)</f>
        <v/>
      </c>
    </row>
    <row r="283" ht="25.5" hidden="1" customHeight="1">
      <c r="A283" s="26" t="s">
        <v>1139</v>
      </c>
      <c r="B283" s="26" t="str">
        <f t="array" ref="B283">_xlfn.XLOOKUP(Checklist!$A283,tblTargets[TargetID],tblTargets[DisplayName])</f>
        <v>Once Upon a Forest Chapter 3 Accepted</v>
      </c>
      <c r="C283" s="21" t="str">
        <f t="array" ref="C283">_xlfn.XLOOKUP(
 A283,
 tblTargetStatus[TargetID],
 tblTargetStatus[successors],
 ""
)</f>
        <v>Once Upon a Forest Chapter 3 Finished, Obtain 8 MALU</v>
      </c>
      <c r="D283" s="26" t="str">
        <f t="array" ref="D283">_xlfn.XLOOKUP(
 A283,
 tblTargets[TargetID],
 tblTargets[TargetType],
 ""
)</f>
        <v>QUEST</v>
      </c>
      <c r="E283" s="45" t="str">
        <f t="array" ref="E283">_xlfn.XLOOKUP(
 A283,
 tblTargetStatus[TargetID],
 tblTargetStatus[ChainAwareStatus],
 ""
)</f>
        <v>BLOCKED</v>
      </c>
      <c r="F283" s="45"/>
      <c r="G283" s="45" t="b">
        <v>0</v>
      </c>
      <c r="H283" s="45" t="str">
        <f t="array" ref="H283">_xlfn.XLOOKUP(
 A283,
 tblTargetStatus[TargetID],
 tblTargetStatus[TargetFunded],
 ""
)</f>
        <v>N/A</v>
      </c>
      <c r="I283" s="45" t="str">
        <f t="array" ref="I283">IF(
 D283&lt;&gt;"BUILDING",
 "",
 IF(
  Player!$H$1="Active",
  _xlfn.XLOOKUP(
   A283,
   tblrecommended[ActiveTargetID],
   tblrecommended[Order],
   ""
  ),
  _xlfn.XLOOKUP(
   A283,
   tblrecommended[PassiveTargetID],
   tblrecommended[Order],
   ""
  )
 )
)</f>
        <v/>
      </c>
    </row>
    <row r="284" ht="25.5" hidden="1" customHeight="1">
      <c r="A284" s="26" t="s">
        <v>1144</v>
      </c>
      <c r="B284" s="26" t="str">
        <f t="array" ref="B284">_xlfn.XLOOKUP(Checklist!$A284,tblTargets[TargetID],tblTargets[DisplayName])</f>
        <v>Once Upon a Forest Chapter 3 Finished</v>
      </c>
      <c r="C284" s="21" t="str">
        <f t="array" ref="C284">_xlfn.XLOOKUP(
 A284,
 tblTargetStatus[TargetID],
 tblTargetStatus[successors],
 ""
)</f>
        <v>Solver 1 Prototype, Once Upon a Forest Chapter 12 Accepted, Meet Mr Diligence@F1, Repeat Visit Dungeon@ F1</v>
      </c>
      <c r="D284" s="26" t="str">
        <f t="array" ref="D284">_xlfn.XLOOKUP(
 A284,
 tblTargets[TargetID],
 tblTargets[TargetType],
 ""
)</f>
        <v>QUEST</v>
      </c>
      <c r="E284" s="45" t="str">
        <f t="array" ref="E284">_xlfn.XLOOKUP(
 A284,
 tblTargetStatus[TargetID],
 tblTargetStatus[ChainAwareStatus],
 ""
)</f>
        <v>BLOCKED</v>
      </c>
      <c r="F284" s="45"/>
      <c r="G284" s="45" t="b">
        <v>0</v>
      </c>
      <c r="H284" s="45" t="str">
        <f t="array" ref="H284">_xlfn.XLOOKUP(
 A284,
 tblTargetStatus[TargetID],
 tblTargetStatus[TargetFunded],
 ""
)</f>
        <v>N/A</v>
      </c>
      <c r="I284" s="45" t="str">
        <f t="array" ref="I284">IF(
 D284&lt;&gt;"BUILDING",
 "",
 IF(
  Player!$H$1="Active",
  _xlfn.XLOOKUP(
   A284,
   tblrecommended[ActiveTargetID],
   tblrecommended[Order],
   ""
  ),
  _xlfn.XLOOKUP(
   A284,
   tblrecommended[PassiveTargetID],
   tblrecommended[Order],
   ""
  )
 )
)</f>
        <v/>
      </c>
    </row>
    <row r="285" ht="25.5" hidden="1" customHeight="1">
      <c r="A285" s="26" t="s">
        <v>1149</v>
      </c>
      <c r="B285" s="26" t="str">
        <f t="array" ref="B285">_xlfn.XLOOKUP(Checklist!$A285,tblTargets[TargetID],tblTargets[DisplayName])</f>
        <v>Once Upon a Forest Chapter 4 Accepted</v>
      </c>
      <c r="C285" s="21" t="str">
        <f t="array" ref="C285">_xlfn.XLOOKUP(
 A285,
 tblTargetStatus[TargetID],
 tblTargetStatus[successors],
 ""
)</f>
        <v>Once Upon a Forest Chapter 4 Finished, Discover the gate in 3C to F2, Discover the gate in 4C to F3, Discover the gate in 5C to F4</v>
      </c>
      <c r="D285" s="26" t="str">
        <f t="array" ref="D285">_xlfn.XLOOKUP(
 A285,
 tblTargets[TargetID],
 tblTargets[TargetType],
 ""
)</f>
        <v>QUEST</v>
      </c>
      <c r="E285" s="45" t="str">
        <f t="array" ref="E285">_xlfn.XLOOKUP(
 A285,
 tblTargetStatus[TargetID],
 tblTargetStatus[ChainAwareStatus],
 ""
)</f>
        <v>BLOCKED</v>
      </c>
      <c r="F285" s="45"/>
      <c r="G285" s="45" t="b">
        <v>0</v>
      </c>
      <c r="H285" s="45" t="str">
        <f t="array" ref="H285">_xlfn.XLOOKUP(
 A285,
 tblTargetStatus[TargetID],
 tblTargetStatus[TargetFunded],
 ""
)</f>
        <v>N/A</v>
      </c>
      <c r="I285" s="45" t="str">
        <f t="array" ref="I285">IF(
 D285&lt;&gt;"BUILDING",
 "",
 IF(
  Player!$H$1="Active",
  _xlfn.XLOOKUP(
   A285,
   tblrecommended[ActiveTargetID],
   tblrecommended[Order],
   ""
  ),
  _xlfn.XLOOKUP(
   A285,
   tblrecommended[PassiveTargetID],
   tblrecommended[Order],
   ""
  )
 )
)</f>
        <v/>
      </c>
    </row>
    <row r="286" ht="25.5" hidden="1" customHeight="1">
      <c r="A286" s="26" t="s">
        <v>1155</v>
      </c>
      <c r="B286" s="26" t="str">
        <f t="array" ref="B286">_xlfn.XLOOKUP(Checklist!$A286,tblTargets[TargetID],tblTargets[DisplayName])</f>
        <v>Once Upon a Forest Chapter 4 Finished</v>
      </c>
      <c r="C286" s="21" t="str">
        <f t="array" ref="C286">_xlfn.XLOOKUP(
 A286,
 tblTargetStatus[TargetID],
 tblTargetStatus[successors],
 ""
)</f>
        <v>Once Upon a Forest Chapter 5 Accepted, Meet Mrs Diligance@F2</v>
      </c>
      <c r="D286" s="26" t="str">
        <f t="array" ref="D286">_xlfn.XLOOKUP(
 A286,
 tblTargets[TargetID],
 tblTargets[TargetType],
 ""
)</f>
        <v>QUEST</v>
      </c>
      <c r="E286" s="45" t="str">
        <f t="array" ref="E286">_xlfn.XLOOKUP(
 A286,
 tblTargetStatus[TargetID],
 tblTargetStatus[ChainAwareStatus],
 ""
)</f>
        <v>BLOCKED</v>
      </c>
      <c r="F286" s="45"/>
      <c r="G286" s="45" t="b">
        <v>0</v>
      </c>
      <c r="H286" s="45" t="str">
        <f t="array" ref="H286">_xlfn.XLOOKUP(
 A286,
 tblTargetStatus[TargetID],
 tblTargetStatus[TargetFunded],
 ""
)</f>
        <v>N/A</v>
      </c>
      <c r="I286" s="45" t="str">
        <f t="array" ref="I286">IF(
 D286&lt;&gt;"BUILDING",
 "",
 IF(
  Player!$H$1="Active",
  _xlfn.XLOOKUP(
   A286,
   tblrecommended[ActiveTargetID],
   tblrecommended[Order],
   ""
  ),
  _xlfn.XLOOKUP(
   A286,
   tblrecommended[PassiveTargetID],
   tblrecommended[Order],
   ""
  )
 )
)</f>
        <v/>
      </c>
    </row>
    <row r="287" ht="25.5" hidden="1" customHeight="1">
      <c r="A287" s="26" t="s">
        <v>1160</v>
      </c>
      <c r="B287" s="26" t="str">
        <f t="array" ref="B287">_xlfn.XLOOKUP(Checklist!$A287,tblTargets[TargetID],tblTargets[DisplayName])</f>
        <v>Once Upon a Forest Chapter 5 Accepted</v>
      </c>
      <c r="C287" s="21" t="str">
        <f t="array" ref="C287">_xlfn.XLOOKUP(
 A287,
 tblTargetStatus[TargetID],
 tblTargetStatus[successors],
 ""
)</f>
        <v>Once Upon a Forest Chapter 5 Finished, Once Upon a Forest Chapter 6 Accepted, Meet Forest Fairy@F2</v>
      </c>
      <c r="D287" s="26" t="str">
        <f t="array" ref="D287">_xlfn.XLOOKUP(
 A287,
 tblTargets[TargetID],
 tblTargets[TargetType],
 ""
)</f>
        <v>QUEST</v>
      </c>
      <c r="E287" s="45" t="str">
        <f t="array" ref="E287">_xlfn.XLOOKUP(
 A287,
 tblTargetStatus[TargetID],
 tblTargetStatus[ChainAwareStatus],
 ""
)</f>
        <v>BLOCKED</v>
      </c>
      <c r="F287" s="45"/>
      <c r="G287" s="45" t="b">
        <v>0</v>
      </c>
      <c r="H287" s="45" t="str">
        <f t="array" ref="H287">_xlfn.XLOOKUP(
 A287,
 tblTargetStatus[TargetID],
 tblTargetStatus[TargetFunded],
 ""
)</f>
        <v>N/A</v>
      </c>
      <c r="I287" s="45" t="str">
        <f t="array" ref="I287">IF(
 D287&lt;&gt;"BUILDING",
 "",
 IF(
  Player!$H$1="Active",
  _xlfn.XLOOKUP(
   A287,
   tblrecommended[ActiveTargetID],
   tblrecommended[Order],
   ""
  ),
  _xlfn.XLOOKUP(
   A287,
   tblrecommended[PassiveTargetID],
   tblrecommended[Order],
   ""
  )
 )
)</f>
        <v/>
      </c>
    </row>
    <row r="288" ht="25.5" hidden="1" customHeight="1">
      <c r="A288" s="26" t="s">
        <v>1165</v>
      </c>
      <c r="B288" s="26" t="str">
        <f t="array" ref="B288">_xlfn.XLOOKUP(Checklist!$A288,tblTargets[TargetID],tblTargets[DisplayName])</f>
        <v>Once Upon a Forest Chapter 5 Finished</v>
      </c>
      <c r="C288" s="21" t="str">
        <f t="array" ref="C288">_xlfn.XLOOKUP(
 A288,
 tblTargetStatus[TargetID],
 tblTargetStatus[successors],
 ""
)</f>
        <v>Once Upon a Forest Chapter 15 Accepted, Tailor - Bedroll</v>
      </c>
      <c r="D288" s="26" t="str">
        <f t="array" ref="D288">_xlfn.XLOOKUP(
 A288,
 tblTargets[TargetID],
 tblTargets[TargetType],
 ""
)</f>
        <v>QUEST</v>
      </c>
      <c r="E288" s="45" t="str">
        <f t="array" ref="E288">_xlfn.XLOOKUP(
 A288,
 tblTargetStatus[TargetID],
 tblTargetStatus[ChainAwareStatus],
 ""
)</f>
        <v>BLOCKED</v>
      </c>
      <c r="F288" s="45"/>
      <c r="G288" s="45" t="b">
        <v>0</v>
      </c>
      <c r="H288" s="45" t="b">
        <f t="array" ref="H288">_xlfn.XLOOKUP(
 A288,
 tblTargetStatus[TargetID],
 tblTargetStatus[TargetFunded],
 ""
)</f>
        <v>0</v>
      </c>
      <c r="I288" s="45" t="str">
        <f t="array" ref="I288">IF(
 D288&lt;&gt;"BUILDING",
 "",
 IF(
  Player!$H$1="Active",
  _xlfn.XLOOKUP(
   A288,
   tblrecommended[ActiveTargetID],
   tblrecommended[Order],
   ""
  ),
  _xlfn.XLOOKUP(
   A288,
   tblrecommended[PassiveTargetID],
   tblrecommended[Order],
   ""
  )
 )
)</f>
        <v/>
      </c>
    </row>
    <row r="289" ht="25.5" hidden="1" customHeight="1">
      <c r="A289" s="26" t="s">
        <v>1169</v>
      </c>
      <c r="B289" s="26" t="str">
        <f t="array" ref="B289">_xlfn.XLOOKUP(Checklist!$A289,tblTargets[TargetID],tblTargets[DisplayName])</f>
        <v>Once Upon a Forest Chapter 6 Accepted</v>
      </c>
      <c r="C289" s="21" t="str">
        <f t="array" ref="C289">_xlfn.XLOOKUP(
 A289,
 tblTargetStatus[TargetID],
 tblTargetStatus[successors],
 ""
)</f>
        <v>Once Upon a Forest Chapter 6 Finished, Deliver Potion of Mental Power to F2, Craft Potion of Mental Power, Alchemists Hut - Balm, Alchemists Hut - Potion Of Mental Power</v>
      </c>
      <c r="D289" s="26" t="str">
        <f t="array" ref="D289">_xlfn.XLOOKUP(
 A289,
 tblTargets[TargetID],
 tblTargets[TargetType],
 ""
)</f>
        <v>QUEST</v>
      </c>
      <c r="E289" s="45" t="str">
        <f t="array" ref="E289">_xlfn.XLOOKUP(
 A289,
 tblTargetStatus[TargetID],
 tblTargetStatus[ChainAwareStatus],
 ""
)</f>
        <v>BLOCKED</v>
      </c>
      <c r="F289" s="45"/>
      <c r="G289" s="45" t="b">
        <v>0</v>
      </c>
      <c r="H289" s="45" t="str">
        <f t="array" ref="H289">_xlfn.XLOOKUP(
 A289,
 tblTargetStatus[TargetID],
 tblTargetStatus[TargetFunded],
 ""
)</f>
        <v>N/A</v>
      </c>
      <c r="I289" s="45" t="str">
        <f t="array" ref="I289">IF(
 D289&lt;&gt;"BUILDING",
 "",
 IF(
  Player!$H$1="Active",
  _xlfn.XLOOKUP(
   A289,
   tblrecommended[ActiveTargetID],
   tblrecommended[Order],
   ""
  ),
  _xlfn.XLOOKUP(
   A289,
   tblrecommended[PassiveTargetID],
   tblrecommended[Order],
   ""
  )
 )
)</f>
        <v/>
      </c>
    </row>
    <row r="290" ht="25.5" hidden="1" customHeight="1">
      <c r="A290" s="26" t="s">
        <v>1175</v>
      </c>
      <c r="B290" s="26" t="str">
        <f t="array" ref="B290">_xlfn.XLOOKUP(Checklist!$A290,tblTargets[TargetID],tblTargets[DisplayName])</f>
        <v>Once Upon a Forest Chapter 6 Finished</v>
      </c>
      <c r="C290" s="21" t="str">
        <f t="array" ref="C290">_xlfn.XLOOKUP(
 A290,
 tblTargetStatus[TargetID],
 tblTargetStatus[successors],
 ""
)</f>
        <v>Once Upon a Forest Chapter 7 Accepted, Meet Dark Lady@F2, Alchemists Hut - Mercury</v>
      </c>
      <c r="D290" s="26" t="str">
        <f t="array" ref="D290">_xlfn.XLOOKUP(
 A290,
 tblTargets[TargetID],
 tblTargets[TargetType],
 ""
)</f>
        <v>QUEST</v>
      </c>
      <c r="E290" s="45" t="str">
        <f t="array" ref="E290">_xlfn.XLOOKUP(
 A290,
 tblTargetStatus[TargetID],
 tblTargetStatus[ChainAwareStatus],
 ""
)</f>
        <v>BLOCKED</v>
      </c>
      <c r="F290" s="45"/>
      <c r="G290" s="45" t="b">
        <v>0</v>
      </c>
      <c r="H290" s="45" t="str">
        <f t="array" ref="H290">_xlfn.XLOOKUP(
 A290,
 tblTargetStatus[TargetID],
 tblTargetStatus[TargetFunded],
 ""
)</f>
        <v>N/A</v>
      </c>
      <c r="I290" s="45" t="str">
        <f t="array" ref="I290">IF(
 D290&lt;&gt;"BUILDING",
 "",
 IF(
  Player!$H$1="Active",
  _xlfn.XLOOKUP(
   A290,
   tblrecommended[ActiveTargetID],
   tblrecommended[Order],
   ""
  ),
  _xlfn.XLOOKUP(
   A290,
   tblrecommended[PassiveTargetID],
   tblrecommended[Order],
   ""
  )
 )
)</f>
        <v/>
      </c>
    </row>
    <row r="291" ht="25.5" hidden="1" customHeight="1">
      <c r="A291" s="26" t="s">
        <v>1180</v>
      </c>
      <c r="B291" s="26" t="str">
        <f t="array" ref="B291">_xlfn.XLOOKUP(Checklist!$A291,tblTargets[TargetID],tblTargets[DisplayName])</f>
        <v>Once Upon a Forest Chapter 7 Accepted</v>
      </c>
      <c r="C291" s="21" t="str">
        <f t="array" ref="C291">_xlfn.XLOOKUP(
 A291,
 tblTargetStatus[TargetID],
 tblTargetStatus[successors],
 ""
)</f>
        <v>Once Upon a Forest Chapter 7 Finished, Deliver Ambrosia to Dark Lady in F3</v>
      </c>
      <c r="D291" s="26" t="str">
        <f t="array" ref="D291">_xlfn.XLOOKUP(
 A291,
 tblTargets[TargetID],
 tblTargets[TargetType],
 ""
)</f>
        <v>QUEST</v>
      </c>
      <c r="E291" s="45" t="str">
        <f t="array" ref="E291">_xlfn.XLOOKUP(
 A291,
 tblTargetStatus[TargetID],
 tblTargetStatus[ChainAwareStatus],
 ""
)</f>
        <v>BLOCKED</v>
      </c>
      <c r="F291" s="45"/>
      <c r="G291" s="45" t="b">
        <v>0</v>
      </c>
      <c r="H291" s="45" t="str">
        <f t="array" ref="H291">_xlfn.XLOOKUP(
 A291,
 tblTargetStatus[TargetID],
 tblTargetStatus[TargetFunded],
 ""
)</f>
        <v>N/A</v>
      </c>
      <c r="I291" s="45" t="str">
        <f t="array" ref="I291">IF(
 D291&lt;&gt;"BUILDING",
 "",
 IF(
  Player!$H$1="Active",
  _xlfn.XLOOKUP(
   A291,
   tblrecommended[ActiveTargetID],
   tblrecommended[Order],
   ""
  ),
  _xlfn.XLOOKUP(
   A291,
   tblrecommended[PassiveTargetID],
   tblrecommended[Order],
   ""
  )
 )
)</f>
        <v/>
      </c>
    </row>
    <row r="292" ht="25.5" hidden="1" customHeight="1">
      <c r="A292" s="26" t="s">
        <v>1185</v>
      </c>
      <c r="B292" s="26" t="str">
        <f t="array" ref="B292">_xlfn.XLOOKUP(Checklist!$A292,tblTargets[TargetID],tblTargets[DisplayName])</f>
        <v>Once Upon a Forest Chapter 7 Finished</v>
      </c>
      <c r="C292" s="21" t="str">
        <f t="array" ref="C292">_xlfn.XLOOKUP(
 A292,
 tblTargetStatus[TargetID],
 tblTargetStatus[successors],
 ""
)</f>
        <v>Barometer, Once Upon a Forest Chapter 8 Accepted, Meet Raven@F3, Alchemists Hut - Gold Ingot, Alchemists Hut - Madness Grenade, Alchemists Hut - Mercury, Alchemists Hut - Metamorphosis</v>
      </c>
      <c r="D292" s="26" t="str">
        <f t="array" ref="D292">_xlfn.XLOOKUP(
 A292,
 tblTargets[TargetID],
 tblTargets[TargetType],
 ""
)</f>
        <v>QUEST</v>
      </c>
      <c r="E292" s="45" t="str">
        <f t="array" ref="E292">_xlfn.XLOOKUP(
 A292,
 tblTargetStatus[TargetID],
 tblTargetStatus[ChainAwareStatus],
 ""
)</f>
        <v>BLOCKED</v>
      </c>
      <c r="F292" s="45"/>
      <c r="G292" s="45" t="b">
        <v>0</v>
      </c>
      <c r="H292" s="45" t="str">
        <f t="array" ref="H292">_xlfn.XLOOKUP(
 A292,
 tblTargetStatus[TargetID],
 tblTargetStatus[TargetFunded],
 ""
)</f>
        <v>N/A</v>
      </c>
      <c r="I292" s="45" t="str">
        <f t="array" ref="I292">IF(
 D292&lt;&gt;"BUILDING",
 "",
 IF(
  Player!$H$1="Active",
  _xlfn.XLOOKUP(
   A292,
   tblrecommended[ActiveTargetID],
   tblrecommended[Order],
   ""
  ),
  _xlfn.XLOOKUP(
   A292,
   tblrecommended[PassiveTargetID],
   tblrecommended[Order],
   ""
  )
 )
)</f>
        <v/>
      </c>
    </row>
    <row r="293" ht="25.5" hidden="1" customHeight="1">
      <c r="A293" s="26" t="s">
        <v>1191</v>
      </c>
      <c r="B293" s="26" t="str">
        <f t="array" ref="B293">_xlfn.XLOOKUP(Checklist!$A293,tblTargets[TargetID],tblTargets[DisplayName])</f>
        <v>Once Upon a Forest Chapter 8 Accepted</v>
      </c>
      <c r="C293" s="21" t="str">
        <f t="array" ref="C293">_xlfn.XLOOKUP(
 A293,
 tblTargetStatus[TargetID],
 tblTargetStatus[successors],
 ""
)</f>
        <v>Once Upon a Forest Chapter 8 Finished</v>
      </c>
      <c r="D293" s="26" t="str">
        <f t="array" ref="D293">_xlfn.XLOOKUP(
 A293,
 tblTargets[TargetID],
 tblTargets[TargetType],
 ""
)</f>
        <v>QUEST</v>
      </c>
      <c r="E293" s="45" t="str">
        <f t="array" ref="E293">_xlfn.XLOOKUP(
 A293,
 tblTargetStatus[TargetID],
 tblTargetStatus[ChainAwareStatus],
 ""
)</f>
        <v>BLOCKED</v>
      </c>
      <c r="F293" s="45"/>
      <c r="G293" s="45" t="b">
        <v>0</v>
      </c>
      <c r="H293" s="45" t="str">
        <f t="array" ref="H293">_xlfn.XLOOKUP(
 A293,
 tblTargetStatus[TargetID],
 tblTargetStatus[TargetFunded],
 ""
)</f>
        <v>N/A</v>
      </c>
      <c r="I293" s="45" t="str">
        <f t="array" ref="I293">IF(
 D293&lt;&gt;"BUILDING",
 "",
 IF(
  Player!$H$1="Active",
  _xlfn.XLOOKUP(
   A293,
   tblrecommended[ActiveTargetID],
   tblrecommended[Order],
   ""
  ),
  _xlfn.XLOOKUP(
   A293,
   tblrecommended[PassiveTargetID],
   tblrecommended[Order],
   ""
  )
 )
)</f>
        <v/>
      </c>
    </row>
    <row r="294" ht="25.5" hidden="1" customHeight="1">
      <c r="A294" s="26" t="s">
        <v>1195</v>
      </c>
      <c r="B294" s="26" t="str">
        <f t="array" ref="B294">_xlfn.XLOOKUP(Checklist!$A294,tblTargets[TargetID],tblTargets[DisplayName])</f>
        <v>Once Upon a Forest Chapter 8 Finished</v>
      </c>
      <c r="C294" s="21" t="str">
        <f t="array" ref="C294">_xlfn.XLOOKUP(
 A294,
 tblTargetStatus[TargetID],
 tblTargetStatus[successors],
 ""
)</f>
        <v>Once Upon a Forest Chapter 9 Accepted, Meet Inventor@5B</v>
      </c>
      <c r="D294" s="26" t="str">
        <f t="array" ref="D294">_xlfn.XLOOKUP(
 A294,
 tblTargets[TargetID],
 tblTargets[TargetType],
 ""
)</f>
        <v>QUEST</v>
      </c>
      <c r="E294" s="45" t="str">
        <f t="array" ref="E294">_xlfn.XLOOKUP(
 A294,
 tblTargetStatus[TargetID],
 tblTargetStatus[ChainAwareStatus],
 ""
)</f>
        <v>BLOCKED</v>
      </c>
      <c r="F294" s="45"/>
      <c r="G294" s="45" t="b">
        <v>0</v>
      </c>
      <c r="H294" s="45" t="b">
        <f t="array" ref="H294">_xlfn.XLOOKUP(
 A294,
 tblTargetStatus[TargetID],
 tblTargetStatus[TargetFunded],
 ""
)</f>
        <v>0</v>
      </c>
      <c r="I294" s="45" t="str">
        <f t="array" ref="I294">IF(
 D294&lt;&gt;"BUILDING",
 "",
 IF(
  Player!$H$1="Active",
  _xlfn.XLOOKUP(
   A294,
   tblrecommended[ActiveTargetID],
   tblrecommended[Order],
   ""
  ),
  _xlfn.XLOOKUP(
   A294,
   tblrecommended[PassiveTargetID],
   tblrecommended[Order],
   ""
  )
 )
)</f>
        <v/>
      </c>
    </row>
    <row r="295" ht="25.5" hidden="1" customHeight="1">
      <c r="A295" s="26" t="s">
        <v>1200</v>
      </c>
      <c r="B295" s="26" t="str">
        <f t="array" ref="B295">_xlfn.XLOOKUP(Checklist!$A295,tblTargets[TargetID],tblTargets[DisplayName])</f>
        <v>Once Upon a Forest Chapter 9 Accepted</v>
      </c>
      <c r="C295" s="21" t="str">
        <f t="array" ref="C295">_xlfn.XLOOKUP(
 A295,
 tblTargetStatus[TargetID],
 tblTargetStatus[successors],
 ""
)</f>
        <v>Once Upon a Forest Chapter 10 Accepted, Once Upon a Forest Chapter 9 Finished, Visit Dungeon@F1, Obtain Hide, Obtain Titanium, Tailor - Armor For A Hero Lvl 4</v>
      </c>
      <c r="D295" s="26" t="str">
        <f t="array" ref="D295">_xlfn.XLOOKUP(
 A295,
 tblTargets[TargetID],
 tblTargets[TargetType],
 ""
)</f>
        <v>QUEST</v>
      </c>
      <c r="E295" s="45" t="str">
        <f t="array" ref="E295">_xlfn.XLOOKUP(
 A295,
 tblTargetStatus[TargetID],
 tblTargetStatus[ChainAwareStatus],
 ""
)</f>
        <v>BLOCKED</v>
      </c>
      <c r="F295" s="45"/>
      <c r="G295" s="45" t="b">
        <v>0</v>
      </c>
      <c r="H295" s="45" t="str">
        <f t="array" ref="H295">_xlfn.XLOOKUP(
 A295,
 tblTargetStatus[TargetID],
 tblTargetStatus[TargetFunded],
 ""
)</f>
        <v>N/A</v>
      </c>
      <c r="I295" s="45" t="str">
        <f t="array" ref="I295">IF(
 D295&lt;&gt;"BUILDING",
 "",
 IF(
  Player!$H$1="Active",
  _xlfn.XLOOKUP(
   A295,
   tblrecommended[ActiveTargetID],
   tblrecommended[Order],
   ""
  ),
  _xlfn.XLOOKUP(
   A295,
   tblrecommended[PassiveTargetID],
   tblrecommended[Order],
   ""
  )
 )
)</f>
        <v/>
      </c>
    </row>
    <row r="296" ht="25.5" hidden="1" customHeight="1">
      <c r="A296" s="26" t="s">
        <v>1207</v>
      </c>
      <c r="B296" s="26" t="str">
        <f t="array" ref="B296">_xlfn.XLOOKUP(Checklist!$A296,tblTargets[TargetID],tblTargets[DisplayName])</f>
        <v>Once Upon a Forest Chapter 9 Finished</v>
      </c>
      <c r="C296" s="21" t="str">
        <f t="array" ref="C296">_xlfn.XLOOKUP(
 A296,
 tblTargetStatus[TargetID],
 tblTargetStatus[successors],
 ""
)</f>
        <v>Ahead of Time Chapter 1 Accepted, Once Upon a Forest Chapter 15 Accepted, Complete Lvl1 Any Project</v>
      </c>
      <c r="D296" s="26" t="str">
        <f t="array" ref="D296">_xlfn.XLOOKUP(
 A296,
 tblTargets[TargetID],
 tblTargets[TargetType],
 ""
)</f>
        <v>QUEST</v>
      </c>
      <c r="E296" s="45" t="str">
        <f t="array" ref="E296">_xlfn.XLOOKUP(
 A296,
 tblTargetStatus[TargetID],
 tblTargetStatus[ChainAwareStatus],
 ""
)</f>
        <v>BLOCKED</v>
      </c>
      <c r="F296" s="45"/>
      <c r="G296" s="45" t="b">
        <v>0</v>
      </c>
      <c r="H296" s="45" t="str">
        <f t="array" ref="H296">_xlfn.XLOOKUP(
 A296,
 tblTargetStatus[TargetID],
 tblTargetStatus[TargetFunded],
 ""
)</f>
        <v>N/A</v>
      </c>
      <c r="I296" s="45" t="str">
        <f t="array" ref="I296">IF(
 D296&lt;&gt;"BUILDING",
 "",
 IF(
  Player!$H$1="Active",
  _xlfn.XLOOKUP(
   A296,
   tblrecommended[ActiveTargetID],
   tblrecommended[Order],
   ""
  ),
  _xlfn.XLOOKUP(
   A296,
   tblrecommended[PassiveTargetID],
   tblrecommended[Order],
   ""
  )
 )
)</f>
        <v/>
      </c>
    </row>
    <row r="297" ht="25.5" hidden="1" customHeight="1">
      <c r="A297" s="26" t="s">
        <v>1214</v>
      </c>
      <c r="B297" s="26" t="str">
        <f t="array" ref="B297">_xlfn.XLOOKUP(Checklist!$A297,tblTargets[TargetID],tblTargets[DisplayName])</f>
        <v>Quest for Knowledge Chapter 1 Accepted</v>
      </c>
      <c r="C297" s="21" t="str">
        <f t="array" ref="C297">_xlfn.XLOOKUP(
 A297,
 tblTargetStatus[TargetID],
 tblTargetStatus[successors],
 ""
)</f>
        <v>Quest for Knowledge Chapter 1 Finished</v>
      </c>
      <c r="D297" s="26" t="str">
        <f t="array" ref="D297">_xlfn.XLOOKUP(
 A297,
 tblTargets[TargetID],
 tblTargets[TargetType],
 ""
)</f>
        <v>QUEST</v>
      </c>
      <c r="E297" s="45" t="str">
        <f t="array" ref="E297">_xlfn.XLOOKUP(
 A297,
 tblTargetStatus[TargetID],
 tblTargetStatus[ChainAwareStatus],
 ""
)</f>
        <v>BLOCKED</v>
      </c>
      <c r="F297" s="45"/>
      <c r="G297" s="45" t="b">
        <v>0</v>
      </c>
      <c r="H297" s="45" t="str">
        <f t="array" ref="H297">_xlfn.XLOOKUP(
 A297,
 tblTargetStatus[TargetID],
 tblTargetStatus[TargetFunded],
 ""
)</f>
        <v>N/A</v>
      </c>
      <c r="I297" s="45" t="str">
        <f t="array" ref="I297">IF(
 D297&lt;&gt;"BUILDING",
 "",
 IF(
  Player!$H$1="Active",
  _xlfn.XLOOKUP(
   A297,
   tblrecommended[ActiveTargetID],
   tblrecommended[Order],
   ""
  ),
  _xlfn.XLOOKUP(
   A297,
   tblrecommended[PassiveTargetID],
   tblrecommended[Order],
   ""
  )
 )
)</f>
        <v/>
      </c>
    </row>
    <row r="298" ht="25.5" hidden="1" customHeight="1">
      <c r="A298" s="26" t="s">
        <v>1221</v>
      </c>
      <c r="B298" s="26" t="str">
        <f t="array" ref="B298">_xlfn.XLOOKUP(Checklist!$A298,tblTargets[TargetID],tblTargets[DisplayName])</f>
        <v>Quest for Knowledge Chapter 1 Finished</v>
      </c>
      <c r="C298" s="21" t="str">
        <f t="array" ref="C298">_xlfn.XLOOKUP(
 A298,
 tblTargetStatus[TargetID],
 tblTargetStatus[successors],
 ""
)</f>
        <v>Quest for Knowledge Chapter 2 Accepted, Quest for Knowledge Chapter 3 Accepted</v>
      </c>
      <c r="D298" s="26" t="str">
        <f t="array" ref="D298">_xlfn.XLOOKUP(
 A298,
 tblTargets[TargetID],
 tblTargets[TargetType],
 ""
)</f>
        <v>QUEST</v>
      </c>
      <c r="E298" s="45" t="str">
        <f t="array" ref="E298">_xlfn.XLOOKUP(
 A298,
 tblTargetStatus[TargetID],
 tblTargetStatus[ChainAwareStatus],
 ""
)</f>
        <v>BLOCKED</v>
      </c>
      <c r="F298" s="45"/>
      <c r="G298" s="45" t="b">
        <v>0</v>
      </c>
      <c r="H298" s="45" t="str">
        <f t="array" ref="H298">_xlfn.XLOOKUP(
 A298,
 tblTargetStatus[TargetID],
 tblTargetStatus[TargetFunded],
 ""
)</f>
        <v>N/A</v>
      </c>
      <c r="I298" s="45" t="str">
        <f t="array" ref="I298">IF(
 D298&lt;&gt;"BUILDING",
 "",
 IF(
  Player!$H$1="Active",
  _xlfn.XLOOKUP(
   A298,
   tblrecommended[ActiveTargetID],
   tblrecommended[Order],
   ""
  ),
  _xlfn.XLOOKUP(
   A298,
   tblrecommended[PassiveTargetID],
   tblrecommended[Order],
   ""
  )
 )
)</f>
        <v/>
      </c>
    </row>
    <row r="299" ht="25.5" hidden="1" customHeight="1">
      <c r="A299" s="26" t="s">
        <v>1228</v>
      </c>
      <c r="B299" s="26" t="str">
        <f t="array" ref="B299">_xlfn.XLOOKUP(Checklist!$A299,tblTargets[TargetID],tblTargets[DisplayName])</f>
        <v>Quest for Knowledge Chapter 2 Accepted</v>
      </c>
      <c r="C299" s="21" t="str">
        <f t="array" ref="C299">_xlfn.XLOOKUP(
 A299,
 tblTargetStatus[TargetID],
 tblTargetStatus[successors],
 ""
)</f>
        <v>Quest for Knowledge Chapter 2 Finished</v>
      </c>
      <c r="D299" s="26" t="str">
        <f t="array" ref="D299">_xlfn.XLOOKUP(
 A299,
 tblTargets[TargetID],
 tblTargets[TargetType],
 ""
)</f>
        <v>QUEST</v>
      </c>
      <c r="E299" s="45" t="str">
        <f t="array" ref="E299">_xlfn.XLOOKUP(
 A299,
 tblTargetStatus[TargetID],
 tblTargetStatus[ChainAwareStatus],
 ""
)</f>
        <v>BLOCKED</v>
      </c>
      <c r="F299" s="45"/>
      <c r="G299" s="45" t="b">
        <v>0</v>
      </c>
      <c r="H299" s="45" t="str">
        <f t="array" ref="H299">_xlfn.XLOOKUP(
 A299,
 tblTargetStatus[TargetID],
 tblTargetStatus[TargetFunded],
 ""
)</f>
        <v>N/A</v>
      </c>
      <c r="I299" s="45" t="str">
        <f t="array" ref="I299">IF(
 D299&lt;&gt;"BUILDING",
 "",
 IF(
  Player!$H$1="Active",
  _xlfn.XLOOKUP(
   A299,
   tblrecommended[ActiveTargetID],
   tblrecommended[Order],
   ""
  ),
  _xlfn.XLOOKUP(
   A299,
   tblrecommended[PassiveTargetID],
   tblrecommended[Order],
   ""
  )
 )
)</f>
        <v/>
      </c>
    </row>
    <row r="300" ht="25.5" hidden="1" customHeight="1">
      <c r="A300" s="26" t="s">
        <v>1234</v>
      </c>
      <c r="B300" s="26" t="str">
        <f t="array" ref="B300">_xlfn.XLOOKUP(Checklist!$A300,tblTargets[TargetID],tblTargets[DisplayName])</f>
        <v>Quest for Knowledge Chapter 2 Finished</v>
      </c>
      <c r="C300" s="21" t="str">
        <f t="array" ref="C300">_xlfn.XLOOKUP(
 A300,
 tblTargetStatus[TargetID],
 tblTargetStatus[successors],
 ""
)</f>
        <v/>
      </c>
      <c r="D300" s="26" t="str">
        <f t="array" ref="D300">_xlfn.XLOOKUP(
 A300,
 tblTargets[TargetID],
 tblTargets[TargetType],
 ""
)</f>
        <v>QUEST</v>
      </c>
      <c r="E300" s="45" t="str">
        <f t="array" ref="E300">_xlfn.XLOOKUP(
 A300,
 tblTargetStatus[TargetID],
 tblTargetStatus[ChainAwareStatus],
 ""
)</f>
        <v>BLOCKED</v>
      </c>
      <c r="F300" s="45"/>
      <c r="G300" s="45" t="b">
        <v>0</v>
      </c>
      <c r="H300" s="45" t="str">
        <f t="array" ref="H300">_xlfn.XLOOKUP(
 A300,
 tblTargetStatus[TargetID],
 tblTargetStatus[TargetFunded],
 ""
)</f>
        <v>N/A</v>
      </c>
      <c r="I300" s="45" t="str">
        <f t="array" ref="I300">IF(
 D300&lt;&gt;"BUILDING",
 "",
 IF(
  Player!$H$1="Active",
  _xlfn.XLOOKUP(
   A300,
   tblrecommended[ActiveTargetID],
   tblrecommended[Order],
   ""
  ),
  _xlfn.XLOOKUP(
   A300,
   tblrecommended[PassiveTargetID],
   tblrecommended[Order],
   ""
  )
 )
)</f>
        <v/>
      </c>
    </row>
    <row r="301" ht="25.5" hidden="1" customHeight="1">
      <c r="A301" s="26" t="s">
        <v>1241</v>
      </c>
      <c r="B301" s="26" t="str">
        <f t="array" ref="B301">_xlfn.XLOOKUP(Checklist!$A301,tblTargets[TargetID],tblTargets[DisplayName])</f>
        <v>Quest for Knowledge Chapter 3 Accepted</v>
      </c>
      <c r="C301" s="21" t="str">
        <f t="array" ref="C301">_xlfn.XLOOKUP(
 A301,
 tblTargetStatus[TargetID],
 tblTargetStatus[successors],
 ""
)</f>
        <v>Quest for Knowledge Chapter 3 Finished, Obtain all emerald shards</v>
      </c>
      <c r="D301" s="26" t="str">
        <f t="array" ref="D301">_xlfn.XLOOKUP(
 A301,
 tblTargets[TargetID],
 tblTargets[TargetType],
 ""
)</f>
        <v>QUEST</v>
      </c>
      <c r="E301" s="45" t="str">
        <f t="array" ref="E301">_xlfn.XLOOKUP(
 A301,
 tblTargetStatus[TargetID],
 tblTargetStatus[ChainAwareStatus],
 ""
)</f>
        <v>BLOCKED</v>
      </c>
      <c r="F301" s="45"/>
      <c r="G301" s="45" t="b">
        <v>0</v>
      </c>
      <c r="H301" s="45" t="str">
        <f t="array" ref="H301">_xlfn.XLOOKUP(
 A301,
 tblTargetStatus[TargetID],
 tblTargetStatus[TargetFunded],
 ""
)</f>
        <v>N/A</v>
      </c>
      <c r="I301" s="45" t="str">
        <f t="array" ref="I301">IF(
 D301&lt;&gt;"BUILDING",
 "",
 IF(
  Player!$H$1="Active",
  _xlfn.XLOOKUP(
   A301,
   tblrecommended[ActiveTargetID],
   tblrecommended[Order],
   ""
  ),
  _xlfn.XLOOKUP(
   A301,
   tblrecommended[PassiveTargetID],
   tblrecommended[Order],
   ""
  )
 )
)</f>
        <v/>
      </c>
    </row>
    <row r="302" ht="25.5" hidden="1" customHeight="1">
      <c r="A302" s="26" t="s">
        <v>1248</v>
      </c>
      <c r="B302" s="26" t="str">
        <f t="array" ref="B302">_xlfn.XLOOKUP(Checklist!$A302,tblTargets[TargetID],tblTargets[DisplayName])</f>
        <v>Quest for Knowledge Chapter 3 Finished</v>
      </c>
      <c r="C302" s="21" t="str">
        <f t="array" ref="C302">_xlfn.XLOOKUP(
 A302,
 tblTargetStatus[TargetID],
 tblTargetStatus[successors],
 ""
)</f>
        <v>Map Catacombs</v>
      </c>
      <c r="D302" s="26" t="str">
        <f t="array" ref="D302">_xlfn.XLOOKUP(
 A302,
 tblTargets[TargetID],
 tblTargets[TargetType],
 ""
)</f>
        <v>QUEST</v>
      </c>
      <c r="E302" s="45" t="str">
        <f t="array" ref="E302">_xlfn.XLOOKUP(
 A302,
 tblTargetStatus[TargetID],
 tblTargetStatus[ChainAwareStatus],
 ""
)</f>
        <v>BLOCKED</v>
      </c>
      <c r="F302" s="45"/>
      <c r="G302" s="45" t="b">
        <v>0</v>
      </c>
      <c r="H302" s="45" t="str">
        <f t="array" ref="H302">_xlfn.XLOOKUP(
 A302,
 tblTargetStatus[TargetID],
 tblTargetStatus[TargetFunded],
 ""
)</f>
        <v>N/A</v>
      </c>
      <c r="I302" s="45" t="str">
        <f t="array" ref="I302">IF(
 D302&lt;&gt;"BUILDING",
 "",
 IF(
  Player!$H$1="Active",
  _xlfn.XLOOKUP(
   A302,
   tblrecommended[ActiveTargetID],
   tblrecommended[Order],
   ""
  ),
  _xlfn.XLOOKUP(
   A302,
   tblrecommended[PassiveTargetID],
   tblrecommended[Order],
   ""
  )
 )
)</f>
        <v/>
      </c>
    </row>
    <row r="303" ht="25.5" hidden="1" customHeight="1">
      <c r="A303" s="26" t="s">
        <v>1254</v>
      </c>
      <c r="B303" s="26" t="str">
        <f t="array" ref="B303">_xlfn.XLOOKUP(Checklist!$A303,tblTargets[TargetID],tblTargets[DisplayName])</f>
        <v>Quest for Knowledge Chapter 4 Accepted</v>
      </c>
      <c r="C303" s="21" t="str">
        <f t="array" ref="C303">_xlfn.XLOOKUP(
 A303,
 tblTargetStatus[TargetID],
 tblTargetStatus[successors],
 ""
)</f>
        <v>Quest for Knowledge Chapter 4 Finished</v>
      </c>
      <c r="D303" s="26" t="str">
        <f t="array" ref="D303">_xlfn.XLOOKUP(
 A303,
 tblTargets[TargetID],
 tblTargets[TargetType],
 ""
)</f>
        <v>QUEST</v>
      </c>
      <c r="E303" s="45" t="str">
        <f t="array" ref="E303">_xlfn.XLOOKUP(
 A303,
 tblTargetStatus[TargetID],
 tblTargetStatus[ChainAwareStatus],
 ""
)</f>
        <v>BLOCKED</v>
      </c>
      <c r="F303" s="45"/>
      <c r="G303" s="45" t="b">
        <v>0</v>
      </c>
      <c r="H303" s="45" t="str">
        <f t="array" ref="H303">_xlfn.XLOOKUP(
 A303,
 tblTargetStatus[TargetID],
 tblTargetStatus[TargetFunded],
 ""
)</f>
        <v>N/A</v>
      </c>
      <c r="I303" s="45" t="str">
        <f t="array" ref="I303">IF(
 D303&lt;&gt;"BUILDING",
 "",
 IF(
  Player!$H$1="Active",
  _xlfn.XLOOKUP(
   A303,
   tblrecommended[ActiveTargetID],
   tblrecommended[Order],
   ""
  ),
  _xlfn.XLOOKUP(
   A303,
   tblrecommended[PassiveTargetID],
   tblrecommended[Order],
   ""
  )
 )
)</f>
        <v/>
      </c>
    </row>
    <row r="304" ht="25.5" hidden="1" customHeight="1">
      <c r="A304" s="26" t="s">
        <v>1256</v>
      </c>
      <c r="B304" s="26" t="str">
        <f t="array" ref="B304">_xlfn.XLOOKUP(Checklist!$A304,tblTargets[TargetID],tblTargets[DisplayName])</f>
        <v>Quest for Knowledge Chapter 4 Finished</v>
      </c>
      <c r="C304" s="21" t="str">
        <f t="array" ref="C304">_xlfn.XLOOKUP(
 A304,
 tblTargetStatus[TargetID],
 tblTargetStatus[successors],
 ""
)</f>
        <v/>
      </c>
      <c r="D304" s="26" t="str">
        <f t="array" ref="D304">_xlfn.XLOOKUP(
 A304,
 tblTargets[TargetID],
 tblTargets[TargetType],
 ""
)</f>
        <v>QUEST</v>
      </c>
      <c r="E304" s="45" t="str">
        <f t="array" ref="E304">_xlfn.XLOOKUP(
 A304,
 tblTargetStatus[TargetID],
 tblTargetStatus[ChainAwareStatus],
 ""
)</f>
        <v>BLOCKED</v>
      </c>
      <c r="F304" s="45"/>
      <c r="G304" s="45" t="b">
        <v>0</v>
      </c>
      <c r="H304" s="45" t="str">
        <f t="array" ref="H304">_xlfn.XLOOKUP(
 A304,
 tblTargetStatus[TargetID],
 tblTargetStatus[TargetFunded],
 ""
)</f>
        <v>N/A</v>
      </c>
      <c r="I304" s="45" t="str">
        <f t="array" ref="I304">IF(
 D304&lt;&gt;"BUILDING",
 "",
 IF(
  Player!$H$1="Active",
  _xlfn.XLOOKUP(
   A304,
   tblrecommended[ActiveTargetID],
   tblrecommended[Order],
   ""
  ),
  _xlfn.XLOOKUP(
   A304,
   tblrecommended[PassiveTargetID],
   tblrecommended[Order],
   ""
  )
 )
)</f>
        <v/>
      </c>
    </row>
    <row r="305" ht="25.5" hidden="1" customHeight="1">
      <c r="A305" s="26" t="s">
        <v>1258</v>
      </c>
      <c r="B305" s="26" t="str">
        <f t="array" ref="B305">_xlfn.XLOOKUP(Checklist!$A305,tblTargets[TargetID],tblTargets[DisplayName])</f>
        <v>Quest for Knowledge Chapter 5 Accepted</v>
      </c>
      <c r="C305" s="21" t="str">
        <f t="array" ref="C305">_xlfn.XLOOKUP(
 A305,
 tblTargetStatus[TargetID],
 tblTargetStatus[successors],
 ""
)</f>
        <v>Quest for Knowledge Chapter 5 Finished, Craft mechanism, Craft steamobile</v>
      </c>
      <c r="D305" s="26" t="str">
        <f t="array" ref="D305">_xlfn.XLOOKUP(
 A305,
 tblTargets[TargetID],
 tblTargets[TargetType],
 ""
)</f>
        <v>QUEST</v>
      </c>
      <c r="E305" s="45" t="str">
        <f t="array" ref="E305">_xlfn.XLOOKUP(
 A305,
 tblTargetStatus[TargetID],
 tblTargetStatus[ChainAwareStatus],
 ""
)</f>
        <v>BLOCKED</v>
      </c>
      <c r="F305" s="45"/>
      <c r="G305" s="45" t="b">
        <v>0</v>
      </c>
      <c r="H305" s="45" t="str">
        <f t="array" ref="H305">_xlfn.XLOOKUP(
 A305,
 tblTargetStatus[TargetID],
 tblTargetStatus[TargetFunded],
 ""
)</f>
        <v>N/A</v>
      </c>
      <c r="I305" s="45" t="str">
        <f t="array" ref="I305">IF(
 D305&lt;&gt;"BUILDING",
 "",
 IF(
  Player!$H$1="Active",
  _xlfn.XLOOKUP(
   A305,
   tblrecommended[ActiveTargetID],
   tblrecommended[Order],
   ""
  ),
  _xlfn.XLOOKUP(
   A305,
   tblrecommended[PassiveTargetID],
   tblrecommended[Order],
   ""
  )
 )
)</f>
        <v/>
      </c>
    </row>
    <row r="306" ht="25.5" hidden="1" customHeight="1">
      <c r="A306" s="26" t="s">
        <v>1260</v>
      </c>
      <c r="B306" s="26" t="str">
        <f t="array" ref="B306">_xlfn.XLOOKUP(Checklist!$A306,tblTargets[TargetID],tblTargets[DisplayName])</f>
        <v>Quest for Knowledge Chapter 5 Finished</v>
      </c>
      <c r="C306" s="21" t="str">
        <f t="array" ref="C306">_xlfn.XLOOKUP(
 A306,
 tblTargetStatus[TargetID],
 tblTargetStatus[successors],
 ""
)</f>
        <v/>
      </c>
      <c r="D306" s="26" t="str">
        <f t="array" ref="D306">_xlfn.XLOOKUP(
 A306,
 tblTargets[TargetID],
 tblTargets[TargetType],
 ""
)</f>
        <v>QUEST</v>
      </c>
      <c r="E306" s="45" t="str">
        <f t="array" ref="E306">_xlfn.XLOOKUP(
 A306,
 tblTargetStatus[TargetID],
 tblTargetStatus[ChainAwareStatus],
 ""
)</f>
        <v>BLOCKED</v>
      </c>
      <c r="F306" s="45"/>
      <c r="G306" s="45" t="b">
        <v>0</v>
      </c>
      <c r="H306" s="45" t="str">
        <f t="array" ref="H306">_xlfn.XLOOKUP(
 A306,
 tblTargetStatus[TargetID],
 tblTargetStatus[TargetFunded],
 ""
)</f>
        <v>N/A</v>
      </c>
      <c r="I306" s="45" t="str">
        <f t="array" ref="I306">IF(
 D306&lt;&gt;"BUILDING",
 "",
 IF(
  Player!$H$1="Active",
  _xlfn.XLOOKUP(
   A306,
   tblrecommended[ActiveTargetID],
   tblrecommended[Order],
   ""
  ),
  _xlfn.XLOOKUP(
   A306,
   tblrecommended[PassiveTargetID],
   tblrecommended[Order],
   ""
  )
 )
)</f>
        <v/>
      </c>
    </row>
    <row r="307" ht="25.5" hidden="1" customHeight="1">
      <c r="A307" s="26" t="s">
        <v>1262</v>
      </c>
      <c r="B307" s="26" t="str">
        <f t="array" ref="B307">_xlfn.XLOOKUP(Checklist!$A307,tblTargets[TargetID],tblTargets[DisplayName])</f>
        <v>Shogun's Katana Chapter 1 Accepted</v>
      </c>
      <c r="C307" s="21" t="str">
        <f t="array" ref="C307">_xlfn.XLOOKUP(
 A307,
 tblTargetStatus[TargetID],
 tblTargetStatus[successors],
 ""
)</f>
        <v>Shogun's Katana Chapter 1 Finished, Obtain level 2 artifact, Craft level 2 map</v>
      </c>
      <c r="D307" s="26" t="str">
        <f t="array" ref="D307">_xlfn.XLOOKUP(
 A307,
 tblTargets[TargetID],
 tblTargets[TargetType],
 ""
)</f>
        <v>QUEST</v>
      </c>
      <c r="E307" s="45" t="str">
        <f t="array" ref="E307">_xlfn.XLOOKUP(
 A307,
 tblTargetStatus[TargetID],
 tblTargetStatus[ChainAwareStatus],
 ""
)</f>
        <v>BLOCKED</v>
      </c>
      <c r="F307" s="45"/>
      <c r="G307" s="45" t="b">
        <v>0</v>
      </c>
      <c r="H307" s="45" t="str">
        <f t="array" ref="H307">_xlfn.XLOOKUP(
 A307,
 tblTargetStatus[TargetID],
 tblTargetStatus[TargetFunded],
 ""
)</f>
        <v>N/A</v>
      </c>
      <c r="I307" s="45" t="str">
        <f t="array" ref="I307">IF(
 D307&lt;&gt;"BUILDING",
 "",
 IF(
  Player!$H$1="Active",
  _xlfn.XLOOKUP(
   A307,
   tblrecommended[ActiveTargetID],
   tblrecommended[Order],
   ""
  ),
  _xlfn.XLOOKUP(
   A307,
   tblrecommended[PassiveTargetID],
   tblrecommended[Order],
   ""
  )
 )
)</f>
        <v/>
      </c>
    </row>
    <row r="308" ht="25.5" hidden="1" customHeight="1">
      <c r="A308" s="26" t="s">
        <v>1264</v>
      </c>
      <c r="B308" s="26" t="str">
        <f t="array" ref="B308">_xlfn.XLOOKUP(Checklist!$A308,tblTargets[TargetID],tblTargets[DisplayName])</f>
        <v>Shogun's Katana Chapter 1 Finished</v>
      </c>
      <c r="C308" s="21" t="str">
        <f t="array" ref="C308">_xlfn.XLOOKUP(
 A308,
 tblTargetStatus[TargetID],
 tblTargetStatus[successors],
 ""
)</f>
        <v>Shogun's Katana Chapter 2 Accepted</v>
      </c>
      <c r="D308" s="26" t="str">
        <f t="array" ref="D308">_xlfn.XLOOKUP(
 A308,
 tblTargets[TargetID],
 tblTargets[TargetType],
 ""
)</f>
        <v>QUEST</v>
      </c>
      <c r="E308" s="45" t="str">
        <f t="array" ref="E308">_xlfn.XLOOKUP(
 A308,
 tblTargetStatus[TargetID],
 tblTargetStatus[ChainAwareStatus],
 ""
)</f>
        <v>BLOCKED</v>
      </c>
      <c r="F308" s="45"/>
      <c r="G308" s="45" t="b">
        <v>0</v>
      </c>
      <c r="H308" s="45" t="b">
        <f t="array" ref="H308">_xlfn.XLOOKUP(
 A308,
 tblTargetStatus[TargetID],
 tblTargetStatus[TargetFunded],
 ""
)</f>
        <v>0</v>
      </c>
      <c r="I308" s="45" t="str">
        <f t="array" ref="I308">IF(
 D308&lt;&gt;"BUILDING",
 "",
 IF(
  Player!$H$1="Active",
  _xlfn.XLOOKUP(
   A308,
   tblrecommended[ActiveTargetID],
   tblrecommended[Order],
   ""
  ),
  _xlfn.XLOOKUP(
   A308,
   tblrecommended[PassiveTargetID],
   tblrecommended[Order],
   ""
  )
 )
)</f>
        <v/>
      </c>
    </row>
    <row r="309" ht="25.5" hidden="1" customHeight="1">
      <c r="A309" s="26" t="s">
        <v>1267</v>
      </c>
      <c r="B309" s="26" t="str">
        <f t="array" ref="B309">_xlfn.XLOOKUP(Checklist!$A309,tblTargets[TargetID],tblTargets[DisplayName])</f>
        <v>Shogun's Katana Chapter 2 Accepted</v>
      </c>
      <c r="C309" s="21" t="str">
        <f t="array" ref="C309">_xlfn.XLOOKUP(
 A309,
 tblTargetStatus[TargetID],
 tblTargetStatus[successors],
 ""
)</f>
        <v>Shogun's Katana Chapter 2 Finished, Obtain level 3 artifact</v>
      </c>
      <c r="D309" s="26" t="str">
        <f t="array" ref="D309">_xlfn.XLOOKUP(
 A309,
 tblTargets[TargetID],
 tblTargets[TargetType],
 ""
)</f>
        <v>QUEST</v>
      </c>
      <c r="E309" s="45" t="str">
        <f t="array" ref="E309">_xlfn.XLOOKUP(
 A309,
 tblTargetStatus[TargetID],
 tblTargetStatus[ChainAwareStatus],
 ""
)</f>
        <v>BLOCKED</v>
      </c>
      <c r="F309" s="45"/>
      <c r="G309" s="45" t="b">
        <v>0</v>
      </c>
      <c r="H309" s="45" t="str">
        <f t="array" ref="H309">_xlfn.XLOOKUP(
 A309,
 tblTargetStatus[TargetID],
 tblTargetStatus[TargetFunded],
 ""
)</f>
        <v>N/A</v>
      </c>
      <c r="I309" s="45" t="str">
        <f t="array" ref="I309">IF(
 D309&lt;&gt;"BUILDING",
 "",
 IF(
  Player!$H$1="Active",
  _xlfn.XLOOKUP(
   A309,
   tblrecommended[ActiveTargetID],
   tblrecommended[Order],
   ""
  ),
  _xlfn.XLOOKUP(
   A309,
   tblrecommended[PassiveTargetID],
   tblrecommended[Order],
   ""
  )
 )
)</f>
        <v/>
      </c>
    </row>
    <row r="310" ht="25.5" hidden="1" customHeight="1">
      <c r="A310" s="26" t="s">
        <v>1269</v>
      </c>
      <c r="B310" s="26" t="str">
        <f t="array" ref="B310">_xlfn.XLOOKUP(Checklist!$A310,tblTargets[TargetID],tblTargets[DisplayName])</f>
        <v>Shogun's Katana Chapter 2 Finished</v>
      </c>
      <c r="C310" s="21" t="str">
        <f t="array" ref="C310">_xlfn.XLOOKUP(
 A310,
 tblTargetStatus[TargetID],
 tblTargetStatus[successors],
 ""
)</f>
        <v>Shogun's Katana Chapter 3 Accepted</v>
      </c>
      <c r="D310" s="26" t="str">
        <f t="array" ref="D310">_xlfn.XLOOKUP(
 A310,
 tblTargets[TargetID],
 tblTargets[TargetType],
 ""
)</f>
        <v>QUEST</v>
      </c>
      <c r="E310" s="45" t="str">
        <f t="array" ref="E310">_xlfn.XLOOKUP(
 A310,
 tblTargetStatus[TargetID],
 tblTargetStatus[ChainAwareStatus],
 ""
)</f>
        <v>BLOCKED</v>
      </c>
      <c r="F310" s="45"/>
      <c r="G310" s="45" t="b">
        <v>0</v>
      </c>
      <c r="H310" s="45" t="b">
        <f t="array" ref="H310">_xlfn.XLOOKUP(
 A310,
 tblTargetStatus[TargetID],
 tblTargetStatus[TargetFunded],
 ""
)</f>
        <v>0</v>
      </c>
      <c r="I310" s="45" t="str">
        <f t="array" ref="I310">IF(
 D310&lt;&gt;"BUILDING",
 "",
 IF(
  Player!$H$1="Active",
  _xlfn.XLOOKUP(
   A310,
   tblrecommended[ActiveTargetID],
   tblrecommended[Order],
   ""
  ),
  _xlfn.XLOOKUP(
   A310,
   tblrecommended[PassiveTargetID],
   tblrecommended[Order],
   ""
  )
 )
)</f>
        <v/>
      </c>
    </row>
    <row r="311" ht="25.5" hidden="1" customHeight="1">
      <c r="A311" s="26" t="s">
        <v>1271</v>
      </c>
      <c r="B311" s="26" t="str">
        <f t="array" ref="B311">_xlfn.XLOOKUP(Checklist!$A311,tblTargets[TargetID],tblTargets[DisplayName])</f>
        <v>Shogun's Katana Chapter 3 Accepted</v>
      </c>
      <c r="C311" s="21" t="str">
        <f t="array" ref="C311">_xlfn.XLOOKUP(
 A311,
 tblTargetStatus[TargetID],
 tblTargetStatus[successors],
 ""
)</f>
        <v>Shogun's Katana Chapter 3 Finished, Purchase Smuggler's map for 100 coffee beans</v>
      </c>
      <c r="D311" s="26" t="str">
        <f t="array" ref="D311">_xlfn.XLOOKUP(
 A311,
 tblTargets[TargetID],
 tblTargets[TargetType],
 ""
)</f>
        <v>QUEST</v>
      </c>
      <c r="E311" s="45" t="str">
        <f t="array" ref="E311">_xlfn.XLOOKUP(
 A311,
 tblTargetStatus[TargetID],
 tblTargetStatus[ChainAwareStatus],
 ""
)</f>
        <v>BLOCKED</v>
      </c>
      <c r="F311" s="45"/>
      <c r="G311" s="45" t="b">
        <v>0</v>
      </c>
      <c r="H311" s="45" t="str">
        <f t="array" ref="H311">_xlfn.XLOOKUP(
 A311,
 tblTargetStatus[TargetID],
 tblTargetStatus[TargetFunded],
 ""
)</f>
        <v>N/A</v>
      </c>
      <c r="I311" s="45" t="str">
        <f t="array" ref="I311">IF(
 D311&lt;&gt;"BUILDING",
 "",
 IF(
  Player!$H$1="Active",
  _xlfn.XLOOKUP(
   A311,
   tblrecommended[ActiveTargetID],
   tblrecommended[Order],
   ""
  ),
  _xlfn.XLOOKUP(
   A311,
   tblrecommended[PassiveTargetID],
   tblrecommended[Order],
   ""
  )
 )
)</f>
        <v/>
      </c>
    </row>
    <row r="312" ht="25.5" hidden="1" customHeight="1">
      <c r="A312" s="26" t="s">
        <v>1273</v>
      </c>
      <c r="B312" s="26" t="str">
        <f t="array" ref="B312">_xlfn.XLOOKUP(Checklist!$A312,tblTargets[TargetID],tblTargets[DisplayName])</f>
        <v>Shogun's Katana Chapter 3 Finished</v>
      </c>
      <c r="C312" s="21" t="str">
        <f t="array" ref="C312">_xlfn.XLOOKUP(
 A312,
 tblTargetStatus[TargetID],
 tblTargetStatus[successors],
 ""
)</f>
        <v>Shogun's Katana Chapter 4 Accepted, Shogun's Katana Chapter 5 Accepted</v>
      </c>
      <c r="D312" s="26" t="str">
        <f t="array" ref="D312">_xlfn.XLOOKUP(
 A312,
 tblTargets[TargetID],
 tblTargets[TargetType],
 ""
)</f>
        <v>QUEST</v>
      </c>
      <c r="E312" s="45" t="str">
        <f t="array" ref="E312">_xlfn.XLOOKUP(
 A312,
 tblTargetStatus[TargetID],
 tblTargetStatus[ChainAwareStatus],
 ""
)</f>
        <v>BLOCKED</v>
      </c>
      <c r="F312" s="45"/>
      <c r="G312" s="45" t="b">
        <v>0</v>
      </c>
      <c r="H312" s="45" t="b">
        <f t="array" ref="H312">_xlfn.XLOOKUP(
 A312,
 tblTargetStatus[TargetID],
 tblTargetStatus[TargetFunded],
 ""
)</f>
        <v>0</v>
      </c>
      <c r="I312" s="45" t="str">
        <f t="array" ref="I312">IF(
 D312&lt;&gt;"BUILDING",
 "",
 IF(
  Player!$H$1="Active",
  _xlfn.XLOOKUP(
   A312,
   tblrecommended[ActiveTargetID],
   tblrecommended[Order],
   ""
  ),
  _xlfn.XLOOKUP(
   A312,
   tblrecommended[PassiveTargetID],
   tblrecommended[Order],
   ""
  )
 )
)</f>
        <v/>
      </c>
    </row>
    <row r="313" ht="25.5" hidden="1" customHeight="1">
      <c r="A313" s="26" t="s">
        <v>1275</v>
      </c>
      <c r="B313" s="26" t="str">
        <f t="array" ref="B313">_xlfn.XLOOKUP(Checklist!$A313,tblTargets[TargetID],tblTargets[DisplayName])</f>
        <v>Shogun's Katana Chapter 4 Accepted</v>
      </c>
      <c r="C313" s="21" t="str">
        <f t="array" ref="C313">_xlfn.XLOOKUP(
 A313,
 tblTargetStatus[TargetID],
 tblTargetStatus[successors],
 ""
)</f>
        <v>Shogun's Katana Chapter 4 Finished, Obtain Ship in a bottle, Purchase Smuggler's map for 10 spices</v>
      </c>
      <c r="D313" s="26" t="str">
        <f t="array" ref="D313">_xlfn.XLOOKUP(
 A313,
 tblTargets[TargetID],
 tblTargets[TargetType],
 ""
)</f>
        <v>QUEST</v>
      </c>
      <c r="E313" s="45" t="str">
        <f t="array" ref="E313">_xlfn.XLOOKUP(
 A313,
 tblTargetStatus[TargetID],
 tblTargetStatus[ChainAwareStatus],
 ""
)</f>
        <v>BLOCKED</v>
      </c>
      <c r="F313" s="45"/>
      <c r="G313" s="45" t="b">
        <v>0</v>
      </c>
      <c r="H313" s="45" t="str">
        <f t="array" ref="H313">_xlfn.XLOOKUP(
 A313,
 tblTargetStatus[TargetID],
 tblTargetStatus[TargetFunded],
 ""
)</f>
        <v>N/A</v>
      </c>
      <c r="I313" s="45" t="str">
        <f t="array" ref="I313">IF(
 D313&lt;&gt;"BUILDING",
 "",
 IF(
  Player!$H$1="Active",
  _xlfn.XLOOKUP(
   A313,
   tblrecommended[ActiveTargetID],
   tblrecommended[Order],
   ""
  ),
  _xlfn.XLOOKUP(
   A313,
   tblrecommended[PassiveTargetID],
   tblrecommended[Order],
   ""
  )
 )
)</f>
        <v/>
      </c>
    </row>
    <row r="314" ht="25.5" hidden="1" customHeight="1">
      <c r="A314" s="26" t="s">
        <v>1277</v>
      </c>
      <c r="B314" s="26" t="str">
        <f t="array" ref="B314">_xlfn.XLOOKUP(Checklist!$A314,tblTargets[TargetID],tblTargets[DisplayName])</f>
        <v>Shogun's Katana Chapter 4 Finished</v>
      </c>
      <c r="C314" s="21" t="str">
        <f t="array" ref="C314">_xlfn.XLOOKUP(
 A314,
 tblTargetStatus[TargetID],
 tblTargetStatus[successors],
 ""
)</f>
        <v>Shogun's Katana Chapter 6 Accepted, Treasure Island Accepted, Meet Pirate Skeleton@3A</v>
      </c>
      <c r="D314" s="26" t="str">
        <f t="array" ref="D314">_xlfn.XLOOKUP(
 A314,
 tblTargets[TargetID],
 tblTargets[TargetType],
 ""
)</f>
        <v>QUEST</v>
      </c>
      <c r="E314" s="45" t="str">
        <f t="array" ref="E314">_xlfn.XLOOKUP(
 A314,
 tblTargetStatus[TargetID],
 tblTargetStatus[ChainAwareStatus],
 ""
)</f>
        <v>BLOCKED</v>
      </c>
      <c r="F314" s="45"/>
      <c r="G314" s="45" t="b">
        <v>0</v>
      </c>
      <c r="H314" s="45" t="b">
        <f t="array" ref="H314">_xlfn.XLOOKUP(
 A314,
 tblTargetStatus[TargetID],
 tblTargetStatus[TargetFunded],
 ""
)</f>
        <v>0</v>
      </c>
      <c r="I314" s="45" t="str">
        <f t="array" ref="I314">IF(
 D314&lt;&gt;"BUILDING",
 "",
 IF(
  Player!$H$1="Active",
  _xlfn.XLOOKUP(
   A314,
   tblrecommended[ActiveTargetID],
   tblrecommended[Order],
   ""
  ),
  _xlfn.XLOOKUP(
   A314,
   tblrecommended[PassiveTargetID],
   tblrecommended[Order],
   ""
  )
 )
)</f>
        <v/>
      </c>
    </row>
    <row r="315" ht="25.5" hidden="1" customHeight="1">
      <c r="A315" s="26" t="s">
        <v>1280</v>
      </c>
      <c r="B315" s="26" t="str">
        <f t="array" ref="B315">_xlfn.XLOOKUP(Checklist!$A315,tblTargets[TargetID],tblTargets[DisplayName])</f>
        <v>Shogun's Katana Chapter 5 Accepted</v>
      </c>
      <c r="C315" s="21" t="str">
        <f t="array" ref="C315">_xlfn.XLOOKUP(
 A315,
 tblTargetStatus[TargetID],
 tblTargetStatus[successors],
 ""
)</f>
        <v>Shogun's Katana Chapter 5 Finished, Purchase Smuggler's map for 15 pearl</v>
      </c>
      <c r="D315" s="26" t="str">
        <f t="array" ref="D315">_xlfn.XLOOKUP(
 A315,
 tblTargets[TargetID],
 tblTargets[TargetType],
 ""
)</f>
        <v>QUEST</v>
      </c>
      <c r="E315" s="45" t="str">
        <f t="array" ref="E315">_xlfn.XLOOKUP(
 A315,
 tblTargetStatus[TargetID],
 tblTargetStatus[ChainAwareStatus],
 ""
)</f>
        <v>BLOCKED</v>
      </c>
      <c r="F315" s="45"/>
      <c r="G315" s="45" t="b">
        <v>0</v>
      </c>
      <c r="H315" s="45" t="str">
        <f t="array" ref="H315">_xlfn.XLOOKUP(
 A315,
 tblTargetStatus[TargetID],
 tblTargetStatus[TargetFunded],
 ""
)</f>
        <v>N/A</v>
      </c>
      <c r="I315" s="45" t="str">
        <f t="array" ref="I315">IF(
 D315&lt;&gt;"BUILDING",
 "",
 IF(
  Player!$H$1="Active",
  _xlfn.XLOOKUP(
   A315,
   tblrecommended[ActiveTargetID],
   tblrecommended[Order],
   ""
  ),
  _xlfn.XLOOKUP(
   A315,
   tblrecommended[PassiveTargetID],
   tblrecommended[Order],
   ""
  )
 )
)</f>
        <v/>
      </c>
    </row>
    <row r="316" ht="25.5" hidden="1" customHeight="1">
      <c r="A316" s="26" t="s">
        <v>1283</v>
      </c>
      <c r="B316" s="26" t="str">
        <f t="array" ref="B316">_xlfn.XLOOKUP(Checklist!$A316,tblTargets[TargetID],tblTargets[DisplayName])</f>
        <v>Shogun's Katana Chapter 5 Finished</v>
      </c>
      <c r="C316" s="21" t="str">
        <f t="array" ref="C316">_xlfn.XLOOKUP(
 A316,
 tblTargetStatus[TargetID],
 tblTargetStatus[successors],
 ""
)</f>
        <v>Shogun's Katana Chapter 7 Accepted</v>
      </c>
      <c r="D316" s="26" t="str">
        <f t="array" ref="D316">_xlfn.XLOOKUP(
 A316,
 tblTargets[TargetID],
 tblTargets[TargetType],
 ""
)</f>
        <v>QUEST</v>
      </c>
      <c r="E316" s="45" t="str">
        <f t="array" ref="E316">_xlfn.XLOOKUP(
 A316,
 tblTargetStatus[TargetID],
 tblTargetStatus[ChainAwareStatus],
 ""
)</f>
        <v>BLOCKED</v>
      </c>
      <c r="F316" s="45"/>
      <c r="G316" s="45" t="b">
        <v>0</v>
      </c>
      <c r="H316" s="45" t="b">
        <f t="array" ref="H316">_xlfn.XLOOKUP(
 A316,
 tblTargetStatus[TargetID],
 tblTargetStatus[TargetFunded],
 ""
)</f>
        <v>0</v>
      </c>
      <c r="I316" s="45" t="str">
        <f t="array" ref="I316">IF(
 D316&lt;&gt;"BUILDING",
 "",
 IF(
  Player!$H$1="Active",
  _xlfn.XLOOKUP(
   A316,
   tblrecommended[ActiveTargetID],
   tblrecommended[Order],
   ""
  ),
  _xlfn.XLOOKUP(
   A316,
   tblrecommended[PassiveTargetID],
   tblrecommended[Order],
   ""
  )
 )
)</f>
        <v/>
      </c>
    </row>
    <row r="317" ht="25.5" hidden="1" customHeight="1">
      <c r="A317" s="26" t="s">
        <v>1285</v>
      </c>
      <c r="B317" s="26" t="str">
        <f t="array" ref="B317">_xlfn.XLOOKUP(Checklist!$A317,tblTargets[TargetID],tblTargets[DisplayName])</f>
        <v>Shogun's Katana Chapter 6 Accepted</v>
      </c>
      <c r="C317" s="21" t="str">
        <f t="array" ref="C317">_xlfn.XLOOKUP(
 A317,
 tblTargetStatus[TargetID],
 tblTargetStatus[successors],
 ""
)</f>
        <v>Shogun's Katana Chapter 6 Finished, Craft level 4 map</v>
      </c>
      <c r="D317" s="26" t="str">
        <f t="array" ref="D317">_xlfn.XLOOKUP(
 A317,
 tblTargets[TargetID],
 tblTargets[TargetType],
 ""
)</f>
        <v>QUEST</v>
      </c>
      <c r="E317" s="45" t="str">
        <f t="array" ref="E317">_xlfn.XLOOKUP(
 A317,
 tblTargetStatus[TargetID],
 tblTargetStatus[ChainAwareStatus],
 ""
)</f>
        <v>BLOCKED</v>
      </c>
      <c r="F317" s="45"/>
      <c r="G317" s="45" t="b">
        <v>0</v>
      </c>
      <c r="H317" s="45" t="str">
        <f t="array" ref="H317">_xlfn.XLOOKUP(
 A317,
 tblTargetStatus[TargetID],
 tblTargetStatus[TargetFunded],
 ""
)</f>
        <v>N/A</v>
      </c>
      <c r="I317" s="45" t="str">
        <f t="array" ref="I317">IF(
 D317&lt;&gt;"BUILDING",
 "",
 IF(
  Player!$H$1="Active",
  _xlfn.XLOOKUP(
   A317,
   tblrecommended[ActiveTargetID],
   tblrecommended[Order],
   ""
  ),
  _xlfn.XLOOKUP(
   A317,
   tblrecommended[PassiveTargetID],
   tblrecommended[Order],
   ""
  )
 )
)</f>
        <v/>
      </c>
    </row>
    <row r="318" ht="25.5" hidden="1" customHeight="1">
      <c r="A318" s="26" t="s">
        <v>1287</v>
      </c>
      <c r="B318" s="26" t="str">
        <f t="array" ref="B318">_xlfn.XLOOKUP(Checklist!$A318,tblTargets[TargetID],tblTargets[DisplayName])</f>
        <v>Shogun's Katana Chapter 6 Finished</v>
      </c>
      <c r="C318" s="21" t="str">
        <f t="array" ref="C318">_xlfn.XLOOKUP(
 A318,
 tblTargetStatus[TargetID],
 tblTargetStatus[successors],
 ""
)</f>
        <v>Shogun's Katana Chapter 7 Accepted</v>
      </c>
      <c r="D318" s="26" t="str">
        <f t="array" ref="D318">_xlfn.XLOOKUP(
 A318,
 tblTargets[TargetID],
 tblTargets[TargetType],
 ""
)</f>
        <v>QUEST</v>
      </c>
      <c r="E318" s="45" t="str">
        <f t="array" ref="E318">_xlfn.XLOOKUP(
 A318,
 tblTargetStatus[TargetID],
 tblTargetStatus[ChainAwareStatus],
 ""
)</f>
        <v>BLOCKED</v>
      </c>
      <c r="F318" s="45"/>
      <c r="G318" s="45" t="b">
        <v>0</v>
      </c>
      <c r="H318" s="45" t="b">
        <f t="array" ref="H318">_xlfn.XLOOKUP(
 A318,
 tblTargetStatus[TargetID],
 tblTargetStatus[TargetFunded],
 ""
)</f>
        <v>0</v>
      </c>
      <c r="I318" s="45" t="str">
        <f t="array" ref="I318">IF(
 D318&lt;&gt;"BUILDING",
 "",
 IF(
  Player!$H$1="Active",
  _xlfn.XLOOKUP(
   A318,
   tblrecommended[ActiveTargetID],
   tblrecommended[Order],
   ""
  ),
  _xlfn.XLOOKUP(
   A318,
   tblrecommended[PassiveTargetID],
   tblrecommended[Order],
   ""
  )
 )
)</f>
        <v/>
      </c>
    </row>
    <row r="319" ht="25.5" hidden="1" customHeight="1">
      <c r="A319" s="26" t="s">
        <v>1290</v>
      </c>
      <c r="B319" s="26" t="str">
        <f t="array" ref="B319">_xlfn.XLOOKUP(Checklist!$A319,tblTargets[TargetID],tblTargets[DisplayName])</f>
        <v>Shogun's Katana Chapter 7 Accepted</v>
      </c>
      <c r="C319" s="21" t="str">
        <f t="array" ref="C319">_xlfn.XLOOKUP(
 A319,
 tblTargetStatus[TargetID],
 tblTargetStatus[successors],
 ""
)</f>
        <v>Shogun's Katana Chapter 7 Finished, Craft level 4 map again</v>
      </c>
      <c r="D319" s="26" t="str">
        <f t="array" ref="D319">_xlfn.XLOOKUP(
 A319,
 tblTargets[TargetID],
 tblTargets[TargetType],
 ""
)</f>
        <v>QUEST</v>
      </c>
      <c r="E319" s="45" t="str">
        <f t="array" ref="E319">_xlfn.XLOOKUP(
 A319,
 tblTargetStatus[TargetID],
 tblTargetStatus[ChainAwareStatus],
 ""
)</f>
        <v>BLOCKED</v>
      </c>
      <c r="F319" s="45"/>
      <c r="G319" s="45" t="b">
        <v>0</v>
      </c>
      <c r="H319" s="45" t="str">
        <f t="array" ref="H319">_xlfn.XLOOKUP(
 A319,
 tblTargetStatus[TargetID],
 tblTargetStatus[TargetFunded],
 ""
)</f>
        <v>N/A</v>
      </c>
      <c r="I319" s="45" t="str">
        <f t="array" ref="I319">IF(
 D319&lt;&gt;"BUILDING",
 "",
 IF(
  Player!$H$1="Active",
  _xlfn.XLOOKUP(
   A319,
   tblrecommended[ActiveTargetID],
   tblrecommended[Order],
   ""
  ),
  _xlfn.XLOOKUP(
   A319,
   tblrecommended[PassiveTargetID],
   tblrecommended[Order],
   ""
  )
 )
)</f>
        <v/>
      </c>
    </row>
    <row r="320" ht="25.5" hidden="1" customHeight="1">
      <c r="A320" s="26" t="s">
        <v>1292</v>
      </c>
      <c r="B320" s="26" t="str">
        <f t="array" ref="B320">_xlfn.XLOOKUP(Checklist!$A320,tblTargets[TargetID],tblTargets[DisplayName])</f>
        <v>Shogun's Katana Chapter 7 Finished</v>
      </c>
      <c r="C320" s="21" t="str">
        <f t="array" ref="C320">_xlfn.XLOOKUP(
 A320,
 tblTargetStatus[TargetID],
 tblTargetStatus[successors],
 ""
)</f>
        <v>Obtain Shogun's Katana</v>
      </c>
      <c r="D320" s="26" t="str">
        <f t="array" ref="D320">_xlfn.XLOOKUP(
 A320,
 tblTargets[TargetID],
 tblTargets[TargetType],
 ""
)</f>
        <v>QUEST</v>
      </c>
      <c r="E320" s="45" t="str">
        <f t="array" ref="E320">_xlfn.XLOOKUP(
 A320,
 tblTargetStatus[TargetID],
 tblTargetStatus[ChainAwareStatus],
 ""
)</f>
        <v>BLOCKED</v>
      </c>
      <c r="F320" s="45"/>
      <c r="G320" s="45" t="b">
        <v>0</v>
      </c>
      <c r="H320" s="45" t="b">
        <f t="array" ref="H320">_xlfn.XLOOKUP(
 A320,
 tblTargetStatus[TargetID],
 tblTargetStatus[TargetFunded],
 ""
)</f>
        <v>0</v>
      </c>
      <c r="I320" s="45" t="str">
        <f t="array" ref="I320">IF(
 D320&lt;&gt;"BUILDING",
 "",
 IF(
  Player!$H$1="Active",
  _xlfn.XLOOKUP(
   A320,
   tblrecommended[ActiveTargetID],
   tblrecommended[Order],
   ""
  ),
  _xlfn.XLOOKUP(
   A320,
   tblrecommended[PassiveTargetID],
   tblrecommended[Order],
   ""
  )
 )
)</f>
        <v/>
      </c>
    </row>
    <row r="321" ht="25.5" hidden="1" customHeight="1">
      <c r="A321" s="26" t="s">
        <v>1294</v>
      </c>
      <c r="B321" s="26" t="str">
        <f t="array" ref="B321">_xlfn.XLOOKUP(Checklist!$A321,tblTargets[TargetID],tblTargets[DisplayName])</f>
        <v>Silk Road Accepted</v>
      </c>
      <c r="C321" s="21" t="str">
        <f t="array" ref="C321">_xlfn.XLOOKUP(
 A321,
 tblTargetStatus[TargetID],
 tblTargetStatus[successors],
 ""
)</f>
        <v>Silk Road Finished, Visit Athens, Visit Baghdad, Visit Beijing, Visit Cairo, Visit Delhi, Visit Kyiv, Visit Rome, Visit Xian</v>
      </c>
      <c r="D321" s="26" t="str">
        <f t="array" ref="D321">_xlfn.XLOOKUP(
 A321,
 tblTargets[TargetID],
 tblTargets[TargetType],
 ""
)</f>
        <v>QUEST</v>
      </c>
      <c r="E321" s="45" t="str">
        <f t="array" ref="E321">_xlfn.XLOOKUP(
 A321,
 tblTargetStatus[TargetID],
 tblTargetStatus[ChainAwareStatus],
 ""
)</f>
        <v>BLOCKED</v>
      </c>
      <c r="F321" s="45"/>
      <c r="G321" s="45" t="b">
        <v>0</v>
      </c>
      <c r="H321" s="45" t="str">
        <f t="array" ref="H321">_xlfn.XLOOKUP(
 A321,
 tblTargetStatus[TargetID],
 tblTargetStatus[TargetFunded],
 ""
)</f>
        <v>N/A</v>
      </c>
      <c r="I321" s="45" t="str">
        <f t="array" ref="I321">IF(
 D321&lt;&gt;"BUILDING",
 "",
 IF(
  Player!$H$1="Active",
  _xlfn.XLOOKUP(
   A321,
   tblrecommended[ActiveTargetID],
   tblrecommended[Order],
   ""
  ),
  _xlfn.XLOOKUP(
   A321,
   tblrecommended[PassiveTargetID],
   tblrecommended[Order],
   ""
  )
 )
)</f>
        <v/>
      </c>
    </row>
    <row r="322" ht="25.5" hidden="1" customHeight="1">
      <c r="A322" s="26" t="s">
        <v>1296</v>
      </c>
      <c r="B322" s="26" t="str">
        <f t="array" ref="B322">_xlfn.XLOOKUP(Checklist!$A322,tblTargets[TargetID],tblTargets[DisplayName])</f>
        <v>Silk Road Finished</v>
      </c>
      <c r="C322" s="21" t="str">
        <f t="array" ref="C322">_xlfn.XLOOKUP(
 A322,
 tblTargetStatus[TargetID],
 tblTargetStatus[successors],
 ""
)</f>
        <v/>
      </c>
      <c r="D322" s="26" t="str">
        <f t="array" ref="D322">_xlfn.XLOOKUP(
 A322,
 tblTargets[TargetID],
 tblTargets[TargetType],
 ""
)</f>
        <v>QUEST</v>
      </c>
      <c r="E322" s="45" t="str">
        <f t="array" ref="E322">_xlfn.XLOOKUP(
 A322,
 tblTargetStatus[TargetID],
 tblTargetStatus[ChainAwareStatus],
 ""
)</f>
        <v>BLOCKED</v>
      </c>
      <c r="F322" s="45"/>
      <c r="G322" s="45" t="b">
        <v>0</v>
      </c>
      <c r="H322" s="45" t="str">
        <f t="array" ref="H322">_xlfn.XLOOKUP(
 A322,
 tblTargetStatus[TargetID],
 tblTargetStatus[TargetFunded],
 ""
)</f>
        <v>N/A</v>
      </c>
      <c r="I322" s="45" t="str">
        <f t="array" ref="I322">IF(
 D322&lt;&gt;"BUILDING",
 "",
 IF(
  Player!$H$1="Active",
  _xlfn.XLOOKUP(
   A322,
   tblrecommended[ActiveTargetID],
   tblrecommended[Order],
   ""
  ),
  _xlfn.XLOOKUP(
   A322,
   tblrecommended[PassiveTargetID],
   tblrecommended[Order],
   ""
  )
 )
)</f>
        <v/>
      </c>
    </row>
    <row r="323" ht="25.5" hidden="1" customHeight="1">
      <c r="A323" s="26" t="s">
        <v>1298</v>
      </c>
      <c r="B323" s="26" t="str">
        <f t="array" ref="B323">_xlfn.XLOOKUP(Checklist!$A323,tblTargets[TargetID],tblTargets[DisplayName])</f>
        <v>Spicy Odyssey Accepted</v>
      </c>
      <c r="C323" s="21" t="str">
        <f t="array" ref="C323">_xlfn.XLOOKUP(
 A323,
 tblTargetStatus[TargetID],
 tblTargetStatus[successors],
 ""
)</f>
        <v>Spicy Odyssey Finished, Obtain Spices from Spice Island</v>
      </c>
      <c r="D323" s="26" t="str">
        <f t="array" ref="D323">_xlfn.XLOOKUP(
 A323,
 tblTargets[TargetID],
 tblTargets[TargetType],
 ""
)</f>
        <v>QUEST</v>
      </c>
      <c r="E323" s="45" t="str">
        <f t="array" ref="E323">_xlfn.XLOOKUP(
 A323,
 tblTargetStatus[TargetID],
 tblTargetStatus[ChainAwareStatus],
 ""
)</f>
        <v>BLOCKED</v>
      </c>
      <c r="F323" s="45"/>
      <c r="G323" s="45" t="b">
        <v>0</v>
      </c>
      <c r="H323" s="45" t="str">
        <f t="array" ref="H323">_xlfn.XLOOKUP(
 A323,
 tblTargetStatus[TargetID],
 tblTargetStatus[TargetFunded],
 ""
)</f>
        <v>N/A</v>
      </c>
      <c r="I323" s="45" t="str">
        <f t="array" ref="I323">IF(
 D323&lt;&gt;"BUILDING",
 "",
 IF(
  Player!$H$1="Active",
  _xlfn.XLOOKUP(
   A323,
   tblrecommended[ActiveTargetID],
   tblrecommended[Order],
   ""
  ),
  _xlfn.XLOOKUP(
   A323,
   tblrecommended[PassiveTargetID],
   tblrecommended[Order],
   ""
  )
 )
)</f>
        <v/>
      </c>
    </row>
    <row r="324" ht="25.5" hidden="1" customHeight="1">
      <c r="A324" s="26" t="s">
        <v>1301</v>
      </c>
      <c r="B324" s="26" t="str">
        <f t="array" ref="B324">_xlfn.XLOOKUP(Checklist!$A324,tblTargets[TargetID],tblTargets[DisplayName])</f>
        <v>Spicy Odyssey Finished</v>
      </c>
      <c r="C324" s="21" t="str">
        <f t="array" ref="C324">_xlfn.XLOOKUP(
 A324,
 tblTargetStatus[TargetID],
 tblTargetStatus[successors],
 ""
)</f>
        <v>Treasure Island Accepted, Meet Pirate Skeleton@3A</v>
      </c>
      <c r="D324" s="26" t="str">
        <f t="array" ref="D324">_xlfn.XLOOKUP(
 A324,
 tblTargets[TargetID],
 tblTargets[TargetType],
 ""
)</f>
        <v>QUEST</v>
      </c>
      <c r="E324" s="45" t="str">
        <f t="array" ref="E324">_xlfn.XLOOKUP(
 A324,
 tblTargetStatus[TargetID],
 tblTargetStatus[ChainAwareStatus],
 ""
)</f>
        <v>BLOCKED</v>
      </c>
      <c r="F324" s="45"/>
      <c r="G324" s="45" t="b">
        <v>0</v>
      </c>
      <c r="H324" s="45" t="str">
        <f t="array" ref="H324">_xlfn.XLOOKUP(
 A324,
 tblTargetStatus[TargetID],
 tblTargetStatus[TargetFunded],
 ""
)</f>
        <v>N/A</v>
      </c>
      <c r="I324" s="45" t="str">
        <f t="array" ref="I324">IF(
 D324&lt;&gt;"BUILDING",
 "",
 IF(
  Player!$H$1="Active",
  _xlfn.XLOOKUP(
   A324,
   tblrecommended[ActiveTargetID],
   tblrecommended[Order],
   ""
  ),
  _xlfn.XLOOKUP(
   A324,
   tblrecommended[PassiveTargetID],
   tblrecommended[Order],
   ""
  )
 )
)</f>
        <v/>
      </c>
    </row>
    <row r="325" ht="25.5" hidden="1" customHeight="1">
      <c r="A325" s="26" t="s">
        <v>1303</v>
      </c>
      <c r="B325" s="26" t="str">
        <f t="array" ref="B325">_xlfn.XLOOKUP(Checklist!$A325,tblTargets[TargetID],tblTargets[DisplayName])</f>
        <v>The Ordinary Days of an Adventurer Chapter 1 Accepted</v>
      </c>
      <c r="C325" s="21" t="str">
        <f t="array" ref="C325">_xlfn.XLOOKUP(
 A325,
 tblTargetStatus[TargetID],
 tblTargetStatus[successors],
 ""
)</f>
        <v>Dungeon Lv 6, The Ordinary Days of an Adventurer Chapter 1 Finished, Find Goat in 6B</v>
      </c>
      <c r="D325" s="26" t="str">
        <f t="array" ref="D325">_xlfn.XLOOKUP(
 A325,
 tblTargets[TargetID],
 tblTargets[TargetType],
 ""
)</f>
        <v>QUEST</v>
      </c>
      <c r="E325" s="45" t="str">
        <f t="array" ref="E325">_xlfn.XLOOKUP(
 A325,
 tblTargetStatus[TargetID],
 tblTargetStatus[ChainAwareStatus],
 ""
)</f>
        <v>BLOCKED</v>
      </c>
      <c r="F325" s="45"/>
      <c r="G325" s="45" t="b">
        <v>0</v>
      </c>
      <c r="H325" s="45" t="str">
        <f t="array" ref="H325">_xlfn.XLOOKUP(
 A325,
 tblTargetStatus[TargetID],
 tblTargetStatus[TargetFunded],
 ""
)</f>
        <v>N/A</v>
      </c>
      <c r="I325" s="45" t="str">
        <f t="array" ref="I325">IF(
 D325&lt;&gt;"BUILDING",
 "",
 IF(
  Player!$H$1="Active",
  _xlfn.XLOOKUP(
   A325,
   tblrecommended[ActiveTargetID],
   tblrecommended[Order],
   ""
  ),
  _xlfn.XLOOKUP(
   A325,
   tblrecommended[PassiveTargetID],
   tblrecommended[Order],
   ""
  )
 )
)</f>
        <v/>
      </c>
    </row>
    <row r="326" ht="25.5" hidden="1" customHeight="1">
      <c r="A326" s="26" t="s">
        <v>1305</v>
      </c>
      <c r="B326" s="26" t="str">
        <f t="array" ref="B326">_xlfn.XLOOKUP(Checklist!$A326,tblTargets[TargetID],tblTargets[DisplayName])</f>
        <v>The Ordinary Days of an Adventurer Chapter 1 Finished</v>
      </c>
      <c r="C326" s="21" t="str">
        <f t="array" ref="C326">_xlfn.XLOOKUP(
 A326,
 tblTargetStatus[TargetID],
 tblTargetStatus[successors],
 ""
)</f>
        <v/>
      </c>
      <c r="D326" s="26" t="str">
        <f t="array" ref="D326">_xlfn.XLOOKUP(
 A326,
 tblTargets[TargetID],
 tblTargets[TargetType],
 ""
)</f>
        <v>QUEST</v>
      </c>
      <c r="E326" s="45" t="str">
        <f t="array" ref="E326">_xlfn.XLOOKUP(
 A326,
 tblTargetStatus[TargetID],
 tblTargetStatus[ChainAwareStatus],
 ""
)</f>
        <v>BLOCKED</v>
      </c>
      <c r="F326" s="45"/>
      <c r="G326" s="45" t="b">
        <v>0</v>
      </c>
      <c r="H326" s="45" t="str">
        <f t="array" ref="H326">_xlfn.XLOOKUP(
 A326,
 tblTargetStatus[TargetID],
 tblTargetStatus[TargetFunded],
 ""
)</f>
        <v>N/A</v>
      </c>
      <c r="I326" s="45" t="str">
        <f t="array" ref="I326">IF(
 D326&lt;&gt;"BUILDING",
 "",
 IF(
  Player!$H$1="Active",
  _xlfn.XLOOKUP(
   A326,
   tblrecommended[ActiveTargetID],
   tblrecommended[Order],
   ""
  ),
  _xlfn.XLOOKUP(
   A326,
   tblrecommended[PassiveTargetID],
   tblrecommended[Order],
   ""
  )
 )
)</f>
        <v/>
      </c>
    </row>
    <row r="327" ht="25.5" hidden="1" customHeight="1">
      <c r="A327" s="26" t="s">
        <v>1307</v>
      </c>
      <c r="B327" s="26" t="str">
        <f t="array" ref="B327">_xlfn.XLOOKUP(Checklist!$A327,tblTargets[TargetID],tblTargets[DisplayName])</f>
        <v>The Ordinary Days of an Adventurer Chapter 2 Accepted</v>
      </c>
      <c r="C327" s="21" t="str">
        <f t="array" ref="C327">_xlfn.XLOOKUP(
 A327,
 tblTargetStatus[TargetID],
 tblTargetStatus[successors],
 ""
)</f>
        <v>The Ordinary Days of an Adventurer Chapter 2 Finished</v>
      </c>
      <c r="D327" s="26" t="str">
        <f t="array" ref="D327">_xlfn.XLOOKUP(
 A327,
 tblTargets[TargetID],
 tblTargets[TargetType],
 ""
)</f>
        <v>QUEST</v>
      </c>
      <c r="E327" s="45" t="str">
        <f t="array" ref="E327">_xlfn.XLOOKUP(
 A327,
 tblTargetStatus[TargetID],
 tblTargetStatus[ChainAwareStatus],
 ""
)</f>
        <v>BLOCKED</v>
      </c>
      <c r="F327" s="45"/>
      <c r="G327" s="45" t="b">
        <v>0</v>
      </c>
      <c r="H327" s="45" t="str">
        <f t="array" ref="H327">_xlfn.XLOOKUP(
 A327,
 tblTargetStatus[TargetID],
 tblTargetStatus[TargetFunded],
 ""
)</f>
        <v>N/A</v>
      </c>
      <c r="I327" s="45" t="str">
        <f t="array" ref="I327">IF(
 D327&lt;&gt;"BUILDING",
 "",
 IF(
  Player!$H$1="Active",
  _xlfn.XLOOKUP(
   A327,
   tblrecommended[ActiveTargetID],
   tblrecommended[Order],
   ""
  ),
  _xlfn.XLOOKUP(
   A327,
   tblrecommended[PassiveTargetID],
   tblrecommended[Order],
   ""
  )
 )
)</f>
        <v/>
      </c>
    </row>
    <row r="328" ht="25.5" hidden="1" customHeight="1">
      <c r="A328" s="26" t="s">
        <v>1309</v>
      </c>
      <c r="B328" s="26" t="str">
        <f t="array" ref="B328">_xlfn.XLOOKUP(Checklist!$A328,tblTargets[TargetID],tblTargets[DisplayName])</f>
        <v>The Ordinary Days of an Adventurer Chapter 2 Finished</v>
      </c>
      <c r="C328" s="21" t="str">
        <f t="array" ref="C328">_xlfn.XLOOKUP(
 A328,
 tblTargetStatus[TargetID],
 tblTargetStatus[successors],
 ""
)</f>
        <v>The Ordinary Days of an Adventurer Chapter 3 Accepted, Meet Dark Lady@6A, Smithy - Sword For A Hero Lvl 4+, Workshop - Zen Fountain</v>
      </c>
      <c r="D328" s="26" t="str">
        <f t="array" ref="D328">_xlfn.XLOOKUP(
 A328,
 tblTargets[TargetID],
 tblTargets[TargetType],
 ""
)</f>
        <v>QUEST</v>
      </c>
      <c r="E328" s="45" t="str">
        <f t="array" ref="E328">_xlfn.XLOOKUP(
 A328,
 tblTargetStatus[TargetID],
 tblTargetStatus[ChainAwareStatus],
 ""
)</f>
        <v>BLOCKED</v>
      </c>
      <c r="F328" s="45"/>
      <c r="G328" s="45" t="b">
        <v>0</v>
      </c>
      <c r="H328" s="45" t="b">
        <f t="array" ref="H328">_xlfn.XLOOKUP(
 A328,
 tblTargetStatus[TargetID],
 tblTargetStatus[TargetFunded],
 ""
)</f>
        <v>0</v>
      </c>
      <c r="I328" s="45" t="str">
        <f t="array" ref="I328">IF(
 D328&lt;&gt;"BUILDING",
 "",
 IF(
  Player!$H$1="Active",
  _xlfn.XLOOKUP(
   A328,
   tblrecommended[ActiveTargetID],
   tblrecommended[Order],
   ""
  ),
  _xlfn.XLOOKUP(
   A328,
   tblrecommended[PassiveTargetID],
   tblrecommended[Order],
   ""
  )
 )
)</f>
        <v/>
      </c>
    </row>
    <row r="329" ht="25.5" hidden="1" customHeight="1">
      <c r="A329" s="26" t="s">
        <v>1312</v>
      </c>
      <c r="B329" s="26" t="str">
        <f t="array" ref="B329">_xlfn.XLOOKUP(Checklist!$A329,tblTargets[TargetID],tblTargets[DisplayName])</f>
        <v>The Ordinary Days of an Adventurer Chapter 3 Accepted</v>
      </c>
      <c r="C329" s="21" t="str">
        <f t="array" ref="C329">_xlfn.XLOOKUP(
 A329,
 tblTargetStatus[TargetID],
 tblTargetStatus[successors],
 ""
)</f>
        <v>The Ordinary Days of an Adventurer Chapter 3 Finished, Obtain the Red Diamond in 6A, Obtain the Red Diamond in 6B, Obtain the Red Diamond in 6C, Workshop - Shield For A Hero Lvl 4+</v>
      </c>
      <c r="D329" s="26" t="str">
        <f t="array" ref="D329">_xlfn.XLOOKUP(
 A329,
 tblTargets[TargetID],
 tblTargets[TargetType],
 ""
)</f>
        <v>QUEST</v>
      </c>
      <c r="E329" s="45" t="str">
        <f t="array" ref="E329">_xlfn.XLOOKUP(
 A329,
 tblTargetStatus[TargetID],
 tblTargetStatus[ChainAwareStatus],
 ""
)</f>
        <v>BLOCKED</v>
      </c>
      <c r="F329" s="45"/>
      <c r="G329" s="45" t="b">
        <v>0</v>
      </c>
      <c r="H329" s="45" t="str">
        <f t="array" ref="H329">_xlfn.XLOOKUP(
 A329,
 tblTargetStatus[TargetID],
 tblTargetStatus[TargetFunded],
 ""
)</f>
        <v>N/A</v>
      </c>
      <c r="I329" s="45" t="str">
        <f t="array" ref="I329">IF(
 D329&lt;&gt;"BUILDING",
 "",
 IF(
  Player!$H$1="Active",
  _xlfn.XLOOKUP(
   A329,
   tblrecommended[ActiveTargetID],
   tblrecommended[Order],
   ""
  ),
  _xlfn.XLOOKUP(
   A329,
   tblrecommended[PassiveTargetID],
   tblrecommended[Order],
   ""
  )
 )
)</f>
        <v/>
      </c>
    </row>
    <row r="330" ht="25.5" hidden="1" customHeight="1">
      <c r="A330" s="26" t="s">
        <v>1314</v>
      </c>
      <c r="B330" s="26" t="str">
        <f t="array" ref="B330">_xlfn.XLOOKUP(Checklist!$A330,tblTargets[TargetID],tblTargets[DisplayName])</f>
        <v>The Ordinary Days of an Adventurer Chapter 3 Finished</v>
      </c>
      <c r="C330" s="21" t="str">
        <f t="array" ref="C330">_xlfn.XLOOKUP(
 A330,
 tblTargetStatus[TargetID],
 tblTargetStatus[successors],
 ""
)</f>
        <v>The Ordinary Days of an Adventurer Chapter 4 Accepted, Meet Dark Lady@6B, Smithy - Treasure</v>
      </c>
      <c r="D330" s="26" t="str">
        <f t="array" ref="D330">_xlfn.XLOOKUP(
 A330,
 tblTargets[TargetID],
 tblTargets[TargetType],
 ""
)</f>
        <v>QUEST</v>
      </c>
      <c r="E330" s="45" t="str">
        <f t="array" ref="E330">_xlfn.XLOOKUP(
 A330,
 tblTargetStatus[TargetID],
 tblTargetStatus[ChainAwareStatus],
 ""
)</f>
        <v>BLOCKED</v>
      </c>
      <c r="F330" s="45"/>
      <c r="G330" s="45" t="b">
        <v>0</v>
      </c>
      <c r="H330" s="45" t="str">
        <f t="array" ref="H330">_xlfn.XLOOKUP(
 A330,
 tblTargetStatus[TargetID],
 tblTargetStatus[TargetFunded],
 ""
)</f>
        <v>N/A</v>
      </c>
      <c r="I330" s="45" t="str">
        <f t="array" ref="I330">IF(
 D330&lt;&gt;"BUILDING",
 "",
 IF(
  Player!$H$1="Active",
  _xlfn.XLOOKUP(
   A330,
   tblrecommended[ActiveTargetID],
   tblrecommended[Order],
   ""
  ),
  _xlfn.XLOOKUP(
   A330,
   tblrecommended[PassiveTargetID],
   tblrecommended[Order],
   ""
  )
 )
)</f>
        <v/>
      </c>
    </row>
    <row r="331" ht="25.5" hidden="1" customHeight="1">
      <c r="A331" s="26" t="s">
        <v>1316</v>
      </c>
      <c r="B331" s="26" t="str">
        <f t="array" ref="B331">_xlfn.XLOOKUP(Checklist!$A331,tblTargets[TargetID],tblTargets[DisplayName])</f>
        <v>The Ordinary Days of an Adventurer Chapter 4 Accepted</v>
      </c>
      <c r="C331" s="21" t="str">
        <f t="array" ref="C331">_xlfn.XLOOKUP(
 A331,
 tblTargetStatus[TargetID],
 tblTargetStatus[successors],
 ""
)</f>
        <v>The Ordinary Days of an Adventurer Chapter 4 Finished, The Ordinary Days of an Adventurer Chapter 5 Accepted, Action Reenter Guild, Tailor - Armor For A Hero Lvl 4+</v>
      </c>
      <c r="D331" s="26" t="str">
        <f t="array" ref="D331">_xlfn.XLOOKUP(
 A331,
 tblTargets[TargetID],
 tblTargets[TargetType],
 ""
)</f>
        <v>QUEST</v>
      </c>
      <c r="E331" s="45" t="str">
        <f t="array" ref="E331">_xlfn.XLOOKUP(
 A331,
 tblTargetStatus[TargetID],
 tblTargetStatus[ChainAwareStatus],
 ""
)</f>
        <v>BLOCKED</v>
      </c>
      <c r="F331" s="45"/>
      <c r="G331" s="45" t="b">
        <v>0</v>
      </c>
      <c r="H331" s="45" t="str">
        <f t="array" ref="H331">_xlfn.XLOOKUP(
 A331,
 tblTargetStatus[TargetID],
 tblTargetStatus[TargetFunded],
 ""
)</f>
        <v>N/A</v>
      </c>
      <c r="I331" s="45" t="str">
        <f t="array" ref="I331">IF(
 D331&lt;&gt;"BUILDING",
 "",
 IF(
  Player!$H$1="Active",
  _xlfn.XLOOKUP(
   A331,
   tblrecommended[ActiveTargetID],
   tblrecommended[Order],
   ""
  ),
  _xlfn.XLOOKUP(
   A331,
   tblrecommended[PassiveTargetID],
   tblrecommended[Order],
   ""
  )
 )
)</f>
        <v/>
      </c>
    </row>
    <row r="332" ht="25.5" hidden="1" customHeight="1">
      <c r="A332" s="26" t="s">
        <v>1318</v>
      </c>
      <c r="B332" s="26" t="str">
        <f t="array" ref="B332">_xlfn.XLOOKUP(Checklist!$A332,tblTargets[TargetID],tblTargets[DisplayName])</f>
        <v>The Ordinary Days of an Adventurer Chapter 4 Finished</v>
      </c>
      <c r="C332" s="21" t="str">
        <f t="array" ref="C332">_xlfn.XLOOKUP(
 A332,
 tblTargetStatus[TargetID],
 tblTargetStatus[successors],
 ""
)</f>
        <v>The Ordinary Days of an Adventurer Chapter 7 Accepted, Furnace - Glass</v>
      </c>
      <c r="D332" s="26" t="str">
        <f t="array" ref="D332">_xlfn.XLOOKUP(
 A332,
 tblTargets[TargetID],
 tblTargets[TargetType],
 ""
)</f>
        <v>QUEST</v>
      </c>
      <c r="E332" s="45" t="str">
        <f t="array" ref="E332">_xlfn.XLOOKUP(
 A332,
 tblTargetStatus[TargetID],
 tblTargetStatus[ChainAwareStatus],
 ""
)</f>
        <v>BLOCKED</v>
      </c>
      <c r="F332" s="45"/>
      <c r="G332" s="45" t="b">
        <v>0</v>
      </c>
      <c r="H332" s="45" t="str">
        <f t="array" ref="H332">_xlfn.XLOOKUP(
 A332,
 tblTargetStatus[TargetID],
 tblTargetStatus[TargetFunded],
 ""
)</f>
        <v>N/A</v>
      </c>
      <c r="I332" s="45" t="str">
        <f t="array" ref="I332">IF(
 D332&lt;&gt;"BUILDING",
 "",
 IF(
  Player!$H$1="Active",
  _xlfn.XLOOKUP(
   A332,
   tblrecommended[ActiveTargetID],
   tblrecommended[Order],
   ""
  ),
  _xlfn.XLOOKUP(
   A332,
   tblrecommended[PassiveTargetID],
   tblrecommended[Order],
   ""
  )
 )
)</f>
        <v/>
      </c>
    </row>
    <row r="333" ht="25.5" hidden="1" customHeight="1">
      <c r="A333" s="26" t="s">
        <v>1320</v>
      </c>
      <c r="B333" s="26" t="str">
        <f t="array" ref="B333">_xlfn.XLOOKUP(Checklist!$A333,tblTargets[TargetID],tblTargets[DisplayName])</f>
        <v>The Ordinary Days of an Adventurer Chapter 5 Accepted</v>
      </c>
      <c r="C333" s="21" t="str">
        <f t="array" ref="C333">_xlfn.XLOOKUP(
 A333,
 tblTargetStatus[TargetID],
 tblTargetStatus[successors],
 ""
)</f>
        <v>The Ordinary Days of an Adventurer Chapter 5 Finished</v>
      </c>
      <c r="D333" s="26" t="str">
        <f t="array" ref="D333">_xlfn.XLOOKUP(
 A333,
 tblTargets[TargetID],
 tblTargets[TargetType],
 ""
)</f>
        <v>QUEST</v>
      </c>
      <c r="E333" s="45" t="str">
        <f t="array" ref="E333">_xlfn.XLOOKUP(
 A333,
 tblTargetStatus[TargetID],
 tblTargetStatus[ChainAwareStatus],
 ""
)</f>
        <v>BLOCKED</v>
      </c>
      <c r="F333" s="45"/>
      <c r="G333" s="45" t="b">
        <v>0</v>
      </c>
      <c r="H333" s="45" t="str">
        <f t="array" ref="H333">_xlfn.XLOOKUP(
 A333,
 tblTargetStatus[TargetID],
 tblTargetStatus[TargetFunded],
 ""
)</f>
        <v>N/A</v>
      </c>
      <c r="I333" s="45" t="str">
        <f t="array" ref="I333">IF(
 D333&lt;&gt;"BUILDING",
 "",
 IF(
  Player!$H$1="Active",
  _xlfn.XLOOKUP(
   A333,
   tblrecommended[ActiveTargetID],
   tblrecommended[Order],
   ""
  ),
  _xlfn.XLOOKUP(
   A333,
   tblrecommended[PassiveTargetID],
   tblrecommended[Order],
   ""
  )
 )
)</f>
        <v/>
      </c>
    </row>
    <row r="334" ht="25.5" hidden="1" customHeight="1">
      <c r="A334" s="26" t="s">
        <v>1323</v>
      </c>
      <c r="B334" s="26" t="str">
        <f t="array" ref="B334">_xlfn.XLOOKUP(Checklist!$A334,tblTargets[TargetID],tblTargets[DisplayName])</f>
        <v>The Ordinary Days of an Adventurer Chapter 5 Finished</v>
      </c>
      <c r="C334" s="21" t="str">
        <f t="array" ref="C334">_xlfn.XLOOKUP(
 A334,
 tblTargetStatus[TargetID],
 tblTargetStatus[successors],
 ""
)</f>
        <v>Dairy Lv 1</v>
      </c>
      <c r="D334" s="26" t="str">
        <f t="array" ref="D334">_xlfn.XLOOKUP(
 A334,
 tblTargets[TargetID],
 tblTargets[TargetType],
 ""
)</f>
        <v>QUEST</v>
      </c>
      <c r="E334" s="45" t="str">
        <f t="array" ref="E334">_xlfn.XLOOKUP(
 A334,
 tblTargetStatus[TargetID],
 tblTargetStatus[ChainAwareStatus],
 ""
)</f>
        <v>BLOCKED</v>
      </c>
      <c r="F334" s="45"/>
      <c r="G334" s="45" t="b">
        <v>0</v>
      </c>
      <c r="H334" s="45" t="b">
        <f t="array" ref="H334">_xlfn.XLOOKUP(
 A334,
 tblTargetStatus[TargetID],
 tblTargetStatus[TargetFunded],
 ""
)</f>
        <v>0</v>
      </c>
      <c r="I334" s="45" t="str">
        <f t="array" ref="I334">IF(
 D334&lt;&gt;"BUILDING",
 "",
 IF(
  Player!$H$1="Active",
  _xlfn.XLOOKUP(
   A334,
   tblrecommended[ActiveTargetID],
   tblrecommended[Order],
   ""
  ),
  _xlfn.XLOOKUP(
   A334,
   tblrecommended[PassiveTargetID],
   tblrecommended[Order],
   ""
  )
 )
)</f>
        <v/>
      </c>
    </row>
    <row r="335" ht="25.5" hidden="1" customHeight="1">
      <c r="A335" s="26" t="s">
        <v>1325</v>
      </c>
      <c r="B335" s="26" t="str">
        <f t="array" ref="B335">_xlfn.XLOOKUP(Checklist!$A335,tblTargets[TargetID],tblTargets[DisplayName])</f>
        <v>The Ordinary Days of an Adventurer Chapter 6 Accepted</v>
      </c>
      <c r="C335" s="21" t="str">
        <f t="array" ref="C335">_xlfn.XLOOKUP(
 A335,
 tblTargetStatus[TargetID],
 tblTargetStatus[successors],
 ""
)</f>
        <v>Cheese Cave, The Ordinary Days of an Adventurer Chapter 6 Finished, Deliver Cheese to Rat in 6B</v>
      </c>
      <c r="D335" s="26" t="str">
        <f t="array" ref="D335">_xlfn.XLOOKUP(
 A335,
 tblTargets[TargetID],
 tblTargets[TargetType],
 ""
)</f>
        <v>QUEST</v>
      </c>
      <c r="E335" s="45" t="str">
        <f t="array" ref="E335">_xlfn.XLOOKUP(
 A335,
 tblTargetStatus[TargetID],
 tblTargetStatus[ChainAwareStatus],
 ""
)</f>
        <v>BLOCKED</v>
      </c>
      <c r="F335" s="45"/>
      <c r="G335" s="45" t="b">
        <v>0</v>
      </c>
      <c r="H335" s="45" t="str">
        <f t="array" ref="H335">_xlfn.XLOOKUP(
 A335,
 tblTargetStatus[TargetID],
 tblTargetStatus[TargetFunded],
 ""
)</f>
        <v>N/A</v>
      </c>
      <c r="I335" s="45" t="str">
        <f t="array" ref="I335">IF(
 D335&lt;&gt;"BUILDING",
 "",
 IF(
  Player!$H$1="Active",
  _xlfn.XLOOKUP(
   A335,
   tblrecommended[ActiveTargetID],
   tblrecommended[Order],
   ""
  ),
  _xlfn.XLOOKUP(
   A335,
   tblrecommended[PassiveTargetID],
   tblrecommended[Order],
   ""
  )
 )
)</f>
        <v/>
      </c>
    </row>
    <row r="336" ht="25.5" hidden="1" customHeight="1">
      <c r="A336" s="26" t="s">
        <v>1327</v>
      </c>
      <c r="B336" s="26" t="str">
        <f t="array" ref="B336">_xlfn.XLOOKUP(Checklist!$A336,tblTargets[TargetID],tblTargets[DisplayName])</f>
        <v>The Ordinary Days of an Adventurer Chapter 6 Finished</v>
      </c>
      <c r="C336" s="21" t="str">
        <f t="array" ref="C336">_xlfn.XLOOKUP(
 A336,
 tblTargetStatus[TargetID],
 tblTargetStatus[successors],
 ""
)</f>
        <v>Letter from the Dark Lady Accepted</v>
      </c>
      <c r="D336" s="26" t="str">
        <f t="array" ref="D336">_xlfn.XLOOKUP(
 A336,
 tblTargets[TargetID],
 tblTargets[TargetType],
 ""
)</f>
        <v>QUEST</v>
      </c>
      <c r="E336" s="45" t="str">
        <f t="array" ref="E336">_xlfn.XLOOKUP(
 A336,
 tblTargetStatus[TargetID],
 tblTargetStatus[ChainAwareStatus],
 ""
)</f>
        <v>BLOCKED</v>
      </c>
      <c r="F336" s="45"/>
      <c r="G336" s="45" t="b">
        <v>0</v>
      </c>
      <c r="H336" s="45" t="b">
        <f t="array" ref="H336">_xlfn.XLOOKUP(
 A336,
 tblTargetStatus[TargetID],
 tblTargetStatus[TargetFunded],
 ""
)</f>
        <v>0</v>
      </c>
      <c r="I336" s="45" t="str">
        <f t="array" ref="I336">IF(
 D336&lt;&gt;"BUILDING",
 "",
 IF(
  Player!$H$1="Active",
  _xlfn.XLOOKUP(
   A336,
   tblrecommended[ActiveTargetID],
   tblrecommended[Order],
   ""
  ),
  _xlfn.XLOOKUP(
   A336,
   tblrecommended[PassiveTargetID],
   tblrecommended[Order],
   ""
  )
 )
)</f>
        <v/>
      </c>
    </row>
    <row r="337" ht="25.5" hidden="1" customHeight="1">
      <c r="A337" s="26" t="s">
        <v>1329</v>
      </c>
      <c r="B337" s="26" t="str">
        <f t="array" ref="B337">_xlfn.XLOOKUP(Checklist!$A337,tblTargets[TargetID],tblTargets[DisplayName])</f>
        <v>The Ordinary Days of an Adventurer Chapter 7 Accepted</v>
      </c>
      <c r="C337" s="21" t="str">
        <f t="array" ref="C337">_xlfn.XLOOKUP(
 A337,
 tblTargetStatus[TargetID],
 tblTargetStatus[successors],
 ""
)</f>
        <v>The Ordinary Days of an Adventurer Chapter 7 Finished, Complete Dungeon 6C</v>
      </c>
      <c r="D337" s="26" t="str">
        <f t="array" ref="D337">_xlfn.XLOOKUP(
 A337,
 tblTargets[TargetID],
 tblTargets[TargetType],
 ""
)</f>
        <v>QUEST</v>
      </c>
      <c r="E337" s="45" t="str">
        <f t="array" ref="E337">_xlfn.XLOOKUP(
 A337,
 tblTargetStatus[TargetID],
 tblTargetStatus[ChainAwareStatus],
 ""
)</f>
        <v>BLOCKED</v>
      </c>
      <c r="F337" s="45"/>
      <c r="G337" s="45" t="b">
        <v>0</v>
      </c>
      <c r="H337" s="45" t="str">
        <f t="array" ref="H337">_xlfn.XLOOKUP(
 A337,
 tblTargetStatus[TargetID],
 tblTargetStatus[TargetFunded],
 ""
)</f>
        <v>N/A</v>
      </c>
      <c r="I337" s="45" t="str">
        <f t="array" ref="I337">IF(
 D337&lt;&gt;"BUILDING",
 "",
 IF(
  Player!$H$1="Active",
  _xlfn.XLOOKUP(
   A337,
   tblrecommended[ActiveTargetID],
   tblrecommended[Order],
   ""
  ),
  _xlfn.XLOOKUP(
   A337,
   tblrecommended[PassiveTargetID],
   tblrecommended[Order],
   ""
  )
 )
)</f>
        <v/>
      </c>
    </row>
    <row r="338" ht="25.5" hidden="1" customHeight="1">
      <c r="A338" s="26" t="s">
        <v>1332</v>
      </c>
      <c r="B338" s="26" t="str">
        <f t="array" ref="B338">_xlfn.XLOOKUP(Checklist!$A338,tblTargets[TargetID],tblTargets[DisplayName])</f>
        <v>The Ordinary Days of an Adventurer Chapter 7 Finished</v>
      </c>
      <c r="C338" s="21" t="str">
        <f t="array" ref="C338">_xlfn.XLOOKUP(
 A338,
 tblTargetStatus[TargetID],
 tblTargetStatus[successors],
 ""
)</f>
        <v>Armory 2 Lv 1, Courtyard 1 Lv 1, Courtyard 2 Lv 1, Gallery 3 Lv 1, Pantry 4 Lv 1, Treasury 3 Lv 1, The Ordinary Days of an Adventurer Chapter 8 Accepted, Dairy - Classical Music For The Farm, Meet Dark Lady@6B second time</v>
      </c>
      <c r="D338" s="26" t="str">
        <f t="array" ref="D338">_xlfn.XLOOKUP(
 A338,
 tblTargets[TargetID],
 tblTargets[TargetType],
 ""
)</f>
        <v>QUEST</v>
      </c>
      <c r="E338" s="45" t="str">
        <f t="array" ref="E338">_xlfn.XLOOKUP(
 A338,
 tblTargetStatus[TargetID],
 tblTargetStatus[ChainAwareStatus],
 ""
)</f>
        <v>BLOCKED</v>
      </c>
      <c r="F338" s="45"/>
      <c r="G338" s="45" t="b">
        <v>0</v>
      </c>
      <c r="H338" s="45" t="str">
        <f t="array" ref="H338">_xlfn.XLOOKUP(
 A338,
 tblTargetStatus[TargetID],
 tblTargetStatus[TargetFunded],
 ""
)</f>
        <v>N/A</v>
      </c>
      <c r="I338" s="45" t="str">
        <f t="array" ref="I338">IF(
 D338&lt;&gt;"BUILDING",
 "",
 IF(
  Player!$H$1="Active",
  _xlfn.XLOOKUP(
   A338,
   tblrecommended[ActiveTargetID],
   tblrecommended[Order],
   ""
  ),
  _xlfn.XLOOKUP(
   A338,
   tblrecommended[PassiveTargetID],
   tblrecommended[Order],
   ""
  )
 )
)</f>
        <v/>
      </c>
    </row>
    <row r="339" ht="25.5" hidden="1" customHeight="1">
      <c r="A339" s="26" t="s">
        <v>1334</v>
      </c>
      <c r="B339" s="26" t="str">
        <f t="array" ref="B339">_xlfn.XLOOKUP(Checklist!$A339,tblTargets[TargetID],tblTargets[DisplayName])</f>
        <v>The Ordinary Days of an Adventurer Chapter 8 Accepted</v>
      </c>
      <c r="C339" s="21" t="str">
        <f t="array" ref="C339">_xlfn.XLOOKUP(
 A339,
 tblTargetStatus[TargetID],
 tblTargetStatus[successors],
 ""
)</f>
        <v>The Ordinary Days of an Adventurer Chapter 8 Finished, Visit Paris in the Airship</v>
      </c>
      <c r="D339" s="26" t="str">
        <f t="array" ref="D339">_xlfn.XLOOKUP(
 A339,
 tblTargets[TargetID],
 tblTargets[TargetType],
 ""
)</f>
        <v>QUEST</v>
      </c>
      <c r="E339" s="45" t="str">
        <f t="array" ref="E339">_xlfn.XLOOKUP(
 A339,
 tblTargetStatus[TargetID],
 tblTargetStatus[ChainAwareStatus],
 ""
)</f>
        <v>BLOCKED</v>
      </c>
      <c r="F339" s="45"/>
      <c r="G339" s="45" t="b">
        <v>0</v>
      </c>
      <c r="H339" s="45" t="str">
        <f t="array" ref="H339">_xlfn.XLOOKUP(
 A339,
 tblTargetStatus[TargetID],
 tblTargetStatus[TargetFunded],
 ""
)</f>
        <v>N/A</v>
      </c>
      <c r="I339" s="45" t="str">
        <f t="array" ref="I339">IF(
 D339&lt;&gt;"BUILDING",
 "",
 IF(
  Player!$H$1="Active",
  _xlfn.XLOOKUP(
   A339,
   tblrecommended[ActiveTargetID],
   tblrecommended[Order],
   ""
  ),
  _xlfn.XLOOKUP(
   A339,
   tblrecommended[PassiveTargetID],
   tblrecommended[Order],
   ""
  )
 )
)</f>
        <v/>
      </c>
    </row>
    <row r="340" ht="25.5" hidden="1" customHeight="1">
      <c r="A340" s="26" t="s">
        <v>1336</v>
      </c>
      <c r="B340" s="26" t="str">
        <f t="array" ref="B340">_xlfn.XLOOKUP(Checklist!$A340,tblTargets[TargetID],tblTargets[DisplayName])</f>
        <v>The Ordinary Days of an Adventurer Chapter 8 Finished</v>
      </c>
      <c r="C340" s="21" t="str">
        <f t="array" ref="C340">_xlfn.XLOOKUP(
 A340,
 tblTargetStatus[TargetID],
 tblTargetStatus[successors],
 ""
)</f>
        <v>Ahead of Time Chapter 2 Accepted</v>
      </c>
      <c r="D340" s="26" t="str">
        <f t="array" ref="D340">_xlfn.XLOOKUP(
 A340,
 tblTargets[TargetID],
 tblTargets[TargetType],
 ""
)</f>
        <v>QUEST</v>
      </c>
      <c r="E340" s="45" t="str">
        <f t="array" ref="E340">_xlfn.XLOOKUP(
 A340,
 tblTargetStatus[TargetID],
 tblTargetStatus[ChainAwareStatus],
 ""
)</f>
        <v>BLOCKED</v>
      </c>
      <c r="F340" s="45"/>
      <c r="G340" s="45" t="b">
        <v>0</v>
      </c>
      <c r="H340" s="45" t="str">
        <f t="array" ref="H340">_xlfn.XLOOKUP(
 A340,
 tblTargetStatus[TargetID],
 tblTargetStatus[TargetFunded],
 ""
)</f>
        <v>N/A</v>
      </c>
      <c r="I340" s="45" t="str">
        <f t="array" ref="I340">IF(
 D340&lt;&gt;"BUILDING",
 "",
 IF(
  Player!$H$1="Active",
  _xlfn.XLOOKUP(
   A340,
   tblrecommended[ActiveTargetID],
   tblrecommended[Order],
   ""
  ),
  _xlfn.XLOOKUP(
   A340,
   tblrecommended[PassiveTargetID],
   tblrecommended[Order],
   ""
  )
 )
)</f>
        <v/>
      </c>
    </row>
    <row r="341" ht="25.5" hidden="1" customHeight="1">
      <c r="A341" s="26" t="s">
        <v>1338</v>
      </c>
      <c r="B341" s="26" t="str">
        <f t="array" ref="B341">_xlfn.XLOOKUP(Checklist!$A341,tblTargets[TargetID],tblTargets[DisplayName])</f>
        <v>The Ring of the Dark Lady Accepted</v>
      </c>
      <c r="C341" s="21" t="str">
        <f t="array" ref="C341">_xlfn.XLOOKUP(
 A341,
 tblTargetStatus[TargetID],
 tblTargetStatus[successors],
 ""
)</f>
        <v>The Ring of the Dark Lady Finished, Return the ring</v>
      </c>
      <c r="D341" s="26" t="str">
        <f t="array" ref="D341">_xlfn.XLOOKUP(
 A341,
 tblTargets[TargetID],
 tblTargets[TargetType],
 ""
)</f>
        <v>QUEST</v>
      </c>
      <c r="E341" s="45" t="str">
        <f t="array" ref="E341">_xlfn.XLOOKUP(
 A341,
 tblTargetStatus[TargetID],
 tblTargetStatus[ChainAwareStatus],
 ""
)</f>
        <v>BLOCKED</v>
      </c>
      <c r="F341" s="45"/>
      <c r="G341" s="45" t="b">
        <v>0</v>
      </c>
      <c r="H341" s="45" t="str">
        <f t="array" ref="H341">_xlfn.XLOOKUP(
 A341,
 tblTargetStatus[TargetID],
 tblTargetStatus[TargetFunded],
 ""
)</f>
        <v>N/A</v>
      </c>
      <c r="I341" s="45" t="str">
        <f t="array" ref="I341">IF(
 D341&lt;&gt;"BUILDING",
 "",
 IF(
  Player!$H$1="Active",
  _xlfn.XLOOKUP(
   A341,
   tblrecommended[ActiveTargetID],
   tblrecommended[Order],
   ""
  ),
  _xlfn.XLOOKUP(
   A341,
   tblrecommended[PassiveTargetID],
   tblrecommended[Order],
   ""
  )
 )
)</f>
        <v/>
      </c>
    </row>
    <row r="342" ht="25.5" hidden="1" customHeight="1">
      <c r="A342" s="26" t="s">
        <v>1340</v>
      </c>
      <c r="B342" s="26" t="str">
        <f t="array" ref="B342">_xlfn.XLOOKUP(Checklist!$A342,tblTargets[TargetID],tblTargets[DisplayName])</f>
        <v>The Ring of the Dark Lady Finished</v>
      </c>
      <c r="C342" s="21" t="str">
        <f t="array" ref="C342">_xlfn.XLOOKUP(
 A342,
 tblTargetStatus[TargetID],
 tblTargetStatus[successors],
 ""
)</f>
        <v>Magic Beans Accepted, Visit Dungeon@4A, Workshop - Shield For A Hero Lvl 4</v>
      </c>
      <c r="D342" s="26" t="str">
        <f t="array" ref="D342">_xlfn.XLOOKUP(
 A342,
 tblTargets[TargetID],
 tblTargets[TargetType],
 ""
)</f>
        <v>QUEST</v>
      </c>
      <c r="E342" s="45" t="str">
        <f t="array" ref="E342">_xlfn.XLOOKUP(
 A342,
 tblTargetStatus[TargetID],
 tblTargetStatus[ChainAwareStatus],
 ""
)</f>
        <v>BLOCKED</v>
      </c>
      <c r="F342" s="45"/>
      <c r="G342" s="45" t="b">
        <v>0</v>
      </c>
      <c r="H342" s="45" t="str">
        <f t="array" ref="H342">_xlfn.XLOOKUP(
 A342,
 tblTargetStatus[TargetID],
 tblTargetStatus[TargetFunded],
 ""
)</f>
        <v>N/A</v>
      </c>
      <c r="I342" s="45" t="str">
        <f t="array" ref="I342">IF(
 D342&lt;&gt;"BUILDING",
 "",
 IF(
  Player!$H$1="Active",
  _xlfn.XLOOKUP(
   A342,
   tblrecommended[ActiveTargetID],
   tblrecommended[Order],
   ""
  ),
  _xlfn.XLOOKUP(
   A342,
   tblrecommended[PassiveTargetID],
   tblrecommended[Order],
   ""
  )
 )
)</f>
        <v/>
      </c>
    </row>
    <row r="343" ht="25.5" hidden="1" customHeight="1">
      <c r="A343" s="26" t="s">
        <v>1342</v>
      </c>
      <c r="B343" s="26" t="str">
        <f t="array" ref="B343">_xlfn.XLOOKUP(Checklist!$A343,tblTargets[TargetID],tblTargets[DisplayName])</f>
        <v>Treasure Island Accepted</v>
      </c>
      <c r="C343" s="21" t="str">
        <f t="array" ref="C343">_xlfn.XLOOKUP(
 A343,
 tblTargetStatus[TargetID],
 tblTargetStatus[successors],
 ""
)</f>
        <v>Treasure Island Finished, Obtain Treasure</v>
      </c>
      <c r="D343" s="26" t="str">
        <f t="array" ref="D343">_xlfn.XLOOKUP(
 A343,
 tblTargets[TargetID],
 tblTargets[TargetType],
 ""
)</f>
        <v>QUEST</v>
      </c>
      <c r="E343" s="45" t="str">
        <f t="array" ref="E343">_xlfn.XLOOKUP(
 A343,
 tblTargetStatus[TargetID],
 tblTargetStatus[ChainAwareStatus],
 ""
)</f>
        <v>BLOCKED</v>
      </c>
      <c r="F343" s="45"/>
      <c r="G343" s="45" t="b">
        <v>0</v>
      </c>
      <c r="H343" s="45" t="str">
        <f t="array" ref="H343">_xlfn.XLOOKUP(
 A343,
 tblTargetStatus[TargetID],
 tblTargetStatus[TargetFunded],
 ""
)</f>
        <v>N/A</v>
      </c>
      <c r="I343" s="45" t="str">
        <f t="array" ref="I343">IF(
 D343&lt;&gt;"BUILDING",
 "",
 IF(
  Player!$H$1="Active",
  _xlfn.XLOOKUP(
   A343,
   tblrecommended[ActiveTargetID],
   tblrecommended[Order],
   ""
  ),
  _xlfn.XLOOKUP(
   A343,
   tblrecommended[PassiveTargetID],
   tblrecommended[Order],
   ""
  )
 )
)</f>
        <v/>
      </c>
    </row>
    <row r="344" ht="25.5" hidden="1" customHeight="1">
      <c r="A344" s="26" t="s">
        <v>1344</v>
      </c>
      <c r="B344" s="26" t="str">
        <f t="array" ref="B344">_xlfn.XLOOKUP(Checklist!$A344,tblTargets[TargetID],tblTargets[DisplayName])</f>
        <v>Treasure Island Finished</v>
      </c>
      <c r="C344" s="21" t="str">
        <f t="array" ref="C344">_xlfn.XLOOKUP(
 A344,
 tblTargetStatus[TargetID],
 tblTargetStatus[successors],
 ""
)</f>
        <v/>
      </c>
      <c r="D344" s="26" t="str">
        <f t="array" ref="D344">_xlfn.XLOOKUP(
 A344,
 tblTargets[TargetID],
 tblTargets[TargetType],
 ""
)</f>
        <v>QUEST</v>
      </c>
      <c r="E344" s="45" t="str">
        <f t="array" ref="E344">_xlfn.XLOOKUP(
 A344,
 tblTargetStatus[TargetID],
 tblTargetStatus[ChainAwareStatus],
 ""
)</f>
        <v>BLOCKED</v>
      </c>
      <c r="F344" s="45"/>
      <c r="G344" s="45" t="b">
        <v>0</v>
      </c>
      <c r="H344" s="45" t="str">
        <f t="array" ref="H344">_xlfn.XLOOKUP(
 A344,
 tblTargetStatus[TargetID],
 tblTargetStatus[TargetFunded],
 ""
)</f>
        <v>N/A</v>
      </c>
      <c r="I344" s="45" t="str">
        <f t="array" ref="I344">IF(
 D344&lt;&gt;"BUILDING",
 "",
 IF(
  Player!$H$1="Active",
  _xlfn.XLOOKUP(
   A344,
   tblrecommended[ActiveTargetID],
   tblrecommended[Order],
   ""
  ),
  _xlfn.XLOOKUP(
   A344,
   tblrecommended[PassiveTargetID],
   tblrecommended[Order],
   ""
  )
 )
)</f>
        <v/>
      </c>
    </row>
    <row r="345" ht="25.5" hidden="1" customHeight="1">
      <c r="A345" s="26" t="s">
        <v>1346</v>
      </c>
      <c r="B345" s="26" t="str">
        <f t="array" ref="B345">_xlfn.XLOOKUP(Checklist!$A345,tblTargets[TargetID],tblTargets[DisplayName])</f>
        <v>Undead Revenge Accepted</v>
      </c>
      <c r="C345" s="21" t="str">
        <f t="array" ref="C345">_xlfn.XLOOKUP(
 A345,
 tblTargetStatus[TargetID],
 tblTargetStatus[successors],
 ""
)</f>
        <v>Undead Revenge Finished, Complete Dungeon 5C second </v>
      </c>
      <c r="D345" s="26" t="str">
        <f t="array" ref="D345">_xlfn.XLOOKUP(
 A345,
 tblTargets[TargetID],
 tblTargets[TargetType],
 ""
)</f>
        <v>QUEST</v>
      </c>
      <c r="E345" s="45" t="str">
        <f t="array" ref="E345">_xlfn.XLOOKUP(
 A345,
 tblTargetStatus[TargetID],
 tblTargetStatus[ChainAwareStatus],
 ""
)</f>
        <v>BLOCKED</v>
      </c>
      <c r="F345" s="45"/>
      <c r="G345" s="45" t="b">
        <v>0</v>
      </c>
      <c r="H345" s="45" t="str">
        <f t="array" ref="H345">_xlfn.XLOOKUP(
 A345,
 tblTargetStatus[TargetID],
 tblTargetStatus[TargetFunded],
 ""
)</f>
        <v>N/A</v>
      </c>
      <c r="I345" s="45" t="str">
        <f t="array" ref="I345">IF(
 D345&lt;&gt;"BUILDING",
 "",
 IF(
  Player!$H$1="Active",
  _xlfn.XLOOKUP(
   A345,
   tblrecommended[ActiveTargetID],
   tblrecommended[Order],
   ""
  ),
  _xlfn.XLOOKUP(
   A345,
   tblrecommended[PassiveTargetID],
   tblrecommended[Order],
   ""
  )
 )
)</f>
        <v/>
      </c>
    </row>
    <row r="346" ht="25.5" hidden="1" customHeight="1">
      <c r="A346" s="26" t="s">
        <v>1348</v>
      </c>
      <c r="B346" s="26" t="str">
        <f t="array" ref="B346">_xlfn.XLOOKUP(Checklist!$A346,tblTargets[TargetID],tblTargets[DisplayName])</f>
        <v>Undead Revenge Finished</v>
      </c>
      <c r="C346" s="21" t="str">
        <f t="array" ref="C346">_xlfn.XLOOKUP(
 A346,
 tblTargetStatus[TargetID],
 tblTargetStatus[successors],
 ""
)</f>
        <v/>
      </c>
      <c r="D346" s="26" t="str">
        <f t="array" ref="D346">_xlfn.XLOOKUP(
 A346,
 tblTargets[TargetID],
 tblTargets[TargetType],
 ""
)</f>
        <v>QUEST</v>
      </c>
      <c r="E346" s="45" t="str">
        <f t="array" ref="E346">_xlfn.XLOOKUP(
 A346,
 tblTargetStatus[TargetID],
 tblTargetStatus[ChainAwareStatus],
 ""
)</f>
        <v>BLOCKED</v>
      </c>
      <c r="F346" s="45"/>
      <c r="G346" s="45" t="b">
        <v>0</v>
      </c>
      <c r="H346" s="45" t="str">
        <f t="array" ref="H346">_xlfn.XLOOKUP(
 A346,
 tblTargetStatus[TargetID],
 tblTargetStatus[TargetFunded],
 ""
)</f>
        <v>N/A</v>
      </c>
      <c r="I346" s="45" t="str">
        <f t="array" ref="I346">IF(
 D346&lt;&gt;"BUILDING",
 "",
 IF(
  Player!$H$1="Active",
  _xlfn.XLOOKUP(
   A346,
   tblrecommended[ActiveTargetID],
   tblrecommended[Order],
   ""
  ),
  _xlfn.XLOOKUP(
   A346,
   tblrecommended[PassiveTargetID],
   tblrecommended[Order],
   ""
  )
 )
)</f>
        <v/>
      </c>
    </row>
    <row r="347" ht="25.5" customHeight="1">
      <c r="A347" s="26" t="s">
        <v>1350</v>
      </c>
      <c r="B347" s="26" t="str">
        <f t="array" ref="B347">_xlfn.XLOOKUP(Checklist!$A347,tblTargets[TargetID],tblTargets[DisplayName])</f>
        <v>Defeat Bone Dragon in 4C</v>
      </c>
      <c r="C347" s="21" t="str">
        <f t="array" ref="C347">_xlfn.XLOOKUP(
 A347,
 tblTargetStatus[TargetID],
 tblTargetStatus[successors],
 ""
)</f>
        <v>Dragon teeth Finished</v>
      </c>
      <c r="D347" s="26" t="str">
        <f t="array" ref="D347">_xlfn.XLOOKUP(
 A347,
 tblTargets[TargetID],
 tblTargets[TargetType],
 ""
)</f>
        <v>STATE</v>
      </c>
      <c r="E347" s="45" t="str">
        <f t="array" ref="E347">_xlfn.XLOOKUP(
 A347,
 tblTargetStatus[TargetID],
 tblTargetStatus[ChainAwareStatus],
 ""
)</f>
        <v>BLOCKED</v>
      </c>
      <c r="F347" s="45"/>
      <c r="G347" s="45" t="b">
        <v>0</v>
      </c>
      <c r="H347" s="45" t="str">
        <f t="array" ref="H347">_xlfn.XLOOKUP(
 A347,
 tblTargetStatus[TargetID],
 tblTargetStatus[TargetFunded],
 ""
)</f>
        <v>N/A</v>
      </c>
      <c r="I347" s="45" t="str">
        <f t="array" ref="I347">IF(
 D347&lt;&gt;"BUILDING",
 "",
 IF(
  Player!$H$1="Active",
  _xlfn.XLOOKUP(
   A347,
   tblrecommended[ActiveTargetID],
   tblrecommended[Order],
   ""
  ),
  _xlfn.XLOOKUP(
   A347,
   tblrecommended[PassiveTargetID],
   tblrecommended[Order],
   ""
  )
 )
)</f>
        <v/>
      </c>
    </row>
    <row r="348" ht="25.5" customHeight="1">
      <c r="A348" s="26" t="s">
        <v>1354</v>
      </c>
      <c r="B348" s="26" t="str">
        <f t="array" ref="B348">_xlfn.XLOOKUP(Checklist!$A348,tblTargets[TargetID],tblTargets[DisplayName])</f>
        <v>Action Reenter Guild</v>
      </c>
      <c r="C348" s="21" t="str">
        <f t="array" ref="C348">_xlfn.XLOOKUP(
 A348,
 tblTargetStatus[TargetID],
 tblTargetStatus[successors],
 ""
)</f>
        <v>The Ordinary Days of an Adventurer Chapter 5 Accepted</v>
      </c>
      <c r="D348" s="26" t="str">
        <f t="array" ref="D348">_xlfn.XLOOKUP(
 A348,
 tblTargets[TargetID],
 tblTargets[TargetType],
 ""
)</f>
        <v>STATE</v>
      </c>
      <c r="E348" s="45" t="str">
        <f t="array" ref="E348">_xlfn.XLOOKUP(
 A348,
 tblTargetStatus[TargetID],
 tblTargetStatus[ChainAwareStatus],
 ""
)</f>
        <v>BLOCKED</v>
      </c>
      <c r="F348" s="45"/>
      <c r="G348" s="45" t="b">
        <v>0</v>
      </c>
      <c r="H348" s="45" t="str">
        <f t="array" ref="H348">_xlfn.XLOOKUP(
 A348,
 tblTargetStatus[TargetID],
 tblTargetStatus[TargetFunded],
 ""
)</f>
        <v>N/A</v>
      </c>
      <c r="I348" s="45" t="str">
        <f t="array" ref="I348">IF(
 D348&lt;&gt;"BUILDING",
 "",
 IF(
  Player!$H$1="Active",
  _xlfn.XLOOKUP(
   A348,
   tblrecommended[ActiveTargetID],
   tblrecommended[Order],
   ""
  ),
  _xlfn.XLOOKUP(
   A348,
   tblrecommended[PassiveTargetID],
   tblrecommended[Order],
   ""
  )
 )
)</f>
        <v/>
      </c>
    </row>
    <row r="349" ht="25.5" customHeight="1">
      <c r="A349" s="26" t="s">
        <v>1356</v>
      </c>
      <c r="B349" s="26" t="str">
        <f t="array" ref="B349">_xlfn.XLOOKUP(Checklist!$A349,tblTargets[TargetID],tblTargets[DisplayName])</f>
        <v>Send Train to Sapporo</v>
      </c>
      <c r="C349" s="21" t="str">
        <f t="array" ref="C349">_xlfn.XLOOKUP(
 A349,
 tblTargetStatus[TargetID],
 tblTargetStatus[successors],
 ""
)</f>
        <v>Train Lv 2, Ahead of Time Chapter 4 Finished</v>
      </c>
      <c r="D349" s="26" t="str">
        <f t="array" ref="D349">_xlfn.XLOOKUP(
 A349,
 tblTargets[TargetID],
 tblTargets[TargetType],
 ""
)</f>
        <v>STATE</v>
      </c>
      <c r="E349" s="45" t="str">
        <f t="array" ref="E349">_xlfn.XLOOKUP(
 A349,
 tblTargetStatus[TargetID],
 tblTargetStatus[ChainAwareStatus],
 ""
)</f>
        <v>BLOCKED</v>
      </c>
      <c r="F349" s="45"/>
      <c r="G349" s="45" t="b">
        <v>0</v>
      </c>
      <c r="H349" s="45" t="str">
        <f t="array" ref="H349">_xlfn.XLOOKUP(
 A349,
 tblTargetStatus[TargetID],
 tblTargetStatus[TargetFunded],
 ""
)</f>
        <v>N/A</v>
      </c>
      <c r="I349" s="45" t="str">
        <f t="array" ref="I349">IF(
 D349&lt;&gt;"BUILDING",
 "",
 IF(
  Player!$H$1="Active",
  _xlfn.XLOOKUP(
   A349,
   tblrecommended[ActiveTargetID],
   tblrecommended[Order],
   ""
  ),
  _xlfn.XLOOKUP(
   A349,
   tblrecommended[PassiveTargetID],
   tblrecommended[Order],
   ""
  )
 )
)</f>
        <v/>
      </c>
    </row>
    <row r="350" ht="25.5" customHeight="1">
      <c r="A350" s="26" t="s">
        <v>1358</v>
      </c>
      <c r="B350" s="26" t="str">
        <f t="array" ref="B350">_xlfn.XLOOKUP(Checklist!$A350,tblTargets[TargetID],tblTargets[DisplayName])</f>
        <v>Tame A Critter</v>
      </c>
      <c r="C350" s="21" t="str">
        <f t="array" ref="C350">_xlfn.XLOOKUP(
 A350,
 tblTargetStatus[TargetID],
 tblTargetStatus[successors],
 ""
)</f>
        <v>Lair lvl. 1</v>
      </c>
      <c r="D350" s="26" t="str">
        <f t="array" ref="D350">_xlfn.XLOOKUP(
 A350,
 tblTargets[TargetID],
 tblTargets[TargetType],
 ""
)</f>
        <v>STATE</v>
      </c>
      <c r="E350" s="45" t="str">
        <f t="array" ref="E350">_xlfn.XLOOKUP(
 A350,
 tblTargetStatus[TargetID],
 tblTargetStatus[ChainAwareStatus],
 ""
)</f>
        <v>BLOCKED</v>
      </c>
      <c r="F350" s="45"/>
      <c r="G350" s="45" t="b">
        <v>0</v>
      </c>
      <c r="H350" s="45" t="str">
        <f t="array" ref="H350">_xlfn.XLOOKUP(
 A350,
 tblTargetStatus[TargetID],
 tblTargetStatus[TargetFunded],
 ""
)</f>
        <v>N/A</v>
      </c>
      <c r="I350" s="45" t="str">
        <f t="array" ref="I350">IF(
 D350&lt;&gt;"BUILDING",
 "",
 IF(
  Player!$H$1="Active",
  _xlfn.XLOOKUP(
   A350,
   tblrecommended[ActiveTargetID],
   tblrecommended[Order],
   ""
  ),
  _xlfn.XLOOKUP(
   A350,
   tblrecommended[PassiveTargetID],
   tblrecommended[Order],
   ""
  )
 )
)</f>
        <v/>
      </c>
    </row>
    <row r="351" ht="25.5" customHeight="1">
      <c r="A351" s="26" t="s">
        <v>1676</v>
      </c>
      <c r="B351" s="26" t="str">
        <f t="array" ref="B351">_xlfn.XLOOKUP(Checklist!$A351,tblTargets[TargetID],tblTargets[DisplayName])</f>
        <v>Complete Dungeon 1A</v>
      </c>
      <c r="C351" s="21" t="str">
        <f t="array" ref="C351">_xlfn.XLOOKUP(
 A351,
 tblTargetStatus[TargetID],
 tblTargetStatus[successors],
 ""
)</f>
        <v>Quest for Knowledge Chapter 1 Finished</v>
      </c>
      <c r="D351" s="26" t="str">
        <f t="array" ref="D351">_xlfn.XLOOKUP(
 A351,
 tblTargets[TargetID],
 tblTargets[TargetType],
 ""
)</f>
        <v>STATE</v>
      </c>
      <c r="E351" s="45" t="str">
        <f t="array" ref="E351">_xlfn.XLOOKUP(
 A351,
 tblTargetStatus[TargetID],
 tblTargetStatus[ChainAwareStatus],
 ""
)</f>
        <v>BLOCKED</v>
      </c>
      <c r="F351" s="45"/>
      <c r="G351" s="45" t="b">
        <v>0</v>
      </c>
      <c r="H351" s="45" t="str">
        <f t="array" ref="H351">_xlfn.XLOOKUP(
 A351,
 tblTargetStatus[TargetID],
 tblTargetStatus[TargetFunded],
 ""
)</f>
        <v>N/A</v>
      </c>
      <c r="I351" s="45" t="str">
        <f t="array" ref="I351">IF(
 D351&lt;&gt;"BUILDING",
 "",
 IF(
  Player!$H$1="Active",
  _xlfn.XLOOKUP(
   A351,
   tblrecommended[ActiveTargetID],
   tblrecommended[Order],
   ""
  ),
  _xlfn.XLOOKUP(
   A351,
   tblrecommended[PassiveTargetID],
   tblrecommended[Order],
   ""
  )
 )
)</f>
        <v/>
      </c>
    </row>
    <row r="352" ht="25.5" customHeight="1">
      <c r="A352" s="26" t="s">
        <v>1689</v>
      </c>
      <c r="B352" s="26" t="str">
        <f t="array" ref="B352">_xlfn.XLOOKUP(Checklist!$A352,tblTargets[TargetID],tblTargets[DisplayName])</f>
        <v>Complete Dungeon 6D</v>
      </c>
      <c r="C352" s="21" t="str">
        <f t="array" ref="C352">_xlfn.XLOOKUP(
 A352,
 tblTargetStatus[TargetID],
 tblTargetStatus[successors],
 ""
)</f>
        <v>Ahead of Time Chapter 3 Finished</v>
      </c>
      <c r="D352" s="26" t="str">
        <f t="array" ref="D352">_xlfn.XLOOKUP(
 A352,
 tblTargets[TargetID],
 tblTargets[TargetType],
 ""
)</f>
        <v>STATE</v>
      </c>
      <c r="E352" s="45" t="str">
        <f t="array" ref="E352">_xlfn.XLOOKUP(
 A352,
 tblTargetStatus[TargetID],
 tblTargetStatus[ChainAwareStatus],
 ""
)</f>
        <v>BLOCKED</v>
      </c>
      <c r="F352" s="45"/>
      <c r="G352" s="45" t="b">
        <v>0</v>
      </c>
      <c r="H352" s="45" t="str">
        <f t="array" ref="H352">_xlfn.XLOOKUP(
 A352,
 tblTargetStatus[TargetID],
 tblTargetStatus[TargetFunded],
 ""
)</f>
        <v>N/A</v>
      </c>
      <c r="I352" s="45" t="str">
        <f t="array" ref="I352">IF(
 D352&lt;&gt;"BUILDING",
 "",
 IF(
  Player!$H$1="Active",
  _xlfn.XLOOKUP(
   A352,
   tblrecommended[ActiveTargetID],
   tblrecommended[Order],
   ""
  ),
  _xlfn.XLOOKUP(
   A352,
   tblrecommended[PassiveTargetID],
   tblrecommended[Order],
   ""
  )
 )
)</f>
        <v/>
      </c>
    </row>
    <row r="353" ht="25.5" customHeight="1">
      <c r="A353" s="26" t="s">
        <v>1444</v>
      </c>
      <c r="B353" s="26" t="str">
        <f t="array" ref="B353">_xlfn.XLOOKUP(Checklist!$A353,tblTargets[TargetID],tblTargets[DisplayName])</f>
        <v>Complete Dungeon 5C</v>
      </c>
      <c r="C353" s="21" t="str">
        <f t="array" ref="C353">_xlfn.XLOOKUP(
 A353,
 tblTargetStatus[TargetID],
 tblTargetStatus[successors],
 ""
)</f>
        <v>Undead Revenge Accepted, Visit Dungeon@5A , Undead Revenge Finished</v>
      </c>
      <c r="D353" s="26" t="str">
        <f t="array" ref="D353">_xlfn.XLOOKUP(
 A353,
 tblTargets[TargetID],
 tblTargets[TargetType],
 ""
)</f>
        <v>STATE</v>
      </c>
      <c r="E353" s="45" t="str">
        <f t="array" ref="E353">_xlfn.XLOOKUP(
 A353,
 tblTargetStatus[TargetID],
 tblTargetStatus[ChainAwareStatus],
 ""
)</f>
        <v>BLOCKED</v>
      </c>
      <c r="F353" s="45"/>
      <c r="G353" s="45" t="b">
        <v>0</v>
      </c>
      <c r="H353" s="45" t="str">
        <f t="array" ref="H353">_xlfn.XLOOKUP(
 A353,
 tblTargetStatus[TargetID],
 tblTargetStatus[TargetFunded],
 ""
)</f>
        <v>N/A</v>
      </c>
      <c r="I353" s="45" t="str">
        <f t="array" ref="I353">IF(
 D353&lt;&gt;"BUILDING",
 "",
 IF(
  Player!$H$1="Active",
  _xlfn.XLOOKUP(
   A353,
   tblrecommended[ActiveTargetID],
   tblrecommended[Order],
   ""
  ),
  _xlfn.XLOOKUP(
   A353,
   tblrecommended[PassiveTargetID],
   tblrecommended[Order],
   ""
  )
 )
)</f>
        <v/>
      </c>
    </row>
    <row r="354" ht="25.5" customHeight="1">
      <c r="A354" s="26" t="s">
        <v>1711</v>
      </c>
      <c r="B354" s="26" t="str">
        <f t="array" ref="B354">_xlfn.XLOOKUP(Checklist!$A354,tblTargets[TargetID],tblTargets[DisplayName])</f>
        <v>Complete Dungeon 5C second </v>
      </c>
      <c r="C354" s="21" t="str">
        <f t="array" ref="C354">_xlfn.XLOOKUP(
 A354,
 tblTargetStatus[TargetID],
 tblTargetStatus[successors],
 ""
)</f>
        <v>Undead Revenge Finished</v>
      </c>
      <c r="D354" s="26" t="str">
        <f t="array" ref="D354">_xlfn.XLOOKUP(
 A354,
 tblTargets[TargetID],
 tblTargets[TargetType],
 ""
)</f>
        <v>STATE</v>
      </c>
      <c r="E354" s="45" t="str">
        <f t="array" ref="E354">_xlfn.XLOOKUP(
 A354,
 tblTargetStatus[TargetID],
 tblTargetStatus[ChainAwareStatus],
 ""
)</f>
        <v>BLOCKED</v>
      </c>
      <c r="F354" s="45"/>
      <c r="G354" s="45" t="b">
        <v>0</v>
      </c>
      <c r="H354" s="45" t="str">
        <f t="array" ref="H354">_xlfn.XLOOKUP(
 A354,
 tblTargetStatus[TargetID],
 tblTargetStatus[TargetFunded],
 ""
)</f>
        <v>N/A</v>
      </c>
      <c r="I354" s="45" t="str">
        <f t="array" ref="I354">IF(
 D354&lt;&gt;"BUILDING",
 "",
 IF(
  Player!$H$1="Active",
  _xlfn.XLOOKUP(
   A354,
   tblrecommended[ActiveTargetID],
   tblrecommended[Order],
   ""
  ),
  _xlfn.XLOOKUP(
   A354,
   tblrecommended[PassiveTargetID],
   tblrecommended[Order],
   ""
  )
 )
)</f>
        <v/>
      </c>
    </row>
    <row r="355" ht="25.5" customHeight="1">
      <c r="A355" s="26" t="s">
        <v>1447</v>
      </c>
      <c r="B355" s="26" t="str">
        <f t="array" ref="B355">_xlfn.XLOOKUP(Checklist!$A355,tblTargets[TargetID],tblTargets[DisplayName])</f>
        <v>Complete Dungeon 6C</v>
      </c>
      <c r="C355" s="21" t="str">
        <f t="array" ref="C355">_xlfn.XLOOKUP(
 A355,
 tblTargetStatus[TargetID],
 tblTargetStatus[successors],
 ""
)</f>
        <v>The Ordinary Days of an Adventurer Chapter 7 Finished</v>
      </c>
      <c r="D355" s="26" t="str">
        <f t="array" ref="D355">_xlfn.XLOOKUP(
 A355,
 tblTargets[TargetID],
 tblTargets[TargetType],
 ""
)</f>
        <v>STATE</v>
      </c>
      <c r="E355" s="45" t="str">
        <f t="array" ref="E355">_xlfn.XLOOKUP(
 A355,
 tblTargetStatus[TargetID],
 tblTargetStatus[ChainAwareStatus],
 ""
)</f>
        <v>BLOCKED</v>
      </c>
      <c r="F355" s="45"/>
      <c r="G355" s="45" t="b">
        <v>0</v>
      </c>
      <c r="H355" s="45" t="str">
        <f t="array" ref="H355">_xlfn.XLOOKUP(
 A355,
 tblTargetStatus[TargetID],
 tblTargetStatus[TargetFunded],
 ""
)</f>
        <v>N/A</v>
      </c>
      <c r="I355" s="45" t="str">
        <f t="array" ref="I355">IF(
 D355&lt;&gt;"BUILDING",
 "",
 IF(
  Player!$H$1="Active",
  _xlfn.XLOOKUP(
   A355,
   tblrecommended[ActiveTargetID],
   tblrecommended[Order],
   ""
  ),
  _xlfn.XLOOKUP(
   A355,
   tblrecommended[PassiveTargetID],
   tblrecommended[Order],
   ""
  )
 )
)</f>
        <v/>
      </c>
    </row>
    <row r="356" ht="25.5" customHeight="1">
      <c r="A356" s="26" t="s">
        <v>1449</v>
      </c>
      <c r="B356" s="26" t="str">
        <f t="array" ref="B356">_xlfn.XLOOKUP(Checklist!$A356,tblTargets[TargetID],tblTargets[DisplayName])</f>
        <v>Complete F1 for the first time</v>
      </c>
      <c r="C356" s="21" t="str">
        <f t="array" ref="C356">_xlfn.XLOOKUP(
 A356,
 tblTargetStatus[TargetID],
 tblTargetStatus[successors],
 ""
)</f>
        <v>Once Upon a Forest Chapter 2 Finished</v>
      </c>
      <c r="D356" s="26" t="str">
        <f t="array" ref="D356">_xlfn.XLOOKUP(
 A356,
 tblTargets[TargetID],
 tblTargets[TargetType],
 ""
)</f>
        <v>STATE</v>
      </c>
      <c r="E356" s="45" t="str">
        <f t="array" ref="E356">_xlfn.XLOOKUP(
 A356,
 tblTargetStatus[TargetID],
 tblTargetStatus[ChainAwareStatus],
 ""
)</f>
        <v>BLOCKED</v>
      </c>
      <c r="F356" s="45"/>
      <c r="G356" s="45" t="b">
        <v>0</v>
      </c>
      <c r="H356" s="45" t="str">
        <f t="array" ref="H356">_xlfn.XLOOKUP(
 A356,
 tblTargetStatus[TargetID],
 tblTargetStatus[TargetFunded],
 ""
)</f>
        <v>N/A</v>
      </c>
      <c r="I356" s="45" t="str">
        <f t="array" ref="I356">IF(
 D356&lt;&gt;"BUILDING",
 "",
 IF(
  Player!$H$1="Active",
  _xlfn.XLOOKUP(
   A356,
   tblrecommended[ActiveTargetID],
   tblrecommended[Order],
   ""
  ),
  _xlfn.XLOOKUP(
   A356,
   tblrecommended[PassiveTargetID],
   tblrecommended[Order],
   ""
  )
 )
)</f>
        <v/>
      </c>
    </row>
    <row r="357" ht="25.5" customHeight="1">
      <c r="A357" s="26" t="s">
        <v>1451</v>
      </c>
      <c r="B357" s="26" t="str">
        <f t="array" ref="B357">_xlfn.XLOOKUP(Checklist!$A357,tblTargets[TargetID],tblTargets[DisplayName])</f>
        <v>Escort Mr and Mrs Diligance through F1</v>
      </c>
      <c r="C357" s="21" t="str">
        <f t="array" ref="C357">_xlfn.XLOOKUP(
 A357,
 tblTargetStatus[TargetID],
 tblTargetStatus[successors],
 ""
)</f>
        <v>Once Upon a Forest Chapter 12 Finished</v>
      </c>
      <c r="D357" s="26" t="str">
        <f t="array" ref="D357">_xlfn.XLOOKUP(
 A357,
 tblTargets[TargetID],
 tblTargets[TargetType],
 ""
)</f>
        <v>STATE</v>
      </c>
      <c r="E357" s="45" t="str">
        <f t="array" ref="E357">_xlfn.XLOOKUP(
 A357,
 tblTargetStatus[TargetID],
 tblTargetStatus[ChainAwareStatus],
 ""
)</f>
        <v>BLOCKED</v>
      </c>
      <c r="F357" s="45"/>
      <c r="G357" s="45" t="b">
        <v>0</v>
      </c>
      <c r="H357" s="45" t="str">
        <f t="array" ref="H357">_xlfn.XLOOKUP(
 A357,
 tblTargetStatus[TargetID],
 tblTargetStatus[TargetFunded],
 ""
)</f>
        <v>N/A</v>
      </c>
      <c r="I357" s="45" t="str">
        <f t="array" ref="I357">IF(
 D357&lt;&gt;"BUILDING",
 "",
 IF(
  Player!$H$1="Active",
  _xlfn.XLOOKUP(
   A357,
   tblrecommended[ActiveTargetID],
   tblrecommended[Order],
   ""
  ),
  _xlfn.XLOOKUP(
   A357,
   tblrecommended[PassiveTargetID],
   tblrecommended[Order],
   ""
  )
 )
)</f>
        <v/>
      </c>
    </row>
    <row r="358" ht="25.5" customHeight="1">
      <c r="A358" s="26" t="s">
        <v>1454</v>
      </c>
      <c r="B358" s="26" t="str">
        <f t="array" ref="B358">_xlfn.XLOOKUP(Checklist!$A358,tblTargets[TargetID],tblTargets[DisplayName])</f>
        <v>Escort Mr and Mrs Diligance through F2</v>
      </c>
      <c r="C358" s="21" t="str">
        <f t="array" ref="C358">_xlfn.XLOOKUP(
 A358,
 tblTargetStatus[TargetID],
 tblTargetStatus[successors],
 ""
)</f>
        <v>Once Upon a Forest Chapter 12 Finished</v>
      </c>
      <c r="D358" s="26" t="str">
        <f t="array" ref="D358">_xlfn.XLOOKUP(
 A358,
 tblTargets[TargetID],
 tblTargets[TargetType],
 ""
)</f>
        <v>STATE</v>
      </c>
      <c r="E358" s="45" t="str">
        <f t="array" ref="E358">_xlfn.XLOOKUP(
 A358,
 tblTargetStatus[TargetID],
 tblTargetStatus[ChainAwareStatus],
 ""
)</f>
        <v>BLOCKED</v>
      </c>
      <c r="F358" s="45"/>
      <c r="G358" s="45" t="b">
        <v>0</v>
      </c>
      <c r="H358" s="45" t="str">
        <f t="array" ref="H358">_xlfn.XLOOKUP(
 A358,
 tblTargetStatus[TargetID],
 tblTargetStatus[TargetFunded],
 ""
)</f>
        <v>N/A</v>
      </c>
      <c r="I358" s="45" t="str">
        <f t="array" ref="I358">IF(
 D358&lt;&gt;"BUILDING",
 "",
 IF(
  Player!$H$1="Active",
  _xlfn.XLOOKUP(
   A358,
   tblrecommended[ActiveTargetID],
   tblrecommended[Order],
   ""
  ),
  _xlfn.XLOOKUP(
   A358,
   tblrecommended[PassiveTargetID],
   tblrecommended[Order],
   ""
  )
 )
)</f>
        <v/>
      </c>
    </row>
    <row r="359" ht="25.5" customHeight="1">
      <c r="A359" s="26" t="s">
        <v>1457</v>
      </c>
      <c r="B359" s="26" t="str">
        <f t="array" ref="B359">_xlfn.XLOOKUP(Checklist!$A359,tblTargets[TargetID],tblTargets[DisplayName])</f>
        <v>Escort Mr and Mrs Diligance through F3</v>
      </c>
      <c r="C359" s="21" t="str">
        <f t="array" ref="C359">_xlfn.XLOOKUP(
 A359,
 tblTargetStatus[TargetID],
 tblTargetStatus[successors],
 ""
)</f>
        <v>Once Upon a Forest Chapter 12 Finished</v>
      </c>
      <c r="D359" s="26" t="str">
        <f t="array" ref="D359">_xlfn.XLOOKUP(
 A359,
 tblTargets[TargetID],
 tblTargets[TargetType],
 ""
)</f>
        <v>STATE</v>
      </c>
      <c r="E359" s="45" t="str">
        <f t="array" ref="E359">_xlfn.XLOOKUP(
 A359,
 tblTargetStatus[TargetID],
 tblTargetStatus[ChainAwareStatus],
 ""
)</f>
        <v>BLOCKED</v>
      </c>
      <c r="F359" s="45"/>
      <c r="G359" s="45" t="b">
        <v>0</v>
      </c>
      <c r="H359" s="45" t="str">
        <f t="array" ref="H359">_xlfn.XLOOKUP(
 A359,
 tblTargetStatus[TargetID],
 tblTargetStatus[TargetFunded],
 ""
)</f>
        <v>N/A</v>
      </c>
      <c r="I359" s="45" t="str">
        <f t="array" ref="I359">IF(
 D359&lt;&gt;"BUILDING",
 "",
 IF(
  Player!$H$1="Active",
  _xlfn.XLOOKUP(
   A359,
   tblrecommended[ActiveTargetID],
   tblrecommended[Order],
   ""
  ),
  _xlfn.XLOOKUP(
   A359,
   tblrecommended[PassiveTargetID],
   tblrecommended[Order],
   ""
  )
 )
)</f>
        <v/>
      </c>
    </row>
    <row r="360" ht="25.5" customHeight="1">
      <c r="A360" s="26" t="s">
        <v>1459</v>
      </c>
      <c r="B360" s="26" t="str">
        <f t="array" ref="B360">_xlfn.XLOOKUP(Checklist!$A360,tblTargets[TargetID],tblTargets[DisplayName])</f>
        <v>Escort Mr and Mrs Diligance through F4</v>
      </c>
      <c r="C360" s="21" t="str">
        <f t="array" ref="C360">_xlfn.XLOOKUP(
 A360,
 tblTargetStatus[TargetID],
 tblTargetStatus[successors],
 ""
)</f>
        <v>Once Upon a Forest Chapter 12 Finished</v>
      </c>
      <c r="D360" s="26" t="str">
        <f t="array" ref="D360">_xlfn.XLOOKUP(
 A360,
 tblTargets[TargetID],
 tblTargets[TargetType],
 ""
)</f>
        <v>STATE</v>
      </c>
      <c r="E360" s="45" t="str">
        <f t="array" ref="E360">_xlfn.XLOOKUP(
 A360,
 tblTargetStatus[TargetID],
 tblTargetStatus[ChainAwareStatus],
 ""
)</f>
        <v>BLOCKED</v>
      </c>
      <c r="F360" s="45"/>
      <c r="G360" s="45" t="b">
        <v>0</v>
      </c>
      <c r="H360" s="45" t="str">
        <f t="array" ref="H360">_xlfn.XLOOKUP(
 A360,
 tblTargetStatus[TargetID],
 tblTargetStatus[TargetFunded],
 ""
)</f>
        <v>N/A</v>
      </c>
      <c r="I360" s="45" t="str">
        <f t="array" ref="I360">IF(
 D360&lt;&gt;"BUILDING",
 "",
 IF(
  Player!$H$1="Active",
  _xlfn.XLOOKUP(
   A360,
   tblrecommended[ActiveTargetID],
   tblrecommended[Order],
   ""
  ),
  _xlfn.XLOOKUP(
   A360,
   tblrecommended[PassiveTargetID],
   tblrecommended[Order],
   ""
  )
 )
)</f>
        <v/>
      </c>
    </row>
    <row r="361" ht="25.5" customHeight="1">
      <c r="A361" s="26" t="s">
        <v>1462</v>
      </c>
      <c r="B361" s="26" t="str">
        <f t="array" ref="B361">_xlfn.XLOOKUP(Checklist!$A361,tblTargets[TargetID],tblTargets[DisplayName])</f>
        <v>Complete Lvl1 Any Project</v>
      </c>
      <c r="C361" s="21" t="str">
        <f t="array" ref="C361">_xlfn.XLOOKUP(
 A361,
 tblTargetStatus[TargetID],
 tblTargetStatus[successors],
 ""
)</f>
        <v>Ahead of Time Chapter 1 Accepted, Meet mechanical adventurer in Dungeon 3A</v>
      </c>
      <c r="D361" s="26" t="str">
        <f t="array" ref="D361">_xlfn.XLOOKUP(
 A361,
 tblTargets[TargetID],
 tblTargets[TargetType],
 ""
)</f>
        <v>STATE</v>
      </c>
      <c r="E361" s="45" t="str">
        <f t="array" ref="E361">_xlfn.XLOOKUP(
 A361,
 tblTargetStatus[TargetID],
 tblTargetStatus[ChainAwareStatus],
 ""
)</f>
        <v>BLOCKED</v>
      </c>
      <c r="F361" s="45"/>
      <c r="G361" s="45" t="b">
        <v>0</v>
      </c>
      <c r="H361" s="45" t="str">
        <f t="array" ref="H361">_xlfn.XLOOKUP(
 A361,
 tblTargetStatus[TargetID],
 tblTargetStatus[TargetFunded],
 ""
)</f>
        <v>N/A</v>
      </c>
      <c r="I361" s="45" t="str">
        <f t="array" ref="I361">IF(
 D361&lt;&gt;"BUILDING",
 "",
 IF(
  Player!$H$1="Active",
  _xlfn.XLOOKUP(
   A361,
   tblrecommended[ActiveTargetID],
   tblrecommended[Order],
   ""
  ),
  _xlfn.XLOOKUP(
   A361,
   tblrecommended[PassiveTargetID],
   tblrecommended[Order],
   ""
  )
 )
)</f>
        <v/>
      </c>
    </row>
    <row r="362" ht="25.5" customHeight="1">
      <c r="A362" s="26" t="s">
        <v>1464</v>
      </c>
      <c r="B362" s="26" t="str">
        <f t="array" ref="B362">_xlfn.XLOOKUP(Checklist!$A362,tblTargets[TargetID],tblTargets[DisplayName])</f>
        <v>Deliver Ambrosia to Dark Lady in F3</v>
      </c>
      <c r="C362" s="21" t="str">
        <f t="array" ref="C362">_xlfn.XLOOKUP(
 A362,
 tblTargetStatus[TargetID],
 tblTargetStatus[successors],
 ""
)</f>
        <v>Once Upon a Forest Chapter 7 Finished</v>
      </c>
      <c r="D362" s="26" t="str">
        <f t="array" ref="D362">_xlfn.XLOOKUP(
 A362,
 tblTargets[TargetID],
 tblTargets[TargetType],
 ""
)</f>
        <v>STATE</v>
      </c>
      <c r="E362" s="45" t="str">
        <f t="array" ref="E362">_xlfn.XLOOKUP(
 A362,
 tblTargetStatus[TargetID],
 tblTargetStatus[ChainAwareStatus],
 ""
)</f>
        <v>BLOCKED</v>
      </c>
      <c r="F362" s="45"/>
      <c r="G362" s="45" t="b">
        <v>0</v>
      </c>
      <c r="H362" s="45" t="str">
        <f t="array" ref="H362">_xlfn.XLOOKUP(
 A362,
 tblTargetStatus[TargetID],
 tblTargetStatus[TargetFunded],
 ""
)</f>
        <v>N/A</v>
      </c>
      <c r="I362" s="45" t="str">
        <f t="array" ref="I362">IF(
 D362&lt;&gt;"BUILDING",
 "",
 IF(
  Player!$H$1="Active",
  _xlfn.XLOOKUP(
   A362,
   tblrecommended[ActiveTargetID],
   tblrecommended[Order],
   ""
  ),
  _xlfn.XLOOKUP(
   A362,
   tblrecommended[PassiveTargetID],
   tblrecommended[Order],
   ""
  )
 )
)</f>
        <v/>
      </c>
    </row>
    <row r="363" ht="25.5" customHeight="1">
      <c r="A363" s="26" t="s">
        <v>1466</v>
      </c>
      <c r="B363" s="26" t="str">
        <f t="array" ref="B363">_xlfn.XLOOKUP(Checklist!$A363,tblTargets[TargetID],tblTargets[DisplayName])</f>
        <v>Deliver Balm To Hunter @F2</v>
      </c>
      <c r="C363" s="21" t="str">
        <f t="array" ref="C363">_xlfn.XLOOKUP(
 A363,
 tblTargetStatus[TargetID],
 tblTargetStatus[successors],
 ""
)</f>
        <v>Once Upon a Forest Chapter 10 Finished</v>
      </c>
      <c r="D363" s="26" t="str">
        <f t="array" ref="D363">_xlfn.XLOOKUP(
 A363,
 tblTargets[TargetID],
 tblTargets[TargetType],
 ""
)</f>
        <v>STATE</v>
      </c>
      <c r="E363" s="45" t="str">
        <f t="array" ref="E363">_xlfn.XLOOKUP(
 A363,
 tblTargetStatus[TargetID],
 tblTargetStatus[ChainAwareStatus],
 ""
)</f>
        <v>BLOCKED</v>
      </c>
      <c r="F363" s="45"/>
      <c r="G363" s="45" t="b">
        <v>0</v>
      </c>
      <c r="H363" s="45" t="str">
        <f t="array" ref="H363">_xlfn.XLOOKUP(
 A363,
 tblTargetStatus[TargetID],
 tblTargetStatus[TargetFunded],
 ""
)</f>
        <v>N/A</v>
      </c>
      <c r="I363" s="45" t="str">
        <f t="array" ref="I363">IF(
 D363&lt;&gt;"BUILDING",
 "",
 IF(
  Player!$H$1="Active",
  _xlfn.XLOOKUP(
   A363,
   tblrecommended[ActiveTargetID],
   tblrecommended[Order],
   ""
  ),
  _xlfn.XLOOKUP(
   A363,
   tblrecommended[PassiveTargetID],
   tblrecommended[Order],
   ""
  )
 )
)</f>
        <v/>
      </c>
    </row>
    <row r="364" ht="25.5" customHeight="1">
      <c r="A364" s="26" t="s">
        <v>1469</v>
      </c>
      <c r="B364" s="26" t="str">
        <f t="array" ref="B364">_xlfn.XLOOKUP(Checklist!$A364,tblTargets[TargetID],tblTargets[DisplayName])</f>
        <v>Deliver Bedroll to  4B </v>
      </c>
      <c r="C364" s="21" t="str">
        <f t="array" ref="C364">_xlfn.XLOOKUP(
 A364,
 tblTargetStatus[TargetID],
 tblTargetStatus[successors],
 ""
)</f>
        <v>Ahead of Time Chapter 1 Finished</v>
      </c>
      <c r="D364" s="26" t="str">
        <f t="array" ref="D364">_xlfn.XLOOKUP(
 A364,
 tblTargets[TargetID],
 tblTargets[TargetType],
 ""
)</f>
        <v>STATE</v>
      </c>
      <c r="E364" s="45" t="str">
        <f t="array" ref="E364">_xlfn.XLOOKUP(
 A364,
 tblTargetStatus[TargetID],
 tblTargetStatus[ChainAwareStatus],
 ""
)</f>
        <v>BLOCKED</v>
      </c>
      <c r="F364" s="45"/>
      <c r="G364" s="45" t="b">
        <v>0</v>
      </c>
      <c r="H364" s="45" t="str">
        <f t="array" ref="H364">_xlfn.XLOOKUP(
 A364,
 tblTargetStatus[TargetID],
 tblTargetStatus[TargetFunded],
 ""
)</f>
        <v>N/A</v>
      </c>
      <c r="I364" s="45" t="str">
        <f t="array" ref="I364">IF(
 D364&lt;&gt;"BUILDING",
 "",
 IF(
  Player!$H$1="Active",
  _xlfn.XLOOKUP(
   A364,
   tblrecommended[ActiveTargetID],
   tblrecommended[Order],
   ""
  ),
  _xlfn.XLOOKUP(
   A364,
   tblrecommended[PassiveTargetID],
   tblrecommended[Order],
   ""
  )
 )
)</f>
        <v/>
      </c>
    </row>
    <row r="365" ht="25.5" customHeight="1">
      <c r="A365" s="26" t="s">
        <v>1471</v>
      </c>
      <c r="B365" s="26" t="str">
        <f t="array" ref="B365">_xlfn.XLOOKUP(Checklist!$A365,tblTargets[TargetID],tblTargets[DisplayName])</f>
        <v>Deliver Cheese to Rat in 6B</v>
      </c>
      <c r="C365" s="21" t="str">
        <f t="array" ref="C365">_xlfn.XLOOKUP(
 A365,
 tblTargetStatus[TargetID],
 tblTargetStatus[successors],
 ""
)</f>
        <v>The Ordinary Days of an Adventurer Chapter 6 Finished</v>
      </c>
      <c r="D365" s="26" t="str">
        <f t="array" ref="D365">_xlfn.XLOOKUP(
 A365,
 tblTargets[TargetID],
 tblTargets[TargetType],
 ""
)</f>
        <v>STATE</v>
      </c>
      <c r="E365" s="45" t="str">
        <f t="array" ref="E365">_xlfn.XLOOKUP(
 A365,
 tblTargetStatus[TargetID],
 tblTargetStatus[ChainAwareStatus],
 ""
)</f>
        <v>BLOCKED</v>
      </c>
      <c r="F365" s="45"/>
      <c r="G365" s="45" t="b">
        <v>0</v>
      </c>
      <c r="H365" s="45" t="str">
        <f t="array" ref="H365">_xlfn.XLOOKUP(
 A365,
 tblTargetStatus[TargetID],
 tblTargetStatus[TargetFunded],
 ""
)</f>
        <v>N/A</v>
      </c>
      <c r="I365" s="45" t="str">
        <f t="array" ref="I365">IF(
 D365&lt;&gt;"BUILDING",
 "",
 IF(
  Player!$H$1="Active",
  _xlfn.XLOOKUP(
   A365,
   tblrecommended[ActiveTargetID],
   tblrecommended[Order],
   ""
  ),
  _xlfn.XLOOKUP(
   A365,
   tblrecommended[PassiveTargetID],
   tblrecommended[Order],
   ""
  )
 )
)</f>
        <v/>
      </c>
    </row>
    <row r="366" ht="25.5" customHeight="1">
      <c r="A366" s="26" t="s">
        <v>1473</v>
      </c>
      <c r="B366" s="26" t="str">
        <f t="array" ref="B366">_xlfn.XLOOKUP(Checklist!$A366,tblTargets[TargetID],tblTargets[DisplayName])</f>
        <v>Deliver Horn to  2C </v>
      </c>
      <c r="C366" s="21" t="str">
        <f t="array" ref="C366">_xlfn.XLOOKUP(
 A366,
 tblTargetStatus[TargetID],
 tblTargetStatus[successors],
 ""
)</f>
        <v>Ahead of Time Chapter 1 Finished</v>
      </c>
      <c r="D366" s="26" t="str">
        <f t="array" ref="D366">_xlfn.XLOOKUP(
 A366,
 tblTargets[TargetID],
 tblTargets[TargetType],
 ""
)</f>
        <v>STATE</v>
      </c>
      <c r="E366" s="45" t="str">
        <f t="array" ref="E366">_xlfn.XLOOKUP(
 A366,
 tblTargetStatus[TargetID],
 tblTargetStatus[ChainAwareStatus],
 ""
)</f>
        <v>BLOCKED</v>
      </c>
      <c r="F366" s="45"/>
      <c r="G366" s="45" t="b">
        <v>0</v>
      </c>
      <c r="H366" s="45" t="str">
        <f t="array" ref="H366">_xlfn.XLOOKUP(
 A366,
 tblTargetStatus[TargetID],
 tblTargetStatus[TargetFunded],
 ""
)</f>
        <v>N/A</v>
      </c>
      <c r="I366" s="45" t="str">
        <f t="array" ref="I366">IF(
 D366&lt;&gt;"BUILDING",
 "",
 IF(
  Player!$H$1="Active",
  _xlfn.XLOOKUP(
   A366,
   tblrecommended[ActiveTargetID],
   tblrecommended[Order],
   ""
  ),
  _xlfn.XLOOKUP(
   A366,
   tblrecommended[PassiveTargetID],
   tblrecommended[Order],
   ""
  )
 )
)</f>
        <v/>
      </c>
    </row>
    <row r="367" ht="25.5" customHeight="1">
      <c r="A367" s="26" t="s">
        <v>1476</v>
      </c>
      <c r="B367" s="26" t="str">
        <f t="array" ref="B367">_xlfn.XLOOKUP(Checklist!$A367,tblTargets[TargetID],tblTargets[DisplayName])</f>
        <v>Deliver Inarizushi to 4B</v>
      </c>
      <c r="C367" s="21" t="str">
        <f t="array" ref="C367">_xlfn.XLOOKUP(
 A367,
 tblTargetStatus[TargetID],
 tblTargetStatus[successors],
 ""
)</f>
        <v>Magic Beans Finished</v>
      </c>
      <c r="D367" s="26" t="str">
        <f t="array" ref="D367">_xlfn.XLOOKUP(
 A367,
 tblTargets[TargetID],
 tblTargets[TargetType],
 ""
)</f>
        <v>STATE</v>
      </c>
      <c r="E367" s="45" t="str">
        <f t="array" ref="E367">_xlfn.XLOOKUP(
 A367,
 tblTargetStatus[TargetID],
 tblTargetStatus[ChainAwareStatus],
 ""
)</f>
        <v>BLOCKED</v>
      </c>
      <c r="F367" s="45"/>
      <c r="G367" s="45" t="b">
        <v>0</v>
      </c>
      <c r="H367" s="45" t="str">
        <f t="array" ref="H367">_xlfn.XLOOKUP(
 A367,
 tblTargetStatus[TargetID],
 tblTargetStatus[TargetFunded],
 ""
)</f>
        <v>N/A</v>
      </c>
      <c r="I367" s="45" t="str">
        <f t="array" ref="I367">IF(
 D367&lt;&gt;"BUILDING",
 "",
 IF(
  Player!$H$1="Active",
  _xlfn.XLOOKUP(
   A367,
   tblrecommended[ActiveTargetID],
   tblrecommended[Order],
   ""
  ),
  _xlfn.XLOOKUP(
   A367,
   tblrecommended[PassiveTargetID],
   tblrecommended[Order],
   ""
  )
 )
)</f>
        <v/>
      </c>
    </row>
    <row r="368" ht="25.5" customHeight="1">
      <c r="A368" s="26" t="s">
        <v>1478</v>
      </c>
      <c r="B368" s="26" t="str">
        <f t="array" ref="B368">_xlfn.XLOOKUP(Checklist!$A368,tblTargets[TargetID],tblTargets[DisplayName])</f>
        <v>Deliver Pizza Diavola to  5B </v>
      </c>
      <c r="C368" s="21" t="str">
        <f t="array" ref="C368">_xlfn.XLOOKUP(
 A368,
 tblTargetStatus[TargetID],
 tblTargetStatus[successors],
 ""
)</f>
        <v>Ahead of Time Chapter 1 Finished</v>
      </c>
      <c r="D368" s="26" t="str">
        <f t="array" ref="D368">_xlfn.XLOOKUP(
 A368,
 tblTargets[TargetID],
 tblTargets[TargetType],
 ""
)</f>
        <v>STATE</v>
      </c>
      <c r="E368" s="45" t="str">
        <f t="array" ref="E368">_xlfn.XLOOKUP(
 A368,
 tblTargetStatus[TargetID],
 tblTargetStatus[ChainAwareStatus],
 ""
)</f>
        <v>BLOCKED</v>
      </c>
      <c r="F368" s="45"/>
      <c r="G368" s="45" t="b">
        <v>0</v>
      </c>
      <c r="H368" s="45" t="str">
        <f t="array" ref="H368">_xlfn.XLOOKUP(
 A368,
 tblTargetStatus[TargetID],
 tblTargetStatus[TargetFunded],
 ""
)</f>
        <v>N/A</v>
      </c>
      <c r="I368" s="45" t="str">
        <f t="array" ref="I368">IF(
 D368&lt;&gt;"BUILDING",
 "",
 IF(
  Player!$H$1="Active",
  _xlfn.XLOOKUP(
   A368,
   tblrecommended[ActiveTargetID],
   tblrecommended[Order],
   ""
  ),
  _xlfn.XLOOKUP(
   A368,
   tblrecommended[PassiveTargetID],
   tblrecommended[Order],
   ""
  )
 )
)</f>
        <v/>
      </c>
    </row>
    <row r="369" ht="25.5" customHeight="1">
      <c r="A369" s="26" t="s">
        <v>1480</v>
      </c>
      <c r="B369" s="26" t="str">
        <f t="array" ref="B369">_xlfn.XLOOKUP(Checklist!$A369,tblTargets[TargetID],tblTargets[DisplayName])</f>
        <v>Deliver Pizza Diavola to  5C </v>
      </c>
      <c r="C369" s="21" t="str">
        <f t="array" ref="C369">_xlfn.XLOOKUP(
 A369,
 tblTargetStatus[TargetID],
 tblTargetStatus[successors],
 ""
)</f>
        <v>Ahead of Time Chapter 1 Finished</v>
      </c>
      <c r="D369" s="26" t="str">
        <f t="array" ref="D369">_xlfn.XLOOKUP(
 A369,
 tblTargets[TargetID],
 tblTargets[TargetType],
 ""
)</f>
        <v>STATE</v>
      </c>
      <c r="E369" s="45" t="str">
        <f t="array" ref="E369">_xlfn.XLOOKUP(
 A369,
 tblTargetStatus[TargetID],
 tblTargetStatus[ChainAwareStatus],
 ""
)</f>
        <v>BLOCKED</v>
      </c>
      <c r="F369" s="45"/>
      <c r="G369" s="45" t="b">
        <v>0</v>
      </c>
      <c r="H369" s="45" t="str">
        <f t="array" ref="H369">_xlfn.XLOOKUP(
 A369,
 tblTargetStatus[TargetID],
 tblTargetStatus[TargetFunded],
 ""
)</f>
        <v>N/A</v>
      </c>
      <c r="I369" s="45" t="str">
        <f t="array" ref="I369">IF(
 D369&lt;&gt;"BUILDING",
 "",
 IF(
  Player!$H$1="Active",
  _xlfn.XLOOKUP(
   A369,
   tblrecommended[ActiveTargetID],
   tblrecommended[Order],
   ""
  ),
  _xlfn.XLOOKUP(
   A369,
   tblrecommended[PassiveTargetID],
   tblrecommended[Order],
   ""
  )
 )
)</f>
        <v/>
      </c>
    </row>
    <row r="370" ht="25.5" customHeight="1">
      <c r="A370" s="26" t="s">
        <v>1482</v>
      </c>
      <c r="B370" s="26" t="str">
        <f t="array" ref="B370">_xlfn.XLOOKUP(Checklist!$A370,tblTargets[TargetID],tblTargets[DisplayName])</f>
        <v>Deliver Porcini pasta to  3C </v>
      </c>
      <c r="C370" s="21" t="str">
        <f t="array" ref="C370">_xlfn.XLOOKUP(
 A370,
 tblTargetStatus[TargetID],
 tblTargetStatus[successors],
 ""
)</f>
        <v>Ahead of Time Chapter 1 Finished</v>
      </c>
      <c r="D370" s="26" t="str">
        <f t="array" ref="D370">_xlfn.XLOOKUP(
 A370,
 tblTargets[TargetID],
 tblTargets[TargetType],
 ""
)</f>
        <v>STATE</v>
      </c>
      <c r="E370" s="45" t="str">
        <f t="array" ref="E370">_xlfn.XLOOKUP(
 A370,
 tblTargetStatus[TargetID],
 tblTargetStatus[ChainAwareStatus],
 ""
)</f>
        <v>BLOCKED</v>
      </c>
      <c r="F370" s="45"/>
      <c r="G370" s="45" t="b">
        <v>0</v>
      </c>
      <c r="H370" s="45" t="str">
        <f t="array" ref="H370">_xlfn.XLOOKUP(
 A370,
 tblTargetStatus[TargetID],
 tblTargetStatus[TargetFunded],
 ""
)</f>
        <v>N/A</v>
      </c>
      <c r="I370" s="45" t="str">
        <f t="array" ref="I370">IF(
 D370&lt;&gt;"BUILDING",
 "",
 IF(
  Player!$H$1="Active",
  _xlfn.XLOOKUP(
   A370,
   tblrecommended[ActiveTargetID],
   tblrecommended[Order],
   ""
  ),
  _xlfn.XLOOKUP(
   A370,
   tblrecommended[PassiveTargetID],
   tblrecommended[Order],
   ""
  )
 )
)</f>
        <v/>
      </c>
    </row>
    <row r="371" ht="25.5" customHeight="1">
      <c r="A371" s="26" t="s">
        <v>1485</v>
      </c>
      <c r="B371" s="26" t="str">
        <f t="array" ref="B371">_xlfn.XLOOKUP(Checklist!$A371,tblTargets[TargetID],tblTargets[DisplayName])</f>
        <v>Deliver Potion Ambrosia to  3B </v>
      </c>
      <c r="C371" s="21" t="str">
        <f t="array" ref="C371">_xlfn.XLOOKUP(
 A371,
 tblTargetStatus[TargetID],
 tblTargetStatus[successors],
 ""
)</f>
        <v>Ahead of Time Chapter 1 Finished</v>
      </c>
      <c r="D371" s="26" t="str">
        <f t="array" ref="D371">_xlfn.XLOOKUP(
 A371,
 tblTargets[TargetID],
 tblTargets[TargetType],
 ""
)</f>
        <v>STATE</v>
      </c>
      <c r="E371" s="45" t="str">
        <f t="array" ref="E371">_xlfn.XLOOKUP(
 A371,
 tblTargetStatus[TargetID],
 tblTargetStatus[ChainAwareStatus],
 ""
)</f>
        <v>BLOCKED</v>
      </c>
      <c r="F371" s="45"/>
      <c r="G371" s="45" t="b">
        <v>0</v>
      </c>
      <c r="H371" s="45" t="str">
        <f t="array" ref="H371">_xlfn.XLOOKUP(
 A371,
 tblTargetStatus[TargetID],
 tblTargetStatus[TargetFunded],
 ""
)</f>
        <v>N/A</v>
      </c>
      <c r="I371" s="45" t="str">
        <f t="array" ref="I371">IF(
 D371&lt;&gt;"BUILDING",
 "",
 IF(
  Player!$H$1="Active",
  _xlfn.XLOOKUP(
   A371,
   tblrecommended[ActiveTargetID],
   tblrecommended[Order],
   ""
  ),
  _xlfn.XLOOKUP(
   A371,
   tblrecommended[PassiveTargetID],
   tblrecommended[Order],
   ""
  )
 )
)</f>
        <v/>
      </c>
    </row>
    <row r="372" ht="25.5" customHeight="1">
      <c r="A372" s="26" t="s">
        <v>1487</v>
      </c>
      <c r="B372" s="26" t="str">
        <f t="array" ref="B372">_xlfn.XLOOKUP(Checklist!$A372,tblTargets[TargetID],tblTargets[DisplayName])</f>
        <v>Deliver Potion Berserker rage to  1C </v>
      </c>
      <c r="C372" s="21" t="str">
        <f t="array" ref="C372">_xlfn.XLOOKUP(
 A372,
 tblTargetStatus[TargetID],
 tblTargetStatus[successors],
 ""
)</f>
        <v>Ahead of Time Chapter 1 Finished</v>
      </c>
      <c r="D372" s="26" t="str">
        <f t="array" ref="D372">_xlfn.XLOOKUP(
 A372,
 tblTargets[TargetID],
 tblTargets[TargetType],
 ""
)</f>
        <v>STATE</v>
      </c>
      <c r="E372" s="45" t="str">
        <f t="array" ref="E372">_xlfn.XLOOKUP(
 A372,
 tblTargetStatus[TargetID],
 tblTargetStatus[ChainAwareStatus],
 ""
)</f>
        <v>BLOCKED</v>
      </c>
      <c r="F372" s="45"/>
      <c r="G372" s="45" t="b">
        <v>0</v>
      </c>
      <c r="H372" s="45" t="str">
        <f t="array" ref="H372">_xlfn.XLOOKUP(
 A372,
 tblTargetStatus[TargetID],
 tblTargetStatus[TargetFunded],
 ""
)</f>
        <v>N/A</v>
      </c>
      <c r="I372" s="45" t="str">
        <f t="array" ref="I372">IF(
 D372&lt;&gt;"BUILDING",
 "",
 IF(
  Player!$H$1="Active",
  _xlfn.XLOOKUP(
   A372,
   tblrecommended[ActiveTargetID],
   tblrecommended[Order],
   ""
  ),
  _xlfn.XLOOKUP(
   A372,
   tblrecommended[PassiveTargetID],
   tblrecommended[Order],
   ""
  )
 )
)</f>
        <v/>
      </c>
    </row>
    <row r="373" ht="25.5" customHeight="1">
      <c r="A373" s="26" t="s">
        <v>1490</v>
      </c>
      <c r="B373" s="26" t="str">
        <f t="array" ref="B373">_xlfn.XLOOKUP(Checklist!$A373,tblTargets[TargetID],tblTargets[DisplayName])</f>
        <v>Deliver Potion of Mental Power to F2</v>
      </c>
      <c r="C373" s="21" t="str">
        <f t="array" ref="C373">_xlfn.XLOOKUP(
 A373,
 tblTargetStatus[TargetID],
 tblTargetStatus[successors],
 ""
)</f>
        <v>Once Upon a Forest Chapter 6 Finished</v>
      </c>
      <c r="D373" s="26" t="str">
        <f t="array" ref="D373">_xlfn.XLOOKUP(
 A373,
 tblTargets[TargetID],
 tblTargets[TargetType],
 ""
)</f>
        <v>STATE</v>
      </c>
      <c r="E373" s="45" t="str">
        <f t="array" ref="E373">_xlfn.XLOOKUP(
 A373,
 tblTargetStatus[TargetID],
 tblTargetStatus[ChainAwareStatus],
 ""
)</f>
        <v>BLOCKED</v>
      </c>
      <c r="F373" s="45"/>
      <c r="G373" s="45" t="b">
        <v>0</v>
      </c>
      <c r="H373" s="45" t="str">
        <f t="array" ref="H373">_xlfn.XLOOKUP(
 A373,
 tblTargetStatus[TargetID],
 tblTargetStatus[TargetFunded],
 ""
)</f>
        <v>N/A</v>
      </c>
      <c r="I373" s="45" t="str">
        <f t="array" ref="I373">IF(
 D373&lt;&gt;"BUILDING",
 "",
 IF(
  Player!$H$1="Active",
  _xlfn.XLOOKUP(
   A373,
   tblrecommended[ActiveTargetID],
   tblrecommended[Order],
   ""
  ),
  _xlfn.XLOOKUP(
   A373,
   tblrecommended[PassiveTargetID],
   tblrecommended[Order],
   ""
  )
 )
)</f>
        <v/>
      </c>
    </row>
    <row r="374" ht="25.5" customHeight="1">
      <c r="A374" s="26" t="s">
        <v>1492</v>
      </c>
      <c r="B374" s="26" t="str">
        <f t="array" ref="B374">_xlfn.XLOOKUP(Checklist!$A374,tblTargets[TargetID],tblTargets[DisplayName])</f>
        <v>Return the ring</v>
      </c>
      <c r="C374" s="21" t="str">
        <f t="array" ref="C374">_xlfn.XLOOKUP(
 A374,
 tblTargetStatus[TargetID],
 tblTargetStatus[successors],
 ""
)</f>
        <v>The Ring of the Dark Lady Finished</v>
      </c>
      <c r="D374" s="26" t="str">
        <f t="array" ref="D374">_xlfn.XLOOKUP(
 A374,
 tblTargets[TargetID],
 tblTargets[TargetType],
 ""
)</f>
        <v>STATE</v>
      </c>
      <c r="E374" s="45" t="str">
        <f t="array" ref="E374">_xlfn.XLOOKUP(
 A374,
 tblTargetStatus[TargetID],
 tblTargetStatus[ChainAwareStatus],
 ""
)</f>
        <v>BLOCKED</v>
      </c>
      <c r="F374" s="45"/>
      <c r="G374" s="45" t="b">
        <v>0</v>
      </c>
      <c r="H374" s="45" t="str">
        <f t="array" ref="H374">_xlfn.XLOOKUP(
 A374,
 tblTargetStatus[TargetID],
 tblTargetStatus[TargetFunded],
 ""
)</f>
        <v>N/A</v>
      </c>
      <c r="I374" s="45" t="str">
        <f t="array" ref="I374">IF(
 D374&lt;&gt;"BUILDING",
 "",
 IF(
  Player!$H$1="Active",
  _xlfn.XLOOKUP(
   A374,
   tblrecommended[ActiveTargetID],
   tblrecommended[Order],
   ""
  ),
  _xlfn.XLOOKUP(
   A374,
   tblrecommended[PassiveTargetID],
   tblrecommended[Order],
   ""
  )
 )
)</f>
        <v/>
      </c>
    </row>
    <row r="375" ht="25.5" customHeight="1">
      <c r="A375" s="26" t="s">
        <v>1495</v>
      </c>
      <c r="B375" s="26" t="str">
        <f t="array" ref="B375">_xlfn.XLOOKUP(Checklist!$A375,tblTargets[TargetID],tblTargets[DisplayName])</f>
        <v>Deliver Teriyaki Salmon to 4C</v>
      </c>
      <c r="C375" s="21" t="str">
        <f t="array" ref="C375">_xlfn.XLOOKUP(
 A375,
 tblTargetStatus[TargetID],
 tblTargetStatus[successors],
 ""
)</f>
        <v>Magic Beans Finished</v>
      </c>
      <c r="D375" s="26" t="str">
        <f t="array" ref="D375">_xlfn.XLOOKUP(
 A375,
 tblTargets[TargetID],
 tblTargets[TargetType],
 ""
)</f>
        <v>STATE</v>
      </c>
      <c r="E375" s="45" t="str">
        <f t="array" ref="E375">_xlfn.XLOOKUP(
 A375,
 tblTargetStatus[TargetID],
 tblTargetStatus[ChainAwareStatus],
 ""
)</f>
        <v>BLOCKED</v>
      </c>
      <c r="F375" s="45"/>
      <c r="G375" s="45" t="b">
        <v>0</v>
      </c>
      <c r="H375" s="45" t="str">
        <f t="array" ref="H375">_xlfn.XLOOKUP(
 A375,
 tblTargetStatus[TargetID],
 tblTargetStatus[TargetFunded],
 ""
)</f>
        <v>N/A</v>
      </c>
      <c r="I375" s="45" t="str">
        <f t="array" ref="I375">IF(
 D375&lt;&gt;"BUILDING",
 "",
 IF(
  Player!$H$1="Active",
  _xlfn.XLOOKUP(
   A375,
   tblrecommended[ActiveTargetID],
   tblrecommended[Order],
   ""
  ),
  _xlfn.XLOOKUP(
   A375,
   tblrecommended[PassiveTargetID],
   tblrecommended[Order],
   ""
  )
 )
)</f>
        <v/>
      </c>
    </row>
    <row r="376" ht="25.5" customHeight="1">
      <c r="A376" s="26" t="s">
        <v>1498</v>
      </c>
      <c r="B376" s="26" t="str">
        <f t="array" ref="B376">_xlfn.XLOOKUP(Checklist!$A376,tblTargets[TargetID],tblTargets[DisplayName])</f>
        <v>Deliver Tofu to 4A</v>
      </c>
      <c r="C376" s="21" t="str">
        <f t="array" ref="C376">_xlfn.XLOOKUP(
 A376,
 tblTargetStatus[TargetID],
 tblTargetStatus[successors],
 ""
)</f>
        <v>Magic Beans Finished</v>
      </c>
      <c r="D376" s="26" t="str">
        <f t="array" ref="D376">_xlfn.XLOOKUP(
 A376,
 tblTargets[TargetID],
 tblTargets[TargetType],
 ""
)</f>
        <v>STATE</v>
      </c>
      <c r="E376" s="45" t="str">
        <f t="array" ref="E376">_xlfn.XLOOKUP(
 A376,
 tblTargetStatus[TargetID],
 tblTargetStatus[ChainAwareStatus],
 ""
)</f>
        <v>BLOCKED</v>
      </c>
      <c r="F376" s="45"/>
      <c r="G376" s="45" t="b">
        <v>0</v>
      </c>
      <c r="H376" s="45" t="str">
        <f t="array" ref="H376">_xlfn.XLOOKUP(
 A376,
 tblTargetStatus[TargetID],
 tblTargetStatus[TargetFunded],
 ""
)</f>
        <v>N/A</v>
      </c>
      <c r="I376" s="45" t="str">
        <f t="array" ref="I376">IF(
 D376&lt;&gt;"BUILDING",
 "",
 IF(
  Player!$H$1="Active",
  _xlfn.XLOOKUP(
   A376,
   tblrecommended[ActiveTargetID],
   tblrecommended[Order],
   ""
  ),
  _xlfn.XLOOKUP(
   A376,
   tblrecommended[PassiveTargetID],
   tblrecommended[Order],
   ""
  )
 )
)</f>
        <v/>
      </c>
    </row>
    <row r="377" ht="25.5" customHeight="1">
      <c r="A377" s="26" t="s">
        <v>1500</v>
      </c>
      <c r="B377" s="26" t="str">
        <f t="array" ref="B377">_xlfn.XLOOKUP(Checklist!$A377,tblTargets[TargetID],tblTargets[DisplayName])</f>
        <v>Deliver Yuba to  4C </v>
      </c>
      <c r="C377" s="21" t="str">
        <f t="array" ref="C377">_xlfn.XLOOKUP(
 A377,
 tblTargetStatus[TargetID],
 tblTargetStatus[successors],
 ""
)</f>
        <v>Ahead of Time Chapter 1 Finished</v>
      </c>
      <c r="D377" s="26" t="str">
        <f t="array" ref="D377">_xlfn.XLOOKUP(
 A377,
 tblTargets[TargetID],
 tblTargets[TargetType],
 ""
)</f>
        <v>STATE</v>
      </c>
      <c r="E377" s="45" t="str">
        <f t="array" ref="E377">_xlfn.XLOOKUP(
 A377,
 tblTargetStatus[TargetID],
 tblTargetStatus[ChainAwareStatus],
 ""
)</f>
        <v>BLOCKED</v>
      </c>
      <c r="F377" s="45"/>
      <c r="G377" s="45" t="b">
        <v>0</v>
      </c>
      <c r="H377" s="45" t="str">
        <f t="array" ref="H377">_xlfn.XLOOKUP(
 A377,
 tblTargetStatus[TargetID],
 tblTargetStatus[TargetFunded],
 ""
)</f>
        <v>N/A</v>
      </c>
      <c r="I377" s="45" t="str">
        <f t="array" ref="I377">IF(
 D377&lt;&gt;"BUILDING",
 "",
 IF(
  Player!$H$1="Active",
  _xlfn.XLOOKUP(
   A377,
   tblrecommended[ActiveTargetID],
   tblrecommended[Order],
   ""
  ),
  _xlfn.XLOOKUP(
   A377,
   tblrecommended[PassiveTargetID],
   tblrecommended[Order],
   ""
  )
 )
)</f>
        <v/>
      </c>
    </row>
    <row r="378" ht="25.5" customHeight="1">
      <c r="A378" s="26" t="s">
        <v>1502</v>
      </c>
      <c r="B378" s="26" t="str">
        <f t="array" ref="B378">_xlfn.XLOOKUP(Checklist!$A378,tblTargets[TargetID],tblTargets[DisplayName])</f>
        <v>Discover the gate in 3C to F2</v>
      </c>
      <c r="C378" s="21" t="str">
        <f t="array" ref="C378">_xlfn.XLOOKUP(
 A378,
 tblTargetStatus[TargetID],
 tblTargetStatus[successors],
 ""
)</f>
        <v>Once Upon a Forest Chapter 4 Finished</v>
      </c>
      <c r="D378" s="26" t="str">
        <f t="array" ref="D378">_xlfn.XLOOKUP(
 A378,
 tblTargets[TargetID],
 tblTargets[TargetType],
 ""
)</f>
        <v>STATE</v>
      </c>
      <c r="E378" s="45" t="str">
        <f t="array" ref="E378">_xlfn.XLOOKUP(
 A378,
 tblTargetStatus[TargetID],
 tblTargetStatus[ChainAwareStatus],
 ""
)</f>
        <v>BLOCKED</v>
      </c>
      <c r="F378" s="45"/>
      <c r="G378" s="45" t="b">
        <v>0</v>
      </c>
      <c r="H378" s="45" t="str">
        <f t="array" ref="H378">_xlfn.XLOOKUP(
 A378,
 tblTargetStatus[TargetID],
 tblTargetStatus[TargetFunded],
 ""
)</f>
        <v>N/A</v>
      </c>
      <c r="I378" s="45" t="str">
        <f t="array" ref="I378">IF(
 D378&lt;&gt;"BUILDING",
 "",
 IF(
  Player!$H$1="Active",
  _xlfn.XLOOKUP(
   A378,
   tblrecommended[ActiveTargetID],
   tblrecommended[Order],
   ""
  ),
  _xlfn.XLOOKUP(
   A378,
   tblrecommended[PassiveTargetID],
   tblrecommended[Order],
   ""
  )
 )
)</f>
        <v/>
      </c>
    </row>
    <row r="379" ht="25.5" customHeight="1">
      <c r="A379" s="26" t="s">
        <v>1505</v>
      </c>
      <c r="B379" s="26" t="str">
        <f t="array" ref="B379">_xlfn.XLOOKUP(Checklist!$A379,tblTargets[TargetID],tblTargets[DisplayName])</f>
        <v>Discover the gate in 4C to F3</v>
      </c>
      <c r="C379" s="21" t="str">
        <f t="array" ref="C379">_xlfn.XLOOKUP(
 A379,
 tblTargetStatus[TargetID],
 tblTargetStatus[successors],
 ""
)</f>
        <v>Once Upon a Forest Chapter 4 Finished</v>
      </c>
      <c r="D379" s="26" t="str">
        <f t="array" ref="D379">_xlfn.XLOOKUP(
 A379,
 tblTargets[TargetID],
 tblTargets[TargetType],
 ""
)</f>
        <v>STATE</v>
      </c>
      <c r="E379" s="45" t="str">
        <f t="array" ref="E379">_xlfn.XLOOKUP(
 A379,
 tblTargetStatus[TargetID],
 tblTargetStatus[ChainAwareStatus],
 ""
)</f>
        <v>BLOCKED</v>
      </c>
      <c r="F379" s="45"/>
      <c r="G379" s="45" t="b">
        <v>0</v>
      </c>
      <c r="H379" s="45" t="str">
        <f t="array" ref="H379">_xlfn.XLOOKUP(
 A379,
 tblTargetStatus[TargetID],
 tblTargetStatus[TargetFunded],
 ""
)</f>
        <v>N/A</v>
      </c>
      <c r="I379" s="45" t="str">
        <f t="array" ref="I379">IF(
 D379&lt;&gt;"BUILDING",
 "",
 IF(
  Player!$H$1="Active",
  _xlfn.XLOOKUP(
   A379,
   tblrecommended[ActiveTargetID],
   tblrecommended[Order],
   ""
  ),
  _xlfn.XLOOKUP(
   A379,
   tblrecommended[PassiveTargetID],
   tblrecommended[Order],
   ""
  )
 )
)</f>
        <v/>
      </c>
    </row>
    <row r="380" ht="25.5" customHeight="1">
      <c r="A380" s="26" t="s">
        <v>1507</v>
      </c>
      <c r="B380" s="26" t="str">
        <f t="array" ref="B380">_xlfn.XLOOKUP(Checklist!$A380,tblTargets[TargetID],tblTargets[DisplayName])</f>
        <v>Discover the gate in 5C to F4</v>
      </c>
      <c r="C380" s="21" t="str">
        <f t="array" ref="C380">_xlfn.XLOOKUP(
 A380,
 tblTargetStatus[TargetID],
 tblTargetStatus[successors],
 ""
)</f>
        <v>Once Upon a Forest Chapter 4 Finished</v>
      </c>
      <c r="D380" s="26" t="str">
        <f t="array" ref="D380">_xlfn.XLOOKUP(
 A380,
 tblTargets[TargetID],
 tblTargets[TargetType],
 ""
)</f>
        <v>STATE</v>
      </c>
      <c r="E380" s="45" t="str">
        <f t="array" ref="E380">_xlfn.XLOOKUP(
 A380,
 tblTargetStatus[TargetID],
 tblTargetStatus[ChainAwareStatus],
 ""
)</f>
        <v>BLOCKED</v>
      </c>
      <c r="F380" s="45"/>
      <c r="G380" s="45" t="b">
        <v>0</v>
      </c>
      <c r="H380" s="45" t="str">
        <f t="array" ref="H380">_xlfn.XLOOKUP(
 A380,
 tblTargetStatus[TargetID],
 tblTargetStatus[TargetFunded],
 ""
)</f>
        <v>N/A</v>
      </c>
      <c r="I380" s="45" t="str">
        <f t="array" ref="I380">IF(
 D380&lt;&gt;"BUILDING",
 "",
 IF(
  Player!$H$1="Active",
  _xlfn.XLOOKUP(
   A380,
   tblrecommended[ActiveTargetID],
   tblrecommended[Order],
   ""
  ),
  _xlfn.XLOOKUP(
   A380,
   tblrecommended[PassiveTargetID],
   tblrecommended[Order],
   ""
  )
 )
)</f>
        <v/>
      </c>
    </row>
    <row r="381" ht="25.5" customHeight="1">
      <c r="A381" s="26" t="s">
        <v>1509</v>
      </c>
      <c r="B381" s="26" t="str">
        <f t="array" ref="B381">_xlfn.XLOOKUP(Checklist!$A381,tblTargets[TargetID],tblTargets[DisplayName])</f>
        <v>Find Goat in 6B</v>
      </c>
      <c r="C381" s="21" t="str">
        <f t="array" ref="C381">_xlfn.XLOOKUP(
 A381,
 tblTargetStatus[TargetID],
 tblTargetStatus[successors],
 ""
)</f>
        <v>The Ordinary Days of an Adventurer Chapter 1 Finished</v>
      </c>
      <c r="D381" s="26" t="str">
        <f t="array" ref="D381">_xlfn.XLOOKUP(
 A381,
 tblTargets[TargetID],
 tblTargets[TargetType],
 ""
)</f>
        <v>STATE</v>
      </c>
      <c r="E381" s="45" t="str">
        <f t="array" ref="E381">_xlfn.XLOOKUP(
 A381,
 tblTargetStatus[TargetID],
 tblTargetStatus[ChainAwareStatus],
 ""
)</f>
        <v>BLOCKED</v>
      </c>
      <c r="F381" s="45"/>
      <c r="G381" s="45" t="b">
        <v>0</v>
      </c>
      <c r="H381" s="45" t="str">
        <f t="array" ref="H381">_xlfn.XLOOKUP(
 A381,
 tblTargetStatus[TargetID],
 tblTargetStatus[TargetFunded],
 ""
)</f>
        <v>N/A</v>
      </c>
      <c r="I381" s="45" t="str">
        <f t="array" ref="I381">IF(
 D381&lt;&gt;"BUILDING",
 "",
 IF(
  Player!$H$1="Active",
  _xlfn.XLOOKUP(
   A381,
   tblrecommended[ActiveTargetID],
   tblrecommended[Order],
   ""
  ),
  _xlfn.XLOOKUP(
   A381,
   tblrecommended[PassiveTargetID],
   tblrecommended[Order],
   ""
  )
 )
)</f>
        <v/>
      </c>
    </row>
    <row r="382" ht="25.5" customHeight="1">
      <c r="A382" s="26" t="s">
        <v>1512</v>
      </c>
      <c r="B382" s="26" t="str">
        <f t="array" ref="B382">_xlfn.XLOOKUP(Checklist!$A382,tblTargets[TargetID],tblTargets[DisplayName])</f>
        <v>Find Jade Gate in 2C</v>
      </c>
      <c r="C382" s="21" t="str">
        <f t="array" ref="C382">_xlfn.XLOOKUP(
 A382,
 tblTargetStatus[TargetID],
 tblTargetStatus[successors],
 ""
)</f>
        <v>Obtain Strawberry@F1 , Once Upon a Forest Chapter 1 Finished</v>
      </c>
      <c r="D382" s="26" t="str">
        <f t="array" ref="D382">_xlfn.XLOOKUP(
 A382,
 tblTargets[TargetID],
 tblTargets[TargetType],
 ""
)</f>
        <v>STATE</v>
      </c>
      <c r="E382" s="45" t="str">
        <f t="array" ref="E382">_xlfn.XLOOKUP(
 A382,
 tblTargetStatus[TargetID],
 tblTargetStatus[ChainAwareStatus],
 ""
)</f>
        <v>BLOCKED</v>
      </c>
      <c r="F382" s="45"/>
      <c r="G382" s="45" t="b">
        <v>0</v>
      </c>
      <c r="H382" s="45" t="str">
        <f t="array" ref="H382">_xlfn.XLOOKUP(
 A382,
 tblTargetStatus[TargetID],
 tblTargetStatus[TargetFunded],
 ""
)</f>
        <v>N/A</v>
      </c>
      <c r="I382" s="45" t="str">
        <f t="array" ref="I382">IF(
 D382&lt;&gt;"BUILDING",
 "",
 IF(
  Player!$H$1="Active",
  _xlfn.XLOOKUP(
   A382,
   tblrecommended[ActiveTargetID],
   tblrecommended[Order],
   ""
  ),
  _xlfn.XLOOKUP(
   A382,
   tblrecommended[PassiveTargetID],
   tblrecommended[Order],
   ""
  )
 )
)</f>
        <v/>
      </c>
    </row>
    <row r="383" ht="25.5" customHeight="1">
      <c r="A383" s="26" t="s">
        <v>1514</v>
      </c>
      <c r="B383" s="26" t="str">
        <f t="array" ref="B383">_xlfn.XLOOKUP(Checklist!$A383,tblTargets[TargetID],tblTargets[DisplayName])</f>
        <v>Meet Alchemist in 6D</v>
      </c>
      <c r="C383" s="21" t="str">
        <f t="array" ref="C383">_xlfn.XLOOKUP(
 A383,
 tblTargetStatus[TargetID],
 tblTargetStatus[successors],
 ""
)</f>
        <v>Ahead of Time Chapter 3 Finished</v>
      </c>
      <c r="D383" s="26" t="str">
        <f t="array" ref="D383">_xlfn.XLOOKUP(
 A383,
 tblTargets[TargetID],
 tblTargets[TargetType],
 ""
)</f>
        <v>STATE</v>
      </c>
      <c r="E383" s="45" t="str">
        <f t="array" ref="E383">_xlfn.XLOOKUP(
 A383,
 tblTargetStatus[TargetID],
 tblTargetStatus[ChainAwareStatus],
 ""
)</f>
        <v>BLOCKED</v>
      </c>
      <c r="F383" s="45"/>
      <c r="G383" s="45" t="b">
        <v>0</v>
      </c>
      <c r="H383" s="45" t="str">
        <f t="array" ref="H383">_xlfn.XLOOKUP(
 A383,
 tblTargetStatus[TargetID],
 tblTargetStatus[TargetFunded],
 ""
)</f>
        <v>N/A</v>
      </c>
      <c r="I383" s="45" t="str">
        <f t="array" ref="I383">IF(
 D383&lt;&gt;"BUILDING",
 "",
 IF(
  Player!$H$1="Active",
  _xlfn.XLOOKUP(
   A383,
   tblrecommended[ActiveTargetID],
   tblrecommended[Order],
   ""
  ),
  _xlfn.XLOOKUP(
   A383,
   tblrecommended[PassiveTargetID],
   tblrecommended[Order],
   ""
  )
 )
)</f>
        <v/>
      </c>
    </row>
    <row r="384" ht="25.5" customHeight="1">
      <c r="A384" s="26" t="s">
        <v>1516</v>
      </c>
      <c r="B384" s="26" t="str">
        <f t="array" ref="B384">_xlfn.XLOOKUP(Checklist!$A384,tblTargets[TargetID],tblTargets[DisplayName])</f>
        <v>Meet Dark Lady@4A</v>
      </c>
      <c r="C384" s="21" t="str">
        <f t="array" ref="C384">_xlfn.XLOOKUP(
 A384,
 tblTargetStatus[TargetID],
 tblTargetStatus[successors],
 ""
)</f>
        <v>The Ring of the Dark Lady Accepted</v>
      </c>
      <c r="D384" s="26" t="str">
        <f t="array" ref="D384">_xlfn.XLOOKUP(
 A384,
 tblTargets[TargetID],
 tblTargets[TargetType],
 ""
)</f>
        <v>STATE</v>
      </c>
      <c r="E384" s="45" t="str">
        <f t="array" ref="E384">_xlfn.XLOOKUP(
 A384,
 tblTargetStatus[TargetID],
 tblTargetStatus[ChainAwareStatus],
 ""
)</f>
        <v>BLOCKED</v>
      </c>
      <c r="F384" s="45"/>
      <c r="G384" s="45" t="b">
        <v>0</v>
      </c>
      <c r="H384" s="45" t="str">
        <f t="array" ref="H384">_xlfn.XLOOKUP(
 A384,
 tblTargetStatus[TargetID],
 tblTargetStatus[TargetFunded],
 ""
)</f>
        <v>N/A</v>
      </c>
      <c r="I384" s="45" t="str">
        <f t="array" ref="I384">IF(
 D384&lt;&gt;"BUILDING",
 "",
 IF(
  Player!$H$1="Active",
  _xlfn.XLOOKUP(
   A384,
   tblrecommended[ActiveTargetID],
   tblrecommended[Order],
   ""
  ),
  _xlfn.XLOOKUP(
   A384,
   tblrecommended[PassiveTargetID],
   tblrecommended[Order],
   ""
  )
 )
)</f>
        <v/>
      </c>
    </row>
    <row r="385" ht="25.5" customHeight="1">
      <c r="A385" s="26" t="s">
        <v>1519</v>
      </c>
      <c r="B385" s="26" t="str">
        <f t="array" ref="B385">_xlfn.XLOOKUP(Checklist!$A385,tblTargets[TargetID],tblTargets[DisplayName])</f>
        <v>Meet Dark Lady@6A</v>
      </c>
      <c r="C385" s="21" t="str">
        <f t="array" ref="C385">_xlfn.XLOOKUP(
 A385,
 tblTargetStatus[TargetID],
 tblTargetStatus[successors],
 ""
)</f>
        <v>The Ordinary Days of an Adventurer Chapter 3 Accepted</v>
      </c>
      <c r="D385" s="26" t="str">
        <f t="array" ref="D385">_xlfn.XLOOKUP(
 A385,
 tblTargets[TargetID],
 tblTargets[TargetType],
 ""
)</f>
        <v>STATE</v>
      </c>
      <c r="E385" s="45" t="str">
        <f t="array" ref="E385">_xlfn.XLOOKUP(
 A385,
 tblTargetStatus[TargetID],
 tblTargetStatus[ChainAwareStatus],
 ""
)</f>
        <v>BLOCKED</v>
      </c>
      <c r="F385" s="45"/>
      <c r="G385" s="45" t="b">
        <v>0</v>
      </c>
      <c r="H385" s="45" t="str">
        <f t="array" ref="H385">_xlfn.XLOOKUP(
 A385,
 tblTargetStatus[TargetID],
 tblTargetStatus[TargetFunded],
 ""
)</f>
        <v>N/A</v>
      </c>
      <c r="I385" s="45" t="str">
        <f t="array" ref="I385">IF(
 D385&lt;&gt;"BUILDING",
 "",
 IF(
  Player!$H$1="Active",
  _xlfn.XLOOKUP(
   A385,
   tblrecommended[ActiveTargetID],
   tblrecommended[Order],
   ""
  ),
  _xlfn.XLOOKUP(
   A385,
   tblrecommended[PassiveTargetID],
   tblrecommended[Order],
   ""
  )
 )
)</f>
        <v/>
      </c>
    </row>
    <row r="386" ht="25.5" customHeight="1">
      <c r="A386" s="26" t="s">
        <v>1521</v>
      </c>
      <c r="B386" s="26" t="str">
        <f t="array" ref="B386">_xlfn.XLOOKUP(Checklist!$A386,tblTargets[TargetID],tblTargets[DisplayName])</f>
        <v>Meet Dark Lady@6B</v>
      </c>
      <c r="C386" s="21" t="str">
        <f t="array" ref="C386">_xlfn.XLOOKUP(
 A386,
 tblTargetStatus[TargetID],
 tblTargetStatus[successors],
 ""
)</f>
        <v>The Ordinary Days of an Adventurer Chapter 4 Accepted</v>
      </c>
      <c r="D386" s="26" t="str">
        <f t="array" ref="D386">_xlfn.XLOOKUP(
 A386,
 tblTargets[TargetID],
 tblTargets[TargetType],
 ""
)</f>
        <v>STATE</v>
      </c>
      <c r="E386" s="45" t="str">
        <f t="array" ref="E386">_xlfn.XLOOKUP(
 A386,
 tblTargetStatus[TargetID],
 tblTargetStatus[ChainAwareStatus],
 ""
)</f>
        <v>BLOCKED</v>
      </c>
      <c r="F386" s="45"/>
      <c r="G386" s="45" t="b">
        <v>0</v>
      </c>
      <c r="H386" s="45" t="str">
        <f t="array" ref="H386">_xlfn.XLOOKUP(
 A386,
 tblTargetStatus[TargetID],
 tblTargetStatus[TargetFunded],
 ""
)</f>
        <v>N/A</v>
      </c>
      <c r="I386" s="45" t="str">
        <f t="array" ref="I386">IF(
 D386&lt;&gt;"BUILDING",
 "",
 IF(
  Player!$H$1="Active",
  _xlfn.XLOOKUP(
   A386,
   tblrecommended[ActiveTargetID],
   tblrecommended[Order],
   ""
  ),
  _xlfn.XLOOKUP(
   A386,
   tblrecommended[PassiveTargetID],
   tblrecommended[Order],
   ""
  )
 )
)</f>
        <v/>
      </c>
    </row>
    <row r="387" ht="25.5" customHeight="1">
      <c r="A387" s="26" t="s">
        <v>1523</v>
      </c>
      <c r="B387" s="26" t="str">
        <f t="array" ref="B387">_xlfn.XLOOKUP(Checklist!$A387,tblTargets[TargetID],tblTargets[DisplayName])</f>
        <v>Meet Dark Lady@F2</v>
      </c>
      <c r="C387" s="21" t="str">
        <f t="array" ref="C387">_xlfn.XLOOKUP(
 A387,
 tblTargetStatus[TargetID],
 tblTargetStatus[successors],
 ""
)</f>
        <v>Once Upon a Forest Chapter 7 Accepted</v>
      </c>
      <c r="D387" s="26" t="str">
        <f t="array" ref="D387">_xlfn.XLOOKUP(
 A387,
 tblTargets[TargetID],
 tblTargets[TargetType],
 ""
)</f>
        <v>STATE</v>
      </c>
      <c r="E387" s="45" t="str">
        <f t="array" ref="E387">_xlfn.XLOOKUP(
 A387,
 tblTargetStatus[TargetID],
 tblTargetStatus[ChainAwareStatus],
 ""
)</f>
        <v>BLOCKED</v>
      </c>
      <c r="F387" s="45"/>
      <c r="G387" s="45" t="b">
        <v>0</v>
      </c>
      <c r="H387" s="45" t="str">
        <f t="array" ref="H387">_xlfn.XLOOKUP(
 A387,
 tblTargetStatus[TargetID],
 tblTargetStatus[TargetFunded],
 ""
)</f>
        <v>N/A</v>
      </c>
      <c r="I387" s="45" t="str">
        <f t="array" ref="I387">IF(
 D387&lt;&gt;"BUILDING",
 "",
 IF(
  Player!$H$1="Active",
  _xlfn.XLOOKUP(
   A387,
   tblrecommended[ActiveTargetID],
   tblrecommended[Order],
   ""
  ),
  _xlfn.XLOOKUP(
   A387,
   tblrecommended[PassiveTargetID],
   tblrecommended[Order],
   ""
  )
 )
)</f>
        <v/>
      </c>
    </row>
    <row r="388" ht="25.5" customHeight="1">
      <c r="A388" s="26" t="s">
        <v>1525</v>
      </c>
      <c r="B388" s="26" t="str">
        <f t="array" ref="B388">_xlfn.XLOOKUP(Checklist!$A388,tblTargets[TargetID],tblTargets[DisplayName])</f>
        <v>Meet Dark Lady in 6D</v>
      </c>
      <c r="C388" s="21" t="str">
        <f t="array" ref="C388">_xlfn.XLOOKUP(
 A388,
 tblTargetStatus[TargetID],
 tblTargetStatus[successors],
 ""
)</f>
        <v>Ahead of Time Chapter 3 Finished</v>
      </c>
      <c r="D388" s="26" t="str">
        <f t="array" ref="D388">_xlfn.XLOOKUP(
 A388,
 tblTargets[TargetID],
 tblTargets[TargetType],
 ""
)</f>
        <v>STATE</v>
      </c>
      <c r="E388" s="45" t="str">
        <f t="array" ref="E388">_xlfn.XLOOKUP(
 A388,
 tblTargetStatus[TargetID],
 tblTargetStatus[ChainAwareStatus],
 ""
)</f>
        <v>BLOCKED</v>
      </c>
      <c r="F388" s="45"/>
      <c r="G388" s="45" t="b">
        <v>0</v>
      </c>
      <c r="H388" s="45" t="str">
        <f t="array" ref="H388">_xlfn.XLOOKUP(
 A388,
 tblTargetStatus[TargetID],
 tblTargetStatus[TargetFunded],
 ""
)</f>
        <v>N/A</v>
      </c>
      <c r="I388" s="45" t="str">
        <f t="array" ref="I388">IF(
 D388&lt;&gt;"BUILDING",
 "",
 IF(
  Player!$H$1="Active",
  _xlfn.XLOOKUP(
   A388,
   tblrecommended[ActiveTargetID],
   tblrecommended[Order],
   ""
  ),
  _xlfn.XLOOKUP(
   A388,
   tblrecommended[PassiveTargetID],
   tblrecommended[Order],
   ""
  )
 )
)</f>
        <v/>
      </c>
    </row>
    <row r="389" ht="25.5" customHeight="1">
      <c r="A389" s="26" t="s">
        <v>1528</v>
      </c>
      <c r="B389" s="26" t="str">
        <f t="array" ref="B389">_xlfn.XLOOKUP(Checklist!$A389,tblTargets[TargetID],tblTargets[DisplayName])</f>
        <v>Meet Fat Demon@4A</v>
      </c>
      <c r="C389" s="21" t="str">
        <f t="array" ref="C389">_xlfn.XLOOKUP(
 A389,
 tblTargetStatus[TargetID],
 tblTargetStatus[successors],
 ""
)</f>
        <v>Culinary Battle Accepted</v>
      </c>
      <c r="D389" s="26" t="str">
        <f t="array" ref="D389">_xlfn.XLOOKUP(
 A389,
 tblTargets[TargetID],
 tblTargets[TargetType],
 ""
)</f>
        <v>STATE</v>
      </c>
      <c r="E389" s="45" t="str">
        <f t="array" ref="E389">_xlfn.XLOOKUP(
 A389,
 tblTargetStatus[TargetID],
 tblTargetStatus[ChainAwareStatus],
 ""
)</f>
        <v>BLOCKED</v>
      </c>
      <c r="F389" s="45"/>
      <c r="G389" s="45" t="b">
        <v>0</v>
      </c>
      <c r="H389" s="45" t="str">
        <f t="array" ref="H389">_xlfn.XLOOKUP(
 A389,
 tblTargetStatus[TargetID],
 tblTargetStatus[TargetFunded],
 ""
)</f>
        <v>N/A</v>
      </c>
      <c r="I389" s="45" t="str">
        <f t="array" ref="I389">IF(
 D389&lt;&gt;"BUILDING",
 "",
 IF(
  Player!$H$1="Active",
  _xlfn.XLOOKUP(
   A389,
   tblrecommended[ActiveTargetID],
   tblrecommended[Order],
   ""
  ),
  _xlfn.XLOOKUP(
   A389,
   tblrecommended[PassiveTargetID],
   tblrecommended[Order],
   ""
  )
 )
)</f>
        <v/>
      </c>
    </row>
    <row r="390" ht="25.5" customHeight="1">
      <c r="A390" s="26" t="s">
        <v>1530</v>
      </c>
      <c r="B390" s="26" t="str">
        <f t="array" ref="B390">_xlfn.XLOOKUP(Checklist!$A390,tblTargets[TargetID],tblTargets[DisplayName])</f>
        <v>Meet Foodie Demon@F2</v>
      </c>
      <c r="C390" s="21" t="str">
        <f t="array" ref="C390">_xlfn.XLOOKUP(
 A390,
 tblTargetStatus[TargetID],
 tblTargetStatus[successors],
 ""
)</f>
        <v>Once Upon a Forest Chapter 13 Accepted, Once Upon a Forest Chapter 12 Finished</v>
      </c>
      <c r="D390" s="26" t="str">
        <f t="array" ref="D390">_xlfn.XLOOKUP(
 A390,
 tblTargets[TargetID],
 tblTargets[TargetType],
 ""
)</f>
        <v>STATE</v>
      </c>
      <c r="E390" s="45" t="str">
        <f t="array" ref="E390">_xlfn.XLOOKUP(
 A390,
 tblTargetStatus[TargetID],
 tblTargetStatus[ChainAwareStatus],
 ""
)</f>
        <v>BLOCKED</v>
      </c>
      <c r="F390" s="45"/>
      <c r="G390" s="45" t="b">
        <v>0</v>
      </c>
      <c r="H390" s="45" t="str">
        <f t="array" ref="H390">_xlfn.XLOOKUP(
 A390,
 tblTargetStatus[TargetID],
 tblTargetStatus[TargetFunded],
 ""
)</f>
        <v>N/A</v>
      </c>
      <c r="I390" s="45" t="str">
        <f t="array" ref="I390">IF(
 D390&lt;&gt;"BUILDING",
 "",
 IF(
  Player!$H$1="Active",
  _xlfn.XLOOKUP(
   A390,
   tblrecommended[ActiveTargetID],
   tblrecommended[Order],
   ""
  ),
  _xlfn.XLOOKUP(
   A390,
   tblrecommended[PassiveTargetID],
   tblrecommended[Order],
   ""
  )
 )
)</f>
        <v/>
      </c>
    </row>
    <row r="391" ht="25.5" customHeight="1">
      <c r="A391" s="26" t="s">
        <v>1532</v>
      </c>
      <c r="B391" s="26" t="str">
        <f t="array" ref="B391">_xlfn.XLOOKUP(Checklist!$A391,tblTargets[TargetID],tblTargets[DisplayName])</f>
        <v>Meet Forest Fairy@F2</v>
      </c>
      <c r="C391" s="21" t="str">
        <f t="array" ref="C391">_xlfn.XLOOKUP(
 A391,
 tblTargetStatus[TargetID],
 tblTargetStatus[successors],
 ""
)</f>
        <v>Once Upon a Forest Chapter 6 Accepted</v>
      </c>
      <c r="D391" s="26" t="str">
        <f t="array" ref="D391">_xlfn.XLOOKUP(
 A391,
 tblTargets[TargetID],
 tblTargets[TargetType],
 ""
)</f>
        <v>STATE</v>
      </c>
      <c r="E391" s="45" t="str">
        <f t="array" ref="E391">_xlfn.XLOOKUP(
 A391,
 tblTargetStatus[TargetID],
 tblTargetStatus[ChainAwareStatus],
 ""
)</f>
        <v>BLOCKED</v>
      </c>
      <c r="F391" s="45"/>
      <c r="G391" s="45" t="b">
        <v>0</v>
      </c>
      <c r="H391" s="45" t="str">
        <f t="array" ref="H391">_xlfn.XLOOKUP(
 A391,
 tblTargetStatus[TargetID],
 tblTargetStatus[TargetFunded],
 ""
)</f>
        <v>N/A</v>
      </c>
      <c r="I391" s="45" t="str">
        <f t="array" ref="I391">IF(
 D391&lt;&gt;"BUILDING",
 "",
 IF(
  Player!$H$1="Active",
  _xlfn.XLOOKUP(
   A391,
   tblrecommended[ActiveTargetID],
   tblrecommended[Order],
   ""
  ),
  _xlfn.XLOOKUP(
   A391,
   tblrecommended[PassiveTargetID],
   tblrecommended[Order],
   ""
  )
 )
)</f>
        <v/>
      </c>
    </row>
    <row r="392" ht="25.5" customHeight="1">
      <c r="A392" s="26" t="s">
        <v>1534</v>
      </c>
      <c r="B392" s="26" t="str">
        <f t="array" ref="B392">_xlfn.XLOOKUP(Checklist!$A392,tblTargets[TargetID],tblTargets[DisplayName])</f>
        <v>Visit Dungeon@F1</v>
      </c>
      <c r="C392" s="21" t="str">
        <f t="array" ref="C392">_xlfn.XLOOKUP(
 A392,
 tblTargetStatus[TargetID],
 tblTargetStatus[successors],
 ""
)</f>
        <v>Once Upon a Forest Chapter 10 Accepted</v>
      </c>
      <c r="D392" s="26" t="str">
        <f t="array" ref="D392">_xlfn.XLOOKUP(
 A392,
 tblTargets[TargetID],
 tblTargets[TargetType],
 ""
)</f>
        <v>STATE</v>
      </c>
      <c r="E392" s="45" t="str">
        <f t="array" ref="E392">_xlfn.XLOOKUP(
 A392,
 tblTargetStatus[TargetID],
 tblTargetStatus[ChainAwareStatus],
 ""
)</f>
        <v>BLOCKED</v>
      </c>
      <c r="F392" s="45"/>
      <c r="G392" s="45" t="b">
        <v>0</v>
      </c>
      <c r="H392" s="45" t="str">
        <f t="array" ref="H392">_xlfn.XLOOKUP(
 A392,
 tblTargetStatus[TargetID],
 tblTargetStatus[TargetFunded],
 ""
)</f>
        <v>N/A</v>
      </c>
      <c r="I392" s="45" t="str">
        <f t="array" ref="I392">IF(
 D392&lt;&gt;"BUILDING",
 "",
 IF(
  Player!$H$1="Active",
  _xlfn.XLOOKUP(
   A392,
   tblrecommended[ActiveTargetID],
   tblrecommended[Order],
   ""
  ),
  _xlfn.XLOOKUP(
   A392,
   tblrecommended[PassiveTargetID],
   tblrecommended[Order],
   ""
  )
 )
)</f>
        <v/>
      </c>
    </row>
    <row r="393" ht="25.5" customHeight="1">
      <c r="A393" s="26" t="s">
        <v>1538</v>
      </c>
      <c r="B393" s="26" t="str">
        <f t="array" ref="B393">_xlfn.XLOOKUP(Checklist!$A393,tblTargets[TargetID],tblTargets[DisplayName])</f>
        <v>Meet Inventor@5B</v>
      </c>
      <c r="C393" s="21" t="str">
        <f t="array" ref="C393">_xlfn.XLOOKUP(
 A393,
 tblTargetStatus[TargetID],
 tblTargetStatus[successors],
 ""
)</f>
        <v>Once Upon a Forest Chapter 9 Accepted</v>
      </c>
      <c r="D393" s="26" t="str">
        <f t="array" ref="D393">_xlfn.XLOOKUP(
 A393,
 tblTargets[TargetID],
 tblTargets[TargetType],
 ""
)</f>
        <v>STATE</v>
      </c>
      <c r="E393" s="45" t="str">
        <f t="array" ref="E393">_xlfn.XLOOKUP(
 A393,
 tblTargetStatus[TargetID],
 tblTargetStatus[ChainAwareStatus],
 ""
)</f>
        <v>BLOCKED</v>
      </c>
      <c r="F393" s="45"/>
      <c r="G393" s="45" t="b">
        <v>0</v>
      </c>
      <c r="H393" s="45" t="str">
        <f t="array" ref="H393">_xlfn.XLOOKUP(
 A393,
 tblTargetStatus[TargetID],
 tblTargetStatus[TargetFunded],
 ""
)</f>
        <v>N/A</v>
      </c>
      <c r="I393" s="45" t="str">
        <f t="array" ref="I393">IF(
 D393&lt;&gt;"BUILDING",
 "",
 IF(
  Player!$H$1="Active",
  _xlfn.XLOOKUP(
   A393,
   tblrecommended[ActiveTargetID],
   tblrecommended[Order],
   ""
  ),
  _xlfn.XLOOKUP(
   A393,
   tblrecommended[PassiveTargetID],
   tblrecommended[Order],
   ""
  )
 )
)</f>
        <v/>
      </c>
    </row>
    <row r="394" ht="25.5" customHeight="1">
      <c r="A394" s="26" t="s">
        <v>1540</v>
      </c>
      <c r="B394" s="26" t="str">
        <f t="array" ref="B394">_xlfn.XLOOKUP(Checklist!$A394,tblTargets[TargetID],tblTargets[DisplayName])</f>
        <v>Meet Mech Adventurer@2B</v>
      </c>
      <c r="C394" s="21" t="str">
        <f t="array" ref="C394">_xlfn.XLOOKUP(
 A394,
 tblTargetStatus[TargetID],
 tblTargetStatus[successors],
 ""
)</f>
        <v>Once Upon a Forest Chapter 1 Accepted</v>
      </c>
      <c r="D394" s="26" t="str">
        <f t="array" ref="D394">_xlfn.XLOOKUP(
 A394,
 tblTargets[TargetID],
 tblTargets[TargetType],
 ""
)</f>
        <v>STATE</v>
      </c>
      <c r="E394" s="45" t="str">
        <f t="array" ref="E394">_xlfn.XLOOKUP(
 A394,
 tblTargetStatus[TargetID],
 tblTargetStatus[ChainAwareStatus],
 ""
)</f>
        <v>BLOCKED</v>
      </c>
      <c r="F394" s="45"/>
      <c r="G394" s="45" t="b">
        <v>0</v>
      </c>
      <c r="H394" s="45" t="str">
        <f t="array" ref="H394">_xlfn.XLOOKUP(
 A394,
 tblTargetStatus[TargetID],
 tblTargetStatus[TargetFunded],
 ""
)</f>
        <v>N/A</v>
      </c>
      <c r="I394" s="45" t="str">
        <f t="array" ref="I394">IF(
 D394&lt;&gt;"BUILDING",
 "",
 IF(
  Player!$H$1="Active",
  _xlfn.XLOOKUP(
   A394,
   tblrecommended[ActiveTargetID],
   tblrecommended[Order],
   ""
  ),
  _xlfn.XLOOKUP(
   A394,
   tblrecommended[PassiveTargetID],
   tblrecommended[Order],
   ""
  )
 )
)</f>
        <v/>
      </c>
    </row>
    <row r="395" ht="25.5" customHeight="1">
      <c r="A395" s="26" t="s">
        <v>1542</v>
      </c>
      <c r="B395" s="26" t="str">
        <f t="array" ref="B395">_xlfn.XLOOKUP(Checklist!$A395,tblTargets[TargetID],tblTargets[DisplayName])</f>
        <v>Meet mechanical adventurer in Dungeon 3A</v>
      </c>
      <c r="C395" s="21" t="str">
        <f t="array" ref="C395">_xlfn.XLOOKUP(
 A395,
 tblTargetStatus[TargetID],
 tblTargetStatus[successors],
 ""
)</f>
        <v>Ahead of Time Chapter 1 Accepted</v>
      </c>
      <c r="D395" s="26" t="str">
        <f t="array" ref="D395">_xlfn.XLOOKUP(
 A395,
 tblTargets[TargetID],
 tblTargets[TargetType],
 ""
)</f>
        <v>STATE</v>
      </c>
      <c r="E395" s="45" t="str">
        <f t="array" ref="E395">_xlfn.XLOOKUP(
 A395,
 tblTargetStatus[TargetID],
 tblTargetStatus[ChainAwareStatus],
 ""
)</f>
        <v>BLOCKED</v>
      </c>
      <c r="F395" s="45"/>
      <c r="G395" s="45" t="b">
        <v>0</v>
      </c>
      <c r="H395" s="45" t="str">
        <f t="array" ref="H395">_xlfn.XLOOKUP(
 A395,
 tblTargetStatus[TargetID],
 tblTargetStatus[TargetFunded],
 ""
)</f>
        <v>N/A</v>
      </c>
      <c r="I395" s="45" t="str">
        <f t="array" ref="I395">IF(
 D395&lt;&gt;"BUILDING",
 "",
 IF(
  Player!$H$1="Active",
  _xlfn.XLOOKUP(
   A395,
   tblrecommended[ActiveTargetID],
   tblrecommended[Order],
   ""
  ),
  _xlfn.XLOOKUP(
   A395,
   tblrecommended[PassiveTargetID],
   tblrecommended[Order],
   ""
  )
 )
)</f>
        <v/>
      </c>
    </row>
    <row r="396" ht="25.5" customHeight="1">
      <c r="A396" s="26" t="s">
        <v>1544</v>
      </c>
      <c r="B396" s="26" t="str">
        <f t="array" ref="B396">_xlfn.XLOOKUP(Checklist!$A396,tblTargets[TargetID],tblTargets[DisplayName])</f>
        <v>Meet mechanical adventurer in Dungeon F1</v>
      </c>
      <c r="C396" s="21" t="str">
        <f t="array" ref="C396">_xlfn.XLOOKUP(
 A396,
 tblTargetStatus[TargetID],
 tblTargetStatus[successors],
 ""
)</f>
        <v>Once Upon a Forest Chapter 3 Accepted</v>
      </c>
      <c r="D396" s="26" t="str">
        <f t="array" ref="D396">_xlfn.XLOOKUP(
 A396,
 tblTargets[TargetID],
 tblTargets[TargetType],
 ""
)</f>
        <v>STATE</v>
      </c>
      <c r="E396" s="45" t="str">
        <f t="array" ref="E396">_xlfn.XLOOKUP(
 A396,
 tblTargetStatus[TargetID],
 tblTargetStatus[ChainAwareStatus],
 ""
)</f>
        <v>BLOCKED</v>
      </c>
      <c r="F396" s="45"/>
      <c r="G396" s="45" t="b">
        <v>0</v>
      </c>
      <c r="H396" s="45" t="str">
        <f t="array" ref="H396">_xlfn.XLOOKUP(
 A396,
 tblTargetStatus[TargetID],
 tblTargetStatus[TargetFunded],
 ""
)</f>
        <v>N/A</v>
      </c>
      <c r="I396" s="45" t="str">
        <f t="array" ref="I396">IF(
 D396&lt;&gt;"BUILDING",
 "",
 IF(
  Player!$H$1="Active",
  _xlfn.XLOOKUP(
   A396,
   tblrecommended[ActiveTargetID],
   tblrecommended[Order],
   ""
  ),
  _xlfn.XLOOKUP(
   A396,
   tblrecommended[PassiveTargetID],
   tblrecommended[Order],
   ""
  )
 )
)</f>
        <v/>
      </c>
    </row>
    <row r="397" ht="25.5" customHeight="1">
      <c r="A397" s="26" t="s">
        <v>1547</v>
      </c>
      <c r="B397" s="26" t="str">
        <f t="array" ref="B397">_xlfn.XLOOKUP(Checklist!$A397,tblTargets[TargetID],tblTargets[DisplayName])</f>
        <v>Meet Methusalem@F3</v>
      </c>
      <c r="C397" s="21" t="str">
        <f t="array" ref="C397">_xlfn.XLOOKUP(
 A397,
 tblTargetStatus[TargetID],
 tblTargetStatus[successors],
 ""
)</f>
        <v>The Ordinary Days of an Adventurer Chapter 1 Accepted</v>
      </c>
      <c r="D397" s="26" t="str">
        <f t="array" ref="D397">_xlfn.XLOOKUP(
 A397,
 tblTargets[TargetID],
 tblTargets[TargetType],
 ""
)</f>
        <v>STATE</v>
      </c>
      <c r="E397" s="45" t="str">
        <f t="array" ref="E397">_xlfn.XLOOKUP(
 A397,
 tblTargetStatus[TargetID],
 tblTargetStatus[ChainAwareStatus],
 ""
)</f>
        <v>BLOCKED</v>
      </c>
      <c r="F397" s="45"/>
      <c r="G397" s="45" t="b">
        <v>0</v>
      </c>
      <c r="H397" s="45" t="str">
        <f t="array" ref="H397">_xlfn.XLOOKUP(
 A397,
 tblTargetStatus[TargetID],
 tblTargetStatus[TargetFunded],
 ""
)</f>
        <v>N/A</v>
      </c>
      <c r="I397" s="45" t="str">
        <f t="array" ref="I397">IF(
 D397&lt;&gt;"BUILDING",
 "",
 IF(
  Player!$H$1="Active",
  _xlfn.XLOOKUP(
   A397,
   tblrecommended[ActiveTargetID],
   tblrecommended[Order],
   ""
  ),
  _xlfn.XLOOKUP(
   A397,
   tblrecommended[PassiveTargetID],
   tblrecommended[Order],
   ""
  )
 )
)</f>
        <v/>
      </c>
    </row>
    <row r="398" ht="25.5" customHeight="1">
      <c r="A398" s="26" t="s">
        <v>1549</v>
      </c>
      <c r="B398" s="26" t="str">
        <f t="array" ref="B398">_xlfn.XLOOKUP(Checklist!$A398,tblTargets[TargetID],tblTargets[DisplayName])</f>
        <v>Meet Mr Diligence@F1</v>
      </c>
      <c r="C398" s="21" t="str">
        <f t="array" ref="C398">_xlfn.XLOOKUP(
 A398,
 tblTargetStatus[TargetID],
 tblTargetStatus[successors],
 ""
)</f>
        <v>Once Upon a Forest Chapter 12 Accepted</v>
      </c>
      <c r="D398" s="26" t="str">
        <f t="array" ref="D398">_xlfn.XLOOKUP(
 A398,
 tblTargets[TargetID],
 tblTargets[TargetType],
 ""
)</f>
        <v>STATE</v>
      </c>
      <c r="E398" s="45" t="str">
        <f t="array" ref="E398">_xlfn.XLOOKUP(
 A398,
 tblTargetStatus[TargetID],
 tblTargetStatus[ChainAwareStatus],
 ""
)</f>
        <v>BLOCKED</v>
      </c>
      <c r="F398" s="45"/>
      <c r="G398" s="45" t="b">
        <v>0</v>
      </c>
      <c r="H398" s="45" t="str">
        <f t="array" ref="H398">_xlfn.XLOOKUP(
 A398,
 tblTargetStatus[TargetID],
 tblTargetStatus[TargetFunded],
 ""
)</f>
        <v>N/A</v>
      </c>
      <c r="I398" s="45" t="str">
        <f t="array" ref="I398">IF(
 D398&lt;&gt;"BUILDING",
 "",
 IF(
  Player!$H$1="Active",
  _xlfn.XLOOKUP(
   A398,
   tblrecommended[ActiveTargetID],
   tblrecommended[Order],
   ""
  ),
  _xlfn.XLOOKUP(
   A398,
   tblrecommended[PassiveTargetID],
   tblrecommended[Order],
   ""
  )
 )
)</f>
        <v/>
      </c>
    </row>
    <row r="399" ht="25.5" customHeight="1">
      <c r="A399" s="26" t="s">
        <v>1551</v>
      </c>
      <c r="B399" s="26" t="str">
        <f t="array" ref="B399">_xlfn.XLOOKUP(Checklist!$A399,tblTargets[TargetID],tblTargets[DisplayName])</f>
        <v>Meet Mrs Diligance@F2</v>
      </c>
      <c r="C399" s="21" t="str">
        <f t="array" ref="C399">_xlfn.XLOOKUP(
 A399,
 tblTargetStatus[TargetID],
 tblTargetStatus[successors],
 ""
)</f>
        <v>Once Upon a Forest Chapter 5 Accepted</v>
      </c>
      <c r="D399" s="26" t="str">
        <f t="array" ref="D399">_xlfn.XLOOKUP(
 A399,
 tblTargets[TargetID],
 tblTargets[TargetType],
 ""
)</f>
        <v>STATE</v>
      </c>
      <c r="E399" s="45" t="str">
        <f t="array" ref="E399">_xlfn.XLOOKUP(
 A399,
 tblTargetStatus[TargetID],
 tblTargetStatus[ChainAwareStatus],
 ""
)</f>
        <v>BLOCKED</v>
      </c>
      <c r="F399" s="45"/>
      <c r="G399" s="45" t="b">
        <v>0</v>
      </c>
      <c r="H399" s="45" t="str">
        <f t="array" ref="H399">_xlfn.XLOOKUP(
 A399,
 tblTargetStatus[TargetID],
 tblTargetStatus[TargetFunded],
 ""
)</f>
        <v>N/A</v>
      </c>
      <c r="I399" s="45" t="str">
        <f t="array" ref="I399">IF(
 D399&lt;&gt;"BUILDING",
 "",
 IF(
  Player!$H$1="Active",
  _xlfn.XLOOKUP(
   A399,
   tblrecommended[ActiveTargetID],
   tblrecommended[Order],
   ""
  ),
  _xlfn.XLOOKUP(
   A399,
   tblrecommended[PassiveTargetID],
   tblrecommended[Order],
   ""
  )
 )
)</f>
        <v/>
      </c>
    </row>
    <row r="400" ht="25.5" customHeight="1">
      <c r="A400" s="26" t="s">
        <v>1554</v>
      </c>
      <c r="B400" s="26" t="str">
        <f t="array" ref="B400">_xlfn.XLOOKUP(Checklist!$A400,tblTargets[TargetID],tblTargets[DisplayName])</f>
        <v>Meet Old Man@4C</v>
      </c>
      <c r="C400" s="21" t="str">
        <f t="array" ref="C400">_xlfn.XLOOKUP(
 A400,
 tblTargetStatus[TargetID],
 tblTargetStatus[successors],
 ""
)</f>
        <v>Dragon teeth Accepted</v>
      </c>
      <c r="D400" s="26" t="str">
        <f t="array" ref="D400">_xlfn.XLOOKUP(
 A400,
 tblTargets[TargetID],
 tblTargets[TargetType],
 ""
)</f>
        <v>STATE</v>
      </c>
      <c r="E400" s="45" t="str">
        <f t="array" ref="E400">_xlfn.XLOOKUP(
 A400,
 tblTargetStatus[TargetID],
 tblTargetStatus[ChainAwareStatus],
 ""
)</f>
        <v>BLOCKED</v>
      </c>
      <c r="F400" s="45"/>
      <c r="G400" s="45" t="b">
        <v>0</v>
      </c>
      <c r="H400" s="45" t="str">
        <f t="array" ref="H400">_xlfn.XLOOKUP(
 A400,
 tblTargetStatus[TargetID],
 tblTargetStatus[TargetFunded],
 ""
)</f>
        <v>N/A</v>
      </c>
      <c r="I400" s="45" t="str">
        <f t="array" ref="I400">IF(
 D400&lt;&gt;"BUILDING",
 "",
 IF(
  Player!$H$1="Active",
  _xlfn.XLOOKUP(
   A400,
   tblrecommended[ActiveTargetID],
   tblrecommended[Order],
   ""
  ),
  _xlfn.XLOOKUP(
   A400,
   tblrecommended[PassiveTargetID],
   tblrecommended[Order],
   ""
  )
 )
)</f>
        <v/>
      </c>
    </row>
    <row r="401" ht="25.5" customHeight="1">
      <c r="A401" s="26" t="s">
        <v>1556</v>
      </c>
      <c r="B401" s="26" t="str">
        <f t="array" ref="B401">_xlfn.XLOOKUP(Checklist!$A401,tblTargets[TargetID],tblTargets[DisplayName])</f>
        <v>Meet Pilot@F3</v>
      </c>
      <c r="C401" s="21" t="str">
        <f t="array" ref="C401">_xlfn.XLOOKUP(
 A401,
 tblTargetStatus[TargetID],
 tblTargetStatus[successors],
 ""
)</f>
        <v>Once Upon a Forest Chapter 11 Accepted</v>
      </c>
      <c r="D401" s="26" t="str">
        <f t="array" ref="D401">_xlfn.XLOOKUP(
 A401,
 tblTargets[TargetID],
 tblTargets[TargetType],
 ""
)</f>
        <v>STATE</v>
      </c>
      <c r="E401" s="45" t="str">
        <f t="array" ref="E401">_xlfn.XLOOKUP(
 A401,
 tblTargetStatus[TargetID],
 tblTargetStatus[ChainAwareStatus],
 ""
)</f>
        <v>BLOCKED</v>
      </c>
      <c r="F401" s="45"/>
      <c r="G401" s="45" t="b">
        <v>0</v>
      </c>
      <c r="H401" s="45" t="str">
        <f t="array" ref="H401">_xlfn.XLOOKUP(
 A401,
 tblTargetStatus[TargetID],
 tblTargetStatus[TargetFunded],
 ""
)</f>
        <v>N/A</v>
      </c>
      <c r="I401" s="45" t="str">
        <f t="array" ref="I401">IF(
 D401&lt;&gt;"BUILDING",
 "",
 IF(
  Player!$H$1="Active",
  _xlfn.XLOOKUP(
   A401,
   tblrecommended[ActiveTargetID],
   tblrecommended[Order],
   ""
  ),
  _xlfn.XLOOKUP(
   A401,
   tblrecommended[PassiveTargetID],
   tblrecommended[Order],
   ""
  )
 )
)</f>
        <v/>
      </c>
    </row>
    <row r="402" ht="25.5" customHeight="1">
      <c r="A402" s="26" t="s">
        <v>1559</v>
      </c>
      <c r="B402" s="26" t="str">
        <f t="array" ref="B402">_xlfn.XLOOKUP(Checklist!$A402,tblTargets[TargetID],tblTargets[DisplayName])</f>
        <v>Meet Pirate Skeleton@3A</v>
      </c>
      <c r="C402" s="21" t="str">
        <f t="array" ref="C402">_xlfn.XLOOKUP(
 A402,
 tblTargetStatus[TargetID],
 tblTargetStatus[successors],
 ""
)</f>
        <v>Treasure Island Accepted</v>
      </c>
      <c r="D402" s="26" t="str">
        <f t="array" ref="D402">_xlfn.XLOOKUP(
 A402,
 tblTargets[TargetID],
 tblTargets[TargetType],
 ""
)</f>
        <v>STATE</v>
      </c>
      <c r="E402" s="45" t="str">
        <f t="array" ref="E402">_xlfn.XLOOKUP(
 A402,
 tblTargetStatus[TargetID],
 tblTargetStatus[ChainAwareStatus],
 ""
)</f>
        <v>BLOCKED</v>
      </c>
      <c r="F402" s="45"/>
      <c r="G402" s="45" t="b">
        <v>0</v>
      </c>
      <c r="H402" s="45" t="str">
        <f t="array" ref="H402">_xlfn.XLOOKUP(
 A402,
 tblTargetStatus[TargetID],
 tblTargetStatus[TargetFunded],
 ""
)</f>
        <v>N/A</v>
      </c>
      <c r="I402" s="45" t="str">
        <f t="array" ref="I402">IF(
 D402&lt;&gt;"BUILDING",
 "",
 IF(
  Player!$H$1="Active",
  _xlfn.XLOOKUP(
   A402,
   tblrecommended[ActiveTargetID],
   tblrecommended[Order],
   ""
  ),
  _xlfn.XLOOKUP(
   A402,
   tblrecommended[PassiveTargetID],
   tblrecommended[Order],
   ""
  )
 )
)</f>
        <v/>
      </c>
    </row>
    <row r="403" ht="25.5" customHeight="1">
      <c r="A403" s="26" t="s">
        <v>1561</v>
      </c>
      <c r="B403" s="26" t="str">
        <f t="array" ref="B403">_xlfn.XLOOKUP(Checklist!$A403,tblTargets[TargetID],tblTargets[DisplayName])</f>
        <v>Meet Raven @F1 on first entrance</v>
      </c>
      <c r="C403" s="21" t="str">
        <f t="array" ref="C403">_xlfn.XLOOKUP(
 A403,
 tblTargetStatus[TargetID],
 tblTargetStatus[successors],
 ""
)</f>
        <v>Once Upon a Forest Chapter 2 Accepted</v>
      </c>
      <c r="D403" s="26" t="str">
        <f t="array" ref="D403">_xlfn.XLOOKUP(
 A403,
 tblTargets[TargetID],
 tblTargets[TargetType],
 ""
)</f>
        <v>STATE</v>
      </c>
      <c r="E403" s="45" t="str">
        <f t="array" ref="E403">_xlfn.XLOOKUP(
 A403,
 tblTargetStatus[TargetID],
 tblTargetStatus[ChainAwareStatus],
 ""
)</f>
        <v>BLOCKED</v>
      </c>
      <c r="F403" s="45"/>
      <c r="G403" s="45" t="b">
        <v>0</v>
      </c>
      <c r="H403" s="45" t="str">
        <f t="array" ref="H403">_xlfn.XLOOKUP(
 A403,
 tblTargetStatus[TargetID],
 tblTargetStatus[TargetFunded],
 ""
)</f>
        <v>N/A</v>
      </c>
      <c r="I403" s="45" t="str">
        <f t="array" ref="I403">IF(
 D403&lt;&gt;"BUILDING",
 "",
 IF(
  Player!$H$1="Active",
  _xlfn.XLOOKUP(
   A403,
   tblrecommended[ActiveTargetID],
   tblrecommended[Order],
   ""
  ),
  _xlfn.XLOOKUP(
   A403,
   tblrecommended[PassiveTargetID],
   tblrecommended[Order],
   ""
  )
 )
)</f>
        <v/>
      </c>
    </row>
    <row r="404" ht="25.5" customHeight="1">
      <c r="A404" s="26" t="s">
        <v>1563</v>
      </c>
      <c r="B404" s="26" t="str">
        <f t="array" ref="B404">_xlfn.XLOOKUP(Checklist!$A404,tblTargets[TargetID],tblTargets[DisplayName])</f>
        <v>Repeat Visit Dungeon@ F1</v>
      </c>
      <c r="C404" s="21" t="str">
        <f t="array" ref="C404">_xlfn.XLOOKUP(
 A404,
 tblTargetStatus[TargetID],
 tblTargetStatus[successors],
 ""
)</f>
        <v>Once Upon a Forest Chapter 4 Accepted</v>
      </c>
      <c r="D404" s="26" t="str">
        <f t="array" ref="D404">_xlfn.XLOOKUP(
 A404,
 tblTargets[TargetID],
 tblTargets[TargetType],
 ""
)</f>
        <v>STATE</v>
      </c>
      <c r="E404" s="45" t="str">
        <f t="array" ref="E404">_xlfn.XLOOKUP(
 A404,
 tblTargetStatus[TargetID],
 tblTargetStatus[ChainAwareStatus],
 ""
)</f>
        <v>BLOCKED</v>
      </c>
      <c r="F404" s="45"/>
      <c r="G404" s="45" t="b">
        <v>0</v>
      </c>
      <c r="H404" s="45" t="str">
        <f t="array" ref="H404">_xlfn.XLOOKUP(
 A404,
 tblTargetStatus[TargetID],
 tblTargetStatus[TargetFunded],
 ""
)</f>
        <v>N/A</v>
      </c>
      <c r="I404" s="45" t="str">
        <f t="array" ref="I404">IF(
 D404&lt;&gt;"BUILDING",
 "",
 IF(
  Player!$H$1="Active",
  _xlfn.XLOOKUP(
   A404,
   tblrecommended[ActiveTargetID],
   tblrecommended[Order],
   ""
  ),
  _xlfn.XLOOKUP(
   A404,
   tblrecommended[PassiveTargetID],
   tblrecommended[Order],
   ""
  )
 )
)</f>
        <v/>
      </c>
    </row>
    <row r="405" ht="25.5" customHeight="1">
      <c r="A405" s="26" t="s">
        <v>1565</v>
      </c>
      <c r="B405" s="26" t="str">
        <f t="array" ref="B405">_xlfn.XLOOKUP(Checklist!$A405,tblTargets[TargetID],tblTargets[DisplayName])</f>
        <v>Meet Raven@F1</v>
      </c>
      <c r="C405" s="21" t="str">
        <f t="array" ref="C405">_xlfn.XLOOKUP(
 A405,
 tblTargetStatus[TargetID],
 tblTargetStatus[successors],
 ""
)</f>
        <v>Once Upon a Forest Chapter 15 Accepted</v>
      </c>
      <c r="D405" s="26" t="str">
        <f t="array" ref="D405">_xlfn.XLOOKUP(
 A405,
 tblTargets[TargetID],
 tblTargets[TargetType],
 ""
)</f>
        <v>STATE</v>
      </c>
      <c r="E405" s="45" t="str">
        <f t="array" ref="E405">_xlfn.XLOOKUP(
 A405,
 tblTargetStatus[TargetID],
 tblTargetStatus[ChainAwareStatus],
 ""
)</f>
        <v>BLOCKED</v>
      </c>
      <c r="F405" s="45"/>
      <c r="G405" s="45" t="b">
        <v>0</v>
      </c>
      <c r="H405" s="45" t="str">
        <f t="array" ref="H405">_xlfn.XLOOKUP(
 A405,
 tblTargetStatus[TargetID],
 tblTargetStatus[TargetFunded],
 ""
)</f>
        <v>N/A</v>
      </c>
      <c r="I405" s="45" t="str">
        <f t="array" ref="I405">IF(
 D405&lt;&gt;"BUILDING",
 "",
 IF(
  Player!$H$1="Active",
  _xlfn.XLOOKUP(
   A405,
   tblrecommended[ActiveTargetID],
   tblrecommended[Order],
   ""
  ),
  _xlfn.XLOOKUP(
   A405,
   tblrecommended[PassiveTargetID],
   tblrecommended[Order],
   ""
  )
 )
)</f>
        <v/>
      </c>
    </row>
    <row r="406" ht="25.5" customHeight="1">
      <c r="A406" s="26" t="s">
        <v>1568</v>
      </c>
      <c r="B406" s="26" t="str">
        <f t="array" ref="B406">_xlfn.XLOOKUP(Checklist!$A406,tblTargets[TargetID],tblTargets[DisplayName])</f>
        <v>Meet the raven in F2</v>
      </c>
      <c r="C406" s="21" t="str">
        <f t="array" ref="C406">_xlfn.XLOOKUP(
 A406,
 tblTargetStatus[TargetID],
 tblTargetStatus[successors],
 ""
)</f>
        <v>Once Upon a Forest Chapter 15 Finished</v>
      </c>
      <c r="D406" s="26" t="str">
        <f t="array" ref="D406">_xlfn.XLOOKUP(
 A406,
 tblTargets[TargetID],
 tblTargets[TargetType],
 ""
)</f>
        <v>STATE</v>
      </c>
      <c r="E406" s="45" t="str">
        <f t="array" ref="E406">_xlfn.XLOOKUP(
 A406,
 tblTargetStatus[TargetID],
 tblTargetStatus[ChainAwareStatus],
 ""
)</f>
        <v>BLOCKED</v>
      </c>
      <c r="F406" s="45"/>
      <c r="G406" s="45" t="b">
        <v>0</v>
      </c>
      <c r="H406" s="45" t="str">
        <f t="array" ref="H406">_xlfn.XLOOKUP(
 A406,
 tblTargetStatus[TargetID],
 tblTargetStatus[TargetFunded],
 ""
)</f>
        <v>N/A</v>
      </c>
      <c r="I406" s="45" t="str">
        <f t="array" ref="I406">IF(
 D406&lt;&gt;"BUILDING",
 "",
 IF(
  Player!$H$1="Active",
  _xlfn.XLOOKUP(
   A406,
   tblrecommended[ActiveTargetID],
   tblrecommended[Order],
   ""
  ),
  _xlfn.XLOOKUP(
   A406,
   tblrecommended[PassiveTargetID],
   tblrecommended[Order],
   ""
  )
 )
)</f>
        <v/>
      </c>
    </row>
    <row r="407" ht="25.5" customHeight="1">
      <c r="A407" s="26" t="s">
        <v>1570</v>
      </c>
      <c r="B407" s="26" t="str">
        <f t="array" ref="B407">_xlfn.XLOOKUP(Checklist!$A407,tblTargets[TargetID],tblTargets[DisplayName])</f>
        <v>Meet Raven@F3</v>
      </c>
      <c r="C407" s="21" t="str">
        <f t="array" ref="C407">_xlfn.XLOOKUP(
 A407,
 tblTargetStatus[TargetID],
 tblTargetStatus[successors],
 ""
)</f>
        <v>Once Upon a Forest Chapter 8 Accepted</v>
      </c>
      <c r="D407" s="26" t="str">
        <f t="array" ref="D407">_xlfn.XLOOKUP(
 A407,
 tblTargets[TargetID],
 tblTargets[TargetType],
 ""
)</f>
        <v>STATE</v>
      </c>
      <c r="E407" s="45" t="str">
        <f t="array" ref="E407">_xlfn.XLOOKUP(
 A407,
 tblTargetStatus[TargetID],
 tblTargetStatus[ChainAwareStatus],
 ""
)</f>
        <v>BLOCKED</v>
      </c>
      <c r="F407" s="45"/>
      <c r="G407" s="45" t="b">
        <v>0</v>
      </c>
      <c r="H407" s="45" t="str">
        <f t="array" ref="H407">_xlfn.XLOOKUP(
 A407,
 tblTargetStatus[TargetID],
 tblTargetStatus[TargetFunded],
 ""
)</f>
        <v>N/A</v>
      </c>
      <c r="I407" s="45" t="str">
        <f t="array" ref="I407">IF(
 D407&lt;&gt;"BUILDING",
 "",
 IF(
  Player!$H$1="Active",
  _xlfn.XLOOKUP(
   A407,
   tblrecommended[ActiveTargetID],
   tblrecommended[Order],
   ""
  ),
  _xlfn.XLOOKUP(
   A407,
   tblrecommended[PassiveTargetID],
   tblrecommended[Order],
   ""
  )
 )
)</f>
        <v/>
      </c>
    </row>
    <row r="408" ht="25.5" customHeight="1">
      <c r="A408" s="26" t="s">
        <v>1674</v>
      </c>
      <c r="B408" s="26" t="str">
        <f t="array" ref="B408">_xlfn.XLOOKUP(Checklist!$A408,tblTargets[TargetID],tblTargets[DisplayName])</f>
        <v>Visit Dungeon@ 6B</v>
      </c>
      <c r="C408" s="21" t="str">
        <f t="array" ref="C408">_xlfn.XLOOKUP(
 A408,
 tblTargetStatus[TargetID],
 tblTargetStatus[successors],
 ""
)</f>
        <v>The Ordinary Days of an Adventurer Chapter 6 Accepted</v>
      </c>
      <c r="D408" s="26" t="str">
        <f t="array" ref="D408">_xlfn.XLOOKUP(
 A408,
 tblTargets[TargetID],
 tblTargets[TargetType],
 ""
)</f>
        <v>STATE</v>
      </c>
      <c r="E408" s="45" t="str">
        <f t="array" ref="E408">_xlfn.XLOOKUP(
 A408,
 tblTargetStatus[TargetID],
 tblTargetStatus[ChainAwareStatus],
 ""
)</f>
        <v>BLOCKED</v>
      </c>
      <c r="F408" s="45"/>
      <c r="G408" s="45" t="b">
        <v>0</v>
      </c>
      <c r="H408" s="45" t="str">
        <f t="array" ref="H408">_xlfn.XLOOKUP(
 A408,
 tblTargetStatus[TargetID],
 tblTargetStatus[TargetFunded],
 ""
)</f>
        <v>N/A</v>
      </c>
      <c r="I408" s="45" t="str">
        <f t="array" ref="I408">IF(
 D408&lt;&gt;"BUILDING",
 "",
 IF(
  Player!$H$1="Active",
  _xlfn.XLOOKUP(
   A408,
   tblrecommended[ActiveTargetID],
   tblrecommended[Order],
   ""
  ),
  _xlfn.XLOOKUP(
   A408,
   tblrecommended[PassiveTargetID],
   tblrecommended[Order],
   ""
  )
 )
)</f>
        <v/>
      </c>
    </row>
    <row r="409" ht="25.5" customHeight="1">
      <c r="A409" s="26" t="s">
        <v>1572</v>
      </c>
      <c r="B409" s="26" t="str">
        <f t="array" ref="B409">_xlfn.XLOOKUP(Checklist!$A409,tblTargets[TargetID],tblTargets[DisplayName])</f>
        <v>Meet Samurai Panda@6A</v>
      </c>
      <c r="C409" s="21" t="str">
        <f t="array" ref="C409">_xlfn.XLOOKUP(
 A409,
 tblTargetStatus[TargetID],
 tblTargetStatus[successors],
 ""
)</f>
        <v>The Ordinary Days of an Adventurer Chapter 2 Accepted</v>
      </c>
      <c r="D409" s="26" t="str">
        <f t="array" ref="D409">_xlfn.XLOOKUP(
 A409,
 tblTargets[TargetID],
 tblTargets[TargetType],
 ""
)</f>
        <v>STATE</v>
      </c>
      <c r="E409" s="45" t="str">
        <f t="array" ref="E409">_xlfn.XLOOKUP(
 A409,
 tblTargetStatus[TargetID],
 tblTargetStatus[ChainAwareStatus],
 ""
)</f>
        <v>BLOCKED</v>
      </c>
      <c r="F409" s="45"/>
      <c r="G409" s="45" t="b">
        <v>0</v>
      </c>
      <c r="H409" s="45" t="str">
        <f t="array" ref="H409">_xlfn.XLOOKUP(
 A409,
 tblTargetStatus[TargetID],
 tblTargetStatus[TargetFunded],
 ""
)</f>
        <v>N/A</v>
      </c>
      <c r="I409" s="45" t="str">
        <f t="array" ref="I409">IF(
 D409&lt;&gt;"BUILDING",
 "",
 IF(
  Player!$H$1="Active",
  _xlfn.XLOOKUP(
   A409,
   tblrecommended[ActiveTargetID],
   tblrecommended[Order],
   ""
  ),
  _xlfn.XLOOKUP(
   A409,
   tblrecommended[PassiveTargetID],
   tblrecommended[Order],
   ""
  )
 )
)</f>
        <v/>
      </c>
    </row>
    <row r="410" ht="25.5" customHeight="1">
      <c r="A410" s="26" t="s">
        <v>1575</v>
      </c>
      <c r="B410" s="26" t="str">
        <f t="array" ref="B410">_xlfn.XLOOKUP(Checklist!$A410,tblTargets[TargetID],tblTargets[DisplayName])</f>
        <v>Meet Traveling Merchant @1B</v>
      </c>
      <c r="C410" s="21" t="str">
        <f t="array" ref="C410">_xlfn.XLOOKUP(
 A410,
 tblTargetStatus[TargetID],
 tblTargetStatus[successors],
 ""
)</f>
        <v>Green Potion Accepted</v>
      </c>
      <c r="D410" s="26" t="str">
        <f t="array" ref="D410">_xlfn.XLOOKUP(
 A410,
 tblTargets[TargetID],
 tblTargets[TargetType],
 ""
)</f>
        <v>STATE</v>
      </c>
      <c r="E410" s="45" t="str">
        <f t="array" ref="E410">_xlfn.XLOOKUP(
 A410,
 tblTargetStatus[TargetID],
 tblTargetStatus[ChainAwareStatus],
 ""
)</f>
        <v>BLOCKED</v>
      </c>
      <c r="F410" s="45"/>
      <c r="G410" s="45" t="b">
        <v>0</v>
      </c>
      <c r="H410" s="45" t="str">
        <f t="array" ref="H410">_xlfn.XLOOKUP(
 A410,
 tblTargetStatus[TargetID],
 tblTargetStatus[TargetFunded],
 ""
)</f>
        <v>N/A</v>
      </c>
      <c r="I410" s="45" t="str">
        <f t="array" ref="I410">IF(
 D410&lt;&gt;"BUILDING",
 "",
 IF(
  Player!$H$1="Active",
  _xlfn.XLOOKUP(
   A410,
   tblrecommended[ActiveTargetID],
   tblrecommended[Order],
   ""
  ),
  _xlfn.XLOOKUP(
   A410,
   tblrecommended[PassiveTargetID],
   tblrecommended[Order],
   ""
  )
 )
)</f>
        <v/>
      </c>
    </row>
    <row r="411" ht="25.5" customHeight="1">
      <c r="A411" s="26" t="s">
        <v>1577</v>
      </c>
      <c r="B411" s="26" t="str">
        <f t="array" ref="B411">_xlfn.XLOOKUP(Checklist!$A411,tblTargets[TargetID],tblTargets[DisplayName])</f>
        <v>Obtain 8 MALU</v>
      </c>
      <c r="C411" s="21" t="str">
        <f t="array" ref="C411">_xlfn.XLOOKUP(
 A411,
 tblTargetStatus[TargetID],
 tblTargetStatus[successors],
 ""
)</f>
        <v>Once Upon a Forest Chapter 3 Finished</v>
      </c>
      <c r="D411" s="26" t="str">
        <f t="array" ref="D411">_xlfn.XLOOKUP(
 A411,
 tblTargets[TargetID],
 tblTargets[TargetType],
 ""
)</f>
        <v>STATE</v>
      </c>
      <c r="E411" s="45" t="str">
        <f t="array" ref="E411">_xlfn.XLOOKUP(
 A411,
 tblTargetStatus[TargetID],
 tblTargetStatus[ChainAwareStatus],
 ""
)</f>
        <v>BLOCKED</v>
      </c>
      <c r="F411" s="45"/>
      <c r="G411" s="45" t="b">
        <v>0</v>
      </c>
      <c r="H411" s="45" t="str">
        <f t="array" ref="H411">_xlfn.XLOOKUP(
 A411,
 tblTargetStatus[TargetID],
 tblTargetStatus[TargetFunded],
 ""
)</f>
        <v>N/A</v>
      </c>
      <c r="I411" s="45" t="str">
        <f t="array" ref="I411">IF(
 D411&lt;&gt;"BUILDING",
 "",
 IF(
  Player!$H$1="Active",
  _xlfn.XLOOKUP(
   A411,
   tblrecommended[ActiveTargetID],
   tblrecommended[Order],
   ""
  ),
  _xlfn.XLOOKUP(
   A411,
   tblrecommended[PassiveTargetID],
   tblrecommended[Order],
   ""
  )
 )
)</f>
        <v/>
      </c>
    </row>
    <row r="412" ht="25.5" customHeight="1">
      <c r="A412" s="26" t="s">
        <v>1579</v>
      </c>
      <c r="B412" s="26" t="str">
        <f t="array" ref="B412">_xlfn.XLOOKUP(Checklist!$A412,tblTargets[TargetID],tblTargets[DisplayName])</f>
        <v>Obtain all emerald shards</v>
      </c>
      <c r="C412" s="21" t="str">
        <f t="array" ref="C412">_xlfn.XLOOKUP(
 A412,
 tblTargetStatus[TargetID],
 tblTargetStatus[successors],
 ""
)</f>
        <v>Quest for Knowledge Chapter 3 Finished</v>
      </c>
      <c r="D412" s="26" t="str">
        <f t="array" ref="D412">_xlfn.XLOOKUP(
 A412,
 tblTargets[TargetID],
 tblTargets[TargetType],
 ""
)</f>
        <v>STATE</v>
      </c>
      <c r="E412" s="45" t="str">
        <f t="array" ref="E412">_xlfn.XLOOKUP(
 A412,
 tblTargetStatus[TargetID],
 tblTargetStatus[ChainAwareStatus],
 ""
)</f>
        <v>BLOCKED</v>
      </c>
      <c r="F412" s="45"/>
      <c r="G412" s="45" t="b">
        <v>0</v>
      </c>
      <c r="H412" s="45" t="str">
        <f t="array" ref="H412">_xlfn.XLOOKUP(
 A412,
 tblTargetStatus[TargetID],
 tblTargetStatus[TargetFunded],
 ""
)</f>
        <v>N/A</v>
      </c>
      <c r="I412" s="45" t="str">
        <f t="array" ref="I412">IF(
 D412&lt;&gt;"BUILDING",
 "",
 IF(
  Player!$H$1="Active",
  _xlfn.XLOOKUP(
   A412,
   tblrecommended[ActiveTargetID],
   tblrecommended[Order],
   ""
  ),
  _xlfn.XLOOKUP(
   A412,
   tblrecommended[PassiveTargetID],
   tblrecommended[Order],
   ""
  )
 )
)</f>
        <v/>
      </c>
    </row>
    <row r="413" ht="25.5" customHeight="1">
      <c r="A413" s="26" t="s">
        <v>1582</v>
      </c>
      <c r="B413" s="26" t="str">
        <f t="array" ref="B413">_xlfn.XLOOKUP(Checklist!$A413,tblTargets[TargetID],tblTargets[DisplayName])</f>
        <v>Obtain Any Artifact</v>
      </c>
      <c r="C413" s="21" t="str">
        <f t="array" ref="C413">_xlfn.XLOOKUP(
 A413,
 tblTargetStatus[TargetID],
 tblTargetStatus[successors],
 ""
)</f>
        <v>Shogun's Katana Chapter 1 Accepted</v>
      </c>
      <c r="D413" s="26" t="str">
        <f t="array" ref="D413">_xlfn.XLOOKUP(
 A413,
 tblTargets[TargetID],
 tblTargets[TargetType],
 ""
)</f>
        <v>STATE</v>
      </c>
      <c r="E413" s="45" t="str">
        <f t="array" ref="E413">_xlfn.XLOOKUP(
 A413,
 tblTargetStatus[TargetID],
 tblTargetStatus[ChainAwareStatus],
 ""
)</f>
        <v>BLOCKED</v>
      </c>
      <c r="F413" s="45"/>
      <c r="G413" s="45" t="b">
        <v>0</v>
      </c>
      <c r="H413" s="45" t="str">
        <f t="array" ref="H413">_xlfn.XLOOKUP(
 A413,
 tblTargetStatus[TargetID],
 tblTargetStatus[TargetFunded],
 ""
)</f>
        <v>N/A</v>
      </c>
      <c r="I413" s="45" t="str">
        <f t="array" ref="I413">IF(
 D413&lt;&gt;"BUILDING",
 "",
 IF(
  Player!$H$1="Active",
  _xlfn.XLOOKUP(
   A413,
   tblrecommended[ActiveTargetID],
   tblrecommended[Order],
   ""
  ),
  _xlfn.XLOOKUP(
   A413,
   tblrecommended[PassiveTargetID],
   tblrecommended[Order],
   ""
  )
 )
)</f>
        <v/>
      </c>
    </row>
    <row r="414" ht="25.5" customHeight="1">
      <c r="A414" s="26" t="s">
        <v>1585</v>
      </c>
      <c r="B414" s="26" t="str">
        <f t="array" ref="B414">_xlfn.XLOOKUP(Checklist!$A414,tblTargets[TargetID],tblTargets[DisplayName])</f>
        <v>Craft Armor 4</v>
      </c>
      <c r="C414" s="21" t="str">
        <f t="array" ref="C414">_xlfn.XLOOKUP(
 A414,
 tblTargetStatus[TargetID],
 tblTargetStatus[successors],
 ""
)</f>
        <v>Once Upon a Forest Chapter 9 Finished</v>
      </c>
      <c r="D414" s="26" t="str">
        <f t="array" ref="D414">_xlfn.XLOOKUP(
 A414,
 tblTargets[TargetID],
 tblTargets[TargetType],
 ""
)</f>
        <v>STATE</v>
      </c>
      <c r="E414" s="45" t="str">
        <f t="array" ref="E414">_xlfn.XLOOKUP(
 A414,
 tblTargetStatus[TargetID],
 tblTargetStatus[ChainAwareStatus],
 ""
)</f>
        <v>BLOCKED</v>
      </c>
      <c r="F414" s="45"/>
      <c r="G414" s="45" t="b">
        <v>0</v>
      </c>
      <c r="H414" s="45" t="str">
        <f t="array" ref="H414">_xlfn.XLOOKUP(
 A414,
 tblTargetStatus[TargetID],
 tblTargetStatus[TargetFunded],
 ""
)</f>
        <v>N/A</v>
      </c>
      <c r="I414" s="45" t="str">
        <f t="array" ref="I414">IF(
 D414&lt;&gt;"BUILDING",
 "",
 IF(
  Player!$H$1="Active",
  _xlfn.XLOOKUP(
   A414,
   tblrecommended[ActiveTargetID],
   tblrecommended[Order],
   ""
  ),
  _xlfn.XLOOKUP(
   A414,
   tblrecommended[PassiveTargetID],
   tblrecommended[Order],
   ""
  )
 )
)</f>
        <v/>
      </c>
    </row>
    <row r="415" ht="25.5" customHeight="1">
      <c r="A415" s="26" t="s">
        <v>1587</v>
      </c>
      <c r="B415" s="26" t="str">
        <f t="array" ref="B415">_xlfn.XLOOKUP(Checklist!$A415,tblTargets[TargetID],tblTargets[DisplayName])</f>
        <v>Craft Armor 4+</v>
      </c>
      <c r="C415" s="21" t="str">
        <f t="array" ref="C415">_xlfn.XLOOKUP(
 A415,
 tblTargetStatus[TargetID],
 tblTargetStatus[successors],
 ""
)</f>
        <v>The Ordinary Days of an Adventurer Chapter 4 Finished</v>
      </c>
      <c r="D415" s="26" t="str">
        <f t="array" ref="D415">_xlfn.XLOOKUP(
 A415,
 tblTargets[TargetID],
 tblTargets[TargetType],
 ""
)</f>
        <v>STATE</v>
      </c>
      <c r="E415" s="45" t="str">
        <f t="array" ref="E415">_xlfn.XLOOKUP(
 A415,
 tblTargetStatus[TargetID],
 tblTargetStatus[ChainAwareStatus],
 ""
)</f>
        <v>BLOCKED</v>
      </c>
      <c r="F415" s="45"/>
      <c r="G415" s="45" t="b">
        <v>0</v>
      </c>
      <c r="H415" s="45" t="str">
        <f t="array" ref="H415">_xlfn.XLOOKUP(
 A415,
 tblTargetStatus[TargetID],
 tblTargetStatus[TargetFunded],
 ""
)</f>
        <v>N/A</v>
      </c>
      <c r="I415" s="45" t="str">
        <f t="array" ref="I415">IF(
 D415&lt;&gt;"BUILDING",
 "",
 IF(
  Player!$H$1="Active",
  _xlfn.XLOOKUP(
   A415,
   tblrecommended[ActiveTargetID],
   tblrecommended[Order],
   ""
  ),
  _xlfn.XLOOKUP(
   A415,
   tblrecommended[PassiveTargetID],
   tblrecommended[Order],
   ""
  )
 )
)</f>
        <v/>
      </c>
    </row>
    <row r="416" ht="25.5" customHeight="1">
      <c r="A416" s="26" t="s">
        <v>1992</v>
      </c>
      <c r="B416" s="26" t="str">
        <f t="array" ref="B416">_xlfn.XLOOKUP(Checklist!$A416,tblTargets[TargetID],tblTargets[DisplayName])</f>
        <v>Obtain Black Pearl</v>
      </c>
      <c r="C416" s="21" t="str">
        <f t="array" ref="C416">_xlfn.XLOOKUP(
 A416,
 tblTargetStatus[TargetID],
 tblTargetStatus[successors],
 ""
)</f>
        <v>Shogun's Katana Chapter 5 Finished</v>
      </c>
      <c r="D416" s="26" t="str">
        <f t="array" ref="D416">_xlfn.XLOOKUP(
 A416,
 tblTargets[TargetID],
 tblTargets[TargetType],
 ""
)</f>
        <v>STATE</v>
      </c>
      <c r="E416" s="45" t="str">
        <f t="array" ref="E416">_xlfn.XLOOKUP(
 A416,
 tblTargetStatus[TargetID],
 tblTargetStatus[ChainAwareStatus],
 ""
)</f>
        <v>BLOCKED</v>
      </c>
      <c r="F416" s="45"/>
      <c r="G416" s="45" t="b">
        <v>0</v>
      </c>
      <c r="H416" s="45" t="str">
        <f t="array" ref="H416">_xlfn.XLOOKUP(
 A416,
 tblTargetStatus[TargetID],
 tblTargetStatus[TargetFunded],
 ""
)</f>
        <v>N/A</v>
      </c>
      <c r="I416" s="45" t="str">
        <f t="array" ref="I416">IF(
 D416&lt;&gt;"BUILDING",
 "",
 IF(
  Player!$H$1="Active",
  _xlfn.XLOOKUP(
   A416,
   tblrecommended[ActiveTargetID],
   tblrecommended[Order],
   ""
  ),
  _xlfn.XLOOKUP(
   A416,
   tblrecommended[PassiveTargetID],
   tblrecommended[Order],
   ""
  )
 )
)</f>
        <v/>
      </c>
    </row>
    <row r="417" ht="25.5" customHeight="1">
      <c r="A417" s="26" t="s">
        <v>1590</v>
      </c>
      <c r="B417" s="26" t="str">
        <f t="array" ref="B417">_xlfn.XLOOKUP(Checklist!$A417,tblTargets[TargetID],tblTargets[DisplayName])</f>
        <v>Obtain Blueprint</v>
      </c>
      <c r="C417" s="21" t="str">
        <f t="array" ref="C417">_xlfn.XLOOKUP(
 A417,
 tblTargetStatus[TargetID],
 tblTargetStatus[successors],
 ""
)</f>
        <v>Journey Through Japan By Train Finished</v>
      </c>
      <c r="D417" s="26" t="str">
        <f t="array" ref="D417">_xlfn.XLOOKUP(
 A417,
 tblTargets[TargetID],
 tblTargets[TargetType],
 ""
)</f>
        <v>STATE</v>
      </c>
      <c r="E417" s="45" t="str">
        <f t="array" ref="E417">_xlfn.XLOOKUP(
 A417,
 tblTargetStatus[TargetID],
 tblTargetStatus[ChainAwareStatus],
 ""
)</f>
        <v>BLOCKED</v>
      </c>
      <c r="F417" s="45"/>
      <c r="G417" s="45" t="b">
        <v>0</v>
      </c>
      <c r="H417" s="45" t="str">
        <f t="array" ref="H417">_xlfn.XLOOKUP(
 A417,
 tblTargetStatus[TargetID],
 tblTargetStatus[TargetFunded],
 ""
)</f>
        <v>N/A</v>
      </c>
      <c r="I417" s="45" t="str">
        <f t="array" ref="I417">IF(
 D417&lt;&gt;"BUILDING",
 "",
 IF(
  Player!$H$1="Active",
  _xlfn.XLOOKUP(
   A417,
   tblrecommended[ActiveTargetID],
   tblrecommended[Order],
   ""
  ),
  _xlfn.XLOOKUP(
   A417,
   tblrecommended[PassiveTargetID],
   tblrecommended[Order],
   ""
  )
 )
)</f>
        <v/>
      </c>
    </row>
    <row r="418" ht="25.5" customHeight="1">
      <c r="A418" s="26" t="s">
        <v>1592</v>
      </c>
      <c r="B418" s="26" t="str">
        <f t="array" ref="B418">_xlfn.XLOOKUP(Checklist!$A418,tblTargets[TargetID],tblTargets[DisplayName])</f>
        <v>Obtain Hide</v>
      </c>
      <c r="C418" s="21" t="str">
        <f t="array" ref="C418">_xlfn.XLOOKUP(
 A418,
 tblTargetStatus[TargetID],
 tblTargetStatus[successors],
 ""
)</f>
        <v>Once Upon a Forest Chapter 9 Finished</v>
      </c>
      <c r="D418" s="26" t="str">
        <f t="array" ref="D418">_xlfn.XLOOKUP(
 A418,
 tblTargets[TargetID],
 tblTargets[TargetType],
 ""
)</f>
        <v>STATE</v>
      </c>
      <c r="E418" s="45" t="str">
        <f t="array" ref="E418">_xlfn.XLOOKUP(
 A418,
 tblTargetStatus[TargetID],
 tblTargetStatus[ChainAwareStatus],
 ""
)</f>
        <v>BLOCKED</v>
      </c>
      <c r="F418" s="45"/>
      <c r="G418" s="45" t="b">
        <v>0</v>
      </c>
      <c r="H418" s="45" t="str">
        <f t="array" ref="H418">_xlfn.XLOOKUP(
 A418,
 tblTargetStatus[TargetID],
 tblTargetStatus[TargetFunded],
 ""
)</f>
        <v>N/A</v>
      </c>
      <c r="I418" s="45" t="str">
        <f t="array" ref="I418">IF(
 D418&lt;&gt;"BUILDING",
 "",
 IF(
  Player!$H$1="Active",
  _xlfn.XLOOKUP(
   A418,
   tblrecommended[ActiveTargetID],
   tblrecommended[Order],
   ""
  ),
  _xlfn.XLOOKUP(
   A418,
   tblrecommended[PassiveTargetID],
   tblrecommended[Order],
   ""
  )
 )
)</f>
        <v/>
      </c>
    </row>
    <row r="419" ht="25.5" customHeight="1">
      <c r="A419" s="26" t="s">
        <v>1594</v>
      </c>
      <c r="B419" s="26" t="str">
        <f t="array" ref="B419">_xlfn.XLOOKUP(Checklist!$A419,tblTargets[TargetID],tblTargets[DisplayName])</f>
        <v>Obtain level 2 artifact</v>
      </c>
      <c r="C419" s="21" t="str">
        <f t="array" ref="C419">_xlfn.XLOOKUP(
 A419,
 tblTargetStatus[TargetID],
 tblTargetStatus[successors],
 ""
)</f>
        <v>Shogun's Katana Chapter 1 Finished</v>
      </c>
      <c r="D419" s="26" t="str">
        <f t="array" ref="D419">_xlfn.XLOOKUP(
 A419,
 tblTargets[TargetID],
 tblTargets[TargetType],
 ""
)</f>
        <v>STATE</v>
      </c>
      <c r="E419" s="45" t="str">
        <f t="array" ref="E419">_xlfn.XLOOKUP(
 A419,
 tblTargetStatus[TargetID],
 tblTargetStatus[ChainAwareStatus],
 ""
)</f>
        <v>BLOCKED</v>
      </c>
      <c r="F419" s="45"/>
      <c r="G419" s="45" t="b">
        <v>0</v>
      </c>
      <c r="H419" s="45" t="str">
        <f t="array" ref="H419">_xlfn.XLOOKUP(
 A419,
 tblTargetStatus[TargetID],
 tblTargetStatus[TargetFunded],
 ""
)</f>
        <v>N/A</v>
      </c>
      <c r="I419" s="45" t="str">
        <f t="array" ref="I419">IF(
 D419&lt;&gt;"BUILDING",
 "",
 IF(
  Player!$H$1="Active",
  _xlfn.XLOOKUP(
   A419,
   tblrecommended[ActiveTargetID],
   tblrecommended[Order],
   ""
  ),
  _xlfn.XLOOKUP(
   A419,
   tblrecommended[PassiveTargetID],
   tblrecommended[Order],
   ""
  )
 )
)</f>
        <v/>
      </c>
    </row>
    <row r="420" ht="25.5" customHeight="1">
      <c r="A420" s="26" t="s">
        <v>1597</v>
      </c>
      <c r="B420" s="26" t="str">
        <f t="array" ref="B420">_xlfn.XLOOKUP(Checklist!$A420,tblTargets[TargetID],tblTargets[DisplayName])</f>
        <v>Craft level 2 map</v>
      </c>
      <c r="C420" s="21" t="str">
        <f t="array" ref="C420">_xlfn.XLOOKUP(
 A420,
 tblTargetStatus[TargetID],
 tblTargetStatus[successors],
 ""
)</f>
        <v>Shogun's Katana Chapter 1 Finished</v>
      </c>
      <c r="D420" s="26" t="str">
        <f t="array" ref="D420">_xlfn.XLOOKUP(
 A420,
 tblTargets[TargetID],
 tblTargets[TargetType],
 ""
)</f>
        <v>STATE</v>
      </c>
      <c r="E420" s="45" t="str">
        <f t="array" ref="E420">_xlfn.XLOOKUP(
 A420,
 tblTargetStatus[TargetID],
 tblTargetStatus[ChainAwareStatus],
 ""
)</f>
        <v>BLOCKED</v>
      </c>
      <c r="F420" s="45"/>
      <c r="G420" s="45" t="b">
        <v>0</v>
      </c>
      <c r="H420" s="45" t="str">
        <f t="array" ref="H420">_xlfn.XLOOKUP(
 A420,
 tblTargetStatus[TargetID],
 tblTargetStatus[TargetFunded],
 ""
)</f>
        <v>N/A</v>
      </c>
      <c r="I420" s="45" t="str">
        <f t="array" ref="I420">IF(
 D420&lt;&gt;"BUILDING",
 "",
 IF(
  Player!$H$1="Active",
  _xlfn.XLOOKUP(
   A420,
   tblrecommended[ActiveTargetID],
   tblrecommended[Order],
   ""
  ),
  _xlfn.XLOOKUP(
   A420,
   tblrecommended[PassiveTargetID],
   tblrecommended[Order],
   ""
  )
 )
)</f>
        <v/>
      </c>
    </row>
    <row r="421" ht="25.5" customHeight="1">
      <c r="A421" s="26" t="s">
        <v>1599</v>
      </c>
      <c r="B421" s="26" t="str">
        <f t="array" ref="B421">_xlfn.XLOOKUP(Checklist!$A421,tblTargets[TargetID],tblTargets[DisplayName])</f>
        <v>Obtain level 3 artifact</v>
      </c>
      <c r="C421" s="21" t="str">
        <f t="array" ref="C421">_xlfn.XLOOKUP(
 A421,
 tblTargetStatus[TargetID],
 tblTargetStatus[successors],
 ""
)</f>
        <v>Shogun's Katana Chapter 2 Finished</v>
      </c>
      <c r="D421" s="26" t="str">
        <f t="array" ref="D421">_xlfn.XLOOKUP(
 A421,
 tblTargets[TargetID],
 tblTargets[TargetType],
 ""
)</f>
        <v>STATE</v>
      </c>
      <c r="E421" s="45" t="str">
        <f t="array" ref="E421">_xlfn.XLOOKUP(
 A421,
 tblTargetStatus[TargetID],
 tblTargetStatus[ChainAwareStatus],
 ""
)</f>
        <v>BLOCKED</v>
      </c>
      <c r="F421" s="45"/>
      <c r="G421" s="45" t="b">
        <v>0</v>
      </c>
      <c r="H421" s="45" t="str">
        <f t="array" ref="H421">_xlfn.XLOOKUP(
 A421,
 tblTargetStatus[TargetID],
 tblTargetStatus[TargetFunded],
 ""
)</f>
        <v>N/A</v>
      </c>
      <c r="I421" s="45" t="str">
        <f t="array" ref="I421">IF(
 D421&lt;&gt;"BUILDING",
 "",
 IF(
  Player!$H$1="Active",
  _xlfn.XLOOKUP(
   A421,
   tblrecommended[ActiveTargetID],
   tblrecommended[Order],
   ""
  ),
  _xlfn.XLOOKUP(
   A421,
   tblrecommended[PassiveTargetID],
   tblrecommended[Order],
   ""
  )
 )
)</f>
        <v/>
      </c>
    </row>
    <row r="422" ht="25.5" customHeight="1">
      <c r="A422" s="26" t="s">
        <v>1601</v>
      </c>
      <c r="B422" s="26" t="str">
        <f t="array" ref="B422">_xlfn.XLOOKUP(Checklist!$A422,tblTargets[TargetID],tblTargets[DisplayName])</f>
        <v>Map Catacombs</v>
      </c>
      <c r="C422" s="21" t="str">
        <f t="array" ref="C422">_xlfn.XLOOKUP(
 A422,
 tblTargetStatus[TargetID],
 tblTargetStatus[successors],
 ""
)</f>
        <v>Quest for Knowledge Chapter 4 Accepted</v>
      </c>
      <c r="D422" s="26" t="str">
        <f t="array" ref="D422">_xlfn.XLOOKUP(
 A422,
 tblTargets[TargetID],
 tblTargets[TargetType],
 ""
)</f>
        <v>STATE</v>
      </c>
      <c r="E422" s="45" t="str">
        <f t="array" ref="E422">_xlfn.XLOOKUP(
 A422,
 tblTargetStatus[TargetID],
 tblTargetStatus[ChainAwareStatus],
 ""
)</f>
        <v>BLOCKED</v>
      </c>
      <c r="F422" s="45"/>
      <c r="G422" s="45" t="b">
        <v>0</v>
      </c>
      <c r="H422" s="45" t="str">
        <f t="array" ref="H422">_xlfn.XLOOKUP(
 A422,
 tblTargetStatus[TargetID],
 tblTargetStatus[TargetFunded],
 ""
)</f>
        <v>N/A</v>
      </c>
      <c r="I422" s="45" t="str">
        <f t="array" ref="I422">IF(
 D422&lt;&gt;"BUILDING",
 "",
 IF(
  Player!$H$1="Active",
  _xlfn.XLOOKUP(
   A422,
   tblrecommended[ActiveTargetID],
   tblrecommended[Order],
   ""
  ),
  _xlfn.XLOOKUP(
   A422,
   tblrecommended[PassiveTargetID],
   tblrecommended[Order],
   ""
  )
 )
)</f>
        <v/>
      </c>
    </row>
    <row r="423" ht="25.5" customHeight="1">
      <c r="A423" s="26" t="s">
        <v>1604</v>
      </c>
      <c r="B423" s="26" t="str">
        <f t="array" ref="B423">_xlfn.XLOOKUP(Checklist!$A423,tblTargets[TargetID],tblTargets[DisplayName])</f>
        <v>Craft level 4 map</v>
      </c>
      <c r="C423" s="21" t="str">
        <f t="array" ref="C423">_xlfn.XLOOKUP(
 A423,
 tblTargetStatus[TargetID],
 tblTargetStatus[successors],
 ""
)</f>
        <v>Obtain Shogun's Mortar, Shogun's Katana Chapter 6 Finished</v>
      </c>
      <c r="D423" s="26" t="str">
        <f t="array" ref="D423">_xlfn.XLOOKUP(
 A423,
 tblTargets[TargetID],
 tblTargets[TargetType],
 ""
)</f>
        <v>STATE</v>
      </c>
      <c r="E423" s="45" t="str">
        <f t="array" ref="E423">_xlfn.XLOOKUP(
 A423,
 tblTargetStatus[TargetID],
 tblTargetStatus[ChainAwareStatus],
 ""
)</f>
        <v>BLOCKED</v>
      </c>
      <c r="F423" s="45"/>
      <c r="G423" s="45" t="b">
        <v>0</v>
      </c>
      <c r="H423" s="45" t="str">
        <f t="array" ref="H423">_xlfn.XLOOKUP(
 A423,
 tblTargetStatus[TargetID],
 tblTargetStatus[TargetFunded],
 ""
)</f>
        <v>N/A</v>
      </c>
      <c r="I423" s="45" t="str">
        <f t="array" ref="I423">IF(
 D423&lt;&gt;"BUILDING",
 "",
 IF(
  Player!$H$1="Active",
  _xlfn.XLOOKUP(
   A423,
   tblrecommended[ActiveTargetID],
   tblrecommended[Order],
   ""
  ),
  _xlfn.XLOOKUP(
   A423,
   tblrecommended[PassiveTargetID],
   tblrecommended[Order],
   ""
  )
 )
)</f>
        <v/>
      </c>
    </row>
    <row r="424" ht="25.5" customHeight="1">
      <c r="A424" s="26" t="s">
        <v>1607</v>
      </c>
      <c r="B424" s="26" t="str">
        <f t="array" ref="B424">_xlfn.XLOOKUP(Checklist!$A424,tblTargets[TargetID],tblTargets[DisplayName])</f>
        <v>Craft level 4 map again</v>
      </c>
      <c r="C424" s="21" t="str">
        <f t="array" ref="C424">_xlfn.XLOOKUP(
 A424,
 tblTargetStatus[TargetID],
 tblTargetStatus[successors],
 ""
)</f>
        <v>Shogun's Katana Chapter 7 Finished</v>
      </c>
      <c r="D424" s="26" t="str">
        <f t="array" ref="D424">_xlfn.XLOOKUP(
 A424,
 tblTargets[TargetID],
 tblTargets[TargetType],
 ""
)</f>
        <v>STATE</v>
      </c>
      <c r="E424" s="45" t="str">
        <f t="array" ref="E424">_xlfn.XLOOKUP(
 A424,
 tblTargetStatus[TargetID],
 tblTargetStatus[ChainAwareStatus],
 ""
)</f>
        <v>BLOCKED</v>
      </c>
      <c r="F424" s="45"/>
      <c r="G424" s="45" t="b">
        <v>0</v>
      </c>
      <c r="H424" s="45" t="str">
        <f t="array" ref="H424">_xlfn.XLOOKUP(
 A424,
 tblTargetStatus[TargetID],
 tblTargetStatus[TargetFunded],
 ""
)</f>
        <v>N/A</v>
      </c>
      <c r="I424" s="45" t="str">
        <f t="array" ref="I424">IF(
 D424&lt;&gt;"BUILDING",
 "",
 IF(
  Player!$H$1="Active",
  _xlfn.XLOOKUP(
   A424,
   tblrecommended[ActiveTargetID],
   tblrecommended[Order],
   ""
  ),
  _xlfn.XLOOKUP(
   A424,
   tblrecommended[PassiveTargetID],
   tblrecommended[Order],
   ""
  )
 )
)</f>
        <v/>
      </c>
    </row>
    <row r="425" ht="25.5" customHeight="1">
      <c r="A425" s="26" t="s">
        <v>1609</v>
      </c>
      <c r="B425" s="26" t="str">
        <f t="array" ref="B425">_xlfn.XLOOKUP(Checklist!$A425,tblTargets[TargetID],tblTargets[DisplayName])</f>
        <v>Craft mechanism</v>
      </c>
      <c r="C425" s="21" t="str">
        <f t="array" ref="C425">_xlfn.XLOOKUP(
 A425,
 tblTargetStatus[TargetID],
 tblTargetStatus[successors],
 ""
)</f>
        <v>Quest for Knowledge Chapter 5 Finished</v>
      </c>
      <c r="D425" s="26" t="str">
        <f t="array" ref="D425">_xlfn.XLOOKUP(
 A425,
 tblTargets[TargetID],
 tblTargets[TargetType],
 ""
)</f>
        <v>STATE</v>
      </c>
      <c r="E425" s="45" t="str">
        <f t="array" ref="E425">_xlfn.XLOOKUP(
 A425,
 tblTargetStatus[TargetID],
 tblTargetStatus[ChainAwareStatus],
 ""
)</f>
        <v>BLOCKED</v>
      </c>
      <c r="F425" s="45"/>
      <c r="G425" s="45" t="b">
        <v>0</v>
      </c>
      <c r="H425" s="45" t="str">
        <f t="array" ref="H425">_xlfn.XLOOKUP(
 A425,
 tblTargetStatus[TargetID],
 tblTargetStatus[TargetFunded],
 ""
)</f>
        <v>N/A</v>
      </c>
      <c r="I425" s="45" t="str">
        <f t="array" ref="I425">IF(
 D425&lt;&gt;"BUILDING",
 "",
 IF(
  Player!$H$1="Active",
  _xlfn.XLOOKUP(
   A425,
   tblrecommended[ActiveTargetID],
   tblrecommended[Order],
   ""
  ),
  _xlfn.XLOOKUP(
   A425,
   tblrecommended[PassiveTargetID],
   tblrecommended[Order],
   ""
  )
 )
)</f>
        <v/>
      </c>
    </row>
    <row r="426" ht="25.5" customHeight="1">
      <c r="A426" s="26" t="s">
        <v>2004</v>
      </c>
      <c r="B426" s="26" t="str">
        <f t="array" ref="B426">_xlfn.XLOOKUP(Checklist!$A426,tblTargets[TargetID],tblTargets[DisplayName])</f>
        <v>Obtain Pirate hat</v>
      </c>
      <c r="C426" s="21" t="str">
        <f t="array" ref="C426">_xlfn.XLOOKUP(
 A426,
 tblTargetStatus[TargetID],
 tblTargetStatus[successors],
 ""
)</f>
        <v>Shogun's Katana Chapter 3 Finished</v>
      </c>
      <c r="D426" s="26" t="str">
        <f t="array" ref="D426">_xlfn.XLOOKUP(
 A426,
 tblTargets[TargetID],
 tblTargets[TargetType],
 ""
)</f>
        <v>STATE</v>
      </c>
      <c r="E426" s="45" t="str">
        <f t="array" ref="E426">_xlfn.XLOOKUP(
 A426,
 tblTargetStatus[TargetID],
 tblTargetStatus[ChainAwareStatus],
 ""
)</f>
        <v>BLOCKED</v>
      </c>
      <c r="F426" s="45"/>
      <c r="G426" s="45" t="b">
        <v>0</v>
      </c>
      <c r="H426" s="45" t="str">
        <f t="array" ref="H426">_xlfn.XLOOKUP(
 A426,
 tblTargetStatus[TargetID],
 tblTargetStatus[TargetFunded],
 ""
)</f>
        <v>N/A</v>
      </c>
      <c r="I426" s="45" t="str">
        <f t="array" ref="I426">IF(
 D426&lt;&gt;"BUILDING",
 "",
 IF(
  Player!$H$1="Active",
  _xlfn.XLOOKUP(
   A426,
   tblrecommended[ActiveTargetID],
   tblrecommended[Order],
   ""
  ),
  _xlfn.XLOOKUP(
   A426,
   tblrecommended[PassiveTargetID],
   tblrecommended[Order],
   ""
  )
 )
)</f>
        <v/>
      </c>
    </row>
    <row r="427" ht="25.5" customHeight="1">
      <c r="A427" s="26" t="s">
        <v>1611</v>
      </c>
      <c r="B427" s="26" t="str">
        <f t="array" ref="B427">_xlfn.XLOOKUP(Checklist!$A427,tblTargets[TargetID],tblTargets[DisplayName])</f>
        <v>Craft Potion of Mental Power</v>
      </c>
      <c r="C427" s="21" t="str">
        <f t="array" ref="C427">_xlfn.XLOOKUP(
 A427,
 tblTargetStatus[TargetID],
 tblTargetStatus[successors],
 ""
)</f>
        <v>Once Upon a Forest Chapter 6 Finished</v>
      </c>
      <c r="D427" s="26" t="str">
        <f t="array" ref="D427">_xlfn.XLOOKUP(
 A427,
 tblTargets[TargetID],
 tblTargets[TargetType],
 ""
)</f>
        <v>STATE</v>
      </c>
      <c r="E427" s="45" t="str">
        <f t="array" ref="E427">_xlfn.XLOOKUP(
 A427,
 tblTargetStatus[TargetID],
 tblTargetStatus[ChainAwareStatus],
 ""
)</f>
        <v>BLOCKED</v>
      </c>
      <c r="F427" s="45"/>
      <c r="G427" s="45" t="b">
        <v>0</v>
      </c>
      <c r="H427" s="45" t="str">
        <f t="array" ref="H427">_xlfn.XLOOKUP(
 A427,
 tblTargetStatus[TargetID],
 tblTargetStatus[TargetFunded],
 ""
)</f>
        <v>N/A</v>
      </c>
      <c r="I427" s="45" t="str">
        <f t="array" ref="I427">IF(
 D427&lt;&gt;"BUILDING",
 "",
 IF(
  Player!$H$1="Active",
  _xlfn.XLOOKUP(
   A427,
   tblrecommended[ActiveTargetID],
   tblrecommended[Order],
   ""
  ),
  _xlfn.XLOOKUP(
   A427,
   tblrecommended[PassiveTargetID],
   tblrecommended[Order],
   ""
  )
 )
)</f>
        <v/>
      </c>
    </row>
    <row r="428" ht="25.5" customHeight="1">
      <c r="A428" s="26" t="s">
        <v>1614</v>
      </c>
      <c r="B428" s="26" t="str">
        <f t="array" ref="B428">_xlfn.XLOOKUP(Checklist!$A428,tblTargets[TargetID],tblTargets[DisplayName])</f>
        <v>Obtain Reagent from 3A</v>
      </c>
      <c r="C428" s="21" t="str">
        <f t="array" ref="C428">_xlfn.XLOOKUP(
 A428,
 tblTargetStatus[TargetID],
 tblTargetStatus[successors],
 ""
)</f>
        <v>Green Potion Finished</v>
      </c>
      <c r="D428" s="26" t="str">
        <f t="array" ref="D428">_xlfn.XLOOKUP(
 A428,
 tblTargets[TargetID],
 tblTargets[TargetType],
 ""
)</f>
        <v>STATE</v>
      </c>
      <c r="E428" s="45" t="str">
        <f t="array" ref="E428">_xlfn.XLOOKUP(
 A428,
 tblTargetStatus[TargetID],
 tblTargetStatus[ChainAwareStatus],
 ""
)</f>
        <v>BLOCKED</v>
      </c>
      <c r="F428" s="45"/>
      <c r="G428" s="45" t="b">
        <v>0</v>
      </c>
      <c r="H428" s="45" t="str">
        <f t="array" ref="H428">_xlfn.XLOOKUP(
 A428,
 tblTargetStatus[TargetID],
 tblTargetStatus[TargetFunded],
 ""
)</f>
        <v>N/A</v>
      </c>
      <c r="I428" s="45" t="str">
        <f t="array" ref="I428">IF(
 D428&lt;&gt;"BUILDING",
 "",
 IF(
  Player!$H$1="Active",
  _xlfn.XLOOKUP(
   A428,
   tblrecommended[ActiveTargetID],
   tblrecommended[Order],
   ""
  ),
  _xlfn.XLOOKUP(
   A428,
   tblrecommended[PassiveTargetID],
   tblrecommended[Order],
   ""
  )
 )
)</f>
        <v/>
      </c>
    </row>
    <row r="429" ht="25.5" customHeight="1">
      <c r="A429" s="26" t="s">
        <v>1616</v>
      </c>
      <c r="B429" s="26" t="str">
        <f t="array" ref="B429">_xlfn.XLOOKUP(Checklist!$A429,tblTargets[TargetID],tblTargets[DisplayName])</f>
        <v>Obtain the Red Diamond in 6A</v>
      </c>
      <c r="C429" s="21" t="str">
        <f t="array" ref="C429">_xlfn.XLOOKUP(
 A429,
 tblTargetStatus[TargetID],
 tblTargetStatus[successors],
 ""
)</f>
        <v>The Ordinary Days of an Adventurer Chapter 3 Finished</v>
      </c>
      <c r="D429" s="26" t="str">
        <f t="array" ref="D429">_xlfn.XLOOKUP(
 A429,
 tblTargets[TargetID],
 tblTargets[TargetType],
 ""
)</f>
        <v>STATE</v>
      </c>
      <c r="E429" s="45" t="str">
        <f t="array" ref="E429">_xlfn.XLOOKUP(
 A429,
 tblTargetStatus[TargetID],
 tblTargetStatus[ChainAwareStatus],
 ""
)</f>
        <v>BLOCKED</v>
      </c>
      <c r="F429" s="45"/>
      <c r="G429" s="45" t="b">
        <v>0</v>
      </c>
      <c r="H429" s="45" t="str">
        <f t="array" ref="H429">_xlfn.XLOOKUP(
 A429,
 tblTargetStatus[TargetID],
 tblTargetStatus[TargetFunded],
 ""
)</f>
        <v>N/A</v>
      </c>
      <c r="I429" s="45" t="str">
        <f t="array" ref="I429">IF(
 D429&lt;&gt;"BUILDING",
 "",
 IF(
  Player!$H$1="Active",
  _xlfn.XLOOKUP(
   A429,
   tblrecommended[ActiveTargetID],
   tblrecommended[Order],
   ""
  ),
  _xlfn.XLOOKUP(
   A429,
   tblrecommended[PassiveTargetID],
   tblrecommended[Order],
   ""
  )
 )
)</f>
        <v/>
      </c>
    </row>
    <row r="430" ht="25.5" customHeight="1">
      <c r="A430" s="26" t="s">
        <v>1618</v>
      </c>
      <c r="B430" s="26" t="str">
        <f t="array" ref="B430">_xlfn.XLOOKUP(Checklist!$A430,tblTargets[TargetID],tblTargets[DisplayName])</f>
        <v>Obtain the Red Diamond in 6B</v>
      </c>
      <c r="C430" s="21" t="str">
        <f t="array" ref="C430">_xlfn.XLOOKUP(
 A430,
 tblTargetStatus[TargetID],
 tblTargetStatus[successors],
 ""
)</f>
        <v>The Ordinary Days of an Adventurer Chapter 3 Finished</v>
      </c>
      <c r="D430" s="26" t="str">
        <f t="array" ref="D430">_xlfn.XLOOKUP(
 A430,
 tblTargets[TargetID],
 tblTargets[TargetType],
 ""
)</f>
        <v>STATE</v>
      </c>
      <c r="E430" s="45" t="str">
        <f t="array" ref="E430">_xlfn.XLOOKUP(
 A430,
 tblTargetStatus[TargetID],
 tblTargetStatus[ChainAwareStatus],
 ""
)</f>
        <v>BLOCKED</v>
      </c>
      <c r="F430" s="45"/>
      <c r="G430" s="45" t="b">
        <v>0</v>
      </c>
      <c r="H430" s="45" t="str">
        <f t="array" ref="H430">_xlfn.XLOOKUP(
 A430,
 tblTargetStatus[TargetID],
 tblTargetStatus[TargetFunded],
 ""
)</f>
        <v>N/A</v>
      </c>
      <c r="I430" s="45" t="str">
        <f t="array" ref="I430">IF(
 D430&lt;&gt;"BUILDING",
 "",
 IF(
  Player!$H$1="Active",
  _xlfn.XLOOKUP(
   A430,
   tblrecommended[ActiveTargetID],
   tblrecommended[Order],
   ""
  ),
  _xlfn.XLOOKUP(
   A430,
   tblrecommended[PassiveTargetID],
   tblrecommended[Order],
   ""
  )
 )
)</f>
        <v/>
      </c>
    </row>
    <row r="431" ht="25.5" customHeight="1">
      <c r="A431" s="26" t="s">
        <v>1621</v>
      </c>
      <c r="B431" s="26" t="str">
        <f t="array" ref="B431">_xlfn.XLOOKUP(Checklist!$A431,tblTargets[TargetID],tblTargets[DisplayName])</f>
        <v>Obtain the Red Diamond in 6C</v>
      </c>
      <c r="C431" s="21" t="str">
        <f t="array" ref="C431">_xlfn.XLOOKUP(
 A431,
 tblTargetStatus[TargetID],
 tblTargetStatus[successors],
 ""
)</f>
        <v>The Ordinary Days of an Adventurer Chapter 3 Finished</v>
      </c>
      <c r="D431" s="26" t="str">
        <f t="array" ref="D431">_xlfn.XLOOKUP(
 A431,
 tblTargets[TargetID],
 tblTargets[TargetType],
 ""
)</f>
        <v>STATE</v>
      </c>
      <c r="E431" s="45" t="str">
        <f t="array" ref="E431">_xlfn.XLOOKUP(
 A431,
 tblTargetStatus[TargetID],
 tblTargetStatus[ChainAwareStatus],
 ""
)</f>
        <v>BLOCKED</v>
      </c>
      <c r="F431" s="45"/>
      <c r="G431" s="45" t="b">
        <v>0</v>
      </c>
      <c r="H431" s="45" t="str">
        <f t="array" ref="H431">_xlfn.XLOOKUP(
 A431,
 tblTargetStatus[TargetID],
 tblTargetStatus[TargetFunded],
 ""
)</f>
        <v>N/A</v>
      </c>
      <c r="I431" s="45" t="str">
        <f t="array" ref="I431">IF(
 D431&lt;&gt;"BUILDING",
 "",
 IF(
  Player!$H$1="Active",
  _xlfn.XLOOKUP(
   A431,
   tblrecommended[ActiveTargetID],
   tblrecommended[Order],
   ""
  ),
  _xlfn.XLOOKUP(
   A431,
   tblrecommended[PassiveTargetID],
   tblrecommended[Order],
   ""
  )
 )
)</f>
        <v/>
      </c>
    </row>
    <row r="432" ht="25.5" customHeight="1">
      <c r="A432" s="26" t="s">
        <v>1623</v>
      </c>
      <c r="B432" s="26" t="str">
        <f t="array" ref="B432">_xlfn.XLOOKUP(Checklist!$A432,tblTargets[TargetID],tblTargets[DisplayName])</f>
        <v>Craft Shield 4+</v>
      </c>
      <c r="C432" s="21" t="str">
        <f t="array" ref="C432">_xlfn.XLOOKUP(
 A432,
 tblTargetStatus[TargetID],
 tblTargetStatus[successors],
 ""
)</f>
        <v>The Ordinary Days of an Adventurer Chapter 4 Finished</v>
      </c>
      <c r="D432" s="26" t="str">
        <f t="array" ref="D432">_xlfn.XLOOKUP(
 A432,
 tblTargets[TargetID],
 tblTargets[TargetType],
 ""
)</f>
        <v>STATE</v>
      </c>
      <c r="E432" s="45" t="str">
        <f t="array" ref="E432">_xlfn.XLOOKUP(
 A432,
 tblTargetStatus[TargetID],
 tblTargetStatus[ChainAwareStatus],
 ""
)</f>
        <v>BLOCKED</v>
      </c>
      <c r="F432" s="45"/>
      <c r="G432" s="45" t="b">
        <v>0</v>
      </c>
      <c r="H432" s="45" t="str">
        <f t="array" ref="H432">_xlfn.XLOOKUP(
 A432,
 tblTargetStatus[TargetID],
 tblTargetStatus[TargetFunded],
 ""
)</f>
        <v>N/A</v>
      </c>
      <c r="I432" s="45" t="str">
        <f t="array" ref="I432">IF(
 D432&lt;&gt;"BUILDING",
 "",
 IF(
  Player!$H$1="Active",
  _xlfn.XLOOKUP(
   A432,
   tblrecommended[ActiveTargetID],
   tblrecommended[Order],
   ""
  ),
  _xlfn.XLOOKUP(
   A432,
   tblrecommended[PassiveTargetID],
   tblrecommended[Order],
   ""
  )
 )
)</f>
        <v/>
      </c>
    </row>
    <row r="433" ht="25.5" customHeight="1">
      <c r="A433" s="26" t="s">
        <v>1625</v>
      </c>
      <c r="B433" s="26" t="str">
        <f t="array" ref="B433">_xlfn.XLOOKUP(Checklist!$A433,tblTargets[TargetID],tblTargets[DisplayName])</f>
        <v>Obtain Ship in a bottle</v>
      </c>
      <c r="C433" s="21" t="str">
        <f t="array" ref="C433">_xlfn.XLOOKUP(
 A433,
 tblTargetStatus[TargetID],
 tblTargetStatus[successors],
 ""
)</f>
        <v>Shogun's Katana Chapter 4 Finished</v>
      </c>
      <c r="D433" s="26" t="str">
        <f t="array" ref="D433">_xlfn.XLOOKUP(
 A433,
 tblTargets[TargetID],
 tblTargets[TargetType],
 ""
)</f>
        <v>STATE</v>
      </c>
      <c r="E433" s="45" t="str">
        <f t="array" ref="E433">_xlfn.XLOOKUP(
 A433,
 tblTargetStatus[TargetID],
 tblTargetStatus[ChainAwareStatus],
 ""
)</f>
        <v>BLOCKED</v>
      </c>
      <c r="F433" s="45"/>
      <c r="G433" s="45" t="b">
        <v>0</v>
      </c>
      <c r="H433" s="45" t="str">
        <f t="array" ref="H433">_xlfn.XLOOKUP(
 A433,
 tblTargetStatus[TargetID],
 tblTargetStatus[TargetFunded],
 ""
)</f>
        <v>N/A</v>
      </c>
      <c r="I433" s="45" t="str">
        <f t="array" ref="I433">IF(
 D433&lt;&gt;"BUILDING",
 "",
 IF(
  Player!$H$1="Active",
  _xlfn.XLOOKUP(
   A433,
   tblrecommended[ActiveTargetID],
   tblrecommended[Order],
   ""
  ),
  _xlfn.XLOOKUP(
   A433,
   tblrecommended[PassiveTargetID],
   tblrecommended[Order],
   ""
  )
 )
)</f>
        <v/>
      </c>
    </row>
    <row r="434" ht="25.5" customHeight="1">
      <c r="A434" s="26" t="s">
        <v>1628</v>
      </c>
      <c r="B434" s="26" t="str">
        <f t="array" ref="B434">_xlfn.XLOOKUP(Checklist!$A434,tblTargets[TargetID],tblTargets[DisplayName])</f>
        <v>Obtain Shogun's Katana</v>
      </c>
      <c r="C434" s="21" t="str">
        <f t="array" ref="C434">_xlfn.XLOOKUP(
 A434,
 tblTargetStatus[TargetID],
 tblTargetStatus[successors],
 ""
)</f>
        <v>Shogun's Katana Chapter 7 Finished</v>
      </c>
      <c r="D434" s="26" t="str">
        <f t="array" ref="D434">_xlfn.XLOOKUP(
 A434,
 tblTargets[TargetID],
 tblTargets[TargetType],
 ""
)</f>
        <v>STATE</v>
      </c>
      <c r="E434" s="45" t="str">
        <f t="array" ref="E434">_xlfn.XLOOKUP(
 A434,
 tblTargetStatus[TargetID],
 tblTargetStatus[ChainAwareStatus],
 ""
)</f>
        <v>BLOCKED</v>
      </c>
      <c r="F434" s="45"/>
      <c r="G434" s="45" t="b">
        <v>0</v>
      </c>
      <c r="H434" s="45" t="str">
        <f t="array" ref="H434">_xlfn.XLOOKUP(
 A434,
 tblTargetStatus[TargetID],
 tblTargetStatus[TargetFunded],
 ""
)</f>
        <v>N/A</v>
      </c>
      <c r="I434" s="45" t="str">
        <f t="array" ref="I434">IF(
 D434&lt;&gt;"BUILDING",
 "",
 IF(
  Player!$H$1="Active",
  _xlfn.XLOOKUP(
   A434,
   tblrecommended[ActiveTargetID],
   tblrecommended[Order],
   ""
  ),
  _xlfn.XLOOKUP(
   A434,
   tblrecommended[PassiveTargetID],
   tblrecommended[Order],
   ""
  )
 )
)</f>
        <v/>
      </c>
    </row>
    <row r="435" ht="25.5" customHeight="1">
      <c r="A435" s="26" t="s">
        <v>2017</v>
      </c>
      <c r="B435" s="26" t="str">
        <f t="array" ref="B435">_xlfn.XLOOKUP(Checklist!$A435,tblTargets[TargetID],tblTargets[DisplayName])</f>
        <v>Obtain Shogun's Mortar</v>
      </c>
      <c r="C435" s="21" t="str">
        <f t="array" ref="C435">_xlfn.XLOOKUP(
 A435,
 tblTargetStatus[TargetID],
 tblTargetStatus[successors],
 ""
)</f>
        <v>Shogun's Katana Chapter 6 Finished</v>
      </c>
      <c r="D435" s="26" t="str">
        <f t="array" ref="D435">_xlfn.XLOOKUP(
 A435,
 tblTargets[TargetID],
 tblTargets[TargetType],
 ""
)</f>
        <v>STATE</v>
      </c>
      <c r="E435" s="45" t="str">
        <f t="array" ref="E435">_xlfn.XLOOKUP(
 A435,
 tblTargetStatus[TargetID],
 tblTargetStatus[ChainAwareStatus],
 ""
)</f>
        <v>BLOCKED</v>
      </c>
      <c r="F435" s="45"/>
      <c r="G435" s="45" t="b">
        <v>0</v>
      </c>
      <c r="H435" s="45" t="str">
        <f t="array" ref="H435">_xlfn.XLOOKUP(
 A435,
 tblTargetStatus[TargetID],
 tblTargetStatus[TargetFunded],
 ""
)</f>
        <v>N/A</v>
      </c>
      <c r="I435" s="45" t="str">
        <f t="array" ref="I435">IF(
 D435&lt;&gt;"BUILDING",
 "",
 IF(
  Player!$H$1="Active",
  _xlfn.XLOOKUP(
   A435,
   tblrecommended[ActiveTargetID],
   tblrecommended[Order],
   ""
  ),
  _xlfn.XLOOKUP(
   A435,
   tblrecommended[PassiveTargetID],
   tblrecommended[Order],
   ""
  )
 )
)</f>
        <v/>
      </c>
    </row>
    <row r="436" ht="25.5" customHeight="1">
      <c r="A436" s="26" t="s">
        <v>1630</v>
      </c>
      <c r="B436" s="26" t="str">
        <f t="array" ref="B436">_xlfn.XLOOKUP(Checklist!$A436,tblTargets[TargetID],tblTargets[DisplayName])</f>
        <v>Purchase Smuggler's map for 10 spices</v>
      </c>
      <c r="C436" s="21" t="str">
        <f t="array" ref="C436">_xlfn.XLOOKUP(
 A436,
 tblTargetStatus[TargetID],
 tblTargetStatus[successors],
 ""
)</f>
        <v>Shogun's Katana Chapter 4 Finished</v>
      </c>
      <c r="D436" s="26" t="str">
        <f t="array" ref="D436">_xlfn.XLOOKUP(
 A436,
 tblTargets[TargetID],
 tblTargets[TargetType],
 ""
)</f>
        <v>STATE</v>
      </c>
      <c r="E436" s="45" t="str">
        <f t="array" ref="E436">_xlfn.XLOOKUP(
 A436,
 tblTargetStatus[TargetID],
 tblTargetStatus[ChainAwareStatus],
 ""
)</f>
        <v>BLOCKED</v>
      </c>
      <c r="F436" s="45"/>
      <c r="G436" s="45" t="b">
        <v>0</v>
      </c>
      <c r="H436" s="45" t="str">
        <f t="array" ref="H436">_xlfn.XLOOKUP(
 A436,
 tblTargetStatus[TargetID],
 tblTargetStatus[TargetFunded],
 ""
)</f>
        <v>N/A</v>
      </c>
      <c r="I436" s="45" t="str">
        <f t="array" ref="I436">IF(
 D436&lt;&gt;"BUILDING",
 "",
 IF(
  Player!$H$1="Active",
  _xlfn.XLOOKUP(
   A436,
   tblrecommended[ActiveTargetID],
   tblrecommended[Order],
   ""
  ),
  _xlfn.XLOOKUP(
   A436,
   tblrecommended[PassiveTargetID],
   tblrecommended[Order],
   ""
  )
 )
)</f>
        <v/>
      </c>
    </row>
    <row r="437" ht="25.5" customHeight="1">
      <c r="A437" s="26" t="s">
        <v>1632</v>
      </c>
      <c r="B437" s="26" t="str">
        <f t="array" ref="B437">_xlfn.XLOOKUP(Checklist!$A437,tblTargets[TargetID],tblTargets[DisplayName])</f>
        <v>Purchase Smuggler's map for 100 coffee beans</v>
      </c>
      <c r="C437" s="21" t="str">
        <f t="array" ref="C437">_xlfn.XLOOKUP(
 A437,
 tblTargetStatus[TargetID],
 tblTargetStatus[successors],
 ""
)</f>
        <v>Obtain Pirate hat, Shogun's Katana Chapter 3 Finished</v>
      </c>
      <c r="D437" s="26" t="str">
        <f t="array" ref="D437">_xlfn.XLOOKUP(
 A437,
 tblTargets[TargetID],
 tblTargets[TargetType],
 ""
)</f>
        <v>STATE</v>
      </c>
      <c r="E437" s="45" t="str">
        <f t="array" ref="E437">_xlfn.XLOOKUP(
 A437,
 tblTargetStatus[TargetID],
 tblTargetStatus[ChainAwareStatus],
 ""
)</f>
        <v>BLOCKED</v>
      </c>
      <c r="F437" s="45"/>
      <c r="G437" s="45" t="b">
        <v>0</v>
      </c>
      <c r="H437" s="45" t="str">
        <f t="array" ref="H437">_xlfn.XLOOKUP(
 A437,
 tblTargetStatus[TargetID],
 tblTargetStatus[TargetFunded],
 ""
)</f>
        <v>N/A</v>
      </c>
      <c r="I437" s="45" t="str">
        <f t="array" ref="I437">IF(
 D437&lt;&gt;"BUILDING",
 "",
 IF(
  Player!$H$1="Active",
  _xlfn.XLOOKUP(
   A437,
   tblrecommended[ActiveTargetID],
   tblrecommended[Order],
   ""
  ),
  _xlfn.XLOOKUP(
   A437,
   tblrecommended[PassiveTargetID],
   tblrecommended[Order],
   ""
  )
 )
)</f>
        <v/>
      </c>
    </row>
    <row r="438" ht="25.5" customHeight="1">
      <c r="A438" s="26" t="s">
        <v>1635</v>
      </c>
      <c r="B438" s="26" t="str">
        <f t="array" ref="B438">_xlfn.XLOOKUP(Checklist!$A438,tblTargets[TargetID],tblTargets[DisplayName])</f>
        <v>Purchase Smuggler's map for 15 pearl</v>
      </c>
      <c r="C438" s="21" t="str">
        <f t="array" ref="C438">_xlfn.XLOOKUP(
 A438,
 tblTargetStatus[TargetID],
 tblTargetStatus[successors],
 ""
)</f>
        <v>Obtain Black Pearl, Shogun's Katana Chapter 5 Finished</v>
      </c>
      <c r="D438" s="26" t="str">
        <f t="array" ref="D438">_xlfn.XLOOKUP(
 A438,
 tblTargets[TargetID],
 tblTargets[TargetType],
 ""
)</f>
        <v>STATE</v>
      </c>
      <c r="E438" s="45" t="str">
        <f t="array" ref="E438">_xlfn.XLOOKUP(
 A438,
 tblTargetStatus[TargetID],
 tblTargetStatus[ChainAwareStatus],
 ""
)</f>
        <v>BLOCKED</v>
      </c>
      <c r="F438" s="45"/>
      <c r="G438" s="45" t="b">
        <v>0</v>
      </c>
      <c r="H438" s="45" t="str">
        <f t="array" ref="H438">_xlfn.XLOOKUP(
 A438,
 tblTargetStatus[TargetID],
 tblTargetStatus[TargetFunded],
 ""
)</f>
        <v>N/A</v>
      </c>
      <c r="I438" s="45" t="str">
        <f t="array" ref="I438">IF(
 D438&lt;&gt;"BUILDING",
 "",
 IF(
  Player!$H$1="Active",
  _xlfn.XLOOKUP(
   A438,
   tblrecommended[ActiveTargetID],
   tblrecommended[Order],
   ""
  ),
  _xlfn.XLOOKUP(
   A438,
   tblrecommended[PassiveTargetID],
   tblrecommended[Order],
   ""
  )
 )
)</f>
        <v/>
      </c>
    </row>
    <row r="439" ht="25.5" customHeight="1">
      <c r="A439" s="26" t="s">
        <v>1637</v>
      </c>
      <c r="B439" s="26" t="str">
        <f t="array" ref="B439">_xlfn.XLOOKUP(Checklist!$A439,tblTargets[TargetID],tblTargets[DisplayName])</f>
        <v>Obtain Spices from Spice Island</v>
      </c>
      <c r="C439" s="21" t="str">
        <f t="array" ref="C439">_xlfn.XLOOKUP(
 A439,
 tblTargetStatus[TargetID],
 tblTargetStatus[successors],
 ""
)</f>
        <v>Spicy Odyssey Finished</v>
      </c>
      <c r="D439" s="26" t="str">
        <f t="array" ref="D439">_xlfn.XLOOKUP(
 A439,
 tblTargets[TargetID],
 tblTargets[TargetType],
 ""
)</f>
        <v>STATE</v>
      </c>
      <c r="E439" s="45" t="str">
        <f t="array" ref="E439">_xlfn.XLOOKUP(
 A439,
 tblTargetStatus[TargetID],
 tblTargetStatus[ChainAwareStatus],
 ""
)</f>
        <v>BLOCKED</v>
      </c>
      <c r="F439" s="45"/>
      <c r="G439" s="45" t="b">
        <v>0</v>
      </c>
      <c r="H439" s="45" t="str">
        <f t="array" ref="H439">_xlfn.XLOOKUP(
 A439,
 tblTargetStatus[TargetID],
 tblTargetStatus[TargetFunded],
 ""
)</f>
        <v>N/A</v>
      </c>
      <c r="I439" s="45" t="str">
        <f t="array" ref="I439">IF(
 D439&lt;&gt;"BUILDING",
 "",
 IF(
  Player!$H$1="Active",
  _xlfn.XLOOKUP(
   A439,
   tblrecommended[ActiveTargetID],
   tblrecommended[Order],
   ""
  ),
  _xlfn.XLOOKUP(
   A439,
   tblrecommended[PassiveTargetID],
   tblrecommended[Order],
   ""
  )
 )
)</f>
        <v/>
      </c>
    </row>
    <row r="440" ht="25.5" customHeight="1">
      <c r="A440" s="26" t="s">
        <v>1639</v>
      </c>
      <c r="B440" s="26" t="str">
        <f t="array" ref="B440">_xlfn.XLOOKUP(Checklist!$A440,tblTargets[TargetID],tblTargets[DisplayName])</f>
        <v>Craft steamobile</v>
      </c>
      <c r="C440" s="21" t="str">
        <f t="array" ref="C440">_xlfn.XLOOKUP(
 A440,
 tblTargetStatus[TargetID],
 tblTargetStatus[successors],
 ""
)</f>
        <v>Quest for Knowledge Chapter 5 Finished</v>
      </c>
      <c r="D440" s="26" t="str">
        <f t="array" ref="D440">_xlfn.XLOOKUP(
 A440,
 tblTargets[TargetID],
 tblTargets[TargetType],
 ""
)</f>
        <v>STATE</v>
      </c>
      <c r="E440" s="45" t="str">
        <f t="array" ref="E440">_xlfn.XLOOKUP(
 A440,
 tblTargetStatus[TargetID],
 tblTargetStatus[ChainAwareStatus],
 ""
)</f>
        <v>BLOCKED</v>
      </c>
      <c r="F440" s="45"/>
      <c r="G440" s="45" t="b">
        <v>0</v>
      </c>
      <c r="H440" s="45" t="str">
        <f t="array" ref="H440">_xlfn.XLOOKUP(
 A440,
 tblTargetStatus[TargetID],
 tblTargetStatus[TargetFunded],
 ""
)</f>
        <v>N/A</v>
      </c>
      <c r="I440" s="45" t="str">
        <f t="array" ref="I440">IF(
 D440&lt;&gt;"BUILDING",
 "",
 IF(
  Player!$H$1="Active",
  _xlfn.XLOOKUP(
   A440,
   tblrecommended[ActiveTargetID],
   tblrecommended[Order],
   ""
  ),
  _xlfn.XLOOKUP(
   A440,
   tblrecommended[PassiveTargetID],
   tblrecommended[Order],
   ""
  )
 )
)</f>
        <v/>
      </c>
    </row>
    <row r="441" ht="25.5" customHeight="1">
      <c r="A441" s="26" t="s">
        <v>1641</v>
      </c>
      <c r="B441" s="26" t="str">
        <f t="array" ref="B441">_xlfn.XLOOKUP(Checklist!$A441,tblTargets[TargetID],tblTargets[DisplayName])</f>
        <v>Obtain Strawberry@F1 </v>
      </c>
      <c r="C441" s="21" t="str">
        <f t="array" ref="C441">_xlfn.XLOOKUP(
 A441,
 tblTargetStatus[TargetID],
 tblTargetStatus[successors],
 ""
)</f>
        <v>Food Stall - Jam</v>
      </c>
      <c r="D441" s="26" t="str">
        <f t="array" ref="D441">_xlfn.XLOOKUP(
 A441,
 tblTargets[TargetID],
 tblTargets[TargetType],
 ""
)</f>
        <v>STATE</v>
      </c>
      <c r="E441" s="45" t="str">
        <f t="array" ref="E441">_xlfn.XLOOKUP(
 A441,
 tblTargetStatus[TargetID],
 tblTargetStatus[ChainAwareStatus],
 ""
)</f>
        <v>BLOCKED</v>
      </c>
      <c r="F441" s="45"/>
      <c r="G441" s="45" t="b">
        <v>0</v>
      </c>
      <c r="H441" s="45" t="str">
        <f t="array" ref="H441">_xlfn.XLOOKUP(
 A441,
 tblTargetStatus[TargetID],
 tblTargetStatus[TargetFunded],
 ""
)</f>
        <v>N/A</v>
      </c>
      <c r="I441" s="45" t="str">
        <f t="array" ref="I441">IF(
 D441&lt;&gt;"BUILDING",
 "",
 IF(
  Player!$H$1="Active",
  _xlfn.XLOOKUP(
   A441,
   tblrecommended[ActiveTargetID],
   tblrecommended[Order],
   ""
  ),
  _xlfn.XLOOKUP(
   A441,
   tblrecommended[PassiveTargetID],
   tblrecommended[Order],
   ""
  )
 )
)</f>
        <v/>
      </c>
    </row>
    <row r="442" ht="25.5" customHeight="1">
      <c r="A442" s="26" t="s">
        <v>1644</v>
      </c>
      <c r="B442" s="26" t="str">
        <f t="array" ref="B442">_xlfn.XLOOKUP(Checklist!$A442,tblTargets[TargetID],tblTargets[DisplayName])</f>
        <v>Craft Sword for a Hero Lvl 4</v>
      </c>
      <c r="C442" s="21" t="str">
        <f t="array" ref="C442">_xlfn.XLOOKUP(
 A442,
 tblTargetStatus[TargetID],
 tblTargetStatus[successors],
 ""
)</f>
        <v>Dragon teeth Finished</v>
      </c>
      <c r="D442" s="26" t="str">
        <f t="array" ref="D442">_xlfn.XLOOKUP(
 A442,
 tblTargets[TargetID],
 tblTargets[TargetType],
 ""
)</f>
        <v>STATE</v>
      </c>
      <c r="E442" s="45" t="str">
        <f t="array" ref="E442">_xlfn.XLOOKUP(
 A442,
 tblTargetStatus[TargetID],
 tblTargetStatus[ChainAwareStatus],
 ""
)</f>
        <v>BLOCKED</v>
      </c>
      <c r="F442" s="45"/>
      <c r="G442" s="45" t="b">
        <v>0</v>
      </c>
      <c r="H442" s="45" t="str">
        <f t="array" ref="H442">_xlfn.XLOOKUP(
 A442,
 tblTargetStatus[TargetID],
 tblTargetStatus[TargetFunded],
 ""
)</f>
        <v>N/A</v>
      </c>
      <c r="I442" s="45" t="str">
        <f t="array" ref="I442">IF(
 D442&lt;&gt;"BUILDING",
 "",
 IF(
  Player!$H$1="Active",
  _xlfn.XLOOKUP(
   A442,
   tblrecommended[ActiveTargetID],
   tblrecommended[Order],
   ""
  ),
  _xlfn.XLOOKUP(
   A442,
   tblrecommended[PassiveTargetID],
   tblrecommended[Order],
   ""
  )
 )
)</f>
        <v/>
      </c>
    </row>
    <row r="443" ht="25.5" customHeight="1">
      <c r="A443" s="26" t="s">
        <v>1646</v>
      </c>
      <c r="B443" s="26" t="str">
        <f t="array" ref="B443">_xlfn.XLOOKUP(Checklist!$A443,tblTargets[TargetID],tblTargets[DisplayName])</f>
        <v>Craft sword 4+</v>
      </c>
      <c r="C443" s="21" t="str">
        <f t="array" ref="C443">_xlfn.XLOOKUP(
 A443,
 tblTargetStatus[TargetID],
 tblTargetStatus[successors],
 ""
)</f>
        <v>The Ordinary Days of an Adventurer Chapter 4 Finished</v>
      </c>
      <c r="D443" s="26" t="str">
        <f t="array" ref="D443">_xlfn.XLOOKUP(
 A443,
 tblTargets[TargetID],
 tblTargets[TargetType],
 ""
)</f>
        <v>STATE</v>
      </c>
      <c r="E443" s="45" t="str">
        <f t="array" ref="E443">_xlfn.XLOOKUP(
 A443,
 tblTargetStatus[TargetID],
 tblTargetStatus[ChainAwareStatus],
 ""
)</f>
        <v>BLOCKED</v>
      </c>
      <c r="F443" s="45"/>
      <c r="G443" s="45" t="b">
        <v>0</v>
      </c>
      <c r="H443" s="45" t="str">
        <f t="array" ref="H443">_xlfn.XLOOKUP(
 A443,
 tblTargetStatus[TargetID],
 tblTargetStatus[TargetFunded],
 ""
)</f>
        <v>N/A</v>
      </c>
      <c r="I443" s="45" t="str">
        <f t="array" ref="I443">IF(
 D443&lt;&gt;"BUILDING",
 "",
 IF(
  Player!$H$1="Active",
  _xlfn.XLOOKUP(
   A443,
   tblrecommended[ActiveTargetID],
   tblrecommended[Order],
   ""
  ),
  _xlfn.XLOOKUP(
   A443,
   tblrecommended[PassiveTargetID],
   tblrecommended[Order],
   ""
  )
 )
)</f>
        <v/>
      </c>
    </row>
    <row r="444" ht="25.5" customHeight="1">
      <c r="A444" s="26" t="s">
        <v>1648</v>
      </c>
      <c r="B444" s="26" t="str">
        <f t="array" ref="B444">_xlfn.XLOOKUP(Checklist!$A444,tblTargets[TargetID],tblTargets[DisplayName])</f>
        <v>Obtain Titanium</v>
      </c>
      <c r="C444" s="21" t="str">
        <f t="array" ref="C444">_xlfn.XLOOKUP(
 A444,
 tblTargetStatus[TargetID],
 tblTargetStatus[successors],
 ""
)</f>
        <v>Once Upon a Forest Chapter 9 Finished</v>
      </c>
      <c r="D444" s="26" t="str">
        <f t="array" ref="D444">_xlfn.XLOOKUP(
 A444,
 tblTargets[TargetID],
 tblTargets[TargetType],
 ""
)</f>
        <v>STATE</v>
      </c>
      <c r="E444" s="45" t="str">
        <f t="array" ref="E444">_xlfn.XLOOKUP(
 A444,
 tblTargetStatus[TargetID],
 tblTargetStatus[ChainAwareStatus],
 ""
)</f>
        <v>BLOCKED</v>
      </c>
      <c r="F444" s="45"/>
      <c r="G444" s="45" t="b">
        <v>0</v>
      </c>
      <c r="H444" s="45" t="str">
        <f t="array" ref="H444">_xlfn.XLOOKUP(
 A444,
 tblTargetStatus[TargetID],
 tblTargetStatus[TargetFunded],
 ""
)</f>
        <v>N/A</v>
      </c>
      <c r="I444" s="45" t="str">
        <f t="array" ref="I444">IF(
 D444&lt;&gt;"BUILDING",
 "",
 IF(
  Player!$H$1="Active",
  _xlfn.XLOOKUP(
   A444,
   tblrecommended[ActiveTargetID],
   tblrecommended[Order],
   ""
  ),
  _xlfn.XLOOKUP(
   A444,
   tblrecommended[PassiveTargetID],
   tblrecommended[Order],
   ""
  )
 )
)</f>
        <v/>
      </c>
    </row>
    <row r="445" ht="25.5" customHeight="1">
      <c r="A445" s="26" t="s">
        <v>1650</v>
      </c>
      <c r="B445" s="26" t="str">
        <f t="array" ref="B445">_xlfn.XLOOKUP(Checklist!$A445,tblTargets[TargetID],tblTargets[DisplayName])</f>
        <v>Obtain Treasure</v>
      </c>
      <c r="C445" s="21" t="str">
        <f t="array" ref="C445">_xlfn.XLOOKUP(
 A445,
 tblTargetStatus[TargetID],
 tblTargetStatus[successors],
 ""
)</f>
        <v>Treasure Island Finished</v>
      </c>
      <c r="D445" s="26" t="str">
        <f t="array" ref="D445">_xlfn.XLOOKUP(
 A445,
 tblTargets[TargetID],
 tblTargets[TargetType],
 ""
)</f>
        <v>STATE</v>
      </c>
      <c r="E445" s="45" t="str">
        <f t="array" ref="E445">_xlfn.XLOOKUP(
 A445,
 tblTargetStatus[TargetID],
 tblTargetStatus[ChainAwareStatus],
 ""
)</f>
        <v>BLOCKED</v>
      </c>
      <c r="F445" s="45"/>
      <c r="G445" s="45" t="b">
        <v>0</v>
      </c>
      <c r="H445" s="45" t="str">
        <f t="array" ref="H445">_xlfn.XLOOKUP(
 A445,
 tblTargetStatus[TargetID],
 tblTargetStatus[TargetFunded],
 ""
)</f>
        <v>N/A</v>
      </c>
      <c r="I445" s="45" t="str">
        <f t="array" ref="I445">IF(
 D445&lt;&gt;"BUILDING",
 "",
 IF(
  Player!$H$1="Active",
  _xlfn.XLOOKUP(
   A445,
   tblrecommended[ActiveTargetID],
   tblrecommended[Order],
   ""
  ),
  _xlfn.XLOOKUP(
   A445,
   tblrecommended[PassiveTargetID],
   tblrecommended[Order],
   ""
  )
 )
)</f>
        <v/>
      </c>
    </row>
    <row r="446" ht="25.5" customHeight="1">
      <c r="A446" s="26" t="s">
        <v>1653</v>
      </c>
      <c r="B446" s="26" t="str">
        <f t="array" ref="B446">_xlfn.XLOOKUP(Checklist!$A446,tblTargets[TargetID],tblTargets[DisplayName])</f>
        <v>Visit Aomori</v>
      </c>
      <c r="C446" s="21" t="str">
        <f t="array" ref="C446">_xlfn.XLOOKUP(
 A446,
 tblTargetStatus[TargetID],
 tblTargetStatus[successors],
 ""
)</f>
        <v>Journey Through Japan By Train Finished</v>
      </c>
      <c r="D446" s="26" t="str">
        <f t="array" ref="D446">_xlfn.XLOOKUP(
 A446,
 tblTargets[TargetID],
 tblTargets[TargetType],
 ""
)</f>
        <v>STATE</v>
      </c>
      <c r="E446" s="45" t="str">
        <f t="array" ref="E446">_xlfn.XLOOKUP(
 A446,
 tblTargetStatus[TargetID],
 tblTargetStatus[ChainAwareStatus],
 ""
)</f>
        <v>BLOCKED</v>
      </c>
      <c r="F446" s="45"/>
      <c r="G446" s="45" t="b">
        <v>0</v>
      </c>
      <c r="H446" s="45" t="str">
        <f t="array" ref="H446">_xlfn.XLOOKUP(
 A446,
 tblTargetStatus[TargetID],
 tblTargetStatus[TargetFunded],
 ""
)</f>
        <v>N/A</v>
      </c>
      <c r="I446" s="45" t="str">
        <f t="array" ref="I446">IF(
 D446&lt;&gt;"BUILDING",
 "",
 IF(
  Player!$H$1="Active",
  _xlfn.XLOOKUP(
   A446,
   tblrecommended[ActiveTargetID],
   tblrecommended[Order],
   ""
  ),
  _xlfn.XLOOKUP(
   A446,
   tblrecommended[PassiveTargetID],
   tblrecommended[Order],
   ""
  )
 )
)</f>
        <v/>
      </c>
    </row>
    <row r="447" ht="25.5" customHeight="1">
      <c r="A447" s="26" t="s">
        <v>1655</v>
      </c>
      <c r="B447" s="26" t="str">
        <f t="array" ref="B447">_xlfn.XLOOKUP(Checklist!$A447,tblTargets[TargetID],tblTargets[DisplayName])</f>
        <v>Visit Athens</v>
      </c>
      <c r="C447" s="21" t="str">
        <f t="array" ref="C447">_xlfn.XLOOKUP(
 A447,
 tblTargetStatus[TargetID],
 tblTargetStatus[successors],
 ""
)</f>
        <v>Silk Road Finished</v>
      </c>
      <c r="D447" s="26" t="str">
        <f t="array" ref="D447">_xlfn.XLOOKUP(
 A447,
 tblTargets[TargetID],
 tblTargets[TargetType],
 ""
)</f>
        <v>STATE</v>
      </c>
      <c r="E447" s="45" t="str">
        <f t="array" ref="E447">_xlfn.XLOOKUP(
 A447,
 tblTargetStatus[TargetID],
 tblTargetStatus[ChainAwareStatus],
 ""
)</f>
        <v>BLOCKED</v>
      </c>
      <c r="F447" s="45"/>
      <c r="G447" s="45" t="b">
        <v>0</v>
      </c>
      <c r="H447" s="45" t="str">
        <f t="array" ref="H447">_xlfn.XLOOKUP(
 A447,
 tblTargetStatus[TargetID],
 tblTargetStatus[TargetFunded],
 ""
)</f>
        <v>N/A</v>
      </c>
      <c r="I447" s="45" t="str">
        <f t="array" ref="I447">IF(
 D447&lt;&gt;"BUILDING",
 "",
 IF(
  Player!$H$1="Active",
  _xlfn.XLOOKUP(
   A447,
   tblrecommended[ActiveTargetID],
   tblrecommended[Order],
   ""
  ),
  _xlfn.XLOOKUP(
   A447,
   tblrecommended[PassiveTargetID],
   tblrecommended[Order],
   ""
  )
 )
)</f>
        <v/>
      </c>
    </row>
    <row r="448" ht="25.5" customHeight="1">
      <c r="A448" s="26" t="s">
        <v>1657</v>
      </c>
      <c r="B448" s="26" t="str">
        <f t="array" ref="B448">_xlfn.XLOOKUP(Checklist!$A448,tblTargets[TargetID],tblTargets[DisplayName])</f>
        <v>Visit Baghdad</v>
      </c>
      <c r="C448" s="21" t="str">
        <f t="array" ref="C448">_xlfn.XLOOKUP(
 A448,
 tblTargetStatus[TargetID],
 tblTargetStatus[successors],
 ""
)</f>
        <v>Silk Road Finished</v>
      </c>
      <c r="D448" s="26" t="str">
        <f t="array" ref="D448">_xlfn.XLOOKUP(
 A448,
 tblTargets[TargetID],
 tblTargets[TargetType],
 ""
)</f>
        <v>STATE</v>
      </c>
      <c r="E448" s="45" t="str">
        <f t="array" ref="E448">_xlfn.XLOOKUP(
 A448,
 tblTargetStatus[TargetID],
 tblTargetStatus[ChainAwareStatus],
 ""
)</f>
        <v>BLOCKED</v>
      </c>
      <c r="F448" s="45"/>
      <c r="G448" s="45" t="b">
        <v>0</v>
      </c>
      <c r="H448" s="45" t="str">
        <f t="array" ref="H448">_xlfn.XLOOKUP(
 A448,
 tblTargetStatus[TargetID],
 tblTargetStatus[TargetFunded],
 ""
)</f>
        <v>N/A</v>
      </c>
      <c r="I448" s="45" t="str">
        <f t="array" ref="I448">IF(
 D448&lt;&gt;"BUILDING",
 "",
 IF(
  Player!$H$1="Active",
  _xlfn.XLOOKUP(
   A448,
   tblrecommended[ActiveTargetID],
   tblrecommended[Order],
   ""
  ),
  _xlfn.XLOOKUP(
   A448,
   tblrecommended[PassiveTargetID],
   tblrecommended[Order],
   ""
  )
 )
)</f>
        <v/>
      </c>
    </row>
    <row r="449" ht="25.5" customHeight="1">
      <c r="A449" s="26" t="s">
        <v>1660</v>
      </c>
      <c r="B449" s="26" t="str">
        <f t="array" ref="B449">_xlfn.XLOOKUP(Checklist!$A449,tblTargets[TargetID],tblTargets[DisplayName])</f>
        <v>Visit Beijing</v>
      </c>
      <c r="C449" s="21" t="str">
        <f t="array" ref="C449">_xlfn.XLOOKUP(
 A449,
 tblTargetStatus[TargetID],
 tblTargetStatus[successors],
 ""
)</f>
        <v>Silk Road Finished</v>
      </c>
      <c r="D449" s="26" t="str">
        <f t="array" ref="D449">_xlfn.XLOOKUP(
 A449,
 tblTargets[TargetID],
 tblTargets[TargetType],
 ""
)</f>
        <v>STATE</v>
      </c>
      <c r="E449" s="45" t="str">
        <f t="array" ref="E449">_xlfn.XLOOKUP(
 A449,
 tblTargetStatus[TargetID],
 tblTargetStatus[ChainAwareStatus],
 ""
)</f>
        <v>BLOCKED</v>
      </c>
      <c r="F449" s="45"/>
      <c r="G449" s="45" t="b">
        <v>0</v>
      </c>
      <c r="H449" s="45" t="str">
        <f t="array" ref="H449">_xlfn.XLOOKUP(
 A449,
 tblTargetStatus[TargetID],
 tblTargetStatus[TargetFunded],
 ""
)</f>
        <v>N/A</v>
      </c>
      <c r="I449" s="45" t="str">
        <f t="array" ref="I449">IF(
 D449&lt;&gt;"BUILDING",
 "",
 IF(
  Player!$H$1="Active",
  _xlfn.XLOOKUP(
   A449,
   tblrecommended[ActiveTargetID],
   tblrecommended[Order],
   ""
  ),
  _xlfn.XLOOKUP(
   A449,
   tblrecommended[PassiveTargetID],
   tblrecommended[Order],
   ""
  )
 )
)</f>
        <v/>
      </c>
    </row>
    <row r="450" ht="25.5" customHeight="1">
      <c r="A450" s="26" t="s">
        <v>1662</v>
      </c>
      <c r="B450" s="26" t="str">
        <f t="array" ref="B450">_xlfn.XLOOKUP(Checklist!$A450,tblTargets[TargetID],tblTargets[DisplayName])</f>
        <v>Visit Cairo</v>
      </c>
      <c r="C450" s="21" t="str">
        <f t="array" ref="C450">_xlfn.XLOOKUP(
 A450,
 tblTargetStatus[TargetID],
 tblTargetStatus[successors],
 ""
)</f>
        <v>Silk Road Finished</v>
      </c>
      <c r="D450" s="26" t="str">
        <f t="array" ref="D450">_xlfn.XLOOKUP(
 A450,
 tblTargets[TargetID],
 tblTargets[TargetType],
 ""
)</f>
        <v>STATE</v>
      </c>
      <c r="E450" s="45" t="str">
        <f t="array" ref="E450">_xlfn.XLOOKUP(
 A450,
 tblTargetStatus[TargetID],
 tblTargetStatus[ChainAwareStatus],
 ""
)</f>
        <v>BLOCKED</v>
      </c>
      <c r="F450" s="45"/>
      <c r="G450" s="45" t="b">
        <v>0</v>
      </c>
      <c r="H450" s="45" t="str">
        <f t="array" ref="H450">_xlfn.XLOOKUP(
 A450,
 tblTargetStatus[TargetID],
 tblTargetStatus[TargetFunded],
 ""
)</f>
        <v>N/A</v>
      </c>
      <c r="I450" s="45" t="str">
        <f t="array" ref="I450">IF(
 D450&lt;&gt;"BUILDING",
 "",
 IF(
  Player!$H$1="Active",
  _xlfn.XLOOKUP(
   A450,
   tblrecommended[ActiveTargetID],
   tblrecommended[Order],
   ""
  ),
  _xlfn.XLOOKUP(
   A450,
   tblrecommended[PassiveTargetID],
   tblrecommended[Order],
   ""
  )
 )
)</f>
        <v/>
      </c>
    </row>
    <row r="451" ht="25.5" customHeight="1">
      <c r="A451" s="26" t="s">
        <v>1665</v>
      </c>
      <c r="B451" s="26" t="str">
        <f t="array" ref="B451">_xlfn.XLOOKUP(Checklist!$A451,tblTargets[TargetID],tblTargets[DisplayName])</f>
        <v>Visit Delhi</v>
      </c>
      <c r="C451" s="21" t="str">
        <f t="array" ref="C451">_xlfn.XLOOKUP(
 A451,
 tblTargetStatus[TargetID],
 tblTargetStatus[successors],
 ""
)</f>
        <v>Silk Road Finished</v>
      </c>
      <c r="D451" s="26" t="str">
        <f t="array" ref="D451">_xlfn.XLOOKUP(
 A451,
 tblTargets[TargetID],
 tblTargets[TargetType],
 ""
)</f>
        <v>STATE</v>
      </c>
      <c r="E451" s="45" t="str">
        <f t="array" ref="E451">_xlfn.XLOOKUP(
 A451,
 tblTargetStatus[TargetID],
 tblTargetStatus[ChainAwareStatus],
 ""
)</f>
        <v>BLOCKED</v>
      </c>
      <c r="F451" s="45"/>
      <c r="G451" s="45" t="b">
        <v>0</v>
      </c>
      <c r="H451" s="45" t="str">
        <f t="array" ref="H451">_xlfn.XLOOKUP(
 A451,
 tblTargetStatus[TargetID],
 tblTargetStatus[TargetFunded],
 ""
)</f>
        <v>N/A</v>
      </c>
      <c r="I451" s="45" t="str">
        <f t="array" ref="I451">IF(
 D451&lt;&gt;"BUILDING",
 "",
 IF(
  Player!$H$1="Active",
  _xlfn.XLOOKUP(
   A451,
   tblrecommended[ActiveTargetID],
   tblrecommended[Order],
   ""
  ),
  _xlfn.XLOOKUP(
   A451,
   tblrecommended[PassiveTargetID],
   tblrecommended[Order],
   ""
  )
 )
)</f>
        <v/>
      </c>
    </row>
    <row r="452" ht="25.5" customHeight="1">
      <c r="A452" s="26" t="s">
        <v>1667</v>
      </c>
      <c r="B452" s="26" t="str">
        <f t="array" ref="B452">_xlfn.XLOOKUP(Checklist!$A452,tblTargets[TargetID],tblTargets[DisplayName])</f>
        <v>Visit Dungeon@4A</v>
      </c>
      <c r="C452" s="21" t="str">
        <f t="array" ref="C452">_xlfn.XLOOKUP(
 A452,
 tblTargetStatus[TargetID],
 tblTargetStatus[successors],
 ""
)</f>
        <v>Magic Beans Accepted</v>
      </c>
      <c r="D452" s="26" t="str">
        <f t="array" ref="D452">_xlfn.XLOOKUP(
 A452,
 tblTargets[TargetID],
 tblTargets[TargetType],
 ""
)</f>
        <v>STATE</v>
      </c>
      <c r="E452" s="45" t="str">
        <f t="array" ref="E452">_xlfn.XLOOKUP(
 A452,
 tblTargetStatus[TargetID],
 tblTargetStatus[ChainAwareStatus],
 ""
)</f>
        <v>BLOCKED</v>
      </c>
      <c r="F452" s="45"/>
      <c r="G452" s="45" t="b">
        <v>0</v>
      </c>
      <c r="H452" s="45" t="str">
        <f t="array" ref="H452">_xlfn.XLOOKUP(
 A452,
 tblTargetStatus[TargetID],
 tblTargetStatus[TargetFunded],
 ""
)</f>
        <v>N/A</v>
      </c>
      <c r="I452" s="45" t="str">
        <f t="array" ref="I452">IF(
 D452&lt;&gt;"BUILDING",
 "",
 IF(
  Player!$H$1="Active",
  _xlfn.XLOOKUP(
   A452,
   tblrecommended[ActiveTargetID],
   tblrecommended[Order],
   ""
  ),
  _xlfn.XLOOKUP(
   A452,
   tblrecommended[PassiveTargetID],
   tblrecommended[Order],
   ""
  )
 )
)</f>
        <v/>
      </c>
    </row>
    <row r="453" ht="25.5" customHeight="1">
      <c r="A453" s="26" t="s">
        <v>1669</v>
      </c>
      <c r="B453" s="26" t="str">
        <f t="array" ref="B453">_xlfn.XLOOKUP(Checklist!$A453,tblTargets[TargetID],tblTargets[DisplayName])</f>
        <v>Visit Dungeon@5A </v>
      </c>
      <c r="C453" s="21" t="str">
        <f t="array" ref="C453">_xlfn.XLOOKUP(
 A453,
 tblTargetStatus[TargetID],
 tblTargetStatus[successors],
 ""
)</f>
        <v>Undead Revenge Accepted</v>
      </c>
      <c r="D453" s="26" t="str">
        <f t="array" ref="D453">_xlfn.XLOOKUP(
 A453,
 tblTargets[TargetID],
 tblTargets[TargetType],
 ""
)</f>
        <v>STATE</v>
      </c>
      <c r="E453" s="45" t="str">
        <f t="array" ref="E453">_xlfn.XLOOKUP(
 A453,
 tblTargetStatus[TargetID],
 tblTargetStatus[ChainAwareStatus],
 ""
)</f>
        <v>BLOCKED</v>
      </c>
      <c r="F453" s="45"/>
      <c r="G453" s="45" t="b">
        <v>0</v>
      </c>
      <c r="H453" s="45" t="str">
        <f t="array" ref="H453">_xlfn.XLOOKUP(
 A453,
 tblTargetStatus[TargetID],
 tblTargetStatus[TargetFunded],
 ""
)</f>
        <v>N/A</v>
      </c>
      <c r="I453" s="45" t="str">
        <f t="array" ref="I453">IF(
 D453&lt;&gt;"BUILDING",
 "",
 IF(
  Player!$H$1="Active",
  _xlfn.XLOOKUP(
   A453,
   tblrecommended[ActiveTargetID],
   tblrecommended[Order],
   ""
  ),
  _xlfn.XLOOKUP(
   A453,
   tblrecommended[PassiveTargetID],
   tblrecommended[Order],
   ""
  )
 )
)</f>
        <v/>
      </c>
    </row>
    <row r="454" ht="25.5" customHeight="1">
      <c r="A454" s="26" t="s">
        <v>1671</v>
      </c>
      <c r="B454" s="26" t="str">
        <f t="array" ref="B454">_xlfn.XLOOKUP(Checklist!$A454,tblTargets[TargetID],tblTargets[DisplayName])</f>
        <v>Visit Dungeon@6A</v>
      </c>
      <c r="C454" s="21" t="str">
        <f t="array" ref="C454">_xlfn.XLOOKUP(
 A454,
 tblTargetStatus[TargetID],
 tblTargetStatus[successors],
 ""
)</f>
        <v>Ahead of Time Chapter 2 Accepted</v>
      </c>
      <c r="D454" s="26" t="str">
        <f t="array" ref="D454">_xlfn.XLOOKUP(
 A454,
 tblTargets[TargetID],
 tblTargets[TargetType],
 ""
)</f>
        <v>STATE</v>
      </c>
      <c r="E454" s="45" t="str">
        <f t="array" ref="E454">_xlfn.XLOOKUP(
 A454,
 tblTargetStatus[TargetID],
 tblTargetStatus[ChainAwareStatus],
 ""
)</f>
        <v>BLOCKED</v>
      </c>
      <c r="F454" s="45"/>
      <c r="G454" s="45" t="b">
        <v>0</v>
      </c>
      <c r="H454" s="45" t="str">
        <f t="array" ref="H454">_xlfn.XLOOKUP(
 A454,
 tblTargetStatus[TargetID],
 tblTargetStatus[TargetFunded],
 ""
)</f>
        <v>N/A</v>
      </c>
      <c r="I454" s="45" t="str">
        <f t="array" ref="I454">IF(
 D454&lt;&gt;"BUILDING",
 "",
 IF(
  Player!$H$1="Active",
  _xlfn.XLOOKUP(
   A454,
   tblrecommended[ActiveTargetID],
   tblrecommended[Order],
   ""
  ),
  _xlfn.XLOOKUP(
   A454,
   tblrecommended[PassiveTargetID],
   tblrecommended[Order],
   ""
  )
 )
)</f>
        <v/>
      </c>
    </row>
    <row r="455" ht="25.5" customHeight="1">
      <c r="A455" s="26" t="s">
        <v>1677</v>
      </c>
      <c r="B455" s="26" t="str">
        <f t="array" ref="B455">_xlfn.XLOOKUP(Checklist!$A455,tblTargets[TargetID],tblTargets[DisplayName])</f>
        <v>Visit Fukushima</v>
      </c>
      <c r="C455" s="21" t="str">
        <f t="array" ref="C455">_xlfn.XLOOKUP(
 A455,
 tblTargetStatus[TargetID],
 tblTargetStatus[successors],
 ""
)</f>
        <v>Journey Through Japan By Train Finished</v>
      </c>
      <c r="D455" s="26" t="str">
        <f t="array" ref="D455">_xlfn.XLOOKUP(
 A455,
 tblTargets[TargetID],
 tblTargets[TargetType],
 ""
)</f>
        <v>STATE</v>
      </c>
      <c r="E455" s="45" t="str">
        <f t="array" ref="E455">_xlfn.XLOOKUP(
 A455,
 tblTargetStatus[TargetID],
 tblTargetStatus[ChainAwareStatus],
 ""
)</f>
        <v>BLOCKED</v>
      </c>
      <c r="F455" s="45"/>
      <c r="G455" s="45" t="b">
        <v>0</v>
      </c>
      <c r="H455" s="45" t="str">
        <f t="array" ref="H455">_xlfn.XLOOKUP(
 A455,
 tblTargetStatus[TargetID],
 tblTargetStatus[TargetFunded],
 ""
)</f>
        <v>N/A</v>
      </c>
      <c r="I455" s="45" t="str">
        <f t="array" ref="I455">IF(
 D455&lt;&gt;"BUILDING",
 "",
 IF(
  Player!$H$1="Active",
  _xlfn.XLOOKUP(
   A455,
   tblrecommended[ActiveTargetID],
   tblrecommended[Order],
   ""
  ),
  _xlfn.XLOOKUP(
   A455,
   tblrecommended[PassiveTargetID],
   tblrecommended[Order],
   ""
  )
 )
)</f>
        <v/>
      </c>
    </row>
    <row r="456" ht="25.5" customHeight="1">
      <c r="A456" s="26" t="s">
        <v>1679</v>
      </c>
      <c r="B456" s="26" t="str">
        <f t="array" ref="B456">_xlfn.XLOOKUP(Checklist!$A456,tblTargets[TargetID],tblTargets[DisplayName])</f>
        <v>Visit Kyiv</v>
      </c>
      <c r="C456" s="21" t="str">
        <f t="array" ref="C456">_xlfn.XLOOKUP(
 A456,
 tblTargetStatus[TargetID],
 tblTargetStatus[successors],
 ""
)</f>
        <v>Silk Road Finished</v>
      </c>
      <c r="D456" s="26" t="str">
        <f t="array" ref="D456">_xlfn.XLOOKUP(
 A456,
 tblTargets[TargetID],
 tblTargets[TargetType],
 ""
)</f>
        <v>STATE</v>
      </c>
      <c r="E456" s="45" t="str">
        <f t="array" ref="E456">_xlfn.XLOOKUP(
 A456,
 tblTargetStatus[TargetID],
 tblTargetStatus[ChainAwareStatus],
 ""
)</f>
        <v>BLOCKED</v>
      </c>
      <c r="F456" s="45"/>
      <c r="G456" s="45" t="b">
        <v>0</v>
      </c>
      <c r="H456" s="45" t="str">
        <f t="array" ref="H456">_xlfn.XLOOKUP(
 A456,
 tblTargetStatus[TargetID],
 tblTargetStatus[TargetFunded],
 ""
)</f>
        <v>N/A</v>
      </c>
      <c r="I456" s="45" t="str">
        <f t="array" ref="I456">IF(
 D456&lt;&gt;"BUILDING",
 "",
 IF(
  Player!$H$1="Active",
  _xlfn.XLOOKUP(
   A456,
   tblrecommended[ActiveTargetID],
   tblrecommended[Order],
   ""
  ),
  _xlfn.XLOOKUP(
   A456,
   tblrecommended[PassiveTargetID],
   tblrecommended[Order],
   ""
  )
 )
)</f>
        <v/>
      </c>
    </row>
    <row r="457" ht="25.5" customHeight="1">
      <c r="A457" s="26" t="s">
        <v>1682</v>
      </c>
      <c r="B457" s="26" t="str">
        <f t="array" ref="B457">_xlfn.XLOOKUP(Checklist!$A457,tblTargets[TargetID],tblTargets[DisplayName])</f>
        <v>Visit Kyoto</v>
      </c>
      <c r="C457" s="21" t="str">
        <f t="array" ref="C457">_xlfn.XLOOKUP(
 A457,
 tblTargetStatus[TargetID],
 tblTargetStatus[successors],
 ""
)</f>
        <v>Journey Through Japan By Train Finished</v>
      </c>
      <c r="D457" s="26" t="str">
        <f t="array" ref="D457">_xlfn.XLOOKUP(
 A457,
 tblTargets[TargetID],
 tblTargets[TargetType],
 ""
)</f>
        <v>STATE</v>
      </c>
      <c r="E457" s="45" t="str">
        <f t="array" ref="E457">_xlfn.XLOOKUP(
 A457,
 tblTargetStatus[TargetID],
 tblTargetStatus[ChainAwareStatus],
 ""
)</f>
        <v>BLOCKED</v>
      </c>
      <c r="F457" s="45"/>
      <c r="G457" s="45" t="b">
        <v>0</v>
      </c>
      <c r="H457" s="45" t="str">
        <f t="array" ref="H457">_xlfn.XLOOKUP(
 A457,
 tblTargetStatus[TargetID],
 tblTargetStatus[TargetFunded],
 ""
)</f>
        <v>N/A</v>
      </c>
      <c r="I457" s="45" t="str">
        <f t="array" ref="I457">IF(
 D457&lt;&gt;"BUILDING",
 "",
 IF(
  Player!$H$1="Active",
  _xlfn.XLOOKUP(
   A457,
   tblrecommended[ActiveTargetID],
   tblrecommended[Order],
   ""
  ),
  _xlfn.XLOOKUP(
   A457,
   tblrecommended[PassiveTargetID],
   tblrecommended[Order],
   ""
  )
 )
)</f>
        <v/>
      </c>
    </row>
    <row r="458" ht="25.5" customHeight="1">
      <c r="A458" s="26" t="s">
        <v>1684</v>
      </c>
      <c r="B458" s="26" t="str">
        <f t="array" ref="B458">_xlfn.XLOOKUP(Checklist!$A458,tblTargets[TargetID],tblTargets[DisplayName])</f>
        <v>Visit Melbourne in Airship</v>
      </c>
      <c r="C458" s="21" t="str">
        <f t="array" ref="C458">_xlfn.XLOOKUP(
 A458,
 tblTargetStatus[TargetID],
 tblTargetStatus[successors],
 ""
)</f>
        <v>Once Upon a Forest Chapter 11 Finished</v>
      </c>
      <c r="D458" s="26" t="str">
        <f t="array" ref="D458">_xlfn.XLOOKUP(
 A458,
 tblTargets[TargetID],
 tblTargets[TargetType],
 ""
)</f>
        <v>STATE</v>
      </c>
      <c r="E458" s="45" t="str">
        <f t="array" ref="E458">_xlfn.XLOOKUP(
 A458,
 tblTargetStatus[TargetID],
 tblTargetStatus[ChainAwareStatus],
 ""
)</f>
        <v>BLOCKED</v>
      </c>
      <c r="F458" s="45"/>
      <c r="G458" s="45" t="b">
        <v>0</v>
      </c>
      <c r="H458" s="45" t="str">
        <f t="array" ref="H458">_xlfn.XLOOKUP(
 A458,
 tblTargetStatus[TargetID],
 tblTargetStatus[TargetFunded],
 ""
)</f>
        <v>N/A</v>
      </c>
      <c r="I458" s="45" t="str">
        <f t="array" ref="I458">IF(
 D458&lt;&gt;"BUILDING",
 "",
 IF(
  Player!$H$1="Active",
  _xlfn.XLOOKUP(
   A458,
   tblrecommended[ActiveTargetID],
   tblrecommended[Order],
   ""
  ),
  _xlfn.XLOOKUP(
   A458,
   tblrecommended[PassiveTargetID],
   tblrecommended[Order],
   ""
  )
 )
)</f>
        <v/>
      </c>
    </row>
    <row r="459" ht="25.5" customHeight="1">
      <c r="A459" s="26" t="s">
        <v>1686</v>
      </c>
      <c r="B459" s="26" t="str">
        <f t="array" ref="B459">_xlfn.XLOOKUP(Checklist!$A459,tblTargets[TargetID],tblTargets[DisplayName])</f>
        <v>Visit Nagasaki</v>
      </c>
      <c r="C459" s="21" t="str">
        <f t="array" ref="C459">_xlfn.XLOOKUP(
 A459,
 tblTargetStatus[TargetID],
 tblTargetStatus[successors],
 ""
)</f>
        <v>Journey Through Japan By Train Finished</v>
      </c>
      <c r="D459" s="26" t="str">
        <f t="array" ref="D459">_xlfn.XLOOKUP(
 A459,
 tblTargets[TargetID],
 tblTargets[TargetType],
 ""
)</f>
        <v>STATE</v>
      </c>
      <c r="E459" s="45" t="str">
        <f t="array" ref="E459">_xlfn.XLOOKUP(
 A459,
 tblTargetStatus[TargetID],
 tblTargetStatus[ChainAwareStatus],
 ""
)</f>
        <v>BLOCKED</v>
      </c>
      <c r="F459" s="45"/>
      <c r="G459" s="45" t="b">
        <v>0</v>
      </c>
      <c r="H459" s="45" t="str">
        <f t="array" ref="H459">_xlfn.XLOOKUP(
 A459,
 tblTargetStatus[TargetID],
 tblTargetStatus[TargetFunded],
 ""
)</f>
        <v>N/A</v>
      </c>
      <c r="I459" s="45" t="str">
        <f t="array" ref="I459">IF(
 D459&lt;&gt;"BUILDING",
 "",
 IF(
  Player!$H$1="Active",
  _xlfn.XLOOKUP(
   A459,
   tblrecommended[ActiveTargetID],
   tblrecommended[Order],
   ""
  ),
  _xlfn.XLOOKUP(
   A459,
   tblrecommended[PassiveTargetID],
   tblrecommended[Order],
   ""
  )
 )
)</f>
        <v/>
      </c>
    </row>
    <row r="460" ht="25.5" customHeight="1">
      <c r="A460" s="26" t="s">
        <v>1690</v>
      </c>
      <c r="B460" s="26" t="str">
        <f t="array" ref="B460">_xlfn.XLOOKUP(Checklist!$A460,tblTargets[TargetID],tblTargets[DisplayName])</f>
        <v>Visit Osaka</v>
      </c>
      <c r="C460" s="21" t="str">
        <f t="array" ref="C460">_xlfn.XLOOKUP(
 A460,
 tblTargetStatus[TargetID],
 tblTargetStatus[successors],
 ""
)</f>
        <v>Journey Through Japan By Train Finished</v>
      </c>
      <c r="D460" s="26" t="str">
        <f t="array" ref="D460">_xlfn.XLOOKUP(
 A460,
 tblTargets[TargetID],
 tblTargets[TargetType],
 ""
)</f>
        <v>STATE</v>
      </c>
      <c r="E460" s="45" t="str">
        <f t="array" ref="E460">_xlfn.XLOOKUP(
 A460,
 tblTargetStatus[TargetID],
 tblTargetStatus[ChainAwareStatus],
 ""
)</f>
        <v>BLOCKED</v>
      </c>
      <c r="F460" s="45"/>
      <c r="G460" s="45" t="b">
        <v>0</v>
      </c>
      <c r="H460" s="45" t="str">
        <f t="array" ref="H460">_xlfn.XLOOKUP(
 A460,
 tblTargetStatus[TargetID],
 tblTargetStatus[TargetFunded],
 ""
)</f>
        <v>N/A</v>
      </c>
      <c r="I460" s="45" t="str">
        <f t="array" ref="I460">IF(
 D460&lt;&gt;"BUILDING",
 "",
 IF(
  Player!$H$1="Active",
  _xlfn.XLOOKUP(
   A460,
   tblrecommended[ActiveTargetID],
   tblrecommended[Order],
   ""
  ),
  _xlfn.XLOOKUP(
   A460,
   tblrecommended[PassiveTargetID],
   tblrecommended[Order],
   ""
  )
 )
)</f>
        <v/>
      </c>
    </row>
    <row r="461" ht="25.5" customHeight="1">
      <c r="A461" s="26" t="s">
        <v>1692</v>
      </c>
      <c r="B461" s="26" t="str">
        <f t="array" ref="B461">_xlfn.XLOOKUP(Checklist!$A461,tblTargets[TargetID],tblTargets[DisplayName])</f>
        <v>Visit Paris in the Airship</v>
      </c>
      <c r="C461" s="21" t="str">
        <f t="array" ref="C461">_xlfn.XLOOKUP(
 A461,
 tblTargetStatus[TargetID],
 tblTargetStatus[successors],
 ""
)</f>
        <v>The Ordinary Days of an Adventurer Chapter 8 Finished</v>
      </c>
      <c r="D461" s="26" t="str">
        <f t="array" ref="D461">_xlfn.XLOOKUP(
 A461,
 tblTargets[TargetID],
 tblTargets[TargetType],
 ""
)</f>
        <v>STATE</v>
      </c>
      <c r="E461" s="45" t="str">
        <f t="array" ref="E461">_xlfn.XLOOKUP(
 A461,
 tblTargetStatus[TargetID],
 tblTargetStatus[ChainAwareStatus],
 ""
)</f>
        <v>BLOCKED</v>
      </c>
      <c r="F461" s="45"/>
      <c r="G461" s="45" t="b">
        <v>0</v>
      </c>
      <c r="H461" s="45" t="str">
        <f t="array" ref="H461">_xlfn.XLOOKUP(
 A461,
 tblTargetStatus[TargetID],
 tblTargetStatus[TargetFunded],
 ""
)</f>
        <v>N/A</v>
      </c>
      <c r="I461" s="45" t="str">
        <f t="array" ref="I461">IF(
 D461&lt;&gt;"BUILDING",
 "",
 IF(
  Player!$H$1="Active",
  _xlfn.XLOOKUP(
   A461,
   tblrecommended[ActiveTargetID],
   tblrecommended[Order],
   ""
  ),
  _xlfn.XLOOKUP(
   A461,
   tblrecommended[PassiveTargetID],
   tblrecommended[Order],
   ""
  )
 )
)</f>
        <v/>
      </c>
    </row>
    <row r="462" ht="25.5" customHeight="1">
      <c r="A462" s="26" t="s">
        <v>1694</v>
      </c>
      <c r="B462" s="26" t="str">
        <f t="array" ref="B462">_xlfn.XLOOKUP(Checklist!$A462,tblTargets[TargetID],tblTargets[DisplayName])</f>
        <v>Visit Rome</v>
      </c>
      <c r="C462" s="21" t="str">
        <f t="array" ref="C462">_xlfn.XLOOKUP(
 A462,
 tblTargetStatus[TargetID],
 tblTargetStatus[successors],
 ""
)</f>
        <v>Silk Road Finished</v>
      </c>
      <c r="D462" s="26" t="str">
        <f t="array" ref="D462">_xlfn.XLOOKUP(
 A462,
 tblTargets[TargetID],
 tblTargets[TargetType],
 ""
)</f>
        <v>STATE</v>
      </c>
      <c r="E462" s="45" t="str">
        <f t="array" ref="E462">_xlfn.XLOOKUP(
 A462,
 tblTargetStatus[TargetID],
 tblTargetStatus[ChainAwareStatus],
 ""
)</f>
        <v>BLOCKED</v>
      </c>
      <c r="F462" s="45"/>
      <c r="G462" s="45" t="b">
        <v>0</v>
      </c>
      <c r="H462" s="45" t="str">
        <f t="array" ref="H462">_xlfn.XLOOKUP(
 A462,
 tblTargetStatus[TargetID],
 tblTargetStatus[TargetFunded],
 ""
)</f>
        <v>N/A</v>
      </c>
      <c r="I462" s="45" t="str">
        <f t="array" ref="I462">IF(
 D462&lt;&gt;"BUILDING",
 "",
 IF(
  Player!$H$1="Active",
  _xlfn.XLOOKUP(
   A462,
   tblrecommended[ActiveTargetID],
   tblrecommended[Order],
   ""
  ),
  _xlfn.XLOOKUP(
   A462,
   tblrecommended[PassiveTargetID],
   tblrecommended[Order],
   ""
  )
 )
)</f>
        <v/>
      </c>
    </row>
    <row r="463" ht="25.5" customHeight="1">
      <c r="A463" s="26" t="s">
        <v>1697</v>
      </c>
      <c r="B463" s="26" t="str">
        <f t="array" ref="B463">_xlfn.XLOOKUP(Checklist!$A463,tblTargets[TargetID],tblTargets[DisplayName])</f>
        <v>Visit Tokyo</v>
      </c>
      <c r="C463" s="21" t="str">
        <f t="array" ref="C463">_xlfn.XLOOKUP(
 A463,
 tblTargetStatus[TargetID],
 tblTargetStatus[successors],
 ""
)</f>
        <v>Journey Through Japan By Train Finished</v>
      </c>
      <c r="D463" s="26" t="str">
        <f t="array" ref="D463">_xlfn.XLOOKUP(
 A463,
 tblTargets[TargetID],
 tblTargets[TargetType],
 ""
)</f>
        <v>STATE</v>
      </c>
      <c r="E463" s="45" t="str">
        <f t="array" ref="E463">_xlfn.XLOOKUP(
 A463,
 tblTargetStatus[TargetID],
 tblTargetStatus[ChainAwareStatus],
 ""
)</f>
        <v>BLOCKED</v>
      </c>
      <c r="F463" s="45"/>
      <c r="G463" s="45" t="b">
        <v>0</v>
      </c>
      <c r="H463" s="45" t="str">
        <f t="array" ref="H463">_xlfn.XLOOKUP(
 A463,
 tblTargetStatus[TargetID],
 tblTargetStatus[TargetFunded],
 ""
)</f>
        <v>N/A</v>
      </c>
      <c r="I463" s="45" t="str">
        <f t="array" ref="I463">IF(
 D463&lt;&gt;"BUILDING",
 "",
 IF(
  Player!$H$1="Active",
  _xlfn.XLOOKUP(
   A463,
   tblrecommended[ActiveTargetID],
   tblrecommended[Order],
   ""
  ),
  _xlfn.XLOOKUP(
   A463,
   tblrecommended[PassiveTargetID],
   tblrecommended[Order],
   ""
  )
 )
)</f>
        <v/>
      </c>
    </row>
    <row r="464" ht="25.5" customHeight="1">
      <c r="A464" s="26" t="s">
        <v>1699</v>
      </c>
      <c r="B464" s="26" t="str">
        <f t="array" ref="B464">_xlfn.XLOOKUP(Checklist!$A464,tblTargets[TargetID],tblTargets[DisplayName])</f>
        <v>Visit Wakayama</v>
      </c>
      <c r="C464" s="21" t="str">
        <f t="array" ref="C464">_xlfn.XLOOKUP(
 A464,
 tblTargetStatus[TargetID],
 tblTargetStatus[successors],
 ""
)</f>
        <v>Journey Through Japan By Train Finished</v>
      </c>
      <c r="D464" s="26" t="str">
        <f t="array" ref="D464">_xlfn.XLOOKUP(
 A464,
 tblTargets[TargetID],
 tblTargets[TargetType],
 ""
)</f>
        <v>STATE</v>
      </c>
      <c r="E464" s="45" t="str">
        <f t="array" ref="E464">_xlfn.XLOOKUP(
 A464,
 tblTargetStatus[TargetID],
 tblTargetStatus[ChainAwareStatus],
 ""
)</f>
        <v>BLOCKED</v>
      </c>
      <c r="F464" s="45"/>
      <c r="G464" s="45" t="b">
        <v>0</v>
      </c>
      <c r="H464" s="45" t="str">
        <f t="array" ref="H464">_xlfn.XLOOKUP(
 A464,
 tblTargetStatus[TargetID],
 tblTargetStatus[TargetFunded],
 ""
)</f>
        <v>N/A</v>
      </c>
      <c r="I464" s="45" t="str">
        <f t="array" ref="I464">IF(
 D464&lt;&gt;"BUILDING",
 "",
 IF(
  Player!$H$1="Active",
  _xlfn.XLOOKUP(
   A464,
   tblrecommended[ActiveTargetID],
   tblrecommended[Order],
   ""
  ),
  _xlfn.XLOOKUP(
   A464,
   tblrecommended[PassiveTargetID],
   tblrecommended[Order],
   ""
  )
 )
)</f>
        <v/>
      </c>
    </row>
    <row r="465" ht="25.5" customHeight="1">
      <c r="A465" s="26" t="s">
        <v>1701</v>
      </c>
      <c r="B465" s="26" t="str">
        <f t="array" ref="B465">_xlfn.XLOOKUP(Checklist!$A465,tblTargets[TargetID],tblTargets[DisplayName])</f>
        <v>Visit Xian</v>
      </c>
      <c r="C465" s="21" t="str">
        <f t="array" ref="C465">_xlfn.XLOOKUP(
 A465,
 tblTargetStatus[TargetID],
 tblTargetStatus[successors],
 ""
)</f>
        <v>Silk Road Finished</v>
      </c>
      <c r="D465" s="26" t="str">
        <f t="array" ref="D465">_xlfn.XLOOKUP(
 A465,
 tblTargets[TargetID],
 tblTargets[TargetType],
 ""
)</f>
        <v>STATE</v>
      </c>
      <c r="E465" s="45" t="str">
        <f t="array" ref="E465">_xlfn.XLOOKUP(
 A465,
 tblTargetStatus[TargetID],
 tblTargetStatus[ChainAwareStatus],
 ""
)</f>
        <v>BLOCKED</v>
      </c>
      <c r="F465" s="45"/>
      <c r="G465" s="45" t="b">
        <v>0</v>
      </c>
      <c r="H465" s="45" t="str">
        <f t="array" ref="H465">_xlfn.XLOOKUP(
 A465,
 tblTargetStatus[TargetID],
 tblTargetStatus[TargetFunded],
 ""
)</f>
        <v>N/A</v>
      </c>
      <c r="I465" s="45" t="str">
        <f t="array" ref="I465">IF(
 D465&lt;&gt;"BUILDING",
 "",
 IF(
  Player!$H$1="Active",
  _xlfn.XLOOKUP(
   A465,
   tblrecommended[ActiveTargetID],
   tblrecommended[Order],
   ""
  ),
  _xlfn.XLOOKUP(
   A465,
   tblrecommended[PassiveTargetID],
   tblrecommended[Order],
   ""
  )
 )
)</f>
        <v/>
      </c>
    </row>
    <row r="466" ht="25.5" hidden="1" customHeight="1">
      <c r="A466" s="26" t="s">
        <v>1703</v>
      </c>
      <c r="B466" s="26" t="str">
        <f t="array" ref="B466">_xlfn.XLOOKUP(Checklist!$A466,tblTargets[TargetID],tblTargets[DisplayName])</f>
        <v>Airship - Titanium Longerons</v>
      </c>
      <c r="C466" s="21" t="str">
        <f t="array" ref="C466">_xlfn.XLOOKUP(
 A466,
 tblTargetStatus[TargetID],
 tblTargetStatus[successors],
 ""
)</f>
        <v/>
      </c>
      <c r="D466" s="26" t="str">
        <f t="array" ref="D466">_xlfn.XLOOKUP(
 A466,
 tblTargets[TargetID],
 tblTargets[TargetType],
 ""
)</f>
        <v>TECH</v>
      </c>
      <c r="E466" s="45" t="str">
        <f t="array" ref="E466">_xlfn.XLOOKUP(
 A466,
 tblTargetStatus[TargetID],
 tblTargetStatus[ChainAwareStatus],
 ""
)</f>
        <v>BLOCKED</v>
      </c>
      <c r="F466" s="45">
        <v>1.0</v>
      </c>
      <c r="G466" s="45" t="b">
        <v>0</v>
      </c>
      <c r="H466" s="45" t="b">
        <f t="array" ref="H466">_xlfn.XLOOKUP(
 A466,
 tblTargetStatus[TargetID],
 tblTargetStatus[TargetFunded],
 ""
)</f>
        <v>0</v>
      </c>
      <c r="I466" s="45" t="str">
        <f t="array" ref="I466">IF(
 D466&lt;&gt;"BUILDING",
 "",
 IF(
  Player!$H$1="Active",
  _xlfn.XLOOKUP(
   A466,
   tblrecommended[ActiveTargetID],
   tblrecommended[Order],
   ""
  ),
  _xlfn.XLOOKUP(
   A466,
   tblrecommended[PassiveTargetID],
   tblrecommended[Order],
   ""
  )
 )
)</f>
        <v/>
      </c>
    </row>
    <row r="467" ht="25.5" hidden="1" customHeight="1">
      <c r="A467" s="26" t="s">
        <v>1707</v>
      </c>
      <c r="B467" s="26" t="str">
        <f t="array" ref="B467">_xlfn.XLOOKUP(Checklist!$A467,tblTargets[TargetID],tblTargets[DisplayName])</f>
        <v>Alchemists Hut - Advanced Fertilizer</v>
      </c>
      <c r="C467" s="21" t="str">
        <f t="array" ref="C467">_xlfn.XLOOKUP(
 A467,
 tblTargetStatus[TargetID],
 tblTargetStatus[successors],
 ""
)</f>
        <v/>
      </c>
      <c r="D467" s="26" t="str">
        <f t="array" ref="D467">_xlfn.XLOOKUP(
 A467,
 tblTargets[TargetID],
 tblTargets[TargetType],
 ""
)</f>
        <v>TECH</v>
      </c>
      <c r="E467" s="45" t="str">
        <f t="array" ref="E467">_xlfn.XLOOKUP(
 A467,
 tblTargetStatus[TargetID],
 tblTargetStatus[ChainAwareStatus],
 ""
)</f>
        <v>BLOCKED</v>
      </c>
      <c r="F467" s="45"/>
      <c r="G467" s="45" t="b">
        <v>0</v>
      </c>
      <c r="H467" s="45" t="b">
        <f t="array" ref="H467">_xlfn.XLOOKUP(
 A467,
 tblTargetStatus[TargetID],
 tblTargetStatus[TargetFunded],
 ""
)</f>
        <v>0</v>
      </c>
      <c r="I467" s="45" t="str">
        <f t="array" ref="I467">IF(
 D467&lt;&gt;"BUILDING",
 "",
 IF(
  Player!$H$1="Active",
  _xlfn.XLOOKUP(
   A467,
   tblrecommended[ActiveTargetID],
   tblrecommended[Order],
   ""
  ),
  _xlfn.XLOOKUP(
   A467,
   tblrecommended[PassiveTargetID],
   tblrecommended[Order],
   ""
  )
 )
)</f>
        <v/>
      </c>
    </row>
    <row r="468" ht="25.5" hidden="1" customHeight="1">
      <c r="A468" s="26" t="s">
        <v>1709</v>
      </c>
      <c r="B468" s="26" t="str">
        <f t="array" ref="B468">_xlfn.XLOOKUP(Checklist!$A468,tblTargets[TargetID],tblTargets[DisplayName])</f>
        <v>Alchemists Hut - Balm</v>
      </c>
      <c r="C468" s="21" t="str">
        <f t="array" ref="C468">_xlfn.XLOOKUP(
 A468,
 tblTargetStatus[TargetID],
 tblTargetStatus[successors],
 ""
)</f>
        <v/>
      </c>
      <c r="D468" s="26" t="str">
        <f t="array" ref="D468">_xlfn.XLOOKUP(
 A468,
 tblTargets[TargetID],
 tblTargets[TargetType],
 ""
)</f>
        <v>TECH</v>
      </c>
      <c r="E468" s="45" t="str">
        <f t="array" ref="E468">_xlfn.XLOOKUP(
 A468,
 tblTargetStatus[TargetID],
 tblTargetStatus[ChainAwareStatus],
 ""
)</f>
        <v>BLOCKED</v>
      </c>
      <c r="F468" s="45"/>
      <c r="G468" s="45" t="b">
        <v>0</v>
      </c>
      <c r="H468" s="45" t="b">
        <f t="array" ref="H468">_xlfn.XLOOKUP(
 A468,
 tblTargetStatus[TargetID],
 tblTargetStatus[TargetFunded],
 ""
)</f>
        <v>0</v>
      </c>
      <c r="I468" s="45" t="str">
        <f t="array" ref="I468">IF(
 D468&lt;&gt;"BUILDING",
 "",
 IF(
  Player!$H$1="Active",
  _xlfn.XLOOKUP(
   A468,
   tblrecommended[ActiveTargetID],
   tblrecommended[Order],
   ""
  ),
  _xlfn.XLOOKUP(
   A468,
   tblrecommended[PassiveTargetID],
   tblrecommended[Order],
   ""
  )
 )
)</f>
        <v/>
      </c>
    </row>
    <row r="469" ht="25.5" hidden="1" customHeight="1">
      <c r="A469" s="26" t="s">
        <v>1712</v>
      </c>
      <c r="B469" s="26" t="str">
        <f t="array" ref="B469">_xlfn.XLOOKUP(Checklist!$A469,tblTargets[TargetID],tblTargets[DisplayName])</f>
        <v>Alchemists Hut - Conveyor Lvl 1</v>
      </c>
      <c r="C469" s="21" t="str">
        <f t="array" ref="C469">_xlfn.XLOOKUP(
 A469,
 tblTargetStatus[TargetID],
 tblTargetStatus[successors],
 ""
)</f>
        <v>Alchemists Hut - Conveyor Lvl 2</v>
      </c>
      <c r="D469" s="26" t="str">
        <f t="array" ref="D469">_xlfn.XLOOKUP(
 A469,
 tblTargets[TargetID],
 tblTargets[TargetType],
 ""
)</f>
        <v>TECH</v>
      </c>
      <c r="E469" s="45" t="str">
        <f t="array" ref="E469">_xlfn.XLOOKUP(
 A469,
 tblTargetStatus[TargetID],
 tblTargetStatus[ChainAwareStatus],
 ""
)</f>
        <v>BLOCKED</v>
      </c>
      <c r="F469" s="45"/>
      <c r="G469" s="45" t="b">
        <v>0</v>
      </c>
      <c r="H469" s="45" t="b">
        <f t="array" ref="H469">_xlfn.XLOOKUP(
 A469,
 tblTargetStatus[TargetID],
 tblTargetStatus[TargetFunded],
 ""
)</f>
        <v>0</v>
      </c>
      <c r="I469" s="45" t="str">
        <f t="array" ref="I469">IF(
 D469&lt;&gt;"BUILDING",
 "",
 IF(
  Player!$H$1="Active",
  _xlfn.XLOOKUP(
   A469,
   tblrecommended[ActiveTargetID],
   tblrecommended[Order],
   ""
  ),
  _xlfn.XLOOKUP(
   A469,
   tblrecommended[PassiveTargetID],
   tblrecommended[Order],
   ""
  )
 )
)</f>
        <v/>
      </c>
    </row>
    <row r="470" ht="25.5" hidden="1" customHeight="1">
      <c r="A470" s="26" t="s">
        <v>1715</v>
      </c>
      <c r="B470" s="26" t="str">
        <f t="array" ref="B470">_xlfn.XLOOKUP(Checklist!$A470,tblTargets[TargetID],tblTargets[DisplayName])</f>
        <v>Alchemists Hut - Conveyor Lvl 2</v>
      </c>
      <c r="C470" s="21" t="str">
        <f t="array" ref="C470">_xlfn.XLOOKUP(
 A470,
 tblTargetStatus[TargetID],
 tblTargetStatus[successors],
 ""
)</f>
        <v/>
      </c>
      <c r="D470" s="26" t="str">
        <f t="array" ref="D470">_xlfn.XLOOKUP(
 A470,
 tblTargets[TargetID],
 tblTargets[TargetType],
 ""
)</f>
        <v>TECH</v>
      </c>
      <c r="E470" s="45" t="str">
        <f t="array" ref="E470">_xlfn.XLOOKUP(
 A470,
 tblTargetStatus[TargetID],
 tblTargetStatus[ChainAwareStatus],
 ""
)</f>
        <v>BLOCKED</v>
      </c>
      <c r="F470" s="45"/>
      <c r="G470" s="45" t="b">
        <v>0</v>
      </c>
      <c r="H470" s="45" t="b">
        <f t="array" ref="H470">_xlfn.XLOOKUP(
 A470,
 tblTargetStatus[TargetID],
 tblTargetStatus[TargetFunded],
 ""
)</f>
        <v>0</v>
      </c>
      <c r="I470" s="45" t="str">
        <f t="array" ref="I470">IF(
 D470&lt;&gt;"BUILDING",
 "",
 IF(
  Player!$H$1="Active",
  _xlfn.XLOOKUP(
   A470,
   tblrecommended[ActiveTargetID],
   tblrecommended[Order],
   ""
  ),
  _xlfn.XLOOKUP(
   A470,
   tblrecommended[PassiveTargetID],
   tblrecommended[Order],
   ""
  )
 )
)</f>
        <v/>
      </c>
    </row>
    <row r="471" ht="25.5" hidden="1" customHeight="1">
      <c r="A471" s="26" t="s">
        <v>1717</v>
      </c>
      <c r="B471" s="26" t="str">
        <f t="array" ref="B471">_xlfn.XLOOKUP(Checklist!$A471,tblTargets[TargetID],tblTargets[DisplayName])</f>
        <v>Alchemists Hut - Galvanization</v>
      </c>
      <c r="C471" s="21" t="str">
        <f t="array" ref="C471">_xlfn.XLOOKUP(
 A471,
 tblTargetStatus[TargetID],
 tblTargetStatus[successors],
 ""
)</f>
        <v/>
      </c>
      <c r="D471" s="26" t="str">
        <f t="array" ref="D471">_xlfn.XLOOKUP(
 A471,
 tblTargets[TargetID],
 tblTargets[TargetType],
 ""
)</f>
        <v>TECH</v>
      </c>
      <c r="E471" s="45" t="str">
        <f t="array" ref="E471">_xlfn.XLOOKUP(
 A471,
 tblTargetStatus[TargetID],
 tblTargetStatus[ChainAwareStatus],
 ""
)</f>
        <v>BLOCKED</v>
      </c>
      <c r="F471" s="45"/>
      <c r="G471" s="45" t="b">
        <v>0</v>
      </c>
      <c r="H471" s="45" t="b">
        <f t="array" ref="H471">_xlfn.XLOOKUP(
 A471,
 tblTargetStatus[TargetID],
 tblTargetStatus[TargetFunded],
 ""
)</f>
        <v>0</v>
      </c>
      <c r="I471" s="45" t="str">
        <f t="array" ref="I471">IF(
 D471&lt;&gt;"BUILDING",
 "",
 IF(
  Player!$H$1="Active",
  _xlfn.XLOOKUP(
   A471,
   tblrecommended[ActiveTargetID],
   tblrecommended[Order],
   ""
  ),
  _xlfn.XLOOKUP(
   A471,
   tblrecommended[PassiveTargetID],
   tblrecommended[Order],
   ""
  )
 )
)</f>
        <v/>
      </c>
    </row>
    <row r="472" ht="25.5" hidden="1" customHeight="1">
      <c r="A472" s="26" t="s">
        <v>1719</v>
      </c>
      <c r="B472" s="26" t="str">
        <f t="array" ref="B472">_xlfn.XLOOKUP(Checklist!$A472,tblTargets[TargetID],tblTargets[DisplayName])</f>
        <v>Alchemists Hut - Gold Ingot</v>
      </c>
      <c r="C472" s="21" t="str">
        <f t="array" ref="C472">_xlfn.XLOOKUP(
 A472,
 tblTargetStatus[TargetID],
 tblTargetStatus[successors],
 ""
)</f>
        <v/>
      </c>
      <c r="D472" s="26" t="str">
        <f t="array" ref="D472">_xlfn.XLOOKUP(
 A472,
 tblTargets[TargetID],
 tblTargets[TargetType],
 ""
)</f>
        <v>TECH</v>
      </c>
      <c r="E472" s="45" t="str">
        <f t="array" ref="E472">_xlfn.XLOOKUP(
 A472,
 tblTargetStatus[TargetID],
 tblTargetStatus[ChainAwareStatus],
 ""
)</f>
        <v>BLOCKED</v>
      </c>
      <c r="F472" s="45">
        <v>800.0</v>
      </c>
      <c r="G472" s="45" t="b">
        <v>0</v>
      </c>
      <c r="H472" s="45" t="b">
        <f t="array" ref="H472">_xlfn.XLOOKUP(
 A472,
 tblTargetStatus[TargetID],
 tblTargetStatus[TargetFunded],
 ""
)</f>
        <v>0</v>
      </c>
      <c r="I472" s="45" t="str">
        <f t="array" ref="I472">IF(
 D472&lt;&gt;"BUILDING",
 "",
 IF(
  Player!$H$1="Active",
  _xlfn.XLOOKUP(
   A472,
   tblrecommended[ActiveTargetID],
   tblrecommended[Order],
   ""
  ),
  _xlfn.XLOOKUP(
   A472,
   tblrecommended[PassiveTargetID],
   tblrecommended[Order],
   ""
  )
 )
)</f>
        <v/>
      </c>
    </row>
    <row r="473" ht="25.5" hidden="1" customHeight="1">
      <c r="A473" s="26" t="s">
        <v>1721</v>
      </c>
      <c r="B473" s="26" t="str">
        <f t="array" ref="B473">_xlfn.XLOOKUP(Checklist!$A473,tblTargets[TargetID],tblTargets[DisplayName])</f>
        <v>Alchemists Hut - Greek Grenade</v>
      </c>
      <c r="C473" s="21" t="str">
        <f t="array" ref="C473">_xlfn.XLOOKUP(
 A473,
 tblTargetStatus[TargetID],
 tblTargetStatus[successors],
 ""
)</f>
        <v/>
      </c>
      <c r="D473" s="26" t="str">
        <f t="array" ref="D473">_xlfn.XLOOKUP(
 A473,
 tblTargets[TargetID],
 tblTargets[TargetType],
 ""
)</f>
        <v>TECH</v>
      </c>
      <c r="E473" s="45" t="str">
        <f t="array" ref="E473">_xlfn.XLOOKUP(
 A473,
 tblTargetStatus[TargetID],
 tblTargetStatus[ChainAwareStatus],
 ""
)</f>
        <v>BLOCKED</v>
      </c>
      <c r="F473" s="45"/>
      <c r="G473" s="45" t="b">
        <v>0</v>
      </c>
      <c r="H473" s="45" t="b">
        <f t="array" ref="H473">_xlfn.XLOOKUP(
 A473,
 tblTargetStatus[TargetID],
 tblTargetStatus[TargetFunded],
 ""
)</f>
        <v>0</v>
      </c>
      <c r="I473" s="45" t="str">
        <f t="array" ref="I473">IF(
 D473&lt;&gt;"BUILDING",
 "",
 IF(
  Player!$H$1="Active",
  _xlfn.XLOOKUP(
   A473,
   tblrecommended[ActiveTargetID],
   tblrecommended[Order],
   ""
  ),
  _xlfn.XLOOKUP(
   A473,
   tblrecommended[PassiveTargetID],
   tblrecommended[Order],
   ""
  )
 )
)</f>
        <v/>
      </c>
    </row>
    <row r="474" ht="25.5" hidden="1" customHeight="1">
      <c r="A474" s="26" t="s">
        <v>1724</v>
      </c>
      <c r="B474" s="26" t="str">
        <f t="array" ref="B474">_xlfn.XLOOKUP(Checklist!$A474,tblTargets[TargetID],tblTargets[DisplayName])</f>
        <v>Alchemists Hut - Madness Grenade</v>
      </c>
      <c r="C474" s="21" t="str">
        <f t="array" ref="C474">_xlfn.XLOOKUP(
 A474,
 tblTargetStatus[TargetID],
 tblTargetStatus[successors],
 ""
)</f>
        <v/>
      </c>
      <c r="D474" s="26" t="str">
        <f t="array" ref="D474">_xlfn.XLOOKUP(
 A474,
 tblTargets[TargetID],
 tblTargets[TargetType],
 ""
)</f>
        <v>TECH</v>
      </c>
      <c r="E474" s="45" t="str">
        <f t="array" ref="E474">_xlfn.XLOOKUP(
 A474,
 tblTargetStatus[TargetID],
 tblTargetStatus[ChainAwareStatus],
 ""
)</f>
        <v>BLOCKED</v>
      </c>
      <c r="F474" s="45"/>
      <c r="G474" s="45" t="b">
        <v>0</v>
      </c>
      <c r="H474" s="45" t="b">
        <f t="array" ref="H474">_xlfn.XLOOKUP(
 A474,
 tblTargetStatus[TargetID],
 tblTargetStatus[TargetFunded],
 ""
)</f>
        <v>0</v>
      </c>
      <c r="I474" s="45" t="str">
        <f t="array" ref="I474">IF(
 D474&lt;&gt;"BUILDING",
 "",
 IF(
  Player!$H$1="Active",
  _xlfn.XLOOKUP(
   A474,
   tblrecommended[ActiveTargetID],
   tblrecommended[Order],
   ""
  ),
  _xlfn.XLOOKUP(
   A474,
   tblrecommended[PassiveTargetID],
   tblrecommended[Order],
   ""
  )
 )
)</f>
        <v/>
      </c>
    </row>
    <row r="475" ht="25.5" hidden="1" customHeight="1">
      <c r="A475" s="26" t="s">
        <v>1726</v>
      </c>
      <c r="B475" s="26" t="str">
        <f t="array" ref="B475">_xlfn.XLOOKUP(Checklist!$A475,tblTargets[TargetID],tblTargets[DisplayName])</f>
        <v>Alchemists Hut - Mercury</v>
      </c>
      <c r="C475" s="21" t="str">
        <f t="array" ref="C475">_xlfn.XLOOKUP(
 A475,
 tblTargetStatus[TargetID],
 tblTargetStatus[successors],
 ""
)</f>
        <v>Alchemists Hut - Gold Ingot, Alchemists Hut - Madness Grenade, Alchemists Hut - Metamorphosis</v>
      </c>
      <c r="D475" s="26" t="str">
        <f t="array" ref="D475">_xlfn.XLOOKUP(
 A475,
 tblTargets[TargetID],
 tblTargets[TargetType],
 ""
)</f>
        <v>TECH</v>
      </c>
      <c r="E475" s="45" t="str">
        <f t="array" ref="E475">_xlfn.XLOOKUP(
 A475,
 tblTargetStatus[TargetID],
 tblTargetStatus[ChainAwareStatus],
 ""
)</f>
        <v>BLOCKED</v>
      </c>
      <c r="F475" s="45"/>
      <c r="G475" s="45" t="b">
        <v>0</v>
      </c>
      <c r="H475" s="45" t="b">
        <f t="array" ref="H475">_xlfn.XLOOKUP(
 A475,
 tblTargetStatus[TargetID],
 tblTargetStatus[TargetFunded],
 ""
)</f>
        <v>0</v>
      </c>
      <c r="I475" s="45" t="str">
        <f t="array" ref="I475">IF(
 D475&lt;&gt;"BUILDING",
 "",
 IF(
  Player!$H$1="Active",
  _xlfn.XLOOKUP(
   A475,
   tblrecommended[ActiveTargetID],
   tblrecommended[Order],
   ""
  ),
  _xlfn.XLOOKUP(
   A475,
   tblrecommended[PassiveTargetID],
   tblrecommended[Order],
   ""
  )
 )
)</f>
        <v/>
      </c>
    </row>
    <row r="476" ht="25.5" hidden="1" customHeight="1">
      <c r="A476" s="26" t="s">
        <v>1728</v>
      </c>
      <c r="B476" s="26" t="str">
        <f t="array" ref="B476">_xlfn.XLOOKUP(Checklist!$A476,tblTargets[TargetID],tblTargets[DisplayName])</f>
        <v>Alchemists Hut - Metamorphosis</v>
      </c>
      <c r="C476" s="21" t="str">
        <f t="array" ref="C476">_xlfn.XLOOKUP(
 A476,
 tblTargetStatus[TargetID],
 tblTargetStatus[successors],
 ""
)</f>
        <v/>
      </c>
      <c r="D476" s="26" t="str">
        <f t="array" ref="D476">_xlfn.XLOOKUP(
 A476,
 tblTargets[TargetID],
 tblTargets[TargetType],
 ""
)</f>
        <v>TECH</v>
      </c>
      <c r="E476" s="45" t="str">
        <f t="array" ref="E476">_xlfn.XLOOKUP(
 A476,
 tblTargetStatus[TargetID],
 tblTargetStatus[ChainAwareStatus],
 ""
)</f>
        <v>BLOCKED</v>
      </c>
      <c r="F476" s="45">
        <v>999.0</v>
      </c>
      <c r="G476" s="45" t="b">
        <v>0</v>
      </c>
      <c r="H476" s="45" t="b">
        <f t="array" ref="H476">_xlfn.XLOOKUP(
 A476,
 tblTargetStatus[TargetID],
 tblTargetStatus[TargetFunded],
 ""
)</f>
        <v>0</v>
      </c>
      <c r="I476" s="45" t="str">
        <f t="array" ref="I476">IF(
 D476&lt;&gt;"BUILDING",
 "",
 IF(
  Player!$H$1="Active",
  _xlfn.XLOOKUP(
   A476,
   tblrecommended[ActiveTargetID],
   tblrecommended[Order],
   ""
  ),
  _xlfn.XLOOKUP(
   A476,
   tblrecommended[PassiveTargetID],
   tblrecommended[Order],
   ""
  )
 )
)</f>
        <v/>
      </c>
    </row>
    <row r="477" ht="25.5" hidden="1" customHeight="1">
      <c r="A477" s="26" t="s">
        <v>1731</v>
      </c>
      <c r="B477" s="26" t="str">
        <f t="array" ref="B477">_xlfn.XLOOKUP(Checklist!$A477,tblTargets[TargetID],tblTargets[DisplayName])</f>
        <v>Alchemist's Hut - Perfect Fertilizer</v>
      </c>
      <c r="C477" s="21" t="str">
        <f t="array" ref="C477">_xlfn.XLOOKUP(
 A477,
 tblTargetStatus[TargetID],
 tblTargetStatus[successors],
 ""
)</f>
        <v/>
      </c>
      <c r="D477" s="26" t="str">
        <f t="array" ref="D477">_xlfn.XLOOKUP(
 A477,
 tblTargets[TargetID],
 tblTargets[TargetType],
 ""
)</f>
        <v>TECH</v>
      </c>
      <c r="E477" s="45" t="str">
        <f t="array" ref="E477">_xlfn.XLOOKUP(
 A477,
 tblTargetStatus[TargetID],
 tblTargetStatus[ChainAwareStatus],
 ""
)</f>
        <v>BLOCKED</v>
      </c>
      <c r="F477" s="45"/>
      <c r="G477" s="45" t="b">
        <v>0</v>
      </c>
      <c r="H477" s="45" t="b">
        <f t="array" ref="H477">_xlfn.XLOOKUP(
 A477,
 tblTargetStatus[TargetID],
 tblTargetStatus[TargetFunded],
 ""
)</f>
        <v>0</v>
      </c>
      <c r="I477" s="45" t="str">
        <f t="array" ref="I477">IF(
 D477&lt;&gt;"BUILDING",
 "",
 IF(
  Player!$H$1="Active",
  _xlfn.XLOOKUP(
   A477,
   tblrecommended[ActiveTargetID],
   tblrecommended[Order],
   ""
  ),
  _xlfn.XLOOKUP(
   A477,
   tblrecommended[PassiveTargetID],
   tblrecommended[Order],
   ""
  )
 )
)</f>
        <v/>
      </c>
    </row>
    <row r="478" ht="25.5" hidden="1" customHeight="1">
      <c r="A478" s="26" t="s">
        <v>1733</v>
      </c>
      <c r="B478" s="26" t="str">
        <f t="array" ref="B478">_xlfn.XLOOKUP(Checklist!$A478,tblTargets[TargetID],tblTargets[DisplayName])</f>
        <v>Alchemists Hut - Potion Ambrosia</v>
      </c>
      <c r="C478" s="21" t="str">
        <f t="array" ref="C478">_xlfn.XLOOKUP(
 A478,
 tblTargetStatus[TargetID],
 tblTargetStatus[successors],
 ""
)</f>
        <v/>
      </c>
      <c r="D478" s="26" t="str">
        <f t="array" ref="D478">_xlfn.XLOOKUP(
 A478,
 tblTargets[TargetID],
 tblTargets[TargetType],
 ""
)</f>
        <v>TECH</v>
      </c>
      <c r="E478" s="45" t="str">
        <f t="array" ref="E478">_xlfn.XLOOKUP(
 A478,
 tblTargetStatus[TargetID],
 tblTargetStatus[ChainAwareStatus],
 ""
)</f>
        <v>BLOCKED</v>
      </c>
      <c r="F478" s="45"/>
      <c r="G478" s="45" t="b">
        <v>0</v>
      </c>
      <c r="H478" s="45" t="b">
        <f t="array" ref="H478">_xlfn.XLOOKUP(
 A478,
 tblTargetStatus[TargetID],
 tblTargetStatus[TargetFunded],
 ""
)</f>
        <v>0</v>
      </c>
      <c r="I478" s="45" t="str">
        <f t="array" ref="I478">IF(
 D478&lt;&gt;"BUILDING",
 "",
 IF(
  Player!$H$1="Active",
  _xlfn.XLOOKUP(
   A478,
   tblrecommended[ActiveTargetID],
   tblrecommended[Order],
   ""
  ),
  _xlfn.XLOOKUP(
   A478,
   tblrecommended[PassiveTargetID],
   tblrecommended[Order],
   ""
  )
 )
)</f>
        <v/>
      </c>
    </row>
    <row r="479" ht="25.5" hidden="1" customHeight="1">
      <c r="A479" s="26" t="s">
        <v>1735</v>
      </c>
      <c r="B479" s="26" t="str">
        <f t="array" ref="B479">_xlfn.XLOOKUP(Checklist!$A479,tblTargets[TargetID],tblTargets[DisplayName])</f>
        <v>Alchemists Hut - Potion Berserker Rage</v>
      </c>
      <c r="C479" s="21" t="str">
        <f t="array" ref="C479">_xlfn.XLOOKUP(
 A479,
 tblTargetStatus[TargetID],
 tblTargetStatus[successors],
 ""
)</f>
        <v>Alchemists Hut - Potion Ambrosia</v>
      </c>
      <c r="D479" s="26" t="str">
        <f t="array" ref="D479">_xlfn.XLOOKUP(
 A479,
 tblTargets[TargetID],
 tblTargets[TargetType],
 ""
)</f>
        <v>TECH</v>
      </c>
      <c r="E479" s="45" t="str">
        <f t="array" ref="E479">_xlfn.XLOOKUP(
 A479,
 tblTargetStatus[TargetID],
 tblTargetStatus[ChainAwareStatus],
 ""
)</f>
        <v>BLOCKED</v>
      </c>
      <c r="F479" s="45"/>
      <c r="G479" s="45" t="b">
        <v>0</v>
      </c>
      <c r="H479" s="45" t="b">
        <f t="array" ref="H479">_xlfn.XLOOKUP(
 A479,
 tblTargetStatus[TargetID],
 tblTargetStatus[TargetFunded],
 ""
)</f>
        <v>0</v>
      </c>
      <c r="I479" s="45" t="str">
        <f t="array" ref="I479">IF(
 D479&lt;&gt;"BUILDING",
 "",
 IF(
  Player!$H$1="Active",
  _xlfn.XLOOKUP(
   A479,
   tblrecommended[ActiveTargetID],
   tblrecommended[Order],
   ""
  ),
  _xlfn.XLOOKUP(
   A479,
   tblrecommended[PassiveTargetID],
   tblrecommended[Order],
   ""
  )
 )
)</f>
        <v/>
      </c>
    </row>
    <row r="480" ht="25.5" hidden="1" customHeight="1">
      <c r="A480" s="26" t="s">
        <v>1737</v>
      </c>
      <c r="B480" s="26" t="str">
        <f t="array" ref="B480">_xlfn.XLOOKUP(Checklist!$A480,tblTargets[TargetID],tblTargets[DisplayName])</f>
        <v>Alchemists Hut - Potion Of Energy</v>
      </c>
      <c r="C480" s="21" t="str">
        <f t="array" ref="C480">_xlfn.XLOOKUP(
 A480,
 tblTargetStatus[TargetID],
 tblTargetStatus[successors],
 ""
)</f>
        <v/>
      </c>
      <c r="D480" s="26" t="str">
        <f t="array" ref="D480">_xlfn.XLOOKUP(
 A480,
 tblTargets[TargetID],
 tblTargets[TargetType],
 ""
)</f>
        <v>TECH</v>
      </c>
      <c r="E480" s="45" t="str">
        <f t="array" ref="E480">_xlfn.XLOOKUP(
 A480,
 tblTargetStatus[TargetID],
 tblTargetStatus[ChainAwareStatus],
 ""
)</f>
        <v>BLOCKED</v>
      </c>
      <c r="F480" s="45"/>
      <c r="G480" s="45" t="b">
        <v>0</v>
      </c>
      <c r="H480" s="45" t="b">
        <f t="array" ref="H480">_xlfn.XLOOKUP(
 A480,
 tblTargetStatus[TargetID],
 tblTargetStatus[TargetFunded],
 ""
)</f>
        <v>0</v>
      </c>
      <c r="I480" s="45" t="str">
        <f t="array" ref="I480">IF(
 D480&lt;&gt;"BUILDING",
 "",
 IF(
  Player!$H$1="Active",
  _xlfn.XLOOKUP(
   A480,
   tblrecommended[ActiveTargetID],
   tblrecommended[Order],
   ""
  ),
  _xlfn.XLOOKUP(
   A480,
   tblrecommended[PassiveTargetID],
   tblrecommended[Order],
   ""
  )
 )
)</f>
        <v/>
      </c>
    </row>
    <row r="481" ht="25.5" hidden="1" customHeight="1">
      <c r="A481" s="26" t="s">
        <v>1740</v>
      </c>
      <c r="B481" s="26" t="str">
        <f t="array" ref="B481">_xlfn.XLOOKUP(Checklist!$A481,tblTargets[TargetID],tblTargets[DisplayName])</f>
        <v>Alchemists Hut - Potion Of Healing</v>
      </c>
      <c r="C481" s="21" t="str">
        <f t="array" ref="C481">_xlfn.XLOOKUP(
 A481,
 tblTargetStatus[TargetID],
 tblTargetStatus[successors],
 ""
)</f>
        <v>Alchemists Hut - Potion Of Healing Lvl 2</v>
      </c>
      <c r="D481" s="26" t="str">
        <f t="array" ref="D481">_xlfn.XLOOKUP(
 A481,
 tblTargets[TargetID],
 tblTargets[TargetType],
 ""
)</f>
        <v>TECH</v>
      </c>
      <c r="E481" s="45" t="str">
        <f t="array" ref="E481">_xlfn.XLOOKUP(
 A481,
 tblTargetStatus[TargetID],
 tblTargetStatus[ChainAwareStatus],
 ""
)</f>
        <v>BLOCKED</v>
      </c>
      <c r="F481" s="45"/>
      <c r="G481" s="45" t="b">
        <v>0</v>
      </c>
      <c r="H481" s="45" t="b">
        <f t="array" ref="H481">_xlfn.XLOOKUP(
 A481,
 tblTargetStatus[TargetID],
 tblTargetStatus[TargetFunded],
 ""
)</f>
        <v>0</v>
      </c>
      <c r="I481" s="45" t="str">
        <f t="array" ref="I481">IF(
 D481&lt;&gt;"BUILDING",
 "",
 IF(
  Player!$H$1="Active",
  _xlfn.XLOOKUP(
   A481,
   tblrecommended[ActiveTargetID],
   tblrecommended[Order],
   ""
  ),
  _xlfn.XLOOKUP(
   A481,
   tblrecommended[PassiveTargetID],
   tblrecommended[Order],
   ""
  )
 )
)</f>
        <v/>
      </c>
    </row>
    <row r="482" ht="25.5" hidden="1" customHeight="1">
      <c r="A482" s="26" t="s">
        <v>1742</v>
      </c>
      <c r="B482" s="26" t="str">
        <f t="array" ref="B482">_xlfn.XLOOKUP(Checklist!$A482,tblTargets[TargetID],tblTargets[DisplayName])</f>
        <v>Alchemists Hut - Potion Of Healing Lvl 2</v>
      </c>
      <c r="C482" s="21" t="str">
        <f t="array" ref="C482">_xlfn.XLOOKUP(
 A482,
 tblTargetStatus[TargetID],
 tblTargetStatus[successors],
 ""
)</f>
        <v>Alchemists Hut - Potion Ambrosia</v>
      </c>
      <c r="D482" s="26" t="str">
        <f t="array" ref="D482">_xlfn.XLOOKUP(
 A482,
 tblTargets[TargetID],
 tblTargets[TargetType],
 ""
)</f>
        <v>TECH</v>
      </c>
      <c r="E482" s="45" t="str">
        <f t="array" ref="E482">_xlfn.XLOOKUP(
 A482,
 tblTargetStatus[TargetID],
 tblTargetStatus[ChainAwareStatus],
 ""
)</f>
        <v>BLOCKED</v>
      </c>
      <c r="F482" s="45"/>
      <c r="G482" s="45" t="b">
        <v>0</v>
      </c>
      <c r="H482" s="45" t="b">
        <f t="array" ref="H482">_xlfn.XLOOKUP(
 A482,
 tblTargetStatus[TargetID],
 tblTargetStatus[TargetFunded],
 ""
)</f>
        <v>0</v>
      </c>
      <c r="I482" s="45" t="str">
        <f t="array" ref="I482">IF(
 D482&lt;&gt;"BUILDING",
 "",
 IF(
  Player!$H$1="Active",
  _xlfn.XLOOKUP(
   A482,
   tblrecommended[ActiveTargetID],
   tblrecommended[Order],
   ""
  ),
  _xlfn.XLOOKUP(
   A482,
   tblrecommended[PassiveTargetID],
   tblrecommended[Order],
   ""
  )
 )
)</f>
        <v/>
      </c>
    </row>
    <row r="483" ht="25.5" hidden="1" customHeight="1">
      <c r="A483" s="26" t="s">
        <v>1744</v>
      </c>
      <c r="B483" s="26" t="str">
        <f t="array" ref="B483">_xlfn.XLOOKUP(Checklist!$A483,tblTargets[TargetID],tblTargets[DisplayName])</f>
        <v>Alchemists Hut - Potion Of Mental Power</v>
      </c>
      <c r="C483" s="21" t="str">
        <f t="array" ref="C483">_xlfn.XLOOKUP(
 A483,
 tblTargetStatus[TargetID],
 tblTargetStatus[successors],
 ""
)</f>
        <v>Craft Potion of Mental Power, Once Upon a Forest Chapter 6 Finished</v>
      </c>
      <c r="D483" s="26" t="str">
        <f t="array" ref="D483">_xlfn.XLOOKUP(
 A483,
 tblTargets[TargetID],
 tblTargets[TargetType],
 ""
)</f>
        <v>TECH</v>
      </c>
      <c r="E483" s="45" t="str">
        <f t="array" ref="E483">_xlfn.XLOOKUP(
 A483,
 tblTargetStatus[TargetID],
 tblTargetStatus[ChainAwareStatus],
 ""
)</f>
        <v>BLOCKED</v>
      </c>
      <c r="F483" s="45"/>
      <c r="G483" s="45" t="b">
        <v>0</v>
      </c>
      <c r="H483" s="45" t="b">
        <f t="array" ref="H483">_xlfn.XLOOKUP(
 A483,
 tblTargetStatus[TargetID],
 tblTargetStatus[TargetFunded],
 ""
)</f>
        <v>0</v>
      </c>
      <c r="I483" s="45" t="str">
        <f t="array" ref="I483">IF(
 D483&lt;&gt;"BUILDING",
 "",
 IF(
  Player!$H$1="Active",
  _xlfn.XLOOKUP(
   A483,
   tblrecommended[ActiveTargetID],
   tblrecommended[Order],
   ""
  ),
  _xlfn.XLOOKUP(
   A483,
   tblrecommended[PassiveTargetID],
   tblrecommended[Order],
   ""
  )
 )
)</f>
        <v/>
      </c>
    </row>
    <row r="484" ht="25.5" hidden="1" customHeight="1">
      <c r="A484" s="26" t="s">
        <v>1747</v>
      </c>
      <c r="B484" s="26" t="str">
        <f t="array" ref="B484">_xlfn.XLOOKUP(Checklist!$A484,tblTargets[TargetID],tblTargets[DisplayName])</f>
        <v>Alchemists Hut - Synthetic Fertilizer</v>
      </c>
      <c r="C484" s="21" t="str">
        <f t="array" ref="C484">_xlfn.XLOOKUP(
 A484,
 tblTargetStatus[TargetID],
 tblTargetStatus[successors],
 ""
)</f>
        <v>Alchemists Hut - Advanced Fertilizer</v>
      </c>
      <c r="D484" s="26" t="str">
        <f t="array" ref="D484">_xlfn.XLOOKUP(
 A484,
 tblTargets[TargetID],
 tblTargets[TargetType],
 ""
)</f>
        <v>TECH</v>
      </c>
      <c r="E484" s="45" t="str">
        <f t="array" ref="E484">_xlfn.XLOOKUP(
 A484,
 tblTargetStatus[TargetID],
 tblTargetStatus[ChainAwareStatus],
 ""
)</f>
        <v>BLOCKED</v>
      </c>
      <c r="F484" s="45"/>
      <c r="G484" s="45" t="b">
        <v>0</v>
      </c>
      <c r="H484" s="45" t="b">
        <f t="array" ref="H484">_xlfn.XLOOKUP(
 A484,
 tblTargetStatus[TargetID],
 tblTargetStatus[TargetFunded],
 ""
)</f>
        <v>0</v>
      </c>
      <c r="I484" s="45" t="str">
        <f t="array" ref="I484">IF(
 D484&lt;&gt;"BUILDING",
 "",
 IF(
  Player!$H$1="Active",
  _xlfn.XLOOKUP(
   A484,
   tblrecommended[ActiveTargetID],
   tblrecommended[Order],
   ""
  ),
  _xlfn.XLOOKUP(
   A484,
   tblrecommended[PassiveTargetID],
   tblrecommended[Order],
   ""
  )
 )
)</f>
        <v/>
      </c>
    </row>
    <row r="485" ht="25.5" hidden="1" customHeight="1">
      <c r="A485" s="26" t="s">
        <v>1749</v>
      </c>
      <c r="B485" s="26" t="str">
        <f t="array" ref="B485">_xlfn.XLOOKUP(Checklist!$A485,tblTargets[TargetID],tblTargets[DisplayName])</f>
        <v>Bridge - Koi Fish</v>
      </c>
      <c r="C485" s="21" t="str">
        <f t="array" ref="C485">_xlfn.XLOOKUP(
 A485,
 tblTargetStatus[TargetID],
 tblTargetStatus[successors],
 ""
)</f>
        <v/>
      </c>
      <c r="D485" s="26" t="str">
        <f t="array" ref="D485">_xlfn.XLOOKUP(
 A485,
 tblTargets[TargetID],
 tblTargets[TargetType],
 ""
)</f>
        <v>TECH</v>
      </c>
      <c r="E485" s="45" t="str">
        <f t="array" ref="E485">_xlfn.XLOOKUP(
 A485,
 tblTargetStatus[TargetID],
 tblTargetStatus[ChainAwareStatus],
 ""
)</f>
        <v>BLOCKED</v>
      </c>
      <c r="F485" s="45"/>
      <c r="G485" s="45" t="b">
        <v>0</v>
      </c>
      <c r="H485" s="45" t="b">
        <f t="array" ref="H485">_xlfn.XLOOKUP(
 A485,
 tblTargetStatus[TargetID],
 tblTargetStatus[TargetFunded],
 ""
)</f>
        <v>0</v>
      </c>
      <c r="I485" s="45" t="str">
        <f t="array" ref="I485">IF(
 D485&lt;&gt;"BUILDING",
 "",
 IF(
  Player!$H$1="Active",
  _xlfn.XLOOKUP(
   A485,
   tblrecommended[ActiveTargetID],
   tblrecommended[Order],
   ""
  ),
  _xlfn.XLOOKUP(
   A485,
   tblrecommended[PassiveTargetID],
   tblrecommended[Order],
   ""
  )
 )
)</f>
        <v/>
      </c>
    </row>
    <row r="486" ht="25.5" hidden="1" customHeight="1">
      <c r="A486" s="26" t="s">
        <v>1751</v>
      </c>
      <c r="B486" s="26" t="str">
        <f t="array" ref="B486">_xlfn.XLOOKUP(Checklist!$A486,tblTargets[TargetID],tblTargets[DisplayName])</f>
        <v>Bridge - Salmon Farming</v>
      </c>
      <c r="C486" s="21" t="str">
        <f t="array" ref="C486">_xlfn.XLOOKUP(
 A486,
 tblTargetStatus[TargetID],
 tblTargetStatus[successors],
 ""
)</f>
        <v/>
      </c>
      <c r="D486" s="26" t="str">
        <f t="array" ref="D486">_xlfn.XLOOKUP(
 A486,
 tblTargets[TargetID],
 tblTargets[TargetType],
 ""
)</f>
        <v>TECH</v>
      </c>
      <c r="E486" s="45" t="str">
        <f t="array" ref="E486">_xlfn.XLOOKUP(
 A486,
 tblTargetStatus[TargetID],
 tblTargetStatus[ChainAwareStatus],
 ""
)</f>
        <v>BLOCKED</v>
      </c>
      <c r="F486" s="45"/>
      <c r="G486" s="45" t="b">
        <v>0</v>
      </c>
      <c r="H486" s="45" t="b">
        <f t="array" ref="H486">_xlfn.XLOOKUP(
 A486,
 tblTargetStatus[TargetID],
 tblTargetStatus[TargetFunded],
 ""
)</f>
        <v>0</v>
      </c>
      <c r="I486" s="45" t="str">
        <f t="array" ref="I486">IF(
 D486&lt;&gt;"BUILDING",
 "",
 IF(
  Player!$H$1="Active",
  _xlfn.XLOOKUP(
   A486,
   tblrecommended[ActiveTargetID],
   tblrecommended[Order],
   ""
  ),
  _xlfn.XLOOKUP(
   A486,
   tblrecommended[PassiveTargetID],
   tblrecommended[Order],
   ""
  )
 )
)</f>
        <v/>
      </c>
    </row>
    <row r="487" ht="25.5" hidden="1" customHeight="1">
      <c r="A487" s="26" t="s">
        <v>1753</v>
      </c>
      <c r="B487" s="26" t="str">
        <f t="array" ref="B487">_xlfn.XLOOKUP(Checklist!$A487,tblTargets[TargetID],tblTargets[DisplayName])</f>
        <v>Dairy - Big Data Farming</v>
      </c>
      <c r="C487" s="21" t="str">
        <f t="array" ref="C487">_xlfn.XLOOKUP(
 A487,
 tblTargetStatus[TargetID],
 tblTargetStatus[successors],
 ""
)</f>
        <v/>
      </c>
      <c r="D487" s="26" t="str">
        <f t="array" ref="D487">_xlfn.XLOOKUP(
 A487,
 tblTargets[TargetID],
 tblTargets[TargetType],
 ""
)</f>
        <v>TECH</v>
      </c>
      <c r="E487" s="45" t="str">
        <f t="array" ref="E487">_xlfn.XLOOKUP(
 A487,
 tblTargetStatus[TargetID],
 tblTargetStatus[ChainAwareStatus],
 ""
)</f>
        <v>BLOCKED</v>
      </c>
      <c r="F487" s="45"/>
      <c r="G487" s="45" t="b">
        <v>0</v>
      </c>
      <c r="H487" s="45" t="b">
        <f t="array" ref="H487">_xlfn.XLOOKUP(
 A487,
 tblTargetStatus[TargetID],
 tblTargetStatus[TargetFunded],
 ""
)</f>
        <v>0</v>
      </c>
      <c r="I487" s="45" t="str">
        <f t="array" ref="I487">IF(
 D487&lt;&gt;"BUILDING",
 "",
 IF(
  Player!$H$1="Active",
  _xlfn.XLOOKUP(
   A487,
   tblrecommended[ActiveTargetID],
   tblrecommended[Order],
   ""
  ),
  _xlfn.XLOOKUP(
   A487,
   tblrecommended[PassiveTargetID],
   tblrecommended[Order],
   ""
  )
 )
)</f>
        <v/>
      </c>
    </row>
    <row r="488" ht="25.5" hidden="1" customHeight="1">
      <c r="A488" s="26" t="s">
        <v>1756</v>
      </c>
      <c r="B488" s="26" t="str">
        <f t="array" ref="B488">_xlfn.XLOOKUP(Checklist!$A488,tblTargets[TargetID],tblTargets[DisplayName])</f>
        <v>Dairy - Classical Music For The Farm</v>
      </c>
      <c r="C488" s="21" t="str">
        <f t="array" ref="C488">_xlfn.XLOOKUP(
 A488,
 tblTargetStatus[TargetID],
 tblTargetStatus[successors],
 ""
)</f>
        <v>Dairy - Big Data Farming</v>
      </c>
      <c r="D488" s="26" t="str">
        <f t="array" ref="D488">_xlfn.XLOOKUP(
 A488,
 tblTargets[TargetID],
 tblTargets[TargetType],
 ""
)</f>
        <v>TECH</v>
      </c>
      <c r="E488" s="45" t="str">
        <f t="array" ref="E488">_xlfn.XLOOKUP(
 A488,
 tblTargetStatus[TargetID],
 tblTargetStatus[ChainAwareStatus],
 ""
)</f>
        <v>BLOCKED</v>
      </c>
      <c r="F488" s="45"/>
      <c r="G488" s="45" t="b">
        <v>0</v>
      </c>
      <c r="H488" s="45" t="b">
        <f t="array" ref="H488">_xlfn.XLOOKUP(
 A488,
 tblTargetStatus[TargetID],
 tblTargetStatus[TargetFunded],
 ""
)</f>
        <v>0</v>
      </c>
      <c r="I488" s="45" t="str">
        <f t="array" ref="I488">IF(
 D488&lt;&gt;"BUILDING",
 "",
 IF(
  Player!$H$1="Active",
  _xlfn.XLOOKUP(
   A488,
   tblrecommended[ActiveTargetID],
   tblrecommended[Order],
   ""
  ),
  _xlfn.XLOOKUP(
   A488,
   tblrecommended[PassiveTargetID],
   tblrecommended[Order],
   ""
  )
 )
)</f>
        <v/>
      </c>
    </row>
    <row r="489" ht="25.5" hidden="1" customHeight="1">
      <c r="A489" s="26" t="s">
        <v>1758</v>
      </c>
      <c r="B489" s="26" t="str">
        <f t="array" ref="B489">_xlfn.XLOOKUP(Checklist!$A489,tblTargets[TargetID],tblTargets[DisplayName])</f>
        <v>Dungeon - Great Hall</v>
      </c>
      <c r="C489" s="21" t="str">
        <f t="array" ref="C489">_xlfn.XLOOKUP(
 A489,
 tblTargetStatus[TargetID],
 tblTargetStatus[successors],
 ""
)</f>
        <v>Armory, Attic, Gallery, Kitchen and Buttery, Lair lvl. 1, Mushroom Farm, Orangery, Pantry, Tavern, Treasury</v>
      </c>
      <c r="D489" s="26" t="str">
        <f t="array" ref="D489">_xlfn.XLOOKUP(
 A489,
 tblTargets[TargetID],
 tblTargets[TargetType],
 ""
)</f>
        <v>TECH</v>
      </c>
      <c r="E489" s="45" t="str">
        <f t="array" ref="E489">_xlfn.XLOOKUP(
 A489,
 tblTargetStatus[TargetID],
 tblTargetStatus[ChainAwareStatus],
 ""
)</f>
        <v>BLOCKED</v>
      </c>
      <c r="F489" s="45"/>
      <c r="G489" s="45" t="b">
        <v>0</v>
      </c>
      <c r="H489" s="45" t="b">
        <f t="array" ref="H489">_xlfn.XLOOKUP(
 A489,
 tblTargetStatus[TargetID],
 tblTargetStatus[TargetFunded],
 ""
)</f>
        <v>0</v>
      </c>
      <c r="I489" s="45" t="str">
        <f t="array" ref="I489">IF(
 D489&lt;&gt;"BUILDING",
 "",
 IF(
  Player!$H$1="Active",
  _xlfn.XLOOKUP(
   A489,
   tblrecommended[ActiveTargetID],
   tblrecommended[Order],
   ""
  ),
  _xlfn.XLOOKUP(
   A489,
   tblrecommended[PassiveTargetID],
   tblrecommended[Order],
   ""
  )
 )
)</f>
        <v/>
      </c>
    </row>
    <row r="490" ht="25.5" hidden="1" customHeight="1">
      <c r="A490" s="26" t="s">
        <v>1760</v>
      </c>
      <c r="B490" s="26" t="str">
        <f t="array" ref="B490">_xlfn.XLOOKUP(Checklist!$A490,tblTargets[TargetID],tblTargets[DisplayName])</f>
        <v>Fermentory - Pasteurization</v>
      </c>
      <c r="C490" s="21" t="str">
        <f t="array" ref="C490">_xlfn.XLOOKUP(
 A490,
 tblTargetStatus[TargetID],
 tblTargetStatus[successors],
 ""
)</f>
        <v/>
      </c>
      <c r="D490" s="26" t="str">
        <f t="array" ref="D490">_xlfn.XLOOKUP(
 A490,
 tblTargets[TargetID],
 tblTargets[TargetType],
 ""
)</f>
        <v>TECH</v>
      </c>
      <c r="E490" s="45" t="str">
        <f t="array" ref="E490">_xlfn.XLOOKUP(
 A490,
 tblTargetStatus[TargetID],
 tblTargetStatus[ChainAwareStatus],
 ""
)</f>
        <v>BLOCKED</v>
      </c>
      <c r="F490" s="45"/>
      <c r="G490" s="45" t="b">
        <v>0</v>
      </c>
      <c r="H490" s="45" t="b">
        <f t="array" ref="H490">_xlfn.XLOOKUP(
 A490,
 tblTargetStatus[TargetID],
 tblTargetStatus[TargetFunded],
 ""
)</f>
        <v>0</v>
      </c>
      <c r="I490" s="45" t="str">
        <f t="array" ref="I490">IF(
 D490&lt;&gt;"BUILDING",
 "",
 IF(
  Player!$H$1="Active",
  _xlfn.XLOOKUP(
   A490,
   tblrecommended[ActiveTargetID],
   tblrecommended[Order],
   ""
  ),
  _xlfn.XLOOKUP(
   A490,
   tblrecommended[PassiveTargetID],
   tblrecommended[Order],
   ""
  )
 )
)</f>
        <v/>
      </c>
    </row>
    <row r="491" ht="25.5" hidden="1" customHeight="1">
      <c r="A491" s="26" t="s">
        <v>1762</v>
      </c>
      <c r="B491" s="26" t="str">
        <f t="array" ref="B491">_xlfn.XLOOKUP(Checklist!$A491,tblTargets[TargetID],tblTargets[DisplayName])</f>
        <v>Field - Combine Harvester</v>
      </c>
      <c r="C491" s="21" t="str">
        <f t="array" ref="C491">_xlfn.XLOOKUP(
 A491,
 tblTargetStatus[TargetID],
 tblTargetStatus[successors],
 ""
)</f>
        <v/>
      </c>
      <c r="D491" s="26" t="str">
        <f t="array" ref="D491">_xlfn.XLOOKUP(
 A491,
 tblTargets[TargetID],
 tblTargets[TargetType],
 ""
)</f>
        <v>TECH</v>
      </c>
      <c r="E491" s="45" t="str">
        <f t="array" ref="E491">_xlfn.XLOOKUP(
 A491,
 tblTargetStatus[TargetID],
 tblTargetStatus[ChainAwareStatus],
 ""
)</f>
        <v>BLOCKED</v>
      </c>
      <c r="F491" s="45"/>
      <c r="G491" s="45" t="b">
        <v>0</v>
      </c>
      <c r="H491" s="45" t="b">
        <f t="array" ref="H491">_xlfn.XLOOKUP(
 A491,
 tblTargetStatus[TargetID],
 tblTargetStatus[TargetFunded],
 ""
)</f>
        <v>0</v>
      </c>
      <c r="I491" s="45" t="str">
        <f t="array" ref="I491">IF(
 D491&lt;&gt;"BUILDING",
 "",
 IF(
  Player!$H$1="Active",
  _xlfn.XLOOKUP(
   A491,
   tblrecommended[ActiveTargetID],
   tblrecommended[Order],
   ""
  ),
  _xlfn.XLOOKUP(
   A491,
   tblrecommended[PassiveTargetID],
   tblrecommended[Order],
   ""
  )
 )
)</f>
        <v/>
      </c>
    </row>
    <row r="492" ht="25.5" hidden="1" customHeight="1">
      <c r="A492" s="26" t="s">
        <v>1765</v>
      </c>
      <c r="B492" s="26" t="str">
        <f t="array" ref="B492">_xlfn.XLOOKUP(Checklist!$A492,tblTargets[TargetID],tblTargets[DisplayName])</f>
        <v>Field - Seed Drill</v>
      </c>
      <c r="C492" s="21" t="str">
        <f t="array" ref="C492">_xlfn.XLOOKUP(
 A492,
 tblTargetStatus[TargetID],
 tblTargetStatus[successors],
 ""
)</f>
        <v>Field - Combine Harvester</v>
      </c>
      <c r="D492" s="26" t="str">
        <f t="array" ref="D492">_xlfn.XLOOKUP(
 A492,
 tblTargets[TargetID],
 tblTargets[TargetType],
 ""
)</f>
        <v>TECH</v>
      </c>
      <c r="E492" s="45" t="str">
        <f t="array" ref="E492">_xlfn.XLOOKUP(
 A492,
 tblTargetStatus[TargetID],
 tblTargetStatus[ChainAwareStatus],
 ""
)</f>
        <v>BLOCKED</v>
      </c>
      <c r="F492" s="45"/>
      <c r="G492" s="45" t="b">
        <v>0</v>
      </c>
      <c r="H492" s="45" t="b">
        <f t="array" ref="H492">_xlfn.XLOOKUP(
 A492,
 tblTargetStatus[TargetID],
 tblTargetStatus[TargetFunded],
 ""
)</f>
        <v>0</v>
      </c>
      <c r="I492" s="45" t="str">
        <f t="array" ref="I492">IF(
 D492&lt;&gt;"BUILDING",
 "",
 IF(
  Player!$H$1="Active",
  _xlfn.XLOOKUP(
   A492,
   tblrecommended[ActiveTargetID],
   tblrecommended[Order],
   ""
  ),
  _xlfn.XLOOKUP(
   A492,
   tblrecommended[PassiveTargetID],
   tblrecommended[Order],
   ""
  )
 )
)</f>
        <v/>
      </c>
    </row>
    <row r="493" ht="25.5" hidden="1" customHeight="1">
      <c r="A493" s="26" t="s">
        <v>1768</v>
      </c>
      <c r="B493" s="26" t="str">
        <f t="array" ref="B493">_xlfn.XLOOKUP(Checklist!$A493,tblTargets[TargetID],tblTargets[DisplayName])</f>
        <v>Field - Soybean</v>
      </c>
      <c r="C493" s="21" t="str">
        <f t="array" ref="C493">_xlfn.XLOOKUP(
 A493,
 tblTargetStatus[TargetID],
 tblTargetStatus[successors],
 ""
)</f>
        <v/>
      </c>
      <c r="D493" s="26" t="str">
        <f t="array" ref="D493">_xlfn.XLOOKUP(
 A493,
 tblTargets[TargetID],
 tblTargets[TargetType],
 ""
)</f>
        <v>TECH</v>
      </c>
      <c r="E493" s="45" t="str">
        <f t="array" ref="E493">_xlfn.XLOOKUP(
 A493,
 tblTargetStatus[TargetID],
 tblTargetStatus[ChainAwareStatus],
 ""
)</f>
        <v>BLOCKED</v>
      </c>
      <c r="F493" s="45"/>
      <c r="G493" s="45" t="b">
        <v>0</v>
      </c>
      <c r="H493" s="45" t="b">
        <f t="array" ref="H493">_xlfn.XLOOKUP(
 A493,
 tblTargetStatus[TargetID],
 tblTargetStatus[TargetFunded],
 ""
)</f>
        <v>0</v>
      </c>
      <c r="I493" s="45" t="str">
        <f t="array" ref="I493">IF(
 D493&lt;&gt;"BUILDING",
 "",
 IF(
  Player!$H$1="Active",
  _xlfn.XLOOKUP(
   A493,
   tblrecommended[ActiveTargetID],
   tblrecommended[Order],
   ""
  ),
  _xlfn.XLOOKUP(
   A493,
   tblrecommended[PassiveTargetID],
   tblrecommended[Order],
   ""
  )
 )
)</f>
        <v/>
      </c>
    </row>
    <row r="494" ht="25.5" hidden="1" customHeight="1">
      <c r="A494" s="26" t="s">
        <v>1770</v>
      </c>
      <c r="B494" s="26" t="str">
        <f t="array" ref="B494">_xlfn.XLOOKUP(Checklist!$A494,tblTargets[TargetID],tblTargets[DisplayName])</f>
        <v>Food Stall - Conveyor Belt Sushi</v>
      </c>
      <c r="C494" s="21" t="str">
        <f t="array" ref="C494">_xlfn.XLOOKUP(
 A494,
 tblTargetStatus[TargetID],
 tblTargetStatus[successors],
 ""
)</f>
        <v/>
      </c>
      <c r="D494" s="26" t="str">
        <f t="array" ref="D494">_xlfn.XLOOKUP(
 A494,
 tblTargets[TargetID],
 tblTargets[TargetType],
 ""
)</f>
        <v>TECH</v>
      </c>
      <c r="E494" s="45" t="str">
        <f t="array" ref="E494">_xlfn.XLOOKUP(
 A494,
 tblTargetStatus[TargetID],
 tblTargetStatus[ChainAwareStatus],
 ""
)</f>
        <v>BLOCKED</v>
      </c>
      <c r="F494" s="45"/>
      <c r="G494" s="45" t="b">
        <v>0</v>
      </c>
      <c r="H494" s="45" t="b">
        <f t="array" ref="H494">_xlfn.XLOOKUP(
 A494,
 tblTargetStatus[TargetID],
 tblTargetStatus[TargetFunded],
 ""
)</f>
        <v>0</v>
      </c>
      <c r="I494" s="45" t="str">
        <f t="array" ref="I494">IF(
 D494&lt;&gt;"BUILDING",
 "",
 IF(
  Player!$H$1="Active",
  _xlfn.XLOOKUP(
   A494,
   tblrecommended[ActiveTargetID],
   tblrecommended[Order],
   ""
  ),
  _xlfn.XLOOKUP(
   A494,
   tblrecommended[PassiveTargetID],
   tblrecommended[Order],
   ""
  )
 )
)</f>
        <v/>
      </c>
    </row>
    <row r="495" ht="25.5" hidden="1" customHeight="1">
      <c r="A495" s="26" t="s">
        <v>1772</v>
      </c>
      <c r="B495" s="26" t="str">
        <f t="array" ref="B495">_xlfn.XLOOKUP(Checklist!$A495,tblTargets[TargetID],tblTargets[DisplayName])</f>
        <v>Food Stall - Inarizushi</v>
      </c>
      <c r="C495" s="21" t="str">
        <f t="array" ref="C495">_xlfn.XLOOKUP(
 A495,
 tblTargetStatus[TargetID],
 tblTargetStatus[successors],
 ""
)</f>
        <v/>
      </c>
      <c r="D495" s="26" t="str">
        <f t="array" ref="D495">_xlfn.XLOOKUP(
 A495,
 tblTargets[TargetID],
 tblTargets[TargetType],
 ""
)</f>
        <v>TECH</v>
      </c>
      <c r="E495" s="45" t="str">
        <f t="array" ref="E495">_xlfn.XLOOKUP(
 A495,
 tblTargetStatus[TargetID],
 tblTargetStatus[ChainAwareStatus],
 ""
)</f>
        <v>BLOCKED</v>
      </c>
      <c r="F495" s="45"/>
      <c r="G495" s="45" t="b">
        <v>0</v>
      </c>
      <c r="H495" s="45" t="b">
        <f t="array" ref="H495">_xlfn.XLOOKUP(
 A495,
 tblTargetStatus[TargetID],
 tblTargetStatus[TargetFunded],
 ""
)</f>
        <v>0</v>
      </c>
      <c r="I495" s="45" t="str">
        <f t="array" ref="I495">IF(
 D495&lt;&gt;"BUILDING",
 "",
 IF(
  Player!$H$1="Active",
  _xlfn.XLOOKUP(
   A495,
   tblrecommended[ActiveTargetID],
   tblrecommended[Order],
   ""
  ),
  _xlfn.XLOOKUP(
   A495,
   tblrecommended[PassiveTargetID],
   tblrecommended[Order],
   ""
  )
 )
)</f>
        <v/>
      </c>
    </row>
    <row r="496" ht="25.5" hidden="1" customHeight="1">
      <c r="A496" s="26" t="s">
        <v>1775</v>
      </c>
      <c r="B496" s="26" t="str">
        <f t="array" ref="B496">_xlfn.XLOOKUP(Checklist!$A496,tblTargets[TargetID],tblTargets[DisplayName])</f>
        <v>Food Stall - Jam</v>
      </c>
      <c r="C496" s="21" t="str">
        <f t="array" ref="C496">_xlfn.XLOOKUP(
 A496,
 tblTargetStatus[TargetID],
 tblTargetStatus[successors],
 ""
)</f>
        <v>Once Upon a Forest Chapter 13 Finished</v>
      </c>
      <c r="D496" s="26" t="str">
        <f t="array" ref="D496">_xlfn.XLOOKUP(
 A496,
 tblTargets[TargetID],
 tblTargets[TargetType],
 ""
)</f>
        <v>TECH</v>
      </c>
      <c r="E496" s="45" t="str">
        <f t="array" ref="E496">_xlfn.XLOOKUP(
 A496,
 tblTargetStatus[TargetID],
 tblTargetStatus[ChainAwareStatus],
 ""
)</f>
        <v>BLOCKED</v>
      </c>
      <c r="F496" s="45"/>
      <c r="G496" s="45" t="b">
        <v>0</v>
      </c>
      <c r="H496" s="45" t="b">
        <f t="array" ref="H496">_xlfn.XLOOKUP(
 A496,
 tblTargetStatus[TargetID],
 tblTargetStatus[TargetFunded],
 ""
)</f>
        <v>0</v>
      </c>
      <c r="I496" s="45" t="str">
        <f t="array" ref="I496">IF(
 D496&lt;&gt;"BUILDING",
 "",
 IF(
  Player!$H$1="Active",
  _xlfn.XLOOKUP(
   A496,
   tblrecommended[ActiveTargetID],
   tblrecommended[Order],
   ""
  ),
  _xlfn.XLOOKUP(
   A496,
   tblrecommended[PassiveTargetID],
   tblrecommended[Order],
   ""
  )
 )
)</f>
        <v/>
      </c>
    </row>
    <row r="497" ht="25.5" hidden="1" customHeight="1">
      <c r="A497" s="26" t="s">
        <v>1777</v>
      </c>
      <c r="B497" s="26" t="str">
        <f t="array" ref="B497">_xlfn.XLOOKUP(Checklist!$A497,tblTargets[TargetID],tblTargets[DisplayName])</f>
        <v>Food Stall - Mandra Cola</v>
      </c>
      <c r="C497" s="21" t="str">
        <f t="array" ref="C497">_xlfn.XLOOKUP(
 A497,
 tblTargetStatus[TargetID],
 tblTargetStatus[successors],
 ""
)</f>
        <v>Once Upon a Forest Chapter 13 Finished</v>
      </c>
      <c r="D497" s="26" t="str">
        <f t="array" ref="D497">_xlfn.XLOOKUP(
 A497,
 tblTargets[TargetID],
 tblTargets[TargetType],
 ""
)</f>
        <v>TECH</v>
      </c>
      <c r="E497" s="45" t="str">
        <f t="array" ref="E497">_xlfn.XLOOKUP(
 A497,
 tblTargetStatus[TargetID],
 tblTargetStatus[ChainAwareStatus],
 ""
)</f>
        <v>BLOCKED</v>
      </c>
      <c r="F497" s="45"/>
      <c r="G497" s="45" t="b">
        <v>0</v>
      </c>
      <c r="H497" s="45" t="b">
        <f t="array" ref="H497">_xlfn.XLOOKUP(
 A497,
 tblTargetStatus[TargetID],
 tblTargetStatus[TargetFunded],
 ""
)</f>
        <v>0</v>
      </c>
      <c r="I497" s="45" t="str">
        <f t="array" ref="I497">IF(
 D497&lt;&gt;"BUILDING",
 "",
 IF(
  Player!$H$1="Active",
  _xlfn.XLOOKUP(
   A497,
   tblrecommended[ActiveTargetID],
   tblrecommended[Order],
   ""
  ),
  _xlfn.XLOOKUP(
   A497,
   tblrecommended[PassiveTargetID],
   tblrecommended[Order],
   ""
  )
 )
)</f>
        <v/>
      </c>
    </row>
    <row r="498" ht="25.5" hidden="1" customHeight="1">
      <c r="A498" s="26" t="s">
        <v>1779</v>
      </c>
      <c r="B498" s="26" t="str">
        <f t="array" ref="B498">_xlfn.XLOOKUP(Checklist!$A498,tblTargets[TargetID],tblTargets[DisplayName])</f>
        <v>Food Stall - Mayonnaise</v>
      </c>
      <c r="C498" s="21" t="str">
        <f t="array" ref="C498">_xlfn.XLOOKUP(
 A498,
 tblTargetStatus[TargetID],
 tblTargetStatus[successors],
 ""
)</f>
        <v>Culinary Battle Finished</v>
      </c>
      <c r="D498" s="26" t="str">
        <f t="array" ref="D498">_xlfn.XLOOKUP(
 A498,
 tblTargets[TargetID],
 tblTargets[TargetType],
 ""
)</f>
        <v>TECH</v>
      </c>
      <c r="E498" s="45" t="str">
        <f t="array" ref="E498">_xlfn.XLOOKUP(
 A498,
 tblTargetStatus[TargetID],
 tblTargetStatus[ChainAwareStatus],
 ""
)</f>
        <v>BLOCKED</v>
      </c>
      <c r="F498" s="45"/>
      <c r="G498" s="45" t="b">
        <v>0</v>
      </c>
      <c r="H498" s="45" t="b">
        <f t="array" ref="H498">_xlfn.XLOOKUP(
 A498,
 tblTargetStatus[TargetID],
 tblTargetStatus[TargetFunded],
 ""
)</f>
        <v>0</v>
      </c>
      <c r="I498" s="45" t="str">
        <f t="array" ref="I498">IF(
 D498&lt;&gt;"BUILDING",
 "",
 IF(
  Player!$H$1="Active",
  _xlfn.XLOOKUP(
   A498,
   tblrecommended[ActiveTargetID],
   tblrecommended[Order],
   ""
  ),
  _xlfn.XLOOKUP(
   A498,
   tblrecommended[PassiveTargetID],
   tblrecommended[Order],
   ""
  )
 )
)</f>
        <v/>
      </c>
    </row>
    <row r="499" ht="25.5" hidden="1" customHeight="1">
      <c r="A499" s="26" t="s">
        <v>1782</v>
      </c>
      <c r="B499" s="26" t="str">
        <f t="array" ref="B499">_xlfn.XLOOKUP(Checklist!$A499,tblTargets[TargetID],tblTargets[DisplayName])</f>
        <v>Food Stall - Miso Soup</v>
      </c>
      <c r="C499" s="21" t="str">
        <f t="array" ref="C499">_xlfn.XLOOKUP(
 A499,
 tblTargetStatus[TargetID],
 tblTargetStatus[successors],
 ""
)</f>
        <v/>
      </c>
      <c r="D499" s="26" t="str">
        <f t="array" ref="D499">_xlfn.XLOOKUP(
 A499,
 tblTargets[TargetID],
 tblTargets[TargetType],
 ""
)</f>
        <v>TECH</v>
      </c>
      <c r="E499" s="45" t="str">
        <f t="array" ref="E499">_xlfn.XLOOKUP(
 A499,
 tblTargetStatus[TargetID],
 tblTargetStatus[ChainAwareStatus],
 ""
)</f>
        <v>BLOCKED</v>
      </c>
      <c r="F499" s="45"/>
      <c r="G499" s="45" t="b">
        <v>0</v>
      </c>
      <c r="H499" s="45" t="b">
        <f t="array" ref="H499">_xlfn.XLOOKUP(
 A499,
 tblTargetStatus[TargetID],
 tblTargetStatus[TargetFunded],
 ""
)</f>
        <v>0</v>
      </c>
      <c r="I499" s="45" t="str">
        <f t="array" ref="I499">IF(
 D499&lt;&gt;"BUILDING",
 "",
 IF(
  Player!$H$1="Active",
  _xlfn.XLOOKUP(
   A499,
   tblrecommended[ActiveTargetID],
   tblrecommended[Order],
   ""
  ),
  _xlfn.XLOOKUP(
   A499,
   tblrecommended[PassiveTargetID],
   tblrecommended[Order],
   ""
  )
 )
)</f>
        <v/>
      </c>
    </row>
    <row r="500" ht="25.5" hidden="1" customHeight="1">
      <c r="A500" s="26" t="s">
        <v>1784</v>
      </c>
      <c r="B500" s="26" t="str">
        <f t="array" ref="B500">_xlfn.XLOOKUP(Checklist!$A500,tblTargets[TargetID],tblTargets[DisplayName])</f>
        <v>Food Stall - Quintessence Of Taste</v>
      </c>
      <c r="C500" s="21" t="str">
        <f t="array" ref="C500">_xlfn.XLOOKUP(
 A500,
 tblTargetStatus[TargetID],
 tblTargetStatus[successors],
 ""
)</f>
        <v>Culinary Battle Finished</v>
      </c>
      <c r="D500" s="26" t="str">
        <f t="array" ref="D500">_xlfn.XLOOKUP(
 A500,
 tblTargets[TargetID],
 tblTargets[TargetType],
 ""
)</f>
        <v>TECH</v>
      </c>
      <c r="E500" s="45" t="str">
        <f t="array" ref="E500">_xlfn.XLOOKUP(
 A500,
 tblTargetStatus[TargetID],
 tblTargetStatus[ChainAwareStatus],
 ""
)</f>
        <v>BLOCKED</v>
      </c>
      <c r="F500" s="45"/>
      <c r="G500" s="45" t="b">
        <v>0</v>
      </c>
      <c r="H500" s="45" t="b">
        <f t="array" ref="H500">_xlfn.XLOOKUP(
 A500,
 tblTargetStatus[TargetID],
 tblTargetStatus[TargetFunded],
 ""
)</f>
        <v>0</v>
      </c>
      <c r="I500" s="45" t="str">
        <f t="array" ref="I500">IF(
 D500&lt;&gt;"BUILDING",
 "",
 IF(
  Player!$H$1="Active",
  _xlfn.XLOOKUP(
   A500,
   tblrecommended[ActiveTargetID],
   tblrecommended[Order],
   ""
  ),
  _xlfn.XLOOKUP(
   A500,
   tblrecommended[PassiveTargetID],
   tblrecommended[Order],
   ""
  )
 )
)</f>
        <v/>
      </c>
    </row>
    <row r="501" ht="25.5" hidden="1" customHeight="1">
      <c r="A501" s="26" t="s">
        <v>1786</v>
      </c>
      <c r="B501" s="26" t="str">
        <f t="array" ref="B501">_xlfn.XLOOKUP(Checklist!$A501,tblTargets[TargetID],tblTargets[DisplayName])</f>
        <v>Furnace - Conveyor</v>
      </c>
      <c r="C501" s="21" t="str">
        <f t="array" ref="C501">_xlfn.XLOOKUP(
 A501,
 tblTargetStatus[TargetID],
 tblTargetStatus[successors],
 ""
)</f>
        <v/>
      </c>
      <c r="D501" s="26" t="str">
        <f t="array" ref="D501">_xlfn.XLOOKUP(
 A501,
 tblTargets[TargetID],
 tblTargets[TargetType],
 ""
)</f>
        <v>TECH</v>
      </c>
      <c r="E501" s="45" t="str">
        <f t="array" ref="E501">_xlfn.XLOOKUP(
 A501,
 tblTargetStatus[TargetID],
 tblTargetStatus[ChainAwareStatus],
 ""
)</f>
        <v>BLOCKED</v>
      </c>
      <c r="F501" s="45"/>
      <c r="G501" s="45" t="b">
        <v>0</v>
      </c>
      <c r="H501" s="45" t="b">
        <f t="array" ref="H501">_xlfn.XLOOKUP(
 A501,
 tblTargetStatus[TargetID],
 tblTargetStatus[TargetFunded],
 ""
)</f>
        <v>0</v>
      </c>
      <c r="I501" s="45" t="str">
        <f t="array" ref="I501">IF(
 D501&lt;&gt;"BUILDING",
 "",
 IF(
  Player!$H$1="Active",
  _xlfn.XLOOKUP(
   A501,
   tblrecommended[ActiveTargetID],
   tblrecommended[Order],
   ""
  ),
  _xlfn.XLOOKUP(
   A501,
   tblrecommended[PassiveTargetID],
   tblrecommended[Order],
   ""
  )
 )
)</f>
        <v/>
      </c>
    </row>
    <row r="502" ht="25.5" hidden="1" customHeight="1">
      <c r="A502" s="26" t="s">
        <v>1789</v>
      </c>
      <c r="B502" s="26" t="str">
        <f t="array" ref="B502">_xlfn.XLOOKUP(Checklist!$A502,tblTargets[TargetID],tblTargets[DisplayName])</f>
        <v>Furnace - Glass</v>
      </c>
      <c r="C502" s="21" t="str">
        <f t="array" ref="C502">_xlfn.XLOOKUP(
 A502,
 tblTargetStatus[TargetID],
 tblTargetStatus[successors],
 ""
)</f>
        <v/>
      </c>
      <c r="D502" s="26" t="str">
        <f t="array" ref="D502">_xlfn.XLOOKUP(
 A502,
 tblTargets[TargetID],
 tblTargets[TargetType],
 ""
)</f>
        <v>TECH</v>
      </c>
      <c r="E502" s="45" t="str">
        <f t="array" ref="E502">_xlfn.XLOOKUP(
 A502,
 tblTargetStatus[TargetID],
 tblTargetStatus[ChainAwareStatus],
 ""
)</f>
        <v>BLOCKED</v>
      </c>
      <c r="F502" s="45"/>
      <c r="G502" s="45" t="b">
        <v>0</v>
      </c>
      <c r="H502" s="45" t="b">
        <f t="array" ref="H502">_xlfn.XLOOKUP(
 A502,
 tblTargetStatus[TargetID],
 tblTargetStatus[TargetFunded],
 ""
)</f>
        <v>0</v>
      </c>
      <c r="I502" s="45" t="str">
        <f t="array" ref="I502">IF(
 D502&lt;&gt;"BUILDING",
 "",
 IF(
  Player!$H$1="Active",
  _xlfn.XLOOKUP(
   A502,
   tblrecommended[ActiveTargetID],
   tblrecommended[Order],
   ""
  ),
  _xlfn.XLOOKUP(
   A502,
   tblrecommended[PassiveTargetID],
   tblrecommended[Order],
   ""
  )
 )
)</f>
        <v/>
      </c>
    </row>
    <row r="503" ht="25.5" hidden="1" customHeight="1">
      <c r="A503" s="26" t="s">
        <v>1791</v>
      </c>
      <c r="B503" s="26" t="str">
        <f t="array" ref="B503">_xlfn.XLOOKUP(Checklist!$A503,tblTargets[TargetID],tblTargets[DisplayName])</f>
        <v>Furnace - Meteoric Steel</v>
      </c>
      <c r="C503" s="21" t="str">
        <f t="array" ref="C503">_xlfn.XLOOKUP(
 A503,
 tblTargetStatus[TargetID],
 tblTargetStatus[successors],
 ""
)</f>
        <v/>
      </c>
      <c r="D503" s="26" t="str">
        <f t="array" ref="D503">_xlfn.XLOOKUP(
 A503,
 tblTargets[TargetID],
 tblTargets[TargetType],
 ""
)</f>
        <v>TECH</v>
      </c>
      <c r="E503" s="45" t="str">
        <f t="array" ref="E503">_xlfn.XLOOKUP(
 A503,
 tblTargetStatus[TargetID],
 tblTargetStatus[ChainAwareStatus],
 ""
)</f>
        <v>BLOCKED</v>
      </c>
      <c r="F503" s="45"/>
      <c r="G503" s="45" t="b">
        <v>0</v>
      </c>
      <c r="H503" s="45" t="b">
        <f t="array" ref="H503">_xlfn.XLOOKUP(
 A503,
 tblTargetStatus[TargetID],
 tblTargetStatus[TargetFunded],
 ""
)</f>
        <v>0</v>
      </c>
      <c r="I503" s="45" t="str">
        <f t="array" ref="I503">IF(
 D503&lt;&gt;"BUILDING",
 "",
 IF(
  Player!$H$1="Active",
  _xlfn.XLOOKUP(
   A503,
   tblrecommended[ActiveTargetID],
   tblrecommended[Order],
   ""
  ),
  _xlfn.XLOOKUP(
   A503,
   tblrecommended[PassiveTargetID],
   tblrecommended[Order],
   ""
  )
 )
)</f>
        <v/>
      </c>
    </row>
    <row r="504" ht="25.5" hidden="1" customHeight="1">
      <c r="A504" s="26" t="s">
        <v>1793</v>
      </c>
      <c r="B504" s="26" t="str">
        <f t="array" ref="B504">_xlfn.XLOOKUP(Checklist!$A504,tblTargets[TargetID],tblTargets[DisplayName])</f>
        <v>Furnace - Titanium Parts</v>
      </c>
      <c r="C504" s="21" t="str">
        <f t="array" ref="C504">_xlfn.XLOOKUP(
 A504,
 tblTargetStatus[TargetID],
 tblTargetStatus[successors],
 ""
)</f>
        <v>Airship - Titanium Longerons, Tailor - Armor For A Hero Lvl 4</v>
      </c>
      <c r="D504" s="26" t="str">
        <f t="array" ref="D504">_xlfn.XLOOKUP(
 A504,
 tblTargets[TargetID],
 tblTargets[TargetType],
 ""
)</f>
        <v>TECH</v>
      </c>
      <c r="E504" s="45" t="str">
        <f t="array" ref="E504">_xlfn.XLOOKUP(
 A504,
 tblTargetStatus[TargetID],
 tblTargetStatus[ChainAwareStatus],
 ""
)</f>
        <v>BLOCKED</v>
      </c>
      <c r="F504" s="45"/>
      <c r="G504" s="45" t="b">
        <v>0</v>
      </c>
      <c r="H504" s="45" t="b">
        <f t="array" ref="H504">_xlfn.XLOOKUP(
 A504,
 tblTargetStatus[TargetID],
 tblTargetStatus[TargetFunded],
 ""
)</f>
        <v>0</v>
      </c>
      <c r="I504" s="45" t="str">
        <f t="array" ref="I504">IF(
 D504&lt;&gt;"BUILDING",
 "",
 IF(
  Player!$H$1="Active",
  _xlfn.XLOOKUP(
   A504,
   tblrecommended[ActiveTargetID],
   tblrecommended[Order],
   ""
  ),
  _xlfn.XLOOKUP(
   A504,
   tblrecommended[PassiveTargetID],
   tblrecommended[Order],
   ""
  )
 )
)</f>
        <v/>
      </c>
    </row>
    <row r="505" ht="25.5" hidden="1" customHeight="1">
      <c r="A505" s="26" t="s">
        <v>1795</v>
      </c>
      <c r="B505" s="26" t="str">
        <f t="array" ref="B505">_xlfn.XLOOKUP(Checklist!$A505,tblTargets[TargetID],tblTargets[DisplayName])</f>
        <v>Garden - Sprinkler</v>
      </c>
      <c r="C505" s="21" t="str">
        <f t="array" ref="C505">_xlfn.XLOOKUP(
 A505,
 tblTargetStatus[TargetID],
 tblTargetStatus[successors],
 ""
)</f>
        <v/>
      </c>
      <c r="D505" s="26" t="str">
        <f t="array" ref="D505">_xlfn.XLOOKUP(
 A505,
 tblTargets[TargetID],
 tblTargets[TargetType],
 ""
)</f>
        <v>TECH</v>
      </c>
      <c r="E505" s="45" t="str">
        <f t="array" ref="E505">_xlfn.XLOOKUP(
 A505,
 tblTargetStatus[TargetID],
 tblTargetStatus[ChainAwareStatus],
 ""
)</f>
        <v>BLOCKED</v>
      </c>
      <c r="F505" s="45"/>
      <c r="G505" s="45" t="b">
        <v>0</v>
      </c>
      <c r="H505" s="45" t="b">
        <f t="array" ref="H505">_xlfn.XLOOKUP(
 A505,
 tblTargetStatus[TargetID],
 tblTargetStatus[TargetFunded],
 ""
)</f>
        <v>0</v>
      </c>
      <c r="I505" s="45" t="str">
        <f t="array" ref="I505">IF(
 D505&lt;&gt;"BUILDING",
 "",
 IF(
  Player!$H$1="Active",
  _xlfn.XLOOKUP(
   A505,
   tblrecommended[ActiveTargetID],
   tblrecommended[Order],
   ""
  ),
  _xlfn.XLOOKUP(
   A505,
   tblrecommended[PassiveTargetID],
   tblrecommended[Order],
   ""
  )
 )
)</f>
        <v/>
      </c>
    </row>
    <row r="506" ht="25.5" hidden="1" customHeight="1">
      <c r="A506" s="26" t="s">
        <v>1798</v>
      </c>
      <c r="B506" s="26" t="str">
        <f t="array" ref="B506">_xlfn.XLOOKUP(Checklist!$A506,tblTargets[TargetID],tblTargets[DisplayName])</f>
        <v>Laboratory - Digitization</v>
      </c>
      <c r="C506" s="21" t="str">
        <f t="array" ref="C506">_xlfn.XLOOKUP(
 A506,
 tblTargetStatus[TargetID],
 tblTargetStatus[successors],
 ""
)</f>
        <v>Ahead of Time Chapter 5 Finished</v>
      </c>
      <c r="D506" s="26" t="str">
        <f t="array" ref="D506">_xlfn.XLOOKUP(
 A506,
 tblTargets[TargetID],
 tblTargets[TargetType],
 ""
)</f>
        <v>TECH</v>
      </c>
      <c r="E506" s="45" t="str">
        <f t="array" ref="E506">_xlfn.XLOOKUP(
 A506,
 tblTargetStatus[TargetID],
 tblTargetStatus[ChainAwareStatus],
 ""
)</f>
        <v>BLOCKED</v>
      </c>
      <c r="F506" s="45"/>
      <c r="G506" s="45" t="b">
        <v>0</v>
      </c>
      <c r="H506" s="45" t="b">
        <f t="array" ref="H506">_xlfn.XLOOKUP(
 A506,
 tblTargetStatus[TargetID],
 tblTargetStatus[TargetFunded],
 ""
)</f>
        <v>0</v>
      </c>
      <c r="I506" s="45" t="str">
        <f t="array" ref="I506">IF(
 D506&lt;&gt;"BUILDING",
 "",
 IF(
  Player!$H$1="Active",
  _xlfn.XLOOKUP(
   A506,
   tblrecommended[ActiveTargetID],
   tblrecommended[Order],
   ""
  ),
  _xlfn.XLOOKUP(
   A506,
   tblrecommended[PassiveTargetID],
   tblrecommended[Order],
   ""
  )
 )
)</f>
        <v/>
      </c>
    </row>
    <row r="507" ht="25.5" hidden="1" customHeight="1">
      <c r="A507" s="26" t="s">
        <v>1800</v>
      </c>
      <c r="B507" s="26" t="str">
        <f t="array" ref="B507">_xlfn.XLOOKUP(Checklist!$A507,tblTargets[TargetID],tblTargets[DisplayName])</f>
        <v>Laboratory - Experiments</v>
      </c>
      <c r="C507" s="21" t="str">
        <f t="array" ref="C507">_xlfn.XLOOKUP(
 A507,
 tblTargetStatus[TargetID],
 tblTargetStatus[successors],
 ""
)</f>
        <v>Ahead of Time Chapter 5 Finished</v>
      </c>
      <c r="D507" s="26" t="str">
        <f t="array" ref="D507">_xlfn.XLOOKUP(
 A507,
 tblTargets[TargetID],
 tblTargets[TargetType],
 ""
)</f>
        <v>TECH</v>
      </c>
      <c r="E507" s="45" t="str">
        <f t="array" ref="E507">_xlfn.XLOOKUP(
 A507,
 tblTargetStatus[TargetID],
 tblTargetStatus[ChainAwareStatus],
 ""
)</f>
        <v>BLOCKED</v>
      </c>
      <c r="F507" s="45"/>
      <c r="G507" s="45" t="b">
        <v>0</v>
      </c>
      <c r="H507" s="45" t="b">
        <f t="array" ref="H507">_xlfn.XLOOKUP(
 A507,
 tblTargetStatus[TargetID],
 tblTargetStatus[TargetFunded],
 ""
)</f>
        <v>0</v>
      </c>
      <c r="I507" s="45" t="str">
        <f t="array" ref="I507">IF(
 D507&lt;&gt;"BUILDING",
 "",
 IF(
  Player!$H$1="Active",
  _xlfn.XLOOKUP(
   A507,
   tblrecommended[ActiveTargetID],
   tblrecommended[Order],
   ""
  ),
  _xlfn.XLOOKUP(
   A507,
   tblrecommended[PassiveTargetID],
   tblrecommended[Order],
   ""
  )
 )
)</f>
        <v/>
      </c>
    </row>
    <row r="508" ht="25.5" hidden="1" customHeight="1">
      <c r="A508" s="26" t="s">
        <v>1802</v>
      </c>
      <c r="B508" s="26" t="str">
        <f t="array" ref="B508">_xlfn.XLOOKUP(Checklist!$A508,tblTargets[TargetID],tblTargets[DisplayName])</f>
        <v>Laboratory - Research And Development</v>
      </c>
      <c r="C508" s="21" t="str">
        <f t="array" ref="C508">_xlfn.XLOOKUP(
 A508,
 tblTargetStatus[TargetID],
 tblTargetStatus[successors],
 ""
)</f>
        <v>Laboratory - Experiments, Ahead of Time Chapter 5 Finished</v>
      </c>
      <c r="D508" s="26" t="str">
        <f t="array" ref="D508">_xlfn.XLOOKUP(
 A508,
 tblTargets[TargetID],
 tblTargets[TargetType],
 ""
)</f>
        <v>TECH</v>
      </c>
      <c r="E508" s="45" t="str">
        <f t="array" ref="E508">_xlfn.XLOOKUP(
 A508,
 tblTargetStatus[TargetID],
 tblTargetStatus[ChainAwareStatus],
 ""
)</f>
        <v>BLOCKED</v>
      </c>
      <c r="F508" s="45"/>
      <c r="G508" s="45" t="b">
        <v>0</v>
      </c>
      <c r="H508" s="45" t="b">
        <f t="array" ref="H508">_xlfn.XLOOKUP(
 A508,
 tblTargetStatus[TargetID],
 tblTargetStatus[TargetFunded],
 ""
)</f>
        <v>0</v>
      </c>
      <c r="I508" s="45" t="str">
        <f t="array" ref="I508">IF(
 D508&lt;&gt;"BUILDING",
 "",
 IF(
  Player!$H$1="Active",
  _xlfn.XLOOKUP(
   A508,
   tblrecommended[ActiveTargetID],
   tblrecommended[Order],
   ""
  ),
  _xlfn.XLOOKUP(
   A508,
   tblrecommended[PassiveTargetID],
   tblrecommended[Order],
   ""
  )
 )
)</f>
        <v/>
      </c>
    </row>
    <row r="509" ht="25.5" hidden="1" customHeight="1">
      <c r="A509" s="26" t="s">
        <v>1805</v>
      </c>
      <c r="B509" s="26" t="str">
        <f t="array" ref="B509">_xlfn.XLOOKUP(Checklist!$A509,tblTargets[TargetID],tblTargets[DisplayName])</f>
        <v>Outpost - Arsenal Lvl 1</v>
      </c>
      <c r="C509" s="21" t="str">
        <f t="array" ref="C509">_xlfn.XLOOKUP(
 A509,
 tblTargetStatus[TargetID],
 tblTargetStatus[successors],
 ""
)</f>
        <v>Outpost - Arsenal Lvl 2</v>
      </c>
      <c r="D509" s="26" t="str">
        <f t="array" ref="D509">_xlfn.XLOOKUP(
 A509,
 tblTargets[TargetID],
 tblTargets[TargetType],
 ""
)</f>
        <v>TECH</v>
      </c>
      <c r="E509" s="45" t="str">
        <f t="array" ref="E509">_xlfn.XLOOKUP(
 A509,
 tblTargetStatus[TargetID],
 tblTargetStatus[ChainAwareStatus],
 ""
)</f>
        <v>BLOCKED</v>
      </c>
      <c r="F509" s="45"/>
      <c r="G509" s="45" t="b">
        <v>0</v>
      </c>
      <c r="H509" s="45" t="b">
        <f t="array" ref="H509">_xlfn.XLOOKUP(
 A509,
 tblTargetStatus[TargetID],
 tblTargetStatus[TargetFunded],
 ""
)</f>
        <v>0</v>
      </c>
      <c r="I509" s="45" t="str">
        <f t="array" ref="I509">IF(
 D509&lt;&gt;"BUILDING",
 "",
 IF(
  Player!$H$1="Active",
  _xlfn.XLOOKUP(
   A509,
   tblrecommended[ActiveTargetID],
   tblrecommended[Order],
   ""
  ),
  _xlfn.XLOOKUP(
   A509,
   tblrecommended[PassiveTargetID],
   tblrecommended[Order],
   ""
  )
 )
)</f>
        <v/>
      </c>
    </row>
    <row r="510" ht="25.5" hidden="1" customHeight="1">
      <c r="A510" s="26" t="s">
        <v>1807</v>
      </c>
      <c r="B510" s="26" t="str">
        <f t="array" ref="B510">_xlfn.XLOOKUP(Checklist!$A510,tblTargets[TargetID],tblTargets[DisplayName])</f>
        <v>Outpost - Arsenal Lvl 2</v>
      </c>
      <c r="C510" s="21" t="str">
        <f t="array" ref="C510">_xlfn.XLOOKUP(
 A510,
 tblTargetStatus[TargetID],
 tblTargetStatus[successors],
 ""
)</f>
        <v/>
      </c>
      <c r="D510" s="26" t="str">
        <f t="array" ref="D510">_xlfn.XLOOKUP(
 A510,
 tblTargets[TargetID],
 tblTargets[TargetType],
 ""
)</f>
        <v>TECH</v>
      </c>
      <c r="E510" s="45" t="str">
        <f t="array" ref="E510">_xlfn.XLOOKUP(
 A510,
 tblTargetStatus[TargetID],
 tblTargetStatus[ChainAwareStatus],
 ""
)</f>
        <v>BLOCKED</v>
      </c>
      <c r="F510" s="45"/>
      <c r="G510" s="45" t="b">
        <v>0</v>
      </c>
      <c r="H510" s="45" t="b">
        <f t="array" ref="H510">_xlfn.XLOOKUP(
 A510,
 tblTargetStatus[TargetID],
 tblTargetStatus[TargetFunded],
 ""
)</f>
        <v>0</v>
      </c>
      <c r="I510" s="45" t="str">
        <f t="array" ref="I510">IF(
 D510&lt;&gt;"BUILDING",
 "",
 IF(
  Player!$H$1="Active",
  _xlfn.XLOOKUP(
   A510,
   tblrecommended[ActiveTargetID],
   tblrecommended[Order],
   ""
  ),
  _xlfn.XLOOKUP(
   A510,
   tblrecommended[PassiveTargetID],
   tblrecommended[Order],
   ""
  )
 )
)</f>
        <v/>
      </c>
    </row>
    <row r="511" ht="25.5" hidden="1" customHeight="1">
      <c r="A511" s="26" t="s">
        <v>1809</v>
      </c>
      <c r="B511" s="26" t="str">
        <f t="array" ref="B511">_xlfn.XLOOKUP(Checklist!$A511,tblTargets[TargetID],tblTargets[DisplayName])</f>
        <v>Outpost - Futures Contracts</v>
      </c>
      <c r="C511" s="21" t="str">
        <f t="array" ref="C511">_xlfn.XLOOKUP(
 A511,
 tblTargetStatus[TargetID],
 tblTargetStatus[successors],
 ""
)</f>
        <v/>
      </c>
      <c r="D511" s="26" t="str">
        <f t="array" ref="D511">_xlfn.XLOOKUP(
 A511,
 tblTargets[TargetID],
 tblTargets[TargetType],
 ""
)</f>
        <v>TECH</v>
      </c>
      <c r="E511" s="45" t="str">
        <f t="array" ref="E511">_xlfn.XLOOKUP(
 A511,
 tblTargetStatus[TargetID],
 tblTargetStatus[ChainAwareStatus],
 ""
)</f>
        <v>BLOCKED</v>
      </c>
      <c r="F511" s="45"/>
      <c r="G511" s="45" t="b">
        <v>0</v>
      </c>
      <c r="H511" s="45" t="b">
        <f t="array" ref="H511">_xlfn.XLOOKUP(
 A511,
 tblTargetStatus[TargetID],
 tblTargetStatus[TargetFunded],
 ""
)</f>
        <v>0</v>
      </c>
      <c r="I511" s="45" t="str">
        <f t="array" ref="I511">IF(
 D511&lt;&gt;"BUILDING",
 "",
 IF(
  Player!$H$1="Active",
  _xlfn.XLOOKUP(
   A511,
   tblrecommended[ActiveTargetID],
   tblrecommended[Order],
   ""
  ),
  _xlfn.XLOOKUP(
   A511,
   tblrecommended[PassiveTargetID],
   tblrecommended[Order],
   ""
  )
 )
)</f>
        <v/>
      </c>
    </row>
    <row r="512" ht="25.5" hidden="1" customHeight="1">
      <c r="A512" s="26" t="s">
        <v>1812</v>
      </c>
      <c r="B512" s="26" t="str">
        <f t="array" ref="B512">_xlfn.XLOOKUP(Checklist!$A512,tblTargets[TargetID],tblTargets[DisplayName])</f>
        <v>Outpost - Optional Contracts</v>
      </c>
      <c r="C512" s="21" t="str">
        <f t="array" ref="C512">_xlfn.XLOOKUP(
 A512,
 tblTargetStatus[TargetID],
 tblTargetStatus[successors],
 ""
)</f>
        <v>Outpost - Futures Contracts</v>
      </c>
      <c r="D512" s="26" t="str">
        <f t="array" ref="D512">_xlfn.XLOOKUP(
 A512,
 tblTargets[TargetID],
 tblTargets[TargetType],
 ""
)</f>
        <v>TECH</v>
      </c>
      <c r="E512" s="45" t="str">
        <f t="array" ref="E512">_xlfn.XLOOKUP(
 A512,
 tblTargetStatus[TargetID],
 tblTargetStatus[ChainAwareStatus],
 ""
)</f>
        <v>BLOCKED</v>
      </c>
      <c r="F512" s="45"/>
      <c r="G512" s="45" t="b">
        <v>0</v>
      </c>
      <c r="H512" s="45" t="b">
        <f t="array" ref="H512">_xlfn.XLOOKUP(
 A512,
 tblTargetStatus[TargetID],
 tblTargetStatus[TargetFunded],
 ""
)</f>
        <v>0</v>
      </c>
      <c r="I512" s="45" t="str">
        <f t="array" ref="I512">IF(
 D512&lt;&gt;"BUILDING",
 "",
 IF(
  Player!$H$1="Active",
  _xlfn.XLOOKUP(
   A512,
   tblrecommended[ActiveTargetID],
   tblrecommended[Order],
   ""
  ),
  _xlfn.XLOOKUP(
   A512,
   tblrecommended[PassiveTargetID],
   tblrecommended[Order],
   ""
  )
 )
)</f>
        <v/>
      </c>
    </row>
    <row r="513" ht="25.5" hidden="1" customHeight="1">
      <c r="A513" s="26" t="s">
        <v>1814</v>
      </c>
      <c r="B513" s="26" t="str">
        <f t="array" ref="B513">_xlfn.XLOOKUP(Checklist!$A513,tblTargets[TargetID],tblTargets[DisplayName])</f>
        <v>Outpost - Sayonara Tax</v>
      </c>
      <c r="C513" s="21" t="str">
        <f t="array" ref="C513">_xlfn.XLOOKUP(
 A513,
 tblTargetStatus[TargetID],
 tblTargetStatus[successors],
 ""
)</f>
        <v/>
      </c>
      <c r="D513" s="26" t="str">
        <f t="array" ref="D513">_xlfn.XLOOKUP(
 A513,
 tblTargets[TargetID],
 tblTargets[TargetType],
 ""
)</f>
        <v>TECH</v>
      </c>
      <c r="E513" s="45" t="str">
        <f t="array" ref="E513">_xlfn.XLOOKUP(
 A513,
 tblTargetStatus[TargetID],
 tblTargetStatus[ChainAwareStatus],
 ""
)</f>
        <v>BLOCKED</v>
      </c>
      <c r="F513" s="45"/>
      <c r="G513" s="45" t="b">
        <v>0</v>
      </c>
      <c r="H513" s="45" t="b">
        <f t="array" ref="H513">_xlfn.XLOOKUP(
 A513,
 tblTargetStatus[TargetID],
 tblTargetStatus[TargetFunded],
 ""
)</f>
        <v>0</v>
      </c>
      <c r="I513" s="45" t="str">
        <f t="array" ref="I513">IF(
 D513&lt;&gt;"BUILDING",
 "",
 IF(
  Player!$H$1="Active",
  _xlfn.XLOOKUP(
   A513,
   tblrecommended[ActiveTargetID],
   tblrecommended[Order],
   ""
  ),
  _xlfn.XLOOKUP(
   A513,
   tblrecommended[PassiveTargetID],
   tblrecommended[Order],
   ""
  )
 )
)</f>
        <v/>
      </c>
    </row>
    <row r="514" ht="25.5" hidden="1" customHeight="1">
      <c r="A514" s="26" t="s">
        <v>1816</v>
      </c>
      <c r="B514" s="26" t="str">
        <f t="array" ref="B514">_xlfn.XLOOKUP(Checklist!$A514,tblTargets[TargetID],tblTargets[DisplayName])</f>
        <v>Outpost - Tax Return On Floppy Disk</v>
      </c>
      <c r="C514" s="21" t="str">
        <f t="array" ref="C514">_xlfn.XLOOKUP(
 A514,
 tblTargetStatus[TargetID],
 tblTargetStatus[successors],
 ""
)</f>
        <v/>
      </c>
      <c r="D514" s="26" t="str">
        <f t="array" ref="D514">_xlfn.XLOOKUP(
 A514,
 tblTargets[TargetID],
 tblTargets[TargetType],
 ""
)</f>
        <v>TECH</v>
      </c>
      <c r="E514" s="45" t="str">
        <f t="array" ref="E514">_xlfn.XLOOKUP(
 A514,
 tblTargetStatus[TargetID],
 tblTargetStatus[ChainAwareStatus],
 ""
)</f>
        <v>BLOCKED</v>
      </c>
      <c r="F514" s="45"/>
      <c r="G514" s="45" t="b">
        <v>0</v>
      </c>
      <c r="H514" s="45" t="b">
        <f t="array" ref="H514">_xlfn.XLOOKUP(
 A514,
 tblTargetStatus[TargetID],
 tblTargetStatus[TargetFunded],
 ""
)</f>
        <v>0</v>
      </c>
      <c r="I514" s="45" t="str">
        <f t="array" ref="I514">IF(
 D514&lt;&gt;"BUILDING",
 "",
 IF(
  Player!$H$1="Active",
  _xlfn.XLOOKUP(
   A514,
   tblrecommended[ActiveTargetID],
   tblrecommended[Order],
   ""
  ),
  _xlfn.XLOOKUP(
   A514,
   tblrecommended[PassiveTargetID],
   tblrecommended[Order],
   ""
  )
 )
)</f>
        <v/>
      </c>
    </row>
    <row r="515" ht="25.5" hidden="1" customHeight="1">
      <c r="A515" s="26" t="s">
        <v>1818</v>
      </c>
      <c r="B515" s="26" t="str">
        <f t="array" ref="B515">_xlfn.XLOOKUP(Checklist!$A515,tblTargets[TargetID],tblTargets[DisplayName])</f>
        <v>Rock Garden - Rake</v>
      </c>
      <c r="C515" s="21" t="str">
        <f t="array" ref="C515">_xlfn.XLOOKUP(
 A515,
 tblTargetStatus[TargetID],
 tblTargetStatus[successors],
 ""
)</f>
        <v/>
      </c>
      <c r="D515" s="26" t="str">
        <f t="array" ref="D515">_xlfn.XLOOKUP(
 A515,
 tblTargets[TargetID],
 tblTargets[TargetType],
 ""
)</f>
        <v>TECH</v>
      </c>
      <c r="E515" s="45" t="str">
        <f t="array" ref="E515">_xlfn.XLOOKUP(
 A515,
 tblTargetStatus[TargetID],
 tblTargetStatus[ChainAwareStatus],
 ""
)</f>
        <v>BLOCKED</v>
      </c>
      <c r="F515" s="45"/>
      <c r="G515" s="45" t="b">
        <v>0</v>
      </c>
      <c r="H515" s="45" t="b">
        <f t="array" ref="H515">_xlfn.XLOOKUP(
 A515,
 tblTargetStatus[TargetID],
 tblTargetStatus[TargetFunded],
 ""
)</f>
        <v>0</v>
      </c>
      <c r="I515" s="45" t="str">
        <f t="array" ref="I515">IF(
 D515&lt;&gt;"BUILDING",
 "",
 IF(
  Player!$H$1="Active",
  _xlfn.XLOOKUP(
   A515,
   tblrecommended[ActiveTargetID],
   tblrecommended[Order],
   ""
  ),
  _xlfn.XLOOKUP(
   A515,
   tblrecommended[PassiveTargetID],
   tblrecommended[Order],
   ""
  )
 )
)</f>
        <v/>
      </c>
    </row>
    <row r="516" ht="25.5" hidden="1" customHeight="1">
      <c r="A516" s="26" t="s">
        <v>1821</v>
      </c>
      <c r="B516" s="26" t="str">
        <f t="array" ref="B516">_xlfn.XLOOKUP(Checklist!$A516,tblTargets[TargetID],tblTargets[DisplayName])</f>
        <v>Shop - Glass Recycling</v>
      </c>
      <c r="C516" s="21" t="str">
        <f t="array" ref="C516">_xlfn.XLOOKUP(
 A516,
 tblTargetStatus[TargetID],
 tblTargetStatus[successors],
 ""
)</f>
        <v/>
      </c>
      <c r="D516" s="26" t="str">
        <f t="array" ref="D516">_xlfn.XLOOKUP(
 A516,
 tblTargets[TargetID],
 tblTargets[TargetType],
 ""
)</f>
        <v>TECH</v>
      </c>
      <c r="E516" s="45" t="str">
        <f t="array" ref="E516">_xlfn.XLOOKUP(
 A516,
 tblTargetStatus[TargetID],
 tblTargetStatus[ChainAwareStatus],
 ""
)</f>
        <v>BLOCKED</v>
      </c>
      <c r="F516" s="45"/>
      <c r="G516" s="45" t="b">
        <v>0</v>
      </c>
      <c r="H516" s="45" t="b">
        <f t="array" ref="H516">_xlfn.XLOOKUP(
 A516,
 tblTargetStatus[TargetID],
 tblTargetStatus[TargetFunded],
 ""
)</f>
        <v>0</v>
      </c>
      <c r="I516" s="45" t="str">
        <f t="array" ref="I516">IF(
 D516&lt;&gt;"BUILDING",
 "",
 IF(
  Player!$H$1="Active",
  _xlfn.XLOOKUP(
   A516,
   tblrecommended[ActiveTargetID],
   tblrecommended[Order],
   ""
  ),
  _xlfn.XLOOKUP(
   A516,
   tblrecommended[PassiveTargetID],
   tblrecommended[Order],
   ""
  )
 )
)</f>
        <v/>
      </c>
    </row>
    <row r="517" ht="25.5" hidden="1" customHeight="1">
      <c r="A517" s="26" t="s">
        <v>1823</v>
      </c>
      <c r="B517" s="26" t="str">
        <f t="array" ref="B517">_xlfn.XLOOKUP(Checklist!$A517,tblTargets[TargetID],tblTargets[DisplayName])</f>
        <v>Shop - Pre Orders</v>
      </c>
      <c r="C517" s="21" t="str">
        <f t="array" ref="C517">_xlfn.XLOOKUP(
 A517,
 tblTargetStatus[TargetID],
 tblTargetStatus[successors],
 ""
)</f>
        <v/>
      </c>
      <c r="D517" s="26" t="str">
        <f t="array" ref="D517">_xlfn.XLOOKUP(
 A517,
 tblTargets[TargetID],
 tblTargets[TargetType],
 ""
)</f>
        <v>TECH</v>
      </c>
      <c r="E517" s="45" t="str">
        <f t="array" ref="E517">_xlfn.XLOOKUP(
 A517,
 tblTargetStatus[TargetID],
 tblTargetStatus[ChainAwareStatus],
 ""
)</f>
        <v>BLOCKED</v>
      </c>
      <c r="F517" s="45">
        <v>800.0</v>
      </c>
      <c r="G517" s="45" t="b">
        <v>0</v>
      </c>
      <c r="H517" s="45" t="b">
        <f t="array" ref="H517">_xlfn.XLOOKUP(
 A517,
 tblTargetStatus[TargetID],
 tblTargetStatus[TargetFunded],
 ""
)</f>
        <v>0</v>
      </c>
      <c r="I517" s="45" t="str">
        <f t="array" ref="I517">IF(
 D517&lt;&gt;"BUILDING",
 "",
 IF(
  Player!$H$1="Active",
  _xlfn.XLOOKUP(
   A517,
   tblrecommended[ActiveTargetID],
   tblrecommended[Order],
   ""
  ),
  _xlfn.XLOOKUP(
   A517,
   tblrecommended[PassiveTargetID],
   tblrecommended[Order],
   ""
  )
 )
)</f>
        <v/>
      </c>
    </row>
    <row r="518" ht="25.5" hidden="1" customHeight="1">
      <c r="A518" s="26" t="s">
        <v>1825</v>
      </c>
      <c r="B518" s="26" t="str">
        <f t="array" ref="B518">_xlfn.XLOOKUP(Checklist!$A518,tblTargets[TargetID],tblTargets[DisplayName])</f>
        <v>Smithy - Gears</v>
      </c>
      <c r="C518" s="21" t="str">
        <f t="array" ref="C518">_xlfn.XLOOKUP(
 A518,
 tblTargetStatus[TargetID],
 tblTargetStatus[successors],
 ""
)</f>
        <v/>
      </c>
      <c r="D518" s="26" t="str">
        <f t="array" ref="D518">_xlfn.XLOOKUP(
 A518,
 tblTargets[TargetID],
 tblTargets[TargetType],
 ""
)</f>
        <v>TECH</v>
      </c>
      <c r="E518" s="45" t="str">
        <f t="array" ref="E518">_xlfn.XLOOKUP(
 A518,
 tblTargetStatus[TargetID],
 tblTargetStatus[ChainAwareStatus],
 ""
)</f>
        <v>BLOCKED</v>
      </c>
      <c r="F518" s="45"/>
      <c r="G518" s="45" t="b">
        <v>0</v>
      </c>
      <c r="H518" s="45" t="b">
        <f t="array" ref="H518">_xlfn.XLOOKUP(
 A518,
 tblTargetStatus[TargetID],
 tblTargetStatus[TargetFunded],
 ""
)</f>
        <v>0</v>
      </c>
      <c r="I518" s="45" t="str">
        <f t="array" ref="I518">IF(
 D518&lt;&gt;"BUILDING",
 "",
 IF(
  Player!$H$1="Active",
  _xlfn.XLOOKUP(
   A518,
   tblrecommended[ActiveTargetID],
   tblrecommended[Order],
   ""
  ),
  _xlfn.XLOOKUP(
   A518,
   tblrecommended[PassiveTargetID],
   tblrecommended[Order],
   ""
  )
 )
)</f>
        <v/>
      </c>
    </row>
    <row r="519" ht="25.5" hidden="1" customHeight="1">
      <c r="A519" s="26" t="s">
        <v>1827</v>
      </c>
      <c r="B519" s="26" t="str">
        <f t="array" ref="B519">_xlfn.XLOOKUP(Checklist!$A519,tblTargets[TargetID],tblTargets[DisplayName])</f>
        <v>Smithy - Sword For A Hero Lvl 1</v>
      </c>
      <c r="C519" s="21" t="str">
        <f t="array" ref="C519">_xlfn.XLOOKUP(
 A519,
 tblTargetStatus[TargetID],
 tblTargetStatus[successors],
 ""
)</f>
        <v>Smithy - Sword For A Hero Lvl 2, Smithy - Weapon Grease</v>
      </c>
      <c r="D519" s="26" t="str">
        <f t="array" ref="D519">_xlfn.XLOOKUP(
 A519,
 tblTargets[TargetID],
 tblTargets[TargetType],
 ""
)</f>
        <v>TECH</v>
      </c>
      <c r="E519" s="45" t="str">
        <f t="array" ref="E519">_xlfn.XLOOKUP(
 A519,
 tblTargetStatus[TargetID],
 tblTargetStatus[ChainAwareStatus],
 ""
)</f>
        <v>BLOCKED</v>
      </c>
      <c r="F519" s="45"/>
      <c r="G519" s="45" t="b">
        <v>0</v>
      </c>
      <c r="H519" s="45" t="b">
        <f t="array" ref="H519">_xlfn.XLOOKUP(
 A519,
 tblTargetStatus[TargetID],
 tblTargetStatus[TargetFunded],
 ""
)</f>
        <v>0</v>
      </c>
      <c r="I519" s="45" t="str">
        <f t="array" ref="I519">IF(
 D519&lt;&gt;"BUILDING",
 "",
 IF(
  Player!$H$1="Active",
  _xlfn.XLOOKUP(
   A519,
   tblrecommended[ActiveTargetID],
   tblrecommended[Order],
   ""
  ),
  _xlfn.XLOOKUP(
   A519,
   tblrecommended[PassiveTargetID],
   tblrecommended[Order],
   ""
  )
 )
)</f>
        <v/>
      </c>
    </row>
    <row r="520" ht="25.5" hidden="1" customHeight="1">
      <c r="A520" s="26" t="s">
        <v>1829</v>
      </c>
      <c r="B520" s="26" t="str">
        <f t="array" ref="B520">_xlfn.XLOOKUP(Checklist!$A520,tblTargets[TargetID],tblTargets[DisplayName])</f>
        <v>Smithy - Sword For A Hero Lvl 2</v>
      </c>
      <c r="C520" s="21" t="str">
        <f t="array" ref="C520">_xlfn.XLOOKUP(
 A520,
 tblTargetStatus[TargetID],
 tblTargetStatus[successors],
 ""
)</f>
        <v>Smithy - Sword For A Hero Lvl 3</v>
      </c>
      <c r="D520" s="26" t="str">
        <f t="array" ref="D520">_xlfn.XLOOKUP(
 A520,
 tblTargets[TargetID],
 tblTargets[TargetType],
 ""
)</f>
        <v>TECH</v>
      </c>
      <c r="E520" s="45" t="str">
        <f t="array" ref="E520">_xlfn.XLOOKUP(
 A520,
 tblTargetStatus[TargetID],
 tblTargetStatus[ChainAwareStatus],
 ""
)</f>
        <v>BLOCKED</v>
      </c>
      <c r="F520" s="45"/>
      <c r="G520" s="45" t="b">
        <v>0</v>
      </c>
      <c r="H520" s="45" t="b">
        <f t="array" ref="H520">_xlfn.XLOOKUP(
 A520,
 tblTargetStatus[TargetID],
 tblTargetStatus[TargetFunded],
 ""
)</f>
        <v>0</v>
      </c>
      <c r="I520" s="45" t="str">
        <f t="array" ref="I520">IF(
 D520&lt;&gt;"BUILDING",
 "",
 IF(
  Player!$H$1="Active",
  _xlfn.XLOOKUP(
   A520,
   tblrecommended[ActiveTargetID],
   tblrecommended[Order],
   ""
  ),
  _xlfn.XLOOKUP(
   A520,
   tblrecommended[PassiveTargetID],
   tblrecommended[Order],
   ""
  )
 )
)</f>
        <v/>
      </c>
    </row>
    <row r="521" ht="25.5" hidden="1" customHeight="1">
      <c r="A521" s="26" t="s">
        <v>1832</v>
      </c>
      <c r="B521" s="26" t="str">
        <f t="array" ref="B521">_xlfn.XLOOKUP(Checklist!$A521,tblTargets[TargetID],tblTargets[DisplayName])</f>
        <v>Smithy - Sword For A Hero Lvl 3</v>
      </c>
      <c r="C521" s="21" t="str">
        <f t="array" ref="C521">_xlfn.XLOOKUP(
 A521,
 tblTargetStatus[TargetID],
 tblTargetStatus[successors],
 ""
)</f>
        <v>Smithy - Sword For A Hero Lvl 4</v>
      </c>
      <c r="D521" s="26" t="str">
        <f t="array" ref="D521">_xlfn.XLOOKUP(
 A521,
 tblTargets[TargetID],
 tblTargets[TargetType],
 ""
)</f>
        <v>TECH</v>
      </c>
      <c r="E521" s="45" t="str">
        <f t="array" ref="E521">_xlfn.XLOOKUP(
 A521,
 tblTargetStatus[TargetID],
 tblTargetStatus[ChainAwareStatus],
 ""
)</f>
        <v>BLOCKED</v>
      </c>
      <c r="F521" s="45"/>
      <c r="G521" s="45" t="b">
        <v>0</v>
      </c>
      <c r="H521" s="45" t="b">
        <f t="array" ref="H521">_xlfn.XLOOKUP(
 A521,
 tblTargetStatus[TargetID],
 tblTargetStatus[TargetFunded],
 ""
)</f>
        <v>0</v>
      </c>
      <c r="I521" s="45" t="str">
        <f t="array" ref="I521">IF(
 D521&lt;&gt;"BUILDING",
 "",
 IF(
  Player!$H$1="Active",
  _xlfn.XLOOKUP(
   A521,
   tblrecommended[ActiveTargetID],
   tblrecommended[Order],
   ""
  ),
  _xlfn.XLOOKUP(
   A521,
   tblrecommended[PassiveTargetID],
   tblrecommended[Order],
   ""
  )
 )
)</f>
        <v/>
      </c>
    </row>
    <row r="522" ht="25.5" hidden="1" customHeight="1">
      <c r="A522" s="26" t="s">
        <v>1834</v>
      </c>
      <c r="B522" s="26" t="str">
        <f t="array" ref="B522">_xlfn.XLOOKUP(Checklist!$A522,tblTargets[TargetID],tblTargets[DisplayName])</f>
        <v>Smithy - Sword For A Hero Lvl 4</v>
      </c>
      <c r="C522" s="21" t="str">
        <f t="array" ref="C522">_xlfn.XLOOKUP(
 A522,
 tblTargetStatus[TargetID],
 tblTargetStatus[successors],
 ""
)</f>
        <v>The Ordinary Days of an Adventurer Chapter 1 Accepted, Craft Sword for a Hero Lvl 4, Smithy - Sword For A Hero Lvl 4+, Dragon teeth Finished</v>
      </c>
      <c r="D522" s="26" t="str">
        <f t="array" ref="D522">_xlfn.XLOOKUP(
 A522,
 tblTargets[TargetID],
 tblTargets[TargetType],
 ""
)</f>
        <v>TECH</v>
      </c>
      <c r="E522" s="45" t="str">
        <f t="array" ref="E522">_xlfn.XLOOKUP(
 A522,
 tblTargetStatus[TargetID],
 tblTargetStatus[ChainAwareStatus],
 ""
)</f>
        <v>BLOCKED</v>
      </c>
      <c r="F522" s="45"/>
      <c r="G522" s="45" t="b">
        <v>0</v>
      </c>
      <c r="H522" s="45" t="b">
        <f t="array" ref="H522">_xlfn.XLOOKUP(
 A522,
 tblTargetStatus[TargetID],
 tblTargetStatus[TargetFunded],
 ""
)</f>
        <v>0</v>
      </c>
      <c r="I522" s="45" t="str">
        <f t="array" ref="I522">IF(
 D522&lt;&gt;"BUILDING",
 "",
 IF(
  Player!$H$1="Active",
  _xlfn.XLOOKUP(
   A522,
   tblrecommended[ActiveTargetID],
   tblrecommended[Order],
   ""
  ),
  _xlfn.XLOOKUP(
   A522,
   tblrecommended[PassiveTargetID],
   tblrecommended[Order],
   ""
  )
 )
)</f>
        <v/>
      </c>
    </row>
    <row r="523" ht="25.5" hidden="1" customHeight="1">
      <c r="A523" s="26" t="s">
        <v>1836</v>
      </c>
      <c r="B523" s="26" t="str">
        <f t="array" ref="B523">_xlfn.XLOOKUP(Checklist!$A523,tblTargets[TargetID],tblTargets[DisplayName])</f>
        <v>Smithy - Sword For A Hero Lvl 4+</v>
      </c>
      <c r="C523" s="21" t="str">
        <f t="array" ref="C523">_xlfn.XLOOKUP(
 A523,
 tblTargetStatus[TargetID],
 tblTargetStatus[successors],
 ""
)</f>
        <v>Craft sword 4+</v>
      </c>
      <c r="D523" s="26" t="str">
        <f t="array" ref="D523">_xlfn.XLOOKUP(
 A523,
 tblTargets[TargetID],
 tblTargets[TargetType],
 ""
)</f>
        <v>TECH</v>
      </c>
      <c r="E523" s="45" t="str">
        <f t="array" ref="E523">_xlfn.XLOOKUP(
 A523,
 tblTargetStatus[TargetID],
 tblTargetStatus[ChainAwareStatus],
 ""
)</f>
        <v>BLOCKED</v>
      </c>
      <c r="F523" s="45"/>
      <c r="G523" s="45" t="b">
        <v>0</v>
      </c>
      <c r="H523" s="45" t="b">
        <f t="array" ref="H523">_xlfn.XLOOKUP(
 A523,
 tblTargetStatus[TargetID],
 tblTargetStatus[TargetFunded],
 ""
)</f>
        <v>0</v>
      </c>
      <c r="I523" s="45" t="str">
        <f t="array" ref="I523">IF(
 D523&lt;&gt;"BUILDING",
 "",
 IF(
  Player!$H$1="Active",
  _xlfn.XLOOKUP(
   A523,
   tblrecommended[ActiveTargetID],
   tblrecommended[Order],
   ""
  ),
  _xlfn.XLOOKUP(
   A523,
   tblrecommended[PassiveTargetID],
   tblrecommended[Order],
   ""
  )
 )
)</f>
        <v/>
      </c>
    </row>
    <row r="524" ht="25.5" hidden="1" customHeight="1">
      <c r="A524" s="26" t="s">
        <v>1838</v>
      </c>
      <c r="B524" s="26" t="str">
        <f t="array" ref="B524">_xlfn.XLOOKUP(Checklist!$A524,tblTargets[TargetID],tblTargets[DisplayName])</f>
        <v>Smithy - Throwing Knife</v>
      </c>
      <c r="C524" s="21" t="str">
        <f t="array" ref="C524">_xlfn.XLOOKUP(
 A524,
 tblTargetStatus[TargetID],
 tblTargetStatus[successors],
 ""
)</f>
        <v>Green Potion Finished</v>
      </c>
      <c r="D524" s="26" t="str">
        <f t="array" ref="D524">_xlfn.XLOOKUP(
 A524,
 tblTargets[TargetID],
 tblTargets[TargetType],
 ""
)</f>
        <v>TECH</v>
      </c>
      <c r="E524" s="45" t="str">
        <f t="array" ref="E524">_xlfn.XLOOKUP(
 A524,
 tblTargetStatus[TargetID],
 tblTargetStatus[ChainAwareStatus],
 ""
)</f>
        <v>BLOCKED</v>
      </c>
      <c r="F524" s="45"/>
      <c r="G524" s="45" t="b">
        <v>0</v>
      </c>
      <c r="H524" s="45" t="b">
        <f t="array" ref="H524">_xlfn.XLOOKUP(
 A524,
 tblTargetStatus[TargetID],
 tblTargetStatus[TargetFunded],
 ""
)</f>
        <v>0</v>
      </c>
      <c r="I524" s="45" t="str">
        <f t="array" ref="I524">IF(
 D524&lt;&gt;"BUILDING",
 "",
 IF(
  Player!$H$1="Active",
  _xlfn.XLOOKUP(
   A524,
   tblrecommended[ActiveTargetID],
   tblrecommended[Order],
   ""
  ),
  _xlfn.XLOOKUP(
   A524,
   tblrecommended[PassiveTargetID],
   tblrecommended[Order],
   ""
  )
 )
)</f>
        <v/>
      </c>
    </row>
    <row r="525" ht="25.5" hidden="1" customHeight="1">
      <c r="A525" s="26" t="s">
        <v>1841</v>
      </c>
      <c r="B525" s="26" t="str">
        <f t="array" ref="B525">_xlfn.XLOOKUP(Checklist!$A525,tblTargets[TargetID],tblTargets[DisplayName])</f>
        <v>Smithy - Treasure</v>
      </c>
      <c r="C525" s="21" t="str">
        <f t="array" ref="C525">_xlfn.XLOOKUP(
 A525,
 tblTargetStatus[TargetID],
 tblTargetStatus[successors],
 ""
)</f>
        <v/>
      </c>
      <c r="D525" s="26" t="str">
        <f t="array" ref="D525">_xlfn.XLOOKUP(
 A525,
 tblTargets[TargetID],
 tblTargets[TargetType],
 ""
)</f>
        <v>TECH</v>
      </c>
      <c r="E525" s="45" t="str">
        <f t="array" ref="E525">_xlfn.XLOOKUP(
 A525,
 tblTargetStatus[TargetID],
 tblTargetStatus[ChainAwareStatus],
 ""
)</f>
        <v>BLOCKED</v>
      </c>
      <c r="F525" s="45"/>
      <c r="G525" s="45" t="b">
        <v>0</v>
      </c>
      <c r="H525" s="45" t="b">
        <f t="array" ref="H525">_xlfn.XLOOKUP(
 A525,
 tblTargetStatus[TargetID],
 tblTargetStatus[TargetFunded],
 ""
)</f>
        <v>0</v>
      </c>
      <c r="I525" s="45" t="str">
        <f t="array" ref="I525">IF(
 D525&lt;&gt;"BUILDING",
 "",
 IF(
  Player!$H$1="Active",
  _xlfn.XLOOKUP(
   A525,
   tblrecommended[ActiveTargetID],
   tblrecommended[Order],
   ""
  ),
  _xlfn.XLOOKUP(
   A525,
   tblrecommended[PassiveTargetID],
   tblrecommended[Order],
   ""
  )
 )
)</f>
        <v/>
      </c>
    </row>
    <row r="526" ht="25.5" hidden="1" customHeight="1">
      <c r="A526" s="26" t="s">
        <v>1843</v>
      </c>
      <c r="B526" s="26" t="str">
        <f t="array" ref="B526">_xlfn.XLOOKUP(Checklist!$A526,tblTargets[TargetID],tblTargets[DisplayName])</f>
        <v>Smithy - Weapon Grease</v>
      </c>
      <c r="C526" s="21" t="str">
        <f t="array" ref="C526">_xlfn.XLOOKUP(
 A526,
 tblTargetStatus[TargetID],
 tblTargetStatus[successors],
 ""
)</f>
        <v/>
      </c>
      <c r="D526" s="26" t="str">
        <f t="array" ref="D526">_xlfn.XLOOKUP(
 A526,
 tblTargets[TargetID],
 tblTargets[TargetType],
 ""
)</f>
        <v>TECH</v>
      </c>
      <c r="E526" s="45" t="str">
        <f t="array" ref="E526">_xlfn.XLOOKUP(
 A526,
 tblTargetStatus[TargetID],
 tblTargetStatus[ChainAwareStatus],
 ""
)</f>
        <v>BLOCKED</v>
      </c>
      <c r="F526" s="45"/>
      <c r="G526" s="45" t="b">
        <v>0</v>
      </c>
      <c r="H526" s="45" t="b">
        <f t="array" ref="H526">_xlfn.XLOOKUP(
 A526,
 tblTargetStatus[TargetID],
 tblTargetStatus[TargetFunded],
 ""
)</f>
        <v>0</v>
      </c>
      <c r="I526" s="45" t="str">
        <f t="array" ref="I526">IF(
 D526&lt;&gt;"BUILDING",
 "",
 IF(
  Player!$H$1="Active",
  _xlfn.XLOOKUP(
   A526,
   tblrecommended[ActiveTargetID],
   tblrecommended[Order],
   ""
  ),
  _xlfn.XLOOKUP(
   A526,
   tblrecommended[PassiveTargetID],
   tblrecommended[Order],
   ""
  )
 )
)</f>
        <v/>
      </c>
    </row>
    <row r="527" ht="25.5" hidden="1" customHeight="1">
      <c r="A527" s="26" t="s">
        <v>1845</v>
      </c>
      <c r="B527" s="26" t="str">
        <f t="array" ref="B527">_xlfn.XLOOKUP(Checklist!$A527,tblTargets[TargetID],tblTargets[DisplayName])</f>
        <v>Tailor - Ariadnes Thread</v>
      </c>
      <c r="C527" s="21" t="str">
        <f t="array" ref="C527">_xlfn.XLOOKUP(
 A527,
 tblTargetStatus[TargetID],
 tblTargetStatus[successors],
 ""
)</f>
        <v/>
      </c>
      <c r="D527" s="26" t="str">
        <f t="array" ref="D527">_xlfn.XLOOKUP(
 A527,
 tblTargets[TargetID],
 tblTargets[TargetType],
 ""
)</f>
        <v>TECH</v>
      </c>
      <c r="E527" s="45" t="str">
        <f t="array" ref="E527">_xlfn.XLOOKUP(
 A527,
 tblTargetStatus[TargetID],
 tblTargetStatus[ChainAwareStatus],
 ""
)</f>
        <v>BLOCKED</v>
      </c>
      <c r="F527" s="45"/>
      <c r="G527" s="45" t="b">
        <v>0</v>
      </c>
      <c r="H527" s="45" t="b">
        <f t="array" ref="H527">_xlfn.XLOOKUP(
 A527,
 tblTargetStatus[TargetID],
 tblTargetStatus[TargetFunded],
 ""
)</f>
        <v>0</v>
      </c>
      <c r="I527" s="45" t="str">
        <f t="array" ref="I527">IF(
 D527&lt;&gt;"BUILDING",
 "",
 IF(
  Player!$H$1="Active",
  _xlfn.XLOOKUP(
   A527,
   tblrecommended[ActiveTargetID],
   tblrecommended[Order],
   ""
  ),
  _xlfn.XLOOKUP(
   A527,
   tblrecommended[PassiveTargetID],
   tblrecommended[Order],
   ""
  )
 )
)</f>
        <v/>
      </c>
    </row>
    <row r="528" ht="25.5" hidden="1" customHeight="1">
      <c r="A528" s="26" t="s">
        <v>1847</v>
      </c>
      <c r="B528" s="26" t="str">
        <f t="array" ref="B528">_xlfn.XLOOKUP(Checklist!$A528,tblTargets[TargetID],tblTargets[DisplayName])</f>
        <v>Tailor - Armor For A Hero Lvl 1</v>
      </c>
      <c r="C528" s="21" t="str">
        <f t="array" ref="C528">_xlfn.XLOOKUP(
 A528,
 tblTargetStatus[TargetID],
 tblTargetStatus[successors],
 ""
)</f>
        <v>Tailor - Armor For A Hero Lvl 2, Tailor - Strong Rivets</v>
      </c>
      <c r="D528" s="26" t="str">
        <f t="array" ref="D528">_xlfn.XLOOKUP(
 A528,
 tblTargets[TargetID],
 tblTargets[TargetType],
 ""
)</f>
        <v>TECH</v>
      </c>
      <c r="E528" s="45" t="str">
        <f t="array" ref="E528">_xlfn.XLOOKUP(
 A528,
 tblTargetStatus[TargetID],
 tblTargetStatus[ChainAwareStatus],
 ""
)</f>
        <v>BLOCKED</v>
      </c>
      <c r="F528" s="45"/>
      <c r="G528" s="45" t="b">
        <v>0</v>
      </c>
      <c r="H528" s="45" t="b">
        <f t="array" ref="H528">_xlfn.XLOOKUP(
 A528,
 tblTargetStatus[TargetID],
 tblTargetStatus[TargetFunded],
 ""
)</f>
        <v>0</v>
      </c>
      <c r="I528" s="45" t="str">
        <f t="array" ref="I528">IF(
 D528&lt;&gt;"BUILDING",
 "",
 IF(
  Player!$H$1="Active",
  _xlfn.XLOOKUP(
   A528,
   tblrecommended[ActiveTargetID],
   tblrecommended[Order],
   ""
  ),
  _xlfn.XLOOKUP(
   A528,
   tblrecommended[PassiveTargetID],
   tblrecommended[Order],
   ""
  )
 )
)</f>
        <v/>
      </c>
    </row>
    <row r="529" ht="25.5" hidden="1" customHeight="1">
      <c r="A529" s="26" t="s">
        <v>1850</v>
      </c>
      <c r="B529" s="26" t="str">
        <f t="array" ref="B529">_xlfn.XLOOKUP(Checklist!$A529,tblTargets[TargetID],tblTargets[DisplayName])</f>
        <v>Tailor - Armor For A Hero Lvl 2</v>
      </c>
      <c r="C529" s="21" t="str">
        <f t="array" ref="C529">_xlfn.XLOOKUP(
 A529,
 tblTargetStatus[TargetID],
 tblTargetStatus[successors],
 ""
)</f>
        <v>Tailor - Armor For A Hero Lvl 3</v>
      </c>
      <c r="D529" s="26" t="str">
        <f t="array" ref="D529">_xlfn.XLOOKUP(
 A529,
 tblTargets[TargetID],
 tblTargets[TargetType],
 ""
)</f>
        <v>TECH</v>
      </c>
      <c r="E529" s="45" t="str">
        <f t="array" ref="E529">_xlfn.XLOOKUP(
 A529,
 tblTargetStatus[TargetID],
 tblTargetStatus[ChainAwareStatus],
 ""
)</f>
        <v>BLOCKED</v>
      </c>
      <c r="F529" s="45"/>
      <c r="G529" s="45" t="b">
        <v>0</v>
      </c>
      <c r="H529" s="45" t="b">
        <f t="array" ref="H529">_xlfn.XLOOKUP(
 A529,
 tblTargetStatus[TargetID],
 tblTargetStatus[TargetFunded],
 ""
)</f>
        <v>0</v>
      </c>
      <c r="I529" s="45" t="str">
        <f t="array" ref="I529">IF(
 D529&lt;&gt;"BUILDING",
 "",
 IF(
  Player!$H$1="Active",
  _xlfn.XLOOKUP(
   A529,
   tblrecommended[ActiveTargetID],
   tblrecommended[Order],
   ""
  ),
  _xlfn.XLOOKUP(
   A529,
   tblrecommended[PassiveTargetID],
   tblrecommended[Order],
   ""
  )
 )
)</f>
        <v/>
      </c>
    </row>
    <row r="530" ht="25.5" hidden="1" customHeight="1">
      <c r="A530" s="26" t="s">
        <v>1852</v>
      </c>
      <c r="B530" s="26" t="str">
        <f t="array" ref="B530">_xlfn.XLOOKUP(Checklist!$A530,tblTargets[TargetID],tblTargets[DisplayName])</f>
        <v>Tailor - Armor For A Hero Lvl 3</v>
      </c>
      <c r="C530" s="21" t="str">
        <f t="array" ref="C530">_xlfn.XLOOKUP(
 A530,
 tblTargetStatus[TargetID],
 tblTargetStatus[successors],
 ""
)</f>
        <v/>
      </c>
      <c r="D530" s="26" t="str">
        <f t="array" ref="D530">_xlfn.XLOOKUP(
 A530,
 tblTargets[TargetID],
 tblTargets[TargetType],
 ""
)</f>
        <v>TECH</v>
      </c>
      <c r="E530" s="45" t="str">
        <f t="array" ref="E530">_xlfn.XLOOKUP(
 A530,
 tblTargetStatus[TargetID],
 tblTargetStatus[ChainAwareStatus],
 ""
)</f>
        <v>BLOCKED</v>
      </c>
      <c r="F530" s="45"/>
      <c r="G530" s="45" t="b">
        <v>0</v>
      </c>
      <c r="H530" s="45" t="b">
        <f t="array" ref="H530">_xlfn.XLOOKUP(
 A530,
 tblTargetStatus[TargetID],
 tblTargetStatus[TargetFunded],
 ""
)</f>
        <v>0</v>
      </c>
      <c r="I530" s="45" t="str">
        <f t="array" ref="I530">IF(
 D530&lt;&gt;"BUILDING",
 "",
 IF(
  Player!$H$1="Active",
  _xlfn.XLOOKUP(
   A530,
   tblrecommended[ActiveTargetID],
   tblrecommended[Order],
   ""
  ),
  _xlfn.XLOOKUP(
   A530,
   tblrecommended[PassiveTargetID],
   tblrecommended[Order],
   ""
  )
 )
)</f>
        <v/>
      </c>
    </row>
    <row r="531" ht="25.5" hidden="1" customHeight="1">
      <c r="A531" s="26" t="s">
        <v>1854</v>
      </c>
      <c r="B531" s="26" t="str">
        <f t="array" ref="B531">_xlfn.XLOOKUP(Checklist!$A531,tblTargets[TargetID],tblTargets[DisplayName])</f>
        <v>Tailor - Armor For A Hero Lvl 4</v>
      </c>
      <c r="C531" s="21" t="str">
        <f t="array" ref="C531">_xlfn.XLOOKUP(
 A531,
 tblTargetStatus[TargetID],
 tblTargetStatus[successors],
 ""
)</f>
        <v>The Ordinary Days of an Adventurer Chapter 1 Accepted, Craft Armor 4, Tailor - Armor For A Hero Lvl 4+, Once Upon a Forest Chapter 9 Finished</v>
      </c>
      <c r="D531" s="26" t="str">
        <f t="array" ref="D531">_xlfn.XLOOKUP(
 A531,
 tblTargets[TargetID],
 tblTargets[TargetType],
 ""
)</f>
        <v>TECH</v>
      </c>
      <c r="E531" s="45" t="str">
        <f t="array" ref="E531">_xlfn.XLOOKUP(
 A531,
 tblTargetStatus[TargetID],
 tblTargetStatus[ChainAwareStatus],
 ""
)</f>
        <v>BLOCKED</v>
      </c>
      <c r="F531" s="45"/>
      <c r="G531" s="45" t="b">
        <v>0</v>
      </c>
      <c r="H531" s="45" t="b">
        <f t="array" ref="H531">_xlfn.XLOOKUP(
 A531,
 tblTargetStatus[TargetID],
 tblTargetStatus[TargetFunded],
 ""
)</f>
        <v>0</v>
      </c>
      <c r="I531" s="45" t="str">
        <f t="array" ref="I531">IF(
 D531&lt;&gt;"BUILDING",
 "",
 IF(
  Player!$H$1="Active",
  _xlfn.XLOOKUP(
   A531,
   tblrecommended[ActiveTargetID],
   tblrecommended[Order],
   ""
  ),
  _xlfn.XLOOKUP(
   A531,
   tblrecommended[PassiveTargetID],
   tblrecommended[Order],
   ""
  )
 )
)</f>
        <v/>
      </c>
    </row>
    <row r="532" ht="25.5" hidden="1" customHeight="1">
      <c r="A532" s="26" t="s">
        <v>1856</v>
      </c>
      <c r="B532" s="26" t="str">
        <f t="array" ref="B532">_xlfn.XLOOKUP(Checklist!$A532,tblTargets[TargetID],tblTargets[DisplayName])</f>
        <v>Tailor - Armor For A Hero Lvl 4+</v>
      </c>
      <c r="C532" s="21" t="str">
        <f t="array" ref="C532">_xlfn.XLOOKUP(
 A532,
 tblTargetStatus[TargetID],
 tblTargetStatus[successors],
 ""
)</f>
        <v>Craft Armor 4+</v>
      </c>
      <c r="D532" s="26" t="str">
        <f t="array" ref="D532">_xlfn.XLOOKUP(
 A532,
 tblTargets[TargetID],
 tblTargets[TargetType],
 ""
)</f>
        <v>TECH</v>
      </c>
      <c r="E532" s="45" t="str">
        <f t="array" ref="E532">_xlfn.XLOOKUP(
 A532,
 tblTargetStatus[TargetID],
 tblTargetStatus[ChainAwareStatus],
 ""
)</f>
        <v>BLOCKED</v>
      </c>
      <c r="F532" s="45"/>
      <c r="G532" s="45" t="b">
        <v>0</v>
      </c>
      <c r="H532" s="45" t="b">
        <f t="array" ref="H532">_xlfn.XLOOKUP(
 A532,
 tblTargetStatus[TargetID],
 tblTargetStatus[TargetFunded],
 ""
)</f>
        <v>0</v>
      </c>
      <c r="I532" s="45" t="str">
        <f t="array" ref="I532">IF(
 D532&lt;&gt;"BUILDING",
 "",
 IF(
  Player!$H$1="Active",
  _xlfn.XLOOKUP(
   A532,
   tblrecommended[ActiveTargetID],
   tblrecommended[Order],
   ""
  ),
  _xlfn.XLOOKUP(
   A532,
   tblrecommended[PassiveTargetID],
   tblrecommended[Order],
   ""
  )
 )
)</f>
        <v/>
      </c>
    </row>
    <row r="533" ht="25.5" hidden="1" customHeight="1">
      <c r="A533" s="26" t="s">
        <v>1858</v>
      </c>
      <c r="B533" s="26" t="str">
        <f t="array" ref="B533">_xlfn.XLOOKUP(Checklist!$A533,tblTargets[TargetID],tblTargets[DisplayName])</f>
        <v>Tailor - Bedroll</v>
      </c>
      <c r="C533" s="21" t="str">
        <f t="array" ref="C533">_xlfn.XLOOKUP(
 A533,
 tblTargetStatus[TargetID],
 tblTargetStatus[successors],
 ""
)</f>
        <v/>
      </c>
      <c r="D533" s="26" t="str">
        <f t="array" ref="D533">_xlfn.XLOOKUP(
 A533,
 tblTargets[TargetID],
 tblTargets[TargetType],
 ""
)</f>
        <v>TECH</v>
      </c>
      <c r="E533" s="45" t="str">
        <f t="array" ref="E533">_xlfn.XLOOKUP(
 A533,
 tblTargetStatus[TargetID],
 tblTargetStatus[ChainAwareStatus],
 ""
)</f>
        <v>BLOCKED</v>
      </c>
      <c r="F533" s="45"/>
      <c r="G533" s="45" t="b">
        <v>0</v>
      </c>
      <c r="H533" s="45" t="b">
        <f t="array" ref="H533">_xlfn.XLOOKUP(
 A533,
 tblTargetStatus[TargetID],
 tblTargetStatus[TargetFunded],
 ""
)</f>
        <v>0</v>
      </c>
      <c r="I533" s="45" t="str">
        <f t="array" ref="I533">IF(
 D533&lt;&gt;"BUILDING",
 "",
 IF(
  Player!$H$1="Active",
  _xlfn.XLOOKUP(
   A533,
   tblrecommended[ActiveTargetID],
   tblrecommended[Order],
   ""
  ),
  _xlfn.XLOOKUP(
   A533,
   tblrecommended[PassiveTargetID],
   tblrecommended[Order],
   ""
  )
 )
)</f>
        <v/>
      </c>
    </row>
    <row r="534" ht="25.5" hidden="1" customHeight="1">
      <c r="A534" s="26" t="s">
        <v>1861</v>
      </c>
      <c r="B534" s="26" t="str">
        <f t="array" ref="B534">_xlfn.XLOOKUP(Checklist!$A534,tblTargets[TargetID],tblTargets[DisplayName])</f>
        <v>Tailor - Colored Threads</v>
      </c>
      <c r="C534" s="21" t="str">
        <f t="array" ref="C534">_xlfn.XLOOKUP(
 A534,
 tblTargetStatus[TargetID],
 tblTargetStatus[successors],
 ""
)</f>
        <v/>
      </c>
      <c r="D534" s="26" t="str">
        <f t="array" ref="D534">_xlfn.XLOOKUP(
 A534,
 tblTargets[TargetID],
 tblTargets[TargetType],
 ""
)</f>
        <v>TECH</v>
      </c>
      <c r="E534" s="45" t="str">
        <f t="array" ref="E534">_xlfn.XLOOKUP(
 A534,
 tblTargetStatus[TargetID],
 tblTargetStatus[ChainAwareStatus],
 ""
)</f>
        <v>BLOCKED</v>
      </c>
      <c r="F534" s="45"/>
      <c r="G534" s="45" t="b">
        <v>0</v>
      </c>
      <c r="H534" s="45" t="b">
        <f t="array" ref="H534">_xlfn.XLOOKUP(
 A534,
 tblTargetStatus[TargetID],
 tblTargetStatus[TargetFunded],
 ""
)</f>
        <v>0</v>
      </c>
      <c r="I534" s="45" t="str">
        <f t="array" ref="I534">IF(
 D534&lt;&gt;"BUILDING",
 "",
 IF(
  Player!$H$1="Active",
  _xlfn.XLOOKUP(
   A534,
   tblrecommended[ActiveTargetID],
   tblrecommended[Order],
   ""
  ),
  _xlfn.XLOOKUP(
   A534,
   tblrecommended[PassiveTargetID],
   tblrecommended[Order],
   ""
  )
 )
)</f>
        <v/>
      </c>
    </row>
    <row r="535" ht="25.5" hidden="1" customHeight="1">
      <c r="A535" s="26" t="s">
        <v>1863</v>
      </c>
      <c r="B535" s="26" t="str">
        <f t="array" ref="B535">_xlfn.XLOOKUP(Checklist!$A535,tblTargets[TargetID],tblTargets[DisplayName])</f>
        <v>Tailor - Salamander Velour</v>
      </c>
      <c r="C535" s="21" t="str">
        <f t="array" ref="C535">_xlfn.XLOOKUP(
 A535,
 tblTargetStatus[TargetID],
 tblTargetStatus[successors],
 ""
)</f>
        <v>Tailor - Armor For A Hero Lvl 4</v>
      </c>
      <c r="D535" s="26" t="str">
        <f t="array" ref="D535">_xlfn.XLOOKUP(
 A535,
 tblTargets[TargetID],
 tblTargets[TargetType],
 ""
)</f>
        <v>TECH</v>
      </c>
      <c r="E535" s="45" t="str">
        <f t="array" ref="E535">_xlfn.XLOOKUP(
 A535,
 tblTargetStatus[TargetID],
 tblTargetStatus[ChainAwareStatus],
 ""
)</f>
        <v>BLOCKED</v>
      </c>
      <c r="F535" s="45"/>
      <c r="G535" s="45" t="b">
        <v>0</v>
      </c>
      <c r="H535" s="45" t="b">
        <f t="array" ref="H535">_xlfn.XLOOKUP(
 A535,
 tblTargetStatus[TargetID],
 tblTargetStatus[TargetFunded],
 ""
)</f>
        <v>0</v>
      </c>
      <c r="I535" s="45" t="str">
        <f t="array" ref="I535">IF(
 D535&lt;&gt;"BUILDING",
 "",
 IF(
  Player!$H$1="Active",
  _xlfn.XLOOKUP(
   A535,
   tblrecommended[ActiveTargetID],
   tblrecommended[Order],
   ""
  ),
  _xlfn.XLOOKUP(
   A535,
   tblrecommended[PassiveTargetID],
   tblrecommended[Order],
   ""
  )
 )
)</f>
        <v/>
      </c>
    </row>
    <row r="536" ht="25.5" hidden="1" customHeight="1">
      <c r="A536" s="26" t="s">
        <v>1865</v>
      </c>
      <c r="B536" s="26" t="str">
        <f t="array" ref="B536">_xlfn.XLOOKUP(Checklist!$A536,tblTargets[TargetID],tblTargets[DisplayName])</f>
        <v>Tailor - Strong Rivets</v>
      </c>
      <c r="C536" s="21" t="str">
        <f t="array" ref="C536">_xlfn.XLOOKUP(
 A536,
 tblTargetStatus[TargetID],
 tblTargetStatus[successors],
 ""
)</f>
        <v/>
      </c>
      <c r="D536" s="26" t="str">
        <f t="array" ref="D536">_xlfn.XLOOKUP(
 A536,
 tblTargets[TargetID],
 tblTargets[TargetType],
 ""
)</f>
        <v>TECH</v>
      </c>
      <c r="E536" s="45" t="str">
        <f t="array" ref="E536">_xlfn.XLOOKUP(
 A536,
 tblTargetStatus[TargetID],
 tblTargetStatus[ChainAwareStatus],
 ""
)</f>
        <v>BLOCKED</v>
      </c>
      <c r="F536" s="45"/>
      <c r="G536" s="45" t="b">
        <v>0</v>
      </c>
      <c r="H536" s="45" t="b">
        <f t="array" ref="H536">_xlfn.XLOOKUP(
 A536,
 tblTargetStatus[TargetID],
 tblTargetStatus[TargetFunded],
 ""
)</f>
        <v>0</v>
      </c>
      <c r="I536" s="45" t="str">
        <f t="array" ref="I536">IF(
 D536&lt;&gt;"BUILDING",
 "",
 IF(
  Player!$H$1="Active",
  _xlfn.XLOOKUP(
   A536,
   tblrecommended[ActiveTargetID],
   tblrecommended[Order],
   ""
  ),
  _xlfn.XLOOKUP(
   A536,
   tblrecommended[PassiveTargetID],
   tblrecommended[Order],
   ""
  )
 )
)</f>
        <v/>
      </c>
    </row>
    <row r="537" ht="25.5" hidden="1" customHeight="1">
      <c r="A537" s="26" t="s">
        <v>1867</v>
      </c>
      <c r="B537" s="26" t="str">
        <f t="array" ref="B537">_xlfn.XLOOKUP(Checklist!$A537,tblTargets[TargetID],tblTargets[DisplayName])</f>
        <v>Tailor - Strong Stitch</v>
      </c>
      <c r="C537" s="21" t="str">
        <f t="array" ref="C537">_xlfn.XLOOKUP(
 A537,
 tblTargetStatus[TargetID],
 tblTargetStatus[successors],
 ""
)</f>
        <v/>
      </c>
      <c r="D537" s="26" t="str">
        <f t="array" ref="D537">_xlfn.XLOOKUP(
 A537,
 tblTargets[TargetID],
 tblTargets[TargetType],
 ""
)</f>
        <v>TECH</v>
      </c>
      <c r="E537" s="45" t="str">
        <f t="array" ref="E537">_xlfn.XLOOKUP(
 A537,
 tblTargetStatus[TargetID],
 tblTargetStatus[ChainAwareStatus],
 ""
)</f>
        <v>BLOCKED</v>
      </c>
      <c r="F537" s="45">
        <v>999.0</v>
      </c>
      <c r="G537" s="45" t="b">
        <v>0</v>
      </c>
      <c r="H537" s="45" t="b">
        <f t="array" ref="H537">_xlfn.XLOOKUP(
 A537,
 tblTargetStatus[TargetID],
 tblTargetStatus[TargetFunded],
 ""
)</f>
        <v>0</v>
      </c>
      <c r="I537" s="45" t="str">
        <f t="array" ref="I537">IF(
 D537&lt;&gt;"BUILDING",
 "",
 IF(
  Player!$H$1="Active",
  _xlfn.XLOOKUP(
   A537,
   tblrecommended[ActiveTargetID],
   tblrecommended[Order],
   ""
  ),
  _xlfn.XLOOKUP(
   A537,
   tblrecommended[PassiveTargetID],
   tblrecommended[Order],
   ""
  )
 )
)</f>
        <v/>
      </c>
    </row>
    <row r="538" ht="25.5" hidden="1" customHeight="1">
      <c r="A538" s="26" t="s">
        <v>1870</v>
      </c>
      <c r="B538" s="26" t="str">
        <f t="array" ref="B538">_xlfn.XLOOKUP(Checklist!$A538,tblTargets[TargetID],tblTargets[DisplayName])</f>
        <v>Train - Automatic Lubricator</v>
      </c>
      <c r="C538" s="21" t="str">
        <f t="array" ref="C538">_xlfn.XLOOKUP(
 A538,
 tblTargetStatus[TargetID],
 tblTargetStatus[successors],
 ""
)</f>
        <v/>
      </c>
      <c r="D538" s="26" t="str">
        <f t="array" ref="D538">_xlfn.XLOOKUP(
 A538,
 tblTargets[TargetID],
 tblTargets[TargetType],
 ""
)</f>
        <v>TECH</v>
      </c>
      <c r="E538" s="45" t="str">
        <f t="array" ref="E538">_xlfn.XLOOKUP(
 A538,
 tblTargetStatus[TargetID],
 tblTargetStatus[ChainAwareStatus],
 ""
)</f>
        <v>BLOCKED</v>
      </c>
      <c r="F538" s="45"/>
      <c r="G538" s="45" t="b">
        <v>0</v>
      </c>
      <c r="H538" s="45" t="b">
        <f t="array" ref="H538">_xlfn.XLOOKUP(
 A538,
 tblTargetStatus[TargetID],
 tblTargetStatus[TargetFunded],
 ""
)</f>
        <v>0</v>
      </c>
      <c r="I538" s="45" t="str">
        <f t="array" ref="I538">IF(
 D538&lt;&gt;"BUILDING",
 "",
 IF(
  Player!$H$1="Active",
  _xlfn.XLOOKUP(
   A538,
   tblrecommended[ActiveTargetID],
   tblrecommended[Order],
   ""
  ),
  _xlfn.XLOOKUP(
   A538,
   tblrecommended[PassiveTargetID],
   tblrecommended[Order],
   ""
  )
 )
)</f>
        <v/>
      </c>
    </row>
    <row r="539" ht="25.5" hidden="1" customHeight="1">
      <c r="A539" s="26" t="s">
        <v>1872</v>
      </c>
      <c r="B539" s="26" t="str">
        <f t="array" ref="B539">_xlfn.XLOOKUP(Checklist!$A539,tblTargets[TargetID],tblTargets[DisplayName])</f>
        <v>Train - Compound Engine</v>
      </c>
      <c r="C539" s="21" t="str">
        <f t="array" ref="C539">_xlfn.XLOOKUP(
 A539,
 tblTargetStatus[TargetID],
 tblTargetStatus[successors],
 ""
)</f>
        <v/>
      </c>
      <c r="D539" s="26" t="str">
        <f t="array" ref="D539">_xlfn.XLOOKUP(
 A539,
 tblTargets[TargetID],
 tblTargets[TargetType],
 ""
)</f>
        <v>TECH</v>
      </c>
      <c r="E539" s="45" t="str">
        <f t="array" ref="E539">_xlfn.XLOOKUP(
 A539,
 tblTargetStatus[TargetID],
 tblTargetStatus[ChainAwareStatus],
 ""
)</f>
        <v>BLOCKED</v>
      </c>
      <c r="F539" s="45"/>
      <c r="G539" s="45" t="b">
        <v>0</v>
      </c>
      <c r="H539" s="45" t="b">
        <f t="array" ref="H539">_xlfn.XLOOKUP(
 A539,
 tblTargetStatus[TargetID],
 tblTargetStatus[TargetFunded],
 ""
)</f>
        <v>0</v>
      </c>
      <c r="I539" s="45" t="str">
        <f t="array" ref="I539">IF(
 D539&lt;&gt;"BUILDING",
 "",
 IF(
  Player!$H$1="Active",
  _xlfn.XLOOKUP(
   A539,
   tblrecommended[ActiveTargetID],
   tblrecommended[Order],
   ""
  ),
  _xlfn.XLOOKUP(
   A539,
   tblrecommended[PassiveTargetID],
   tblrecommended[Order],
   ""
  )
 )
)</f>
        <v/>
      </c>
    </row>
    <row r="540" ht="25.5" hidden="1" customHeight="1">
      <c r="A540" s="26" t="s">
        <v>1874</v>
      </c>
      <c r="B540" s="26" t="str">
        <f t="array" ref="B540">_xlfn.XLOOKUP(Checklist!$A540,tblTargets[TargetID],tblTargets[DisplayName])</f>
        <v>Train - Onboard Computer</v>
      </c>
      <c r="C540" s="21" t="str">
        <f t="array" ref="C540">_xlfn.XLOOKUP(
 A540,
 tblTargetStatus[TargetID],
 tblTargetStatus[successors],
 ""
)</f>
        <v/>
      </c>
      <c r="D540" s="26" t="str">
        <f t="array" ref="D540">_xlfn.XLOOKUP(
 A540,
 tblTargets[TargetID],
 tblTargets[TargetType],
 ""
)</f>
        <v>TECH</v>
      </c>
      <c r="E540" s="45" t="str">
        <f t="array" ref="E540">_xlfn.XLOOKUP(
 A540,
 tblTargetStatus[TargetID],
 tblTargetStatus[ChainAwareStatus],
 ""
)</f>
        <v>BLOCKED</v>
      </c>
      <c r="F540" s="45"/>
      <c r="G540" s="45" t="b">
        <v>0</v>
      </c>
      <c r="H540" s="45" t="b">
        <f t="array" ref="H540">_xlfn.XLOOKUP(
 A540,
 tblTargetStatus[TargetID],
 tblTargetStatus[TargetFunded],
 ""
)</f>
        <v>0</v>
      </c>
      <c r="I540" s="45" t="str">
        <f t="array" ref="I540">IF(
 D540&lt;&gt;"BUILDING",
 "",
 IF(
  Player!$H$1="Active",
  _xlfn.XLOOKUP(
   A540,
   tblrecommended[ActiveTargetID],
   tblrecommended[Order],
   ""
  ),
  _xlfn.XLOOKUP(
   A540,
   tblrecommended[PassiveTargetID],
   tblrecommended[Order],
   ""
  )
 )
)</f>
        <v/>
      </c>
    </row>
    <row r="541" ht="25.5" hidden="1" customHeight="1">
      <c r="A541" s="26" t="s">
        <v>1877</v>
      </c>
      <c r="B541" s="26" t="str">
        <f t="array" ref="B541">_xlfn.XLOOKUP(Checklist!$A541,tblTargets[TargetID],tblTargets[DisplayName])</f>
        <v>Train - Superheater</v>
      </c>
      <c r="C541" s="21" t="str">
        <f t="array" ref="C541">_xlfn.XLOOKUP(
 A541,
 tblTargetStatus[TargetID],
 tblTargetStatus[successors],
 ""
)</f>
        <v/>
      </c>
      <c r="D541" s="26" t="str">
        <f t="array" ref="D541">_xlfn.XLOOKUP(
 A541,
 tblTargets[TargetID],
 tblTargets[TargetType],
 ""
)</f>
        <v>TECH</v>
      </c>
      <c r="E541" s="45" t="str">
        <f t="array" ref="E541">_xlfn.XLOOKUP(
 A541,
 tblTargetStatus[TargetID],
 tblTargetStatus[ChainAwareStatus],
 ""
)</f>
        <v>BLOCKED</v>
      </c>
      <c r="F541" s="45"/>
      <c r="G541" s="45" t="b">
        <v>0</v>
      </c>
      <c r="H541" s="45" t="b">
        <f t="array" ref="H541">_xlfn.XLOOKUP(
 A541,
 tblTargetStatus[TargetID],
 tblTargetStatus[TargetFunded],
 ""
)</f>
        <v>0</v>
      </c>
      <c r="I541" s="45" t="str">
        <f t="array" ref="I541">IF(
 D541&lt;&gt;"BUILDING",
 "",
 IF(
  Player!$H$1="Active",
  _xlfn.XLOOKUP(
   A541,
   tblrecommended[ActiveTargetID],
   tblrecommended[Order],
   ""
  ),
  _xlfn.XLOOKUP(
   A541,
   tblrecommended[PassiveTargetID],
   tblrecommended[Order],
   ""
  )
 )
)</f>
        <v/>
      </c>
    </row>
    <row r="542" ht="25.5" hidden="1" customHeight="1">
      <c r="A542" s="26" t="s">
        <v>1879</v>
      </c>
      <c r="B542" s="26" t="str">
        <f t="array" ref="B542">_xlfn.XLOOKUP(Checklist!$A542,tblTargets[TargetID],tblTargets[DisplayName])</f>
        <v>Train - Titanium Components</v>
      </c>
      <c r="C542" s="21" t="str">
        <f t="array" ref="C542">_xlfn.XLOOKUP(
 A542,
 tblTargetStatus[TargetID],
 tblTargetStatus[successors],
 ""
)</f>
        <v/>
      </c>
      <c r="D542" s="26" t="str">
        <f t="array" ref="D542">_xlfn.XLOOKUP(
 A542,
 tblTargets[TargetID],
 tblTargets[TargetType],
 ""
)</f>
        <v>TECH</v>
      </c>
      <c r="E542" s="45" t="str">
        <f t="array" ref="E542">_xlfn.XLOOKUP(
 A542,
 tblTargetStatus[TargetID],
 tblTargetStatus[ChainAwareStatus],
 ""
)</f>
        <v>BLOCKED</v>
      </c>
      <c r="F542" s="45"/>
      <c r="G542" s="45" t="b">
        <v>0</v>
      </c>
      <c r="H542" s="45" t="b">
        <f t="array" ref="H542">_xlfn.XLOOKUP(
 A542,
 tblTargetStatus[TargetID],
 tblTargetStatus[TargetFunded],
 ""
)</f>
        <v>0</v>
      </c>
      <c r="I542" s="45" t="str">
        <f t="array" ref="I542">IF(
 D542&lt;&gt;"BUILDING",
 "",
 IF(
  Player!$H$1="Active",
  _xlfn.XLOOKUP(
   A542,
   tblrecommended[ActiveTargetID],
   tblrecommended[Order],
   ""
  ),
  _xlfn.XLOOKUP(
   A542,
   tblrecommended[PassiveTargetID],
   tblrecommended[Order],
   ""
  )
 )
)</f>
        <v/>
      </c>
    </row>
    <row r="543" ht="25.5" hidden="1" customHeight="1">
      <c r="A543" s="26" t="s">
        <v>1881</v>
      </c>
      <c r="B543" s="26" t="str">
        <f t="array" ref="B543">_xlfn.XLOOKUP(Checklist!$A543,tblTargets[TargetID],tblTargets[DisplayName])</f>
        <v>Warehouse - Stackable Racks Lvl 1</v>
      </c>
      <c r="C543" s="21" t="str">
        <f t="array" ref="C543">_xlfn.XLOOKUP(
 A543,
 tblTargetStatus[TargetID],
 tblTargetStatus[successors],
 ""
)</f>
        <v>Warehouse - Stackable Racks Lvl 2</v>
      </c>
      <c r="D543" s="26" t="str">
        <f t="array" ref="D543">_xlfn.XLOOKUP(
 A543,
 tblTargets[TargetID],
 tblTargets[TargetType],
 ""
)</f>
        <v>TECH</v>
      </c>
      <c r="E543" s="45" t="str">
        <f t="array" ref="E543">_xlfn.XLOOKUP(
 A543,
 tblTargetStatus[TargetID],
 tblTargetStatus[ChainAwareStatus],
 ""
)</f>
        <v>BLOCKED</v>
      </c>
      <c r="F543" s="45"/>
      <c r="G543" s="45" t="b">
        <v>0</v>
      </c>
      <c r="H543" s="45" t="b">
        <f t="array" ref="H543">_xlfn.XLOOKUP(
 A543,
 tblTargetStatus[TargetID],
 tblTargetStatus[TargetFunded],
 ""
)</f>
        <v>0</v>
      </c>
      <c r="I543" s="45" t="str">
        <f t="array" ref="I543">IF(
 D543&lt;&gt;"BUILDING",
 "",
 IF(
  Player!$H$1="Active",
  _xlfn.XLOOKUP(
   A543,
   tblrecommended[ActiveTargetID],
   tblrecommended[Order],
   ""
  ),
  _xlfn.XLOOKUP(
   A543,
   tblrecommended[PassiveTargetID],
   tblrecommended[Order],
   ""
  )
 )
)</f>
        <v/>
      </c>
    </row>
    <row r="544" ht="25.5" hidden="1" customHeight="1">
      <c r="A544" s="26" t="s">
        <v>1883</v>
      </c>
      <c r="B544" s="26" t="str">
        <f t="array" ref="B544">_xlfn.XLOOKUP(Checklist!$A544,tblTargets[TargetID],tblTargets[DisplayName])</f>
        <v>Warehouse - Stackable Racks Lvl 2</v>
      </c>
      <c r="C544" s="21" t="str">
        <f t="array" ref="C544">_xlfn.XLOOKUP(
 A544,
 tblTargetStatus[TargetID],
 tblTargetStatus[successors],
 ""
)</f>
        <v>Warehouse - Stackable Racks Lvl 3</v>
      </c>
      <c r="D544" s="26" t="str">
        <f t="array" ref="D544">_xlfn.XLOOKUP(
 A544,
 tblTargets[TargetID],
 tblTargets[TargetType],
 ""
)</f>
        <v>TECH</v>
      </c>
      <c r="E544" s="45" t="str">
        <f t="array" ref="E544">_xlfn.XLOOKUP(
 A544,
 tblTargetStatus[TargetID],
 tblTargetStatus[ChainAwareStatus],
 ""
)</f>
        <v>BLOCKED</v>
      </c>
      <c r="F544" s="45"/>
      <c r="G544" s="45" t="b">
        <v>0</v>
      </c>
      <c r="H544" s="45" t="b">
        <f t="array" ref="H544">_xlfn.XLOOKUP(
 A544,
 tblTargetStatus[TargetID],
 tblTargetStatus[TargetFunded],
 ""
)</f>
        <v>0</v>
      </c>
      <c r="I544" s="45" t="str">
        <f t="array" ref="I544">IF(
 D544&lt;&gt;"BUILDING",
 "",
 IF(
  Player!$H$1="Active",
  _xlfn.XLOOKUP(
   A544,
   tblrecommended[ActiveTargetID],
   tblrecommended[Order],
   ""
  ),
  _xlfn.XLOOKUP(
   A544,
   tblrecommended[PassiveTargetID],
   tblrecommended[Order],
   ""
  )
 )
)</f>
        <v/>
      </c>
    </row>
    <row r="545" ht="25.5" hidden="1" customHeight="1">
      <c r="A545" s="26" t="s">
        <v>1885</v>
      </c>
      <c r="B545" s="26" t="str">
        <f t="array" ref="B545">_xlfn.XLOOKUP(Checklist!$A545,tblTargets[TargetID],tblTargets[DisplayName])</f>
        <v>Warehouse - Stackable Racks Lvl 3</v>
      </c>
      <c r="C545" s="21" t="str">
        <f t="array" ref="C545">_xlfn.XLOOKUP(
 A545,
 tblTargetStatus[TargetID],
 tblTargetStatus[successors],
 ""
)</f>
        <v/>
      </c>
      <c r="D545" s="26" t="str">
        <f t="array" ref="D545">_xlfn.XLOOKUP(
 A545,
 tblTargets[TargetID],
 tblTargets[TargetType],
 ""
)</f>
        <v>TECH</v>
      </c>
      <c r="E545" s="45" t="str">
        <f t="array" ref="E545">_xlfn.XLOOKUP(
 A545,
 tblTargetStatus[TargetID],
 tblTargetStatus[ChainAwareStatus],
 ""
)</f>
        <v>BLOCKED</v>
      </c>
      <c r="F545" s="45"/>
      <c r="G545" s="45" t="b">
        <v>0</v>
      </c>
      <c r="H545" s="45" t="b">
        <f t="array" ref="H545">_xlfn.XLOOKUP(
 A545,
 tblTargetStatus[TargetID],
 tblTargetStatus[TargetFunded],
 ""
)</f>
        <v>0</v>
      </c>
      <c r="I545" s="45" t="str">
        <f t="array" ref="I545">IF(
 D545&lt;&gt;"BUILDING",
 "",
 IF(
  Player!$H$1="Active",
  _xlfn.XLOOKUP(
   A545,
   tblrecommended[ActiveTargetID],
   tblrecommended[Order],
   ""
  ),
  _xlfn.XLOOKUP(
   A545,
   tblrecommended[PassiveTargetID],
   tblrecommended[Order],
   ""
  )
 )
)</f>
        <v/>
      </c>
    </row>
    <row r="546" ht="25.5" hidden="1" customHeight="1">
      <c r="A546" s="26" t="s">
        <v>1888</v>
      </c>
      <c r="B546" s="26" t="str">
        <f t="array" ref="B546">_xlfn.XLOOKUP(Checklist!$A546,tblTargets[TargetID],tblTargets[DisplayName])</f>
        <v>Windmill -  Bone Meal</v>
      </c>
      <c r="C546" s="21" t="str">
        <f t="array" ref="C546">_xlfn.XLOOKUP(
 A546,
 tblTargetStatus[TargetID],
 tblTargetStatus[successors],
 ""
)</f>
        <v/>
      </c>
      <c r="D546" s="26" t="str">
        <f t="array" ref="D546">_xlfn.XLOOKUP(
 A546,
 tblTargets[TargetID],
 tblTargets[TargetType],
 ""
)</f>
        <v>TECH</v>
      </c>
      <c r="E546" s="45" t="str">
        <f t="array" ref="E546">_xlfn.XLOOKUP(
 A546,
 tblTargetStatus[TargetID],
 tblTargetStatus[ChainAwareStatus],
 ""
)</f>
        <v>BLOCKED</v>
      </c>
      <c r="F546" s="45"/>
      <c r="G546" s="45" t="b">
        <v>0</v>
      </c>
      <c r="H546" s="45" t="b">
        <f t="array" ref="H546">_xlfn.XLOOKUP(
 A546,
 tblTargetStatus[TargetID],
 tblTargetStatus[TargetFunded],
 ""
)</f>
        <v>0</v>
      </c>
      <c r="I546" s="45" t="str">
        <f t="array" ref="I546">IF(
 D546&lt;&gt;"BUILDING",
 "",
 IF(
  Player!$H$1="Active",
  _xlfn.XLOOKUP(
   A546,
   tblrecommended[ActiveTargetID],
   tblrecommended[Order],
   ""
  ),
  _xlfn.XLOOKUP(
   A546,
   tblrecommended[PassiveTargetID],
   tblrecommended[Order],
   ""
  )
 )
)</f>
        <v/>
      </c>
    </row>
    <row r="547" ht="25.5" hidden="1" customHeight="1">
      <c r="A547" s="26" t="s">
        <v>1891</v>
      </c>
      <c r="B547" s="26" t="str">
        <f t="array" ref="B547">_xlfn.XLOOKUP(Checklist!$A547,tblTargets[TargetID],tblTargets[DisplayName])</f>
        <v>Workshop - Conveyor Lvl 1</v>
      </c>
      <c r="C547" s="21" t="str">
        <f t="array" ref="C547">_xlfn.XLOOKUP(
 A547,
 tblTargetStatus[TargetID],
 tblTargetStatus[successors],
 ""
)</f>
        <v>Workshop - Conveyor Lvl 2</v>
      </c>
      <c r="D547" s="26" t="str">
        <f t="array" ref="D547">_xlfn.XLOOKUP(
 A547,
 tblTargets[TargetID],
 tblTargets[TargetType],
 ""
)</f>
        <v>TECH</v>
      </c>
      <c r="E547" s="45" t="str">
        <f t="array" ref="E547">_xlfn.XLOOKUP(
 A547,
 tblTargetStatus[TargetID],
 tblTargetStatus[ChainAwareStatus],
 ""
)</f>
        <v>BLOCKED</v>
      </c>
      <c r="F547" s="45">
        <v>40.0</v>
      </c>
      <c r="G547" s="45" t="b">
        <v>0</v>
      </c>
      <c r="H547" s="45" t="b">
        <f t="array" ref="H547">_xlfn.XLOOKUP(
 A547,
 tblTargetStatus[TargetID],
 tblTargetStatus[TargetFunded],
 ""
)</f>
        <v>0</v>
      </c>
      <c r="I547" s="45" t="str">
        <f t="array" ref="I547">IF(
 D547&lt;&gt;"BUILDING",
 "",
 IF(
  Player!$H$1="Active",
  _xlfn.XLOOKUP(
   A547,
   tblrecommended[ActiveTargetID],
   tblrecommended[Order],
   ""
  ),
  _xlfn.XLOOKUP(
   A547,
   tblrecommended[PassiveTargetID],
   tblrecommended[Order],
   ""
  )
 )
)</f>
        <v/>
      </c>
    </row>
    <row r="548" ht="25.5" hidden="1" customHeight="1">
      <c r="A548" s="26" t="s">
        <v>1893</v>
      </c>
      <c r="B548" s="26" t="str">
        <f t="array" ref="B548">_xlfn.XLOOKUP(Checklist!$A548,tblTargets[TargetID],tblTargets[DisplayName])</f>
        <v>Workshop - Conveyor Lvl 2</v>
      </c>
      <c r="C548" s="21" t="str">
        <f t="array" ref="C548">_xlfn.XLOOKUP(
 A548,
 tblTargetStatus[TargetID],
 tblTargetStatus[successors],
 ""
)</f>
        <v/>
      </c>
      <c r="D548" s="26" t="str">
        <f t="array" ref="D548">_xlfn.XLOOKUP(
 A548,
 tblTargets[TargetID],
 tblTargets[TargetType],
 ""
)</f>
        <v>TECH</v>
      </c>
      <c r="E548" s="45" t="str">
        <f t="array" ref="E548">_xlfn.XLOOKUP(
 A548,
 tblTargetStatus[TargetID],
 tblTargetStatus[ChainAwareStatus],
 ""
)</f>
        <v>BLOCKED</v>
      </c>
      <c r="F548" s="45"/>
      <c r="G548" s="45" t="b">
        <v>0</v>
      </c>
      <c r="H548" s="45" t="b">
        <f t="array" ref="H548">_xlfn.XLOOKUP(
 A548,
 tblTargetStatus[TargetID],
 tblTargetStatus[TargetFunded],
 ""
)</f>
        <v>0</v>
      </c>
      <c r="I548" s="45" t="str">
        <f t="array" ref="I548">IF(
 D548&lt;&gt;"BUILDING",
 "",
 IF(
  Player!$H$1="Active",
  _xlfn.XLOOKUP(
   A548,
   tblrecommended[ActiveTargetID],
   tblrecommended[Order],
   ""
  ),
  _xlfn.XLOOKUP(
   A548,
   tblrecommended[PassiveTargetID],
   tblrecommended[Order],
   ""
  )
 )
)</f>
        <v/>
      </c>
    </row>
    <row r="549" ht="25.5" hidden="1" customHeight="1">
      <c r="A549" s="26" t="s">
        <v>1895</v>
      </c>
      <c r="B549" s="26" t="str">
        <f t="array" ref="B549">_xlfn.XLOOKUP(Checklist!$A549,tblTargets[TargetID],tblTargets[DisplayName])</f>
        <v>Workshop - Explosive Mechanical Spider</v>
      </c>
      <c r="C549" s="21" t="str">
        <f t="array" ref="C549">_xlfn.XLOOKUP(
 A549,
 tblTargetStatus[TargetID],
 tblTargetStatus[successors],
 ""
)</f>
        <v/>
      </c>
      <c r="D549" s="26" t="str">
        <f t="array" ref="D549">_xlfn.XLOOKUP(
 A549,
 tblTargets[TargetID],
 tblTargets[TargetType],
 ""
)</f>
        <v>TECH</v>
      </c>
      <c r="E549" s="45" t="str">
        <f t="array" ref="E549">_xlfn.XLOOKUP(
 A549,
 tblTargetStatus[TargetID],
 tblTargetStatus[ChainAwareStatus],
 ""
)</f>
        <v>BLOCKED</v>
      </c>
      <c r="F549" s="45"/>
      <c r="G549" s="45" t="b">
        <v>0</v>
      </c>
      <c r="H549" s="45" t="b">
        <f t="array" ref="H549">_xlfn.XLOOKUP(
 A549,
 tblTargetStatus[TargetID],
 tblTargetStatus[TargetFunded],
 ""
)</f>
        <v>0</v>
      </c>
      <c r="I549" s="45" t="str">
        <f t="array" ref="I549">IF(
 D549&lt;&gt;"BUILDING",
 "",
 IF(
  Player!$H$1="Active",
  _xlfn.XLOOKUP(
   A549,
   tblrecommended[ActiveTargetID],
   tblrecommended[Order],
   ""
  ),
  _xlfn.XLOOKUP(
   A549,
   tblrecommended[PassiveTargetID],
   tblrecommended[Order],
   ""
  )
 )
)</f>
        <v/>
      </c>
    </row>
    <row r="550" ht="25.5" hidden="1" customHeight="1">
      <c r="A550" s="26" t="s">
        <v>1898</v>
      </c>
      <c r="B550" s="26" t="str">
        <f t="array" ref="B550">_xlfn.XLOOKUP(Checklist!$A550,tblTargets[TargetID],tblTargets[DisplayName])</f>
        <v>Workshop - Mechanical Spider</v>
      </c>
      <c r="C550" s="21" t="str">
        <f t="array" ref="C550">_xlfn.XLOOKUP(
 A550,
 tblTargetStatus[TargetID],
 tblTargetStatus[successors],
 ""
)</f>
        <v>Workshop - Explosive Mechanical Spider</v>
      </c>
      <c r="D550" s="26" t="str">
        <f t="array" ref="D550">_xlfn.XLOOKUP(
 A550,
 tblTargets[TargetID],
 tblTargets[TargetType],
 ""
)</f>
        <v>TECH</v>
      </c>
      <c r="E550" s="45" t="str">
        <f t="array" ref="E550">_xlfn.XLOOKUP(
 A550,
 tblTargetStatus[TargetID],
 tblTargetStatus[ChainAwareStatus],
 ""
)</f>
        <v>BLOCKED</v>
      </c>
      <c r="F550" s="45"/>
      <c r="G550" s="45" t="b">
        <v>0</v>
      </c>
      <c r="H550" s="45" t="b">
        <f t="array" ref="H550">_xlfn.XLOOKUP(
 A550,
 tblTargetStatus[TargetID],
 tblTargetStatus[TargetFunded],
 ""
)</f>
        <v>0</v>
      </c>
      <c r="I550" s="45" t="str">
        <f t="array" ref="I550">IF(
 D550&lt;&gt;"BUILDING",
 "",
 IF(
  Player!$H$1="Active",
  _xlfn.XLOOKUP(
   A550,
   tblrecommended[ActiveTargetID],
   tblrecommended[Order],
   ""
  ),
  _xlfn.XLOOKUP(
   A550,
   tblrecommended[PassiveTargetID],
   tblrecommended[Order],
   ""
  )
 )
)</f>
        <v/>
      </c>
    </row>
    <row r="551" ht="25.5" hidden="1" customHeight="1">
      <c r="A551" s="26" t="s">
        <v>1900</v>
      </c>
      <c r="B551" s="26" t="str">
        <f t="array" ref="B551">_xlfn.XLOOKUP(Checklist!$A551,tblTargets[TargetID],tblTargets[DisplayName])</f>
        <v>Workshop - Mechanism</v>
      </c>
      <c r="C551" s="21" t="str">
        <f t="array" ref="C551">_xlfn.XLOOKUP(
 A551,
 tblTargetStatus[TargetID],
 tblTargetStatus[successors],
 ""
)</f>
        <v>Field - Seed Drill, Workshop - Mechanical Spider, Workshop - Steamobile</v>
      </c>
      <c r="D551" s="26" t="str">
        <f t="array" ref="D551">_xlfn.XLOOKUP(
 A551,
 tblTargets[TargetID],
 tblTargets[TargetType],
 ""
)</f>
        <v>TECH</v>
      </c>
      <c r="E551" s="45" t="str">
        <f t="array" ref="E551">_xlfn.XLOOKUP(
 A551,
 tblTargetStatus[TargetID],
 tblTargetStatus[ChainAwareStatus],
 ""
)</f>
        <v>BLOCKED</v>
      </c>
      <c r="F551" s="45"/>
      <c r="G551" s="45" t="b">
        <v>0</v>
      </c>
      <c r="H551" s="45" t="b">
        <f t="array" ref="H551">_xlfn.XLOOKUP(
 A551,
 tblTargetStatus[TargetID],
 tblTargetStatus[TargetFunded],
 ""
)</f>
        <v>0</v>
      </c>
      <c r="I551" s="45" t="str">
        <f t="array" ref="I551">IF(
 D551&lt;&gt;"BUILDING",
 "",
 IF(
  Player!$H$1="Active",
  _xlfn.XLOOKUP(
   A551,
   tblrecommended[ActiveTargetID],
   tblrecommended[Order],
   ""
  ),
  _xlfn.XLOOKUP(
   A551,
   tblrecommended[PassiveTargetID],
   tblrecommended[Order],
   ""
  )
 )
)</f>
        <v/>
      </c>
    </row>
    <row r="552" ht="25.5" hidden="1" customHeight="1">
      <c r="A552" s="26" t="s">
        <v>1902</v>
      </c>
      <c r="B552" s="26" t="str">
        <f t="array" ref="B552">_xlfn.XLOOKUP(Checklist!$A552,tblTargets[TargetID],tblTargets[DisplayName])</f>
        <v>Workshop - Shield For A Hero Lvl 1</v>
      </c>
      <c r="C552" s="21" t="str">
        <f t="array" ref="C552">_xlfn.XLOOKUP(
 A552,
 tblTargetStatus[TargetID],
 tblTargetStatus[successors],
 ""
)</f>
        <v>Workshop - Shield For A Hero Lvl 2, Workshop - Strong Glue</v>
      </c>
      <c r="D552" s="26" t="str">
        <f t="array" ref="D552">_xlfn.XLOOKUP(
 A552,
 tblTargets[TargetID],
 tblTargets[TargetType],
 ""
)</f>
        <v>TECH</v>
      </c>
      <c r="E552" s="45" t="str">
        <f t="array" ref="E552">_xlfn.XLOOKUP(
 A552,
 tblTargetStatus[TargetID],
 tblTargetStatus[ChainAwareStatus],
 ""
)</f>
        <v>BLOCKED</v>
      </c>
      <c r="F552" s="45"/>
      <c r="G552" s="45" t="b">
        <v>0</v>
      </c>
      <c r="H552" s="45" t="b">
        <f t="array" ref="H552">_xlfn.XLOOKUP(
 A552,
 tblTargetStatus[TargetID],
 tblTargetStatus[TargetFunded],
 ""
)</f>
        <v>0</v>
      </c>
      <c r="I552" s="45" t="str">
        <f t="array" ref="I552">IF(
 D552&lt;&gt;"BUILDING",
 "",
 IF(
  Player!$H$1="Active",
  _xlfn.XLOOKUP(
   A552,
   tblrecommended[ActiveTargetID],
   tblrecommended[Order],
   ""
  ),
  _xlfn.XLOOKUP(
   A552,
   tblrecommended[PassiveTargetID],
   tblrecommended[Order],
   ""
  )
 )
)</f>
        <v/>
      </c>
    </row>
    <row r="553" ht="25.5" hidden="1" customHeight="1">
      <c r="A553" s="26" t="s">
        <v>1904</v>
      </c>
      <c r="B553" s="26" t="str">
        <f t="array" ref="B553">_xlfn.XLOOKUP(Checklist!$A553,tblTargets[TargetID],tblTargets[DisplayName])</f>
        <v>Workshop - Shield For A Hero Lvl 2</v>
      </c>
      <c r="C553" s="21" t="str">
        <f t="array" ref="C553">_xlfn.XLOOKUP(
 A553,
 tblTargetStatus[TargetID],
 tblTargetStatus[successors],
 ""
)</f>
        <v>Workshop - Shield For A Hero Lvl 3</v>
      </c>
      <c r="D553" s="26" t="str">
        <f t="array" ref="D553">_xlfn.XLOOKUP(
 A553,
 tblTargets[TargetID],
 tblTargets[TargetType],
 ""
)</f>
        <v>TECH</v>
      </c>
      <c r="E553" s="45" t="str">
        <f t="array" ref="E553">_xlfn.XLOOKUP(
 A553,
 tblTargetStatus[TargetID],
 tblTargetStatus[ChainAwareStatus],
 ""
)</f>
        <v>BLOCKED</v>
      </c>
      <c r="F553" s="45"/>
      <c r="G553" s="45" t="b">
        <v>0</v>
      </c>
      <c r="H553" s="45" t="b">
        <f t="array" ref="H553">_xlfn.XLOOKUP(
 A553,
 tblTargetStatus[TargetID],
 tblTargetStatus[TargetFunded],
 ""
)</f>
        <v>0</v>
      </c>
      <c r="I553" s="45" t="str">
        <f t="array" ref="I553">IF(
 D553&lt;&gt;"BUILDING",
 "",
 IF(
  Player!$H$1="Active",
  _xlfn.XLOOKUP(
   A553,
   tblrecommended[ActiveTargetID],
   tblrecommended[Order],
   ""
  ),
  _xlfn.XLOOKUP(
   A553,
   tblrecommended[PassiveTargetID],
   tblrecommended[Order],
   ""
  )
 )
)</f>
        <v/>
      </c>
    </row>
    <row r="554" ht="25.5" hidden="1" customHeight="1">
      <c r="A554" s="26" t="s">
        <v>1906</v>
      </c>
      <c r="B554" s="26" t="str">
        <f t="array" ref="B554">_xlfn.XLOOKUP(Checklist!$A554,tblTargets[TargetID],tblTargets[DisplayName])</f>
        <v>Workshop - Shield For A Hero Lvl 3</v>
      </c>
      <c r="C554" s="21" t="str">
        <f t="array" ref="C554">_xlfn.XLOOKUP(
 A554,
 tblTargetStatus[TargetID],
 tblTargetStatus[successors],
 ""
)</f>
        <v>Workshop - Shield For A Hero Lvl 4</v>
      </c>
      <c r="D554" s="26" t="str">
        <f t="array" ref="D554">_xlfn.XLOOKUP(
 A554,
 tblTargets[TargetID],
 tblTargets[TargetType],
 ""
)</f>
        <v>TECH</v>
      </c>
      <c r="E554" s="45" t="str">
        <f t="array" ref="E554">_xlfn.XLOOKUP(
 A554,
 tblTargetStatus[TargetID],
 tblTargetStatus[ChainAwareStatus],
 ""
)</f>
        <v>BLOCKED</v>
      </c>
      <c r="F554" s="45"/>
      <c r="G554" s="45" t="b">
        <v>0</v>
      </c>
      <c r="H554" s="45" t="b">
        <f t="array" ref="H554">_xlfn.XLOOKUP(
 A554,
 tblTargetStatus[TargetID],
 tblTargetStatus[TargetFunded],
 ""
)</f>
        <v>0</v>
      </c>
      <c r="I554" s="45" t="str">
        <f t="array" ref="I554">IF(
 D554&lt;&gt;"BUILDING",
 "",
 IF(
  Player!$H$1="Active",
  _xlfn.XLOOKUP(
   A554,
   tblrecommended[ActiveTargetID],
   tblrecommended[Order],
   ""
  ),
  _xlfn.XLOOKUP(
   A554,
   tblrecommended[PassiveTargetID],
   tblrecommended[Order],
   ""
  )
 )
)</f>
        <v/>
      </c>
    </row>
    <row r="555" ht="25.5" hidden="1" customHeight="1">
      <c r="A555" s="26" t="s">
        <v>1909</v>
      </c>
      <c r="B555" s="26" t="str">
        <f t="array" ref="B555">_xlfn.XLOOKUP(Checklist!$A555,tblTargets[TargetID],tblTargets[DisplayName])</f>
        <v>Workshop - Shield For A Hero Lvl 4</v>
      </c>
      <c r="C555" s="21" t="str">
        <f t="array" ref="C555">_xlfn.XLOOKUP(
 A555,
 tblTargetStatus[TargetID],
 tblTargetStatus[successors],
 ""
)</f>
        <v>The Ordinary Days of an Adventurer Chapter 1 Accepted, Workshop - Shield For A Hero Lvl 4+</v>
      </c>
      <c r="D555" s="26" t="str">
        <f t="array" ref="D555">_xlfn.XLOOKUP(
 A555,
 tblTargets[TargetID],
 tblTargets[TargetType],
 ""
)</f>
        <v>TECH</v>
      </c>
      <c r="E555" s="45" t="str">
        <f t="array" ref="E555">_xlfn.XLOOKUP(
 A555,
 tblTargetStatus[TargetID],
 tblTargetStatus[ChainAwareStatus],
 ""
)</f>
        <v>BLOCKED</v>
      </c>
      <c r="F555" s="45"/>
      <c r="G555" s="45" t="b">
        <v>0</v>
      </c>
      <c r="H555" s="45" t="b">
        <f t="array" ref="H555">_xlfn.XLOOKUP(
 A555,
 tblTargetStatus[TargetID],
 tblTargetStatus[TargetFunded],
 ""
)</f>
        <v>0</v>
      </c>
      <c r="I555" s="45" t="str">
        <f t="array" ref="I555">IF(
 D555&lt;&gt;"BUILDING",
 "",
 IF(
  Player!$H$1="Active",
  _xlfn.XLOOKUP(
   A555,
   tblrecommended[ActiveTargetID],
   tblrecommended[Order],
   ""
  ),
  _xlfn.XLOOKUP(
   A555,
   tblrecommended[PassiveTargetID],
   tblrecommended[Order],
   ""
  )
 )
)</f>
        <v/>
      </c>
    </row>
    <row r="556" ht="25.5" hidden="1" customHeight="1">
      <c r="A556" s="26" t="s">
        <v>1911</v>
      </c>
      <c r="B556" s="26" t="str">
        <f t="array" ref="B556">_xlfn.XLOOKUP(Checklist!$A556,tblTargets[TargetID],tblTargets[DisplayName])</f>
        <v>Workshop - Shield For A Hero Lvl 4+</v>
      </c>
      <c r="C556" s="21" t="str">
        <f t="array" ref="C556">_xlfn.XLOOKUP(
 A556,
 tblTargetStatus[TargetID],
 tblTargetStatus[successors],
 ""
)</f>
        <v>Craft Shield 4+</v>
      </c>
      <c r="D556" s="26" t="str">
        <f t="array" ref="D556">_xlfn.XLOOKUP(
 A556,
 tblTargets[TargetID],
 tblTargets[TargetType],
 ""
)</f>
        <v>TECH</v>
      </c>
      <c r="E556" s="45" t="str">
        <f t="array" ref="E556">_xlfn.XLOOKUP(
 A556,
 tblTargetStatus[TargetID],
 tblTargetStatus[ChainAwareStatus],
 ""
)</f>
        <v>BLOCKED</v>
      </c>
      <c r="F556" s="45"/>
      <c r="G556" s="45" t="b">
        <v>0</v>
      </c>
      <c r="H556" s="45" t="b">
        <f t="array" ref="H556">_xlfn.XLOOKUP(
 A556,
 tblTargetStatus[TargetID],
 tblTargetStatus[TargetFunded],
 ""
)</f>
        <v>0</v>
      </c>
      <c r="I556" s="45" t="str">
        <f t="array" ref="I556">IF(
 D556&lt;&gt;"BUILDING",
 "",
 IF(
  Player!$H$1="Active",
  _xlfn.XLOOKUP(
   A556,
   tblrecommended[ActiveTargetID],
   tblrecommended[Order],
   ""
  ),
  _xlfn.XLOOKUP(
   A556,
   tblrecommended[PassiveTargetID],
   tblrecommended[Order],
   ""
  )
 )
)</f>
        <v/>
      </c>
    </row>
    <row r="557" ht="25.5" hidden="1" customHeight="1">
      <c r="A557" s="26" t="s">
        <v>1913</v>
      </c>
      <c r="B557" s="26" t="str">
        <f t="array" ref="B557">_xlfn.XLOOKUP(Checklist!$A557,tblTargets[TargetID],tblTargets[DisplayName])</f>
        <v>Workshop - Steamobile</v>
      </c>
      <c r="C557" s="21" t="str">
        <f t="array" ref="C557">_xlfn.XLOOKUP(
 A557,
 tblTargetStatus[TargetID],
 tblTargetStatus[successors],
 ""
)</f>
        <v>Field - Combine Harvester</v>
      </c>
      <c r="D557" s="26" t="str">
        <f t="array" ref="D557">_xlfn.XLOOKUP(
 A557,
 tblTargets[TargetID],
 tblTargets[TargetType],
 ""
)</f>
        <v>TECH</v>
      </c>
      <c r="E557" s="45" t="str">
        <f t="array" ref="E557">_xlfn.XLOOKUP(
 A557,
 tblTargetStatus[TargetID],
 tblTargetStatus[ChainAwareStatus],
 ""
)</f>
        <v>BLOCKED</v>
      </c>
      <c r="F557" s="45"/>
      <c r="G557" s="45" t="b">
        <v>0</v>
      </c>
      <c r="H557" s="45" t="b">
        <f t="array" ref="H557">_xlfn.XLOOKUP(
 A557,
 tblTargetStatus[TargetID],
 tblTargetStatus[TargetFunded],
 ""
)</f>
        <v>0</v>
      </c>
      <c r="I557" s="45" t="str">
        <f t="array" ref="I557">IF(
 D557&lt;&gt;"BUILDING",
 "",
 IF(
  Player!$H$1="Active",
  _xlfn.XLOOKUP(
   A557,
   tblrecommended[ActiveTargetID],
   tblrecommended[Order],
   ""
  ),
  _xlfn.XLOOKUP(
   A557,
   tblrecommended[PassiveTargetID],
   tblrecommended[Order],
   ""
  )
 )
)</f>
        <v/>
      </c>
    </row>
    <row r="558" ht="25.5" hidden="1" customHeight="1">
      <c r="A558" s="26" t="s">
        <v>1915</v>
      </c>
      <c r="B558" s="26" t="str">
        <f t="array" ref="B558">_xlfn.XLOOKUP(Checklist!$A558,tblTargets[TargetID],tblTargets[DisplayName])</f>
        <v>Workshop - Strong Glue</v>
      </c>
      <c r="C558" s="21" t="str">
        <f t="array" ref="C558">_xlfn.XLOOKUP(
 A558,
 tblTargetStatus[TargetID],
 tblTargetStatus[successors],
 ""
)</f>
        <v/>
      </c>
      <c r="D558" s="26" t="str">
        <f t="array" ref="D558">_xlfn.XLOOKUP(
 A558,
 tblTargets[TargetID],
 tblTargets[TargetType],
 ""
)</f>
        <v>TECH</v>
      </c>
      <c r="E558" s="45" t="str">
        <f t="array" ref="E558">_xlfn.XLOOKUP(
 A558,
 tblTargetStatus[TargetID],
 tblTargetStatus[ChainAwareStatus],
 ""
)</f>
        <v>BLOCKED</v>
      </c>
      <c r="F558" s="45"/>
      <c r="G558" s="45" t="b">
        <v>0</v>
      </c>
      <c r="H558" s="45" t="b">
        <f t="array" ref="H558">_xlfn.XLOOKUP(
 A558,
 tblTargetStatus[TargetID],
 tblTargetStatus[TargetFunded],
 ""
)</f>
        <v>0</v>
      </c>
      <c r="I558" s="45" t="str">
        <f t="array" ref="I558">IF(
 D558&lt;&gt;"BUILDING",
 "",
 IF(
  Player!$H$1="Active",
  _xlfn.XLOOKUP(
   A558,
   tblrecommended[ActiveTargetID],
   tblrecommended[Order],
   ""
  ),
  _xlfn.XLOOKUP(
   A558,
   tblrecommended[PassiveTargetID],
   tblrecommended[Order],
   ""
  )
 )
)</f>
        <v/>
      </c>
    </row>
    <row r="559" ht="25.5" hidden="1" customHeight="1">
      <c r="A559" s="26" t="s">
        <v>1918</v>
      </c>
      <c r="B559" s="26" t="str">
        <f t="array" ref="B559">_xlfn.XLOOKUP(Checklist!$A559,tblTargets[TargetID],tblTargets[DisplayName])</f>
        <v>Workshop - Throwing Net</v>
      </c>
      <c r="C559" s="21" t="str">
        <f t="array" ref="C559">_xlfn.XLOOKUP(
 A559,
 tblTargetStatus[TargetID],
 tblTargetStatus[successors],
 ""
)</f>
        <v/>
      </c>
      <c r="D559" s="26" t="str">
        <f t="array" ref="D559">_xlfn.XLOOKUP(
 A559,
 tblTargets[TargetID],
 tblTargets[TargetType],
 ""
)</f>
        <v>TECH</v>
      </c>
      <c r="E559" s="45" t="str">
        <f t="array" ref="E559">_xlfn.XLOOKUP(
 A559,
 tblTargetStatus[TargetID],
 tblTargetStatus[ChainAwareStatus],
 ""
)</f>
        <v>BLOCKED</v>
      </c>
      <c r="F559" s="45"/>
      <c r="G559" s="45" t="b">
        <v>0</v>
      </c>
      <c r="H559" s="45" t="b">
        <f t="array" ref="H559">_xlfn.XLOOKUP(
 A559,
 tblTargetStatus[TargetID],
 tblTargetStatus[TargetFunded],
 ""
)</f>
        <v>0</v>
      </c>
      <c r="I559" s="45" t="str">
        <f t="array" ref="I559">IF(
 D559&lt;&gt;"BUILDING",
 "",
 IF(
  Player!$H$1="Active",
  _xlfn.XLOOKUP(
   A559,
   tblrecommended[ActiveTargetID],
   tblrecommended[Order],
   ""
  ),
  _xlfn.XLOOKUP(
   A559,
   tblrecommended[PassiveTargetID],
   tblrecommended[Order],
   ""
  )
 )
)</f>
        <v/>
      </c>
    </row>
    <row r="560" ht="25.5" hidden="1" customHeight="1">
      <c r="A560" s="26" t="s">
        <v>1920</v>
      </c>
      <c r="B560" s="26" t="str">
        <f t="array" ref="B560">_xlfn.XLOOKUP(Checklist!$A560,tblTargets[TargetID],tblTargets[DisplayName])</f>
        <v>Workshop - Zen Fountain</v>
      </c>
      <c r="C560" s="21" t="str">
        <f t="array" ref="C560">_xlfn.XLOOKUP(
 A560,
 tblTargetStatus[TargetID],
 tblTargetStatus[successors],
 ""
)</f>
        <v/>
      </c>
      <c r="D560" s="26" t="str">
        <f t="array" ref="D560">_xlfn.XLOOKUP(
 A560,
 tblTargets[TargetID],
 tblTargets[TargetType],
 ""
)</f>
        <v>TECH</v>
      </c>
      <c r="E560" s="45" t="str">
        <f t="array" ref="E560">_xlfn.XLOOKUP(
 A560,
 tblTargetStatus[TargetID],
 tblTargetStatus[ChainAwareStatus],
 ""
)</f>
        <v>BLOCKED</v>
      </c>
      <c r="F560" s="45"/>
      <c r="G560" s="45" t="b">
        <v>0</v>
      </c>
      <c r="H560" s="45" t="b">
        <f t="array" ref="H560">_xlfn.XLOOKUP(
 A560,
 tblTargetStatus[TargetID],
 tblTargetStatus[TargetFunded],
 ""
)</f>
        <v>0</v>
      </c>
      <c r="I560" s="45" t="str">
        <f t="array" ref="I560">IF(
 D560&lt;&gt;"BUILDING",
 "",
 IF(
  Player!$H$1="Active",
  _xlfn.XLOOKUP(
   A560,
   tblrecommended[ActiveTargetID],
   tblrecommended[Order],
   ""
  ),
  _xlfn.XLOOKUP(
   A560,
   tblrecommended[PassiveTargetID],
   tblrecommended[Order],
   ""
  )
 )
)</f>
        <v/>
      </c>
    </row>
    <row r="561" ht="25.5" customHeight="1">
      <c r="A561" s="26" t="s">
        <v>1933</v>
      </c>
      <c r="B561" s="26" t="str">
        <f t="array" ref="B561">_xlfn.XLOOKUP(Checklist!$A561,tblTargets[TargetID],tblTargets[DisplayName])</f>
        <v>Meet Dark Lady@6B second time</v>
      </c>
      <c r="C561" s="21" t="str">
        <f t="array" ref="C561">_xlfn.XLOOKUP(
 A561,
 tblTargetStatus[TargetID],
 tblTargetStatus[successors],
 ""
)</f>
        <v>The Ordinary Days of an Adventurer Chapter 8 Accepted</v>
      </c>
      <c r="D561" s="26" t="str">
        <f t="array" ref="D561">_xlfn.XLOOKUP(
 A561,
 tblTargets[TargetID],
 tblTargets[TargetType],
 ""
)</f>
        <v>STATE</v>
      </c>
      <c r="E561" s="45" t="str">
        <f t="array" ref="E561">_xlfn.XLOOKUP(
 A561,
 tblTargetStatus[TargetID],
 tblTargetStatus[ChainAwareStatus],
 ""
)</f>
        <v>BLOCKED</v>
      </c>
      <c r="F561" s="45"/>
      <c r="G561" s="45" t="b">
        <v>0</v>
      </c>
      <c r="H561" s="45" t="str">
        <f t="array" ref="H561">_xlfn.XLOOKUP(
 A561,
 tblTargetStatus[TargetID],
 tblTargetStatus[TargetFunded],
 ""
)</f>
        <v>N/A</v>
      </c>
      <c r="I561" s="45" t="str">
        <f t="array" ref="I561">IF(
 D561&lt;&gt;"BUILDING",
 "",
 IF(
  Player!$H$1="Active",
  _xlfn.XLOOKUP(
   A561,
   tblrecommended[ActiveTargetID],
   tblrecommended[Order],
   ""
  ),
  _xlfn.XLOOKUP(
   A561,
   tblrecommended[PassiveTargetID],
   tblrecommended[Order],
   ""
  )
 )
)</f>
        <v/>
      </c>
    </row>
    <row r="562" ht="25.5" customHeight="1">
      <c r="C562" s="6"/>
      <c r="D562" s="34"/>
      <c r="E562" s="34"/>
      <c r="F562" s="34"/>
      <c r="G562" s="34"/>
      <c r="H562" s="34"/>
    </row>
    <row r="563" ht="25.5" customHeight="1">
      <c r="C563" s="6"/>
      <c r="D563" s="34"/>
      <c r="E563" s="34"/>
      <c r="F563" s="34"/>
      <c r="G563" s="34"/>
      <c r="H563" s="34"/>
    </row>
    <row r="564" ht="25.5" customHeight="1">
      <c r="C564" s="6"/>
      <c r="D564" s="34"/>
      <c r="E564" s="34"/>
      <c r="F564" s="34"/>
      <c r="G564" s="34"/>
      <c r="H564" s="34"/>
    </row>
    <row r="565" ht="25.5" customHeight="1">
      <c r="C565" s="6"/>
      <c r="D565" s="34"/>
      <c r="E565" s="34"/>
      <c r="F565" s="34"/>
      <c r="G565" s="34"/>
      <c r="H565" s="34"/>
    </row>
    <row r="566" ht="25.5" customHeight="1">
      <c r="C566" s="6"/>
      <c r="D566" s="34"/>
      <c r="E566" s="34"/>
      <c r="F566" s="34"/>
      <c r="G566" s="34"/>
      <c r="H566" s="34"/>
    </row>
    <row r="567" ht="25.5" customHeight="1">
      <c r="C567" s="6"/>
      <c r="D567" s="34"/>
      <c r="E567" s="34"/>
      <c r="F567" s="34"/>
      <c r="G567" s="34"/>
      <c r="H567" s="34"/>
    </row>
    <row r="568" ht="25.5" customHeight="1">
      <c r="C568" s="6"/>
      <c r="D568" s="34"/>
      <c r="E568" s="34"/>
      <c r="F568" s="34"/>
      <c r="G568" s="34"/>
      <c r="H568" s="34"/>
    </row>
    <row r="569" ht="25.5" customHeight="1">
      <c r="C569" s="6"/>
      <c r="D569" s="34"/>
      <c r="E569" s="34"/>
      <c r="F569" s="34"/>
      <c r="G569" s="34"/>
      <c r="H569" s="34"/>
    </row>
    <row r="570" ht="25.5" customHeight="1">
      <c r="C570" s="6"/>
      <c r="D570" s="34"/>
      <c r="E570" s="34"/>
      <c r="F570" s="34"/>
      <c r="G570" s="34"/>
      <c r="H570" s="34"/>
    </row>
    <row r="571" ht="25.5" customHeight="1">
      <c r="C571" s="6"/>
      <c r="D571" s="34"/>
      <c r="E571" s="34"/>
      <c r="F571" s="34"/>
      <c r="G571" s="34"/>
      <c r="H571" s="34"/>
    </row>
    <row r="572" ht="25.5" customHeight="1">
      <c r="C572" s="6"/>
      <c r="D572" s="34"/>
      <c r="E572" s="34"/>
      <c r="F572" s="34"/>
      <c r="G572" s="34"/>
      <c r="H572" s="34"/>
    </row>
    <row r="573" ht="25.5" customHeight="1">
      <c r="C573" s="6"/>
      <c r="D573" s="34"/>
      <c r="E573" s="34"/>
      <c r="F573" s="34"/>
      <c r="G573" s="34"/>
      <c r="H573" s="34"/>
    </row>
    <row r="574" ht="25.5" customHeight="1">
      <c r="C574" s="6"/>
      <c r="D574" s="34"/>
      <c r="E574" s="34"/>
      <c r="F574" s="34"/>
      <c r="G574" s="34"/>
      <c r="H574" s="34"/>
    </row>
    <row r="575" ht="25.5" customHeight="1">
      <c r="C575" s="6"/>
      <c r="D575" s="34"/>
      <c r="E575" s="34"/>
      <c r="F575" s="34"/>
      <c r="G575" s="34"/>
      <c r="H575" s="34"/>
    </row>
    <row r="576" ht="25.5" customHeight="1">
      <c r="C576" s="6"/>
      <c r="D576" s="34"/>
      <c r="E576" s="34"/>
      <c r="F576" s="34"/>
      <c r="G576" s="34"/>
      <c r="H576" s="34"/>
    </row>
    <row r="577" ht="25.5" customHeight="1">
      <c r="C577" s="6"/>
      <c r="D577" s="34"/>
      <c r="E577" s="34"/>
      <c r="F577" s="34"/>
      <c r="G577" s="34"/>
      <c r="H577" s="34"/>
    </row>
    <row r="578" ht="25.5" customHeight="1">
      <c r="C578" s="6"/>
      <c r="D578" s="34"/>
      <c r="E578" s="34"/>
      <c r="F578" s="34"/>
      <c r="G578" s="34"/>
      <c r="H578" s="34"/>
    </row>
    <row r="579" ht="25.5" customHeight="1">
      <c r="C579" s="6"/>
      <c r="D579" s="34"/>
      <c r="E579" s="34"/>
      <c r="F579" s="34"/>
      <c r="G579" s="34"/>
      <c r="H579" s="34"/>
    </row>
    <row r="580" ht="25.5" customHeight="1">
      <c r="C580" s="6"/>
      <c r="D580" s="34"/>
      <c r="E580" s="34"/>
      <c r="F580" s="34"/>
      <c r="G580" s="34"/>
      <c r="H580" s="34"/>
    </row>
    <row r="581" ht="25.5" customHeight="1">
      <c r="C581" s="6"/>
      <c r="D581" s="34"/>
      <c r="E581" s="34"/>
      <c r="F581" s="34"/>
      <c r="G581" s="34"/>
      <c r="H581" s="34"/>
    </row>
    <row r="582" ht="25.5" customHeight="1">
      <c r="C582" s="6"/>
      <c r="D582" s="34"/>
      <c r="E582" s="34"/>
      <c r="F582" s="34"/>
      <c r="G582" s="34"/>
      <c r="H582" s="34"/>
    </row>
    <row r="583" ht="25.5" customHeight="1">
      <c r="C583" s="6"/>
      <c r="D583" s="34"/>
      <c r="E583" s="34"/>
      <c r="F583" s="34"/>
      <c r="G583" s="34"/>
      <c r="H583" s="34"/>
    </row>
    <row r="584" ht="25.5" customHeight="1">
      <c r="C584" s="6"/>
      <c r="D584" s="34"/>
      <c r="E584" s="34"/>
      <c r="F584" s="34"/>
      <c r="G584" s="34"/>
      <c r="H584" s="34"/>
    </row>
    <row r="585" ht="25.5" customHeight="1">
      <c r="C585" s="6"/>
      <c r="D585" s="34"/>
      <c r="E585" s="34"/>
      <c r="F585" s="34"/>
      <c r="G585" s="34"/>
      <c r="H585" s="34"/>
    </row>
    <row r="586" ht="25.5" customHeight="1">
      <c r="C586" s="6"/>
      <c r="D586" s="34"/>
      <c r="E586" s="34"/>
      <c r="F586" s="34"/>
      <c r="G586" s="34"/>
      <c r="H586" s="34"/>
    </row>
    <row r="587" ht="25.5" customHeight="1">
      <c r="C587" s="6"/>
      <c r="D587" s="34"/>
      <c r="E587" s="34"/>
      <c r="F587" s="34"/>
      <c r="G587" s="34"/>
      <c r="H587" s="34"/>
    </row>
    <row r="588" ht="25.5" customHeight="1">
      <c r="C588" s="6"/>
      <c r="D588" s="34"/>
      <c r="E588" s="34"/>
      <c r="F588" s="34"/>
      <c r="G588" s="34"/>
      <c r="H588" s="34"/>
    </row>
    <row r="589" ht="25.5" customHeight="1">
      <c r="C589" s="6"/>
      <c r="D589" s="34"/>
      <c r="E589" s="34"/>
      <c r="F589" s="34"/>
      <c r="G589" s="34"/>
      <c r="H589" s="34"/>
    </row>
    <row r="590" ht="25.5" customHeight="1">
      <c r="C590" s="6"/>
      <c r="D590" s="34"/>
      <c r="E590" s="34"/>
      <c r="F590" s="34"/>
      <c r="G590" s="34"/>
      <c r="H590" s="34"/>
    </row>
    <row r="591" ht="25.5" customHeight="1">
      <c r="C591" s="6"/>
      <c r="D591" s="34"/>
      <c r="E591" s="34"/>
      <c r="F591" s="34"/>
      <c r="G591" s="34"/>
      <c r="H591" s="34"/>
    </row>
    <row r="592" ht="25.5" customHeight="1">
      <c r="C592" s="6"/>
      <c r="D592" s="34"/>
      <c r="E592" s="34"/>
      <c r="F592" s="34"/>
      <c r="G592" s="34"/>
      <c r="H592" s="34"/>
    </row>
    <row r="593" ht="25.5" customHeight="1">
      <c r="C593" s="6"/>
      <c r="D593" s="34"/>
      <c r="E593" s="34"/>
      <c r="F593" s="34"/>
      <c r="G593" s="34"/>
      <c r="H593" s="34"/>
    </row>
    <row r="594" ht="25.5" customHeight="1">
      <c r="C594" s="6"/>
      <c r="D594" s="34"/>
      <c r="E594" s="34"/>
      <c r="F594" s="34"/>
      <c r="G594" s="34"/>
      <c r="H594" s="34"/>
    </row>
    <row r="595" ht="25.5" customHeight="1">
      <c r="C595" s="6"/>
      <c r="D595" s="34"/>
      <c r="E595" s="34"/>
      <c r="F595" s="34"/>
      <c r="G595" s="34"/>
      <c r="H595" s="34"/>
    </row>
    <row r="596" ht="25.5" customHeight="1">
      <c r="C596" s="6"/>
      <c r="D596" s="34"/>
      <c r="E596" s="34"/>
      <c r="F596" s="34"/>
      <c r="G596" s="34"/>
      <c r="H596" s="34"/>
    </row>
    <row r="597" ht="25.5" customHeight="1">
      <c r="C597" s="6"/>
      <c r="D597" s="34"/>
      <c r="E597" s="34"/>
      <c r="F597" s="34"/>
      <c r="G597" s="34"/>
      <c r="H597" s="34"/>
    </row>
    <row r="598" ht="25.5" customHeight="1">
      <c r="C598" s="6"/>
      <c r="D598" s="34"/>
      <c r="E598" s="34"/>
      <c r="F598" s="34"/>
      <c r="G598" s="34"/>
      <c r="H598" s="34"/>
    </row>
    <row r="599" ht="25.5" customHeight="1">
      <c r="C599" s="6"/>
      <c r="D599" s="34"/>
      <c r="E599" s="34"/>
      <c r="F599" s="34"/>
      <c r="G599" s="34"/>
      <c r="H599" s="34"/>
    </row>
    <row r="600" ht="25.5" customHeight="1">
      <c r="C600" s="6"/>
      <c r="D600" s="34"/>
      <c r="E600" s="34"/>
      <c r="F600" s="34"/>
      <c r="G600" s="34"/>
      <c r="H600" s="34"/>
    </row>
    <row r="601" ht="25.5" customHeight="1">
      <c r="C601" s="6"/>
      <c r="D601" s="34"/>
      <c r="E601" s="34"/>
      <c r="F601" s="34"/>
      <c r="G601" s="34"/>
      <c r="H601" s="34"/>
    </row>
    <row r="602" ht="25.5" customHeight="1">
      <c r="C602" s="6"/>
      <c r="D602" s="34"/>
      <c r="E602" s="34"/>
      <c r="F602" s="34"/>
      <c r="G602" s="34"/>
      <c r="H602" s="34"/>
    </row>
    <row r="603" ht="25.5" customHeight="1">
      <c r="C603" s="6"/>
      <c r="D603" s="34"/>
      <c r="E603" s="34"/>
      <c r="F603" s="34"/>
      <c r="G603" s="34"/>
      <c r="H603" s="34"/>
    </row>
    <row r="604" ht="25.5" customHeight="1">
      <c r="C604" s="6"/>
      <c r="D604" s="34"/>
      <c r="E604" s="34"/>
      <c r="F604" s="34"/>
      <c r="G604" s="34"/>
      <c r="H604" s="34"/>
    </row>
    <row r="605" ht="25.5" customHeight="1">
      <c r="C605" s="6"/>
      <c r="D605" s="34"/>
      <c r="E605" s="34"/>
      <c r="F605" s="34"/>
      <c r="G605" s="34"/>
      <c r="H605" s="34"/>
    </row>
    <row r="606" ht="25.5" customHeight="1">
      <c r="C606" s="6"/>
      <c r="D606" s="34"/>
      <c r="E606" s="34"/>
      <c r="F606" s="34"/>
      <c r="G606" s="34"/>
      <c r="H606" s="34"/>
    </row>
    <row r="607" ht="25.5" customHeight="1">
      <c r="C607" s="6"/>
      <c r="D607" s="34"/>
      <c r="E607" s="34"/>
      <c r="F607" s="34"/>
      <c r="G607" s="34"/>
      <c r="H607" s="34"/>
    </row>
    <row r="608" ht="25.5" customHeight="1">
      <c r="C608" s="6"/>
      <c r="D608" s="34"/>
      <c r="E608" s="34"/>
      <c r="F608" s="34"/>
      <c r="G608" s="34"/>
      <c r="H608" s="34"/>
    </row>
    <row r="609" ht="25.5" customHeight="1">
      <c r="C609" s="6"/>
      <c r="D609" s="34"/>
      <c r="E609" s="34"/>
      <c r="F609" s="34"/>
      <c r="G609" s="34"/>
      <c r="H609" s="34"/>
    </row>
    <row r="610" ht="25.5" customHeight="1">
      <c r="C610" s="6"/>
      <c r="D610" s="34"/>
      <c r="E610" s="34"/>
      <c r="F610" s="34"/>
      <c r="G610" s="34"/>
      <c r="H610" s="34"/>
    </row>
    <row r="611" ht="25.5" customHeight="1">
      <c r="C611" s="6"/>
      <c r="D611" s="34"/>
      <c r="E611" s="34"/>
      <c r="F611" s="34"/>
      <c r="G611" s="34"/>
      <c r="H611" s="34"/>
    </row>
    <row r="612" ht="25.5" customHeight="1">
      <c r="C612" s="6"/>
      <c r="D612" s="34"/>
      <c r="E612" s="34"/>
      <c r="F612" s="34"/>
      <c r="G612" s="34"/>
      <c r="H612" s="34"/>
    </row>
    <row r="613" ht="25.5" customHeight="1">
      <c r="C613" s="6"/>
      <c r="D613" s="34"/>
      <c r="E613" s="34"/>
      <c r="F613" s="34"/>
      <c r="G613" s="34"/>
      <c r="H613" s="34"/>
    </row>
    <row r="614" ht="25.5" customHeight="1">
      <c r="C614" s="6"/>
      <c r="D614" s="34"/>
      <c r="E614" s="34"/>
      <c r="F614" s="34"/>
      <c r="G614" s="34"/>
      <c r="H614" s="34"/>
    </row>
    <row r="615" ht="25.5" customHeight="1">
      <c r="C615" s="6"/>
      <c r="D615" s="34"/>
      <c r="E615" s="34"/>
      <c r="F615" s="34"/>
      <c r="G615" s="34"/>
      <c r="H615" s="34"/>
    </row>
    <row r="616" ht="25.5" customHeight="1">
      <c r="C616" s="6"/>
      <c r="D616" s="34"/>
      <c r="E616" s="34"/>
      <c r="F616" s="34"/>
      <c r="G616" s="34"/>
      <c r="H616" s="34"/>
    </row>
    <row r="617" ht="25.5" customHeight="1">
      <c r="C617" s="6"/>
      <c r="D617" s="34"/>
      <c r="E617" s="34"/>
      <c r="F617" s="34"/>
      <c r="G617" s="34"/>
      <c r="H617" s="34"/>
    </row>
    <row r="618" ht="25.5" customHeight="1">
      <c r="C618" s="6"/>
      <c r="D618" s="34"/>
      <c r="E618" s="34"/>
      <c r="F618" s="34"/>
      <c r="G618" s="34"/>
      <c r="H618" s="34"/>
    </row>
    <row r="619" ht="25.5" customHeight="1">
      <c r="C619" s="6"/>
      <c r="D619" s="34"/>
      <c r="E619" s="34"/>
      <c r="F619" s="34"/>
      <c r="G619" s="34"/>
      <c r="H619" s="34"/>
    </row>
    <row r="620" ht="25.5" customHeight="1">
      <c r="C620" s="6"/>
      <c r="D620" s="34"/>
      <c r="E620" s="34"/>
      <c r="F620" s="34"/>
      <c r="G620" s="34"/>
      <c r="H620" s="34"/>
    </row>
    <row r="621" ht="25.5" customHeight="1">
      <c r="C621" s="6"/>
      <c r="D621" s="34"/>
      <c r="E621" s="34"/>
      <c r="F621" s="34"/>
      <c r="G621" s="34"/>
      <c r="H621" s="34"/>
    </row>
    <row r="622" ht="25.5" customHeight="1">
      <c r="C622" s="6"/>
      <c r="D622" s="34"/>
      <c r="E622" s="34"/>
      <c r="F622" s="34"/>
      <c r="G622" s="34"/>
      <c r="H622" s="34"/>
    </row>
    <row r="623" ht="25.5" customHeight="1">
      <c r="C623" s="6"/>
      <c r="D623" s="34"/>
      <c r="E623" s="34"/>
      <c r="F623" s="34"/>
      <c r="G623" s="34"/>
      <c r="H623" s="34"/>
    </row>
    <row r="624" ht="25.5" customHeight="1">
      <c r="C624" s="6"/>
      <c r="D624" s="34"/>
      <c r="E624" s="34"/>
      <c r="F624" s="34"/>
      <c r="G624" s="34"/>
      <c r="H624" s="34"/>
    </row>
    <row r="625" ht="25.5" customHeight="1">
      <c r="C625" s="6"/>
      <c r="D625" s="34"/>
      <c r="E625" s="34"/>
      <c r="F625" s="34"/>
      <c r="G625" s="34"/>
      <c r="H625" s="34"/>
    </row>
    <row r="626" ht="25.5" customHeight="1">
      <c r="C626" s="6"/>
      <c r="D626" s="34"/>
      <c r="E626" s="34"/>
      <c r="F626" s="34"/>
      <c r="G626" s="34"/>
      <c r="H626" s="34"/>
    </row>
    <row r="627" ht="25.5" customHeight="1">
      <c r="C627" s="6"/>
      <c r="D627" s="34"/>
      <c r="E627" s="34"/>
      <c r="F627" s="34"/>
      <c r="G627" s="34"/>
      <c r="H627" s="34"/>
    </row>
    <row r="628" ht="25.5" customHeight="1">
      <c r="C628" s="6"/>
      <c r="D628" s="34"/>
      <c r="E628" s="34"/>
      <c r="F628" s="34"/>
      <c r="G628" s="34"/>
      <c r="H628" s="34"/>
    </row>
    <row r="629" ht="25.5" customHeight="1">
      <c r="C629" s="6"/>
      <c r="D629" s="34"/>
      <c r="E629" s="34"/>
      <c r="F629" s="34"/>
      <c r="G629" s="34"/>
      <c r="H629" s="34"/>
    </row>
    <row r="630" ht="25.5" customHeight="1">
      <c r="C630" s="6"/>
      <c r="D630" s="34"/>
      <c r="E630" s="34"/>
      <c r="F630" s="34"/>
      <c r="G630" s="34"/>
      <c r="H630" s="34"/>
    </row>
    <row r="631" ht="25.5" customHeight="1">
      <c r="C631" s="6"/>
      <c r="D631" s="34"/>
      <c r="E631" s="34"/>
      <c r="F631" s="34"/>
      <c r="G631" s="34"/>
      <c r="H631" s="34"/>
    </row>
    <row r="632" ht="25.5" customHeight="1">
      <c r="C632" s="6"/>
      <c r="D632" s="34"/>
      <c r="E632" s="34"/>
      <c r="F632" s="34"/>
      <c r="G632" s="34"/>
      <c r="H632" s="34"/>
    </row>
    <row r="633" ht="25.5" customHeight="1">
      <c r="C633" s="6"/>
      <c r="D633" s="34"/>
      <c r="E633" s="34"/>
      <c r="F633" s="34"/>
      <c r="G633" s="34"/>
      <c r="H633" s="34"/>
    </row>
    <row r="634" ht="25.5" customHeight="1">
      <c r="C634" s="6"/>
      <c r="D634" s="34"/>
      <c r="E634" s="34"/>
      <c r="F634" s="34"/>
      <c r="G634" s="34"/>
      <c r="H634" s="34"/>
    </row>
    <row r="635" ht="25.5" customHeight="1">
      <c r="C635" s="6"/>
      <c r="D635" s="34"/>
      <c r="E635" s="34"/>
      <c r="F635" s="34"/>
      <c r="G635" s="34"/>
      <c r="H635" s="34"/>
    </row>
    <row r="636" ht="25.5" customHeight="1">
      <c r="C636" s="6"/>
      <c r="D636" s="34"/>
      <c r="E636" s="34"/>
      <c r="F636" s="34"/>
      <c r="G636" s="34"/>
      <c r="H636" s="34"/>
    </row>
    <row r="637" ht="25.5" customHeight="1">
      <c r="C637" s="6"/>
      <c r="D637" s="34"/>
      <c r="E637" s="34"/>
      <c r="F637" s="34"/>
      <c r="G637" s="34"/>
      <c r="H637" s="34"/>
    </row>
    <row r="638" ht="25.5" customHeight="1">
      <c r="C638" s="6"/>
      <c r="D638" s="34"/>
      <c r="E638" s="34"/>
      <c r="F638" s="34"/>
      <c r="G638" s="34"/>
      <c r="H638" s="34"/>
    </row>
    <row r="639" ht="25.5" customHeight="1">
      <c r="C639" s="6"/>
      <c r="D639" s="34"/>
      <c r="E639" s="34"/>
      <c r="F639" s="34"/>
      <c r="G639" s="34"/>
      <c r="H639" s="34"/>
    </row>
    <row r="640" ht="25.5" customHeight="1">
      <c r="C640" s="6"/>
      <c r="D640" s="34"/>
      <c r="E640" s="34"/>
      <c r="F640" s="34"/>
      <c r="G640" s="34"/>
      <c r="H640" s="34"/>
    </row>
    <row r="641" ht="25.5" customHeight="1">
      <c r="C641" s="6"/>
      <c r="D641" s="34"/>
      <c r="E641" s="34"/>
      <c r="F641" s="34"/>
      <c r="G641" s="34"/>
      <c r="H641" s="34"/>
    </row>
    <row r="642" ht="25.5" customHeight="1">
      <c r="C642" s="6"/>
      <c r="D642" s="34"/>
      <c r="E642" s="34"/>
      <c r="F642" s="34"/>
      <c r="G642" s="34"/>
      <c r="H642" s="34"/>
    </row>
    <row r="643" ht="25.5" customHeight="1">
      <c r="C643" s="6"/>
      <c r="D643" s="34"/>
      <c r="E643" s="34"/>
      <c r="F643" s="34"/>
      <c r="G643" s="34"/>
      <c r="H643" s="34"/>
    </row>
    <row r="644" ht="25.5" customHeight="1">
      <c r="C644" s="6"/>
      <c r="D644" s="34"/>
      <c r="E644" s="34"/>
      <c r="F644" s="34"/>
      <c r="G644" s="34"/>
      <c r="H644" s="34"/>
    </row>
    <row r="645" ht="25.5" customHeight="1">
      <c r="C645" s="6"/>
      <c r="D645" s="34"/>
      <c r="E645" s="34"/>
      <c r="F645" s="34"/>
      <c r="G645" s="34"/>
      <c r="H645" s="34"/>
    </row>
    <row r="646" ht="25.5" customHeight="1">
      <c r="C646" s="6"/>
      <c r="D646" s="34"/>
      <c r="E646" s="34"/>
      <c r="F646" s="34"/>
      <c r="G646" s="34"/>
      <c r="H646" s="34"/>
    </row>
    <row r="647" ht="25.5" customHeight="1">
      <c r="C647" s="6"/>
      <c r="D647" s="34"/>
      <c r="E647" s="34"/>
      <c r="F647" s="34"/>
      <c r="G647" s="34"/>
      <c r="H647" s="34"/>
    </row>
    <row r="648" ht="25.5" customHeight="1">
      <c r="C648" s="6"/>
      <c r="D648" s="34"/>
      <c r="E648" s="34"/>
      <c r="F648" s="34"/>
      <c r="G648" s="34"/>
      <c r="H648" s="34"/>
    </row>
    <row r="649" ht="25.5" customHeight="1">
      <c r="C649" s="6"/>
      <c r="D649" s="34"/>
      <c r="E649" s="34"/>
      <c r="F649" s="34"/>
      <c r="G649" s="34"/>
      <c r="H649" s="34"/>
    </row>
    <row r="650" ht="25.5" customHeight="1">
      <c r="C650" s="6"/>
      <c r="D650" s="34"/>
      <c r="E650" s="34"/>
      <c r="F650" s="34"/>
      <c r="G650" s="34"/>
      <c r="H650" s="34"/>
    </row>
    <row r="651" ht="25.5" customHeight="1">
      <c r="C651" s="6"/>
      <c r="D651" s="34"/>
      <c r="E651" s="34"/>
      <c r="F651" s="34"/>
      <c r="G651" s="34"/>
      <c r="H651" s="34"/>
    </row>
    <row r="652" ht="25.5" customHeight="1">
      <c r="C652" s="6"/>
      <c r="D652" s="34"/>
      <c r="E652" s="34"/>
      <c r="F652" s="34"/>
      <c r="G652" s="34"/>
      <c r="H652" s="34"/>
    </row>
    <row r="653" ht="25.5" customHeight="1">
      <c r="C653" s="6"/>
      <c r="D653" s="34"/>
      <c r="E653" s="34"/>
      <c r="F653" s="34"/>
      <c r="G653" s="34"/>
      <c r="H653" s="34"/>
    </row>
    <row r="654" ht="25.5" customHeight="1">
      <c r="C654" s="6"/>
      <c r="D654" s="34"/>
      <c r="E654" s="34"/>
      <c r="F654" s="34"/>
      <c r="G654" s="34"/>
      <c r="H654" s="34"/>
    </row>
    <row r="655" ht="25.5" customHeight="1">
      <c r="C655" s="6"/>
      <c r="D655" s="34"/>
      <c r="E655" s="34"/>
      <c r="F655" s="34"/>
      <c r="G655" s="34"/>
      <c r="H655" s="34"/>
    </row>
    <row r="656" ht="25.5" customHeight="1">
      <c r="C656" s="6"/>
      <c r="D656" s="34"/>
      <c r="E656" s="34"/>
      <c r="F656" s="34"/>
      <c r="G656" s="34"/>
      <c r="H656" s="34"/>
    </row>
    <row r="657" ht="25.5" customHeight="1">
      <c r="C657" s="6"/>
      <c r="D657" s="34"/>
      <c r="E657" s="34"/>
      <c r="F657" s="34"/>
      <c r="G657" s="34"/>
      <c r="H657" s="34"/>
    </row>
    <row r="658" ht="25.5" customHeight="1">
      <c r="C658" s="6"/>
      <c r="D658" s="34"/>
      <c r="E658" s="34"/>
      <c r="F658" s="34"/>
      <c r="G658" s="34"/>
      <c r="H658" s="34"/>
    </row>
    <row r="659" ht="25.5" customHeight="1">
      <c r="C659" s="6"/>
      <c r="D659" s="34"/>
      <c r="E659" s="34"/>
      <c r="F659" s="34"/>
      <c r="G659" s="34"/>
      <c r="H659" s="34"/>
    </row>
    <row r="660" ht="25.5" customHeight="1">
      <c r="C660" s="6"/>
      <c r="D660" s="34"/>
      <c r="E660" s="34"/>
      <c r="F660" s="34"/>
      <c r="G660" s="34"/>
      <c r="H660" s="34"/>
    </row>
    <row r="661" ht="25.5" customHeight="1">
      <c r="C661" s="6"/>
      <c r="D661" s="34"/>
      <c r="E661" s="34"/>
      <c r="F661" s="34"/>
      <c r="G661" s="34"/>
      <c r="H661" s="34"/>
    </row>
    <row r="662" ht="25.5" customHeight="1">
      <c r="C662" s="6"/>
      <c r="D662" s="34"/>
      <c r="E662" s="34"/>
      <c r="F662" s="34"/>
      <c r="G662" s="34"/>
      <c r="H662" s="34"/>
    </row>
    <row r="663" ht="25.5" customHeight="1">
      <c r="C663" s="6"/>
      <c r="D663" s="34"/>
      <c r="E663" s="34"/>
      <c r="F663" s="34"/>
      <c r="G663" s="34"/>
      <c r="H663" s="34"/>
    </row>
    <row r="664" ht="25.5" customHeight="1">
      <c r="C664" s="6"/>
      <c r="D664" s="34"/>
      <c r="E664" s="34"/>
      <c r="F664" s="34"/>
      <c r="G664" s="34"/>
      <c r="H664" s="34"/>
    </row>
    <row r="665" ht="25.5" customHeight="1">
      <c r="C665" s="6"/>
      <c r="D665" s="34"/>
      <c r="E665" s="34"/>
      <c r="F665" s="34"/>
      <c r="G665" s="34"/>
      <c r="H665" s="34"/>
    </row>
    <row r="666" ht="25.5" customHeight="1">
      <c r="C666" s="6"/>
      <c r="D666" s="34"/>
      <c r="E666" s="34"/>
      <c r="F666" s="34"/>
      <c r="G666" s="34"/>
      <c r="H666" s="34"/>
    </row>
    <row r="667" ht="25.5" customHeight="1">
      <c r="C667" s="6"/>
      <c r="D667" s="34"/>
      <c r="E667" s="34"/>
      <c r="F667" s="34"/>
      <c r="G667" s="34"/>
      <c r="H667" s="34"/>
    </row>
    <row r="668" ht="25.5" customHeight="1">
      <c r="C668" s="6"/>
      <c r="D668" s="34"/>
      <c r="E668" s="34"/>
      <c r="F668" s="34"/>
      <c r="G668" s="34"/>
      <c r="H668" s="34"/>
    </row>
    <row r="669" ht="25.5" customHeight="1">
      <c r="C669" s="6"/>
      <c r="D669" s="34"/>
      <c r="E669" s="34"/>
      <c r="F669" s="34"/>
      <c r="G669" s="34"/>
      <c r="H669" s="34"/>
    </row>
    <row r="670" ht="25.5" customHeight="1">
      <c r="C670" s="6"/>
      <c r="D670" s="34"/>
      <c r="E670" s="34"/>
      <c r="F670" s="34"/>
      <c r="G670" s="34"/>
      <c r="H670" s="34"/>
    </row>
    <row r="671" ht="25.5" customHeight="1">
      <c r="C671" s="6"/>
      <c r="D671" s="34"/>
      <c r="E671" s="34"/>
      <c r="F671" s="34"/>
      <c r="G671" s="34"/>
      <c r="H671" s="34"/>
    </row>
    <row r="672" ht="25.5" customHeight="1">
      <c r="C672" s="6"/>
      <c r="D672" s="34"/>
      <c r="E672" s="34"/>
      <c r="F672" s="34"/>
      <c r="G672" s="34"/>
      <c r="H672" s="34"/>
    </row>
    <row r="673" ht="25.5" customHeight="1">
      <c r="C673" s="6"/>
      <c r="D673" s="34"/>
      <c r="E673" s="34"/>
      <c r="F673" s="34"/>
      <c r="G673" s="34"/>
      <c r="H673" s="34"/>
    </row>
    <row r="674" ht="25.5" customHeight="1">
      <c r="C674" s="6"/>
      <c r="D674" s="34"/>
      <c r="E674" s="34"/>
      <c r="F674" s="34"/>
      <c r="G674" s="34"/>
      <c r="H674" s="34"/>
    </row>
    <row r="675" ht="25.5" customHeight="1">
      <c r="C675" s="6"/>
      <c r="D675" s="34"/>
      <c r="E675" s="34"/>
      <c r="F675" s="34"/>
      <c r="G675" s="34"/>
      <c r="H675" s="34"/>
    </row>
    <row r="676" ht="25.5" customHeight="1">
      <c r="C676" s="6"/>
      <c r="D676" s="34"/>
      <c r="E676" s="34"/>
      <c r="F676" s="34"/>
      <c r="G676" s="34"/>
      <c r="H676" s="34"/>
    </row>
    <row r="677" ht="25.5" customHeight="1">
      <c r="C677" s="6"/>
      <c r="D677" s="34"/>
      <c r="E677" s="34"/>
      <c r="F677" s="34"/>
      <c r="G677" s="34"/>
      <c r="H677" s="34"/>
    </row>
    <row r="678" ht="25.5" customHeight="1">
      <c r="C678" s="6"/>
      <c r="D678" s="34"/>
      <c r="E678" s="34"/>
      <c r="F678" s="34"/>
      <c r="G678" s="34"/>
      <c r="H678" s="34"/>
    </row>
    <row r="679" ht="25.5" customHeight="1">
      <c r="C679" s="6"/>
      <c r="D679" s="34"/>
      <c r="E679" s="34"/>
      <c r="F679" s="34"/>
      <c r="G679" s="34"/>
      <c r="H679" s="34"/>
    </row>
    <row r="680" ht="25.5" customHeight="1">
      <c r="C680" s="6"/>
      <c r="D680" s="34"/>
      <c r="E680" s="34"/>
      <c r="F680" s="34"/>
      <c r="G680" s="34"/>
      <c r="H680" s="34"/>
    </row>
    <row r="681" ht="25.5" customHeight="1">
      <c r="C681" s="6"/>
      <c r="D681" s="34"/>
      <c r="E681" s="34"/>
      <c r="F681" s="34"/>
      <c r="G681" s="34"/>
      <c r="H681" s="34"/>
    </row>
    <row r="682" ht="25.5" customHeight="1">
      <c r="C682" s="6"/>
      <c r="D682" s="34"/>
      <c r="E682" s="34"/>
      <c r="F682" s="34"/>
      <c r="G682" s="34"/>
      <c r="H682" s="34"/>
    </row>
    <row r="683" ht="25.5" customHeight="1">
      <c r="C683" s="6"/>
      <c r="D683" s="34"/>
      <c r="E683" s="34"/>
      <c r="F683" s="34"/>
      <c r="G683" s="34"/>
      <c r="H683" s="34"/>
    </row>
    <row r="684" ht="25.5" customHeight="1">
      <c r="C684" s="6"/>
      <c r="D684" s="34"/>
      <c r="E684" s="34"/>
      <c r="F684" s="34"/>
      <c r="G684" s="34"/>
      <c r="H684" s="34"/>
    </row>
    <row r="685" ht="25.5" customHeight="1">
      <c r="C685" s="6"/>
      <c r="D685" s="34"/>
      <c r="E685" s="34"/>
      <c r="F685" s="34"/>
      <c r="G685" s="34"/>
      <c r="H685" s="34"/>
    </row>
    <row r="686" ht="25.5" customHeight="1">
      <c r="C686" s="6"/>
      <c r="D686" s="34"/>
      <c r="E686" s="34"/>
      <c r="F686" s="34"/>
      <c r="G686" s="34"/>
      <c r="H686" s="34"/>
    </row>
    <row r="687" ht="25.5" customHeight="1">
      <c r="C687" s="6"/>
      <c r="D687" s="34"/>
      <c r="E687" s="34"/>
      <c r="F687" s="34"/>
      <c r="G687" s="34"/>
      <c r="H687" s="34"/>
    </row>
    <row r="688" ht="25.5" customHeight="1">
      <c r="C688" s="6"/>
      <c r="D688" s="34"/>
      <c r="E688" s="34"/>
      <c r="F688" s="34"/>
      <c r="G688" s="34"/>
      <c r="H688" s="34"/>
    </row>
    <row r="689" ht="25.5" customHeight="1">
      <c r="C689" s="6"/>
      <c r="D689" s="34"/>
      <c r="E689" s="34"/>
      <c r="F689" s="34"/>
      <c r="G689" s="34"/>
      <c r="H689" s="34"/>
    </row>
    <row r="690" ht="25.5" customHeight="1">
      <c r="C690" s="6"/>
      <c r="D690" s="34"/>
      <c r="E690" s="34"/>
      <c r="F690" s="34"/>
      <c r="G690" s="34"/>
      <c r="H690" s="34"/>
    </row>
    <row r="691" ht="25.5" customHeight="1">
      <c r="C691" s="6"/>
      <c r="D691" s="34"/>
      <c r="E691" s="34"/>
      <c r="F691" s="34"/>
      <c r="G691" s="34"/>
      <c r="H691" s="34"/>
    </row>
    <row r="692" ht="25.5" customHeight="1">
      <c r="C692" s="6"/>
      <c r="D692" s="34"/>
      <c r="E692" s="34"/>
      <c r="F692" s="34"/>
      <c r="G692" s="34"/>
      <c r="H692" s="34"/>
    </row>
    <row r="693" ht="25.5" customHeight="1">
      <c r="C693" s="6"/>
      <c r="D693" s="34"/>
      <c r="E693" s="34"/>
      <c r="F693" s="34"/>
      <c r="G693" s="34"/>
      <c r="H693" s="34"/>
    </row>
    <row r="694" ht="25.5" customHeight="1">
      <c r="C694" s="6"/>
      <c r="D694" s="34"/>
      <c r="E694" s="34"/>
      <c r="F694" s="34"/>
      <c r="G694" s="34"/>
      <c r="H694" s="34"/>
    </row>
    <row r="695" ht="25.5" customHeight="1">
      <c r="C695" s="6"/>
      <c r="D695" s="34"/>
      <c r="E695" s="34"/>
      <c r="F695" s="34"/>
      <c r="G695" s="34"/>
      <c r="H695" s="34"/>
    </row>
    <row r="696" ht="25.5" customHeight="1">
      <c r="C696" s="6"/>
      <c r="D696" s="34"/>
      <c r="E696" s="34"/>
      <c r="F696" s="34"/>
      <c r="G696" s="34"/>
      <c r="H696" s="34"/>
    </row>
    <row r="697" ht="25.5" customHeight="1">
      <c r="C697" s="6"/>
      <c r="D697" s="34"/>
      <c r="E697" s="34"/>
      <c r="F697" s="34"/>
      <c r="G697" s="34"/>
      <c r="H697" s="34"/>
    </row>
    <row r="698" ht="25.5" customHeight="1">
      <c r="C698" s="6"/>
      <c r="D698" s="34"/>
      <c r="E698" s="34"/>
      <c r="F698" s="34"/>
      <c r="G698" s="34"/>
      <c r="H698" s="34"/>
    </row>
    <row r="699" ht="25.5" customHeight="1">
      <c r="C699" s="6"/>
      <c r="D699" s="34"/>
      <c r="E699" s="34"/>
      <c r="F699" s="34"/>
      <c r="G699" s="34"/>
      <c r="H699" s="34"/>
    </row>
    <row r="700" ht="25.5" customHeight="1">
      <c r="C700" s="6"/>
      <c r="D700" s="34"/>
      <c r="E700" s="34"/>
      <c r="F700" s="34"/>
      <c r="G700" s="34"/>
      <c r="H700" s="34"/>
    </row>
    <row r="701" ht="25.5" customHeight="1">
      <c r="C701" s="6"/>
      <c r="D701" s="34"/>
      <c r="E701" s="34"/>
      <c r="F701" s="34"/>
      <c r="G701" s="34"/>
      <c r="H701" s="34"/>
    </row>
    <row r="702" ht="25.5" customHeight="1">
      <c r="C702" s="6"/>
      <c r="D702" s="34"/>
      <c r="E702" s="34"/>
      <c r="F702" s="34"/>
      <c r="G702" s="34"/>
      <c r="H702" s="34"/>
    </row>
    <row r="703" ht="25.5" customHeight="1">
      <c r="C703" s="6"/>
      <c r="D703" s="34"/>
      <c r="E703" s="34"/>
      <c r="F703" s="34"/>
      <c r="G703" s="34"/>
      <c r="H703" s="34"/>
    </row>
    <row r="704" ht="25.5" customHeight="1">
      <c r="C704" s="6"/>
      <c r="D704" s="34"/>
      <c r="E704" s="34"/>
      <c r="F704" s="34"/>
      <c r="G704" s="34"/>
      <c r="H704" s="34"/>
    </row>
    <row r="705" ht="25.5" customHeight="1">
      <c r="C705" s="6"/>
      <c r="D705" s="34"/>
      <c r="E705" s="34"/>
      <c r="F705" s="34"/>
      <c r="G705" s="34"/>
      <c r="H705" s="34"/>
    </row>
    <row r="706" ht="25.5" customHeight="1">
      <c r="C706" s="6"/>
      <c r="D706" s="34"/>
      <c r="E706" s="34"/>
      <c r="F706" s="34"/>
      <c r="G706" s="34"/>
      <c r="H706" s="34"/>
    </row>
    <row r="707" ht="25.5" customHeight="1">
      <c r="C707" s="6"/>
      <c r="D707" s="34"/>
      <c r="E707" s="34"/>
      <c r="F707" s="34"/>
      <c r="G707" s="34"/>
      <c r="H707" s="34"/>
    </row>
    <row r="708" ht="25.5" customHeight="1">
      <c r="C708" s="6"/>
      <c r="D708" s="34"/>
      <c r="E708" s="34"/>
      <c r="F708" s="34"/>
      <c r="G708" s="34"/>
      <c r="H708" s="34"/>
    </row>
    <row r="709" ht="25.5" customHeight="1">
      <c r="C709" s="6"/>
      <c r="D709" s="34"/>
      <c r="E709" s="34"/>
      <c r="F709" s="34"/>
      <c r="G709" s="34"/>
      <c r="H709" s="34"/>
    </row>
    <row r="710" ht="25.5" customHeight="1">
      <c r="C710" s="6"/>
      <c r="D710" s="34"/>
      <c r="E710" s="34"/>
      <c r="F710" s="34"/>
      <c r="G710" s="34"/>
      <c r="H710" s="34"/>
    </row>
    <row r="711" ht="25.5" customHeight="1">
      <c r="C711" s="6"/>
      <c r="D711" s="34"/>
      <c r="E711" s="34"/>
      <c r="F711" s="34"/>
      <c r="G711" s="34"/>
      <c r="H711" s="34"/>
    </row>
    <row r="712" ht="25.5" customHeight="1">
      <c r="C712" s="6"/>
      <c r="D712" s="34"/>
      <c r="E712" s="34"/>
      <c r="F712" s="34"/>
      <c r="G712" s="34"/>
      <c r="H712" s="34"/>
    </row>
    <row r="713" ht="25.5" customHeight="1">
      <c r="C713" s="6"/>
      <c r="D713" s="34"/>
      <c r="E713" s="34"/>
      <c r="F713" s="34"/>
      <c r="G713" s="34"/>
      <c r="H713" s="34"/>
    </row>
    <row r="714" ht="25.5" customHeight="1">
      <c r="C714" s="6"/>
      <c r="D714" s="34"/>
      <c r="E714" s="34"/>
      <c r="F714" s="34"/>
      <c r="G714" s="34"/>
      <c r="H714" s="34"/>
    </row>
    <row r="715" ht="25.5" customHeight="1">
      <c r="C715" s="6"/>
      <c r="D715" s="34"/>
      <c r="E715" s="34"/>
      <c r="F715" s="34"/>
      <c r="G715" s="34"/>
      <c r="H715" s="34"/>
    </row>
    <row r="716" ht="25.5" customHeight="1">
      <c r="C716" s="6"/>
      <c r="D716" s="34"/>
      <c r="E716" s="34"/>
      <c r="F716" s="34"/>
      <c r="G716" s="34"/>
      <c r="H716" s="34"/>
    </row>
    <row r="717" ht="25.5" customHeight="1">
      <c r="C717" s="6"/>
      <c r="D717" s="34"/>
      <c r="E717" s="34"/>
      <c r="F717" s="34"/>
      <c r="G717" s="34"/>
      <c r="H717" s="34"/>
    </row>
    <row r="718" ht="25.5" customHeight="1">
      <c r="C718" s="6"/>
      <c r="D718" s="34"/>
      <c r="E718" s="34"/>
      <c r="F718" s="34"/>
      <c r="G718" s="34"/>
      <c r="H718" s="34"/>
    </row>
    <row r="719" ht="25.5" customHeight="1">
      <c r="C719" s="6"/>
      <c r="D719" s="34"/>
      <c r="E719" s="34"/>
      <c r="F719" s="34"/>
      <c r="G719" s="34"/>
      <c r="H719" s="34"/>
    </row>
    <row r="720" ht="25.5" customHeight="1">
      <c r="C720" s="6"/>
      <c r="D720" s="34"/>
      <c r="E720" s="34"/>
      <c r="F720" s="34"/>
      <c r="G720" s="34"/>
      <c r="H720" s="34"/>
    </row>
    <row r="721" ht="25.5" customHeight="1">
      <c r="C721" s="6"/>
      <c r="D721" s="34"/>
      <c r="E721" s="34"/>
      <c r="F721" s="34"/>
      <c r="G721" s="34"/>
      <c r="H721" s="34"/>
    </row>
    <row r="722" ht="25.5" customHeight="1">
      <c r="C722" s="6"/>
      <c r="D722" s="34"/>
      <c r="E722" s="34"/>
      <c r="F722" s="34"/>
      <c r="G722" s="34"/>
      <c r="H722" s="34"/>
    </row>
    <row r="723" ht="25.5" customHeight="1">
      <c r="C723" s="6"/>
      <c r="D723" s="34"/>
      <c r="E723" s="34"/>
      <c r="F723" s="34"/>
      <c r="G723" s="34"/>
      <c r="H723" s="34"/>
    </row>
    <row r="724" ht="25.5" customHeight="1">
      <c r="C724" s="6"/>
      <c r="D724" s="34"/>
      <c r="E724" s="34"/>
      <c r="F724" s="34"/>
      <c r="G724" s="34"/>
      <c r="H724" s="34"/>
    </row>
    <row r="725" ht="25.5" customHeight="1">
      <c r="C725" s="6"/>
      <c r="D725" s="34"/>
      <c r="E725" s="34"/>
      <c r="F725" s="34"/>
      <c r="G725" s="34"/>
      <c r="H725" s="34"/>
    </row>
    <row r="726" ht="25.5" customHeight="1">
      <c r="C726" s="6"/>
      <c r="D726" s="34"/>
      <c r="E726" s="34"/>
      <c r="F726" s="34"/>
      <c r="G726" s="34"/>
      <c r="H726" s="34"/>
    </row>
    <row r="727" ht="25.5" customHeight="1">
      <c r="C727" s="6"/>
      <c r="D727" s="34"/>
      <c r="E727" s="34"/>
      <c r="F727" s="34"/>
      <c r="G727" s="34"/>
      <c r="H727" s="34"/>
    </row>
    <row r="728" ht="25.5" customHeight="1">
      <c r="C728" s="6"/>
      <c r="D728" s="34"/>
      <c r="E728" s="34"/>
      <c r="F728" s="34"/>
      <c r="G728" s="34"/>
      <c r="H728" s="34"/>
    </row>
    <row r="729" ht="25.5" customHeight="1">
      <c r="C729" s="6"/>
      <c r="D729" s="34"/>
      <c r="E729" s="34"/>
      <c r="F729" s="34"/>
      <c r="G729" s="34"/>
      <c r="H729" s="34"/>
    </row>
    <row r="730" ht="25.5" customHeight="1">
      <c r="C730" s="6"/>
      <c r="D730" s="34"/>
      <c r="E730" s="34"/>
      <c r="F730" s="34"/>
      <c r="G730" s="34"/>
      <c r="H730" s="34"/>
    </row>
    <row r="731" ht="25.5" customHeight="1">
      <c r="C731" s="6"/>
      <c r="D731" s="34"/>
      <c r="E731" s="34"/>
      <c r="F731" s="34"/>
      <c r="G731" s="34"/>
      <c r="H731" s="34"/>
    </row>
    <row r="732" ht="25.5" customHeight="1">
      <c r="C732" s="6"/>
      <c r="D732" s="34"/>
      <c r="E732" s="34"/>
      <c r="F732" s="34"/>
      <c r="G732" s="34"/>
      <c r="H732" s="34"/>
    </row>
    <row r="733" ht="25.5" customHeight="1">
      <c r="C733" s="6"/>
      <c r="D733" s="34"/>
      <c r="E733" s="34"/>
      <c r="F733" s="34"/>
      <c r="G733" s="34"/>
      <c r="H733" s="34"/>
    </row>
    <row r="734" ht="25.5" customHeight="1">
      <c r="C734" s="6"/>
      <c r="D734" s="34"/>
      <c r="E734" s="34"/>
      <c r="F734" s="34"/>
      <c r="G734" s="34"/>
      <c r="H734" s="34"/>
    </row>
    <row r="735" ht="25.5" customHeight="1">
      <c r="C735" s="6"/>
      <c r="D735" s="34"/>
      <c r="E735" s="34"/>
      <c r="F735" s="34"/>
      <c r="G735" s="34"/>
      <c r="H735" s="34"/>
    </row>
    <row r="736" ht="25.5" customHeight="1">
      <c r="C736" s="6"/>
      <c r="D736" s="34"/>
      <c r="E736" s="34"/>
      <c r="F736" s="34"/>
      <c r="G736" s="34"/>
      <c r="H736" s="34"/>
    </row>
    <row r="737" ht="25.5" customHeight="1">
      <c r="C737" s="6"/>
      <c r="D737" s="34"/>
      <c r="E737" s="34"/>
      <c r="F737" s="34"/>
      <c r="G737" s="34"/>
      <c r="H737" s="34"/>
    </row>
    <row r="738" ht="25.5" customHeight="1">
      <c r="C738" s="6"/>
      <c r="D738" s="34"/>
      <c r="E738" s="34"/>
      <c r="F738" s="34"/>
      <c r="G738" s="34"/>
      <c r="H738" s="34"/>
    </row>
    <row r="739" ht="25.5" customHeight="1">
      <c r="C739" s="6"/>
      <c r="D739" s="34"/>
      <c r="E739" s="34"/>
      <c r="F739" s="34"/>
      <c r="G739" s="34"/>
      <c r="H739" s="34"/>
    </row>
    <row r="740" ht="25.5" customHeight="1">
      <c r="C740" s="6"/>
      <c r="D740" s="34"/>
      <c r="E740" s="34"/>
      <c r="F740" s="34"/>
      <c r="G740" s="34"/>
      <c r="H740" s="34"/>
    </row>
    <row r="741" ht="25.5" customHeight="1">
      <c r="C741" s="6"/>
      <c r="D741" s="34"/>
      <c r="E741" s="34"/>
      <c r="F741" s="34"/>
      <c r="G741" s="34"/>
      <c r="H741" s="34"/>
    </row>
    <row r="742" ht="25.5" customHeight="1">
      <c r="C742" s="6"/>
      <c r="D742" s="34"/>
      <c r="E742" s="34"/>
      <c r="F742" s="34"/>
      <c r="G742" s="34"/>
      <c r="H742" s="34"/>
    </row>
    <row r="743" ht="25.5" customHeight="1">
      <c r="C743" s="6"/>
      <c r="D743" s="34"/>
      <c r="E743" s="34"/>
      <c r="F743" s="34"/>
      <c r="G743" s="34"/>
      <c r="H743" s="34"/>
    </row>
    <row r="744" ht="25.5" customHeight="1">
      <c r="C744" s="6"/>
      <c r="D744" s="34"/>
      <c r="E744" s="34"/>
      <c r="F744" s="34"/>
      <c r="G744" s="34"/>
      <c r="H744" s="34"/>
    </row>
    <row r="745" ht="25.5" customHeight="1">
      <c r="C745" s="6"/>
      <c r="D745" s="34"/>
      <c r="E745" s="34"/>
      <c r="F745" s="34"/>
      <c r="G745" s="34"/>
      <c r="H745" s="34"/>
    </row>
    <row r="746" ht="25.5" customHeight="1">
      <c r="C746" s="6"/>
      <c r="D746" s="34"/>
      <c r="E746" s="34"/>
      <c r="F746" s="34"/>
      <c r="G746" s="34"/>
      <c r="H746" s="34"/>
    </row>
    <row r="747" ht="25.5" customHeight="1">
      <c r="C747" s="6"/>
      <c r="D747" s="34"/>
      <c r="E747" s="34"/>
      <c r="F747" s="34"/>
      <c r="G747" s="34"/>
      <c r="H747" s="34"/>
    </row>
    <row r="748" ht="25.5" customHeight="1">
      <c r="C748" s="6"/>
      <c r="D748" s="34"/>
      <c r="E748" s="34"/>
      <c r="F748" s="34"/>
      <c r="G748" s="34"/>
      <c r="H748" s="34"/>
    </row>
    <row r="749" ht="25.5" customHeight="1">
      <c r="C749" s="6"/>
      <c r="D749" s="34"/>
      <c r="E749" s="34"/>
      <c r="F749" s="34"/>
      <c r="G749" s="34"/>
      <c r="H749" s="34"/>
    </row>
    <row r="750" ht="25.5" customHeight="1">
      <c r="C750" s="6"/>
      <c r="D750" s="34"/>
      <c r="E750" s="34"/>
      <c r="F750" s="34"/>
      <c r="G750" s="34"/>
      <c r="H750" s="34"/>
    </row>
    <row r="751" ht="25.5" customHeight="1">
      <c r="C751" s="6"/>
      <c r="D751" s="34"/>
      <c r="E751" s="34"/>
      <c r="F751" s="34"/>
      <c r="G751" s="34"/>
      <c r="H751" s="34"/>
    </row>
    <row r="752" ht="25.5" customHeight="1">
      <c r="C752" s="6"/>
      <c r="D752" s="34"/>
      <c r="E752" s="34"/>
      <c r="F752" s="34"/>
      <c r="G752" s="34"/>
      <c r="H752" s="34"/>
    </row>
    <row r="753" ht="25.5" customHeight="1">
      <c r="C753" s="6"/>
      <c r="D753" s="34"/>
      <c r="E753" s="34"/>
      <c r="F753" s="34"/>
      <c r="G753" s="34"/>
      <c r="H753" s="34"/>
    </row>
    <row r="754" ht="25.5" customHeight="1">
      <c r="C754" s="6"/>
      <c r="D754" s="34"/>
      <c r="E754" s="34"/>
      <c r="F754" s="34"/>
      <c r="G754" s="34"/>
      <c r="H754" s="34"/>
    </row>
    <row r="755" ht="25.5" customHeight="1">
      <c r="C755" s="6"/>
      <c r="D755" s="34"/>
      <c r="E755" s="34"/>
      <c r="F755" s="34"/>
      <c r="G755" s="34"/>
      <c r="H755" s="34"/>
    </row>
    <row r="756" ht="25.5" customHeight="1">
      <c r="C756" s="6"/>
      <c r="D756" s="34"/>
      <c r="E756" s="34"/>
      <c r="F756" s="34"/>
      <c r="G756" s="34"/>
      <c r="H756" s="34"/>
    </row>
    <row r="757" ht="25.5" customHeight="1">
      <c r="C757" s="6"/>
      <c r="D757" s="34"/>
      <c r="E757" s="34"/>
      <c r="F757" s="34"/>
      <c r="G757" s="34"/>
      <c r="H757" s="34"/>
    </row>
    <row r="758" ht="25.5" customHeight="1">
      <c r="C758" s="6"/>
      <c r="D758" s="34"/>
      <c r="E758" s="34"/>
      <c r="F758" s="34"/>
      <c r="G758" s="34"/>
      <c r="H758" s="34"/>
    </row>
    <row r="759" ht="25.5" customHeight="1">
      <c r="C759" s="6"/>
      <c r="D759" s="34"/>
      <c r="E759" s="34"/>
      <c r="F759" s="34"/>
      <c r="G759" s="34"/>
      <c r="H759" s="34"/>
    </row>
    <row r="760" ht="25.5" customHeight="1">
      <c r="C760" s="6"/>
      <c r="D760" s="34"/>
      <c r="E760" s="34"/>
      <c r="F760" s="34"/>
      <c r="G760" s="34"/>
      <c r="H760" s="34"/>
    </row>
    <row r="761" ht="25.5" customHeight="1">
      <c r="C761" s="6"/>
      <c r="D761" s="34"/>
      <c r="E761" s="34"/>
      <c r="F761" s="34"/>
      <c r="G761" s="34"/>
      <c r="H761" s="34"/>
    </row>
    <row r="762" ht="25.5" customHeight="1">
      <c r="C762" s="6"/>
      <c r="D762" s="34"/>
      <c r="E762" s="34"/>
      <c r="F762" s="34"/>
      <c r="G762" s="34"/>
      <c r="H762" s="34"/>
    </row>
    <row r="763" ht="25.5" customHeight="1">
      <c r="C763" s="6"/>
      <c r="D763" s="34"/>
      <c r="E763" s="34"/>
      <c r="F763" s="34"/>
      <c r="G763" s="34"/>
      <c r="H763" s="34"/>
    </row>
    <row r="764" ht="25.5" customHeight="1">
      <c r="C764" s="6"/>
      <c r="D764" s="34"/>
      <c r="E764" s="34"/>
      <c r="F764" s="34"/>
      <c r="G764" s="34"/>
      <c r="H764" s="34"/>
    </row>
    <row r="765" ht="25.5" customHeight="1">
      <c r="C765" s="6"/>
      <c r="D765" s="34"/>
      <c r="E765" s="34"/>
      <c r="F765" s="34"/>
      <c r="G765" s="34"/>
      <c r="H765" s="34"/>
    </row>
    <row r="766" ht="25.5" customHeight="1">
      <c r="C766" s="6"/>
      <c r="D766" s="34"/>
      <c r="E766" s="34"/>
      <c r="F766" s="34"/>
      <c r="G766" s="34"/>
      <c r="H766" s="34"/>
    </row>
    <row r="767" ht="25.5" customHeight="1">
      <c r="C767" s="6"/>
      <c r="D767" s="34"/>
      <c r="E767" s="34"/>
      <c r="F767" s="34"/>
      <c r="G767" s="34"/>
      <c r="H767" s="34"/>
    </row>
    <row r="768" ht="25.5" customHeight="1">
      <c r="C768" s="6"/>
      <c r="D768" s="34"/>
      <c r="E768" s="34"/>
      <c r="F768" s="34"/>
      <c r="G768" s="34"/>
      <c r="H768" s="34"/>
    </row>
    <row r="769" ht="25.5" customHeight="1">
      <c r="C769" s="6"/>
      <c r="D769" s="34"/>
      <c r="E769" s="34"/>
      <c r="F769" s="34"/>
      <c r="G769" s="34"/>
      <c r="H769" s="34"/>
    </row>
    <row r="770" ht="25.5" customHeight="1">
      <c r="C770" s="6"/>
      <c r="D770" s="34"/>
      <c r="E770" s="34"/>
      <c r="F770" s="34"/>
      <c r="G770" s="34"/>
      <c r="H770" s="34"/>
    </row>
    <row r="771" ht="25.5" customHeight="1">
      <c r="C771" s="6"/>
      <c r="D771" s="34"/>
      <c r="E771" s="34"/>
      <c r="F771" s="34"/>
      <c r="G771" s="34"/>
      <c r="H771" s="34"/>
    </row>
    <row r="772" ht="25.5" customHeight="1">
      <c r="C772" s="6"/>
      <c r="D772" s="34"/>
      <c r="E772" s="34"/>
      <c r="F772" s="34"/>
      <c r="G772" s="34"/>
      <c r="H772" s="34"/>
    </row>
    <row r="773" ht="25.5" customHeight="1">
      <c r="C773" s="6"/>
      <c r="D773" s="34"/>
      <c r="E773" s="34"/>
      <c r="F773" s="34"/>
      <c r="G773" s="34"/>
      <c r="H773" s="34"/>
    </row>
    <row r="774" ht="25.5" customHeight="1">
      <c r="C774" s="6"/>
      <c r="D774" s="34"/>
      <c r="E774" s="34"/>
      <c r="F774" s="34"/>
      <c r="G774" s="34"/>
      <c r="H774" s="34"/>
    </row>
    <row r="775" ht="25.5" customHeight="1">
      <c r="C775" s="6"/>
      <c r="D775" s="34"/>
      <c r="E775" s="34"/>
      <c r="F775" s="34"/>
      <c r="G775" s="34"/>
      <c r="H775" s="34"/>
    </row>
    <row r="776" ht="25.5" customHeight="1">
      <c r="C776" s="6"/>
      <c r="D776" s="34"/>
      <c r="E776" s="34"/>
      <c r="F776" s="34"/>
      <c r="G776" s="34"/>
      <c r="H776" s="34"/>
    </row>
    <row r="777" ht="25.5" customHeight="1">
      <c r="C777" s="6"/>
      <c r="D777" s="34"/>
      <c r="E777" s="34"/>
      <c r="F777" s="34"/>
      <c r="G777" s="34"/>
      <c r="H777" s="34"/>
    </row>
    <row r="778" ht="25.5" customHeight="1">
      <c r="C778" s="6"/>
      <c r="D778" s="34"/>
      <c r="E778" s="34"/>
      <c r="F778" s="34"/>
      <c r="G778" s="34"/>
      <c r="H778" s="34"/>
    </row>
    <row r="779" ht="25.5" customHeight="1">
      <c r="C779" s="6"/>
      <c r="D779" s="34"/>
      <c r="E779" s="34"/>
      <c r="F779" s="34"/>
      <c r="G779" s="34"/>
      <c r="H779" s="34"/>
    </row>
    <row r="780" ht="25.5" customHeight="1">
      <c r="C780" s="6"/>
      <c r="D780" s="34"/>
      <c r="E780" s="34"/>
      <c r="F780" s="34"/>
      <c r="G780" s="34"/>
      <c r="H780" s="34"/>
    </row>
    <row r="781" ht="25.5" customHeight="1">
      <c r="C781" s="6"/>
      <c r="D781" s="34"/>
      <c r="E781" s="34"/>
      <c r="F781" s="34"/>
      <c r="G781" s="34"/>
      <c r="H781" s="34"/>
    </row>
    <row r="782" ht="25.5" customHeight="1">
      <c r="C782" s="6"/>
      <c r="D782" s="34"/>
      <c r="E782" s="34"/>
      <c r="F782" s="34"/>
      <c r="G782" s="34"/>
      <c r="H782" s="34"/>
    </row>
    <row r="783" ht="25.5" customHeight="1">
      <c r="C783" s="6"/>
      <c r="D783" s="34"/>
      <c r="E783" s="34"/>
      <c r="F783" s="34"/>
      <c r="G783" s="34"/>
      <c r="H783" s="34"/>
    </row>
    <row r="784" ht="25.5" customHeight="1">
      <c r="C784" s="6"/>
      <c r="D784" s="34"/>
      <c r="E784" s="34"/>
      <c r="F784" s="34"/>
      <c r="G784" s="34"/>
      <c r="H784" s="34"/>
    </row>
    <row r="785" ht="25.5" customHeight="1">
      <c r="C785" s="6"/>
      <c r="D785" s="34"/>
      <c r="E785" s="34"/>
      <c r="F785" s="34"/>
      <c r="G785" s="34"/>
      <c r="H785" s="34"/>
    </row>
    <row r="786" ht="25.5" customHeight="1">
      <c r="C786" s="6"/>
      <c r="D786" s="34"/>
      <c r="E786" s="34"/>
      <c r="F786" s="34"/>
      <c r="G786" s="34"/>
      <c r="H786" s="34"/>
    </row>
    <row r="787" ht="25.5" customHeight="1">
      <c r="C787" s="6"/>
      <c r="D787" s="34"/>
      <c r="E787" s="34"/>
      <c r="F787" s="34"/>
      <c r="G787" s="34"/>
      <c r="H787" s="34"/>
    </row>
    <row r="788" ht="25.5" customHeight="1">
      <c r="C788" s="6"/>
      <c r="D788" s="34"/>
      <c r="E788" s="34"/>
      <c r="F788" s="34"/>
      <c r="G788" s="34"/>
      <c r="H788" s="34"/>
    </row>
    <row r="789" ht="25.5" customHeight="1">
      <c r="C789" s="6"/>
      <c r="D789" s="34"/>
      <c r="E789" s="34"/>
      <c r="F789" s="34"/>
      <c r="G789" s="34"/>
      <c r="H789" s="34"/>
    </row>
    <row r="790" ht="25.5" customHeight="1">
      <c r="C790" s="6"/>
      <c r="D790" s="34"/>
      <c r="E790" s="34"/>
      <c r="F790" s="34"/>
      <c r="G790" s="34"/>
      <c r="H790" s="34"/>
    </row>
    <row r="791" ht="25.5" customHeight="1">
      <c r="C791" s="6"/>
      <c r="D791" s="34"/>
      <c r="E791" s="34"/>
      <c r="F791" s="34"/>
      <c r="G791" s="34"/>
      <c r="H791" s="34"/>
    </row>
    <row r="792" ht="25.5" customHeight="1">
      <c r="C792" s="6"/>
      <c r="D792" s="34"/>
      <c r="E792" s="34"/>
      <c r="F792" s="34"/>
      <c r="G792" s="34"/>
      <c r="H792" s="34"/>
    </row>
    <row r="793" ht="25.5" customHeight="1">
      <c r="C793" s="6"/>
      <c r="D793" s="34"/>
      <c r="E793" s="34"/>
      <c r="F793" s="34"/>
      <c r="G793" s="34"/>
      <c r="H793" s="34"/>
    </row>
    <row r="794" ht="25.5" customHeight="1">
      <c r="C794" s="6"/>
      <c r="D794" s="34"/>
      <c r="E794" s="34"/>
      <c r="F794" s="34"/>
      <c r="G794" s="34"/>
      <c r="H794" s="34"/>
    </row>
    <row r="795" ht="25.5" customHeight="1">
      <c r="C795" s="6"/>
      <c r="D795" s="34"/>
      <c r="E795" s="34"/>
      <c r="F795" s="34"/>
      <c r="G795" s="34"/>
      <c r="H795" s="34"/>
    </row>
    <row r="796" ht="25.5" customHeight="1">
      <c r="C796" s="6"/>
      <c r="D796" s="34"/>
      <c r="E796" s="34"/>
      <c r="F796" s="34"/>
      <c r="G796" s="34"/>
      <c r="H796" s="34"/>
    </row>
    <row r="797" ht="25.5" customHeight="1">
      <c r="C797" s="6"/>
      <c r="D797" s="34"/>
      <c r="E797" s="34"/>
      <c r="F797" s="34"/>
      <c r="G797" s="34"/>
      <c r="H797" s="34"/>
    </row>
    <row r="798" ht="25.5" customHeight="1">
      <c r="C798" s="6"/>
      <c r="D798" s="34"/>
      <c r="E798" s="34"/>
      <c r="F798" s="34"/>
      <c r="G798" s="34"/>
      <c r="H798" s="34"/>
    </row>
    <row r="799" ht="25.5" customHeight="1">
      <c r="C799" s="6"/>
      <c r="D799" s="34"/>
      <c r="E799" s="34"/>
      <c r="F799" s="34"/>
      <c r="G799" s="34"/>
      <c r="H799" s="34"/>
    </row>
    <row r="800" ht="25.5" customHeight="1">
      <c r="C800" s="6"/>
      <c r="D800" s="34"/>
      <c r="E800" s="34"/>
      <c r="F800" s="34"/>
      <c r="G800" s="34"/>
      <c r="H800" s="34"/>
    </row>
    <row r="801" ht="25.5" customHeight="1">
      <c r="C801" s="6"/>
      <c r="D801" s="34"/>
      <c r="E801" s="34"/>
      <c r="F801" s="34"/>
      <c r="G801" s="34"/>
      <c r="H801" s="34"/>
    </row>
    <row r="802" ht="25.5" customHeight="1">
      <c r="C802" s="6"/>
      <c r="D802" s="34"/>
      <c r="E802" s="34"/>
      <c r="F802" s="34"/>
      <c r="G802" s="34"/>
      <c r="H802" s="34"/>
    </row>
    <row r="803" ht="25.5" customHeight="1">
      <c r="C803" s="6"/>
      <c r="D803" s="34"/>
      <c r="E803" s="34"/>
      <c r="F803" s="34"/>
      <c r="G803" s="34"/>
      <c r="H803" s="34"/>
    </row>
    <row r="804" ht="25.5" customHeight="1">
      <c r="C804" s="6"/>
      <c r="D804" s="34"/>
      <c r="E804" s="34"/>
      <c r="F804" s="34"/>
      <c r="G804" s="34"/>
      <c r="H804" s="34"/>
    </row>
    <row r="805" ht="25.5" customHeight="1">
      <c r="C805" s="6"/>
      <c r="D805" s="34"/>
      <c r="E805" s="34"/>
      <c r="F805" s="34"/>
      <c r="G805" s="34"/>
      <c r="H805" s="34"/>
    </row>
    <row r="806" ht="25.5" customHeight="1">
      <c r="C806" s="6"/>
      <c r="D806" s="34"/>
      <c r="E806" s="34"/>
      <c r="F806" s="34"/>
      <c r="G806" s="34"/>
      <c r="H806" s="34"/>
    </row>
    <row r="807" ht="25.5" customHeight="1">
      <c r="C807" s="6"/>
      <c r="D807" s="34"/>
      <c r="E807" s="34"/>
      <c r="F807" s="34"/>
      <c r="G807" s="34"/>
      <c r="H807" s="34"/>
    </row>
    <row r="808" ht="25.5" customHeight="1">
      <c r="C808" s="6"/>
      <c r="D808" s="34"/>
      <c r="E808" s="34"/>
      <c r="F808" s="34"/>
      <c r="G808" s="34"/>
      <c r="H808" s="34"/>
    </row>
    <row r="809" ht="25.5" customHeight="1">
      <c r="C809" s="6"/>
      <c r="D809" s="34"/>
      <c r="E809" s="34"/>
      <c r="F809" s="34"/>
      <c r="G809" s="34"/>
      <c r="H809" s="34"/>
    </row>
    <row r="810" ht="25.5" customHeight="1">
      <c r="C810" s="6"/>
      <c r="D810" s="34"/>
      <c r="E810" s="34"/>
      <c r="F810" s="34"/>
      <c r="G810" s="34"/>
      <c r="H810" s="34"/>
    </row>
    <row r="811" ht="25.5" customHeight="1">
      <c r="C811" s="6"/>
      <c r="D811" s="34"/>
      <c r="E811" s="34"/>
      <c r="F811" s="34"/>
      <c r="G811" s="34"/>
      <c r="H811" s="34"/>
    </row>
    <row r="812" ht="25.5" customHeight="1">
      <c r="C812" s="6"/>
      <c r="D812" s="34"/>
      <c r="E812" s="34"/>
      <c r="F812" s="34"/>
      <c r="G812" s="34"/>
      <c r="H812" s="34"/>
    </row>
    <row r="813" ht="25.5" customHeight="1">
      <c r="C813" s="6"/>
      <c r="D813" s="34"/>
      <c r="E813" s="34"/>
      <c r="F813" s="34"/>
      <c r="G813" s="34"/>
      <c r="H813" s="34"/>
    </row>
    <row r="814" ht="25.5" customHeight="1">
      <c r="C814" s="6"/>
      <c r="D814" s="34"/>
      <c r="E814" s="34"/>
      <c r="F814" s="34"/>
      <c r="G814" s="34"/>
      <c r="H814" s="34"/>
    </row>
    <row r="815" ht="25.5" customHeight="1">
      <c r="C815" s="6"/>
      <c r="D815" s="34"/>
      <c r="E815" s="34"/>
      <c r="F815" s="34"/>
      <c r="G815" s="34"/>
      <c r="H815" s="34"/>
    </row>
    <row r="816" ht="25.5" customHeight="1">
      <c r="C816" s="6"/>
      <c r="D816" s="34"/>
      <c r="E816" s="34"/>
      <c r="F816" s="34"/>
      <c r="G816" s="34"/>
      <c r="H816" s="34"/>
    </row>
    <row r="817" ht="25.5" customHeight="1">
      <c r="C817" s="6"/>
      <c r="D817" s="34"/>
      <c r="E817" s="34"/>
      <c r="F817" s="34"/>
      <c r="G817" s="34"/>
      <c r="H817" s="34"/>
    </row>
    <row r="818" ht="25.5" customHeight="1">
      <c r="C818" s="6"/>
      <c r="D818" s="34"/>
      <c r="E818" s="34"/>
      <c r="F818" s="34"/>
      <c r="G818" s="34"/>
      <c r="H818" s="34"/>
    </row>
    <row r="819" ht="25.5" customHeight="1">
      <c r="C819" s="6"/>
      <c r="D819" s="34"/>
      <c r="E819" s="34"/>
      <c r="F819" s="34"/>
      <c r="G819" s="34"/>
      <c r="H819" s="34"/>
    </row>
    <row r="820" ht="25.5" customHeight="1">
      <c r="C820" s="6"/>
      <c r="D820" s="34"/>
      <c r="E820" s="34"/>
      <c r="F820" s="34"/>
      <c r="G820" s="34"/>
      <c r="H820" s="34"/>
    </row>
    <row r="821" ht="25.5" customHeight="1">
      <c r="C821" s="6"/>
      <c r="D821" s="34"/>
      <c r="E821" s="34"/>
      <c r="F821" s="34"/>
      <c r="G821" s="34"/>
      <c r="H821" s="34"/>
    </row>
    <row r="822" ht="25.5" customHeight="1">
      <c r="C822" s="6"/>
      <c r="D822" s="34"/>
      <c r="E822" s="34"/>
      <c r="F822" s="34"/>
      <c r="G822" s="34"/>
      <c r="H822" s="34"/>
    </row>
    <row r="823" ht="25.5" customHeight="1">
      <c r="C823" s="6"/>
      <c r="D823" s="34"/>
      <c r="E823" s="34"/>
      <c r="F823" s="34"/>
      <c r="G823" s="34"/>
      <c r="H823" s="34"/>
    </row>
    <row r="824" ht="25.5" customHeight="1">
      <c r="C824" s="6"/>
      <c r="D824" s="34"/>
      <c r="E824" s="34"/>
      <c r="F824" s="34"/>
      <c r="G824" s="34"/>
      <c r="H824" s="34"/>
    </row>
    <row r="825" ht="25.5" customHeight="1">
      <c r="C825" s="6"/>
      <c r="D825" s="34"/>
      <c r="E825" s="34"/>
      <c r="F825" s="34"/>
      <c r="G825" s="34"/>
      <c r="H825" s="34"/>
    </row>
    <row r="826" ht="25.5" customHeight="1">
      <c r="C826" s="6"/>
      <c r="D826" s="34"/>
      <c r="E826" s="34"/>
      <c r="F826" s="34"/>
      <c r="G826" s="34"/>
      <c r="H826" s="34"/>
    </row>
    <row r="827" ht="25.5" customHeight="1">
      <c r="C827" s="6"/>
      <c r="D827" s="34"/>
      <c r="E827" s="34"/>
      <c r="F827" s="34"/>
      <c r="G827" s="34"/>
      <c r="H827" s="34"/>
    </row>
    <row r="828" ht="25.5" customHeight="1">
      <c r="C828" s="6"/>
      <c r="D828" s="34"/>
      <c r="E828" s="34"/>
      <c r="F828" s="34"/>
      <c r="G828" s="34"/>
      <c r="H828" s="34"/>
    </row>
    <row r="829" ht="25.5" customHeight="1">
      <c r="C829" s="6"/>
      <c r="D829" s="34"/>
      <c r="E829" s="34"/>
      <c r="F829" s="34"/>
      <c r="G829" s="34"/>
      <c r="H829" s="34"/>
    </row>
    <row r="830" ht="25.5" customHeight="1">
      <c r="C830" s="6"/>
      <c r="D830" s="34"/>
      <c r="E830" s="34"/>
      <c r="F830" s="34"/>
      <c r="G830" s="34"/>
      <c r="H830" s="34"/>
    </row>
    <row r="831" ht="25.5" customHeight="1">
      <c r="C831" s="6"/>
      <c r="D831" s="34"/>
      <c r="E831" s="34"/>
      <c r="F831" s="34"/>
      <c r="G831" s="34"/>
      <c r="H831" s="34"/>
    </row>
    <row r="832" ht="25.5" customHeight="1">
      <c r="C832" s="6"/>
      <c r="D832" s="34"/>
      <c r="E832" s="34"/>
      <c r="F832" s="34"/>
      <c r="G832" s="34"/>
      <c r="H832" s="34"/>
    </row>
    <row r="833" ht="25.5" customHeight="1">
      <c r="C833" s="6"/>
      <c r="D833" s="34"/>
      <c r="E833" s="34"/>
      <c r="F833" s="34"/>
      <c r="G833" s="34"/>
      <c r="H833" s="34"/>
    </row>
    <row r="834" ht="25.5" customHeight="1">
      <c r="C834" s="6"/>
      <c r="D834" s="34"/>
      <c r="E834" s="34"/>
      <c r="F834" s="34"/>
      <c r="G834" s="34"/>
      <c r="H834" s="34"/>
    </row>
    <row r="835" ht="25.5" customHeight="1">
      <c r="C835" s="6"/>
      <c r="D835" s="34"/>
      <c r="E835" s="34"/>
      <c r="F835" s="34"/>
      <c r="G835" s="34"/>
      <c r="H835" s="34"/>
    </row>
    <row r="836" ht="25.5" customHeight="1">
      <c r="C836" s="6"/>
      <c r="D836" s="34"/>
      <c r="E836" s="34"/>
      <c r="F836" s="34"/>
      <c r="G836" s="34"/>
      <c r="H836" s="34"/>
    </row>
    <row r="837" ht="25.5" customHeight="1">
      <c r="C837" s="6"/>
      <c r="D837" s="34"/>
      <c r="E837" s="34"/>
      <c r="F837" s="34"/>
      <c r="G837" s="34"/>
      <c r="H837" s="34"/>
    </row>
    <row r="838" ht="25.5" customHeight="1">
      <c r="C838" s="6"/>
      <c r="D838" s="34"/>
      <c r="E838" s="34"/>
      <c r="F838" s="34"/>
      <c r="G838" s="34"/>
      <c r="H838" s="34"/>
    </row>
    <row r="839" ht="25.5" customHeight="1">
      <c r="C839" s="6"/>
      <c r="D839" s="34"/>
      <c r="E839" s="34"/>
      <c r="F839" s="34"/>
      <c r="G839" s="34"/>
      <c r="H839" s="34"/>
    </row>
    <row r="840" ht="25.5" customHeight="1">
      <c r="C840" s="6"/>
      <c r="D840" s="34"/>
      <c r="E840" s="34"/>
      <c r="F840" s="34"/>
      <c r="G840" s="34"/>
      <c r="H840" s="34"/>
    </row>
    <row r="841" ht="25.5" customHeight="1">
      <c r="C841" s="6"/>
      <c r="D841" s="34"/>
      <c r="E841" s="34"/>
      <c r="F841" s="34"/>
      <c r="G841" s="34"/>
      <c r="H841" s="34"/>
    </row>
    <row r="842" ht="25.5" customHeight="1">
      <c r="C842" s="6"/>
      <c r="D842" s="34"/>
      <c r="E842" s="34"/>
      <c r="F842" s="34"/>
      <c r="G842" s="34"/>
      <c r="H842" s="34"/>
    </row>
    <row r="843" ht="25.5" customHeight="1">
      <c r="C843" s="6"/>
      <c r="D843" s="34"/>
      <c r="E843" s="34"/>
      <c r="F843" s="34"/>
      <c r="G843" s="34"/>
      <c r="H843" s="34"/>
    </row>
    <row r="844" ht="25.5" customHeight="1">
      <c r="C844" s="6"/>
      <c r="D844" s="34"/>
      <c r="E844" s="34"/>
      <c r="F844" s="34"/>
      <c r="G844" s="34"/>
      <c r="H844" s="34"/>
    </row>
    <row r="845" ht="25.5" customHeight="1">
      <c r="C845" s="6"/>
      <c r="D845" s="34"/>
      <c r="E845" s="34"/>
      <c r="F845" s="34"/>
      <c r="G845" s="34"/>
      <c r="H845" s="34"/>
    </row>
    <row r="846" ht="25.5" customHeight="1">
      <c r="C846" s="6"/>
      <c r="D846" s="34"/>
      <c r="E846" s="34"/>
      <c r="F846" s="34"/>
      <c r="G846" s="34"/>
      <c r="H846" s="34"/>
    </row>
    <row r="847" ht="25.5" customHeight="1">
      <c r="C847" s="6"/>
      <c r="D847" s="34"/>
      <c r="E847" s="34"/>
      <c r="F847" s="34"/>
      <c r="G847" s="34"/>
      <c r="H847" s="34"/>
    </row>
    <row r="848" ht="25.5" customHeight="1">
      <c r="C848" s="6"/>
      <c r="D848" s="34"/>
      <c r="E848" s="34"/>
      <c r="F848" s="34"/>
      <c r="G848" s="34"/>
      <c r="H848" s="34"/>
    </row>
    <row r="849" ht="25.5" customHeight="1">
      <c r="C849" s="6"/>
      <c r="D849" s="34"/>
      <c r="E849" s="34"/>
      <c r="F849" s="34"/>
      <c r="G849" s="34"/>
      <c r="H849" s="34"/>
    </row>
    <row r="850" ht="25.5" customHeight="1">
      <c r="C850" s="6"/>
      <c r="D850" s="34"/>
      <c r="E850" s="34"/>
      <c r="F850" s="34"/>
      <c r="G850" s="34"/>
      <c r="H850" s="34"/>
    </row>
    <row r="851" ht="25.5" customHeight="1">
      <c r="C851" s="6"/>
      <c r="D851" s="34"/>
      <c r="E851" s="34"/>
      <c r="F851" s="34"/>
      <c r="G851" s="34"/>
      <c r="H851" s="34"/>
    </row>
    <row r="852" ht="25.5" customHeight="1">
      <c r="C852" s="6"/>
      <c r="D852" s="34"/>
      <c r="E852" s="34"/>
      <c r="F852" s="34"/>
      <c r="G852" s="34"/>
      <c r="H852" s="34"/>
    </row>
    <row r="853" ht="25.5" customHeight="1">
      <c r="C853" s="6"/>
      <c r="D853" s="34"/>
      <c r="E853" s="34"/>
      <c r="F853" s="34"/>
      <c r="G853" s="34"/>
      <c r="H853" s="34"/>
    </row>
    <row r="854" ht="25.5" customHeight="1">
      <c r="C854" s="6"/>
      <c r="D854" s="34"/>
      <c r="E854" s="34"/>
      <c r="F854" s="34"/>
      <c r="G854" s="34"/>
      <c r="H854" s="34"/>
    </row>
    <row r="855" ht="25.5" customHeight="1">
      <c r="C855" s="6"/>
      <c r="D855" s="34"/>
      <c r="E855" s="34"/>
      <c r="F855" s="34"/>
      <c r="G855" s="34"/>
      <c r="H855" s="34"/>
    </row>
    <row r="856" ht="25.5" customHeight="1">
      <c r="C856" s="6"/>
      <c r="D856" s="34"/>
      <c r="E856" s="34"/>
      <c r="F856" s="34"/>
      <c r="G856" s="34"/>
      <c r="H856" s="34"/>
    </row>
    <row r="857" ht="25.5" customHeight="1">
      <c r="C857" s="6"/>
      <c r="D857" s="34"/>
      <c r="E857" s="34"/>
      <c r="F857" s="34"/>
      <c r="G857" s="34"/>
      <c r="H857" s="34"/>
    </row>
    <row r="858" ht="25.5" customHeight="1">
      <c r="C858" s="6"/>
      <c r="D858" s="34"/>
      <c r="E858" s="34"/>
      <c r="F858" s="34"/>
      <c r="G858" s="34"/>
      <c r="H858" s="34"/>
    </row>
    <row r="859" ht="25.5" customHeight="1">
      <c r="C859" s="6"/>
      <c r="D859" s="34"/>
      <c r="E859" s="34"/>
      <c r="F859" s="34"/>
      <c r="G859" s="34"/>
      <c r="H859" s="34"/>
    </row>
    <row r="860" ht="25.5" customHeight="1">
      <c r="C860" s="6"/>
      <c r="D860" s="34"/>
      <c r="E860" s="34"/>
      <c r="F860" s="34"/>
      <c r="G860" s="34"/>
      <c r="H860" s="34"/>
    </row>
    <row r="861" ht="25.5" customHeight="1">
      <c r="C861" s="6"/>
      <c r="D861" s="34"/>
      <c r="E861" s="34"/>
      <c r="F861" s="34"/>
      <c r="G861" s="34"/>
      <c r="H861" s="34"/>
    </row>
    <row r="862" ht="25.5" customHeight="1">
      <c r="C862" s="6"/>
      <c r="D862" s="34"/>
      <c r="E862" s="34"/>
      <c r="F862" s="34"/>
      <c r="G862" s="34"/>
      <c r="H862" s="34"/>
    </row>
    <row r="863" ht="25.5" customHeight="1">
      <c r="C863" s="6"/>
      <c r="D863" s="34"/>
      <c r="E863" s="34"/>
      <c r="F863" s="34"/>
      <c r="G863" s="34"/>
      <c r="H863" s="34"/>
    </row>
    <row r="864" ht="25.5" customHeight="1">
      <c r="C864" s="6"/>
      <c r="D864" s="34"/>
      <c r="E864" s="34"/>
      <c r="F864" s="34"/>
      <c r="G864" s="34"/>
      <c r="H864" s="34"/>
    </row>
    <row r="865" ht="25.5" customHeight="1">
      <c r="C865" s="6"/>
      <c r="D865" s="34"/>
      <c r="E865" s="34"/>
      <c r="F865" s="34"/>
      <c r="G865" s="34"/>
      <c r="H865" s="34"/>
    </row>
    <row r="866" ht="25.5" customHeight="1">
      <c r="C866" s="6"/>
      <c r="D866" s="34"/>
      <c r="E866" s="34"/>
      <c r="F866" s="34"/>
      <c r="G866" s="34"/>
      <c r="H866" s="34"/>
    </row>
    <row r="867" ht="25.5" customHeight="1">
      <c r="C867" s="6"/>
      <c r="D867" s="34"/>
      <c r="E867" s="34"/>
      <c r="F867" s="34"/>
      <c r="G867" s="34"/>
      <c r="H867" s="34"/>
    </row>
    <row r="868" ht="25.5" customHeight="1">
      <c r="C868" s="6"/>
      <c r="D868" s="34"/>
      <c r="E868" s="34"/>
      <c r="F868" s="34"/>
      <c r="G868" s="34"/>
      <c r="H868" s="34"/>
    </row>
    <row r="869" ht="25.5" customHeight="1">
      <c r="C869" s="6"/>
      <c r="D869" s="34"/>
      <c r="E869" s="34"/>
      <c r="F869" s="34"/>
      <c r="G869" s="34"/>
      <c r="H869" s="34"/>
    </row>
    <row r="870" ht="25.5" customHeight="1">
      <c r="C870" s="6"/>
      <c r="D870" s="34"/>
      <c r="E870" s="34"/>
      <c r="F870" s="34"/>
      <c r="G870" s="34"/>
      <c r="H870" s="34"/>
    </row>
    <row r="871" ht="25.5" customHeight="1">
      <c r="C871" s="6"/>
      <c r="D871" s="34"/>
      <c r="E871" s="34"/>
      <c r="F871" s="34"/>
      <c r="G871" s="34"/>
      <c r="H871" s="34"/>
    </row>
    <row r="872" ht="25.5" customHeight="1">
      <c r="C872" s="6"/>
      <c r="D872" s="34"/>
      <c r="E872" s="34"/>
      <c r="F872" s="34"/>
      <c r="G872" s="34"/>
      <c r="H872" s="34"/>
    </row>
    <row r="873" ht="25.5" customHeight="1">
      <c r="C873" s="6"/>
      <c r="D873" s="34"/>
      <c r="E873" s="34"/>
      <c r="F873" s="34"/>
      <c r="G873" s="34"/>
      <c r="H873" s="34"/>
    </row>
    <row r="874" ht="25.5" customHeight="1">
      <c r="C874" s="6"/>
      <c r="D874" s="34"/>
      <c r="E874" s="34"/>
      <c r="F874" s="34"/>
      <c r="G874" s="34"/>
      <c r="H874" s="34"/>
    </row>
    <row r="875" ht="25.5" customHeight="1">
      <c r="C875" s="6"/>
      <c r="D875" s="34"/>
      <c r="E875" s="34"/>
      <c r="F875" s="34"/>
      <c r="G875" s="34"/>
      <c r="H875" s="34"/>
    </row>
    <row r="876" ht="25.5" customHeight="1">
      <c r="C876" s="6"/>
      <c r="D876" s="34"/>
      <c r="E876" s="34"/>
      <c r="F876" s="34"/>
      <c r="G876" s="34"/>
      <c r="H876" s="34"/>
    </row>
    <row r="877" ht="25.5" customHeight="1">
      <c r="C877" s="6"/>
      <c r="D877" s="34"/>
      <c r="E877" s="34"/>
      <c r="F877" s="34"/>
      <c r="G877" s="34"/>
      <c r="H877" s="34"/>
    </row>
    <row r="878" ht="25.5" customHeight="1">
      <c r="C878" s="6"/>
      <c r="D878" s="34"/>
      <c r="E878" s="34"/>
      <c r="F878" s="34"/>
      <c r="G878" s="34"/>
      <c r="H878" s="34"/>
    </row>
    <row r="879" ht="25.5" customHeight="1">
      <c r="C879" s="6"/>
      <c r="D879" s="34"/>
      <c r="E879" s="34"/>
      <c r="F879" s="34"/>
      <c r="G879" s="34"/>
      <c r="H879" s="34"/>
    </row>
    <row r="880" ht="25.5" customHeight="1">
      <c r="C880" s="6"/>
      <c r="D880" s="34"/>
      <c r="E880" s="34"/>
      <c r="F880" s="34"/>
      <c r="G880" s="34"/>
      <c r="H880" s="34"/>
    </row>
    <row r="881" ht="25.5" customHeight="1">
      <c r="C881" s="6"/>
      <c r="D881" s="34"/>
      <c r="E881" s="34"/>
      <c r="F881" s="34"/>
      <c r="G881" s="34"/>
      <c r="H881" s="34"/>
    </row>
    <row r="882" ht="25.5" customHeight="1">
      <c r="C882" s="6"/>
      <c r="D882" s="34"/>
      <c r="E882" s="34"/>
      <c r="F882" s="34"/>
      <c r="G882" s="34"/>
      <c r="H882" s="34"/>
    </row>
    <row r="883" ht="25.5" customHeight="1">
      <c r="C883" s="6"/>
      <c r="D883" s="34"/>
      <c r="E883" s="34"/>
      <c r="F883" s="34"/>
      <c r="G883" s="34"/>
      <c r="H883" s="34"/>
    </row>
    <row r="884" ht="25.5" customHeight="1">
      <c r="C884" s="6"/>
      <c r="D884" s="34"/>
      <c r="E884" s="34"/>
      <c r="F884" s="34"/>
      <c r="G884" s="34"/>
      <c r="H884" s="34"/>
    </row>
    <row r="885" ht="25.5" customHeight="1">
      <c r="C885" s="6"/>
      <c r="D885" s="34"/>
      <c r="E885" s="34"/>
      <c r="F885" s="34"/>
      <c r="G885" s="34"/>
      <c r="H885" s="34"/>
    </row>
    <row r="886" ht="25.5" customHeight="1">
      <c r="C886" s="6"/>
      <c r="D886" s="34"/>
      <c r="E886" s="34"/>
      <c r="F886" s="34"/>
      <c r="G886" s="34"/>
      <c r="H886" s="34"/>
    </row>
    <row r="887" ht="25.5" customHeight="1">
      <c r="C887" s="6"/>
      <c r="D887" s="34"/>
      <c r="E887" s="34"/>
      <c r="F887" s="34"/>
      <c r="G887" s="34"/>
      <c r="H887" s="34"/>
    </row>
    <row r="888" ht="25.5" customHeight="1">
      <c r="C888" s="6"/>
      <c r="D888" s="34"/>
      <c r="E888" s="34"/>
      <c r="F888" s="34"/>
      <c r="G888" s="34"/>
      <c r="H888" s="34"/>
    </row>
    <row r="889" ht="25.5" customHeight="1">
      <c r="C889" s="6"/>
      <c r="D889" s="34"/>
      <c r="E889" s="34"/>
      <c r="F889" s="34"/>
      <c r="G889" s="34"/>
      <c r="H889" s="34"/>
    </row>
    <row r="890" ht="25.5" customHeight="1">
      <c r="C890" s="6"/>
      <c r="D890" s="34"/>
      <c r="E890" s="34"/>
      <c r="F890" s="34"/>
      <c r="G890" s="34"/>
      <c r="H890" s="34"/>
    </row>
    <row r="891" ht="25.5" customHeight="1">
      <c r="C891" s="6"/>
      <c r="D891" s="34"/>
      <c r="E891" s="34"/>
      <c r="F891" s="34"/>
      <c r="G891" s="34"/>
      <c r="H891" s="34"/>
    </row>
    <row r="892" ht="25.5" customHeight="1">
      <c r="C892" s="6"/>
      <c r="D892" s="34"/>
      <c r="E892" s="34"/>
      <c r="F892" s="34"/>
      <c r="G892" s="34"/>
      <c r="H892" s="34"/>
    </row>
    <row r="893" ht="25.5" customHeight="1">
      <c r="C893" s="6"/>
      <c r="D893" s="34"/>
      <c r="E893" s="34"/>
      <c r="F893" s="34"/>
      <c r="G893" s="34"/>
      <c r="H893" s="34"/>
    </row>
    <row r="894" ht="25.5" customHeight="1">
      <c r="C894" s="6"/>
      <c r="D894" s="34"/>
      <c r="E894" s="34"/>
      <c r="F894" s="34"/>
      <c r="G894" s="34"/>
      <c r="H894" s="34"/>
    </row>
    <row r="895" ht="25.5" customHeight="1">
      <c r="C895" s="6"/>
      <c r="D895" s="34"/>
      <c r="E895" s="34"/>
      <c r="F895" s="34"/>
      <c r="G895" s="34"/>
      <c r="H895" s="34"/>
    </row>
    <row r="896" ht="25.5" customHeight="1">
      <c r="C896" s="6"/>
      <c r="D896" s="34"/>
      <c r="E896" s="34"/>
      <c r="F896" s="34"/>
      <c r="G896" s="34"/>
      <c r="H896" s="34"/>
    </row>
    <row r="897" ht="25.5" customHeight="1">
      <c r="C897" s="6"/>
      <c r="D897" s="34"/>
      <c r="E897" s="34"/>
      <c r="F897" s="34"/>
      <c r="G897" s="34"/>
      <c r="H897" s="34"/>
    </row>
    <row r="898" ht="25.5" customHeight="1">
      <c r="C898" s="6"/>
      <c r="D898" s="34"/>
      <c r="E898" s="34"/>
      <c r="F898" s="34"/>
      <c r="G898" s="34"/>
      <c r="H898" s="34"/>
    </row>
    <row r="899" ht="25.5" customHeight="1">
      <c r="C899" s="6"/>
      <c r="D899" s="34"/>
      <c r="E899" s="34"/>
      <c r="F899" s="34"/>
      <c r="G899" s="34"/>
      <c r="H899" s="34"/>
    </row>
    <row r="900" ht="25.5" customHeight="1">
      <c r="C900" s="6"/>
      <c r="D900" s="34"/>
      <c r="E900" s="34"/>
      <c r="F900" s="34"/>
      <c r="G900" s="34"/>
      <c r="H900" s="34"/>
    </row>
    <row r="901" ht="25.5" customHeight="1">
      <c r="C901" s="6"/>
      <c r="D901" s="34"/>
      <c r="E901" s="34"/>
      <c r="F901" s="34"/>
      <c r="G901" s="34"/>
      <c r="H901" s="34"/>
    </row>
    <row r="902" ht="25.5" customHeight="1">
      <c r="C902" s="6"/>
      <c r="D902" s="34"/>
      <c r="E902" s="34"/>
      <c r="F902" s="34"/>
      <c r="G902" s="34"/>
      <c r="H902" s="34"/>
    </row>
    <row r="903" ht="25.5" customHeight="1">
      <c r="C903" s="6"/>
      <c r="D903" s="34"/>
      <c r="E903" s="34"/>
      <c r="F903" s="34"/>
      <c r="G903" s="34"/>
      <c r="H903" s="34"/>
    </row>
    <row r="904" ht="25.5" customHeight="1">
      <c r="C904" s="6"/>
      <c r="D904" s="34"/>
      <c r="E904" s="34"/>
      <c r="F904" s="34"/>
      <c r="G904" s="34"/>
      <c r="H904" s="34"/>
    </row>
    <row r="905" ht="25.5" customHeight="1">
      <c r="C905" s="6"/>
      <c r="D905" s="34"/>
      <c r="E905" s="34"/>
      <c r="F905" s="34"/>
      <c r="G905" s="34"/>
      <c r="H905" s="34"/>
    </row>
    <row r="906" ht="25.5" customHeight="1">
      <c r="C906" s="6"/>
      <c r="D906" s="34"/>
      <c r="E906" s="34"/>
      <c r="F906" s="34"/>
      <c r="G906" s="34"/>
      <c r="H906" s="34"/>
    </row>
    <row r="907" ht="25.5" customHeight="1">
      <c r="C907" s="6"/>
      <c r="D907" s="34"/>
      <c r="E907" s="34"/>
      <c r="F907" s="34"/>
      <c r="G907" s="34"/>
      <c r="H907" s="34"/>
    </row>
    <row r="908" ht="25.5" customHeight="1">
      <c r="C908" s="6"/>
      <c r="D908" s="34"/>
      <c r="E908" s="34"/>
      <c r="F908" s="34"/>
      <c r="G908" s="34"/>
      <c r="H908" s="34"/>
    </row>
    <row r="909" ht="25.5" customHeight="1">
      <c r="C909" s="6"/>
      <c r="D909" s="34"/>
      <c r="E909" s="34"/>
      <c r="F909" s="34"/>
      <c r="G909" s="34"/>
      <c r="H909" s="34"/>
    </row>
    <row r="910" ht="25.5" customHeight="1">
      <c r="C910" s="6"/>
      <c r="D910" s="34"/>
      <c r="E910" s="34"/>
      <c r="F910" s="34"/>
      <c r="G910" s="34"/>
      <c r="H910" s="34"/>
    </row>
    <row r="911" ht="25.5" customHeight="1">
      <c r="C911" s="6"/>
      <c r="D911" s="34"/>
      <c r="E911" s="34"/>
      <c r="F911" s="34"/>
      <c r="G911" s="34"/>
      <c r="H911" s="34"/>
    </row>
    <row r="912" ht="25.5" customHeight="1">
      <c r="C912" s="6"/>
      <c r="D912" s="34"/>
      <c r="E912" s="34"/>
      <c r="F912" s="34"/>
      <c r="G912" s="34"/>
      <c r="H912" s="34"/>
    </row>
    <row r="913" ht="25.5" customHeight="1">
      <c r="C913" s="6"/>
      <c r="D913" s="34"/>
      <c r="E913" s="34"/>
      <c r="F913" s="34"/>
      <c r="G913" s="34"/>
      <c r="H913" s="34"/>
    </row>
    <row r="914" ht="25.5" customHeight="1">
      <c r="C914" s="6"/>
      <c r="D914" s="34"/>
      <c r="E914" s="34"/>
      <c r="F914" s="34"/>
      <c r="G914" s="34"/>
      <c r="H914" s="34"/>
    </row>
    <row r="915" ht="25.5" customHeight="1">
      <c r="C915" s="6"/>
      <c r="D915" s="34"/>
      <c r="E915" s="34"/>
      <c r="F915" s="34"/>
      <c r="G915" s="34"/>
      <c r="H915" s="34"/>
    </row>
    <row r="916" ht="25.5" customHeight="1">
      <c r="C916" s="6"/>
      <c r="D916" s="34"/>
      <c r="E916" s="34"/>
      <c r="F916" s="34"/>
      <c r="G916" s="34"/>
      <c r="H916" s="34"/>
    </row>
    <row r="917" ht="25.5" customHeight="1">
      <c r="C917" s="6"/>
      <c r="D917" s="34"/>
      <c r="E917" s="34"/>
      <c r="F917" s="34"/>
      <c r="G917" s="34"/>
      <c r="H917" s="34"/>
    </row>
    <row r="918" ht="25.5" customHeight="1">
      <c r="C918" s="6"/>
      <c r="D918" s="34"/>
      <c r="E918" s="34"/>
      <c r="F918" s="34"/>
      <c r="G918" s="34"/>
      <c r="H918" s="34"/>
    </row>
    <row r="919" ht="25.5" customHeight="1">
      <c r="C919" s="6"/>
      <c r="D919" s="34"/>
      <c r="E919" s="34"/>
      <c r="F919" s="34"/>
      <c r="G919" s="34"/>
      <c r="H919" s="34"/>
    </row>
    <row r="920" ht="25.5" customHeight="1">
      <c r="C920" s="6"/>
      <c r="D920" s="34"/>
      <c r="E920" s="34"/>
      <c r="F920" s="34"/>
      <c r="G920" s="34"/>
      <c r="H920" s="34"/>
    </row>
    <row r="921" ht="25.5" customHeight="1">
      <c r="C921" s="6"/>
      <c r="D921" s="34"/>
      <c r="E921" s="34"/>
      <c r="F921" s="34"/>
      <c r="G921" s="34"/>
      <c r="H921" s="34"/>
    </row>
    <row r="922" ht="25.5" customHeight="1">
      <c r="C922" s="6"/>
      <c r="D922" s="34"/>
      <c r="E922" s="34"/>
      <c r="F922" s="34"/>
      <c r="G922" s="34"/>
      <c r="H922" s="34"/>
    </row>
    <row r="923" ht="25.5" customHeight="1">
      <c r="C923" s="6"/>
      <c r="D923" s="34"/>
      <c r="E923" s="34"/>
      <c r="F923" s="34"/>
      <c r="G923" s="34"/>
      <c r="H923" s="34"/>
    </row>
    <row r="924" ht="25.5" customHeight="1">
      <c r="C924" s="6"/>
      <c r="D924" s="34"/>
      <c r="E924" s="34"/>
      <c r="F924" s="34"/>
      <c r="G924" s="34"/>
      <c r="H924" s="34"/>
    </row>
    <row r="925" ht="25.5" customHeight="1">
      <c r="C925" s="6"/>
      <c r="D925" s="34"/>
      <c r="E925" s="34"/>
      <c r="F925" s="34"/>
      <c r="G925" s="34"/>
      <c r="H925" s="34"/>
    </row>
    <row r="926" ht="25.5" customHeight="1">
      <c r="C926" s="6"/>
      <c r="D926" s="34"/>
      <c r="E926" s="34"/>
      <c r="F926" s="34"/>
      <c r="G926" s="34"/>
      <c r="H926" s="34"/>
    </row>
    <row r="927" ht="25.5" customHeight="1">
      <c r="C927" s="6"/>
      <c r="D927" s="34"/>
      <c r="E927" s="34"/>
      <c r="F927" s="34"/>
      <c r="G927" s="34"/>
      <c r="H927" s="34"/>
    </row>
    <row r="928" ht="25.5" customHeight="1">
      <c r="C928" s="6"/>
      <c r="D928" s="34"/>
      <c r="E928" s="34"/>
      <c r="F928" s="34"/>
      <c r="G928" s="34"/>
      <c r="H928" s="34"/>
    </row>
    <row r="929" ht="25.5" customHeight="1">
      <c r="C929" s="6"/>
      <c r="D929" s="34"/>
      <c r="E929" s="34"/>
      <c r="F929" s="34"/>
      <c r="G929" s="34"/>
      <c r="H929" s="34"/>
    </row>
    <row r="930" ht="25.5" customHeight="1">
      <c r="C930" s="6"/>
      <c r="D930" s="34"/>
      <c r="E930" s="34"/>
      <c r="F930" s="34"/>
      <c r="G930" s="34"/>
      <c r="H930" s="34"/>
    </row>
    <row r="931" ht="25.5" customHeight="1">
      <c r="C931" s="6"/>
      <c r="D931" s="34"/>
      <c r="E931" s="34"/>
      <c r="F931" s="34"/>
      <c r="G931" s="34"/>
      <c r="H931" s="34"/>
    </row>
    <row r="932" ht="25.5" customHeight="1">
      <c r="C932" s="6"/>
      <c r="D932" s="34"/>
      <c r="E932" s="34"/>
      <c r="F932" s="34"/>
      <c r="G932" s="34"/>
      <c r="H932" s="34"/>
    </row>
    <row r="933" ht="25.5" customHeight="1">
      <c r="C933" s="6"/>
      <c r="D933" s="34"/>
      <c r="E933" s="34"/>
      <c r="F933" s="34"/>
      <c r="G933" s="34"/>
      <c r="H933" s="34"/>
    </row>
    <row r="934" ht="25.5" customHeight="1">
      <c r="C934" s="6"/>
      <c r="D934" s="34"/>
      <c r="E934" s="34"/>
      <c r="F934" s="34"/>
      <c r="G934" s="34"/>
      <c r="H934" s="34"/>
    </row>
    <row r="935" ht="25.5" customHeight="1">
      <c r="C935" s="6"/>
      <c r="D935" s="34"/>
      <c r="E935" s="34"/>
      <c r="F935" s="34"/>
      <c r="G935" s="34"/>
      <c r="H935" s="34"/>
    </row>
    <row r="936" ht="25.5" customHeight="1">
      <c r="C936" s="6"/>
      <c r="D936" s="34"/>
      <c r="E936" s="34"/>
      <c r="F936" s="34"/>
      <c r="G936" s="34"/>
      <c r="H936" s="34"/>
    </row>
    <row r="937" ht="25.5" customHeight="1">
      <c r="C937" s="6"/>
      <c r="D937" s="34"/>
      <c r="E937" s="34"/>
      <c r="F937" s="34"/>
      <c r="G937" s="34"/>
      <c r="H937" s="34"/>
    </row>
    <row r="938" ht="25.5" customHeight="1">
      <c r="C938" s="6"/>
      <c r="D938" s="34"/>
      <c r="E938" s="34"/>
      <c r="F938" s="34"/>
      <c r="G938" s="34"/>
      <c r="H938" s="34"/>
    </row>
    <row r="939" ht="25.5" customHeight="1">
      <c r="C939" s="6"/>
      <c r="D939" s="34"/>
      <c r="E939" s="34"/>
      <c r="F939" s="34"/>
      <c r="G939" s="34"/>
      <c r="H939" s="34"/>
    </row>
    <row r="940" ht="25.5" customHeight="1">
      <c r="C940" s="6"/>
      <c r="D940" s="34"/>
      <c r="E940" s="34"/>
      <c r="F940" s="34"/>
      <c r="G940" s="34"/>
      <c r="H940" s="34"/>
    </row>
    <row r="941" ht="25.5" customHeight="1">
      <c r="C941" s="6"/>
      <c r="D941" s="34"/>
      <c r="E941" s="34"/>
      <c r="F941" s="34"/>
      <c r="G941" s="34"/>
      <c r="H941" s="34"/>
    </row>
    <row r="942" ht="25.5" customHeight="1">
      <c r="C942" s="6"/>
      <c r="D942" s="34"/>
      <c r="E942" s="34"/>
      <c r="F942" s="34"/>
      <c r="G942" s="34"/>
      <c r="H942" s="34"/>
    </row>
    <row r="943" ht="25.5" customHeight="1">
      <c r="C943" s="6"/>
      <c r="D943" s="34"/>
      <c r="E943" s="34"/>
      <c r="F943" s="34"/>
      <c r="G943" s="34"/>
      <c r="H943" s="34"/>
    </row>
    <row r="944" ht="25.5" customHeight="1">
      <c r="C944" s="6"/>
      <c r="D944" s="34"/>
      <c r="E944" s="34"/>
      <c r="F944" s="34"/>
      <c r="G944" s="34"/>
      <c r="H944" s="34"/>
    </row>
    <row r="945" ht="25.5" customHeight="1">
      <c r="C945" s="6"/>
      <c r="D945" s="34"/>
      <c r="E945" s="34"/>
      <c r="F945" s="34"/>
      <c r="G945" s="34"/>
      <c r="H945" s="34"/>
    </row>
    <row r="946" ht="25.5" customHeight="1">
      <c r="C946" s="6"/>
      <c r="D946" s="34"/>
      <c r="E946" s="34"/>
      <c r="F946" s="34"/>
      <c r="G946" s="34"/>
      <c r="H946" s="34"/>
    </row>
    <row r="947" ht="25.5" customHeight="1">
      <c r="C947" s="6"/>
      <c r="D947" s="34"/>
      <c r="E947" s="34"/>
      <c r="F947" s="34"/>
      <c r="G947" s="34"/>
      <c r="H947" s="34"/>
    </row>
    <row r="948" ht="25.5" customHeight="1">
      <c r="C948" s="6"/>
      <c r="D948" s="34"/>
      <c r="E948" s="34"/>
      <c r="F948" s="34"/>
      <c r="G948" s="34"/>
      <c r="H948" s="34"/>
    </row>
    <row r="949" ht="25.5" customHeight="1">
      <c r="C949" s="6"/>
      <c r="D949" s="34"/>
      <c r="E949" s="34"/>
      <c r="F949" s="34"/>
      <c r="G949" s="34"/>
      <c r="H949" s="34"/>
    </row>
    <row r="950" ht="25.5" customHeight="1">
      <c r="C950" s="6"/>
      <c r="D950" s="34"/>
      <c r="E950" s="34"/>
      <c r="F950" s="34"/>
      <c r="G950" s="34"/>
      <c r="H950" s="34"/>
    </row>
    <row r="951" ht="25.5" customHeight="1">
      <c r="C951" s="6"/>
      <c r="D951" s="34"/>
      <c r="E951" s="34"/>
      <c r="F951" s="34"/>
      <c r="G951" s="34"/>
      <c r="H951" s="34"/>
    </row>
    <row r="952" ht="25.5" customHeight="1">
      <c r="C952" s="6"/>
      <c r="D952" s="34"/>
      <c r="E952" s="34"/>
      <c r="F952" s="34"/>
      <c r="G952" s="34"/>
      <c r="H952" s="34"/>
    </row>
    <row r="953" ht="25.5" customHeight="1">
      <c r="C953" s="6"/>
      <c r="D953" s="34"/>
      <c r="E953" s="34"/>
      <c r="F953" s="34"/>
      <c r="G953" s="34"/>
      <c r="H953" s="34"/>
    </row>
    <row r="954" ht="25.5" customHeight="1">
      <c r="C954" s="6"/>
      <c r="D954" s="34"/>
      <c r="E954" s="34"/>
      <c r="F954" s="34"/>
      <c r="G954" s="34"/>
      <c r="H954" s="34"/>
    </row>
    <row r="955" ht="25.5" customHeight="1">
      <c r="C955" s="6"/>
      <c r="D955" s="34"/>
      <c r="E955" s="34"/>
      <c r="F955" s="34"/>
      <c r="G955" s="34"/>
      <c r="H955" s="34"/>
    </row>
    <row r="956" ht="25.5" customHeight="1">
      <c r="C956" s="6"/>
      <c r="D956" s="34"/>
      <c r="E956" s="34"/>
      <c r="F956" s="34"/>
      <c r="G956" s="34"/>
      <c r="H956" s="34"/>
    </row>
    <row r="957" ht="25.5" customHeight="1">
      <c r="C957" s="6"/>
      <c r="D957" s="34"/>
      <c r="E957" s="34"/>
      <c r="F957" s="34"/>
      <c r="G957" s="34"/>
      <c r="H957" s="34"/>
    </row>
    <row r="958" ht="25.5" customHeight="1">
      <c r="C958" s="6"/>
      <c r="D958" s="34"/>
      <c r="E958" s="34"/>
      <c r="F958" s="34"/>
      <c r="G958" s="34"/>
      <c r="H958" s="34"/>
    </row>
    <row r="959" ht="25.5" customHeight="1">
      <c r="C959" s="6"/>
      <c r="D959" s="34"/>
      <c r="E959" s="34"/>
      <c r="F959" s="34"/>
      <c r="G959" s="34"/>
      <c r="H959" s="34"/>
    </row>
    <row r="960" ht="25.5" customHeight="1">
      <c r="C960" s="6"/>
      <c r="D960" s="34"/>
      <c r="E960" s="34"/>
      <c r="F960" s="34"/>
      <c r="G960" s="34"/>
      <c r="H960" s="34"/>
    </row>
    <row r="961" ht="25.5" customHeight="1">
      <c r="C961" s="6"/>
      <c r="D961" s="34"/>
      <c r="E961" s="34"/>
      <c r="F961" s="34"/>
      <c r="G961" s="34"/>
      <c r="H961" s="34"/>
    </row>
    <row r="962" ht="25.5" customHeight="1">
      <c r="C962" s="6"/>
      <c r="D962" s="34"/>
      <c r="E962" s="34"/>
      <c r="F962" s="34"/>
      <c r="G962" s="34"/>
      <c r="H962" s="34"/>
    </row>
    <row r="963" ht="25.5" customHeight="1">
      <c r="C963" s="6"/>
      <c r="D963" s="34"/>
      <c r="E963" s="34"/>
      <c r="F963" s="34"/>
      <c r="G963" s="34"/>
      <c r="H963" s="34"/>
    </row>
    <row r="964" ht="25.5" customHeight="1">
      <c r="C964" s="6"/>
      <c r="D964" s="34"/>
      <c r="E964" s="34"/>
      <c r="F964" s="34"/>
      <c r="G964" s="34"/>
      <c r="H964" s="34"/>
    </row>
    <row r="965" ht="25.5" customHeight="1">
      <c r="C965" s="6"/>
      <c r="D965" s="34"/>
      <c r="E965" s="34"/>
      <c r="F965" s="34"/>
      <c r="G965" s="34"/>
      <c r="H965" s="34"/>
    </row>
    <row r="966" ht="25.5" customHeight="1">
      <c r="C966" s="6"/>
      <c r="D966" s="34"/>
      <c r="E966" s="34"/>
      <c r="F966" s="34"/>
      <c r="G966" s="34"/>
      <c r="H966" s="34"/>
    </row>
    <row r="967" ht="25.5" customHeight="1">
      <c r="C967" s="6"/>
      <c r="D967" s="34"/>
      <c r="E967" s="34"/>
      <c r="F967" s="34"/>
      <c r="G967" s="34"/>
      <c r="H967" s="34"/>
    </row>
    <row r="968" ht="25.5" customHeight="1">
      <c r="C968" s="6"/>
      <c r="D968" s="34"/>
      <c r="E968" s="34"/>
      <c r="F968" s="34"/>
      <c r="G968" s="34"/>
      <c r="H968" s="34"/>
    </row>
    <row r="969" ht="25.5" customHeight="1">
      <c r="C969" s="6"/>
      <c r="D969" s="34"/>
      <c r="E969" s="34"/>
      <c r="F969" s="34"/>
      <c r="G969" s="34"/>
      <c r="H969" s="34"/>
    </row>
    <row r="970" ht="25.5" customHeight="1">
      <c r="C970" s="6"/>
      <c r="D970" s="34"/>
      <c r="E970" s="34"/>
      <c r="F970" s="34"/>
      <c r="G970" s="34"/>
      <c r="H970" s="34"/>
    </row>
    <row r="971" ht="25.5" customHeight="1">
      <c r="C971" s="6"/>
      <c r="D971" s="34"/>
      <c r="E971" s="34"/>
      <c r="F971" s="34"/>
      <c r="G971" s="34"/>
      <c r="H971" s="34"/>
    </row>
    <row r="972" ht="25.5" customHeight="1">
      <c r="C972" s="6"/>
      <c r="D972" s="34"/>
      <c r="E972" s="34"/>
      <c r="F972" s="34"/>
      <c r="G972" s="34"/>
      <c r="H972" s="34"/>
    </row>
    <row r="973" ht="25.5" customHeight="1">
      <c r="C973" s="6"/>
      <c r="D973" s="34"/>
      <c r="E973" s="34"/>
      <c r="F973" s="34"/>
      <c r="G973" s="34"/>
      <c r="H973" s="34"/>
    </row>
    <row r="974" ht="25.5" customHeight="1">
      <c r="C974" s="6"/>
      <c r="D974" s="34"/>
      <c r="E974" s="34"/>
      <c r="F974" s="34"/>
      <c r="G974" s="34"/>
      <c r="H974" s="34"/>
    </row>
    <row r="975" ht="25.5" customHeight="1">
      <c r="C975" s="6"/>
      <c r="D975" s="34"/>
      <c r="E975" s="34"/>
      <c r="F975" s="34"/>
      <c r="G975" s="34"/>
      <c r="H975" s="34"/>
    </row>
    <row r="976" ht="25.5" customHeight="1">
      <c r="C976" s="6"/>
      <c r="D976" s="34"/>
      <c r="E976" s="34"/>
      <c r="F976" s="34"/>
      <c r="G976" s="34"/>
      <c r="H976" s="34"/>
    </row>
    <row r="977" ht="25.5" customHeight="1">
      <c r="C977" s="6"/>
      <c r="D977" s="34"/>
      <c r="E977" s="34"/>
      <c r="F977" s="34"/>
      <c r="G977" s="34"/>
      <c r="H977" s="34"/>
    </row>
    <row r="978" ht="25.5" customHeight="1">
      <c r="C978" s="6"/>
      <c r="D978" s="34"/>
      <c r="E978" s="34"/>
      <c r="F978" s="34"/>
      <c r="G978" s="34"/>
      <c r="H978" s="34"/>
    </row>
    <row r="979" ht="25.5" customHeight="1">
      <c r="C979" s="6"/>
      <c r="D979" s="34"/>
      <c r="E979" s="34"/>
      <c r="F979" s="34"/>
      <c r="G979" s="34"/>
      <c r="H979" s="34"/>
    </row>
    <row r="980" ht="25.5" customHeight="1">
      <c r="C980" s="6"/>
      <c r="D980" s="34"/>
      <c r="E980" s="34"/>
      <c r="F980" s="34"/>
      <c r="G980" s="34"/>
      <c r="H980" s="34"/>
    </row>
    <row r="981" ht="25.5" customHeight="1">
      <c r="C981" s="6"/>
      <c r="D981" s="34"/>
      <c r="E981" s="34"/>
      <c r="F981" s="34"/>
      <c r="G981" s="34"/>
      <c r="H981" s="34"/>
    </row>
    <row r="982" ht="25.5" customHeight="1">
      <c r="C982" s="6"/>
      <c r="D982" s="34"/>
      <c r="E982" s="34"/>
      <c r="F982" s="34"/>
      <c r="G982" s="34"/>
      <c r="H982" s="34"/>
    </row>
    <row r="983" ht="25.5" customHeight="1">
      <c r="C983" s="6"/>
      <c r="D983" s="34"/>
      <c r="E983" s="34"/>
      <c r="F983" s="34"/>
      <c r="G983" s="34"/>
      <c r="H983" s="34"/>
    </row>
    <row r="984" ht="25.5" customHeight="1">
      <c r="C984" s="6"/>
      <c r="D984" s="34"/>
      <c r="E984" s="34"/>
      <c r="F984" s="34"/>
      <c r="G984" s="34"/>
      <c r="H984" s="34"/>
    </row>
    <row r="985" ht="25.5" customHeight="1">
      <c r="C985" s="6"/>
      <c r="D985" s="34"/>
      <c r="E985" s="34"/>
      <c r="F985" s="34"/>
      <c r="G985" s="34"/>
      <c r="H985" s="34"/>
    </row>
    <row r="986" ht="25.5" customHeight="1">
      <c r="C986" s="6"/>
      <c r="D986" s="34"/>
      <c r="E986" s="34"/>
      <c r="F986" s="34"/>
      <c r="G986" s="34"/>
      <c r="H986" s="34"/>
    </row>
    <row r="987" ht="25.5" customHeight="1">
      <c r="C987" s="6"/>
      <c r="D987" s="34"/>
      <c r="E987" s="34"/>
      <c r="F987" s="34"/>
      <c r="G987" s="34"/>
      <c r="H987" s="34"/>
    </row>
    <row r="988" ht="25.5" customHeight="1">
      <c r="C988" s="6"/>
      <c r="D988" s="34"/>
      <c r="E988" s="34"/>
      <c r="F988" s="34"/>
      <c r="G988" s="34"/>
      <c r="H988" s="34"/>
    </row>
    <row r="989" ht="25.5" customHeight="1">
      <c r="C989" s="6"/>
      <c r="D989" s="34"/>
      <c r="E989" s="34"/>
      <c r="F989" s="34"/>
      <c r="G989" s="34"/>
      <c r="H989" s="34"/>
    </row>
    <row r="990" ht="25.5" customHeight="1">
      <c r="C990" s="6"/>
      <c r="D990" s="34"/>
      <c r="E990" s="34"/>
      <c r="F990" s="34"/>
      <c r="G990" s="34"/>
      <c r="H990" s="34"/>
    </row>
    <row r="991" ht="25.5" customHeight="1">
      <c r="C991" s="6"/>
      <c r="D991" s="34"/>
      <c r="E991" s="34"/>
      <c r="F991" s="34"/>
      <c r="G991" s="34"/>
      <c r="H991" s="34"/>
    </row>
    <row r="992" ht="25.5" customHeight="1">
      <c r="C992" s="6"/>
      <c r="D992" s="34"/>
      <c r="E992" s="34"/>
      <c r="F992" s="34"/>
      <c r="G992" s="34"/>
      <c r="H992" s="34"/>
    </row>
    <row r="993" ht="25.5" customHeight="1">
      <c r="C993" s="6"/>
      <c r="D993" s="34"/>
      <c r="E993" s="34"/>
      <c r="F993" s="34"/>
      <c r="G993" s="34"/>
      <c r="H993" s="34"/>
    </row>
    <row r="994" ht="25.5" customHeight="1">
      <c r="C994" s="6"/>
      <c r="D994" s="34"/>
      <c r="E994" s="34"/>
      <c r="F994" s="34"/>
      <c r="G994" s="34"/>
      <c r="H994" s="34"/>
    </row>
    <row r="995" ht="25.5" customHeight="1">
      <c r="C995" s="6"/>
      <c r="D995" s="34"/>
      <c r="E995" s="34"/>
      <c r="F995" s="34"/>
      <c r="G995" s="34"/>
      <c r="H995" s="34"/>
    </row>
    <row r="996" ht="25.5" customHeight="1">
      <c r="C996" s="6"/>
      <c r="D996" s="34"/>
      <c r="E996" s="34"/>
      <c r="F996" s="34"/>
      <c r="G996" s="34"/>
      <c r="H996" s="34"/>
    </row>
    <row r="997" ht="25.5" customHeight="1">
      <c r="C997" s="6"/>
      <c r="D997" s="34"/>
      <c r="E997" s="34"/>
      <c r="F997" s="34"/>
      <c r="G997" s="34"/>
      <c r="H997" s="34"/>
    </row>
    <row r="998" ht="25.5" customHeight="1">
      <c r="C998" s="6"/>
      <c r="D998" s="34"/>
      <c r="E998" s="34"/>
      <c r="F998" s="34"/>
      <c r="G998" s="34"/>
      <c r="H998" s="34"/>
    </row>
    <row r="999" ht="25.5" customHeight="1">
      <c r="C999" s="6"/>
      <c r="D999" s="34"/>
      <c r="E999" s="34"/>
      <c r="F999" s="34"/>
      <c r="G999" s="34"/>
      <c r="H999" s="34"/>
    </row>
    <row r="1000" ht="25.5" customHeight="1">
      <c r="C1000" s="6"/>
      <c r="D1000" s="34"/>
      <c r="E1000" s="34"/>
      <c r="F1000" s="34"/>
      <c r="G1000" s="34"/>
      <c r="H1000" s="34"/>
    </row>
  </sheetData>
  <customSheetViews>
    <customSheetView guid="{142766E8-E83C-4F25-8A84-73E404EE2373}" filter="1" showAutoFilter="1">
      <autoFilter ref="$A$1:$I$561">
        <filterColumn colId="3">
          <filters>
            <filter val="STATE"/>
          </filters>
        </filterColumn>
      </autoFilter>
    </customSheetView>
    <customSheetView guid="{45694FF1-E095-4114-957B-1375ADA1182E}" filter="1" showAutoFilter="1">
      <autoFilter ref="$A$1:$I$561"/>
    </customSheetView>
  </customSheetViews>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7.13"/>
    <col customWidth="1" min="2" max="2" width="33.88"/>
    <col customWidth="1" min="3" max="3" width="22.88"/>
    <col customWidth="1" min="4" max="4" width="11.88"/>
    <col customWidth="1" min="5" max="5" width="11.0"/>
    <col customWidth="1" min="6" max="7" width="14.13"/>
    <col customWidth="1" min="8" max="8" width="5.5"/>
    <col customWidth="1" min="9" max="9" width="14.13"/>
    <col customWidth="1" min="10" max="10" width="12.88"/>
    <col customWidth="1" min="11" max="16" width="8.63"/>
    <col customWidth="1" min="17" max="17" width="11.0"/>
    <col customWidth="1" hidden="1" min="18" max="18" width="8.63"/>
    <col customWidth="1" min="19" max="20" width="8.63"/>
  </cols>
  <sheetData>
    <row r="1" ht="14.25" customHeight="1">
      <c r="A1" s="12" t="s">
        <v>99</v>
      </c>
      <c r="B1" s="12" t="s">
        <v>38</v>
      </c>
      <c r="C1" s="12" t="s">
        <v>39</v>
      </c>
      <c r="D1" s="12" t="s">
        <v>41</v>
      </c>
      <c r="E1" s="12" t="s">
        <v>101</v>
      </c>
      <c r="F1" s="12" t="s">
        <v>102</v>
      </c>
      <c r="G1" s="12" t="s">
        <v>104</v>
      </c>
      <c r="H1" s="12" t="s">
        <v>15</v>
      </c>
      <c r="I1" s="12" t="s">
        <v>106</v>
      </c>
      <c r="J1" s="12" t="s">
        <v>107</v>
      </c>
      <c r="R1" s="18" t="str">
        <f>IFERROR(__xludf.DUMMYFUNCTION("SORT(
 UNIQUE(
  FILTER(
   E2:E2011,
   (J2:J2011=FALSE)*
   (I2:I2011=""READY"")
  )
 )
)"),"coin")</f>
        <v>coin</v>
      </c>
    </row>
    <row r="2" ht="14.25" hidden="1" customHeight="1">
      <c r="A2" s="49" t="s">
        <v>108</v>
      </c>
      <c r="B2" s="49" t="str">
        <f>IFERROR(__xludf.DUMMYFUNCTION("REGEXREPLACE(
 REGEXREPLACE(A2,""^cost\."",""""),
 ""\.[^.]+\.[^.]+$"",
 """"
)"),"building.airship@1")</f>
        <v>building.airship@1</v>
      </c>
      <c r="C2" s="49" t="str">
        <f t="array" ref="C2">_xlfn.XLOOKUP(
 B2,
 tblTargets[TargetID],
 tblTargets[DisplayName],
 ""
)</f>
        <v>Airship Lv 1</v>
      </c>
      <c r="D2" s="49" t="str">
        <f t="array" ref="D2">_xlfn.XLOOKUP(
 B2,
 tblTargets[TargetID],
 tblTargets[TargetType],
 ""
)</f>
        <v>BUILDING</v>
      </c>
      <c r="E2" s="49" t="s">
        <v>113</v>
      </c>
      <c r="F2" s="49">
        <v>1.0</v>
      </c>
      <c r="G2" s="49">
        <f t="array" ref="G2">_xlfn.XLOOKUP(
 A2,
 tblCost[RequirementID],
 tblCost[QuantityRequired],
 ""
)</f>
        <v>200</v>
      </c>
      <c r="H2" s="49">
        <f t="array" ref="H2">IF(
 OR(
  LEFT(B2,15)="state.character",
  RIGHT(B2,6)=".maxed"
 ),
 0,
 LET(
  sort,
   _xlfn.XLOOKUP(
    B2,
    tblChecklist[TargetID],
    tblChecklist[PlayerSort],
    0
   ),
  IF(sort=0,500,sort)
 )
)</f>
        <v>44</v>
      </c>
      <c r="I2" s="49" t="str">
        <f t="array" ref="I2">_xlfn.XLOOKUP(
 B2,
 tblTargetStatus[TargetID],
 tblTargetStatus[Status],
 ""
)</f>
        <v>BLOCKED</v>
      </c>
      <c r="J2" s="45" t="b">
        <v>0</v>
      </c>
      <c r="R2" s="18" t="str">
        <f>IFERROR(__xludf.DUMMYFUNCTION("""COMPUTED_VALUE"""),"ruby")</f>
        <v>ruby</v>
      </c>
    </row>
    <row r="3" ht="14.25" hidden="1" customHeight="1">
      <c r="A3" s="49" t="s">
        <v>117</v>
      </c>
      <c r="B3" s="49" t="str">
        <f>IFERROR(__xludf.DUMMYFUNCTION("REGEXREPLACE(
 REGEXREPLACE(A3,""^cost\."",""""),
 ""\.[^.]+\.[^.]+$"",
 """"
)"),"building.airship@1")</f>
        <v>building.airship@1</v>
      </c>
      <c r="C3" s="49" t="str">
        <f t="array" ref="C3">_xlfn.XLOOKUP(
 B3,
 tblTargets[TargetID],
 tblTargets[DisplayName],
 ""
)</f>
        <v>Airship Lv 1</v>
      </c>
      <c r="D3" s="49" t="str">
        <f t="array" ref="D3">_xlfn.XLOOKUP(
 B3,
 tblTargets[TargetID],
 tblTargets[TargetType],
 ""
)</f>
        <v>BUILDING</v>
      </c>
      <c r="E3" s="49" t="s">
        <v>119</v>
      </c>
      <c r="F3" s="49">
        <v>1.0</v>
      </c>
      <c r="G3" s="49">
        <f t="array" ref="G3">_xlfn.XLOOKUP(
 A3,
 tblCost[RequirementID],
 tblCost[QuantityRequired],
 ""
)</f>
        <v>2000</v>
      </c>
      <c r="H3" s="49">
        <f t="array" ref="H3">IF(
 OR(
  LEFT(B3,15)="state.character",
  RIGHT(B3,6)=".maxed"
 ),
 0,
 LET(
  sort,
   _xlfn.XLOOKUP(
    B3,
    tblChecklist[TargetID],
    tblChecklist[PlayerSort],
    0
   ),
  IF(sort=0,500,sort)
 )
)</f>
        <v>44</v>
      </c>
      <c r="I3" s="49" t="str">
        <f t="array" ref="I3">_xlfn.XLOOKUP(
 B3,
 tblTargetStatus[TargetID],
 tblTargetStatus[Status],
 ""
)</f>
        <v>BLOCKED</v>
      </c>
      <c r="J3" s="45" t="b">
        <v>0</v>
      </c>
      <c r="R3" s="18" t="str">
        <f>IFERROR(__xludf.DUMMYFUNCTION("""COMPUTED_VALUE"""),"stone")</f>
        <v>stone</v>
      </c>
    </row>
    <row r="4" ht="14.25" hidden="1" customHeight="1">
      <c r="A4" s="49" t="s">
        <v>123</v>
      </c>
      <c r="B4" s="49" t="str">
        <f>IFERROR(__xludf.DUMMYFUNCTION("REGEXREPLACE(
 REGEXREPLACE(A4,""^cost\."",""""),
 ""\.[^.]+\.[^.]+$"",
 """"
)"),"building.airship@1")</f>
        <v>building.airship@1</v>
      </c>
      <c r="C4" s="49" t="str">
        <f t="array" ref="C4">_xlfn.XLOOKUP(
 B4,
 tblTargets[TargetID],
 tblTargets[DisplayName],
 ""
)</f>
        <v>Airship Lv 1</v>
      </c>
      <c r="D4" s="49" t="str">
        <f t="array" ref="D4">_xlfn.XLOOKUP(
 B4,
 tblTargets[TargetID],
 tblTargets[TargetType],
 ""
)</f>
        <v>BUILDING</v>
      </c>
      <c r="E4" s="49" t="s">
        <v>126</v>
      </c>
      <c r="F4" s="49">
        <v>1.0</v>
      </c>
      <c r="G4" s="49">
        <f t="array" ref="G4">_xlfn.XLOOKUP(
 A4,
 tblCost[RequirementID],
 tblCost[QuantityRequired],
 ""
)</f>
        <v>50</v>
      </c>
      <c r="H4" s="49">
        <f t="array" ref="H4">IF(
 OR(
  LEFT(B4,15)="state.character",
  RIGHT(B4,6)=".maxed"
 ),
 0,
 LET(
  sort,
   _xlfn.XLOOKUP(
    B4,
    tblChecklist[TargetID],
    tblChecklist[PlayerSort],
    0
   ),
  IF(sort=0,500,sort)
 )
)</f>
        <v>44</v>
      </c>
      <c r="I4" s="49" t="str">
        <f t="array" ref="I4">_xlfn.XLOOKUP(
 B4,
 tblTargetStatus[TargetID],
 tblTargetStatus[Status],
 ""
)</f>
        <v>BLOCKED</v>
      </c>
      <c r="J4" s="45" t="b">
        <v>0</v>
      </c>
      <c r="R4" s="18" t="str">
        <f>IFERROR(__xludf.DUMMYFUNCTION("""COMPUTED_VALUE"""),"wood")</f>
        <v>wood</v>
      </c>
    </row>
    <row r="5" ht="14.25" hidden="1" customHeight="1">
      <c r="A5" s="49" t="s">
        <v>130</v>
      </c>
      <c r="B5" s="49" t="str">
        <f>IFERROR(__xludf.DUMMYFUNCTION("REGEXREPLACE(
 REGEXREPLACE(A5,""^cost\."",""""),
 ""\.[^.]+\.[^.]+$"",
 """"
)"),"building.airship@1")</f>
        <v>building.airship@1</v>
      </c>
      <c r="C5" s="49" t="str">
        <f t="array" ref="C5">_xlfn.XLOOKUP(
 B5,
 tblTargets[TargetID],
 tblTargets[DisplayName],
 ""
)</f>
        <v>Airship Lv 1</v>
      </c>
      <c r="D5" s="49" t="str">
        <f t="array" ref="D5">_xlfn.XLOOKUP(
 B5,
 tblTargets[TargetID],
 tblTargets[TargetType],
 ""
)</f>
        <v>BUILDING</v>
      </c>
      <c r="E5" s="49" t="s">
        <v>132</v>
      </c>
      <c r="F5" s="49">
        <v>1.0</v>
      </c>
      <c r="G5" s="49">
        <f t="array" ref="G5">_xlfn.XLOOKUP(
 A5,
 tblCost[RequirementID],
 tblCost[QuantityRequired],
 ""
)</f>
        <v>40</v>
      </c>
      <c r="H5" s="49">
        <f t="array" ref="H5">IF(
 OR(
  LEFT(B5,15)="state.character",
  RIGHT(B5,6)=".maxed"
 ),
 0,
 LET(
  sort,
   _xlfn.XLOOKUP(
    B5,
    tblChecklist[TargetID],
    tblChecklist[PlayerSort],
    0
   ),
  IF(sort=0,500,sort)
 )
)</f>
        <v>44</v>
      </c>
      <c r="I5" s="49" t="str">
        <f t="array" ref="I5">_xlfn.XLOOKUP(
 B5,
 tblTargetStatus[TargetID],
 tblTargetStatus[Status],
 ""
)</f>
        <v>BLOCKED</v>
      </c>
      <c r="J5" s="45" t="b">
        <v>0</v>
      </c>
    </row>
    <row r="6" ht="14.25" hidden="1" customHeight="1">
      <c r="A6" s="49" t="s">
        <v>136</v>
      </c>
      <c r="B6" s="49" t="str">
        <f>IFERROR(__xludf.DUMMYFUNCTION("REGEXREPLACE(
 REGEXREPLACE(A6,""^cost\."",""""),
 ""\.[^.]+\.[^.]+$"",
 """"
)"),"building.airship@1")</f>
        <v>building.airship@1</v>
      </c>
      <c r="C6" s="49" t="str">
        <f t="array" ref="C6">_xlfn.XLOOKUP(
 B6,
 tblTargets[TargetID],
 tblTargets[DisplayName],
 ""
)</f>
        <v>Airship Lv 1</v>
      </c>
      <c r="D6" s="49" t="str">
        <f t="array" ref="D6">_xlfn.XLOOKUP(
 B6,
 tblTargets[TargetID],
 tblTargets[TargetType],
 ""
)</f>
        <v>BUILDING</v>
      </c>
      <c r="E6" s="49" t="s">
        <v>140</v>
      </c>
      <c r="F6" s="49">
        <v>1.0</v>
      </c>
      <c r="G6" s="49">
        <f t="array" ref="G6">_xlfn.XLOOKUP(
 A6,
 tblCost[RequirementID],
 tblCost[QuantityRequired],
 ""
)</f>
        <v>20</v>
      </c>
      <c r="H6" s="49">
        <f t="array" ref="H6">IF(
 OR(
  LEFT(B6,15)="state.character",
  RIGHT(B6,6)=".maxed"
 ),
 0,
 LET(
  sort,
   _xlfn.XLOOKUP(
    B6,
    tblChecklist[TargetID],
    tblChecklist[PlayerSort],
    0
   ),
  IF(sort=0,500,sort)
 )
)</f>
        <v>44</v>
      </c>
      <c r="I6" s="49" t="str">
        <f t="array" ref="I6">_xlfn.XLOOKUP(
 B6,
 tblTargetStatus[TargetID],
 tblTargetStatus[Status],
 ""
)</f>
        <v>BLOCKED</v>
      </c>
      <c r="J6" s="45" t="b">
        <v>0</v>
      </c>
    </row>
    <row r="7" ht="14.25" hidden="1" customHeight="1">
      <c r="A7" s="49" t="s">
        <v>144</v>
      </c>
      <c r="B7" s="49" t="str">
        <f>IFERROR(__xludf.DUMMYFUNCTION("REGEXREPLACE(
 REGEXREPLACE(A7,""^cost\."",""""),
 ""\.[^.]+\.[^.]+$"",
 """"
)"),"building.airship@1")</f>
        <v>building.airship@1</v>
      </c>
      <c r="C7" s="49" t="str">
        <f t="array" ref="C7">_xlfn.XLOOKUP(
 B7,
 tblTargets[TargetID],
 tblTargets[DisplayName],
 ""
)</f>
        <v>Airship Lv 1</v>
      </c>
      <c r="D7" s="49" t="str">
        <f t="array" ref="D7">_xlfn.XLOOKUP(
 B7,
 tblTargets[TargetID],
 tblTargets[TargetType],
 ""
)</f>
        <v>BUILDING</v>
      </c>
      <c r="E7" s="49" t="s">
        <v>6</v>
      </c>
      <c r="F7" s="49">
        <v>1.0</v>
      </c>
      <c r="G7" s="49">
        <f t="array" ref="G7">_xlfn.XLOOKUP(
 A7,
 tblCost[RequirementID],
 tblCost[QuantityRequired],
 ""
)</f>
        <v>10</v>
      </c>
      <c r="H7" s="49">
        <f t="array" ref="H7">IF(
 OR(
  LEFT(B7,15)="state.character",
  RIGHT(B7,6)=".maxed"
 ),
 0,
 LET(
  sort,
   _xlfn.XLOOKUP(
    B7,
    tblChecklist[TargetID],
    tblChecklist[PlayerSort],
    0
   ),
  IF(sort=0,500,sort)
 )
)</f>
        <v>44</v>
      </c>
      <c r="I7" s="49" t="str">
        <f t="array" ref="I7">_xlfn.XLOOKUP(
 B7,
 tblTargetStatus[TargetID],
 tblTargetStatus[Status],
 ""
)</f>
        <v>BLOCKED</v>
      </c>
      <c r="J7" s="45" t="b">
        <v>0</v>
      </c>
    </row>
    <row r="8" ht="14.25" hidden="1" customHeight="1">
      <c r="A8" s="49" t="s">
        <v>150</v>
      </c>
      <c r="B8" s="49" t="str">
        <f>IFERROR(__xludf.DUMMYFUNCTION("REGEXREPLACE(
 REGEXREPLACE(A8,""^cost\."",""""),
 ""\.[^.]+\.[^.]+$"",
 """"
)"),"building.airship@1")</f>
        <v>building.airship@1</v>
      </c>
      <c r="C8" s="49" t="str">
        <f t="array" ref="C8">_xlfn.XLOOKUP(
 B8,
 tblTargets[TargetID],
 tblTargets[DisplayName],
 ""
)</f>
        <v>Airship Lv 1</v>
      </c>
      <c r="D8" s="49" t="str">
        <f t="array" ref="D8">_xlfn.XLOOKUP(
 B8,
 tblTargets[TargetID],
 tblTargets[TargetType],
 ""
)</f>
        <v>BUILDING</v>
      </c>
      <c r="E8" s="49" t="s">
        <v>152</v>
      </c>
      <c r="F8" s="49">
        <v>1.0</v>
      </c>
      <c r="G8" s="49">
        <f t="array" ref="G8">_xlfn.XLOOKUP(
 A8,
 tblCost[RequirementID],
 tblCost[QuantityRequired],
 ""
)</f>
        <v>120</v>
      </c>
      <c r="H8" s="49">
        <f t="array" ref="H8">IF(
 OR(
  LEFT(B8,15)="state.character",
  RIGHT(B8,6)=".maxed"
 ),
 0,
 LET(
  sort,
   _xlfn.XLOOKUP(
    B8,
    tblChecklist[TargetID],
    tblChecklist[PlayerSort],
    0
   ),
  IF(sort=0,500,sort)
 )
)</f>
        <v>44</v>
      </c>
      <c r="I8" s="49" t="str">
        <f t="array" ref="I8">_xlfn.XLOOKUP(
 B8,
 tblTargetStatus[TargetID],
 tblTargetStatus[Status],
 ""
)</f>
        <v>BLOCKED</v>
      </c>
      <c r="J8" s="45" t="b">
        <v>0</v>
      </c>
    </row>
    <row r="9" ht="14.25" hidden="1" customHeight="1">
      <c r="A9" s="49" t="s">
        <v>155</v>
      </c>
      <c r="B9" s="49" t="str">
        <f>IFERROR(__xludf.DUMMYFUNCTION("REGEXREPLACE(
 REGEXREPLACE(A9,""^cost\."",""""),
 ""\.[^.]+\.[^.]+$"",
 """"
)"),"building.airship@1")</f>
        <v>building.airship@1</v>
      </c>
      <c r="C9" s="49" t="str">
        <f t="array" ref="C9">_xlfn.XLOOKUP(
 B9,
 tblTargets[TargetID],
 tblTargets[DisplayName],
 ""
)</f>
        <v>Airship Lv 1</v>
      </c>
      <c r="D9" s="49" t="str">
        <f t="array" ref="D9">_xlfn.XLOOKUP(
 B9,
 tblTargets[TargetID],
 tblTargets[TargetType],
 ""
)</f>
        <v>BUILDING</v>
      </c>
      <c r="E9" s="49" t="s">
        <v>158</v>
      </c>
      <c r="F9" s="49">
        <v>1.0</v>
      </c>
      <c r="G9" s="49">
        <f t="array" ref="G9">_xlfn.XLOOKUP(
 A9,
 tblCost[RequirementID],
 tblCost[QuantityRequired],
 ""
)</f>
        <v>20</v>
      </c>
      <c r="H9" s="49">
        <f t="array" ref="H9">IF(
 OR(
  LEFT(B9,15)="state.character",
  RIGHT(B9,6)=".maxed"
 ),
 0,
 LET(
  sort,
   _xlfn.XLOOKUP(
    B9,
    tblChecklist[TargetID],
    tblChecklist[PlayerSort],
    0
   ),
  IF(sort=0,500,sort)
 )
)</f>
        <v>44</v>
      </c>
      <c r="I9" s="49" t="str">
        <f t="array" ref="I9">_xlfn.XLOOKUP(
 B9,
 tblTargetStatus[TargetID],
 tblTargetStatus[Status],
 ""
)</f>
        <v>BLOCKED</v>
      </c>
      <c r="J9" s="45" t="b">
        <v>0</v>
      </c>
    </row>
    <row r="10" ht="14.25" hidden="1" customHeight="1">
      <c r="A10" s="49" t="s">
        <v>162</v>
      </c>
      <c r="B10" s="49" t="str">
        <f>IFERROR(__xludf.DUMMYFUNCTION("REGEXREPLACE(
 REGEXREPLACE(A10,""^cost\."",""""),
 ""\.[^.]+\.[^.]+$"",
 """"
)"),"building.airship@2")</f>
        <v>building.airship@2</v>
      </c>
      <c r="C10" s="49" t="str">
        <f t="array" ref="C10">_xlfn.XLOOKUP(
 B10,
 tblTargets[TargetID],
 tblTargets[DisplayName],
 ""
)</f>
        <v>Airship Lv 2</v>
      </c>
      <c r="D10" s="49" t="str">
        <f t="array" ref="D10">_xlfn.XLOOKUP(
 B10,
 tblTargets[TargetID],
 tblTargets[TargetType],
 ""
)</f>
        <v>BUILDING</v>
      </c>
      <c r="E10" s="49" t="s">
        <v>119</v>
      </c>
      <c r="F10" s="49">
        <v>1.0</v>
      </c>
      <c r="G10" s="49">
        <f t="array" ref="G10">_xlfn.XLOOKUP(
 A10,
 tblCost[RequirementID],
 tblCost[QuantityRequired],
 ""
)</f>
        <v>3000</v>
      </c>
      <c r="H10" s="49">
        <f t="array" ref="H10">IF(
 OR(
  LEFT(B10,15)="state.character",
  RIGHT(B10,6)=".maxed"
 ),
 0,
 LET(
  sort,
   _xlfn.XLOOKUP(
    B10,
    tblChecklist[TargetID],
    tblChecklist[PlayerSort],
    0
   ),
  IF(sort=0,500,sort)
 )
)</f>
        <v>45</v>
      </c>
      <c r="I10" s="49" t="str">
        <f t="array" ref="I10">_xlfn.XLOOKUP(
 B10,
 tblTargetStatus[TargetID],
 tblTargetStatus[Status],
 ""
)</f>
        <v>BLOCKED</v>
      </c>
      <c r="J10" s="45" t="b">
        <v>0</v>
      </c>
    </row>
    <row r="11" ht="14.25" hidden="1" customHeight="1">
      <c r="A11" s="49" t="s">
        <v>168</v>
      </c>
      <c r="B11" s="49" t="str">
        <f>IFERROR(__xludf.DUMMYFUNCTION("REGEXREPLACE(
 REGEXREPLACE(A11,""^cost\."",""""),
 ""\.[^.]+\.[^.]+$"",
 """"
)"),"building.airship@2")</f>
        <v>building.airship@2</v>
      </c>
      <c r="C11" s="49" t="str">
        <f t="array" ref="C11">_xlfn.XLOOKUP(
 B11,
 tblTargets[TargetID],
 tblTargets[DisplayName],
 ""
)</f>
        <v>Airship Lv 2</v>
      </c>
      <c r="D11" s="49" t="str">
        <f t="array" ref="D11">_xlfn.XLOOKUP(
 B11,
 tblTargets[TargetID],
 tblTargets[TargetType],
 ""
)</f>
        <v>BUILDING</v>
      </c>
      <c r="E11" s="49" t="s">
        <v>171</v>
      </c>
      <c r="F11" s="49">
        <v>1.0</v>
      </c>
      <c r="G11" s="49">
        <f t="array" ref="G11">_xlfn.XLOOKUP(
 A11,
 tblCost[RequirementID],
 tblCost[QuantityRequired],
 ""
)</f>
        <v>50</v>
      </c>
      <c r="H11" s="49">
        <f t="array" ref="H11">IF(
 OR(
  LEFT(B11,15)="state.character",
  RIGHT(B11,6)=".maxed"
 ),
 0,
 LET(
  sort,
   _xlfn.XLOOKUP(
    B11,
    tblChecklist[TargetID],
    tblChecklist[PlayerSort],
    0
   ),
  IF(sort=0,500,sort)
 )
)</f>
        <v>45</v>
      </c>
      <c r="I11" s="49" t="str">
        <f t="array" ref="I11">_xlfn.XLOOKUP(
 B11,
 tblTargetStatus[TargetID],
 tblTargetStatus[Status],
 ""
)</f>
        <v>BLOCKED</v>
      </c>
      <c r="J11" s="45" t="b">
        <v>0</v>
      </c>
    </row>
    <row r="12" ht="14.25" hidden="1" customHeight="1">
      <c r="A12" s="49" t="s">
        <v>175</v>
      </c>
      <c r="B12" s="49" t="str">
        <f>IFERROR(__xludf.DUMMYFUNCTION("REGEXREPLACE(
 REGEXREPLACE(A12,""^cost\."",""""),
 ""\.[^.]+\.[^.]+$"",
 """"
)"),"building.airship@2")</f>
        <v>building.airship@2</v>
      </c>
      <c r="C12" s="49" t="str">
        <f t="array" ref="C12">_xlfn.XLOOKUP(
 B12,
 tblTargets[TargetID],
 tblTargets[DisplayName],
 ""
)</f>
        <v>Airship Lv 2</v>
      </c>
      <c r="D12" s="49" t="str">
        <f t="array" ref="D12">_xlfn.XLOOKUP(
 B12,
 tblTargets[TargetID],
 tblTargets[TargetType],
 ""
)</f>
        <v>BUILDING</v>
      </c>
      <c r="E12" s="49" t="s">
        <v>179</v>
      </c>
      <c r="F12" s="49">
        <v>1.0</v>
      </c>
      <c r="G12" s="49">
        <f t="array" ref="G12">_xlfn.XLOOKUP(
 A12,
 tblCost[RequirementID],
 tblCost[QuantityRequired],
 ""
)</f>
        <v>20</v>
      </c>
      <c r="H12" s="49">
        <f t="array" ref="H12">IF(
 OR(
  LEFT(B12,15)="state.character",
  RIGHT(B12,6)=".maxed"
 ),
 0,
 LET(
  sort,
   _xlfn.XLOOKUP(
    B12,
    tblChecklist[TargetID],
    tblChecklist[PlayerSort],
    0
   ),
  IF(sort=0,500,sort)
 )
)</f>
        <v>45</v>
      </c>
      <c r="I12" s="49" t="str">
        <f t="array" ref="I12">_xlfn.XLOOKUP(
 B12,
 tblTargetStatus[TargetID],
 tblTargetStatus[Status],
 ""
)</f>
        <v>BLOCKED</v>
      </c>
      <c r="J12" s="45" t="b">
        <v>0</v>
      </c>
    </row>
    <row r="13" ht="14.25" hidden="1" customHeight="1">
      <c r="A13" s="49" t="s">
        <v>185</v>
      </c>
      <c r="B13" s="49" t="str">
        <f>IFERROR(__xludf.DUMMYFUNCTION("REGEXREPLACE(
 REGEXREPLACE(A13,""^cost\."",""""),
 ""\.[^.]+\.[^.]+$"",
 """"
)"),"building.airship@2")</f>
        <v>building.airship@2</v>
      </c>
      <c r="C13" s="49" t="str">
        <f t="array" ref="C13">_xlfn.XLOOKUP(
 B13,
 tblTargets[TargetID],
 tblTargets[DisplayName],
 ""
)</f>
        <v>Airship Lv 2</v>
      </c>
      <c r="D13" s="49" t="str">
        <f t="array" ref="D13">_xlfn.XLOOKUP(
 B13,
 tblTargets[TargetID],
 tblTargets[TargetType],
 ""
)</f>
        <v>BUILDING</v>
      </c>
      <c r="E13" s="49" t="s">
        <v>187</v>
      </c>
      <c r="F13" s="49">
        <v>1.0</v>
      </c>
      <c r="G13" s="49">
        <f t="array" ref="G13">_xlfn.XLOOKUP(
 A13,
 tblCost[RequirementID],
 tblCost[QuantityRequired],
 ""
)</f>
        <v>60</v>
      </c>
      <c r="H13" s="49">
        <f t="array" ref="H13">IF(
 OR(
  LEFT(B13,15)="state.character",
  RIGHT(B13,6)=".maxed"
 ),
 0,
 LET(
  sort,
   _xlfn.XLOOKUP(
    B13,
    tblChecklist[TargetID],
    tblChecklist[PlayerSort],
    0
   ),
  IF(sort=0,500,sort)
 )
)</f>
        <v>45</v>
      </c>
      <c r="I13" s="49" t="str">
        <f t="array" ref="I13">_xlfn.XLOOKUP(
 B13,
 tblTargetStatus[TargetID],
 tblTargetStatus[Status],
 ""
)</f>
        <v>BLOCKED</v>
      </c>
      <c r="J13" s="45" t="b">
        <v>0</v>
      </c>
    </row>
    <row r="14" ht="14.25" hidden="1" customHeight="1">
      <c r="A14" s="49" t="s">
        <v>194</v>
      </c>
      <c r="B14" s="49" t="str">
        <f>IFERROR(__xludf.DUMMYFUNCTION("REGEXREPLACE(
 REGEXREPLACE(A14,""^cost\."",""""),
 ""\.[^.]+\.[^.]+$"",
 """"
)"),"building.airship@2")</f>
        <v>building.airship@2</v>
      </c>
      <c r="C14" s="49" t="str">
        <f t="array" ref="C14">_xlfn.XLOOKUP(
 B14,
 tblTargets[TargetID],
 tblTargets[DisplayName],
 ""
)</f>
        <v>Airship Lv 2</v>
      </c>
      <c r="D14" s="49" t="str">
        <f t="array" ref="D14">_xlfn.XLOOKUP(
 B14,
 tblTargets[TargetID],
 tblTargets[TargetType],
 ""
)</f>
        <v>BUILDING</v>
      </c>
      <c r="E14" s="49" t="s">
        <v>6</v>
      </c>
      <c r="F14" s="49">
        <v>1.0</v>
      </c>
      <c r="G14" s="49">
        <f t="array" ref="G14">_xlfn.XLOOKUP(
 A14,
 tblCost[RequirementID],
 tblCost[QuantityRequired],
 ""
)</f>
        <v>12</v>
      </c>
      <c r="H14" s="49">
        <f t="array" ref="H14">IF(
 OR(
  LEFT(B14,15)="state.character",
  RIGHT(B14,6)=".maxed"
 ),
 0,
 LET(
  sort,
   _xlfn.XLOOKUP(
    B14,
    tblChecklist[TargetID],
    tblChecklist[PlayerSort],
    0
   ),
  IF(sort=0,500,sort)
 )
)</f>
        <v>45</v>
      </c>
      <c r="I14" s="49" t="str">
        <f t="array" ref="I14">_xlfn.XLOOKUP(
 B14,
 tblTargetStatus[TargetID],
 tblTargetStatus[Status],
 ""
)</f>
        <v>BLOCKED</v>
      </c>
      <c r="J14" s="45" t="b">
        <v>0</v>
      </c>
    </row>
    <row r="15" ht="14.25" hidden="1" customHeight="1">
      <c r="A15" s="49" t="s">
        <v>202</v>
      </c>
      <c r="B15" s="49" t="str">
        <f>IFERROR(__xludf.DUMMYFUNCTION("REGEXREPLACE(
 REGEXREPLACE(A15,""^cost\."",""""),
 ""\.[^.]+\.[^.]+$"",
 """"
)"),"building.airship@2")</f>
        <v>building.airship@2</v>
      </c>
      <c r="C15" s="49" t="str">
        <f t="array" ref="C15">_xlfn.XLOOKUP(
 B15,
 tblTargets[TargetID],
 tblTargets[DisplayName],
 ""
)</f>
        <v>Airship Lv 2</v>
      </c>
      <c r="D15" s="49" t="str">
        <f t="array" ref="D15">_xlfn.XLOOKUP(
 B15,
 tblTargets[TargetID],
 tblTargets[TargetType],
 ""
)</f>
        <v>BUILDING</v>
      </c>
      <c r="E15" s="49" t="s">
        <v>152</v>
      </c>
      <c r="F15" s="49">
        <v>1.0</v>
      </c>
      <c r="G15" s="49">
        <f t="array" ref="G15">_xlfn.XLOOKUP(
 A15,
 tblCost[RequirementID],
 tblCost[QuantityRequired],
 ""
)</f>
        <v>100</v>
      </c>
      <c r="H15" s="49">
        <f t="array" ref="H15">IF(
 OR(
  LEFT(B15,15)="state.character",
  RIGHT(B15,6)=".maxed"
 ),
 0,
 LET(
  sort,
   _xlfn.XLOOKUP(
    B15,
    tblChecklist[TargetID],
    tblChecklist[PlayerSort],
    0
   ),
  IF(sort=0,500,sort)
 )
)</f>
        <v>45</v>
      </c>
      <c r="I15" s="49" t="str">
        <f t="array" ref="I15">_xlfn.XLOOKUP(
 B15,
 tblTargetStatus[TargetID],
 tblTargetStatus[Status],
 ""
)</f>
        <v>BLOCKED</v>
      </c>
      <c r="J15" s="45" t="b">
        <v>0</v>
      </c>
    </row>
    <row r="16" ht="14.25" hidden="1" customHeight="1">
      <c r="A16" s="49" t="s">
        <v>211</v>
      </c>
      <c r="B16" s="49" t="str">
        <f>IFERROR(__xludf.DUMMYFUNCTION("REGEXREPLACE(
 REGEXREPLACE(A16,""^cost\."",""""),
 ""\.[^.]+\.[^.]+$"",
 """"
)"),"building.airship@2")</f>
        <v>building.airship@2</v>
      </c>
      <c r="C16" s="49" t="str">
        <f t="array" ref="C16">_xlfn.XLOOKUP(
 B16,
 tblTargets[TargetID],
 tblTargets[DisplayName],
 ""
)</f>
        <v>Airship Lv 2</v>
      </c>
      <c r="D16" s="49" t="str">
        <f t="array" ref="D16">_xlfn.XLOOKUP(
 B16,
 tblTargets[TargetID],
 tblTargets[TargetType],
 ""
)</f>
        <v>BUILDING</v>
      </c>
      <c r="E16" s="49" t="s">
        <v>158</v>
      </c>
      <c r="F16" s="49">
        <v>1.0</v>
      </c>
      <c r="G16" s="49">
        <f t="array" ref="G16">_xlfn.XLOOKUP(
 A16,
 tblCost[RequirementID],
 tblCost[QuantityRequired],
 ""
)</f>
        <v>10</v>
      </c>
      <c r="H16" s="49">
        <f t="array" ref="H16">IF(
 OR(
  LEFT(B16,15)="state.character",
  RIGHT(B16,6)=".maxed"
 ),
 0,
 LET(
  sort,
   _xlfn.XLOOKUP(
    B16,
    tblChecklist[TargetID],
    tblChecklist[PlayerSort],
    0
   ),
  IF(sort=0,500,sort)
 )
)</f>
        <v>45</v>
      </c>
      <c r="I16" s="49" t="str">
        <f t="array" ref="I16">_xlfn.XLOOKUP(
 B16,
 tblTargetStatus[TargetID],
 tblTargetStatus[Status],
 ""
)</f>
        <v>BLOCKED</v>
      </c>
      <c r="J16" s="45" t="b">
        <v>0</v>
      </c>
    </row>
    <row r="17" ht="14.25" hidden="1" customHeight="1">
      <c r="A17" s="49" t="s">
        <v>218</v>
      </c>
      <c r="B17" s="49" t="str">
        <f>IFERROR(__xludf.DUMMYFUNCTION("REGEXREPLACE(
 REGEXREPLACE(A17,""^cost\."",""""),
 ""\.[^.]+\.[^.]+$"",
 """"
)"),"building.alchemists_hut@1")</f>
        <v>building.alchemists_hut@1</v>
      </c>
      <c r="C17" s="49" t="str">
        <f t="array" ref="C17">_xlfn.XLOOKUP(
 B17,
 tblTargets[TargetID],
 tblTargets[DisplayName],
 ""
)</f>
        <v>Alchemist's Hut Lv 1</v>
      </c>
      <c r="D17" s="49" t="str">
        <f t="array" ref="D17">_xlfn.XLOOKUP(
 B17,
 tblTargets[TargetID],
 tblTargets[TargetType],
 ""
)</f>
        <v>BUILDING</v>
      </c>
      <c r="E17" s="49" t="s">
        <v>119</v>
      </c>
      <c r="F17" s="49">
        <v>1.0</v>
      </c>
      <c r="G17" s="49">
        <f t="array" ref="G17">_xlfn.XLOOKUP(
 A17,
 tblCost[RequirementID],
 tblCost[QuantityRequired],
 ""
)</f>
        <v>140</v>
      </c>
      <c r="H17" s="49">
        <f t="array" ref="H17">IF(
 OR(
  LEFT(B17,15)="state.character",
  RIGHT(B17,6)=".maxed"
 ),
 0,
 LET(
  sort,
   _xlfn.XLOOKUP(
    B17,
    tblChecklist[TargetID],
    tblChecklist[PlayerSort],
    0
   ),
  IF(sort=0,500,sort)
 )
)</f>
        <v>4</v>
      </c>
      <c r="I17" s="49" t="str">
        <f t="array" ref="I17">_xlfn.XLOOKUP(
 B17,
 tblTargetStatus[TargetID],
 tblTargetStatus[Status],
 ""
)</f>
        <v>BLOCKED</v>
      </c>
      <c r="J17" s="45" t="b">
        <v>0</v>
      </c>
      <c r="O17" s="50"/>
      <c r="P17" s="50"/>
      <c r="Q17" s="50"/>
    </row>
    <row r="18" ht="14.25" hidden="1" customHeight="1">
      <c r="A18" s="49" t="s">
        <v>224</v>
      </c>
      <c r="B18" s="49" t="str">
        <f>IFERROR(__xludf.DUMMYFUNCTION("REGEXREPLACE(
 REGEXREPLACE(A18,""^cost\."",""""),
 ""\.[^.]+\.[^.]+$"",
 """"
)"),"building.alchemists_hut@1")</f>
        <v>building.alchemists_hut@1</v>
      </c>
      <c r="C18" s="49" t="str">
        <f t="array" ref="C18">_xlfn.XLOOKUP(
 B18,
 tblTargets[TargetID],
 tblTargets[DisplayName],
 ""
)</f>
        <v>Alchemist's Hut Lv 1</v>
      </c>
      <c r="D18" s="49" t="str">
        <f t="array" ref="D18">_xlfn.XLOOKUP(
 B18,
 tblTargets[TargetID],
 tblTargets[TargetType],
 ""
)</f>
        <v>BUILDING</v>
      </c>
      <c r="E18" s="49" t="s">
        <v>6</v>
      </c>
      <c r="F18" s="49">
        <v>1.0</v>
      </c>
      <c r="G18" s="49">
        <f t="array" ref="G18">_xlfn.XLOOKUP(
 A18,
 tblCost[RequirementID],
 tblCost[QuantityRequired],
 ""
)</f>
        <v>1</v>
      </c>
      <c r="H18" s="49">
        <f t="array" ref="H18">IF(
 OR(
  LEFT(B18,15)="state.character",
  RIGHT(B18,6)=".maxed"
 ),
 0,
 LET(
  sort,
   _xlfn.XLOOKUP(
    B18,
    tblChecklist[TargetID],
    tblChecklist[PlayerSort],
    0
   ),
  IF(sort=0,500,sort)
 )
)</f>
        <v>4</v>
      </c>
      <c r="I18" s="49" t="str">
        <f t="array" ref="I18">_xlfn.XLOOKUP(
 B18,
 tblTargetStatus[TargetID],
 tblTargetStatus[Status],
 ""
)</f>
        <v>BLOCKED</v>
      </c>
      <c r="J18" s="45" t="b">
        <v>0</v>
      </c>
    </row>
    <row r="19" ht="14.25" hidden="1" customHeight="1">
      <c r="A19" s="49" t="s">
        <v>233</v>
      </c>
      <c r="B19" s="49" t="str">
        <f>IFERROR(__xludf.DUMMYFUNCTION("REGEXREPLACE(
 REGEXREPLACE(A19,""^cost\."",""""),
 ""\.[^.]+\.[^.]+$"",
 """"
)"),"building.alchemists_hut@1")</f>
        <v>building.alchemists_hut@1</v>
      </c>
      <c r="C19" s="49" t="str">
        <f t="array" ref="C19">_xlfn.XLOOKUP(
 B19,
 tblTargets[TargetID],
 tblTargets[DisplayName],
 ""
)</f>
        <v>Alchemist's Hut Lv 1</v>
      </c>
      <c r="D19" s="49" t="str">
        <f t="array" ref="D19">_xlfn.XLOOKUP(
 B19,
 tblTargets[TargetID],
 tblTargets[TargetType],
 ""
)</f>
        <v>BUILDING</v>
      </c>
      <c r="E19" s="49" t="s">
        <v>237</v>
      </c>
      <c r="F19" s="49">
        <v>1.0</v>
      </c>
      <c r="G19" s="49">
        <f t="array" ref="G19">_xlfn.XLOOKUP(
 A19,
 tblCost[RequirementID],
 tblCost[QuantityRequired],
 ""
)</f>
        <v>70</v>
      </c>
      <c r="H19" s="49">
        <f t="array" ref="H19">IF(
 OR(
  LEFT(B19,15)="state.character",
  RIGHT(B19,6)=".maxed"
 ),
 0,
 LET(
  sort,
   _xlfn.XLOOKUP(
    B19,
    tblChecklist[TargetID],
    tblChecklist[PlayerSort],
    0
   ),
  IF(sort=0,500,sort)
 )
)</f>
        <v>4</v>
      </c>
      <c r="I19" s="49" t="str">
        <f t="array" ref="I19">_xlfn.XLOOKUP(
 B19,
 tblTargetStatus[TargetID],
 tblTargetStatus[Status],
 ""
)</f>
        <v>BLOCKED</v>
      </c>
      <c r="J19" s="45" t="b">
        <v>0</v>
      </c>
    </row>
    <row r="20" ht="14.25" hidden="1" customHeight="1">
      <c r="A20" s="49" t="s">
        <v>241</v>
      </c>
      <c r="B20" s="49" t="str">
        <f>IFERROR(__xludf.DUMMYFUNCTION("REGEXREPLACE(
 REGEXREPLACE(A20,""^cost\."",""""),
 ""\.[^.]+\.[^.]+$"",
 """"
)"),"building.alchemists_hut@1")</f>
        <v>building.alchemists_hut@1</v>
      </c>
      <c r="C20" s="49" t="str">
        <f t="array" ref="C20">_xlfn.XLOOKUP(
 B20,
 tblTargets[TargetID],
 tblTargets[DisplayName],
 ""
)</f>
        <v>Alchemist's Hut Lv 1</v>
      </c>
      <c r="D20" s="49" t="str">
        <f t="array" ref="D20">_xlfn.XLOOKUP(
 B20,
 tblTargets[TargetID],
 tblTargets[TargetType],
 ""
)</f>
        <v>BUILDING</v>
      </c>
      <c r="E20" s="49" t="s">
        <v>244</v>
      </c>
      <c r="F20" s="49">
        <v>1.0</v>
      </c>
      <c r="G20" s="49">
        <f t="array" ref="G20">_xlfn.XLOOKUP(
 A20,
 tblCost[RequirementID],
 tblCost[QuantityRequired],
 ""
)</f>
        <v>70</v>
      </c>
      <c r="H20" s="49">
        <f t="array" ref="H20">IF(
 OR(
  LEFT(B20,15)="state.character",
  RIGHT(B20,6)=".maxed"
 ),
 0,
 LET(
  sort,
   _xlfn.XLOOKUP(
    B20,
    tblChecklist[TargetID],
    tblChecklist[PlayerSort],
    0
   ),
  IF(sort=0,500,sort)
 )
)</f>
        <v>4</v>
      </c>
      <c r="I20" s="49" t="str">
        <f t="array" ref="I20">_xlfn.XLOOKUP(
 B20,
 tblTargetStatus[TargetID],
 tblTargetStatus[Status],
 ""
)</f>
        <v>BLOCKED</v>
      </c>
      <c r="J20" s="45" t="b">
        <v>0</v>
      </c>
    </row>
    <row r="21" ht="14.25" hidden="1" customHeight="1">
      <c r="A21" s="49" t="s">
        <v>248</v>
      </c>
      <c r="B21" s="49" t="str">
        <f>IFERROR(__xludf.DUMMYFUNCTION("REGEXREPLACE(
 REGEXREPLACE(A21,""^cost\."",""""),
 ""\.[^.]+\.[^.]+$"",
 """"
)"),"building.alchemists_hut@2")</f>
        <v>building.alchemists_hut@2</v>
      </c>
      <c r="C21" s="49" t="str">
        <f t="array" ref="C21">_xlfn.XLOOKUP(
 B21,
 tblTargets[TargetID],
 tblTargets[DisplayName],
 ""
)</f>
        <v>Alchemist's Hut Lv 2</v>
      </c>
      <c r="D21" s="49" t="str">
        <f t="array" ref="D21">_xlfn.XLOOKUP(
 B21,
 tblTargets[TargetID],
 tblTargets[TargetType],
 ""
)</f>
        <v>BUILDING</v>
      </c>
      <c r="E21" s="49" t="s">
        <v>113</v>
      </c>
      <c r="F21" s="49">
        <v>1.0</v>
      </c>
      <c r="G21" s="49">
        <f t="array" ref="G21">_xlfn.XLOOKUP(
 A21,
 tblCost[RequirementID],
 tblCost[QuantityRequired],
 ""
)</f>
        <v>20</v>
      </c>
      <c r="H21" s="49">
        <f t="array" ref="H21">IF(
 OR(
  LEFT(B21,15)="state.character",
  RIGHT(B21,6)=".maxed"
 ),
 0,
 LET(
  sort,
   _xlfn.XLOOKUP(
    B21,
    tblChecklist[TargetID],
    tblChecklist[PlayerSort],
    0
   ),
  IF(sort=0,500,sort)
 )
)</f>
        <v>5</v>
      </c>
      <c r="I21" s="49" t="str">
        <f t="array" ref="I21">_xlfn.XLOOKUP(
 B21,
 tblTargetStatus[TargetID],
 tblTargetStatus[Status],
 ""
)</f>
        <v>BLOCKED</v>
      </c>
      <c r="J21" s="45" t="b">
        <v>0</v>
      </c>
    </row>
    <row r="22" ht="14.25" hidden="1" customHeight="1">
      <c r="A22" s="49" t="s">
        <v>254</v>
      </c>
      <c r="B22" s="49" t="str">
        <f>IFERROR(__xludf.DUMMYFUNCTION("REGEXREPLACE(
 REGEXREPLACE(A22,""^cost\."",""""),
 ""\.[^.]+\.[^.]+$"",
 """"
)"),"building.alchemists_hut@2")</f>
        <v>building.alchemists_hut@2</v>
      </c>
      <c r="C22" s="49" t="str">
        <f t="array" ref="C22">_xlfn.XLOOKUP(
 B22,
 tblTargets[TargetID],
 tblTargets[DisplayName],
 ""
)</f>
        <v>Alchemist's Hut Lv 2</v>
      </c>
      <c r="D22" s="49" t="str">
        <f t="array" ref="D22">_xlfn.XLOOKUP(
 B22,
 tblTargets[TargetID],
 tblTargets[TargetType],
 ""
)</f>
        <v>BUILDING</v>
      </c>
      <c r="E22" s="49" t="s">
        <v>119</v>
      </c>
      <c r="F22" s="49">
        <v>1.0</v>
      </c>
      <c r="G22" s="49">
        <f t="array" ref="G22">_xlfn.XLOOKUP(
 A22,
 tblCost[RequirementID],
 tblCost[QuantityRequired],
 ""
)</f>
        <v>200</v>
      </c>
      <c r="H22" s="49">
        <f t="array" ref="H22">IF(
 OR(
  LEFT(B22,15)="state.character",
  RIGHT(B22,6)=".maxed"
 ),
 0,
 LET(
  sort,
   _xlfn.XLOOKUP(
    B22,
    tblChecklist[TargetID],
    tblChecklist[PlayerSort],
    0
   ),
  IF(sort=0,500,sort)
 )
)</f>
        <v>5</v>
      </c>
      <c r="I22" s="49" t="str">
        <f t="array" ref="I22">_xlfn.XLOOKUP(
 B22,
 tblTargetStatus[TargetID],
 tblTargetStatus[Status],
 ""
)</f>
        <v>BLOCKED</v>
      </c>
      <c r="J22" s="45" t="b">
        <v>0</v>
      </c>
    </row>
    <row r="23" ht="14.25" hidden="1" customHeight="1">
      <c r="A23" s="49" t="s">
        <v>259</v>
      </c>
      <c r="B23" s="49" t="str">
        <f>IFERROR(__xludf.DUMMYFUNCTION("REGEXREPLACE(
 REGEXREPLACE(A23,""^cost\."",""""),
 ""\.[^.]+\.[^.]+$"",
 """"
)"),"building.alchemists_hut@2")</f>
        <v>building.alchemists_hut@2</v>
      </c>
      <c r="C23" s="49" t="str">
        <f t="array" ref="C23">_xlfn.XLOOKUP(
 B23,
 tblTargets[TargetID],
 tblTargets[DisplayName],
 ""
)</f>
        <v>Alchemist's Hut Lv 2</v>
      </c>
      <c r="D23" s="49" t="str">
        <f t="array" ref="D23">_xlfn.XLOOKUP(
 B23,
 tblTargets[TargetID],
 tblTargets[TargetType],
 ""
)</f>
        <v>BUILDING</v>
      </c>
      <c r="E23" s="49" t="s">
        <v>6</v>
      </c>
      <c r="F23" s="49">
        <v>1.0</v>
      </c>
      <c r="G23" s="49">
        <f t="array" ref="G23">_xlfn.XLOOKUP(
 A23,
 tblCost[RequirementID],
 tblCost[QuantityRequired],
 ""
)</f>
        <v>2</v>
      </c>
      <c r="H23" s="49">
        <f t="array" ref="H23">IF(
 OR(
  LEFT(B23,15)="state.character",
  RIGHT(B23,6)=".maxed"
 ),
 0,
 LET(
  sort,
   _xlfn.XLOOKUP(
    B23,
    tblChecklist[TargetID],
    tblChecklist[PlayerSort],
    0
   ),
  IF(sort=0,500,sort)
 )
)</f>
        <v>5</v>
      </c>
      <c r="I23" s="49" t="str">
        <f t="array" ref="I23">_xlfn.XLOOKUP(
 B23,
 tblTargetStatus[TargetID],
 tblTargetStatus[Status],
 ""
)</f>
        <v>BLOCKED</v>
      </c>
      <c r="J23" s="45" t="b">
        <v>0</v>
      </c>
    </row>
    <row r="24" ht="14.25" hidden="1" customHeight="1">
      <c r="A24" s="49" t="s">
        <v>263</v>
      </c>
      <c r="B24" s="49" t="str">
        <f>IFERROR(__xludf.DUMMYFUNCTION("REGEXREPLACE(
 REGEXREPLACE(A24,""^cost\."",""""),
 ""\.[^.]+\.[^.]+$"",
 """"
)"),"building.alchemists_hut@2")</f>
        <v>building.alchemists_hut@2</v>
      </c>
      <c r="C24" s="49" t="str">
        <f t="array" ref="C24">_xlfn.XLOOKUP(
 B24,
 tblTargets[TargetID],
 tblTargets[DisplayName],
 ""
)</f>
        <v>Alchemist's Hut Lv 2</v>
      </c>
      <c r="D24" s="49" t="str">
        <f t="array" ref="D24">_xlfn.XLOOKUP(
 B24,
 tblTargets[TargetID],
 tblTargets[TargetType],
 ""
)</f>
        <v>BUILDING</v>
      </c>
      <c r="E24" s="49" t="s">
        <v>237</v>
      </c>
      <c r="F24" s="49">
        <v>1.0</v>
      </c>
      <c r="G24" s="49">
        <f t="array" ref="G24">_xlfn.XLOOKUP(
 A24,
 tblCost[RequirementID],
 tblCost[QuantityRequired],
 ""
)</f>
        <v>100</v>
      </c>
      <c r="H24" s="49">
        <f t="array" ref="H24">IF(
 OR(
  LEFT(B24,15)="state.character",
  RIGHT(B24,6)=".maxed"
 ),
 0,
 LET(
  sort,
   _xlfn.XLOOKUP(
    B24,
    tblChecklist[TargetID],
    tblChecklist[PlayerSort],
    0
   ),
  IF(sort=0,500,sort)
 )
)</f>
        <v>5</v>
      </c>
      <c r="I24" s="49" t="str">
        <f t="array" ref="I24">_xlfn.XLOOKUP(
 B24,
 tblTargetStatus[TargetID],
 tblTargetStatus[Status],
 ""
)</f>
        <v>BLOCKED</v>
      </c>
      <c r="J24" s="45" t="b">
        <v>0</v>
      </c>
    </row>
    <row r="25" ht="14.25" hidden="1" customHeight="1">
      <c r="A25" s="49" t="s">
        <v>268</v>
      </c>
      <c r="B25" s="49" t="str">
        <f>IFERROR(__xludf.DUMMYFUNCTION("REGEXREPLACE(
 REGEXREPLACE(A25,""^cost\."",""""),
 ""\.[^.]+\.[^.]+$"",
 """"
)"),"building.alchemists_hut@2")</f>
        <v>building.alchemists_hut@2</v>
      </c>
      <c r="C25" s="49" t="str">
        <f t="array" ref="C25">_xlfn.XLOOKUP(
 B25,
 tblTargets[TargetID],
 tblTargets[DisplayName],
 ""
)</f>
        <v>Alchemist's Hut Lv 2</v>
      </c>
      <c r="D25" s="49" t="str">
        <f t="array" ref="D25">_xlfn.XLOOKUP(
 B25,
 tblTargets[TargetID],
 tblTargets[TargetType],
 ""
)</f>
        <v>BUILDING</v>
      </c>
      <c r="E25" s="49" t="s">
        <v>244</v>
      </c>
      <c r="F25" s="49">
        <v>1.0</v>
      </c>
      <c r="G25" s="49">
        <f t="array" ref="G25">_xlfn.XLOOKUP(
 A25,
 tblCost[RequirementID],
 tblCost[QuantityRequired],
 ""
)</f>
        <v>100</v>
      </c>
      <c r="H25" s="49">
        <f t="array" ref="H25">IF(
 OR(
  LEFT(B25,15)="state.character",
  RIGHT(B25,6)=".maxed"
 ),
 0,
 LET(
  sort,
   _xlfn.XLOOKUP(
    B25,
    tblChecklist[TargetID],
    tblChecklist[PlayerSort],
    0
   ),
  IF(sort=0,500,sort)
 )
)</f>
        <v>5</v>
      </c>
      <c r="I25" s="49" t="str">
        <f t="array" ref="I25">_xlfn.XLOOKUP(
 B25,
 tblTargetStatus[TargetID],
 tblTargetStatus[Status],
 ""
)</f>
        <v>BLOCKED</v>
      </c>
      <c r="J25" s="45" t="b">
        <v>0</v>
      </c>
    </row>
    <row r="26" ht="14.25" hidden="1" customHeight="1">
      <c r="A26" s="49" t="s">
        <v>274</v>
      </c>
      <c r="B26" s="49" t="str">
        <f>IFERROR(__xludf.DUMMYFUNCTION("REGEXREPLACE(
 REGEXREPLACE(A26,""^cost\."",""""),
 ""\.[^.]+\.[^.]+$"",
 """"
)"),"building.alchemists_hut@3")</f>
        <v>building.alchemists_hut@3</v>
      </c>
      <c r="C26" s="49" t="str">
        <f t="array" ref="C26">_xlfn.XLOOKUP(
 B26,
 tblTargets[TargetID],
 tblTargets[DisplayName],
 ""
)</f>
        <v>Alchemist's Hut Lv 3</v>
      </c>
      <c r="D26" s="49" t="str">
        <f t="array" ref="D26">_xlfn.XLOOKUP(
 B26,
 tblTargets[TargetID],
 tblTargets[TargetType],
 ""
)</f>
        <v>BUILDING</v>
      </c>
      <c r="E26" s="49" t="s">
        <v>278</v>
      </c>
      <c r="F26" s="49">
        <v>1.0</v>
      </c>
      <c r="G26" s="49">
        <f t="array" ref="G26">_xlfn.XLOOKUP(
 A26,
 tblCost[RequirementID],
 tblCost[QuantityRequired],
 ""
)</f>
        <v>300</v>
      </c>
      <c r="H26" s="49">
        <f t="array" ref="H26">IF(
 OR(
  LEFT(B26,15)="state.character",
  RIGHT(B26,6)=".maxed"
 ),
 0,
 LET(
  sort,
   _xlfn.XLOOKUP(
    B26,
    tblChecklist[TargetID],
    tblChecklist[PlayerSort],
    0
   ),
  IF(sort=0,500,sort)
 )
)</f>
        <v>51</v>
      </c>
      <c r="I26" s="49" t="str">
        <f t="array" ref="I26">_xlfn.XLOOKUP(
 B26,
 tblTargetStatus[TargetID],
 tblTargetStatus[Status],
 ""
)</f>
        <v>BLOCKED</v>
      </c>
      <c r="J26" s="45" t="b">
        <v>0</v>
      </c>
    </row>
    <row r="27" ht="14.25" hidden="1" customHeight="1">
      <c r="A27" s="49" t="s">
        <v>281</v>
      </c>
      <c r="B27" s="49" t="str">
        <f>IFERROR(__xludf.DUMMYFUNCTION("REGEXREPLACE(
 REGEXREPLACE(A27,""^cost\."",""""),
 ""\.[^.]+\.[^.]+$"",
 """"
)"),"building.alchemists_hut@3")</f>
        <v>building.alchemists_hut@3</v>
      </c>
      <c r="C27" s="49" t="str">
        <f t="array" ref="C27">_xlfn.XLOOKUP(
 B27,
 tblTargets[TargetID],
 tblTargets[DisplayName],
 ""
)</f>
        <v>Alchemist's Hut Lv 3</v>
      </c>
      <c r="D27" s="49" t="str">
        <f t="array" ref="D27">_xlfn.XLOOKUP(
 B27,
 tblTargets[TargetID],
 tblTargets[TargetType],
 ""
)</f>
        <v>BUILDING</v>
      </c>
      <c r="E27" s="49" t="s">
        <v>283</v>
      </c>
      <c r="F27" s="49">
        <v>1.0</v>
      </c>
      <c r="G27" s="49">
        <f t="array" ref="G27">_xlfn.XLOOKUP(
 A27,
 tblCost[RequirementID],
 tblCost[QuantityRequired],
 ""
)</f>
        <v>40</v>
      </c>
      <c r="H27" s="49">
        <f t="array" ref="H27">IF(
 OR(
  LEFT(B27,15)="state.character",
  RIGHT(B27,6)=".maxed"
 ),
 0,
 LET(
  sort,
   _xlfn.XLOOKUP(
    B27,
    tblChecklist[TargetID],
    tblChecklist[PlayerSort],
    0
   ),
  IF(sort=0,500,sort)
 )
)</f>
        <v>51</v>
      </c>
      <c r="I27" s="49" t="str">
        <f t="array" ref="I27">_xlfn.XLOOKUP(
 B27,
 tblTargetStatus[TargetID],
 tblTargetStatus[Status],
 ""
)</f>
        <v>BLOCKED</v>
      </c>
      <c r="J27" s="45" t="b">
        <v>0</v>
      </c>
    </row>
    <row r="28" ht="14.25" hidden="1" customHeight="1">
      <c r="A28" s="49" t="s">
        <v>288</v>
      </c>
      <c r="B28" s="49" t="str">
        <f>IFERROR(__xludf.DUMMYFUNCTION("REGEXREPLACE(
 REGEXREPLACE(A28,""^cost\."",""""),
 ""\.[^.]+\.[^.]+$"",
 """"
)"),"building.alchemists_hut@3")</f>
        <v>building.alchemists_hut@3</v>
      </c>
      <c r="C28" s="49" t="str">
        <f t="array" ref="C28">_xlfn.XLOOKUP(
 B28,
 tblTargets[TargetID],
 tblTargets[DisplayName],
 ""
)</f>
        <v>Alchemist's Hut Lv 3</v>
      </c>
      <c r="D28" s="49" t="str">
        <f t="array" ref="D28">_xlfn.XLOOKUP(
 B28,
 tblTargets[TargetID],
 tblTargets[TargetType],
 ""
)</f>
        <v>BUILDING</v>
      </c>
      <c r="E28" s="49" t="s">
        <v>113</v>
      </c>
      <c r="F28" s="49">
        <v>1.0</v>
      </c>
      <c r="G28" s="49">
        <f t="array" ref="G28">_xlfn.XLOOKUP(
 A28,
 tblCost[RequirementID],
 tblCost[QuantityRequired],
 ""
)</f>
        <v>40</v>
      </c>
      <c r="H28" s="49">
        <f t="array" ref="H28">IF(
 OR(
  LEFT(B28,15)="state.character",
  RIGHT(B28,6)=".maxed"
 ),
 0,
 LET(
  sort,
   _xlfn.XLOOKUP(
    B28,
    tblChecklist[TargetID],
    tblChecklist[PlayerSort],
    0
   ),
  IF(sort=0,500,sort)
 )
)</f>
        <v>51</v>
      </c>
      <c r="I28" s="49" t="str">
        <f t="array" ref="I28">_xlfn.XLOOKUP(
 B28,
 tblTargetStatus[TargetID],
 tblTargetStatus[Status],
 ""
)</f>
        <v>BLOCKED</v>
      </c>
      <c r="J28" s="45" t="b">
        <v>0</v>
      </c>
    </row>
    <row r="29" ht="14.25" hidden="1" customHeight="1">
      <c r="A29" s="49" t="s">
        <v>293</v>
      </c>
      <c r="B29" s="49" t="str">
        <f>IFERROR(__xludf.DUMMYFUNCTION("REGEXREPLACE(
 REGEXREPLACE(A29,""^cost\."",""""),
 ""\.[^.]+\.[^.]+$"",
 """"
)"),"building.alchemists_hut@3")</f>
        <v>building.alchemists_hut@3</v>
      </c>
      <c r="C29" s="49" t="str">
        <f t="array" ref="C29">_xlfn.XLOOKUP(
 B29,
 tblTargets[TargetID],
 tblTargets[DisplayName],
 ""
)</f>
        <v>Alchemist's Hut Lv 3</v>
      </c>
      <c r="D29" s="49" t="str">
        <f t="array" ref="D29">_xlfn.XLOOKUP(
 B29,
 tblTargets[TargetID],
 tblTargets[TargetType],
 ""
)</f>
        <v>BUILDING</v>
      </c>
      <c r="E29" s="49" t="s">
        <v>119</v>
      </c>
      <c r="F29" s="49">
        <v>1.0</v>
      </c>
      <c r="G29" s="49">
        <f t="array" ref="G29">_xlfn.XLOOKUP(
 A29,
 tblCost[RequirementID],
 tblCost[QuantityRequired],
 ""
)</f>
        <v>300</v>
      </c>
      <c r="H29" s="49">
        <f t="array" ref="H29">IF(
 OR(
  LEFT(B29,15)="state.character",
  RIGHT(B29,6)=".maxed"
 ),
 0,
 LET(
  sort,
   _xlfn.XLOOKUP(
    B29,
    tblChecklist[TargetID],
    tblChecklist[PlayerSort],
    0
   ),
  IF(sort=0,500,sort)
 )
)</f>
        <v>51</v>
      </c>
      <c r="I29" s="49" t="str">
        <f t="array" ref="I29">_xlfn.XLOOKUP(
 B29,
 tblTargetStatus[TargetID],
 tblTargetStatus[Status],
 ""
)</f>
        <v>BLOCKED</v>
      </c>
      <c r="J29" s="45" t="b">
        <v>0</v>
      </c>
    </row>
    <row r="30" ht="14.25" hidden="1" customHeight="1">
      <c r="A30" s="49" t="s">
        <v>298</v>
      </c>
      <c r="B30" s="49" t="str">
        <f>IFERROR(__xludf.DUMMYFUNCTION("REGEXREPLACE(
 REGEXREPLACE(A30,""^cost\."",""""),
 ""\.[^.]+\.[^.]+$"",
 """"
)"),"building.alchemists_hut@3")</f>
        <v>building.alchemists_hut@3</v>
      </c>
      <c r="C30" s="49" t="str">
        <f t="array" ref="C30">_xlfn.XLOOKUP(
 B30,
 tblTargets[TargetID],
 tblTargets[DisplayName],
 ""
)</f>
        <v>Alchemist's Hut Lv 3</v>
      </c>
      <c r="D30" s="49" t="str">
        <f t="array" ref="D30">_xlfn.XLOOKUP(
 B30,
 tblTargets[TargetID],
 tblTargets[TargetType],
 ""
)</f>
        <v>BUILDING</v>
      </c>
      <c r="E30" s="49" t="s">
        <v>6</v>
      </c>
      <c r="F30" s="49">
        <v>1.0</v>
      </c>
      <c r="G30" s="49">
        <f t="array" ref="G30">_xlfn.XLOOKUP(
 A30,
 tblCost[RequirementID],
 tblCost[QuantityRequired],
 ""
)</f>
        <v>3</v>
      </c>
      <c r="H30" s="49">
        <f t="array" ref="H30">IF(
 OR(
  LEFT(B30,15)="state.character",
  RIGHT(B30,6)=".maxed"
 ),
 0,
 LET(
  sort,
   _xlfn.XLOOKUP(
    B30,
    tblChecklist[TargetID],
    tblChecklist[PlayerSort],
    0
   ),
  IF(sort=0,500,sort)
 )
)</f>
        <v>51</v>
      </c>
      <c r="I30" s="49" t="str">
        <f t="array" ref="I30">_xlfn.XLOOKUP(
 B30,
 tblTargetStatus[TargetID],
 tblTargetStatus[Status],
 ""
)</f>
        <v>BLOCKED</v>
      </c>
      <c r="J30" s="45" t="b">
        <v>0</v>
      </c>
    </row>
    <row r="31" ht="14.25" hidden="1" customHeight="1">
      <c r="A31" s="49" t="s">
        <v>301</v>
      </c>
      <c r="B31" s="49" t="str">
        <f>IFERROR(__xludf.DUMMYFUNCTION("REGEXREPLACE(
 REGEXREPLACE(A31,""^cost\."",""""),
 ""\.[^.]+\.[^.]+$"",
 """"
)"),"building.alchemists_hut@3")</f>
        <v>building.alchemists_hut@3</v>
      </c>
      <c r="C31" s="49" t="str">
        <f t="array" ref="C31">_xlfn.XLOOKUP(
 B31,
 tblTargets[TargetID],
 tblTargets[DisplayName],
 ""
)</f>
        <v>Alchemist's Hut Lv 3</v>
      </c>
      <c r="D31" s="49" t="str">
        <f t="array" ref="D31">_xlfn.XLOOKUP(
 B31,
 tblTargets[TargetID],
 tblTargets[TargetType],
 ""
)</f>
        <v>BUILDING</v>
      </c>
      <c r="E31" s="49" t="s">
        <v>237</v>
      </c>
      <c r="F31" s="49">
        <v>1.0</v>
      </c>
      <c r="G31" s="49">
        <f t="array" ref="G31">_xlfn.XLOOKUP(
 A31,
 tblCost[RequirementID],
 tblCost[QuantityRequired],
 ""
)</f>
        <v>150</v>
      </c>
      <c r="H31" s="49">
        <f t="array" ref="H31">IF(
 OR(
  LEFT(B31,15)="state.character",
  RIGHT(B31,6)=".maxed"
 ),
 0,
 LET(
  sort,
   _xlfn.XLOOKUP(
    B31,
    tblChecklist[TargetID],
    tblChecklist[PlayerSort],
    0
   ),
  IF(sort=0,500,sort)
 )
)</f>
        <v>51</v>
      </c>
      <c r="I31" s="49" t="str">
        <f t="array" ref="I31">_xlfn.XLOOKUP(
 B31,
 tblTargetStatus[TargetID],
 tblTargetStatus[Status],
 ""
)</f>
        <v>BLOCKED</v>
      </c>
      <c r="J31" s="45" t="b">
        <v>0</v>
      </c>
    </row>
    <row r="32" ht="14.25" hidden="1" customHeight="1">
      <c r="A32" s="49" t="s">
        <v>307</v>
      </c>
      <c r="B32" s="49" t="str">
        <f>IFERROR(__xludf.DUMMYFUNCTION("REGEXREPLACE(
 REGEXREPLACE(A32,""^cost\."",""""),
 ""\.[^.]+\.[^.]+$"",
 """"
)"),"building.alchemists_hut@4")</f>
        <v>building.alchemists_hut@4</v>
      </c>
      <c r="C32" s="49" t="str">
        <f t="array" ref="C32">_xlfn.XLOOKUP(
 B32,
 tblTargets[TargetID],
 tblTargets[DisplayName],
 ""
)</f>
        <v>Alchemist's Hut Lv 4</v>
      </c>
      <c r="D32" s="49" t="str">
        <f t="array" ref="D32">_xlfn.XLOOKUP(
 B32,
 tblTargets[TargetID],
 tblTargets[TargetType],
 ""
)</f>
        <v>BUILDING</v>
      </c>
      <c r="E32" s="49" t="s">
        <v>278</v>
      </c>
      <c r="F32" s="49">
        <v>1.0</v>
      </c>
      <c r="G32" s="49">
        <f t="array" ref="G32">_xlfn.XLOOKUP(
 A32,
 tblCost[RequirementID],
 tblCost[QuantityRequired],
 ""
)</f>
        <v>400</v>
      </c>
      <c r="H32" s="49">
        <f t="array" ref="H32">IF(
 OR(
  LEFT(B32,15)="state.character",
  RIGHT(B32,6)=".maxed"
 ),
 0,
 LET(
  sort,
   _xlfn.XLOOKUP(
    B32,
    tblChecklist[TargetID],
    tblChecklist[PlayerSort],
    0
   ),
  IF(sort=0,500,sort)
 )
)</f>
        <v>52</v>
      </c>
      <c r="I32" s="49" t="str">
        <f t="array" ref="I32">_xlfn.XLOOKUP(
 B32,
 tblTargetStatus[TargetID],
 tblTargetStatus[Status],
 ""
)</f>
        <v>BLOCKED</v>
      </c>
      <c r="J32" s="45" t="b">
        <v>0</v>
      </c>
    </row>
    <row r="33" ht="14.25" hidden="1" customHeight="1">
      <c r="A33" s="49" t="s">
        <v>312</v>
      </c>
      <c r="B33" s="49" t="str">
        <f>IFERROR(__xludf.DUMMYFUNCTION("REGEXREPLACE(
 REGEXREPLACE(A33,""^cost\."",""""),
 ""\.[^.]+\.[^.]+$"",
 """"
)"),"building.alchemists_hut@4")</f>
        <v>building.alchemists_hut@4</v>
      </c>
      <c r="C33" s="49" t="str">
        <f t="array" ref="C33">_xlfn.XLOOKUP(
 B33,
 tblTargets[TargetID],
 tblTargets[DisplayName],
 ""
)</f>
        <v>Alchemist's Hut Lv 4</v>
      </c>
      <c r="D33" s="49" t="str">
        <f t="array" ref="D33">_xlfn.XLOOKUP(
 B33,
 tblTargets[TargetID],
 tblTargets[TargetType],
 ""
)</f>
        <v>BUILDING</v>
      </c>
      <c r="E33" s="49" t="s">
        <v>119</v>
      </c>
      <c r="F33" s="49">
        <v>1.0</v>
      </c>
      <c r="G33" s="49">
        <f t="array" ref="G33">_xlfn.XLOOKUP(
 A33,
 tblCost[RequirementID],
 tblCost[QuantityRequired],
 ""
)</f>
        <v>400</v>
      </c>
      <c r="H33" s="49">
        <f t="array" ref="H33">IF(
 OR(
  LEFT(B33,15)="state.character",
  RIGHT(B33,6)=".maxed"
 ),
 0,
 LET(
  sort,
   _xlfn.XLOOKUP(
    B33,
    tblChecklist[TargetID],
    tblChecklist[PlayerSort],
    0
   ),
  IF(sort=0,500,sort)
 )
)</f>
        <v>52</v>
      </c>
      <c r="I33" s="49" t="str">
        <f t="array" ref="I33">_xlfn.XLOOKUP(
 B33,
 tblTargetStatus[TargetID],
 tblTargetStatus[Status],
 ""
)</f>
        <v>BLOCKED</v>
      </c>
      <c r="J33" s="45" t="b">
        <v>0</v>
      </c>
    </row>
    <row r="34" ht="14.25" hidden="1" customHeight="1">
      <c r="A34" s="49" t="s">
        <v>316</v>
      </c>
      <c r="B34" s="49" t="str">
        <f>IFERROR(__xludf.DUMMYFUNCTION("REGEXREPLACE(
 REGEXREPLACE(A34,""^cost\."",""""),
 ""\.[^.]+\.[^.]+$"",
 """"
)"),"building.alchemists_hut@4")</f>
        <v>building.alchemists_hut@4</v>
      </c>
      <c r="C34" s="49" t="str">
        <f t="array" ref="C34">_xlfn.XLOOKUP(
 B34,
 tblTargets[TargetID],
 tblTargets[DisplayName],
 ""
)</f>
        <v>Alchemist's Hut Lv 4</v>
      </c>
      <c r="D34" s="49" t="str">
        <f t="array" ref="D34">_xlfn.XLOOKUP(
 B34,
 tblTargets[TargetID],
 tblTargets[TargetType],
 ""
)</f>
        <v>BUILDING</v>
      </c>
      <c r="E34" s="49" t="s">
        <v>318</v>
      </c>
      <c r="F34" s="49">
        <v>1.0</v>
      </c>
      <c r="G34" s="49">
        <f t="array" ref="G34">_xlfn.XLOOKUP(
 A34,
 tblCost[RequirementID],
 tblCost[QuantityRequired],
 ""
)</f>
        <v>40</v>
      </c>
      <c r="H34" s="49">
        <f t="array" ref="H34">IF(
 OR(
  LEFT(B34,15)="state.character",
  RIGHT(B34,6)=".maxed"
 ),
 0,
 LET(
  sort,
   _xlfn.XLOOKUP(
    B34,
    tblChecklist[TargetID],
    tblChecklist[PlayerSort],
    0
   ),
  IF(sort=0,500,sort)
 )
)</f>
        <v>52</v>
      </c>
      <c r="I34" s="49" t="str">
        <f t="array" ref="I34">_xlfn.XLOOKUP(
 B34,
 tblTargetStatus[TargetID],
 tblTargetStatus[Status],
 ""
)</f>
        <v>BLOCKED</v>
      </c>
      <c r="J34" s="45" t="b">
        <v>0</v>
      </c>
    </row>
    <row r="35" ht="14.25" hidden="1" customHeight="1">
      <c r="A35" s="49" t="s">
        <v>320</v>
      </c>
      <c r="B35" s="49" t="str">
        <f>IFERROR(__xludf.DUMMYFUNCTION("REGEXREPLACE(
 REGEXREPLACE(A35,""^cost\."",""""),
 ""\.[^.]+\.[^.]+$"",
 """"
)"),"building.alchemists_hut@4")</f>
        <v>building.alchemists_hut@4</v>
      </c>
      <c r="C35" s="49" t="str">
        <f t="array" ref="C35">_xlfn.XLOOKUP(
 B35,
 tblTargets[TargetID],
 tblTargets[DisplayName],
 ""
)</f>
        <v>Alchemist's Hut Lv 4</v>
      </c>
      <c r="D35" s="49" t="str">
        <f t="array" ref="D35">_xlfn.XLOOKUP(
 B35,
 tblTargets[TargetID],
 tblTargets[TargetType],
 ""
)</f>
        <v>BUILDING</v>
      </c>
      <c r="E35" s="49" t="s">
        <v>6</v>
      </c>
      <c r="F35" s="49">
        <v>1.0</v>
      </c>
      <c r="G35" s="49">
        <f t="array" ref="G35">_xlfn.XLOOKUP(
 A35,
 tblCost[RequirementID],
 tblCost[QuantityRequired],
 ""
)</f>
        <v>4</v>
      </c>
      <c r="H35" s="49">
        <f t="array" ref="H35">IF(
 OR(
  LEFT(B35,15)="state.character",
  RIGHT(B35,6)=".maxed"
 ),
 0,
 LET(
  sort,
   _xlfn.XLOOKUP(
    B35,
    tblChecklist[TargetID],
    tblChecklist[PlayerSort],
    0
   ),
  IF(sort=0,500,sort)
 )
)</f>
        <v>52</v>
      </c>
      <c r="I35" s="49" t="str">
        <f t="array" ref="I35">_xlfn.XLOOKUP(
 B35,
 tblTargetStatus[TargetID],
 tblTargetStatus[Status],
 ""
)</f>
        <v>BLOCKED</v>
      </c>
      <c r="J35" s="45" t="b">
        <v>0</v>
      </c>
    </row>
    <row r="36" ht="14.25" hidden="1" customHeight="1">
      <c r="A36" s="49" t="s">
        <v>321</v>
      </c>
      <c r="B36" s="49" t="str">
        <f>IFERROR(__xludf.DUMMYFUNCTION("REGEXREPLACE(
 REGEXREPLACE(A36,""^cost\."",""""),
 ""\.[^.]+\.[^.]+$"",
 """"
)"),"building.alchemists_hut@4")</f>
        <v>building.alchemists_hut@4</v>
      </c>
      <c r="C36" s="49" t="str">
        <f t="array" ref="C36">_xlfn.XLOOKUP(
 B36,
 tblTargets[TargetID],
 tblTargets[DisplayName],
 ""
)</f>
        <v>Alchemist's Hut Lv 4</v>
      </c>
      <c r="D36" s="49" t="str">
        <f t="array" ref="D36">_xlfn.XLOOKUP(
 B36,
 tblTargets[TargetID],
 tblTargets[TargetType],
 ""
)</f>
        <v>BUILDING</v>
      </c>
      <c r="E36" s="49" t="s">
        <v>237</v>
      </c>
      <c r="F36" s="49">
        <v>1.0</v>
      </c>
      <c r="G36" s="49">
        <f t="array" ref="G36">_xlfn.XLOOKUP(
 A36,
 tblCost[RequirementID],
 tblCost[QuantityRequired],
 ""
)</f>
        <v>200</v>
      </c>
      <c r="H36" s="49">
        <f t="array" ref="H36">IF(
 OR(
  LEFT(B36,15)="state.character",
  RIGHT(B36,6)=".maxed"
 ),
 0,
 LET(
  sort,
   _xlfn.XLOOKUP(
    B36,
    tblChecklist[TargetID],
    tblChecklist[PlayerSort],
    0
   ),
  IF(sort=0,500,sort)
 )
)</f>
        <v>52</v>
      </c>
      <c r="I36" s="49" t="str">
        <f t="array" ref="I36">_xlfn.XLOOKUP(
 B36,
 tblTargetStatus[TargetID],
 tblTargetStatus[Status],
 ""
)</f>
        <v>BLOCKED</v>
      </c>
      <c r="J36" s="45" t="b">
        <v>0</v>
      </c>
    </row>
    <row r="37" ht="14.25" hidden="1" customHeight="1">
      <c r="A37" s="49" t="s">
        <v>324</v>
      </c>
      <c r="B37" s="49" t="str">
        <f>IFERROR(__xludf.DUMMYFUNCTION("REGEXREPLACE(
 REGEXREPLACE(A37,""^cost\."",""""),
 ""\.[^.]+\.[^.]+$"",
 """"
)"),"building.alchemists_hut@5")</f>
        <v>building.alchemists_hut@5</v>
      </c>
      <c r="C37" s="49" t="str">
        <f t="array" ref="C37">_xlfn.XLOOKUP(
 B37,
 tblTargets[TargetID],
 tblTargets[DisplayName],
 ""
)</f>
        <v>Alchemist's Hut Lv 5</v>
      </c>
      <c r="D37" s="49" t="str">
        <f t="array" ref="D37">_xlfn.XLOOKUP(
 B37,
 tblTargets[TargetID],
 tblTargets[TargetType],
 ""
)</f>
        <v>BUILDING</v>
      </c>
      <c r="E37" s="49" t="s">
        <v>278</v>
      </c>
      <c r="F37" s="49">
        <v>1.0</v>
      </c>
      <c r="G37" s="49">
        <f t="array" ref="G37">_xlfn.XLOOKUP(
 A37,
 tblCost[RequirementID],
 tblCost[QuantityRequired],
 ""
)</f>
        <v>440</v>
      </c>
      <c r="H37" s="49">
        <f t="array" ref="H37">IF(
 OR(
  LEFT(B37,15)="state.character",
  RIGHT(B37,6)=".maxed"
 ),
 0,
 LET(
  sort,
   _xlfn.XLOOKUP(
    B37,
    tblChecklist[TargetID],
    tblChecklist[PlayerSort],
    0
   ),
  IF(sort=0,500,sort)
 )
)</f>
        <v>53</v>
      </c>
      <c r="I37" s="49" t="str">
        <f t="array" ref="I37">_xlfn.XLOOKUP(
 B37,
 tblTargetStatus[TargetID],
 tblTargetStatus[Status],
 ""
)</f>
        <v>BLOCKED</v>
      </c>
      <c r="J37" s="45" t="b">
        <v>0</v>
      </c>
    </row>
    <row r="38" ht="14.25" hidden="1" customHeight="1">
      <c r="A38" s="49" t="s">
        <v>327</v>
      </c>
      <c r="B38" s="49" t="str">
        <f>IFERROR(__xludf.DUMMYFUNCTION("REGEXREPLACE(
 REGEXREPLACE(A38,""^cost\."",""""),
 ""\.[^.]+\.[^.]+$"",
 """"
)"),"building.alchemists_hut@5")</f>
        <v>building.alchemists_hut@5</v>
      </c>
      <c r="C38" s="49" t="str">
        <f t="array" ref="C38">_xlfn.XLOOKUP(
 B38,
 tblTargets[TargetID],
 tblTargets[DisplayName],
 ""
)</f>
        <v>Alchemist's Hut Lv 5</v>
      </c>
      <c r="D38" s="49" t="str">
        <f t="array" ref="D38">_xlfn.XLOOKUP(
 B38,
 tblTargets[TargetID],
 tblTargets[TargetType],
 ""
)</f>
        <v>BUILDING</v>
      </c>
      <c r="E38" s="49" t="s">
        <v>119</v>
      </c>
      <c r="F38" s="49">
        <v>1.0</v>
      </c>
      <c r="G38" s="49">
        <f t="array" ref="G38">_xlfn.XLOOKUP(
 A38,
 tblCost[RequirementID],
 tblCost[QuantityRequired],
 ""
)</f>
        <v>500</v>
      </c>
      <c r="H38" s="49">
        <f t="array" ref="H38">IF(
 OR(
  LEFT(B38,15)="state.character",
  RIGHT(B38,6)=".maxed"
 ),
 0,
 LET(
  sort,
   _xlfn.XLOOKUP(
    B38,
    tblChecklist[TargetID],
    tblChecklist[PlayerSort],
    0
   ),
  IF(sort=0,500,sort)
 )
)</f>
        <v>53</v>
      </c>
      <c r="I38" s="49" t="str">
        <f t="array" ref="I38">_xlfn.XLOOKUP(
 B38,
 tblTargetStatus[TargetID],
 tblTargetStatus[Status],
 ""
)</f>
        <v>BLOCKED</v>
      </c>
      <c r="J38" s="45" t="b">
        <v>0</v>
      </c>
    </row>
    <row r="39" ht="14.25" hidden="1" customHeight="1">
      <c r="A39" s="49" t="s">
        <v>332</v>
      </c>
      <c r="B39" s="49" t="str">
        <f>IFERROR(__xludf.DUMMYFUNCTION("REGEXREPLACE(
 REGEXREPLACE(A39,""^cost\."",""""),
 ""\.[^.]+\.[^.]+$"",
 """"
)"),"building.alchemists_hut@5")</f>
        <v>building.alchemists_hut@5</v>
      </c>
      <c r="C39" s="49" t="str">
        <f t="array" ref="C39">_xlfn.XLOOKUP(
 B39,
 tblTargets[TargetID],
 tblTargets[DisplayName],
 ""
)</f>
        <v>Alchemist's Hut Lv 5</v>
      </c>
      <c r="D39" s="49" t="str">
        <f t="array" ref="D39">_xlfn.XLOOKUP(
 B39,
 tblTargets[TargetID],
 tblTargets[TargetType],
 ""
)</f>
        <v>BUILDING</v>
      </c>
      <c r="E39" s="49" t="s">
        <v>318</v>
      </c>
      <c r="F39" s="49">
        <v>1.0</v>
      </c>
      <c r="G39" s="49">
        <f t="array" ref="G39">_xlfn.XLOOKUP(
 A39,
 tblCost[RequirementID],
 tblCost[QuantityRequired],
 ""
)</f>
        <v>80</v>
      </c>
      <c r="H39" s="49">
        <f t="array" ref="H39">IF(
 OR(
  LEFT(B39,15)="state.character",
  RIGHT(B39,6)=".maxed"
 ),
 0,
 LET(
  sort,
   _xlfn.XLOOKUP(
    B39,
    tblChecklist[TargetID],
    tblChecklist[PlayerSort],
    0
   ),
  IF(sort=0,500,sort)
 )
)</f>
        <v>53</v>
      </c>
      <c r="I39" s="49" t="str">
        <f t="array" ref="I39">_xlfn.XLOOKUP(
 B39,
 tblTargetStatus[TargetID],
 tblTargetStatus[Status],
 ""
)</f>
        <v>BLOCKED</v>
      </c>
      <c r="J39" s="45" t="b">
        <v>0</v>
      </c>
    </row>
    <row r="40" ht="14.25" hidden="1" customHeight="1">
      <c r="A40" s="49" t="s">
        <v>335</v>
      </c>
      <c r="B40" s="49" t="str">
        <f>IFERROR(__xludf.DUMMYFUNCTION("REGEXREPLACE(
 REGEXREPLACE(A40,""^cost\."",""""),
 ""\.[^.]+\.[^.]+$"",
 """"
)"),"building.alchemists_hut@5")</f>
        <v>building.alchemists_hut@5</v>
      </c>
      <c r="C40" s="49" t="str">
        <f t="array" ref="C40">_xlfn.XLOOKUP(
 B40,
 tblTargets[TargetID],
 tblTargets[DisplayName],
 ""
)</f>
        <v>Alchemist's Hut Lv 5</v>
      </c>
      <c r="D40" s="49" t="str">
        <f t="array" ref="D40">_xlfn.XLOOKUP(
 B40,
 tblTargets[TargetID],
 tblTargets[TargetType],
 ""
)</f>
        <v>BUILDING</v>
      </c>
      <c r="E40" s="49" t="s">
        <v>6</v>
      </c>
      <c r="F40" s="49">
        <v>1.0</v>
      </c>
      <c r="G40" s="49">
        <f t="array" ref="G40">_xlfn.XLOOKUP(
 A40,
 tblCost[RequirementID],
 tblCost[QuantityRequired],
 ""
)</f>
        <v>5</v>
      </c>
      <c r="H40" s="49">
        <f t="array" ref="H40">IF(
 OR(
  LEFT(B40,15)="state.character",
  RIGHT(B40,6)=".maxed"
 ),
 0,
 LET(
  sort,
   _xlfn.XLOOKUP(
    B40,
    tblChecklist[TargetID],
    tblChecklist[PlayerSort],
    0
   ),
  IF(sort=0,500,sort)
 )
)</f>
        <v>53</v>
      </c>
      <c r="I40" s="49" t="str">
        <f t="array" ref="I40">_xlfn.XLOOKUP(
 B40,
 tblTargetStatus[TargetID],
 tblTargetStatus[Status],
 ""
)</f>
        <v>BLOCKED</v>
      </c>
      <c r="J40" s="45" t="b">
        <v>0</v>
      </c>
    </row>
    <row r="41" ht="14.25" hidden="1" customHeight="1">
      <c r="A41" s="49" t="s">
        <v>341</v>
      </c>
      <c r="B41" s="49" t="str">
        <f>IFERROR(__xludf.DUMMYFUNCTION("REGEXREPLACE(
 REGEXREPLACE(A41,""^cost\."",""""),
 ""\.[^.]+\.[^.]+$"",
 """"
)"),"building.alchemists_hut@5")</f>
        <v>building.alchemists_hut@5</v>
      </c>
      <c r="C41" s="49" t="str">
        <f t="array" ref="C41">_xlfn.XLOOKUP(
 B41,
 tblTargets[TargetID],
 tblTargets[DisplayName],
 ""
)</f>
        <v>Alchemist's Hut Lv 5</v>
      </c>
      <c r="D41" s="49" t="str">
        <f t="array" ref="D41">_xlfn.XLOOKUP(
 B41,
 tblTargets[TargetID],
 tblTargets[TargetType],
 ""
)</f>
        <v>BUILDING</v>
      </c>
      <c r="E41" s="49" t="s">
        <v>237</v>
      </c>
      <c r="F41" s="49">
        <v>1.0</v>
      </c>
      <c r="G41" s="49">
        <f t="array" ref="G41">_xlfn.XLOOKUP(
 A41,
 tblCost[RequirementID],
 tblCost[QuantityRequired],
 ""
)</f>
        <v>220</v>
      </c>
      <c r="H41" s="49">
        <f t="array" ref="H41">IF(
 OR(
  LEFT(B41,15)="state.character",
  RIGHT(B41,6)=".maxed"
 ),
 0,
 LET(
  sort,
   _xlfn.XLOOKUP(
    B41,
    tblChecklist[TargetID],
    tblChecklist[PlayerSort],
    0
   ),
  IF(sort=0,500,sort)
 )
)</f>
        <v>53</v>
      </c>
      <c r="I41" s="49" t="str">
        <f t="array" ref="I41">_xlfn.XLOOKUP(
 B41,
 tblTargetStatus[TargetID],
 tblTargetStatus[Status],
 ""
)</f>
        <v>BLOCKED</v>
      </c>
      <c r="J41" s="45" t="b">
        <v>0</v>
      </c>
    </row>
    <row r="42" ht="14.25" hidden="1" customHeight="1">
      <c r="A42" s="49" t="s">
        <v>346</v>
      </c>
      <c r="B42" s="49" t="str">
        <f>IFERROR(__xludf.DUMMYFUNCTION("REGEXREPLACE(
 REGEXREPLACE(A42,""^cost\."",""""),
 ""\.[^.]+\.[^.]+$"",
 """"
)"),"building.alchemists_hut@6")</f>
        <v>building.alchemists_hut@6</v>
      </c>
      <c r="C42" s="49" t="str">
        <f t="array" ref="C42">_xlfn.XLOOKUP(
 B42,
 tblTargets[TargetID],
 tblTargets[DisplayName],
 ""
)</f>
        <v>Alchemist's Hut Lv 6</v>
      </c>
      <c r="D42" s="49" t="str">
        <f t="array" ref="D42">_xlfn.XLOOKUP(
 B42,
 tblTargets[TargetID],
 tblTargets[TargetType],
 ""
)</f>
        <v>BUILDING</v>
      </c>
      <c r="E42" s="49" t="s">
        <v>278</v>
      </c>
      <c r="F42" s="49">
        <v>1.0</v>
      </c>
      <c r="G42" s="49">
        <f t="array" ref="G42">_xlfn.XLOOKUP(
 A42,
 tblCost[RequirementID],
 tblCost[QuantityRequired],
 ""
)</f>
        <v>800</v>
      </c>
      <c r="H42" s="49">
        <f t="array" ref="H42">IF(
 OR(
  LEFT(B42,15)="state.character",
  RIGHT(B42,6)=".maxed"
 ),
 0,
 LET(
  sort,
   _xlfn.XLOOKUP(
    B42,
    tblChecklist[TargetID],
    tblChecklist[PlayerSort],
    0
   ),
  IF(sort=0,500,sort)
 )
)</f>
        <v>54</v>
      </c>
      <c r="I42" s="49" t="str">
        <f t="array" ref="I42">_xlfn.XLOOKUP(
 B42,
 tblTargetStatus[TargetID],
 tblTargetStatus[Status],
 ""
)</f>
        <v>BLOCKED</v>
      </c>
      <c r="J42" s="45" t="b">
        <v>0</v>
      </c>
    </row>
    <row r="43" ht="14.25" hidden="1" customHeight="1">
      <c r="A43" s="49" t="s">
        <v>350</v>
      </c>
      <c r="B43" s="49" t="str">
        <f>IFERROR(__xludf.DUMMYFUNCTION("REGEXREPLACE(
 REGEXREPLACE(A43,""^cost\."",""""),
 ""\.[^.]+\.[^.]+$"",
 """"
)"),"building.alchemists_hut@6")</f>
        <v>building.alchemists_hut@6</v>
      </c>
      <c r="C43" s="49" t="str">
        <f t="array" ref="C43">_xlfn.XLOOKUP(
 B43,
 tblTargets[TargetID],
 tblTargets[DisplayName],
 ""
)</f>
        <v>Alchemist's Hut Lv 6</v>
      </c>
      <c r="D43" s="49" t="str">
        <f t="array" ref="D43">_xlfn.XLOOKUP(
 B43,
 tblTargets[TargetID],
 tblTargets[TargetType],
 ""
)</f>
        <v>BUILDING</v>
      </c>
      <c r="E43" s="49" t="s">
        <v>113</v>
      </c>
      <c r="F43" s="49">
        <v>1.0</v>
      </c>
      <c r="G43" s="49">
        <f t="array" ref="G43">_xlfn.XLOOKUP(
 A43,
 tblCost[RequirementID],
 tblCost[QuantityRequired],
 ""
)</f>
        <v>200</v>
      </c>
      <c r="H43" s="49">
        <f t="array" ref="H43">IF(
 OR(
  LEFT(B43,15)="state.character",
  RIGHT(B43,6)=".maxed"
 ),
 0,
 LET(
  sort,
   _xlfn.XLOOKUP(
    B43,
    tblChecklist[TargetID],
    tblChecklist[PlayerSort],
    0
   ),
  IF(sort=0,500,sort)
 )
)</f>
        <v>54</v>
      </c>
      <c r="I43" s="49" t="str">
        <f t="array" ref="I43">_xlfn.XLOOKUP(
 B43,
 tblTargetStatus[TargetID],
 tblTargetStatus[Status],
 ""
)</f>
        <v>BLOCKED</v>
      </c>
      <c r="J43" s="45" t="b">
        <v>0</v>
      </c>
    </row>
    <row r="44" ht="14.25" hidden="1" customHeight="1">
      <c r="A44" s="49" t="s">
        <v>355</v>
      </c>
      <c r="B44" s="49" t="str">
        <f>IFERROR(__xludf.DUMMYFUNCTION("REGEXREPLACE(
 REGEXREPLACE(A44,""^cost\."",""""),
 ""\.[^.]+\.[^.]+$"",
 """"
)"),"building.alchemists_hut@6")</f>
        <v>building.alchemists_hut@6</v>
      </c>
      <c r="C44" s="49" t="str">
        <f t="array" ref="C44">_xlfn.XLOOKUP(
 B44,
 tblTargets[TargetID],
 tblTargets[DisplayName],
 ""
)</f>
        <v>Alchemist's Hut Lv 6</v>
      </c>
      <c r="D44" s="49" t="str">
        <f t="array" ref="D44">_xlfn.XLOOKUP(
 B44,
 tblTargets[TargetID],
 tblTargets[TargetType],
 ""
)</f>
        <v>BUILDING</v>
      </c>
      <c r="E44" s="49" t="s">
        <v>119</v>
      </c>
      <c r="F44" s="49">
        <v>1.0</v>
      </c>
      <c r="G44" s="49">
        <f t="array" ref="G44">_xlfn.XLOOKUP(
 A44,
 tblCost[RequirementID],
 tblCost[QuantityRequired],
 ""
)</f>
        <v>1000</v>
      </c>
      <c r="H44" s="49">
        <f t="array" ref="H44">IF(
 OR(
  LEFT(B44,15)="state.character",
  RIGHT(B44,6)=".maxed"
 ),
 0,
 LET(
  sort,
   _xlfn.XLOOKUP(
    B44,
    tblChecklist[TargetID],
    tblChecklist[PlayerSort],
    0
   ),
  IF(sort=0,500,sort)
 )
)</f>
        <v>54</v>
      </c>
      <c r="I44" s="49" t="str">
        <f t="array" ref="I44">_xlfn.XLOOKUP(
 B44,
 tblTargetStatus[TargetID],
 tblTargetStatus[Status],
 ""
)</f>
        <v>BLOCKED</v>
      </c>
      <c r="J44" s="45" t="b">
        <v>0</v>
      </c>
    </row>
    <row r="45" ht="14.25" hidden="1" customHeight="1">
      <c r="A45" s="49" t="s">
        <v>358</v>
      </c>
      <c r="B45" s="49" t="str">
        <f>IFERROR(__xludf.DUMMYFUNCTION("REGEXREPLACE(
 REGEXREPLACE(A45,""^cost\."",""""),
 ""\.[^.]+\.[^.]+$"",
 """"
)"),"building.alchemists_hut@6")</f>
        <v>building.alchemists_hut@6</v>
      </c>
      <c r="C45" s="49" t="str">
        <f t="array" ref="C45">_xlfn.XLOOKUP(
 B45,
 tblTargets[TargetID],
 tblTargets[DisplayName],
 ""
)</f>
        <v>Alchemist's Hut Lv 6</v>
      </c>
      <c r="D45" s="49" t="str">
        <f t="array" ref="D45">_xlfn.XLOOKUP(
 B45,
 tblTargets[TargetID],
 tblTargets[TargetType],
 ""
)</f>
        <v>BUILDING</v>
      </c>
      <c r="E45" s="49" t="s">
        <v>360</v>
      </c>
      <c r="F45" s="49">
        <v>1.0</v>
      </c>
      <c r="G45" s="49">
        <f t="array" ref="G45">_xlfn.XLOOKUP(
 A45,
 tblCost[RequirementID],
 tblCost[QuantityRequired],
 ""
)</f>
        <v>50</v>
      </c>
      <c r="H45" s="49">
        <f t="array" ref="H45">IF(
 OR(
  LEFT(B45,15)="state.character",
  RIGHT(B45,6)=".maxed"
 ),
 0,
 LET(
  sort,
   _xlfn.XLOOKUP(
    B45,
    tblChecklist[TargetID],
    tblChecklist[PlayerSort],
    0
   ),
  IF(sort=0,500,sort)
 )
)</f>
        <v>54</v>
      </c>
      <c r="I45" s="49" t="str">
        <f t="array" ref="I45">_xlfn.XLOOKUP(
 B45,
 tblTargetStatus[TargetID],
 tblTargetStatus[Status],
 ""
)</f>
        <v>BLOCKED</v>
      </c>
      <c r="J45" s="45" t="b">
        <v>0</v>
      </c>
    </row>
    <row r="46" ht="14.25" hidden="1" customHeight="1">
      <c r="A46" s="49" t="s">
        <v>361</v>
      </c>
      <c r="B46" s="49" t="str">
        <f>IFERROR(__xludf.DUMMYFUNCTION("REGEXREPLACE(
 REGEXREPLACE(A46,""^cost\."",""""),
 ""\.[^.]+\.[^.]+$"",
 """"
)"),"building.alchemists_hut@6")</f>
        <v>building.alchemists_hut@6</v>
      </c>
      <c r="C46" s="49" t="str">
        <f t="array" ref="C46">_xlfn.XLOOKUP(
 B46,
 tblTargets[TargetID],
 tblTargets[DisplayName],
 ""
)</f>
        <v>Alchemist's Hut Lv 6</v>
      </c>
      <c r="D46" s="49" t="str">
        <f t="array" ref="D46">_xlfn.XLOOKUP(
 B46,
 tblTargets[TargetID],
 tblTargets[TargetType],
 ""
)</f>
        <v>BUILDING</v>
      </c>
      <c r="E46" s="49" t="s">
        <v>6</v>
      </c>
      <c r="F46" s="49">
        <v>1.0</v>
      </c>
      <c r="G46" s="49">
        <f t="array" ref="G46">_xlfn.XLOOKUP(
 A46,
 tblCost[RequirementID],
 tblCost[QuantityRequired],
 ""
)</f>
        <v>6</v>
      </c>
      <c r="H46" s="49">
        <f t="array" ref="H46">IF(
 OR(
  LEFT(B46,15)="state.character",
  RIGHT(B46,6)=".maxed"
 ),
 0,
 LET(
  sort,
   _xlfn.XLOOKUP(
    B46,
    tblChecklist[TargetID],
    tblChecklist[PlayerSort],
    0
   ),
  IF(sort=0,500,sort)
 )
)</f>
        <v>54</v>
      </c>
      <c r="I46" s="49" t="str">
        <f t="array" ref="I46">_xlfn.XLOOKUP(
 B46,
 tblTargetStatus[TargetID],
 tblTargetStatus[Status],
 ""
)</f>
        <v>BLOCKED</v>
      </c>
      <c r="J46" s="45" t="b">
        <v>0</v>
      </c>
    </row>
    <row r="47" ht="14.25" hidden="1" customHeight="1">
      <c r="A47" s="49" t="s">
        <v>363</v>
      </c>
      <c r="B47" s="49" t="str">
        <f>IFERROR(__xludf.DUMMYFUNCTION("REGEXREPLACE(
 REGEXREPLACE(A47,""^cost\."",""""),
 ""\.[^.]+\.[^.]+$"",
 """"
)"),"building.alchemists_hut@6")</f>
        <v>building.alchemists_hut@6</v>
      </c>
      <c r="C47" s="49" t="str">
        <f t="array" ref="C47">_xlfn.XLOOKUP(
 B47,
 tblTargets[TargetID],
 tblTargets[DisplayName],
 ""
)</f>
        <v>Alchemist's Hut Lv 6</v>
      </c>
      <c r="D47" s="49" t="str">
        <f t="array" ref="D47">_xlfn.XLOOKUP(
 B47,
 tblTargets[TargetID],
 tblTargets[TargetType],
 ""
)</f>
        <v>BUILDING</v>
      </c>
      <c r="E47" s="49" t="s">
        <v>237</v>
      </c>
      <c r="F47" s="49">
        <v>1.0</v>
      </c>
      <c r="G47" s="49">
        <f t="array" ref="G47">_xlfn.XLOOKUP(
 A47,
 tblCost[RequirementID],
 tblCost[QuantityRequired],
 ""
)</f>
        <v>400</v>
      </c>
      <c r="H47" s="49">
        <f t="array" ref="H47">IF(
 OR(
  LEFT(B47,15)="state.character",
  RIGHT(B47,6)=".maxed"
 ),
 0,
 LET(
  sort,
   _xlfn.XLOOKUP(
    B47,
    tblChecklist[TargetID],
    tblChecklist[PlayerSort],
    0
   ),
  IF(sort=0,500,sort)
 )
)</f>
        <v>54</v>
      </c>
      <c r="I47" s="49" t="str">
        <f t="array" ref="I47">_xlfn.XLOOKUP(
 B47,
 tblTargetStatus[TargetID],
 tblTargetStatus[Status],
 ""
)</f>
        <v>BLOCKED</v>
      </c>
      <c r="J47" s="45" t="b">
        <v>0</v>
      </c>
    </row>
    <row r="48" ht="14.25" hidden="1" customHeight="1">
      <c r="A48" s="49" t="s">
        <v>365</v>
      </c>
      <c r="B48" s="49" t="str">
        <f>IFERROR(__xludf.DUMMYFUNCTION("REGEXREPLACE(
 REGEXREPLACE(A48,""^cost\."",""""),
 ""\.[^.]+\.[^.]+$"",
 """"
)"),"building.bonsai@1")</f>
        <v>building.bonsai@1</v>
      </c>
      <c r="C48" s="49" t="str">
        <f t="array" ref="C48">_xlfn.XLOOKUP(
 B48,
 tblTargets[TargetID],
 tblTargets[DisplayName],
 ""
)</f>
        <v>Bonsai Lv 1</v>
      </c>
      <c r="D48" s="49" t="str">
        <f t="array" ref="D48">_xlfn.XLOOKUP(
 B48,
 tblTargets[TargetID],
 tblTargets[TargetType],
 ""
)</f>
        <v>BUILDING</v>
      </c>
      <c r="E48" s="49" t="s">
        <v>367</v>
      </c>
      <c r="F48" s="49">
        <v>1.0</v>
      </c>
      <c r="G48" s="49">
        <f t="array" ref="G48">_xlfn.XLOOKUP(
 A48,
 tblCost[RequirementID],
 tblCost[QuantityRequired],
 ""
)</f>
        <v>120</v>
      </c>
      <c r="H48" s="49">
        <f t="array" ref="H48">IF(
 OR(
  LEFT(B48,15)="state.character",
  RIGHT(B48,6)=".maxed"
 ),
 0,
 LET(
  sort,
   _xlfn.XLOOKUP(
    B48,
    tblChecklist[TargetID],
    tblChecklist[PlayerSort],
    0
   ),
  IF(sort=0,500,sort)
 )
)</f>
        <v>89</v>
      </c>
      <c r="I48" s="49" t="str">
        <f t="array" ref="I48">_xlfn.XLOOKUP(
 B48,
 tblTargetStatus[TargetID],
 tblTargetStatus[Status],
 ""
)</f>
        <v>BLOCKED</v>
      </c>
      <c r="J48" s="45" t="b">
        <v>0</v>
      </c>
    </row>
    <row r="49" ht="14.25" hidden="1" customHeight="1">
      <c r="A49" s="49" t="s">
        <v>369</v>
      </c>
      <c r="B49" s="49" t="str">
        <f>IFERROR(__xludf.DUMMYFUNCTION("REGEXREPLACE(
 REGEXREPLACE(A49,""^cost\."",""""),
 ""\.[^.]+\.[^.]+$"",
 """"
)"),"building.bonsai@1")</f>
        <v>building.bonsai@1</v>
      </c>
      <c r="C49" s="49" t="str">
        <f t="array" ref="C49">_xlfn.XLOOKUP(
 B49,
 tblTargets[TargetID],
 tblTargets[DisplayName],
 ""
)</f>
        <v>Bonsai Lv 1</v>
      </c>
      <c r="D49" s="49" t="str">
        <f t="array" ref="D49">_xlfn.XLOOKUP(
 B49,
 tblTargets[TargetID],
 tblTargets[TargetType],
 ""
)</f>
        <v>BUILDING</v>
      </c>
      <c r="E49" s="49" t="s">
        <v>119</v>
      </c>
      <c r="F49" s="49">
        <v>1.0</v>
      </c>
      <c r="G49" s="49">
        <f t="array" ref="G49">_xlfn.XLOOKUP(
 A49,
 tblCost[RequirementID],
 tblCost[QuantityRequired],
 ""
)</f>
        <v>500</v>
      </c>
      <c r="H49" s="49">
        <f t="array" ref="H49">IF(
 OR(
  LEFT(B49,15)="state.character",
  RIGHT(B49,6)=".maxed"
 ),
 0,
 LET(
  sort,
   _xlfn.XLOOKUP(
    B49,
    tblChecklist[TargetID],
    tblChecklist[PlayerSort],
    0
   ),
  IF(sort=0,500,sort)
 )
)</f>
        <v>89</v>
      </c>
      <c r="I49" s="49" t="str">
        <f t="array" ref="I49">_xlfn.XLOOKUP(
 B49,
 tblTargetStatus[TargetID],
 tblTargetStatus[Status],
 ""
)</f>
        <v>BLOCKED</v>
      </c>
      <c r="J49" s="45" t="b">
        <v>0</v>
      </c>
    </row>
    <row r="50" ht="14.25" hidden="1" customHeight="1">
      <c r="A50" s="49" t="s">
        <v>371</v>
      </c>
      <c r="B50" s="49" t="str">
        <f>IFERROR(__xludf.DUMMYFUNCTION("REGEXREPLACE(
 REGEXREPLACE(A50,""^cost\."",""""),
 ""\.[^.]+\.[^.]+$"",
 """"
)"),"building.bonsai@1")</f>
        <v>building.bonsai@1</v>
      </c>
      <c r="C50" s="49" t="str">
        <f t="array" ref="C50">_xlfn.XLOOKUP(
 B50,
 tblTargets[TargetID],
 tblTargets[DisplayName],
 ""
)</f>
        <v>Bonsai Lv 1</v>
      </c>
      <c r="D50" s="49" t="str">
        <f t="array" ref="D50">_xlfn.XLOOKUP(
 B50,
 tblTargets[TargetID],
 tblTargets[TargetType],
 ""
)</f>
        <v>BUILDING</v>
      </c>
      <c r="E50" s="49" t="s">
        <v>187</v>
      </c>
      <c r="F50" s="49">
        <v>1.0</v>
      </c>
      <c r="G50" s="49">
        <f t="array" ref="G50">_xlfn.XLOOKUP(
 A50,
 tblCost[RequirementID],
 tblCost[QuantityRequired],
 ""
)</f>
        <v>500</v>
      </c>
      <c r="H50" s="49">
        <f t="array" ref="H50">IF(
 OR(
  LEFT(B50,15)="state.character",
  RIGHT(B50,6)=".maxed"
 ),
 0,
 LET(
  sort,
   _xlfn.XLOOKUP(
    B50,
    tblChecklist[TargetID],
    tblChecklist[PlayerSort],
    0
   ),
  IF(sort=0,500,sort)
 )
)</f>
        <v>89</v>
      </c>
      <c r="I50" s="49" t="str">
        <f t="array" ref="I50">_xlfn.XLOOKUP(
 B50,
 tblTargetStatus[TargetID],
 tblTargetStatus[Status],
 ""
)</f>
        <v>BLOCKED</v>
      </c>
      <c r="J50" s="45" t="b">
        <v>0</v>
      </c>
    </row>
    <row r="51" ht="14.25" hidden="1" customHeight="1">
      <c r="A51" s="49" t="s">
        <v>373</v>
      </c>
      <c r="B51" s="49" t="str">
        <f>IFERROR(__xludf.DUMMYFUNCTION("REGEXREPLACE(
 REGEXREPLACE(A51,""^cost\."",""""),
 ""\.[^.]+\.[^.]+$"",
 """"
)"),"building.bonsai@1")</f>
        <v>building.bonsai@1</v>
      </c>
      <c r="C51" s="49" t="str">
        <f t="array" ref="C51">_xlfn.XLOOKUP(
 B51,
 tblTargets[TargetID],
 tblTargets[DisplayName],
 ""
)</f>
        <v>Bonsai Lv 1</v>
      </c>
      <c r="D51" s="49" t="str">
        <f t="array" ref="D51">_xlfn.XLOOKUP(
 B51,
 tblTargets[TargetID],
 tblTargets[TargetType],
 ""
)</f>
        <v>BUILDING</v>
      </c>
      <c r="E51" s="49" t="s">
        <v>6</v>
      </c>
      <c r="F51" s="49">
        <v>1.0</v>
      </c>
      <c r="G51" s="49">
        <f t="array" ref="G51">_xlfn.XLOOKUP(
 A51,
 tblCost[RequirementID],
 tblCost[QuantityRequired],
 ""
)</f>
        <v>3</v>
      </c>
      <c r="H51" s="49">
        <f t="array" ref="H51">IF(
 OR(
  LEFT(B51,15)="state.character",
  RIGHT(B51,6)=".maxed"
 ),
 0,
 LET(
  sort,
   _xlfn.XLOOKUP(
    B51,
    tblChecklist[TargetID],
    tblChecklist[PlayerSort],
    0
   ),
  IF(sort=0,500,sort)
 )
)</f>
        <v>89</v>
      </c>
      <c r="I51" s="49" t="str">
        <f t="array" ref="I51">_xlfn.XLOOKUP(
 B51,
 tblTargetStatus[TargetID],
 tblTargetStatus[Status],
 ""
)</f>
        <v>BLOCKED</v>
      </c>
      <c r="J51" s="45" t="b">
        <v>0</v>
      </c>
    </row>
    <row r="52" ht="14.25" hidden="1" customHeight="1">
      <c r="A52" s="49" t="s">
        <v>375</v>
      </c>
      <c r="B52" s="49" t="str">
        <f>IFERROR(__xludf.DUMMYFUNCTION("REGEXREPLACE(
 REGEXREPLACE(A52,""^cost\."",""""),
 ""\.[^.]+\.[^.]+$"",
 """"
)"),"building.bonsai@2")</f>
        <v>building.bonsai@2</v>
      </c>
      <c r="C52" s="49" t="str">
        <f t="array" ref="C52">_xlfn.XLOOKUP(
 B52,
 tblTargets[TargetID],
 tblTargets[DisplayName],
 ""
)</f>
        <v>Bonsai Lv 2</v>
      </c>
      <c r="D52" s="49" t="str">
        <f t="array" ref="D52">_xlfn.XLOOKUP(
 B52,
 tblTargets[TargetID],
 tblTargets[TargetType],
 ""
)</f>
        <v>BUILDING</v>
      </c>
      <c r="E52" s="49" t="s">
        <v>367</v>
      </c>
      <c r="F52" s="49">
        <v>1.0</v>
      </c>
      <c r="G52" s="49">
        <f t="array" ref="G52">_xlfn.XLOOKUP(
 A52,
 tblCost[RequirementID],
 tblCost[QuantityRequired],
 ""
)</f>
        <v>240</v>
      </c>
      <c r="H52" s="49">
        <f t="array" ref="H52">IF(
 OR(
  LEFT(B52,15)="state.character",
  RIGHT(B52,6)=".maxed"
 ),
 0,
 LET(
  sort,
   _xlfn.XLOOKUP(
    B52,
    tblChecklist[TargetID],
    tblChecklist[PlayerSort],
    0
   ),
  IF(sort=0,500,sort)
 )
)</f>
        <v>90</v>
      </c>
      <c r="I52" s="49" t="str">
        <f t="array" ref="I52">_xlfn.XLOOKUP(
 B52,
 tblTargetStatus[TargetID],
 tblTargetStatus[Status],
 ""
)</f>
        <v>BLOCKED</v>
      </c>
      <c r="J52" s="45" t="b">
        <v>0</v>
      </c>
    </row>
    <row r="53" ht="14.25" hidden="1" customHeight="1">
      <c r="A53" s="49" t="s">
        <v>377</v>
      </c>
      <c r="B53" s="49" t="str">
        <f>IFERROR(__xludf.DUMMYFUNCTION("REGEXREPLACE(
 REGEXREPLACE(A53,""^cost\."",""""),
 ""\.[^.]+\.[^.]+$"",
 """"
)"),"building.bonsai@2")</f>
        <v>building.bonsai@2</v>
      </c>
      <c r="C53" s="49" t="str">
        <f t="array" ref="C53">_xlfn.XLOOKUP(
 B53,
 tblTargets[TargetID],
 tblTargets[DisplayName],
 ""
)</f>
        <v>Bonsai Lv 2</v>
      </c>
      <c r="D53" s="49" t="str">
        <f t="array" ref="D53">_xlfn.XLOOKUP(
 B53,
 tblTargets[TargetID],
 tblTargets[TargetType],
 ""
)</f>
        <v>BUILDING</v>
      </c>
      <c r="E53" s="49" t="s">
        <v>113</v>
      </c>
      <c r="F53" s="49">
        <v>1.0</v>
      </c>
      <c r="G53" s="49">
        <f t="array" ref="G53">_xlfn.XLOOKUP(
 A53,
 tblCost[RequirementID],
 tblCost[QuantityRequired],
 ""
)</f>
        <v>150</v>
      </c>
      <c r="H53" s="49">
        <f t="array" ref="H53">IF(
 OR(
  LEFT(B53,15)="state.character",
  RIGHT(B53,6)=".maxed"
 ),
 0,
 LET(
  sort,
   _xlfn.XLOOKUP(
    B53,
    tblChecklist[TargetID],
    tblChecklist[PlayerSort],
    0
   ),
  IF(sort=0,500,sort)
 )
)</f>
        <v>90</v>
      </c>
      <c r="I53" s="49" t="str">
        <f t="array" ref="I53">_xlfn.XLOOKUP(
 B53,
 tblTargetStatus[TargetID],
 tblTargetStatus[Status],
 ""
)</f>
        <v>BLOCKED</v>
      </c>
      <c r="J53" s="45" t="b">
        <v>0</v>
      </c>
    </row>
    <row r="54" ht="14.25" hidden="1" customHeight="1">
      <c r="A54" s="49" t="s">
        <v>379</v>
      </c>
      <c r="B54" s="49" t="str">
        <f>IFERROR(__xludf.DUMMYFUNCTION("REGEXREPLACE(
 REGEXREPLACE(A54,""^cost\."",""""),
 ""\.[^.]+\.[^.]+$"",
 """"
)"),"building.bonsai@2")</f>
        <v>building.bonsai@2</v>
      </c>
      <c r="C54" s="49" t="str">
        <f t="array" ref="C54">_xlfn.XLOOKUP(
 B54,
 tblTargets[TargetID],
 tblTargets[DisplayName],
 ""
)</f>
        <v>Bonsai Lv 2</v>
      </c>
      <c r="D54" s="49" t="str">
        <f t="array" ref="D54">_xlfn.XLOOKUP(
 B54,
 tblTargets[TargetID],
 tblTargets[TargetType],
 ""
)</f>
        <v>BUILDING</v>
      </c>
      <c r="E54" s="49" t="s">
        <v>119</v>
      </c>
      <c r="F54" s="49">
        <v>1.0</v>
      </c>
      <c r="G54" s="49">
        <f t="array" ref="G54">_xlfn.XLOOKUP(
 A54,
 tblCost[RequirementID],
 tblCost[QuantityRequired],
 ""
)</f>
        <v>800</v>
      </c>
      <c r="H54" s="49">
        <f t="array" ref="H54">IF(
 OR(
  LEFT(B54,15)="state.character",
  RIGHT(B54,6)=".maxed"
 ),
 0,
 LET(
  sort,
   _xlfn.XLOOKUP(
    B54,
    tblChecklist[TargetID],
    tblChecklist[PlayerSort],
    0
   ),
  IF(sort=0,500,sort)
 )
)</f>
        <v>90</v>
      </c>
      <c r="I54" s="49" t="str">
        <f t="array" ref="I54">_xlfn.XLOOKUP(
 B54,
 tblTargetStatus[TargetID],
 tblTargetStatus[Status],
 ""
)</f>
        <v>BLOCKED</v>
      </c>
      <c r="J54" s="45" t="b">
        <v>0</v>
      </c>
    </row>
    <row r="55" ht="14.25" hidden="1" customHeight="1">
      <c r="A55" s="49" t="s">
        <v>380</v>
      </c>
      <c r="B55" s="49" t="str">
        <f>IFERROR(__xludf.DUMMYFUNCTION("REGEXREPLACE(
 REGEXREPLACE(A55,""^cost\."",""""),
 ""\.[^.]+\.[^.]+$"",
 """"
)"),"building.bonsai@2")</f>
        <v>building.bonsai@2</v>
      </c>
      <c r="C55" s="49" t="str">
        <f t="array" ref="C55">_xlfn.XLOOKUP(
 B55,
 tblTargets[TargetID],
 tblTargets[DisplayName],
 ""
)</f>
        <v>Bonsai Lv 2</v>
      </c>
      <c r="D55" s="49" t="str">
        <f t="array" ref="D55">_xlfn.XLOOKUP(
 B55,
 tblTargets[TargetID],
 tblTargets[TargetType],
 ""
)</f>
        <v>BUILDING</v>
      </c>
      <c r="E55" s="49" t="s">
        <v>187</v>
      </c>
      <c r="F55" s="49">
        <v>1.0</v>
      </c>
      <c r="G55" s="49">
        <f t="array" ref="G55">_xlfn.XLOOKUP(
 A55,
 tblCost[RequirementID],
 tblCost[QuantityRequired],
 ""
)</f>
        <v>600</v>
      </c>
      <c r="H55" s="49">
        <f t="array" ref="H55">IF(
 OR(
  LEFT(B55,15)="state.character",
  RIGHT(B55,6)=".maxed"
 ),
 0,
 LET(
  sort,
   _xlfn.XLOOKUP(
    B55,
    tblChecklist[TargetID],
    tblChecklist[PlayerSort],
    0
   ),
  IF(sort=0,500,sort)
 )
)</f>
        <v>90</v>
      </c>
      <c r="I55" s="49" t="str">
        <f t="array" ref="I55">_xlfn.XLOOKUP(
 B55,
 tblTargetStatus[TargetID],
 tblTargetStatus[Status],
 ""
)</f>
        <v>BLOCKED</v>
      </c>
      <c r="J55" s="45" t="b">
        <v>0</v>
      </c>
    </row>
    <row r="56" ht="14.25" hidden="1" customHeight="1">
      <c r="A56" s="49" t="s">
        <v>382</v>
      </c>
      <c r="B56" s="49" t="str">
        <f>IFERROR(__xludf.DUMMYFUNCTION("REGEXREPLACE(
 REGEXREPLACE(A56,""^cost\."",""""),
 ""\.[^.]+\.[^.]+$"",
 """"
)"),"building.bonsai@2")</f>
        <v>building.bonsai@2</v>
      </c>
      <c r="C56" s="49" t="str">
        <f t="array" ref="C56">_xlfn.XLOOKUP(
 B56,
 tblTargets[TargetID],
 tblTargets[DisplayName],
 ""
)</f>
        <v>Bonsai Lv 2</v>
      </c>
      <c r="D56" s="49" t="str">
        <f t="array" ref="D56">_xlfn.XLOOKUP(
 B56,
 tblTargets[TargetID],
 tblTargets[TargetType],
 ""
)</f>
        <v>BUILDING</v>
      </c>
      <c r="E56" s="49" t="s">
        <v>6</v>
      </c>
      <c r="F56" s="49">
        <v>1.0</v>
      </c>
      <c r="G56" s="49">
        <f t="array" ref="G56">_xlfn.XLOOKUP(
 A56,
 tblCost[RequirementID],
 tblCost[QuantityRequired],
 ""
)</f>
        <v>5</v>
      </c>
      <c r="H56" s="49">
        <f t="array" ref="H56">IF(
 OR(
  LEFT(B56,15)="state.character",
  RIGHT(B56,6)=".maxed"
 ),
 0,
 LET(
  sort,
   _xlfn.XLOOKUP(
    B56,
    tblChecklist[TargetID],
    tblChecklist[PlayerSort],
    0
   ),
  IF(sort=0,500,sort)
 )
)</f>
        <v>90</v>
      </c>
      <c r="I56" s="49" t="str">
        <f t="array" ref="I56">_xlfn.XLOOKUP(
 B56,
 tblTargetStatus[TargetID],
 tblTargetStatus[Status],
 ""
)</f>
        <v>BLOCKED</v>
      </c>
      <c r="J56" s="45" t="b">
        <v>0</v>
      </c>
    </row>
    <row r="57" ht="14.25" hidden="1" customHeight="1">
      <c r="A57" s="49" t="s">
        <v>384</v>
      </c>
      <c r="B57" s="49" t="str">
        <f>IFERROR(__xludf.DUMMYFUNCTION("REGEXREPLACE(
 REGEXREPLACE(A57,""^cost\."",""""),
 ""\.[^.]+\.[^.]+$"",
 """"
)"),"building.bridge@1")</f>
        <v>building.bridge@1</v>
      </c>
      <c r="C57" s="49" t="str">
        <f t="array" ref="C57">_xlfn.XLOOKUP(
 B57,
 tblTargets[TargetID],
 tblTargets[DisplayName],
 ""
)</f>
        <v>Bridge Lv 1</v>
      </c>
      <c r="D57" s="49" t="str">
        <f t="array" ref="D57">_xlfn.XLOOKUP(
 B57,
 tblTargets[TargetID],
 tblTargets[TargetType],
 ""
)</f>
        <v>BUILDING</v>
      </c>
      <c r="E57" s="49" t="s">
        <v>278</v>
      </c>
      <c r="F57" s="49">
        <v>1.0</v>
      </c>
      <c r="G57" s="49">
        <f t="array" ref="G57">_xlfn.XLOOKUP(
 A57,
 tblCost[RequirementID],
 tblCost[QuantityRequired],
 ""
)</f>
        <v>400</v>
      </c>
      <c r="H57" s="49">
        <f t="array" ref="H57">IF(
 OR(
  LEFT(B57,15)="state.character",
  RIGHT(B57,6)=".maxed"
 ),
 0,
 LET(
  sort,
   _xlfn.XLOOKUP(
    B57,
    tblChecklist[TargetID],
    tblChecklist[PlayerSort],
    0
   ),
  IF(sort=0,500,sort)
 )
)</f>
        <v>27</v>
      </c>
      <c r="I57" s="49" t="str">
        <f t="array" ref="I57">_xlfn.XLOOKUP(
 B57,
 tblTargetStatus[TargetID],
 tblTargetStatus[Status],
 ""
)</f>
        <v>BLOCKED</v>
      </c>
      <c r="J57" s="45" t="b">
        <v>0</v>
      </c>
    </row>
    <row r="58" ht="14.25" hidden="1" customHeight="1">
      <c r="A58" s="49" t="s">
        <v>386</v>
      </c>
      <c r="B58" s="49" t="str">
        <f>IFERROR(__xludf.DUMMYFUNCTION("REGEXREPLACE(
 REGEXREPLACE(A58,""^cost\."",""""),
 ""\.[^.]+\.[^.]+$"",
 """"
)"),"building.bridge@1")</f>
        <v>building.bridge@1</v>
      </c>
      <c r="C58" s="49" t="str">
        <f t="array" ref="C58">_xlfn.XLOOKUP(
 B58,
 tblTargets[TargetID],
 tblTargets[DisplayName],
 ""
)</f>
        <v>Bridge Lv 1</v>
      </c>
      <c r="D58" s="49" t="str">
        <f t="array" ref="D58">_xlfn.XLOOKUP(
 B58,
 tblTargets[TargetID],
 tblTargets[TargetType],
 ""
)</f>
        <v>BUILDING</v>
      </c>
      <c r="E58" s="49" t="s">
        <v>119</v>
      </c>
      <c r="F58" s="49">
        <v>1.0</v>
      </c>
      <c r="G58" s="49">
        <f t="array" ref="G58">_xlfn.XLOOKUP(
 A58,
 tblCost[RequirementID],
 tblCost[QuantityRequired],
 ""
)</f>
        <v>1000</v>
      </c>
      <c r="H58" s="49">
        <f t="array" ref="H58">IF(
 OR(
  LEFT(B58,15)="state.character",
  RIGHT(B58,6)=".maxed"
 ),
 0,
 LET(
  sort,
   _xlfn.XLOOKUP(
    B58,
    tblChecklist[TargetID],
    tblChecklist[PlayerSort],
    0
   ),
  IF(sort=0,500,sort)
 )
)</f>
        <v>27</v>
      </c>
      <c r="I58" s="49" t="str">
        <f t="array" ref="I58">_xlfn.XLOOKUP(
 B58,
 tblTargetStatus[TargetID],
 tblTargetStatus[Status],
 ""
)</f>
        <v>BLOCKED</v>
      </c>
      <c r="J58" s="45" t="b">
        <v>0</v>
      </c>
    </row>
    <row r="59" ht="14.25" hidden="1" customHeight="1">
      <c r="A59" s="49" t="s">
        <v>387</v>
      </c>
      <c r="B59" s="49" t="str">
        <f>IFERROR(__xludf.DUMMYFUNCTION("REGEXREPLACE(
 REGEXREPLACE(A59,""^cost\."",""""),
 ""\.[^.]+\.[^.]+$"",
 """"
)"),"building.bridge@1")</f>
        <v>building.bridge@1</v>
      </c>
      <c r="C59" s="49" t="str">
        <f t="array" ref="C59">_xlfn.XLOOKUP(
 B59,
 tblTargets[TargetID],
 tblTargets[DisplayName],
 ""
)</f>
        <v>Bridge Lv 1</v>
      </c>
      <c r="D59" s="49" t="str">
        <f t="array" ref="D59">_xlfn.XLOOKUP(
 B59,
 tblTargets[TargetID],
 tblTargets[TargetType],
 ""
)</f>
        <v>BUILDING</v>
      </c>
      <c r="E59" s="49" t="s">
        <v>187</v>
      </c>
      <c r="F59" s="49">
        <v>1.0</v>
      </c>
      <c r="G59" s="49">
        <f t="array" ref="G59">_xlfn.XLOOKUP(
 A59,
 tblCost[RequirementID],
 tblCost[QuantityRequired],
 ""
)</f>
        <v>1000</v>
      </c>
      <c r="H59" s="49">
        <f t="array" ref="H59">IF(
 OR(
  LEFT(B59,15)="state.character",
  RIGHT(B59,6)=".maxed"
 ),
 0,
 LET(
  sort,
   _xlfn.XLOOKUP(
    B59,
    tblChecklist[TargetID],
    tblChecklist[PlayerSort],
    0
   ),
  IF(sort=0,500,sort)
 )
)</f>
        <v>27</v>
      </c>
      <c r="I59" s="49" t="str">
        <f t="array" ref="I59">_xlfn.XLOOKUP(
 B59,
 tblTargetStatus[TargetID],
 tblTargetStatus[Status],
 ""
)</f>
        <v>BLOCKED</v>
      </c>
      <c r="J59" s="45" t="b">
        <v>0</v>
      </c>
    </row>
    <row r="60" ht="14.25" hidden="1" customHeight="1">
      <c r="A60" s="49" t="s">
        <v>389</v>
      </c>
      <c r="B60" s="49" t="str">
        <f>IFERROR(__xludf.DUMMYFUNCTION("REGEXREPLACE(
 REGEXREPLACE(A60,""^cost\."",""""),
 ""\.[^.]+\.[^.]+$"",
 """"
)"),"building.bridge@1")</f>
        <v>building.bridge@1</v>
      </c>
      <c r="C60" s="49" t="str">
        <f t="array" ref="C60">_xlfn.XLOOKUP(
 B60,
 tblTargets[TargetID],
 tblTargets[DisplayName],
 ""
)</f>
        <v>Bridge Lv 1</v>
      </c>
      <c r="D60" s="49" t="str">
        <f t="array" ref="D60">_xlfn.XLOOKUP(
 B60,
 tblTargets[TargetID],
 tblTargets[TargetType],
 ""
)</f>
        <v>BUILDING</v>
      </c>
      <c r="E60" s="49" t="s">
        <v>6</v>
      </c>
      <c r="F60" s="49">
        <v>1.0</v>
      </c>
      <c r="G60" s="49">
        <f t="array" ref="G60">_xlfn.XLOOKUP(
 A60,
 tblCost[RequirementID],
 tblCost[QuantityRequired],
 ""
)</f>
        <v>4</v>
      </c>
      <c r="H60" s="49">
        <f t="array" ref="H60">IF(
 OR(
  LEFT(B60,15)="state.character",
  RIGHT(B60,6)=".maxed"
 ),
 0,
 LET(
  sort,
   _xlfn.XLOOKUP(
    B60,
    tblChecklist[TargetID],
    tblChecklist[PlayerSort],
    0
   ),
  IF(sort=0,500,sort)
 )
)</f>
        <v>27</v>
      </c>
      <c r="I60" s="49" t="str">
        <f t="array" ref="I60">_xlfn.XLOOKUP(
 B60,
 tblTargetStatus[TargetID],
 tblTargetStatus[Status],
 ""
)</f>
        <v>BLOCKED</v>
      </c>
      <c r="J60" s="45" t="b">
        <v>0</v>
      </c>
    </row>
    <row r="61" ht="14.25" hidden="1" customHeight="1">
      <c r="A61" s="49" t="s">
        <v>391</v>
      </c>
      <c r="B61" s="49" t="str">
        <f>IFERROR(__xludf.DUMMYFUNCTION("REGEXREPLACE(
 REGEXREPLACE(A61,""^cost\."",""""),
 ""\.[^.]+\.[^.]+$"",
 """"
)"),"building.bridge@1")</f>
        <v>building.bridge@1</v>
      </c>
      <c r="C61" s="49" t="str">
        <f t="array" ref="C61">_xlfn.XLOOKUP(
 B61,
 tblTargets[TargetID],
 tblTargets[DisplayName],
 ""
)</f>
        <v>Bridge Lv 1</v>
      </c>
      <c r="D61" s="49" t="str">
        <f t="array" ref="D61">_xlfn.XLOOKUP(
 B61,
 tblTargets[TargetID],
 tblTargets[TargetType],
 ""
)</f>
        <v>BUILDING</v>
      </c>
      <c r="E61" s="49" t="s">
        <v>392</v>
      </c>
      <c r="F61" s="49">
        <v>1.0</v>
      </c>
      <c r="G61" s="49">
        <f t="array" ref="G61">_xlfn.XLOOKUP(
 A61,
 tblCost[RequirementID],
 tblCost[QuantityRequired],
 ""
)</f>
        <v>100</v>
      </c>
      <c r="H61" s="49">
        <f t="array" ref="H61">IF(
 OR(
  LEFT(B61,15)="state.character",
  RIGHT(B61,6)=".maxed"
 ),
 0,
 LET(
  sort,
   _xlfn.XLOOKUP(
    B61,
    tblChecklist[TargetID],
    tblChecklist[PlayerSort],
    0
   ),
  IF(sort=0,500,sort)
 )
)</f>
        <v>27</v>
      </c>
      <c r="I61" s="49" t="str">
        <f t="array" ref="I61">_xlfn.XLOOKUP(
 B61,
 tblTargetStatus[TargetID],
 tblTargetStatus[Status],
 ""
)</f>
        <v>BLOCKED</v>
      </c>
      <c r="J61" s="45" t="b">
        <v>0</v>
      </c>
    </row>
    <row r="62" ht="14.25" hidden="1" customHeight="1">
      <c r="A62" s="49" t="s">
        <v>394</v>
      </c>
      <c r="B62" s="49" t="str">
        <f>IFERROR(__xludf.DUMMYFUNCTION("REGEXREPLACE(
 REGEXREPLACE(A62,""^cost\."",""""),
 ""\.[^.]+\.[^.]+$"",
 """"
)"),"building.bridge@1")</f>
        <v>building.bridge@1</v>
      </c>
      <c r="C62" s="49" t="str">
        <f t="array" ref="C62">_xlfn.XLOOKUP(
 B62,
 tblTargets[TargetID],
 tblTargets[DisplayName],
 ""
)</f>
        <v>Bridge Lv 1</v>
      </c>
      <c r="D62" s="49" t="str">
        <f t="array" ref="D62">_xlfn.XLOOKUP(
 B62,
 tblTargets[TargetID],
 tblTargets[TargetType],
 ""
)</f>
        <v>BUILDING</v>
      </c>
      <c r="E62" s="49" t="s">
        <v>237</v>
      </c>
      <c r="F62" s="49">
        <v>1.0</v>
      </c>
      <c r="G62" s="49">
        <f t="array" ref="G62">_xlfn.XLOOKUP(
 A62,
 tblCost[RequirementID],
 tblCost[QuantityRequired],
 ""
)</f>
        <v>400</v>
      </c>
      <c r="H62" s="49">
        <f t="array" ref="H62">IF(
 OR(
  LEFT(B62,15)="state.character",
  RIGHT(B62,6)=".maxed"
 ),
 0,
 LET(
  sort,
   _xlfn.XLOOKUP(
    B62,
    tblChecklist[TargetID],
    tblChecklist[PlayerSort],
    0
   ),
  IF(sort=0,500,sort)
 )
)</f>
        <v>27</v>
      </c>
      <c r="I62" s="49" t="str">
        <f t="array" ref="I62">_xlfn.XLOOKUP(
 B62,
 tblTargetStatus[TargetID],
 tblTargetStatus[Status],
 ""
)</f>
        <v>BLOCKED</v>
      </c>
      <c r="J62" s="45" t="b">
        <v>0</v>
      </c>
    </row>
    <row r="63" ht="14.25" hidden="1" customHeight="1">
      <c r="A63" s="49" t="s">
        <v>395</v>
      </c>
      <c r="B63" s="49" t="str">
        <f>IFERROR(__xludf.DUMMYFUNCTION("REGEXREPLACE(
 REGEXREPLACE(A63,""^cost\."",""""),
 ""\.[^.]+\.[^.]+$"",
 """"
)"),"building.caravan@1")</f>
        <v>building.caravan@1</v>
      </c>
      <c r="C63" s="49" t="str">
        <f t="array" ref="C63">_xlfn.XLOOKUP(
 B63,
 tblTargets[TargetID],
 tblTargets[DisplayName],
 ""
)</f>
        <v>Caravan Lv 1</v>
      </c>
      <c r="D63" s="49" t="str">
        <f t="array" ref="D63">_xlfn.XLOOKUP(
 B63,
 tblTargets[TargetID],
 tblTargets[TargetType],
 ""
)</f>
        <v>BUILDING</v>
      </c>
      <c r="E63" s="49" t="s">
        <v>367</v>
      </c>
      <c r="F63" s="49">
        <v>1.0</v>
      </c>
      <c r="G63" s="49">
        <f t="array" ref="G63">_xlfn.XLOOKUP(
 A63,
 tblCost[RequirementID],
 tblCost[QuantityRequired],
 ""
)</f>
        <v>50</v>
      </c>
      <c r="H63" s="49">
        <f t="array" ref="H63">IF(
 OR(
  LEFT(B63,15)="state.character",
  RIGHT(B63,6)=".maxed"
 ),
 0,
 LET(
  sort,
   _xlfn.XLOOKUP(
    B63,
    tblChecklist[TargetID],
    tblChecklist[PlayerSort],
    0
   ),
  IF(sort=0,500,sort)
 )
)</f>
        <v>36</v>
      </c>
      <c r="I63" s="49" t="str">
        <f t="array" ref="I63">_xlfn.XLOOKUP(
 B63,
 tblTargetStatus[TargetID],
 tblTargetStatus[Status],
 ""
)</f>
        <v>BLOCKED</v>
      </c>
      <c r="J63" s="45" t="b">
        <v>0</v>
      </c>
    </row>
    <row r="64" ht="14.25" hidden="1" customHeight="1">
      <c r="A64" s="49" t="s">
        <v>397</v>
      </c>
      <c r="B64" s="49" t="str">
        <f>IFERROR(__xludf.DUMMYFUNCTION("REGEXREPLACE(
 REGEXREPLACE(A64,""^cost\."",""""),
 ""\.[^.]+\.[^.]+$"",
 """"
)"),"building.caravan@1")</f>
        <v>building.caravan@1</v>
      </c>
      <c r="C64" s="49" t="str">
        <f t="array" ref="C64">_xlfn.XLOOKUP(
 B64,
 tblTargets[TargetID],
 tblTargets[DisplayName],
 ""
)</f>
        <v>Caravan Lv 1</v>
      </c>
      <c r="D64" s="49" t="str">
        <f t="array" ref="D64">_xlfn.XLOOKUP(
 B64,
 tblTargets[TargetID],
 tblTargets[TargetType],
 ""
)</f>
        <v>BUILDING</v>
      </c>
      <c r="E64" s="49" t="s">
        <v>119</v>
      </c>
      <c r="F64" s="49">
        <v>1.0</v>
      </c>
      <c r="G64" s="49">
        <f t="array" ref="G64">_xlfn.XLOOKUP(
 A64,
 tblCost[RequirementID],
 tblCost[QuantityRequired],
 ""
)</f>
        <v>1000</v>
      </c>
      <c r="H64" s="49">
        <f t="array" ref="H64">IF(
 OR(
  LEFT(B64,15)="state.character",
  RIGHT(B64,6)=".maxed"
 ),
 0,
 LET(
  sort,
   _xlfn.XLOOKUP(
    B64,
    tblChecklist[TargetID],
    tblChecklist[PlayerSort],
    0
   ),
  IF(sort=0,500,sort)
 )
)</f>
        <v>36</v>
      </c>
      <c r="I64" s="49" t="str">
        <f t="array" ref="I64">_xlfn.XLOOKUP(
 B64,
 tblTargetStatus[TargetID],
 tblTargetStatus[Status],
 ""
)</f>
        <v>BLOCKED</v>
      </c>
      <c r="J64" s="45" t="b">
        <v>0</v>
      </c>
    </row>
    <row r="65" ht="14.25" hidden="1" customHeight="1">
      <c r="A65" s="49" t="s">
        <v>398</v>
      </c>
      <c r="B65" s="49" t="str">
        <f>IFERROR(__xludf.DUMMYFUNCTION("REGEXREPLACE(
 REGEXREPLACE(A65,""^cost\."",""""),
 ""\.[^.]+\.[^.]+$"",
 """"
)"),"building.caravan@1")</f>
        <v>building.caravan@1</v>
      </c>
      <c r="C65" s="49" t="str">
        <f t="array" ref="C65">_xlfn.XLOOKUP(
 B65,
 tblTargets[TargetID],
 tblTargets[DisplayName],
 ""
)</f>
        <v>Caravan Lv 1</v>
      </c>
      <c r="D65" s="49" t="str">
        <f t="array" ref="D65">_xlfn.XLOOKUP(
 B65,
 tblTargets[TargetID],
 tblTargets[TargetType],
 ""
)</f>
        <v>BUILDING</v>
      </c>
      <c r="E65" s="49" t="s">
        <v>187</v>
      </c>
      <c r="F65" s="49">
        <v>1.0</v>
      </c>
      <c r="G65" s="49">
        <f t="array" ref="G65">_xlfn.XLOOKUP(
 A65,
 tblCost[RequirementID],
 tblCost[QuantityRequired],
 ""
)</f>
        <v>400</v>
      </c>
      <c r="H65" s="49">
        <f t="array" ref="H65">IF(
 OR(
  LEFT(B65,15)="state.character",
  RIGHT(B65,6)=".maxed"
 ),
 0,
 LET(
  sort,
   _xlfn.XLOOKUP(
    B65,
    tblChecklist[TargetID],
    tblChecklist[PlayerSort],
    0
   ),
  IF(sort=0,500,sort)
 )
)</f>
        <v>36</v>
      </c>
      <c r="I65" s="49" t="str">
        <f t="array" ref="I65">_xlfn.XLOOKUP(
 B65,
 tblTargetStatus[TargetID],
 tblTargetStatus[Status],
 ""
)</f>
        <v>BLOCKED</v>
      </c>
      <c r="J65" s="45" t="b">
        <v>0</v>
      </c>
    </row>
    <row r="66" ht="14.25" hidden="1" customHeight="1">
      <c r="A66" s="49" t="s">
        <v>400</v>
      </c>
      <c r="B66" s="49" t="str">
        <f>IFERROR(__xludf.DUMMYFUNCTION("REGEXREPLACE(
 REGEXREPLACE(A66,""^cost\."",""""),
 ""\.[^.]+\.[^.]+$"",
 """"
)"),"building.caravan@1")</f>
        <v>building.caravan@1</v>
      </c>
      <c r="C66" s="49" t="str">
        <f t="array" ref="C66">_xlfn.XLOOKUP(
 B66,
 tblTargets[TargetID],
 tblTargets[DisplayName],
 ""
)</f>
        <v>Caravan Lv 1</v>
      </c>
      <c r="D66" s="49" t="str">
        <f t="array" ref="D66">_xlfn.XLOOKUP(
 B66,
 tblTargets[TargetID],
 tblTargets[TargetType],
 ""
)</f>
        <v>BUILDING</v>
      </c>
      <c r="E66" s="49" t="s">
        <v>6</v>
      </c>
      <c r="F66" s="49">
        <v>1.0</v>
      </c>
      <c r="G66" s="49">
        <f t="array" ref="G66">_xlfn.XLOOKUP(
 A66,
 tblCost[RequirementID],
 tblCost[QuantityRequired],
 ""
)</f>
        <v>5</v>
      </c>
      <c r="H66" s="49">
        <f t="array" ref="H66">IF(
 OR(
  LEFT(B66,15)="state.character",
  RIGHT(B66,6)=".maxed"
 ),
 0,
 LET(
  sort,
   _xlfn.XLOOKUP(
    B66,
    tblChecklist[TargetID],
    tblChecklist[PlayerSort],
    0
   ),
  IF(sort=0,500,sort)
 )
)</f>
        <v>36</v>
      </c>
      <c r="I66" s="49" t="str">
        <f t="array" ref="I66">_xlfn.XLOOKUP(
 B66,
 tblTargetStatus[TargetID],
 tblTargetStatus[Status],
 ""
)</f>
        <v>BLOCKED</v>
      </c>
      <c r="J66" s="45" t="b">
        <v>0</v>
      </c>
    </row>
    <row r="67" ht="14.25" hidden="1" customHeight="1">
      <c r="A67" s="49" t="s">
        <v>401</v>
      </c>
      <c r="B67" s="49" t="str">
        <f>IFERROR(__xludf.DUMMYFUNCTION("REGEXREPLACE(
 REGEXREPLACE(A67,""^cost\."",""""),
 ""\.[^.]+\.[^.]+$"",
 """"
)"),"building.caravan@1")</f>
        <v>building.caravan@1</v>
      </c>
      <c r="C67" s="49" t="str">
        <f t="array" ref="C67">_xlfn.XLOOKUP(
 B67,
 tblTargets[TargetID],
 tblTargets[DisplayName],
 ""
)</f>
        <v>Caravan Lv 1</v>
      </c>
      <c r="D67" s="49" t="str">
        <f t="array" ref="D67">_xlfn.XLOOKUP(
 B67,
 tblTargets[TargetID],
 tblTargets[TargetType],
 ""
)</f>
        <v>BUILDING</v>
      </c>
      <c r="E67" s="49" t="s">
        <v>237</v>
      </c>
      <c r="F67" s="49">
        <v>1.0</v>
      </c>
      <c r="G67" s="49">
        <f t="array" ref="G67">_xlfn.XLOOKUP(
 A67,
 tblCost[RequirementID],
 tblCost[QuantityRequired],
 ""
)</f>
        <v>200</v>
      </c>
      <c r="H67" s="49">
        <f t="array" ref="H67">IF(
 OR(
  LEFT(B67,15)="state.character",
  RIGHT(B67,6)=".maxed"
 ),
 0,
 LET(
  sort,
   _xlfn.XLOOKUP(
    B67,
    tblChecklist[TargetID],
    tblChecklist[PlayerSort],
    0
   ),
  IF(sort=0,500,sort)
 )
)</f>
        <v>36</v>
      </c>
      <c r="I67" s="49" t="str">
        <f t="array" ref="I67">_xlfn.XLOOKUP(
 B67,
 tblTargetStatus[TargetID],
 tblTargetStatus[Status],
 ""
)</f>
        <v>BLOCKED</v>
      </c>
      <c r="J67" s="45" t="b">
        <v>0</v>
      </c>
    </row>
    <row r="68" ht="14.25" hidden="1" customHeight="1">
      <c r="A68" s="49" t="s">
        <v>403</v>
      </c>
      <c r="B68" s="49" t="str">
        <f>IFERROR(__xludf.DUMMYFUNCTION("REGEXREPLACE(
 REGEXREPLACE(A68,""^cost\."",""""),
 ""\.[^.]+\.[^.]+$"",
 """"
)"),"building.caravan@1")</f>
        <v>building.caravan@1</v>
      </c>
      <c r="C68" s="49" t="str">
        <f t="array" ref="C68">_xlfn.XLOOKUP(
 B68,
 tblTargets[TargetID],
 tblTargets[DisplayName],
 ""
)</f>
        <v>Caravan Lv 1</v>
      </c>
      <c r="D68" s="49" t="str">
        <f t="array" ref="D68">_xlfn.XLOOKUP(
 B68,
 tblTargets[TargetID],
 tblTargets[TargetType],
 ""
)</f>
        <v>BUILDING</v>
      </c>
      <c r="E68" s="49" t="s">
        <v>405</v>
      </c>
      <c r="F68" s="49">
        <v>1.0</v>
      </c>
      <c r="G68" s="49">
        <f t="array" ref="G68">_xlfn.XLOOKUP(
 A68,
 tblCost[RequirementID],
 tblCost[QuantityRequired],
 ""
)</f>
        <v>10</v>
      </c>
      <c r="H68" s="49">
        <f t="array" ref="H68">IF(
 OR(
  LEFT(B68,15)="state.character",
  RIGHT(B68,6)=".maxed"
 ),
 0,
 LET(
  sort,
   _xlfn.XLOOKUP(
    B68,
    tblChecklist[TargetID],
    tblChecklist[PlayerSort],
    0
   ),
  IF(sort=0,500,sort)
 )
)</f>
        <v>36</v>
      </c>
      <c r="I68" s="49" t="str">
        <f t="array" ref="I68">_xlfn.XLOOKUP(
 B68,
 tblTargetStatus[TargetID],
 tblTargetStatus[Status],
 ""
)</f>
        <v>BLOCKED</v>
      </c>
      <c r="J68" s="45" t="b">
        <v>0</v>
      </c>
    </row>
    <row r="69" ht="14.25" hidden="1" customHeight="1">
      <c r="A69" s="49" t="s">
        <v>407</v>
      </c>
      <c r="B69" s="49" t="str">
        <f>IFERROR(__xludf.DUMMYFUNCTION("REGEXREPLACE(
 REGEXREPLACE(A69,""^cost\."",""""),
 ""\.[^.]+\.[^.]+$"",
 """"
)"),"building.caravan@2")</f>
        <v>building.caravan@2</v>
      </c>
      <c r="C69" s="49" t="str">
        <f t="array" ref="C69">_xlfn.XLOOKUP(
 B69,
 tblTargets[TargetID],
 tblTargets[DisplayName],
 ""
)</f>
        <v>Caravan Lv 2</v>
      </c>
      <c r="D69" s="49" t="str">
        <f t="array" ref="D69">_xlfn.XLOOKUP(
 B69,
 tblTargets[TargetID],
 tblTargets[TargetType],
 ""
)</f>
        <v>BUILDING</v>
      </c>
      <c r="E69" s="49" t="s">
        <v>119</v>
      </c>
      <c r="F69" s="49">
        <v>1.0</v>
      </c>
      <c r="G69" s="49">
        <f t="array" ref="G69">_xlfn.XLOOKUP(
 A69,
 tblCost[RequirementID],
 tblCost[QuantityRequired],
 ""
)</f>
        <v>1200</v>
      </c>
      <c r="H69" s="49">
        <f t="array" ref="H69">IF(
 OR(
  LEFT(B69,15)="state.character",
  RIGHT(B69,6)=".maxed"
 ),
 0,
 LET(
  sort,
   _xlfn.XLOOKUP(
    B69,
    tblChecklist[TargetID],
    tblChecklist[PlayerSort],
    0
   ),
  IF(sort=0,500,sort)
 )
)</f>
        <v>37</v>
      </c>
      <c r="I69" s="49" t="str">
        <f t="array" ref="I69">_xlfn.XLOOKUP(
 B69,
 tblTargetStatus[TargetID],
 tblTargetStatus[Status],
 ""
)</f>
        <v>BLOCKED</v>
      </c>
      <c r="J69" s="45" t="b">
        <v>0</v>
      </c>
    </row>
    <row r="70" ht="14.25" hidden="1" customHeight="1">
      <c r="A70" s="49" t="s">
        <v>409</v>
      </c>
      <c r="B70" s="49" t="str">
        <f>IFERROR(__xludf.DUMMYFUNCTION("REGEXREPLACE(
 REGEXREPLACE(A70,""^cost\."",""""),
 ""\.[^.]+\.[^.]+$"",
 """"
)"),"building.caravan@2")</f>
        <v>building.caravan@2</v>
      </c>
      <c r="C70" s="49" t="str">
        <f t="array" ref="C70">_xlfn.XLOOKUP(
 B70,
 tblTargets[TargetID],
 tblTargets[DisplayName],
 ""
)</f>
        <v>Caravan Lv 2</v>
      </c>
      <c r="D70" s="49" t="str">
        <f t="array" ref="D70">_xlfn.XLOOKUP(
 B70,
 tblTargets[TargetID],
 tblTargets[TargetType],
 ""
)</f>
        <v>BUILDING</v>
      </c>
      <c r="E70" s="49" t="s">
        <v>171</v>
      </c>
      <c r="F70" s="49">
        <v>1.0</v>
      </c>
      <c r="G70" s="49">
        <f t="array" ref="G70">_xlfn.XLOOKUP(
 A70,
 tblCost[RequirementID],
 tblCost[QuantityRequired],
 ""
)</f>
        <v>50</v>
      </c>
      <c r="H70" s="49">
        <f t="array" ref="H70">IF(
 OR(
  LEFT(B70,15)="state.character",
  RIGHT(B70,6)=".maxed"
 ),
 0,
 LET(
  sort,
   _xlfn.XLOOKUP(
    B70,
    tblChecklist[TargetID],
    tblChecklist[PlayerSort],
    0
   ),
  IF(sort=0,500,sort)
 )
)</f>
        <v>37</v>
      </c>
      <c r="I70" s="49" t="str">
        <f t="array" ref="I70">_xlfn.XLOOKUP(
 B70,
 tblTargetStatus[TargetID],
 tblTargetStatus[Status],
 ""
)</f>
        <v>BLOCKED</v>
      </c>
      <c r="J70" s="45" t="b">
        <v>0</v>
      </c>
    </row>
    <row r="71" ht="14.25" hidden="1" customHeight="1">
      <c r="A71" s="49" t="s">
        <v>411</v>
      </c>
      <c r="B71" s="49" t="str">
        <f>IFERROR(__xludf.DUMMYFUNCTION("REGEXREPLACE(
 REGEXREPLACE(A71,""^cost\."",""""),
 ""\.[^.]+\.[^.]+$"",
 """"
)"),"building.caravan@2")</f>
        <v>building.caravan@2</v>
      </c>
      <c r="C71" s="49" t="str">
        <f t="array" ref="C71">_xlfn.XLOOKUP(
 B71,
 tblTargets[TargetID],
 tblTargets[DisplayName],
 ""
)</f>
        <v>Caravan Lv 2</v>
      </c>
      <c r="D71" s="49" t="str">
        <f t="array" ref="D71">_xlfn.XLOOKUP(
 B71,
 tblTargets[TargetID],
 tblTargets[TargetType],
 ""
)</f>
        <v>BUILDING</v>
      </c>
      <c r="E71" s="49" t="s">
        <v>412</v>
      </c>
      <c r="F71" s="49">
        <v>1.0</v>
      </c>
      <c r="G71" s="49">
        <f t="array" ref="G71">_xlfn.XLOOKUP(
 A71,
 tblCost[RequirementID],
 tblCost[QuantityRequired],
 ""
)</f>
        <v>50</v>
      </c>
      <c r="H71" s="49">
        <f t="array" ref="H71">IF(
 OR(
  LEFT(B71,15)="state.character",
  RIGHT(B71,6)=".maxed"
 ),
 0,
 LET(
  sort,
   _xlfn.XLOOKUP(
    B71,
    tblChecklist[TargetID],
    tblChecklist[PlayerSort],
    0
   ),
  IF(sort=0,500,sort)
 )
)</f>
        <v>37</v>
      </c>
      <c r="I71" s="49" t="str">
        <f t="array" ref="I71">_xlfn.XLOOKUP(
 B71,
 tblTargetStatus[TargetID],
 tblTargetStatus[Status],
 ""
)</f>
        <v>BLOCKED</v>
      </c>
      <c r="J71" s="45" t="b">
        <v>0</v>
      </c>
    </row>
    <row r="72" ht="14.25" hidden="1" customHeight="1">
      <c r="A72" s="49" t="s">
        <v>413</v>
      </c>
      <c r="B72" s="49" t="str">
        <f>IFERROR(__xludf.DUMMYFUNCTION("REGEXREPLACE(
 REGEXREPLACE(A72,""^cost\."",""""),
 ""\.[^.]+\.[^.]+$"",
 """"
)"),"building.caravan@2")</f>
        <v>building.caravan@2</v>
      </c>
      <c r="C72" s="49" t="str">
        <f t="array" ref="C72">_xlfn.XLOOKUP(
 B72,
 tblTargets[TargetID],
 tblTargets[DisplayName],
 ""
)</f>
        <v>Caravan Lv 2</v>
      </c>
      <c r="D72" s="49" t="str">
        <f t="array" ref="D72">_xlfn.XLOOKUP(
 B72,
 tblTargets[TargetID],
 tblTargets[TargetType],
 ""
)</f>
        <v>BUILDING</v>
      </c>
      <c r="E72" s="49" t="s">
        <v>187</v>
      </c>
      <c r="F72" s="49">
        <v>1.0</v>
      </c>
      <c r="G72" s="49">
        <f t="array" ref="G72">_xlfn.XLOOKUP(
 A72,
 tblCost[RequirementID],
 tblCost[QuantityRequired],
 ""
)</f>
        <v>600</v>
      </c>
      <c r="H72" s="49">
        <f t="array" ref="H72">IF(
 OR(
  LEFT(B72,15)="state.character",
  RIGHT(B72,6)=".maxed"
 ),
 0,
 LET(
  sort,
   _xlfn.XLOOKUP(
    B72,
    tblChecklist[TargetID],
    tblChecklist[PlayerSort],
    0
   ),
  IF(sort=0,500,sort)
 )
)</f>
        <v>37</v>
      </c>
      <c r="I72" s="49" t="str">
        <f t="array" ref="I72">_xlfn.XLOOKUP(
 B72,
 tblTargetStatus[TargetID],
 tblTargetStatus[Status],
 ""
)</f>
        <v>BLOCKED</v>
      </c>
      <c r="J72" s="45" t="b">
        <v>0</v>
      </c>
    </row>
    <row r="73" ht="14.25" hidden="1" customHeight="1">
      <c r="A73" s="49" t="s">
        <v>416</v>
      </c>
      <c r="B73" s="49" t="str">
        <f>IFERROR(__xludf.DUMMYFUNCTION("REGEXREPLACE(
 REGEXREPLACE(A73,""^cost\."",""""),
 ""\.[^.]+\.[^.]+$"",
 """"
)"),"building.caravan@2")</f>
        <v>building.caravan@2</v>
      </c>
      <c r="C73" s="49" t="str">
        <f t="array" ref="C73">_xlfn.XLOOKUP(
 B73,
 tblTargets[TargetID],
 tblTargets[DisplayName],
 ""
)</f>
        <v>Caravan Lv 2</v>
      </c>
      <c r="D73" s="49" t="str">
        <f t="array" ref="D73">_xlfn.XLOOKUP(
 B73,
 tblTargets[TargetID],
 tblTargets[TargetType],
 ""
)</f>
        <v>BUILDING</v>
      </c>
      <c r="E73" s="49" t="s">
        <v>6</v>
      </c>
      <c r="F73" s="49">
        <v>1.0</v>
      </c>
      <c r="G73" s="49">
        <f t="array" ref="G73">_xlfn.XLOOKUP(
 A73,
 tblCost[RequirementID],
 tblCost[QuantityRequired],
 ""
)</f>
        <v>7</v>
      </c>
      <c r="H73" s="49">
        <f t="array" ref="H73">IF(
 OR(
  LEFT(B73,15)="state.character",
  RIGHT(B73,6)=".maxed"
 ),
 0,
 LET(
  sort,
   _xlfn.XLOOKUP(
    B73,
    tblChecklist[TargetID],
    tblChecklist[PlayerSort],
    0
   ),
  IF(sort=0,500,sort)
 )
)</f>
        <v>37</v>
      </c>
      <c r="I73" s="49" t="str">
        <f t="array" ref="I73">_xlfn.XLOOKUP(
 B73,
 tblTargetStatus[TargetID],
 tblTargetStatus[Status],
 ""
)</f>
        <v>BLOCKED</v>
      </c>
      <c r="J73" s="45" t="b">
        <v>0</v>
      </c>
    </row>
    <row r="74" ht="14.25" hidden="1" customHeight="1">
      <c r="A74" s="49" t="s">
        <v>417</v>
      </c>
      <c r="B74" s="49" t="str">
        <f>IFERROR(__xludf.DUMMYFUNCTION("REGEXREPLACE(
 REGEXREPLACE(A74,""^cost\."",""""),
 ""\.[^.]+\.[^.]+$"",
 """"
)"),"building.caravan@2")</f>
        <v>building.caravan@2</v>
      </c>
      <c r="C74" s="49" t="str">
        <f t="array" ref="C74">_xlfn.XLOOKUP(
 B74,
 tblTargets[TargetID],
 tblTargets[DisplayName],
 ""
)</f>
        <v>Caravan Lv 2</v>
      </c>
      <c r="D74" s="49" t="str">
        <f t="array" ref="D74">_xlfn.XLOOKUP(
 B74,
 tblTargets[TargetID],
 tblTargets[TargetType],
 ""
)</f>
        <v>BUILDING</v>
      </c>
      <c r="E74" s="49" t="s">
        <v>237</v>
      </c>
      <c r="F74" s="49">
        <v>1.0</v>
      </c>
      <c r="G74" s="49">
        <f t="array" ref="G74">_xlfn.XLOOKUP(
 A74,
 tblCost[RequirementID],
 tblCost[QuantityRequired],
 ""
)</f>
        <v>300</v>
      </c>
      <c r="H74" s="49">
        <f t="array" ref="H74">IF(
 OR(
  LEFT(B74,15)="state.character",
  RIGHT(B74,6)=".maxed"
 ),
 0,
 LET(
  sort,
   _xlfn.XLOOKUP(
    B74,
    tblChecklist[TargetID],
    tblChecklist[PlayerSort],
    0
   ),
  IF(sort=0,500,sort)
 )
)</f>
        <v>37</v>
      </c>
      <c r="I74" s="49" t="str">
        <f t="array" ref="I74">_xlfn.XLOOKUP(
 B74,
 tblTargetStatus[TargetID],
 tblTargetStatus[Status],
 ""
)</f>
        <v>BLOCKED</v>
      </c>
      <c r="J74" s="45" t="b">
        <v>0</v>
      </c>
    </row>
    <row r="75" ht="14.25" hidden="1" customHeight="1">
      <c r="A75" s="49" t="s">
        <v>419</v>
      </c>
      <c r="B75" s="49" t="str">
        <f>IFERROR(__xludf.DUMMYFUNCTION("REGEXREPLACE(
 REGEXREPLACE(A75,""^cost\."",""""),
 ""\.[^.]+\.[^.]+$"",
 """"
)"),"building.caravan@3")</f>
        <v>building.caravan@3</v>
      </c>
      <c r="C75" s="49" t="str">
        <f t="array" ref="C75">_xlfn.XLOOKUP(
 B75,
 tblTargets[TargetID],
 tblTargets[DisplayName],
 ""
)</f>
        <v>Caravan Lv 3</v>
      </c>
      <c r="D75" s="49" t="str">
        <f t="array" ref="D75">_xlfn.XLOOKUP(
 B75,
 tblTargets[TargetID],
 tblTargets[TargetType],
 ""
)</f>
        <v>BUILDING</v>
      </c>
      <c r="E75" s="49" t="s">
        <v>119</v>
      </c>
      <c r="F75" s="49">
        <v>1.0</v>
      </c>
      <c r="G75" s="49">
        <f t="array" ref="G75">_xlfn.XLOOKUP(
 A75,
 tblCost[RequirementID],
 tblCost[QuantityRequired],
 ""
)</f>
        <v>1500</v>
      </c>
      <c r="H75" s="49">
        <f t="array" ref="H75">IF(
 OR(
  LEFT(B75,15)="state.character",
  RIGHT(B75,6)=".maxed"
 ),
 0,
 LET(
  sort,
   _xlfn.XLOOKUP(
    B75,
    tblChecklist[TargetID],
    tblChecklist[PlayerSort],
    0
   ),
  IF(sort=0,500,sort)
 )
)</f>
        <v>38</v>
      </c>
      <c r="I75" s="49" t="str">
        <f t="array" ref="I75">_xlfn.XLOOKUP(
 B75,
 tblTargetStatus[TargetID],
 tblTargetStatus[Status],
 ""
)</f>
        <v>BLOCKED</v>
      </c>
      <c r="J75" s="45" t="b">
        <v>0</v>
      </c>
    </row>
    <row r="76" ht="14.25" hidden="1" customHeight="1">
      <c r="A76" s="49" t="s">
        <v>422</v>
      </c>
      <c r="B76" s="49" t="str">
        <f>IFERROR(__xludf.DUMMYFUNCTION("REGEXREPLACE(
 REGEXREPLACE(A76,""^cost\."",""""),
 ""\.[^.]+\.[^.]+$"",
 """"
)"),"building.caravan@3")</f>
        <v>building.caravan@3</v>
      </c>
      <c r="C76" s="49" t="str">
        <f t="array" ref="C76">_xlfn.XLOOKUP(
 B76,
 tblTargets[TargetID],
 tblTargets[DisplayName],
 ""
)</f>
        <v>Caravan Lv 3</v>
      </c>
      <c r="D76" s="49" t="str">
        <f t="array" ref="D76">_xlfn.XLOOKUP(
 B76,
 tblTargets[TargetID],
 tblTargets[TargetType],
 ""
)</f>
        <v>BUILDING</v>
      </c>
      <c r="E76" s="49" t="s">
        <v>423</v>
      </c>
      <c r="F76" s="49">
        <v>1.0</v>
      </c>
      <c r="G76" s="49">
        <f t="array" ref="G76">_xlfn.XLOOKUP(
 A76,
 tblCost[RequirementID],
 tblCost[QuantityRequired],
 ""
)</f>
        <v>20</v>
      </c>
      <c r="H76" s="49">
        <f t="array" ref="H76">IF(
 OR(
  LEFT(B76,15)="state.character",
  RIGHT(B76,6)=".maxed"
 ),
 0,
 LET(
  sort,
   _xlfn.XLOOKUP(
    B76,
    tblChecklist[TargetID],
    tblChecklist[PlayerSort],
    0
   ),
  IF(sort=0,500,sort)
 )
)</f>
        <v>38</v>
      </c>
      <c r="I76" s="49" t="str">
        <f t="array" ref="I76">_xlfn.XLOOKUP(
 B76,
 tblTargetStatus[TargetID],
 tblTargetStatus[Status],
 ""
)</f>
        <v>BLOCKED</v>
      </c>
      <c r="J76" s="45" t="b">
        <v>0</v>
      </c>
    </row>
    <row r="77" ht="14.25" hidden="1" customHeight="1">
      <c r="A77" s="49" t="s">
        <v>425</v>
      </c>
      <c r="B77" s="49" t="str">
        <f>IFERROR(__xludf.DUMMYFUNCTION("REGEXREPLACE(
 REGEXREPLACE(A77,""^cost\."",""""),
 ""\.[^.]+\.[^.]+$"",
 """"
)"),"building.caravan@3")</f>
        <v>building.caravan@3</v>
      </c>
      <c r="C77" s="49" t="str">
        <f t="array" ref="C77">_xlfn.XLOOKUP(
 B77,
 tblTargets[TargetID],
 tblTargets[DisplayName],
 ""
)</f>
        <v>Caravan Lv 3</v>
      </c>
      <c r="D77" s="49" t="str">
        <f t="array" ref="D77">_xlfn.XLOOKUP(
 B77,
 tblTargets[TargetID],
 tblTargets[TargetType],
 ""
)</f>
        <v>BUILDING</v>
      </c>
      <c r="E77" s="49" t="s">
        <v>426</v>
      </c>
      <c r="F77" s="49">
        <v>1.0</v>
      </c>
      <c r="G77" s="49">
        <f t="array" ref="G77">_xlfn.XLOOKUP(
 A77,
 tblCost[RequirementID],
 tblCost[QuantityRequired],
 ""
)</f>
        <v>10</v>
      </c>
      <c r="H77" s="49">
        <f t="array" ref="H77">IF(
 OR(
  LEFT(B77,15)="state.character",
  RIGHT(B77,6)=".maxed"
 ),
 0,
 LET(
  sort,
   _xlfn.XLOOKUP(
    B77,
    tblChecklist[TargetID],
    tblChecklist[PlayerSort],
    0
   ),
  IF(sort=0,500,sort)
 )
)</f>
        <v>38</v>
      </c>
      <c r="I77" s="49" t="str">
        <f t="array" ref="I77">_xlfn.XLOOKUP(
 B77,
 tblTargetStatus[TargetID],
 tblTargetStatus[Status],
 ""
)</f>
        <v>BLOCKED</v>
      </c>
      <c r="J77" s="45" t="b">
        <v>0</v>
      </c>
    </row>
    <row r="78" ht="14.25" hidden="1" customHeight="1">
      <c r="A78" s="49" t="s">
        <v>428</v>
      </c>
      <c r="B78" s="49" t="str">
        <f>IFERROR(__xludf.DUMMYFUNCTION("REGEXREPLACE(
 REGEXREPLACE(A78,""^cost\."",""""),
 ""\.[^.]+\.[^.]+$"",
 """"
)"),"building.caravan@3")</f>
        <v>building.caravan@3</v>
      </c>
      <c r="C78" s="49" t="str">
        <f t="array" ref="C78">_xlfn.XLOOKUP(
 B78,
 tblTargets[TargetID],
 tblTargets[DisplayName],
 ""
)</f>
        <v>Caravan Lv 3</v>
      </c>
      <c r="D78" s="49" t="str">
        <f t="array" ref="D78">_xlfn.XLOOKUP(
 B78,
 tblTargets[TargetID],
 tblTargets[TargetType],
 ""
)</f>
        <v>BUILDING</v>
      </c>
      <c r="E78" s="49" t="s">
        <v>187</v>
      </c>
      <c r="F78" s="49">
        <v>1.0</v>
      </c>
      <c r="G78" s="49">
        <f t="array" ref="G78">_xlfn.XLOOKUP(
 A78,
 tblCost[RequirementID],
 tblCost[QuantityRequired],
 ""
)</f>
        <v>800</v>
      </c>
      <c r="H78" s="49">
        <f t="array" ref="H78">IF(
 OR(
  LEFT(B78,15)="state.character",
  RIGHT(B78,6)=".maxed"
 ),
 0,
 LET(
  sort,
   _xlfn.XLOOKUP(
    B78,
    tblChecklist[TargetID],
    tblChecklist[PlayerSort],
    0
   ),
  IF(sort=0,500,sort)
 )
)</f>
        <v>38</v>
      </c>
      <c r="I78" s="49" t="str">
        <f t="array" ref="I78">_xlfn.XLOOKUP(
 B78,
 tblTargetStatus[TargetID],
 tblTargetStatus[Status],
 ""
)</f>
        <v>BLOCKED</v>
      </c>
      <c r="J78" s="45" t="b">
        <v>0</v>
      </c>
    </row>
    <row r="79" ht="14.25" hidden="1" customHeight="1">
      <c r="A79" s="49" t="s">
        <v>430</v>
      </c>
      <c r="B79" s="49" t="str">
        <f>IFERROR(__xludf.DUMMYFUNCTION("REGEXREPLACE(
 REGEXREPLACE(A79,""^cost\."",""""),
 ""\.[^.]+\.[^.]+$"",
 """"
)"),"building.caravan@3")</f>
        <v>building.caravan@3</v>
      </c>
      <c r="C79" s="49" t="str">
        <f t="array" ref="C79">_xlfn.XLOOKUP(
 B79,
 tblTargets[TargetID],
 tblTargets[DisplayName],
 ""
)</f>
        <v>Caravan Lv 3</v>
      </c>
      <c r="D79" s="49" t="str">
        <f t="array" ref="D79">_xlfn.XLOOKUP(
 B79,
 tblTargets[TargetID],
 tblTargets[TargetType],
 ""
)</f>
        <v>BUILDING</v>
      </c>
      <c r="E79" s="49" t="s">
        <v>6</v>
      </c>
      <c r="F79" s="49">
        <v>1.0</v>
      </c>
      <c r="G79" s="49">
        <f t="array" ref="G79">_xlfn.XLOOKUP(
 A79,
 tblCost[RequirementID],
 tblCost[QuantityRequired],
 ""
)</f>
        <v>9</v>
      </c>
      <c r="H79" s="49">
        <f t="array" ref="H79">IF(
 OR(
  LEFT(B79,15)="state.character",
  RIGHT(B79,6)=".maxed"
 ),
 0,
 LET(
  sort,
   _xlfn.XLOOKUP(
    B79,
    tblChecklist[TargetID],
    tblChecklist[PlayerSort],
    0
   ),
  IF(sort=0,500,sort)
 )
)</f>
        <v>38</v>
      </c>
      <c r="I79" s="49" t="str">
        <f t="array" ref="I79">_xlfn.XLOOKUP(
 B79,
 tblTargetStatus[TargetID],
 tblTargetStatus[Status],
 ""
)</f>
        <v>BLOCKED</v>
      </c>
      <c r="J79" s="45" t="b">
        <v>0</v>
      </c>
    </row>
    <row r="80" ht="14.25" hidden="1" customHeight="1">
      <c r="A80" s="49" t="s">
        <v>432</v>
      </c>
      <c r="B80" s="49" t="str">
        <f>IFERROR(__xludf.DUMMYFUNCTION("REGEXREPLACE(
 REGEXREPLACE(A80,""^cost\."",""""),
 ""\.[^.]+\.[^.]+$"",
 """"
)"),"building.caravan@3")</f>
        <v>building.caravan@3</v>
      </c>
      <c r="C80" s="49" t="str">
        <f t="array" ref="C80">_xlfn.XLOOKUP(
 B80,
 tblTargets[TargetID],
 tblTargets[DisplayName],
 ""
)</f>
        <v>Caravan Lv 3</v>
      </c>
      <c r="D80" s="49" t="str">
        <f t="array" ref="D80">_xlfn.XLOOKUP(
 B80,
 tblTargets[TargetID],
 tblTargets[TargetType],
 ""
)</f>
        <v>BUILDING</v>
      </c>
      <c r="E80" s="49" t="s">
        <v>237</v>
      </c>
      <c r="F80" s="49">
        <v>1.0</v>
      </c>
      <c r="G80" s="49">
        <f t="array" ref="G80">_xlfn.XLOOKUP(
 A80,
 tblCost[RequirementID],
 tblCost[QuantityRequired],
 ""
)</f>
        <v>400</v>
      </c>
      <c r="H80" s="49">
        <f t="array" ref="H80">IF(
 OR(
  LEFT(B80,15)="state.character",
  RIGHT(B80,6)=".maxed"
 ),
 0,
 LET(
  sort,
   _xlfn.XLOOKUP(
    B80,
    tblChecklist[TargetID],
    tblChecklist[PlayerSort],
    0
   ),
  IF(sort=0,500,sort)
 )
)</f>
        <v>38</v>
      </c>
      <c r="I80" s="49" t="str">
        <f t="array" ref="I80">_xlfn.XLOOKUP(
 B80,
 tblTargetStatus[TargetID],
 tblTargetStatus[Status],
 ""
)</f>
        <v>BLOCKED</v>
      </c>
      <c r="J80" s="45" t="b">
        <v>0</v>
      </c>
    </row>
    <row r="81" ht="14.25" hidden="1" customHeight="1">
      <c r="A81" s="49" t="s">
        <v>434</v>
      </c>
      <c r="B81" s="49" t="str">
        <f>IFERROR(__xludf.DUMMYFUNCTION("REGEXREPLACE(
 REGEXREPLACE(A81,""^cost\."",""""),
 ""\.[^.]+\.[^.]+$"",
 """"
)"),"building.caravan@4")</f>
        <v>building.caravan@4</v>
      </c>
      <c r="C81" s="49" t="str">
        <f t="array" ref="C81">_xlfn.XLOOKUP(
 B81,
 tblTargets[TargetID],
 tblTargets[DisplayName],
 ""
)</f>
        <v>Caravan Lv 4</v>
      </c>
      <c r="D81" s="49" t="str">
        <f t="array" ref="D81">_xlfn.XLOOKUP(
 B81,
 tblTargets[TargetID],
 tblTargets[TargetType],
 ""
)</f>
        <v>BUILDING</v>
      </c>
      <c r="E81" s="49" t="s">
        <v>119</v>
      </c>
      <c r="F81" s="49">
        <v>1.0</v>
      </c>
      <c r="G81" s="49">
        <f t="array" ref="G81">_xlfn.XLOOKUP(
 A81,
 tblCost[RequirementID],
 tblCost[QuantityRequired],
 ""
)</f>
        <v>2000</v>
      </c>
      <c r="H81" s="49">
        <f t="array" ref="H81">IF(
 OR(
  LEFT(B81,15)="state.character",
  RIGHT(B81,6)=".maxed"
 ),
 0,
 LET(
  sort,
   _xlfn.XLOOKUP(
    B81,
    tblChecklist[TargetID],
    tblChecklist[PlayerSort],
    0
   ),
  IF(sort=0,500,sort)
 )
)</f>
        <v>39</v>
      </c>
      <c r="I81" s="49" t="str">
        <f t="array" ref="I81">_xlfn.XLOOKUP(
 B81,
 tblTargetStatus[TargetID],
 tblTargetStatus[Status],
 ""
)</f>
        <v>BLOCKED</v>
      </c>
      <c r="J81" s="45" t="b">
        <v>0</v>
      </c>
    </row>
    <row r="82" ht="14.25" hidden="1" customHeight="1">
      <c r="A82" s="49" t="s">
        <v>436</v>
      </c>
      <c r="B82" s="49" t="str">
        <f>IFERROR(__xludf.DUMMYFUNCTION("REGEXREPLACE(
 REGEXREPLACE(A82,""^cost\."",""""),
 ""\.[^.]+\.[^.]+$"",
 """"
)"),"building.caravan@4")</f>
        <v>building.caravan@4</v>
      </c>
      <c r="C82" s="49" t="str">
        <f t="array" ref="C82">_xlfn.XLOOKUP(
 B82,
 tblTargets[TargetID],
 tblTargets[DisplayName],
 ""
)</f>
        <v>Caravan Lv 4</v>
      </c>
      <c r="D82" s="49" t="str">
        <f t="array" ref="D82">_xlfn.XLOOKUP(
 B82,
 tblTargets[TargetID],
 tblTargets[TargetType],
 ""
)</f>
        <v>BUILDING</v>
      </c>
      <c r="E82" s="49" t="s">
        <v>187</v>
      </c>
      <c r="F82" s="49">
        <v>1.0</v>
      </c>
      <c r="G82" s="49">
        <f t="array" ref="G82">_xlfn.XLOOKUP(
 A82,
 tblCost[RequirementID],
 tblCost[QuantityRequired],
 ""
)</f>
        <v>1000</v>
      </c>
      <c r="H82" s="49">
        <f t="array" ref="H82">IF(
 OR(
  LEFT(B82,15)="state.character",
  RIGHT(B82,6)=".maxed"
 ),
 0,
 LET(
  sort,
   _xlfn.XLOOKUP(
    B82,
    tblChecklist[TargetID],
    tblChecklist[PlayerSort],
    0
   ),
  IF(sort=0,500,sort)
 )
)</f>
        <v>39</v>
      </c>
      <c r="I82" s="49" t="str">
        <f t="array" ref="I82">_xlfn.XLOOKUP(
 B82,
 tblTargetStatus[TargetID],
 tblTargetStatus[Status],
 ""
)</f>
        <v>BLOCKED</v>
      </c>
      <c r="J82" s="45" t="b">
        <v>0</v>
      </c>
    </row>
    <row r="83" ht="14.25" hidden="1" customHeight="1">
      <c r="A83" s="49" t="s">
        <v>437</v>
      </c>
      <c r="B83" s="49" t="str">
        <f>IFERROR(__xludf.DUMMYFUNCTION("REGEXREPLACE(
 REGEXREPLACE(A83,""^cost\."",""""),
 ""\.[^.]+\.[^.]+$"",
 """"
)"),"building.caravan@4")</f>
        <v>building.caravan@4</v>
      </c>
      <c r="C83" s="49" t="str">
        <f t="array" ref="C83">_xlfn.XLOOKUP(
 B83,
 tblTargets[TargetID],
 tblTargets[DisplayName],
 ""
)</f>
        <v>Caravan Lv 4</v>
      </c>
      <c r="D83" s="49" t="str">
        <f t="array" ref="D83">_xlfn.XLOOKUP(
 B83,
 tblTargets[TargetID],
 tblTargets[TargetType],
 ""
)</f>
        <v>BUILDING</v>
      </c>
      <c r="E83" s="49" t="s">
        <v>6</v>
      </c>
      <c r="F83" s="49">
        <v>1.0</v>
      </c>
      <c r="G83" s="49">
        <f t="array" ref="G83">_xlfn.XLOOKUP(
 A83,
 tblCost[RequirementID],
 tblCost[QuantityRequired],
 ""
)</f>
        <v>12</v>
      </c>
      <c r="H83" s="49">
        <f t="array" ref="H83">IF(
 OR(
  LEFT(B83,15)="state.character",
  RIGHT(B83,6)=".maxed"
 ),
 0,
 LET(
  sort,
   _xlfn.XLOOKUP(
    B83,
    tblChecklist[TargetID],
    tblChecklist[PlayerSort],
    0
   ),
  IF(sort=0,500,sort)
 )
)</f>
        <v>39</v>
      </c>
      <c r="I83" s="49" t="str">
        <f t="array" ref="I83">_xlfn.XLOOKUP(
 B83,
 tblTargetStatus[TargetID],
 tblTargetStatus[Status],
 ""
)</f>
        <v>BLOCKED</v>
      </c>
      <c r="J83" s="45" t="b">
        <v>0</v>
      </c>
    </row>
    <row r="84" ht="14.25" hidden="1" customHeight="1">
      <c r="A84" s="49" t="s">
        <v>439</v>
      </c>
      <c r="B84" s="49" t="str">
        <f>IFERROR(__xludf.DUMMYFUNCTION("REGEXREPLACE(
 REGEXREPLACE(A84,""^cost\."",""""),
 ""\.[^.]+\.[^.]+$"",
 """"
)"),"building.caravan@4")</f>
        <v>building.caravan@4</v>
      </c>
      <c r="C84" s="49" t="str">
        <f t="array" ref="C84">_xlfn.XLOOKUP(
 B84,
 tblTargets[TargetID],
 tblTargets[DisplayName],
 ""
)</f>
        <v>Caravan Lv 4</v>
      </c>
      <c r="D84" s="49" t="str">
        <f t="array" ref="D84">_xlfn.XLOOKUP(
 B84,
 tblTargets[TargetID],
 tblTargets[TargetType],
 ""
)</f>
        <v>BUILDING</v>
      </c>
      <c r="E84" s="49" t="s">
        <v>152</v>
      </c>
      <c r="F84" s="49">
        <v>1.0</v>
      </c>
      <c r="G84" s="49">
        <f t="array" ref="G84">_xlfn.XLOOKUP(
 A84,
 tblCost[RequirementID],
 tblCost[QuantityRequired],
 ""
)</f>
        <v>30</v>
      </c>
      <c r="H84" s="49">
        <f t="array" ref="H84">IF(
 OR(
  LEFT(B84,15)="state.character",
  RIGHT(B84,6)=".maxed"
 ),
 0,
 LET(
  sort,
   _xlfn.XLOOKUP(
    B84,
    tblChecklist[TargetID],
    tblChecklist[PlayerSort],
    0
   ),
  IF(sort=0,500,sort)
 )
)</f>
        <v>39</v>
      </c>
      <c r="I84" s="49" t="str">
        <f t="array" ref="I84">_xlfn.XLOOKUP(
 B84,
 tblTargetStatus[TargetID],
 tblTargetStatus[Status],
 ""
)</f>
        <v>BLOCKED</v>
      </c>
      <c r="J84" s="45" t="b">
        <v>0</v>
      </c>
    </row>
    <row r="85" ht="14.25" hidden="1" customHeight="1">
      <c r="A85" s="49" t="s">
        <v>441</v>
      </c>
      <c r="B85" s="49" t="str">
        <f>IFERROR(__xludf.DUMMYFUNCTION("REGEXREPLACE(
 REGEXREPLACE(A85,""^cost\."",""""),
 ""\.[^.]+\.[^.]+$"",
 """"
)"),"building.caravan@4")</f>
        <v>building.caravan@4</v>
      </c>
      <c r="C85" s="49" t="str">
        <f t="array" ref="C85">_xlfn.XLOOKUP(
 B85,
 tblTargets[TargetID],
 tblTargets[DisplayName],
 ""
)</f>
        <v>Caravan Lv 4</v>
      </c>
      <c r="D85" s="49" t="str">
        <f t="array" ref="D85">_xlfn.XLOOKUP(
 B85,
 tblTargets[TargetID],
 tblTargets[TargetType],
 ""
)</f>
        <v>BUILDING</v>
      </c>
      <c r="E85" s="49" t="s">
        <v>443</v>
      </c>
      <c r="F85" s="49">
        <v>1.0</v>
      </c>
      <c r="G85" s="49">
        <f t="array" ref="G85">_xlfn.XLOOKUP(
 A85,
 tblCost[RequirementID],
 tblCost[QuantityRequired],
 ""
)</f>
        <v>5</v>
      </c>
      <c r="H85" s="49">
        <f t="array" ref="H85">IF(
 OR(
  LEFT(B85,15)="state.character",
  RIGHT(B85,6)=".maxed"
 ),
 0,
 LET(
  sort,
   _xlfn.XLOOKUP(
    B85,
    tblChecklist[TargetID],
    tblChecklist[PlayerSort],
    0
   ),
  IF(sort=0,500,sort)
 )
)</f>
        <v>39</v>
      </c>
      <c r="I85" s="49" t="str">
        <f t="array" ref="I85">_xlfn.XLOOKUP(
 B85,
 tblTargetStatus[TargetID],
 tblTargetStatus[Status],
 ""
)</f>
        <v>BLOCKED</v>
      </c>
      <c r="J85" s="45" t="b">
        <v>0</v>
      </c>
    </row>
    <row r="86" ht="14.25" hidden="1" customHeight="1">
      <c r="A86" s="49" t="s">
        <v>444</v>
      </c>
      <c r="B86" s="49" t="str">
        <f>IFERROR(__xludf.DUMMYFUNCTION("REGEXREPLACE(
 REGEXREPLACE(A86,""^cost\."",""""),
 ""\.[^.]+\.[^.]+$"",
 """"
)"),"building.caravan@4")</f>
        <v>building.caravan@4</v>
      </c>
      <c r="C86" s="49" t="str">
        <f t="array" ref="C86">_xlfn.XLOOKUP(
 B86,
 tblTargets[TargetID],
 tblTargets[DisplayName],
 ""
)</f>
        <v>Caravan Lv 4</v>
      </c>
      <c r="D86" s="49" t="str">
        <f t="array" ref="D86">_xlfn.XLOOKUP(
 B86,
 tblTargets[TargetID],
 tblTargets[TargetType],
 ""
)</f>
        <v>BUILDING</v>
      </c>
      <c r="E86" s="49" t="s">
        <v>237</v>
      </c>
      <c r="F86" s="49">
        <v>1.0</v>
      </c>
      <c r="G86" s="49">
        <f t="array" ref="G86">_xlfn.XLOOKUP(
 A86,
 tblCost[RequirementID],
 tblCost[QuantityRequired],
 ""
)</f>
        <v>500</v>
      </c>
      <c r="H86" s="49">
        <f t="array" ref="H86">IF(
 OR(
  LEFT(B86,15)="state.character",
  RIGHT(B86,6)=".maxed"
 ),
 0,
 LET(
  sort,
   _xlfn.XLOOKUP(
    B86,
    tblChecklist[TargetID],
    tblChecklist[PlayerSort],
    0
   ),
  IF(sort=0,500,sort)
 )
)</f>
        <v>39</v>
      </c>
      <c r="I86" s="49" t="str">
        <f t="array" ref="I86">_xlfn.XLOOKUP(
 B86,
 tblTargetStatus[TargetID],
 tblTargetStatus[Status],
 ""
)</f>
        <v>BLOCKED</v>
      </c>
      <c r="J86" s="45" t="b">
        <v>0</v>
      </c>
    </row>
    <row r="87" ht="14.25" hidden="1" customHeight="1">
      <c r="A87" s="49" t="s">
        <v>446</v>
      </c>
      <c r="B87" s="49" t="str">
        <f>IFERROR(__xludf.DUMMYFUNCTION("REGEXREPLACE(
 REGEXREPLACE(A87,""^cost\."",""""),
 ""\.[^.]+\.[^.]+$"",
 """"
)"),"building.chicken@1")</f>
        <v>building.chicken@1</v>
      </c>
      <c r="C87" s="49" t="str">
        <f t="array" ref="C87">_xlfn.XLOOKUP(
 B87,
 tblTargets[TargetID],
 tblTargets[DisplayName],
 ""
)</f>
        <v>Chicken Lv 1</v>
      </c>
      <c r="D87" s="49" t="str">
        <f t="array" ref="D87">_xlfn.XLOOKUP(
 B87,
 tblTargets[TargetID],
 tblTargets[TargetType],
 ""
)</f>
        <v>BUILDING</v>
      </c>
      <c r="E87" s="49" t="s">
        <v>278</v>
      </c>
      <c r="F87" s="49">
        <v>1.0</v>
      </c>
      <c r="G87" s="49">
        <f t="array" ref="G87">_xlfn.XLOOKUP(
 A87,
 tblCost[RequirementID],
 tblCost[QuantityRequired],
 ""
)</f>
        <v>400</v>
      </c>
      <c r="H87" s="49">
        <f t="array" ref="H87">IF(
 OR(
  LEFT(B87,15)="state.character",
  RIGHT(B87,6)=".maxed"
 ),
 0,
 LET(
  sort,
   _xlfn.XLOOKUP(
    B87,
    tblChecklist[TargetID],
    tblChecklist[PlayerSort],
    0
   ),
  IF(sort=0,500,sort)
 )
)</f>
        <v>55</v>
      </c>
      <c r="I87" s="49" t="str">
        <f t="array" ref="I87">_xlfn.XLOOKUP(
 B87,
 tblTargetStatus[TargetID],
 tblTargetStatus[Status],
 ""
)</f>
        <v>BLOCKED</v>
      </c>
      <c r="J87" s="45" t="b">
        <v>0</v>
      </c>
    </row>
    <row r="88" ht="14.25" hidden="1" customHeight="1">
      <c r="A88" s="49" t="s">
        <v>448</v>
      </c>
      <c r="B88" s="49" t="str">
        <f>IFERROR(__xludf.DUMMYFUNCTION("REGEXREPLACE(
 REGEXREPLACE(A88,""^cost\."",""""),
 ""\.[^.]+\.[^.]+$"",
 """"
)"),"building.chicken@1")</f>
        <v>building.chicken@1</v>
      </c>
      <c r="C88" s="49" t="str">
        <f t="array" ref="C88">_xlfn.XLOOKUP(
 B88,
 tblTargets[TargetID],
 tblTargets[DisplayName],
 ""
)</f>
        <v>Chicken Lv 1</v>
      </c>
      <c r="D88" s="49" t="str">
        <f t="array" ref="D88">_xlfn.XLOOKUP(
 B88,
 tblTargets[TargetID],
 tblTargets[TargetType],
 ""
)</f>
        <v>BUILDING</v>
      </c>
      <c r="E88" s="49" t="s">
        <v>119</v>
      </c>
      <c r="F88" s="49">
        <v>1.0</v>
      </c>
      <c r="G88" s="49">
        <f t="array" ref="G88">_xlfn.XLOOKUP(
 A88,
 tblCost[RequirementID],
 tblCost[QuantityRequired],
 ""
)</f>
        <v>400</v>
      </c>
      <c r="H88" s="49">
        <f t="array" ref="H88">IF(
 OR(
  LEFT(B88,15)="state.character",
  RIGHT(B88,6)=".maxed"
 ),
 0,
 LET(
  sort,
   _xlfn.XLOOKUP(
    B88,
    tblChecklist[TargetID],
    tblChecklist[PlayerSort],
    0
   ),
  IF(sort=0,500,sort)
 )
)</f>
        <v>55</v>
      </c>
      <c r="I88" s="49" t="str">
        <f t="array" ref="I88">_xlfn.XLOOKUP(
 B88,
 tblTargetStatus[TargetID],
 tblTargetStatus[Status],
 ""
)</f>
        <v>BLOCKED</v>
      </c>
      <c r="J88" s="45" t="b">
        <v>0</v>
      </c>
    </row>
    <row r="89" ht="14.25" hidden="1" customHeight="1">
      <c r="A89" s="49" t="s">
        <v>450</v>
      </c>
      <c r="B89" s="49" t="str">
        <f>IFERROR(__xludf.DUMMYFUNCTION("REGEXREPLACE(
 REGEXREPLACE(A89,""^cost\."",""""),
 ""\.[^.]+\.[^.]+$"",
 """"
)"),"building.chicken@1")</f>
        <v>building.chicken@1</v>
      </c>
      <c r="C89" s="49" t="str">
        <f t="array" ref="C89">_xlfn.XLOOKUP(
 B89,
 tblTargets[TargetID],
 tblTargets[DisplayName],
 ""
)</f>
        <v>Chicken Lv 1</v>
      </c>
      <c r="D89" s="49" t="str">
        <f t="array" ref="D89">_xlfn.XLOOKUP(
 B89,
 tblTargets[TargetID],
 tblTargets[TargetType],
 ""
)</f>
        <v>BUILDING</v>
      </c>
      <c r="E89" s="49" t="s">
        <v>452</v>
      </c>
      <c r="F89" s="49">
        <v>1.0</v>
      </c>
      <c r="G89" s="49">
        <f t="array" ref="G89">_xlfn.XLOOKUP(
 A89,
 tblCost[RequirementID],
 tblCost[QuantityRequired],
 ""
)</f>
        <v>1</v>
      </c>
      <c r="H89" s="49">
        <f t="array" ref="H89">IF(
 OR(
  LEFT(B89,15)="state.character",
  RIGHT(B89,6)=".maxed"
 ),
 0,
 LET(
  sort,
   _xlfn.XLOOKUP(
    B89,
    tblChecklist[TargetID],
    tblChecklist[PlayerSort],
    0
   ),
  IF(sort=0,500,sort)
 )
)</f>
        <v>55</v>
      </c>
      <c r="I89" s="49" t="str">
        <f t="array" ref="I89">_xlfn.XLOOKUP(
 B89,
 tblTargetStatus[TargetID],
 tblTargetStatus[Status],
 ""
)</f>
        <v>BLOCKED</v>
      </c>
      <c r="J89" s="45" t="b">
        <v>0</v>
      </c>
    </row>
    <row r="90" ht="14.25" hidden="1" customHeight="1">
      <c r="A90" s="49" t="s">
        <v>454</v>
      </c>
      <c r="B90" s="49" t="str">
        <f>IFERROR(__xludf.DUMMYFUNCTION("REGEXREPLACE(
 REGEXREPLACE(A90,""^cost\."",""""),
 ""\.[^.]+\.[^.]+$"",
 """"
)"),"building.chicken@1")</f>
        <v>building.chicken@1</v>
      </c>
      <c r="C90" s="49" t="str">
        <f t="array" ref="C90">_xlfn.XLOOKUP(
 B90,
 tblTargets[TargetID],
 tblTargets[DisplayName],
 ""
)</f>
        <v>Chicken Lv 1</v>
      </c>
      <c r="D90" s="49" t="str">
        <f t="array" ref="D90">_xlfn.XLOOKUP(
 B90,
 tblTargets[TargetID],
 tblTargets[TargetType],
 ""
)</f>
        <v>BUILDING</v>
      </c>
      <c r="E90" s="49" t="s">
        <v>6</v>
      </c>
      <c r="F90" s="49">
        <v>1.0</v>
      </c>
      <c r="G90" s="49">
        <f t="array" ref="G90">_xlfn.XLOOKUP(
 A90,
 tblCost[RequirementID],
 tblCost[QuantityRequired],
 ""
)</f>
        <v>2</v>
      </c>
      <c r="H90" s="49">
        <f t="array" ref="H90">IF(
 OR(
  LEFT(B90,15)="state.character",
  RIGHT(B90,6)=".maxed"
 ),
 0,
 LET(
  sort,
   _xlfn.XLOOKUP(
    B90,
    tblChecklist[TargetID],
    tblChecklist[PlayerSort],
    0
   ),
  IF(sort=0,500,sort)
 )
)</f>
        <v>55</v>
      </c>
      <c r="I90" s="49" t="str">
        <f t="array" ref="I90">_xlfn.XLOOKUP(
 B90,
 tblTargetStatus[TargetID],
 tblTargetStatus[Status],
 ""
)</f>
        <v>BLOCKED</v>
      </c>
      <c r="J90" s="45" t="b">
        <v>0</v>
      </c>
    </row>
    <row r="91" ht="14.25" hidden="1" customHeight="1">
      <c r="A91" s="49" t="s">
        <v>456</v>
      </c>
      <c r="B91" s="49" t="str">
        <f>IFERROR(__xludf.DUMMYFUNCTION("REGEXREPLACE(
 REGEXREPLACE(A91,""^cost\."",""""),
 ""\.[^.]+\.[^.]+$"",
 """"
)"),"building.chicken@1")</f>
        <v>building.chicken@1</v>
      </c>
      <c r="C91" s="49" t="str">
        <f t="array" ref="C91">_xlfn.XLOOKUP(
 B91,
 tblTargets[TargetID],
 tblTargets[DisplayName],
 ""
)</f>
        <v>Chicken Lv 1</v>
      </c>
      <c r="D91" s="49" t="str">
        <f t="array" ref="D91">_xlfn.XLOOKUP(
 B91,
 tblTargets[TargetID],
 tblTargets[TargetType],
 ""
)</f>
        <v>BUILDING</v>
      </c>
      <c r="E91" s="49" t="s">
        <v>237</v>
      </c>
      <c r="F91" s="49">
        <v>1.0</v>
      </c>
      <c r="G91" s="49">
        <f t="array" ref="G91">_xlfn.XLOOKUP(
 A91,
 tblCost[RequirementID],
 tblCost[QuantityRequired],
 ""
)</f>
        <v>200</v>
      </c>
      <c r="H91" s="49">
        <f t="array" ref="H91">IF(
 OR(
  LEFT(B91,15)="state.character",
  RIGHT(B91,6)=".maxed"
 ),
 0,
 LET(
  sort,
   _xlfn.XLOOKUP(
    B91,
    tblChecklist[TargetID],
    tblChecklist[PlayerSort],
    0
   ),
  IF(sort=0,500,sort)
 )
)</f>
        <v>55</v>
      </c>
      <c r="I91" s="49" t="str">
        <f t="array" ref="I91">_xlfn.XLOOKUP(
 B91,
 tblTargetStatus[TargetID],
 tblTargetStatus[Status],
 ""
)</f>
        <v>BLOCKED</v>
      </c>
      <c r="J91" s="45" t="b">
        <v>0</v>
      </c>
    </row>
    <row r="92" ht="14.25" hidden="1" customHeight="1">
      <c r="A92" s="49" t="s">
        <v>458</v>
      </c>
      <c r="B92" s="49" t="str">
        <f>IFERROR(__xludf.DUMMYFUNCTION("REGEXREPLACE(
 REGEXREPLACE(A92,""^cost\."",""""),
 ""\.[^.]+\.[^.]+$"",
 """"
)"),"building.chicken@1")</f>
        <v>building.chicken@1</v>
      </c>
      <c r="C92" s="49" t="str">
        <f t="array" ref="C92">_xlfn.XLOOKUP(
 B92,
 tblTargets[TargetID],
 tblTargets[DisplayName],
 ""
)</f>
        <v>Chicken Lv 1</v>
      </c>
      <c r="D92" s="49" t="str">
        <f t="array" ref="D92">_xlfn.XLOOKUP(
 B92,
 tblTargets[TargetID],
 tblTargets[TargetType],
 ""
)</f>
        <v>BUILDING</v>
      </c>
      <c r="E92" s="49" t="s">
        <v>158</v>
      </c>
      <c r="F92" s="49">
        <v>1.0</v>
      </c>
      <c r="G92" s="49">
        <f t="array" ref="G92">_xlfn.XLOOKUP(
 A92,
 tblCost[RequirementID],
 tblCost[QuantityRequired],
 ""
)</f>
        <v>10</v>
      </c>
      <c r="H92" s="49">
        <f t="array" ref="H92">IF(
 OR(
  LEFT(B92,15)="state.character",
  RIGHT(B92,6)=".maxed"
 ),
 0,
 LET(
  sort,
   _xlfn.XLOOKUP(
    B92,
    tblChecklist[TargetID],
    tblChecklist[PlayerSort],
    0
   ),
  IF(sort=0,500,sort)
 )
)</f>
        <v>55</v>
      </c>
      <c r="I92" s="49" t="str">
        <f t="array" ref="I92">_xlfn.XLOOKUP(
 B92,
 tblTargetStatus[TargetID],
 tblTargetStatus[Status],
 ""
)</f>
        <v>BLOCKED</v>
      </c>
      <c r="J92" s="45" t="b">
        <v>0</v>
      </c>
    </row>
    <row r="93" ht="14.25" hidden="1" customHeight="1">
      <c r="A93" s="49" t="s">
        <v>459</v>
      </c>
      <c r="B93" s="49" t="str">
        <f>IFERROR(__xludf.DUMMYFUNCTION("REGEXREPLACE(
 REGEXREPLACE(A93,""^cost\."",""""),
 ""\.[^.]+\.[^.]+$"",
 """"
)"),"building.chicken@1")</f>
        <v>building.chicken@1</v>
      </c>
      <c r="C93" s="49" t="str">
        <f t="array" ref="C93">_xlfn.XLOOKUP(
 B93,
 tblTargets[TargetID],
 tblTargets[DisplayName],
 ""
)</f>
        <v>Chicken Lv 1</v>
      </c>
      <c r="D93" s="49" t="str">
        <f t="array" ref="D93">_xlfn.XLOOKUP(
 B93,
 tblTargets[TargetID],
 tblTargets[TargetType],
 ""
)</f>
        <v>BUILDING</v>
      </c>
      <c r="E93" s="49" t="s">
        <v>461</v>
      </c>
      <c r="F93" s="49">
        <v>1.0</v>
      </c>
      <c r="G93" s="49">
        <f t="array" ref="G93">_xlfn.XLOOKUP(
 A93,
 tblCost[RequirementID],
 tblCost[QuantityRequired],
 ""
)</f>
        <v>20</v>
      </c>
      <c r="H93" s="49">
        <f t="array" ref="H93">IF(
 OR(
  LEFT(B93,15)="state.character",
  RIGHT(B93,6)=".maxed"
 ),
 0,
 LET(
  sort,
   _xlfn.XLOOKUP(
    B93,
    tblChecklist[TargetID],
    tblChecklist[PlayerSort],
    0
   ),
  IF(sort=0,500,sort)
 )
)</f>
        <v>55</v>
      </c>
      <c r="I93" s="49" t="str">
        <f t="array" ref="I93">_xlfn.XLOOKUP(
 B93,
 tblTargetStatus[TargetID],
 tblTargetStatus[Status],
 ""
)</f>
        <v>BLOCKED</v>
      </c>
      <c r="J93" s="45" t="b">
        <v>0</v>
      </c>
    </row>
    <row r="94" ht="14.25" hidden="1" customHeight="1">
      <c r="A94" s="49" t="s">
        <v>462</v>
      </c>
      <c r="B94" s="49" t="str">
        <f>IFERROR(__xludf.DUMMYFUNCTION("REGEXREPLACE(
 REGEXREPLACE(A94,""^cost\."",""""),
 ""\.[^.]+\.[^.]+$"",
 """"
)"),"building.chicken@2")</f>
        <v>building.chicken@2</v>
      </c>
      <c r="C94" s="49" t="str">
        <f t="array" ref="C94">_xlfn.XLOOKUP(
 B94,
 tblTargets[TargetID],
 tblTargets[DisplayName],
 ""
)</f>
        <v>Chicken Lv 2</v>
      </c>
      <c r="D94" s="49" t="str">
        <f t="array" ref="D94">_xlfn.XLOOKUP(
 B94,
 tblTargets[TargetID],
 tblTargets[TargetType],
 ""
)</f>
        <v>BUILDING</v>
      </c>
      <c r="E94" s="49" t="s">
        <v>278</v>
      </c>
      <c r="F94" s="49">
        <v>1.0</v>
      </c>
      <c r="G94" s="49">
        <f t="array" ref="G94">_xlfn.XLOOKUP(
 A94,
 tblCost[RequirementID],
 tblCost[QuantityRequired],
 ""
)</f>
        <v>600</v>
      </c>
      <c r="H94" s="49">
        <f t="array" ref="H94">IF(
 OR(
  LEFT(B94,15)="state.character",
  RIGHT(B94,6)=".maxed"
 ),
 0,
 LET(
  sort,
   _xlfn.XLOOKUP(
    B94,
    tblChecklist[TargetID],
    tblChecklist[PlayerSort],
    0
   ),
  IF(sort=0,500,sort)
 )
)</f>
        <v>56</v>
      </c>
      <c r="I94" s="49" t="str">
        <f t="array" ref="I94">_xlfn.XLOOKUP(
 B94,
 tblTargetStatus[TargetID],
 tblTargetStatus[Status],
 ""
)</f>
        <v>BLOCKED</v>
      </c>
      <c r="J94" s="45" t="b">
        <v>0</v>
      </c>
    </row>
    <row r="95" ht="14.25" hidden="1" customHeight="1">
      <c r="A95" s="49" t="s">
        <v>474</v>
      </c>
      <c r="B95" s="49" t="str">
        <f>IFERROR(__xludf.DUMMYFUNCTION("REGEXREPLACE(
 REGEXREPLACE(A95,""^cost\."",""""),
 ""\.[^.]+\.[^.]+$"",
 """"
)"),"building.chicken@2")</f>
        <v>building.chicken@2</v>
      </c>
      <c r="C95" s="49" t="str">
        <f t="array" ref="C95">_xlfn.XLOOKUP(
 B95,
 tblTargets[TargetID],
 tblTargets[DisplayName],
 ""
)</f>
        <v>Chicken Lv 2</v>
      </c>
      <c r="D95" s="49" t="str">
        <f t="array" ref="D95">_xlfn.XLOOKUP(
 B95,
 tblTargets[TargetID],
 tblTargets[TargetType],
 ""
)</f>
        <v>BUILDING</v>
      </c>
      <c r="E95" s="49" t="s">
        <v>119</v>
      </c>
      <c r="F95" s="49">
        <v>1.0</v>
      </c>
      <c r="G95" s="49">
        <f t="array" ref="G95">_xlfn.XLOOKUP(
 A95,
 tblCost[RequirementID],
 tblCost[QuantityRequired],
 ""
)</f>
        <v>600</v>
      </c>
      <c r="H95" s="49">
        <f t="array" ref="H95">IF(
 OR(
  LEFT(B95,15)="state.character",
  RIGHT(B95,6)=".maxed"
 ),
 0,
 LET(
  sort,
   _xlfn.XLOOKUP(
    B95,
    tblChecklist[TargetID],
    tblChecklist[PlayerSort],
    0
   ),
  IF(sort=0,500,sort)
 )
)</f>
        <v>56</v>
      </c>
      <c r="I95" s="49" t="str">
        <f t="array" ref="I95">_xlfn.XLOOKUP(
 B95,
 tblTargetStatus[TargetID],
 tblTargetStatus[Status],
 ""
)</f>
        <v>BLOCKED</v>
      </c>
      <c r="J95" s="45" t="b">
        <v>0</v>
      </c>
    </row>
    <row r="96" ht="14.25" hidden="1" customHeight="1">
      <c r="A96" s="49" t="s">
        <v>476</v>
      </c>
      <c r="B96" s="49" t="str">
        <f>IFERROR(__xludf.DUMMYFUNCTION("REGEXREPLACE(
 REGEXREPLACE(A96,""^cost\."",""""),
 ""\.[^.]+\.[^.]+$"",
 """"
)"),"building.chicken@2")</f>
        <v>building.chicken@2</v>
      </c>
      <c r="C96" s="49" t="str">
        <f t="array" ref="C96">_xlfn.XLOOKUP(
 B96,
 tblTargets[TargetID],
 tblTargets[DisplayName],
 ""
)</f>
        <v>Chicken Lv 2</v>
      </c>
      <c r="D96" s="49" t="str">
        <f t="array" ref="D96">_xlfn.XLOOKUP(
 B96,
 tblTargets[TargetID],
 tblTargets[TargetType],
 ""
)</f>
        <v>BUILDING</v>
      </c>
      <c r="E96" s="49" t="s">
        <v>452</v>
      </c>
      <c r="F96" s="49">
        <v>1.0</v>
      </c>
      <c r="G96" s="49">
        <f t="array" ref="G96">_xlfn.XLOOKUP(
 A96,
 tblCost[RequirementID],
 tblCost[QuantityRequired],
 ""
)</f>
        <v>1</v>
      </c>
      <c r="H96" s="49">
        <f t="array" ref="H96">IF(
 OR(
  LEFT(B96,15)="state.character",
  RIGHT(B96,6)=".maxed"
 ),
 0,
 LET(
  sort,
   _xlfn.XLOOKUP(
    B96,
    tblChecklist[TargetID],
    tblChecklist[PlayerSort],
    0
   ),
  IF(sort=0,500,sort)
 )
)</f>
        <v>56</v>
      </c>
      <c r="I96" s="49" t="str">
        <f t="array" ref="I96">_xlfn.XLOOKUP(
 B96,
 tblTargetStatus[TargetID],
 tblTargetStatus[Status],
 ""
)</f>
        <v>BLOCKED</v>
      </c>
      <c r="J96" s="45" t="b">
        <v>0</v>
      </c>
    </row>
    <row r="97" ht="14.25" hidden="1" customHeight="1">
      <c r="A97" s="49" t="s">
        <v>477</v>
      </c>
      <c r="B97" s="49" t="str">
        <f>IFERROR(__xludf.DUMMYFUNCTION("REGEXREPLACE(
 REGEXREPLACE(A97,""^cost\."",""""),
 ""\.[^.]+\.[^.]+$"",
 """"
)"),"building.chicken@2")</f>
        <v>building.chicken@2</v>
      </c>
      <c r="C97" s="49" t="str">
        <f t="array" ref="C97">_xlfn.XLOOKUP(
 B97,
 tblTargets[TargetID],
 tblTargets[DisplayName],
 ""
)</f>
        <v>Chicken Lv 2</v>
      </c>
      <c r="D97" s="49" t="str">
        <f t="array" ref="D97">_xlfn.XLOOKUP(
 B97,
 tblTargets[TargetID],
 tblTargets[TargetType],
 ""
)</f>
        <v>BUILDING</v>
      </c>
      <c r="E97" s="49" t="s">
        <v>6</v>
      </c>
      <c r="F97" s="49">
        <v>1.0</v>
      </c>
      <c r="G97" s="49">
        <f t="array" ref="G97">_xlfn.XLOOKUP(
 A97,
 tblCost[RequirementID],
 tblCost[QuantityRequired],
 ""
)</f>
        <v>3</v>
      </c>
      <c r="H97" s="49">
        <f t="array" ref="H97">IF(
 OR(
  LEFT(B97,15)="state.character",
  RIGHT(B97,6)=".maxed"
 ),
 0,
 LET(
  sort,
   _xlfn.XLOOKUP(
    B97,
    tblChecklist[TargetID],
    tblChecklist[PlayerSort],
    0
   ),
  IF(sort=0,500,sort)
 )
)</f>
        <v>56</v>
      </c>
      <c r="I97" s="49" t="str">
        <f t="array" ref="I97">_xlfn.XLOOKUP(
 B97,
 tblTargetStatus[TargetID],
 tblTargetStatus[Status],
 ""
)</f>
        <v>BLOCKED</v>
      </c>
      <c r="J97" s="45" t="b">
        <v>0</v>
      </c>
    </row>
    <row r="98" ht="14.25" hidden="1" customHeight="1">
      <c r="A98" s="49" t="s">
        <v>479</v>
      </c>
      <c r="B98" s="49" t="str">
        <f>IFERROR(__xludf.DUMMYFUNCTION("REGEXREPLACE(
 REGEXREPLACE(A98,""^cost\."",""""),
 ""\.[^.]+\.[^.]+$"",
 """"
)"),"building.chicken@2")</f>
        <v>building.chicken@2</v>
      </c>
      <c r="C98" s="49" t="str">
        <f t="array" ref="C98">_xlfn.XLOOKUP(
 B98,
 tblTargets[TargetID],
 tblTargets[DisplayName],
 ""
)</f>
        <v>Chicken Lv 2</v>
      </c>
      <c r="D98" s="49" t="str">
        <f t="array" ref="D98">_xlfn.XLOOKUP(
 B98,
 tblTargets[TargetID],
 tblTargets[TargetType],
 ""
)</f>
        <v>BUILDING</v>
      </c>
      <c r="E98" s="49" t="s">
        <v>237</v>
      </c>
      <c r="F98" s="49">
        <v>1.0</v>
      </c>
      <c r="G98" s="49">
        <f t="array" ref="G98">_xlfn.XLOOKUP(
 A98,
 tblCost[RequirementID],
 tblCost[QuantityRequired],
 ""
)</f>
        <v>300</v>
      </c>
      <c r="H98" s="49">
        <f t="array" ref="H98">IF(
 OR(
  LEFT(B98,15)="state.character",
  RIGHT(B98,6)=".maxed"
 ),
 0,
 LET(
  sort,
   _xlfn.XLOOKUP(
    B98,
    tblChecklist[TargetID],
    tblChecklist[PlayerSort],
    0
   ),
  IF(sort=0,500,sort)
 )
)</f>
        <v>56</v>
      </c>
      <c r="I98" s="49" t="str">
        <f t="array" ref="I98">_xlfn.XLOOKUP(
 B98,
 tblTargetStatus[TargetID],
 tblTargetStatus[Status],
 ""
)</f>
        <v>BLOCKED</v>
      </c>
      <c r="J98" s="45" t="b">
        <v>0</v>
      </c>
    </row>
    <row r="99" ht="14.25" hidden="1" customHeight="1">
      <c r="A99" s="49" t="s">
        <v>481</v>
      </c>
      <c r="B99" s="49" t="str">
        <f>IFERROR(__xludf.DUMMYFUNCTION("REGEXREPLACE(
 REGEXREPLACE(A99,""^cost\."",""""),
 ""\.[^.]+\.[^.]+$"",
 """"
)"),"building.chicken@2")</f>
        <v>building.chicken@2</v>
      </c>
      <c r="C99" s="49" t="str">
        <f t="array" ref="C99">_xlfn.XLOOKUP(
 B99,
 tblTargets[TargetID],
 tblTargets[DisplayName],
 ""
)</f>
        <v>Chicken Lv 2</v>
      </c>
      <c r="D99" s="49" t="str">
        <f t="array" ref="D99">_xlfn.XLOOKUP(
 B99,
 tblTargets[TargetID],
 tblTargets[TargetType],
 ""
)</f>
        <v>BUILDING</v>
      </c>
      <c r="E99" s="49" t="s">
        <v>158</v>
      </c>
      <c r="F99" s="49">
        <v>1.0</v>
      </c>
      <c r="G99" s="49">
        <f t="array" ref="G99">_xlfn.XLOOKUP(
 A99,
 tblCost[RequirementID],
 tblCost[QuantityRequired],
 ""
)</f>
        <v>10</v>
      </c>
      <c r="H99" s="49">
        <f t="array" ref="H99">IF(
 OR(
  LEFT(B99,15)="state.character",
  RIGHT(B99,6)=".maxed"
 ),
 0,
 LET(
  sort,
   _xlfn.XLOOKUP(
    B99,
    tblChecklist[TargetID],
    tblChecklist[PlayerSort],
    0
   ),
  IF(sort=0,500,sort)
 )
)</f>
        <v>56</v>
      </c>
      <c r="I99" s="49" t="str">
        <f t="array" ref="I99">_xlfn.XLOOKUP(
 B99,
 tblTargetStatus[TargetID],
 tblTargetStatus[Status],
 ""
)</f>
        <v>BLOCKED</v>
      </c>
      <c r="J99" s="45" t="b">
        <v>0</v>
      </c>
    </row>
    <row r="100" ht="14.25" hidden="1" customHeight="1">
      <c r="A100" s="49" t="s">
        <v>484</v>
      </c>
      <c r="B100" s="49" t="str">
        <f>IFERROR(__xludf.DUMMYFUNCTION("REGEXREPLACE(
 REGEXREPLACE(A100,""^cost\."",""""),
 ""\.[^.]+\.[^.]+$"",
 """"
)"),"building.chicken@2")</f>
        <v>building.chicken@2</v>
      </c>
      <c r="C100" s="49" t="str">
        <f t="array" ref="C100">_xlfn.XLOOKUP(
 B100,
 tblTargets[TargetID],
 tblTargets[DisplayName],
 ""
)</f>
        <v>Chicken Lv 2</v>
      </c>
      <c r="D100" s="49" t="str">
        <f t="array" ref="D100">_xlfn.XLOOKUP(
 B100,
 tblTargets[TargetID],
 tblTargets[TargetType],
 ""
)</f>
        <v>BUILDING</v>
      </c>
      <c r="E100" s="49" t="s">
        <v>461</v>
      </c>
      <c r="F100" s="49">
        <v>1.0</v>
      </c>
      <c r="G100" s="49">
        <f t="array" ref="G100">_xlfn.XLOOKUP(
 A100,
 tblCost[RequirementID],
 tblCost[QuantityRequired],
 ""
)</f>
        <v>20</v>
      </c>
      <c r="H100" s="49">
        <f t="array" ref="H100">IF(
 OR(
  LEFT(B100,15)="state.character",
  RIGHT(B100,6)=".maxed"
 ),
 0,
 LET(
  sort,
   _xlfn.XLOOKUP(
    B100,
    tblChecklist[TargetID],
    tblChecklist[PlayerSort],
    0
   ),
  IF(sort=0,500,sort)
 )
)</f>
        <v>56</v>
      </c>
      <c r="I100" s="49" t="str">
        <f t="array" ref="I100">_xlfn.XLOOKUP(
 B100,
 tblTargetStatus[TargetID],
 tblTargetStatus[Status],
 ""
)</f>
        <v>BLOCKED</v>
      </c>
      <c r="J100" s="45" t="b">
        <v>0</v>
      </c>
    </row>
    <row r="101" ht="14.25" hidden="1" customHeight="1">
      <c r="A101" s="49" t="s">
        <v>499</v>
      </c>
      <c r="B101" s="49" t="str">
        <f>IFERROR(__xludf.DUMMYFUNCTION("REGEXREPLACE(
 REGEXREPLACE(A101,""^cost\."",""""),
 ""\.[^.]+\.[^.]+$"",
 """"
)"),"building.dairy@1")</f>
        <v>building.dairy@1</v>
      </c>
      <c r="C101" s="49" t="str">
        <f t="array" ref="C101">_xlfn.XLOOKUP(
 B101,
 tblTargets[TargetID],
 tblTargets[DisplayName],
 ""
)</f>
        <v>Dairy Lv 1</v>
      </c>
      <c r="D101" s="49" t="str">
        <f t="array" ref="D101">_xlfn.XLOOKUP(
 B101,
 tblTargets[TargetID],
 tblTargets[TargetType],
 ""
)</f>
        <v>BUILDING</v>
      </c>
      <c r="E101" s="49" t="s">
        <v>278</v>
      </c>
      <c r="F101" s="49">
        <v>1.0</v>
      </c>
      <c r="G101" s="49">
        <f t="array" ref="G101">_xlfn.XLOOKUP(
 A101,
 tblCost[RequirementID],
 tblCost[QuantityRequired],
 ""
)</f>
        <v>700</v>
      </c>
      <c r="H101" s="49">
        <f t="array" ref="H101">IF(
 OR(
  LEFT(B101,15)="state.character",
  RIGHT(B101,6)=".maxed"
 ),
 0,
 LET(
  sort,
   _xlfn.XLOOKUP(
    B101,
    tblChecklist[TargetID],
    tblChecklist[PlayerSort],
    0
   ),
  IF(sort=0,500,sort)
 )
)</f>
        <v>77</v>
      </c>
      <c r="I101" s="49" t="str">
        <f t="array" ref="I101">_xlfn.XLOOKUP(
 B101,
 tblTargetStatus[TargetID],
 tblTargetStatus[Status],
 ""
)</f>
        <v>BLOCKED</v>
      </c>
      <c r="J101" s="45" t="b">
        <v>0</v>
      </c>
    </row>
    <row r="102" ht="14.25" hidden="1" customHeight="1">
      <c r="A102" s="49" t="s">
        <v>501</v>
      </c>
      <c r="B102" s="49" t="str">
        <f>IFERROR(__xludf.DUMMYFUNCTION("REGEXREPLACE(
 REGEXREPLACE(A102,""^cost\."",""""),
 ""\.[^.]+\.[^.]+$"",
 """"
)"),"building.dairy@1")</f>
        <v>building.dairy@1</v>
      </c>
      <c r="C102" s="49" t="str">
        <f t="array" ref="C102">_xlfn.XLOOKUP(
 B102,
 tblTargets[TargetID],
 tblTargets[DisplayName],
 ""
)</f>
        <v>Dairy Lv 1</v>
      </c>
      <c r="D102" s="49" t="str">
        <f t="array" ref="D102">_xlfn.XLOOKUP(
 B102,
 tblTargets[TargetID],
 tblTargets[TargetType],
 ""
)</f>
        <v>BUILDING</v>
      </c>
      <c r="E102" s="49" t="s">
        <v>119</v>
      </c>
      <c r="F102" s="49">
        <v>1.0</v>
      </c>
      <c r="G102" s="49">
        <f t="array" ref="G102">_xlfn.XLOOKUP(
 A102,
 tblCost[RequirementID],
 tblCost[QuantityRequired],
 ""
)</f>
        <v>1000</v>
      </c>
      <c r="H102" s="49">
        <f t="array" ref="H102">IF(
 OR(
  LEFT(B102,15)="state.character",
  RIGHT(B102,6)=".maxed"
 ),
 0,
 LET(
  sort,
   _xlfn.XLOOKUP(
    B102,
    tblChecklist[TargetID],
    tblChecklist[PlayerSort],
    0
   ),
  IF(sort=0,500,sort)
 )
)</f>
        <v>77</v>
      </c>
      <c r="I102" s="49" t="str">
        <f t="array" ref="I102">_xlfn.XLOOKUP(
 B102,
 tblTargetStatus[TargetID],
 tblTargetStatus[Status],
 ""
)</f>
        <v>BLOCKED</v>
      </c>
      <c r="J102" s="45" t="b">
        <v>0</v>
      </c>
    </row>
    <row r="103" ht="14.25" hidden="1" customHeight="1">
      <c r="A103" s="49" t="s">
        <v>503</v>
      </c>
      <c r="B103" s="49" t="str">
        <f>IFERROR(__xludf.DUMMYFUNCTION("REGEXREPLACE(
 REGEXREPLACE(A103,""^cost\."",""""),
 ""\.[^.]+\.[^.]+$"",
 """"
)"),"building.dairy@1")</f>
        <v>building.dairy@1</v>
      </c>
      <c r="C103" s="49" t="str">
        <f t="array" ref="C103">_xlfn.XLOOKUP(
 B103,
 tblTargets[TargetID],
 tblTargets[DisplayName],
 ""
)</f>
        <v>Dairy Lv 1</v>
      </c>
      <c r="D103" s="49" t="str">
        <f t="array" ref="D103">_xlfn.XLOOKUP(
 B103,
 tblTargets[TargetID],
 tblTargets[TargetType],
 ""
)</f>
        <v>BUILDING</v>
      </c>
      <c r="E103" s="49" t="s">
        <v>360</v>
      </c>
      <c r="F103" s="49">
        <v>1.0</v>
      </c>
      <c r="G103" s="49">
        <f t="array" ref="G103">_xlfn.XLOOKUP(
 A103,
 tblCost[RequirementID],
 tblCost[QuantityRequired],
 ""
)</f>
        <v>40</v>
      </c>
      <c r="H103" s="49">
        <f t="array" ref="H103">IF(
 OR(
  LEFT(B103,15)="state.character",
  RIGHT(B103,6)=".maxed"
 ),
 0,
 LET(
  sort,
   _xlfn.XLOOKUP(
    B103,
    tblChecklist[TargetID],
    tblChecklist[PlayerSort],
    0
   ),
  IF(sort=0,500,sort)
 )
)</f>
        <v>77</v>
      </c>
      <c r="I103" s="49" t="str">
        <f t="array" ref="I103">_xlfn.XLOOKUP(
 B103,
 tblTargetStatus[TargetID],
 tblTargetStatus[Status],
 ""
)</f>
        <v>BLOCKED</v>
      </c>
      <c r="J103" s="45" t="b">
        <v>0</v>
      </c>
    </row>
    <row r="104" ht="14.25" hidden="1" customHeight="1">
      <c r="A104" s="49" t="s">
        <v>504</v>
      </c>
      <c r="B104" s="49" t="str">
        <f>IFERROR(__xludf.DUMMYFUNCTION("REGEXREPLACE(
 REGEXREPLACE(A104,""^cost\."",""""),
 ""\.[^.]+\.[^.]+$"",
 """"
)"),"building.dairy@1")</f>
        <v>building.dairy@1</v>
      </c>
      <c r="C104" s="49" t="str">
        <f t="array" ref="C104">_xlfn.XLOOKUP(
 B104,
 tblTargets[TargetID],
 tblTargets[DisplayName],
 ""
)</f>
        <v>Dairy Lv 1</v>
      </c>
      <c r="D104" s="49" t="str">
        <f t="array" ref="D104">_xlfn.XLOOKUP(
 B104,
 tblTargets[TargetID],
 tblTargets[TargetType],
 ""
)</f>
        <v>BUILDING</v>
      </c>
      <c r="E104" s="49" t="s">
        <v>506</v>
      </c>
      <c r="F104" s="49">
        <v>1.0</v>
      </c>
      <c r="G104" s="49">
        <f t="array" ref="G104">_xlfn.XLOOKUP(
 A104,
 tblCost[RequirementID],
 tblCost[QuantityRequired],
 ""
)</f>
        <v>1</v>
      </c>
      <c r="H104" s="49">
        <f t="array" ref="H104">IF(
 OR(
  LEFT(B104,15)="state.character",
  RIGHT(B104,6)=".maxed"
 ),
 0,
 LET(
  sort,
   _xlfn.XLOOKUP(
    B104,
    tblChecklist[TargetID],
    tblChecklist[PlayerSort],
    0
   ),
  IF(sort=0,500,sort)
 )
)</f>
        <v>77</v>
      </c>
      <c r="I104" s="49" t="str">
        <f t="array" ref="I104">_xlfn.XLOOKUP(
 B104,
 tblTargetStatus[TargetID],
 tblTargetStatus[Status],
 ""
)</f>
        <v>BLOCKED</v>
      </c>
      <c r="J104" s="45" t="b">
        <v>0</v>
      </c>
    </row>
    <row r="105" ht="14.25" hidden="1" customHeight="1">
      <c r="A105" s="49" t="s">
        <v>507</v>
      </c>
      <c r="B105" s="49" t="str">
        <f>IFERROR(__xludf.DUMMYFUNCTION("REGEXREPLACE(
 REGEXREPLACE(A105,""^cost\."",""""),
 ""\.[^.]+\.[^.]+$"",
 """"
)"),"building.dairy@1")</f>
        <v>building.dairy@1</v>
      </c>
      <c r="C105" s="49" t="str">
        <f t="array" ref="C105">_xlfn.XLOOKUP(
 B105,
 tblTargets[TargetID],
 tblTargets[DisplayName],
 ""
)</f>
        <v>Dairy Lv 1</v>
      </c>
      <c r="D105" s="49" t="str">
        <f t="array" ref="D105">_xlfn.XLOOKUP(
 B105,
 tblTargets[TargetID],
 tblTargets[TargetType],
 ""
)</f>
        <v>BUILDING</v>
      </c>
      <c r="E105" s="49" t="s">
        <v>508</v>
      </c>
      <c r="F105" s="49">
        <v>1.0</v>
      </c>
      <c r="G105" s="49">
        <f t="array" ref="G105">_xlfn.XLOOKUP(
 A105,
 tblCost[RequirementID],
 tblCost[QuantityRequired],
 ""
)</f>
        <v>20</v>
      </c>
      <c r="H105" s="49">
        <f t="array" ref="H105">IF(
 OR(
  LEFT(B105,15)="state.character",
  RIGHT(B105,6)=".maxed"
 ),
 0,
 LET(
  sort,
   _xlfn.XLOOKUP(
    B105,
    tblChecklist[TargetID],
    tblChecklist[PlayerSort],
    0
   ),
  IF(sort=0,500,sort)
 )
)</f>
        <v>77</v>
      </c>
      <c r="I105" s="49" t="str">
        <f t="array" ref="I105">_xlfn.XLOOKUP(
 B105,
 tblTargetStatus[TargetID],
 tblTargetStatus[Status],
 ""
)</f>
        <v>BLOCKED</v>
      </c>
      <c r="J105" s="45" t="b">
        <v>0</v>
      </c>
    </row>
    <row r="106" ht="14.25" hidden="1" customHeight="1">
      <c r="A106" s="49" t="s">
        <v>510</v>
      </c>
      <c r="B106" s="49" t="str">
        <f>IFERROR(__xludf.DUMMYFUNCTION("REGEXREPLACE(
 REGEXREPLACE(A106,""^cost\."",""""),
 ""\.[^.]+\.[^.]+$"",
 """"
)"),"building.dairy@1")</f>
        <v>building.dairy@1</v>
      </c>
      <c r="C106" s="49" t="str">
        <f t="array" ref="C106">_xlfn.XLOOKUP(
 B106,
 tblTargets[TargetID],
 tblTargets[DisplayName],
 ""
)</f>
        <v>Dairy Lv 1</v>
      </c>
      <c r="D106" s="49" t="str">
        <f t="array" ref="D106">_xlfn.XLOOKUP(
 B106,
 tblTargets[TargetID],
 tblTargets[TargetType],
 ""
)</f>
        <v>BUILDING</v>
      </c>
      <c r="E106" s="49" t="s">
        <v>6</v>
      </c>
      <c r="F106" s="49">
        <v>1.0</v>
      </c>
      <c r="G106" s="49">
        <f t="array" ref="G106">_xlfn.XLOOKUP(
 A106,
 tblCost[RequirementID],
 tblCost[QuantityRequired],
 ""
)</f>
        <v>5</v>
      </c>
      <c r="H106" s="49">
        <f t="array" ref="H106">IF(
 OR(
  LEFT(B106,15)="state.character",
  RIGHT(B106,6)=".maxed"
 ),
 0,
 LET(
  sort,
   _xlfn.XLOOKUP(
    B106,
    tblChecklist[TargetID],
    tblChecklist[PlayerSort],
    0
   ),
  IF(sort=0,500,sort)
 )
)</f>
        <v>77</v>
      </c>
      <c r="I106" s="49" t="str">
        <f t="array" ref="I106">_xlfn.XLOOKUP(
 B106,
 tblTargetStatus[TargetID],
 tblTargetStatus[Status],
 ""
)</f>
        <v>BLOCKED</v>
      </c>
      <c r="J106" s="45" t="b">
        <v>0</v>
      </c>
    </row>
    <row r="107" ht="14.25" hidden="1" customHeight="1">
      <c r="A107" s="49" t="s">
        <v>512</v>
      </c>
      <c r="B107" s="49" t="str">
        <f>IFERROR(__xludf.DUMMYFUNCTION("REGEXREPLACE(
 REGEXREPLACE(A107,""^cost\."",""""),
 ""\.[^.]+\.[^.]+$"",
 """"
)"),"building.dairy@1")</f>
        <v>building.dairy@1</v>
      </c>
      <c r="C107" s="49" t="str">
        <f t="array" ref="C107">_xlfn.XLOOKUP(
 B107,
 tblTargets[TargetID],
 tblTargets[DisplayName],
 ""
)</f>
        <v>Dairy Lv 1</v>
      </c>
      <c r="D107" s="49" t="str">
        <f t="array" ref="D107">_xlfn.XLOOKUP(
 B107,
 tblTargets[TargetID],
 tblTargets[TargetType],
 ""
)</f>
        <v>BUILDING</v>
      </c>
      <c r="E107" s="49" t="s">
        <v>237</v>
      </c>
      <c r="F107" s="49">
        <v>1.0</v>
      </c>
      <c r="G107" s="49">
        <f t="array" ref="G107">_xlfn.XLOOKUP(
 A107,
 tblCost[RequirementID],
 tblCost[QuantityRequired],
 ""
)</f>
        <v>300</v>
      </c>
      <c r="H107" s="49">
        <f t="array" ref="H107">IF(
 OR(
  LEFT(B107,15)="state.character",
  RIGHT(B107,6)=".maxed"
 ),
 0,
 LET(
  sort,
   _xlfn.XLOOKUP(
    B107,
    tblChecklist[TargetID],
    tblChecklist[PlayerSort],
    0
   ),
  IF(sort=0,500,sort)
 )
)</f>
        <v>77</v>
      </c>
      <c r="I107" s="49" t="str">
        <f t="array" ref="I107">_xlfn.XLOOKUP(
 B107,
 tblTargetStatus[TargetID],
 tblTargetStatus[Status],
 ""
)</f>
        <v>BLOCKED</v>
      </c>
      <c r="J107" s="45" t="b">
        <v>0</v>
      </c>
    </row>
    <row r="108" ht="14.25" hidden="1" customHeight="1">
      <c r="A108" s="49" t="s">
        <v>514</v>
      </c>
      <c r="B108" s="49" t="str">
        <f>IFERROR(__xludf.DUMMYFUNCTION("REGEXREPLACE(
 REGEXREPLACE(A108,""^cost\."",""""),
 ""\.[^.]+\.[^.]+$"",
 """"
)"),"building.dairy@1")</f>
        <v>building.dairy@1</v>
      </c>
      <c r="C108" s="49" t="str">
        <f t="array" ref="C108">_xlfn.XLOOKUP(
 B108,
 tblTargets[TargetID],
 tblTargets[DisplayName],
 ""
)</f>
        <v>Dairy Lv 1</v>
      </c>
      <c r="D108" s="49" t="str">
        <f t="array" ref="D108">_xlfn.XLOOKUP(
 B108,
 tblTargets[TargetID],
 tblTargets[TargetType],
 ""
)</f>
        <v>BUILDING</v>
      </c>
      <c r="E108" s="49" t="s">
        <v>158</v>
      </c>
      <c r="F108" s="49">
        <v>1.0</v>
      </c>
      <c r="G108" s="49">
        <f t="array" ref="G108">_xlfn.XLOOKUP(
 A108,
 tblCost[RequirementID],
 tblCost[QuantityRequired],
 ""
)</f>
        <v>20</v>
      </c>
      <c r="H108" s="49">
        <f t="array" ref="H108">IF(
 OR(
  LEFT(B108,15)="state.character",
  RIGHT(B108,6)=".maxed"
 ),
 0,
 LET(
  sort,
   _xlfn.XLOOKUP(
    B108,
    tblChecklist[TargetID],
    tblChecklist[PlayerSort],
    0
   ),
  IF(sort=0,500,sort)
 )
)</f>
        <v>77</v>
      </c>
      <c r="I108" s="49" t="str">
        <f t="array" ref="I108">_xlfn.XLOOKUP(
 B108,
 tblTargetStatus[TargetID],
 tblTargetStatus[Status],
 ""
)</f>
        <v>BLOCKED</v>
      </c>
      <c r="J108" s="45" t="b">
        <v>0</v>
      </c>
    </row>
    <row r="109" ht="14.25" hidden="1" customHeight="1">
      <c r="A109" s="49" t="s">
        <v>517</v>
      </c>
      <c r="B109" s="49" t="str">
        <f>IFERROR(__xludf.DUMMYFUNCTION("REGEXREPLACE(
 REGEXREPLACE(A109,""^cost\."",""""),
 ""\.[^.]+\.[^.]+$"",
 """"
)"),"building.dairy@1")</f>
        <v>building.dairy@1</v>
      </c>
      <c r="C109" s="49" t="str">
        <f t="array" ref="C109">_xlfn.XLOOKUP(
 B109,
 tblTargets[TargetID],
 tblTargets[DisplayName],
 ""
)</f>
        <v>Dairy Lv 1</v>
      </c>
      <c r="D109" s="49" t="str">
        <f t="array" ref="D109">_xlfn.XLOOKUP(
 B109,
 tblTargets[TargetID],
 tblTargets[TargetType],
 ""
)</f>
        <v>BUILDING</v>
      </c>
      <c r="E109" s="49" t="s">
        <v>461</v>
      </c>
      <c r="F109" s="49">
        <v>1.0</v>
      </c>
      <c r="G109" s="49">
        <f t="array" ref="G109">_xlfn.XLOOKUP(
 A109,
 tblCost[RequirementID],
 tblCost[QuantityRequired],
 ""
)</f>
        <v>100</v>
      </c>
      <c r="H109" s="49">
        <f t="array" ref="H109">IF(
 OR(
  LEFT(B109,15)="state.character",
  RIGHT(B109,6)=".maxed"
 ),
 0,
 LET(
  sort,
   _xlfn.XLOOKUP(
    B109,
    tblChecklist[TargetID],
    tblChecklist[PlayerSort],
    0
   ),
  IF(sort=0,500,sort)
 )
)</f>
        <v>77</v>
      </c>
      <c r="I109" s="49" t="str">
        <f t="array" ref="I109">_xlfn.XLOOKUP(
 B109,
 tblTargetStatus[TargetID],
 tblTargetStatus[Status],
 ""
)</f>
        <v>BLOCKED</v>
      </c>
      <c r="J109" s="45" t="b">
        <v>0</v>
      </c>
    </row>
    <row r="110" ht="14.25" hidden="1" customHeight="1">
      <c r="A110" s="49" t="s">
        <v>519</v>
      </c>
      <c r="B110" s="49" t="str">
        <f>IFERROR(__xludf.DUMMYFUNCTION("REGEXREPLACE(
 REGEXREPLACE(A110,""^cost\."",""""),
 ""\.[^.]+\.[^.]+$"",
 """"
)"),"building.dairy@2")</f>
        <v>building.dairy@2</v>
      </c>
      <c r="C110" s="49" t="str">
        <f t="array" ref="C110">_xlfn.XLOOKUP(
 B110,
 tblTargets[TargetID],
 tblTargets[DisplayName],
 ""
)</f>
        <v>Dairy Lv 2</v>
      </c>
      <c r="D110" s="49" t="str">
        <f t="array" ref="D110">_xlfn.XLOOKUP(
 B110,
 tblTargets[TargetID],
 tblTargets[TargetType],
 ""
)</f>
        <v>BUILDING</v>
      </c>
      <c r="E110" s="49" t="s">
        <v>520</v>
      </c>
      <c r="F110" s="49">
        <v>1.0</v>
      </c>
      <c r="G110" s="49">
        <f t="array" ref="G110">_xlfn.XLOOKUP(
 A110,
 tblCost[RequirementID],
 tblCost[QuantityRequired],
 ""
)</f>
        <v>20</v>
      </c>
      <c r="H110" s="49">
        <f t="array" ref="H110">IF(
 OR(
  LEFT(B110,15)="state.character",
  RIGHT(B110,6)=".maxed"
 ),
 0,
 LET(
  sort,
   _xlfn.XLOOKUP(
    B110,
    tblChecklist[TargetID],
    tblChecklist[PlayerSort],
    0
   ),
  IF(sort=0,500,sort)
 )
)</f>
        <v>78</v>
      </c>
      <c r="I110" s="49" t="str">
        <f t="array" ref="I110">_xlfn.XLOOKUP(
 B110,
 tblTargetStatus[TargetID],
 tblTargetStatus[Status],
 ""
)</f>
        <v>BLOCKED</v>
      </c>
      <c r="J110" s="45" t="b">
        <v>0</v>
      </c>
    </row>
    <row r="111" ht="14.25" hidden="1" customHeight="1">
      <c r="A111" s="49" t="s">
        <v>522</v>
      </c>
      <c r="B111" s="49" t="str">
        <f>IFERROR(__xludf.DUMMYFUNCTION("REGEXREPLACE(
 REGEXREPLACE(A111,""^cost\."",""""),
 ""\.[^.]+\.[^.]+$"",
 """"
)"),"building.dairy@2")</f>
        <v>building.dairy@2</v>
      </c>
      <c r="C111" s="49" t="str">
        <f t="array" ref="C111">_xlfn.XLOOKUP(
 B111,
 tblTargets[TargetID],
 tblTargets[DisplayName],
 ""
)</f>
        <v>Dairy Lv 2</v>
      </c>
      <c r="D111" s="49" t="str">
        <f t="array" ref="D111">_xlfn.XLOOKUP(
 B111,
 tblTargets[TargetID],
 tblTargets[TargetType],
 ""
)</f>
        <v>BUILDING</v>
      </c>
      <c r="E111" s="49" t="s">
        <v>278</v>
      </c>
      <c r="F111" s="49">
        <v>1.0</v>
      </c>
      <c r="G111" s="49">
        <f t="array" ref="G111">_xlfn.XLOOKUP(
 A111,
 tblCost[RequirementID],
 tblCost[QuantityRequired],
 ""
)</f>
        <v>900</v>
      </c>
      <c r="H111" s="49">
        <f t="array" ref="H111">IF(
 OR(
  LEFT(B111,15)="state.character",
  RIGHT(B111,6)=".maxed"
 ),
 0,
 LET(
  sort,
   _xlfn.XLOOKUP(
    B111,
    tblChecklist[TargetID],
    tblChecklist[PlayerSort],
    0
   ),
  IF(sort=0,500,sort)
 )
)</f>
        <v>78</v>
      </c>
      <c r="I111" s="49" t="str">
        <f t="array" ref="I111">_xlfn.XLOOKUP(
 B111,
 tblTargetStatus[TargetID],
 tblTargetStatus[Status],
 ""
)</f>
        <v>BLOCKED</v>
      </c>
      <c r="J111" s="45" t="b">
        <v>0</v>
      </c>
    </row>
    <row r="112" ht="14.25" hidden="1" customHeight="1">
      <c r="A112" s="49" t="s">
        <v>524</v>
      </c>
      <c r="B112" s="49" t="str">
        <f>IFERROR(__xludf.DUMMYFUNCTION("REGEXREPLACE(
 REGEXREPLACE(A112,""^cost\."",""""),
 ""\.[^.]+\.[^.]+$"",
 """"
)"),"building.dairy@2")</f>
        <v>building.dairy@2</v>
      </c>
      <c r="C112" s="49" t="str">
        <f t="array" ref="C112">_xlfn.XLOOKUP(
 B112,
 tblTargets[TargetID],
 tblTargets[DisplayName],
 ""
)</f>
        <v>Dairy Lv 2</v>
      </c>
      <c r="D112" s="49" t="str">
        <f t="array" ref="D112">_xlfn.XLOOKUP(
 B112,
 tblTargets[TargetID],
 tblTargets[TargetType],
 ""
)</f>
        <v>BUILDING</v>
      </c>
      <c r="E112" s="49" t="s">
        <v>119</v>
      </c>
      <c r="F112" s="49">
        <v>1.0</v>
      </c>
      <c r="G112" s="49">
        <f t="array" ref="G112">_xlfn.XLOOKUP(
 A112,
 tblCost[RequirementID],
 tblCost[QuantityRequired],
 ""
)</f>
        <v>1000</v>
      </c>
      <c r="H112" s="49">
        <f t="array" ref="H112">IF(
 OR(
  LEFT(B112,15)="state.character",
  RIGHT(B112,6)=".maxed"
 ),
 0,
 LET(
  sort,
   _xlfn.XLOOKUP(
    B112,
    tblChecklist[TargetID],
    tblChecklist[PlayerSort],
    0
   ),
  IF(sort=0,500,sort)
 )
)</f>
        <v>78</v>
      </c>
      <c r="I112" s="49" t="str">
        <f t="array" ref="I112">_xlfn.XLOOKUP(
 B112,
 tblTargetStatus[TargetID],
 tblTargetStatus[Status],
 ""
)</f>
        <v>BLOCKED</v>
      </c>
      <c r="J112" s="45" t="b">
        <v>0</v>
      </c>
    </row>
    <row r="113" ht="14.25" hidden="1" customHeight="1">
      <c r="A113" s="49" t="s">
        <v>526</v>
      </c>
      <c r="B113" s="49" t="str">
        <f>IFERROR(__xludf.DUMMYFUNCTION("REGEXREPLACE(
 REGEXREPLACE(A113,""^cost\."",""""),
 ""\.[^.]+\.[^.]+$"",
 """"
)"),"building.dairy@2")</f>
        <v>building.dairy@2</v>
      </c>
      <c r="C113" s="49" t="str">
        <f t="array" ref="C113">_xlfn.XLOOKUP(
 B113,
 tblTargets[TargetID],
 tblTargets[DisplayName],
 ""
)</f>
        <v>Dairy Lv 2</v>
      </c>
      <c r="D113" s="49" t="str">
        <f t="array" ref="D113">_xlfn.XLOOKUP(
 B113,
 tblTargets[TargetID],
 tblTargets[TargetType],
 ""
)</f>
        <v>BUILDING</v>
      </c>
      <c r="E113" s="49" t="s">
        <v>527</v>
      </c>
      <c r="F113" s="49">
        <v>1.0</v>
      </c>
      <c r="G113" s="49">
        <f t="array" ref="G113">_xlfn.XLOOKUP(
 A113,
 tblCost[RequirementID],
 tblCost[QuantityRequired],
 ""
)</f>
        <v>10</v>
      </c>
      <c r="H113" s="49">
        <f t="array" ref="H113">IF(
 OR(
  LEFT(B113,15)="state.character",
  RIGHT(B113,6)=".maxed"
 ),
 0,
 LET(
  sort,
   _xlfn.XLOOKUP(
    B113,
    tblChecklist[TargetID],
    tblChecklist[PlayerSort],
    0
   ),
  IF(sort=0,500,sort)
 )
)</f>
        <v>78</v>
      </c>
      <c r="I113" s="49" t="str">
        <f t="array" ref="I113">_xlfn.XLOOKUP(
 B113,
 tblTargetStatus[TargetID],
 tblTargetStatus[Status],
 ""
)</f>
        <v>BLOCKED</v>
      </c>
      <c r="J113" s="45" t="b">
        <v>0</v>
      </c>
    </row>
    <row r="114" ht="14.25" hidden="1" customHeight="1">
      <c r="A114" s="49" t="s">
        <v>529</v>
      </c>
      <c r="B114" s="49" t="str">
        <f>IFERROR(__xludf.DUMMYFUNCTION("REGEXREPLACE(
 REGEXREPLACE(A114,""^cost\."",""""),
 ""\.[^.]+\.[^.]+$"",
 """"
)"),"building.dairy@2")</f>
        <v>building.dairy@2</v>
      </c>
      <c r="C114" s="49" t="str">
        <f t="array" ref="C114">_xlfn.XLOOKUP(
 B114,
 tblTargets[TargetID],
 tblTargets[DisplayName],
 ""
)</f>
        <v>Dairy Lv 2</v>
      </c>
      <c r="D114" s="49" t="str">
        <f t="array" ref="D114">_xlfn.XLOOKUP(
 B114,
 tblTargets[TargetID],
 tblTargets[TargetType],
 ""
)</f>
        <v>BUILDING</v>
      </c>
      <c r="E114" s="49" t="s">
        <v>530</v>
      </c>
      <c r="F114" s="49">
        <v>1.0</v>
      </c>
      <c r="G114" s="49">
        <f t="array" ref="G114">_xlfn.XLOOKUP(
 A114,
 tblCost[RequirementID],
 tblCost[QuantityRequired],
 ""
)</f>
        <v>5</v>
      </c>
      <c r="H114" s="49">
        <f t="array" ref="H114">IF(
 OR(
  LEFT(B114,15)="state.character",
  RIGHT(B114,6)=".maxed"
 ),
 0,
 LET(
  sort,
   _xlfn.XLOOKUP(
    B114,
    tblChecklist[TargetID],
    tblChecklist[PlayerSort],
    0
   ),
  IF(sort=0,500,sort)
 )
)</f>
        <v>78</v>
      </c>
      <c r="I114" s="49" t="str">
        <f t="array" ref="I114">_xlfn.XLOOKUP(
 B114,
 tblTargetStatus[TargetID],
 tblTargetStatus[Status],
 ""
)</f>
        <v>BLOCKED</v>
      </c>
      <c r="J114" s="45" t="b">
        <v>0</v>
      </c>
    </row>
    <row r="115" ht="14.25" hidden="1" customHeight="1">
      <c r="A115" s="49" t="s">
        <v>531</v>
      </c>
      <c r="B115" s="49" t="str">
        <f>IFERROR(__xludf.DUMMYFUNCTION("REGEXREPLACE(
 REGEXREPLACE(A115,""^cost\."",""""),
 ""\.[^.]+\.[^.]+$"",
 """"
)"),"building.dairy@2")</f>
        <v>building.dairy@2</v>
      </c>
      <c r="C115" s="49" t="str">
        <f t="array" ref="C115">_xlfn.XLOOKUP(
 B115,
 tblTargets[TargetID],
 tblTargets[DisplayName],
 ""
)</f>
        <v>Dairy Lv 2</v>
      </c>
      <c r="D115" s="49" t="str">
        <f t="array" ref="D115">_xlfn.XLOOKUP(
 B115,
 tblTargets[TargetID],
 tblTargets[TargetType],
 ""
)</f>
        <v>BUILDING</v>
      </c>
      <c r="E115" s="49" t="s">
        <v>533</v>
      </c>
      <c r="F115" s="49">
        <v>1.0</v>
      </c>
      <c r="G115" s="49">
        <f t="array" ref="G115">_xlfn.XLOOKUP(
 A115,
 tblCost[RequirementID],
 tblCost[QuantityRequired],
 ""
)</f>
        <v>20</v>
      </c>
      <c r="H115" s="49">
        <f t="array" ref="H115">IF(
 OR(
  LEFT(B115,15)="state.character",
  RIGHT(B115,6)=".maxed"
 ),
 0,
 LET(
  sort,
   _xlfn.XLOOKUP(
    B115,
    tblChecklist[TargetID],
    tblChecklist[PlayerSort],
    0
   ),
  IF(sort=0,500,sort)
 )
)</f>
        <v>78</v>
      </c>
      <c r="I115" s="49" t="str">
        <f t="array" ref="I115">_xlfn.XLOOKUP(
 B115,
 tblTargetStatus[TargetID],
 tblTargetStatus[Status],
 ""
)</f>
        <v>BLOCKED</v>
      </c>
      <c r="J115" s="45" t="b">
        <v>0</v>
      </c>
    </row>
    <row r="116" ht="14.25" hidden="1" customHeight="1">
      <c r="A116" s="49" t="s">
        <v>534</v>
      </c>
      <c r="B116" s="49" t="str">
        <f>IFERROR(__xludf.DUMMYFUNCTION("REGEXREPLACE(
 REGEXREPLACE(A116,""^cost\."",""""),
 ""\.[^.]+\.[^.]+$"",
 """"
)"),"building.dairy@2")</f>
        <v>building.dairy@2</v>
      </c>
      <c r="C116" s="49" t="str">
        <f t="array" ref="C116">_xlfn.XLOOKUP(
 B116,
 tblTargets[TargetID],
 tblTargets[DisplayName],
 ""
)</f>
        <v>Dairy Lv 2</v>
      </c>
      <c r="D116" s="49" t="str">
        <f t="array" ref="D116">_xlfn.XLOOKUP(
 B116,
 tblTargets[TargetID],
 tblTargets[TargetType],
 ""
)</f>
        <v>BUILDING</v>
      </c>
      <c r="E116" s="49" t="s">
        <v>6</v>
      </c>
      <c r="F116" s="49">
        <v>1.0</v>
      </c>
      <c r="G116" s="49">
        <f t="array" ref="G116">_xlfn.XLOOKUP(
 A116,
 tblCost[RequirementID],
 tblCost[QuantityRequired],
 ""
)</f>
        <v>5</v>
      </c>
      <c r="H116" s="49">
        <f t="array" ref="H116">IF(
 OR(
  LEFT(B116,15)="state.character",
  RIGHT(B116,6)=".maxed"
 ),
 0,
 LET(
  sort,
   _xlfn.XLOOKUP(
    B116,
    tblChecklist[TargetID],
    tblChecklist[PlayerSort],
    0
   ),
  IF(sort=0,500,sort)
 )
)</f>
        <v>78</v>
      </c>
      <c r="I116" s="49" t="str">
        <f t="array" ref="I116">_xlfn.XLOOKUP(
 B116,
 tblTargetStatus[TargetID],
 tblTargetStatus[Status],
 ""
)</f>
        <v>BLOCKED</v>
      </c>
      <c r="J116" s="45" t="b">
        <v>0</v>
      </c>
    </row>
    <row r="117" ht="14.25" hidden="1" customHeight="1">
      <c r="A117" s="49" t="s">
        <v>536</v>
      </c>
      <c r="B117" s="49" t="str">
        <f>IFERROR(__xludf.DUMMYFUNCTION("REGEXREPLACE(
 REGEXREPLACE(A117,""^cost\."",""""),
 ""\.[^.]+\.[^.]+$"",
 """"
)"),"building.dairy@2")</f>
        <v>building.dairy@2</v>
      </c>
      <c r="C117" s="49" t="str">
        <f t="array" ref="C117">_xlfn.XLOOKUP(
 B117,
 tblTargets[TargetID],
 tblTargets[DisplayName],
 ""
)</f>
        <v>Dairy Lv 2</v>
      </c>
      <c r="D117" s="49" t="str">
        <f t="array" ref="D117">_xlfn.XLOOKUP(
 B117,
 tblTargets[TargetID],
 tblTargets[TargetType],
 ""
)</f>
        <v>BUILDING</v>
      </c>
      <c r="E117" s="49" t="s">
        <v>237</v>
      </c>
      <c r="F117" s="49">
        <v>1.0</v>
      </c>
      <c r="G117" s="49">
        <f t="array" ref="G117">_xlfn.XLOOKUP(
 A117,
 tblCost[RequirementID],
 tblCost[QuantityRequired],
 ""
)</f>
        <v>500</v>
      </c>
      <c r="H117" s="49">
        <f t="array" ref="H117">IF(
 OR(
  LEFT(B117,15)="state.character",
  RIGHT(B117,6)=".maxed"
 ),
 0,
 LET(
  sort,
   _xlfn.XLOOKUP(
    B117,
    tblChecklist[TargetID],
    tblChecklist[PlayerSort],
    0
   ),
  IF(sort=0,500,sort)
 )
)</f>
        <v>78</v>
      </c>
      <c r="I117" s="49" t="str">
        <f t="array" ref="I117">_xlfn.XLOOKUP(
 B117,
 tblTargetStatus[TargetID],
 tblTargetStatus[Status],
 ""
)</f>
        <v>BLOCKED</v>
      </c>
      <c r="J117" s="45" t="b">
        <v>0</v>
      </c>
    </row>
    <row r="118" ht="14.25" hidden="1" customHeight="1">
      <c r="A118" s="49" t="s">
        <v>538</v>
      </c>
      <c r="B118" s="49" t="str">
        <f>IFERROR(__xludf.DUMMYFUNCTION("REGEXREPLACE(
 REGEXREPLACE(A118,""^cost\."",""""),
 ""\.[^.]+\.[^.]+$"",
 """"
)"),"building.dairy@2")</f>
        <v>building.dairy@2</v>
      </c>
      <c r="C118" s="49" t="str">
        <f t="array" ref="C118">_xlfn.XLOOKUP(
 B118,
 tblTargets[TargetID],
 tblTargets[DisplayName],
 ""
)</f>
        <v>Dairy Lv 2</v>
      </c>
      <c r="D118" s="49" t="str">
        <f t="array" ref="D118">_xlfn.XLOOKUP(
 B118,
 tblTargets[TargetID],
 tblTargets[TargetType],
 ""
)</f>
        <v>BUILDING</v>
      </c>
      <c r="E118" s="49" t="s">
        <v>158</v>
      </c>
      <c r="F118" s="49">
        <v>1.0</v>
      </c>
      <c r="G118" s="49">
        <f t="array" ref="G118">_xlfn.XLOOKUP(
 A118,
 tblCost[RequirementID],
 tblCost[QuantityRequired],
 ""
)</f>
        <v>30</v>
      </c>
      <c r="H118" s="49">
        <f t="array" ref="H118">IF(
 OR(
  LEFT(B118,15)="state.character",
  RIGHT(B118,6)=".maxed"
 ),
 0,
 LET(
  sort,
   _xlfn.XLOOKUP(
    B118,
    tblChecklist[TargetID],
    tblChecklist[PlayerSort],
    0
   ),
  IF(sort=0,500,sort)
 )
)</f>
        <v>78</v>
      </c>
      <c r="I118" s="49" t="str">
        <f t="array" ref="I118">_xlfn.XLOOKUP(
 B118,
 tblTargetStatus[TargetID],
 tblTargetStatus[Status],
 ""
)</f>
        <v>BLOCKED</v>
      </c>
      <c r="J118" s="45" t="b">
        <v>0</v>
      </c>
    </row>
    <row r="119" ht="14.25" hidden="1" customHeight="1">
      <c r="A119" s="49" t="s">
        <v>539</v>
      </c>
      <c r="B119" s="49" t="str">
        <f>IFERROR(__xludf.DUMMYFUNCTION("REGEXREPLACE(
 REGEXREPLACE(A119,""^cost\."",""""),
 ""\.[^.]+\.[^.]+$"",
 """"
)"),"building.dungeon@1")</f>
        <v>building.dungeon@1</v>
      </c>
      <c r="C119" s="49" t="str">
        <f t="array" ref="C119">_xlfn.XLOOKUP(
 B119,
 tblTargets[TargetID],
 tblTargets[DisplayName],
 ""
)</f>
        <v>Dungeon Lv 1</v>
      </c>
      <c r="D119" s="49" t="str">
        <f t="array" ref="D119">_xlfn.XLOOKUP(
 B119,
 tblTargets[TargetID],
 tblTargets[TargetType],
 ""
)</f>
        <v>BUILDING</v>
      </c>
      <c r="E119" s="49" t="s">
        <v>119</v>
      </c>
      <c r="F119" s="49">
        <v>1.0</v>
      </c>
      <c r="G119" s="49">
        <f t="array" ref="G119">_xlfn.XLOOKUP(
 A119,
 tblCost[RequirementID],
 tblCost[QuantityRequired],
 ""
)</f>
        <v>300</v>
      </c>
      <c r="H119" s="49">
        <f t="array" ref="H119">IF(
 OR(
  LEFT(B119,15)="state.character",
  RIGHT(B119,6)=".maxed"
 ),
 0,
 LET(
  sort,
   _xlfn.XLOOKUP(
    B119,
    tblChecklist[TargetID],
    tblChecklist[PlayerSort],
    0
   ),
  IF(sort=0,500,sort)
 )
)</f>
        <v>12</v>
      </c>
      <c r="I119" s="49" t="str">
        <f t="array" ref="I119">_xlfn.XLOOKUP(
 B119,
 tblTargetStatus[TargetID],
 tblTargetStatus[Status],
 ""
)</f>
        <v>BLOCKED</v>
      </c>
      <c r="J119" s="45" t="b">
        <v>0</v>
      </c>
    </row>
    <row r="120" ht="14.25" hidden="1" customHeight="1">
      <c r="A120" s="49" t="s">
        <v>541</v>
      </c>
      <c r="B120" s="49" t="str">
        <f>IFERROR(__xludf.DUMMYFUNCTION("REGEXREPLACE(
 REGEXREPLACE(A120,""^cost\."",""""),
 ""\.[^.]+\.[^.]+$"",
 """"
)"),"building.dungeon@1")</f>
        <v>building.dungeon@1</v>
      </c>
      <c r="C120" s="49" t="str">
        <f t="array" ref="C120">_xlfn.XLOOKUP(
 B120,
 tblTargets[TargetID],
 tblTargets[DisplayName],
 ""
)</f>
        <v>Dungeon Lv 1</v>
      </c>
      <c r="D120" s="49" t="str">
        <f t="array" ref="D120">_xlfn.XLOOKUP(
 B120,
 tblTargets[TargetID],
 tblTargets[TargetType],
 ""
)</f>
        <v>BUILDING</v>
      </c>
      <c r="E120" s="49" t="s">
        <v>171</v>
      </c>
      <c r="F120" s="49">
        <v>1.0</v>
      </c>
      <c r="G120" s="49">
        <f t="array" ref="G120">_xlfn.XLOOKUP(
 A120,
 tblCost[RequirementID],
 tblCost[QuantityRequired],
 ""
)</f>
        <v>30</v>
      </c>
      <c r="H120" s="49">
        <f t="array" ref="H120">IF(
 OR(
  LEFT(B120,15)="state.character",
  RIGHT(B120,6)=".maxed"
 ),
 0,
 LET(
  sort,
   _xlfn.XLOOKUP(
    B120,
    tblChecklist[TargetID],
    tblChecklist[PlayerSort],
    0
   ),
  IF(sort=0,500,sort)
 )
)</f>
        <v>12</v>
      </c>
      <c r="I120" s="49" t="str">
        <f t="array" ref="I120">_xlfn.XLOOKUP(
 B120,
 tblTargetStatus[TargetID],
 tblTargetStatus[Status],
 ""
)</f>
        <v>BLOCKED</v>
      </c>
      <c r="J120" s="45" t="b">
        <v>0</v>
      </c>
    </row>
    <row r="121" ht="14.25" hidden="1" customHeight="1">
      <c r="A121" s="49" t="s">
        <v>543</v>
      </c>
      <c r="B121" s="49" t="str">
        <f>IFERROR(__xludf.DUMMYFUNCTION("REGEXREPLACE(
 REGEXREPLACE(A121,""^cost\."",""""),
 ""\.[^.]+\.[^.]+$"",
 """"
)"),"building.dungeon@1")</f>
        <v>building.dungeon@1</v>
      </c>
      <c r="C121" s="49" t="str">
        <f t="array" ref="C121">_xlfn.XLOOKUP(
 B121,
 tblTargets[TargetID],
 tblTargets[DisplayName],
 ""
)</f>
        <v>Dungeon Lv 1</v>
      </c>
      <c r="D121" s="49" t="str">
        <f t="array" ref="D121">_xlfn.XLOOKUP(
 B121,
 tblTargets[TargetID],
 tblTargets[TargetType],
 ""
)</f>
        <v>BUILDING</v>
      </c>
      <c r="E121" s="49" t="s">
        <v>6</v>
      </c>
      <c r="F121" s="49">
        <v>1.0</v>
      </c>
      <c r="G121" s="49">
        <f t="array" ref="G121">_xlfn.XLOOKUP(
 A121,
 tblCost[RequirementID],
 tblCost[QuantityRequired],
 ""
)</f>
        <v>1</v>
      </c>
      <c r="H121" s="49">
        <f t="array" ref="H121">IF(
 OR(
  LEFT(B121,15)="state.character",
  RIGHT(B121,6)=".maxed"
 ),
 0,
 LET(
  sort,
   _xlfn.XLOOKUP(
    B121,
    tblChecklist[TargetID],
    tblChecklist[PlayerSort],
    0
   ),
  IF(sort=0,500,sort)
 )
)</f>
        <v>12</v>
      </c>
      <c r="I121" s="49" t="str">
        <f t="array" ref="I121">_xlfn.XLOOKUP(
 B121,
 tblTargetStatus[TargetID],
 tblTargetStatus[Status],
 ""
)</f>
        <v>BLOCKED</v>
      </c>
      <c r="J121" s="45" t="b">
        <v>0</v>
      </c>
    </row>
    <row r="122" ht="14.25" hidden="1" customHeight="1">
      <c r="A122" s="49" t="s">
        <v>545</v>
      </c>
      <c r="B122" s="49" t="str">
        <f>IFERROR(__xludf.DUMMYFUNCTION("REGEXREPLACE(
 REGEXREPLACE(A122,""^cost\."",""""),
 ""\.[^.]+\.[^.]+$"",
 """"
)"),"building.dungeon@1")</f>
        <v>building.dungeon@1</v>
      </c>
      <c r="C122" s="49" t="str">
        <f t="array" ref="C122">_xlfn.XLOOKUP(
 B122,
 tblTargets[TargetID],
 tblTargets[DisplayName],
 ""
)</f>
        <v>Dungeon Lv 1</v>
      </c>
      <c r="D122" s="49" t="str">
        <f t="array" ref="D122">_xlfn.XLOOKUP(
 B122,
 tblTargets[TargetID],
 tblTargets[TargetType],
 ""
)</f>
        <v>BUILDING</v>
      </c>
      <c r="E122" s="49" t="s">
        <v>392</v>
      </c>
      <c r="F122" s="49">
        <v>1.0</v>
      </c>
      <c r="G122" s="49">
        <f t="array" ref="G122">_xlfn.XLOOKUP(
 A122,
 tblCost[RequirementID],
 tblCost[QuantityRequired],
 ""
)</f>
        <v>100</v>
      </c>
      <c r="H122" s="49">
        <f t="array" ref="H122">IF(
 OR(
  LEFT(B122,15)="state.character",
  RIGHT(B122,6)=".maxed"
 ),
 0,
 LET(
  sort,
   _xlfn.XLOOKUP(
    B122,
    tblChecklist[TargetID],
    tblChecklist[PlayerSort],
    0
   ),
  IF(sort=0,500,sort)
 )
)</f>
        <v>12</v>
      </c>
      <c r="I122" s="49" t="str">
        <f t="array" ref="I122">_xlfn.XLOOKUP(
 B122,
 tblTargetStatus[TargetID],
 tblTargetStatus[Status],
 ""
)</f>
        <v>BLOCKED</v>
      </c>
      <c r="J122" s="45" t="b">
        <v>0</v>
      </c>
    </row>
    <row r="123" ht="14.25" hidden="1" customHeight="1">
      <c r="A123" s="49" t="s">
        <v>547</v>
      </c>
      <c r="B123" s="49" t="str">
        <f>IFERROR(__xludf.DUMMYFUNCTION("REGEXREPLACE(
 REGEXREPLACE(A123,""^cost\."",""""),
 ""\.[^.]+\.[^.]+$"",
 """"
)"),"building.dungeon@1")</f>
        <v>building.dungeon@1</v>
      </c>
      <c r="C123" s="49" t="str">
        <f t="array" ref="C123">_xlfn.XLOOKUP(
 B123,
 tblTargets[TargetID],
 tblTargets[DisplayName],
 ""
)</f>
        <v>Dungeon Lv 1</v>
      </c>
      <c r="D123" s="49" t="str">
        <f t="array" ref="D123">_xlfn.XLOOKUP(
 B123,
 tblTargets[TargetID],
 tblTargets[TargetType],
 ""
)</f>
        <v>BUILDING</v>
      </c>
      <c r="E123" s="49" t="s">
        <v>237</v>
      </c>
      <c r="F123" s="49">
        <v>1.0</v>
      </c>
      <c r="G123" s="49">
        <f t="array" ref="G123">_xlfn.XLOOKUP(
 A123,
 tblCost[RequirementID],
 tblCost[QuantityRequired],
 ""
)</f>
        <v>50</v>
      </c>
      <c r="H123" s="49">
        <f t="array" ref="H123">IF(
 OR(
  LEFT(B123,15)="state.character",
  RIGHT(B123,6)=".maxed"
 ),
 0,
 LET(
  sort,
   _xlfn.XLOOKUP(
    B123,
    tblChecklist[TargetID],
    tblChecklist[PlayerSort],
    0
   ),
  IF(sort=0,500,sort)
 )
)</f>
        <v>12</v>
      </c>
      <c r="I123" s="49" t="str">
        <f t="array" ref="I123">_xlfn.XLOOKUP(
 B123,
 tblTargetStatus[TargetID],
 tblTargetStatus[Status],
 ""
)</f>
        <v>BLOCKED</v>
      </c>
      <c r="J123" s="45" t="b">
        <v>0</v>
      </c>
    </row>
    <row r="124" ht="14.25" hidden="1" customHeight="1">
      <c r="A124" s="49" t="s">
        <v>548</v>
      </c>
      <c r="B124" s="49" t="str">
        <f>IFERROR(__xludf.DUMMYFUNCTION("REGEXREPLACE(
 REGEXREPLACE(A124,""^cost\."",""""),
 ""\.[^.]+\.[^.]+$"",
 """"
)"),"building.dungeon@1")</f>
        <v>building.dungeon@1</v>
      </c>
      <c r="C124" s="49" t="str">
        <f t="array" ref="C124">_xlfn.XLOOKUP(
 B124,
 tblTargets[TargetID],
 tblTargets[DisplayName],
 ""
)</f>
        <v>Dungeon Lv 1</v>
      </c>
      <c r="D124" s="49" t="str">
        <f t="array" ref="D124">_xlfn.XLOOKUP(
 B124,
 tblTargets[TargetID],
 tblTargets[TargetType],
 ""
)</f>
        <v>BUILDING</v>
      </c>
      <c r="E124" s="49" t="s">
        <v>244</v>
      </c>
      <c r="F124" s="49">
        <v>1.0</v>
      </c>
      <c r="G124" s="49">
        <f t="array" ref="G124">_xlfn.XLOOKUP(
 A124,
 tblCost[RequirementID],
 tblCost[QuantityRequired],
 ""
)</f>
        <v>200</v>
      </c>
      <c r="H124" s="49">
        <f t="array" ref="H124">IF(
 OR(
  LEFT(B124,15)="state.character",
  RIGHT(B124,6)=".maxed"
 ),
 0,
 LET(
  sort,
   _xlfn.XLOOKUP(
    B124,
    tblChecklist[TargetID],
    tblChecklist[PlayerSort],
    0
   ),
  IF(sort=0,500,sort)
 )
)</f>
        <v>12</v>
      </c>
      <c r="I124" s="49" t="str">
        <f t="array" ref="I124">_xlfn.XLOOKUP(
 B124,
 tblTargetStatus[TargetID],
 tblTargetStatus[Status],
 ""
)</f>
        <v>BLOCKED</v>
      </c>
      <c r="J124" s="45" t="b">
        <v>0</v>
      </c>
    </row>
    <row r="125" ht="14.25" hidden="1" customHeight="1">
      <c r="A125" s="49" t="s">
        <v>550</v>
      </c>
      <c r="B125" s="49" t="str">
        <f>IFERROR(__xludf.DUMMYFUNCTION("REGEXREPLACE(
 REGEXREPLACE(A125,""^cost\."",""""),
 ""\.[^.]+\.[^.]+$"",
 """"
)"),"building.dungeon@2")</f>
        <v>building.dungeon@2</v>
      </c>
      <c r="C125" s="49" t="str">
        <f t="array" ref="C125">_xlfn.XLOOKUP(
 B125,
 tblTargets[TargetID],
 tblTargets[DisplayName],
 ""
)</f>
        <v>Dungeon Lv 2</v>
      </c>
      <c r="D125" s="49" t="str">
        <f t="array" ref="D125">_xlfn.XLOOKUP(
 B125,
 tblTargets[TargetID],
 tblTargets[TargetType],
 ""
)</f>
        <v>BUILDING</v>
      </c>
      <c r="E125" s="49" t="s">
        <v>278</v>
      </c>
      <c r="F125" s="49">
        <v>1.0</v>
      </c>
      <c r="G125" s="49">
        <f t="array" ref="G125">_xlfn.XLOOKUP(
 A125,
 tblCost[RequirementID],
 tblCost[QuantityRequired],
 ""
)</f>
        <v>500</v>
      </c>
      <c r="H125" s="49">
        <f t="array" ref="H125">IF(
 OR(
  LEFT(B125,15)="state.character",
  RIGHT(B125,6)=".maxed"
 ),
 0,
 LET(
  sort,
   _xlfn.XLOOKUP(
    B125,
    tblChecklist[TargetID],
    tblChecklist[PlayerSort],
    0
   ),
  IF(sort=0,500,sort)
 )
)</f>
        <v>16</v>
      </c>
      <c r="I125" s="49" t="str">
        <f t="array" ref="I125">_xlfn.XLOOKUP(
 B125,
 tblTargetStatus[TargetID],
 tblTargetStatus[Status],
 ""
)</f>
        <v>BLOCKED</v>
      </c>
      <c r="J125" s="45" t="b">
        <v>0</v>
      </c>
    </row>
    <row r="126" ht="14.25" hidden="1" customHeight="1">
      <c r="A126" s="49" t="s">
        <v>552</v>
      </c>
      <c r="B126" s="49" t="str">
        <f>IFERROR(__xludf.DUMMYFUNCTION("REGEXREPLACE(
 REGEXREPLACE(A126,""^cost\."",""""),
 ""\.[^.]+\.[^.]+$"",
 """"
)"),"building.dungeon@2")</f>
        <v>building.dungeon@2</v>
      </c>
      <c r="C126" s="49" t="str">
        <f t="array" ref="C126">_xlfn.XLOOKUP(
 B126,
 tblTargets[TargetID],
 tblTargets[DisplayName],
 ""
)</f>
        <v>Dungeon Lv 2</v>
      </c>
      <c r="D126" s="49" t="str">
        <f t="array" ref="D126">_xlfn.XLOOKUP(
 B126,
 tblTargets[TargetID],
 tblTargets[TargetType],
 ""
)</f>
        <v>BUILDING</v>
      </c>
      <c r="E126" s="49" t="s">
        <v>554</v>
      </c>
      <c r="F126" s="49">
        <v>1.0</v>
      </c>
      <c r="G126" s="49">
        <f t="array" ref="G126">_xlfn.XLOOKUP(
 A126,
 tblCost[RequirementID],
 tblCost[QuantityRequired],
 ""
)</f>
        <v>5</v>
      </c>
      <c r="H126" s="49">
        <f t="array" ref="H126">IF(
 OR(
  LEFT(B126,15)="state.character",
  RIGHT(B126,6)=".maxed"
 ),
 0,
 LET(
  sort,
   _xlfn.XLOOKUP(
    B126,
    tblChecklist[TargetID],
    tblChecklist[PlayerSort],
    0
   ),
  IF(sort=0,500,sort)
 )
)</f>
        <v>16</v>
      </c>
      <c r="I126" s="49" t="str">
        <f t="array" ref="I126">_xlfn.XLOOKUP(
 B126,
 tblTargetStatus[TargetID],
 tblTargetStatus[Status],
 ""
)</f>
        <v>BLOCKED</v>
      </c>
      <c r="J126" s="45" t="b">
        <v>0</v>
      </c>
    </row>
    <row r="127" ht="14.25" hidden="1" customHeight="1">
      <c r="A127" s="49" t="s">
        <v>555</v>
      </c>
      <c r="B127" s="49" t="str">
        <f>IFERROR(__xludf.DUMMYFUNCTION("REGEXREPLACE(
 REGEXREPLACE(A127,""^cost\."",""""),
 ""\.[^.]+\.[^.]+$"",
 """"
)"),"building.dungeon@2")</f>
        <v>building.dungeon@2</v>
      </c>
      <c r="C127" s="49" t="str">
        <f t="array" ref="C127">_xlfn.XLOOKUP(
 B127,
 tblTargets[TargetID],
 tblTargets[DisplayName],
 ""
)</f>
        <v>Dungeon Lv 2</v>
      </c>
      <c r="D127" s="49" t="str">
        <f t="array" ref="D127">_xlfn.XLOOKUP(
 B127,
 tblTargets[TargetID],
 tblTargets[TargetType],
 ""
)</f>
        <v>BUILDING</v>
      </c>
      <c r="E127" s="49" t="s">
        <v>119</v>
      </c>
      <c r="F127" s="49">
        <v>1.0</v>
      </c>
      <c r="G127" s="49">
        <f t="array" ref="G127">_xlfn.XLOOKUP(
 A127,
 tblCost[RequirementID],
 tblCost[QuantityRequired],
 ""
)</f>
        <v>500</v>
      </c>
      <c r="H127" s="49">
        <f t="array" ref="H127">IF(
 OR(
  LEFT(B127,15)="state.character",
  RIGHT(B127,6)=".maxed"
 ),
 0,
 LET(
  sort,
   _xlfn.XLOOKUP(
    B127,
    tblChecklist[TargetID],
    tblChecklist[PlayerSort],
    0
   ),
  IF(sort=0,500,sort)
 )
)</f>
        <v>16</v>
      </c>
      <c r="I127" s="49" t="str">
        <f t="array" ref="I127">_xlfn.XLOOKUP(
 B127,
 tblTargetStatus[TargetID],
 tblTargetStatus[Status],
 ""
)</f>
        <v>BLOCKED</v>
      </c>
      <c r="J127" s="45" t="b">
        <v>0</v>
      </c>
    </row>
    <row r="128" ht="14.25" hidden="1" customHeight="1">
      <c r="A128" s="49" t="s">
        <v>557</v>
      </c>
      <c r="B128" s="49" t="str">
        <f>IFERROR(__xludf.DUMMYFUNCTION("REGEXREPLACE(
 REGEXREPLACE(A128,""^cost\."",""""),
 ""\.[^.]+\.[^.]+$"",
 """"
)"),"building.dungeon@2")</f>
        <v>building.dungeon@2</v>
      </c>
      <c r="C128" s="49" t="str">
        <f t="array" ref="C128">_xlfn.XLOOKUP(
 B128,
 tblTargets[TargetID],
 tblTargets[DisplayName],
 ""
)</f>
        <v>Dungeon Lv 2</v>
      </c>
      <c r="D128" s="49" t="str">
        <f t="array" ref="D128">_xlfn.XLOOKUP(
 B128,
 tblTargets[TargetID],
 tblTargets[TargetType],
 ""
)</f>
        <v>BUILDING</v>
      </c>
      <c r="E128" s="49" t="s">
        <v>132</v>
      </c>
      <c r="F128" s="49">
        <v>1.0</v>
      </c>
      <c r="G128" s="49">
        <f t="array" ref="G128">_xlfn.XLOOKUP(
 A128,
 tblCost[RequirementID],
 tblCost[QuantityRequired],
 ""
)</f>
        <v>15</v>
      </c>
      <c r="H128" s="49">
        <f t="array" ref="H128">IF(
 OR(
  LEFT(B128,15)="state.character",
  RIGHT(B128,6)=".maxed"
 ),
 0,
 LET(
  sort,
   _xlfn.XLOOKUP(
    B128,
    tblChecklist[TargetID],
    tblChecklist[PlayerSort],
    0
   ),
  IF(sort=0,500,sort)
 )
)</f>
        <v>16</v>
      </c>
      <c r="I128" s="49" t="str">
        <f t="array" ref="I128">_xlfn.XLOOKUP(
 B128,
 tblTargetStatus[TargetID],
 tblTargetStatus[Status],
 ""
)</f>
        <v>BLOCKED</v>
      </c>
      <c r="J128" s="45" t="b">
        <v>0</v>
      </c>
    </row>
    <row r="129" ht="14.25" hidden="1" customHeight="1">
      <c r="A129" s="49" t="s">
        <v>559</v>
      </c>
      <c r="B129" s="49" t="str">
        <f>IFERROR(__xludf.DUMMYFUNCTION("REGEXREPLACE(
 REGEXREPLACE(A129,""^cost\."",""""),
 ""\.[^.]+\.[^.]+$"",
 """"
)"),"building.dungeon@2")</f>
        <v>building.dungeon@2</v>
      </c>
      <c r="C129" s="49" t="str">
        <f t="array" ref="C129">_xlfn.XLOOKUP(
 B129,
 tblTargets[TargetID],
 tblTargets[DisplayName],
 ""
)</f>
        <v>Dungeon Lv 2</v>
      </c>
      <c r="D129" s="49" t="str">
        <f t="array" ref="D129">_xlfn.XLOOKUP(
 B129,
 tblTargets[TargetID],
 tblTargets[TargetType],
 ""
)</f>
        <v>BUILDING</v>
      </c>
      <c r="E129" s="49" t="s">
        <v>561</v>
      </c>
      <c r="F129" s="49">
        <v>1.0</v>
      </c>
      <c r="G129" s="49">
        <f t="array" ref="G129">_xlfn.XLOOKUP(
 A129,
 tblCost[RequirementID],
 tblCost[QuantityRequired],
 ""
)</f>
        <v>100</v>
      </c>
      <c r="H129" s="49">
        <f t="array" ref="H129">IF(
 OR(
  LEFT(B129,15)="state.character",
  RIGHT(B129,6)=".maxed"
 ),
 0,
 LET(
  sort,
   _xlfn.XLOOKUP(
    B129,
    tblChecklist[TargetID],
    tblChecklist[PlayerSort],
    0
   ),
  IF(sort=0,500,sort)
 )
)</f>
        <v>16</v>
      </c>
      <c r="I129" s="49" t="str">
        <f t="array" ref="I129">_xlfn.XLOOKUP(
 B129,
 tblTargetStatus[TargetID],
 tblTargetStatus[Status],
 ""
)</f>
        <v>BLOCKED</v>
      </c>
      <c r="J129" s="45" t="b">
        <v>0</v>
      </c>
    </row>
    <row r="130" ht="14.25" hidden="1" customHeight="1">
      <c r="A130" s="49" t="s">
        <v>562</v>
      </c>
      <c r="B130" s="49" t="str">
        <f>IFERROR(__xludf.DUMMYFUNCTION("REGEXREPLACE(
 REGEXREPLACE(A130,""^cost\."",""""),
 ""\.[^.]+\.[^.]+$"",
 """"
)"),"building.dungeon@2")</f>
        <v>building.dungeon@2</v>
      </c>
      <c r="C130" s="49" t="str">
        <f t="array" ref="C130">_xlfn.XLOOKUP(
 B130,
 tblTargets[TargetID],
 tblTargets[DisplayName],
 ""
)</f>
        <v>Dungeon Lv 2</v>
      </c>
      <c r="D130" s="49" t="str">
        <f t="array" ref="D130">_xlfn.XLOOKUP(
 B130,
 tblTargets[TargetID],
 tblTargets[TargetType],
 ""
)</f>
        <v>BUILDING</v>
      </c>
      <c r="E130" s="49" t="s">
        <v>6</v>
      </c>
      <c r="F130" s="49">
        <v>1.0</v>
      </c>
      <c r="G130" s="49">
        <f t="array" ref="G130">_xlfn.XLOOKUP(
 A130,
 tblCost[RequirementID],
 tblCost[QuantityRequired],
 ""
)</f>
        <v>2</v>
      </c>
      <c r="H130" s="49">
        <f t="array" ref="H130">IF(
 OR(
  LEFT(B130,15)="state.character",
  RIGHT(B130,6)=".maxed"
 ),
 0,
 LET(
  sort,
   _xlfn.XLOOKUP(
    B130,
    tblChecklist[TargetID],
    tblChecklist[PlayerSort],
    0
   ),
  IF(sort=0,500,sort)
 )
)</f>
        <v>16</v>
      </c>
      <c r="I130" s="49" t="str">
        <f t="array" ref="I130">_xlfn.XLOOKUP(
 B130,
 tblTargetStatus[TargetID],
 tblTargetStatus[Status],
 ""
)</f>
        <v>BLOCKED</v>
      </c>
      <c r="J130" s="45" t="b">
        <v>0</v>
      </c>
    </row>
    <row r="131" ht="14.25" hidden="1" customHeight="1">
      <c r="A131" s="49" t="s">
        <v>564</v>
      </c>
      <c r="B131" s="49" t="str">
        <f>IFERROR(__xludf.DUMMYFUNCTION("REGEXREPLACE(
 REGEXREPLACE(A131,""^cost\."",""""),
 ""\.[^.]+\.[^.]+$"",
 """"
)"),"building.dungeon@2")</f>
        <v>building.dungeon@2</v>
      </c>
      <c r="C131" s="49" t="str">
        <f t="array" ref="C131">_xlfn.XLOOKUP(
 B131,
 tblTargets[TargetID],
 tblTargets[DisplayName],
 ""
)</f>
        <v>Dungeon Lv 2</v>
      </c>
      <c r="D131" s="49" t="str">
        <f t="array" ref="D131">_xlfn.XLOOKUP(
 B131,
 tblTargets[TargetID],
 tblTargets[TargetType],
 ""
)</f>
        <v>BUILDING</v>
      </c>
      <c r="E131" s="49" t="s">
        <v>392</v>
      </c>
      <c r="F131" s="49">
        <v>1.0</v>
      </c>
      <c r="G131" s="49">
        <f t="array" ref="G131">_xlfn.XLOOKUP(
 A131,
 tblCost[RequirementID],
 tblCost[QuantityRequired],
 ""
)</f>
        <v>400</v>
      </c>
      <c r="H131" s="49">
        <f t="array" ref="H131">IF(
 OR(
  LEFT(B131,15)="state.character",
  RIGHT(B131,6)=".maxed"
 ),
 0,
 LET(
  sort,
   _xlfn.XLOOKUP(
    B131,
    tblChecklist[TargetID],
    tblChecklist[PlayerSort],
    0
   ),
  IF(sort=0,500,sort)
 )
)</f>
        <v>16</v>
      </c>
      <c r="I131" s="49" t="str">
        <f t="array" ref="I131">_xlfn.XLOOKUP(
 B131,
 tblTargetStatus[TargetID],
 tblTargetStatus[Status],
 ""
)</f>
        <v>BLOCKED</v>
      </c>
      <c r="J131" s="45" t="b">
        <v>0</v>
      </c>
    </row>
    <row r="132" ht="14.25" hidden="1" customHeight="1">
      <c r="A132" s="49" t="s">
        <v>566</v>
      </c>
      <c r="B132" s="49" t="str">
        <f>IFERROR(__xludf.DUMMYFUNCTION("REGEXREPLACE(
 REGEXREPLACE(A132,""^cost\."",""""),
 ""\.[^.]+\.[^.]+$"",
 """"
)"),"building.dungeon@3")</f>
        <v>building.dungeon@3</v>
      </c>
      <c r="C132" s="49" t="str">
        <f t="array" ref="C132">_xlfn.XLOOKUP(
 B132,
 tblTargets[TargetID],
 tblTargets[DisplayName],
 ""
)</f>
        <v>Dungeon Lv 3</v>
      </c>
      <c r="D132" s="49" t="str">
        <f t="array" ref="D132">_xlfn.XLOOKUP(
 B132,
 tblTargets[TargetID],
 tblTargets[TargetType],
 ""
)</f>
        <v>BUILDING</v>
      </c>
      <c r="E132" s="49" t="s">
        <v>278</v>
      </c>
      <c r="F132" s="49">
        <v>1.0</v>
      </c>
      <c r="G132" s="49">
        <f t="array" ref="G132">_xlfn.XLOOKUP(
 A132,
 tblCost[RequirementID],
 tblCost[QuantityRequired],
 ""
)</f>
        <v>500</v>
      </c>
      <c r="H132" s="49">
        <f t="array" ref="H132">IF(
 OR(
  LEFT(B132,15)="state.character",
  RIGHT(B132,6)=".maxed"
 ),
 0,
 LET(
  sort,
   _xlfn.XLOOKUP(
    B132,
    tblChecklist[TargetID],
    tblChecklist[PlayerSort],
    0
   ),
  IF(sort=0,500,sort)
 )
)</f>
        <v>43</v>
      </c>
      <c r="I132" s="49" t="str">
        <f t="array" ref="I132">_xlfn.XLOOKUP(
 B132,
 tblTargetStatus[TargetID],
 tblTargetStatus[Status],
 ""
)</f>
        <v>BLOCKED</v>
      </c>
      <c r="J132" s="45" t="b">
        <v>0</v>
      </c>
    </row>
    <row r="133" ht="14.25" hidden="1" customHeight="1">
      <c r="A133" s="49" t="s">
        <v>568</v>
      </c>
      <c r="B133" s="49" t="str">
        <f>IFERROR(__xludf.DUMMYFUNCTION("REGEXREPLACE(
 REGEXREPLACE(A133,""^cost\."",""""),
 ""\.[^.]+\.[^.]+$"",
 """"
)"),"building.dungeon@3")</f>
        <v>building.dungeon@3</v>
      </c>
      <c r="C133" s="49" t="str">
        <f t="array" ref="C133">_xlfn.XLOOKUP(
 B133,
 tblTargets[TargetID],
 tblTargets[DisplayName],
 ""
)</f>
        <v>Dungeon Lv 3</v>
      </c>
      <c r="D133" s="49" t="str">
        <f t="array" ref="D133">_xlfn.XLOOKUP(
 B133,
 tblTargets[TargetID],
 tblTargets[TargetType],
 ""
)</f>
        <v>BUILDING</v>
      </c>
      <c r="E133" s="49" t="s">
        <v>119</v>
      </c>
      <c r="F133" s="49">
        <v>1.0</v>
      </c>
      <c r="G133" s="49">
        <f t="array" ref="G133">_xlfn.XLOOKUP(
 A133,
 tblCost[RequirementID],
 tblCost[QuantityRequired],
 ""
)</f>
        <v>1000</v>
      </c>
      <c r="H133" s="49">
        <f t="array" ref="H133">IF(
 OR(
  LEFT(B133,15)="state.character",
  RIGHT(B133,6)=".maxed"
 ),
 0,
 LET(
  sort,
   _xlfn.XLOOKUP(
    B133,
    tblChecklist[TargetID],
    tblChecklist[PlayerSort],
    0
   ),
  IF(sort=0,500,sort)
 )
)</f>
        <v>43</v>
      </c>
      <c r="I133" s="49" t="str">
        <f t="array" ref="I133">_xlfn.XLOOKUP(
 B133,
 tblTargetStatus[TargetID],
 tblTargetStatus[Status],
 ""
)</f>
        <v>BLOCKED</v>
      </c>
      <c r="J133" s="45" t="b">
        <v>0</v>
      </c>
    </row>
    <row r="134" ht="14.25" hidden="1" customHeight="1">
      <c r="A134" s="49" t="s">
        <v>570</v>
      </c>
      <c r="B134" s="49" t="str">
        <f>IFERROR(__xludf.DUMMYFUNCTION("REGEXREPLACE(
 REGEXREPLACE(A134,""^cost\."",""""),
 ""\.[^.]+\.[^.]+$"",
 """"
)"),"building.dungeon@3")</f>
        <v>building.dungeon@3</v>
      </c>
      <c r="C134" s="49" t="str">
        <f t="array" ref="C134">_xlfn.XLOOKUP(
 B134,
 tblTargets[TargetID],
 tblTargets[DisplayName],
 ""
)</f>
        <v>Dungeon Lv 3</v>
      </c>
      <c r="D134" s="49" t="str">
        <f t="array" ref="D134">_xlfn.XLOOKUP(
 B134,
 tblTargets[TargetID],
 tblTargets[TargetType],
 ""
)</f>
        <v>BUILDING</v>
      </c>
      <c r="E134" s="49" t="s">
        <v>571</v>
      </c>
      <c r="F134" s="49">
        <v>1.0</v>
      </c>
      <c r="G134" s="49">
        <f t="array" ref="G134">_xlfn.XLOOKUP(
 A134,
 tblCost[RequirementID],
 tblCost[QuantityRequired],
 ""
)</f>
        <v>50</v>
      </c>
      <c r="H134" s="49">
        <f t="array" ref="H134">IF(
 OR(
  LEFT(B134,15)="state.character",
  RIGHT(B134,6)=".maxed"
 ),
 0,
 LET(
  sort,
   _xlfn.XLOOKUP(
    B134,
    tblChecklist[TargetID],
    tblChecklist[PlayerSort],
    0
   ),
  IF(sort=0,500,sort)
 )
)</f>
        <v>43</v>
      </c>
      <c r="I134" s="49" t="str">
        <f t="array" ref="I134">_xlfn.XLOOKUP(
 B134,
 tblTargetStatus[TargetID],
 tblTargetStatus[Status],
 ""
)</f>
        <v>BLOCKED</v>
      </c>
      <c r="J134" s="45" t="b">
        <v>0</v>
      </c>
    </row>
    <row r="135" ht="14.25" hidden="1" customHeight="1">
      <c r="A135" s="49" t="s">
        <v>573</v>
      </c>
      <c r="B135" s="49" t="str">
        <f>IFERROR(__xludf.DUMMYFUNCTION("REGEXREPLACE(
 REGEXREPLACE(A135,""^cost\."",""""),
 ""\.[^.]+\.[^.]+$"",
 """"
)"),"building.dungeon@3")</f>
        <v>building.dungeon@3</v>
      </c>
      <c r="C135" s="49" t="str">
        <f t="array" ref="C135">_xlfn.XLOOKUP(
 B135,
 tblTargets[TargetID],
 tblTargets[DisplayName],
 ""
)</f>
        <v>Dungeon Lv 3</v>
      </c>
      <c r="D135" s="49" t="str">
        <f t="array" ref="D135">_xlfn.XLOOKUP(
 B135,
 tblTargets[TargetID],
 tblTargets[TargetType],
 ""
)</f>
        <v>BUILDING</v>
      </c>
      <c r="E135" s="49" t="s">
        <v>132</v>
      </c>
      <c r="F135" s="49">
        <v>1.0</v>
      </c>
      <c r="G135" s="49">
        <f t="array" ref="G135">_xlfn.XLOOKUP(
 A135,
 tblCost[RequirementID],
 tblCost[QuantityRequired],
 ""
)</f>
        <v>15</v>
      </c>
      <c r="H135" s="49">
        <f t="array" ref="H135">IF(
 OR(
  LEFT(B135,15)="state.character",
  RIGHT(B135,6)=".maxed"
 ),
 0,
 LET(
  sort,
   _xlfn.XLOOKUP(
    B135,
    tblChecklist[TargetID],
    tblChecklist[PlayerSort],
    0
   ),
  IF(sort=0,500,sort)
 )
)</f>
        <v>43</v>
      </c>
      <c r="I135" s="49" t="str">
        <f t="array" ref="I135">_xlfn.XLOOKUP(
 B135,
 tblTargetStatus[TargetID],
 tblTargetStatus[Status],
 ""
)</f>
        <v>BLOCKED</v>
      </c>
      <c r="J135" s="45" t="b">
        <v>0</v>
      </c>
    </row>
    <row r="136" ht="14.25" hidden="1" customHeight="1">
      <c r="A136" s="49" t="s">
        <v>574</v>
      </c>
      <c r="B136" s="49" t="str">
        <f>IFERROR(__xludf.DUMMYFUNCTION("REGEXREPLACE(
 REGEXREPLACE(A136,""^cost\."",""""),
 ""\.[^.]+\.[^.]+$"",
 """"
)"),"building.dungeon@3")</f>
        <v>building.dungeon@3</v>
      </c>
      <c r="C136" s="49" t="str">
        <f t="array" ref="C136">_xlfn.XLOOKUP(
 B136,
 tblTargets[TargetID],
 tblTargets[DisplayName],
 ""
)</f>
        <v>Dungeon Lv 3</v>
      </c>
      <c r="D136" s="49" t="str">
        <f t="array" ref="D136">_xlfn.XLOOKUP(
 B136,
 tblTargets[TargetID],
 tblTargets[TargetType],
 ""
)</f>
        <v>BUILDING</v>
      </c>
      <c r="E136" s="49" t="s">
        <v>576</v>
      </c>
      <c r="F136" s="49">
        <v>1.0</v>
      </c>
      <c r="G136" s="49">
        <f t="array" ref="G136">_xlfn.XLOOKUP(
 A136,
 tblCost[RequirementID],
 tblCost[QuantityRequired],
 ""
)</f>
        <v>3</v>
      </c>
      <c r="H136" s="49">
        <f t="array" ref="H136">IF(
 OR(
  LEFT(B136,15)="state.character",
  RIGHT(B136,6)=".maxed"
 ),
 0,
 LET(
  sort,
   _xlfn.XLOOKUP(
    B136,
    tblChecklist[TargetID],
    tblChecklist[PlayerSort],
    0
   ),
  IF(sort=0,500,sort)
 )
)</f>
        <v>43</v>
      </c>
      <c r="I136" s="49" t="str">
        <f t="array" ref="I136">_xlfn.XLOOKUP(
 B136,
 tblTargetStatus[TargetID],
 tblTargetStatus[Status],
 ""
)</f>
        <v>BLOCKED</v>
      </c>
      <c r="J136" s="45" t="b">
        <v>0</v>
      </c>
    </row>
    <row r="137" ht="14.25" hidden="1" customHeight="1">
      <c r="A137" s="49" t="s">
        <v>577</v>
      </c>
      <c r="B137" s="49" t="str">
        <f>IFERROR(__xludf.DUMMYFUNCTION("REGEXREPLACE(
 REGEXREPLACE(A137,""^cost\."",""""),
 ""\.[^.]+\.[^.]+$"",
 """"
)"),"building.dungeon@3")</f>
        <v>building.dungeon@3</v>
      </c>
      <c r="C137" s="49" t="str">
        <f t="array" ref="C137">_xlfn.XLOOKUP(
 B137,
 tblTargets[TargetID],
 tblTargets[DisplayName],
 ""
)</f>
        <v>Dungeon Lv 3</v>
      </c>
      <c r="D137" s="49" t="str">
        <f t="array" ref="D137">_xlfn.XLOOKUP(
 B137,
 tblTargets[TargetID],
 tblTargets[TargetType],
 ""
)</f>
        <v>BUILDING</v>
      </c>
      <c r="E137" s="49" t="s">
        <v>6</v>
      </c>
      <c r="F137" s="49">
        <v>1.0</v>
      </c>
      <c r="G137" s="49">
        <f t="array" ref="G137">_xlfn.XLOOKUP(
 A137,
 tblCost[RequirementID],
 tblCost[QuantityRequired],
 ""
)</f>
        <v>3</v>
      </c>
      <c r="H137" s="49">
        <f t="array" ref="H137">IF(
 OR(
  LEFT(B137,15)="state.character",
  RIGHT(B137,6)=".maxed"
 ),
 0,
 LET(
  sort,
   _xlfn.XLOOKUP(
    B137,
    tblChecklist[TargetID],
    tblChecklist[PlayerSort],
    0
   ),
  IF(sort=0,500,sort)
 )
)</f>
        <v>43</v>
      </c>
      <c r="I137" s="49" t="str">
        <f t="array" ref="I137">_xlfn.XLOOKUP(
 B137,
 tblTargetStatus[TargetID],
 tblTargetStatus[Status],
 ""
)</f>
        <v>BLOCKED</v>
      </c>
      <c r="J137" s="45" t="b">
        <v>0</v>
      </c>
    </row>
    <row r="138" ht="14.25" hidden="1" customHeight="1">
      <c r="A138" s="49" t="s">
        <v>579</v>
      </c>
      <c r="B138" s="49" t="str">
        <f>IFERROR(__xludf.DUMMYFUNCTION("REGEXREPLACE(
 REGEXREPLACE(A138,""^cost\."",""""),
 ""\.[^.]+\.[^.]+$"",
 """"
)"),"building.dungeon@3")</f>
        <v>building.dungeon@3</v>
      </c>
      <c r="C138" s="49" t="str">
        <f t="array" ref="C138">_xlfn.XLOOKUP(
 B138,
 tblTargets[TargetID],
 tblTargets[DisplayName],
 ""
)</f>
        <v>Dungeon Lv 3</v>
      </c>
      <c r="D138" s="49" t="str">
        <f t="array" ref="D138">_xlfn.XLOOKUP(
 B138,
 tblTargets[TargetID],
 tblTargets[TargetType],
 ""
)</f>
        <v>BUILDING</v>
      </c>
      <c r="E138" s="49" t="s">
        <v>392</v>
      </c>
      <c r="F138" s="49">
        <v>1.0</v>
      </c>
      <c r="G138" s="49">
        <f t="array" ref="G138">_xlfn.XLOOKUP(
 A138,
 tblCost[RequirementID],
 tblCost[QuantityRequired],
 ""
)</f>
        <v>400</v>
      </c>
      <c r="H138" s="49">
        <f t="array" ref="H138">IF(
 OR(
  LEFT(B138,15)="state.character",
  RIGHT(B138,6)=".maxed"
 ),
 0,
 LET(
  sort,
   _xlfn.XLOOKUP(
    B138,
    tblChecklist[TargetID],
    tblChecklist[PlayerSort],
    0
   ),
  IF(sort=0,500,sort)
 )
)</f>
        <v>43</v>
      </c>
      <c r="I138" s="49" t="str">
        <f t="array" ref="I138">_xlfn.XLOOKUP(
 B138,
 tblTargetStatus[TargetID],
 tblTargetStatus[Status],
 ""
)</f>
        <v>BLOCKED</v>
      </c>
      <c r="J138" s="45" t="b">
        <v>0</v>
      </c>
    </row>
    <row r="139" ht="14.25" hidden="1" customHeight="1">
      <c r="A139" s="49" t="s">
        <v>580</v>
      </c>
      <c r="B139" s="49" t="str">
        <f>IFERROR(__xludf.DUMMYFUNCTION("REGEXREPLACE(
 REGEXREPLACE(A139,""^cost\."",""""),
 ""\.[^.]+\.[^.]+$"",
 """"
)"),"building.dungeon@4")</f>
        <v>building.dungeon@4</v>
      </c>
      <c r="C139" s="49" t="str">
        <f t="array" ref="C139">_xlfn.XLOOKUP(
 B139,
 tblTargets[TargetID],
 tblTargets[DisplayName],
 ""
)</f>
        <v>Dungeon Lv 4</v>
      </c>
      <c r="D139" s="49" t="str">
        <f t="array" ref="D139">_xlfn.XLOOKUP(
 B139,
 tblTargets[TargetID],
 tblTargets[TargetType],
 ""
)</f>
        <v>BUILDING</v>
      </c>
      <c r="E139" s="49" t="s">
        <v>278</v>
      </c>
      <c r="F139" s="49">
        <v>1.0</v>
      </c>
      <c r="G139" s="49">
        <f t="array" ref="G139">_xlfn.XLOOKUP(
 A139,
 tblCost[RequirementID],
 tblCost[QuantityRequired],
 ""
)</f>
        <v>750</v>
      </c>
      <c r="H139" s="49">
        <f t="array" ref="H139">IF(
 OR(
  LEFT(B139,15)="state.character",
  RIGHT(B139,6)=".maxed"
 ),
 0,
 LET(
  sort,
   _xlfn.XLOOKUP(
    B139,
    tblChecklist[TargetID],
    tblChecklist[PlayerSort],
    0
   ),
  IF(sort=0,500,sort)
 )
)</f>
        <v>64</v>
      </c>
      <c r="I139" s="49" t="str">
        <f t="array" ref="I139">_xlfn.XLOOKUP(
 B139,
 tblTargetStatus[TargetID],
 tblTargetStatus[Status],
 ""
)</f>
        <v>BLOCKED</v>
      </c>
      <c r="J139" s="45" t="b">
        <v>0</v>
      </c>
    </row>
    <row r="140" ht="14.25" hidden="1" customHeight="1">
      <c r="A140" s="49" t="s">
        <v>582</v>
      </c>
      <c r="B140" s="49" t="str">
        <f>IFERROR(__xludf.DUMMYFUNCTION("REGEXREPLACE(
 REGEXREPLACE(A140,""^cost\."",""""),
 ""\.[^.]+\.[^.]+$"",
 """"
)"),"building.dungeon@4")</f>
        <v>building.dungeon@4</v>
      </c>
      <c r="C140" s="49" t="str">
        <f t="array" ref="C140">_xlfn.XLOOKUP(
 B140,
 tblTargets[TargetID],
 tblTargets[DisplayName],
 ""
)</f>
        <v>Dungeon Lv 4</v>
      </c>
      <c r="D140" s="49" t="str">
        <f t="array" ref="D140">_xlfn.XLOOKUP(
 B140,
 tblTargets[TargetID],
 tblTargets[TargetType],
 ""
)</f>
        <v>BUILDING</v>
      </c>
      <c r="E140" s="49" t="s">
        <v>583</v>
      </c>
      <c r="F140" s="49">
        <v>1.0</v>
      </c>
      <c r="G140" s="49">
        <f t="array" ref="G140">_xlfn.XLOOKUP(
 A140,
 tblCost[RequirementID],
 tblCost[QuantityRequired],
 ""
)</f>
        <v>5</v>
      </c>
      <c r="H140" s="49">
        <f t="array" ref="H140">IF(
 OR(
  LEFT(B140,15)="state.character",
  RIGHT(B140,6)=".maxed"
 ),
 0,
 LET(
  sort,
   _xlfn.XLOOKUP(
    B140,
    tblChecklist[TargetID],
    tblChecklist[PlayerSort],
    0
   ),
  IF(sort=0,500,sort)
 )
)</f>
        <v>64</v>
      </c>
      <c r="I140" s="49" t="str">
        <f t="array" ref="I140">_xlfn.XLOOKUP(
 B140,
 tblTargetStatus[TargetID],
 tblTargetStatus[Status],
 ""
)</f>
        <v>BLOCKED</v>
      </c>
      <c r="J140" s="45" t="b">
        <v>0</v>
      </c>
    </row>
    <row r="141" ht="14.25" hidden="1" customHeight="1">
      <c r="A141" s="49" t="s">
        <v>585</v>
      </c>
      <c r="B141" s="49" t="str">
        <f>IFERROR(__xludf.DUMMYFUNCTION("REGEXREPLACE(
 REGEXREPLACE(A141,""^cost\."",""""),
 ""\.[^.]+\.[^.]+$"",
 """"
)"),"building.dungeon@4")</f>
        <v>building.dungeon@4</v>
      </c>
      <c r="C141" s="49" t="str">
        <f t="array" ref="C141">_xlfn.XLOOKUP(
 B141,
 tblTargets[TargetID],
 tblTargets[DisplayName],
 ""
)</f>
        <v>Dungeon Lv 4</v>
      </c>
      <c r="D141" s="49" t="str">
        <f t="array" ref="D141">_xlfn.XLOOKUP(
 B141,
 tblTargets[TargetID],
 tblTargets[TargetType],
 ""
)</f>
        <v>BUILDING</v>
      </c>
      <c r="E141" s="49" t="s">
        <v>119</v>
      </c>
      <c r="F141" s="49">
        <v>1.0</v>
      </c>
      <c r="G141" s="49">
        <f t="array" ref="G141">_xlfn.XLOOKUP(
 A141,
 tblCost[RequirementID],
 tblCost[QuantityRequired],
 ""
)</f>
        <v>1500</v>
      </c>
      <c r="H141" s="49">
        <f t="array" ref="H141">IF(
 OR(
  LEFT(B141,15)="state.character",
  RIGHT(B141,6)=".maxed"
 ),
 0,
 LET(
  sort,
   _xlfn.XLOOKUP(
    B141,
    tblChecklist[TargetID],
    tblChecklist[PlayerSort],
    0
   ),
  IF(sort=0,500,sort)
 )
)</f>
        <v>64</v>
      </c>
      <c r="I141" s="49" t="str">
        <f t="array" ref="I141">_xlfn.XLOOKUP(
 B141,
 tblTargetStatus[TargetID],
 tblTargetStatus[Status],
 ""
)</f>
        <v>BLOCKED</v>
      </c>
      <c r="J141" s="45" t="b">
        <v>0</v>
      </c>
    </row>
    <row r="142" ht="14.25" hidden="1" customHeight="1">
      <c r="A142" s="49" t="s">
        <v>587</v>
      </c>
      <c r="B142" s="49" t="str">
        <f>IFERROR(__xludf.DUMMYFUNCTION("REGEXREPLACE(
 REGEXREPLACE(A142,""^cost\."",""""),
 ""\.[^.]+\.[^.]+$"",
 """"
)"),"building.dungeon@4")</f>
        <v>building.dungeon@4</v>
      </c>
      <c r="C142" s="49" t="str">
        <f t="array" ref="C142">_xlfn.XLOOKUP(
 B142,
 tblTargets[TargetID],
 tblTargets[DisplayName],
 ""
)</f>
        <v>Dungeon Lv 4</v>
      </c>
      <c r="D142" s="49" t="str">
        <f t="array" ref="D142">_xlfn.XLOOKUP(
 B142,
 tblTargets[TargetID],
 tblTargets[TargetType],
 ""
)</f>
        <v>BUILDING</v>
      </c>
      <c r="E142" s="49" t="s">
        <v>588</v>
      </c>
      <c r="F142" s="49">
        <v>1.0</v>
      </c>
      <c r="G142" s="49">
        <f t="array" ref="G142">_xlfn.XLOOKUP(
 A142,
 tblCost[RequirementID],
 tblCost[QuantityRequired],
 ""
)</f>
        <v>30</v>
      </c>
      <c r="H142" s="49">
        <f t="array" ref="H142">IF(
 OR(
  LEFT(B142,15)="state.character",
  RIGHT(B142,6)=".maxed"
 ),
 0,
 LET(
  sort,
   _xlfn.XLOOKUP(
    B142,
    tblChecklist[TargetID],
    tblChecklist[PlayerSort],
    0
   ),
  IF(sort=0,500,sort)
 )
)</f>
        <v>64</v>
      </c>
      <c r="I142" s="49" t="str">
        <f t="array" ref="I142">_xlfn.XLOOKUP(
 B142,
 tblTargetStatus[TargetID],
 tblTargetStatus[Status],
 ""
)</f>
        <v>BLOCKED</v>
      </c>
      <c r="J142" s="45" t="b">
        <v>0</v>
      </c>
    </row>
    <row r="143" ht="14.25" hidden="1" customHeight="1">
      <c r="A143" s="49" t="s">
        <v>590</v>
      </c>
      <c r="B143" s="49" t="str">
        <f>IFERROR(__xludf.DUMMYFUNCTION("REGEXREPLACE(
 REGEXREPLACE(A143,""^cost\."",""""),
 ""\.[^.]+\.[^.]+$"",
 """"
)"),"building.dungeon@4")</f>
        <v>building.dungeon@4</v>
      </c>
      <c r="C143" s="49" t="str">
        <f t="array" ref="C143">_xlfn.XLOOKUP(
 B143,
 tblTargets[TargetID],
 tblTargets[DisplayName],
 ""
)</f>
        <v>Dungeon Lv 4</v>
      </c>
      <c r="D143" s="49" t="str">
        <f t="array" ref="D143">_xlfn.XLOOKUP(
 B143,
 tblTargets[TargetID],
 tblTargets[TargetType],
 ""
)</f>
        <v>BUILDING</v>
      </c>
      <c r="E143" s="49" t="s">
        <v>132</v>
      </c>
      <c r="F143" s="49">
        <v>1.0</v>
      </c>
      <c r="G143" s="49">
        <f t="array" ref="G143">_xlfn.XLOOKUP(
 A143,
 tblCost[RequirementID],
 tblCost[QuantityRequired],
 ""
)</f>
        <v>20</v>
      </c>
      <c r="H143" s="49">
        <f t="array" ref="H143">IF(
 OR(
  LEFT(B143,15)="state.character",
  RIGHT(B143,6)=".maxed"
 ),
 0,
 LET(
  sort,
   _xlfn.XLOOKUP(
    B143,
    tblChecklist[TargetID],
    tblChecklist[PlayerSort],
    0
   ),
  IF(sort=0,500,sort)
 )
)</f>
        <v>64</v>
      </c>
      <c r="I143" s="49" t="str">
        <f t="array" ref="I143">_xlfn.XLOOKUP(
 B143,
 tblTargetStatus[TargetID],
 tblTargetStatus[Status],
 ""
)</f>
        <v>BLOCKED</v>
      </c>
      <c r="J143" s="45" t="b">
        <v>0</v>
      </c>
    </row>
    <row r="144" ht="14.25" hidden="1" customHeight="1">
      <c r="A144" s="49" t="s">
        <v>592</v>
      </c>
      <c r="B144" s="49" t="str">
        <f>IFERROR(__xludf.DUMMYFUNCTION("REGEXREPLACE(
 REGEXREPLACE(A144,""^cost\."",""""),
 ""\.[^.]+\.[^.]+$"",
 """"
)"),"building.dungeon@4")</f>
        <v>building.dungeon@4</v>
      </c>
      <c r="C144" s="49" t="str">
        <f t="array" ref="C144">_xlfn.XLOOKUP(
 B144,
 tblTargets[TargetID],
 tblTargets[DisplayName],
 ""
)</f>
        <v>Dungeon Lv 4</v>
      </c>
      <c r="D144" s="49" t="str">
        <f t="array" ref="D144">_xlfn.XLOOKUP(
 B144,
 tblTargets[TargetID],
 tblTargets[TargetType],
 ""
)</f>
        <v>BUILDING</v>
      </c>
      <c r="E144" s="49" t="s">
        <v>593</v>
      </c>
      <c r="F144" s="49">
        <v>1.0</v>
      </c>
      <c r="G144" s="49">
        <f t="array" ref="G144">_xlfn.XLOOKUP(
 A144,
 tblCost[RequirementID],
 tblCost[QuantityRequired],
 ""
)</f>
        <v>20</v>
      </c>
      <c r="H144" s="49">
        <f t="array" ref="H144">IF(
 OR(
  LEFT(B144,15)="state.character",
  RIGHT(B144,6)=".maxed"
 ),
 0,
 LET(
  sort,
   _xlfn.XLOOKUP(
    B144,
    tblChecklist[TargetID],
    tblChecklist[PlayerSort],
    0
   ),
  IF(sort=0,500,sort)
 )
)</f>
        <v>64</v>
      </c>
      <c r="I144" s="49" t="str">
        <f t="array" ref="I144">_xlfn.XLOOKUP(
 B144,
 tblTargetStatus[TargetID],
 tblTargetStatus[Status],
 ""
)</f>
        <v>BLOCKED</v>
      </c>
      <c r="J144" s="45" t="b">
        <v>0</v>
      </c>
    </row>
    <row r="145" ht="14.25" hidden="1" customHeight="1">
      <c r="A145" s="49" t="s">
        <v>595</v>
      </c>
      <c r="B145" s="49" t="str">
        <f>IFERROR(__xludf.DUMMYFUNCTION("REGEXREPLACE(
 REGEXREPLACE(A145,""^cost\."",""""),
 ""\.[^.]+\.[^.]+$"",
 """"
)"),"building.dungeon@4")</f>
        <v>building.dungeon@4</v>
      </c>
      <c r="C145" s="49" t="str">
        <f t="array" ref="C145">_xlfn.XLOOKUP(
 B145,
 tblTargets[TargetID],
 tblTargets[DisplayName],
 ""
)</f>
        <v>Dungeon Lv 4</v>
      </c>
      <c r="D145" s="49" t="str">
        <f t="array" ref="D145">_xlfn.XLOOKUP(
 B145,
 tblTargets[TargetID],
 tblTargets[TargetType],
 ""
)</f>
        <v>BUILDING</v>
      </c>
      <c r="E145" s="49" t="s">
        <v>6</v>
      </c>
      <c r="F145" s="49">
        <v>1.0</v>
      </c>
      <c r="G145" s="49">
        <f t="array" ref="G145">_xlfn.XLOOKUP(
 A145,
 tblCost[RequirementID],
 tblCost[QuantityRequired],
 ""
)</f>
        <v>5</v>
      </c>
      <c r="H145" s="49">
        <f t="array" ref="H145">IF(
 OR(
  LEFT(B145,15)="state.character",
  RIGHT(B145,6)=".maxed"
 ),
 0,
 LET(
  sort,
   _xlfn.XLOOKUP(
    B145,
    tblChecklist[TargetID],
    tblChecklist[PlayerSort],
    0
   ),
  IF(sort=0,500,sort)
 )
)</f>
        <v>64</v>
      </c>
      <c r="I145" s="49" t="str">
        <f t="array" ref="I145">_xlfn.XLOOKUP(
 B145,
 tblTargetStatus[TargetID],
 tblTargetStatus[Status],
 ""
)</f>
        <v>BLOCKED</v>
      </c>
      <c r="J145" s="45" t="b">
        <v>0</v>
      </c>
    </row>
    <row r="146" ht="14.25" hidden="1" customHeight="1">
      <c r="A146" s="49" t="s">
        <v>597</v>
      </c>
      <c r="B146" s="49" t="str">
        <f>IFERROR(__xludf.DUMMYFUNCTION("REGEXREPLACE(
 REGEXREPLACE(A146,""^cost\."",""""),
 ""\.[^.]+\.[^.]+$"",
 """"
)"),"building.dungeon@5")</f>
        <v>building.dungeon@5</v>
      </c>
      <c r="C146" s="49" t="str">
        <f t="array" ref="C146">_xlfn.XLOOKUP(
 B146,
 tblTargets[TargetID],
 tblTargets[DisplayName],
 ""
)</f>
        <v>Dungeon Lv 5</v>
      </c>
      <c r="D146" s="49" t="str">
        <f t="array" ref="D146">_xlfn.XLOOKUP(
 B146,
 tblTargets[TargetID],
 tblTargets[TargetType],
 ""
)</f>
        <v>BUILDING</v>
      </c>
      <c r="E146" s="49" t="s">
        <v>278</v>
      </c>
      <c r="F146" s="49">
        <v>1.0</v>
      </c>
      <c r="G146" s="49">
        <f t="array" ref="G146">_xlfn.XLOOKUP(
 A146,
 tblCost[RequirementID],
 tblCost[QuantityRequired],
 ""
)</f>
        <v>1000</v>
      </c>
      <c r="H146" s="49">
        <f t="array" ref="H146">IF(
 OR(
  LEFT(B146,15)="state.character",
  RIGHT(B146,6)=".maxed"
 ),
 0,
 LET(
  sort,
   _xlfn.XLOOKUP(
    B146,
    tblChecklist[TargetID],
    tblChecklist[PlayerSort],
    0
   ),
  IF(sort=0,500,sort)
 )
)</f>
        <v>65</v>
      </c>
      <c r="I146" s="49" t="str">
        <f t="array" ref="I146">_xlfn.XLOOKUP(
 B146,
 tblTargetStatus[TargetID],
 tblTargetStatus[Status],
 ""
)</f>
        <v>BLOCKED</v>
      </c>
      <c r="J146" s="45" t="b">
        <v>0</v>
      </c>
    </row>
    <row r="147" ht="14.25" hidden="1" customHeight="1">
      <c r="A147" s="49" t="s">
        <v>599</v>
      </c>
      <c r="B147" s="49" t="str">
        <f>IFERROR(__xludf.DUMMYFUNCTION("REGEXREPLACE(
 REGEXREPLACE(A147,""^cost\."",""""),
 ""\.[^.]+\.[^.]+$"",
 """"
)"),"building.dungeon@5")</f>
        <v>building.dungeon@5</v>
      </c>
      <c r="C147" s="49" t="str">
        <f t="array" ref="C147">_xlfn.XLOOKUP(
 B147,
 tblTargets[TargetID],
 tblTargets[DisplayName],
 ""
)</f>
        <v>Dungeon Lv 5</v>
      </c>
      <c r="D147" s="49" t="str">
        <f t="array" ref="D147">_xlfn.XLOOKUP(
 B147,
 tblTargets[TargetID],
 tblTargets[TargetType],
 ""
)</f>
        <v>BUILDING</v>
      </c>
      <c r="E147" s="49" t="s">
        <v>119</v>
      </c>
      <c r="F147" s="49">
        <v>1.0</v>
      </c>
      <c r="G147" s="49">
        <f t="array" ref="G147">_xlfn.XLOOKUP(
 A147,
 tblCost[RequirementID],
 tblCost[QuantityRequired],
 ""
)</f>
        <v>2000</v>
      </c>
      <c r="H147" s="49">
        <f t="array" ref="H147">IF(
 OR(
  LEFT(B147,15)="state.character",
  RIGHT(B147,6)=".maxed"
 ),
 0,
 LET(
  sort,
   _xlfn.XLOOKUP(
    B147,
    tblChecklist[TargetID],
    tblChecklist[PlayerSort],
    0
   ),
  IF(sort=0,500,sort)
 )
)</f>
        <v>65</v>
      </c>
      <c r="I147" s="49" t="str">
        <f t="array" ref="I147">_xlfn.XLOOKUP(
 B147,
 tblTargetStatus[TargetID],
 tblTargetStatus[Status],
 ""
)</f>
        <v>BLOCKED</v>
      </c>
      <c r="J147" s="45" t="b">
        <v>0</v>
      </c>
    </row>
    <row r="148" ht="14.25" hidden="1" customHeight="1">
      <c r="A148" s="49" t="s">
        <v>601</v>
      </c>
      <c r="B148" s="49" t="str">
        <f>IFERROR(__xludf.DUMMYFUNCTION("REGEXREPLACE(
 REGEXREPLACE(A148,""^cost\."",""""),
 ""\.[^.]+\.[^.]+$"",
 """"
)"),"building.dungeon@5")</f>
        <v>building.dungeon@5</v>
      </c>
      <c r="C148" s="49" t="str">
        <f t="array" ref="C148">_xlfn.XLOOKUP(
 B148,
 tblTargets[TargetID],
 tblTargets[DisplayName],
 ""
)</f>
        <v>Dungeon Lv 5</v>
      </c>
      <c r="D148" s="49" t="str">
        <f t="array" ref="D148">_xlfn.XLOOKUP(
 B148,
 tblTargets[TargetID],
 tblTargets[TargetType],
 ""
)</f>
        <v>BUILDING</v>
      </c>
      <c r="E148" s="49" t="s">
        <v>602</v>
      </c>
      <c r="F148" s="49">
        <v>1.0</v>
      </c>
      <c r="G148" s="49">
        <f t="array" ref="G148">_xlfn.XLOOKUP(
 A148,
 tblCost[RequirementID],
 tblCost[QuantityRequired],
 ""
)</f>
        <v>10</v>
      </c>
      <c r="H148" s="49">
        <f t="array" ref="H148">IF(
 OR(
  LEFT(B148,15)="state.character",
  RIGHT(B148,6)=".maxed"
 ),
 0,
 LET(
  sort,
   _xlfn.XLOOKUP(
    B148,
    tblChecklist[TargetID],
    tblChecklist[PlayerSort],
    0
   ),
  IF(sort=0,500,sort)
 )
)</f>
        <v>65</v>
      </c>
      <c r="I148" s="49" t="str">
        <f t="array" ref="I148">_xlfn.XLOOKUP(
 B148,
 tblTargetStatus[TargetID],
 tblTargetStatus[Status],
 ""
)</f>
        <v>BLOCKED</v>
      </c>
      <c r="J148" s="45" t="b">
        <v>0</v>
      </c>
    </row>
    <row r="149" ht="14.25" hidden="1" customHeight="1">
      <c r="A149" s="49" t="s">
        <v>604</v>
      </c>
      <c r="B149" s="49" t="str">
        <f>IFERROR(__xludf.DUMMYFUNCTION("REGEXREPLACE(
 REGEXREPLACE(A149,""^cost\."",""""),
 ""\.[^.]+\.[^.]+$"",
 """"
)"),"building.dungeon@5")</f>
        <v>building.dungeon@5</v>
      </c>
      <c r="C149" s="49" t="str">
        <f t="array" ref="C149">_xlfn.XLOOKUP(
 B149,
 tblTargets[TargetID],
 tblTargets[DisplayName],
 ""
)</f>
        <v>Dungeon Lv 5</v>
      </c>
      <c r="D149" s="49" t="str">
        <f t="array" ref="D149">_xlfn.XLOOKUP(
 B149,
 tblTargets[TargetID],
 tblTargets[TargetType],
 ""
)</f>
        <v>BUILDING</v>
      </c>
      <c r="E149" s="49" t="s">
        <v>132</v>
      </c>
      <c r="F149" s="49">
        <v>1.0</v>
      </c>
      <c r="G149" s="49">
        <f t="array" ref="G149">_xlfn.XLOOKUP(
 A149,
 tblCost[RequirementID],
 tblCost[QuantityRequired],
 ""
)</f>
        <v>25</v>
      </c>
      <c r="H149" s="49">
        <f t="array" ref="H149">IF(
 OR(
  LEFT(B149,15)="state.character",
  RIGHT(B149,6)=".maxed"
 ),
 0,
 LET(
  sort,
   _xlfn.XLOOKUP(
    B149,
    tblChecklist[TargetID],
    tblChecklist[PlayerSort],
    0
   ),
  IF(sort=0,500,sort)
 )
)</f>
        <v>65</v>
      </c>
      <c r="I149" s="49" t="str">
        <f t="array" ref="I149">_xlfn.XLOOKUP(
 B149,
 tblTargetStatus[TargetID],
 tblTargetStatus[Status],
 ""
)</f>
        <v>BLOCKED</v>
      </c>
      <c r="J149" s="45" t="b">
        <v>0</v>
      </c>
    </row>
    <row r="150" ht="14.25" hidden="1" customHeight="1">
      <c r="A150" s="49" t="s">
        <v>606</v>
      </c>
      <c r="B150" s="49" t="str">
        <f>IFERROR(__xludf.DUMMYFUNCTION("REGEXREPLACE(
 REGEXREPLACE(A150,""^cost\."",""""),
 ""\.[^.]+\.[^.]+$"",
 """"
)"),"building.dungeon@5")</f>
        <v>building.dungeon@5</v>
      </c>
      <c r="C150" s="49" t="str">
        <f t="array" ref="C150">_xlfn.XLOOKUP(
 B150,
 tblTargets[TargetID],
 tblTargets[DisplayName],
 ""
)</f>
        <v>Dungeon Lv 5</v>
      </c>
      <c r="D150" s="49" t="str">
        <f t="array" ref="D150">_xlfn.XLOOKUP(
 B150,
 tblTargets[TargetID],
 tblTargets[TargetType],
 ""
)</f>
        <v>BUILDING</v>
      </c>
      <c r="E150" s="49" t="s">
        <v>6</v>
      </c>
      <c r="F150" s="49">
        <v>1.0</v>
      </c>
      <c r="G150" s="49">
        <f t="array" ref="G150">_xlfn.XLOOKUP(
 A150,
 tblCost[RequirementID],
 tblCost[QuantityRequired],
 ""
)</f>
        <v>7</v>
      </c>
      <c r="H150" s="49">
        <f t="array" ref="H150">IF(
 OR(
  LEFT(B150,15)="state.character",
  RIGHT(B150,6)=".maxed"
 ),
 0,
 LET(
  sort,
   _xlfn.XLOOKUP(
    B150,
    tblChecklist[TargetID],
    tblChecklist[PlayerSort],
    0
   ),
  IF(sort=0,500,sort)
 )
)</f>
        <v>65</v>
      </c>
      <c r="I150" s="49" t="str">
        <f t="array" ref="I150">_xlfn.XLOOKUP(
 B150,
 tblTargetStatus[TargetID],
 tblTargetStatus[Status],
 ""
)</f>
        <v>BLOCKED</v>
      </c>
      <c r="J150" s="45" t="b">
        <v>0</v>
      </c>
    </row>
    <row r="151" ht="14.25" hidden="1" customHeight="1">
      <c r="A151" s="49" t="s">
        <v>608</v>
      </c>
      <c r="B151" s="49" t="str">
        <f>IFERROR(__xludf.DUMMYFUNCTION("REGEXREPLACE(
 REGEXREPLACE(A151,""^cost\."",""""),
 ""\.[^.]+\.[^.]+$"",
 """"
)"),"building.dungeon@5")</f>
        <v>building.dungeon@5</v>
      </c>
      <c r="C151" s="49" t="str">
        <f t="array" ref="C151">_xlfn.XLOOKUP(
 B151,
 tblTargets[TargetID],
 tblTargets[DisplayName],
 ""
)</f>
        <v>Dungeon Lv 5</v>
      </c>
      <c r="D151" s="49" t="str">
        <f t="array" ref="D151">_xlfn.XLOOKUP(
 B151,
 tblTargets[TargetID],
 tblTargets[TargetType],
 ""
)</f>
        <v>BUILDING</v>
      </c>
      <c r="E151" s="49" t="s">
        <v>609</v>
      </c>
      <c r="F151" s="49">
        <v>1.0</v>
      </c>
      <c r="G151" s="49">
        <f t="array" ref="G151">_xlfn.XLOOKUP(
 A151,
 tblCost[RequirementID],
 tblCost[QuantityRequired],
 ""
)</f>
        <v>10</v>
      </c>
      <c r="H151" s="49">
        <f t="array" ref="H151">IF(
 OR(
  LEFT(B151,15)="state.character",
  RIGHT(B151,6)=".maxed"
 ),
 0,
 LET(
  sort,
   _xlfn.XLOOKUP(
    B151,
    tblChecklist[TargetID],
    tblChecklist[PlayerSort],
    0
   ),
  IF(sort=0,500,sort)
 )
)</f>
        <v>65</v>
      </c>
      <c r="I151" s="49" t="str">
        <f t="array" ref="I151">_xlfn.XLOOKUP(
 B151,
 tblTargetStatus[TargetID],
 tblTargetStatus[Status],
 ""
)</f>
        <v>BLOCKED</v>
      </c>
      <c r="J151" s="45" t="b">
        <v>0</v>
      </c>
    </row>
    <row r="152" ht="14.25" hidden="1" customHeight="1">
      <c r="A152" s="49" t="s">
        <v>611</v>
      </c>
      <c r="B152" s="49" t="str">
        <f>IFERROR(__xludf.DUMMYFUNCTION("REGEXREPLACE(
 REGEXREPLACE(A152,""^cost\."",""""),
 ""\.[^.]+\.[^.]+$"",
 """"
)"),"building.fermentory@1")</f>
        <v>building.fermentory@1</v>
      </c>
      <c r="C152" s="49" t="str">
        <f t="array" ref="C152">_xlfn.XLOOKUP(
 B152,
 tblTargets[TargetID],
 tblTargets[DisplayName],
 ""
)</f>
        <v>Fermentory Lv 1</v>
      </c>
      <c r="D152" s="49" t="str">
        <f t="array" ref="D152">_xlfn.XLOOKUP(
 B152,
 tblTargets[TargetID],
 tblTargets[TargetType],
 ""
)</f>
        <v>BUILDING</v>
      </c>
      <c r="E152" s="49" t="s">
        <v>278</v>
      </c>
      <c r="F152" s="49">
        <v>1.0</v>
      </c>
      <c r="G152" s="49">
        <f t="array" ref="G152">_xlfn.XLOOKUP(
 A152,
 tblCost[RequirementID],
 tblCost[QuantityRequired],
 ""
)</f>
        <v>700</v>
      </c>
      <c r="H152" s="49">
        <f t="array" ref="H152">IF(
 OR(
  LEFT(B152,15)="state.character",
  RIGHT(B152,6)=".maxed"
 ),
 0,
 LET(
  sort,
   _xlfn.XLOOKUP(
    B152,
    tblChecklist[TargetID],
    tblChecklist[PlayerSort],
    0
   ),
  IF(sort=0,500,sort)
 )
)</f>
        <v>72</v>
      </c>
      <c r="I152" s="49" t="str">
        <f t="array" ref="I152">_xlfn.XLOOKUP(
 B152,
 tblTargetStatus[TargetID],
 tblTargetStatus[Status],
 ""
)</f>
        <v>BLOCKED</v>
      </c>
      <c r="J152" s="45" t="b">
        <v>0</v>
      </c>
    </row>
    <row r="153" ht="14.25" hidden="1" customHeight="1">
      <c r="A153" s="49" t="s">
        <v>613</v>
      </c>
      <c r="B153" s="49" t="str">
        <f>IFERROR(__xludf.DUMMYFUNCTION("REGEXREPLACE(
 REGEXREPLACE(A153,""^cost\."",""""),
 ""\.[^.]+\.[^.]+$"",
 """"
)"),"building.fermentory@1")</f>
        <v>building.fermentory@1</v>
      </c>
      <c r="C153" s="49" t="str">
        <f t="array" ref="C153">_xlfn.XLOOKUP(
 B153,
 tblTargets[TargetID],
 tblTargets[DisplayName],
 ""
)</f>
        <v>Fermentory Lv 1</v>
      </c>
      <c r="D153" s="49" t="str">
        <f t="array" ref="D153">_xlfn.XLOOKUP(
 B153,
 tblTargets[TargetID],
 tblTargets[TargetType],
 ""
)</f>
        <v>BUILDING</v>
      </c>
      <c r="E153" s="49" t="s">
        <v>119</v>
      </c>
      <c r="F153" s="49">
        <v>1.0</v>
      </c>
      <c r="G153" s="49">
        <f t="array" ref="G153">_xlfn.XLOOKUP(
 A153,
 tblCost[RequirementID],
 tblCost[QuantityRequired],
 ""
)</f>
        <v>1000</v>
      </c>
      <c r="H153" s="49">
        <f t="array" ref="H153">IF(
 OR(
  LEFT(B153,15)="state.character",
  RIGHT(B153,6)=".maxed"
 ),
 0,
 LET(
  sort,
   _xlfn.XLOOKUP(
    B153,
    tblChecklist[TargetID],
    tblChecklist[PlayerSort],
    0
   ),
  IF(sort=0,500,sort)
 )
)</f>
        <v>72</v>
      </c>
      <c r="I153" s="49" t="str">
        <f t="array" ref="I153">_xlfn.XLOOKUP(
 B153,
 tblTargetStatus[TargetID],
 tblTargetStatus[Status],
 ""
)</f>
        <v>BLOCKED</v>
      </c>
      <c r="J153" s="45" t="b">
        <v>0</v>
      </c>
    </row>
    <row r="154" ht="14.25" hidden="1" customHeight="1">
      <c r="A154" s="49" t="s">
        <v>615</v>
      </c>
      <c r="B154" s="49" t="str">
        <f>IFERROR(__xludf.DUMMYFUNCTION("REGEXREPLACE(
 REGEXREPLACE(A154,""^cost\."",""""),
 ""\.[^.]+\.[^.]+$"",
 """"
)"),"building.fermentory@1")</f>
        <v>building.fermentory@1</v>
      </c>
      <c r="C154" s="49" t="str">
        <f t="array" ref="C154">_xlfn.XLOOKUP(
 B154,
 tblTargets[TargetID],
 tblTargets[DisplayName],
 ""
)</f>
        <v>Fermentory Lv 1</v>
      </c>
      <c r="D154" s="49" t="str">
        <f t="array" ref="D154">_xlfn.XLOOKUP(
 B154,
 tblTargets[TargetID],
 tblTargets[TargetType],
 ""
)</f>
        <v>BUILDING</v>
      </c>
      <c r="E154" s="49" t="s">
        <v>132</v>
      </c>
      <c r="F154" s="49">
        <v>1.0</v>
      </c>
      <c r="G154" s="49">
        <f t="array" ref="G154">_xlfn.XLOOKUP(
 A154,
 tblCost[RequirementID],
 tblCost[QuantityRequired],
 ""
)</f>
        <v>30</v>
      </c>
      <c r="H154" s="49">
        <f t="array" ref="H154">IF(
 OR(
  LEFT(B154,15)="state.character",
  RIGHT(B154,6)=".maxed"
 ),
 0,
 LET(
  sort,
   _xlfn.XLOOKUP(
    B154,
    tblChecklist[TargetID],
    tblChecklist[PlayerSort],
    0
   ),
  IF(sort=0,500,sort)
 )
)</f>
        <v>72</v>
      </c>
      <c r="I154" s="49" t="str">
        <f t="array" ref="I154">_xlfn.XLOOKUP(
 B154,
 tblTargetStatus[TargetID],
 tblTargetStatus[Status],
 ""
)</f>
        <v>BLOCKED</v>
      </c>
      <c r="J154" s="45" t="b">
        <v>0</v>
      </c>
    </row>
    <row r="155" ht="14.25" hidden="1" customHeight="1">
      <c r="A155" s="49" t="s">
        <v>617</v>
      </c>
      <c r="B155" s="49" t="str">
        <f>IFERROR(__xludf.DUMMYFUNCTION("REGEXREPLACE(
 REGEXREPLACE(A155,""^cost\."",""""),
 ""\.[^.]+\.[^.]+$"",
 """"
)"),"building.fermentory@1")</f>
        <v>building.fermentory@1</v>
      </c>
      <c r="C155" s="49" t="str">
        <f t="array" ref="C155">_xlfn.XLOOKUP(
 B155,
 tblTargets[TargetID],
 tblTargets[DisplayName],
 ""
)</f>
        <v>Fermentory Lv 1</v>
      </c>
      <c r="D155" s="49" t="str">
        <f t="array" ref="D155">_xlfn.XLOOKUP(
 B155,
 tblTargets[TargetID],
 tblTargets[TargetType],
 ""
)</f>
        <v>BUILDING</v>
      </c>
      <c r="E155" s="49" t="s">
        <v>6</v>
      </c>
      <c r="F155" s="49">
        <v>1.0</v>
      </c>
      <c r="G155" s="49">
        <f t="array" ref="G155">_xlfn.XLOOKUP(
 A155,
 tblCost[RequirementID],
 tblCost[QuantityRequired],
 ""
)</f>
        <v>5</v>
      </c>
      <c r="H155" s="49">
        <f t="array" ref="H155">IF(
 OR(
  LEFT(B155,15)="state.character",
  RIGHT(B155,6)=".maxed"
 ),
 0,
 LET(
  sort,
   _xlfn.XLOOKUP(
    B155,
    tblChecklist[TargetID],
    tblChecklist[PlayerSort],
    0
   ),
  IF(sort=0,500,sort)
 )
)</f>
        <v>72</v>
      </c>
      <c r="I155" s="49" t="str">
        <f t="array" ref="I155">_xlfn.XLOOKUP(
 B155,
 tblTargetStatus[TargetID],
 tblTargetStatus[Status],
 ""
)</f>
        <v>BLOCKED</v>
      </c>
      <c r="J155" s="45" t="b">
        <v>0</v>
      </c>
    </row>
    <row r="156" ht="14.25" hidden="1" customHeight="1">
      <c r="A156" s="49" t="s">
        <v>625</v>
      </c>
      <c r="B156" s="49" t="str">
        <f>IFERROR(__xludf.DUMMYFUNCTION("REGEXREPLACE(
 REGEXREPLACE(A156,""^cost\."",""""),
 ""\.[^.]+\.[^.]+$"",
 """"
)"),"building.fermentory@1")</f>
        <v>building.fermentory@1</v>
      </c>
      <c r="C156" s="49" t="str">
        <f t="array" ref="C156">_xlfn.XLOOKUP(
 B156,
 tblTargets[TargetID],
 tblTargets[DisplayName],
 ""
)</f>
        <v>Fermentory Lv 1</v>
      </c>
      <c r="D156" s="49" t="str">
        <f t="array" ref="D156">_xlfn.XLOOKUP(
 B156,
 tblTargets[TargetID],
 tblTargets[TargetType],
 ""
)</f>
        <v>BUILDING</v>
      </c>
      <c r="E156" s="49" t="s">
        <v>629</v>
      </c>
      <c r="F156" s="49">
        <v>1.0</v>
      </c>
      <c r="G156" s="49">
        <f t="array" ref="G156">_xlfn.XLOOKUP(
 A156,
 tblCost[RequirementID],
 tblCost[QuantityRequired],
 ""
)</f>
        <v>50</v>
      </c>
      <c r="H156" s="49">
        <f t="array" ref="H156">IF(
 OR(
  LEFT(B156,15)="state.character",
  RIGHT(B156,6)=".maxed"
 ),
 0,
 LET(
  sort,
   _xlfn.XLOOKUP(
    B156,
    tblChecklist[TargetID],
    tblChecklist[PlayerSort],
    0
   ),
  IF(sort=0,500,sort)
 )
)</f>
        <v>72</v>
      </c>
      <c r="I156" s="49" t="str">
        <f t="array" ref="I156">_xlfn.XLOOKUP(
 B156,
 tblTargetStatus[TargetID],
 tblTargetStatus[Status],
 ""
)</f>
        <v>BLOCKED</v>
      </c>
      <c r="J156" s="45" t="b">
        <v>0</v>
      </c>
    </row>
    <row r="157" ht="14.25" hidden="1" customHeight="1">
      <c r="A157" s="49" t="s">
        <v>630</v>
      </c>
      <c r="B157" s="49" t="str">
        <f>IFERROR(__xludf.DUMMYFUNCTION("REGEXREPLACE(
 REGEXREPLACE(A157,""^cost\."",""""),
 ""\.[^.]+\.[^.]+$"",
 """"
)"),"building.fermentory@1")</f>
        <v>building.fermentory@1</v>
      </c>
      <c r="C157" s="49" t="str">
        <f t="array" ref="C157">_xlfn.XLOOKUP(
 B157,
 tblTargets[TargetID],
 tblTargets[DisplayName],
 ""
)</f>
        <v>Fermentory Lv 1</v>
      </c>
      <c r="D157" s="49" t="str">
        <f t="array" ref="D157">_xlfn.XLOOKUP(
 B157,
 tblTargets[TargetID],
 tblTargets[TargetType],
 ""
)</f>
        <v>BUILDING</v>
      </c>
      <c r="E157" s="49" t="s">
        <v>392</v>
      </c>
      <c r="F157" s="49">
        <v>1.0</v>
      </c>
      <c r="G157" s="49">
        <f t="array" ref="G157">_xlfn.XLOOKUP(
 A157,
 tblCost[RequirementID],
 tblCost[QuantityRequired],
 ""
)</f>
        <v>300</v>
      </c>
      <c r="H157" s="49">
        <f t="array" ref="H157">IF(
 OR(
  LEFT(B157,15)="state.character",
  RIGHT(B157,6)=".maxed"
 ),
 0,
 LET(
  sort,
   _xlfn.XLOOKUP(
    B157,
    tblChecklist[TargetID],
    tblChecklist[PlayerSort],
    0
   ),
  IF(sort=0,500,sort)
 )
)</f>
        <v>72</v>
      </c>
      <c r="I157" s="49" t="str">
        <f t="array" ref="I157">_xlfn.XLOOKUP(
 B157,
 tblTargetStatus[TargetID],
 tblTargetStatus[Status],
 ""
)</f>
        <v>BLOCKED</v>
      </c>
      <c r="J157" s="45" t="b">
        <v>0</v>
      </c>
    </row>
    <row r="158" ht="14.25" hidden="1" customHeight="1">
      <c r="A158" s="49" t="s">
        <v>634</v>
      </c>
      <c r="B158" s="49" t="str">
        <f>IFERROR(__xludf.DUMMYFUNCTION("REGEXREPLACE(
 REGEXREPLACE(A158,""^cost\."",""""),
 ""\.[^.]+\.[^.]+$"",
 """"
)"),"building.fermentory@1")</f>
        <v>building.fermentory@1</v>
      </c>
      <c r="C158" s="49" t="str">
        <f t="array" ref="C158">_xlfn.XLOOKUP(
 B158,
 tblTargets[TargetID],
 tblTargets[DisplayName],
 ""
)</f>
        <v>Fermentory Lv 1</v>
      </c>
      <c r="D158" s="49" t="str">
        <f t="array" ref="D158">_xlfn.XLOOKUP(
 B158,
 tblTargets[TargetID],
 tblTargets[TargetType],
 ""
)</f>
        <v>BUILDING</v>
      </c>
      <c r="E158" s="49" t="s">
        <v>237</v>
      </c>
      <c r="F158" s="49">
        <v>1.0</v>
      </c>
      <c r="G158" s="49">
        <f t="array" ref="G158">_xlfn.XLOOKUP(
 A158,
 tblCost[RequirementID],
 tblCost[QuantityRequired],
 ""
)</f>
        <v>700</v>
      </c>
      <c r="H158" s="49">
        <f t="array" ref="H158">IF(
 OR(
  LEFT(B158,15)="state.character",
  RIGHT(B158,6)=".maxed"
 ),
 0,
 LET(
  sort,
   _xlfn.XLOOKUP(
    B158,
    tblChecklist[TargetID],
    tblChecklist[PlayerSort],
    0
   ),
  IF(sort=0,500,sort)
 )
)</f>
        <v>72</v>
      </c>
      <c r="I158" s="49" t="str">
        <f t="array" ref="I158">_xlfn.XLOOKUP(
 B158,
 tblTargetStatus[TargetID],
 tblTargetStatus[Status],
 ""
)</f>
        <v>BLOCKED</v>
      </c>
      <c r="J158" s="45" t="b">
        <v>0</v>
      </c>
    </row>
    <row r="159" ht="14.25" hidden="1" customHeight="1">
      <c r="A159" s="49" t="s">
        <v>639</v>
      </c>
      <c r="B159" s="49" t="str">
        <f>IFERROR(__xludf.DUMMYFUNCTION("REGEXREPLACE(
 REGEXREPLACE(A159,""^cost\."",""""),
 ""\.[^.]+\.[^.]+$"",
 """"
)"),"building.fermentory@2")</f>
        <v>building.fermentory@2</v>
      </c>
      <c r="C159" s="49" t="str">
        <f t="array" ref="C159">_xlfn.XLOOKUP(
 B159,
 tblTargets[TargetID],
 tblTargets[DisplayName],
 ""
)</f>
        <v>Fermentory Lv 2</v>
      </c>
      <c r="D159" s="49" t="str">
        <f t="array" ref="D159">_xlfn.XLOOKUP(
 B159,
 tblTargets[TargetID],
 tblTargets[TargetType],
 ""
)</f>
        <v>BUILDING</v>
      </c>
      <c r="E159" s="49" t="s">
        <v>278</v>
      </c>
      <c r="F159" s="49">
        <v>1.0</v>
      </c>
      <c r="G159" s="49">
        <f t="array" ref="G159">_xlfn.XLOOKUP(
 A159,
 tblCost[RequirementID],
 tblCost[QuantityRequired],
 ""
)</f>
        <v>900</v>
      </c>
      <c r="H159" s="49">
        <f t="array" ref="H159">IF(
 OR(
  LEFT(B159,15)="state.character",
  RIGHT(B159,6)=".maxed"
 ),
 0,
 LET(
  sort,
   _xlfn.XLOOKUP(
    B159,
    tblChecklist[TargetID],
    tblChecklist[PlayerSort],
    0
   ),
  IF(sort=0,500,sort)
 )
)</f>
        <v>73</v>
      </c>
      <c r="I159" s="49" t="str">
        <f t="array" ref="I159">_xlfn.XLOOKUP(
 B159,
 tblTargetStatus[TargetID],
 tblTargetStatus[Status],
 ""
)</f>
        <v>BLOCKED</v>
      </c>
      <c r="J159" s="45" t="b">
        <v>0</v>
      </c>
    </row>
    <row r="160" ht="14.25" hidden="1" customHeight="1">
      <c r="A160" s="49" t="s">
        <v>642</v>
      </c>
      <c r="B160" s="49" t="str">
        <f>IFERROR(__xludf.DUMMYFUNCTION("REGEXREPLACE(
 REGEXREPLACE(A160,""^cost\."",""""),
 ""\.[^.]+\.[^.]+$"",
 """"
)"),"building.fermentory@2")</f>
        <v>building.fermentory@2</v>
      </c>
      <c r="C160" s="49" t="str">
        <f t="array" ref="C160">_xlfn.XLOOKUP(
 B160,
 tblTargets[TargetID],
 tblTargets[DisplayName],
 ""
)</f>
        <v>Fermentory Lv 2</v>
      </c>
      <c r="D160" s="49" t="str">
        <f t="array" ref="D160">_xlfn.XLOOKUP(
 B160,
 tblTargets[TargetID],
 tblTargets[TargetType],
 ""
)</f>
        <v>BUILDING</v>
      </c>
      <c r="E160" s="49" t="s">
        <v>283</v>
      </c>
      <c r="F160" s="49">
        <v>1.0</v>
      </c>
      <c r="G160" s="49">
        <f t="array" ref="G160">_xlfn.XLOOKUP(
 A160,
 tblCost[RequirementID],
 tblCost[QuantityRequired],
 ""
)</f>
        <v>200</v>
      </c>
      <c r="H160" s="49">
        <f t="array" ref="H160">IF(
 OR(
  LEFT(B160,15)="state.character",
  RIGHT(B160,6)=".maxed"
 ),
 0,
 LET(
  sort,
   _xlfn.XLOOKUP(
    B160,
    tblChecklist[TargetID],
    tblChecklist[PlayerSort],
    0
   ),
  IF(sort=0,500,sort)
 )
)</f>
        <v>73</v>
      </c>
      <c r="I160" s="49" t="str">
        <f t="array" ref="I160">_xlfn.XLOOKUP(
 B160,
 tblTargetStatus[TargetID],
 tblTargetStatus[Status],
 ""
)</f>
        <v>BLOCKED</v>
      </c>
      <c r="J160" s="45" t="b">
        <v>0</v>
      </c>
    </row>
    <row r="161" ht="14.25" hidden="1" customHeight="1">
      <c r="A161" s="49" t="s">
        <v>646</v>
      </c>
      <c r="B161" s="49" t="str">
        <f>IFERROR(__xludf.DUMMYFUNCTION("REGEXREPLACE(
 REGEXREPLACE(A161,""^cost\."",""""),
 ""\.[^.]+\.[^.]+$"",
 """"
)"),"building.fermentory@2")</f>
        <v>building.fermentory@2</v>
      </c>
      <c r="C161" s="49" t="str">
        <f t="array" ref="C161">_xlfn.XLOOKUP(
 B161,
 tblTargets[TargetID],
 tblTargets[DisplayName],
 ""
)</f>
        <v>Fermentory Lv 2</v>
      </c>
      <c r="D161" s="49" t="str">
        <f t="array" ref="D161">_xlfn.XLOOKUP(
 B161,
 tblTargets[TargetID],
 tblTargets[TargetType],
 ""
)</f>
        <v>BUILDING</v>
      </c>
      <c r="E161" s="49" t="s">
        <v>113</v>
      </c>
      <c r="F161" s="49">
        <v>1.0</v>
      </c>
      <c r="G161" s="49">
        <f t="array" ref="G161">_xlfn.XLOOKUP(
 A161,
 tblCost[RequirementID],
 tblCost[QuantityRequired],
 ""
)</f>
        <v>100</v>
      </c>
      <c r="H161" s="49">
        <f t="array" ref="H161">IF(
 OR(
  LEFT(B161,15)="state.character",
  RIGHT(B161,6)=".maxed"
 ),
 0,
 LET(
  sort,
   _xlfn.XLOOKUP(
    B161,
    tblChecklist[TargetID],
    tblChecklist[PlayerSort],
    0
   ),
  IF(sort=0,500,sort)
 )
)</f>
        <v>73</v>
      </c>
      <c r="I161" s="49" t="str">
        <f t="array" ref="I161">_xlfn.XLOOKUP(
 B161,
 tblTargetStatus[TargetID],
 tblTargetStatus[Status],
 ""
)</f>
        <v>BLOCKED</v>
      </c>
      <c r="J161" s="45" t="b">
        <v>0</v>
      </c>
    </row>
    <row r="162" ht="14.25" hidden="1" customHeight="1">
      <c r="A162" s="49" t="s">
        <v>651</v>
      </c>
      <c r="B162" s="49" t="str">
        <f>IFERROR(__xludf.DUMMYFUNCTION("REGEXREPLACE(
 REGEXREPLACE(A162,""^cost\."",""""),
 ""\.[^.]+\.[^.]+$"",
 """"
)"),"building.fermentory@2")</f>
        <v>building.fermentory@2</v>
      </c>
      <c r="C162" s="49" t="str">
        <f t="array" ref="C162">_xlfn.XLOOKUP(
 B162,
 tblTargets[TargetID],
 tblTargets[DisplayName],
 ""
)</f>
        <v>Fermentory Lv 2</v>
      </c>
      <c r="D162" s="49" t="str">
        <f t="array" ref="D162">_xlfn.XLOOKUP(
 B162,
 tblTargets[TargetID],
 tblTargets[TargetType],
 ""
)</f>
        <v>BUILDING</v>
      </c>
      <c r="E162" s="49" t="s">
        <v>119</v>
      </c>
      <c r="F162" s="49">
        <v>1.0</v>
      </c>
      <c r="G162" s="49">
        <f t="array" ref="G162">_xlfn.XLOOKUP(
 A162,
 tblCost[RequirementID],
 tblCost[QuantityRequired],
 ""
)</f>
        <v>1000</v>
      </c>
      <c r="H162" s="49">
        <f t="array" ref="H162">IF(
 OR(
  LEFT(B162,15)="state.character",
  RIGHT(B162,6)=".maxed"
 ),
 0,
 LET(
  sort,
   _xlfn.XLOOKUP(
    B162,
    tblChecklist[TargetID],
    tblChecklist[PlayerSort],
    0
   ),
  IF(sort=0,500,sort)
 )
)</f>
        <v>73</v>
      </c>
      <c r="I162" s="49" t="str">
        <f t="array" ref="I162">_xlfn.XLOOKUP(
 B162,
 tblTargetStatus[TargetID],
 tblTargetStatus[Status],
 ""
)</f>
        <v>BLOCKED</v>
      </c>
      <c r="J162" s="45" t="b">
        <v>0</v>
      </c>
    </row>
    <row r="163" ht="14.25" hidden="1" customHeight="1">
      <c r="A163" s="49" t="s">
        <v>653</v>
      </c>
      <c r="B163" s="49" t="str">
        <f>IFERROR(__xludf.DUMMYFUNCTION("REGEXREPLACE(
 REGEXREPLACE(A163,""^cost\."",""""),
 ""\.[^.]+\.[^.]+$"",
 """"
)"),"building.fermentory@2")</f>
        <v>building.fermentory@2</v>
      </c>
      <c r="C163" s="49" t="str">
        <f t="array" ref="C163">_xlfn.XLOOKUP(
 B163,
 tblTargets[TargetID],
 tblTargets[DisplayName],
 ""
)</f>
        <v>Fermentory Lv 2</v>
      </c>
      <c r="D163" s="49" t="str">
        <f t="array" ref="D163">_xlfn.XLOOKUP(
 B163,
 tblTargets[TargetID],
 tblTargets[TargetType],
 ""
)</f>
        <v>BUILDING</v>
      </c>
      <c r="E163" s="49" t="s">
        <v>140</v>
      </c>
      <c r="F163" s="49">
        <v>1.0</v>
      </c>
      <c r="G163" s="49">
        <f t="array" ref="G163">_xlfn.XLOOKUP(
 A163,
 tblCost[RequirementID],
 tblCost[QuantityRequired],
 ""
)</f>
        <v>30</v>
      </c>
      <c r="H163" s="49">
        <f t="array" ref="H163">IF(
 OR(
  LEFT(B163,15)="state.character",
  RIGHT(B163,6)=".maxed"
 ),
 0,
 LET(
  sort,
   _xlfn.XLOOKUP(
    B163,
    tblChecklist[TargetID],
    tblChecklist[PlayerSort],
    0
   ),
  IF(sort=0,500,sort)
 )
)</f>
        <v>73</v>
      </c>
      <c r="I163" s="49" t="str">
        <f t="array" ref="I163">_xlfn.XLOOKUP(
 B163,
 tblTargetStatus[TargetID],
 tblTargetStatus[Status],
 ""
)</f>
        <v>BLOCKED</v>
      </c>
      <c r="J163" s="45" t="b">
        <v>0</v>
      </c>
    </row>
    <row r="164" ht="14.25" hidden="1" customHeight="1">
      <c r="A164" s="49" t="s">
        <v>656</v>
      </c>
      <c r="B164" s="49" t="str">
        <f>IFERROR(__xludf.DUMMYFUNCTION("REGEXREPLACE(
 REGEXREPLACE(A164,""^cost\."",""""),
 ""\.[^.]+\.[^.]+$"",
 """"
)"),"building.fermentory@2")</f>
        <v>building.fermentory@2</v>
      </c>
      <c r="C164" s="49" t="str">
        <f t="array" ref="C164">_xlfn.XLOOKUP(
 B164,
 tblTargets[TargetID],
 tblTargets[DisplayName],
 ""
)</f>
        <v>Fermentory Lv 2</v>
      </c>
      <c r="D164" s="49" t="str">
        <f t="array" ref="D164">_xlfn.XLOOKUP(
 B164,
 tblTargets[TargetID],
 tblTargets[TargetType],
 ""
)</f>
        <v>BUILDING</v>
      </c>
      <c r="E164" s="49" t="s">
        <v>6</v>
      </c>
      <c r="F164" s="49">
        <v>1.0</v>
      </c>
      <c r="G164" s="49">
        <f t="array" ref="G164">_xlfn.XLOOKUP(
 A164,
 tblCost[RequirementID],
 tblCost[QuantityRequired],
 ""
)</f>
        <v>5</v>
      </c>
      <c r="H164" s="49">
        <f t="array" ref="H164">IF(
 OR(
  LEFT(B164,15)="state.character",
  RIGHT(B164,6)=".maxed"
 ),
 0,
 LET(
  sort,
   _xlfn.XLOOKUP(
    B164,
    tblChecklist[TargetID],
    tblChecklist[PlayerSort],
    0
   ),
  IF(sort=0,500,sort)
 )
)</f>
        <v>73</v>
      </c>
      <c r="I164" s="49" t="str">
        <f t="array" ref="I164">_xlfn.XLOOKUP(
 B164,
 tblTargetStatus[TargetID],
 tblTargetStatus[Status],
 ""
)</f>
        <v>BLOCKED</v>
      </c>
      <c r="J164" s="45" t="b">
        <v>0</v>
      </c>
    </row>
    <row r="165" ht="14.25" hidden="1" customHeight="1">
      <c r="A165" s="49" t="s">
        <v>661</v>
      </c>
      <c r="B165" s="49" t="str">
        <f>IFERROR(__xludf.DUMMYFUNCTION("REGEXREPLACE(
 REGEXREPLACE(A165,""^cost\."",""""),
 ""\.[^.]+\.[^.]+$"",
 """"
)"),"building.fermentory@2")</f>
        <v>building.fermentory@2</v>
      </c>
      <c r="C165" s="49" t="str">
        <f t="array" ref="C165">_xlfn.XLOOKUP(
 B165,
 tblTargets[TargetID],
 tblTargets[DisplayName],
 ""
)</f>
        <v>Fermentory Lv 2</v>
      </c>
      <c r="D165" s="49" t="str">
        <f t="array" ref="D165">_xlfn.XLOOKUP(
 B165,
 tblTargets[TargetID],
 tblTargets[TargetType],
 ""
)</f>
        <v>BUILDING</v>
      </c>
      <c r="E165" s="49" t="s">
        <v>629</v>
      </c>
      <c r="F165" s="49">
        <v>1.0</v>
      </c>
      <c r="G165" s="49">
        <f t="array" ref="G165">_xlfn.XLOOKUP(
 A165,
 tblCost[RequirementID],
 tblCost[QuantityRequired],
 ""
)</f>
        <v>50</v>
      </c>
      <c r="H165" s="49">
        <f t="array" ref="H165">IF(
 OR(
  LEFT(B165,15)="state.character",
  RIGHT(B165,6)=".maxed"
 ),
 0,
 LET(
  sort,
   _xlfn.XLOOKUP(
    B165,
    tblChecklist[TargetID],
    tblChecklist[PlayerSort],
    0
   ),
  IF(sort=0,500,sort)
 )
)</f>
        <v>73</v>
      </c>
      <c r="I165" s="49" t="str">
        <f t="array" ref="I165">_xlfn.XLOOKUP(
 B165,
 tblTargetStatus[TargetID],
 tblTargetStatus[Status],
 ""
)</f>
        <v>BLOCKED</v>
      </c>
      <c r="J165" s="45" t="b">
        <v>0</v>
      </c>
    </row>
    <row r="166" ht="14.25" hidden="1" customHeight="1">
      <c r="A166" s="49" t="s">
        <v>664</v>
      </c>
      <c r="B166" s="49" t="str">
        <f>IFERROR(__xludf.DUMMYFUNCTION("REGEXREPLACE(
 REGEXREPLACE(A166,""^cost\."",""""),
 ""\.[^.]+\.[^.]+$"",
 """"
)"),"building.fermentory@2")</f>
        <v>building.fermentory@2</v>
      </c>
      <c r="C166" s="49" t="str">
        <f t="array" ref="C166">_xlfn.XLOOKUP(
 B166,
 tblTargets[TargetID],
 tblTargets[DisplayName],
 ""
)</f>
        <v>Fermentory Lv 2</v>
      </c>
      <c r="D166" s="49" t="str">
        <f t="array" ref="D166">_xlfn.XLOOKUP(
 B166,
 tblTargets[TargetID],
 tblTargets[TargetType],
 ""
)</f>
        <v>BUILDING</v>
      </c>
      <c r="E166" s="49" t="s">
        <v>237</v>
      </c>
      <c r="F166" s="49">
        <v>1.0</v>
      </c>
      <c r="G166" s="49">
        <f t="array" ref="G166">_xlfn.XLOOKUP(
 A166,
 tblCost[RequirementID],
 tblCost[QuantityRequired],
 ""
)</f>
        <v>500</v>
      </c>
      <c r="H166" s="49">
        <f t="array" ref="H166">IF(
 OR(
  LEFT(B166,15)="state.character",
  RIGHT(B166,6)=".maxed"
 ),
 0,
 LET(
  sort,
   _xlfn.XLOOKUP(
    B166,
    tblChecklist[TargetID],
    tblChecklist[PlayerSort],
    0
   ),
  IF(sort=0,500,sort)
 )
)</f>
        <v>73</v>
      </c>
      <c r="I166" s="49" t="str">
        <f t="array" ref="I166">_xlfn.XLOOKUP(
 B166,
 tblTargetStatus[TargetID],
 tblTargetStatus[Status],
 ""
)</f>
        <v>BLOCKED</v>
      </c>
      <c r="J166" s="45" t="b">
        <v>0</v>
      </c>
    </row>
    <row r="167" ht="14.25" hidden="1" customHeight="1">
      <c r="A167" s="49" t="s">
        <v>668</v>
      </c>
      <c r="B167" s="49" t="str">
        <f>IFERROR(__xludf.DUMMYFUNCTION("REGEXREPLACE(
 REGEXREPLACE(A167,""^cost\."",""""),
 ""\.[^.]+\.[^.]+$"",
 """"
)"),"building.fermentory@3")</f>
        <v>building.fermentory@3</v>
      </c>
      <c r="C167" s="49" t="str">
        <f t="array" ref="C167">_xlfn.XLOOKUP(
 B167,
 tblTargets[TargetID],
 tblTargets[DisplayName],
 ""
)</f>
        <v>Fermentory Lv 3</v>
      </c>
      <c r="D167" s="49" t="str">
        <f t="array" ref="D167">_xlfn.XLOOKUP(
 B167,
 tblTargets[TargetID],
 tblTargets[TargetType],
 ""
)</f>
        <v>BUILDING</v>
      </c>
      <c r="E167" s="49" t="s">
        <v>283</v>
      </c>
      <c r="F167" s="49">
        <v>1.0</v>
      </c>
      <c r="G167" s="49">
        <f t="array" ref="G167">_xlfn.XLOOKUP(
 A167,
 tblCost[RequirementID],
 tblCost[QuantityRequired],
 ""
)</f>
        <v>200</v>
      </c>
      <c r="H167" s="49">
        <f t="array" ref="H167">IF(
 OR(
  LEFT(B167,15)="state.character",
  RIGHT(B167,6)=".maxed"
 ),
 0,
 LET(
  sort,
   _xlfn.XLOOKUP(
    B167,
    tblChecklist[TargetID],
    tblChecklist[PlayerSort],
    0
   ),
  IF(sort=0,500,sort)
 )
)</f>
        <v>74</v>
      </c>
      <c r="I167" s="49" t="str">
        <f t="array" ref="I167">_xlfn.XLOOKUP(
 B167,
 tblTargetStatus[TargetID],
 tblTargetStatus[Status],
 ""
)</f>
        <v>BLOCKED</v>
      </c>
      <c r="J167" s="45" t="b">
        <v>0</v>
      </c>
    </row>
    <row r="168" ht="14.25" hidden="1" customHeight="1">
      <c r="A168" s="49" t="s">
        <v>671</v>
      </c>
      <c r="B168" s="49" t="str">
        <f>IFERROR(__xludf.DUMMYFUNCTION("REGEXREPLACE(
 REGEXREPLACE(A168,""^cost\."",""""),
 ""\.[^.]+\.[^.]+$"",
 """"
)"),"building.fermentory@3")</f>
        <v>building.fermentory@3</v>
      </c>
      <c r="C168" s="49" t="str">
        <f t="array" ref="C168">_xlfn.XLOOKUP(
 B168,
 tblTargets[TargetID],
 tblTargets[DisplayName],
 ""
)</f>
        <v>Fermentory Lv 3</v>
      </c>
      <c r="D168" s="49" t="str">
        <f t="array" ref="D168">_xlfn.XLOOKUP(
 B168,
 tblTargets[TargetID],
 tblTargets[TargetType],
 ""
)</f>
        <v>BUILDING</v>
      </c>
      <c r="E168" s="49" t="s">
        <v>119</v>
      </c>
      <c r="F168" s="49">
        <v>1.0</v>
      </c>
      <c r="G168" s="49">
        <f t="array" ref="G168">_xlfn.XLOOKUP(
 A168,
 tblCost[RequirementID],
 tblCost[QuantityRequired],
 ""
)</f>
        <v>1000</v>
      </c>
      <c r="H168" s="49">
        <f t="array" ref="H168">IF(
 OR(
  LEFT(B168,15)="state.character",
  RIGHT(B168,6)=".maxed"
 ),
 0,
 LET(
  sort,
   _xlfn.XLOOKUP(
    B168,
    tblChecklist[TargetID],
    tblChecklist[PlayerSort],
    0
   ),
  IF(sort=0,500,sort)
 )
)</f>
        <v>74</v>
      </c>
      <c r="I168" s="49" t="str">
        <f t="array" ref="I168">_xlfn.XLOOKUP(
 B168,
 tblTargetStatus[TargetID],
 tblTargetStatus[Status],
 ""
)</f>
        <v>BLOCKED</v>
      </c>
      <c r="J168" s="45" t="b">
        <v>0</v>
      </c>
    </row>
    <row r="169" ht="14.25" hidden="1" customHeight="1">
      <c r="A169" s="49" t="s">
        <v>675</v>
      </c>
      <c r="B169" s="49" t="str">
        <f>IFERROR(__xludf.DUMMYFUNCTION("REGEXREPLACE(
 REGEXREPLACE(A169,""^cost\."",""""),
 ""\.[^.]+\.[^.]+$"",
 """"
)"),"building.fermentory@3")</f>
        <v>building.fermentory@3</v>
      </c>
      <c r="C169" s="49" t="str">
        <f t="array" ref="C169">_xlfn.XLOOKUP(
 B169,
 tblTargets[TargetID],
 tblTargets[DisplayName],
 ""
)</f>
        <v>Fermentory Lv 3</v>
      </c>
      <c r="D169" s="49" t="str">
        <f t="array" ref="D169">_xlfn.XLOOKUP(
 B169,
 tblTargets[TargetID],
 tblTargets[TargetType],
 ""
)</f>
        <v>BUILDING</v>
      </c>
      <c r="E169" s="49" t="s">
        <v>187</v>
      </c>
      <c r="F169" s="49">
        <v>1.0</v>
      </c>
      <c r="G169" s="49">
        <f t="array" ref="G169">_xlfn.XLOOKUP(
 A169,
 tblCost[RequirementID],
 tblCost[QuantityRequired],
 ""
)</f>
        <v>700</v>
      </c>
      <c r="H169" s="49">
        <f t="array" ref="H169">IF(
 OR(
  LEFT(B169,15)="state.character",
  RIGHT(B169,6)=".maxed"
 ),
 0,
 LET(
  sort,
   _xlfn.XLOOKUP(
    B169,
    tblChecklist[TargetID],
    tblChecklist[PlayerSort],
    0
   ),
  IF(sort=0,500,sort)
 )
)</f>
        <v>74</v>
      </c>
      <c r="I169" s="49" t="str">
        <f t="array" ref="I169">_xlfn.XLOOKUP(
 B169,
 tblTargetStatus[TargetID],
 tblTargetStatus[Status],
 ""
)</f>
        <v>BLOCKED</v>
      </c>
      <c r="J169" s="45" t="b">
        <v>0</v>
      </c>
    </row>
    <row r="170" ht="14.25" hidden="1" customHeight="1">
      <c r="A170" s="49" t="s">
        <v>678</v>
      </c>
      <c r="B170" s="49" t="str">
        <f>IFERROR(__xludf.DUMMYFUNCTION("REGEXREPLACE(
 REGEXREPLACE(A170,""^cost\."",""""),
 ""\.[^.]+\.[^.]+$"",
 """"
)"),"building.fermentory@3")</f>
        <v>building.fermentory@3</v>
      </c>
      <c r="C170" s="49" t="str">
        <f t="array" ref="C170">_xlfn.XLOOKUP(
 B170,
 tblTargets[TargetID],
 tblTargets[DisplayName],
 ""
)</f>
        <v>Fermentory Lv 3</v>
      </c>
      <c r="D170" s="49" t="str">
        <f t="array" ref="D170">_xlfn.XLOOKUP(
 B170,
 tblTargets[TargetID],
 tblTargets[TargetType],
 ""
)</f>
        <v>BUILDING</v>
      </c>
      <c r="E170" s="49" t="s">
        <v>6</v>
      </c>
      <c r="F170" s="49">
        <v>1.0</v>
      </c>
      <c r="G170" s="49">
        <f t="array" ref="G170">_xlfn.XLOOKUP(
 A170,
 tblCost[RequirementID],
 tblCost[QuantityRequired],
 ""
)</f>
        <v>7</v>
      </c>
      <c r="H170" s="49">
        <f t="array" ref="H170">IF(
 OR(
  LEFT(B170,15)="state.character",
  RIGHT(B170,6)=".maxed"
 ),
 0,
 LET(
  sort,
   _xlfn.XLOOKUP(
    B170,
    tblChecklist[TargetID],
    tblChecklist[PlayerSort],
    0
   ),
  IF(sort=0,500,sort)
 )
)</f>
        <v>74</v>
      </c>
      <c r="I170" s="49" t="str">
        <f t="array" ref="I170">_xlfn.XLOOKUP(
 B170,
 tblTargetStatus[TargetID],
 tblTargetStatus[Status],
 ""
)</f>
        <v>BLOCKED</v>
      </c>
      <c r="J170" s="45" t="b">
        <v>0</v>
      </c>
    </row>
    <row r="171" ht="14.25" hidden="1" customHeight="1">
      <c r="A171" s="49" t="s">
        <v>683</v>
      </c>
      <c r="B171" s="49" t="str">
        <f>IFERROR(__xludf.DUMMYFUNCTION("REGEXREPLACE(
 REGEXREPLACE(A171,""^cost\."",""""),
 ""\.[^.]+\.[^.]+$"",
 """"
)"),"building.fermentory@3")</f>
        <v>building.fermentory@3</v>
      </c>
      <c r="C171" s="49" t="str">
        <f t="array" ref="C171">_xlfn.XLOOKUP(
 B171,
 tblTargets[TargetID],
 tblTargets[DisplayName],
 ""
)</f>
        <v>Fermentory Lv 3</v>
      </c>
      <c r="D171" s="49" t="str">
        <f t="array" ref="D171">_xlfn.XLOOKUP(
 B171,
 tblTargets[TargetID],
 tblTargets[TargetType],
 ""
)</f>
        <v>BUILDING</v>
      </c>
      <c r="E171" s="49" t="s">
        <v>629</v>
      </c>
      <c r="F171" s="49">
        <v>1.0</v>
      </c>
      <c r="G171" s="49">
        <f t="array" ref="G171">_xlfn.XLOOKUP(
 A171,
 tblCost[RequirementID],
 tblCost[QuantityRequired],
 ""
)</f>
        <v>50</v>
      </c>
      <c r="H171" s="49">
        <f t="array" ref="H171">IF(
 OR(
  LEFT(B171,15)="state.character",
  RIGHT(B171,6)=".maxed"
 ),
 0,
 LET(
  sort,
   _xlfn.XLOOKUP(
    B171,
    tblChecklist[TargetID],
    tblChecklist[PlayerSort],
    0
   ),
  IF(sort=0,500,sort)
 )
)</f>
        <v>74</v>
      </c>
      <c r="I171" s="49" t="str">
        <f t="array" ref="I171">_xlfn.XLOOKUP(
 B171,
 tblTargetStatus[TargetID],
 tblTargetStatus[Status],
 ""
)</f>
        <v>BLOCKED</v>
      </c>
      <c r="J171" s="45" t="b">
        <v>0</v>
      </c>
    </row>
    <row r="172" ht="14.25" hidden="1" customHeight="1">
      <c r="A172" s="49" t="s">
        <v>686</v>
      </c>
      <c r="B172" s="49" t="str">
        <f>IFERROR(__xludf.DUMMYFUNCTION("REGEXREPLACE(
 REGEXREPLACE(A172,""^cost\."",""""),
 ""\.[^.]+\.[^.]+$"",
 """"
)"),"building.fermentory@3")</f>
        <v>building.fermentory@3</v>
      </c>
      <c r="C172" s="49" t="str">
        <f t="array" ref="C172">_xlfn.XLOOKUP(
 B172,
 tblTargets[TargetID],
 tblTargets[DisplayName],
 ""
)</f>
        <v>Fermentory Lv 3</v>
      </c>
      <c r="D172" s="49" t="str">
        <f t="array" ref="D172">_xlfn.XLOOKUP(
 B172,
 tblTargets[TargetID],
 tblTargets[TargetType],
 ""
)</f>
        <v>BUILDING</v>
      </c>
      <c r="E172" s="49" t="s">
        <v>392</v>
      </c>
      <c r="F172" s="49">
        <v>1.0</v>
      </c>
      <c r="G172" s="49">
        <f t="array" ref="G172">_xlfn.XLOOKUP(
 A172,
 tblCost[RequirementID],
 tblCost[QuantityRequired],
 ""
)</f>
        <v>200</v>
      </c>
      <c r="H172" s="49">
        <f t="array" ref="H172">IF(
 OR(
  LEFT(B172,15)="state.character",
  RIGHT(B172,6)=".maxed"
 ),
 0,
 LET(
  sort,
   _xlfn.XLOOKUP(
    B172,
    tblChecklist[TargetID],
    tblChecklist[PlayerSort],
    0
   ),
  IF(sort=0,500,sort)
 )
)</f>
        <v>74</v>
      </c>
      <c r="I172" s="49" t="str">
        <f t="array" ref="I172">_xlfn.XLOOKUP(
 B172,
 tblTargetStatus[TargetID],
 tblTargetStatus[Status],
 ""
)</f>
        <v>BLOCKED</v>
      </c>
      <c r="J172" s="45" t="b">
        <v>0</v>
      </c>
    </row>
    <row r="173" ht="14.25" hidden="1" customHeight="1">
      <c r="A173" s="49" t="s">
        <v>689</v>
      </c>
      <c r="B173" s="49" t="str">
        <f>IFERROR(__xludf.DUMMYFUNCTION("REGEXREPLACE(
 REGEXREPLACE(A173,""^cost\."",""""),
 ""\.[^.]+\.[^.]+$"",
 """"
)"),"building.fermentory@3")</f>
        <v>building.fermentory@3</v>
      </c>
      <c r="C173" s="49" t="str">
        <f t="array" ref="C173">_xlfn.XLOOKUP(
 B173,
 tblTargets[TargetID],
 tblTargets[DisplayName],
 ""
)</f>
        <v>Fermentory Lv 3</v>
      </c>
      <c r="D173" s="49" t="str">
        <f t="array" ref="D173">_xlfn.XLOOKUP(
 B173,
 tblTargets[TargetID],
 tblTargets[TargetType],
 ""
)</f>
        <v>BUILDING</v>
      </c>
      <c r="E173" s="49" t="s">
        <v>237</v>
      </c>
      <c r="F173" s="49">
        <v>1.0</v>
      </c>
      <c r="G173" s="49">
        <f t="array" ref="G173">_xlfn.XLOOKUP(
 A173,
 tblCost[RequirementID],
 tblCost[QuantityRequired],
 ""
)</f>
        <v>500</v>
      </c>
      <c r="H173" s="49">
        <f t="array" ref="H173">IF(
 OR(
  LEFT(B173,15)="state.character",
  RIGHT(B173,6)=".maxed"
 ),
 0,
 LET(
  sort,
   _xlfn.XLOOKUP(
    B173,
    tblChecklist[TargetID],
    tblChecklist[PlayerSort],
    0
   ),
  IF(sort=0,500,sort)
 )
)</f>
        <v>74</v>
      </c>
      <c r="I173" s="49" t="str">
        <f t="array" ref="I173">_xlfn.XLOOKUP(
 B173,
 tblTargetStatus[TargetID],
 tblTargetStatus[Status],
 ""
)</f>
        <v>BLOCKED</v>
      </c>
      <c r="J173" s="45" t="b">
        <v>0</v>
      </c>
    </row>
    <row r="174" ht="14.25" hidden="1" customHeight="1">
      <c r="A174" s="49" t="s">
        <v>693</v>
      </c>
      <c r="B174" s="49" t="str">
        <f>IFERROR(__xludf.DUMMYFUNCTION("REGEXREPLACE(
 REGEXREPLACE(A174,""^cost\."",""""),
 ""\.[^.]+\.[^.]+$"",
 """"
)"),"building.fermentory@4")</f>
        <v>building.fermentory@4</v>
      </c>
      <c r="C174" s="49" t="str">
        <f t="array" ref="C174">_xlfn.XLOOKUP(
 B174,
 tblTargets[TargetID],
 tblTargets[DisplayName],
 ""
)</f>
        <v>Fermentory Lv 4</v>
      </c>
      <c r="D174" s="49" t="str">
        <f t="array" ref="D174">_xlfn.XLOOKUP(
 B174,
 tblTargets[TargetID],
 tblTargets[TargetType],
 ""
)</f>
        <v>BUILDING</v>
      </c>
      <c r="E174" s="49" t="s">
        <v>119</v>
      </c>
      <c r="F174" s="49">
        <v>1.0</v>
      </c>
      <c r="G174" s="49">
        <f t="array" ref="G174">_xlfn.XLOOKUP(
 A174,
 tblCost[RequirementID],
 tblCost[QuantityRequired],
 ""
)</f>
        <v>1000</v>
      </c>
      <c r="H174" s="49">
        <f t="array" ref="H174">IF(
 OR(
  LEFT(B174,15)="state.character",
  RIGHT(B174,6)=".maxed"
 ),
 0,
 LET(
  sort,
   _xlfn.XLOOKUP(
    B174,
    tblChecklist[TargetID],
    tblChecklist[PlayerSort],
    0
   ),
  IF(sort=0,500,sort)
 )
)</f>
        <v>79</v>
      </c>
      <c r="I174" s="49" t="str">
        <f t="array" ref="I174">_xlfn.XLOOKUP(
 B174,
 tblTargetStatus[TargetID],
 tblTargetStatus[Status],
 ""
)</f>
        <v>BLOCKED</v>
      </c>
      <c r="J174" s="45" t="b">
        <v>0</v>
      </c>
    </row>
    <row r="175" ht="14.25" hidden="1" customHeight="1">
      <c r="A175" s="49" t="s">
        <v>696</v>
      </c>
      <c r="B175" s="49" t="str">
        <f>IFERROR(__xludf.DUMMYFUNCTION("REGEXREPLACE(
 REGEXREPLACE(A175,""^cost\."",""""),
 ""\.[^.]+\.[^.]+$"",
 """"
)"),"building.fermentory@4")</f>
        <v>building.fermentory@4</v>
      </c>
      <c r="C175" s="49" t="str">
        <f t="array" ref="C175">_xlfn.XLOOKUP(
 B175,
 tblTargets[TargetID],
 tblTargets[DisplayName],
 ""
)</f>
        <v>Fermentory Lv 4</v>
      </c>
      <c r="D175" s="49" t="str">
        <f t="array" ref="D175">_xlfn.XLOOKUP(
 B175,
 tblTargets[TargetID],
 tblTargets[TargetType],
 ""
)</f>
        <v>BUILDING</v>
      </c>
      <c r="E175" s="49" t="s">
        <v>187</v>
      </c>
      <c r="F175" s="49">
        <v>1.0</v>
      </c>
      <c r="G175" s="49">
        <f t="array" ref="G175">_xlfn.XLOOKUP(
 A175,
 tblCost[RequirementID],
 tblCost[QuantityRequired],
 ""
)</f>
        <v>900</v>
      </c>
      <c r="H175" s="49">
        <f t="array" ref="H175">IF(
 OR(
  LEFT(B175,15)="state.character",
  RIGHT(B175,6)=".maxed"
 ),
 0,
 LET(
  sort,
   _xlfn.XLOOKUP(
    B175,
    tblChecklist[TargetID],
    tblChecklist[PlayerSort],
    0
   ),
  IF(sort=0,500,sort)
 )
)</f>
        <v>79</v>
      </c>
      <c r="I175" s="49" t="str">
        <f t="array" ref="I175">_xlfn.XLOOKUP(
 B175,
 tblTargetStatus[TargetID],
 tblTargetStatus[Status],
 ""
)</f>
        <v>BLOCKED</v>
      </c>
      <c r="J175" s="45" t="b">
        <v>0</v>
      </c>
    </row>
    <row r="176" ht="14.25" hidden="1" customHeight="1">
      <c r="A176" s="49" t="s">
        <v>700</v>
      </c>
      <c r="B176" s="49" t="str">
        <f>IFERROR(__xludf.DUMMYFUNCTION("REGEXREPLACE(
 REGEXREPLACE(A176,""^cost\."",""""),
 ""\.[^.]+\.[^.]+$"",
 """"
)"),"building.fermentory@4")</f>
        <v>building.fermentory@4</v>
      </c>
      <c r="C176" s="49" t="str">
        <f t="array" ref="C176">_xlfn.XLOOKUP(
 B176,
 tblTargets[TargetID],
 tblTargets[DisplayName],
 ""
)</f>
        <v>Fermentory Lv 4</v>
      </c>
      <c r="D176" s="49" t="str">
        <f t="array" ref="D176">_xlfn.XLOOKUP(
 B176,
 tblTargets[TargetID],
 tblTargets[TargetType],
 ""
)</f>
        <v>BUILDING</v>
      </c>
      <c r="E176" s="49" t="s">
        <v>701</v>
      </c>
      <c r="F176" s="49">
        <v>1.0</v>
      </c>
      <c r="G176" s="49">
        <f t="array" ref="G176">_xlfn.XLOOKUP(
 A176,
 tblCost[RequirementID],
 tblCost[QuantityRequired],
 ""
)</f>
        <v>50</v>
      </c>
      <c r="H176" s="49">
        <f t="array" ref="H176">IF(
 OR(
  LEFT(B176,15)="state.character",
  RIGHT(B176,6)=".maxed"
 ),
 0,
 LET(
  sort,
   _xlfn.XLOOKUP(
    B176,
    tblChecklist[TargetID],
    tblChecklist[PlayerSort],
    0
   ),
  IF(sort=0,500,sort)
 )
)</f>
        <v>79</v>
      </c>
      <c r="I176" s="49" t="str">
        <f t="array" ref="I176">_xlfn.XLOOKUP(
 B176,
 tblTargetStatus[TargetID],
 tblTargetStatus[Status],
 ""
)</f>
        <v>BLOCKED</v>
      </c>
      <c r="J176" s="45" t="b">
        <v>0</v>
      </c>
    </row>
    <row r="177" ht="14.25" hidden="1" customHeight="1">
      <c r="A177" s="49" t="s">
        <v>704</v>
      </c>
      <c r="B177" s="49" t="str">
        <f>IFERROR(__xludf.DUMMYFUNCTION("REGEXREPLACE(
 REGEXREPLACE(A177,""^cost\."",""""),
 ""\.[^.]+\.[^.]+$"",
 """"
)"),"building.fermentory@4")</f>
        <v>building.fermentory@4</v>
      </c>
      <c r="C177" s="49" t="str">
        <f t="array" ref="C177">_xlfn.XLOOKUP(
 B177,
 tblTargets[TargetID],
 tblTargets[DisplayName],
 ""
)</f>
        <v>Fermentory Lv 4</v>
      </c>
      <c r="D177" s="49" t="str">
        <f t="array" ref="D177">_xlfn.XLOOKUP(
 B177,
 tblTargets[TargetID],
 tblTargets[TargetType],
 ""
)</f>
        <v>BUILDING</v>
      </c>
      <c r="E177" s="49" t="s">
        <v>6</v>
      </c>
      <c r="F177" s="49">
        <v>1.0</v>
      </c>
      <c r="G177" s="49">
        <f t="array" ref="G177">_xlfn.XLOOKUP(
 A177,
 tblCost[RequirementID],
 tblCost[QuantityRequired],
 ""
)</f>
        <v>8</v>
      </c>
      <c r="H177" s="49">
        <f t="array" ref="H177">IF(
 OR(
  LEFT(B177,15)="state.character",
  RIGHT(B177,6)=".maxed"
 ),
 0,
 LET(
  sort,
   _xlfn.XLOOKUP(
    B177,
    tblChecklist[TargetID],
    tblChecklist[PlayerSort],
    0
   ),
  IF(sort=0,500,sort)
 )
)</f>
        <v>79</v>
      </c>
      <c r="I177" s="49" t="str">
        <f t="array" ref="I177">_xlfn.XLOOKUP(
 B177,
 tblTargetStatus[TargetID],
 tblTargetStatus[Status],
 ""
)</f>
        <v>BLOCKED</v>
      </c>
      <c r="J177" s="45" t="b">
        <v>0</v>
      </c>
    </row>
    <row r="178" ht="14.25" hidden="1" customHeight="1">
      <c r="A178" s="49" t="s">
        <v>709</v>
      </c>
      <c r="B178" s="49" t="str">
        <f>IFERROR(__xludf.DUMMYFUNCTION("REGEXREPLACE(
 REGEXREPLACE(A178,""^cost\."",""""),
 ""\.[^.]+\.[^.]+$"",
 """"
)"),"building.fermentory@4")</f>
        <v>building.fermentory@4</v>
      </c>
      <c r="C178" s="49" t="str">
        <f t="array" ref="C178">_xlfn.XLOOKUP(
 B178,
 tblTargets[TargetID],
 tblTargets[DisplayName],
 ""
)</f>
        <v>Fermentory Lv 4</v>
      </c>
      <c r="D178" s="49" t="str">
        <f t="array" ref="D178">_xlfn.XLOOKUP(
 B178,
 tblTargets[TargetID],
 tblTargets[TargetType],
 ""
)</f>
        <v>BUILDING</v>
      </c>
      <c r="E178" s="49" t="s">
        <v>711</v>
      </c>
      <c r="F178" s="49">
        <v>1.0</v>
      </c>
      <c r="G178" s="49">
        <f t="array" ref="G178">_xlfn.XLOOKUP(
 A178,
 tblCost[RequirementID],
 tblCost[QuantityRequired],
 ""
)</f>
        <v>10</v>
      </c>
      <c r="H178" s="49">
        <f t="array" ref="H178">IF(
 OR(
  LEFT(B178,15)="state.character",
  RIGHT(B178,6)=".maxed"
 ),
 0,
 LET(
  sort,
   _xlfn.XLOOKUP(
    B178,
    tblChecklist[TargetID],
    tblChecklist[PlayerSort],
    0
   ),
  IF(sort=0,500,sort)
 )
)</f>
        <v>79</v>
      </c>
      <c r="I178" s="49" t="str">
        <f t="array" ref="I178">_xlfn.XLOOKUP(
 B178,
 tblTargetStatus[TargetID],
 tblTargetStatus[Status],
 ""
)</f>
        <v>BLOCKED</v>
      </c>
      <c r="J178" s="45" t="b">
        <v>0</v>
      </c>
    </row>
    <row r="179" ht="14.25" hidden="1" customHeight="1">
      <c r="A179" s="49" t="s">
        <v>715</v>
      </c>
      <c r="B179" s="49" t="str">
        <f>IFERROR(__xludf.DUMMYFUNCTION("REGEXREPLACE(
 REGEXREPLACE(A179,""^cost\."",""""),
 ""\.[^.]+\.[^.]+$"",
 """"
)"),"building.fermentory@4")</f>
        <v>building.fermentory@4</v>
      </c>
      <c r="C179" s="49" t="str">
        <f t="array" ref="C179">_xlfn.XLOOKUP(
 B179,
 tblTargets[TargetID],
 tblTargets[DisplayName],
 ""
)</f>
        <v>Fermentory Lv 4</v>
      </c>
      <c r="D179" s="49" t="str">
        <f t="array" ref="D179">_xlfn.XLOOKUP(
 B179,
 tblTargets[TargetID],
 tblTargets[TargetType],
 ""
)</f>
        <v>BUILDING</v>
      </c>
      <c r="E179" s="49" t="s">
        <v>629</v>
      </c>
      <c r="F179" s="49">
        <v>1.0</v>
      </c>
      <c r="G179" s="49">
        <f t="array" ref="G179">_xlfn.XLOOKUP(
 A179,
 tblCost[RequirementID],
 tblCost[QuantityRequired],
 ""
)</f>
        <v>50</v>
      </c>
      <c r="H179" s="49">
        <f t="array" ref="H179">IF(
 OR(
  LEFT(B179,15)="state.character",
  RIGHT(B179,6)=".maxed"
 ),
 0,
 LET(
  sort,
   _xlfn.XLOOKUP(
    B179,
    tblChecklist[TargetID],
    tblChecklist[PlayerSort],
    0
   ),
  IF(sort=0,500,sort)
 )
)</f>
        <v>79</v>
      </c>
      <c r="I179" s="49" t="str">
        <f t="array" ref="I179">_xlfn.XLOOKUP(
 B179,
 tblTargetStatus[TargetID],
 tblTargetStatus[Status],
 ""
)</f>
        <v>BLOCKED</v>
      </c>
      <c r="J179" s="45" t="b">
        <v>0</v>
      </c>
    </row>
    <row r="180" ht="14.25" hidden="1" customHeight="1">
      <c r="A180" s="49" t="s">
        <v>718</v>
      </c>
      <c r="B180" s="49" t="str">
        <f>IFERROR(__xludf.DUMMYFUNCTION("REGEXREPLACE(
 REGEXREPLACE(A180,""^cost\."",""""),
 ""\.[^.]+\.[^.]+$"",
 """"
)"),"building.fermentory@4")</f>
        <v>building.fermentory@4</v>
      </c>
      <c r="C180" s="49" t="str">
        <f t="array" ref="C180">_xlfn.XLOOKUP(
 B180,
 tblTargets[TargetID],
 tblTargets[DisplayName],
 ""
)</f>
        <v>Fermentory Lv 4</v>
      </c>
      <c r="D180" s="49" t="str">
        <f t="array" ref="D180">_xlfn.XLOOKUP(
 B180,
 tblTargets[TargetID],
 tblTargets[TargetType],
 ""
)</f>
        <v>BUILDING</v>
      </c>
      <c r="E180" s="49" t="s">
        <v>392</v>
      </c>
      <c r="F180" s="49">
        <v>1.0</v>
      </c>
      <c r="G180" s="49">
        <f t="array" ref="G180">_xlfn.XLOOKUP(
 A180,
 tblCost[RequirementID],
 tblCost[QuantityRequired],
 ""
)</f>
        <v>300</v>
      </c>
      <c r="H180" s="49">
        <f t="array" ref="H180">IF(
 OR(
  LEFT(B180,15)="state.character",
  RIGHT(B180,6)=".maxed"
 ),
 0,
 LET(
  sort,
   _xlfn.XLOOKUP(
    B180,
    tblChecklist[TargetID],
    tblChecklist[PlayerSort],
    0
   ),
  IF(sort=0,500,sort)
 )
)</f>
        <v>79</v>
      </c>
      <c r="I180" s="49" t="str">
        <f t="array" ref="I180">_xlfn.XLOOKUP(
 B180,
 tblTargetStatus[TargetID],
 tblTargetStatus[Status],
 ""
)</f>
        <v>BLOCKED</v>
      </c>
      <c r="J180" s="45" t="b">
        <v>0</v>
      </c>
    </row>
    <row r="181" ht="14.25" hidden="1" customHeight="1">
      <c r="A181" s="49" t="s">
        <v>723</v>
      </c>
      <c r="B181" s="49" t="str">
        <f>IFERROR(__xludf.DUMMYFUNCTION("REGEXREPLACE(
 REGEXREPLACE(A181,""^cost\."",""""),
 ""\.[^.]+\.[^.]+$"",
 """"
)"),"building.fermentory@4")</f>
        <v>building.fermentory@4</v>
      </c>
      <c r="C181" s="49" t="str">
        <f t="array" ref="C181">_xlfn.XLOOKUP(
 B181,
 tblTargets[TargetID],
 tblTargets[DisplayName],
 ""
)</f>
        <v>Fermentory Lv 4</v>
      </c>
      <c r="D181" s="49" t="str">
        <f t="array" ref="D181">_xlfn.XLOOKUP(
 B181,
 tblTargets[TargetID],
 tblTargets[TargetType],
 ""
)</f>
        <v>BUILDING</v>
      </c>
      <c r="E181" s="49" t="s">
        <v>237</v>
      </c>
      <c r="F181" s="49">
        <v>1.0</v>
      </c>
      <c r="G181" s="49">
        <f t="array" ref="G181">_xlfn.XLOOKUP(
 A181,
 tblCost[RequirementID],
 tblCost[QuantityRequired],
 ""
)</f>
        <v>500</v>
      </c>
      <c r="H181" s="49">
        <f t="array" ref="H181">IF(
 OR(
  LEFT(B181,15)="state.character",
  RIGHT(B181,6)=".maxed"
 ),
 0,
 LET(
  sort,
   _xlfn.XLOOKUP(
    B181,
    tblChecklist[TargetID],
    tblChecklist[PlayerSort],
    0
   ),
  IF(sort=0,500,sort)
 )
)</f>
        <v>79</v>
      </c>
      <c r="I181" s="49" t="str">
        <f t="array" ref="I181">_xlfn.XLOOKUP(
 B181,
 tblTargetStatus[TargetID],
 tblTargetStatus[Status],
 ""
)</f>
        <v>BLOCKED</v>
      </c>
      <c r="J181" s="45" t="b">
        <v>0</v>
      </c>
    </row>
    <row r="182" ht="14.25" hidden="1" customHeight="1">
      <c r="A182" s="49" t="s">
        <v>730</v>
      </c>
      <c r="B182" s="49" t="str">
        <f>IFERROR(__xludf.DUMMYFUNCTION("REGEXREPLACE(
 REGEXREPLACE(A182,""^cost\."",""""),
 ""\.[^.]+\.[^.]+$"",
 """"
)"),"building.fermentory@4")</f>
        <v>building.fermentory@4</v>
      </c>
      <c r="C182" s="49" t="str">
        <f t="array" ref="C182">_xlfn.XLOOKUP(
 B182,
 tblTargets[TargetID],
 tblTargets[DisplayName],
 ""
)</f>
        <v>Fermentory Lv 4</v>
      </c>
      <c r="D182" s="49" t="str">
        <f t="array" ref="D182">_xlfn.XLOOKUP(
 B182,
 tblTargets[TargetID],
 tblTargets[TargetType],
 ""
)</f>
        <v>BUILDING</v>
      </c>
      <c r="E182" s="49" t="s">
        <v>461</v>
      </c>
      <c r="F182" s="49">
        <v>1.0</v>
      </c>
      <c r="G182" s="49">
        <f t="array" ref="G182">_xlfn.XLOOKUP(
 A182,
 tblCost[RequirementID],
 tblCost[QuantityRequired],
 ""
)</f>
        <v>50</v>
      </c>
      <c r="H182" s="49">
        <f t="array" ref="H182">IF(
 OR(
  LEFT(B182,15)="state.character",
  RIGHT(B182,6)=".maxed"
 ),
 0,
 LET(
  sort,
   _xlfn.XLOOKUP(
    B182,
    tblChecklist[TargetID],
    tblChecklist[PlayerSort],
    0
   ),
  IF(sort=0,500,sort)
 )
)</f>
        <v>79</v>
      </c>
      <c r="I182" s="49" t="str">
        <f t="array" ref="I182">_xlfn.XLOOKUP(
 B182,
 tblTargetStatus[TargetID],
 tblTargetStatus[Status],
 ""
)</f>
        <v>BLOCKED</v>
      </c>
      <c r="J182" s="45" t="b">
        <v>0</v>
      </c>
    </row>
    <row r="183" ht="14.25" hidden="1" customHeight="1">
      <c r="A183" s="49" t="s">
        <v>733</v>
      </c>
      <c r="B183" s="49" t="str">
        <f>IFERROR(__xludf.DUMMYFUNCTION("REGEXREPLACE(
 REGEXREPLACE(A183,""^cost\."",""""),
 ""\.[^.]+\.[^.]+$"",
 """"
)"),"building.fermentory@5")</f>
        <v>building.fermentory@5</v>
      </c>
      <c r="C183" s="49" t="str">
        <f t="array" ref="C183">_xlfn.XLOOKUP(
 B183,
 tblTargets[TargetID],
 tblTargets[DisplayName],
 ""
)</f>
        <v>Fermentory Lv 5</v>
      </c>
      <c r="D183" s="49" t="str">
        <f t="array" ref="D183">_xlfn.XLOOKUP(
 B183,
 tblTargets[TargetID],
 tblTargets[TargetType],
 ""
)</f>
        <v>BUILDING</v>
      </c>
      <c r="E183" s="49" t="s">
        <v>119</v>
      </c>
      <c r="F183" s="49">
        <v>1.0</v>
      </c>
      <c r="G183" s="49">
        <f t="array" ref="G183">_xlfn.XLOOKUP(
 A183,
 tblCost[RequirementID],
 tblCost[QuantityRequired],
 ""
)</f>
        <v>1000</v>
      </c>
      <c r="H183" s="49">
        <f t="array" ref="H183">IF(
 OR(
  LEFT(B183,15)="state.character",
  RIGHT(B183,6)=".maxed"
 ),
 0,
 LET(
  sort,
   _xlfn.XLOOKUP(
    B183,
    tblChecklist[TargetID],
    tblChecklist[PlayerSort],
    0
   ),
  IF(sort=0,500,sort)
 )
)</f>
        <v>80</v>
      </c>
      <c r="I183" s="49" t="str">
        <f t="array" ref="I183">_xlfn.XLOOKUP(
 B183,
 tblTargetStatus[TargetID],
 tblTargetStatus[Status],
 ""
)</f>
        <v>BLOCKED</v>
      </c>
      <c r="J183" s="45" t="b">
        <v>0</v>
      </c>
    </row>
    <row r="184" ht="14.25" hidden="1" customHeight="1">
      <c r="A184" s="49" t="s">
        <v>738</v>
      </c>
      <c r="B184" s="49" t="str">
        <f>IFERROR(__xludf.DUMMYFUNCTION("REGEXREPLACE(
 REGEXREPLACE(A184,""^cost\."",""""),
 ""\.[^.]+\.[^.]+$"",
 """"
)"),"building.fermentory@5")</f>
        <v>building.fermentory@5</v>
      </c>
      <c r="C184" s="49" t="str">
        <f t="array" ref="C184">_xlfn.XLOOKUP(
 B184,
 tblTargets[TargetID],
 tblTargets[DisplayName],
 ""
)</f>
        <v>Fermentory Lv 5</v>
      </c>
      <c r="D184" s="49" t="str">
        <f t="array" ref="D184">_xlfn.XLOOKUP(
 B184,
 tblTargets[TargetID],
 tblTargets[TargetType],
 ""
)</f>
        <v>BUILDING</v>
      </c>
      <c r="E184" s="49" t="s">
        <v>530</v>
      </c>
      <c r="F184" s="49">
        <v>1.0</v>
      </c>
      <c r="G184" s="49">
        <f t="array" ref="G184">_xlfn.XLOOKUP(
 A184,
 tblCost[RequirementID],
 tblCost[QuantityRequired],
 ""
)</f>
        <v>10</v>
      </c>
      <c r="H184" s="49">
        <f t="array" ref="H184">IF(
 OR(
  LEFT(B184,15)="state.character",
  RIGHT(B184,6)=".maxed"
 ),
 0,
 LET(
  sort,
   _xlfn.XLOOKUP(
    B184,
    tblChecklist[TargetID],
    tblChecklist[PlayerSort],
    0
   ),
  IF(sort=0,500,sort)
 )
)</f>
        <v>80</v>
      </c>
      <c r="I184" s="49" t="str">
        <f t="array" ref="I184">_xlfn.XLOOKUP(
 B184,
 tblTargetStatus[TargetID],
 tblTargetStatus[Status],
 ""
)</f>
        <v>BLOCKED</v>
      </c>
      <c r="J184" s="45" t="b">
        <v>0</v>
      </c>
    </row>
    <row r="185" ht="14.25" hidden="1" customHeight="1">
      <c r="A185" s="49" t="s">
        <v>741</v>
      </c>
      <c r="B185" s="49" t="str">
        <f>IFERROR(__xludf.DUMMYFUNCTION("REGEXREPLACE(
 REGEXREPLACE(A185,""^cost\."",""""),
 ""\.[^.]+\.[^.]+$"",
 """"
)"),"building.fermentory@5")</f>
        <v>building.fermentory@5</v>
      </c>
      <c r="C185" s="49" t="str">
        <f t="array" ref="C185">_xlfn.XLOOKUP(
 B185,
 tblTargets[TargetID],
 tblTargets[DisplayName],
 ""
)</f>
        <v>Fermentory Lv 5</v>
      </c>
      <c r="D185" s="49" t="str">
        <f t="array" ref="D185">_xlfn.XLOOKUP(
 B185,
 tblTargets[TargetID],
 tblTargets[TargetType],
 ""
)</f>
        <v>BUILDING</v>
      </c>
      <c r="E185" s="49" t="s">
        <v>743</v>
      </c>
      <c r="F185" s="49">
        <v>1.0</v>
      </c>
      <c r="G185" s="49">
        <f t="array" ref="G185">_xlfn.XLOOKUP(
 A185,
 tblCost[RequirementID],
 tblCost[QuantityRequired],
 ""
)</f>
        <v>24</v>
      </c>
      <c r="H185" s="49">
        <f t="array" ref="H185">IF(
 OR(
  LEFT(B185,15)="state.character",
  RIGHT(B185,6)=".maxed"
 ),
 0,
 LET(
  sort,
   _xlfn.XLOOKUP(
    B185,
    tblChecklist[TargetID],
    tblChecklist[PlayerSort],
    0
   ),
  IF(sort=0,500,sort)
 )
)</f>
        <v>80</v>
      </c>
      <c r="I185" s="49" t="str">
        <f t="array" ref="I185">_xlfn.XLOOKUP(
 B185,
 tblTargetStatus[TargetID],
 tblTargetStatus[Status],
 ""
)</f>
        <v>BLOCKED</v>
      </c>
      <c r="J185" s="45" t="b">
        <v>0</v>
      </c>
    </row>
    <row r="186" ht="14.25" hidden="1" customHeight="1">
      <c r="A186" s="49" t="s">
        <v>746</v>
      </c>
      <c r="B186" s="49" t="str">
        <f>IFERROR(__xludf.DUMMYFUNCTION("REGEXREPLACE(
 REGEXREPLACE(A186,""^cost\."",""""),
 ""\.[^.]+\.[^.]+$"",
 """"
)"),"building.fermentory@5")</f>
        <v>building.fermentory@5</v>
      </c>
      <c r="C186" s="49" t="str">
        <f t="array" ref="C186">_xlfn.XLOOKUP(
 B186,
 tblTargets[TargetID],
 tblTargets[DisplayName],
 ""
)</f>
        <v>Fermentory Lv 5</v>
      </c>
      <c r="D186" s="49" t="str">
        <f t="array" ref="D186">_xlfn.XLOOKUP(
 B186,
 tblTargets[TargetID],
 tblTargets[TargetType],
 ""
)</f>
        <v>BUILDING</v>
      </c>
      <c r="E186" s="49" t="s">
        <v>187</v>
      </c>
      <c r="F186" s="49">
        <v>1.0</v>
      </c>
      <c r="G186" s="49">
        <f t="array" ref="G186">_xlfn.XLOOKUP(
 A186,
 tblCost[RequirementID],
 tblCost[QuantityRequired],
 ""
)</f>
        <v>900</v>
      </c>
      <c r="H186" s="49">
        <f t="array" ref="H186">IF(
 OR(
  LEFT(B186,15)="state.character",
  RIGHT(B186,6)=".maxed"
 ),
 0,
 LET(
  sort,
   _xlfn.XLOOKUP(
    B186,
    tblChecklist[TargetID],
    tblChecklist[PlayerSort],
    0
   ),
  IF(sort=0,500,sort)
 )
)</f>
        <v>80</v>
      </c>
      <c r="I186" s="49" t="str">
        <f t="array" ref="I186">_xlfn.XLOOKUP(
 B186,
 tblTargetStatus[TargetID],
 tblTargetStatus[Status],
 ""
)</f>
        <v>BLOCKED</v>
      </c>
      <c r="J186" s="45" t="b">
        <v>0</v>
      </c>
    </row>
    <row r="187" ht="14.25" hidden="1" customHeight="1">
      <c r="A187" s="49" t="s">
        <v>749</v>
      </c>
      <c r="B187" s="49" t="str">
        <f>IFERROR(__xludf.DUMMYFUNCTION("REGEXREPLACE(
 REGEXREPLACE(A187,""^cost\."",""""),
 ""\.[^.]+\.[^.]+$"",
 """"
)"),"building.fermentory@5")</f>
        <v>building.fermentory@5</v>
      </c>
      <c r="C187" s="49" t="str">
        <f t="array" ref="C187">_xlfn.XLOOKUP(
 B187,
 tblTargets[TargetID],
 tblTargets[DisplayName],
 ""
)</f>
        <v>Fermentory Lv 5</v>
      </c>
      <c r="D187" s="49" t="str">
        <f t="array" ref="D187">_xlfn.XLOOKUP(
 B187,
 tblTargets[TargetID],
 tblTargets[TargetType],
 ""
)</f>
        <v>BUILDING</v>
      </c>
      <c r="E187" s="49" t="s">
        <v>6</v>
      </c>
      <c r="F187" s="49">
        <v>1.0</v>
      </c>
      <c r="G187" s="49">
        <f t="array" ref="G187">_xlfn.XLOOKUP(
 A187,
 tblCost[RequirementID],
 tblCost[QuantityRequired],
 ""
)</f>
        <v>9</v>
      </c>
      <c r="H187" s="49">
        <f t="array" ref="H187">IF(
 OR(
  LEFT(B187,15)="state.character",
  RIGHT(B187,6)=".maxed"
 ),
 0,
 LET(
  sort,
   _xlfn.XLOOKUP(
    B187,
    tblChecklist[TargetID],
    tblChecklist[PlayerSort],
    0
   ),
  IF(sort=0,500,sort)
 )
)</f>
        <v>80</v>
      </c>
      <c r="I187" s="49" t="str">
        <f t="array" ref="I187">_xlfn.XLOOKUP(
 B187,
 tblTargetStatus[TargetID],
 tblTargetStatus[Status],
 ""
)</f>
        <v>BLOCKED</v>
      </c>
      <c r="J187" s="45" t="b">
        <v>0</v>
      </c>
    </row>
    <row r="188" ht="14.25" hidden="1" customHeight="1">
      <c r="A188" s="49" t="s">
        <v>753</v>
      </c>
      <c r="B188" s="49" t="str">
        <f>IFERROR(__xludf.DUMMYFUNCTION("REGEXREPLACE(
 REGEXREPLACE(A188,""^cost\."",""""),
 ""\.[^.]+\.[^.]+$"",
 """"
)"),"building.fermentory@5")</f>
        <v>building.fermentory@5</v>
      </c>
      <c r="C188" s="49" t="str">
        <f t="array" ref="C188">_xlfn.XLOOKUP(
 B188,
 tblTargets[TargetID],
 tblTargets[DisplayName],
 ""
)</f>
        <v>Fermentory Lv 5</v>
      </c>
      <c r="D188" s="49" t="str">
        <f t="array" ref="D188">_xlfn.XLOOKUP(
 B188,
 tblTargets[TargetID],
 tblTargets[TargetType],
 ""
)</f>
        <v>BUILDING</v>
      </c>
      <c r="E188" s="49" t="s">
        <v>629</v>
      </c>
      <c r="F188" s="49">
        <v>1.0</v>
      </c>
      <c r="G188" s="49">
        <f t="array" ref="G188">_xlfn.XLOOKUP(
 A188,
 tblCost[RequirementID],
 tblCost[QuantityRequired],
 ""
)</f>
        <v>100</v>
      </c>
      <c r="H188" s="49">
        <f t="array" ref="H188">IF(
 OR(
  LEFT(B188,15)="state.character",
  RIGHT(B188,6)=".maxed"
 ),
 0,
 LET(
  sort,
   _xlfn.XLOOKUP(
    B188,
    tblChecklist[TargetID],
    tblChecklist[PlayerSort],
    0
   ),
  IF(sort=0,500,sort)
 )
)</f>
        <v>80</v>
      </c>
      <c r="I188" s="49" t="str">
        <f t="array" ref="I188">_xlfn.XLOOKUP(
 B188,
 tblTargetStatus[TargetID],
 tblTargetStatus[Status],
 ""
)</f>
        <v>BLOCKED</v>
      </c>
      <c r="J188" s="45" t="b">
        <v>0</v>
      </c>
    </row>
    <row r="189" ht="14.25" hidden="1" customHeight="1">
      <c r="A189" s="49" t="s">
        <v>756</v>
      </c>
      <c r="B189" s="49" t="str">
        <f>IFERROR(__xludf.DUMMYFUNCTION("REGEXREPLACE(
 REGEXREPLACE(A189,""^cost\."",""""),
 ""\.[^.]+\.[^.]+$"",
 """"
)"),"building.fermentory@5")</f>
        <v>building.fermentory@5</v>
      </c>
      <c r="C189" s="49" t="str">
        <f t="array" ref="C189">_xlfn.XLOOKUP(
 B189,
 tblTargets[TargetID],
 tblTargets[DisplayName],
 ""
)</f>
        <v>Fermentory Lv 5</v>
      </c>
      <c r="D189" s="49" t="str">
        <f t="array" ref="D189">_xlfn.XLOOKUP(
 B189,
 tblTargets[TargetID],
 tblTargets[TargetType],
 ""
)</f>
        <v>BUILDING</v>
      </c>
      <c r="E189" s="49" t="s">
        <v>237</v>
      </c>
      <c r="F189" s="49">
        <v>1.0</v>
      </c>
      <c r="G189" s="49">
        <f t="array" ref="G189">_xlfn.XLOOKUP(
 A189,
 tblCost[RequirementID],
 tblCost[QuantityRequired],
 ""
)</f>
        <v>800</v>
      </c>
      <c r="H189" s="49">
        <f t="array" ref="H189">IF(
 OR(
  LEFT(B189,15)="state.character",
  RIGHT(B189,6)=".maxed"
 ),
 0,
 LET(
  sort,
   _xlfn.XLOOKUP(
    B189,
    tblChecklist[TargetID],
    tblChecklist[PlayerSort],
    0
   ),
  IF(sort=0,500,sort)
 )
)</f>
        <v>80</v>
      </c>
      <c r="I189" s="49" t="str">
        <f t="array" ref="I189">_xlfn.XLOOKUP(
 B189,
 tblTargetStatus[TargetID],
 tblTargetStatus[Status],
 ""
)</f>
        <v>BLOCKED</v>
      </c>
      <c r="J189" s="45" t="b">
        <v>0</v>
      </c>
    </row>
    <row r="190" ht="14.25" hidden="1" customHeight="1">
      <c r="A190" s="49" t="s">
        <v>760</v>
      </c>
      <c r="B190" s="49" t="str">
        <f>IFERROR(__xludf.DUMMYFUNCTION("REGEXREPLACE(
 REGEXREPLACE(A190,""^cost\."",""""),
 ""\.[^.]+\.[^.]+$"",
 """"
)"),"building.fermentory@5")</f>
        <v>building.fermentory@5</v>
      </c>
      <c r="C190" s="49" t="str">
        <f t="array" ref="C190">_xlfn.XLOOKUP(
 B190,
 tblTargets[TargetID],
 tblTargets[DisplayName],
 ""
)</f>
        <v>Fermentory Lv 5</v>
      </c>
      <c r="D190" s="49" t="str">
        <f t="array" ref="D190">_xlfn.XLOOKUP(
 B190,
 tblTargets[TargetID],
 tblTargets[TargetType],
 ""
)</f>
        <v>BUILDING</v>
      </c>
      <c r="E190" s="49" t="s">
        <v>158</v>
      </c>
      <c r="F190" s="49">
        <v>1.0</v>
      </c>
      <c r="G190" s="49">
        <f t="array" ref="G190">_xlfn.XLOOKUP(
 A190,
 tblCost[RequirementID],
 tblCost[QuantityRequired],
 ""
)</f>
        <v>20</v>
      </c>
      <c r="H190" s="49">
        <f t="array" ref="H190">IF(
 OR(
  LEFT(B190,15)="state.character",
  RIGHT(B190,6)=".maxed"
 ),
 0,
 LET(
  sort,
   _xlfn.XLOOKUP(
    B190,
    tblChecklist[TargetID],
    tblChecklist[PlayerSort],
    0
   ),
  IF(sort=0,500,sort)
 )
)</f>
        <v>80</v>
      </c>
      <c r="I190" s="49" t="str">
        <f t="array" ref="I190">_xlfn.XLOOKUP(
 B190,
 tblTargetStatus[TargetID],
 tblTargetStatus[Status],
 ""
)</f>
        <v>BLOCKED</v>
      </c>
      <c r="J190" s="45" t="b">
        <v>0</v>
      </c>
    </row>
    <row r="191" ht="14.25" hidden="1" customHeight="1">
      <c r="A191" s="49" t="s">
        <v>764</v>
      </c>
      <c r="B191" s="49" t="str">
        <f>IFERROR(__xludf.DUMMYFUNCTION("REGEXREPLACE(
 REGEXREPLACE(A191,""^cost\."",""""),
 ""\.[^.]+\.[^.]+$"",
 """"
)"),"building.fermentory@6")</f>
        <v>building.fermentory@6</v>
      </c>
      <c r="C191" s="49" t="str">
        <f t="array" ref="C191">_xlfn.XLOOKUP(
 B191,
 tblTargets[TargetID],
 tblTargets[DisplayName],
 ""
)</f>
        <v>Fermentory Lv 6</v>
      </c>
      <c r="D191" s="49" t="str">
        <f t="array" ref="D191">_xlfn.XLOOKUP(
 B191,
 tblTargets[TargetID],
 tblTargets[TargetType],
 ""
)</f>
        <v>BUILDING</v>
      </c>
      <c r="E191" s="49" t="s">
        <v>119</v>
      </c>
      <c r="F191" s="49">
        <v>1.0</v>
      </c>
      <c r="G191" s="49">
        <f t="array" ref="G191">_xlfn.XLOOKUP(
 A191,
 tblCost[RequirementID],
 tblCost[QuantityRequired],
 ""
)</f>
        <v>1000</v>
      </c>
      <c r="H191" s="49">
        <f t="array" ref="H191">IF(
 OR(
  LEFT(B191,15)="state.character",
  RIGHT(B191,6)=".maxed"
 ),
 0,
 LET(
  sort,
   _xlfn.XLOOKUP(
    B191,
    tblChecklist[TargetID],
    tblChecklist[PlayerSort],
    0
   ),
  IF(sort=0,500,sort)
 )
)</f>
        <v>81</v>
      </c>
      <c r="I191" s="49" t="str">
        <f t="array" ref="I191">_xlfn.XLOOKUP(
 B191,
 tblTargetStatus[TargetID],
 tblTargetStatus[Status],
 ""
)</f>
        <v>BLOCKED</v>
      </c>
      <c r="J191" s="45" t="b">
        <v>0</v>
      </c>
    </row>
    <row r="192" ht="14.25" hidden="1" customHeight="1">
      <c r="A192" s="49" t="s">
        <v>768</v>
      </c>
      <c r="B192" s="49" t="str">
        <f>IFERROR(__xludf.DUMMYFUNCTION("REGEXREPLACE(
 REGEXREPLACE(A192,""^cost\."",""""),
 ""\.[^.]+\.[^.]+$"",
 """"
)"),"building.fermentory@6")</f>
        <v>building.fermentory@6</v>
      </c>
      <c r="C192" s="49" t="str">
        <f t="array" ref="C192">_xlfn.XLOOKUP(
 B192,
 tblTargets[TargetID],
 tblTargets[DisplayName],
 ""
)</f>
        <v>Fermentory Lv 6</v>
      </c>
      <c r="D192" s="49" t="str">
        <f t="array" ref="D192">_xlfn.XLOOKUP(
 B192,
 tblTargets[TargetID],
 tblTargets[TargetType],
 ""
)</f>
        <v>BUILDING</v>
      </c>
      <c r="E192" s="49" t="s">
        <v>527</v>
      </c>
      <c r="F192" s="49">
        <v>1.0</v>
      </c>
      <c r="G192" s="49">
        <f t="array" ref="G192">_xlfn.XLOOKUP(
 A192,
 tblCost[RequirementID],
 tblCost[QuantityRequired],
 ""
)</f>
        <v>10</v>
      </c>
      <c r="H192" s="49">
        <f t="array" ref="H192">IF(
 OR(
  LEFT(B192,15)="state.character",
  RIGHT(B192,6)=".maxed"
 ),
 0,
 LET(
  sort,
   _xlfn.XLOOKUP(
    B192,
    tblChecklist[TargetID],
    tblChecklist[PlayerSort],
    0
   ),
  IF(sort=0,500,sort)
 )
)</f>
        <v>81</v>
      </c>
      <c r="I192" s="49" t="str">
        <f t="array" ref="I192">_xlfn.XLOOKUP(
 B192,
 tblTargetStatus[TargetID],
 tblTargetStatus[Status],
 ""
)</f>
        <v>BLOCKED</v>
      </c>
      <c r="J192" s="45" t="b">
        <v>0</v>
      </c>
    </row>
    <row r="193" ht="14.25" hidden="1" customHeight="1">
      <c r="A193" s="49" t="s">
        <v>771</v>
      </c>
      <c r="B193" s="49" t="str">
        <f>IFERROR(__xludf.DUMMYFUNCTION("REGEXREPLACE(
 REGEXREPLACE(A193,""^cost\."",""""),
 ""\.[^.]+\.[^.]+$"",
 """"
)"),"building.fermentory@6")</f>
        <v>building.fermentory@6</v>
      </c>
      <c r="C193" s="49" t="str">
        <f t="array" ref="C193">_xlfn.XLOOKUP(
 B193,
 tblTargets[TargetID],
 tblTargets[DisplayName],
 ""
)</f>
        <v>Fermentory Lv 6</v>
      </c>
      <c r="D193" s="49" t="str">
        <f t="array" ref="D193">_xlfn.XLOOKUP(
 B193,
 tblTargets[TargetID],
 tblTargets[TargetType],
 ""
)</f>
        <v>BUILDING</v>
      </c>
      <c r="E193" s="49" t="s">
        <v>360</v>
      </c>
      <c r="F193" s="49">
        <v>1.0</v>
      </c>
      <c r="G193" s="49">
        <f t="array" ref="G193">_xlfn.XLOOKUP(
 A193,
 tblCost[RequirementID],
 tblCost[QuantityRequired],
 ""
)</f>
        <v>30</v>
      </c>
      <c r="H193" s="49">
        <f t="array" ref="H193">IF(
 OR(
  LEFT(B193,15)="state.character",
  RIGHT(B193,6)=".maxed"
 ),
 0,
 LET(
  sort,
   _xlfn.XLOOKUP(
    B193,
    tblChecklist[TargetID],
    tblChecklist[PlayerSort],
    0
   ),
  IF(sort=0,500,sort)
 )
)</f>
        <v>81</v>
      </c>
      <c r="I193" s="49" t="str">
        <f t="array" ref="I193">_xlfn.XLOOKUP(
 B193,
 tblTargetStatus[TargetID],
 tblTargetStatus[Status],
 ""
)</f>
        <v>BLOCKED</v>
      </c>
      <c r="J193" s="45" t="b">
        <v>0</v>
      </c>
    </row>
    <row r="194" ht="14.25" hidden="1" customHeight="1">
      <c r="A194" s="49" t="s">
        <v>775</v>
      </c>
      <c r="B194" s="49" t="str">
        <f>IFERROR(__xludf.DUMMYFUNCTION("REGEXREPLACE(
 REGEXREPLACE(A194,""^cost\."",""""),
 ""\.[^.]+\.[^.]+$"",
 """"
)"),"building.fermentory@6")</f>
        <v>building.fermentory@6</v>
      </c>
      <c r="C194" s="49" t="str">
        <f t="array" ref="C194">_xlfn.XLOOKUP(
 B194,
 tblTargets[TargetID],
 tblTargets[DisplayName],
 ""
)</f>
        <v>Fermentory Lv 6</v>
      </c>
      <c r="D194" s="49" t="str">
        <f t="array" ref="D194">_xlfn.XLOOKUP(
 B194,
 tblTargets[TargetID],
 tblTargets[TargetType],
 ""
)</f>
        <v>BUILDING</v>
      </c>
      <c r="E194" s="49" t="s">
        <v>530</v>
      </c>
      <c r="F194" s="49">
        <v>1.0</v>
      </c>
      <c r="G194" s="49">
        <f t="array" ref="G194">_xlfn.XLOOKUP(
 A194,
 tblCost[RequirementID],
 tblCost[QuantityRequired],
 ""
)</f>
        <v>10</v>
      </c>
      <c r="H194" s="49">
        <f t="array" ref="H194">IF(
 OR(
  LEFT(B194,15)="state.character",
  RIGHT(B194,6)=".maxed"
 ),
 0,
 LET(
  sort,
   _xlfn.XLOOKUP(
    B194,
    tblChecklist[TargetID],
    tblChecklist[PlayerSort],
    0
   ),
  IF(sort=0,500,sort)
 )
)</f>
        <v>81</v>
      </c>
      <c r="I194" s="49" t="str">
        <f t="array" ref="I194">_xlfn.XLOOKUP(
 B194,
 tblTargetStatus[TargetID],
 tblTargetStatus[Status],
 ""
)</f>
        <v>BLOCKED</v>
      </c>
      <c r="J194" s="45" t="b">
        <v>0</v>
      </c>
    </row>
    <row r="195" ht="14.25" hidden="1" customHeight="1">
      <c r="A195" s="49" t="s">
        <v>779</v>
      </c>
      <c r="B195" s="49" t="str">
        <f>IFERROR(__xludf.DUMMYFUNCTION("REGEXREPLACE(
 REGEXREPLACE(A195,""^cost\."",""""),
 ""\.[^.]+\.[^.]+$"",
 """"
)"),"building.fermentory@6")</f>
        <v>building.fermentory@6</v>
      </c>
      <c r="C195" s="49" t="str">
        <f t="array" ref="C195">_xlfn.XLOOKUP(
 B195,
 tblTargets[TargetID],
 tblTargets[DisplayName],
 ""
)</f>
        <v>Fermentory Lv 6</v>
      </c>
      <c r="D195" s="49" t="str">
        <f t="array" ref="D195">_xlfn.XLOOKUP(
 B195,
 tblTargets[TargetID],
 tblTargets[TargetType],
 ""
)</f>
        <v>BUILDING</v>
      </c>
      <c r="E195" s="49" t="s">
        <v>743</v>
      </c>
      <c r="F195" s="49">
        <v>1.0</v>
      </c>
      <c r="G195" s="49">
        <f t="array" ref="G195">_xlfn.XLOOKUP(
 A195,
 tblCost[RequirementID],
 tblCost[QuantityRequired],
 ""
)</f>
        <v>24</v>
      </c>
      <c r="H195" s="49">
        <f t="array" ref="H195">IF(
 OR(
  LEFT(B195,15)="state.character",
  RIGHT(B195,6)=".maxed"
 ),
 0,
 LET(
  sort,
   _xlfn.XLOOKUP(
    B195,
    tblChecklist[TargetID],
    tblChecklist[PlayerSort],
    0
   ),
  IF(sort=0,500,sort)
 )
)</f>
        <v>81</v>
      </c>
      <c r="I195" s="49" t="str">
        <f t="array" ref="I195">_xlfn.XLOOKUP(
 B195,
 tblTargetStatus[TargetID],
 tblTargetStatus[Status],
 ""
)</f>
        <v>BLOCKED</v>
      </c>
      <c r="J195" s="45" t="b">
        <v>0</v>
      </c>
    </row>
    <row r="196" ht="14.25" hidden="1" customHeight="1">
      <c r="A196" s="49" t="s">
        <v>783</v>
      </c>
      <c r="B196" s="49" t="str">
        <f>IFERROR(__xludf.DUMMYFUNCTION("REGEXREPLACE(
 REGEXREPLACE(A196,""^cost\."",""""),
 ""\.[^.]+\.[^.]+$"",
 """"
)"),"building.fermentory@6")</f>
        <v>building.fermentory@6</v>
      </c>
      <c r="C196" s="49" t="str">
        <f t="array" ref="C196">_xlfn.XLOOKUP(
 B196,
 tblTargets[TargetID],
 tblTargets[DisplayName],
 ""
)</f>
        <v>Fermentory Lv 6</v>
      </c>
      <c r="D196" s="49" t="str">
        <f t="array" ref="D196">_xlfn.XLOOKUP(
 B196,
 tblTargets[TargetID],
 tblTargets[TargetType],
 ""
)</f>
        <v>BUILDING</v>
      </c>
      <c r="E196" s="49" t="s">
        <v>423</v>
      </c>
      <c r="F196" s="49">
        <v>1.0</v>
      </c>
      <c r="G196" s="49">
        <f t="array" ref="G196">_xlfn.XLOOKUP(
 A196,
 tblCost[RequirementID],
 tblCost[QuantityRequired],
 ""
)</f>
        <v>40</v>
      </c>
      <c r="H196" s="49">
        <f t="array" ref="H196">IF(
 OR(
  LEFT(B196,15)="state.character",
  RIGHT(B196,6)=".maxed"
 ),
 0,
 LET(
  sort,
   _xlfn.XLOOKUP(
    B196,
    tblChecklist[TargetID],
    tblChecklist[PlayerSort],
    0
   ),
  IF(sort=0,500,sort)
 )
)</f>
        <v>81</v>
      </c>
      <c r="I196" s="49" t="str">
        <f t="array" ref="I196">_xlfn.XLOOKUP(
 B196,
 tblTargetStatus[TargetID],
 tblTargetStatus[Status],
 ""
)</f>
        <v>BLOCKED</v>
      </c>
      <c r="J196" s="45" t="b">
        <v>0</v>
      </c>
    </row>
    <row r="197" ht="14.25" hidden="1" customHeight="1">
      <c r="A197" s="49" t="s">
        <v>787</v>
      </c>
      <c r="B197" s="49" t="str">
        <f>IFERROR(__xludf.DUMMYFUNCTION("REGEXREPLACE(
 REGEXREPLACE(A197,""^cost\."",""""),
 ""\.[^.]+\.[^.]+$"",
 """"
)"),"building.fermentory@6")</f>
        <v>building.fermentory@6</v>
      </c>
      <c r="C197" s="49" t="str">
        <f t="array" ref="C197">_xlfn.XLOOKUP(
 B197,
 tblTargets[TargetID],
 tblTargets[DisplayName],
 ""
)</f>
        <v>Fermentory Lv 6</v>
      </c>
      <c r="D197" s="49" t="str">
        <f t="array" ref="D197">_xlfn.XLOOKUP(
 B197,
 tblTargets[TargetID],
 tblTargets[TargetType],
 ""
)</f>
        <v>BUILDING</v>
      </c>
      <c r="E197" s="49" t="s">
        <v>187</v>
      </c>
      <c r="F197" s="49">
        <v>1.0</v>
      </c>
      <c r="G197" s="49">
        <f t="array" ref="G197">_xlfn.XLOOKUP(
 A197,
 tblCost[RequirementID],
 tblCost[QuantityRequired],
 ""
)</f>
        <v>900</v>
      </c>
      <c r="H197" s="49">
        <f t="array" ref="H197">IF(
 OR(
  LEFT(B197,15)="state.character",
  RIGHT(B197,6)=".maxed"
 ),
 0,
 LET(
  sort,
   _xlfn.XLOOKUP(
    B197,
    tblChecklist[TargetID],
    tblChecklist[PlayerSort],
    0
   ),
  IF(sort=0,500,sort)
 )
)</f>
        <v>81</v>
      </c>
      <c r="I197" s="49" t="str">
        <f t="array" ref="I197">_xlfn.XLOOKUP(
 B197,
 tblTargetStatus[TargetID],
 tblTargetStatus[Status],
 ""
)</f>
        <v>BLOCKED</v>
      </c>
      <c r="J197" s="45" t="b">
        <v>0</v>
      </c>
    </row>
    <row r="198" ht="14.25" hidden="1" customHeight="1">
      <c r="A198" s="49" t="s">
        <v>792</v>
      </c>
      <c r="B198" s="49" t="str">
        <f>IFERROR(__xludf.DUMMYFUNCTION("REGEXREPLACE(
 REGEXREPLACE(A198,""^cost\."",""""),
 ""\.[^.]+\.[^.]+$"",
 """"
)"),"building.fermentory@6")</f>
        <v>building.fermentory@6</v>
      </c>
      <c r="C198" s="49" t="str">
        <f t="array" ref="C198">_xlfn.XLOOKUP(
 B198,
 tblTargets[TargetID],
 tblTargets[DisplayName],
 ""
)</f>
        <v>Fermentory Lv 6</v>
      </c>
      <c r="D198" s="49" t="str">
        <f t="array" ref="D198">_xlfn.XLOOKUP(
 B198,
 tblTargets[TargetID],
 tblTargets[TargetType],
 ""
)</f>
        <v>BUILDING</v>
      </c>
      <c r="E198" s="49" t="s">
        <v>6</v>
      </c>
      <c r="F198" s="49">
        <v>1.0</v>
      </c>
      <c r="G198" s="49">
        <f t="array" ref="G198">_xlfn.XLOOKUP(
 A198,
 tblCost[RequirementID],
 tblCost[QuantityRequired],
 ""
)</f>
        <v>10</v>
      </c>
      <c r="H198" s="49">
        <f t="array" ref="H198">IF(
 OR(
  LEFT(B198,15)="state.character",
  RIGHT(B198,6)=".maxed"
 ),
 0,
 LET(
  sort,
   _xlfn.XLOOKUP(
    B198,
    tblChecklist[TargetID],
    tblChecklist[PlayerSort],
    0
   ),
  IF(sort=0,500,sort)
 )
)</f>
        <v>81</v>
      </c>
      <c r="I198" s="49" t="str">
        <f t="array" ref="I198">_xlfn.XLOOKUP(
 B198,
 tblTargetStatus[TargetID],
 tblTargetStatus[Status],
 ""
)</f>
        <v>BLOCKED</v>
      </c>
      <c r="J198" s="45" t="b">
        <v>0</v>
      </c>
    </row>
    <row r="199" ht="14.25" hidden="1" customHeight="1">
      <c r="A199" s="49" t="s">
        <v>794</v>
      </c>
      <c r="B199" s="49" t="str">
        <f>IFERROR(__xludf.DUMMYFUNCTION("REGEXREPLACE(
 REGEXREPLACE(A199,""^cost\."",""""),
 ""\.[^.]+\.[^.]+$"",
 """"
)"),"building.fermentory@6")</f>
        <v>building.fermentory@6</v>
      </c>
      <c r="C199" s="49" t="str">
        <f t="array" ref="C199">_xlfn.XLOOKUP(
 B199,
 tblTargets[TargetID],
 tblTargets[DisplayName],
 ""
)</f>
        <v>Fermentory Lv 6</v>
      </c>
      <c r="D199" s="49" t="str">
        <f t="array" ref="D199">_xlfn.XLOOKUP(
 B199,
 tblTargets[TargetID],
 tblTargets[TargetType],
 ""
)</f>
        <v>BUILDING</v>
      </c>
      <c r="E199" s="49" t="s">
        <v>237</v>
      </c>
      <c r="F199" s="49">
        <v>1.0</v>
      </c>
      <c r="G199" s="49">
        <f t="array" ref="G199">_xlfn.XLOOKUP(
 A199,
 tblCost[RequirementID],
 tblCost[QuantityRequired],
 ""
)</f>
        <v>500</v>
      </c>
      <c r="H199" s="49">
        <f t="array" ref="H199">IF(
 OR(
  LEFT(B199,15)="state.character",
  RIGHT(B199,6)=".maxed"
 ),
 0,
 LET(
  sort,
   _xlfn.XLOOKUP(
    B199,
    tblChecklist[TargetID],
    tblChecklist[PlayerSort],
    0
   ),
  IF(sort=0,500,sort)
 )
)</f>
        <v>81</v>
      </c>
      <c r="I199" s="49" t="str">
        <f t="array" ref="I199">_xlfn.XLOOKUP(
 B199,
 tblTargetStatus[TargetID],
 tblTargetStatus[Status],
 ""
)</f>
        <v>BLOCKED</v>
      </c>
      <c r="J199" s="45" t="b">
        <v>0</v>
      </c>
    </row>
    <row r="200" ht="14.25" hidden="1" customHeight="1">
      <c r="A200" s="49" t="s">
        <v>797</v>
      </c>
      <c r="B200" s="49" t="str">
        <f>IFERROR(__xludf.DUMMYFUNCTION("REGEXREPLACE(
 REGEXREPLACE(A200,""^cost\."",""""),
 ""\.[^.]+\.[^.]+$"",
 """"
)"),"building.field@1")</f>
        <v>building.field@1</v>
      </c>
      <c r="C200" s="49" t="str">
        <f t="array" ref="C200">_xlfn.XLOOKUP(
 B200,
 tblTargets[TargetID],
 tblTargets[DisplayName],
 ""
)</f>
        <v>Field Lv 1</v>
      </c>
      <c r="D200" s="49" t="str">
        <f t="array" ref="D200">_xlfn.XLOOKUP(
 B200,
 tblTargets[TargetID],
 tblTargets[TargetType],
 ""
)</f>
        <v>BUILDING</v>
      </c>
      <c r="E200" s="49" t="s">
        <v>113</v>
      </c>
      <c r="F200" s="49">
        <v>1.0</v>
      </c>
      <c r="G200" s="49">
        <f t="array" ref="G200">_xlfn.XLOOKUP(
 A200,
 tblCost[RequirementID],
 tblCost[QuantityRequired],
 ""
)</f>
        <v>20</v>
      </c>
      <c r="H200" s="49">
        <f t="array" ref="H200">IF(
 OR(
  LEFT(B200,15)="state.character",
  RIGHT(B200,6)=".maxed"
 ),
 0,
 LET(
  sort,
   _xlfn.XLOOKUP(
    B200,
    tblChecklist[TargetID],
    tblChecklist[PlayerSort],
    0
   ),
  IF(sort=0,500,sort)
 )
)</f>
        <v>6</v>
      </c>
      <c r="I200" s="49" t="str">
        <f t="array" ref="I200">_xlfn.XLOOKUP(
 B200,
 tblTargetStatus[TargetID],
 tblTargetStatus[Status],
 ""
)</f>
        <v>BLOCKED</v>
      </c>
      <c r="J200" s="45" t="b">
        <v>0</v>
      </c>
    </row>
    <row r="201" ht="14.25" hidden="1" customHeight="1">
      <c r="A201" s="49" t="s">
        <v>801</v>
      </c>
      <c r="B201" s="49" t="str">
        <f>IFERROR(__xludf.DUMMYFUNCTION("REGEXREPLACE(
 REGEXREPLACE(A201,""^cost\."",""""),
 ""\.[^.]+\.[^.]+$"",
 """"
)"),"building.field@1")</f>
        <v>building.field@1</v>
      </c>
      <c r="C201" s="49" t="str">
        <f t="array" ref="C201">_xlfn.XLOOKUP(
 B201,
 tblTargets[TargetID],
 tblTargets[DisplayName],
 ""
)</f>
        <v>Field Lv 1</v>
      </c>
      <c r="D201" s="49" t="str">
        <f t="array" ref="D201">_xlfn.XLOOKUP(
 B201,
 tblTargets[TargetID],
 tblTargets[TargetType],
 ""
)</f>
        <v>BUILDING</v>
      </c>
      <c r="E201" s="49" t="s">
        <v>119</v>
      </c>
      <c r="F201" s="49">
        <v>1.0</v>
      </c>
      <c r="G201" s="49">
        <f t="array" ref="G201">_xlfn.XLOOKUP(
 A201,
 tblCost[RequirementID],
 tblCost[QuantityRequired],
 ""
)</f>
        <v>200</v>
      </c>
      <c r="H201" s="49">
        <f t="array" ref="H201">IF(
 OR(
  LEFT(B201,15)="state.character",
  RIGHT(B201,6)=".maxed"
 ),
 0,
 LET(
  sort,
   _xlfn.XLOOKUP(
    B201,
    tblChecklist[TargetID],
    tblChecklist[PlayerSort],
    0
   ),
  IF(sort=0,500,sort)
 )
)</f>
        <v>6</v>
      </c>
      <c r="I201" s="49" t="str">
        <f t="array" ref="I201">_xlfn.XLOOKUP(
 B201,
 tblTargetStatus[TargetID],
 tblTargetStatus[Status],
 ""
)</f>
        <v>BLOCKED</v>
      </c>
      <c r="J201" s="45" t="b">
        <v>0</v>
      </c>
    </row>
    <row r="202" ht="14.25" hidden="1" customHeight="1">
      <c r="A202" s="49" t="s">
        <v>805</v>
      </c>
      <c r="B202" s="49" t="str">
        <f>IFERROR(__xludf.DUMMYFUNCTION("REGEXREPLACE(
 REGEXREPLACE(A202,""^cost\."",""""),
 ""\.[^.]+\.[^.]+$"",
 """"
)"),"building.field@1")</f>
        <v>building.field@1</v>
      </c>
      <c r="C202" s="49" t="str">
        <f t="array" ref="C202">_xlfn.XLOOKUP(
 B202,
 tblTargets[TargetID],
 tblTargets[DisplayName],
 ""
)</f>
        <v>Field Lv 1</v>
      </c>
      <c r="D202" s="49" t="str">
        <f t="array" ref="D202">_xlfn.XLOOKUP(
 B202,
 tblTargets[TargetID],
 tblTargets[TargetType],
 ""
)</f>
        <v>BUILDING</v>
      </c>
      <c r="E202" s="49" t="s">
        <v>6</v>
      </c>
      <c r="F202" s="49">
        <v>1.0</v>
      </c>
      <c r="G202" s="49">
        <f t="array" ref="G202">_xlfn.XLOOKUP(
 A202,
 tblCost[RequirementID],
 tblCost[QuantityRequired],
 ""
)</f>
        <v>1</v>
      </c>
      <c r="H202" s="49">
        <f t="array" ref="H202">IF(
 OR(
  LEFT(B202,15)="state.character",
  RIGHT(B202,6)=".maxed"
 ),
 0,
 LET(
  sort,
   _xlfn.XLOOKUP(
    B202,
    tblChecklist[TargetID],
    tblChecklist[PlayerSort],
    0
   ),
  IF(sort=0,500,sort)
 )
)</f>
        <v>6</v>
      </c>
      <c r="I202" s="49" t="str">
        <f t="array" ref="I202">_xlfn.XLOOKUP(
 B202,
 tblTargetStatus[TargetID],
 tblTargetStatus[Status],
 ""
)</f>
        <v>BLOCKED</v>
      </c>
      <c r="J202" s="45" t="b">
        <v>0</v>
      </c>
    </row>
    <row r="203" ht="14.25" hidden="1" customHeight="1">
      <c r="A203" s="49" t="s">
        <v>809</v>
      </c>
      <c r="B203" s="49" t="str">
        <f>IFERROR(__xludf.DUMMYFUNCTION("REGEXREPLACE(
 REGEXREPLACE(A203,""^cost\."",""""),
 ""\.[^.]+\.[^.]+$"",
 """"
)"),"building.field@1")</f>
        <v>building.field@1</v>
      </c>
      <c r="C203" s="49" t="str">
        <f t="array" ref="C203">_xlfn.XLOOKUP(
 B203,
 tblTargets[TargetID],
 tblTargets[DisplayName],
 ""
)</f>
        <v>Field Lv 1</v>
      </c>
      <c r="D203" s="49" t="str">
        <f t="array" ref="D203">_xlfn.XLOOKUP(
 B203,
 tblTargets[TargetID],
 tblTargets[TargetType],
 ""
)</f>
        <v>BUILDING</v>
      </c>
      <c r="E203" s="49" t="s">
        <v>244</v>
      </c>
      <c r="F203" s="49">
        <v>1.0</v>
      </c>
      <c r="G203" s="49">
        <f t="array" ref="G203">_xlfn.XLOOKUP(
 A203,
 tblCost[RequirementID],
 tblCost[QuantityRequired],
 ""
)</f>
        <v>100</v>
      </c>
      <c r="H203" s="49">
        <f t="array" ref="H203">IF(
 OR(
  LEFT(B203,15)="state.character",
  RIGHT(B203,6)=".maxed"
 ),
 0,
 LET(
  sort,
   _xlfn.XLOOKUP(
    B203,
    tblChecklist[TargetID],
    tblChecklist[PlayerSort],
    0
   ),
  IF(sort=0,500,sort)
 )
)</f>
        <v>6</v>
      </c>
      <c r="I203" s="49" t="str">
        <f t="array" ref="I203">_xlfn.XLOOKUP(
 B203,
 tblTargetStatus[TargetID],
 tblTargetStatus[Status],
 ""
)</f>
        <v>BLOCKED</v>
      </c>
      <c r="J203" s="45" t="b">
        <v>0</v>
      </c>
    </row>
    <row r="204" ht="14.25" hidden="1" customHeight="1">
      <c r="A204" s="49" t="s">
        <v>813</v>
      </c>
      <c r="B204" s="49" t="str">
        <f>IFERROR(__xludf.DUMMYFUNCTION("REGEXREPLACE(
 REGEXREPLACE(A204,""^cost\."",""""),
 ""\.[^.]+\.[^.]+$"",
 """"
)"),"building.field@2")</f>
        <v>building.field@2</v>
      </c>
      <c r="C204" s="49" t="str">
        <f t="array" ref="C204">_xlfn.XLOOKUP(
 B204,
 tblTargets[TargetID],
 tblTargets[DisplayName],
 ""
)</f>
        <v>Field Lv 2</v>
      </c>
      <c r="D204" s="49" t="str">
        <f t="array" ref="D204">_xlfn.XLOOKUP(
 B204,
 tblTargets[TargetID],
 tblTargets[TargetType],
 ""
)</f>
        <v>BUILDING</v>
      </c>
      <c r="E204" s="49" t="s">
        <v>113</v>
      </c>
      <c r="F204" s="49">
        <v>1.0</v>
      </c>
      <c r="G204" s="49">
        <f t="array" ref="G204">_xlfn.XLOOKUP(
 A204,
 tblCost[RequirementID],
 tblCost[QuantityRequired],
 ""
)</f>
        <v>50</v>
      </c>
      <c r="H204" s="49">
        <f t="array" ref="H204">IF(
 OR(
  LEFT(B204,15)="state.character",
  RIGHT(B204,6)=".maxed"
 ),
 0,
 LET(
  sort,
   _xlfn.XLOOKUP(
    B204,
    tblChecklist[TargetID],
    tblChecklist[PlayerSort],
    0
   ),
  IF(sort=0,500,sort)
 )
)</f>
        <v>8</v>
      </c>
      <c r="I204" s="49" t="str">
        <f t="array" ref="I204">_xlfn.XLOOKUP(
 B204,
 tblTargetStatus[TargetID],
 tblTargetStatus[Status],
 ""
)</f>
        <v>BLOCKED</v>
      </c>
      <c r="J204" s="45" t="b">
        <v>0</v>
      </c>
    </row>
    <row r="205" ht="14.25" hidden="1" customHeight="1">
      <c r="A205" s="49" t="s">
        <v>817</v>
      </c>
      <c r="B205" s="49" t="str">
        <f>IFERROR(__xludf.DUMMYFUNCTION("REGEXREPLACE(
 REGEXREPLACE(A205,""^cost\."",""""),
 ""\.[^.]+\.[^.]+$"",
 """"
)"),"building.field@2")</f>
        <v>building.field@2</v>
      </c>
      <c r="C205" s="49" t="str">
        <f t="array" ref="C205">_xlfn.XLOOKUP(
 B205,
 tblTargets[TargetID],
 tblTargets[DisplayName],
 ""
)</f>
        <v>Field Lv 2</v>
      </c>
      <c r="D205" s="49" t="str">
        <f t="array" ref="D205">_xlfn.XLOOKUP(
 B205,
 tblTargets[TargetID],
 tblTargets[TargetType],
 ""
)</f>
        <v>BUILDING</v>
      </c>
      <c r="E205" s="49" t="s">
        <v>119</v>
      </c>
      <c r="F205" s="49">
        <v>1.0</v>
      </c>
      <c r="G205" s="49">
        <f t="array" ref="G205">_xlfn.XLOOKUP(
 A205,
 tblCost[RequirementID],
 tblCost[QuantityRequired],
 ""
)</f>
        <v>300</v>
      </c>
      <c r="H205" s="49">
        <f t="array" ref="H205">IF(
 OR(
  LEFT(B205,15)="state.character",
  RIGHT(B205,6)=".maxed"
 ),
 0,
 LET(
  sort,
   _xlfn.XLOOKUP(
    B205,
    tblChecklist[TargetID],
    tblChecklist[PlayerSort],
    0
   ),
  IF(sort=0,500,sort)
 )
)</f>
        <v>8</v>
      </c>
      <c r="I205" s="49" t="str">
        <f t="array" ref="I205">_xlfn.XLOOKUP(
 B205,
 tblTargetStatus[TargetID],
 tblTargetStatus[Status],
 ""
)</f>
        <v>BLOCKED</v>
      </c>
      <c r="J205" s="45" t="b">
        <v>0</v>
      </c>
    </row>
    <row r="206" ht="14.25" hidden="1" customHeight="1">
      <c r="A206" s="49" t="s">
        <v>820</v>
      </c>
      <c r="B206" s="49" t="str">
        <f>IFERROR(__xludf.DUMMYFUNCTION("REGEXREPLACE(
 REGEXREPLACE(A206,""^cost\."",""""),
 ""\.[^.]+\.[^.]+$"",
 """"
)"),"building.field@2")</f>
        <v>building.field@2</v>
      </c>
      <c r="C206" s="49" t="str">
        <f t="array" ref="C206">_xlfn.XLOOKUP(
 B206,
 tblTargets[TargetID],
 tblTargets[DisplayName],
 ""
)</f>
        <v>Field Lv 2</v>
      </c>
      <c r="D206" s="49" t="str">
        <f t="array" ref="D206">_xlfn.XLOOKUP(
 B206,
 tblTargets[TargetID],
 tblTargets[TargetType],
 ""
)</f>
        <v>BUILDING</v>
      </c>
      <c r="E206" s="49" t="s">
        <v>6</v>
      </c>
      <c r="F206" s="49">
        <v>1.0</v>
      </c>
      <c r="G206" s="49">
        <f t="array" ref="G206">_xlfn.XLOOKUP(
 A206,
 tblCost[RequirementID],
 tblCost[QuantityRequired],
 ""
)</f>
        <v>3</v>
      </c>
      <c r="H206" s="49">
        <f t="array" ref="H206">IF(
 OR(
  LEFT(B206,15)="state.character",
  RIGHT(B206,6)=".maxed"
 ),
 0,
 LET(
  sort,
   _xlfn.XLOOKUP(
    B206,
    tblChecklist[TargetID],
    tblChecklist[PlayerSort],
    0
   ),
  IF(sort=0,500,sort)
 )
)</f>
        <v>8</v>
      </c>
      <c r="I206" s="49" t="str">
        <f t="array" ref="I206">_xlfn.XLOOKUP(
 B206,
 tblTargetStatus[TargetID],
 tblTargetStatus[Status],
 ""
)</f>
        <v>BLOCKED</v>
      </c>
      <c r="J206" s="45" t="b">
        <v>0</v>
      </c>
    </row>
    <row r="207" ht="14.25" hidden="1" customHeight="1">
      <c r="A207" s="49" t="s">
        <v>824</v>
      </c>
      <c r="B207" s="49" t="str">
        <f>IFERROR(__xludf.DUMMYFUNCTION("REGEXREPLACE(
 REGEXREPLACE(A207,""^cost\."",""""),
 ""\.[^.]+\.[^.]+$"",
 """"
)"),"building.field@2")</f>
        <v>building.field@2</v>
      </c>
      <c r="C207" s="49" t="str">
        <f t="array" ref="C207">_xlfn.XLOOKUP(
 B207,
 tblTargets[TargetID],
 tblTargets[DisplayName],
 ""
)</f>
        <v>Field Lv 2</v>
      </c>
      <c r="D207" s="49" t="str">
        <f t="array" ref="D207">_xlfn.XLOOKUP(
 B207,
 tblTargets[TargetID],
 tblTargets[TargetType],
 ""
)</f>
        <v>BUILDING</v>
      </c>
      <c r="E207" s="49" t="s">
        <v>392</v>
      </c>
      <c r="F207" s="49">
        <v>1.0</v>
      </c>
      <c r="G207" s="49">
        <f t="array" ref="G207">_xlfn.XLOOKUP(
 A207,
 tblCost[RequirementID],
 tblCost[QuantityRequired],
 ""
)</f>
        <v>20</v>
      </c>
      <c r="H207" s="49">
        <f t="array" ref="H207">IF(
 OR(
  LEFT(B207,15)="state.character",
  RIGHT(B207,6)=".maxed"
 ),
 0,
 LET(
  sort,
   _xlfn.XLOOKUP(
    B207,
    tblChecklist[TargetID],
    tblChecklist[PlayerSort],
    0
   ),
  IF(sort=0,500,sort)
 )
)</f>
        <v>8</v>
      </c>
      <c r="I207" s="49" t="str">
        <f t="array" ref="I207">_xlfn.XLOOKUP(
 B207,
 tblTargetStatus[TargetID],
 tblTargetStatus[Status],
 ""
)</f>
        <v>BLOCKED</v>
      </c>
      <c r="J207" s="45" t="b">
        <v>0</v>
      </c>
    </row>
    <row r="208" ht="14.25" hidden="1" customHeight="1">
      <c r="A208" s="49" t="s">
        <v>828</v>
      </c>
      <c r="B208" s="49" t="str">
        <f>IFERROR(__xludf.DUMMYFUNCTION("REGEXREPLACE(
 REGEXREPLACE(A208,""^cost\."",""""),
 ""\.[^.]+\.[^.]+$"",
 """"
)"),"building.field@2")</f>
        <v>building.field@2</v>
      </c>
      <c r="C208" s="49" t="str">
        <f t="array" ref="C208">_xlfn.XLOOKUP(
 B208,
 tblTargets[TargetID],
 tblTargets[DisplayName],
 ""
)</f>
        <v>Field Lv 2</v>
      </c>
      <c r="D208" s="49" t="str">
        <f t="array" ref="D208">_xlfn.XLOOKUP(
 B208,
 tblTargets[TargetID],
 tblTargets[TargetType],
 ""
)</f>
        <v>BUILDING</v>
      </c>
      <c r="E208" s="49" t="s">
        <v>244</v>
      </c>
      <c r="F208" s="49">
        <v>1.0</v>
      </c>
      <c r="G208" s="49">
        <f t="array" ref="G208">_xlfn.XLOOKUP(
 A208,
 tblCost[RequirementID],
 tblCost[QuantityRequired],
 ""
)</f>
        <v>100</v>
      </c>
      <c r="H208" s="49">
        <f t="array" ref="H208">IF(
 OR(
  LEFT(B208,15)="state.character",
  RIGHT(B208,6)=".maxed"
 ),
 0,
 LET(
  sort,
   _xlfn.XLOOKUP(
    B208,
    tblChecklist[TargetID],
    tblChecklist[PlayerSort],
    0
   ),
  IF(sort=0,500,sort)
 )
)</f>
        <v>8</v>
      </c>
      <c r="I208" s="49" t="str">
        <f t="array" ref="I208">_xlfn.XLOOKUP(
 B208,
 tblTargetStatus[TargetID],
 tblTargetStatus[Status],
 ""
)</f>
        <v>BLOCKED</v>
      </c>
      <c r="J208" s="45" t="b">
        <v>0</v>
      </c>
    </row>
    <row r="209" ht="14.25" hidden="1" customHeight="1">
      <c r="A209" s="49" t="s">
        <v>832</v>
      </c>
      <c r="B209" s="49" t="str">
        <f>IFERROR(__xludf.DUMMYFUNCTION("REGEXREPLACE(
 REGEXREPLACE(A209,""^cost\."",""""),
 ""\.[^.]+\.[^.]+$"",
 """"
)"),"building.food_stall@1")</f>
        <v>building.food_stall@1</v>
      </c>
      <c r="C209" s="49" t="str">
        <f t="array" ref="C209">_xlfn.XLOOKUP(
 B209,
 tblTargets[TargetID],
 tblTargets[DisplayName],
 ""
)</f>
        <v>Food Stall Lv 1</v>
      </c>
      <c r="D209" s="49" t="str">
        <f t="array" ref="D209">_xlfn.XLOOKUP(
 B209,
 tblTargets[TargetID],
 tblTargets[TargetType],
 ""
)</f>
        <v>BUILDING</v>
      </c>
      <c r="E209" s="49" t="s">
        <v>119</v>
      </c>
      <c r="F209" s="49">
        <v>1.0</v>
      </c>
      <c r="G209" s="49">
        <f t="array" ref="G209">_xlfn.XLOOKUP(
 A209,
 tblCost[RequirementID],
 tblCost[QuantityRequired],
 ""
)</f>
        <v>300</v>
      </c>
      <c r="H209" s="49">
        <f t="array" ref="H209">IF(
 OR(
  LEFT(B209,15)="state.character",
  RIGHT(B209,6)=".maxed"
 ),
 0,
 LET(
  sort,
   _xlfn.XLOOKUP(
    B209,
    tblChecklist[TargetID],
    tblChecklist[PlayerSort],
    0
   ),
  IF(sort=0,500,sort)
 )
)</f>
        <v>7</v>
      </c>
      <c r="I209" s="49" t="str">
        <f t="array" ref="I209">_xlfn.XLOOKUP(
 B209,
 tblTargetStatus[TargetID],
 tblTargetStatus[Status],
 ""
)</f>
        <v>BLOCKED</v>
      </c>
      <c r="J209" s="45" t="b">
        <v>0</v>
      </c>
    </row>
    <row r="210" ht="14.25" hidden="1" customHeight="1">
      <c r="A210" s="49" t="s">
        <v>836</v>
      </c>
      <c r="B210" s="49" t="str">
        <f>IFERROR(__xludf.DUMMYFUNCTION("REGEXREPLACE(
 REGEXREPLACE(A210,""^cost\."",""""),
 ""\.[^.]+\.[^.]+$"",
 """"
)"),"building.food_stall@1")</f>
        <v>building.food_stall@1</v>
      </c>
      <c r="C210" s="49" t="str">
        <f t="array" ref="C210">_xlfn.XLOOKUP(
 B210,
 tblTargets[TargetID],
 tblTargets[DisplayName],
 ""
)</f>
        <v>Food Stall Lv 1</v>
      </c>
      <c r="D210" s="49" t="str">
        <f t="array" ref="D210">_xlfn.XLOOKUP(
 B210,
 tblTargets[TargetID],
 tblTargets[TargetType],
 ""
)</f>
        <v>BUILDING</v>
      </c>
      <c r="E210" s="49" t="s">
        <v>701</v>
      </c>
      <c r="F210" s="49">
        <v>1.0</v>
      </c>
      <c r="G210" s="49">
        <f t="array" ref="G210">_xlfn.XLOOKUP(
 A210,
 tblCost[RequirementID],
 tblCost[QuantityRequired],
 ""
)</f>
        <v>20</v>
      </c>
      <c r="H210" s="49">
        <f t="array" ref="H210">IF(
 OR(
  LEFT(B210,15)="state.character",
  RIGHT(B210,6)=".maxed"
 ),
 0,
 LET(
  sort,
   _xlfn.XLOOKUP(
    B210,
    tblChecklist[TargetID],
    tblChecklist[PlayerSort],
    0
   ),
  IF(sort=0,500,sort)
 )
)</f>
        <v>7</v>
      </c>
      <c r="I210" s="49" t="str">
        <f t="array" ref="I210">_xlfn.XLOOKUP(
 B210,
 tblTargetStatus[TargetID],
 tblTargetStatus[Status],
 ""
)</f>
        <v>BLOCKED</v>
      </c>
      <c r="J210" s="45" t="b">
        <v>0</v>
      </c>
    </row>
    <row r="211" ht="14.25" hidden="1" customHeight="1">
      <c r="A211" s="49" t="s">
        <v>839</v>
      </c>
      <c r="B211" s="49" t="str">
        <f>IFERROR(__xludf.DUMMYFUNCTION("REGEXREPLACE(
 REGEXREPLACE(A211,""^cost\."",""""),
 ""\.[^.]+\.[^.]+$"",
 """"
)"),"building.food_stall@1")</f>
        <v>building.food_stall@1</v>
      </c>
      <c r="C211" s="49" t="str">
        <f t="array" ref="C211">_xlfn.XLOOKUP(
 B211,
 tblTargets[TargetID],
 tblTargets[DisplayName],
 ""
)</f>
        <v>Food Stall Lv 1</v>
      </c>
      <c r="D211" s="49" t="str">
        <f t="array" ref="D211">_xlfn.XLOOKUP(
 B211,
 tblTargets[TargetID],
 tblTargets[TargetType],
 ""
)</f>
        <v>BUILDING</v>
      </c>
      <c r="E211" s="49" t="s">
        <v>6</v>
      </c>
      <c r="F211" s="49">
        <v>1.0</v>
      </c>
      <c r="G211" s="49">
        <f t="array" ref="G211">_xlfn.XLOOKUP(
 A211,
 tblCost[RequirementID],
 tblCost[QuantityRequired],
 ""
)</f>
        <v>1</v>
      </c>
      <c r="H211" s="49">
        <f t="array" ref="H211">IF(
 OR(
  LEFT(B211,15)="state.character",
  RIGHT(B211,6)=".maxed"
 ),
 0,
 LET(
  sort,
   _xlfn.XLOOKUP(
    B211,
    tblChecklist[TargetID],
    tblChecklist[PlayerSort],
    0
   ),
  IF(sort=0,500,sort)
 )
)</f>
        <v>7</v>
      </c>
      <c r="I211" s="49" t="str">
        <f t="array" ref="I211">_xlfn.XLOOKUP(
 B211,
 tblTargetStatus[TargetID],
 tblTargetStatus[Status],
 ""
)</f>
        <v>BLOCKED</v>
      </c>
      <c r="J211" s="45" t="b">
        <v>0</v>
      </c>
    </row>
    <row r="212" ht="14.25" hidden="1" customHeight="1">
      <c r="A212" s="49" t="s">
        <v>843</v>
      </c>
      <c r="B212" s="49" t="str">
        <f>IFERROR(__xludf.DUMMYFUNCTION("REGEXREPLACE(
 REGEXREPLACE(A212,""^cost\."",""""),
 ""\.[^.]+\.[^.]+$"",
 """"
)"),"building.food_stall@1")</f>
        <v>building.food_stall@1</v>
      </c>
      <c r="C212" s="49" t="str">
        <f t="array" ref="C212">_xlfn.XLOOKUP(
 B212,
 tblTargets[TargetID],
 tblTargets[DisplayName],
 ""
)</f>
        <v>Food Stall Lv 1</v>
      </c>
      <c r="D212" s="49" t="str">
        <f t="array" ref="D212">_xlfn.XLOOKUP(
 B212,
 tblTargets[TargetID],
 tblTargets[TargetType],
 ""
)</f>
        <v>BUILDING</v>
      </c>
      <c r="E212" s="49" t="s">
        <v>237</v>
      </c>
      <c r="F212" s="49">
        <v>1.0</v>
      </c>
      <c r="G212" s="49">
        <f t="array" ref="G212">_xlfn.XLOOKUP(
 A212,
 tblCost[RequirementID],
 tblCost[QuantityRequired],
 ""
)</f>
        <v>150</v>
      </c>
      <c r="H212" s="49">
        <f t="array" ref="H212">IF(
 OR(
  LEFT(B212,15)="state.character",
  RIGHT(B212,6)=".maxed"
 ),
 0,
 LET(
  sort,
   _xlfn.XLOOKUP(
    B212,
    tblChecklist[TargetID],
    tblChecklist[PlayerSort],
    0
   ),
  IF(sort=0,500,sort)
 )
)</f>
        <v>7</v>
      </c>
      <c r="I212" s="49" t="str">
        <f t="array" ref="I212">_xlfn.XLOOKUP(
 B212,
 tblTargetStatus[TargetID],
 tblTargetStatus[Status],
 ""
)</f>
        <v>BLOCKED</v>
      </c>
      <c r="J212" s="45" t="b">
        <v>0</v>
      </c>
    </row>
    <row r="213" ht="14.25" hidden="1" customHeight="1">
      <c r="A213" s="49" t="s">
        <v>847</v>
      </c>
      <c r="B213" s="49" t="str">
        <f>IFERROR(__xludf.DUMMYFUNCTION("REGEXREPLACE(
 REGEXREPLACE(A213,""^cost\."",""""),
 ""\.[^.]+\.[^.]+$"",
 """"
)"),"building.food_stall@1")</f>
        <v>building.food_stall@1</v>
      </c>
      <c r="C213" s="49" t="str">
        <f t="array" ref="C213">_xlfn.XLOOKUP(
 B213,
 tblTargets[TargetID],
 tblTargets[DisplayName],
 ""
)</f>
        <v>Food Stall Lv 1</v>
      </c>
      <c r="D213" s="49" t="str">
        <f t="array" ref="D213">_xlfn.XLOOKUP(
 B213,
 tblTargets[TargetID],
 tblTargets[TargetType],
 ""
)</f>
        <v>BUILDING</v>
      </c>
      <c r="E213" s="49" t="s">
        <v>244</v>
      </c>
      <c r="F213" s="49">
        <v>1.0</v>
      </c>
      <c r="G213" s="49">
        <f t="array" ref="G213">_xlfn.XLOOKUP(
 A213,
 tblCost[RequirementID],
 tblCost[QuantityRequired],
 ""
)</f>
        <v>150</v>
      </c>
      <c r="H213" s="49">
        <f t="array" ref="H213">IF(
 OR(
  LEFT(B213,15)="state.character",
  RIGHT(B213,6)=".maxed"
 ),
 0,
 LET(
  sort,
   _xlfn.XLOOKUP(
    B213,
    tblChecklist[TargetID],
    tblChecklist[PlayerSort],
    0
   ),
  IF(sort=0,500,sort)
 )
)</f>
        <v>7</v>
      </c>
      <c r="I213" s="49" t="str">
        <f t="array" ref="I213">_xlfn.XLOOKUP(
 B213,
 tblTargetStatus[TargetID],
 tblTargetStatus[Status],
 ""
)</f>
        <v>BLOCKED</v>
      </c>
      <c r="J213" s="45" t="b">
        <v>0</v>
      </c>
    </row>
    <row r="214" ht="14.25" hidden="1" customHeight="1">
      <c r="A214" s="49" t="s">
        <v>851</v>
      </c>
      <c r="B214" s="49" t="str">
        <f>IFERROR(__xludf.DUMMYFUNCTION("REGEXREPLACE(
 REGEXREPLACE(A214,""^cost\."",""""),
 ""\.[^.]+\.[^.]+$"",
 """"
)"),"building.food_stall@2")</f>
        <v>building.food_stall@2</v>
      </c>
      <c r="C214" s="49" t="str">
        <f t="array" ref="C214">_xlfn.XLOOKUP(
 B214,
 tblTargets[TargetID],
 tblTargets[DisplayName],
 ""
)</f>
        <v>Food Stall Lv 2</v>
      </c>
      <c r="D214" s="49" t="str">
        <f t="array" ref="D214">_xlfn.XLOOKUP(
 B214,
 tblTargets[TargetID],
 tblTargets[TargetType],
 ""
)</f>
        <v>BUILDING</v>
      </c>
      <c r="E214" s="49" t="s">
        <v>119</v>
      </c>
      <c r="F214" s="49">
        <v>1.0</v>
      </c>
      <c r="G214" s="49">
        <f t="array" ref="G214">_xlfn.XLOOKUP(
 A214,
 tblCost[RequirementID],
 tblCost[QuantityRequired],
 ""
)</f>
        <v>500</v>
      </c>
      <c r="H214" s="49">
        <f t="array" ref="H214">IF(
 OR(
  LEFT(B214,15)="state.character",
  RIGHT(B214,6)=".maxed"
 ),
 0,
 LET(
  sort,
   _xlfn.XLOOKUP(
    B214,
    tblChecklist[TargetID],
    tblChecklist[PlayerSort],
    0
   ),
  IF(sort=0,500,sort)
 )
)</f>
        <v>25</v>
      </c>
      <c r="I214" s="49" t="str">
        <f t="array" ref="I214">_xlfn.XLOOKUP(
 B214,
 tblTargetStatus[TargetID],
 tblTargetStatus[Status],
 ""
)</f>
        <v>BLOCKED</v>
      </c>
      <c r="J214" s="45" t="b">
        <v>0</v>
      </c>
    </row>
    <row r="215" ht="14.25" hidden="1" customHeight="1">
      <c r="A215" s="49" t="s">
        <v>856</v>
      </c>
      <c r="B215" s="49" t="str">
        <f>IFERROR(__xludf.DUMMYFUNCTION("REGEXREPLACE(
 REGEXREPLACE(A215,""^cost\."",""""),
 ""\.[^.]+\.[^.]+$"",
 """"
)"),"building.food_stall@2")</f>
        <v>building.food_stall@2</v>
      </c>
      <c r="C215" s="49" t="str">
        <f t="array" ref="C215">_xlfn.XLOOKUP(
 B215,
 tblTargets[TargetID],
 tblTargets[DisplayName],
 ""
)</f>
        <v>Food Stall Lv 2</v>
      </c>
      <c r="D215" s="49" t="str">
        <f t="array" ref="D215">_xlfn.XLOOKUP(
 B215,
 tblTargets[TargetID],
 tblTargets[TargetType],
 ""
)</f>
        <v>BUILDING</v>
      </c>
      <c r="E215" s="49" t="s">
        <v>187</v>
      </c>
      <c r="F215" s="49">
        <v>1.0</v>
      </c>
      <c r="G215" s="49">
        <f t="array" ref="G215">_xlfn.XLOOKUP(
 A215,
 tblCost[RequirementID],
 tblCost[QuantityRequired],
 ""
)</f>
        <v>500</v>
      </c>
      <c r="H215" s="49">
        <f t="array" ref="H215">IF(
 OR(
  LEFT(B215,15)="state.character",
  RIGHT(B215,6)=".maxed"
 ),
 0,
 LET(
  sort,
   _xlfn.XLOOKUP(
    B215,
    tblChecklist[TargetID],
    tblChecklist[PlayerSort],
    0
   ),
  IF(sort=0,500,sort)
 )
)</f>
        <v>25</v>
      </c>
      <c r="I215" s="49" t="str">
        <f t="array" ref="I215">_xlfn.XLOOKUP(
 B215,
 tblTargetStatus[TargetID],
 tblTargetStatus[Status],
 ""
)</f>
        <v>BLOCKED</v>
      </c>
      <c r="J215" s="45" t="b">
        <v>0</v>
      </c>
    </row>
    <row r="216" ht="14.25" hidden="1" customHeight="1">
      <c r="A216" s="49" t="s">
        <v>859</v>
      </c>
      <c r="B216" s="49" t="str">
        <f>IFERROR(__xludf.DUMMYFUNCTION("REGEXREPLACE(
 REGEXREPLACE(A216,""^cost\."",""""),
 ""\.[^.]+\.[^.]+$"",
 """"
)"),"building.food_stall@2")</f>
        <v>building.food_stall@2</v>
      </c>
      <c r="C216" s="49" t="str">
        <f t="array" ref="C216">_xlfn.XLOOKUP(
 B216,
 tblTargets[TargetID],
 tblTargets[DisplayName],
 ""
)</f>
        <v>Food Stall Lv 2</v>
      </c>
      <c r="D216" s="49" t="str">
        <f t="array" ref="D216">_xlfn.XLOOKUP(
 B216,
 tblTargets[TargetID],
 tblTargets[TargetType],
 ""
)</f>
        <v>BUILDING</v>
      </c>
      <c r="E216" s="49" t="s">
        <v>6</v>
      </c>
      <c r="F216" s="49">
        <v>1.0</v>
      </c>
      <c r="G216" s="49">
        <f t="array" ref="G216">_xlfn.XLOOKUP(
 A216,
 tblCost[RequirementID],
 tblCost[QuantityRequired],
 ""
)</f>
        <v>3</v>
      </c>
      <c r="H216" s="49">
        <f t="array" ref="H216">IF(
 OR(
  LEFT(B216,15)="state.character",
  RIGHT(B216,6)=".maxed"
 ),
 0,
 LET(
  sort,
   _xlfn.XLOOKUP(
    B216,
    tblChecklist[TargetID],
    tblChecklist[PlayerSort],
    0
   ),
  IF(sort=0,500,sort)
 )
)</f>
        <v>25</v>
      </c>
      <c r="I216" s="49" t="str">
        <f t="array" ref="I216">_xlfn.XLOOKUP(
 B216,
 tblTargetStatus[TargetID],
 tblTargetStatus[Status],
 ""
)</f>
        <v>BLOCKED</v>
      </c>
      <c r="J216" s="45" t="b">
        <v>0</v>
      </c>
    </row>
    <row r="217" ht="14.25" hidden="1" customHeight="1">
      <c r="A217" s="49" t="s">
        <v>863</v>
      </c>
      <c r="B217" s="49" t="str">
        <f>IFERROR(__xludf.DUMMYFUNCTION("REGEXREPLACE(
 REGEXREPLACE(A217,""^cost\."",""""),
 ""\.[^.]+\.[^.]+$"",
 """"
)"),"building.food_stall@2")</f>
        <v>building.food_stall@2</v>
      </c>
      <c r="C217" s="49" t="str">
        <f t="array" ref="C217">_xlfn.XLOOKUP(
 B217,
 tblTargets[TargetID],
 tblTargets[DisplayName],
 ""
)</f>
        <v>Food Stall Lv 2</v>
      </c>
      <c r="D217" s="49" t="str">
        <f t="array" ref="D217">_xlfn.XLOOKUP(
 B217,
 tblTargets[TargetID],
 tblTargets[TargetType],
 ""
)</f>
        <v>BUILDING</v>
      </c>
      <c r="E217" s="49" t="s">
        <v>443</v>
      </c>
      <c r="F217" s="49">
        <v>1.0</v>
      </c>
      <c r="G217" s="49">
        <f t="array" ref="G217">_xlfn.XLOOKUP(
 A217,
 tblCost[RequirementID],
 tblCost[QuantityRequired],
 ""
)</f>
        <v>5</v>
      </c>
      <c r="H217" s="49">
        <f t="array" ref="H217">IF(
 OR(
  LEFT(B217,15)="state.character",
  RIGHT(B217,6)=".maxed"
 ),
 0,
 LET(
  sort,
   _xlfn.XLOOKUP(
    B217,
    tblChecklist[TargetID],
    tblChecklist[PlayerSort],
    0
   ),
  IF(sort=0,500,sort)
 )
)</f>
        <v>25</v>
      </c>
      <c r="I217" s="49" t="str">
        <f t="array" ref="I217">_xlfn.XLOOKUP(
 B217,
 tblTargetStatus[TargetID],
 tblTargetStatus[Status],
 ""
)</f>
        <v>BLOCKED</v>
      </c>
      <c r="J217" s="45" t="b">
        <v>0</v>
      </c>
    </row>
    <row r="218" ht="14.25" hidden="1" customHeight="1">
      <c r="A218" s="49" t="s">
        <v>869</v>
      </c>
      <c r="B218" s="49" t="str">
        <f>IFERROR(__xludf.DUMMYFUNCTION("REGEXREPLACE(
 REGEXREPLACE(A218,""^cost\."",""""),
 ""\.[^.]+\.[^.]+$"",
 """"
)"),"building.food_stall@2")</f>
        <v>building.food_stall@2</v>
      </c>
      <c r="C218" s="49" t="str">
        <f t="array" ref="C218">_xlfn.XLOOKUP(
 B218,
 tblTargets[TargetID],
 tblTargets[DisplayName],
 ""
)</f>
        <v>Food Stall Lv 2</v>
      </c>
      <c r="D218" s="49" t="str">
        <f t="array" ref="D218">_xlfn.XLOOKUP(
 B218,
 tblTargets[TargetID],
 tblTargets[TargetType],
 ""
)</f>
        <v>BUILDING</v>
      </c>
      <c r="E218" s="49" t="s">
        <v>237</v>
      </c>
      <c r="F218" s="49">
        <v>1.0</v>
      </c>
      <c r="G218" s="49">
        <f t="array" ref="G218">_xlfn.XLOOKUP(
 A218,
 tblCost[RequirementID],
 tblCost[QuantityRequired],
 ""
)</f>
        <v>300</v>
      </c>
      <c r="H218" s="49">
        <f t="array" ref="H218">IF(
 OR(
  LEFT(B218,15)="state.character",
  RIGHT(B218,6)=".maxed"
 ),
 0,
 LET(
  sort,
   _xlfn.XLOOKUP(
    B218,
    tblChecklist[TargetID],
    tblChecklist[PlayerSort],
    0
   ),
  IF(sort=0,500,sort)
 )
)</f>
        <v>25</v>
      </c>
      <c r="I218" s="49" t="str">
        <f t="array" ref="I218">_xlfn.XLOOKUP(
 B218,
 tblTargetStatus[TargetID],
 tblTargetStatus[Status],
 ""
)</f>
        <v>BLOCKED</v>
      </c>
      <c r="J218" s="45" t="b">
        <v>0</v>
      </c>
    </row>
    <row r="219" ht="14.25" hidden="1" customHeight="1">
      <c r="A219" s="49" t="s">
        <v>871</v>
      </c>
      <c r="B219" s="49" t="str">
        <f>IFERROR(__xludf.DUMMYFUNCTION("REGEXREPLACE(
 REGEXREPLACE(A219,""^cost\."",""""),
 ""\.[^.]+\.[^.]+$"",
 """"
)"),"building.food_stall@3")</f>
        <v>building.food_stall@3</v>
      </c>
      <c r="C219" s="49" t="str">
        <f t="array" ref="C219">_xlfn.XLOOKUP(
 B219,
 tblTargets[TargetID],
 tblTargets[DisplayName],
 ""
)</f>
        <v>Food Stall Lv 3</v>
      </c>
      <c r="D219" s="49" t="str">
        <f t="array" ref="D219">_xlfn.XLOOKUP(
 B219,
 tblTargets[TargetID],
 tblTargets[TargetType],
 ""
)</f>
        <v>BUILDING</v>
      </c>
      <c r="E219" s="49" t="s">
        <v>367</v>
      </c>
      <c r="F219" s="49">
        <v>1.0</v>
      </c>
      <c r="G219" s="49">
        <f t="array" ref="G219">_xlfn.XLOOKUP(
 A219,
 tblCost[RequirementID],
 tblCost[QuantityRequired],
 ""
)</f>
        <v>50</v>
      </c>
      <c r="H219" s="49">
        <f t="array" ref="H219">IF(
 OR(
  LEFT(B219,15)="state.character",
  RIGHT(B219,6)=".maxed"
 ),
 0,
 LET(
  sort,
   _xlfn.XLOOKUP(
    B219,
    tblChecklist[TargetID],
    tblChecklist[PlayerSort],
    0
   ),
  IF(sort=0,500,sort)
 )
)</f>
        <v>26</v>
      </c>
      <c r="I219" s="49" t="str">
        <f t="array" ref="I219">_xlfn.XLOOKUP(
 B219,
 tblTargetStatus[TargetID],
 tblTargetStatus[Status],
 ""
)</f>
        <v>BLOCKED</v>
      </c>
      <c r="J219" s="45" t="b">
        <v>0</v>
      </c>
    </row>
    <row r="220" ht="14.25" hidden="1" customHeight="1">
      <c r="A220" s="49" t="s">
        <v>874</v>
      </c>
      <c r="B220" s="49" t="str">
        <f>IFERROR(__xludf.DUMMYFUNCTION("REGEXREPLACE(
 REGEXREPLACE(A220,""^cost\."",""""),
 ""\.[^.]+\.[^.]+$"",
 """"
)"),"building.food_stall@3")</f>
        <v>building.food_stall@3</v>
      </c>
      <c r="C220" s="49" t="str">
        <f t="array" ref="C220">_xlfn.XLOOKUP(
 B220,
 tblTargets[TargetID],
 tblTargets[DisplayName],
 ""
)</f>
        <v>Food Stall Lv 3</v>
      </c>
      <c r="D220" s="49" t="str">
        <f t="array" ref="D220">_xlfn.XLOOKUP(
 B220,
 tblTargets[TargetID],
 tblTargets[TargetType],
 ""
)</f>
        <v>BUILDING</v>
      </c>
      <c r="E220" s="49" t="s">
        <v>119</v>
      </c>
      <c r="F220" s="49">
        <v>1.0</v>
      </c>
      <c r="G220" s="49">
        <f t="array" ref="G220">_xlfn.XLOOKUP(
 A220,
 tblCost[RequirementID],
 tblCost[QuantityRequired],
 ""
)</f>
        <v>800</v>
      </c>
      <c r="H220" s="49">
        <f t="array" ref="H220">IF(
 OR(
  LEFT(B220,15)="state.character",
  RIGHT(B220,6)=".maxed"
 ),
 0,
 LET(
  sort,
   _xlfn.XLOOKUP(
    B220,
    tblChecklist[TargetID],
    tblChecklist[PlayerSort],
    0
   ),
  IF(sort=0,500,sort)
 )
)</f>
        <v>26</v>
      </c>
      <c r="I220" s="49" t="str">
        <f t="array" ref="I220">_xlfn.XLOOKUP(
 B220,
 tblTargetStatus[TargetID],
 tblTargetStatus[Status],
 ""
)</f>
        <v>BLOCKED</v>
      </c>
      <c r="J220" s="45" t="b">
        <v>0</v>
      </c>
    </row>
    <row r="221" ht="14.25" hidden="1" customHeight="1">
      <c r="A221" s="49" t="s">
        <v>880</v>
      </c>
      <c r="B221" s="49" t="str">
        <f>IFERROR(__xludf.DUMMYFUNCTION("REGEXREPLACE(
 REGEXREPLACE(A221,""^cost\."",""""),
 ""\.[^.]+\.[^.]+$"",
 """"
)"),"building.food_stall@3")</f>
        <v>building.food_stall@3</v>
      </c>
      <c r="C221" s="49" t="str">
        <f t="array" ref="C221">_xlfn.XLOOKUP(
 B221,
 tblTargets[TargetID],
 tblTargets[DisplayName],
 ""
)</f>
        <v>Food Stall Lv 3</v>
      </c>
      <c r="D221" s="49" t="str">
        <f t="array" ref="D221">_xlfn.XLOOKUP(
 B221,
 tblTargets[TargetID],
 tblTargets[TargetType],
 ""
)</f>
        <v>BUILDING</v>
      </c>
      <c r="E221" s="49" t="s">
        <v>187</v>
      </c>
      <c r="F221" s="49">
        <v>1.0</v>
      </c>
      <c r="G221" s="49">
        <f t="array" ref="G221">_xlfn.XLOOKUP(
 A221,
 tblCost[RequirementID],
 tblCost[QuantityRequired],
 ""
)</f>
        <v>600</v>
      </c>
      <c r="H221" s="49">
        <f t="array" ref="H221">IF(
 OR(
  LEFT(B221,15)="state.character",
  RIGHT(B221,6)=".maxed"
 ),
 0,
 LET(
  sort,
   _xlfn.XLOOKUP(
    B221,
    tblChecklist[TargetID],
    tblChecklist[PlayerSort],
    0
   ),
  IF(sort=0,500,sort)
 )
)</f>
        <v>26</v>
      </c>
      <c r="I221" s="49" t="str">
        <f t="array" ref="I221">_xlfn.XLOOKUP(
 B221,
 tblTargetStatus[TargetID],
 tblTargetStatus[Status],
 ""
)</f>
        <v>BLOCKED</v>
      </c>
      <c r="J221" s="45" t="b">
        <v>0</v>
      </c>
    </row>
    <row r="222" ht="14.25" hidden="1" customHeight="1">
      <c r="A222" s="49" t="s">
        <v>884</v>
      </c>
      <c r="B222" s="49" t="str">
        <f>IFERROR(__xludf.DUMMYFUNCTION("REGEXREPLACE(
 REGEXREPLACE(A222,""^cost\."",""""),
 ""\.[^.]+\.[^.]+$"",
 """"
)"),"building.food_stall@3")</f>
        <v>building.food_stall@3</v>
      </c>
      <c r="C222" s="49" t="str">
        <f t="array" ref="C222">_xlfn.XLOOKUP(
 B222,
 tblTargets[TargetID],
 tblTargets[DisplayName],
 ""
)</f>
        <v>Food Stall Lv 3</v>
      </c>
      <c r="D222" s="49" t="str">
        <f t="array" ref="D222">_xlfn.XLOOKUP(
 B222,
 tblTargets[TargetID],
 tblTargets[TargetType],
 ""
)</f>
        <v>BUILDING</v>
      </c>
      <c r="E222" s="49" t="s">
        <v>6</v>
      </c>
      <c r="F222" s="49">
        <v>1.0</v>
      </c>
      <c r="G222" s="49">
        <f t="array" ref="G222">_xlfn.XLOOKUP(
 A222,
 tblCost[RequirementID],
 tblCost[QuantityRequired],
 ""
)</f>
        <v>5</v>
      </c>
      <c r="H222" s="49">
        <f t="array" ref="H222">IF(
 OR(
  LEFT(B222,15)="state.character",
  RIGHT(B222,6)=".maxed"
 ),
 0,
 LET(
  sort,
   _xlfn.XLOOKUP(
    B222,
    tblChecklist[TargetID],
    tblChecklist[PlayerSort],
    0
   ),
  IF(sort=0,500,sort)
 )
)</f>
        <v>26</v>
      </c>
      <c r="I222" s="49" t="str">
        <f t="array" ref="I222">_xlfn.XLOOKUP(
 B222,
 tblTargetStatus[TargetID],
 tblTargetStatus[Status],
 ""
)</f>
        <v>BLOCKED</v>
      </c>
      <c r="J222" s="45" t="b">
        <v>0</v>
      </c>
    </row>
    <row r="223" ht="14.25" hidden="1" customHeight="1">
      <c r="A223" s="49" t="s">
        <v>890</v>
      </c>
      <c r="B223" s="49" t="str">
        <f>IFERROR(__xludf.DUMMYFUNCTION("REGEXREPLACE(
 REGEXREPLACE(A223,""^cost\."",""""),
 ""\.[^.]+\.[^.]+$"",
 """"
)"),"building.food_stall@3")</f>
        <v>building.food_stall@3</v>
      </c>
      <c r="C223" s="49" t="str">
        <f t="array" ref="C223">_xlfn.XLOOKUP(
 B223,
 tblTargets[TargetID],
 tblTargets[DisplayName],
 ""
)</f>
        <v>Food Stall Lv 3</v>
      </c>
      <c r="D223" s="49" t="str">
        <f t="array" ref="D223">_xlfn.XLOOKUP(
 B223,
 tblTargets[TargetID],
 tblTargets[TargetType],
 ""
)</f>
        <v>BUILDING</v>
      </c>
      <c r="E223" s="49" t="s">
        <v>443</v>
      </c>
      <c r="F223" s="49">
        <v>1.0</v>
      </c>
      <c r="G223" s="49">
        <f t="array" ref="G223">_xlfn.XLOOKUP(
 A223,
 tblCost[RequirementID],
 tblCost[QuantityRequired],
 ""
)</f>
        <v>3</v>
      </c>
      <c r="H223" s="49">
        <f t="array" ref="H223">IF(
 OR(
  LEFT(B223,15)="state.character",
  RIGHT(B223,6)=".maxed"
 ),
 0,
 LET(
  sort,
   _xlfn.XLOOKUP(
    B223,
    tblChecklist[TargetID],
    tblChecklist[PlayerSort],
    0
   ),
  IF(sort=0,500,sort)
 )
)</f>
        <v>26</v>
      </c>
      <c r="I223" s="49" t="str">
        <f t="array" ref="I223">_xlfn.XLOOKUP(
 B223,
 tblTargetStatus[TargetID],
 tblTargetStatus[Status],
 ""
)</f>
        <v>BLOCKED</v>
      </c>
      <c r="J223" s="45" t="b">
        <v>0</v>
      </c>
    </row>
    <row r="224" ht="14.25" hidden="1" customHeight="1">
      <c r="A224" s="49" t="s">
        <v>894</v>
      </c>
      <c r="B224" s="49" t="str">
        <f>IFERROR(__xludf.DUMMYFUNCTION("REGEXREPLACE(
 REGEXREPLACE(A224,""^cost\."",""""),
 ""\.[^.]+\.[^.]+$"",
 """"
)"),"building.furnace@1")</f>
        <v>building.furnace@1</v>
      </c>
      <c r="C224" s="49" t="str">
        <f t="array" ref="C224">_xlfn.XLOOKUP(
 B224,
 tblTargets[TargetID],
 tblTargets[DisplayName],
 ""
)</f>
        <v>Furnace Lv 1</v>
      </c>
      <c r="D224" s="49" t="str">
        <f t="array" ref="D224">_xlfn.XLOOKUP(
 B224,
 tblTargets[TargetID],
 tblTargets[TargetType],
 ""
)</f>
        <v>BUILDING</v>
      </c>
      <c r="E224" s="49" t="s">
        <v>119</v>
      </c>
      <c r="F224" s="49">
        <v>1.0</v>
      </c>
      <c r="G224" s="49">
        <f t="array" ref="G224">_xlfn.XLOOKUP(
 A224,
 tblCost[RequirementID],
 tblCost[QuantityRequired],
 ""
)</f>
        <v>200</v>
      </c>
      <c r="H224" s="49">
        <f t="array" ref="H224">IF(
 OR(
  LEFT(B224,15)="state.character",
  RIGHT(B224,6)=".maxed"
 ),
 0,
 LET(
  sort,
   _xlfn.XLOOKUP(
    B224,
    tblChecklist[TargetID],
    tblChecklist[PlayerSort],
    0
   ),
  IF(sort=0,500,sort)
 )
)</f>
        <v>10</v>
      </c>
      <c r="I224" s="49" t="str">
        <f t="array" ref="I224">_xlfn.XLOOKUP(
 B224,
 tblTargetStatus[TargetID],
 tblTargetStatus[Status],
 ""
)</f>
        <v>BLOCKED</v>
      </c>
      <c r="J224" s="45" t="b">
        <v>0</v>
      </c>
    </row>
    <row r="225" ht="14.25" hidden="1" customHeight="1">
      <c r="A225" s="49" t="s">
        <v>899</v>
      </c>
      <c r="B225" s="49" t="str">
        <f>IFERROR(__xludf.DUMMYFUNCTION("REGEXREPLACE(
 REGEXREPLACE(A225,""^cost\."",""""),
 ""\.[^.]+\.[^.]+$"",
 """"
)"),"building.furnace@1")</f>
        <v>building.furnace@1</v>
      </c>
      <c r="C225" s="49" t="str">
        <f t="array" ref="C225">_xlfn.XLOOKUP(
 B225,
 tblTargets[TargetID],
 tblTargets[DisplayName],
 ""
)</f>
        <v>Furnace Lv 1</v>
      </c>
      <c r="D225" s="49" t="str">
        <f t="array" ref="D225">_xlfn.XLOOKUP(
 B225,
 tblTargets[TargetID],
 tblTargets[TargetType],
 ""
)</f>
        <v>BUILDING</v>
      </c>
      <c r="E225" s="49" t="s">
        <v>6</v>
      </c>
      <c r="F225" s="49">
        <v>1.0</v>
      </c>
      <c r="G225" s="49">
        <f t="array" ref="G225">_xlfn.XLOOKUP(
 A225,
 tblCost[RequirementID],
 tblCost[QuantityRequired],
 ""
)</f>
        <v>1</v>
      </c>
      <c r="H225" s="49">
        <f t="array" ref="H225">IF(
 OR(
  LEFT(B225,15)="state.character",
  RIGHT(B225,6)=".maxed"
 ),
 0,
 LET(
  sort,
   _xlfn.XLOOKUP(
    B225,
    tblChecklist[TargetID],
    tblChecklist[PlayerSort],
    0
   ),
  IF(sort=0,500,sort)
 )
)</f>
        <v>10</v>
      </c>
      <c r="I225" s="49" t="str">
        <f t="array" ref="I225">_xlfn.XLOOKUP(
 B225,
 tblTargetStatus[TargetID],
 tblTargetStatus[Status],
 ""
)</f>
        <v>BLOCKED</v>
      </c>
      <c r="J225" s="45" t="b">
        <v>0</v>
      </c>
    </row>
    <row r="226" ht="14.25" hidden="1" customHeight="1">
      <c r="A226" s="49" t="s">
        <v>904</v>
      </c>
      <c r="B226" s="49" t="str">
        <f>IFERROR(__xludf.DUMMYFUNCTION("REGEXREPLACE(
 REGEXREPLACE(A226,""^cost\."",""""),
 ""\.[^.]+\.[^.]+$"",
 """"
)"),"building.furnace@1")</f>
        <v>building.furnace@1</v>
      </c>
      <c r="C226" s="49" t="str">
        <f t="array" ref="C226">_xlfn.XLOOKUP(
 B226,
 tblTargets[TargetID],
 tblTargets[DisplayName],
 ""
)</f>
        <v>Furnace Lv 1</v>
      </c>
      <c r="D226" s="49" t="str">
        <f t="array" ref="D226">_xlfn.XLOOKUP(
 B226,
 tblTargets[TargetID],
 tblTargets[TargetType],
 ""
)</f>
        <v>BUILDING</v>
      </c>
      <c r="E226" s="49" t="s">
        <v>237</v>
      </c>
      <c r="F226" s="49">
        <v>1.0</v>
      </c>
      <c r="G226" s="49">
        <f t="array" ref="G226">_xlfn.XLOOKUP(
 A226,
 tblCost[RequirementID],
 tblCost[QuantityRequired],
 ""
)</f>
        <v>100</v>
      </c>
      <c r="H226" s="49">
        <f t="array" ref="H226">IF(
 OR(
  LEFT(B226,15)="state.character",
  RIGHT(B226,6)=".maxed"
 ),
 0,
 LET(
  sort,
   _xlfn.XLOOKUP(
    B226,
    tblChecklist[TargetID],
    tblChecklist[PlayerSort],
    0
   ),
  IF(sort=0,500,sort)
 )
)</f>
        <v>10</v>
      </c>
      <c r="I226" s="49" t="str">
        <f t="array" ref="I226">_xlfn.XLOOKUP(
 B226,
 tblTargetStatus[TargetID],
 tblTargetStatus[Status],
 ""
)</f>
        <v>BLOCKED</v>
      </c>
      <c r="J226" s="45" t="b">
        <v>0</v>
      </c>
    </row>
    <row r="227" ht="14.25" hidden="1" customHeight="1">
      <c r="A227" s="49" t="s">
        <v>908</v>
      </c>
      <c r="B227" s="49" t="str">
        <f>IFERROR(__xludf.DUMMYFUNCTION("REGEXREPLACE(
 REGEXREPLACE(A227,""^cost\."",""""),
 ""\.[^.]+\.[^.]+$"",
 """"
)"),"building.furnace@1")</f>
        <v>building.furnace@1</v>
      </c>
      <c r="C227" s="49" t="str">
        <f t="array" ref="C227">_xlfn.XLOOKUP(
 B227,
 tblTargets[TargetID],
 tblTargets[DisplayName],
 ""
)</f>
        <v>Furnace Lv 1</v>
      </c>
      <c r="D227" s="49" t="str">
        <f t="array" ref="D227">_xlfn.XLOOKUP(
 B227,
 tblTargets[TargetID],
 tblTargets[TargetType],
 ""
)</f>
        <v>BUILDING</v>
      </c>
      <c r="E227" s="49" t="s">
        <v>244</v>
      </c>
      <c r="F227" s="49">
        <v>1.0</v>
      </c>
      <c r="G227" s="49">
        <f t="array" ref="G227">_xlfn.XLOOKUP(
 A227,
 tblCost[RequirementID],
 tblCost[QuantityRequired],
 ""
)</f>
        <v>100</v>
      </c>
      <c r="H227" s="49">
        <f t="array" ref="H227">IF(
 OR(
  LEFT(B227,15)="state.character",
  RIGHT(B227,6)=".maxed"
 ),
 0,
 LET(
  sort,
   _xlfn.XLOOKUP(
    B227,
    tblChecklist[TargetID],
    tblChecklist[PlayerSort],
    0
   ),
  IF(sort=0,500,sort)
 )
)</f>
        <v>10</v>
      </c>
      <c r="I227" s="49" t="str">
        <f t="array" ref="I227">_xlfn.XLOOKUP(
 B227,
 tblTargetStatus[TargetID],
 tblTargetStatus[Status],
 ""
)</f>
        <v>BLOCKED</v>
      </c>
      <c r="J227" s="45" t="b">
        <v>0</v>
      </c>
    </row>
    <row r="228" ht="14.25" hidden="1" customHeight="1">
      <c r="A228" s="49" t="s">
        <v>912</v>
      </c>
      <c r="B228" s="49" t="str">
        <f>IFERROR(__xludf.DUMMYFUNCTION("REGEXREPLACE(
 REGEXREPLACE(A228,""^cost\."",""""),
 ""\.[^.]+\.[^.]+$"",
 """"
)"),"building.furnace@2")</f>
        <v>building.furnace@2</v>
      </c>
      <c r="C228" s="49" t="str">
        <f t="array" ref="C228">_xlfn.XLOOKUP(
 B228,
 tblTargets[TargetID],
 tblTargets[DisplayName],
 ""
)</f>
        <v>Furnace Lv 2</v>
      </c>
      <c r="D228" s="49" t="str">
        <f t="array" ref="D228">_xlfn.XLOOKUP(
 B228,
 tblTargets[TargetID],
 tblTargets[TargetType],
 ""
)</f>
        <v>BUILDING</v>
      </c>
      <c r="E228" s="49" t="s">
        <v>278</v>
      </c>
      <c r="F228" s="49">
        <v>1.0</v>
      </c>
      <c r="G228" s="49">
        <f t="array" ref="G228">_xlfn.XLOOKUP(
 A228,
 tblCost[RequirementID],
 tblCost[QuantityRequired],
 ""
)</f>
        <v>400</v>
      </c>
      <c r="H228" s="49">
        <f t="array" ref="H228">IF(
 OR(
  LEFT(B228,15)="state.character",
  RIGHT(B228,6)=".maxed"
 ),
 0,
 LET(
  sort,
   _xlfn.XLOOKUP(
    B228,
    tblChecklist[TargetID],
    tblChecklist[PlayerSort],
    0
   ),
  IF(sort=0,500,sort)
 )
)</f>
        <v>11</v>
      </c>
      <c r="I228" s="49" t="str">
        <f t="array" ref="I228">_xlfn.XLOOKUP(
 B228,
 tblTargetStatus[TargetID],
 tblTargetStatus[Status],
 ""
)</f>
        <v>BLOCKED</v>
      </c>
      <c r="J228" s="45" t="b">
        <v>0</v>
      </c>
    </row>
    <row r="229" ht="14.25" hidden="1" customHeight="1">
      <c r="A229" s="49" t="s">
        <v>918</v>
      </c>
      <c r="B229" s="49" t="str">
        <f>IFERROR(__xludf.DUMMYFUNCTION("REGEXREPLACE(
 REGEXREPLACE(A229,""^cost\."",""""),
 ""\.[^.]+\.[^.]+$"",
 """"
)"),"building.furnace@2")</f>
        <v>building.furnace@2</v>
      </c>
      <c r="C229" s="49" t="str">
        <f t="array" ref="C229">_xlfn.XLOOKUP(
 B229,
 tblTargets[TargetID],
 tblTargets[DisplayName],
 ""
)</f>
        <v>Furnace Lv 2</v>
      </c>
      <c r="D229" s="49" t="str">
        <f t="array" ref="D229">_xlfn.XLOOKUP(
 B229,
 tblTargets[TargetID],
 tblTargets[TargetType],
 ""
)</f>
        <v>BUILDING</v>
      </c>
      <c r="E229" s="49" t="s">
        <v>119</v>
      </c>
      <c r="F229" s="49">
        <v>1.0</v>
      </c>
      <c r="G229" s="49">
        <f t="array" ref="G229">_xlfn.XLOOKUP(
 A229,
 tblCost[RequirementID],
 tblCost[QuantityRequired],
 ""
)</f>
        <v>500</v>
      </c>
      <c r="H229" s="49">
        <f t="array" ref="H229">IF(
 OR(
  LEFT(B229,15)="state.character",
  RIGHT(B229,6)=".maxed"
 ),
 0,
 LET(
  sort,
   _xlfn.XLOOKUP(
    B229,
    tblChecklist[TargetID],
    tblChecklist[PlayerSort],
    0
   ),
  IF(sort=0,500,sort)
 )
)</f>
        <v>11</v>
      </c>
      <c r="I229" s="49" t="str">
        <f t="array" ref="I229">_xlfn.XLOOKUP(
 B229,
 tblTargetStatus[TargetID],
 tblTargetStatus[Status],
 ""
)</f>
        <v>BLOCKED</v>
      </c>
      <c r="J229" s="45" t="b">
        <v>0</v>
      </c>
    </row>
    <row r="230" ht="14.25" hidden="1" customHeight="1">
      <c r="A230" s="49" t="s">
        <v>926</v>
      </c>
      <c r="B230" s="49" t="str">
        <f>IFERROR(__xludf.DUMMYFUNCTION("REGEXREPLACE(
 REGEXREPLACE(A230,""^cost\."",""""),
 ""\.[^.]+\.[^.]+$"",
 """"
)"),"building.furnace@2")</f>
        <v>building.furnace@2</v>
      </c>
      <c r="C230" s="49" t="str">
        <f t="array" ref="C230">_xlfn.XLOOKUP(
 B230,
 tblTargets[TargetID],
 tblTargets[DisplayName],
 ""
)</f>
        <v>Furnace Lv 2</v>
      </c>
      <c r="D230" s="49" t="str">
        <f t="array" ref="D230">_xlfn.XLOOKUP(
 B230,
 tblTargets[TargetID],
 tblTargets[TargetType],
 ""
)</f>
        <v>BUILDING</v>
      </c>
      <c r="E230" s="49" t="s">
        <v>6</v>
      </c>
      <c r="F230" s="49">
        <v>1.0</v>
      </c>
      <c r="G230" s="49">
        <f t="array" ref="G230">_xlfn.XLOOKUP(
 A230,
 tblCost[RequirementID],
 tblCost[QuantityRequired],
 ""
)</f>
        <v>3</v>
      </c>
      <c r="H230" s="49">
        <f t="array" ref="H230">IF(
 OR(
  LEFT(B230,15)="state.character",
  RIGHT(B230,6)=".maxed"
 ),
 0,
 LET(
  sort,
   _xlfn.XLOOKUP(
    B230,
    tblChecklist[TargetID],
    tblChecklist[PlayerSort],
    0
   ),
  IF(sort=0,500,sort)
 )
)</f>
        <v>11</v>
      </c>
      <c r="I230" s="49" t="str">
        <f t="array" ref="I230">_xlfn.XLOOKUP(
 B230,
 tblTargetStatus[TargetID],
 tblTargetStatus[Status],
 ""
)</f>
        <v>BLOCKED</v>
      </c>
      <c r="J230" s="45" t="b">
        <v>0</v>
      </c>
    </row>
    <row r="231" ht="14.25" hidden="1" customHeight="1">
      <c r="A231" s="49" t="s">
        <v>929</v>
      </c>
      <c r="B231" s="49" t="str">
        <f>IFERROR(__xludf.DUMMYFUNCTION("REGEXREPLACE(
 REGEXREPLACE(A231,""^cost\."",""""),
 ""\.[^.]+\.[^.]+$"",
 """"
)"),"building.furnace@2")</f>
        <v>building.furnace@2</v>
      </c>
      <c r="C231" s="49" t="str">
        <f t="array" ref="C231">_xlfn.XLOOKUP(
 B231,
 tblTargets[TargetID],
 tblTargets[DisplayName],
 ""
)</f>
        <v>Furnace Lv 2</v>
      </c>
      <c r="D231" s="49" t="str">
        <f t="array" ref="D231">_xlfn.XLOOKUP(
 B231,
 tblTargets[TargetID],
 tblTargets[TargetType],
 ""
)</f>
        <v>BUILDING</v>
      </c>
      <c r="E231" s="49" t="s">
        <v>392</v>
      </c>
      <c r="F231" s="49">
        <v>1.0</v>
      </c>
      <c r="G231" s="49">
        <f t="array" ref="G231">_xlfn.XLOOKUP(
 A231,
 tblCost[RequirementID],
 tblCost[QuantityRequired],
 ""
)</f>
        <v>20</v>
      </c>
      <c r="H231" s="49">
        <f t="array" ref="H231">IF(
 OR(
  LEFT(B231,15)="state.character",
  RIGHT(B231,6)=".maxed"
 ),
 0,
 LET(
  sort,
   _xlfn.XLOOKUP(
    B231,
    tblChecklist[TargetID],
    tblChecklist[PlayerSort],
    0
   ),
  IF(sort=0,500,sort)
 )
)</f>
        <v>11</v>
      </c>
      <c r="I231" s="49" t="str">
        <f t="array" ref="I231">_xlfn.XLOOKUP(
 B231,
 tblTargetStatus[TargetID],
 tblTargetStatus[Status],
 ""
)</f>
        <v>BLOCKED</v>
      </c>
      <c r="J231" s="45" t="b">
        <v>0</v>
      </c>
    </row>
    <row r="232" ht="14.25" hidden="1" customHeight="1">
      <c r="A232" s="49" t="s">
        <v>936</v>
      </c>
      <c r="B232" s="49" t="str">
        <f>IFERROR(__xludf.DUMMYFUNCTION("REGEXREPLACE(
 REGEXREPLACE(A232,""^cost\."",""""),
 ""\.[^.]+\.[^.]+$"",
 """"
)"),"building.furnace@2")</f>
        <v>building.furnace@2</v>
      </c>
      <c r="C232" s="49" t="str">
        <f t="array" ref="C232">_xlfn.XLOOKUP(
 B232,
 tblTargets[TargetID],
 tblTargets[DisplayName],
 ""
)</f>
        <v>Furnace Lv 2</v>
      </c>
      <c r="D232" s="49" t="str">
        <f t="array" ref="D232">_xlfn.XLOOKUP(
 B232,
 tblTargets[TargetID],
 tblTargets[TargetType],
 ""
)</f>
        <v>BUILDING</v>
      </c>
      <c r="E232" s="49" t="s">
        <v>237</v>
      </c>
      <c r="F232" s="49">
        <v>1.0</v>
      </c>
      <c r="G232" s="49">
        <f t="array" ref="G232">_xlfn.XLOOKUP(
 A232,
 tblCost[RequirementID],
 tblCost[QuantityRequired],
 ""
)</f>
        <v>200</v>
      </c>
      <c r="H232" s="49">
        <f t="array" ref="H232">IF(
 OR(
  LEFT(B232,15)="state.character",
  RIGHT(B232,6)=".maxed"
 ),
 0,
 LET(
  sort,
   _xlfn.XLOOKUP(
    B232,
    tblChecklist[TargetID],
    tblChecklist[PlayerSort],
    0
   ),
  IF(sort=0,500,sort)
 )
)</f>
        <v>11</v>
      </c>
      <c r="I232" s="49" t="str">
        <f t="array" ref="I232">_xlfn.XLOOKUP(
 B232,
 tblTargetStatus[TargetID],
 tblTargetStatus[Status],
 ""
)</f>
        <v>BLOCKED</v>
      </c>
      <c r="J232" s="45" t="b">
        <v>0</v>
      </c>
    </row>
    <row r="233" ht="14.25" hidden="1" customHeight="1">
      <c r="A233" s="49" t="s">
        <v>940</v>
      </c>
      <c r="B233" s="49" t="str">
        <f>IFERROR(__xludf.DUMMYFUNCTION("REGEXREPLACE(
 REGEXREPLACE(A233,""^cost\."",""""),
 ""\.[^.]+\.[^.]+$"",
 """"
)"),"building.furnace@3")</f>
        <v>building.furnace@3</v>
      </c>
      <c r="C233" s="49" t="str">
        <f t="array" ref="C233">_xlfn.XLOOKUP(
 B233,
 tblTargets[TargetID],
 tblTargets[DisplayName],
 ""
)</f>
        <v>Furnace Lv 3</v>
      </c>
      <c r="D233" s="49" t="str">
        <f t="array" ref="D233">_xlfn.XLOOKUP(
 B233,
 tblTargets[TargetID],
 tblTargets[TargetType],
 ""
)</f>
        <v>BUILDING</v>
      </c>
      <c r="E233" s="49" t="s">
        <v>119</v>
      </c>
      <c r="F233" s="49">
        <v>1.0</v>
      </c>
      <c r="G233" s="49">
        <f t="array" ref="G233">_xlfn.XLOOKUP(
 A233,
 tblCost[RequirementID],
 tblCost[QuantityRequired],
 ""
)</f>
        <v>800</v>
      </c>
      <c r="H233" s="49">
        <f t="array" ref="H233">IF(
 OR(
  LEFT(B233,15)="state.character",
  RIGHT(B233,6)=".maxed"
 ),
 0,
 LET(
  sort,
   _xlfn.XLOOKUP(
    B233,
    tblChecklist[TargetID],
    tblChecklist[PlayerSort],
    0
   ),
  IF(sort=0,500,sort)
 )
)</f>
        <v>46</v>
      </c>
      <c r="I233" s="49" t="str">
        <f t="array" ref="I233">_xlfn.XLOOKUP(
 B233,
 tblTargetStatus[TargetID],
 tblTargetStatus[Status],
 ""
)</f>
        <v>BLOCKED</v>
      </c>
      <c r="J233" s="45" t="b">
        <v>0</v>
      </c>
    </row>
    <row r="234" ht="14.25" hidden="1" customHeight="1">
      <c r="A234" s="49" t="s">
        <v>946</v>
      </c>
      <c r="B234" s="49" t="str">
        <f>IFERROR(__xludf.DUMMYFUNCTION("REGEXREPLACE(
 REGEXREPLACE(A234,""^cost\."",""""),
 ""\.[^.]+\.[^.]+$"",
 """"
)"),"building.furnace@3")</f>
        <v>building.furnace@3</v>
      </c>
      <c r="C234" s="49" t="str">
        <f t="array" ref="C234">_xlfn.XLOOKUP(
 B234,
 tblTargets[TargetID],
 tblTargets[DisplayName],
 ""
)</f>
        <v>Furnace Lv 3</v>
      </c>
      <c r="D234" s="49" t="str">
        <f t="array" ref="D234">_xlfn.XLOOKUP(
 B234,
 tblTargets[TargetID],
 tblTargets[TargetType],
 ""
)</f>
        <v>BUILDING</v>
      </c>
      <c r="E234" s="49" t="s">
        <v>187</v>
      </c>
      <c r="F234" s="49">
        <v>1.0</v>
      </c>
      <c r="G234" s="49">
        <f t="array" ref="G234">_xlfn.XLOOKUP(
 A234,
 tblCost[RequirementID],
 tblCost[QuantityRequired],
 ""
)</f>
        <v>600</v>
      </c>
      <c r="H234" s="49">
        <f t="array" ref="H234">IF(
 OR(
  LEFT(B234,15)="state.character",
  RIGHT(B234,6)=".maxed"
 ),
 0,
 LET(
  sort,
   _xlfn.XLOOKUP(
    B234,
    tblChecklist[TargetID],
    tblChecklist[PlayerSort],
    0
   ),
  IF(sort=0,500,sort)
 )
)</f>
        <v>46</v>
      </c>
      <c r="I234" s="49" t="str">
        <f t="array" ref="I234">_xlfn.XLOOKUP(
 B234,
 tblTargetStatus[TargetID],
 tblTargetStatus[Status],
 ""
)</f>
        <v>BLOCKED</v>
      </c>
      <c r="J234" s="45" t="b">
        <v>0</v>
      </c>
    </row>
    <row r="235" ht="14.25" hidden="1" customHeight="1">
      <c r="A235" s="49" t="s">
        <v>951</v>
      </c>
      <c r="B235" s="49" t="str">
        <f>IFERROR(__xludf.DUMMYFUNCTION("REGEXREPLACE(
 REGEXREPLACE(A235,""^cost\."",""""),
 ""\.[^.]+\.[^.]+$"",
 """"
)"),"building.furnace@3")</f>
        <v>building.furnace@3</v>
      </c>
      <c r="C235" s="49" t="str">
        <f t="array" ref="C235">_xlfn.XLOOKUP(
 B235,
 tblTargets[TargetID],
 tblTargets[DisplayName],
 ""
)</f>
        <v>Furnace Lv 3</v>
      </c>
      <c r="D235" s="49" t="str">
        <f t="array" ref="D235">_xlfn.XLOOKUP(
 B235,
 tblTargets[TargetID],
 tblTargets[TargetType],
 ""
)</f>
        <v>BUILDING</v>
      </c>
      <c r="E235" s="49" t="s">
        <v>6</v>
      </c>
      <c r="F235" s="49">
        <v>1.0</v>
      </c>
      <c r="G235" s="49">
        <f t="array" ref="G235">_xlfn.XLOOKUP(
 A235,
 tblCost[RequirementID],
 tblCost[QuantityRequired],
 ""
)</f>
        <v>5</v>
      </c>
      <c r="H235" s="49">
        <f t="array" ref="H235">IF(
 OR(
  LEFT(B235,15)="state.character",
  RIGHT(B235,6)=".maxed"
 ),
 0,
 LET(
  sort,
   _xlfn.XLOOKUP(
    B235,
    tblChecklist[TargetID],
    tblChecklist[PlayerSort],
    0
   ),
  IF(sort=0,500,sort)
 )
)</f>
        <v>46</v>
      </c>
      <c r="I235" s="49" t="str">
        <f t="array" ref="I235">_xlfn.XLOOKUP(
 B235,
 tblTargetStatus[TargetID],
 tblTargetStatus[Status],
 ""
)</f>
        <v>BLOCKED</v>
      </c>
      <c r="J235" s="45" t="b">
        <v>0</v>
      </c>
    </row>
    <row r="236" ht="14.25" hidden="1" customHeight="1">
      <c r="A236" s="49" t="s">
        <v>956</v>
      </c>
      <c r="B236" s="49" t="str">
        <f>IFERROR(__xludf.DUMMYFUNCTION("REGEXREPLACE(
 REGEXREPLACE(A236,""^cost\."",""""),
 ""\.[^.]+\.[^.]+$"",
 """"
)"),"building.furnace@3")</f>
        <v>building.furnace@3</v>
      </c>
      <c r="C236" s="49" t="str">
        <f t="array" ref="C236">_xlfn.XLOOKUP(
 B236,
 tblTargets[TargetID],
 tblTargets[DisplayName],
 ""
)</f>
        <v>Furnace Lv 3</v>
      </c>
      <c r="D236" s="49" t="str">
        <f t="array" ref="D236">_xlfn.XLOOKUP(
 B236,
 tblTargets[TargetID],
 tblTargets[TargetType],
 ""
)</f>
        <v>BUILDING</v>
      </c>
      <c r="E236" s="49" t="s">
        <v>392</v>
      </c>
      <c r="F236" s="49">
        <v>1.0</v>
      </c>
      <c r="G236" s="49">
        <f t="array" ref="G236">_xlfn.XLOOKUP(
 A236,
 tblCost[RequirementID],
 tblCost[QuantityRequired],
 ""
)</f>
        <v>50</v>
      </c>
      <c r="H236" s="49">
        <f t="array" ref="H236">IF(
 OR(
  LEFT(B236,15)="state.character",
  RIGHT(B236,6)=".maxed"
 ),
 0,
 LET(
  sort,
   _xlfn.XLOOKUP(
    B236,
    tblChecklist[TargetID],
    tblChecklist[PlayerSort],
    0
   ),
  IF(sort=0,500,sort)
 )
)</f>
        <v>46</v>
      </c>
      <c r="I236" s="49" t="str">
        <f t="array" ref="I236">_xlfn.XLOOKUP(
 B236,
 tblTargetStatus[TargetID],
 tblTargetStatus[Status],
 ""
)</f>
        <v>BLOCKED</v>
      </c>
      <c r="J236" s="45" t="b">
        <v>0</v>
      </c>
    </row>
    <row r="237" ht="14.25" hidden="1" customHeight="1">
      <c r="A237" s="49" t="s">
        <v>961</v>
      </c>
      <c r="B237" s="49" t="str">
        <f>IFERROR(__xludf.DUMMYFUNCTION("REGEXREPLACE(
 REGEXREPLACE(A237,""^cost\."",""""),
 ""\.[^.]+\.[^.]+$"",
 """"
)"),"building.furnace@3")</f>
        <v>building.furnace@3</v>
      </c>
      <c r="C237" s="49" t="str">
        <f t="array" ref="C237">_xlfn.XLOOKUP(
 B237,
 tblTargets[TargetID],
 tblTargets[DisplayName],
 ""
)</f>
        <v>Furnace Lv 3</v>
      </c>
      <c r="D237" s="49" t="str">
        <f t="array" ref="D237">_xlfn.XLOOKUP(
 B237,
 tblTargets[TargetID],
 tblTargets[TargetType],
 ""
)</f>
        <v>BUILDING</v>
      </c>
      <c r="E237" s="49" t="s">
        <v>237</v>
      </c>
      <c r="F237" s="49">
        <v>1.0</v>
      </c>
      <c r="G237" s="49">
        <f t="array" ref="G237">_xlfn.XLOOKUP(
 A237,
 tblCost[RequirementID],
 tblCost[QuantityRequired],
 ""
)</f>
        <v>300</v>
      </c>
      <c r="H237" s="49">
        <f t="array" ref="H237">IF(
 OR(
  LEFT(B237,15)="state.character",
  RIGHT(B237,6)=".maxed"
 ),
 0,
 LET(
  sort,
   _xlfn.XLOOKUP(
    B237,
    tblChecklist[TargetID],
    tblChecklist[PlayerSort],
    0
   ),
  IF(sort=0,500,sort)
 )
)</f>
        <v>46</v>
      </c>
      <c r="I237" s="49" t="str">
        <f t="array" ref="I237">_xlfn.XLOOKUP(
 B237,
 tblTargetStatus[TargetID],
 tblTargetStatus[Status],
 ""
)</f>
        <v>BLOCKED</v>
      </c>
      <c r="J237" s="45" t="b">
        <v>0</v>
      </c>
    </row>
    <row r="238" ht="14.25" hidden="1" customHeight="1">
      <c r="A238" s="49" t="s">
        <v>965</v>
      </c>
      <c r="B238" s="49" t="str">
        <f>IFERROR(__xludf.DUMMYFUNCTION("REGEXREPLACE(
 REGEXREPLACE(A238,""^cost\."",""""),
 ""\.[^.]+\.[^.]+$"",
 """"
)"),"building.garden@1")</f>
        <v>building.garden@1</v>
      </c>
      <c r="C238" s="49" t="str">
        <f t="array" ref="C238">_xlfn.XLOOKUP(
 B238,
 tblTargets[TargetID],
 tblTargets[DisplayName],
 ""
)</f>
        <v>Garden Lv 1</v>
      </c>
      <c r="D238" s="49" t="str">
        <f t="array" ref="D238">_xlfn.XLOOKUP(
 B238,
 tblTargets[TargetID],
 tblTargets[TargetType],
 ""
)</f>
        <v>BUILDING</v>
      </c>
      <c r="E238" s="49" t="s">
        <v>119</v>
      </c>
      <c r="F238" s="49">
        <v>1.0</v>
      </c>
      <c r="G238" s="49">
        <f t="array" ref="G238">_xlfn.XLOOKUP(
 A238,
 tblCost[RequirementID],
 tblCost[QuantityRequired],
 ""
)</f>
        <v>400</v>
      </c>
      <c r="H238" s="49">
        <f t="array" ref="H238">IF(
 OR(
  LEFT(B238,15)="state.character",
  RIGHT(B238,6)=".maxed"
 ),
 0,
 LET(
  sort,
   _xlfn.XLOOKUP(
    B238,
    tblChecklist[TargetID],
    tblChecklist[PlayerSort],
    0
   ),
  IF(sort=0,500,sort)
 )
)</f>
        <v>86</v>
      </c>
      <c r="I238" s="49" t="str">
        <f t="array" ref="I238">_xlfn.XLOOKUP(
 B238,
 tblTargetStatus[TargetID],
 tblTargetStatus[Status],
 ""
)</f>
        <v>BLOCKED</v>
      </c>
      <c r="J238" s="45" t="b">
        <v>0</v>
      </c>
    </row>
    <row r="239" ht="14.25" hidden="1" customHeight="1">
      <c r="A239" s="49" t="s">
        <v>969</v>
      </c>
      <c r="B239" s="49" t="str">
        <f>IFERROR(__xludf.DUMMYFUNCTION("REGEXREPLACE(
 REGEXREPLACE(A239,""^cost\."",""""),
 ""\.[^.]+\.[^.]+$"",
 """"
)"),"building.garden@1")</f>
        <v>building.garden@1</v>
      </c>
      <c r="C239" s="49" t="str">
        <f t="array" ref="C239">_xlfn.XLOOKUP(
 B239,
 tblTargets[TargetID],
 tblTargets[DisplayName],
 ""
)</f>
        <v>Garden Lv 1</v>
      </c>
      <c r="D239" s="49" t="str">
        <f t="array" ref="D239">_xlfn.XLOOKUP(
 B239,
 tblTargets[TargetID],
 tblTargets[TargetType],
 ""
)</f>
        <v>BUILDING</v>
      </c>
      <c r="E239" s="49" t="s">
        <v>6</v>
      </c>
      <c r="F239" s="49">
        <v>1.0</v>
      </c>
      <c r="G239" s="49">
        <f t="array" ref="G239">_xlfn.XLOOKUP(
 A239,
 tblCost[RequirementID],
 tblCost[QuantityRequired],
 ""
)</f>
        <v>1</v>
      </c>
      <c r="H239" s="49">
        <f t="array" ref="H239">IF(
 OR(
  LEFT(B239,15)="state.character",
  RIGHT(B239,6)=".maxed"
 ),
 0,
 LET(
  sort,
   _xlfn.XLOOKUP(
    B239,
    tblChecklist[TargetID],
    tblChecklist[PlayerSort],
    0
   ),
  IF(sort=0,500,sort)
 )
)</f>
        <v>86</v>
      </c>
      <c r="I239" s="49" t="str">
        <f t="array" ref="I239">_xlfn.XLOOKUP(
 B239,
 tblTargetStatus[TargetID],
 tblTargetStatus[Status],
 ""
)</f>
        <v>BLOCKED</v>
      </c>
      <c r="J239" s="45" t="b">
        <v>0</v>
      </c>
    </row>
    <row r="240" ht="14.25" hidden="1" customHeight="1">
      <c r="A240" s="49" t="s">
        <v>973</v>
      </c>
      <c r="B240" s="49" t="str">
        <f>IFERROR(__xludf.DUMMYFUNCTION("REGEXREPLACE(
 REGEXREPLACE(A240,""^cost\."",""""),
 ""\.[^.]+\.[^.]+$"",
 """"
)"),"building.garden@1")</f>
        <v>building.garden@1</v>
      </c>
      <c r="C240" s="49" t="str">
        <f t="array" ref="C240">_xlfn.XLOOKUP(
 B240,
 tblTargets[TargetID],
 tblTargets[DisplayName],
 ""
)</f>
        <v>Garden Lv 1</v>
      </c>
      <c r="D240" s="49" t="str">
        <f t="array" ref="D240">_xlfn.XLOOKUP(
 B240,
 tblTargets[TargetID],
 tblTargets[TargetType],
 ""
)</f>
        <v>BUILDING</v>
      </c>
      <c r="E240" s="49" t="s">
        <v>237</v>
      </c>
      <c r="F240" s="49">
        <v>1.0</v>
      </c>
      <c r="G240" s="49">
        <f t="array" ref="G240">_xlfn.XLOOKUP(
 A240,
 tblCost[RequirementID],
 tblCost[QuantityRequired],
 ""
)</f>
        <v>100</v>
      </c>
      <c r="H240" s="49">
        <f t="array" ref="H240">IF(
 OR(
  LEFT(B240,15)="state.character",
  RIGHT(B240,6)=".maxed"
 ),
 0,
 LET(
  sort,
   _xlfn.XLOOKUP(
    B240,
    tblChecklist[TargetID],
    tblChecklist[PlayerSort],
    0
   ),
  IF(sort=0,500,sort)
 )
)</f>
        <v>86</v>
      </c>
      <c r="I240" s="49" t="str">
        <f t="array" ref="I240">_xlfn.XLOOKUP(
 B240,
 tblTargetStatus[TargetID],
 tblTargetStatus[Status],
 ""
)</f>
        <v>BLOCKED</v>
      </c>
      <c r="J240" s="45" t="b">
        <v>0</v>
      </c>
    </row>
    <row r="241" ht="14.25" hidden="1" customHeight="1">
      <c r="A241" s="49" t="s">
        <v>978</v>
      </c>
      <c r="B241" s="49" t="str">
        <f>IFERROR(__xludf.DUMMYFUNCTION("REGEXREPLACE(
 REGEXREPLACE(A241,""^cost\."",""""),
 ""\.[^.]+\.[^.]+$"",
 """"
)"),"building.garden@1")</f>
        <v>building.garden@1</v>
      </c>
      <c r="C241" s="49" t="str">
        <f t="array" ref="C241">_xlfn.XLOOKUP(
 B241,
 tblTargets[TargetID],
 tblTargets[DisplayName],
 ""
)</f>
        <v>Garden Lv 1</v>
      </c>
      <c r="D241" s="49" t="str">
        <f t="array" ref="D241">_xlfn.XLOOKUP(
 B241,
 tblTargets[TargetID],
 tblTargets[TargetType],
 ""
)</f>
        <v>BUILDING</v>
      </c>
      <c r="E241" s="49" t="s">
        <v>244</v>
      </c>
      <c r="F241" s="49">
        <v>1.0</v>
      </c>
      <c r="G241" s="49">
        <f t="array" ref="G241">_xlfn.XLOOKUP(
 A241,
 tblCost[RequirementID],
 tblCost[QuantityRequired],
 ""
)</f>
        <v>200</v>
      </c>
      <c r="H241" s="49">
        <f t="array" ref="H241">IF(
 OR(
  LEFT(B241,15)="state.character",
  RIGHT(B241,6)=".maxed"
 ),
 0,
 LET(
  sort,
   _xlfn.XLOOKUP(
    B241,
    tblChecklist[TargetID],
    tblChecklist[PlayerSort],
    0
   ),
  IF(sort=0,500,sort)
 )
)</f>
        <v>86</v>
      </c>
      <c r="I241" s="49" t="str">
        <f t="array" ref="I241">_xlfn.XLOOKUP(
 B241,
 tblTargetStatus[TargetID],
 tblTargetStatus[Status],
 ""
)</f>
        <v>BLOCKED</v>
      </c>
      <c r="J241" s="45" t="b">
        <v>0</v>
      </c>
    </row>
    <row r="242" ht="14.25" hidden="1" customHeight="1">
      <c r="A242" s="49" t="s">
        <v>984</v>
      </c>
      <c r="B242" s="49" t="str">
        <f>IFERROR(__xludf.DUMMYFUNCTION("REGEXREPLACE(
 REGEXREPLACE(A242,""^cost\."",""""),
 ""\.[^.]+\.[^.]+$"",
 """"
)"),"building.garden@2")</f>
        <v>building.garden@2</v>
      </c>
      <c r="C242" s="49" t="str">
        <f t="array" ref="C242">_xlfn.XLOOKUP(
 B242,
 tblTargets[TargetID],
 tblTargets[DisplayName],
 ""
)</f>
        <v>Garden Lv 2</v>
      </c>
      <c r="D242" s="49" t="str">
        <f t="array" ref="D242">_xlfn.XLOOKUP(
 B242,
 tblTargets[TargetID],
 tblTargets[TargetType],
 ""
)</f>
        <v>BUILDING</v>
      </c>
      <c r="E242" s="49" t="s">
        <v>119</v>
      </c>
      <c r="F242" s="49">
        <v>1.0</v>
      </c>
      <c r="G242" s="49">
        <f t="array" ref="G242">_xlfn.XLOOKUP(
 A242,
 tblCost[RequirementID],
 tblCost[QuantityRequired],
 ""
)</f>
        <v>600</v>
      </c>
      <c r="H242" s="49">
        <f t="array" ref="H242">IF(
 OR(
  LEFT(B242,15)="state.character",
  RIGHT(B242,6)=".maxed"
 ),
 0,
 LET(
  sort,
   _xlfn.XLOOKUP(
    B242,
    tblChecklist[TargetID],
    tblChecklist[PlayerSort],
    0
   ),
  IF(sort=0,500,sort)
 )
)</f>
        <v>87</v>
      </c>
      <c r="I242" s="49" t="str">
        <f t="array" ref="I242">_xlfn.XLOOKUP(
 B242,
 tblTargetStatus[TargetID],
 tblTargetStatus[Status],
 ""
)</f>
        <v>BLOCKED</v>
      </c>
      <c r="J242" s="45" t="b">
        <v>0</v>
      </c>
    </row>
    <row r="243" ht="14.25" hidden="1" customHeight="1">
      <c r="A243" s="49" t="s">
        <v>989</v>
      </c>
      <c r="B243" s="49" t="str">
        <f>IFERROR(__xludf.DUMMYFUNCTION("REGEXREPLACE(
 REGEXREPLACE(A243,""^cost\."",""""),
 ""\.[^.]+\.[^.]+$"",
 """"
)"),"building.garden@2")</f>
        <v>building.garden@2</v>
      </c>
      <c r="C243" s="49" t="str">
        <f t="array" ref="C243">_xlfn.XLOOKUP(
 B243,
 tblTargets[TargetID],
 tblTargets[DisplayName],
 ""
)</f>
        <v>Garden Lv 2</v>
      </c>
      <c r="D243" s="49" t="str">
        <f t="array" ref="D243">_xlfn.XLOOKUP(
 B243,
 tblTargets[TargetID],
 tblTargets[TargetType],
 ""
)</f>
        <v>BUILDING</v>
      </c>
      <c r="E243" s="49" t="s">
        <v>6</v>
      </c>
      <c r="F243" s="49">
        <v>1.0</v>
      </c>
      <c r="G243" s="49">
        <f t="array" ref="G243">_xlfn.XLOOKUP(
 A243,
 tblCost[RequirementID],
 tblCost[QuantityRequired],
 ""
)</f>
        <v>2</v>
      </c>
      <c r="H243" s="49">
        <f t="array" ref="H243">IF(
 OR(
  LEFT(B243,15)="state.character",
  RIGHT(B243,6)=".maxed"
 ),
 0,
 LET(
  sort,
   _xlfn.XLOOKUP(
    B243,
    tblChecklist[TargetID],
    tblChecklist[PlayerSort],
    0
   ),
  IF(sort=0,500,sort)
 )
)</f>
        <v>87</v>
      </c>
      <c r="I243" s="49" t="str">
        <f t="array" ref="I243">_xlfn.XLOOKUP(
 B243,
 tblTargetStatus[TargetID],
 tblTargetStatus[Status],
 ""
)</f>
        <v>BLOCKED</v>
      </c>
      <c r="J243" s="45" t="b">
        <v>0</v>
      </c>
    </row>
    <row r="244" ht="14.25" hidden="1" customHeight="1">
      <c r="A244" s="49" t="s">
        <v>994</v>
      </c>
      <c r="B244" s="49" t="str">
        <f>IFERROR(__xludf.DUMMYFUNCTION("REGEXREPLACE(
 REGEXREPLACE(A244,""^cost\."",""""),
 ""\.[^.]+\.[^.]+$"",
 """"
)"),"building.garden@2")</f>
        <v>building.garden@2</v>
      </c>
      <c r="C244" s="49" t="str">
        <f t="array" ref="C244">_xlfn.XLOOKUP(
 B244,
 tblTargets[TargetID],
 tblTargets[DisplayName],
 ""
)</f>
        <v>Garden Lv 2</v>
      </c>
      <c r="D244" s="49" t="str">
        <f t="array" ref="D244">_xlfn.XLOOKUP(
 B244,
 tblTargets[TargetID],
 tblTargets[TargetType],
 ""
)</f>
        <v>BUILDING</v>
      </c>
      <c r="E244" s="49" t="s">
        <v>237</v>
      </c>
      <c r="F244" s="49">
        <v>1.0</v>
      </c>
      <c r="G244" s="49">
        <f t="array" ref="G244">_xlfn.XLOOKUP(
 A244,
 tblCost[RequirementID],
 tblCost[QuantityRequired],
 ""
)</f>
        <v>150</v>
      </c>
      <c r="H244" s="49">
        <f t="array" ref="H244">IF(
 OR(
  LEFT(B244,15)="state.character",
  RIGHT(B244,6)=".maxed"
 ),
 0,
 LET(
  sort,
   _xlfn.XLOOKUP(
    B244,
    tblChecklist[TargetID],
    tblChecklist[PlayerSort],
    0
   ),
  IF(sort=0,500,sort)
 )
)</f>
        <v>87</v>
      </c>
      <c r="I244" s="49" t="str">
        <f t="array" ref="I244">_xlfn.XLOOKUP(
 B244,
 tblTargetStatus[TargetID],
 tblTargetStatus[Status],
 ""
)</f>
        <v>BLOCKED</v>
      </c>
      <c r="J244" s="45" t="b">
        <v>0</v>
      </c>
    </row>
    <row r="245" ht="14.25" hidden="1" customHeight="1">
      <c r="A245" s="49" t="s">
        <v>1000</v>
      </c>
      <c r="B245" s="49" t="str">
        <f>IFERROR(__xludf.DUMMYFUNCTION("REGEXREPLACE(
 REGEXREPLACE(A245,""^cost\."",""""),
 ""\.[^.]+\.[^.]+$"",
 """"
)"),"building.garden@2")</f>
        <v>building.garden@2</v>
      </c>
      <c r="C245" s="49" t="str">
        <f t="array" ref="C245">_xlfn.XLOOKUP(
 B245,
 tblTargets[TargetID],
 tblTargets[DisplayName],
 ""
)</f>
        <v>Garden Lv 2</v>
      </c>
      <c r="D245" s="49" t="str">
        <f t="array" ref="D245">_xlfn.XLOOKUP(
 B245,
 tblTargets[TargetID],
 tblTargets[TargetType],
 ""
)</f>
        <v>BUILDING</v>
      </c>
      <c r="E245" s="49" t="s">
        <v>244</v>
      </c>
      <c r="F245" s="49">
        <v>1.0</v>
      </c>
      <c r="G245" s="49">
        <f t="array" ref="G245">_xlfn.XLOOKUP(
 A245,
 tblCost[RequirementID],
 tblCost[QuantityRequired],
 ""
)</f>
        <v>300</v>
      </c>
      <c r="H245" s="49">
        <f t="array" ref="H245">IF(
 OR(
  LEFT(B245,15)="state.character",
  RIGHT(B245,6)=".maxed"
 ),
 0,
 LET(
  sort,
   _xlfn.XLOOKUP(
    B245,
    tblChecklist[TargetID],
    tblChecklist[PlayerSort],
    0
   ),
  IF(sort=0,500,sort)
 )
)</f>
        <v>87</v>
      </c>
      <c r="I245" s="49" t="str">
        <f t="array" ref="I245">_xlfn.XLOOKUP(
 B245,
 tblTargetStatus[TargetID],
 tblTargetStatus[Status],
 ""
)</f>
        <v>BLOCKED</v>
      </c>
      <c r="J245" s="45" t="b">
        <v>0</v>
      </c>
    </row>
    <row r="246" ht="14.25" hidden="1" customHeight="1">
      <c r="A246" s="49" t="s">
        <v>1005</v>
      </c>
      <c r="B246" s="49" t="str">
        <f>IFERROR(__xludf.DUMMYFUNCTION("REGEXREPLACE(
 REGEXREPLACE(A246,""^cost\."",""""),
 ""\.[^.]+\.[^.]+$"",
 """"
)"),"building.garden@3")</f>
        <v>building.garden@3</v>
      </c>
      <c r="C246" s="49" t="str">
        <f t="array" ref="C246">_xlfn.XLOOKUP(
 B246,
 tblTargets[TargetID],
 tblTargets[DisplayName],
 ""
)</f>
        <v>Garden Lv 3</v>
      </c>
      <c r="D246" s="49" t="str">
        <f t="array" ref="D246">_xlfn.XLOOKUP(
 B246,
 tblTargets[TargetID],
 tblTargets[TargetType],
 ""
)</f>
        <v>BUILDING</v>
      </c>
      <c r="E246" s="49" t="s">
        <v>278</v>
      </c>
      <c r="F246" s="49">
        <v>1.0</v>
      </c>
      <c r="G246" s="49">
        <f t="array" ref="G246">_xlfn.XLOOKUP(
 A246,
 tblCost[RequirementID],
 tblCost[QuantityRequired],
 ""
)</f>
        <v>800</v>
      </c>
      <c r="H246" s="49">
        <f t="array" ref="H246">IF(
 OR(
  LEFT(B246,15)="state.character",
  RIGHT(B246,6)=".maxed"
 ),
 0,
 LET(
  sort,
   _xlfn.XLOOKUP(
    B246,
    tblChecklist[TargetID],
    tblChecklist[PlayerSort],
    0
   ),
  IF(sort=0,500,sort)
 )
)</f>
        <v>88</v>
      </c>
      <c r="I246" s="49" t="str">
        <f t="array" ref="I246">_xlfn.XLOOKUP(
 B246,
 tblTargetStatus[TargetID],
 tblTargetStatus[Status],
 ""
)</f>
        <v>BLOCKED</v>
      </c>
      <c r="J246" s="45" t="b">
        <v>0</v>
      </c>
    </row>
    <row r="247" ht="14.25" hidden="1" customHeight="1">
      <c r="A247" s="49" t="s">
        <v>1010</v>
      </c>
      <c r="B247" s="49" t="str">
        <f>IFERROR(__xludf.DUMMYFUNCTION("REGEXREPLACE(
 REGEXREPLACE(A247,""^cost\."",""""),
 ""\.[^.]+\.[^.]+$"",
 """"
)"),"building.garden@3")</f>
        <v>building.garden@3</v>
      </c>
      <c r="C247" s="49" t="str">
        <f t="array" ref="C247">_xlfn.XLOOKUP(
 B247,
 tblTargets[TargetID],
 tblTargets[DisplayName],
 ""
)</f>
        <v>Garden Lv 3</v>
      </c>
      <c r="D247" s="49" t="str">
        <f t="array" ref="D247">_xlfn.XLOOKUP(
 B247,
 tblTargets[TargetID],
 tblTargets[TargetType],
 ""
)</f>
        <v>BUILDING</v>
      </c>
      <c r="E247" s="49" t="s">
        <v>119</v>
      </c>
      <c r="F247" s="49">
        <v>1.0</v>
      </c>
      <c r="G247" s="49">
        <f t="array" ref="G247">_xlfn.XLOOKUP(
 A247,
 tblCost[RequirementID],
 tblCost[QuantityRequired],
 ""
)</f>
        <v>1000</v>
      </c>
      <c r="H247" s="49">
        <f t="array" ref="H247">IF(
 OR(
  LEFT(B247,15)="state.character",
  RIGHT(B247,6)=".maxed"
 ),
 0,
 LET(
  sort,
   _xlfn.XLOOKUP(
    B247,
    tblChecklist[TargetID],
    tblChecklist[PlayerSort],
    0
   ),
  IF(sort=0,500,sort)
 )
)</f>
        <v>88</v>
      </c>
      <c r="I247" s="49" t="str">
        <f t="array" ref="I247">_xlfn.XLOOKUP(
 B247,
 tblTargetStatus[TargetID],
 tblTargetStatus[Status],
 ""
)</f>
        <v>BLOCKED</v>
      </c>
      <c r="J247" s="45" t="b">
        <v>0</v>
      </c>
    </row>
    <row r="248" ht="14.25" hidden="1" customHeight="1">
      <c r="A248" s="49" t="s">
        <v>1015</v>
      </c>
      <c r="B248" s="49" t="str">
        <f>IFERROR(__xludf.DUMMYFUNCTION("REGEXREPLACE(
 REGEXREPLACE(A248,""^cost\."",""""),
 ""\.[^.]+\.[^.]+$"",
 """"
)"),"building.garden@3")</f>
        <v>building.garden@3</v>
      </c>
      <c r="C248" s="49" t="str">
        <f t="array" ref="C248">_xlfn.XLOOKUP(
 B248,
 tblTargets[TargetID],
 tblTargets[DisplayName],
 ""
)</f>
        <v>Garden Lv 3</v>
      </c>
      <c r="D248" s="49" t="str">
        <f t="array" ref="D248">_xlfn.XLOOKUP(
 B248,
 tblTargets[TargetID],
 tblTargets[TargetType],
 ""
)</f>
        <v>BUILDING</v>
      </c>
      <c r="E248" s="49" t="s">
        <v>6</v>
      </c>
      <c r="F248" s="49">
        <v>1.0</v>
      </c>
      <c r="G248" s="49">
        <f t="array" ref="G248">_xlfn.XLOOKUP(
 A248,
 tblCost[RequirementID],
 tblCost[QuantityRequired],
 ""
)</f>
        <v>4</v>
      </c>
      <c r="H248" s="49">
        <f t="array" ref="H248">IF(
 OR(
  LEFT(B248,15)="state.character",
  RIGHT(B248,6)=".maxed"
 ),
 0,
 LET(
  sort,
   _xlfn.XLOOKUP(
    B248,
    tblChecklist[TargetID],
    tblChecklist[PlayerSort],
    0
   ),
  IF(sort=0,500,sort)
 )
)</f>
        <v>88</v>
      </c>
      <c r="I248" s="49" t="str">
        <f t="array" ref="I248">_xlfn.XLOOKUP(
 B248,
 tblTargetStatus[TargetID],
 tblTargetStatus[Status],
 ""
)</f>
        <v>BLOCKED</v>
      </c>
      <c r="J248" s="45" t="b">
        <v>0</v>
      </c>
    </row>
    <row r="249" ht="14.25" hidden="1" customHeight="1">
      <c r="A249" s="49" t="s">
        <v>1020</v>
      </c>
      <c r="B249" s="49" t="str">
        <f>IFERROR(__xludf.DUMMYFUNCTION("REGEXREPLACE(
 REGEXREPLACE(A249,""^cost\."",""""),
 ""\.[^.]+\.[^.]+$"",
 """"
)"),"building.garden@3")</f>
        <v>building.garden@3</v>
      </c>
      <c r="C249" s="49" t="str">
        <f t="array" ref="C249">_xlfn.XLOOKUP(
 B249,
 tblTargets[TargetID],
 tblTargets[DisplayName],
 ""
)</f>
        <v>Garden Lv 3</v>
      </c>
      <c r="D249" s="49" t="str">
        <f t="array" ref="D249">_xlfn.XLOOKUP(
 B249,
 tblTargets[TargetID],
 tblTargets[TargetType],
 ""
)</f>
        <v>BUILDING</v>
      </c>
      <c r="E249" s="49" t="s">
        <v>237</v>
      </c>
      <c r="F249" s="49">
        <v>1.0</v>
      </c>
      <c r="G249" s="49">
        <f t="array" ref="G249">_xlfn.XLOOKUP(
 A249,
 tblCost[RequirementID],
 tblCost[QuantityRequired],
 ""
)</f>
        <v>200</v>
      </c>
      <c r="H249" s="49">
        <f t="array" ref="H249">IF(
 OR(
  LEFT(B249,15)="state.character",
  RIGHT(B249,6)=".maxed"
 ),
 0,
 LET(
  sort,
   _xlfn.XLOOKUP(
    B249,
    tblChecklist[TargetID],
    tblChecklist[PlayerSort],
    0
   ),
  IF(sort=0,500,sort)
 )
)</f>
        <v>88</v>
      </c>
      <c r="I249" s="49" t="str">
        <f t="array" ref="I249">_xlfn.XLOOKUP(
 B249,
 tblTargetStatus[TargetID],
 tblTargetStatus[Status],
 ""
)</f>
        <v>BLOCKED</v>
      </c>
      <c r="J249" s="45" t="b">
        <v>0</v>
      </c>
    </row>
    <row r="250" ht="14.25" hidden="1" customHeight="1">
      <c r="A250" s="49" t="s">
        <v>1025</v>
      </c>
      <c r="B250" s="49" t="str">
        <f>IFERROR(__xludf.DUMMYFUNCTION("REGEXREPLACE(
 REGEXREPLACE(A250,""^cost\."",""""),
 ""\.[^.]+\.[^.]+$"",
 """"
)"),"building.gong@1")</f>
        <v>building.gong@1</v>
      </c>
      <c r="C250" s="49" t="str">
        <f t="array" ref="C250">_xlfn.XLOOKUP(
 B250,
 tblTargets[TargetID],
 tblTargets[DisplayName],
 ""
)</f>
        <v>Gong Lv 1</v>
      </c>
      <c r="D250" s="49" t="str">
        <f t="array" ref="D250">_xlfn.XLOOKUP(
 B250,
 tblTargets[TargetID],
 tblTargets[TargetType],
 ""
)</f>
        <v>BUILDING</v>
      </c>
      <c r="E250" s="49" t="s">
        <v>119</v>
      </c>
      <c r="F250" s="49">
        <v>1.0</v>
      </c>
      <c r="G250" s="49">
        <f t="array" ref="G250">_xlfn.XLOOKUP(
 A250,
 tblCost[RequirementID],
 tblCost[QuantityRequired],
 ""
)</f>
        <v>200</v>
      </c>
      <c r="H250" s="49">
        <f t="array" ref="H250">IF(
 OR(
  LEFT(B250,15)="state.character",
  RIGHT(B250,6)=".maxed"
 ),
 0,
 LET(
  sort,
   _xlfn.XLOOKUP(
    B250,
    tblChecklist[TargetID],
    tblChecklist[PlayerSort],
    0
   ),
  IF(sort=0,500,sort)
 )
)</f>
        <v>102</v>
      </c>
      <c r="I250" s="49" t="str">
        <f t="array" ref="I250">_xlfn.XLOOKUP(
 B250,
 tblTargetStatus[TargetID],
 tblTargetStatus[Status],
 ""
)</f>
        <v>BLOCKED</v>
      </c>
      <c r="J250" s="45" t="b">
        <v>0</v>
      </c>
    </row>
    <row r="251" ht="14.25" hidden="1" customHeight="1">
      <c r="A251" s="49" t="s">
        <v>1030</v>
      </c>
      <c r="B251" s="49" t="str">
        <f>IFERROR(__xludf.DUMMYFUNCTION("REGEXREPLACE(
 REGEXREPLACE(A251,""^cost\."",""""),
 ""\.[^.]+\.[^.]+$"",
 """"
)"),"building.gong@1")</f>
        <v>building.gong@1</v>
      </c>
      <c r="C251" s="49" t="str">
        <f t="array" ref="C251">_xlfn.XLOOKUP(
 B251,
 tblTargets[TargetID],
 tblTargets[DisplayName],
 ""
)</f>
        <v>Gong Lv 1</v>
      </c>
      <c r="D251" s="49" t="str">
        <f t="array" ref="D251">_xlfn.XLOOKUP(
 B251,
 tblTargets[TargetID],
 tblTargets[TargetType],
 ""
)</f>
        <v>BUILDING</v>
      </c>
      <c r="E251" s="49" t="s">
        <v>6</v>
      </c>
      <c r="F251" s="49">
        <v>1.0</v>
      </c>
      <c r="G251" s="49">
        <f t="array" ref="G251">_xlfn.XLOOKUP(
 A251,
 tblCost[RequirementID],
 tblCost[QuantityRequired],
 ""
)</f>
        <v>3</v>
      </c>
      <c r="H251" s="49">
        <f t="array" ref="H251">IF(
 OR(
  LEFT(B251,15)="state.character",
  RIGHT(B251,6)=".maxed"
 ),
 0,
 LET(
  sort,
   _xlfn.XLOOKUP(
    B251,
    tblChecklist[TargetID],
    tblChecklist[PlayerSort],
    0
   ),
  IF(sort=0,500,sort)
 )
)</f>
        <v>102</v>
      </c>
      <c r="I251" s="49" t="str">
        <f t="array" ref="I251">_xlfn.XLOOKUP(
 B251,
 tblTargetStatus[TargetID],
 tblTargetStatus[Status],
 ""
)</f>
        <v>BLOCKED</v>
      </c>
      <c r="J251" s="45" t="b">
        <v>0</v>
      </c>
    </row>
    <row r="252" ht="14.25" hidden="1" customHeight="1">
      <c r="A252" s="49" t="s">
        <v>1035</v>
      </c>
      <c r="B252" s="49" t="str">
        <f>IFERROR(__xludf.DUMMYFUNCTION("REGEXREPLACE(
 REGEXREPLACE(A252,""^cost\."",""""),
 ""\.[^.]+\.[^.]+$"",
 """"
)"),"building.gong@1")</f>
        <v>building.gong@1</v>
      </c>
      <c r="C252" s="49" t="str">
        <f t="array" ref="C252">_xlfn.XLOOKUP(
 B252,
 tblTargets[TargetID],
 tblTargets[DisplayName],
 ""
)</f>
        <v>Gong Lv 1</v>
      </c>
      <c r="D252" s="49" t="str">
        <f t="array" ref="D252">_xlfn.XLOOKUP(
 B252,
 tblTargets[TargetID],
 tblTargets[TargetType],
 ""
)</f>
        <v>BUILDING</v>
      </c>
      <c r="E252" s="49" t="s">
        <v>392</v>
      </c>
      <c r="F252" s="49">
        <v>1.0</v>
      </c>
      <c r="G252" s="49">
        <f t="array" ref="G252">_xlfn.XLOOKUP(
 A252,
 tblCost[RequirementID],
 tblCost[QuantityRequired],
 ""
)</f>
        <v>50</v>
      </c>
      <c r="H252" s="49">
        <f t="array" ref="H252">IF(
 OR(
  LEFT(B252,15)="state.character",
  RIGHT(B252,6)=".maxed"
 ),
 0,
 LET(
  sort,
   _xlfn.XLOOKUP(
    B252,
    tblChecklist[TargetID],
    tblChecklist[PlayerSort],
    0
   ),
  IF(sort=0,500,sort)
 )
)</f>
        <v>102</v>
      </c>
      <c r="I252" s="49" t="str">
        <f t="array" ref="I252">_xlfn.XLOOKUP(
 B252,
 tblTargetStatus[TargetID],
 tblTargetStatus[Status],
 ""
)</f>
        <v>BLOCKED</v>
      </c>
      <c r="J252" s="45" t="b">
        <v>0</v>
      </c>
    </row>
    <row r="253" ht="14.25" hidden="1" customHeight="1">
      <c r="A253" s="49" t="s">
        <v>1041</v>
      </c>
      <c r="B253" s="49" t="str">
        <f>IFERROR(__xludf.DUMMYFUNCTION("REGEXREPLACE(
 REGEXREPLACE(A253,""^cost\."",""""),
 ""\.[^.]+\.[^.]+$"",
 """"
)"),"building.gong@1")</f>
        <v>building.gong@1</v>
      </c>
      <c r="C253" s="49" t="str">
        <f t="array" ref="C253">_xlfn.XLOOKUP(
 B253,
 tblTargets[TargetID],
 tblTargets[DisplayName],
 ""
)</f>
        <v>Gong Lv 1</v>
      </c>
      <c r="D253" s="49" t="str">
        <f t="array" ref="D253">_xlfn.XLOOKUP(
 B253,
 tblTargets[TargetID],
 tblTargets[TargetType],
 ""
)</f>
        <v>BUILDING</v>
      </c>
      <c r="E253" s="49" t="s">
        <v>237</v>
      </c>
      <c r="F253" s="49">
        <v>1.0</v>
      </c>
      <c r="G253" s="49">
        <f t="array" ref="G253">_xlfn.XLOOKUP(
 A253,
 tblCost[RequirementID],
 tblCost[QuantityRequired],
 ""
)</f>
        <v>50</v>
      </c>
      <c r="H253" s="49">
        <f t="array" ref="H253">IF(
 OR(
  LEFT(B253,15)="state.character",
  RIGHT(B253,6)=".maxed"
 ),
 0,
 LET(
  sort,
   _xlfn.XLOOKUP(
    B253,
    tblChecklist[TargetID],
    tblChecklist[PlayerSort],
    0
   ),
  IF(sort=0,500,sort)
 )
)</f>
        <v>102</v>
      </c>
      <c r="I253" s="49" t="str">
        <f t="array" ref="I253">_xlfn.XLOOKUP(
 B253,
 tblTargetStatus[TargetID],
 tblTargetStatus[Status],
 ""
)</f>
        <v>BLOCKED</v>
      </c>
      <c r="J253" s="45" t="b">
        <v>0</v>
      </c>
    </row>
    <row r="254" ht="14.25" hidden="1" customHeight="1">
      <c r="A254" s="49" t="s">
        <v>1047</v>
      </c>
      <c r="B254" s="49" t="str">
        <f>IFERROR(__xludf.DUMMYFUNCTION("REGEXREPLACE(
 REGEXREPLACE(A254,""^cost\."",""""),
 ""\.[^.]+\.[^.]+$"",
 """"
)"),"building.gong@1")</f>
        <v>building.gong@1</v>
      </c>
      <c r="C254" s="49" t="str">
        <f t="array" ref="C254">_xlfn.XLOOKUP(
 B254,
 tblTargets[TargetID],
 tblTargets[DisplayName],
 ""
)</f>
        <v>Gong Lv 1</v>
      </c>
      <c r="D254" s="49" t="str">
        <f t="array" ref="D254">_xlfn.XLOOKUP(
 B254,
 tblTargets[TargetID],
 tblTargets[TargetType],
 ""
)</f>
        <v>BUILDING</v>
      </c>
      <c r="E254" s="49" t="s">
        <v>244</v>
      </c>
      <c r="F254" s="49">
        <v>1.0</v>
      </c>
      <c r="G254" s="49">
        <f t="array" ref="G254">_xlfn.XLOOKUP(
 A254,
 tblCost[RequirementID],
 tblCost[QuantityRequired],
 ""
)</f>
        <v>100</v>
      </c>
      <c r="H254" s="49">
        <f t="array" ref="H254">IF(
 OR(
  LEFT(B254,15)="state.character",
  RIGHT(B254,6)=".maxed"
 ),
 0,
 LET(
  sort,
   _xlfn.XLOOKUP(
    B254,
    tblChecklist[TargetID],
    tblChecklist[PlayerSort],
    0
   ),
  IF(sort=0,500,sort)
 )
)</f>
        <v>102</v>
      </c>
      <c r="I254" s="49" t="str">
        <f t="array" ref="I254">_xlfn.XLOOKUP(
 B254,
 tblTargetStatus[TargetID],
 tblTargetStatus[Status],
 ""
)</f>
        <v>BLOCKED</v>
      </c>
      <c r="J254" s="45" t="b">
        <v>0</v>
      </c>
    </row>
    <row r="255" ht="14.25" hidden="1" customHeight="1">
      <c r="A255" s="49" t="s">
        <v>1052</v>
      </c>
      <c r="B255" s="49" t="str">
        <f>IFERROR(__xludf.DUMMYFUNCTION("REGEXREPLACE(
 REGEXREPLACE(A255,""^cost\."",""""),
 ""\.[^.]+\.[^.]+$"",
 """"
)"),"building.guild_video_game_arcade@1")</f>
        <v>building.guild_video_game_arcade@1</v>
      </c>
      <c r="C255" s="49" t="str">
        <f t="array" ref="C255">_xlfn.XLOOKUP(
 B255,
 tblTargets[TargetID],
 tblTargets[DisplayName],
 ""
)</f>
        <v>Guild: Video Game Arcade Lv 1</v>
      </c>
      <c r="D255" s="49" t="str">
        <f t="array" ref="D255">_xlfn.XLOOKUP(
 B255,
 tblTargets[TargetID],
 tblTargets[TargetType],
 ""
)</f>
        <v>BUILDING</v>
      </c>
      <c r="E255" s="49" t="s">
        <v>1055</v>
      </c>
      <c r="F255" s="49">
        <v>1.0</v>
      </c>
      <c r="G255" s="49">
        <f t="array" ref="G255">_xlfn.XLOOKUP(
 A255,
 tblCost[RequirementID],
 tblCost[QuantityRequired],
 ""
)</f>
        <v>30</v>
      </c>
      <c r="H255" s="49" t="str">
        <f t="array" ref="H255">IF(
 OR(
  LEFT(B255,15)="state.character",
  RIGHT(B255,6)=".maxed"
 ),
 0,
 LET(
  sort,
   _xlfn.XLOOKUP(
    B255,
    tblChecklist[TargetID],
    tblChecklist[PlayerSort],
    0
   ),
  IF(sort=0,500,sort)
 )
)</f>
        <v/>
      </c>
      <c r="I255" s="49" t="str">
        <f t="array" ref="I255">_xlfn.XLOOKUP(
 B255,
 tblTargetStatus[TargetID],
 tblTargetStatus[Status],
 ""
)</f>
        <v>BLOCKED</v>
      </c>
      <c r="J255" s="45" t="b">
        <v>0</v>
      </c>
    </row>
    <row r="256" ht="14.25" hidden="1" customHeight="1">
      <c r="A256" s="49" t="s">
        <v>1059</v>
      </c>
      <c r="B256" s="49" t="str">
        <f>IFERROR(__xludf.DUMMYFUNCTION("REGEXREPLACE(
 REGEXREPLACE(A256,""^cost\."",""""),
 ""\.[^.]+\.[^.]+$"",
 """"
)"),"building.guild_video_game_arcade@1")</f>
        <v>building.guild_video_game_arcade@1</v>
      </c>
      <c r="C256" s="49" t="str">
        <f t="array" ref="C256">_xlfn.XLOOKUP(
 B256,
 tblTargets[TargetID],
 tblTargets[DisplayName],
 ""
)</f>
        <v>Guild: Video Game Arcade Lv 1</v>
      </c>
      <c r="D256" s="49" t="str">
        <f t="array" ref="D256">_xlfn.XLOOKUP(
 B256,
 tblTargets[TargetID],
 tblTargets[TargetType],
 ""
)</f>
        <v>BUILDING</v>
      </c>
      <c r="E256" s="49" t="s">
        <v>1060</v>
      </c>
      <c r="F256" s="49">
        <v>1.0</v>
      </c>
      <c r="G256" s="49">
        <f t="array" ref="G256">_xlfn.XLOOKUP(
 A256,
 tblCost[RequirementID],
 tblCost[QuantityRequired],
 ""
)</f>
        <v>500</v>
      </c>
      <c r="H256" s="49" t="str">
        <f t="array" ref="H256">IF(
 OR(
  LEFT(B256,15)="state.character",
  RIGHT(B256,6)=".maxed"
 ),
 0,
 LET(
  sort,
   _xlfn.XLOOKUP(
    B256,
    tblChecklist[TargetID],
    tblChecklist[PlayerSort],
    0
   ),
  IF(sort=0,500,sort)
 )
)</f>
        <v/>
      </c>
      <c r="I256" s="49" t="str">
        <f t="array" ref="I256">_xlfn.XLOOKUP(
 B256,
 tblTargetStatus[TargetID],
 tblTargetStatus[Status],
 ""
)</f>
        <v>BLOCKED</v>
      </c>
      <c r="J256" s="45" t="b">
        <v>0</v>
      </c>
    </row>
    <row r="257" ht="14.25" hidden="1" customHeight="1">
      <c r="A257" s="49" t="s">
        <v>1063</v>
      </c>
      <c r="B257" s="49" t="str">
        <f>IFERROR(__xludf.DUMMYFUNCTION("REGEXREPLACE(
 REGEXREPLACE(A257,""^cost\."",""""),
 ""\.[^.]+\.[^.]+$"",
 """"
)"),"building.guild_video_game_arcade@1")</f>
        <v>building.guild_video_game_arcade@1</v>
      </c>
      <c r="C257" s="49" t="str">
        <f t="array" ref="C257">_xlfn.XLOOKUP(
 B257,
 tblTargets[TargetID],
 tblTargets[DisplayName],
 ""
)</f>
        <v>Guild: Video Game Arcade Lv 1</v>
      </c>
      <c r="D257" s="49" t="str">
        <f t="array" ref="D257">_xlfn.XLOOKUP(
 B257,
 tblTargets[TargetID],
 tblTargets[TargetType],
 ""
)</f>
        <v>BUILDING</v>
      </c>
      <c r="E257" s="49" t="s">
        <v>1066</v>
      </c>
      <c r="F257" s="49">
        <v>1.0</v>
      </c>
      <c r="G257" s="49">
        <f t="array" ref="G257">_xlfn.XLOOKUP(
 A257,
 tblCost[RequirementID],
 tblCost[QuantityRequired],
 ""
)</f>
        <v>10</v>
      </c>
      <c r="H257" s="49" t="str">
        <f t="array" ref="H257">IF(
 OR(
  LEFT(B257,15)="state.character",
  RIGHT(B257,6)=".maxed"
 ),
 0,
 LET(
  sort,
   _xlfn.XLOOKUP(
    B257,
    tblChecklist[TargetID],
    tblChecklist[PlayerSort],
    0
   ),
  IF(sort=0,500,sort)
 )
)</f>
        <v/>
      </c>
      <c r="I257" s="49" t="str">
        <f t="array" ref="I257">_xlfn.XLOOKUP(
 B257,
 tblTargetStatus[TargetID],
 tblTargetStatus[Status],
 ""
)</f>
        <v>BLOCKED</v>
      </c>
      <c r="J257" s="45" t="b">
        <v>0</v>
      </c>
    </row>
    <row r="258" ht="14.25" hidden="1" customHeight="1">
      <c r="A258" s="49" t="s">
        <v>1069</v>
      </c>
      <c r="B258" s="49" t="str">
        <f>IFERROR(__xludf.DUMMYFUNCTION("REGEXREPLACE(
 REGEXREPLACE(A258,""^cost\."",""""),
 ""\.[^.]+\.[^.]+$"",
 """"
)"),"building.guild_video_game_arcade@1")</f>
        <v>building.guild_video_game_arcade@1</v>
      </c>
      <c r="C258" s="49" t="str">
        <f t="array" ref="C258">_xlfn.XLOOKUP(
 B258,
 tblTargets[TargetID],
 tblTargets[DisplayName],
 ""
)</f>
        <v>Guild: Video Game Arcade Lv 1</v>
      </c>
      <c r="D258" s="49" t="str">
        <f t="array" ref="D258">_xlfn.XLOOKUP(
 B258,
 tblTargets[TargetID],
 tblTargets[TargetType],
 ""
)</f>
        <v>BUILDING</v>
      </c>
      <c r="E258" s="49" t="s">
        <v>1072</v>
      </c>
      <c r="F258" s="49">
        <v>1.0</v>
      </c>
      <c r="G258" s="49">
        <f t="array" ref="G258">_xlfn.XLOOKUP(
 A258,
 tblCost[RequirementID],
 tblCost[QuantityRequired],
 ""
)</f>
        <v>40</v>
      </c>
      <c r="H258" s="49" t="str">
        <f t="array" ref="H258">IF(
 OR(
  LEFT(B258,15)="state.character",
  RIGHT(B258,6)=".maxed"
 ),
 0,
 LET(
  sort,
   _xlfn.XLOOKUP(
    B258,
    tblChecklist[TargetID],
    tblChecklist[PlayerSort],
    0
   ),
  IF(sort=0,500,sort)
 )
)</f>
        <v/>
      </c>
      <c r="I258" s="49" t="str">
        <f t="array" ref="I258">_xlfn.XLOOKUP(
 B258,
 tblTargetStatus[TargetID],
 tblTargetStatus[Status],
 ""
)</f>
        <v>BLOCKED</v>
      </c>
      <c r="J258" s="45" t="b">
        <v>0</v>
      </c>
    </row>
    <row r="259" ht="14.25" hidden="1" customHeight="1">
      <c r="A259" s="49" t="s">
        <v>1075</v>
      </c>
      <c r="B259" s="49" t="str">
        <f>IFERROR(__xludf.DUMMYFUNCTION("REGEXREPLACE(
 REGEXREPLACE(A259,""^cost\."",""""),
 ""\.[^.]+\.[^.]+$"",
 """"
)"),"building.guild_video_game_arcade@1")</f>
        <v>building.guild_video_game_arcade@1</v>
      </c>
      <c r="C259" s="49" t="str">
        <f t="array" ref="C259">_xlfn.XLOOKUP(
 B259,
 tblTargets[TargetID],
 tblTargets[DisplayName],
 ""
)</f>
        <v>Guild: Video Game Arcade Lv 1</v>
      </c>
      <c r="D259" s="49" t="str">
        <f t="array" ref="D259">_xlfn.XLOOKUP(
 B259,
 tblTargets[TargetID],
 tblTargets[TargetType],
 ""
)</f>
        <v>BUILDING</v>
      </c>
      <c r="E259" s="49" t="s">
        <v>1078</v>
      </c>
      <c r="F259" s="49">
        <v>1.0</v>
      </c>
      <c r="G259" s="49">
        <f t="array" ref="G259">_xlfn.XLOOKUP(
 A259,
 tblCost[RequirementID],
 tblCost[QuantityRequired],
 ""
)</f>
        <v>10</v>
      </c>
      <c r="H259" s="49" t="str">
        <f t="array" ref="H259">IF(
 OR(
  LEFT(B259,15)="state.character",
  RIGHT(B259,6)=".maxed"
 ),
 0,
 LET(
  sort,
   _xlfn.XLOOKUP(
    B259,
    tblChecklist[TargetID],
    tblChecklist[PlayerSort],
    0
   ),
  IF(sort=0,500,sort)
 )
)</f>
        <v/>
      </c>
      <c r="I259" s="49" t="str">
        <f t="array" ref="I259">_xlfn.XLOOKUP(
 B259,
 tblTargetStatus[TargetID],
 tblTargetStatus[Status],
 ""
)</f>
        <v>BLOCKED</v>
      </c>
      <c r="J259" s="45" t="b">
        <v>0</v>
      </c>
    </row>
    <row r="260" ht="14.25" hidden="1" customHeight="1">
      <c r="A260" s="49" t="s">
        <v>1081</v>
      </c>
      <c r="B260" s="49" t="str">
        <f>IFERROR(__xludf.DUMMYFUNCTION("REGEXREPLACE(
 REGEXREPLACE(A260,""^cost\."",""""),
 ""\.[^.]+\.[^.]+$"",
 """"
)"),"building.guild_video_game_arcade@1")</f>
        <v>building.guild_video_game_arcade@1</v>
      </c>
      <c r="C260" s="49" t="str">
        <f t="array" ref="C260">_xlfn.XLOOKUP(
 B260,
 tblTargets[TargetID],
 tblTargets[DisplayName],
 ""
)</f>
        <v>Guild: Video Game Arcade Lv 1</v>
      </c>
      <c r="D260" s="49" t="str">
        <f t="array" ref="D260">_xlfn.XLOOKUP(
 B260,
 tblTargets[TargetID],
 tblTargets[TargetType],
 ""
)</f>
        <v>BUILDING</v>
      </c>
      <c r="E260" s="49" t="s">
        <v>1083</v>
      </c>
      <c r="F260" s="49">
        <v>1.0</v>
      </c>
      <c r="G260" s="49">
        <f t="array" ref="G260">_xlfn.XLOOKUP(
 A260,
 tblCost[RequirementID],
 tblCost[QuantityRequired],
 ""
)</f>
        <v>40</v>
      </c>
      <c r="H260" s="49" t="str">
        <f t="array" ref="H260">IF(
 OR(
  LEFT(B260,15)="state.character",
  RIGHT(B260,6)=".maxed"
 ),
 0,
 LET(
  sort,
   _xlfn.XLOOKUP(
    B260,
    tblChecklist[TargetID],
    tblChecklist[PlayerSort],
    0
   ),
  IF(sort=0,500,sort)
 )
)</f>
        <v/>
      </c>
      <c r="I260" s="49" t="str">
        <f t="array" ref="I260">_xlfn.XLOOKUP(
 B260,
 tblTargetStatus[TargetID],
 tblTargetStatus[Status],
 ""
)</f>
        <v>BLOCKED</v>
      </c>
      <c r="J260" s="45" t="b">
        <v>0</v>
      </c>
    </row>
    <row r="261" ht="14.25" hidden="1" customHeight="1">
      <c r="A261" s="49" t="s">
        <v>1087</v>
      </c>
      <c r="B261" s="49" t="str">
        <f>IFERROR(__xludf.DUMMYFUNCTION("REGEXREPLACE(
 REGEXREPLACE(A261,""^cost\."",""""),
 ""\.[^.]+\.[^.]+$"",
 """"
)"),"building.guild_video_game_arcade@1")</f>
        <v>building.guild_video_game_arcade@1</v>
      </c>
      <c r="C261" s="49" t="str">
        <f t="array" ref="C261">_xlfn.XLOOKUP(
 B261,
 tblTargets[TargetID],
 tblTargets[DisplayName],
 ""
)</f>
        <v>Guild: Video Game Arcade Lv 1</v>
      </c>
      <c r="D261" s="49" t="str">
        <f t="array" ref="D261">_xlfn.XLOOKUP(
 B261,
 tblTargets[TargetID],
 tblTargets[TargetType],
 ""
)</f>
        <v>BUILDING</v>
      </c>
      <c r="E261" s="49" t="s">
        <v>602</v>
      </c>
      <c r="F261" s="49">
        <v>1.0</v>
      </c>
      <c r="G261" s="49">
        <f t="array" ref="G261">_xlfn.XLOOKUP(
 A261,
 tblCost[RequirementID],
 tblCost[QuantityRequired],
 ""
)</f>
        <v>3</v>
      </c>
      <c r="H261" s="49" t="str">
        <f t="array" ref="H261">IF(
 OR(
  LEFT(B261,15)="state.character",
  RIGHT(B261,6)=".maxed"
 ),
 0,
 LET(
  sort,
   _xlfn.XLOOKUP(
    B261,
    tblChecklist[TargetID],
    tblChecklist[PlayerSort],
    0
   ),
  IF(sort=0,500,sort)
 )
)</f>
        <v/>
      </c>
      <c r="I261" s="49" t="str">
        <f t="array" ref="I261">_xlfn.XLOOKUP(
 B261,
 tblTargetStatus[TargetID],
 tblTargetStatus[Status],
 ""
)</f>
        <v>BLOCKED</v>
      </c>
      <c r="J261" s="45" t="b">
        <v>0</v>
      </c>
    </row>
    <row r="262" ht="14.25" hidden="1" customHeight="1">
      <c r="A262" s="49" t="s">
        <v>1092</v>
      </c>
      <c r="B262" s="49" t="str">
        <f>IFERROR(__xludf.DUMMYFUNCTION("REGEXREPLACE(
 REGEXREPLACE(A262,""^cost\."",""""),
 ""\.[^.]+\.[^.]+$"",
 """"
)"),"building.guild_video_game_arcade@1")</f>
        <v>building.guild_video_game_arcade@1</v>
      </c>
      <c r="C262" s="49" t="str">
        <f t="array" ref="C262">_xlfn.XLOOKUP(
 B262,
 tblTargets[TargetID],
 tblTargets[DisplayName],
 ""
)</f>
        <v>Guild: Video Game Arcade Lv 1</v>
      </c>
      <c r="D262" s="49" t="str">
        <f t="array" ref="D262">_xlfn.XLOOKUP(
 B262,
 tblTargets[TargetID],
 tblTargets[TargetType],
 ""
)</f>
        <v>BUILDING</v>
      </c>
      <c r="E262" s="49" t="s">
        <v>1095</v>
      </c>
      <c r="F262" s="49">
        <v>1.0</v>
      </c>
      <c r="G262" s="49">
        <f t="array" ref="G262">_xlfn.XLOOKUP(
 A262,
 tblCost[RequirementID],
 tblCost[QuantityRequired],
 ""
)</f>
        <v>2</v>
      </c>
      <c r="H262" s="49" t="str">
        <f t="array" ref="H262">IF(
 OR(
  LEFT(B262,15)="state.character",
  RIGHT(B262,6)=".maxed"
 ),
 0,
 LET(
  sort,
   _xlfn.XLOOKUP(
    B262,
    tblChecklist[TargetID],
    tblChecklist[PlayerSort],
    0
   ),
  IF(sort=0,500,sort)
 )
)</f>
        <v/>
      </c>
      <c r="I262" s="49" t="str">
        <f t="array" ref="I262">_xlfn.XLOOKUP(
 B262,
 tblTargetStatus[TargetID],
 tblTargetStatus[Status],
 ""
)</f>
        <v>BLOCKED</v>
      </c>
      <c r="J262" s="45" t="b">
        <v>0</v>
      </c>
    </row>
    <row r="263" ht="14.25" hidden="1" customHeight="1">
      <c r="A263" s="49" t="s">
        <v>1100</v>
      </c>
      <c r="B263" s="49" t="str">
        <f>IFERROR(__xludf.DUMMYFUNCTION("REGEXREPLACE(
 REGEXREPLACE(A263,""^cost\."",""""),
 ""\.[^.]+\.[^.]+$"",
 """"
)"),"building.guild_video_game_arcade@1")</f>
        <v>building.guild_video_game_arcade@1</v>
      </c>
      <c r="C263" s="49" t="str">
        <f t="array" ref="C263">_xlfn.XLOOKUP(
 B263,
 tblTargets[TargetID],
 tblTargets[DisplayName],
 ""
)</f>
        <v>Guild: Video Game Arcade Lv 1</v>
      </c>
      <c r="D263" s="49" t="str">
        <f t="array" ref="D263">_xlfn.XLOOKUP(
 B263,
 tblTargets[TargetID],
 tblTargets[TargetType],
 ""
)</f>
        <v>BUILDING</v>
      </c>
      <c r="E263" s="49" t="s">
        <v>6</v>
      </c>
      <c r="F263" s="49">
        <v>1.0</v>
      </c>
      <c r="G263" s="49">
        <f t="array" ref="G263">_xlfn.XLOOKUP(
 A263,
 tblCost[RequirementID],
 tblCost[QuantityRequired],
 ""
)</f>
        <v>3</v>
      </c>
      <c r="H263" s="49" t="str">
        <f t="array" ref="H263">IF(
 OR(
  LEFT(B263,15)="state.character",
  RIGHT(B263,6)=".maxed"
 ),
 0,
 LET(
  sort,
   _xlfn.XLOOKUP(
    B263,
    tblChecklist[TargetID],
    tblChecklist[PlayerSort],
    0
   ),
  IF(sort=0,500,sort)
 )
)</f>
        <v/>
      </c>
      <c r="I263" s="49" t="str">
        <f t="array" ref="I263">_xlfn.XLOOKUP(
 B263,
 tblTargetStatus[TargetID],
 tblTargetStatus[Status],
 ""
)</f>
        <v>BLOCKED</v>
      </c>
      <c r="J263" s="45" t="b">
        <v>0</v>
      </c>
    </row>
    <row r="264" ht="14.25" customHeight="1">
      <c r="A264" s="49" t="s">
        <v>1105</v>
      </c>
      <c r="B264" s="49" t="str">
        <f>IFERROR(__xludf.DUMMYFUNCTION("REGEXREPLACE(
 REGEXREPLACE(A264,""^cost\."",""""),
 ""\.[^.]+\.[^.]+$"",
 """"
)"),"building.guild@2")</f>
        <v>building.guild@2</v>
      </c>
      <c r="C264" s="49" t="str">
        <f t="array" ref="C264">_xlfn.XLOOKUP(
 B264,
 tblTargets[TargetID],
 tblTargets[DisplayName],
 ""
)</f>
        <v>Guild Lv 2</v>
      </c>
      <c r="D264" s="49" t="str">
        <f t="array" ref="D264">_xlfn.XLOOKUP(
 B264,
 tblTargets[TargetID],
 tblTargets[TargetType],
 ""
)</f>
        <v>BUILDING</v>
      </c>
      <c r="E264" s="49" t="s">
        <v>119</v>
      </c>
      <c r="F264" s="49">
        <v>1.0</v>
      </c>
      <c r="G264" s="49">
        <f t="array" ref="G264">_xlfn.XLOOKUP(
 A264,
 tblCost[RequirementID],
 tblCost[QuantityRequired],
 ""
)</f>
        <v>50</v>
      </c>
      <c r="H264" s="49">
        <f t="array" ref="H264">IF(
 OR(
  LEFT(B264,15)="state.character",
  RIGHT(B264,6)=".maxed"
 ),
 0,
 LET(
  sort,
   _xlfn.XLOOKUP(
    B264,
    tblChecklist[TargetID],
    tblChecklist[PlayerSort],
    0
   ),
  IF(sort=0,500,sort)
 )
)</f>
        <v>1</v>
      </c>
      <c r="I264" s="49" t="str">
        <f t="array" ref="I264">_xlfn.XLOOKUP(
 B264,
 tblTargetStatus[TargetID],
 tblTargetStatus[Status],
 ""
)</f>
        <v>READY</v>
      </c>
      <c r="J264" s="45" t="b">
        <v>0</v>
      </c>
    </row>
    <row r="265" ht="14.25" customHeight="1">
      <c r="A265" s="49" t="s">
        <v>1112</v>
      </c>
      <c r="B265" s="49" t="str">
        <f>IFERROR(__xludf.DUMMYFUNCTION("REGEXREPLACE(
 REGEXREPLACE(A265,""^cost\."",""""),
 ""\.[^.]+\.[^.]+$"",
 """"
)"),"building.guild@2")</f>
        <v>building.guild@2</v>
      </c>
      <c r="C265" s="49" t="str">
        <f t="array" ref="C265">_xlfn.XLOOKUP(
 B265,
 tblTargets[TargetID],
 tblTargets[DisplayName],
 ""
)</f>
        <v>Guild Lv 2</v>
      </c>
      <c r="D265" s="49" t="str">
        <f t="array" ref="D265">_xlfn.XLOOKUP(
 B265,
 tblTargets[TargetID],
 tblTargets[TargetType],
 ""
)</f>
        <v>BUILDING</v>
      </c>
      <c r="E265" s="49" t="s">
        <v>6</v>
      </c>
      <c r="F265" s="49">
        <v>1.0</v>
      </c>
      <c r="G265" s="49">
        <f t="array" ref="G265">_xlfn.XLOOKUP(
 A265,
 tblCost[RequirementID],
 tblCost[QuantityRequired],
 ""
)</f>
        <v>1</v>
      </c>
      <c r="H265" s="49">
        <f t="array" ref="H265">IF(
 OR(
  LEFT(B265,15)="state.character",
  RIGHT(B265,6)=".maxed"
 ),
 0,
 LET(
  sort,
   _xlfn.XLOOKUP(
    B265,
    tblChecklist[TargetID],
    tblChecklist[PlayerSort],
    0
   ),
  IF(sort=0,500,sort)
 )
)</f>
        <v>1</v>
      </c>
      <c r="I265" s="49" t="str">
        <f t="array" ref="I265">_xlfn.XLOOKUP(
 B265,
 tblTargetStatus[TargetID],
 tblTargetStatus[Status],
 ""
)</f>
        <v>READY</v>
      </c>
      <c r="J265" s="45" t="b">
        <v>0</v>
      </c>
    </row>
    <row r="266" ht="14.25" customHeight="1">
      <c r="A266" s="49" t="s">
        <v>1120</v>
      </c>
      <c r="B266" s="49" t="str">
        <f>IFERROR(__xludf.DUMMYFUNCTION("REGEXREPLACE(
 REGEXREPLACE(A266,""^cost\."",""""),
 ""\.[^.]+\.[^.]+$"",
 """"
)"),"building.guild@2")</f>
        <v>building.guild@2</v>
      </c>
      <c r="C266" s="49" t="str">
        <f t="array" ref="C266">_xlfn.XLOOKUP(
 B266,
 tblTargets[TargetID],
 tblTargets[DisplayName],
 ""
)</f>
        <v>Guild Lv 2</v>
      </c>
      <c r="D266" s="49" t="str">
        <f t="array" ref="D266">_xlfn.XLOOKUP(
 B266,
 tblTargets[TargetID],
 tblTargets[TargetType],
 ""
)</f>
        <v>BUILDING</v>
      </c>
      <c r="E266" s="49" t="s">
        <v>237</v>
      </c>
      <c r="F266" s="49">
        <v>1.0</v>
      </c>
      <c r="G266" s="49">
        <f t="array" ref="G266">_xlfn.XLOOKUP(
 A266,
 tblCost[RequirementID],
 tblCost[QuantityRequired],
 ""
)</f>
        <v>50</v>
      </c>
      <c r="H266" s="49">
        <f t="array" ref="H266">IF(
 OR(
  LEFT(B266,15)="state.character",
  RIGHT(B266,6)=".maxed"
 ),
 0,
 LET(
  sort,
   _xlfn.XLOOKUP(
    B266,
    tblChecklist[TargetID],
    tblChecklist[PlayerSort],
    0
   ),
  IF(sort=0,500,sort)
 )
)</f>
        <v>1</v>
      </c>
      <c r="I266" s="49" t="str">
        <f t="array" ref="I266">_xlfn.XLOOKUP(
 B266,
 tblTargetStatus[TargetID],
 tblTargetStatus[Status],
 ""
)</f>
        <v>READY</v>
      </c>
      <c r="J266" s="45" t="b">
        <v>0</v>
      </c>
    </row>
    <row r="267" ht="14.25" customHeight="1">
      <c r="A267" s="49" t="s">
        <v>1125</v>
      </c>
      <c r="B267" s="49" t="str">
        <f>IFERROR(__xludf.DUMMYFUNCTION("REGEXREPLACE(
 REGEXREPLACE(A267,""^cost\."",""""),
 ""\.[^.]+\.[^.]+$"",
 """"
)"),"building.guild@2")</f>
        <v>building.guild@2</v>
      </c>
      <c r="C267" s="49" t="str">
        <f t="array" ref="C267">_xlfn.XLOOKUP(
 B267,
 tblTargets[TargetID],
 tblTargets[DisplayName],
 ""
)</f>
        <v>Guild Lv 2</v>
      </c>
      <c r="D267" s="49" t="str">
        <f t="array" ref="D267">_xlfn.XLOOKUP(
 B267,
 tblTargets[TargetID],
 tblTargets[TargetType],
 ""
)</f>
        <v>BUILDING</v>
      </c>
      <c r="E267" s="49" t="s">
        <v>244</v>
      </c>
      <c r="F267" s="49">
        <v>1.0</v>
      </c>
      <c r="G267" s="49">
        <f t="array" ref="G267">_xlfn.XLOOKUP(
 A267,
 tblCost[RequirementID],
 tblCost[QuantityRequired],
 ""
)</f>
        <v>50</v>
      </c>
      <c r="H267" s="49">
        <f t="array" ref="H267">IF(
 OR(
  LEFT(B267,15)="state.character",
  RIGHT(B267,6)=".maxed"
 ),
 0,
 LET(
  sort,
   _xlfn.XLOOKUP(
    B267,
    tblChecklist[TargetID],
    tblChecklist[PlayerSort],
    0
   ),
  IF(sort=0,500,sort)
 )
)</f>
        <v>1</v>
      </c>
      <c r="I267" s="49" t="str">
        <f t="array" ref="I267">_xlfn.XLOOKUP(
 B267,
 tblTargetStatus[TargetID],
 tblTargetStatus[Status],
 ""
)</f>
        <v>READY</v>
      </c>
      <c r="J267" s="45" t="b">
        <v>0</v>
      </c>
    </row>
    <row r="268" ht="14.25" hidden="1" customHeight="1">
      <c r="A268" s="49" t="s">
        <v>1133</v>
      </c>
      <c r="B268" s="49" t="str">
        <f>IFERROR(__xludf.DUMMYFUNCTION("REGEXREPLACE(
 REGEXREPLACE(A268,""^cost\."",""""),
 ""\.[^.]+\.[^.]+$"",
 """"
)"),"building.guild@3")</f>
        <v>building.guild@3</v>
      </c>
      <c r="C268" s="49" t="str">
        <f t="array" ref="C268">_xlfn.XLOOKUP(
 B268,
 tblTargets[TargetID],
 tblTargets[DisplayName],
 ""
)</f>
        <v>Guild Lv 3</v>
      </c>
      <c r="D268" s="49" t="str">
        <f t="array" ref="D268">_xlfn.XLOOKUP(
 B268,
 tblTargets[TargetID],
 tblTargets[TargetType],
 ""
)</f>
        <v>BUILDING</v>
      </c>
      <c r="E268" s="49" t="s">
        <v>278</v>
      </c>
      <c r="F268" s="49">
        <v>1.0</v>
      </c>
      <c r="G268" s="49">
        <f t="array" ref="G268">_xlfn.XLOOKUP(
 A268,
 tblCost[RequirementID],
 tblCost[QuantityRequired],
 ""
)</f>
        <v>300</v>
      </c>
      <c r="H268" s="49">
        <f t="array" ref="H268">IF(
 OR(
  LEFT(B268,15)="state.character",
  RIGHT(B268,6)=".maxed"
 ),
 0,
 LET(
  sort,
   _xlfn.XLOOKUP(
    B268,
    tblChecklist[TargetID],
    tblChecklist[PlayerSort],
    0
   ),
  IF(sort=0,500,sort)
 )
)</f>
        <v>17</v>
      </c>
      <c r="I268" s="49" t="str">
        <f t="array" ref="I268">_xlfn.XLOOKUP(
 B268,
 tblTargetStatus[TargetID],
 tblTargetStatus[Status],
 ""
)</f>
        <v>BLOCKED</v>
      </c>
      <c r="J268" s="45" t="b">
        <v>0</v>
      </c>
    </row>
    <row r="269" ht="14.25" hidden="1" customHeight="1">
      <c r="A269" s="49" t="s">
        <v>1140</v>
      </c>
      <c r="B269" s="49" t="str">
        <f>IFERROR(__xludf.DUMMYFUNCTION("REGEXREPLACE(
 REGEXREPLACE(A269,""^cost\."",""""),
 ""\.[^.]+\.[^.]+$"",
 """"
)"),"building.guild@3")</f>
        <v>building.guild@3</v>
      </c>
      <c r="C269" s="49" t="str">
        <f t="array" ref="C269">_xlfn.XLOOKUP(
 B269,
 tblTargets[TargetID],
 tblTargets[DisplayName],
 ""
)</f>
        <v>Guild Lv 3</v>
      </c>
      <c r="D269" s="49" t="str">
        <f t="array" ref="D269">_xlfn.XLOOKUP(
 B269,
 tblTargets[TargetID],
 tblTargets[TargetType],
 ""
)</f>
        <v>BUILDING</v>
      </c>
      <c r="E269" s="49" t="s">
        <v>119</v>
      </c>
      <c r="F269" s="49">
        <v>1.0</v>
      </c>
      <c r="G269" s="49">
        <f t="array" ref="G269">_xlfn.XLOOKUP(
 A269,
 tblCost[RequirementID],
 tblCost[QuantityRequired],
 ""
)</f>
        <v>150</v>
      </c>
      <c r="H269" s="49">
        <f t="array" ref="H269">IF(
 OR(
  LEFT(B269,15)="state.character",
  RIGHT(B269,6)=".maxed"
 ),
 0,
 LET(
  sort,
   _xlfn.XLOOKUP(
    B269,
    tblChecklist[TargetID],
    tblChecklist[PlayerSort],
    0
   ),
  IF(sort=0,500,sort)
 )
)</f>
        <v>17</v>
      </c>
      <c r="I269" s="49" t="str">
        <f t="array" ref="I269">_xlfn.XLOOKUP(
 B269,
 tblTargetStatus[TargetID],
 tblTargetStatus[Status],
 ""
)</f>
        <v>BLOCKED</v>
      </c>
      <c r="J269" s="45" t="b">
        <v>0</v>
      </c>
    </row>
    <row r="270" ht="14.25" hidden="1" customHeight="1">
      <c r="A270" s="49" t="s">
        <v>1146</v>
      </c>
      <c r="B270" s="49" t="str">
        <f>IFERROR(__xludf.DUMMYFUNCTION("REGEXREPLACE(
 REGEXREPLACE(A270,""^cost\."",""""),
 ""\.[^.]+\.[^.]+$"",
 """"
)"),"building.guild@3")</f>
        <v>building.guild@3</v>
      </c>
      <c r="C270" s="49" t="str">
        <f t="array" ref="C270">_xlfn.XLOOKUP(
 B270,
 tblTargets[TargetID],
 tblTargets[DisplayName],
 ""
)</f>
        <v>Guild Lv 3</v>
      </c>
      <c r="D270" s="49" t="str">
        <f t="array" ref="D270">_xlfn.XLOOKUP(
 B270,
 tblTargets[TargetID],
 tblTargets[TargetType],
 ""
)</f>
        <v>BUILDING</v>
      </c>
      <c r="E270" s="49" t="s">
        <v>6</v>
      </c>
      <c r="F270" s="49">
        <v>1.0</v>
      </c>
      <c r="G270" s="49">
        <f t="array" ref="G270">_xlfn.XLOOKUP(
 A270,
 tblCost[RequirementID],
 tblCost[QuantityRequired],
 ""
)</f>
        <v>2</v>
      </c>
      <c r="H270" s="49">
        <f t="array" ref="H270">IF(
 OR(
  LEFT(B270,15)="state.character",
  RIGHT(B270,6)=".maxed"
 ),
 0,
 LET(
  sort,
   _xlfn.XLOOKUP(
    B270,
    tblChecklist[TargetID],
    tblChecklist[PlayerSort],
    0
   ),
  IF(sort=0,500,sort)
 )
)</f>
        <v>17</v>
      </c>
      <c r="I270" s="49" t="str">
        <f t="array" ref="I270">_xlfn.XLOOKUP(
 B270,
 tblTargetStatus[TargetID],
 tblTargetStatus[Status],
 ""
)</f>
        <v>BLOCKED</v>
      </c>
      <c r="J270" s="45" t="b">
        <v>0</v>
      </c>
    </row>
    <row r="271" ht="14.25" hidden="1" customHeight="1">
      <c r="A271" s="49" t="s">
        <v>1152</v>
      </c>
      <c r="B271" s="49" t="str">
        <f>IFERROR(__xludf.DUMMYFUNCTION("REGEXREPLACE(
 REGEXREPLACE(A271,""^cost\."",""""),
 ""\.[^.]+\.[^.]+$"",
 """"
)"),"building.guild@3")</f>
        <v>building.guild@3</v>
      </c>
      <c r="C271" s="49" t="str">
        <f t="array" ref="C271">_xlfn.XLOOKUP(
 B271,
 tblTargets[TargetID],
 tblTargets[DisplayName],
 ""
)</f>
        <v>Guild Lv 3</v>
      </c>
      <c r="D271" s="49" t="str">
        <f t="array" ref="D271">_xlfn.XLOOKUP(
 B271,
 tblTargets[TargetID],
 tblTargets[TargetType],
 ""
)</f>
        <v>BUILDING</v>
      </c>
      <c r="E271" s="49" t="s">
        <v>237</v>
      </c>
      <c r="F271" s="49">
        <v>1.0</v>
      </c>
      <c r="G271" s="49">
        <f t="array" ref="G271">_xlfn.XLOOKUP(
 A271,
 tblCost[RequirementID],
 tblCost[QuantityRequired],
 ""
)</f>
        <v>150</v>
      </c>
      <c r="H271" s="49">
        <f t="array" ref="H271">IF(
 OR(
  LEFT(B271,15)="state.character",
  RIGHT(B271,6)=".maxed"
 ),
 0,
 LET(
  sort,
   _xlfn.XLOOKUP(
    B271,
    tblChecklist[TargetID],
    tblChecklist[PlayerSort],
    0
   ),
  IF(sort=0,500,sort)
 )
)</f>
        <v>17</v>
      </c>
      <c r="I271" s="49" t="str">
        <f t="array" ref="I271">_xlfn.XLOOKUP(
 B271,
 tblTargetStatus[TargetID],
 tblTargetStatus[Status],
 ""
)</f>
        <v>BLOCKED</v>
      </c>
      <c r="J271" s="45" t="b">
        <v>0</v>
      </c>
    </row>
    <row r="272" ht="14.25" hidden="1" customHeight="1">
      <c r="A272" s="49" t="s">
        <v>1158</v>
      </c>
      <c r="B272" s="49" t="str">
        <f>IFERROR(__xludf.DUMMYFUNCTION("REGEXREPLACE(
 REGEXREPLACE(A272,""^cost\."",""""),
 ""\.[^.]+\.[^.]+$"",
 """"
)"),"building.guild@4")</f>
        <v>building.guild@4</v>
      </c>
      <c r="C272" s="49" t="str">
        <f t="array" ref="C272">_xlfn.XLOOKUP(
 B272,
 tblTargets[TargetID],
 tblTargets[DisplayName],
 ""
)</f>
        <v>Guild Lv 4</v>
      </c>
      <c r="D272" s="49" t="str">
        <f t="array" ref="D272">_xlfn.XLOOKUP(
 B272,
 tblTargets[TargetID],
 tblTargets[TargetType],
 ""
)</f>
        <v>BUILDING</v>
      </c>
      <c r="E272" s="49" t="s">
        <v>278</v>
      </c>
      <c r="F272" s="49">
        <v>1.0</v>
      </c>
      <c r="G272" s="49">
        <f t="array" ref="G272">_xlfn.XLOOKUP(
 A272,
 tblCost[RequirementID],
 tblCost[QuantityRequired],
 ""
)</f>
        <v>500</v>
      </c>
      <c r="H272" s="49">
        <f t="array" ref="H272">IF(
 OR(
  LEFT(B272,15)="state.character",
  RIGHT(B272,6)=".maxed"
 ),
 0,
 LET(
  sort,
   _xlfn.XLOOKUP(
    B272,
    tblChecklist[TargetID],
    tblChecklist[PlayerSort],
    0
   ),
  IF(sort=0,500,sort)
 )
)</f>
        <v>23</v>
      </c>
      <c r="I272" s="49" t="str">
        <f t="array" ref="I272">_xlfn.XLOOKUP(
 B272,
 tblTargetStatus[TargetID],
 tblTargetStatus[Status],
 ""
)</f>
        <v>BLOCKED</v>
      </c>
      <c r="J272" s="45" t="b">
        <v>0</v>
      </c>
    </row>
    <row r="273" ht="14.25" hidden="1" customHeight="1">
      <c r="A273" s="49" t="s">
        <v>1163</v>
      </c>
      <c r="B273" s="49" t="str">
        <f>IFERROR(__xludf.DUMMYFUNCTION("REGEXREPLACE(
 REGEXREPLACE(A273,""^cost\."",""""),
 ""\.[^.]+\.[^.]+$"",
 """"
)"),"building.guild@4")</f>
        <v>building.guild@4</v>
      </c>
      <c r="C273" s="49" t="str">
        <f t="array" ref="C273">_xlfn.XLOOKUP(
 B273,
 tblTargets[TargetID],
 tblTargets[DisplayName],
 ""
)</f>
        <v>Guild Lv 4</v>
      </c>
      <c r="D273" s="49" t="str">
        <f t="array" ref="D273">_xlfn.XLOOKUP(
 B273,
 tblTargets[TargetID],
 tblTargets[TargetType],
 ""
)</f>
        <v>BUILDING</v>
      </c>
      <c r="E273" s="49" t="s">
        <v>119</v>
      </c>
      <c r="F273" s="49">
        <v>1.0</v>
      </c>
      <c r="G273" s="49">
        <f t="array" ref="G273">_xlfn.XLOOKUP(
 A273,
 tblCost[RequirementID],
 tblCost[QuantityRequired],
 ""
)</f>
        <v>250</v>
      </c>
      <c r="H273" s="49">
        <f t="array" ref="H273">IF(
 OR(
  LEFT(B273,15)="state.character",
  RIGHT(B273,6)=".maxed"
 ),
 0,
 LET(
  sort,
   _xlfn.XLOOKUP(
    B273,
    tblChecklist[TargetID],
    tblChecklist[PlayerSort],
    0
   ),
  IF(sort=0,500,sort)
 )
)</f>
        <v>23</v>
      </c>
      <c r="I273" s="49" t="str">
        <f t="array" ref="I273">_xlfn.XLOOKUP(
 B273,
 tblTargetStatus[TargetID],
 tblTargetStatus[Status],
 ""
)</f>
        <v>BLOCKED</v>
      </c>
      <c r="J273" s="45" t="b">
        <v>0</v>
      </c>
    </row>
    <row r="274" ht="14.25" hidden="1" customHeight="1">
      <c r="A274" s="49" t="s">
        <v>1171</v>
      </c>
      <c r="B274" s="49" t="str">
        <f>IFERROR(__xludf.DUMMYFUNCTION("REGEXREPLACE(
 REGEXREPLACE(A274,""^cost\."",""""),
 ""\.[^.]+\.[^.]+$"",
 """"
)"),"building.guild@4")</f>
        <v>building.guild@4</v>
      </c>
      <c r="C274" s="49" t="str">
        <f t="array" ref="C274">_xlfn.XLOOKUP(
 B274,
 tblTargets[TargetID],
 tblTargets[DisplayName],
 ""
)</f>
        <v>Guild Lv 4</v>
      </c>
      <c r="D274" s="49" t="str">
        <f t="array" ref="D274">_xlfn.XLOOKUP(
 B274,
 tblTargets[TargetID],
 tblTargets[TargetType],
 ""
)</f>
        <v>BUILDING</v>
      </c>
      <c r="E274" s="49" t="s">
        <v>6</v>
      </c>
      <c r="F274" s="49">
        <v>1.0</v>
      </c>
      <c r="G274" s="49">
        <f t="array" ref="G274">_xlfn.XLOOKUP(
 A274,
 tblCost[RequirementID],
 tblCost[QuantityRequired],
 ""
)</f>
        <v>4</v>
      </c>
      <c r="H274" s="49">
        <f t="array" ref="H274">IF(
 OR(
  LEFT(B274,15)="state.character",
  RIGHT(B274,6)=".maxed"
 ),
 0,
 LET(
  sort,
   _xlfn.XLOOKUP(
    B274,
    tblChecklist[TargetID],
    tblChecklist[PlayerSort],
    0
   ),
  IF(sort=0,500,sort)
 )
)</f>
        <v>23</v>
      </c>
      <c r="I274" s="49" t="str">
        <f t="array" ref="I274">_xlfn.XLOOKUP(
 B274,
 tblTargetStatus[TargetID],
 tblTargetStatus[Status],
 ""
)</f>
        <v>BLOCKED</v>
      </c>
      <c r="J274" s="45" t="b">
        <v>0</v>
      </c>
    </row>
    <row r="275" ht="14.25" hidden="1" customHeight="1">
      <c r="A275" s="49" t="s">
        <v>1177</v>
      </c>
      <c r="B275" s="49" t="str">
        <f>IFERROR(__xludf.DUMMYFUNCTION("REGEXREPLACE(
 REGEXREPLACE(A275,""^cost\."",""""),
 ""\.[^.]+\.[^.]+$"",
 """"
)"),"building.guild@4")</f>
        <v>building.guild@4</v>
      </c>
      <c r="C275" s="49" t="str">
        <f t="array" ref="C275">_xlfn.XLOOKUP(
 B275,
 tblTargets[TargetID],
 tblTargets[DisplayName],
 ""
)</f>
        <v>Guild Lv 4</v>
      </c>
      <c r="D275" s="49" t="str">
        <f t="array" ref="D275">_xlfn.XLOOKUP(
 B275,
 tblTargets[TargetID],
 tblTargets[TargetType],
 ""
)</f>
        <v>BUILDING</v>
      </c>
      <c r="E275" s="49" t="s">
        <v>392</v>
      </c>
      <c r="F275" s="49">
        <v>1.0</v>
      </c>
      <c r="G275" s="49">
        <f t="array" ref="G275">_xlfn.XLOOKUP(
 A275,
 tblCost[RequirementID],
 tblCost[QuantityRequired],
 ""
)</f>
        <v>40</v>
      </c>
      <c r="H275" s="49">
        <f t="array" ref="H275">IF(
 OR(
  LEFT(B275,15)="state.character",
  RIGHT(B275,6)=".maxed"
 ),
 0,
 LET(
  sort,
   _xlfn.XLOOKUP(
    B275,
    tblChecklist[TargetID],
    tblChecklist[PlayerSort],
    0
   ),
  IF(sort=0,500,sort)
 )
)</f>
        <v>23</v>
      </c>
      <c r="I275" s="49" t="str">
        <f t="array" ref="I275">_xlfn.XLOOKUP(
 B275,
 tblTargetStatus[TargetID],
 tblTargetStatus[Status],
 ""
)</f>
        <v>BLOCKED</v>
      </c>
      <c r="J275" s="45" t="b">
        <v>0</v>
      </c>
    </row>
    <row r="276" ht="14.25" hidden="1" customHeight="1">
      <c r="A276" s="49" t="s">
        <v>1183</v>
      </c>
      <c r="B276" s="49" t="str">
        <f>IFERROR(__xludf.DUMMYFUNCTION("REGEXREPLACE(
 REGEXREPLACE(A276,""^cost\."",""""),
 ""\.[^.]+\.[^.]+$"",
 """"
)"),"building.guild@4")</f>
        <v>building.guild@4</v>
      </c>
      <c r="C276" s="49" t="str">
        <f t="array" ref="C276">_xlfn.XLOOKUP(
 B276,
 tblTargets[TargetID],
 tblTargets[DisplayName],
 ""
)</f>
        <v>Guild Lv 4</v>
      </c>
      <c r="D276" s="49" t="str">
        <f t="array" ref="D276">_xlfn.XLOOKUP(
 B276,
 tblTargets[TargetID],
 tblTargets[TargetType],
 ""
)</f>
        <v>BUILDING</v>
      </c>
      <c r="E276" s="49" t="s">
        <v>237</v>
      </c>
      <c r="F276" s="49">
        <v>1.0</v>
      </c>
      <c r="G276" s="49">
        <f t="array" ref="G276">_xlfn.XLOOKUP(
 A276,
 tblCost[RequirementID],
 tblCost[QuantityRequired],
 ""
)</f>
        <v>250</v>
      </c>
      <c r="H276" s="49">
        <f t="array" ref="H276">IF(
 OR(
  LEFT(B276,15)="state.character",
  RIGHT(B276,6)=".maxed"
 ),
 0,
 LET(
  sort,
   _xlfn.XLOOKUP(
    B276,
    tblChecklist[TargetID],
    tblChecklist[PlayerSort],
    0
   ),
  IF(sort=0,500,sort)
 )
)</f>
        <v>23</v>
      </c>
      <c r="I276" s="49" t="str">
        <f t="array" ref="I276">_xlfn.XLOOKUP(
 B276,
 tblTargetStatus[TargetID],
 tblTargetStatus[Status],
 ""
)</f>
        <v>BLOCKED</v>
      </c>
      <c r="J276" s="45" t="b">
        <v>0</v>
      </c>
    </row>
    <row r="277" ht="14.25" hidden="1" customHeight="1">
      <c r="A277" s="49" t="s">
        <v>1189</v>
      </c>
      <c r="B277" s="49" t="str">
        <f>IFERROR(__xludf.DUMMYFUNCTION("REGEXREPLACE(
 REGEXREPLACE(A277,""^cost\."",""""),
 ""\.[^.]+\.[^.]+$"",
 """"
)"),"building.guild@5")</f>
        <v>building.guild@5</v>
      </c>
      <c r="C277" s="49" t="str">
        <f t="array" ref="C277">_xlfn.XLOOKUP(
 B277,
 tblTargets[TargetID],
 tblTargets[DisplayName],
 ""
)</f>
        <v>Guild Lv 5</v>
      </c>
      <c r="D277" s="49" t="str">
        <f t="array" ref="D277">_xlfn.XLOOKUP(
 B277,
 tblTargets[TargetID],
 tblTargets[TargetType],
 ""
)</f>
        <v>BUILDING</v>
      </c>
      <c r="E277" s="49" t="s">
        <v>278</v>
      </c>
      <c r="F277" s="49">
        <v>1.0</v>
      </c>
      <c r="G277" s="49">
        <f t="array" ref="G277">_xlfn.XLOOKUP(
 A277,
 tblCost[RequirementID],
 tblCost[QuantityRequired],
 ""
)</f>
        <v>600</v>
      </c>
      <c r="H277" s="49">
        <f t="array" ref="H277">IF(
 OR(
  LEFT(B277,15)="state.character",
  RIGHT(B277,6)=".maxed"
 ),
 0,
 LET(
  sort,
   _xlfn.XLOOKUP(
    B277,
    tblChecklist[TargetID],
    tblChecklist[PlayerSort],
    0
   ),
  IF(sort=0,500,sort)
 )
)</f>
        <v>29</v>
      </c>
      <c r="I277" s="49" t="str">
        <f t="array" ref="I277">_xlfn.XLOOKUP(
 B277,
 tblTargetStatus[TargetID],
 tblTargetStatus[Status],
 ""
)</f>
        <v>BLOCKED</v>
      </c>
      <c r="J277" s="45" t="b">
        <v>0</v>
      </c>
    </row>
    <row r="278" ht="14.25" hidden="1" customHeight="1">
      <c r="A278" s="49" t="s">
        <v>1196</v>
      </c>
      <c r="B278" s="49" t="str">
        <f>IFERROR(__xludf.DUMMYFUNCTION("REGEXREPLACE(
 REGEXREPLACE(A278,""^cost\."",""""),
 ""\.[^.]+\.[^.]+$"",
 """"
)"),"building.guild@5")</f>
        <v>building.guild@5</v>
      </c>
      <c r="C278" s="49" t="str">
        <f t="array" ref="C278">_xlfn.XLOOKUP(
 B278,
 tblTargets[TargetID],
 tblTargets[DisplayName],
 ""
)</f>
        <v>Guild Lv 5</v>
      </c>
      <c r="D278" s="49" t="str">
        <f t="array" ref="D278">_xlfn.XLOOKUP(
 B278,
 tblTargets[TargetID],
 tblTargets[TargetType],
 ""
)</f>
        <v>BUILDING</v>
      </c>
      <c r="E278" s="49" t="s">
        <v>119</v>
      </c>
      <c r="F278" s="49">
        <v>1.0</v>
      </c>
      <c r="G278" s="49">
        <f t="array" ref="G278">_xlfn.XLOOKUP(
 A278,
 tblCost[RequirementID],
 tblCost[QuantityRequired],
 ""
)</f>
        <v>300</v>
      </c>
      <c r="H278" s="49">
        <f t="array" ref="H278">IF(
 OR(
  LEFT(B278,15)="state.character",
  RIGHT(B278,6)=".maxed"
 ),
 0,
 LET(
  sort,
   _xlfn.XLOOKUP(
    B278,
    tblChecklist[TargetID],
    tblChecklist[PlayerSort],
    0
   ),
  IF(sort=0,500,sort)
 )
)</f>
        <v>29</v>
      </c>
      <c r="I278" s="49" t="str">
        <f t="array" ref="I278">_xlfn.XLOOKUP(
 B278,
 tblTargetStatus[TargetID],
 tblTargetStatus[Status],
 ""
)</f>
        <v>BLOCKED</v>
      </c>
      <c r="J278" s="45" t="b">
        <v>0</v>
      </c>
    </row>
    <row r="279" ht="14.25" hidden="1" customHeight="1">
      <c r="A279" s="49" t="s">
        <v>1202</v>
      </c>
      <c r="B279" s="49" t="str">
        <f>IFERROR(__xludf.DUMMYFUNCTION("REGEXREPLACE(
 REGEXREPLACE(A279,""^cost\."",""""),
 ""\.[^.]+\.[^.]+$"",
 """"
)"),"building.guild@5")</f>
        <v>building.guild@5</v>
      </c>
      <c r="C279" s="49" t="str">
        <f t="array" ref="C279">_xlfn.XLOOKUP(
 B279,
 tblTargets[TargetID],
 tblTargets[DisplayName],
 ""
)</f>
        <v>Guild Lv 5</v>
      </c>
      <c r="D279" s="49" t="str">
        <f t="array" ref="D279">_xlfn.XLOOKUP(
 B279,
 tblTargets[TargetID],
 tblTargets[TargetType],
 ""
)</f>
        <v>BUILDING</v>
      </c>
      <c r="E279" s="49" t="s">
        <v>6</v>
      </c>
      <c r="F279" s="49">
        <v>1.0</v>
      </c>
      <c r="G279" s="49">
        <f t="array" ref="G279">_xlfn.XLOOKUP(
 A279,
 tblCost[RequirementID],
 tblCost[QuantityRequired],
 ""
)</f>
        <v>8</v>
      </c>
      <c r="H279" s="49">
        <f t="array" ref="H279">IF(
 OR(
  LEFT(B279,15)="state.character",
  RIGHT(B279,6)=".maxed"
 ),
 0,
 LET(
  sort,
   _xlfn.XLOOKUP(
    B279,
    tblChecklist[TargetID],
    tblChecklist[PlayerSort],
    0
   ),
  IF(sort=0,500,sort)
 )
)</f>
        <v>29</v>
      </c>
      <c r="I279" s="49" t="str">
        <f t="array" ref="I279">_xlfn.XLOOKUP(
 B279,
 tblTargetStatus[TargetID],
 tblTargetStatus[Status],
 ""
)</f>
        <v>BLOCKED</v>
      </c>
      <c r="J279" s="45" t="b">
        <v>0</v>
      </c>
    </row>
    <row r="280" ht="14.25" hidden="1" customHeight="1">
      <c r="A280" s="49" t="s">
        <v>1210</v>
      </c>
      <c r="B280" s="49" t="str">
        <f>IFERROR(__xludf.DUMMYFUNCTION("REGEXREPLACE(
 REGEXREPLACE(A280,""^cost\."",""""),
 ""\.[^.]+\.[^.]+$"",
 """"
)"),"building.guild@5")</f>
        <v>building.guild@5</v>
      </c>
      <c r="C280" s="49" t="str">
        <f t="array" ref="C280">_xlfn.XLOOKUP(
 B280,
 tblTargets[TargetID],
 tblTargets[DisplayName],
 ""
)</f>
        <v>Guild Lv 5</v>
      </c>
      <c r="D280" s="49" t="str">
        <f t="array" ref="D280">_xlfn.XLOOKUP(
 B280,
 tblTargets[TargetID],
 tblTargets[TargetType],
 ""
)</f>
        <v>BUILDING</v>
      </c>
      <c r="E280" s="49" t="s">
        <v>392</v>
      </c>
      <c r="F280" s="49">
        <v>1.0</v>
      </c>
      <c r="G280" s="49">
        <f t="array" ref="G280">_xlfn.XLOOKUP(
 A280,
 tblCost[RequirementID],
 tblCost[QuantityRequired],
 ""
)</f>
        <v>50</v>
      </c>
      <c r="H280" s="49">
        <f t="array" ref="H280">IF(
 OR(
  LEFT(B280,15)="state.character",
  RIGHT(B280,6)=".maxed"
 ),
 0,
 LET(
  sort,
   _xlfn.XLOOKUP(
    B280,
    tblChecklist[TargetID],
    tblChecklist[PlayerSort],
    0
   ),
  IF(sort=0,500,sort)
 )
)</f>
        <v>29</v>
      </c>
      <c r="I280" s="49" t="str">
        <f t="array" ref="I280">_xlfn.XLOOKUP(
 B280,
 tblTargetStatus[TargetID],
 tblTargetStatus[Status],
 ""
)</f>
        <v>BLOCKED</v>
      </c>
      <c r="J280" s="45" t="b">
        <v>0</v>
      </c>
    </row>
    <row r="281" ht="14.25" hidden="1" customHeight="1">
      <c r="A281" s="49" t="s">
        <v>1218</v>
      </c>
      <c r="B281" s="49" t="str">
        <f>IFERROR(__xludf.DUMMYFUNCTION("REGEXREPLACE(
 REGEXREPLACE(A281,""^cost\."",""""),
 ""\.[^.]+\.[^.]+$"",
 """"
)"),"building.guild@5")</f>
        <v>building.guild@5</v>
      </c>
      <c r="C281" s="49" t="str">
        <f t="array" ref="C281">_xlfn.XLOOKUP(
 B281,
 tblTargets[TargetID],
 tblTargets[DisplayName],
 ""
)</f>
        <v>Guild Lv 5</v>
      </c>
      <c r="D281" s="49" t="str">
        <f t="array" ref="D281">_xlfn.XLOOKUP(
 B281,
 tblTargets[TargetID],
 tblTargets[TargetType],
 ""
)</f>
        <v>BUILDING</v>
      </c>
      <c r="E281" s="49" t="s">
        <v>237</v>
      </c>
      <c r="F281" s="49">
        <v>1.0</v>
      </c>
      <c r="G281" s="49">
        <f t="array" ref="G281">_xlfn.XLOOKUP(
 A281,
 tblCost[RequirementID],
 tblCost[QuantityRequired],
 ""
)</f>
        <v>300</v>
      </c>
      <c r="H281" s="49">
        <f t="array" ref="H281">IF(
 OR(
  LEFT(B281,15)="state.character",
  RIGHT(B281,6)=".maxed"
 ),
 0,
 LET(
  sort,
   _xlfn.XLOOKUP(
    B281,
    tblChecklist[TargetID],
    tblChecklist[PlayerSort],
    0
   ),
  IF(sort=0,500,sort)
 )
)</f>
        <v>29</v>
      </c>
      <c r="I281" s="49" t="str">
        <f t="array" ref="I281">_xlfn.XLOOKUP(
 B281,
 tblTargetStatus[TargetID],
 tblTargetStatus[Status],
 ""
)</f>
        <v>BLOCKED</v>
      </c>
      <c r="J281" s="45" t="b">
        <v>0</v>
      </c>
    </row>
    <row r="282" ht="14.25" hidden="1" customHeight="1">
      <c r="A282" s="49" t="s">
        <v>1226</v>
      </c>
      <c r="B282" s="49" t="str">
        <f>IFERROR(__xludf.DUMMYFUNCTION("REGEXREPLACE(
 REGEXREPLACE(A282,""^cost\."",""""),
 ""\.[^.]+\.[^.]+$"",
 """"
)"),"building.laboratory_data_center@1")</f>
        <v>building.laboratory_data_center@1</v>
      </c>
      <c r="C282" s="49" t="str">
        <f t="array" ref="C282">_xlfn.XLOOKUP(
 B282,
 tblTargets[TargetID],
 tblTargets[DisplayName],
 ""
)</f>
        <v>Laboratory: Data Center Lv 1</v>
      </c>
      <c r="D282" s="49" t="str">
        <f t="array" ref="D282">_xlfn.XLOOKUP(
 B282,
 tblTargets[TargetID],
 tblTargets[TargetType],
 ""
)</f>
        <v>BUILDING</v>
      </c>
      <c r="E282" s="49" t="s">
        <v>1230</v>
      </c>
      <c r="F282" s="49">
        <v>1.0</v>
      </c>
      <c r="G282" s="49">
        <f t="array" ref="G282">_xlfn.XLOOKUP(
 A282,
 tblCost[RequirementID],
 tblCost[QuantityRequired],
 ""
)</f>
        <v>20</v>
      </c>
      <c r="H282" s="49" t="str">
        <f t="array" ref="H282">IF(
 OR(
  LEFT(B282,15)="state.character",
  RIGHT(B282,6)=".maxed"
 ),
 0,
 LET(
  sort,
   _xlfn.XLOOKUP(
    B282,
    tblChecklist[TargetID],
    tblChecklist[PlayerSort],
    0
   ),
  IF(sort=0,500,sort)
 )
)</f>
        <v/>
      </c>
      <c r="I282" s="49" t="str">
        <f t="array" ref="I282">_xlfn.XLOOKUP(
 B282,
 tblTargetStatus[TargetID],
 tblTargetStatus[Status],
 ""
)</f>
        <v>BLOCKED</v>
      </c>
      <c r="J282" s="45" t="b">
        <v>0</v>
      </c>
    </row>
    <row r="283" ht="14.25" hidden="1" customHeight="1">
      <c r="A283" s="49" t="s">
        <v>1236</v>
      </c>
      <c r="B283" s="49" t="str">
        <f>IFERROR(__xludf.DUMMYFUNCTION("REGEXREPLACE(
 REGEXREPLACE(A283,""^cost\."",""""),
 ""\.[^.]+\.[^.]+$"",
 """"
)"),"building.laboratory_data_center@1")</f>
        <v>building.laboratory_data_center@1</v>
      </c>
      <c r="C283" s="49" t="str">
        <f t="array" ref="C283">_xlfn.XLOOKUP(
 B283,
 tblTargets[TargetID],
 tblTargets[DisplayName],
 ""
)</f>
        <v>Laboratory: Data Center Lv 1</v>
      </c>
      <c r="D283" s="49" t="str">
        <f t="array" ref="D283">_xlfn.XLOOKUP(
 B283,
 tblTargets[TargetID],
 tblTargets[TargetType],
 ""
)</f>
        <v>BUILDING</v>
      </c>
      <c r="E283" s="49" t="s">
        <v>1055</v>
      </c>
      <c r="F283" s="49">
        <v>1.0</v>
      </c>
      <c r="G283" s="49">
        <f t="array" ref="G283">_xlfn.XLOOKUP(
 A283,
 tblCost[RequirementID],
 tblCost[QuantityRequired],
 ""
)</f>
        <v>50</v>
      </c>
      <c r="H283" s="49" t="str">
        <f t="array" ref="H283">IF(
 OR(
  LEFT(B283,15)="state.character",
  RIGHT(B283,6)=".maxed"
 ),
 0,
 LET(
  sort,
   _xlfn.XLOOKUP(
    B283,
    tblChecklist[TargetID],
    tblChecklist[PlayerSort],
    0
   ),
  IF(sort=0,500,sort)
 )
)</f>
        <v/>
      </c>
      <c r="I283" s="49" t="str">
        <f t="array" ref="I283">_xlfn.XLOOKUP(
 B283,
 tblTargetStatus[TargetID],
 tblTargetStatus[Status],
 ""
)</f>
        <v>BLOCKED</v>
      </c>
      <c r="J283" s="45" t="b">
        <v>0</v>
      </c>
    </row>
    <row r="284" ht="14.25" hidden="1" customHeight="1">
      <c r="A284" s="49" t="s">
        <v>1244</v>
      </c>
      <c r="B284" s="49" t="str">
        <f>IFERROR(__xludf.DUMMYFUNCTION("REGEXREPLACE(
 REGEXREPLACE(A284,""^cost\."",""""),
 ""\.[^.]+\.[^.]+$"",
 """"
)"),"building.laboratory_data_center@1")</f>
        <v>building.laboratory_data_center@1</v>
      </c>
      <c r="C284" s="49" t="str">
        <f t="array" ref="C284">_xlfn.XLOOKUP(
 B284,
 tblTargets[TargetID],
 tblTargets[DisplayName],
 ""
)</f>
        <v>Laboratory: Data Center Lv 1</v>
      </c>
      <c r="D284" s="49" t="str">
        <f t="array" ref="D284">_xlfn.XLOOKUP(
 B284,
 tblTargets[TargetID],
 tblTargets[TargetType],
 ""
)</f>
        <v>BUILDING</v>
      </c>
      <c r="E284" s="49" t="s">
        <v>119</v>
      </c>
      <c r="F284" s="49">
        <v>1.0</v>
      </c>
      <c r="G284" s="49">
        <f t="array" ref="G284">_xlfn.XLOOKUP(
 A284,
 tblCost[RequirementID],
 tblCost[QuantityRequired],
 ""
)</f>
        <v>1000</v>
      </c>
      <c r="H284" s="49" t="str">
        <f t="array" ref="H284">IF(
 OR(
  LEFT(B284,15)="state.character",
  RIGHT(B284,6)=".maxed"
 ),
 0,
 LET(
  sort,
   _xlfn.XLOOKUP(
    B284,
    tblChecklist[TargetID],
    tblChecklist[PlayerSort],
    0
   ),
  IF(sort=0,500,sort)
 )
)</f>
        <v/>
      </c>
      <c r="I284" s="49" t="str">
        <f t="array" ref="I284">_xlfn.XLOOKUP(
 B284,
 tblTargetStatus[TargetID],
 tblTargetStatus[Status],
 ""
)</f>
        <v>BLOCKED</v>
      </c>
      <c r="J284" s="45" t="b">
        <v>0</v>
      </c>
    </row>
    <row r="285" ht="14.25" hidden="1" customHeight="1">
      <c r="A285" s="49" t="s">
        <v>1252</v>
      </c>
      <c r="B285" s="49" t="str">
        <f>IFERROR(__xludf.DUMMYFUNCTION("REGEXREPLACE(
 REGEXREPLACE(A285,""^cost\."",""""),
 ""\.[^.]+\.[^.]+$"",
 """"
)"),"building.laboratory_data_center@1")</f>
        <v>building.laboratory_data_center@1</v>
      </c>
      <c r="C285" s="49" t="str">
        <f t="array" ref="C285">_xlfn.XLOOKUP(
 B285,
 tblTargets[TargetID],
 tblTargets[DisplayName],
 ""
)</f>
        <v>Laboratory: Data Center Lv 1</v>
      </c>
      <c r="D285" s="49" t="str">
        <f t="array" ref="D285">_xlfn.XLOOKUP(
 B285,
 tblTargets[TargetID],
 tblTargets[TargetType],
 ""
)</f>
        <v>BUILDING</v>
      </c>
      <c r="E285" s="49" t="s">
        <v>360</v>
      </c>
      <c r="F285" s="49">
        <v>1.0</v>
      </c>
      <c r="G285" s="49">
        <f t="array" ref="G285">_xlfn.XLOOKUP(
 A285,
 tblCost[RequirementID],
 tblCost[QuantityRequired],
 ""
)</f>
        <v>50</v>
      </c>
      <c r="H285" s="49" t="str">
        <f t="array" ref="H285">IF(
 OR(
  LEFT(B285,15)="state.character",
  RIGHT(B285,6)=".maxed"
 ),
 0,
 LET(
  sort,
   _xlfn.XLOOKUP(
    B285,
    tblChecklist[TargetID],
    tblChecklist[PlayerSort],
    0
   ),
  IF(sort=0,500,sort)
 )
)</f>
        <v/>
      </c>
      <c r="I285" s="49" t="str">
        <f t="array" ref="I285">_xlfn.XLOOKUP(
 B285,
 tblTargetStatus[TargetID],
 tblTargetStatus[Status],
 ""
)</f>
        <v>BLOCKED</v>
      </c>
      <c r="J285" s="45" t="b">
        <v>0</v>
      </c>
    </row>
    <row r="286" ht="14.25" hidden="1" customHeight="1">
      <c r="A286" s="49" t="s">
        <v>1266</v>
      </c>
      <c r="B286" s="49" t="str">
        <f>IFERROR(__xludf.DUMMYFUNCTION("REGEXREPLACE(
 REGEXREPLACE(A286,""^cost\."",""""),
 ""\.[^.]+\.[^.]+$"",
 """"
)"),"building.laboratory_data_center@1")</f>
        <v>building.laboratory_data_center@1</v>
      </c>
      <c r="C286" s="49" t="str">
        <f t="array" ref="C286">_xlfn.XLOOKUP(
 B286,
 tblTargets[TargetID],
 tblTargets[DisplayName],
 ""
)</f>
        <v>Laboratory: Data Center Lv 1</v>
      </c>
      <c r="D286" s="49" t="str">
        <f t="array" ref="D286">_xlfn.XLOOKUP(
 B286,
 tblTargets[TargetID],
 tblTargets[TargetType],
 ""
)</f>
        <v>BUILDING</v>
      </c>
      <c r="E286" s="49" t="s">
        <v>1083</v>
      </c>
      <c r="F286" s="49">
        <v>1.0</v>
      </c>
      <c r="G286" s="49">
        <f t="array" ref="G286">_xlfn.XLOOKUP(
 A286,
 tblCost[RequirementID],
 tblCost[QuantityRequired],
 ""
)</f>
        <v>50</v>
      </c>
      <c r="H286" s="49" t="str">
        <f t="array" ref="H286">IF(
 OR(
  LEFT(B286,15)="state.character",
  RIGHT(B286,6)=".maxed"
 ),
 0,
 LET(
  sort,
   _xlfn.XLOOKUP(
    B286,
    tblChecklist[TargetID],
    tblChecklist[PlayerSort],
    0
   ),
  IF(sort=0,500,sort)
 )
)</f>
        <v/>
      </c>
      <c r="I286" s="49" t="str">
        <f t="array" ref="I286">_xlfn.XLOOKUP(
 B286,
 tblTargetStatus[TargetID],
 tblTargetStatus[Status],
 ""
)</f>
        <v>BLOCKED</v>
      </c>
      <c r="J286" s="45" t="b">
        <v>0</v>
      </c>
    </row>
    <row r="287" ht="14.25" hidden="1" customHeight="1">
      <c r="A287" s="49" t="s">
        <v>1279</v>
      </c>
      <c r="B287" s="49" t="str">
        <f>IFERROR(__xludf.DUMMYFUNCTION("REGEXREPLACE(
 REGEXREPLACE(A287,""^cost\."",""""),
 ""\.[^.]+\.[^.]+$"",
 """"
)"),"building.laboratory_data_center@1")</f>
        <v>building.laboratory_data_center@1</v>
      </c>
      <c r="C287" s="49" t="str">
        <f t="array" ref="C287">_xlfn.XLOOKUP(
 B287,
 tblTargets[TargetID],
 tblTargets[DisplayName],
 ""
)</f>
        <v>Laboratory: Data Center Lv 1</v>
      </c>
      <c r="D287" s="49" t="str">
        <f t="array" ref="D287">_xlfn.XLOOKUP(
 B287,
 tblTargets[TargetID],
 tblTargets[TargetType],
 ""
)</f>
        <v>BUILDING</v>
      </c>
      <c r="E287" s="49" t="s">
        <v>1282</v>
      </c>
      <c r="F287" s="49">
        <v>1.0</v>
      </c>
      <c r="G287" s="49">
        <f t="array" ref="G287">_xlfn.XLOOKUP(
 A287,
 tblCost[RequirementID],
 tblCost[QuantityRequired],
 ""
)</f>
        <v>20</v>
      </c>
      <c r="H287" s="49" t="str">
        <f t="array" ref="H287">IF(
 OR(
  LEFT(B287,15)="state.character",
  RIGHT(B287,6)=".maxed"
 ),
 0,
 LET(
  sort,
   _xlfn.XLOOKUP(
    B287,
    tblChecklist[TargetID],
    tblChecklist[PlayerSort],
    0
   ),
  IF(sort=0,500,sort)
 )
)</f>
        <v/>
      </c>
      <c r="I287" s="49" t="str">
        <f t="array" ref="I287">_xlfn.XLOOKUP(
 B287,
 tblTargetStatus[TargetID],
 tblTargetStatus[Status],
 ""
)</f>
        <v>BLOCKED</v>
      </c>
      <c r="J287" s="45" t="b">
        <v>0</v>
      </c>
    </row>
    <row r="288" ht="14.25" hidden="1" customHeight="1">
      <c r="A288" s="49" t="s">
        <v>1289</v>
      </c>
      <c r="B288" s="49" t="str">
        <f>IFERROR(__xludf.DUMMYFUNCTION("REGEXREPLACE(
 REGEXREPLACE(A288,""^cost\."",""""),
 ""\.[^.]+\.[^.]+$"",
 """"
)"),"building.laboratory_data_center@1")</f>
        <v>building.laboratory_data_center@1</v>
      </c>
      <c r="C288" s="49" t="str">
        <f t="array" ref="C288">_xlfn.XLOOKUP(
 B288,
 tblTargets[TargetID],
 tblTargets[DisplayName],
 ""
)</f>
        <v>Laboratory: Data Center Lv 1</v>
      </c>
      <c r="D288" s="49" t="str">
        <f t="array" ref="D288">_xlfn.XLOOKUP(
 B288,
 tblTargets[TargetID],
 tblTargets[TargetType],
 ""
)</f>
        <v>BUILDING</v>
      </c>
      <c r="E288" s="49" t="s">
        <v>6</v>
      </c>
      <c r="F288" s="49">
        <v>1.0</v>
      </c>
      <c r="G288" s="49">
        <f t="array" ref="G288">_xlfn.XLOOKUP(
 A288,
 tblCost[RequirementID],
 tblCost[QuantityRequired],
 ""
)</f>
        <v>10</v>
      </c>
      <c r="H288" s="49" t="str">
        <f t="array" ref="H288">IF(
 OR(
  LEFT(B288,15)="state.character",
  RIGHT(B288,6)=".maxed"
 ),
 0,
 LET(
  sort,
   _xlfn.XLOOKUP(
    B288,
    tblChecklist[TargetID],
    tblChecklist[PlayerSort],
    0
   ),
  IF(sort=0,500,sort)
 )
)</f>
        <v/>
      </c>
      <c r="I288" s="49" t="str">
        <f t="array" ref="I288">_xlfn.XLOOKUP(
 B288,
 tblTargetStatus[TargetID],
 tblTargetStatus[Status],
 ""
)</f>
        <v>BLOCKED</v>
      </c>
      <c r="J288" s="45" t="b">
        <v>0</v>
      </c>
    </row>
    <row r="289" ht="14.25" hidden="1" customHeight="1">
      <c r="A289" s="49" t="s">
        <v>1300</v>
      </c>
      <c r="B289" s="49" t="str">
        <f>IFERROR(__xludf.DUMMYFUNCTION("REGEXREPLACE(
 REGEXREPLACE(A289,""^cost\."",""""),
 ""\.[^.]+\.[^.]+$"",
 """"
)"),"building.laboratory_data_center@1")</f>
        <v>building.laboratory_data_center@1</v>
      </c>
      <c r="C289" s="49" t="str">
        <f t="array" ref="C289">_xlfn.XLOOKUP(
 B289,
 tblTargets[TargetID],
 tblTargets[DisplayName],
 ""
)</f>
        <v>Laboratory: Data Center Lv 1</v>
      </c>
      <c r="D289" s="49" t="str">
        <f t="array" ref="D289">_xlfn.XLOOKUP(
 B289,
 tblTargets[TargetID],
 tblTargets[TargetType],
 ""
)</f>
        <v>BUILDING</v>
      </c>
      <c r="E289" s="49" t="s">
        <v>392</v>
      </c>
      <c r="F289" s="49">
        <v>1.0</v>
      </c>
      <c r="G289" s="49">
        <f t="array" ref="G289">_xlfn.XLOOKUP(
 A289,
 tblCost[RequirementID],
 tblCost[QuantityRequired],
 ""
)</f>
        <v>300</v>
      </c>
      <c r="H289" s="49" t="str">
        <f t="array" ref="H289">IF(
 OR(
  LEFT(B289,15)="state.character",
  RIGHT(B289,6)=".maxed"
 ),
 0,
 LET(
  sort,
   _xlfn.XLOOKUP(
    B289,
    tblChecklist[TargetID],
    tblChecklist[PlayerSort],
    0
   ),
  IF(sort=0,500,sort)
 )
)</f>
        <v/>
      </c>
      <c r="I289" s="49" t="str">
        <f t="array" ref="I289">_xlfn.XLOOKUP(
 B289,
 tblTargetStatus[TargetID],
 tblTargetStatus[Status],
 ""
)</f>
        <v>BLOCKED</v>
      </c>
      <c r="J289" s="45" t="b">
        <v>0</v>
      </c>
    </row>
    <row r="290" ht="14.25" hidden="1" customHeight="1">
      <c r="A290" s="49" t="s">
        <v>1311</v>
      </c>
      <c r="B290" s="49" t="str">
        <f>IFERROR(__xludf.DUMMYFUNCTION("REGEXREPLACE(
 REGEXREPLACE(A290,""^cost\."",""""),
 ""\.[^.]+\.[^.]+$"",
 """"
)"),"building.laboratory_data_center@1")</f>
        <v>building.laboratory_data_center@1</v>
      </c>
      <c r="C290" s="49" t="str">
        <f t="array" ref="C290">_xlfn.XLOOKUP(
 B290,
 tblTargets[TargetID],
 tblTargets[DisplayName],
 ""
)</f>
        <v>Laboratory: Data Center Lv 1</v>
      </c>
      <c r="D290" s="49" t="str">
        <f t="array" ref="D290">_xlfn.XLOOKUP(
 B290,
 tblTargets[TargetID],
 tblTargets[TargetType],
 ""
)</f>
        <v>BUILDING</v>
      </c>
      <c r="E290" s="49" t="s">
        <v>237</v>
      </c>
      <c r="F290" s="49">
        <v>1.0</v>
      </c>
      <c r="G290" s="49">
        <f t="array" ref="G290">_xlfn.XLOOKUP(
 A290,
 tblCost[RequirementID],
 tblCost[QuantityRequired],
 ""
)</f>
        <v>500</v>
      </c>
      <c r="H290" s="49" t="str">
        <f t="array" ref="H290">IF(
 OR(
  LEFT(B290,15)="state.character",
  RIGHT(B290,6)=".maxed"
 ),
 0,
 LET(
  sort,
   _xlfn.XLOOKUP(
    B290,
    tblChecklist[TargetID],
    tblChecklist[PlayerSort],
    0
   ),
  IF(sort=0,500,sort)
 )
)</f>
        <v/>
      </c>
      <c r="I290" s="49" t="str">
        <f t="array" ref="I290">_xlfn.XLOOKUP(
 B290,
 tblTargetStatus[TargetID],
 tblTargetStatus[Status],
 ""
)</f>
        <v>BLOCKED</v>
      </c>
      <c r="J290" s="45" t="b">
        <v>0</v>
      </c>
    </row>
    <row r="291" ht="14.25" hidden="1" customHeight="1">
      <c r="A291" s="49" t="s">
        <v>1322</v>
      </c>
      <c r="B291" s="49" t="str">
        <f>IFERROR(__xludf.DUMMYFUNCTION("REGEXREPLACE(
 REGEXREPLACE(A291,""^cost\."",""""),
 ""\.[^.]+\.[^.]+$"",
 """"
)"),"building.laboratory@1")</f>
        <v>building.laboratory@1</v>
      </c>
      <c r="C291" s="49" t="str">
        <f t="array" ref="C291">_xlfn.XLOOKUP(
 B291,
 tblTargets[TargetID],
 tblTargets[DisplayName],
 ""
)</f>
        <v>Laboratory Lv 1</v>
      </c>
      <c r="D291" s="49" t="str">
        <f t="array" ref="D291">_xlfn.XLOOKUP(
 B291,
 tblTargets[TargetID],
 tblTargets[TargetType],
 ""
)</f>
        <v>BUILDING</v>
      </c>
      <c r="E291" s="49" t="s">
        <v>1055</v>
      </c>
      <c r="F291" s="49">
        <v>1.0</v>
      </c>
      <c r="G291" s="49">
        <f t="array" ref="G291">_xlfn.XLOOKUP(
 A291,
 tblCost[RequirementID],
 tblCost[QuantityRequired],
 ""
)</f>
        <v>40</v>
      </c>
      <c r="H291" s="49">
        <f t="array" ref="H291">IF(
 OR(
  LEFT(B291,15)="state.character",
  RIGHT(B291,6)=".maxed"
 ),
 0,
 LET(
  sort,
   _xlfn.XLOOKUP(
    B291,
    tblChecklist[TargetID],
    tblChecklist[PlayerSort],
    0
   ),
  IF(sort=0,500,sort)
 )
)</f>
        <v>66</v>
      </c>
      <c r="I291" s="49" t="str">
        <f t="array" ref="I291">_xlfn.XLOOKUP(
 B291,
 tblTargetStatus[TargetID],
 tblTargetStatus[Status],
 ""
)</f>
        <v>BLOCKED</v>
      </c>
      <c r="J291" s="45" t="b">
        <v>0</v>
      </c>
    </row>
    <row r="292" ht="14.25" hidden="1" customHeight="1">
      <c r="A292" s="49" t="s">
        <v>1331</v>
      </c>
      <c r="B292" s="49" t="str">
        <f>IFERROR(__xludf.DUMMYFUNCTION("REGEXREPLACE(
 REGEXREPLACE(A292,""^cost\."",""""),
 ""\.[^.]+\.[^.]+$"",
 """"
)"),"building.laboratory@1")</f>
        <v>building.laboratory@1</v>
      </c>
      <c r="C292" s="49" t="str">
        <f t="array" ref="C292">_xlfn.XLOOKUP(
 B292,
 tblTargets[TargetID],
 tblTargets[DisplayName],
 ""
)</f>
        <v>Laboratory Lv 1</v>
      </c>
      <c r="D292" s="49" t="str">
        <f t="array" ref="D292">_xlfn.XLOOKUP(
 B292,
 tblTargets[TargetID],
 tblTargets[TargetType],
 ""
)</f>
        <v>BUILDING</v>
      </c>
      <c r="E292" s="49" t="s">
        <v>113</v>
      </c>
      <c r="F292" s="49">
        <v>1.0</v>
      </c>
      <c r="G292" s="49">
        <f t="array" ref="G292">_xlfn.XLOOKUP(
 A292,
 tblCost[RequirementID],
 tblCost[QuantityRequired],
 ""
)</f>
        <v>100</v>
      </c>
      <c r="H292" s="49">
        <f t="array" ref="H292">IF(
 OR(
  LEFT(B292,15)="state.character",
  RIGHT(B292,6)=".maxed"
 ),
 0,
 LET(
  sort,
   _xlfn.XLOOKUP(
    B292,
    tblChecklist[TargetID],
    tblChecklist[PlayerSort],
    0
   ),
  IF(sort=0,500,sort)
 )
)</f>
        <v>66</v>
      </c>
      <c r="I292" s="49" t="str">
        <f t="array" ref="I292">_xlfn.XLOOKUP(
 B292,
 tblTargetStatus[TargetID],
 tblTargetStatus[Status],
 ""
)</f>
        <v>BLOCKED</v>
      </c>
      <c r="J292" s="45" t="b">
        <v>0</v>
      </c>
    </row>
    <row r="293" ht="14.25" hidden="1" customHeight="1">
      <c r="A293" s="49" t="s">
        <v>1351</v>
      </c>
      <c r="B293" s="49" t="str">
        <f>IFERROR(__xludf.DUMMYFUNCTION("REGEXREPLACE(
 REGEXREPLACE(A293,""^cost\."",""""),
 ""\.[^.]+\.[^.]+$"",
 """"
)"),"building.laboratory@1")</f>
        <v>building.laboratory@1</v>
      </c>
      <c r="C293" s="49" t="str">
        <f t="array" ref="C293">_xlfn.XLOOKUP(
 B293,
 tblTargets[TargetID],
 tblTargets[DisplayName],
 ""
)</f>
        <v>Laboratory Lv 1</v>
      </c>
      <c r="D293" s="49" t="str">
        <f t="array" ref="D293">_xlfn.XLOOKUP(
 B293,
 tblTargets[TargetID],
 tblTargets[TargetType],
 ""
)</f>
        <v>BUILDING</v>
      </c>
      <c r="E293" s="49" t="s">
        <v>119</v>
      </c>
      <c r="F293" s="49">
        <v>1.0</v>
      </c>
      <c r="G293" s="49">
        <f t="array" ref="G293">_xlfn.XLOOKUP(
 A293,
 tblCost[RequirementID],
 tblCost[QuantityRequired],
 ""
)</f>
        <v>1000</v>
      </c>
      <c r="H293" s="49">
        <f t="array" ref="H293">IF(
 OR(
  LEFT(B293,15)="state.character",
  RIGHT(B293,6)=".maxed"
 ),
 0,
 LET(
  sort,
   _xlfn.XLOOKUP(
    B293,
    tblChecklist[TargetID],
    tblChecklist[PlayerSort],
    0
   ),
  IF(sort=0,500,sort)
 )
)</f>
        <v>66</v>
      </c>
      <c r="I293" s="49" t="str">
        <f t="array" ref="I293">_xlfn.XLOOKUP(
 B293,
 tblTargetStatus[TargetID],
 tblTargetStatus[Status],
 ""
)</f>
        <v>BLOCKED</v>
      </c>
      <c r="J293" s="45" t="b">
        <v>0</v>
      </c>
    </row>
    <row r="294" ht="14.25" hidden="1" customHeight="1">
      <c r="A294" s="49" t="s">
        <v>1362</v>
      </c>
      <c r="B294" s="49" t="str">
        <f>IFERROR(__xludf.DUMMYFUNCTION("REGEXREPLACE(
 REGEXREPLACE(A294,""^cost\."",""""),
 ""\.[^.]+\.[^.]+$"",
 """"
)"),"building.laboratory@1")</f>
        <v>building.laboratory@1</v>
      </c>
      <c r="C294" s="49" t="str">
        <f t="array" ref="C294">_xlfn.XLOOKUP(
 B294,
 tblTargets[TargetID],
 tblTargets[DisplayName],
 ""
)</f>
        <v>Laboratory Lv 1</v>
      </c>
      <c r="D294" s="49" t="str">
        <f t="array" ref="D294">_xlfn.XLOOKUP(
 B294,
 tblTargets[TargetID],
 tblTargets[TargetType],
 ""
)</f>
        <v>BUILDING</v>
      </c>
      <c r="E294" s="49" t="s">
        <v>360</v>
      </c>
      <c r="F294" s="49">
        <v>1.0</v>
      </c>
      <c r="G294" s="49">
        <f t="array" ref="G294">_xlfn.XLOOKUP(
 A294,
 tblCost[RequirementID],
 tblCost[QuantityRequired],
 ""
)</f>
        <v>50</v>
      </c>
      <c r="H294" s="49">
        <f t="array" ref="H294">IF(
 OR(
  LEFT(B294,15)="state.character",
  RIGHT(B294,6)=".maxed"
 ),
 0,
 LET(
  sort,
   _xlfn.XLOOKUP(
    B294,
    tblChecklist[TargetID],
    tblChecklist[PlayerSort],
    0
   ),
  IF(sort=0,500,sort)
 )
)</f>
        <v>66</v>
      </c>
      <c r="I294" s="49" t="str">
        <f t="array" ref="I294">_xlfn.XLOOKUP(
 B294,
 tblTargetStatus[TargetID],
 tblTargetStatus[Status],
 ""
)</f>
        <v>BLOCKED</v>
      </c>
      <c r="J294" s="45" t="b">
        <v>0</v>
      </c>
    </row>
    <row r="295" ht="14.25" hidden="1" customHeight="1">
      <c r="A295" s="49" t="s">
        <v>1371</v>
      </c>
      <c r="B295" s="49" t="str">
        <f>IFERROR(__xludf.DUMMYFUNCTION("REGEXREPLACE(
 REGEXREPLACE(A295,""^cost\."",""""),
 ""\.[^.]+\.[^.]+$"",
 """"
)"),"building.laboratory@1")</f>
        <v>building.laboratory@1</v>
      </c>
      <c r="C295" s="49" t="str">
        <f t="array" ref="C295">_xlfn.XLOOKUP(
 B295,
 tblTargets[TargetID],
 tblTargets[DisplayName],
 ""
)</f>
        <v>Laboratory Lv 1</v>
      </c>
      <c r="D295" s="49" t="str">
        <f t="array" ref="D295">_xlfn.XLOOKUP(
 B295,
 tblTargets[TargetID],
 tblTargets[TargetType],
 ""
)</f>
        <v>BUILDING</v>
      </c>
      <c r="E295" s="49" t="s">
        <v>1375</v>
      </c>
      <c r="F295" s="49">
        <v>1.0</v>
      </c>
      <c r="G295" s="49">
        <f t="array" ref="G295">_xlfn.XLOOKUP(
 A295,
 tblCost[RequirementID],
 tblCost[QuantityRequired],
 ""
)</f>
        <v>2</v>
      </c>
      <c r="H295" s="49">
        <f t="array" ref="H295">IF(
 OR(
  LEFT(B295,15)="state.character",
  RIGHT(B295,6)=".maxed"
 ),
 0,
 LET(
  sort,
   _xlfn.XLOOKUP(
    B295,
    tblChecklist[TargetID],
    tblChecklist[PlayerSort],
    0
   ),
  IF(sort=0,500,sort)
 )
)</f>
        <v>66</v>
      </c>
      <c r="I295" s="49" t="str">
        <f t="array" ref="I295">_xlfn.XLOOKUP(
 B295,
 tblTargetStatus[TargetID],
 tblTargetStatus[Status],
 ""
)</f>
        <v>BLOCKED</v>
      </c>
      <c r="J295" s="45" t="b">
        <v>0</v>
      </c>
    </row>
    <row r="296" ht="14.25" hidden="1" customHeight="1">
      <c r="A296" s="49" t="s">
        <v>1381</v>
      </c>
      <c r="B296" s="49" t="str">
        <f>IFERROR(__xludf.DUMMYFUNCTION("REGEXREPLACE(
 REGEXREPLACE(A296,""^cost\."",""""),
 ""\.[^.]+\.[^.]+$"",
 """"
)"),"building.laboratory@1")</f>
        <v>building.laboratory@1</v>
      </c>
      <c r="C296" s="49" t="str">
        <f t="array" ref="C296">_xlfn.XLOOKUP(
 B296,
 tblTargets[TargetID],
 tblTargets[DisplayName],
 ""
)</f>
        <v>Laboratory Lv 1</v>
      </c>
      <c r="D296" s="49" t="str">
        <f t="array" ref="D296">_xlfn.XLOOKUP(
 B296,
 tblTargets[TargetID],
 tblTargets[TargetType],
 ""
)</f>
        <v>BUILDING</v>
      </c>
      <c r="E296" s="49" t="s">
        <v>1078</v>
      </c>
      <c r="F296" s="49">
        <v>1.0</v>
      </c>
      <c r="G296" s="49">
        <f t="array" ref="G296">_xlfn.XLOOKUP(
 A296,
 tblCost[RequirementID],
 tblCost[QuantityRequired],
 ""
)</f>
        <v>30</v>
      </c>
      <c r="H296" s="49">
        <f t="array" ref="H296">IF(
 OR(
  LEFT(B296,15)="state.character",
  RIGHT(B296,6)=".maxed"
 ),
 0,
 LET(
  sort,
   _xlfn.XLOOKUP(
    B296,
    tblChecklist[TargetID],
    tblChecklist[PlayerSort],
    0
   ),
  IF(sort=0,500,sort)
 )
)</f>
        <v>66</v>
      </c>
      <c r="I296" s="49" t="str">
        <f t="array" ref="I296">_xlfn.XLOOKUP(
 B296,
 tblTargetStatus[TargetID],
 tblTargetStatus[Status],
 ""
)</f>
        <v>BLOCKED</v>
      </c>
      <c r="J296" s="45" t="b">
        <v>0</v>
      </c>
    </row>
    <row r="297" ht="14.25" hidden="1" customHeight="1">
      <c r="A297" s="49" t="s">
        <v>1390</v>
      </c>
      <c r="B297" s="49" t="str">
        <f>IFERROR(__xludf.DUMMYFUNCTION("REGEXREPLACE(
 REGEXREPLACE(A297,""^cost\."",""""),
 ""\.[^.]+\.[^.]+$"",
 """"
)"),"building.laboratory@1")</f>
        <v>building.laboratory@1</v>
      </c>
      <c r="C297" s="49" t="str">
        <f t="array" ref="C297">_xlfn.XLOOKUP(
 B297,
 tblTargets[TargetID],
 tblTargets[DisplayName],
 ""
)</f>
        <v>Laboratory Lv 1</v>
      </c>
      <c r="D297" s="49" t="str">
        <f t="array" ref="D297">_xlfn.XLOOKUP(
 B297,
 tblTargets[TargetID],
 tblTargets[TargetType],
 ""
)</f>
        <v>BUILDING</v>
      </c>
      <c r="E297" s="49" t="s">
        <v>6</v>
      </c>
      <c r="F297" s="49">
        <v>1.0</v>
      </c>
      <c r="G297" s="49">
        <f t="array" ref="G297">_xlfn.XLOOKUP(
 A297,
 tblCost[RequirementID],
 tblCost[QuantityRequired],
 ""
)</f>
        <v>6</v>
      </c>
      <c r="H297" s="49">
        <f t="array" ref="H297">IF(
 OR(
  LEFT(B297,15)="state.character",
  RIGHT(B297,6)=".maxed"
 ),
 0,
 LET(
  sort,
   _xlfn.XLOOKUP(
    B297,
    tblChecklist[TargetID],
    tblChecklist[PlayerSort],
    0
   ),
  IF(sort=0,500,sort)
 )
)</f>
        <v>66</v>
      </c>
      <c r="I297" s="49" t="str">
        <f t="array" ref="I297">_xlfn.XLOOKUP(
 B297,
 tblTargetStatus[TargetID],
 tblTargetStatus[Status],
 ""
)</f>
        <v>BLOCKED</v>
      </c>
      <c r="J297" s="45" t="b">
        <v>0</v>
      </c>
    </row>
    <row r="298" ht="14.25" hidden="1" customHeight="1">
      <c r="A298" s="49" t="s">
        <v>1399</v>
      </c>
      <c r="B298" s="49" t="str">
        <f>IFERROR(__xludf.DUMMYFUNCTION("REGEXREPLACE(
 REGEXREPLACE(A298,""^cost\."",""""),
 ""\.[^.]+\.[^.]+$"",
 """"
)"),"building.laboratory@1")</f>
        <v>building.laboratory@1</v>
      </c>
      <c r="C298" s="49" t="str">
        <f t="array" ref="C298">_xlfn.XLOOKUP(
 B298,
 tblTargets[TargetID],
 tblTargets[DisplayName],
 ""
)</f>
        <v>Laboratory Lv 1</v>
      </c>
      <c r="D298" s="49" t="str">
        <f t="array" ref="D298">_xlfn.XLOOKUP(
 B298,
 tblTargets[TargetID],
 tblTargets[TargetType],
 ""
)</f>
        <v>BUILDING</v>
      </c>
      <c r="E298" s="49" t="s">
        <v>392</v>
      </c>
      <c r="F298" s="49">
        <v>1.0</v>
      </c>
      <c r="G298" s="49">
        <f t="array" ref="G298">_xlfn.XLOOKUP(
 A298,
 tblCost[RequirementID],
 tblCost[QuantityRequired],
 ""
)</f>
        <v>300</v>
      </c>
      <c r="H298" s="49">
        <f t="array" ref="H298">IF(
 OR(
  LEFT(B298,15)="state.character",
  RIGHT(B298,6)=".maxed"
 ),
 0,
 LET(
  sort,
   _xlfn.XLOOKUP(
    B298,
    tblChecklist[TargetID],
    tblChecklist[PlayerSort],
    0
   ),
  IF(sort=0,500,sort)
 )
)</f>
        <v>66</v>
      </c>
      <c r="I298" s="49" t="str">
        <f t="array" ref="I298">_xlfn.XLOOKUP(
 B298,
 tblTargetStatus[TargetID],
 tblTargetStatus[Status],
 ""
)</f>
        <v>BLOCKED</v>
      </c>
      <c r="J298" s="45" t="b">
        <v>0</v>
      </c>
    </row>
    <row r="299" ht="14.25" hidden="1" customHeight="1">
      <c r="A299" s="49" t="s">
        <v>1408</v>
      </c>
      <c r="B299" s="49" t="str">
        <f>IFERROR(__xludf.DUMMYFUNCTION("REGEXREPLACE(
 REGEXREPLACE(A299,""^cost\."",""""),
 ""\.[^.]+\.[^.]+$"",
 """"
)"),"building.laboratory@1")</f>
        <v>building.laboratory@1</v>
      </c>
      <c r="C299" s="49" t="str">
        <f t="array" ref="C299">_xlfn.XLOOKUP(
 B299,
 tblTargets[TargetID],
 tblTargets[DisplayName],
 ""
)</f>
        <v>Laboratory Lv 1</v>
      </c>
      <c r="D299" s="49" t="str">
        <f t="array" ref="D299">_xlfn.XLOOKUP(
 B299,
 tblTargets[TargetID],
 tblTargets[TargetType],
 ""
)</f>
        <v>BUILDING</v>
      </c>
      <c r="E299" s="49" t="s">
        <v>237</v>
      </c>
      <c r="F299" s="49">
        <v>1.0</v>
      </c>
      <c r="G299" s="49">
        <f t="array" ref="G299">_xlfn.XLOOKUP(
 A299,
 tblCost[RequirementID],
 tblCost[QuantityRequired],
 ""
)</f>
        <v>500</v>
      </c>
      <c r="H299" s="49">
        <f t="array" ref="H299">IF(
 OR(
  LEFT(B299,15)="state.character",
  RIGHT(B299,6)=".maxed"
 ),
 0,
 LET(
  sort,
   _xlfn.XLOOKUP(
    B299,
    tblChecklist[TargetID],
    tblChecklist[PlayerSort],
    0
   ),
  IF(sort=0,500,sort)
 )
)</f>
        <v>66</v>
      </c>
      <c r="I299" s="49" t="str">
        <f t="array" ref="I299">_xlfn.XLOOKUP(
 B299,
 tblTargetStatus[TargetID],
 tblTargetStatus[Status],
 ""
)</f>
        <v>BLOCKED</v>
      </c>
      <c r="J299" s="45" t="b">
        <v>0</v>
      </c>
    </row>
    <row r="300" ht="14.25" hidden="1" customHeight="1">
      <c r="A300" s="49" t="s">
        <v>1417</v>
      </c>
      <c r="B300" s="49" t="str">
        <f>IFERROR(__xludf.DUMMYFUNCTION("REGEXREPLACE(
 REGEXREPLACE(A300,""^cost\."",""""),
 ""\.[^.]+\.[^.]+$"",
 """"
)"),"building.laboratory@2")</f>
        <v>building.laboratory@2</v>
      </c>
      <c r="C300" s="49" t="str">
        <f t="array" ref="C300">_xlfn.XLOOKUP(
 B300,
 tblTargets[TargetID],
 tblTargets[DisplayName],
 ""
)</f>
        <v>Laboratory Lv 2</v>
      </c>
      <c r="D300" s="49" t="str">
        <f t="array" ref="D300">_xlfn.XLOOKUP(
 B300,
 tblTargets[TargetID],
 tblTargets[TargetType],
 ""
)</f>
        <v>BUILDING</v>
      </c>
      <c r="E300" s="49" t="s">
        <v>1055</v>
      </c>
      <c r="F300" s="49">
        <v>1.0</v>
      </c>
      <c r="G300" s="49">
        <f t="array" ref="G300">_xlfn.XLOOKUP(
 A300,
 tblCost[RequirementID],
 tblCost[QuantityRequired],
 ""
)</f>
        <v>40</v>
      </c>
      <c r="H300" s="49">
        <f t="array" ref="H300">IF(
 OR(
  LEFT(B300,15)="state.character",
  RIGHT(B300,6)=".maxed"
 ),
 0,
 LET(
  sort,
   _xlfn.XLOOKUP(
    B300,
    tblChecklist[TargetID],
    tblChecklist[PlayerSort],
    0
   ),
  IF(sort=0,500,sort)
 )
)</f>
        <v>67</v>
      </c>
      <c r="I300" s="49" t="str">
        <f t="array" ref="I300">_xlfn.XLOOKUP(
 B300,
 tblTargetStatus[TargetID],
 tblTargetStatus[Status],
 ""
)</f>
        <v>BLOCKED</v>
      </c>
      <c r="J300" s="45" t="b">
        <v>0</v>
      </c>
    </row>
    <row r="301" ht="14.25" hidden="1" customHeight="1">
      <c r="A301" s="49" t="s">
        <v>1428</v>
      </c>
      <c r="B301" s="49" t="str">
        <f>IFERROR(__xludf.DUMMYFUNCTION("REGEXREPLACE(
 REGEXREPLACE(A301,""^cost\."",""""),
 ""\.[^.]+\.[^.]+$"",
 """"
)"),"building.laboratory@2")</f>
        <v>building.laboratory@2</v>
      </c>
      <c r="C301" s="49" t="str">
        <f t="array" ref="C301">_xlfn.XLOOKUP(
 B301,
 tblTargets[TargetID],
 tblTargets[DisplayName],
 ""
)</f>
        <v>Laboratory Lv 2</v>
      </c>
      <c r="D301" s="49" t="str">
        <f t="array" ref="D301">_xlfn.XLOOKUP(
 B301,
 tblTargets[TargetID],
 tblTargets[TargetType],
 ""
)</f>
        <v>BUILDING</v>
      </c>
      <c r="E301" s="49" t="s">
        <v>119</v>
      </c>
      <c r="F301" s="49">
        <v>1.0</v>
      </c>
      <c r="G301" s="49">
        <f t="array" ref="G301">_xlfn.XLOOKUP(
 A301,
 tblCost[RequirementID],
 tblCost[QuantityRequired],
 ""
)</f>
        <v>1000</v>
      </c>
      <c r="H301" s="49">
        <f t="array" ref="H301">IF(
 OR(
  LEFT(B301,15)="state.character",
  RIGHT(B301,6)=".maxed"
 ),
 0,
 LET(
  sort,
   _xlfn.XLOOKUP(
    B301,
    tblChecklist[TargetID],
    tblChecklist[PlayerSort],
    0
   ),
  IF(sort=0,500,sort)
 )
)</f>
        <v>67</v>
      </c>
      <c r="I301" s="49" t="str">
        <f t="array" ref="I301">_xlfn.XLOOKUP(
 B301,
 tblTargetStatus[TargetID],
 tblTargetStatus[Status],
 ""
)</f>
        <v>BLOCKED</v>
      </c>
      <c r="J301" s="45" t="b">
        <v>0</v>
      </c>
    </row>
    <row r="302" ht="14.25" hidden="1" customHeight="1">
      <c r="A302" s="49" t="s">
        <v>1437</v>
      </c>
      <c r="B302" s="49" t="str">
        <f>IFERROR(__xludf.DUMMYFUNCTION("REGEXREPLACE(
 REGEXREPLACE(A302,""^cost\."",""""),
 ""\.[^.]+\.[^.]+$"",
 """"
)"),"building.laboratory@2")</f>
        <v>building.laboratory@2</v>
      </c>
      <c r="C302" s="49" t="str">
        <f t="array" ref="C302">_xlfn.XLOOKUP(
 B302,
 tblTargets[TargetID],
 tblTargets[DisplayName],
 ""
)</f>
        <v>Laboratory Lv 2</v>
      </c>
      <c r="D302" s="49" t="str">
        <f t="array" ref="D302">_xlfn.XLOOKUP(
 B302,
 tblTargets[TargetID],
 tblTargets[TargetType],
 ""
)</f>
        <v>BUILDING</v>
      </c>
      <c r="E302" s="49" t="s">
        <v>360</v>
      </c>
      <c r="F302" s="49">
        <v>1.0</v>
      </c>
      <c r="G302" s="49">
        <f t="array" ref="G302">_xlfn.XLOOKUP(
 A302,
 tblCost[RequirementID],
 tblCost[QuantityRequired],
 ""
)</f>
        <v>70</v>
      </c>
      <c r="H302" s="49">
        <f t="array" ref="H302">IF(
 OR(
  LEFT(B302,15)="state.character",
  RIGHT(B302,6)=".maxed"
 ),
 0,
 LET(
  sort,
   _xlfn.XLOOKUP(
    B302,
    tblChecklist[TargetID],
    tblChecklist[PlayerSort],
    0
   ),
  IF(sort=0,500,sort)
 )
)</f>
        <v>67</v>
      </c>
      <c r="I302" s="49" t="str">
        <f t="array" ref="I302">_xlfn.XLOOKUP(
 B302,
 tblTargetStatus[TargetID],
 tblTargetStatus[Status],
 ""
)</f>
        <v>BLOCKED</v>
      </c>
      <c r="J302" s="45" t="b">
        <v>0</v>
      </c>
    </row>
    <row r="303" ht="14.25" hidden="1" customHeight="1">
      <c r="A303" s="49" t="s">
        <v>1446</v>
      </c>
      <c r="B303" s="49" t="str">
        <f>IFERROR(__xludf.DUMMYFUNCTION("REGEXREPLACE(
 REGEXREPLACE(A303,""^cost\."",""""),
 ""\.[^.]+\.[^.]+$"",
 """"
)"),"building.laboratory@2")</f>
        <v>building.laboratory@2</v>
      </c>
      <c r="C303" s="49" t="str">
        <f t="array" ref="C303">_xlfn.XLOOKUP(
 B303,
 tblTargets[TargetID],
 tblTargets[DisplayName],
 ""
)</f>
        <v>Laboratory Lv 2</v>
      </c>
      <c r="D303" s="49" t="str">
        <f t="array" ref="D303">_xlfn.XLOOKUP(
 B303,
 tblTargets[TargetID],
 tblTargets[TargetType],
 ""
)</f>
        <v>BUILDING</v>
      </c>
      <c r="E303" s="49" t="s">
        <v>1375</v>
      </c>
      <c r="F303" s="49">
        <v>1.0</v>
      </c>
      <c r="G303" s="49">
        <f t="array" ref="G303">_xlfn.XLOOKUP(
 A303,
 tblCost[RequirementID],
 tblCost[QuantityRequired],
 ""
)</f>
        <v>2</v>
      </c>
      <c r="H303" s="49">
        <f t="array" ref="H303">IF(
 OR(
  LEFT(B303,15)="state.character",
  RIGHT(B303,6)=".maxed"
 ),
 0,
 LET(
  sort,
   _xlfn.XLOOKUP(
    B303,
    tblChecklist[TargetID],
    tblChecklist[PlayerSort],
    0
   ),
  IF(sort=0,500,sort)
 )
)</f>
        <v>67</v>
      </c>
      <c r="I303" s="49" t="str">
        <f t="array" ref="I303">_xlfn.XLOOKUP(
 B303,
 tblTargetStatus[TargetID],
 tblTargetStatus[Status],
 ""
)</f>
        <v>BLOCKED</v>
      </c>
      <c r="J303" s="45" t="b">
        <v>0</v>
      </c>
    </row>
    <row r="304" ht="14.25" hidden="1" customHeight="1">
      <c r="A304" s="49" t="s">
        <v>1453</v>
      </c>
      <c r="B304" s="49" t="str">
        <f>IFERROR(__xludf.DUMMYFUNCTION("REGEXREPLACE(
 REGEXREPLACE(A304,""^cost\."",""""),
 ""\.[^.]+\.[^.]+$"",
 """"
)"),"building.laboratory@2")</f>
        <v>building.laboratory@2</v>
      </c>
      <c r="C304" s="49" t="str">
        <f t="array" ref="C304">_xlfn.XLOOKUP(
 B304,
 tblTargets[TargetID],
 tblTargets[DisplayName],
 ""
)</f>
        <v>Laboratory Lv 2</v>
      </c>
      <c r="D304" s="49" t="str">
        <f t="array" ref="D304">_xlfn.XLOOKUP(
 B304,
 tblTargets[TargetID],
 tblTargets[TargetType],
 ""
)</f>
        <v>BUILDING</v>
      </c>
      <c r="E304" s="49" t="s">
        <v>1456</v>
      </c>
      <c r="F304" s="49">
        <v>1.0</v>
      </c>
      <c r="G304" s="49">
        <f t="array" ref="G304">_xlfn.XLOOKUP(
 A304,
 tblCost[RequirementID],
 tblCost[QuantityRequired],
 ""
)</f>
        <v>30</v>
      </c>
      <c r="H304" s="49">
        <f t="array" ref="H304">IF(
 OR(
  LEFT(B304,15)="state.character",
  RIGHT(B304,6)=".maxed"
 ),
 0,
 LET(
  sort,
   _xlfn.XLOOKUP(
    B304,
    tblChecklist[TargetID],
    tblChecklist[PlayerSort],
    0
   ),
  IF(sort=0,500,sort)
 )
)</f>
        <v>67</v>
      </c>
      <c r="I304" s="49" t="str">
        <f t="array" ref="I304">_xlfn.XLOOKUP(
 B304,
 tblTargetStatus[TargetID],
 tblTargetStatus[Status],
 ""
)</f>
        <v>BLOCKED</v>
      </c>
      <c r="J304" s="45" t="b">
        <v>0</v>
      </c>
    </row>
    <row r="305" ht="14.25" hidden="1" customHeight="1">
      <c r="A305" s="49" t="s">
        <v>1461</v>
      </c>
      <c r="B305" s="49" t="str">
        <f>IFERROR(__xludf.DUMMYFUNCTION("REGEXREPLACE(
 REGEXREPLACE(A305,""^cost\."",""""),
 ""\.[^.]+\.[^.]+$"",
 """"
)"),"building.laboratory@2")</f>
        <v>building.laboratory@2</v>
      </c>
      <c r="C305" s="49" t="str">
        <f t="array" ref="C305">_xlfn.XLOOKUP(
 B305,
 tblTargets[TargetID],
 tblTargets[DisplayName],
 ""
)</f>
        <v>Laboratory Lv 2</v>
      </c>
      <c r="D305" s="49" t="str">
        <f t="array" ref="D305">_xlfn.XLOOKUP(
 B305,
 tblTargets[TargetID],
 tblTargets[TargetType],
 ""
)</f>
        <v>BUILDING</v>
      </c>
      <c r="E305" s="49" t="s">
        <v>6</v>
      </c>
      <c r="F305" s="49">
        <v>1.0</v>
      </c>
      <c r="G305" s="49">
        <f t="array" ref="G305">_xlfn.XLOOKUP(
 A305,
 tblCost[RequirementID],
 tblCost[QuantityRequired],
 ""
)</f>
        <v>7</v>
      </c>
      <c r="H305" s="49">
        <f t="array" ref="H305">IF(
 OR(
  LEFT(B305,15)="state.character",
  RIGHT(B305,6)=".maxed"
 ),
 0,
 LET(
  sort,
   _xlfn.XLOOKUP(
    B305,
    tblChecklist[TargetID],
    tblChecklist[PlayerSort],
    0
   ),
  IF(sort=0,500,sort)
 )
)</f>
        <v>67</v>
      </c>
      <c r="I305" s="49" t="str">
        <f t="array" ref="I305">_xlfn.XLOOKUP(
 B305,
 tblTargetStatus[TargetID],
 tblTargetStatus[Status],
 ""
)</f>
        <v>BLOCKED</v>
      </c>
      <c r="J305" s="45" t="b">
        <v>0</v>
      </c>
    </row>
    <row r="306" ht="14.25" hidden="1" customHeight="1">
      <c r="A306" s="49" t="s">
        <v>1468</v>
      </c>
      <c r="B306" s="49" t="str">
        <f>IFERROR(__xludf.DUMMYFUNCTION("REGEXREPLACE(
 REGEXREPLACE(A306,""^cost\."",""""),
 ""\.[^.]+\.[^.]+$"",
 """"
)"),"building.laboratory@2")</f>
        <v>building.laboratory@2</v>
      </c>
      <c r="C306" s="49" t="str">
        <f t="array" ref="C306">_xlfn.XLOOKUP(
 B306,
 tblTargets[TargetID],
 tblTargets[DisplayName],
 ""
)</f>
        <v>Laboratory Lv 2</v>
      </c>
      <c r="D306" s="49" t="str">
        <f t="array" ref="D306">_xlfn.XLOOKUP(
 B306,
 tblTargets[TargetID],
 tblTargets[TargetType],
 ""
)</f>
        <v>BUILDING</v>
      </c>
      <c r="E306" s="49" t="s">
        <v>392</v>
      </c>
      <c r="F306" s="49">
        <v>1.0</v>
      </c>
      <c r="G306" s="49">
        <f t="array" ref="G306">_xlfn.XLOOKUP(
 A306,
 tblCost[RequirementID],
 tblCost[QuantityRequired],
 ""
)</f>
        <v>400</v>
      </c>
      <c r="H306" s="49">
        <f t="array" ref="H306">IF(
 OR(
  LEFT(B306,15)="state.character",
  RIGHT(B306,6)=".maxed"
 ),
 0,
 LET(
  sort,
   _xlfn.XLOOKUP(
    B306,
    tblChecklist[TargetID],
    tblChecklist[PlayerSort],
    0
   ),
  IF(sort=0,500,sort)
 )
)</f>
        <v>67</v>
      </c>
      <c r="I306" s="49" t="str">
        <f t="array" ref="I306">_xlfn.XLOOKUP(
 B306,
 tblTargetStatus[TargetID],
 tblTargetStatus[Status],
 ""
)</f>
        <v>BLOCKED</v>
      </c>
      <c r="J306" s="45" t="b">
        <v>0</v>
      </c>
    </row>
    <row r="307" ht="14.25" hidden="1" customHeight="1">
      <c r="A307" s="49" t="s">
        <v>1475</v>
      </c>
      <c r="B307" s="49" t="str">
        <f>IFERROR(__xludf.DUMMYFUNCTION("REGEXREPLACE(
 REGEXREPLACE(A307,""^cost\."",""""),
 ""\.[^.]+\.[^.]+$"",
 """"
)"),"building.laboratory@2")</f>
        <v>building.laboratory@2</v>
      </c>
      <c r="C307" s="49" t="str">
        <f t="array" ref="C307">_xlfn.XLOOKUP(
 B307,
 tblTargets[TargetID],
 tblTargets[DisplayName],
 ""
)</f>
        <v>Laboratory Lv 2</v>
      </c>
      <c r="D307" s="49" t="str">
        <f t="array" ref="D307">_xlfn.XLOOKUP(
 B307,
 tblTargets[TargetID],
 tblTargets[TargetType],
 ""
)</f>
        <v>BUILDING</v>
      </c>
      <c r="E307" s="49" t="s">
        <v>237</v>
      </c>
      <c r="F307" s="49">
        <v>1.0</v>
      </c>
      <c r="G307" s="49">
        <f t="array" ref="G307">_xlfn.XLOOKUP(
 A307,
 tblCost[RequirementID],
 tblCost[QuantityRequired],
 ""
)</f>
        <v>600</v>
      </c>
      <c r="H307" s="49">
        <f t="array" ref="H307">IF(
 OR(
  LEFT(B307,15)="state.character",
  RIGHT(B307,6)=".maxed"
 ),
 0,
 LET(
  sort,
   _xlfn.XLOOKUP(
    B307,
    tblChecklist[TargetID],
    tblChecklist[PlayerSort],
    0
   ),
  IF(sort=0,500,sort)
 )
)</f>
        <v>67</v>
      </c>
      <c r="I307" s="49" t="str">
        <f t="array" ref="I307">_xlfn.XLOOKUP(
 B307,
 tblTargetStatus[TargetID],
 tblTargetStatus[Status],
 ""
)</f>
        <v>BLOCKED</v>
      </c>
      <c r="J307" s="45" t="b">
        <v>0</v>
      </c>
    </row>
    <row r="308" ht="14.25" hidden="1" customHeight="1">
      <c r="A308" s="49" t="s">
        <v>1484</v>
      </c>
      <c r="B308" s="49" t="str">
        <f>IFERROR(__xludf.DUMMYFUNCTION("REGEXREPLACE(
 REGEXREPLACE(A308,""^cost\."",""""),
 ""\.[^.]+\.[^.]+$"",
 """"
)"),"building.laboratory@2")</f>
        <v>building.laboratory@2</v>
      </c>
      <c r="C308" s="49" t="str">
        <f t="array" ref="C308">_xlfn.XLOOKUP(
 B308,
 tblTargets[TargetID],
 tblTargets[DisplayName],
 ""
)</f>
        <v>Laboratory Lv 2</v>
      </c>
      <c r="D308" s="49" t="str">
        <f t="array" ref="D308">_xlfn.XLOOKUP(
 B308,
 tblTargets[TargetID],
 tblTargets[TargetType],
 ""
)</f>
        <v>BUILDING</v>
      </c>
      <c r="E308" s="49" t="s">
        <v>1489</v>
      </c>
      <c r="F308" s="49">
        <v>1.0</v>
      </c>
      <c r="G308" s="49">
        <f t="array" ref="G308">_xlfn.XLOOKUP(
 A308,
 tblCost[RequirementID],
 tblCost[QuantityRequired],
 ""
)</f>
        <v>20</v>
      </c>
      <c r="H308" s="49">
        <f t="array" ref="H308">IF(
 OR(
  LEFT(B308,15)="state.character",
  RIGHT(B308,6)=".maxed"
 ),
 0,
 LET(
  sort,
   _xlfn.XLOOKUP(
    B308,
    tblChecklist[TargetID],
    tblChecklist[PlayerSort],
    0
   ),
  IF(sort=0,500,sort)
 )
)</f>
        <v>67</v>
      </c>
      <c r="I308" s="49" t="str">
        <f t="array" ref="I308">_xlfn.XLOOKUP(
 B308,
 tblTargetStatus[TargetID],
 tblTargetStatus[Status],
 ""
)</f>
        <v>BLOCKED</v>
      </c>
      <c r="J308" s="45" t="b">
        <v>0</v>
      </c>
    </row>
    <row r="309" ht="14.25" hidden="1" customHeight="1">
      <c r="A309" s="49" t="s">
        <v>1494</v>
      </c>
      <c r="B309" s="49" t="str">
        <f>IFERROR(__xludf.DUMMYFUNCTION("REGEXREPLACE(
 REGEXREPLACE(A309,""^cost\."",""""),
 ""\.[^.]+\.[^.]+$"",
 """"
)"),"building.laboratory@3")</f>
        <v>building.laboratory@3</v>
      </c>
      <c r="C309" s="49" t="str">
        <f t="array" ref="C309">_xlfn.XLOOKUP(
 B309,
 tblTargets[TargetID],
 tblTargets[DisplayName],
 ""
)</f>
        <v>Laboratory Lv 3</v>
      </c>
      <c r="D309" s="49" t="str">
        <f t="array" ref="D309">_xlfn.XLOOKUP(
 B309,
 tblTargets[TargetID],
 tblTargets[TargetType],
 ""
)</f>
        <v>BUILDING</v>
      </c>
      <c r="E309" s="49" t="s">
        <v>1497</v>
      </c>
      <c r="F309" s="49">
        <v>1.0</v>
      </c>
      <c r="G309" s="49">
        <f t="array" ref="G309">_xlfn.XLOOKUP(
 A309,
 tblCost[RequirementID],
 tblCost[QuantityRequired],
 ""
)</f>
        <v>20</v>
      </c>
      <c r="H309" s="49">
        <f t="array" ref="H309">IF(
 OR(
  LEFT(B309,15)="state.character",
  RIGHT(B309,6)=".maxed"
 ),
 0,
 LET(
  sort,
   _xlfn.XLOOKUP(
    B309,
    tblChecklist[TargetID],
    tblChecklist[PlayerSort],
    0
   ),
  IF(sort=0,500,sort)
 )
)</f>
        <v>68</v>
      </c>
      <c r="I309" s="49" t="str">
        <f t="array" ref="I309">_xlfn.XLOOKUP(
 B309,
 tblTargetStatus[TargetID],
 tblTargetStatus[Status],
 ""
)</f>
        <v>BLOCKED</v>
      </c>
      <c r="J309" s="45" t="b">
        <v>0</v>
      </c>
    </row>
    <row r="310" ht="14.25" hidden="1" customHeight="1">
      <c r="A310" s="49" t="s">
        <v>1504</v>
      </c>
      <c r="B310" s="49" t="str">
        <f>IFERROR(__xludf.DUMMYFUNCTION("REGEXREPLACE(
 REGEXREPLACE(A310,""^cost\."",""""),
 ""\.[^.]+\.[^.]+$"",
 """"
)"),"building.laboratory@3")</f>
        <v>building.laboratory@3</v>
      </c>
      <c r="C310" s="49" t="str">
        <f t="array" ref="C310">_xlfn.XLOOKUP(
 B310,
 tblTargets[TargetID],
 tblTargets[DisplayName],
 ""
)</f>
        <v>Laboratory Lv 3</v>
      </c>
      <c r="D310" s="49" t="str">
        <f t="array" ref="D310">_xlfn.XLOOKUP(
 B310,
 tblTargets[TargetID],
 tblTargets[TargetType],
 ""
)</f>
        <v>BUILDING</v>
      </c>
      <c r="E310" s="49" t="s">
        <v>1055</v>
      </c>
      <c r="F310" s="49">
        <v>1.0</v>
      </c>
      <c r="G310" s="49">
        <f t="array" ref="G310">_xlfn.XLOOKUP(
 A310,
 tblCost[RequirementID],
 tblCost[QuantityRequired],
 ""
)</f>
        <v>40</v>
      </c>
      <c r="H310" s="49">
        <f t="array" ref="H310">IF(
 OR(
  LEFT(B310,15)="state.character",
  RIGHT(B310,6)=".maxed"
 ),
 0,
 LET(
  sort,
   _xlfn.XLOOKUP(
    B310,
    tblChecklist[TargetID],
    tblChecklist[PlayerSort],
    0
   ),
  IF(sort=0,500,sort)
 )
)</f>
        <v>68</v>
      </c>
      <c r="I310" s="49" t="str">
        <f t="array" ref="I310">_xlfn.XLOOKUP(
 B310,
 tblTargetStatus[TargetID],
 tblTargetStatus[Status],
 ""
)</f>
        <v>BLOCKED</v>
      </c>
      <c r="J310" s="45" t="b">
        <v>0</v>
      </c>
    </row>
    <row r="311" ht="14.25" hidden="1" customHeight="1">
      <c r="A311" s="49" t="s">
        <v>1511</v>
      </c>
      <c r="B311" s="49" t="str">
        <f>IFERROR(__xludf.DUMMYFUNCTION("REGEXREPLACE(
 REGEXREPLACE(A311,""^cost\."",""""),
 ""\.[^.]+\.[^.]+$"",
 """"
)"),"building.laboratory@3")</f>
        <v>building.laboratory@3</v>
      </c>
      <c r="C311" s="49" t="str">
        <f t="array" ref="C311">_xlfn.XLOOKUP(
 B311,
 tblTargets[TargetID],
 tblTargets[DisplayName],
 ""
)</f>
        <v>Laboratory Lv 3</v>
      </c>
      <c r="D311" s="49" t="str">
        <f t="array" ref="D311">_xlfn.XLOOKUP(
 B311,
 tblTargets[TargetID],
 tblTargets[TargetType],
 ""
)</f>
        <v>BUILDING</v>
      </c>
      <c r="E311" s="49" t="s">
        <v>119</v>
      </c>
      <c r="F311" s="49">
        <v>1.0</v>
      </c>
      <c r="G311" s="49">
        <f t="array" ref="G311">_xlfn.XLOOKUP(
 A311,
 tblCost[RequirementID],
 tblCost[QuantityRequired],
 ""
)</f>
        <v>1500</v>
      </c>
      <c r="H311" s="49">
        <f t="array" ref="H311">IF(
 OR(
  LEFT(B311,15)="state.character",
  RIGHT(B311,6)=".maxed"
 ),
 0,
 LET(
  sort,
   _xlfn.XLOOKUP(
    B311,
    tblChecklist[TargetID],
    tblChecklist[PlayerSort],
    0
   ),
  IF(sort=0,500,sort)
 )
)</f>
        <v>68</v>
      </c>
      <c r="I311" s="49" t="str">
        <f t="array" ref="I311">_xlfn.XLOOKUP(
 B311,
 tblTargetStatus[TargetID],
 tblTargetStatus[Status],
 ""
)</f>
        <v>BLOCKED</v>
      </c>
      <c r="J311" s="45" t="b">
        <v>0</v>
      </c>
    </row>
    <row r="312" ht="14.25" hidden="1" customHeight="1">
      <c r="A312" s="49" t="s">
        <v>1518</v>
      </c>
      <c r="B312" s="49" t="str">
        <f>IFERROR(__xludf.DUMMYFUNCTION("REGEXREPLACE(
 REGEXREPLACE(A312,""^cost\."",""""),
 ""\.[^.]+\.[^.]+$"",
 """"
)"),"building.laboratory@3")</f>
        <v>building.laboratory@3</v>
      </c>
      <c r="C312" s="49" t="str">
        <f t="array" ref="C312">_xlfn.XLOOKUP(
 B312,
 tblTargets[TargetID],
 tblTargets[DisplayName],
 ""
)</f>
        <v>Laboratory Lv 3</v>
      </c>
      <c r="D312" s="49" t="str">
        <f t="array" ref="D312">_xlfn.XLOOKUP(
 B312,
 tblTargets[TargetID],
 tblTargets[TargetType],
 ""
)</f>
        <v>BUILDING</v>
      </c>
      <c r="E312" s="49" t="s">
        <v>360</v>
      </c>
      <c r="F312" s="49">
        <v>1.0</v>
      </c>
      <c r="G312" s="49">
        <f t="array" ref="G312">_xlfn.XLOOKUP(
 A312,
 tblCost[RequirementID],
 tblCost[QuantityRequired],
 ""
)</f>
        <v>100</v>
      </c>
      <c r="H312" s="49">
        <f t="array" ref="H312">IF(
 OR(
  LEFT(B312,15)="state.character",
  RIGHT(B312,6)=".maxed"
 ),
 0,
 LET(
  sort,
   _xlfn.XLOOKUP(
    B312,
    tblChecklist[TargetID],
    tblChecklist[PlayerSort],
    0
   ),
  IF(sort=0,500,sort)
 )
)</f>
        <v>68</v>
      </c>
      <c r="I312" s="49" t="str">
        <f t="array" ref="I312">_xlfn.XLOOKUP(
 B312,
 tblTargetStatus[TargetID],
 tblTargetStatus[Status],
 ""
)</f>
        <v>BLOCKED</v>
      </c>
      <c r="J312" s="45" t="b">
        <v>0</v>
      </c>
    </row>
    <row r="313" ht="14.25" hidden="1" customHeight="1">
      <c r="A313" s="49" t="s">
        <v>1527</v>
      </c>
      <c r="B313" s="49" t="str">
        <f>IFERROR(__xludf.DUMMYFUNCTION("REGEXREPLACE(
 REGEXREPLACE(A313,""^cost\."",""""),
 ""\.[^.]+\.[^.]+$"",
 """"
)"),"building.laboratory@3")</f>
        <v>building.laboratory@3</v>
      </c>
      <c r="C313" s="49" t="str">
        <f t="array" ref="C313">_xlfn.XLOOKUP(
 B313,
 tblTargets[TargetID],
 tblTargets[DisplayName],
 ""
)</f>
        <v>Laboratory Lv 3</v>
      </c>
      <c r="D313" s="49" t="str">
        <f t="array" ref="D313">_xlfn.XLOOKUP(
 B313,
 tblTargets[TargetID],
 tblTargets[TargetType],
 ""
)</f>
        <v>BUILDING</v>
      </c>
      <c r="E313" s="49" t="s">
        <v>1375</v>
      </c>
      <c r="F313" s="49">
        <v>1.0</v>
      </c>
      <c r="G313" s="49">
        <f t="array" ref="G313">_xlfn.XLOOKUP(
 A313,
 tblCost[RequirementID],
 tblCost[QuantityRequired],
 ""
)</f>
        <v>2</v>
      </c>
      <c r="H313" s="49">
        <f t="array" ref="H313">IF(
 OR(
  LEFT(B313,15)="state.character",
  RIGHT(B313,6)=".maxed"
 ),
 0,
 LET(
  sort,
   _xlfn.XLOOKUP(
    B313,
    tblChecklist[TargetID],
    tblChecklist[PlayerSort],
    0
   ),
  IF(sort=0,500,sort)
 )
)</f>
        <v>68</v>
      </c>
      <c r="I313" s="49" t="str">
        <f t="array" ref="I313">_xlfn.XLOOKUP(
 B313,
 tblTargetStatus[TargetID],
 tblTargetStatus[Status],
 ""
)</f>
        <v>BLOCKED</v>
      </c>
      <c r="J313" s="45" t="b">
        <v>0</v>
      </c>
    </row>
    <row r="314" ht="14.25" hidden="1" customHeight="1">
      <c r="A314" s="49" t="s">
        <v>1535</v>
      </c>
      <c r="B314" s="49" t="str">
        <f>IFERROR(__xludf.DUMMYFUNCTION("REGEXREPLACE(
 REGEXREPLACE(A314,""^cost\."",""""),
 ""\.[^.]+\.[^.]+$"",
 """"
)"),"building.laboratory@3")</f>
        <v>building.laboratory@3</v>
      </c>
      <c r="C314" s="49" t="str">
        <f t="array" ref="C314">_xlfn.XLOOKUP(
 B314,
 tblTargets[TargetID],
 tblTargets[DisplayName],
 ""
)</f>
        <v>Laboratory Lv 3</v>
      </c>
      <c r="D314" s="49" t="str">
        <f t="array" ref="D314">_xlfn.XLOOKUP(
 B314,
 tblTargets[TargetID],
 tblTargets[TargetType],
 ""
)</f>
        <v>BUILDING</v>
      </c>
      <c r="E314" s="49" t="s">
        <v>1537</v>
      </c>
      <c r="F314" s="49">
        <v>1.0</v>
      </c>
      <c r="G314" s="49">
        <f t="array" ref="G314">_xlfn.XLOOKUP(
 A314,
 tblCost[RequirementID],
 tblCost[QuantityRequired],
 ""
)</f>
        <v>20</v>
      </c>
      <c r="H314" s="49">
        <f t="array" ref="H314">IF(
 OR(
  LEFT(B314,15)="state.character",
  RIGHT(B314,6)=".maxed"
 ),
 0,
 LET(
  sort,
   _xlfn.XLOOKUP(
    B314,
    tblChecklist[TargetID],
    tblChecklist[PlayerSort],
    0
   ),
  IF(sort=0,500,sort)
 )
)</f>
        <v>68</v>
      </c>
      <c r="I314" s="49" t="str">
        <f t="array" ref="I314">_xlfn.XLOOKUP(
 B314,
 tblTargetStatus[TargetID],
 tblTargetStatus[Status],
 ""
)</f>
        <v>BLOCKED</v>
      </c>
      <c r="J314" s="45" t="b">
        <v>0</v>
      </c>
    </row>
    <row r="315" ht="14.25" hidden="1" customHeight="1">
      <c r="A315" s="49" t="s">
        <v>1546</v>
      </c>
      <c r="B315" s="49" t="str">
        <f>IFERROR(__xludf.DUMMYFUNCTION("REGEXREPLACE(
 REGEXREPLACE(A315,""^cost\."",""""),
 ""\.[^.]+\.[^.]+$"",
 """"
)"),"building.laboratory@3")</f>
        <v>building.laboratory@3</v>
      </c>
      <c r="C315" s="49" t="str">
        <f t="array" ref="C315">_xlfn.XLOOKUP(
 B315,
 tblTargets[TargetID],
 tblTargets[DisplayName],
 ""
)</f>
        <v>Laboratory Lv 3</v>
      </c>
      <c r="D315" s="49" t="str">
        <f t="array" ref="D315">_xlfn.XLOOKUP(
 B315,
 tblTargets[TargetID],
 tblTargets[TargetType],
 ""
)</f>
        <v>BUILDING</v>
      </c>
      <c r="E315" s="49" t="s">
        <v>6</v>
      </c>
      <c r="F315" s="49">
        <v>1.0</v>
      </c>
      <c r="G315" s="49">
        <f t="array" ref="G315">_xlfn.XLOOKUP(
 A315,
 tblCost[RequirementID],
 tblCost[QuantityRequired],
 ""
)</f>
        <v>8</v>
      </c>
      <c r="H315" s="49">
        <f t="array" ref="H315">IF(
 OR(
  LEFT(B315,15)="state.character",
  RIGHT(B315,6)=".maxed"
 ),
 0,
 LET(
  sort,
   _xlfn.XLOOKUP(
    B315,
    tblChecklist[TargetID],
    tblChecklist[PlayerSort],
    0
   ),
  IF(sort=0,500,sort)
 )
)</f>
        <v>68</v>
      </c>
      <c r="I315" s="49" t="str">
        <f t="array" ref="I315">_xlfn.XLOOKUP(
 B315,
 tblTargetStatus[TargetID],
 tblTargetStatus[Status],
 ""
)</f>
        <v>BLOCKED</v>
      </c>
      <c r="J315" s="45" t="b">
        <v>0</v>
      </c>
    </row>
    <row r="316" ht="14.25" hidden="1" customHeight="1">
      <c r="A316" s="49" t="s">
        <v>1553</v>
      </c>
      <c r="B316" s="49" t="str">
        <f>IFERROR(__xludf.DUMMYFUNCTION("REGEXREPLACE(
 REGEXREPLACE(A316,""^cost\."",""""),
 ""\.[^.]+\.[^.]+$"",
 """"
)"),"building.laboratory@3")</f>
        <v>building.laboratory@3</v>
      </c>
      <c r="C316" s="49" t="str">
        <f t="array" ref="C316">_xlfn.XLOOKUP(
 B316,
 tblTargets[TargetID],
 tblTargets[DisplayName],
 ""
)</f>
        <v>Laboratory Lv 3</v>
      </c>
      <c r="D316" s="49" t="str">
        <f t="array" ref="D316">_xlfn.XLOOKUP(
 B316,
 tblTargets[TargetID],
 tblTargets[TargetType],
 ""
)</f>
        <v>BUILDING</v>
      </c>
      <c r="E316" s="49" t="s">
        <v>392</v>
      </c>
      <c r="F316" s="49">
        <v>1.0</v>
      </c>
      <c r="G316" s="49">
        <f t="array" ref="G316">_xlfn.XLOOKUP(
 A316,
 tblCost[RequirementID],
 tblCost[QuantityRequired],
 ""
)</f>
        <v>400</v>
      </c>
      <c r="H316" s="49">
        <f t="array" ref="H316">IF(
 OR(
  LEFT(B316,15)="state.character",
  RIGHT(B316,6)=".maxed"
 ),
 0,
 LET(
  sort,
   _xlfn.XLOOKUP(
    B316,
    tblChecklist[TargetID],
    tblChecklist[PlayerSort],
    0
   ),
  IF(sort=0,500,sort)
 )
)</f>
        <v>68</v>
      </c>
      <c r="I316" s="49" t="str">
        <f t="array" ref="I316">_xlfn.XLOOKUP(
 B316,
 tblTargetStatus[TargetID],
 tblTargetStatus[Status],
 ""
)</f>
        <v>BLOCKED</v>
      </c>
      <c r="J316" s="45" t="b">
        <v>0</v>
      </c>
    </row>
    <row r="317" ht="14.25" hidden="1" customHeight="1">
      <c r="A317" s="49" t="s">
        <v>1558</v>
      </c>
      <c r="B317" s="49" t="str">
        <f>IFERROR(__xludf.DUMMYFUNCTION("REGEXREPLACE(
 REGEXREPLACE(A317,""^cost\."",""""),
 ""\.[^.]+\.[^.]+$"",
 """"
)"),"building.laboratory@3")</f>
        <v>building.laboratory@3</v>
      </c>
      <c r="C317" s="49" t="str">
        <f t="array" ref="C317">_xlfn.XLOOKUP(
 B317,
 tblTargets[TargetID],
 tblTargets[DisplayName],
 ""
)</f>
        <v>Laboratory Lv 3</v>
      </c>
      <c r="D317" s="49" t="str">
        <f t="array" ref="D317">_xlfn.XLOOKUP(
 B317,
 tblTargets[TargetID],
 tblTargets[TargetType],
 ""
)</f>
        <v>BUILDING</v>
      </c>
      <c r="E317" s="49" t="s">
        <v>237</v>
      </c>
      <c r="F317" s="49">
        <v>1.0</v>
      </c>
      <c r="G317" s="49">
        <f t="array" ref="G317">_xlfn.XLOOKUP(
 A317,
 tblCost[RequirementID],
 tblCost[QuantityRequired],
 ""
)</f>
        <v>600</v>
      </c>
      <c r="H317" s="49">
        <f t="array" ref="H317">IF(
 OR(
  LEFT(B317,15)="state.character",
  RIGHT(B317,6)=".maxed"
 ),
 0,
 LET(
  sort,
   _xlfn.XLOOKUP(
    B317,
    tblChecklist[TargetID],
    tblChecklist[PlayerSort],
    0
   ),
  IF(sort=0,500,sort)
 )
)</f>
        <v>68</v>
      </c>
      <c r="I317" s="49" t="str">
        <f t="array" ref="I317">_xlfn.XLOOKUP(
 B317,
 tblTargetStatus[TargetID],
 tblTargetStatus[Status],
 ""
)</f>
        <v>BLOCKED</v>
      </c>
      <c r="J317" s="45" t="b">
        <v>0</v>
      </c>
    </row>
    <row r="318" ht="14.25" hidden="1" customHeight="1">
      <c r="A318" s="49" t="s">
        <v>1566</v>
      </c>
      <c r="B318" s="49" t="str">
        <f>IFERROR(__xludf.DUMMYFUNCTION("REGEXREPLACE(
 REGEXREPLACE(A318,""^cost\."",""""),
 ""\.[^.]+\.[^.]+$"",
 """"
)"),"building.laboratory@4")</f>
        <v>building.laboratory@4</v>
      </c>
      <c r="C318" s="49" t="str">
        <f t="array" ref="C318">_xlfn.XLOOKUP(
 B318,
 tblTargets[TargetID],
 tblTargets[DisplayName],
 ""
)</f>
        <v>Laboratory Lv 4</v>
      </c>
      <c r="D318" s="49" t="str">
        <f t="array" ref="D318">_xlfn.XLOOKUP(
 B318,
 tblTargets[TargetID],
 tblTargets[TargetType],
 ""
)</f>
        <v>BUILDING</v>
      </c>
      <c r="E318" s="49" t="s">
        <v>1055</v>
      </c>
      <c r="F318" s="49">
        <v>1.0</v>
      </c>
      <c r="G318" s="49">
        <f t="array" ref="G318">_xlfn.XLOOKUP(
 A318,
 tblCost[RequirementID],
 tblCost[QuantityRequired],
 ""
)</f>
        <v>40</v>
      </c>
      <c r="H318" s="49">
        <f t="array" ref="H318">IF(
 OR(
  LEFT(B318,15)="state.character",
  RIGHT(B318,6)=".maxed"
 ),
 0,
 LET(
  sort,
   _xlfn.XLOOKUP(
    B318,
    tblChecklist[TargetID],
    tblChecklist[PlayerSort],
    0
   ),
  IF(sort=0,500,sort)
 )
)</f>
        <v>75</v>
      </c>
      <c r="I318" s="49" t="str">
        <f t="array" ref="I318">_xlfn.XLOOKUP(
 B318,
 tblTargetStatus[TargetID],
 tblTargetStatus[Status],
 ""
)</f>
        <v>BLOCKED</v>
      </c>
      <c r="J318" s="45" t="b">
        <v>0</v>
      </c>
    </row>
    <row r="319" ht="14.25" hidden="1" customHeight="1">
      <c r="A319" s="49" t="s">
        <v>1574</v>
      </c>
      <c r="B319" s="49" t="str">
        <f>IFERROR(__xludf.DUMMYFUNCTION("REGEXREPLACE(
 REGEXREPLACE(A319,""^cost\."",""""),
 ""\.[^.]+\.[^.]+$"",
 """"
)"),"building.laboratory@4")</f>
        <v>building.laboratory@4</v>
      </c>
      <c r="C319" s="49" t="str">
        <f t="array" ref="C319">_xlfn.XLOOKUP(
 B319,
 tblTargets[TargetID],
 tblTargets[DisplayName],
 ""
)</f>
        <v>Laboratory Lv 4</v>
      </c>
      <c r="D319" s="49" t="str">
        <f t="array" ref="D319">_xlfn.XLOOKUP(
 B319,
 tblTargets[TargetID],
 tblTargets[TargetType],
 ""
)</f>
        <v>BUILDING</v>
      </c>
      <c r="E319" s="49" t="s">
        <v>119</v>
      </c>
      <c r="F319" s="49">
        <v>1.0</v>
      </c>
      <c r="G319" s="49">
        <f t="array" ref="G319">_xlfn.XLOOKUP(
 A319,
 tblCost[RequirementID],
 tblCost[QuantityRequired],
 ""
)</f>
        <v>2000</v>
      </c>
      <c r="H319" s="49">
        <f t="array" ref="H319">IF(
 OR(
  LEFT(B319,15)="state.character",
  RIGHT(B319,6)=".maxed"
 ),
 0,
 LET(
  sort,
   _xlfn.XLOOKUP(
    B319,
    tblChecklist[TargetID],
    tblChecklist[PlayerSort],
    0
   ),
  IF(sort=0,500,sort)
 )
)</f>
        <v>75</v>
      </c>
      <c r="I319" s="49" t="str">
        <f t="array" ref="I319">_xlfn.XLOOKUP(
 B319,
 tblTargetStatus[TargetID],
 tblTargetStatus[Status],
 ""
)</f>
        <v>BLOCKED</v>
      </c>
      <c r="J319" s="45" t="b">
        <v>0</v>
      </c>
    </row>
    <row r="320" ht="14.25" hidden="1" customHeight="1">
      <c r="A320" s="49" t="s">
        <v>1581</v>
      </c>
      <c r="B320" s="49" t="str">
        <f>IFERROR(__xludf.DUMMYFUNCTION("REGEXREPLACE(
 REGEXREPLACE(A320,""^cost\."",""""),
 ""\.[^.]+\.[^.]+$"",
 """"
)"),"building.laboratory@4")</f>
        <v>building.laboratory@4</v>
      </c>
      <c r="C320" s="49" t="str">
        <f t="array" ref="C320">_xlfn.XLOOKUP(
 B320,
 tblTargets[TargetID],
 tblTargets[DisplayName],
 ""
)</f>
        <v>Laboratory Lv 4</v>
      </c>
      <c r="D320" s="49" t="str">
        <f t="array" ref="D320">_xlfn.XLOOKUP(
 B320,
 tblTargets[TargetID],
 tblTargets[TargetType],
 ""
)</f>
        <v>BUILDING</v>
      </c>
      <c r="E320" s="49" t="s">
        <v>1583</v>
      </c>
      <c r="F320" s="49">
        <v>1.0</v>
      </c>
      <c r="G320" s="49">
        <f t="array" ref="G320">_xlfn.XLOOKUP(
 A320,
 tblCost[RequirementID],
 tblCost[QuantityRequired],
 ""
)</f>
        <v>20</v>
      </c>
      <c r="H320" s="49">
        <f t="array" ref="H320">IF(
 OR(
  LEFT(B320,15)="state.character",
  RIGHT(B320,6)=".maxed"
 ),
 0,
 LET(
  sort,
   _xlfn.XLOOKUP(
    B320,
    tblChecklist[TargetID],
    tblChecklist[PlayerSort],
    0
   ),
  IF(sort=0,500,sort)
 )
)</f>
        <v>75</v>
      </c>
      <c r="I320" s="49" t="str">
        <f t="array" ref="I320">_xlfn.XLOOKUP(
 B320,
 tblTargetStatus[TargetID],
 tblTargetStatus[Status],
 ""
)</f>
        <v>BLOCKED</v>
      </c>
      <c r="J320" s="45" t="b">
        <v>0</v>
      </c>
    </row>
    <row r="321" ht="14.25" hidden="1" customHeight="1">
      <c r="A321" s="49" t="s">
        <v>1589</v>
      </c>
      <c r="B321" s="49" t="str">
        <f>IFERROR(__xludf.DUMMYFUNCTION("REGEXREPLACE(
 REGEXREPLACE(A321,""^cost\."",""""),
 ""\.[^.]+\.[^.]+$"",
 """"
)"),"building.laboratory@4")</f>
        <v>building.laboratory@4</v>
      </c>
      <c r="C321" s="49" t="str">
        <f t="array" ref="C321">_xlfn.XLOOKUP(
 B321,
 tblTargets[TargetID],
 tblTargets[DisplayName],
 ""
)</f>
        <v>Laboratory Lv 4</v>
      </c>
      <c r="D321" s="49" t="str">
        <f t="array" ref="D321">_xlfn.XLOOKUP(
 B321,
 tblTargets[TargetID],
 tblTargets[TargetType],
 ""
)</f>
        <v>BUILDING</v>
      </c>
      <c r="E321" s="49" t="s">
        <v>1375</v>
      </c>
      <c r="F321" s="49">
        <v>1.0</v>
      </c>
      <c r="G321" s="49">
        <f t="array" ref="G321">_xlfn.XLOOKUP(
 A321,
 tblCost[RequirementID],
 tblCost[QuantityRequired],
 ""
)</f>
        <v>1</v>
      </c>
      <c r="H321" s="49">
        <f t="array" ref="H321">IF(
 OR(
  LEFT(B321,15)="state.character",
  RIGHT(B321,6)=".maxed"
 ),
 0,
 LET(
  sort,
   _xlfn.XLOOKUP(
    B321,
    tblChecklist[TargetID],
    tblChecklist[PlayerSort],
    0
   ),
  IF(sort=0,500,sort)
 )
)</f>
        <v>75</v>
      </c>
      <c r="I321" s="49" t="str">
        <f t="array" ref="I321">_xlfn.XLOOKUP(
 B321,
 tblTargetStatus[TargetID],
 tblTargetStatus[Status],
 ""
)</f>
        <v>BLOCKED</v>
      </c>
      <c r="J321" s="45" t="b">
        <v>0</v>
      </c>
    </row>
    <row r="322" ht="14.25" hidden="1" customHeight="1">
      <c r="A322" s="49" t="s">
        <v>1596</v>
      </c>
      <c r="B322" s="49" t="str">
        <f>IFERROR(__xludf.DUMMYFUNCTION("REGEXREPLACE(
 REGEXREPLACE(A322,""^cost\."",""""),
 ""\.[^.]+\.[^.]+$"",
 """"
)"),"building.laboratory@4")</f>
        <v>building.laboratory@4</v>
      </c>
      <c r="C322" s="49" t="str">
        <f t="array" ref="C322">_xlfn.XLOOKUP(
 B322,
 tblTargets[TargetID],
 tblTargets[DisplayName],
 ""
)</f>
        <v>Laboratory Lv 4</v>
      </c>
      <c r="D322" s="49" t="str">
        <f t="array" ref="D322">_xlfn.XLOOKUP(
 B322,
 tblTargets[TargetID],
 tblTargets[TargetType],
 ""
)</f>
        <v>BUILDING</v>
      </c>
      <c r="E322" s="49" t="s">
        <v>1537</v>
      </c>
      <c r="F322" s="49">
        <v>1.0</v>
      </c>
      <c r="G322" s="49">
        <f t="array" ref="G322">_xlfn.XLOOKUP(
 A322,
 tblCost[RequirementID],
 tblCost[QuantityRequired],
 ""
)</f>
        <v>30</v>
      </c>
      <c r="H322" s="49">
        <f t="array" ref="H322">IF(
 OR(
  LEFT(B322,15)="state.character",
  RIGHT(B322,6)=".maxed"
 ),
 0,
 LET(
  sort,
   _xlfn.XLOOKUP(
    B322,
    tblChecklist[TargetID],
    tblChecklist[PlayerSort],
    0
   ),
  IF(sort=0,500,sort)
 )
)</f>
        <v>75</v>
      </c>
      <c r="I322" s="49" t="str">
        <f t="array" ref="I322">_xlfn.XLOOKUP(
 B322,
 tblTargetStatus[TargetID],
 tblTargetStatus[Status],
 ""
)</f>
        <v>BLOCKED</v>
      </c>
      <c r="J322" s="45" t="b">
        <v>0</v>
      </c>
    </row>
    <row r="323" ht="14.25" hidden="1" customHeight="1">
      <c r="A323" s="49" t="s">
        <v>1603</v>
      </c>
      <c r="B323" s="49" t="str">
        <f>IFERROR(__xludf.DUMMYFUNCTION("REGEXREPLACE(
 REGEXREPLACE(A323,""^cost\."",""""),
 ""\.[^.]+\.[^.]+$"",
 """"
)"),"building.laboratory@4")</f>
        <v>building.laboratory@4</v>
      </c>
      <c r="C323" s="49" t="str">
        <f t="array" ref="C323">_xlfn.XLOOKUP(
 B323,
 tblTargets[TargetID],
 tblTargets[DisplayName],
 ""
)</f>
        <v>Laboratory Lv 4</v>
      </c>
      <c r="D323" s="49" t="str">
        <f t="array" ref="D323">_xlfn.XLOOKUP(
 B323,
 tblTargets[TargetID],
 tblTargets[TargetType],
 ""
)</f>
        <v>BUILDING</v>
      </c>
      <c r="E323" s="49" t="s">
        <v>1606</v>
      </c>
      <c r="F323" s="49">
        <v>1.0</v>
      </c>
      <c r="G323" s="49">
        <f t="array" ref="G323">_xlfn.XLOOKUP(
 A323,
 tblCost[RequirementID],
 tblCost[QuantityRequired],
 ""
)</f>
        <v>20</v>
      </c>
      <c r="H323" s="49">
        <f t="array" ref="H323">IF(
 OR(
  LEFT(B323,15)="state.character",
  RIGHT(B323,6)=".maxed"
 ),
 0,
 LET(
  sort,
   _xlfn.XLOOKUP(
    B323,
    tblChecklist[TargetID],
    tblChecklist[PlayerSort],
    0
   ),
  IF(sort=0,500,sort)
 )
)</f>
        <v>75</v>
      </c>
      <c r="I323" s="49" t="str">
        <f t="array" ref="I323">_xlfn.XLOOKUP(
 B323,
 tblTargetStatus[TargetID],
 tblTargetStatus[Status],
 ""
)</f>
        <v>BLOCKED</v>
      </c>
      <c r="J323" s="45" t="b">
        <v>0</v>
      </c>
    </row>
    <row r="324" ht="14.25" hidden="1" customHeight="1">
      <c r="A324" s="49" t="s">
        <v>1613</v>
      </c>
      <c r="B324" s="49" t="str">
        <f>IFERROR(__xludf.DUMMYFUNCTION("REGEXREPLACE(
 REGEXREPLACE(A324,""^cost\."",""""),
 ""\.[^.]+\.[^.]+$"",
 """"
)"),"building.laboratory@4")</f>
        <v>building.laboratory@4</v>
      </c>
      <c r="C324" s="49" t="str">
        <f t="array" ref="C324">_xlfn.XLOOKUP(
 B324,
 tblTargets[TargetID],
 tblTargets[DisplayName],
 ""
)</f>
        <v>Laboratory Lv 4</v>
      </c>
      <c r="D324" s="49" t="str">
        <f t="array" ref="D324">_xlfn.XLOOKUP(
 B324,
 tblTargets[TargetID],
 tblTargets[TargetType],
 ""
)</f>
        <v>BUILDING</v>
      </c>
      <c r="E324" s="49" t="s">
        <v>6</v>
      </c>
      <c r="F324" s="49">
        <v>1.0</v>
      </c>
      <c r="G324" s="49">
        <f t="array" ref="G324">_xlfn.XLOOKUP(
 A324,
 tblCost[RequirementID],
 tblCost[QuantityRequired],
 ""
)</f>
        <v>9</v>
      </c>
      <c r="H324" s="49">
        <f t="array" ref="H324">IF(
 OR(
  LEFT(B324,15)="state.character",
  RIGHT(B324,6)=".maxed"
 ),
 0,
 LET(
  sort,
   _xlfn.XLOOKUP(
    B324,
    tblChecklist[TargetID],
    tblChecklist[PlayerSort],
    0
   ),
  IF(sort=0,500,sort)
 )
)</f>
        <v>75</v>
      </c>
      <c r="I324" s="49" t="str">
        <f t="array" ref="I324">_xlfn.XLOOKUP(
 B324,
 tblTargetStatus[TargetID],
 tblTargetStatus[Status],
 ""
)</f>
        <v>BLOCKED</v>
      </c>
      <c r="J324" s="45" t="b">
        <v>0</v>
      </c>
    </row>
    <row r="325" ht="14.25" hidden="1" customHeight="1">
      <c r="A325" s="49" t="s">
        <v>1620</v>
      </c>
      <c r="B325" s="49" t="str">
        <f>IFERROR(__xludf.DUMMYFUNCTION("REGEXREPLACE(
 REGEXREPLACE(A325,""^cost\."",""""),
 ""\.[^.]+\.[^.]+$"",
 """"
)"),"building.laboratory@4")</f>
        <v>building.laboratory@4</v>
      </c>
      <c r="C325" s="49" t="str">
        <f t="array" ref="C325">_xlfn.XLOOKUP(
 B325,
 tblTargets[TargetID],
 tblTargets[DisplayName],
 ""
)</f>
        <v>Laboratory Lv 4</v>
      </c>
      <c r="D325" s="49" t="str">
        <f t="array" ref="D325">_xlfn.XLOOKUP(
 B325,
 tblTargets[TargetID],
 tblTargets[TargetType],
 ""
)</f>
        <v>BUILDING</v>
      </c>
      <c r="E325" s="49" t="s">
        <v>392</v>
      </c>
      <c r="F325" s="49">
        <v>1.0</v>
      </c>
      <c r="G325" s="49">
        <f t="array" ref="G325">_xlfn.XLOOKUP(
 A325,
 tblCost[RequirementID],
 tblCost[QuantityRequired],
 ""
)</f>
        <v>400</v>
      </c>
      <c r="H325" s="49">
        <f t="array" ref="H325">IF(
 OR(
  LEFT(B325,15)="state.character",
  RIGHT(B325,6)=".maxed"
 ),
 0,
 LET(
  sort,
   _xlfn.XLOOKUP(
    B325,
    tblChecklist[TargetID],
    tblChecklist[PlayerSort],
    0
   ),
  IF(sort=0,500,sort)
 )
)</f>
        <v>75</v>
      </c>
      <c r="I325" s="49" t="str">
        <f t="array" ref="I325">_xlfn.XLOOKUP(
 B325,
 tblTargetStatus[TargetID],
 tblTargetStatus[Status],
 ""
)</f>
        <v>BLOCKED</v>
      </c>
      <c r="J325" s="45" t="b">
        <v>0</v>
      </c>
    </row>
    <row r="326" ht="14.25" hidden="1" customHeight="1">
      <c r="A326" s="49" t="s">
        <v>1627</v>
      </c>
      <c r="B326" s="49" t="str">
        <f>IFERROR(__xludf.DUMMYFUNCTION("REGEXREPLACE(
 REGEXREPLACE(A326,""^cost\."",""""),
 ""\.[^.]+\.[^.]+$"",
 """"
)"),"building.laboratory@4")</f>
        <v>building.laboratory@4</v>
      </c>
      <c r="C326" s="49" t="str">
        <f t="array" ref="C326">_xlfn.XLOOKUP(
 B326,
 tblTargets[TargetID],
 tblTargets[DisplayName],
 ""
)</f>
        <v>Laboratory Lv 4</v>
      </c>
      <c r="D326" s="49" t="str">
        <f t="array" ref="D326">_xlfn.XLOOKUP(
 B326,
 tblTargets[TargetID],
 tblTargets[TargetType],
 ""
)</f>
        <v>BUILDING</v>
      </c>
      <c r="E326" s="49" t="s">
        <v>237</v>
      </c>
      <c r="F326" s="49">
        <v>1.0</v>
      </c>
      <c r="G326" s="49">
        <f t="array" ref="G326">_xlfn.XLOOKUP(
 A326,
 tblCost[RequirementID],
 tblCost[QuantityRequired],
 ""
)</f>
        <v>600</v>
      </c>
      <c r="H326" s="49">
        <f t="array" ref="H326">IF(
 OR(
  LEFT(B326,15)="state.character",
  RIGHT(B326,6)=".maxed"
 ),
 0,
 LET(
  sort,
   _xlfn.XLOOKUP(
    B326,
    tblChecklist[TargetID],
    tblChecklist[PlayerSort],
    0
   ),
  IF(sort=0,500,sort)
 )
)</f>
        <v>75</v>
      </c>
      <c r="I326" s="49" t="str">
        <f t="array" ref="I326">_xlfn.XLOOKUP(
 B326,
 tblTargetStatus[TargetID],
 tblTargetStatus[Status],
 ""
)</f>
        <v>BLOCKED</v>
      </c>
      <c r="J326" s="45" t="b">
        <v>0</v>
      </c>
    </row>
    <row r="327" ht="14.25" hidden="1" customHeight="1">
      <c r="A327" s="49" t="s">
        <v>1634</v>
      </c>
      <c r="B327" s="49" t="str">
        <f>IFERROR(__xludf.DUMMYFUNCTION("REGEXREPLACE(
 REGEXREPLACE(A327,""^cost\."",""""),
 ""\.[^.]+\.[^.]+$"",
 """"
)"),"building.laboratory@5")</f>
        <v>building.laboratory@5</v>
      </c>
      <c r="C327" s="49" t="str">
        <f t="array" ref="C327">_xlfn.XLOOKUP(
 B327,
 tblTargets[TargetID],
 tblTargets[DisplayName],
 ""
)</f>
        <v>Laboratory Lv 5</v>
      </c>
      <c r="D327" s="49" t="str">
        <f t="array" ref="D327">_xlfn.XLOOKUP(
 B327,
 tblTargets[TargetID],
 tblTargets[TargetType],
 ""
)</f>
        <v>BUILDING</v>
      </c>
      <c r="E327" s="49" t="s">
        <v>1055</v>
      </c>
      <c r="F327" s="49">
        <v>1.0</v>
      </c>
      <c r="G327" s="49">
        <f t="array" ref="G327">_xlfn.XLOOKUP(
 A327,
 tblCost[RequirementID],
 tblCost[QuantityRequired],
 ""
)</f>
        <v>40</v>
      </c>
      <c r="H327" s="49">
        <f t="array" ref="H327">IF(
 OR(
  LEFT(B327,15)="state.character",
  RIGHT(B327,6)=".maxed"
 ),
 0,
 LET(
  sort,
   _xlfn.XLOOKUP(
    B327,
    tblChecklist[TargetID],
    tblChecklist[PlayerSort],
    0
   ),
  IF(sort=0,500,sort)
 )
)</f>
        <v>76</v>
      </c>
      <c r="I327" s="49" t="str">
        <f t="array" ref="I327">_xlfn.XLOOKUP(
 B327,
 tblTargetStatus[TargetID],
 tblTargetStatus[Status],
 ""
)</f>
        <v>BLOCKED</v>
      </c>
      <c r="J327" s="45" t="b">
        <v>0</v>
      </c>
    </row>
    <row r="328" ht="14.25" hidden="1" customHeight="1">
      <c r="A328" s="49" t="s">
        <v>1643</v>
      </c>
      <c r="B328" s="49" t="str">
        <f>IFERROR(__xludf.DUMMYFUNCTION("REGEXREPLACE(
 REGEXREPLACE(A328,""^cost\."",""""),
 ""\.[^.]+\.[^.]+$"",
 """"
)"),"building.laboratory@5")</f>
        <v>building.laboratory@5</v>
      </c>
      <c r="C328" s="49" t="str">
        <f t="array" ref="C328">_xlfn.XLOOKUP(
 B328,
 tblTargets[TargetID],
 tblTargets[DisplayName],
 ""
)</f>
        <v>Laboratory Lv 5</v>
      </c>
      <c r="D328" s="49" t="str">
        <f t="array" ref="D328">_xlfn.XLOOKUP(
 B328,
 tblTargets[TargetID],
 tblTargets[TargetType],
 ""
)</f>
        <v>BUILDING</v>
      </c>
      <c r="E328" s="49" t="s">
        <v>119</v>
      </c>
      <c r="F328" s="49">
        <v>1.0</v>
      </c>
      <c r="G328" s="49">
        <f t="array" ref="G328">_xlfn.XLOOKUP(
 A328,
 tblCost[RequirementID],
 tblCost[QuantityRequired],
 ""
)</f>
        <v>2000</v>
      </c>
      <c r="H328" s="49">
        <f t="array" ref="H328">IF(
 OR(
  LEFT(B328,15)="state.character",
  RIGHT(B328,6)=".maxed"
 ),
 0,
 LET(
  sort,
   _xlfn.XLOOKUP(
    B328,
    tblChecklist[TargetID],
    tblChecklist[PlayerSort],
    0
   ),
  IF(sort=0,500,sort)
 )
)</f>
        <v>76</v>
      </c>
      <c r="I328" s="49" t="str">
        <f t="array" ref="I328">_xlfn.XLOOKUP(
 B328,
 tblTargetStatus[TargetID],
 tblTargetStatus[Status],
 ""
)</f>
        <v>BLOCKED</v>
      </c>
      <c r="J328" s="45" t="b">
        <v>0</v>
      </c>
    </row>
    <row r="329" ht="14.25" hidden="1" customHeight="1">
      <c r="A329" s="49" t="s">
        <v>1651</v>
      </c>
      <c r="B329" s="49" t="str">
        <f>IFERROR(__xludf.DUMMYFUNCTION("REGEXREPLACE(
 REGEXREPLACE(A329,""^cost\."",""""),
 ""\.[^.]+\.[^.]+$"",
 """"
)"),"building.laboratory@5")</f>
        <v>building.laboratory@5</v>
      </c>
      <c r="C329" s="49" t="str">
        <f t="array" ref="C329">_xlfn.XLOOKUP(
 B329,
 tblTargets[TargetID],
 tblTargets[DisplayName],
 ""
)</f>
        <v>Laboratory Lv 5</v>
      </c>
      <c r="D329" s="49" t="str">
        <f t="array" ref="D329">_xlfn.XLOOKUP(
 B329,
 tblTargets[TargetID],
 tblTargets[TargetType],
 ""
)</f>
        <v>BUILDING</v>
      </c>
      <c r="E329" s="49" t="s">
        <v>1375</v>
      </c>
      <c r="F329" s="49">
        <v>1.0</v>
      </c>
      <c r="G329" s="49">
        <f t="array" ref="G329">_xlfn.XLOOKUP(
 A329,
 tblCost[RequirementID],
 tblCost[QuantityRequired],
 ""
)</f>
        <v>1</v>
      </c>
      <c r="H329" s="49">
        <f t="array" ref="H329">IF(
 OR(
  LEFT(B329,15)="state.character",
  RIGHT(B329,6)=".maxed"
 ),
 0,
 LET(
  sort,
   _xlfn.XLOOKUP(
    B329,
    tblChecklist[TargetID],
    tblChecklist[PlayerSort],
    0
   ),
  IF(sort=0,500,sort)
 )
)</f>
        <v>76</v>
      </c>
      <c r="I329" s="49" t="str">
        <f t="array" ref="I329">_xlfn.XLOOKUP(
 B329,
 tblTargetStatus[TargetID],
 tblTargetStatus[Status],
 ""
)</f>
        <v>BLOCKED</v>
      </c>
      <c r="J329" s="45" t="b">
        <v>0</v>
      </c>
    </row>
    <row r="330" ht="14.25" hidden="1" customHeight="1">
      <c r="A330" s="49" t="s">
        <v>1658</v>
      </c>
      <c r="B330" s="49" t="str">
        <f>IFERROR(__xludf.DUMMYFUNCTION("REGEXREPLACE(
 REGEXREPLACE(A330,""^cost\."",""""),
 ""\.[^.]+\.[^.]+$"",
 """"
)"),"building.laboratory@5")</f>
        <v>building.laboratory@5</v>
      </c>
      <c r="C330" s="49" t="str">
        <f t="array" ref="C330">_xlfn.XLOOKUP(
 B330,
 tblTargets[TargetID],
 tblTargets[DisplayName],
 ""
)</f>
        <v>Laboratory Lv 5</v>
      </c>
      <c r="D330" s="49" t="str">
        <f t="array" ref="D330">_xlfn.XLOOKUP(
 B330,
 tblTargets[TargetID],
 tblTargets[TargetType],
 ""
)</f>
        <v>BUILDING</v>
      </c>
      <c r="E330" s="49" t="s">
        <v>1078</v>
      </c>
      <c r="F330" s="49">
        <v>1.0</v>
      </c>
      <c r="G330" s="49">
        <f t="array" ref="G330">_xlfn.XLOOKUP(
 A330,
 tblCost[RequirementID],
 tblCost[QuantityRequired],
 ""
)</f>
        <v>30</v>
      </c>
      <c r="H330" s="49">
        <f t="array" ref="H330">IF(
 OR(
  LEFT(B330,15)="state.character",
  RIGHT(B330,6)=".maxed"
 ),
 0,
 LET(
  sort,
   _xlfn.XLOOKUP(
    B330,
    tblChecklist[TargetID],
    tblChecklist[PlayerSort],
    0
   ),
  IF(sort=0,500,sort)
 )
)</f>
        <v>76</v>
      </c>
      <c r="I330" s="49" t="str">
        <f t="array" ref="I330">_xlfn.XLOOKUP(
 B330,
 tblTargetStatus[TargetID],
 tblTargetStatus[Status],
 ""
)</f>
        <v>BLOCKED</v>
      </c>
      <c r="J330" s="45" t="b">
        <v>0</v>
      </c>
    </row>
    <row r="331" ht="14.25" hidden="1" customHeight="1">
      <c r="A331" s="49" t="s">
        <v>1664</v>
      </c>
      <c r="B331" s="49" t="str">
        <f>IFERROR(__xludf.DUMMYFUNCTION("REGEXREPLACE(
 REGEXREPLACE(A331,""^cost\."",""""),
 ""\.[^.]+\.[^.]+$"",
 """"
)"),"building.laboratory@5")</f>
        <v>building.laboratory@5</v>
      </c>
      <c r="C331" s="49" t="str">
        <f t="array" ref="C331">_xlfn.XLOOKUP(
 B331,
 tblTargets[TargetID],
 tblTargets[DisplayName],
 ""
)</f>
        <v>Laboratory Lv 5</v>
      </c>
      <c r="D331" s="49" t="str">
        <f t="array" ref="D331">_xlfn.XLOOKUP(
 B331,
 tblTargets[TargetID],
 tblTargets[TargetType],
 ""
)</f>
        <v>BUILDING</v>
      </c>
      <c r="E331" s="49" t="s">
        <v>1537</v>
      </c>
      <c r="F331" s="49">
        <v>1.0</v>
      </c>
      <c r="G331" s="49">
        <f t="array" ref="G331">_xlfn.XLOOKUP(
 A331,
 tblCost[RequirementID],
 tblCost[QuantityRequired],
 ""
)</f>
        <v>40</v>
      </c>
      <c r="H331" s="49">
        <f t="array" ref="H331">IF(
 OR(
  LEFT(B331,15)="state.character",
  RIGHT(B331,6)=".maxed"
 ),
 0,
 LET(
  sort,
   _xlfn.XLOOKUP(
    B331,
    tblChecklist[TargetID],
    tblChecklist[PlayerSort],
    0
   ),
  IF(sort=0,500,sort)
 )
)</f>
        <v>76</v>
      </c>
      <c r="I331" s="49" t="str">
        <f t="array" ref="I331">_xlfn.XLOOKUP(
 B331,
 tblTargetStatus[TargetID],
 tblTargetStatus[Status],
 ""
)</f>
        <v>BLOCKED</v>
      </c>
      <c r="J331" s="45" t="b">
        <v>0</v>
      </c>
    </row>
    <row r="332" ht="14.25" hidden="1" customHeight="1">
      <c r="A332" s="49" t="s">
        <v>1672</v>
      </c>
      <c r="B332" s="49" t="str">
        <f>IFERROR(__xludf.DUMMYFUNCTION("REGEXREPLACE(
 REGEXREPLACE(A332,""^cost\."",""""),
 ""\.[^.]+\.[^.]+$"",
 """"
)"),"building.laboratory@5")</f>
        <v>building.laboratory@5</v>
      </c>
      <c r="C332" s="49" t="str">
        <f t="array" ref="C332">_xlfn.XLOOKUP(
 B332,
 tblTargets[TargetID],
 tblTargets[DisplayName],
 ""
)</f>
        <v>Laboratory Lv 5</v>
      </c>
      <c r="D332" s="49" t="str">
        <f t="array" ref="D332">_xlfn.XLOOKUP(
 B332,
 tblTargets[TargetID],
 tblTargets[TargetType],
 ""
)</f>
        <v>BUILDING</v>
      </c>
      <c r="E332" s="49" t="s">
        <v>1282</v>
      </c>
      <c r="F332" s="49">
        <v>1.0</v>
      </c>
      <c r="G332" s="49">
        <f t="array" ref="G332">_xlfn.XLOOKUP(
 A332,
 tblCost[RequirementID],
 tblCost[QuantityRequired],
 ""
)</f>
        <v>20</v>
      </c>
      <c r="H332" s="49">
        <f t="array" ref="H332">IF(
 OR(
  LEFT(B332,15)="state.character",
  RIGHT(B332,6)=".maxed"
 ),
 0,
 LET(
  sort,
   _xlfn.XLOOKUP(
    B332,
    tblChecklist[TargetID],
    tblChecklist[PlayerSort],
    0
   ),
  IF(sort=0,500,sort)
 )
)</f>
        <v>76</v>
      </c>
      <c r="I332" s="49" t="str">
        <f t="array" ref="I332">_xlfn.XLOOKUP(
 B332,
 tblTargetStatus[TargetID],
 tblTargetStatus[Status],
 ""
)</f>
        <v>BLOCKED</v>
      </c>
      <c r="J332" s="45" t="b">
        <v>0</v>
      </c>
    </row>
    <row r="333" ht="14.25" hidden="1" customHeight="1">
      <c r="A333" s="49" t="s">
        <v>1681</v>
      </c>
      <c r="B333" s="49" t="str">
        <f>IFERROR(__xludf.DUMMYFUNCTION("REGEXREPLACE(
 REGEXREPLACE(A333,""^cost\."",""""),
 ""\.[^.]+\.[^.]+$"",
 """"
)"),"building.laboratory@5")</f>
        <v>building.laboratory@5</v>
      </c>
      <c r="C333" s="49" t="str">
        <f t="array" ref="C333">_xlfn.XLOOKUP(
 B333,
 tblTargets[TargetID],
 tblTargets[DisplayName],
 ""
)</f>
        <v>Laboratory Lv 5</v>
      </c>
      <c r="D333" s="49" t="str">
        <f t="array" ref="D333">_xlfn.XLOOKUP(
 B333,
 tblTargets[TargetID],
 tblTargets[TargetType],
 ""
)</f>
        <v>BUILDING</v>
      </c>
      <c r="E333" s="49" t="s">
        <v>6</v>
      </c>
      <c r="F333" s="49">
        <v>1.0</v>
      </c>
      <c r="G333" s="49">
        <f t="array" ref="G333">_xlfn.XLOOKUP(
 A333,
 tblCost[RequirementID],
 tblCost[QuantityRequired],
 ""
)</f>
        <v>10</v>
      </c>
      <c r="H333" s="49">
        <f t="array" ref="H333">IF(
 OR(
  LEFT(B333,15)="state.character",
  RIGHT(B333,6)=".maxed"
 ),
 0,
 LET(
  sort,
   _xlfn.XLOOKUP(
    B333,
    tblChecklist[TargetID],
    tblChecklist[PlayerSort],
    0
   ),
  IF(sort=0,500,sort)
 )
)</f>
        <v>76</v>
      </c>
      <c r="I333" s="49" t="str">
        <f t="array" ref="I333">_xlfn.XLOOKUP(
 B333,
 tblTargetStatus[TargetID],
 tblTargetStatus[Status],
 ""
)</f>
        <v>BLOCKED</v>
      </c>
      <c r="J333" s="45" t="b">
        <v>0</v>
      </c>
    </row>
    <row r="334" ht="14.25" hidden="1" customHeight="1">
      <c r="A334" s="49" t="s">
        <v>1688</v>
      </c>
      <c r="B334" s="49" t="str">
        <f>IFERROR(__xludf.DUMMYFUNCTION("REGEXREPLACE(
 REGEXREPLACE(A334,""^cost\."",""""),
 ""\.[^.]+\.[^.]+$"",
 """"
)"),"building.laboratory@5")</f>
        <v>building.laboratory@5</v>
      </c>
      <c r="C334" s="49" t="str">
        <f t="array" ref="C334">_xlfn.XLOOKUP(
 B334,
 tblTargets[TargetID],
 tblTargets[DisplayName],
 ""
)</f>
        <v>Laboratory Lv 5</v>
      </c>
      <c r="D334" s="49" t="str">
        <f t="array" ref="D334">_xlfn.XLOOKUP(
 B334,
 tblTargets[TargetID],
 tblTargets[TargetType],
 ""
)</f>
        <v>BUILDING</v>
      </c>
      <c r="E334" s="49" t="s">
        <v>392</v>
      </c>
      <c r="F334" s="49">
        <v>1.0</v>
      </c>
      <c r="G334" s="49">
        <f t="array" ref="G334">_xlfn.XLOOKUP(
 A334,
 tblCost[RequirementID],
 tblCost[QuantityRequired],
 ""
)</f>
        <v>500</v>
      </c>
      <c r="H334" s="49">
        <f t="array" ref="H334">IF(
 OR(
  LEFT(B334,15)="state.character",
  RIGHT(B334,6)=".maxed"
 ),
 0,
 LET(
  sort,
   _xlfn.XLOOKUP(
    B334,
    tblChecklist[TargetID],
    tblChecklist[PlayerSort],
    0
   ),
  IF(sort=0,500,sort)
 )
)</f>
        <v>76</v>
      </c>
      <c r="I334" s="49" t="str">
        <f t="array" ref="I334">_xlfn.XLOOKUP(
 B334,
 tblTargetStatus[TargetID],
 tblTargetStatus[Status],
 ""
)</f>
        <v>BLOCKED</v>
      </c>
      <c r="J334" s="45" t="b">
        <v>0</v>
      </c>
    </row>
    <row r="335" ht="14.25" hidden="1" customHeight="1">
      <c r="A335" s="49" t="s">
        <v>1696</v>
      </c>
      <c r="B335" s="49" t="str">
        <f>IFERROR(__xludf.DUMMYFUNCTION("REGEXREPLACE(
 REGEXREPLACE(A335,""^cost\."",""""),
 ""\.[^.]+\.[^.]+$"",
 """"
)"),"building.laboratory@5")</f>
        <v>building.laboratory@5</v>
      </c>
      <c r="C335" s="49" t="str">
        <f t="array" ref="C335">_xlfn.XLOOKUP(
 B335,
 tblTargets[TargetID],
 tblTargets[DisplayName],
 ""
)</f>
        <v>Laboratory Lv 5</v>
      </c>
      <c r="D335" s="49" t="str">
        <f t="array" ref="D335">_xlfn.XLOOKUP(
 B335,
 tblTargets[TargetID],
 tblTargets[TargetType],
 ""
)</f>
        <v>BUILDING</v>
      </c>
      <c r="E335" s="49" t="s">
        <v>237</v>
      </c>
      <c r="F335" s="49">
        <v>1.0</v>
      </c>
      <c r="G335" s="49">
        <f t="array" ref="G335">_xlfn.XLOOKUP(
 A335,
 tblCost[RequirementID],
 tblCost[QuantityRequired],
 ""
)</f>
        <v>700</v>
      </c>
      <c r="H335" s="49">
        <f t="array" ref="H335">IF(
 OR(
  LEFT(B335,15)="state.character",
  RIGHT(B335,6)=".maxed"
 ),
 0,
 LET(
  sort,
   _xlfn.XLOOKUP(
    B335,
    tblChecklist[TargetID],
    tblChecklist[PlayerSort],
    0
   ),
  IF(sort=0,500,sort)
 )
)</f>
        <v>76</v>
      </c>
      <c r="I335" s="49" t="str">
        <f t="array" ref="I335">_xlfn.XLOOKUP(
 B335,
 tblTargetStatus[TargetID],
 tblTargetStatus[Status],
 ""
)</f>
        <v>BLOCKED</v>
      </c>
      <c r="J335" s="45" t="b">
        <v>0</v>
      </c>
    </row>
    <row r="336" ht="14.25" hidden="1" customHeight="1">
      <c r="A336" s="49" t="s">
        <v>1706</v>
      </c>
      <c r="B336" s="49" t="str">
        <f>IFERROR(__xludf.DUMMYFUNCTION("REGEXREPLACE(
 REGEXREPLACE(A336,""^cost\."",""""),
 ""\.[^.]+\.[^.]+$"",
 """"
)"),"building.lumber@1")</f>
        <v>building.lumber@1</v>
      </c>
      <c r="C336" s="49" t="str">
        <f t="array" ref="C336">_xlfn.XLOOKUP(
 B336,
 tblTargets[TargetID],
 tblTargets[DisplayName],
 ""
)</f>
        <v>Lumber Lv 1</v>
      </c>
      <c r="D336" s="49" t="str">
        <f t="array" ref="D336">_xlfn.XLOOKUP(
 B336,
 tblTargets[TargetID],
 tblTargets[TargetType],
 ""
)</f>
        <v>BUILDING</v>
      </c>
      <c r="E336" s="49" t="s">
        <v>119</v>
      </c>
      <c r="F336" s="49">
        <v>1.0</v>
      </c>
      <c r="G336" s="49">
        <f t="array" ref="G336">_xlfn.XLOOKUP(
 A336,
 tblCost[RequirementID],
 tblCost[QuantityRequired],
 ""
)</f>
        <v>300</v>
      </c>
      <c r="H336" s="49">
        <f t="array" ref="H336">IF(
 OR(
  LEFT(B336,15)="state.character",
  RIGHT(B336,6)=".maxed"
 ),
 0,
 LET(
  sort,
   _xlfn.XLOOKUP(
    B336,
    tblChecklist[TargetID],
    tblChecklist[PlayerSort],
    0
   ),
  IF(sort=0,500,sort)
 )
)</f>
        <v>13</v>
      </c>
      <c r="I336" s="49" t="str">
        <f t="array" ref="I336">_xlfn.XLOOKUP(
 B336,
 tblTargetStatus[TargetID],
 tblTargetStatus[Status],
 ""
)</f>
        <v>BLOCKED</v>
      </c>
      <c r="J336" s="45" t="b">
        <v>0</v>
      </c>
    </row>
    <row r="337" ht="14.25" hidden="1" customHeight="1">
      <c r="A337" s="49" t="s">
        <v>1714</v>
      </c>
      <c r="B337" s="49" t="str">
        <f>IFERROR(__xludf.DUMMYFUNCTION("REGEXREPLACE(
 REGEXREPLACE(A337,""^cost\."",""""),
 ""\.[^.]+\.[^.]+$"",
 """"
)"),"building.lumber@1")</f>
        <v>building.lumber@1</v>
      </c>
      <c r="C337" s="49" t="str">
        <f t="array" ref="C337">_xlfn.XLOOKUP(
 B337,
 tblTargets[TargetID],
 tblTargets[DisplayName],
 ""
)</f>
        <v>Lumber Lv 1</v>
      </c>
      <c r="D337" s="49" t="str">
        <f t="array" ref="D337">_xlfn.XLOOKUP(
 B337,
 tblTargets[TargetID],
 tblTargets[TargetType],
 ""
)</f>
        <v>BUILDING</v>
      </c>
      <c r="E337" s="49" t="s">
        <v>6</v>
      </c>
      <c r="F337" s="49">
        <v>1.0</v>
      </c>
      <c r="G337" s="49">
        <f t="array" ref="G337">_xlfn.XLOOKUP(
 A337,
 tblCost[RequirementID],
 tblCost[QuantityRequired],
 ""
)</f>
        <v>1</v>
      </c>
      <c r="H337" s="49">
        <f t="array" ref="H337">IF(
 OR(
  LEFT(B337,15)="state.character",
  RIGHT(B337,6)=".maxed"
 ),
 0,
 LET(
  sort,
   _xlfn.XLOOKUP(
    B337,
    tblChecklist[TargetID],
    tblChecklist[PlayerSort],
    0
   ),
  IF(sort=0,500,sort)
 )
)</f>
        <v>13</v>
      </c>
      <c r="I337" s="49" t="str">
        <f t="array" ref="I337">_xlfn.XLOOKUP(
 B337,
 tblTargetStatus[TargetID],
 tblTargetStatus[Status],
 ""
)</f>
        <v>BLOCKED</v>
      </c>
      <c r="J337" s="45" t="b">
        <v>0</v>
      </c>
    </row>
    <row r="338" ht="14.25" hidden="1" customHeight="1">
      <c r="A338" s="49" t="s">
        <v>1723</v>
      </c>
      <c r="B338" s="49" t="str">
        <f>IFERROR(__xludf.DUMMYFUNCTION("REGEXREPLACE(
 REGEXREPLACE(A338,""^cost\."",""""),
 ""\.[^.]+\.[^.]+$"",
 """"
)"),"building.lumber@1")</f>
        <v>building.lumber@1</v>
      </c>
      <c r="C338" s="49" t="str">
        <f t="array" ref="C338">_xlfn.XLOOKUP(
 B338,
 tblTargets[TargetID],
 tblTargets[DisplayName],
 ""
)</f>
        <v>Lumber Lv 1</v>
      </c>
      <c r="D338" s="49" t="str">
        <f t="array" ref="D338">_xlfn.XLOOKUP(
 B338,
 tblTargets[TargetID],
 tblTargets[TargetType],
 ""
)</f>
        <v>BUILDING</v>
      </c>
      <c r="E338" s="49" t="s">
        <v>237</v>
      </c>
      <c r="F338" s="49">
        <v>1.0</v>
      </c>
      <c r="G338" s="49">
        <f t="array" ref="G338">_xlfn.XLOOKUP(
 A338,
 tblCost[RequirementID],
 tblCost[QuantityRequired],
 ""
)</f>
        <v>150</v>
      </c>
      <c r="H338" s="49">
        <f t="array" ref="H338">IF(
 OR(
  LEFT(B338,15)="state.character",
  RIGHT(B338,6)=".maxed"
 ),
 0,
 LET(
  sort,
   _xlfn.XLOOKUP(
    B338,
    tblChecklist[TargetID],
    tblChecklist[PlayerSort],
    0
   ),
  IF(sort=0,500,sort)
 )
)</f>
        <v>13</v>
      </c>
      <c r="I338" s="49" t="str">
        <f t="array" ref="I338">_xlfn.XLOOKUP(
 B338,
 tblTargetStatus[TargetID],
 tblTargetStatus[Status],
 ""
)</f>
        <v>BLOCKED</v>
      </c>
      <c r="J338" s="45" t="b">
        <v>0</v>
      </c>
    </row>
    <row r="339" ht="14.25" hidden="1" customHeight="1">
      <c r="A339" s="49" t="s">
        <v>1730</v>
      </c>
      <c r="B339" s="49" t="str">
        <f>IFERROR(__xludf.DUMMYFUNCTION("REGEXREPLACE(
 REGEXREPLACE(A339,""^cost\."",""""),
 ""\.[^.]+\.[^.]+$"",
 """"
)"),"building.lumber@1")</f>
        <v>building.lumber@1</v>
      </c>
      <c r="C339" s="49" t="str">
        <f t="array" ref="C339">_xlfn.XLOOKUP(
 B339,
 tblTargets[TargetID],
 tblTargets[DisplayName],
 ""
)</f>
        <v>Lumber Lv 1</v>
      </c>
      <c r="D339" s="49" t="str">
        <f t="array" ref="D339">_xlfn.XLOOKUP(
 B339,
 tblTargets[TargetID],
 tblTargets[TargetType],
 ""
)</f>
        <v>BUILDING</v>
      </c>
      <c r="E339" s="49" t="s">
        <v>244</v>
      </c>
      <c r="F339" s="49">
        <v>1.0</v>
      </c>
      <c r="G339" s="49">
        <f t="array" ref="G339">_xlfn.XLOOKUP(
 A339,
 tblCost[RequirementID],
 tblCost[QuantityRequired],
 ""
)</f>
        <v>150</v>
      </c>
      <c r="H339" s="49">
        <f t="array" ref="H339">IF(
 OR(
  LEFT(B339,15)="state.character",
  RIGHT(B339,6)=".maxed"
 ),
 0,
 LET(
  sort,
   _xlfn.XLOOKUP(
    B339,
    tblChecklist[TargetID],
    tblChecklist[PlayerSort],
    0
   ),
  IF(sort=0,500,sort)
 )
)</f>
        <v>13</v>
      </c>
      <c r="I339" s="49" t="str">
        <f t="array" ref="I339">_xlfn.XLOOKUP(
 B339,
 tblTargetStatus[TargetID],
 tblTargetStatus[Status],
 ""
)</f>
        <v>BLOCKED</v>
      </c>
      <c r="J339" s="45" t="b">
        <v>0</v>
      </c>
    </row>
    <row r="340" ht="14.25" hidden="1" customHeight="1">
      <c r="A340" s="49" t="s">
        <v>1739</v>
      </c>
      <c r="B340" s="49" t="str">
        <f>IFERROR(__xludf.DUMMYFUNCTION("REGEXREPLACE(
 REGEXREPLACE(A340,""^cost\."",""""),
 ""\.[^.]+\.[^.]+$"",
 """"
)"),"building.lumber@2")</f>
        <v>building.lumber@2</v>
      </c>
      <c r="C340" s="49" t="str">
        <f t="array" ref="C340">_xlfn.XLOOKUP(
 B340,
 tblTargets[TargetID],
 tblTargets[DisplayName],
 ""
)</f>
        <v>Lumber Lv 2</v>
      </c>
      <c r="D340" s="49" t="str">
        <f t="array" ref="D340">_xlfn.XLOOKUP(
 B340,
 tblTargets[TargetID],
 tblTargets[TargetType],
 ""
)</f>
        <v>BUILDING</v>
      </c>
      <c r="E340" s="49" t="s">
        <v>278</v>
      </c>
      <c r="F340" s="49">
        <v>1.0</v>
      </c>
      <c r="G340" s="49">
        <f t="array" ref="G340">_xlfn.XLOOKUP(
 A340,
 tblCost[RequirementID],
 tblCost[QuantityRequired],
 ""
)</f>
        <v>400</v>
      </c>
      <c r="H340" s="49">
        <f t="array" ref="H340">IF(
 OR(
  LEFT(B340,15)="state.character",
  RIGHT(B340,6)=".maxed"
 ),
 0,
 LET(
  sort,
   _xlfn.XLOOKUP(
    B340,
    tblChecklist[TargetID],
    tblChecklist[PlayerSort],
    0
   ),
  IF(sort=0,500,sort)
 )
)</f>
        <v>14</v>
      </c>
      <c r="I340" s="49" t="str">
        <f t="array" ref="I340">_xlfn.XLOOKUP(
 B340,
 tblTargetStatus[TargetID],
 tblTargetStatus[Status],
 ""
)</f>
        <v>BLOCKED</v>
      </c>
      <c r="J340" s="45" t="b">
        <v>0</v>
      </c>
    </row>
    <row r="341" ht="14.25" hidden="1" customHeight="1">
      <c r="A341" s="49" t="s">
        <v>1746</v>
      </c>
      <c r="B341" s="49" t="str">
        <f>IFERROR(__xludf.DUMMYFUNCTION("REGEXREPLACE(
 REGEXREPLACE(A341,""^cost\."",""""),
 ""\.[^.]+\.[^.]+$"",
 """"
)"),"building.lumber@2")</f>
        <v>building.lumber@2</v>
      </c>
      <c r="C341" s="49" t="str">
        <f t="array" ref="C341">_xlfn.XLOOKUP(
 B341,
 tblTargets[TargetID],
 tblTargets[DisplayName],
 ""
)</f>
        <v>Lumber Lv 2</v>
      </c>
      <c r="D341" s="49" t="str">
        <f t="array" ref="D341">_xlfn.XLOOKUP(
 B341,
 tblTargets[TargetID],
 tblTargets[TargetType],
 ""
)</f>
        <v>BUILDING</v>
      </c>
      <c r="E341" s="49" t="s">
        <v>119</v>
      </c>
      <c r="F341" s="49">
        <v>1.0</v>
      </c>
      <c r="G341" s="49">
        <f t="array" ref="G341">_xlfn.XLOOKUP(
 A341,
 tblCost[RequirementID],
 tblCost[QuantityRequired],
 ""
)</f>
        <v>500</v>
      </c>
      <c r="H341" s="49">
        <f t="array" ref="H341">IF(
 OR(
  LEFT(B341,15)="state.character",
  RIGHT(B341,6)=".maxed"
 ),
 0,
 LET(
  sort,
   _xlfn.XLOOKUP(
    B341,
    tblChecklist[TargetID],
    tblChecklist[PlayerSort],
    0
   ),
  IF(sort=0,500,sort)
 )
)</f>
        <v>14</v>
      </c>
      <c r="I341" s="49" t="str">
        <f t="array" ref="I341">_xlfn.XLOOKUP(
 B341,
 tblTargetStatus[TargetID],
 tblTargetStatus[Status],
 ""
)</f>
        <v>BLOCKED</v>
      </c>
      <c r="J341" s="45" t="b">
        <v>0</v>
      </c>
    </row>
    <row r="342" ht="14.25" hidden="1" customHeight="1">
      <c r="A342" s="49" t="s">
        <v>1755</v>
      </c>
      <c r="B342" s="49" t="str">
        <f>IFERROR(__xludf.DUMMYFUNCTION("REGEXREPLACE(
 REGEXREPLACE(A342,""^cost\."",""""),
 ""\.[^.]+\.[^.]+$"",
 """"
)"),"building.lumber@2")</f>
        <v>building.lumber@2</v>
      </c>
      <c r="C342" s="49" t="str">
        <f t="array" ref="C342">_xlfn.XLOOKUP(
 B342,
 tblTargets[TargetID],
 tblTargets[DisplayName],
 ""
)</f>
        <v>Lumber Lv 2</v>
      </c>
      <c r="D342" s="49" t="str">
        <f t="array" ref="D342">_xlfn.XLOOKUP(
 B342,
 tblTargets[TargetID],
 tblTargets[TargetType],
 ""
)</f>
        <v>BUILDING</v>
      </c>
      <c r="E342" s="49" t="s">
        <v>6</v>
      </c>
      <c r="F342" s="49">
        <v>1.0</v>
      </c>
      <c r="G342" s="49">
        <f t="array" ref="G342">_xlfn.XLOOKUP(
 A342,
 tblCost[RequirementID],
 tblCost[QuantityRequired],
 ""
)</f>
        <v>3</v>
      </c>
      <c r="H342" s="49">
        <f t="array" ref="H342">IF(
 OR(
  LEFT(B342,15)="state.character",
  RIGHT(B342,6)=".maxed"
 ),
 0,
 LET(
  sort,
   _xlfn.XLOOKUP(
    B342,
    tblChecklist[TargetID],
    tblChecklist[PlayerSort],
    0
   ),
  IF(sort=0,500,sort)
 )
)</f>
        <v>14</v>
      </c>
      <c r="I342" s="49" t="str">
        <f t="array" ref="I342">_xlfn.XLOOKUP(
 B342,
 tblTargetStatus[TargetID],
 tblTargetStatus[Status],
 ""
)</f>
        <v>BLOCKED</v>
      </c>
      <c r="J342" s="45" t="b">
        <v>0</v>
      </c>
    </row>
    <row r="343" ht="14.25" hidden="1" customHeight="1">
      <c r="A343" s="49" t="s">
        <v>1764</v>
      </c>
      <c r="B343" s="49" t="str">
        <f>IFERROR(__xludf.DUMMYFUNCTION("REGEXREPLACE(
 REGEXREPLACE(A343,""^cost\."",""""),
 ""\.[^.]+\.[^.]+$"",
 """"
)"),"building.lumber@2")</f>
        <v>building.lumber@2</v>
      </c>
      <c r="C343" s="49" t="str">
        <f t="array" ref="C343">_xlfn.XLOOKUP(
 B343,
 tblTargets[TargetID],
 tblTargets[DisplayName],
 ""
)</f>
        <v>Lumber Lv 2</v>
      </c>
      <c r="D343" s="49" t="str">
        <f t="array" ref="D343">_xlfn.XLOOKUP(
 B343,
 tblTargets[TargetID],
 tblTargets[TargetType],
 ""
)</f>
        <v>BUILDING</v>
      </c>
      <c r="E343" s="49" t="s">
        <v>392</v>
      </c>
      <c r="F343" s="49">
        <v>1.0</v>
      </c>
      <c r="G343" s="49">
        <f t="array" ref="G343">_xlfn.XLOOKUP(
 A343,
 tblCost[RequirementID],
 tblCost[QuantityRequired],
 ""
)</f>
        <v>20</v>
      </c>
      <c r="H343" s="49">
        <f t="array" ref="H343">IF(
 OR(
  LEFT(B343,15)="state.character",
  RIGHT(B343,6)=".maxed"
 ),
 0,
 LET(
  sort,
   _xlfn.XLOOKUP(
    B343,
    tblChecklist[TargetID],
    tblChecklist[PlayerSort],
    0
   ),
  IF(sort=0,500,sort)
 )
)</f>
        <v>14</v>
      </c>
      <c r="I343" s="49" t="str">
        <f t="array" ref="I343">_xlfn.XLOOKUP(
 B343,
 tblTargetStatus[TargetID],
 tblTargetStatus[Status],
 ""
)</f>
        <v>BLOCKED</v>
      </c>
      <c r="J343" s="45" t="b">
        <v>0</v>
      </c>
    </row>
    <row r="344" ht="14.25" hidden="1" customHeight="1">
      <c r="A344" s="49" t="s">
        <v>1767</v>
      </c>
      <c r="B344" s="49" t="str">
        <f>IFERROR(__xludf.DUMMYFUNCTION("REGEXREPLACE(
 REGEXREPLACE(A344,""^cost\."",""""),
 ""\.[^.]+\.[^.]+$"",
 """"
)"),"building.lumber@2")</f>
        <v>building.lumber@2</v>
      </c>
      <c r="C344" s="49" t="str">
        <f t="array" ref="C344">_xlfn.XLOOKUP(
 B344,
 tblTargets[TargetID],
 tblTargets[DisplayName],
 ""
)</f>
        <v>Lumber Lv 2</v>
      </c>
      <c r="D344" s="49" t="str">
        <f t="array" ref="D344">_xlfn.XLOOKUP(
 B344,
 tblTargets[TargetID],
 tblTargets[TargetType],
 ""
)</f>
        <v>BUILDING</v>
      </c>
      <c r="E344" s="49" t="s">
        <v>237</v>
      </c>
      <c r="F344" s="49">
        <v>1.0</v>
      </c>
      <c r="G344" s="49">
        <f t="array" ref="G344">_xlfn.XLOOKUP(
 A344,
 tblCost[RequirementID],
 tblCost[QuantityRequired],
 ""
)</f>
        <v>200</v>
      </c>
      <c r="H344" s="49">
        <f t="array" ref="H344">IF(
 OR(
  LEFT(B344,15)="state.character",
  RIGHT(B344,6)=".maxed"
 ),
 0,
 LET(
  sort,
   _xlfn.XLOOKUP(
    B344,
    tblChecklist[TargetID],
    tblChecklist[PlayerSort],
    0
   ),
  IF(sort=0,500,sort)
 )
)</f>
        <v>14</v>
      </c>
      <c r="I344" s="49" t="str">
        <f t="array" ref="I344">_xlfn.XLOOKUP(
 B344,
 tblTargetStatus[TargetID],
 tblTargetStatus[Status],
 ""
)</f>
        <v>BLOCKED</v>
      </c>
      <c r="J344" s="45" t="b">
        <v>0</v>
      </c>
    </row>
    <row r="345" ht="14.25" hidden="1" customHeight="1">
      <c r="A345" s="49" t="s">
        <v>1774</v>
      </c>
      <c r="B345" s="49" t="str">
        <f>IFERROR(__xludf.DUMMYFUNCTION("REGEXREPLACE(
 REGEXREPLACE(A345,""^cost\."",""""),
 ""\.[^.]+\.[^.]+$"",
 """"
)"),"building.lumber@3")</f>
        <v>building.lumber@3</v>
      </c>
      <c r="C345" s="49" t="str">
        <f t="array" ref="C345">_xlfn.XLOOKUP(
 B345,
 tblTargets[TargetID],
 tblTargets[DisplayName],
 ""
)</f>
        <v>Lumber Lv 3</v>
      </c>
      <c r="D345" s="49" t="str">
        <f t="array" ref="D345">_xlfn.XLOOKUP(
 B345,
 tblTargets[TargetID],
 tblTargets[TargetType],
 ""
)</f>
        <v>BUILDING</v>
      </c>
      <c r="E345" s="49" t="s">
        <v>278</v>
      </c>
      <c r="F345" s="49">
        <v>1.0</v>
      </c>
      <c r="G345" s="49">
        <f t="array" ref="G345">_xlfn.XLOOKUP(
 A345,
 tblCost[RequirementID],
 tblCost[QuantityRequired],
 ""
)</f>
        <v>600</v>
      </c>
      <c r="H345" s="49">
        <f t="array" ref="H345">IF(
 OR(
  LEFT(B345,15)="state.character",
  RIGHT(B345,6)=".maxed"
 ),
 0,
 LET(
  sort,
   _xlfn.XLOOKUP(
    B345,
    tblChecklist[TargetID],
    tblChecklist[PlayerSort],
    0
   ),
  IF(sort=0,500,sort)
 )
)</f>
        <v>18</v>
      </c>
      <c r="I345" s="49" t="str">
        <f t="array" ref="I345">_xlfn.XLOOKUP(
 B345,
 tblTargetStatus[TargetID],
 tblTargetStatus[Status],
 ""
)</f>
        <v>BLOCKED</v>
      </c>
      <c r="J345" s="45" t="b">
        <v>0</v>
      </c>
    </row>
    <row r="346" ht="14.25" hidden="1" customHeight="1">
      <c r="A346" s="49" t="s">
        <v>1781</v>
      </c>
      <c r="B346" s="49" t="str">
        <f>IFERROR(__xludf.DUMMYFUNCTION("REGEXREPLACE(
 REGEXREPLACE(A346,""^cost\."",""""),
 ""\.[^.]+\.[^.]+$"",
 """"
)"),"building.lumber@3")</f>
        <v>building.lumber@3</v>
      </c>
      <c r="C346" s="49" t="str">
        <f t="array" ref="C346">_xlfn.XLOOKUP(
 B346,
 tblTargets[TargetID],
 tblTargets[DisplayName],
 ""
)</f>
        <v>Lumber Lv 3</v>
      </c>
      <c r="D346" s="49" t="str">
        <f t="array" ref="D346">_xlfn.XLOOKUP(
 B346,
 tblTargets[TargetID],
 tblTargets[TargetType],
 ""
)</f>
        <v>BUILDING</v>
      </c>
      <c r="E346" s="49" t="s">
        <v>119</v>
      </c>
      <c r="F346" s="49">
        <v>1.0</v>
      </c>
      <c r="G346" s="49">
        <f t="array" ref="G346">_xlfn.XLOOKUP(
 A346,
 tblCost[RequirementID],
 tblCost[QuantityRequired],
 ""
)</f>
        <v>800</v>
      </c>
      <c r="H346" s="49">
        <f t="array" ref="H346">IF(
 OR(
  LEFT(B346,15)="state.character",
  RIGHT(B346,6)=".maxed"
 ),
 0,
 LET(
  sort,
   _xlfn.XLOOKUP(
    B346,
    tblChecklist[TargetID],
    tblChecklist[PlayerSort],
    0
   ),
  IF(sort=0,500,sort)
 )
)</f>
        <v>18</v>
      </c>
      <c r="I346" s="49" t="str">
        <f t="array" ref="I346">_xlfn.XLOOKUP(
 B346,
 tblTargetStatus[TargetID],
 tblTargetStatus[Status],
 ""
)</f>
        <v>BLOCKED</v>
      </c>
      <c r="J346" s="45" t="b">
        <v>0</v>
      </c>
    </row>
    <row r="347" ht="14.25" hidden="1" customHeight="1">
      <c r="A347" s="49" t="s">
        <v>1788</v>
      </c>
      <c r="B347" s="49" t="str">
        <f>IFERROR(__xludf.DUMMYFUNCTION("REGEXREPLACE(
 REGEXREPLACE(A347,""^cost\."",""""),
 ""\.[^.]+\.[^.]+$"",
 """"
)"),"building.lumber@3")</f>
        <v>building.lumber@3</v>
      </c>
      <c r="C347" s="49" t="str">
        <f t="array" ref="C347">_xlfn.XLOOKUP(
 B347,
 tblTargets[TargetID],
 tblTargets[DisplayName],
 ""
)</f>
        <v>Lumber Lv 3</v>
      </c>
      <c r="D347" s="49" t="str">
        <f t="array" ref="D347">_xlfn.XLOOKUP(
 B347,
 tblTargets[TargetID],
 tblTargets[TargetType],
 ""
)</f>
        <v>BUILDING</v>
      </c>
      <c r="E347" s="49" t="s">
        <v>6</v>
      </c>
      <c r="F347" s="49">
        <v>1.0</v>
      </c>
      <c r="G347" s="49">
        <f t="array" ref="G347">_xlfn.XLOOKUP(
 A347,
 tblCost[RequirementID],
 tblCost[QuantityRequired],
 ""
)</f>
        <v>5</v>
      </c>
      <c r="H347" s="49">
        <f t="array" ref="H347">IF(
 OR(
  LEFT(B347,15)="state.character",
  RIGHT(B347,6)=".maxed"
 ),
 0,
 LET(
  sort,
   _xlfn.XLOOKUP(
    B347,
    tblChecklist[TargetID],
    tblChecklist[PlayerSort],
    0
   ),
  IF(sort=0,500,sort)
 )
)</f>
        <v>18</v>
      </c>
      <c r="I347" s="49" t="str">
        <f t="array" ref="I347">_xlfn.XLOOKUP(
 B347,
 tblTargetStatus[TargetID],
 tblTargetStatus[Status],
 ""
)</f>
        <v>BLOCKED</v>
      </c>
      <c r="J347" s="45" t="b">
        <v>0</v>
      </c>
    </row>
    <row r="348" ht="14.25" hidden="1" customHeight="1">
      <c r="A348" s="49" t="s">
        <v>1797</v>
      </c>
      <c r="B348" s="49" t="str">
        <f>IFERROR(__xludf.DUMMYFUNCTION("REGEXREPLACE(
 REGEXREPLACE(A348,""^cost\."",""""),
 ""\.[^.]+\.[^.]+$"",
 """"
)"),"building.lumber@3")</f>
        <v>building.lumber@3</v>
      </c>
      <c r="C348" s="49" t="str">
        <f t="array" ref="C348">_xlfn.XLOOKUP(
 B348,
 tblTargets[TargetID],
 tblTargets[DisplayName],
 ""
)</f>
        <v>Lumber Lv 3</v>
      </c>
      <c r="D348" s="49" t="str">
        <f t="array" ref="D348">_xlfn.XLOOKUP(
 B348,
 tblTargets[TargetID],
 tblTargets[TargetType],
 ""
)</f>
        <v>BUILDING</v>
      </c>
      <c r="E348" s="49" t="s">
        <v>392</v>
      </c>
      <c r="F348" s="49">
        <v>1.0</v>
      </c>
      <c r="G348" s="49">
        <f t="array" ref="G348">_xlfn.XLOOKUP(
 A348,
 tblCost[RequirementID],
 tblCost[QuantityRequired],
 ""
)</f>
        <v>100</v>
      </c>
      <c r="H348" s="49">
        <f t="array" ref="H348">IF(
 OR(
  LEFT(B348,15)="state.character",
  RIGHT(B348,6)=".maxed"
 ),
 0,
 LET(
  sort,
   _xlfn.XLOOKUP(
    B348,
    tblChecklist[TargetID],
    tblChecklist[PlayerSort],
    0
   ),
  IF(sort=0,500,sort)
 )
)</f>
        <v>18</v>
      </c>
      <c r="I348" s="49" t="str">
        <f t="array" ref="I348">_xlfn.XLOOKUP(
 B348,
 tblTargetStatus[TargetID],
 tblTargetStatus[Status],
 ""
)</f>
        <v>BLOCKED</v>
      </c>
      <c r="J348" s="45" t="b">
        <v>0</v>
      </c>
    </row>
    <row r="349" ht="14.25" hidden="1" customHeight="1">
      <c r="A349" s="49" t="s">
        <v>1804</v>
      </c>
      <c r="B349" s="49" t="str">
        <f>IFERROR(__xludf.DUMMYFUNCTION("REGEXREPLACE(
 REGEXREPLACE(A349,""^cost\."",""""),
 ""\.[^.]+\.[^.]+$"",
 """"
)"),"building.lumber@3")</f>
        <v>building.lumber@3</v>
      </c>
      <c r="C349" s="49" t="str">
        <f t="array" ref="C349">_xlfn.XLOOKUP(
 B349,
 tblTargets[TargetID],
 tblTargets[DisplayName],
 ""
)</f>
        <v>Lumber Lv 3</v>
      </c>
      <c r="D349" s="49" t="str">
        <f t="array" ref="D349">_xlfn.XLOOKUP(
 B349,
 tblTargets[TargetID],
 tblTargets[TargetType],
 ""
)</f>
        <v>BUILDING</v>
      </c>
      <c r="E349" s="49" t="s">
        <v>237</v>
      </c>
      <c r="F349" s="49">
        <v>1.0</v>
      </c>
      <c r="G349" s="49">
        <f t="array" ref="G349">_xlfn.XLOOKUP(
 A349,
 tblCost[RequirementID],
 tblCost[QuantityRequired],
 ""
)</f>
        <v>300</v>
      </c>
      <c r="H349" s="49">
        <f t="array" ref="H349">IF(
 OR(
  LEFT(B349,15)="state.character",
  RIGHT(B349,6)=".maxed"
 ),
 0,
 LET(
  sort,
   _xlfn.XLOOKUP(
    B349,
    tblChecklist[TargetID],
    tblChecklist[PlayerSort],
    0
   ),
  IF(sort=0,500,sort)
 )
)</f>
        <v>18</v>
      </c>
      <c r="I349" s="49" t="str">
        <f t="array" ref="I349">_xlfn.XLOOKUP(
 B349,
 tblTargetStatus[TargetID],
 tblTargetStatus[Status],
 ""
)</f>
        <v>BLOCKED</v>
      </c>
      <c r="J349" s="45" t="b">
        <v>0</v>
      </c>
    </row>
    <row r="350" ht="14.25" hidden="1" customHeight="1">
      <c r="A350" s="49" t="s">
        <v>1811</v>
      </c>
      <c r="B350" s="49" t="str">
        <f>IFERROR(__xludf.DUMMYFUNCTION("REGEXREPLACE(
 REGEXREPLACE(A350,""^cost\."",""""),
 ""\.[^.]+\.[^.]+$"",
 """"
)"),"building.onsen@1")</f>
        <v>building.onsen@1</v>
      </c>
      <c r="C350" s="49" t="str">
        <f t="array" ref="C350">_xlfn.XLOOKUP(
 B350,
 tblTargets[TargetID],
 tblTargets[DisplayName],
 ""
)</f>
        <v>Onsen Lv 1</v>
      </c>
      <c r="D350" s="49" t="str">
        <f t="array" ref="D350">_xlfn.XLOOKUP(
 B350,
 tblTargets[TargetID],
 tblTargets[TargetType],
 ""
)</f>
        <v>BUILDING</v>
      </c>
      <c r="E350" s="49" t="s">
        <v>119</v>
      </c>
      <c r="F350" s="49">
        <v>1.0</v>
      </c>
      <c r="G350" s="49">
        <f t="array" ref="G350">_xlfn.XLOOKUP(
 A350,
 tblCost[RequirementID],
 tblCost[QuantityRequired],
 ""
)</f>
        <v>500</v>
      </c>
      <c r="H350" s="49">
        <f t="array" ref="H350">IF(
 OR(
  LEFT(B350,15)="state.character",
  RIGHT(B350,6)=".maxed"
 ),
 0,
 LET(
  sort,
   _xlfn.XLOOKUP(
    B350,
    tblChecklist[TargetID],
    tblChecklist[PlayerSort],
    0
   ),
  IF(sort=0,500,sort)
 )
)</f>
        <v>91</v>
      </c>
      <c r="I350" s="49" t="str">
        <f t="array" ref="I350">_xlfn.XLOOKUP(
 B350,
 tblTargetStatus[TargetID],
 tblTargetStatus[Status],
 ""
)</f>
        <v>BLOCKED</v>
      </c>
      <c r="J350" s="45" t="b">
        <v>0</v>
      </c>
    </row>
    <row r="351" ht="14.25" hidden="1" customHeight="1">
      <c r="A351" s="49" t="s">
        <v>1820</v>
      </c>
      <c r="B351" s="49" t="str">
        <f>IFERROR(__xludf.DUMMYFUNCTION("REGEXREPLACE(
 REGEXREPLACE(A351,""^cost\."",""""),
 ""\.[^.]+\.[^.]+$"",
 """"
)"),"building.onsen@1")</f>
        <v>building.onsen@1</v>
      </c>
      <c r="C351" s="49" t="str">
        <f t="array" ref="C351">_xlfn.XLOOKUP(
 B351,
 tblTargets[TargetID],
 tblTargets[DisplayName],
 ""
)</f>
        <v>Onsen Lv 1</v>
      </c>
      <c r="D351" s="49" t="str">
        <f t="array" ref="D351">_xlfn.XLOOKUP(
 B351,
 tblTargets[TargetID],
 tblTargets[TargetType],
 ""
)</f>
        <v>BUILDING</v>
      </c>
      <c r="E351" s="49" t="s">
        <v>187</v>
      </c>
      <c r="F351" s="49">
        <v>1.0</v>
      </c>
      <c r="G351" s="49">
        <f t="array" ref="G351">_xlfn.XLOOKUP(
 A351,
 tblCost[RequirementID],
 tblCost[QuantityRequired],
 ""
)</f>
        <v>500</v>
      </c>
      <c r="H351" s="49">
        <f t="array" ref="H351">IF(
 OR(
  LEFT(B351,15)="state.character",
  RIGHT(B351,6)=".maxed"
 ),
 0,
 LET(
  sort,
   _xlfn.XLOOKUP(
    B351,
    tblChecklist[TargetID],
    tblChecklist[PlayerSort],
    0
   ),
  IF(sort=0,500,sort)
 )
)</f>
        <v>91</v>
      </c>
      <c r="I351" s="49" t="str">
        <f t="array" ref="I351">_xlfn.XLOOKUP(
 B351,
 tblTargetStatus[TargetID],
 tblTargetStatus[Status],
 ""
)</f>
        <v>BLOCKED</v>
      </c>
      <c r="J351" s="45" t="b">
        <v>0</v>
      </c>
    </row>
    <row r="352" ht="14.25" hidden="1" customHeight="1">
      <c r="A352" s="49" t="s">
        <v>1830</v>
      </c>
      <c r="B352" s="49" t="str">
        <f>IFERROR(__xludf.DUMMYFUNCTION("REGEXREPLACE(
 REGEXREPLACE(A352,""^cost\."",""""),
 ""\.[^.]+\.[^.]+$"",
 """"
)"),"building.onsen@1")</f>
        <v>building.onsen@1</v>
      </c>
      <c r="C352" s="49" t="str">
        <f t="array" ref="C352">_xlfn.XLOOKUP(
 B352,
 tblTargets[TargetID],
 tblTargets[DisplayName],
 ""
)</f>
        <v>Onsen Lv 1</v>
      </c>
      <c r="D352" s="49" t="str">
        <f t="array" ref="D352">_xlfn.XLOOKUP(
 B352,
 tblTargets[TargetID],
 tblTargets[TargetType],
 ""
)</f>
        <v>BUILDING</v>
      </c>
      <c r="E352" s="49" t="s">
        <v>6</v>
      </c>
      <c r="F352" s="49">
        <v>1.0</v>
      </c>
      <c r="G352" s="49">
        <f t="array" ref="G352">_xlfn.XLOOKUP(
 A352,
 tblCost[RequirementID],
 tblCost[QuantityRequired],
 ""
)</f>
        <v>3</v>
      </c>
      <c r="H352" s="49">
        <f t="array" ref="H352">IF(
 OR(
  LEFT(B352,15)="state.character",
  RIGHT(B352,6)=".maxed"
 ),
 0,
 LET(
  sort,
   _xlfn.XLOOKUP(
    B352,
    tblChecklist[TargetID],
    tblChecklist[PlayerSort],
    0
   ),
  IF(sort=0,500,sort)
 )
)</f>
        <v>91</v>
      </c>
      <c r="I352" s="49" t="str">
        <f t="array" ref="I352">_xlfn.XLOOKUP(
 B352,
 tblTargetStatus[TargetID],
 tblTargetStatus[Status],
 ""
)</f>
        <v>BLOCKED</v>
      </c>
      <c r="J352" s="45" t="b">
        <v>0</v>
      </c>
    </row>
    <row r="353" ht="14.25" hidden="1" customHeight="1">
      <c r="A353" s="49" t="s">
        <v>1840</v>
      </c>
      <c r="B353" s="49" t="str">
        <f>IFERROR(__xludf.DUMMYFUNCTION("REGEXREPLACE(
 REGEXREPLACE(A353,""^cost\."",""""),
 ""\.[^.]+\.[^.]+$"",
 """"
)"),"building.onsen@1")</f>
        <v>building.onsen@1</v>
      </c>
      <c r="C353" s="49" t="str">
        <f t="array" ref="C353">_xlfn.XLOOKUP(
 B353,
 tblTargets[TargetID],
 tblTargets[DisplayName],
 ""
)</f>
        <v>Onsen Lv 1</v>
      </c>
      <c r="D353" s="49" t="str">
        <f t="array" ref="D353">_xlfn.XLOOKUP(
 B353,
 tblTargets[TargetID],
 tblTargets[TargetType],
 ""
)</f>
        <v>BUILDING</v>
      </c>
      <c r="E353" s="49" t="s">
        <v>237</v>
      </c>
      <c r="F353" s="49">
        <v>1.0</v>
      </c>
      <c r="G353" s="49">
        <f t="array" ref="G353">_xlfn.XLOOKUP(
 A353,
 tblCost[RequirementID],
 tblCost[QuantityRequired],
 ""
)</f>
        <v>400</v>
      </c>
      <c r="H353" s="49">
        <f t="array" ref="H353">IF(
 OR(
  LEFT(B353,15)="state.character",
  RIGHT(B353,6)=".maxed"
 ),
 0,
 LET(
  sort,
   _xlfn.XLOOKUP(
    B353,
    tblChecklist[TargetID],
    tblChecklist[PlayerSort],
    0
   ),
  IF(sort=0,500,sort)
 )
)</f>
        <v>91</v>
      </c>
      <c r="I353" s="49" t="str">
        <f t="array" ref="I353">_xlfn.XLOOKUP(
 B353,
 tblTargetStatus[TargetID],
 tblTargetStatus[Status],
 ""
)</f>
        <v>BLOCKED</v>
      </c>
      <c r="J353" s="45" t="b">
        <v>0</v>
      </c>
    </row>
    <row r="354" ht="14.25" hidden="1" customHeight="1">
      <c r="A354" s="49" t="s">
        <v>1849</v>
      </c>
      <c r="B354" s="49" t="str">
        <f>IFERROR(__xludf.DUMMYFUNCTION("REGEXREPLACE(
 REGEXREPLACE(A354,""^cost\."",""""),
 ""\.[^.]+\.[^.]+$"",
 """"
)"),"building.onsen@2")</f>
        <v>building.onsen@2</v>
      </c>
      <c r="C354" s="49" t="str">
        <f t="array" ref="C354">_xlfn.XLOOKUP(
 B354,
 tblTargets[TargetID],
 tblTargets[DisplayName],
 ""
)</f>
        <v>Onsen Lv 2</v>
      </c>
      <c r="D354" s="49" t="str">
        <f t="array" ref="D354">_xlfn.XLOOKUP(
 B354,
 tblTargets[TargetID],
 tblTargets[TargetType],
 ""
)</f>
        <v>BUILDING</v>
      </c>
      <c r="E354" s="49" t="s">
        <v>119</v>
      </c>
      <c r="F354" s="49">
        <v>1.0</v>
      </c>
      <c r="G354" s="49">
        <f t="array" ref="G354">_xlfn.XLOOKUP(
 A354,
 tblCost[RequirementID],
 tblCost[QuantityRequired],
 ""
)</f>
        <v>800</v>
      </c>
      <c r="H354" s="49">
        <f t="array" ref="H354">IF(
 OR(
  LEFT(B354,15)="state.character",
  RIGHT(B354,6)=".maxed"
 ),
 0,
 LET(
  sort,
   _xlfn.XLOOKUP(
    B354,
    tblChecklist[TargetID],
    tblChecklist[PlayerSort],
    0
   ),
  IF(sort=0,500,sort)
 )
)</f>
        <v>92</v>
      </c>
      <c r="I354" s="49" t="str">
        <f t="array" ref="I354">_xlfn.XLOOKUP(
 B354,
 tblTargetStatus[TargetID],
 tblTargetStatus[Status],
 ""
)</f>
        <v>BLOCKED</v>
      </c>
      <c r="J354" s="45" t="b">
        <v>0</v>
      </c>
    </row>
    <row r="355" ht="14.25" hidden="1" customHeight="1">
      <c r="A355" s="49" t="s">
        <v>1860</v>
      </c>
      <c r="B355" s="49" t="str">
        <f>IFERROR(__xludf.DUMMYFUNCTION("REGEXREPLACE(
 REGEXREPLACE(A355,""^cost\."",""""),
 ""\.[^.]+\.[^.]+$"",
 """"
)"),"building.onsen@2")</f>
        <v>building.onsen@2</v>
      </c>
      <c r="C355" s="49" t="str">
        <f t="array" ref="C355">_xlfn.XLOOKUP(
 B355,
 tblTargets[TargetID],
 tblTargets[DisplayName],
 ""
)</f>
        <v>Onsen Lv 2</v>
      </c>
      <c r="D355" s="49" t="str">
        <f t="array" ref="D355">_xlfn.XLOOKUP(
 B355,
 tblTargets[TargetID],
 tblTargets[TargetType],
 ""
)</f>
        <v>BUILDING</v>
      </c>
      <c r="E355" s="49" t="s">
        <v>187</v>
      </c>
      <c r="F355" s="49">
        <v>1.0</v>
      </c>
      <c r="G355" s="49">
        <f t="array" ref="G355">_xlfn.XLOOKUP(
 A355,
 tblCost[RequirementID],
 tblCost[QuantityRequired],
 ""
)</f>
        <v>600</v>
      </c>
      <c r="H355" s="49">
        <f t="array" ref="H355">IF(
 OR(
  LEFT(B355,15)="state.character",
  RIGHT(B355,6)=".maxed"
 ),
 0,
 LET(
  sort,
   _xlfn.XLOOKUP(
    B355,
    tblChecklist[TargetID],
    tblChecklist[PlayerSort],
    0
   ),
  IF(sort=0,500,sort)
 )
)</f>
        <v>92</v>
      </c>
      <c r="I355" s="49" t="str">
        <f t="array" ref="I355">_xlfn.XLOOKUP(
 B355,
 tblTargetStatus[TargetID],
 tblTargetStatus[Status],
 ""
)</f>
        <v>BLOCKED</v>
      </c>
      <c r="J355" s="45" t="b">
        <v>0</v>
      </c>
    </row>
    <row r="356" ht="14.25" hidden="1" customHeight="1">
      <c r="A356" s="49" t="s">
        <v>1869</v>
      </c>
      <c r="B356" s="49" t="str">
        <f>IFERROR(__xludf.DUMMYFUNCTION("REGEXREPLACE(
 REGEXREPLACE(A356,""^cost\."",""""),
 ""\.[^.]+\.[^.]+$"",
 """"
)"),"building.onsen@2")</f>
        <v>building.onsen@2</v>
      </c>
      <c r="C356" s="49" t="str">
        <f t="array" ref="C356">_xlfn.XLOOKUP(
 B356,
 tblTargets[TargetID],
 tblTargets[DisplayName],
 ""
)</f>
        <v>Onsen Lv 2</v>
      </c>
      <c r="D356" s="49" t="str">
        <f t="array" ref="D356">_xlfn.XLOOKUP(
 B356,
 tblTargets[TargetID],
 tblTargets[TargetType],
 ""
)</f>
        <v>BUILDING</v>
      </c>
      <c r="E356" s="49" t="s">
        <v>6</v>
      </c>
      <c r="F356" s="49">
        <v>1.0</v>
      </c>
      <c r="G356" s="49">
        <f t="array" ref="G356">_xlfn.XLOOKUP(
 A356,
 tblCost[RequirementID],
 tblCost[QuantityRequired],
 ""
)</f>
        <v>5</v>
      </c>
      <c r="H356" s="49">
        <f t="array" ref="H356">IF(
 OR(
  LEFT(B356,15)="state.character",
  RIGHT(B356,6)=".maxed"
 ),
 0,
 LET(
  sort,
   _xlfn.XLOOKUP(
    B356,
    tblChecklist[TargetID],
    tblChecklist[PlayerSort],
    0
   ),
  IF(sort=0,500,sort)
 )
)</f>
        <v>92</v>
      </c>
      <c r="I356" s="49" t="str">
        <f t="array" ref="I356">_xlfn.XLOOKUP(
 B356,
 tblTargetStatus[TargetID],
 tblTargetStatus[Status],
 ""
)</f>
        <v>BLOCKED</v>
      </c>
      <c r="J356" s="45" t="b">
        <v>0</v>
      </c>
    </row>
    <row r="357" ht="14.25" hidden="1" customHeight="1">
      <c r="A357" s="49" t="s">
        <v>1876</v>
      </c>
      <c r="B357" s="49" t="str">
        <f>IFERROR(__xludf.DUMMYFUNCTION("REGEXREPLACE(
 REGEXREPLACE(A357,""^cost\."",""""),
 ""\.[^.]+\.[^.]+$"",
 """"
)"),"building.onsen@2")</f>
        <v>building.onsen@2</v>
      </c>
      <c r="C357" s="49" t="str">
        <f t="array" ref="C357">_xlfn.XLOOKUP(
 B357,
 tblTargets[TargetID],
 tblTargets[DisplayName],
 ""
)</f>
        <v>Onsen Lv 2</v>
      </c>
      <c r="D357" s="49" t="str">
        <f t="array" ref="D357">_xlfn.XLOOKUP(
 B357,
 tblTargets[TargetID],
 tblTargets[TargetType],
 ""
)</f>
        <v>BUILDING</v>
      </c>
      <c r="E357" s="49" t="s">
        <v>237</v>
      </c>
      <c r="F357" s="49">
        <v>1.0</v>
      </c>
      <c r="G357" s="49">
        <f t="array" ref="G357">_xlfn.XLOOKUP(
 A357,
 tblCost[RequirementID],
 tblCost[QuantityRequired],
 ""
)</f>
        <v>500</v>
      </c>
      <c r="H357" s="49">
        <f t="array" ref="H357">IF(
 OR(
  LEFT(B357,15)="state.character",
  RIGHT(B357,6)=".maxed"
 ),
 0,
 LET(
  sort,
   _xlfn.XLOOKUP(
    B357,
    tblChecklist[TargetID],
    tblChecklist[PlayerSort],
    0
   ),
  IF(sort=0,500,sort)
 )
)</f>
        <v>92</v>
      </c>
      <c r="I357" s="49" t="str">
        <f t="array" ref="I357">_xlfn.XLOOKUP(
 B357,
 tblTargetStatus[TargetID],
 tblTargetStatus[Status],
 ""
)</f>
        <v>BLOCKED</v>
      </c>
      <c r="J357" s="45" t="b">
        <v>0</v>
      </c>
    </row>
    <row r="358" ht="14.25" hidden="1" customHeight="1">
      <c r="A358" s="49" t="s">
        <v>1887</v>
      </c>
      <c r="B358" s="49" t="str">
        <f>IFERROR(__xludf.DUMMYFUNCTION("REGEXREPLACE(
 REGEXREPLACE(A358,""^cost\."",""""),
 ""\.[^.]+\.[^.]+$"",
 """"
)"),"building.outpost@1")</f>
        <v>building.outpost@1</v>
      </c>
      <c r="C358" s="49" t="str">
        <f t="array" ref="C358">_xlfn.XLOOKUP(
 B358,
 tblTargets[TargetID],
 tblTargets[DisplayName],
 ""
)</f>
        <v>Outpost Lv 1</v>
      </c>
      <c r="D358" s="49" t="str">
        <f t="array" ref="D358">_xlfn.XLOOKUP(
 B358,
 tblTargets[TargetID],
 tblTargets[TargetType],
 ""
)</f>
        <v>BUILDING</v>
      </c>
      <c r="E358" s="49" t="s">
        <v>1890</v>
      </c>
      <c r="F358" s="49">
        <v>1.0</v>
      </c>
      <c r="G358" s="49">
        <f t="array" ref="G358">_xlfn.XLOOKUP(
 A358,
 tblCost[RequirementID],
 tblCost[QuantityRequired],
 ""
)</f>
        <v>300</v>
      </c>
      <c r="H358" s="49">
        <f t="array" ref="H358">IF(
 OR(
  LEFT(B358,15)="state.character",
  RIGHT(B358,6)=".maxed"
 ),
 0,
 LET(
  sort,
   _xlfn.XLOOKUP(
    B358,
    tblChecklist[TargetID],
    tblChecklist[PlayerSort],
    0
   ),
  IF(sort=0,500,sort)
 )
)</f>
        <v>28</v>
      </c>
      <c r="I358" s="49" t="str">
        <f t="array" ref="I358">_xlfn.XLOOKUP(
 B358,
 tblTargetStatus[TargetID],
 tblTargetStatus[Status],
 ""
)</f>
        <v>BLOCKED</v>
      </c>
      <c r="J358" s="45" t="b">
        <v>0</v>
      </c>
    </row>
    <row r="359" ht="14.25" hidden="1" customHeight="1">
      <c r="A359" s="49" t="s">
        <v>1897</v>
      </c>
      <c r="B359" s="49" t="str">
        <f>IFERROR(__xludf.DUMMYFUNCTION("REGEXREPLACE(
 REGEXREPLACE(A359,""^cost\."",""""),
 ""\.[^.]+\.[^.]+$"",
 """"
)"),"building.outpost@1")</f>
        <v>building.outpost@1</v>
      </c>
      <c r="C359" s="49" t="str">
        <f t="array" ref="C359">_xlfn.XLOOKUP(
 B359,
 tblTargets[TargetID],
 tblTargets[DisplayName],
 ""
)</f>
        <v>Outpost Lv 1</v>
      </c>
      <c r="D359" s="49" t="str">
        <f t="array" ref="D359">_xlfn.XLOOKUP(
 B359,
 tblTargets[TargetID],
 tblTargets[TargetType],
 ""
)</f>
        <v>BUILDING</v>
      </c>
      <c r="E359" s="49" t="s">
        <v>278</v>
      </c>
      <c r="F359" s="49">
        <v>1.0</v>
      </c>
      <c r="G359" s="49">
        <f t="array" ref="G359">_xlfn.XLOOKUP(
 A359,
 tblCost[RequirementID],
 tblCost[QuantityRequired],
 ""
)</f>
        <v>1000</v>
      </c>
      <c r="H359" s="49">
        <f t="array" ref="H359">IF(
 OR(
  LEFT(B359,15)="state.character",
  RIGHT(B359,6)=".maxed"
 ),
 0,
 LET(
  sort,
   _xlfn.XLOOKUP(
    B359,
    tblChecklist[TargetID],
    tblChecklist[PlayerSort],
    0
   ),
  IF(sort=0,500,sort)
 )
)</f>
        <v>28</v>
      </c>
      <c r="I359" s="49" t="str">
        <f t="array" ref="I359">_xlfn.XLOOKUP(
 B359,
 tblTargetStatus[TargetID],
 tblTargetStatus[Status],
 ""
)</f>
        <v>BLOCKED</v>
      </c>
      <c r="J359" s="45" t="b">
        <v>0</v>
      </c>
    </row>
    <row r="360" ht="14.25" hidden="1" customHeight="1">
      <c r="A360" s="49" t="s">
        <v>1908</v>
      </c>
      <c r="B360" s="49" t="str">
        <f>IFERROR(__xludf.DUMMYFUNCTION("REGEXREPLACE(
 REGEXREPLACE(A360,""^cost\."",""""),
 ""\.[^.]+\.[^.]+$"",
 """"
)"),"building.outpost@1")</f>
        <v>building.outpost@1</v>
      </c>
      <c r="C360" s="49" t="str">
        <f t="array" ref="C360">_xlfn.XLOOKUP(
 B360,
 tblTargets[TargetID],
 tblTargets[DisplayName],
 ""
)</f>
        <v>Outpost Lv 1</v>
      </c>
      <c r="D360" s="49" t="str">
        <f t="array" ref="D360">_xlfn.XLOOKUP(
 B360,
 tblTargets[TargetID],
 tblTargets[TargetType],
 ""
)</f>
        <v>BUILDING</v>
      </c>
      <c r="E360" s="49" t="s">
        <v>119</v>
      </c>
      <c r="F360" s="49">
        <v>1.0</v>
      </c>
      <c r="G360" s="49">
        <f t="array" ref="G360">_xlfn.XLOOKUP(
 A360,
 tblCost[RequirementID],
 tblCost[QuantityRequired],
 ""
)</f>
        <v>1000</v>
      </c>
      <c r="H360" s="49">
        <f t="array" ref="H360">IF(
 OR(
  LEFT(B360,15)="state.character",
  RIGHT(B360,6)=".maxed"
 ),
 0,
 LET(
  sort,
   _xlfn.XLOOKUP(
    B360,
    tblChecklist[TargetID],
    tblChecklist[PlayerSort],
    0
   ),
  IF(sort=0,500,sort)
 )
)</f>
        <v>28</v>
      </c>
      <c r="I360" s="49" t="str">
        <f t="array" ref="I360">_xlfn.XLOOKUP(
 B360,
 tblTargetStatus[TargetID],
 tblTargetStatus[Status],
 ""
)</f>
        <v>BLOCKED</v>
      </c>
      <c r="J360" s="45" t="b">
        <v>0</v>
      </c>
    </row>
    <row r="361" ht="14.25" hidden="1" customHeight="1">
      <c r="A361" s="49" t="s">
        <v>1917</v>
      </c>
      <c r="B361" s="49" t="str">
        <f>IFERROR(__xludf.DUMMYFUNCTION("REGEXREPLACE(
 REGEXREPLACE(A361,""^cost\."",""""),
 ""\.[^.]+\.[^.]+$"",
 """"
)"),"building.outpost@1")</f>
        <v>building.outpost@1</v>
      </c>
      <c r="C361" s="49" t="str">
        <f t="array" ref="C361">_xlfn.XLOOKUP(
 B361,
 tblTargets[TargetID],
 tblTargets[DisplayName],
 ""
)</f>
        <v>Outpost Lv 1</v>
      </c>
      <c r="D361" s="49" t="str">
        <f t="array" ref="D361">_xlfn.XLOOKUP(
 B361,
 tblTargets[TargetID],
 tblTargets[TargetType],
 ""
)</f>
        <v>BUILDING</v>
      </c>
      <c r="E361" s="49" t="s">
        <v>1922</v>
      </c>
      <c r="F361" s="49">
        <v>1.0</v>
      </c>
      <c r="G361" s="49">
        <f t="array" ref="G361">_xlfn.XLOOKUP(
 A361,
 tblCost[RequirementID],
 tblCost[QuantityRequired],
 ""
)</f>
        <v>100</v>
      </c>
      <c r="H361" s="49">
        <f t="array" ref="H361">IF(
 OR(
  LEFT(B361,15)="state.character",
  RIGHT(B361,6)=".maxed"
 ),
 0,
 LET(
  sort,
   _xlfn.XLOOKUP(
    B361,
    tblChecklist[TargetID],
    tblChecklist[PlayerSort],
    0
   ),
  IF(sort=0,500,sort)
 )
)</f>
        <v>28</v>
      </c>
      <c r="I361" s="49" t="str">
        <f t="array" ref="I361">_xlfn.XLOOKUP(
 B361,
 tblTargetStatus[TargetID],
 tblTargetStatus[Status],
 ""
)</f>
        <v>BLOCKED</v>
      </c>
      <c r="J361" s="45" t="b">
        <v>0</v>
      </c>
    </row>
    <row r="362" ht="14.25" hidden="1" customHeight="1">
      <c r="A362" s="49" t="s">
        <v>1928</v>
      </c>
      <c r="B362" s="49" t="str">
        <f>IFERROR(__xludf.DUMMYFUNCTION("REGEXREPLACE(
 REGEXREPLACE(A362,""^cost\."",""""),
 ""\.[^.]+\.[^.]+$"",
 """"
)"),"building.outpost@1")</f>
        <v>building.outpost@1</v>
      </c>
      <c r="C362" s="49" t="str">
        <f t="array" ref="C362">_xlfn.XLOOKUP(
 B362,
 tblTargets[TargetID],
 tblTargets[DisplayName],
 ""
)</f>
        <v>Outpost Lv 1</v>
      </c>
      <c r="D362" s="49" t="str">
        <f t="array" ref="D362">_xlfn.XLOOKUP(
 B362,
 tblTargets[TargetID],
 tblTargets[TargetType],
 ""
)</f>
        <v>BUILDING</v>
      </c>
      <c r="E362" s="49" t="s">
        <v>6</v>
      </c>
      <c r="F362" s="49">
        <v>1.0</v>
      </c>
      <c r="G362" s="49">
        <f t="array" ref="G362">_xlfn.XLOOKUP(
 A362,
 tblCost[RequirementID],
 tblCost[QuantityRequired],
 ""
)</f>
        <v>6</v>
      </c>
      <c r="H362" s="49">
        <f t="array" ref="H362">IF(
 OR(
  LEFT(B362,15)="state.character",
  RIGHT(B362,6)=".maxed"
 ),
 0,
 LET(
  sort,
   _xlfn.XLOOKUP(
    B362,
    tblChecklist[TargetID],
    tblChecklist[PlayerSort],
    0
   ),
  IF(sort=0,500,sort)
 )
)</f>
        <v>28</v>
      </c>
      <c r="I362" s="49" t="str">
        <f t="array" ref="I362">_xlfn.XLOOKUP(
 B362,
 tblTargetStatus[TargetID],
 tblTargetStatus[Status],
 ""
)</f>
        <v>BLOCKED</v>
      </c>
      <c r="J362" s="45" t="b">
        <v>0</v>
      </c>
    </row>
    <row r="363" ht="14.25" hidden="1" customHeight="1">
      <c r="A363" s="49" t="s">
        <v>1935</v>
      </c>
      <c r="B363" s="49" t="str">
        <f>IFERROR(__xludf.DUMMYFUNCTION("REGEXREPLACE(
 REGEXREPLACE(A363,""^cost\."",""""),
 ""\.[^.]+\.[^.]+$"",
 """"
)"),"building.outpost@1")</f>
        <v>building.outpost@1</v>
      </c>
      <c r="C363" s="49" t="str">
        <f t="array" ref="C363">_xlfn.XLOOKUP(
 B363,
 tblTargets[TargetID],
 tblTargets[DisplayName],
 ""
)</f>
        <v>Outpost Lv 1</v>
      </c>
      <c r="D363" s="49" t="str">
        <f t="array" ref="D363">_xlfn.XLOOKUP(
 B363,
 tblTargets[TargetID],
 tblTargets[TargetType],
 ""
)</f>
        <v>BUILDING</v>
      </c>
      <c r="E363" s="49" t="s">
        <v>237</v>
      </c>
      <c r="F363" s="49">
        <v>1.0</v>
      </c>
      <c r="G363" s="49">
        <f t="array" ref="G363">_xlfn.XLOOKUP(
 A363,
 tblCost[RequirementID],
 tblCost[QuantityRequired],
 ""
)</f>
        <v>1000</v>
      </c>
      <c r="H363" s="49">
        <f t="array" ref="H363">IF(
 OR(
  LEFT(B363,15)="state.character",
  RIGHT(B363,6)=".maxed"
 ),
 0,
 LET(
  sort,
   _xlfn.XLOOKUP(
    B363,
    tblChecklist[TargetID],
    tblChecklist[PlayerSort],
    0
   ),
  IF(sort=0,500,sort)
 )
)</f>
        <v>28</v>
      </c>
      <c r="I363" s="49" t="str">
        <f t="array" ref="I363">_xlfn.XLOOKUP(
 B363,
 tblTargetStatus[TargetID],
 tblTargetStatus[Status],
 ""
)</f>
        <v>BLOCKED</v>
      </c>
      <c r="J363" s="45" t="b">
        <v>0</v>
      </c>
    </row>
    <row r="364" ht="14.25" hidden="1" customHeight="1">
      <c r="A364" s="49" t="s">
        <v>1936</v>
      </c>
      <c r="B364" s="49" t="str">
        <f>IFERROR(__xludf.DUMMYFUNCTION("REGEXREPLACE(
 REGEXREPLACE(A364,""^cost\."",""""),
 ""\.[^.]+\.[^.]+$"",
 """"
)"),"building.outpost@2")</f>
        <v>building.outpost@2</v>
      </c>
      <c r="C364" s="49" t="str">
        <f t="array" ref="C364">_xlfn.XLOOKUP(
 B364,
 tblTargets[TargetID],
 tblTargets[DisplayName],
 ""
)</f>
        <v>Outpost Lv 2</v>
      </c>
      <c r="D364" s="49" t="str">
        <f t="array" ref="D364">_xlfn.XLOOKUP(
 B364,
 tblTargets[TargetID],
 tblTargets[TargetType],
 ""
)</f>
        <v>BUILDING</v>
      </c>
      <c r="E364" s="49" t="s">
        <v>278</v>
      </c>
      <c r="F364" s="49">
        <v>1.0</v>
      </c>
      <c r="G364" s="49">
        <f t="array" ref="G364">_xlfn.XLOOKUP(
 A364,
 tblCost[RequirementID],
 tblCost[QuantityRequired],
 ""
)</f>
        <v>1500</v>
      </c>
      <c r="H364" s="49">
        <f t="array" ref="H364">IF(
 OR(
  LEFT(B364,15)="state.character",
  RIGHT(B364,6)=".maxed"
 ),
 0,
 LET(
  sort,
   _xlfn.XLOOKUP(
    B364,
    tblChecklist[TargetID],
    tblChecklist[PlayerSort],
    0
   ),
  IF(sort=0,500,sort)
 )
)</f>
        <v>35</v>
      </c>
      <c r="I364" s="49" t="str">
        <f t="array" ref="I364">_xlfn.XLOOKUP(
 B364,
 tblTargetStatus[TargetID],
 tblTargetStatus[Status],
 ""
)</f>
        <v>BLOCKED</v>
      </c>
      <c r="J364" s="45" t="b">
        <v>0</v>
      </c>
    </row>
    <row r="365" ht="14.25" hidden="1" customHeight="1">
      <c r="A365" s="49" t="s">
        <v>1937</v>
      </c>
      <c r="B365" s="49" t="str">
        <f>IFERROR(__xludf.DUMMYFUNCTION("REGEXREPLACE(
 REGEXREPLACE(A365,""^cost\."",""""),
 ""\.[^.]+\.[^.]+$"",
 """"
)"),"building.outpost@2")</f>
        <v>building.outpost@2</v>
      </c>
      <c r="C365" s="49" t="str">
        <f t="array" ref="C365">_xlfn.XLOOKUP(
 B365,
 tblTargets[TargetID],
 tblTargets[DisplayName],
 ""
)</f>
        <v>Outpost Lv 2</v>
      </c>
      <c r="D365" s="49" t="str">
        <f t="array" ref="D365">_xlfn.XLOOKUP(
 B365,
 tblTargets[TargetID],
 tblTargets[TargetType],
 ""
)</f>
        <v>BUILDING</v>
      </c>
      <c r="E365" s="49" t="s">
        <v>119</v>
      </c>
      <c r="F365" s="49">
        <v>1.0</v>
      </c>
      <c r="G365" s="49">
        <f t="array" ref="G365">_xlfn.XLOOKUP(
 A365,
 tblCost[RequirementID],
 tblCost[QuantityRequired],
 ""
)</f>
        <v>1500</v>
      </c>
      <c r="H365" s="49">
        <f t="array" ref="H365">IF(
 OR(
  LEFT(B365,15)="state.character",
  RIGHT(B365,6)=".maxed"
 ),
 0,
 LET(
  sort,
   _xlfn.XLOOKUP(
    B365,
    tblChecklist[TargetID],
    tblChecklist[PlayerSort],
    0
   ),
  IF(sort=0,500,sort)
 )
)</f>
        <v>35</v>
      </c>
      <c r="I365" s="49" t="str">
        <f t="array" ref="I365">_xlfn.XLOOKUP(
 B365,
 tblTargetStatus[TargetID],
 tblTargetStatus[Status],
 ""
)</f>
        <v>BLOCKED</v>
      </c>
      <c r="J365" s="45" t="b">
        <v>0</v>
      </c>
    </row>
    <row r="366" ht="14.25" hidden="1" customHeight="1">
      <c r="A366" s="49" t="s">
        <v>1938</v>
      </c>
      <c r="B366" s="49" t="str">
        <f>IFERROR(__xludf.DUMMYFUNCTION("REGEXREPLACE(
 REGEXREPLACE(A366,""^cost\."",""""),
 ""\.[^.]+\.[^.]+$"",
 """"
)"),"building.outpost@2")</f>
        <v>building.outpost@2</v>
      </c>
      <c r="C366" s="49" t="str">
        <f t="array" ref="C366">_xlfn.XLOOKUP(
 B366,
 tblTargets[TargetID],
 tblTargets[DisplayName],
 ""
)</f>
        <v>Outpost Lv 2</v>
      </c>
      <c r="D366" s="49" t="str">
        <f t="array" ref="D366">_xlfn.XLOOKUP(
 B366,
 tblTargets[TargetID],
 tblTargets[TargetType],
 ""
)</f>
        <v>BUILDING</v>
      </c>
      <c r="E366" s="49" t="s">
        <v>1939</v>
      </c>
      <c r="F366" s="49">
        <v>1.0</v>
      </c>
      <c r="G366" s="49">
        <f t="array" ref="G366">_xlfn.XLOOKUP(
 A366,
 tblCost[RequirementID],
 tblCost[QuantityRequired],
 ""
)</f>
        <v>30</v>
      </c>
      <c r="H366" s="49">
        <f t="array" ref="H366">IF(
 OR(
  LEFT(B366,15)="state.character",
  RIGHT(B366,6)=".maxed"
 ),
 0,
 LET(
  sort,
   _xlfn.XLOOKUP(
    B366,
    tblChecklist[TargetID],
    tblChecklist[PlayerSort],
    0
   ),
  IF(sort=0,500,sort)
 )
)</f>
        <v>35</v>
      </c>
      <c r="I366" s="49" t="str">
        <f t="array" ref="I366">_xlfn.XLOOKUP(
 B366,
 tblTargetStatus[TargetID],
 tblTargetStatus[Status],
 ""
)</f>
        <v>BLOCKED</v>
      </c>
      <c r="J366" s="45" t="b">
        <v>0</v>
      </c>
    </row>
    <row r="367" ht="14.25" hidden="1" customHeight="1">
      <c r="A367" s="49" t="s">
        <v>1940</v>
      </c>
      <c r="B367" s="49" t="str">
        <f>IFERROR(__xludf.DUMMYFUNCTION("REGEXREPLACE(
 REGEXREPLACE(A367,""^cost\."",""""),
 ""\.[^.]+\.[^.]+$"",
 """"
)"),"building.outpost@2")</f>
        <v>building.outpost@2</v>
      </c>
      <c r="C367" s="49" t="str">
        <f t="array" ref="C367">_xlfn.XLOOKUP(
 B367,
 tblTargets[TargetID],
 tblTargets[DisplayName],
 ""
)</f>
        <v>Outpost Lv 2</v>
      </c>
      <c r="D367" s="49" t="str">
        <f t="array" ref="D367">_xlfn.XLOOKUP(
 B367,
 tblTargets[TargetID],
 tblTargets[TargetType],
 ""
)</f>
        <v>BUILDING</v>
      </c>
      <c r="E367" s="49" t="s">
        <v>6</v>
      </c>
      <c r="F367" s="49">
        <v>1.0</v>
      </c>
      <c r="G367" s="49">
        <f t="array" ref="G367">_xlfn.XLOOKUP(
 A367,
 tblCost[RequirementID],
 tblCost[QuantityRequired],
 ""
)</f>
        <v>8</v>
      </c>
      <c r="H367" s="49">
        <f t="array" ref="H367">IF(
 OR(
  LEFT(B367,15)="state.character",
  RIGHT(B367,6)=".maxed"
 ),
 0,
 LET(
  sort,
   _xlfn.XLOOKUP(
    B367,
    tblChecklist[TargetID],
    tblChecklist[PlayerSort],
    0
   ),
  IF(sort=0,500,sort)
 )
)</f>
        <v>35</v>
      </c>
      <c r="I367" s="49" t="str">
        <f t="array" ref="I367">_xlfn.XLOOKUP(
 B367,
 tblTargetStatus[TargetID],
 tblTargetStatus[Status],
 ""
)</f>
        <v>BLOCKED</v>
      </c>
      <c r="J367" s="45" t="b">
        <v>0</v>
      </c>
    </row>
    <row r="368" ht="14.25" hidden="1" customHeight="1">
      <c r="A368" s="49" t="s">
        <v>1941</v>
      </c>
      <c r="B368" s="49" t="str">
        <f>IFERROR(__xludf.DUMMYFUNCTION("REGEXREPLACE(
 REGEXREPLACE(A368,""^cost\."",""""),
 ""\.[^.]+\.[^.]+$"",
 """"
)"),"building.outpost@2")</f>
        <v>building.outpost@2</v>
      </c>
      <c r="C368" s="49" t="str">
        <f t="array" ref="C368">_xlfn.XLOOKUP(
 B368,
 tblTargets[TargetID],
 tblTargets[DisplayName],
 ""
)</f>
        <v>Outpost Lv 2</v>
      </c>
      <c r="D368" s="49" t="str">
        <f t="array" ref="D368">_xlfn.XLOOKUP(
 B368,
 tblTargets[TargetID],
 tblTargets[TargetType],
 ""
)</f>
        <v>BUILDING</v>
      </c>
      <c r="E368" s="49" t="s">
        <v>392</v>
      </c>
      <c r="F368" s="49">
        <v>1.0</v>
      </c>
      <c r="G368" s="49">
        <f t="array" ref="G368">_xlfn.XLOOKUP(
 A368,
 tblCost[RequirementID],
 tblCost[QuantityRequired],
 ""
)</f>
        <v>300</v>
      </c>
      <c r="H368" s="49">
        <f t="array" ref="H368">IF(
 OR(
  LEFT(B368,15)="state.character",
  RIGHT(B368,6)=".maxed"
 ),
 0,
 LET(
  sort,
   _xlfn.XLOOKUP(
    B368,
    tblChecklist[TargetID],
    tblChecklist[PlayerSort],
    0
   ),
  IF(sort=0,500,sort)
 )
)</f>
        <v>35</v>
      </c>
      <c r="I368" s="49" t="str">
        <f t="array" ref="I368">_xlfn.XLOOKUP(
 B368,
 tblTargetStatus[TargetID],
 tblTargetStatus[Status],
 ""
)</f>
        <v>BLOCKED</v>
      </c>
      <c r="J368" s="45" t="b">
        <v>0</v>
      </c>
    </row>
    <row r="369" ht="14.25" hidden="1" customHeight="1">
      <c r="A369" s="49" t="s">
        <v>1942</v>
      </c>
      <c r="B369" s="49" t="str">
        <f>IFERROR(__xludf.DUMMYFUNCTION("REGEXREPLACE(
 REGEXREPLACE(A369,""^cost\."",""""),
 ""\.[^.]+\.[^.]+$"",
 """"
)"),"building.outpost@2")</f>
        <v>building.outpost@2</v>
      </c>
      <c r="C369" s="49" t="str">
        <f t="array" ref="C369">_xlfn.XLOOKUP(
 B369,
 tblTargets[TargetID],
 tblTargets[DisplayName],
 ""
)</f>
        <v>Outpost Lv 2</v>
      </c>
      <c r="D369" s="49" t="str">
        <f t="array" ref="D369">_xlfn.XLOOKUP(
 B369,
 tblTargets[TargetID],
 tblTargets[TargetType],
 ""
)</f>
        <v>BUILDING</v>
      </c>
      <c r="E369" s="49" t="s">
        <v>237</v>
      </c>
      <c r="F369" s="49">
        <v>1.0</v>
      </c>
      <c r="G369" s="49">
        <f t="array" ref="G369">_xlfn.XLOOKUP(
 A369,
 tblCost[RequirementID],
 tblCost[QuantityRequired],
 ""
)</f>
        <v>3000</v>
      </c>
      <c r="H369" s="49">
        <f t="array" ref="H369">IF(
 OR(
  LEFT(B369,15)="state.character",
  RIGHT(B369,6)=".maxed"
 ),
 0,
 LET(
  sort,
   _xlfn.XLOOKUP(
    B369,
    tblChecklist[TargetID],
    tblChecklist[PlayerSort],
    0
   ),
  IF(sort=0,500,sort)
 )
)</f>
        <v>35</v>
      </c>
      <c r="I369" s="49" t="str">
        <f t="array" ref="I369">_xlfn.XLOOKUP(
 B369,
 tblTargetStatus[TargetID],
 tblTargetStatus[Status],
 ""
)</f>
        <v>BLOCKED</v>
      </c>
      <c r="J369" s="45" t="b">
        <v>0</v>
      </c>
    </row>
    <row r="370" ht="14.25" hidden="1" customHeight="1">
      <c r="A370" s="49" t="s">
        <v>1943</v>
      </c>
      <c r="B370" s="49" t="str">
        <f>IFERROR(__xludf.DUMMYFUNCTION("REGEXREPLACE(
 REGEXREPLACE(A370,""^cost\."",""""),
 ""\.[^.]+\.[^.]+$"",
 """"
)"),"building.outpost@3")</f>
        <v>building.outpost@3</v>
      </c>
      <c r="C370" s="49" t="str">
        <f t="array" ref="C370">_xlfn.XLOOKUP(
 B370,
 tblTargets[TargetID],
 tblTargets[DisplayName],
 ""
)</f>
        <v>Outpost Lv 3</v>
      </c>
      <c r="D370" s="49" t="str">
        <f t="array" ref="D370">_xlfn.XLOOKUP(
 B370,
 tblTargets[TargetID],
 tblTargets[TargetType],
 ""
)</f>
        <v>BUILDING</v>
      </c>
      <c r="E370" s="49" t="s">
        <v>278</v>
      </c>
      <c r="F370" s="49">
        <v>1.0</v>
      </c>
      <c r="G370" s="49">
        <f t="array" ref="G370">_xlfn.XLOOKUP(
 A370,
 tblCost[RequirementID],
 tblCost[QuantityRequired],
 ""
)</f>
        <v>2000</v>
      </c>
      <c r="H370" s="49">
        <f t="array" ref="H370">IF(
 OR(
  LEFT(B370,15)="state.character",
  RIGHT(B370,6)=".maxed"
 ),
 0,
 LET(
  sort,
   _xlfn.XLOOKUP(
    B370,
    tblChecklist[TargetID],
    tblChecklist[PlayerSort],
    0
   ),
  IF(sort=0,500,sort)
 )
)</f>
        <v>50</v>
      </c>
      <c r="I370" s="49" t="str">
        <f t="array" ref="I370">_xlfn.XLOOKUP(
 B370,
 tblTargetStatus[TargetID],
 tblTargetStatus[Status],
 ""
)</f>
        <v>BLOCKED</v>
      </c>
      <c r="J370" s="45" t="b">
        <v>0</v>
      </c>
    </row>
    <row r="371" ht="14.25" hidden="1" customHeight="1">
      <c r="A371" s="49" t="s">
        <v>1944</v>
      </c>
      <c r="B371" s="49" t="str">
        <f>IFERROR(__xludf.DUMMYFUNCTION("REGEXREPLACE(
 REGEXREPLACE(A371,""^cost\."",""""),
 ""\.[^.]+\.[^.]+$"",
 """"
)"),"building.outpost@3")</f>
        <v>building.outpost@3</v>
      </c>
      <c r="C371" s="49" t="str">
        <f t="array" ref="C371">_xlfn.XLOOKUP(
 B371,
 tblTargets[TargetID],
 tblTargets[DisplayName],
 ""
)</f>
        <v>Outpost Lv 3</v>
      </c>
      <c r="D371" s="49" t="str">
        <f t="array" ref="D371">_xlfn.XLOOKUP(
 B371,
 tblTargets[TargetID],
 tblTargets[TargetType],
 ""
)</f>
        <v>BUILDING</v>
      </c>
      <c r="E371" s="49" t="s">
        <v>119</v>
      </c>
      <c r="F371" s="49">
        <v>1.0</v>
      </c>
      <c r="G371" s="49">
        <f t="array" ref="G371">_xlfn.XLOOKUP(
 A371,
 tblCost[RequirementID],
 tblCost[QuantityRequired],
 ""
)</f>
        <v>2000</v>
      </c>
      <c r="H371" s="49">
        <f t="array" ref="H371">IF(
 OR(
  LEFT(B371,15)="state.character",
  RIGHT(B371,6)=".maxed"
 ),
 0,
 LET(
  sort,
   _xlfn.XLOOKUP(
    B371,
    tblChecklist[TargetID],
    tblChecklist[PlayerSort],
    0
   ),
  IF(sort=0,500,sort)
 )
)</f>
        <v>50</v>
      </c>
      <c r="I371" s="49" t="str">
        <f t="array" ref="I371">_xlfn.XLOOKUP(
 B371,
 tblTargetStatus[TargetID],
 tblTargetStatus[Status],
 ""
)</f>
        <v>BLOCKED</v>
      </c>
      <c r="J371" s="45" t="b">
        <v>0</v>
      </c>
    </row>
    <row r="372" ht="14.25" hidden="1" customHeight="1">
      <c r="A372" s="49" t="s">
        <v>1945</v>
      </c>
      <c r="B372" s="49" t="str">
        <f>IFERROR(__xludf.DUMMYFUNCTION("REGEXREPLACE(
 REGEXREPLACE(A372,""^cost\."",""""),
 ""\.[^.]+\.[^.]+$"",
 """"
)"),"building.outpost@3")</f>
        <v>building.outpost@3</v>
      </c>
      <c r="C372" s="49" t="str">
        <f t="array" ref="C372">_xlfn.XLOOKUP(
 B372,
 tblTargets[TargetID],
 tblTargets[DisplayName],
 ""
)</f>
        <v>Outpost Lv 3</v>
      </c>
      <c r="D372" s="49" t="str">
        <f t="array" ref="D372">_xlfn.XLOOKUP(
 B372,
 tblTargets[TargetID],
 tblTargets[TargetType],
 ""
)</f>
        <v>BUILDING</v>
      </c>
      <c r="E372" s="49" t="s">
        <v>588</v>
      </c>
      <c r="F372" s="49">
        <v>1.0</v>
      </c>
      <c r="G372" s="49">
        <f t="array" ref="G372">_xlfn.XLOOKUP(
 A372,
 tblCost[RequirementID],
 tblCost[QuantityRequired],
 ""
)</f>
        <v>20</v>
      </c>
      <c r="H372" s="49">
        <f t="array" ref="H372">IF(
 OR(
  LEFT(B372,15)="state.character",
  RIGHT(B372,6)=".maxed"
 ),
 0,
 LET(
  sort,
   _xlfn.XLOOKUP(
    B372,
    tblChecklist[TargetID],
    tblChecklist[PlayerSort],
    0
   ),
  IF(sort=0,500,sort)
 )
)</f>
        <v>50</v>
      </c>
      <c r="I372" s="49" t="str">
        <f t="array" ref="I372">_xlfn.XLOOKUP(
 B372,
 tblTargetStatus[TargetID],
 tblTargetStatus[Status],
 ""
)</f>
        <v>BLOCKED</v>
      </c>
      <c r="J372" s="45" t="b">
        <v>0</v>
      </c>
    </row>
    <row r="373" ht="14.25" hidden="1" customHeight="1">
      <c r="A373" s="49" t="s">
        <v>1946</v>
      </c>
      <c r="B373" s="49" t="str">
        <f>IFERROR(__xludf.DUMMYFUNCTION("REGEXREPLACE(
 REGEXREPLACE(A373,""^cost\."",""""),
 ""\.[^.]+\.[^.]+$"",
 """"
)"),"building.outpost@3")</f>
        <v>building.outpost@3</v>
      </c>
      <c r="C373" s="49" t="str">
        <f t="array" ref="C373">_xlfn.XLOOKUP(
 B373,
 tblTargets[TargetID],
 tblTargets[DisplayName],
 ""
)</f>
        <v>Outpost Lv 3</v>
      </c>
      <c r="D373" s="49" t="str">
        <f t="array" ref="D373">_xlfn.XLOOKUP(
 B373,
 tblTargets[TargetID],
 tblTargets[TargetType],
 ""
)</f>
        <v>BUILDING</v>
      </c>
      <c r="E373" s="49" t="s">
        <v>6</v>
      </c>
      <c r="F373" s="49">
        <v>1.0</v>
      </c>
      <c r="G373" s="49">
        <f t="array" ref="G373">_xlfn.XLOOKUP(
 A373,
 tblCost[RequirementID],
 tblCost[QuantityRequired],
 ""
)</f>
        <v>10</v>
      </c>
      <c r="H373" s="49">
        <f t="array" ref="H373">IF(
 OR(
  LEFT(B373,15)="state.character",
  RIGHT(B373,6)=".maxed"
 ),
 0,
 LET(
  sort,
   _xlfn.XLOOKUP(
    B373,
    tblChecklist[TargetID],
    tblChecklist[PlayerSort],
    0
   ),
  IF(sort=0,500,sort)
 )
)</f>
        <v>50</v>
      </c>
      <c r="I373" s="49" t="str">
        <f t="array" ref="I373">_xlfn.XLOOKUP(
 B373,
 tblTargetStatus[TargetID],
 tblTargetStatus[Status],
 ""
)</f>
        <v>BLOCKED</v>
      </c>
      <c r="J373" s="45" t="b">
        <v>0</v>
      </c>
    </row>
    <row r="374" ht="14.25" hidden="1" customHeight="1">
      <c r="A374" s="49" t="s">
        <v>1947</v>
      </c>
      <c r="B374" s="49" t="str">
        <f>IFERROR(__xludf.DUMMYFUNCTION("REGEXREPLACE(
 REGEXREPLACE(A374,""^cost\."",""""),
 ""\.[^.]+\.[^.]+$"",
 """"
)"),"building.outpost@3")</f>
        <v>building.outpost@3</v>
      </c>
      <c r="C374" s="49" t="str">
        <f t="array" ref="C374">_xlfn.XLOOKUP(
 B374,
 tblTargets[TargetID],
 tblTargets[DisplayName],
 ""
)</f>
        <v>Outpost Lv 3</v>
      </c>
      <c r="D374" s="49" t="str">
        <f t="array" ref="D374">_xlfn.XLOOKUP(
 B374,
 tblTargets[TargetID],
 tblTargets[TargetType],
 ""
)</f>
        <v>BUILDING</v>
      </c>
      <c r="E374" s="49" t="s">
        <v>1948</v>
      </c>
      <c r="F374" s="49">
        <v>1.0</v>
      </c>
      <c r="G374" s="49">
        <f t="array" ref="G374">_xlfn.XLOOKUP(
 A374,
 tblCost[RequirementID],
 tblCost[QuantityRequired],
 ""
)</f>
        <v>20</v>
      </c>
      <c r="H374" s="49">
        <f t="array" ref="H374">IF(
 OR(
  LEFT(B374,15)="state.character",
  RIGHT(B374,6)=".maxed"
 ),
 0,
 LET(
  sort,
   _xlfn.XLOOKUP(
    B374,
    tblChecklist[TargetID],
    tblChecklist[PlayerSort],
    0
   ),
  IF(sort=0,500,sort)
 )
)</f>
        <v>50</v>
      </c>
      <c r="I374" s="49" t="str">
        <f t="array" ref="I374">_xlfn.XLOOKUP(
 B374,
 tblTargetStatus[TargetID],
 tblTargetStatus[Status],
 ""
)</f>
        <v>BLOCKED</v>
      </c>
      <c r="J374" s="45" t="b">
        <v>0</v>
      </c>
    </row>
    <row r="375" ht="14.25" hidden="1" customHeight="1">
      <c r="A375" s="49" t="s">
        <v>1949</v>
      </c>
      <c r="B375" s="49" t="str">
        <f>IFERROR(__xludf.DUMMYFUNCTION("REGEXREPLACE(
 REGEXREPLACE(A375,""^cost\."",""""),
 ""\.[^.]+\.[^.]+$"",
 """"
)"),"building.outpost@3")</f>
        <v>building.outpost@3</v>
      </c>
      <c r="C375" s="49" t="str">
        <f t="array" ref="C375">_xlfn.XLOOKUP(
 B375,
 tblTargets[TargetID],
 tblTargets[DisplayName],
 ""
)</f>
        <v>Outpost Lv 3</v>
      </c>
      <c r="D375" s="49" t="str">
        <f t="array" ref="D375">_xlfn.XLOOKUP(
 B375,
 tblTargets[TargetID],
 tblTargets[TargetType],
 ""
)</f>
        <v>BUILDING</v>
      </c>
      <c r="E375" s="49" t="s">
        <v>237</v>
      </c>
      <c r="F375" s="49">
        <v>1.0</v>
      </c>
      <c r="G375" s="49">
        <f t="array" ref="G375">_xlfn.XLOOKUP(
 A375,
 tblCost[RequirementID],
 tblCost[QuantityRequired],
 ""
)</f>
        <v>5000</v>
      </c>
      <c r="H375" s="49">
        <f t="array" ref="H375">IF(
 OR(
  LEFT(B375,15)="state.character",
  RIGHT(B375,6)=".maxed"
 ),
 0,
 LET(
  sort,
   _xlfn.XLOOKUP(
    B375,
    tblChecklist[TargetID],
    tblChecklist[PlayerSort],
    0
   ),
  IF(sort=0,500,sort)
 )
)</f>
        <v>50</v>
      </c>
      <c r="I375" s="49" t="str">
        <f t="array" ref="I375">_xlfn.XLOOKUP(
 B375,
 tblTargetStatus[TargetID],
 tblTargetStatus[Status],
 ""
)</f>
        <v>BLOCKED</v>
      </c>
      <c r="J375" s="45" t="b">
        <v>0</v>
      </c>
    </row>
    <row r="376" ht="14.25" hidden="1" customHeight="1">
      <c r="A376" s="49" t="s">
        <v>1950</v>
      </c>
      <c r="B376" s="49" t="str">
        <f>IFERROR(__xludf.DUMMYFUNCTION("REGEXREPLACE(
 REGEXREPLACE(A376,""^cost\."",""""),
 ""\.[^.]+\.[^.]+$"",
 """"
)"),"building.pagoda@1")</f>
        <v>building.pagoda@1</v>
      </c>
      <c r="C376" s="49" t="str">
        <f t="array" ref="C376">_xlfn.XLOOKUP(
 B376,
 tblTargets[TargetID],
 tblTargets[DisplayName],
 ""
)</f>
        <v>Pagoda Lv 1</v>
      </c>
      <c r="D376" s="49" t="str">
        <f t="array" ref="D376">_xlfn.XLOOKUP(
 B376,
 tblTargets[TargetID],
 tblTargets[TargetType],
 ""
)</f>
        <v>BUILDING</v>
      </c>
      <c r="E376" s="49" t="s">
        <v>119</v>
      </c>
      <c r="F376" s="49">
        <v>1.0</v>
      </c>
      <c r="G376" s="49">
        <f t="array" ref="G376">_xlfn.XLOOKUP(
 A376,
 tblCost[RequirementID],
 tblCost[QuantityRequired],
 ""
)</f>
        <v>50</v>
      </c>
      <c r="H376" s="49">
        <f t="array" ref="H376">IF(
 OR(
  LEFT(B376,15)="state.character",
  RIGHT(B376,6)=".maxed"
 ),
 0,
 LET(
  sort,
   _xlfn.XLOOKUP(
    B376,
    tblChecklist[TargetID],
    tblChecklist[PlayerSort],
    0
   ),
  IF(sort=0,500,sort)
 )
)</f>
        <v>57</v>
      </c>
      <c r="I376" s="49" t="str">
        <f t="array" ref="I376">_xlfn.XLOOKUP(
 B376,
 tblTargetStatus[TargetID],
 tblTargetStatus[Status],
 ""
)</f>
        <v>BLOCKED</v>
      </c>
      <c r="J376" s="45" t="b">
        <v>0</v>
      </c>
    </row>
    <row r="377" ht="14.25" hidden="1" customHeight="1">
      <c r="A377" s="49" t="s">
        <v>1953</v>
      </c>
      <c r="B377" s="49" t="str">
        <f>IFERROR(__xludf.DUMMYFUNCTION("REGEXREPLACE(
 REGEXREPLACE(A377,""^cost\."",""""),
 ""\.[^.]+\.[^.]+$"",
 """"
)"),"building.pagoda@1")</f>
        <v>building.pagoda@1</v>
      </c>
      <c r="C377" s="49" t="str">
        <f t="array" ref="C377">_xlfn.XLOOKUP(
 B377,
 tblTargets[TargetID],
 tblTargets[DisplayName],
 ""
)</f>
        <v>Pagoda Lv 1</v>
      </c>
      <c r="D377" s="49" t="str">
        <f t="array" ref="D377">_xlfn.XLOOKUP(
 B377,
 tblTargets[TargetID],
 tblTargets[TargetType],
 ""
)</f>
        <v>BUILDING</v>
      </c>
      <c r="E377" s="49" t="s">
        <v>561</v>
      </c>
      <c r="F377" s="49">
        <v>1.0</v>
      </c>
      <c r="G377" s="49">
        <f t="array" ref="G377">_xlfn.XLOOKUP(
 A377,
 tblCost[RequirementID],
 tblCost[QuantityRequired],
 ""
)</f>
        <v>5</v>
      </c>
      <c r="H377" s="49">
        <f t="array" ref="H377">IF(
 OR(
  LEFT(B377,15)="state.character",
  RIGHT(B377,6)=".maxed"
 ),
 0,
 LET(
  sort,
   _xlfn.XLOOKUP(
    B377,
    tblChecklist[TargetID],
    tblChecklist[PlayerSort],
    0
   ),
  IF(sort=0,500,sort)
 )
)</f>
        <v>57</v>
      </c>
      <c r="I377" s="49" t="str">
        <f t="array" ref="I377">_xlfn.XLOOKUP(
 B377,
 tblTargetStatus[TargetID],
 tblTargetStatus[Status],
 ""
)</f>
        <v>BLOCKED</v>
      </c>
      <c r="J377" s="45" t="b">
        <v>0</v>
      </c>
    </row>
    <row r="378" ht="14.25" hidden="1" customHeight="1">
      <c r="A378" s="49" t="s">
        <v>1971</v>
      </c>
      <c r="B378" s="49" t="str">
        <f>IFERROR(__xludf.DUMMYFUNCTION("REGEXREPLACE(
 REGEXREPLACE(A378,""^cost\."",""""),
 ""\.[^.]+\.[^.]+$"",
 """"
)"),"building.pagoda@1")</f>
        <v>building.pagoda@1</v>
      </c>
      <c r="C378" s="49" t="str">
        <f t="array" ref="C378">_xlfn.XLOOKUP(
 B378,
 tblTargets[TargetID],
 tblTargets[DisplayName],
 ""
)</f>
        <v>Pagoda Lv 1</v>
      </c>
      <c r="D378" s="49" t="str">
        <f t="array" ref="D378">_xlfn.XLOOKUP(
 B378,
 tblTargets[TargetID],
 tblTargets[TargetType],
 ""
)</f>
        <v>BUILDING</v>
      </c>
      <c r="E378" s="49" t="s">
        <v>6</v>
      </c>
      <c r="F378" s="49">
        <v>1.0</v>
      </c>
      <c r="G378" s="49">
        <f t="array" ref="G378">_xlfn.XLOOKUP(
 A378,
 tblCost[RequirementID],
 tblCost[QuantityRequired],
 ""
)</f>
        <v>1</v>
      </c>
      <c r="H378" s="49">
        <f t="array" ref="H378">IF(
 OR(
  LEFT(B378,15)="state.character",
  RIGHT(B378,6)=".maxed"
 ),
 0,
 LET(
  sort,
   _xlfn.XLOOKUP(
    B378,
    tblChecklist[TargetID],
    tblChecklist[PlayerSort],
    0
   ),
  IF(sort=0,500,sort)
 )
)</f>
        <v>57</v>
      </c>
      <c r="I378" s="49" t="str">
        <f t="array" ref="I378">_xlfn.XLOOKUP(
 B378,
 tblTargetStatus[TargetID],
 tblTargetStatus[Status],
 ""
)</f>
        <v>BLOCKED</v>
      </c>
      <c r="J378" s="45" t="b">
        <v>0</v>
      </c>
    </row>
    <row r="379" ht="14.25" hidden="1" customHeight="1">
      <c r="A379" s="49" t="s">
        <v>1972</v>
      </c>
      <c r="B379" s="49" t="str">
        <f>IFERROR(__xludf.DUMMYFUNCTION("REGEXREPLACE(
 REGEXREPLACE(A379,""^cost\."",""""),
 ""\.[^.]+\.[^.]+$"",
 """"
)"),"building.pagoda@1")</f>
        <v>building.pagoda@1</v>
      </c>
      <c r="C379" s="49" t="str">
        <f t="array" ref="C379">_xlfn.XLOOKUP(
 B379,
 tblTargets[TargetID],
 tblTargets[DisplayName],
 ""
)</f>
        <v>Pagoda Lv 1</v>
      </c>
      <c r="D379" s="49" t="str">
        <f t="array" ref="D379">_xlfn.XLOOKUP(
 B379,
 tblTargets[TargetID],
 tblTargets[TargetType],
 ""
)</f>
        <v>BUILDING</v>
      </c>
      <c r="E379" s="49" t="s">
        <v>237</v>
      </c>
      <c r="F379" s="49">
        <v>1.0</v>
      </c>
      <c r="G379" s="49">
        <f t="array" ref="G379">_xlfn.XLOOKUP(
 A379,
 tblCost[RequirementID],
 tblCost[QuantityRequired],
 ""
)</f>
        <v>50</v>
      </c>
      <c r="H379" s="49">
        <f t="array" ref="H379">IF(
 OR(
  LEFT(B379,15)="state.character",
  RIGHT(B379,6)=".maxed"
 ),
 0,
 LET(
  sort,
   _xlfn.XLOOKUP(
    B379,
    tblChecklist[TargetID],
    tblChecklist[PlayerSort],
    0
   ),
  IF(sort=0,500,sort)
 )
)</f>
        <v>57</v>
      </c>
      <c r="I379" s="49" t="str">
        <f t="array" ref="I379">_xlfn.XLOOKUP(
 B379,
 tblTargetStatus[TargetID],
 tblTargetStatus[Status],
 ""
)</f>
        <v>BLOCKED</v>
      </c>
      <c r="J379" s="45" t="b">
        <v>0</v>
      </c>
    </row>
    <row r="380" ht="14.25" hidden="1" customHeight="1">
      <c r="A380" s="49" t="s">
        <v>1973</v>
      </c>
      <c r="B380" s="49" t="str">
        <f>IFERROR(__xludf.DUMMYFUNCTION("REGEXREPLACE(
 REGEXREPLACE(A380,""^cost\."",""""),
 ""\.[^.]+\.[^.]+$"",
 """"
)"),"building.pagoda@1")</f>
        <v>building.pagoda@1</v>
      </c>
      <c r="C380" s="49" t="str">
        <f t="array" ref="C380">_xlfn.XLOOKUP(
 B380,
 tblTargets[TargetID],
 tblTargets[DisplayName],
 ""
)</f>
        <v>Pagoda Lv 1</v>
      </c>
      <c r="D380" s="49" t="str">
        <f t="array" ref="D380">_xlfn.XLOOKUP(
 B380,
 tblTargets[TargetID],
 tblTargets[TargetType],
 ""
)</f>
        <v>BUILDING</v>
      </c>
      <c r="E380" s="49" t="s">
        <v>244</v>
      </c>
      <c r="F380" s="49">
        <v>1.0</v>
      </c>
      <c r="G380" s="49">
        <f t="array" ref="G380">_xlfn.XLOOKUP(
 A380,
 tblCost[RequirementID],
 tblCost[QuantityRequired],
 ""
)</f>
        <v>50</v>
      </c>
      <c r="H380" s="49">
        <f t="array" ref="H380">IF(
 OR(
  LEFT(B380,15)="state.character",
  RIGHT(B380,6)=".maxed"
 ),
 0,
 LET(
  sort,
   _xlfn.XLOOKUP(
    B380,
    tblChecklist[TargetID],
    tblChecklist[PlayerSort],
    0
   ),
  IF(sort=0,500,sort)
 )
)</f>
        <v>57</v>
      </c>
      <c r="I380" s="49" t="str">
        <f t="array" ref="I380">_xlfn.XLOOKUP(
 B380,
 tblTargetStatus[TargetID],
 tblTargetStatus[Status],
 ""
)</f>
        <v>BLOCKED</v>
      </c>
      <c r="J380" s="45" t="b">
        <v>0</v>
      </c>
    </row>
    <row r="381" ht="14.25" hidden="1" customHeight="1">
      <c r="A381" s="49" t="s">
        <v>1974</v>
      </c>
      <c r="B381" s="49" t="str">
        <f>IFERROR(__xludf.DUMMYFUNCTION("REGEXREPLACE(
 REGEXREPLACE(A381,""^cost\."",""""),
 ""\.[^.]+\.[^.]+$"",
 """"
)"),"building.pagoda@2")</f>
        <v>building.pagoda@2</v>
      </c>
      <c r="C381" s="49" t="str">
        <f t="array" ref="C381">_xlfn.XLOOKUP(
 B381,
 tblTargets[TargetID],
 tblTargets[DisplayName],
 ""
)</f>
        <v>Pagoda Lv 2</v>
      </c>
      <c r="D381" s="49" t="str">
        <f t="array" ref="D381">_xlfn.XLOOKUP(
 B381,
 tblTargets[TargetID],
 tblTargets[TargetType],
 ""
)</f>
        <v>BUILDING</v>
      </c>
      <c r="E381" s="49" t="s">
        <v>113</v>
      </c>
      <c r="F381" s="49">
        <v>1.0</v>
      </c>
      <c r="G381" s="49">
        <f t="array" ref="G381">_xlfn.XLOOKUP(
 A381,
 tblCost[RequirementID],
 tblCost[QuantityRequired],
 ""
)</f>
        <v>10</v>
      </c>
      <c r="H381" s="49">
        <f t="array" ref="H381">IF(
 OR(
  LEFT(B381,15)="state.character",
  RIGHT(B381,6)=".maxed"
 ),
 0,
 LET(
  sort,
   _xlfn.XLOOKUP(
    B381,
    tblChecklist[TargetID],
    tblChecklist[PlayerSort],
    0
   ),
  IF(sort=0,500,sort)
 )
)</f>
        <v>58</v>
      </c>
      <c r="I381" s="49" t="str">
        <f t="array" ref="I381">_xlfn.XLOOKUP(
 B381,
 tblTargetStatus[TargetID],
 tblTargetStatus[Status],
 ""
)</f>
        <v>BLOCKED</v>
      </c>
      <c r="J381" s="45" t="b">
        <v>0</v>
      </c>
    </row>
    <row r="382" ht="14.25" hidden="1" customHeight="1">
      <c r="A382" s="49" t="s">
        <v>1975</v>
      </c>
      <c r="B382" s="49" t="str">
        <f>IFERROR(__xludf.DUMMYFUNCTION("REGEXREPLACE(
 REGEXREPLACE(A382,""^cost\."",""""),
 ""\.[^.]+\.[^.]+$"",
 """"
)"),"building.pagoda@2")</f>
        <v>building.pagoda@2</v>
      </c>
      <c r="C382" s="49" t="str">
        <f t="array" ref="C382">_xlfn.XLOOKUP(
 B382,
 tblTargets[TargetID],
 tblTargets[DisplayName],
 ""
)</f>
        <v>Pagoda Lv 2</v>
      </c>
      <c r="D382" s="49" t="str">
        <f t="array" ref="D382">_xlfn.XLOOKUP(
 B382,
 tblTargets[TargetID],
 tblTargets[TargetType],
 ""
)</f>
        <v>BUILDING</v>
      </c>
      <c r="E382" s="49" t="s">
        <v>119</v>
      </c>
      <c r="F382" s="49">
        <v>1.0</v>
      </c>
      <c r="G382" s="49">
        <f t="array" ref="G382">_xlfn.XLOOKUP(
 A382,
 tblCost[RequirementID],
 tblCost[QuantityRequired],
 ""
)</f>
        <v>200</v>
      </c>
      <c r="H382" s="49">
        <f t="array" ref="H382">IF(
 OR(
  LEFT(B382,15)="state.character",
  RIGHT(B382,6)=".maxed"
 ),
 0,
 LET(
  sort,
   _xlfn.XLOOKUP(
    B382,
    tblChecklist[TargetID],
    tblChecklist[PlayerSort],
    0
   ),
  IF(sort=0,500,sort)
 )
)</f>
        <v>58</v>
      </c>
      <c r="I382" s="49" t="str">
        <f t="array" ref="I382">_xlfn.XLOOKUP(
 B382,
 tblTargetStatus[TargetID],
 tblTargetStatus[Status],
 ""
)</f>
        <v>BLOCKED</v>
      </c>
      <c r="J382" s="45" t="b">
        <v>0</v>
      </c>
    </row>
    <row r="383" ht="14.25" hidden="1" customHeight="1">
      <c r="A383" s="49" t="s">
        <v>1976</v>
      </c>
      <c r="B383" s="49" t="str">
        <f>IFERROR(__xludf.DUMMYFUNCTION("REGEXREPLACE(
 REGEXREPLACE(A383,""^cost\."",""""),
 ""\.[^.]+\.[^.]+$"",
 """"
)"),"building.pagoda@2")</f>
        <v>building.pagoda@2</v>
      </c>
      <c r="C383" s="49" t="str">
        <f t="array" ref="C383">_xlfn.XLOOKUP(
 B383,
 tblTargets[TargetID],
 tblTargets[DisplayName],
 ""
)</f>
        <v>Pagoda Lv 2</v>
      </c>
      <c r="D383" s="49" t="str">
        <f t="array" ref="D383">_xlfn.XLOOKUP(
 B383,
 tblTargets[TargetID],
 tblTargets[TargetType],
 ""
)</f>
        <v>BUILDING</v>
      </c>
      <c r="E383" s="49" t="s">
        <v>6</v>
      </c>
      <c r="F383" s="49">
        <v>1.0</v>
      </c>
      <c r="G383" s="49">
        <f t="array" ref="G383">_xlfn.XLOOKUP(
 A383,
 tblCost[RequirementID],
 tblCost[QuantityRequired],
 ""
)</f>
        <v>2</v>
      </c>
      <c r="H383" s="49">
        <f t="array" ref="H383">IF(
 OR(
  LEFT(B383,15)="state.character",
  RIGHT(B383,6)=".maxed"
 ),
 0,
 LET(
  sort,
   _xlfn.XLOOKUP(
    B383,
    tblChecklist[TargetID],
    tblChecklist[PlayerSort],
    0
   ),
  IF(sort=0,500,sort)
 )
)</f>
        <v>58</v>
      </c>
      <c r="I383" s="49" t="str">
        <f t="array" ref="I383">_xlfn.XLOOKUP(
 B383,
 tblTargetStatus[TargetID],
 tblTargetStatus[Status],
 ""
)</f>
        <v>BLOCKED</v>
      </c>
      <c r="J383" s="45" t="b">
        <v>0</v>
      </c>
    </row>
    <row r="384" ht="14.25" hidden="1" customHeight="1">
      <c r="A384" s="49" t="s">
        <v>1977</v>
      </c>
      <c r="B384" s="49" t="str">
        <f>IFERROR(__xludf.DUMMYFUNCTION("REGEXREPLACE(
 REGEXREPLACE(A384,""^cost\."",""""),
 ""\.[^.]+\.[^.]+$"",
 """"
)"),"building.pagoda@2")</f>
        <v>building.pagoda@2</v>
      </c>
      <c r="C384" s="49" t="str">
        <f t="array" ref="C384">_xlfn.XLOOKUP(
 B384,
 tblTargets[TargetID],
 tblTargets[DisplayName],
 ""
)</f>
        <v>Pagoda Lv 2</v>
      </c>
      <c r="D384" s="49" t="str">
        <f t="array" ref="D384">_xlfn.XLOOKUP(
 B384,
 tblTargets[TargetID],
 tblTargets[TargetType],
 ""
)</f>
        <v>BUILDING</v>
      </c>
      <c r="E384" s="49" t="s">
        <v>237</v>
      </c>
      <c r="F384" s="49">
        <v>1.0</v>
      </c>
      <c r="G384" s="49">
        <f t="array" ref="G384">_xlfn.XLOOKUP(
 A384,
 tblCost[RequirementID],
 tblCost[QuantityRequired],
 ""
)</f>
        <v>200</v>
      </c>
      <c r="H384" s="49">
        <f t="array" ref="H384">IF(
 OR(
  LEFT(B384,15)="state.character",
  RIGHT(B384,6)=".maxed"
 ),
 0,
 LET(
  sort,
   _xlfn.XLOOKUP(
    B384,
    tblChecklist[TargetID],
    tblChecklist[PlayerSort],
    0
   ),
  IF(sort=0,500,sort)
 )
)</f>
        <v>58</v>
      </c>
      <c r="I384" s="49" t="str">
        <f t="array" ref="I384">_xlfn.XLOOKUP(
 B384,
 tblTargetStatus[TargetID],
 tblTargetStatus[Status],
 ""
)</f>
        <v>BLOCKED</v>
      </c>
      <c r="J384" s="45" t="b">
        <v>0</v>
      </c>
    </row>
    <row r="385" ht="14.25" hidden="1" customHeight="1">
      <c r="A385" s="49" t="s">
        <v>1978</v>
      </c>
      <c r="B385" s="49" t="str">
        <f>IFERROR(__xludf.DUMMYFUNCTION("REGEXREPLACE(
 REGEXREPLACE(A385,""^cost\."",""""),
 ""\.[^.]+\.[^.]+$"",
 """"
)"),"building.pagoda@2")</f>
        <v>building.pagoda@2</v>
      </c>
      <c r="C385" s="49" t="str">
        <f t="array" ref="C385">_xlfn.XLOOKUP(
 B385,
 tblTargets[TargetID],
 tblTargets[DisplayName],
 ""
)</f>
        <v>Pagoda Lv 2</v>
      </c>
      <c r="D385" s="49" t="str">
        <f t="array" ref="D385">_xlfn.XLOOKUP(
 B385,
 tblTargets[TargetID],
 tblTargets[TargetType],
 ""
)</f>
        <v>BUILDING</v>
      </c>
      <c r="E385" s="49" t="s">
        <v>244</v>
      </c>
      <c r="F385" s="49">
        <v>1.0</v>
      </c>
      <c r="G385" s="49">
        <f t="array" ref="G385">_xlfn.XLOOKUP(
 A385,
 tblCost[RequirementID],
 tblCost[QuantityRequired],
 ""
)</f>
        <v>200</v>
      </c>
      <c r="H385" s="49">
        <f t="array" ref="H385">IF(
 OR(
  LEFT(B385,15)="state.character",
  RIGHT(B385,6)=".maxed"
 ),
 0,
 LET(
  sort,
   _xlfn.XLOOKUP(
    B385,
    tblChecklist[TargetID],
    tblChecklist[PlayerSort],
    0
   ),
  IF(sort=0,500,sort)
 )
)</f>
        <v>58</v>
      </c>
      <c r="I385" s="49" t="str">
        <f t="array" ref="I385">_xlfn.XLOOKUP(
 B385,
 tblTargetStatus[TargetID],
 tblTargetStatus[Status],
 ""
)</f>
        <v>BLOCKED</v>
      </c>
      <c r="J385" s="45" t="b">
        <v>0</v>
      </c>
    </row>
    <row r="386" ht="14.25" hidden="1" customHeight="1">
      <c r="A386" s="49" t="s">
        <v>1979</v>
      </c>
      <c r="B386" s="49" t="str">
        <f>IFERROR(__xludf.DUMMYFUNCTION("REGEXREPLACE(
 REGEXREPLACE(A386,""^cost\."",""""),
 ""\.[^.]+\.[^.]+$"",
 """"
)"),"building.pagoda@3")</f>
        <v>building.pagoda@3</v>
      </c>
      <c r="C386" s="49" t="str">
        <f t="array" ref="C386">_xlfn.XLOOKUP(
 B386,
 tblTargets[TargetID],
 tblTargets[DisplayName],
 ""
)</f>
        <v>Pagoda Lv 3</v>
      </c>
      <c r="D386" s="49" t="str">
        <f t="array" ref="D386">_xlfn.XLOOKUP(
 B386,
 tblTargets[TargetID],
 tblTargets[TargetType],
 ""
)</f>
        <v>BUILDING</v>
      </c>
      <c r="E386" s="49" t="s">
        <v>278</v>
      </c>
      <c r="F386" s="49">
        <v>1.0</v>
      </c>
      <c r="G386" s="49">
        <f t="array" ref="G386">_xlfn.XLOOKUP(
 A386,
 tblCost[RequirementID],
 tblCost[QuantityRequired],
 ""
)</f>
        <v>600</v>
      </c>
      <c r="H386" s="49">
        <f t="array" ref="H386">IF(
 OR(
  LEFT(B386,15)="state.character",
  RIGHT(B386,6)=".maxed"
 ),
 0,
 LET(
  sort,
   _xlfn.XLOOKUP(
    B386,
    tblChecklist[TargetID],
    tblChecklist[PlayerSort],
    0
   ),
  IF(sort=0,500,sort)
 )
)</f>
        <v>59</v>
      </c>
      <c r="I386" s="49" t="str">
        <f t="array" ref="I386">_xlfn.XLOOKUP(
 B386,
 tblTargetStatus[TargetID],
 tblTargetStatus[Status],
 ""
)</f>
        <v>BLOCKED</v>
      </c>
      <c r="J386" s="45" t="b">
        <v>0</v>
      </c>
    </row>
    <row r="387" ht="14.25" hidden="1" customHeight="1">
      <c r="A387" s="49" t="s">
        <v>1980</v>
      </c>
      <c r="B387" s="49" t="str">
        <f>IFERROR(__xludf.DUMMYFUNCTION("REGEXREPLACE(
 REGEXREPLACE(A387,""^cost\."",""""),
 ""\.[^.]+\.[^.]+$"",
 """"
)"),"building.pagoda@3")</f>
        <v>building.pagoda@3</v>
      </c>
      <c r="C387" s="49" t="str">
        <f t="array" ref="C387">_xlfn.XLOOKUP(
 B387,
 tblTargets[TargetID],
 tblTargets[DisplayName],
 ""
)</f>
        <v>Pagoda Lv 3</v>
      </c>
      <c r="D387" s="49" t="str">
        <f t="array" ref="D387">_xlfn.XLOOKUP(
 B387,
 tblTargets[TargetID],
 tblTargets[TargetType],
 ""
)</f>
        <v>BUILDING</v>
      </c>
      <c r="E387" s="49" t="s">
        <v>119</v>
      </c>
      <c r="F387" s="49">
        <v>1.0</v>
      </c>
      <c r="G387" s="49">
        <f t="array" ref="G387">_xlfn.XLOOKUP(
 A387,
 tblCost[RequirementID],
 tblCost[QuantityRequired],
 ""
)</f>
        <v>300</v>
      </c>
      <c r="H387" s="49">
        <f t="array" ref="H387">IF(
 OR(
  LEFT(B387,15)="state.character",
  RIGHT(B387,6)=".maxed"
 ),
 0,
 LET(
  sort,
   _xlfn.XLOOKUP(
    B387,
    tblChecklist[TargetID],
    tblChecklist[PlayerSort],
    0
   ),
  IF(sort=0,500,sort)
 )
)</f>
        <v>59</v>
      </c>
      <c r="I387" s="49" t="str">
        <f t="array" ref="I387">_xlfn.XLOOKUP(
 B387,
 tblTargetStatus[TargetID],
 tblTargetStatus[Status],
 ""
)</f>
        <v>BLOCKED</v>
      </c>
      <c r="J387" s="45" t="b">
        <v>0</v>
      </c>
    </row>
    <row r="388" ht="14.25" hidden="1" customHeight="1">
      <c r="A388" s="49" t="s">
        <v>1981</v>
      </c>
      <c r="B388" s="49" t="str">
        <f>IFERROR(__xludf.DUMMYFUNCTION("REGEXREPLACE(
 REGEXREPLACE(A388,""^cost\."",""""),
 ""\.[^.]+\.[^.]+$"",
 """"
)"),"building.pagoda@3")</f>
        <v>building.pagoda@3</v>
      </c>
      <c r="C388" s="49" t="str">
        <f t="array" ref="C388">_xlfn.XLOOKUP(
 B388,
 tblTargets[TargetID],
 tblTargets[DisplayName],
 ""
)</f>
        <v>Pagoda Lv 3</v>
      </c>
      <c r="D388" s="49" t="str">
        <f t="array" ref="D388">_xlfn.XLOOKUP(
 B388,
 tblTargets[TargetID],
 tblTargets[TargetType],
 ""
)</f>
        <v>BUILDING</v>
      </c>
      <c r="E388" s="49" t="s">
        <v>6</v>
      </c>
      <c r="F388" s="49">
        <v>1.0</v>
      </c>
      <c r="G388" s="49">
        <f t="array" ref="G388">_xlfn.XLOOKUP(
 A388,
 tblCost[RequirementID],
 tblCost[QuantityRequired],
 ""
)</f>
        <v>4</v>
      </c>
      <c r="H388" s="49">
        <f t="array" ref="H388">IF(
 OR(
  LEFT(B388,15)="state.character",
  RIGHT(B388,6)=".maxed"
 ),
 0,
 LET(
  sort,
   _xlfn.XLOOKUP(
    B388,
    tblChecklist[TargetID],
    tblChecklist[PlayerSort],
    0
   ),
  IF(sort=0,500,sort)
 )
)</f>
        <v>59</v>
      </c>
      <c r="I388" s="49" t="str">
        <f t="array" ref="I388">_xlfn.XLOOKUP(
 B388,
 tblTargetStatus[TargetID],
 tblTargetStatus[Status],
 ""
)</f>
        <v>BLOCKED</v>
      </c>
      <c r="J388" s="45" t="b">
        <v>0</v>
      </c>
    </row>
    <row r="389" ht="14.25" hidden="1" customHeight="1">
      <c r="A389" s="49" t="s">
        <v>1982</v>
      </c>
      <c r="B389" s="49" t="str">
        <f>IFERROR(__xludf.DUMMYFUNCTION("REGEXREPLACE(
 REGEXREPLACE(A389,""^cost\."",""""),
 ""\.[^.]+\.[^.]+$"",
 """"
)"),"building.pagoda@3")</f>
        <v>building.pagoda@3</v>
      </c>
      <c r="C389" s="49" t="str">
        <f t="array" ref="C389">_xlfn.XLOOKUP(
 B389,
 tblTargets[TargetID],
 tblTargets[DisplayName],
 ""
)</f>
        <v>Pagoda Lv 3</v>
      </c>
      <c r="D389" s="49" t="str">
        <f t="array" ref="D389">_xlfn.XLOOKUP(
 B389,
 tblTargets[TargetID],
 tblTargets[TargetType],
 ""
)</f>
        <v>BUILDING</v>
      </c>
      <c r="E389" s="49" t="s">
        <v>392</v>
      </c>
      <c r="F389" s="49">
        <v>1.0</v>
      </c>
      <c r="G389" s="49">
        <f t="array" ref="G389">_xlfn.XLOOKUP(
 A389,
 tblCost[RequirementID],
 tblCost[QuantityRequired],
 ""
)</f>
        <v>50</v>
      </c>
      <c r="H389" s="49">
        <f t="array" ref="H389">IF(
 OR(
  LEFT(B389,15)="state.character",
  RIGHT(B389,6)=".maxed"
 ),
 0,
 LET(
  sort,
   _xlfn.XLOOKUP(
    B389,
    tblChecklist[TargetID],
    tblChecklist[PlayerSort],
    0
   ),
  IF(sort=0,500,sort)
 )
)</f>
        <v>59</v>
      </c>
      <c r="I389" s="49" t="str">
        <f t="array" ref="I389">_xlfn.XLOOKUP(
 B389,
 tblTargetStatus[TargetID],
 tblTargetStatus[Status],
 ""
)</f>
        <v>BLOCKED</v>
      </c>
      <c r="J389" s="45" t="b">
        <v>0</v>
      </c>
    </row>
    <row r="390" ht="14.25" hidden="1" customHeight="1">
      <c r="A390" s="49" t="s">
        <v>1983</v>
      </c>
      <c r="B390" s="49" t="str">
        <f>IFERROR(__xludf.DUMMYFUNCTION("REGEXREPLACE(
 REGEXREPLACE(A390,""^cost\."",""""),
 ""\.[^.]+\.[^.]+$"",
 """"
)"),"building.pagoda@3")</f>
        <v>building.pagoda@3</v>
      </c>
      <c r="C390" s="49" t="str">
        <f t="array" ref="C390">_xlfn.XLOOKUP(
 B390,
 tblTargets[TargetID],
 tblTargets[DisplayName],
 ""
)</f>
        <v>Pagoda Lv 3</v>
      </c>
      <c r="D390" s="49" t="str">
        <f t="array" ref="D390">_xlfn.XLOOKUP(
 B390,
 tblTargets[TargetID],
 tblTargets[TargetType],
 ""
)</f>
        <v>BUILDING</v>
      </c>
      <c r="E390" s="49" t="s">
        <v>237</v>
      </c>
      <c r="F390" s="49">
        <v>1.0</v>
      </c>
      <c r="G390" s="49">
        <f t="array" ref="G390">_xlfn.XLOOKUP(
 A390,
 tblCost[RequirementID],
 tblCost[QuantityRequired],
 ""
)</f>
        <v>300</v>
      </c>
      <c r="H390" s="49">
        <f t="array" ref="H390">IF(
 OR(
  LEFT(B390,15)="state.character",
  RIGHT(B390,6)=".maxed"
 ),
 0,
 LET(
  sort,
   _xlfn.XLOOKUP(
    B390,
    tblChecklist[TargetID],
    tblChecklist[PlayerSort],
    0
   ),
  IF(sort=0,500,sort)
 )
)</f>
        <v>59</v>
      </c>
      <c r="I390" s="49" t="str">
        <f t="array" ref="I390">_xlfn.XLOOKUP(
 B390,
 tblTargetStatus[TargetID],
 tblTargetStatus[Status],
 ""
)</f>
        <v>BLOCKED</v>
      </c>
      <c r="J390" s="45" t="b">
        <v>0</v>
      </c>
    </row>
    <row r="391" ht="14.25" hidden="1" customHeight="1">
      <c r="A391" s="49" t="s">
        <v>1984</v>
      </c>
      <c r="B391" s="49" t="str">
        <f>IFERROR(__xludf.DUMMYFUNCTION("REGEXREPLACE(
 REGEXREPLACE(A391,""^cost\."",""""),
 ""\.[^.]+\.[^.]+$"",
 """"
)"),"building.pagoda@4")</f>
        <v>building.pagoda@4</v>
      </c>
      <c r="C391" s="49" t="str">
        <f t="array" ref="C391">_xlfn.XLOOKUP(
 B391,
 tblTargets[TargetID],
 tblTargets[DisplayName],
 ""
)</f>
        <v>Pagoda Lv 4</v>
      </c>
      <c r="D391" s="49" t="str">
        <f t="array" ref="D391">_xlfn.XLOOKUP(
 B391,
 tblTargets[TargetID],
 tblTargets[TargetType],
 ""
)</f>
        <v>BUILDING</v>
      </c>
      <c r="E391" s="49" t="s">
        <v>278</v>
      </c>
      <c r="F391" s="49">
        <v>1.0</v>
      </c>
      <c r="G391" s="49">
        <f t="array" ref="G391">_xlfn.XLOOKUP(
 A391,
 tblCost[RequirementID],
 tblCost[QuantityRequired],
 ""
)</f>
        <v>700</v>
      </c>
      <c r="H391" s="49">
        <f t="array" ref="H391">IF(
 OR(
  LEFT(B391,15)="state.character",
  RIGHT(B391,6)=".maxed"
 ),
 0,
 LET(
  sort,
   _xlfn.XLOOKUP(
    B391,
    tblChecklist[TargetID],
    tblChecklist[PlayerSort],
    0
   ),
  IF(sort=0,500,sort)
 )
)</f>
        <v>60</v>
      </c>
      <c r="I391" s="49" t="str">
        <f t="array" ref="I391">_xlfn.XLOOKUP(
 B391,
 tblTargetStatus[TargetID],
 tblTargetStatus[Status],
 ""
)</f>
        <v>BLOCKED</v>
      </c>
      <c r="J391" s="45" t="b">
        <v>0</v>
      </c>
    </row>
    <row r="392" ht="14.25" hidden="1" customHeight="1">
      <c r="A392" s="49" t="s">
        <v>1985</v>
      </c>
      <c r="B392" s="49" t="str">
        <f>IFERROR(__xludf.DUMMYFUNCTION("REGEXREPLACE(
 REGEXREPLACE(A392,""^cost\."",""""),
 ""\.[^.]+\.[^.]+$"",
 """"
)"),"building.pagoda@4")</f>
        <v>building.pagoda@4</v>
      </c>
      <c r="C392" s="49" t="str">
        <f t="array" ref="C392">_xlfn.XLOOKUP(
 B392,
 tblTargets[TargetID],
 tblTargets[DisplayName],
 ""
)</f>
        <v>Pagoda Lv 4</v>
      </c>
      <c r="D392" s="49" t="str">
        <f t="array" ref="D392">_xlfn.XLOOKUP(
 B392,
 tblTargets[TargetID],
 tblTargets[TargetType],
 ""
)</f>
        <v>BUILDING</v>
      </c>
      <c r="E392" s="49" t="s">
        <v>119</v>
      </c>
      <c r="F392" s="49">
        <v>1.0</v>
      </c>
      <c r="G392" s="49">
        <f t="array" ref="G392">_xlfn.XLOOKUP(
 A392,
 tblCost[RequirementID],
 tblCost[QuantityRequired],
 ""
)</f>
        <v>350</v>
      </c>
      <c r="H392" s="49">
        <f t="array" ref="H392">IF(
 OR(
  LEFT(B392,15)="state.character",
  RIGHT(B392,6)=".maxed"
 ),
 0,
 LET(
  sort,
   _xlfn.XLOOKUP(
    B392,
    tblChecklist[TargetID],
    tblChecklist[PlayerSort],
    0
   ),
  IF(sort=0,500,sort)
 )
)</f>
        <v>60</v>
      </c>
      <c r="I392" s="49" t="str">
        <f t="array" ref="I392">_xlfn.XLOOKUP(
 B392,
 tblTargetStatus[TargetID],
 tblTargetStatus[Status],
 ""
)</f>
        <v>BLOCKED</v>
      </c>
      <c r="J392" s="45" t="b">
        <v>0</v>
      </c>
    </row>
    <row r="393" ht="14.25" hidden="1" customHeight="1">
      <c r="A393" s="49" t="s">
        <v>1986</v>
      </c>
      <c r="B393" s="49" t="str">
        <f>IFERROR(__xludf.DUMMYFUNCTION("REGEXREPLACE(
 REGEXREPLACE(A393,""^cost\."",""""),
 ""\.[^.]+\.[^.]+$"",
 """"
)"),"building.pagoda@4")</f>
        <v>building.pagoda@4</v>
      </c>
      <c r="C393" s="49" t="str">
        <f t="array" ref="C393">_xlfn.XLOOKUP(
 B393,
 tblTargets[TargetID],
 tblTargets[DisplayName],
 ""
)</f>
        <v>Pagoda Lv 4</v>
      </c>
      <c r="D393" s="49" t="str">
        <f t="array" ref="D393">_xlfn.XLOOKUP(
 B393,
 tblTargets[TargetID],
 tblTargets[TargetType],
 ""
)</f>
        <v>BUILDING</v>
      </c>
      <c r="E393" s="49" t="s">
        <v>171</v>
      </c>
      <c r="F393" s="49">
        <v>1.0</v>
      </c>
      <c r="G393" s="49">
        <f t="array" ref="G393">_xlfn.XLOOKUP(
 A393,
 tblCost[RequirementID],
 tblCost[QuantityRequired],
 ""
)</f>
        <v>30</v>
      </c>
      <c r="H393" s="49">
        <f t="array" ref="H393">IF(
 OR(
  LEFT(B393,15)="state.character",
  RIGHT(B393,6)=".maxed"
 ),
 0,
 LET(
  sort,
   _xlfn.XLOOKUP(
    B393,
    tblChecklist[TargetID],
    tblChecklist[PlayerSort],
    0
   ),
  IF(sort=0,500,sort)
 )
)</f>
        <v>60</v>
      </c>
      <c r="I393" s="49" t="str">
        <f t="array" ref="I393">_xlfn.XLOOKUP(
 B393,
 tblTargetStatus[TargetID],
 tblTargetStatus[Status],
 ""
)</f>
        <v>BLOCKED</v>
      </c>
      <c r="J393" s="45" t="b">
        <v>0</v>
      </c>
    </row>
    <row r="394" ht="14.25" hidden="1" customHeight="1">
      <c r="A394" s="49" t="s">
        <v>1987</v>
      </c>
      <c r="B394" s="49" t="str">
        <f>IFERROR(__xludf.DUMMYFUNCTION("REGEXREPLACE(
 REGEXREPLACE(A394,""^cost\."",""""),
 ""\.[^.]+\.[^.]+$"",
 """"
)"),"building.pagoda@4")</f>
        <v>building.pagoda@4</v>
      </c>
      <c r="C394" s="49" t="str">
        <f t="array" ref="C394">_xlfn.XLOOKUP(
 B394,
 tblTargets[TargetID],
 tblTargets[DisplayName],
 ""
)</f>
        <v>Pagoda Lv 4</v>
      </c>
      <c r="D394" s="49" t="str">
        <f t="array" ref="D394">_xlfn.XLOOKUP(
 B394,
 tblTargets[TargetID],
 tblTargets[TargetType],
 ""
)</f>
        <v>BUILDING</v>
      </c>
      <c r="E394" s="49" t="s">
        <v>6</v>
      </c>
      <c r="F394" s="49">
        <v>1.0</v>
      </c>
      <c r="G394" s="49">
        <f t="array" ref="G394">_xlfn.XLOOKUP(
 A394,
 tblCost[RequirementID],
 tblCost[QuantityRequired],
 ""
)</f>
        <v>6</v>
      </c>
      <c r="H394" s="49">
        <f t="array" ref="H394">IF(
 OR(
  LEFT(B394,15)="state.character",
  RIGHT(B394,6)=".maxed"
 ),
 0,
 LET(
  sort,
   _xlfn.XLOOKUP(
    B394,
    tblChecklist[TargetID],
    tblChecklist[PlayerSort],
    0
   ),
  IF(sort=0,500,sort)
 )
)</f>
        <v>60</v>
      </c>
      <c r="I394" s="49" t="str">
        <f t="array" ref="I394">_xlfn.XLOOKUP(
 B394,
 tblTargetStatus[TargetID],
 tblTargetStatus[Status],
 ""
)</f>
        <v>BLOCKED</v>
      </c>
      <c r="J394" s="45" t="b">
        <v>0</v>
      </c>
    </row>
    <row r="395" ht="14.25" hidden="1" customHeight="1">
      <c r="A395" s="49" t="s">
        <v>1988</v>
      </c>
      <c r="B395" s="49" t="str">
        <f>IFERROR(__xludf.DUMMYFUNCTION("REGEXREPLACE(
 REGEXREPLACE(A395,""^cost\."",""""),
 ""\.[^.]+\.[^.]+$"",
 """"
)"),"building.pagoda@4")</f>
        <v>building.pagoda@4</v>
      </c>
      <c r="C395" s="49" t="str">
        <f t="array" ref="C395">_xlfn.XLOOKUP(
 B395,
 tblTargets[TargetID],
 tblTargets[DisplayName],
 ""
)</f>
        <v>Pagoda Lv 4</v>
      </c>
      <c r="D395" s="49" t="str">
        <f t="array" ref="D395">_xlfn.XLOOKUP(
 B395,
 tblTargets[TargetID],
 tblTargets[TargetType],
 ""
)</f>
        <v>BUILDING</v>
      </c>
      <c r="E395" s="49" t="s">
        <v>237</v>
      </c>
      <c r="F395" s="49">
        <v>1.0</v>
      </c>
      <c r="G395" s="49">
        <f t="array" ref="G395">_xlfn.XLOOKUP(
 A395,
 tblCost[RequirementID],
 tblCost[QuantityRequired],
 ""
)</f>
        <v>350</v>
      </c>
      <c r="H395" s="49">
        <f t="array" ref="H395">IF(
 OR(
  LEFT(B395,15)="state.character",
  RIGHT(B395,6)=".maxed"
 ),
 0,
 LET(
  sort,
   _xlfn.XLOOKUP(
    B395,
    tblChecklist[TargetID],
    tblChecklist[PlayerSort],
    0
   ),
  IF(sort=0,500,sort)
 )
)</f>
        <v>60</v>
      </c>
      <c r="I395" s="49" t="str">
        <f t="array" ref="I395">_xlfn.XLOOKUP(
 B395,
 tblTargetStatus[TargetID],
 tblTargetStatus[Status],
 ""
)</f>
        <v>BLOCKED</v>
      </c>
      <c r="J395" s="45" t="b">
        <v>0</v>
      </c>
    </row>
    <row r="396" ht="14.25" hidden="1" customHeight="1">
      <c r="A396" s="49" t="s">
        <v>1989</v>
      </c>
      <c r="B396" s="49" t="str">
        <f>IFERROR(__xludf.DUMMYFUNCTION("REGEXREPLACE(
 REGEXREPLACE(A396,""^cost\."",""""),
 ""\.[^.]+\.[^.]+$"",
 """"
)"),"building.pagoda@5")</f>
        <v>building.pagoda@5</v>
      </c>
      <c r="C396" s="49" t="str">
        <f t="array" ref="C396">_xlfn.XLOOKUP(
 B396,
 tblTargets[TargetID],
 tblTargets[DisplayName],
 ""
)</f>
        <v>Pagoda Lv 5</v>
      </c>
      <c r="D396" s="49" t="str">
        <f t="array" ref="D396">_xlfn.XLOOKUP(
 B396,
 tblTargets[TargetID],
 tblTargets[TargetType],
 ""
)</f>
        <v>BUILDING</v>
      </c>
      <c r="E396" s="49" t="s">
        <v>278</v>
      </c>
      <c r="F396" s="49">
        <v>1.0</v>
      </c>
      <c r="G396" s="49">
        <f t="array" ref="G396">_xlfn.XLOOKUP(
 A396,
 tblCost[RequirementID],
 tblCost[QuantityRequired],
 ""
)</f>
        <v>800</v>
      </c>
      <c r="H396" s="49">
        <f t="array" ref="H396">IF(
 OR(
  LEFT(B396,15)="state.character",
  RIGHT(B396,6)=".maxed"
 ),
 0,
 LET(
  sort,
   _xlfn.XLOOKUP(
    B396,
    tblChecklist[TargetID],
    tblChecklist[PlayerSort],
    0
   ),
  IF(sort=0,500,sort)
 )
)</f>
        <v>61</v>
      </c>
      <c r="I396" s="49" t="str">
        <f t="array" ref="I396">_xlfn.XLOOKUP(
 B396,
 tblTargetStatus[TargetID],
 tblTargetStatus[Status],
 ""
)</f>
        <v>BLOCKED</v>
      </c>
      <c r="J396" s="45" t="b">
        <v>0</v>
      </c>
    </row>
    <row r="397" ht="14.25" hidden="1" customHeight="1">
      <c r="A397" s="49" t="s">
        <v>1990</v>
      </c>
      <c r="B397" s="49" t="str">
        <f>IFERROR(__xludf.DUMMYFUNCTION("REGEXREPLACE(
 REGEXREPLACE(A397,""^cost\."",""""),
 ""\.[^.]+\.[^.]+$"",
 """"
)"),"building.pagoda@5")</f>
        <v>building.pagoda@5</v>
      </c>
      <c r="C397" s="49" t="str">
        <f t="array" ref="C397">_xlfn.XLOOKUP(
 B397,
 tblTargets[TargetID],
 tblTargets[DisplayName],
 ""
)</f>
        <v>Pagoda Lv 5</v>
      </c>
      <c r="D397" s="49" t="str">
        <f t="array" ref="D397">_xlfn.XLOOKUP(
 B397,
 tblTargets[TargetID],
 tblTargets[TargetType],
 ""
)</f>
        <v>BUILDING</v>
      </c>
      <c r="E397" s="49" t="s">
        <v>119</v>
      </c>
      <c r="F397" s="49">
        <v>1.0</v>
      </c>
      <c r="G397" s="49">
        <f t="array" ref="G397">_xlfn.XLOOKUP(
 A397,
 tblCost[RequirementID],
 tblCost[QuantityRequired],
 ""
)</f>
        <v>400</v>
      </c>
      <c r="H397" s="49">
        <f t="array" ref="H397">IF(
 OR(
  LEFT(B397,15)="state.character",
  RIGHT(B397,6)=".maxed"
 ),
 0,
 LET(
  sort,
   _xlfn.XLOOKUP(
    B397,
    tblChecklist[TargetID],
    tblChecklist[PlayerSort],
    0
   ),
  IF(sort=0,500,sort)
 )
)</f>
        <v>61</v>
      </c>
      <c r="I397" s="49" t="str">
        <f t="array" ref="I397">_xlfn.XLOOKUP(
 B397,
 tblTargetStatus[TargetID],
 tblTargetStatus[Status],
 ""
)</f>
        <v>BLOCKED</v>
      </c>
      <c r="J397" s="45" t="b">
        <v>0</v>
      </c>
    </row>
    <row r="398" ht="14.25" hidden="1" customHeight="1">
      <c r="A398" s="49" t="s">
        <v>1991</v>
      </c>
      <c r="B398" s="49" t="str">
        <f>IFERROR(__xludf.DUMMYFUNCTION("REGEXREPLACE(
 REGEXREPLACE(A398,""^cost\."",""""),
 ""\.[^.]+\.[^.]+$"",
 """"
)"),"building.pagoda@5")</f>
        <v>building.pagoda@5</v>
      </c>
      <c r="C398" s="49" t="str">
        <f t="array" ref="C398">_xlfn.XLOOKUP(
 B398,
 tblTargets[TargetID],
 tblTargets[DisplayName],
 ""
)</f>
        <v>Pagoda Lv 5</v>
      </c>
      <c r="D398" s="49" t="str">
        <f t="array" ref="D398">_xlfn.XLOOKUP(
 B398,
 tblTargets[TargetID],
 tblTargets[TargetType],
 ""
)</f>
        <v>BUILDING</v>
      </c>
      <c r="E398" s="49" t="s">
        <v>1922</v>
      </c>
      <c r="F398" s="49">
        <v>1.0</v>
      </c>
      <c r="G398" s="49">
        <f t="array" ref="G398">_xlfn.XLOOKUP(
 A398,
 tblCost[RequirementID],
 tblCost[QuantityRequired],
 ""
)</f>
        <v>30</v>
      </c>
      <c r="H398" s="49">
        <f t="array" ref="H398">IF(
 OR(
  LEFT(B398,15)="state.character",
  RIGHT(B398,6)=".maxed"
 ),
 0,
 LET(
  sort,
   _xlfn.XLOOKUP(
    B398,
    tblChecklist[TargetID],
    tblChecklist[PlayerSort],
    0
   ),
  IF(sort=0,500,sort)
 )
)</f>
        <v>61</v>
      </c>
      <c r="I398" s="49" t="str">
        <f t="array" ref="I398">_xlfn.XLOOKUP(
 B398,
 tblTargetStatus[TargetID],
 tblTargetStatus[Status],
 ""
)</f>
        <v>BLOCKED</v>
      </c>
      <c r="J398" s="45" t="b">
        <v>0</v>
      </c>
    </row>
    <row r="399" ht="14.25" hidden="1" customHeight="1">
      <c r="A399" s="49" t="s">
        <v>1993</v>
      </c>
      <c r="B399" s="49" t="str">
        <f>IFERROR(__xludf.DUMMYFUNCTION("REGEXREPLACE(
 REGEXREPLACE(A399,""^cost\."",""""),
 ""\.[^.]+\.[^.]+$"",
 """"
)"),"building.pagoda@5")</f>
        <v>building.pagoda@5</v>
      </c>
      <c r="C399" s="49" t="str">
        <f t="array" ref="C399">_xlfn.XLOOKUP(
 B399,
 tblTargets[TargetID],
 tblTargets[DisplayName],
 ""
)</f>
        <v>Pagoda Lv 5</v>
      </c>
      <c r="D399" s="49" t="str">
        <f t="array" ref="D399">_xlfn.XLOOKUP(
 B399,
 tblTargets[TargetID],
 tblTargets[TargetType],
 ""
)</f>
        <v>BUILDING</v>
      </c>
      <c r="E399" s="49" t="s">
        <v>6</v>
      </c>
      <c r="F399" s="49">
        <v>1.0</v>
      </c>
      <c r="G399" s="49">
        <f t="array" ref="G399">_xlfn.XLOOKUP(
 A399,
 tblCost[RequirementID],
 tblCost[QuantityRequired],
 ""
)</f>
        <v>8</v>
      </c>
      <c r="H399" s="49">
        <f t="array" ref="H399">IF(
 OR(
  LEFT(B399,15)="state.character",
  RIGHT(B399,6)=".maxed"
 ),
 0,
 LET(
  sort,
   _xlfn.XLOOKUP(
    B399,
    tblChecklist[TargetID],
    tblChecklist[PlayerSort],
    0
   ),
  IF(sort=0,500,sort)
 )
)</f>
        <v>61</v>
      </c>
      <c r="I399" s="49" t="str">
        <f t="array" ref="I399">_xlfn.XLOOKUP(
 B399,
 tblTargetStatus[TargetID],
 tblTargetStatus[Status],
 ""
)</f>
        <v>BLOCKED</v>
      </c>
      <c r="J399" s="45" t="b">
        <v>0</v>
      </c>
    </row>
    <row r="400" ht="14.25" hidden="1" customHeight="1">
      <c r="A400" s="49" t="s">
        <v>1994</v>
      </c>
      <c r="B400" s="49" t="str">
        <f>IFERROR(__xludf.DUMMYFUNCTION("REGEXREPLACE(
 REGEXREPLACE(A400,""^cost\."",""""),
 ""\.[^.]+\.[^.]+$"",
 """"
)"),"building.pagoda@5")</f>
        <v>building.pagoda@5</v>
      </c>
      <c r="C400" s="49" t="str">
        <f t="array" ref="C400">_xlfn.XLOOKUP(
 B400,
 tblTargets[TargetID],
 tblTargets[DisplayName],
 ""
)</f>
        <v>Pagoda Lv 5</v>
      </c>
      <c r="D400" s="49" t="str">
        <f t="array" ref="D400">_xlfn.XLOOKUP(
 B400,
 tblTargets[TargetID],
 tblTargets[TargetType],
 ""
)</f>
        <v>BUILDING</v>
      </c>
      <c r="E400" s="49" t="s">
        <v>237</v>
      </c>
      <c r="F400" s="49">
        <v>1.0</v>
      </c>
      <c r="G400" s="49">
        <f t="array" ref="G400">_xlfn.XLOOKUP(
 A400,
 tblCost[RequirementID],
 tblCost[QuantityRequired],
 ""
)</f>
        <v>400</v>
      </c>
      <c r="H400" s="49">
        <f t="array" ref="H400">IF(
 OR(
  LEFT(B400,15)="state.character",
  RIGHT(B400,6)=".maxed"
 ),
 0,
 LET(
  sort,
   _xlfn.XLOOKUP(
    B400,
    tblChecklist[TargetID],
    tblChecklist[PlayerSort],
    0
   ),
  IF(sort=0,500,sort)
 )
)</f>
        <v>61</v>
      </c>
      <c r="I400" s="49" t="str">
        <f t="array" ref="I400">_xlfn.XLOOKUP(
 B400,
 tblTargetStatus[TargetID],
 tblTargetStatus[Status],
 ""
)</f>
        <v>BLOCKED</v>
      </c>
      <c r="J400" s="45" t="b">
        <v>0</v>
      </c>
    </row>
    <row r="401" ht="14.25" hidden="1" customHeight="1">
      <c r="A401" s="49" t="s">
        <v>1995</v>
      </c>
      <c r="B401" s="49" t="str">
        <f>IFERROR(__xludf.DUMMYFUNCTION("REGEXREPLACE(
 REGEXREPLACE(A401,""^cost\."",""""),
 ""\.[^.]+\.[^.]+$"",
 """"
)"),"building.pagoda@6")</f>
        <v>building.pagoda@6</v>
      </c>
      <c r="C401" s="49" t="str">
        <f t="array" ref="C401">_xlfn.XLOOKUP(
 B401,
 tblTargets[TargetID],
 tblTargets[DisplayName],
 ""
)</f>
        <v>Pagoda Lv 6</v>
      </c>
      <c r="D401" s="49" t="str">
        <f t="array" ref="D401">_xlfn.XLOOKUP(
 B401,
 tblTargets[TargetID],
 tblTargets[TargetType],
 ""
)</f>
        <v>BUILDING</v>
      </c>
      <c r="E401" s="49" t="s">
        <v>278</v>
      </c>
      <c r="F401" s="49">
        <v>1.0</v>
      </c>
      <c r="G401" s="49">
        <f t="array" ref="G401">_xlfn.XLOOKUP(
 A401,
 tblCost[RequirementID],
 tblCost[QuantityRequired],
 ""
)</f>
        <v>900</v>
      </c>
      <c r="H401" s="49">
        <f t="array" ref="H401">IF(
 OR(
  LEFT(B401,15)="state.character",
  RIGHT(B401,6)=".maxed"
 ),
 0,
 LET(
  sort,
   _xlfn.XLOOKUP(
    B401,
    tblChecklist[TargetID],
    tblChecklist[PlayerSort],
    0
   ),
  IF(sort=0,500,sort)
 )
)</f>
        <v>62</v>
      </c>
      <c r="I401" s="49" t="str">
        <f t="array" ref="I401">_xlfn.XLOOKUP(
 B401,
 tblTargetStatus[TargetID],
 tblTargetStatus[Status],
 ""
)</f>
        <v>BLOCKED</v>
      </c>
      <c r="J401" s="45" t="b">
        <v>0</v>
      </c>
    </row>
    <row r="402" ht="14.25" hidden="1" customHeight="1">
      <c r="A402" s="49" t="s">
        <v>1996</v>
      </c>
      <c r="B402" s="49" t="str">
        <f>IFERROR(__xludf.DUMMYFUNCTION("REGEXREPLACE(
 REGEXREPLACE(A402,""^cost\."",""""),
 ""\.[^.]+\.[^.]+$"",
 """"
)"),"building.pagoda@6")</f>
        <v>building.pagoda@6</v>
      </c>
      <c r="C402" s="49" t="str">
        <f t="array" ref="C402">_xlfn.XLOOKUP(
 B402,
 tblTargets[TargetID],
 tblTargets[DisplayName],
 ""
)</f>
        <v>Pagoda Lv 6</v>
      </c>
      <c r="D402" s="49" t="str">
        <f t="array" ref="D402">_xlfn.XLOOKUP(
 B402,
 tblTargets[TargetID],
 tblTargets[TargetType],
 ""
)</f>
        <v>BUILDING</v>
      </c>
      <c r="E402" s="49" t="s">
        <v>119</v>
      </c>
      <c r="F402" s="49">
        <v>1.0</v>
      </c>
      <c r="G402" s="49">
        <f t="array" ref="G402">_xlfn.XLOOKUP(
 A402,
 tblCost[RequirementID],
 tblCost[QuantityRequired],
 ""
)</f>
        <v>450</v>
      </c>
      <c r="H402" s="49">
        <f t="array" ref="H402">IF(
 OR(
  LEFT(B402,15)="state.character",
  RIGHT(B402,6)=".maxed"
 ),
 0,
 LET(
  sort,
   _xlfn.XLOOKUP(
    B402,
    tblChecklist[TargetID],
    tblChecklist[PlayerSort],
    0
   ),
  IF(sort=0,500,sort)
 )
)</f>
        <v>62</v>
      </c>
      <c r="I402" s="49" t="str">
        <f t="array" ref="I402">_xlfn.XLOOKUP(
 B402,
 tblTargetStatus[TargetID],
 tblTargetStatus[Status],
 ""
)</f>
        <v>BLOCKED</v>
      </c>
      <c r="J402" s="45" t="b">
        <v>0</v>
      </c>
    </row>
    <row r="403" ht="14.25" hidden="1" customHeight="1">
      <c r="A403" s="49" t="s">
        <v>1997</v>
      </c>
      <c r="B403" s="49" t="str">
        <f>IFERROR(__xludf.DUMMYFUNCTION("REGEXREPLACE(
 REGEXREPLACE(A403,""^cost\."",""""),
 ""\.[^.]+\.[^.]+$"",
 """"
)"),"building.pagoda@6")</f>
        <v>building.pagoda@6</v>
      </c>
      <c r="C403" s="49" t="str">
        <f t="array" ref="C403">_xlfn.XLOOKUP(
 B403,
 tblTargets[TargetID],
 tblTargets[DisplayName],
 ""
)</f>
        <v>Pagoda Lv 6</v>
      </c>
      <c r="D403" s="49" t="str">
        <f t="array" ref="D403">_xlfn.XLOOKUP(
 B403,
 tblTargets[TargetID],
 tblTargets[TargetType],
 ""
)</f>
        <v>BUILDING</v>
      </c>
      <c r="E403" s="49" t="s">
        <v>412</v>
      </c>
      <c r="F403" s="49">
        <v>1.0</v>
      </c>
      <c r="G403" s="49">
        <f t="array" ref="G403">_xlfn.XLOOKUP(
 A403,
 tblCost[RequirementID],
 tblCost[QuantityRequired],
 ""
)</f>
        <v>5</v>
      </c>
      <c r="H403" s="49">
        <f t="array" ref="H403">IF(
 OR(
  LEFT(B403,15)="state.character",
  RIGHT(B403,6)=".maxed"
 ),
 0,
 LET(
  sort,
   _xlfn.XLOOKUP(
    B403,
    tblChecklist[TargetID],
    tblChecklist[PlayerSort],
    0
   ),
  IF(sort=0,500,sort)
 )
)</f>
        <v>62</v>
      </c>
      <c r="I403" s="49" t="str">
        <f t="array" ref="I403">_xlfn.XLOOKUP(
 B403,
 tblTargetStatus[TargetID],
 tblTargetStatus[Status],
 ""
)</f>
        <v>BLOCKED</v>
      </c>
      <c r="J403" s="45" t="b">
        <v>0</v>
      </c>
    </row>
    <row r="404" ht="14.25" hidden="1" customHeight="1">
      <c r="A404" s="49" t="s">
        <v>1998</v>
      </c>
      <c r="B404" s="49" t="str">
        <f>IFERROR(__xludf.DUMMYFUNCTION("REGEXREPLACE(
 REGEXREPLACE(A404,""^cost\."",""""),
 ""\.[^.]+\.[^.]+$"",
 """"
)"),"building.pagoda@6")</f>
        <v>building.pagoda@6</v>
      </c>
      <c r="C404" s="49" t="str">
        <f t="array" ref="C404">_xlfn.XLOOKUP(
 B404,
 tblTargets[TargetID],
 tblTargets[DisplayName],
 ""
)</f>
        <v>Pagoda Lv 6</v>
      </c>
      <c r="D404" s="49" t="str">
        <f t="array" ref="D404">_xlfn.XLOOKUP(
 B404,
 tblTargets[TargetID],
 tblTargets[TargetType],
 ""
)</f>
        <v>BUILDING</v>
      </c>
      <c r="E404" s="49" t="s">
        <v>6</v>
      </c>
      <c r="F404" s="49">
        <v>1.0</v>
      </c>
      <c r="G404" s="49">
        <f t="array" ref="G404">_xlfn.XLOOKUP(
 A404,
 tblCost[RequirementID],
 tblCost[QuantityRequired],
 ""
)</f>
        <v>10</v>
      </c>
      <c r="H404" s="49">
        <f t="array" ref="H404">IF(
 OR(
  LEFT(B404,15)="state.character",
  RIGHT(B404,6)=".maxed"
 ),
 0,
 LET(
  sort,
   _xlfn.XLOOKUP(
    B404,
    tblChecklist[TargetID],
    tblChecklist[PlayerSort],
    0
   ),
  IF(sort=0,500,sort)
 )
)</f>
        <v>62</v>
      </c>
      <c r="I404" s="49" t="str">
        <f t="array" ref="I404">_xlfn.XLOOKUP(
 B404,
 tblTargetStatus[TargetID],
 tblTargetStatus[Status],
 ""
)</f>
        <v>BLOCKED</v>
      </c>
      <c r="J404" s="45" t="b">
        <v>0</v>
      </c>
    </row>
    <row r="405" ht="14.25" hidden="1" customHeight="1">
      <c r="A405" s="49" t="s">
        <v>1999</v>
      </c>
      <c r="B405" s="49" t="str">
        <f>IFERROR(__xludf.DUMMYFUNCTION("REGEXREPLACE(
 REGEXREPLACE(A405,""^cost\."",""""),
 ""\.[^.]+\.[^.]+$"",
 """"
)"),"building.pagoda@6")</f>
        <v>building.pagoda@6</v>
      </c>
      <c r="C405" s="49" t="str">
        <f t="array" ref="C405">_xlfn.XLOOKUP(
 B405,
 tblTargets[TargetID],
 tblTargets[DisplayName],
 ""
)</f>
        <v>Pagoda Lv 6</v>
      </c>
      <c r="D405" s="49" t="str">
        <f t="array" ref="D405">_xlfn.XLOOKUP(
 B405,
 tblTargets[TargetID],
 tblTargets[TargetType],
 ""
)</f>
        <v>BUILDING</v>
      </c>
      <c r="E405" s="49" t="s">
        <v>443</v>
      </c>
      <c r="F405" s="49">
        <v>1.0</v>
      </c>
      <c r="G405" s="49">
        <f t="array" ref="G405">_xlfn.XLOOKUP(
 A405,
 tblCost[RequirementID],
 tblCost[QuantityRequired],
 ""
)</f>
        <v>5</v>
      </c>
      <c r="H405" s="49">
        <f t="array" ref="H405">IF(
 OR(
  LEFT(B405,15)="state.character",
  RIGHT(B405,6)=".maxed"
 ),
 0,
 LET(
  sort,
   _xlfn.XLOOKUP(
    B405,
    tblChecklist[TargetID],
    tblChecklist[PlayerSort],
    0
   ),
  IF(sort=0,500,sort)
 )
)</f>
        <v>62</v>
      </c>
      <c r="I405" s="49" t="str">
        <f t="array" ref="I405">_xlfn.XLOOKUP(
 B405,
 tblTargetStatus[TargetID],
 tblTargetStatus[Status],
 ""
)</f>
        <v>BLOCKED</v>
      </c>
      <c r="J405" s="45" t="b">
        <v>0</v>
      </c>
    </row>
    <row r="406" ht="14.25" hidden="1" customHeight="1">
      <c r="A406" s="49" t="s">
        <v>2000</v>
      </c>
      <c r="B406" s="49" t="str">
        <f>IFERROR(__xludf.DUMMYFUNCTION("REGEXREPLACE(
 REGEXREPLACE(A406,""^cost\."",""""),
 ""\.[^.]+\.[^.]+$"",
 """"
)"),"building.pagoda@6")</f>
        <v>building.pagoda@6</v>
      </c>
      <c r="C406" s="49" t="str">
        <f t="array" ref="C406">_xlfn.XLOOKUP(
 B406,
 tblTargets[TargetID],
 tblTargets[DisplayName],
 ""
)</f>
        <v>Pagoda Lv 6</v>
      </c>
      <c r="D406" s="49" t="str">
        <f t="array" ref="D406">_xlfn.XLOOKUP(
 B406,
 tblTargets[TargetID],
 tblTargets[TargetType],
 ""
)</f>
        <v>BUILDING</v>
      </c>
      <c r="E406" s="49" t="s">
        <v>237</v>
      </c>
      <c r="F406" s="49">
        <v>1.0</v>
      </c>
      <c r="G406" s="49">
        <f t="array" ref="G406">_xlfn.XLOOKUP(
 A406,
 tblCost[RequirementID],
 tblCost[QuantityRequired],
 ""
)</f>
        <v>450</v>
      </c>
      <c r="H406" s="49">
        <f t="array" ref="H406">IF(
 OR(
  LEFT(B406,15)="state.character",
  RIGHT(B406,6)=".maxed"
 ),
 0,
 LET(
  sort,
   _xlfn.XLOOKUP(
    B406,
    tblChecklist[TargetID],
    tblChecklist[PlayerSort],
    0
   ),
  IF(sort=0,500,sort)
 )
)</f>
        <v>62</v>
      </c>
      <c r="I406" s="49" t="str">
        <f t="array" ref="I406">_xlfn.XLOOKUP(
 B406,
 tblTargetStatus[TargetID],
 tblTargetStatus[Status],
 ""
)</f>
        <v>BLOCKED</v>
      </c>
      <c r="J406" s="45" t="b">
        <v>0</v>
      </c>
    </row>
    <row r="407" ht="14.25" hidden="1" customHeight="1">
      <c r="A407" s="49" t="s">
        <v>2001</v>
      </c>
      <c r="B407" s="49" t="str">
        <f>IFERROR(__xludf.DUMMYFUNCTION("REGEXREPLACE(
 REGEXREPLACE(A407,""^cost\."",""""),
 ""\.[^.]+\.[^.]+$"",
 """"
)"),"building.pagoda@7")</f>
        <v>building.pagoda@7</v>
      </c>
      <c r="C407" s="49" t="str">
        <f t="array" ref="C407">_xlfn.XLOOKUP(
 B407,
 tblTargets[TargetID],
 tblTargets[DisplayName],
 ""
)</f>
        <v>Pagoda Lv 7</v>
      </c>
      <c r="D407" s="49" t="str">
        <f t="array" ref="D407">_xlfn.XLOOKUP(
 B407,
 tblTargets[TargetID],
 tblTargets[TargetType],
 ""
)</f>
        <v>BUILDING</v>
      </c>
      <c r="E407" s="49" t="s">
        <v>278</v>
      </c>
      <c r="F407" s="49">
        <v>1.0</v>
      </c>
      <c r="G407" s="49">
        <f t="array" ref="G407">_xlfn.XLOOKUP(
 A407,
 tblCost[RequirementID],
 tblCost[QuantityRequired],
 ""
)</f>
        <v>1000</v>
      </c>
      <c r="H407" s="49">
        <f t="array" ref="H407">IF(
 OR(
  LEFT(B407,15)="state.character",
  RIGHT(B407,6)=".maxed"
 ),
 0,
 LET(
  sort,
   _xlfn.XLOOKUP(
    B407,
    tblChecklist[TargetID],
    tblChecklist[PlayerSort],
    0
   ),
  IF(sort=0,500,sort)
 )
)</f>
        <v>63</v>
      </c>
      <c r="I407" s="49" t="str">
        <f t="array" ref="I407">_xlfn.XLOOKUP(
 B407,
 tblTargetStatus[TargetID],
 tblTargetStatus[Status],
 ""
)</f>
        <v>BLOCKED</v>
      </c>
      <c r="J407" s="45" t="b">
        <v>0</v>
      </c>
    </row>
    <row r="408" ht="14.25" hidden="1" customHeight="1">
      <c r="A408" s="49" t="s">
        <v>2002</v>
      </c>
      <c r="B408" s="49" t="str">
        <f>IFERROR(__xludf.DUMMYFUNCTION("REGEXREPLACE(
 REGEXREPLACE(A408,""^cost\."",""""),
 ""\.[^.]+\.[^.]+$"",
 """"
)"),"building.pagoda@7")</f>
        <v>building.pagoda@7</v>
      </c>
      <c r="C408" s="49" t="str">
        <f t="array" ref="C408">_xlfn.XLOOKUP(
 B408,
 tblTargets[TargetID],
 tblTargets[DisplayName],
 ""
)</f>
        <v>Pagoda Lv 7</v>
      </c>
      <c r="D408" s="49" t="str">
        <f t="array" ref="D408">_xlfn.XLOOKUP(
 B408,
 tblTargets[TargetID],
 tblTargets[TargetType],
 ""
)</f>
        <v>BUILDING</v>
      </c>
      <c r="E408" s="49" t="s">
        <v>119</v>
      </c>
      <c r="F408" s="49">
        <v>1.0</v>
      </c>
      <c r="G408" s="49">
        <f t="array" ref="G408">_xlfn.XLOOKUP(
 A408,
 tblCost[RequirementID],
 tblCost[QuantityRequired],
 ""
)</f>
        <v>500</v>
      </c>
      <c r="H408" s="49">
        <f t="array" ref="H408">IF(
 OR(
  LEFT(B408,15)="state.character",
  RIGHT(B408,6)=".maxed"
 ),
 0,
 LET(
  sort,
   _xlfn.XLOOKUP(
    B408,
    tblChecklist[TargetID],
    tblChecklist[PlayerSort],
    0
   ),
  IF(sort=0,500,sort)
 )
)</f>
        <v>63</v>
      </c>
      <c r="I408" s="49" t="str">
        <f t="array" ref="I408">_xlfn.XLOOKUP(
 B408,
 tblTargetStatus[TargetID],
 tblTargetStatus[Status],
 ""
)</f>
        <v>BLOCKED</v>
      </c>
      <c r="J408" s="45" t="b">
        <v>0</v>
      </c>
    </row>
    <row r="409" ht="14.25" hidden="1" customHeight="1">
      <c r="A409" s="49" t="s">
        <v>2003</v>
      </c>
      <c r="B409" s="49" t="str">
        <f>IFERROR(__xludf.DUMMYFUNCTION("REGEXREPLACE(
 REGEXREPLACE(A409,""^cost\."",""""),
 ""\.[^.]+\.[^.]+$"",
 """"
)"),"building.pagoda@7")</f>
        <v>building.pagoda@7</v>
      </c>
      <c r="C409" s="49" t="str">
        <f t="array" ref="C409">_xlfn.XLOOKUP(
 B409,
 tblTargets[TargetID],
 tblTargets[DisplayName],
 ""
)</f>
        <v>Pagoda Lv 7</v>
      </c>
      <c r="D409" s="49" t="str">
        <f t="array" ref="D409">_xlfn.XLOOKUP(
 B409,
 tblTargets[TargetID],
 tblTargets[TargetType],
 ""
)</f>
        <v>BUILDING</v>
      </c>
      <c r="E409" s="49" t="s">
        <v>426</v>
      </c>
      <c r="F409" s="49">
        <v>1.0</v>
      </c>
      <c r="G409" s="49">
        <f t="array" ref="G409">_xlfn.XLOOKUP(
 A409,
 tblCost[RequirementID],
 tblCost[QuantityRequired],
 ""
)</f>
        <v>5</v>
      </c>
      <c r="H409" s="49">
        <f t="array" ref="H409">IF(
 OR(
  LEFT(B409,15)="state.character",
  RIGHT(B409,6)=".maxed"
 ),
 0,
 LET(
  sort,
   _xlfn.XLOOKUP(
    B409,
    tblChecklist[TargetID],
    tblChecklist[PlayerSort],
    0
   ),
  IF(sort=0,500,sort)
 )
)</f>
        <v>63</v>
      </c>
      <c r="I409" s="49" t="str">
        <f t="array" ref="I409">_xlfn.XLOOKUP(
 B409,
 tblTargetStatus[TargetID],
 tblTargetStatus[Status],
 ""
)</f>
        <v>BLOCKED</v>
      </c>
      <c r="J409" s="45" t="b">
        <v>0</v>
      </c>
    </row>
    <row r="410" ht="14.25" hidden="1" customHeight="1">
      <c r="A410" s="49" t="s">
        <v>2005</v>
      </c>
      <c r="B410" s="49" t="str">
        <f>IFERROR(__xludf.DUMMYFUNCTION("REGEXREPLACE(
 REGEXREPLACE(A410,""^cost\."",""""),
 ""\.[^.]+\.[^.]+$"",
 """"
)"),"building.pagoda@7")</f>
        <v>building.pagoda@7</v>
      </c>
      <c r="C410" s="49" t="str">
        <f t="array" ref="C410">_xlfn.XLOOKUP(
 B410,
 tblTargets[TargetID],
 tblTargets[DisplayName],
 ""
)</f>
        <v>Pagoda Lv 7</v>
      </c>
      <c r="D410" s="49" t="str">
        <f t="array" ref="D410">_xlfn.XLOOKUP(
 B410,
 tblTargets[TargetID],
 tblTargets[TargetType],
 ""
)</f>
        <v>BUILDING</v>
      </c>
      <c r="E410" s="49" t="s">
        <v>6</v>
      </c>
      <c r="F410" s="49">
        <v>1.0</v>
      </c>
      <c r="G410" s="49">
        <f t="array" ref="G410">_xlfn.XLOOKUP(
 A410,
 tblCost[RequirementID],
 tblCost[QuantityRequired],
 ""
)</f>
        <v>15</v>
      </c>
      <c r="H410" s="49">
        <f t="array" ref="H410">IF(
 OR(
  LEFT(B410,15)="state.character",
  RIGHT(B410,6)=".maxed"
 ),
 0,
 LET(
  sort,
   _xlfn.XLOOKUP(
    B410,
    tblChecklist[TargetID],
    tblChecklist[PlayerSort],
    0
   ),
  IF(sort=0,500,sort)
 )
)</f>
        <v>63</v>
      </c>
      <c r="I410" s="49" t="str">
        <f t="array" ref="I410">_xlfn.XLOOKUP(
 B410,
 tblTargetStatus[TargetID],
 tblTargetStatus[Status],
 ""
)</f>
        <v>BLOCKED</v>
      </c>
      <c r="J410" s="45" t="b">
        <v>0</v>
      </c>
    </row>
    <row r="411" ht="14.25" hidden="1" customHeight="1">
      <c r="A411" s="49" t="s">
        <v>2006</v>
      </c>
      <c r="B411" s="49" t="str">
        <f>IFERROR(__xludf.DUMMYFUNCTION("REGEXREPLACE(
 REGEXREPLACE(A411,""^cost\."",""""),
 ""\.[^.]+\.[^.]+$"",
 """"
)"),"building.pagoda@7")</f>
        <v>building.pagoda@7</v>
      </c>
      <c r="C411" s="49" t="str">
        <f t="array" ref="C411">_xlfn.XLOOKUP(
 B411,
 tblTargets[TargetID],
 tblTargets[DisplayName],
 ""
)</f>
        <v>Pagoda Lv 7</v>
      </c>
      <c r="D411" s="49" t="str">
        <f t="array" ref="D411">_xlfn.XLOOKUP(
 B411,
 tblTargets[TargetID],
 tblTargets[TargetType],
 ""
)</f>
        <v>BUILDING</v>
      </c>
      <c r="E411" s="49" t="s">
        <v>2007</v>
      </c>
      <c r="F411" s="49">
        <v>1.0</v>
      </c>
      <c r="G411" s="49">
        <f t="array" ref="G411">_xlfn.XLOOKUP(
 A411,
 tblCost[RequirementID],
 tblCost[QuantityRequired],
 ""
)</f>
        <v>1</v>
      </c>
      <c r="H411" s="49">
        <f t="array" ref="H411">IF(
 OR(
  LEFT(B411,15)="state.character",
  RIGHT(B411,6)=".maxed"
 ),
 0,
 LET(
  sort,
   _xlfn.XLOOKUP(
    B411,
    tblChecklist[TargetID],
    tblChecklist[PlayerSort],
    0
   ),
  IF(sort=0,500,sort)
 )
)</f>
        <v>63</v>
      </c>
      <c r="I411" s="49" t="str">
        <f t="array" ref="I411">_xlfn.XLOOKUP(
 B411,
 tblTargetStatus[TargetID],
 tblTargetStatus[Status],
 ""
)</f>
        <v>BLOCKED</v>
      </c>
      <c r="J411" s="45" t="b">
        <v>0</v>
      </c>
    </row>
    <row r="412" ht="14.25" hidden="1" customHeight="1">
      <c r="A412" s="49" t="s">
        <v>2008</v>
      </c>
      <c r="B412" s="49" t="str">
        <f>IFERROR(__xludf.DUMMYFUNCTION("REGEXREPLACE(
 REGEXREPLACE(A412,""^cost\."",""""),
 ""\.[^.]+\.[^.]+$"",
 """"
)"),"building.pagoda@7")</f>
        <v>building.pagoda@7</v>
      </c>
      <c r="C412" s="49" t="str">
        <f t="array" ref="C412">_xlfn.XLOOKUP(
 B412,
 tblTargets[TargetID],
 tblTargets[DisplayName],
 ""
)</f>
        <v>Pagoda Lv 7</v>
      </c>
      <c r="D412" s="49" t="str">
        <f t="array" ref="D412">_xlfn.XLOOKUP(
 B412,
 tblTargets[TargetID],
 tblTargets[TargetType],
 ""
)</f>
        <v>BUILDING</v>
      </c>
      <c r="E412" s="49" t="s">
        <v>152</v>
      </c>
      <c r="F412" s="49">
        <v>1.0</v>
      </c>
      <c r="G412" s="49">
        <f t="array" ref="G412">_xlfn.XLOOKUP(
 A412,
 tblCost[RequirementID],
 tblCost[QuantityRequired],
 ""
)</f>
        <v>5</v>
      </c>
      <c r="H412" s="49">
        <f t="array" ref="H412">IF(
 OR(
  LEFT(B412,15)="state.character",
  RIGHT(B412,6)=".maxed"
 ),
 0,
 LET(
  sort,
   _xlfn.XLOOKUP(
    B412,
    tblChecklist[TargetID],
    tblChecklist[PlayerSort],
    0
   ),
  IF(sort=0,500,sort)
 )
)</f>
        <v>63</v>
      </c>
      <c r="I412" s="49" t="str">
        <f t="array" ref="I412">_xlfn.XLOOKUP(
 B412,
 tblTargetStatus[TargetID],
 tblTargetStatus[Status],
 ""
)</f>
        <v>BLOCKED</v>
      </c>
      <c r="J412" s="45" t="b">
        <v>0</v>
      </c>
    </row>
    <row r="413" ht="14.25" hidden="1" customHeight="1">
      <c r="A413" s="49" t="s">
        <v>2009</v>
      </c>
      <c r="B413" s="49" t="str">
        <f>IFERROR(__xludf.DUMMYFUNCTION("REGEXREPLACE(
 REGEXREPLACE(A413,""^cost\."",""""),
 ""\.[^.]+\.[^.]+$"",
 """"
)"),"building.pagoda@7")</f>
        <v>building.pagoda@7</v>
      </c>
      <c r="C413" s="49" t="str">
        <f t="array" ref="C413">_xlfn.XLOOKUP(
 B413,
 tblTargets[TargetID],
 tblTargets[DisplayName],
 ""
)</f>
        <v>Pagoda Lv 7</v>
      </c>
      <c r="D413" s="49" t="str">
        <f t="array" ref="D413">_xlfn.XLOOKUP(
 B413,
 tblTargets[TargetID],
 tblTargets[TargetType],
 ""
)</f>
        <v>BUILDING</v>
      </c>
      <c r="E413" s="49" t="s">
        <v>237</v>
      </c>
      <c r="F413" s="49">
        <v>1.0</v>
      </c>
      <c r="G413" s="49">
        <f t="array" ref="G413">_xlfn.XLOOKUP(
 A413,
 tblCost[RequirementID],
 tblCost[QuantityRequired],
 ""
)</f>
        <v>500</v>
      </c>
      <c r="H413" s="49">
        <f t="array" ref="H413">IF(
 OR(
  LEFT(B413,15)="state.character",
  RIGHT(B413,6)=".maxed"
 ),
 0,
 LET(
  sort,
   _xlfn.XLOOKUP(
    B413,
    tblChecklist[TargetID],
    tblChecklist[PlayerSort],
    0
   ),
  IF(sort=0,500,sort)
 )
)</f>
        <v>63</v>
      </c>
      <c r="I413" s="49" t="str">
        <f t="array" ref="I413">_xlfn.XLOOKUP(
 B413,
 tblTargetStatus[TargetID],
 tblTargetStatus[Status],
 ""
)</f>
        <v>BLOCKED</v>
      </c>
      <c r="J413" s="45" t="b">
        <v>0</v>
      </c>
    </row>
    <row r="414" ht="14.25" hidden="1" customHeight="1">
      <c r="A414" s="49" t="s">
        <v>2010</v>
      </c>
      <c r="B414" s="49" t="str">
        <f>IFERROR(__xludf.DUMMYFUNCTION("REGEXREPLACE(
 REGEXREPLACE(A414,""^cost\."",""""),
 ""\.[^.]+\.[^.]+$"",
 """"
)"),"building.pagoda@7")</f>
        <v>building.pagoda@7</v>
      </c>
      <c r="C414" s="49" t="str">
        <f t="array" ref="C414">_xlfn.XLOOKUP(
 B414,
 tblTargets[TargetID],
 tblTargets[DisplayName],
 ""
)</f>
        <v>Pagoda Lv 7</v>
      </c>
      <c r="D414" s="49" t="str">
        <f t="array" ref="D414">_xlfn.XLOOKUP(
 B414,
 tblTargets[TargetID],
 tblTargets[TargetType],
 ""
)</f>
        <v>BUILDING</v>
      </c>
      <c r="E414" s="49" t="s">
        <v>2011</v>
      </c>
      <c r="F414" s="49">
        <v>1.0</v>
      </c>
      <c r="G414" s="49">
        <f t="array" ref="G414">_xlfn.XLOOKUP(
 A414,
 tblCost[RequirementID],
 tblCost[QuantityRequired],
 ""
)</f>
        <v>3</v>
      </c>
      <c r="H414" s="49">
        <f t="array" ref="H414">IF(
 OR(
  LEFT(B414,15)="state.character",
  RIGHT(B414,6)=".maxed"
 ),
 0,
 LET(
  sort,
   _xlfn.XLOOKUP(
    B414,
    tblChecklist[TargetID],
    tblChecklist[PlayerSort],
    0
   ),
  IF(sort=0,500,sort)
 )
)</f>
        <v>63</v>
      </c>
      <c r="I414" s="49" t="str">
        <f t="array" ref="I414">_xlfn.XLOOKUP(
 B414,
 tblTargetStatus[TargetID],
 tblTargetStatus[Status],
 ""
)</f>
        <v>BLOCKED</v>
      </c>
      <c r="J414" s="45" t="b">
        <v>0</v>
      </c>
    </row>
    <row r="415" ht="14.25" hidden="1" customHeight="1">
      <c r="A415" s="49" t="s">
        <v>2012</v>
      </c>
      <c r="B415" s="49" t="str">
        <f>IFERROR(__xludf.DUMMYFUNCTION("REGEXREPLACE(
 REGEXREPLACE(A415,""^cost\."",""""),
 ""\.[^.]+\.[^.]+$"",
 """"
)"),"building.pier@1")</f>
        <v>building.pier@1</v>
      </c>
      <c r="C415" s="49" t="str">
        <f t="array" ref="C415">_xlfn.XLOOKUP(
 B415,
 tblTargets[TargetID],
 tblTargets[DisplayName],
 ""
)</f>
        <v>Pier Lv 1</v>
      </c>
      <c r="D415" s="49" t="str">
        <f t="array" ref="D415">_xlfn.XLOOKUP(
 B415,
 tblTargets[TargetID],
 tblTargets[TargetType],
 ""
)</f>
        <v>BUILDING</v>
      </c>
      <c r="E415" s="49" t="s">
        <v>119</v>
      </c>
      <c r="F415" s="49">
        <v>1.0</v>
      </c>
      <c r="G415" s="49">
        <f t="array" ref="G415">_xlfn.XLOOKUP(
 A415,
 tblCost[RequirementID],
 tblCost[QuantityRequired],
 ""
)</f>
        <v>400</v>
      </c>
      <c r="H415" s="49">
        <f t="array" ref="H415">IF(
 OR(
  LEFT(B415,15)="state.character",
  RIGHT(B415,6)=".maxed"
 ),
 0,
 LET(
  sort,
   _xlfn.XLOOKUP(
    B415,
    tblChecklist[TargetID],
    tblChecklist[PlayerSort],
    0
   ),
  IF(sort=0,500,sort)
 )
)</f>
        <v>19</v>
      </c>
      <c r="I415" s="49" t="str">
        <f t="array" ref="I415">_xlfn.XLOOKUP(
 B415,
 tblTargetStatus[TargetID],
 tblTargetStatus[Status],
 ""
)</f>
        <v>BLOCKED</v>
      </c>
      <c r="J415" s="45" t="b">
        <v>0</v>
      </c>
    </row>
    <row r="416" ht="14.25" hidden="1" customHeight="1">
      <c r="A416" s="49" t="s">
        <v>2013</v>
      </c>
      <c r="B416" s="49" t="str">
        <f>IFERROR(__xludf.DUMMYFUNCTION("REGEXREPLACE(
 REGEXREPLACE(A416,""^cost\."",""""),
 ""\.[^.]+\.[^.]+$"",
 """"
)"),"building.pier@1")</f>
        <v>building.pier@1</v>
      </c>
      <c r="C416" s="49" t="str">
        <f t="array" ref="C416">_xlfn.XLOOKUP(
 B416,
 tblTargets[TargetID],
 tblTargets[DisplayName],
 ""
)</f>
        <v>Pier Lv 1</v>
      </c>
      <c r="D416" s="49" t="str">
        <f t="array" ref="D416">_xlfn.XLOOKUP(
 B416,
 tblTargets[TargetID],
 tblTargets[TargetType],
 ""
)</f>
        <v>BUILDING</v>
      </c>
      <c r="E416" s="49" t="s">
        <v>187</v>
      </c>
      <c r="F416" s="49">
        <v>1.0</v>
      </c>
      <c r="G416" s="49">
        <f t="array" ref="G416">_xlfn.XLOOKUP(
 A416,
 tblCost[RequirementID],
 tblCost[QuantityRequired],
 ""
)</f>
        <v>400</v>
      </c>
      <c r="H416" s="49">
        <f t="array" ref="H416">IF(
 OR(
  LEFT(B416,15)="state.character",
  RIGHT(B416,6)=".maxed"
 ),
 0,
 LET(
  sort,
   _xlfn.XLOOKUP(
    B416,
    tblChecklist[TargetID],
    tblChecklist[PlayerSort],
    0
   ),
  IF(sort=0,500,sort)
 )
)</f>
        <v>19</v>
      </c>
      <c r="I416" s="49" t="str">
        <f t="array" ref="I416">_xlfn.XLOOKUP(
 B416,
 tblTargetStatus[TargetID],
 tblTargetStatus[Status],
 ""
)</f>
        <v>BLOCKED</v>
      </c>
      <c r="J416" s="45" t="b">
        <v>0</v>
      </c>
    </row>
    <row r="417" ht="14.25" hidden="1" customHeight="1">
      <c r="A417" s="49" t="s">
        <v>2014</v>
      </c>
      <c r="B417" s="49" t="str">
        <f>IFERROR(__xludf.DUMMYFUNCTION("REGEXREPLACE(
 REGEXREPLACE(A417,""^cost\."",""""),
 ""\.[^.]+\.[^.]+$"",
 """"
)"),"building.pier@1")</f>
        <v>building.pier@1</v>
      </c>
      <c r="C417" s="49" t="str">
        <f t="array" ref="C417">_xlfn.XLOOKUP(
 B417,
 tblTargets[TargetID],
 tblTargets[DisplayName],
 ""
)</f>
        <v>Pier Lv 1</v>
      </c>
      <c r="D417" s="49" t="str">
        <f t="array" ref="D417">_xlfn.XLOOKUP(
 B417,
 tblTargets[TargetID],
 tblTargets[TargetType],
 ""
)</f>
        <v>BUILDING</v>
      </c>
      <c r="E417" s="49" t="s">
        <v>6</v>
      </c>
      <c r="F417" s="49">
        <v>1.0</v>
      </c>
      <c r="G417" s="49">
        <f t="array" ref="G417">_xlfn.XLOOKUP(
 A417,
 tblCost[RequirementID],
 tblCost[QuantityRequired],
 ""
)</f>
        <v>3</v>
      </c>
      <c r="H417" s="49">
        <f t="array" ref="H417">IF(
 OR(
  LEFT(B417,15)="state.character",
  RIGHT(B417,6)=".maxed"
 ),
 0,
 LET(
  sort,
   _xlfn.XLOOKUP(
    B417,
    tblChecklist[TargetID],
    tblChecklist[PlayerSort],
    0
   ),
  IF(sort=0,500,sort)
 )
)</f>
        <v>19</v>
      </c>
      <c r="I417" s="49" t="str">
        <f t="array" ref="I417">_xlfn.XLOOKUP(
 B417,
 tblTargetStatus[TargetID],
 tblTargetStatus[Status],
 ""
)</f>
        <v>BLOCKED</v>
      </c>
      <c r="J417" s="45" t="b">
        <v>0</v>
      </c>
    </row>
    <row r="418" ht="14.25" hidden="1" customHeight="1">
      <c r="A418" s="49" t="s">
        <v>2015</v>
      </c>
      <c r="B418" s="49" t="str">
        <f>IFERROR(__xludf.DUMMYFUNCTION("REGEXREPLACE(
 REGEXREPLACE(A418,""^cost\."",""""),
 ""\.[^.]+\.[^.]+$"",
 """"
)"),"building.pier@1")</f>
        <v>building.pier@1</v>
      </c>
      <c r="C418" s="49" t="str">
        <f t="array" ref="C418">_xlfn.XLOOKUP(
 B418,
 tblTargets[TargetID],
 tblTargets[DisplayName],
 ""
)</f>
        <v>Pier Lv 1</v>
      </c>
      <c r="D418" s="49" t="str">
        <f t="array" ref="D418">_xlfn.XLOOKUP(
 B418,
 tblTargets[TargetID],
 tblTargets[TargetType],
 ""
)</f>
        <v>BUILDING</v>
      </c>
      <c r="E418" s="49" t="s">
        <v>237</v>
      </c>
      <c r="F418" s="49">
        <v>1.0</v>
      </c>
      <c r="G418" s="49">
        <f t="array" ref="G418">_xlfn.XLOOKUP(
 A418,
 tblCost[RequirementID],
 tblCost[QuantityRequired],
 ""
)</f>
        <v>300</v>
      </c>
      <c r="H418" s="49">
        <f t="array" ref="H418">IF(
 OR(
  LEFT(B418,15)="state.character",
  RIGHT(B418,6)=".maxed"
 ),
 0,
 LET(
  sort,
   _xlfn.XLOOKUP(
    B418,
    tblChecklist[TargetID],
    tblChecklist[PlayerSort],
    0
   ),
  IF(sort=0,500,sort)
 )
)</f>
        <v>19</v>
      </c>
      <c r="I418" s="49" t="str">
        <f t="array" ref="I418">_xlfn.XLOOKUP(
 B418,
 tblTargetStatus[TargetID],
 tblTargetStatus[Status],
 ""
)</f>
        <v>BLOCKED</v>
      </c>
      <c r="J418" s="45" t="b">
        <v>0</v>
      </c>
    </row>
    <row r="419" ht="14.25" hidden="1" customHeight="1">
      <c r="A419" s="49" t="s">
        <v>2016</v>
      </c>
      <c r="B419" s="49" t="str">
        <f>IFERROR(__xludf.DUMMYFUNCTION("REGEXREPLACE(
 REGEXREPLACE(A419,""^cost\."",""""),
 ""\.[^.]+\.[^.]+$"",
 """"
)"),"building.pier@1")</f>
        <v>building.pier@1</v>
      </c>
      <c r="C419" s="49" t="str">
        <f t="array" ref="C419">_xlfn.XLOOKUP(
 B419,
 tblTargets[TargetID],
 tblTargets[DisplayName],
 ""
)</f>
        <v>Pier Lv 1</v>
      </c>
      <c r="D419" s="49" t="str">
        <f t="array" ref="D419">_xlfn.XLOOKUP(
 B419,
 tblTargets[TargetID],
 tblTargets[TargetType],
 ""
)</f>
        <v>BUILDING</v>
      </c>
      <c r="E419" s="49" t="s">
        <v>244</v>
      </c>
      <c r="F419" s="49">
        <v>1.0</v>
      </c>
      <c r="G419" s="49">
        <f t="array" ref="G419">_xlfn.XLOOKUP(
 A419,
 tblCost[RequirementID],
 tblCost[QuantityRequired],
 ""
)</f>
        <v>50</v>
      </c>
      <c r="H419" s="49">
        <f t="array" ref="H419">IF(
 OR(
  LEFT(B419,15)="state.character",
  RIGHT(B419,6)=".maxed"
 ),
 0,
 LET(
  sort,
   _xlfn.XLOOKUP(
    B419,
    tblChecklist[TargetID],
    tblChecklist[PlayerSort],
    0
   ),
  IF(sort=0,500,sort)
 )
)</f>
        <v>19</v>
      </c>
      <c r="I419" s="49" t="str">
        <f t="array" ref="I419">_xlfn.XLOOKUP(
 B419,
 tblTargetStatus[TargetID],
 tblTargetStatus[Status],
 ""
)</f>
        <v>BLOCKED</v>
      </c>
      <c r="J419" s="45" t="b">
        <v>0</v>
      </c>
    </row>
    <row r="420" ht="14.25" hidden="1" customHeight="1">
      <c r="A420" s="49" t="s">
        <v>2018</v>
      </c>
      <c r="B420" s="49" t="str">
        <f>IFERROR(__xludf.DUMMYFUNCTION("REGEXREPLACE(
 REGEXREPLACE(A420,""^cost\."",""""),
 ""\.[^.]+\.[^.]+$"",
 """"
)"),"building.rock_garden@1")</f>
        <v>building.rock_garden@1</v>
      </c>
      <c r="C420" s="49" t="str">
        <f t="array" ref="C420">_xlfn.XLOOKUP(
 B420,
 tblTargets[TargetID],
 tblTargets[DisplayName],
 ""
)</f>
        <v>Rock Garden Lv 1</v>
      </c>
      <c r="D420" s="49" t="str">
        <f t="array" ref="D420">_xlfn.XLOOKUP(
 B420,
 tblTargets[TargetID],
 tblTargets[TargetType],
 ""
)</f>
        <v>BUILDING</v>
      </c>
      <c r="E420" s="49" t="s">
        <v>119</v>
      </c>
      <c r="F420" s="49">
        <v>1.0</v>
      </c>
      <c r="G420" s="49">
        <f t="array" ref="G420">_xlfn.XLOOKUP(
 A420,
 tblCost[RequirementID],
 tblCost[QuantityRequired],
 ""
)</f>
        <v>400</v>
      </c>
      <c r="H420" s="49">
        <f t="array" ref="H420">IF(
 OR(
  LEFT(B420,15)="state.character",
  RIGHT(B420,6)=".maxed"
 ),
 0,
 LET(
  sort,
   _xlfn.XLOOKUP(
    B420,
    tblChecklist[TargetID],
    tblChecklist[PlayerSort],
    0
   ),
  IF(sort=0,500,sort)
 )
)</f>
        <v>83</v>
      </c>
      <c r="I420" s="49" t="str">
        <f t="array" ref="I420">_xlfn.XLOOKUP(
 B420,
 tblTargetStatus[TargetID],
 tblTargetStatus[Status],
 ""
)</f>
        <v>BLOCKED</v>
      </c>
      <c r="J420" s="45" t="b">
        <v>0</v>
      </c>
    </row>
    <row r="421" ht="14.25" hidden="1" customHeight="1">
      <c r="A421" s="49" t="s">
        <v>2019</v>
      </c>
      <c r="B421" s="49" t="str">
        <f>IFERROR(__xludf.DUMMYFUNCTION("REGEXREPLACE(
 REGEXREPLACE(A421,""^cost\."",""""),
 ""\.[^.]+\.[^.]+$"",
 """"
)"),"building.rock_garden@1")</f>
        <v>building.rock_garden@1</v>
      </c>
      <c r="C421" s="49" t="str">
        <f t="array" ref="C421">_xlfn.XLOOKUP(
 B421,
 tblTargets[TargetID],
 tblTargets[DisplayName],
 ""
)</f>
        <v>Rock Garden Lv 1</v>
      </c>
      <c r="D421" s="49" t="str">
        <f t="array" ref="D421">_xlfn.XLOOKUP(
 B421,
 tblTargets[TargetID],
 tblTargets[TargetType],
 ""
)</f>
        <v>BUILDING</v>
      </c>
      <c r="E421" s="49" t="s">
        <v>6</v>
      </c>
      <c r="F421" s="49">
        <v>1.0</v>
      </c>
      <c r="G421" s="49">
        <f t="array" ref="G421">_xlfn.XLOOKUP(
 A421,
 tblCost[RequirementID],
 tblCost[QuantityRequired],
 ""
)</f>
        <v>1</v>
      </c>
      <c r="H421" s="49">
        <f t="array" ref="H421">IF(
 OR(
  LEFT(B421,15)="state.character",
  RIGHT(B421,6)=".maxed"
 ),
 0,
 LET(
  sort,
   _xlfn.XLOOKUP(
    B421,
    tblChecklist[TargetID],
    tblChecklist[PlayerSort],
    0
   ),
  IF(sort=0,500,sort)
 )
)</f>
        <v>83</v>
      </c>
      <c r="I421" s="49" t="str">
        <f t="array" ref="I421">_xlfn.XLOOKUP(
 B421,
 tblTargetStatus[TargetID],
 tblTargetStatus[Status],
 ""
)</f>
        <v>BLOCKED</v>
      </c>
      <c r="J421" s="45" t="b">
        <v>0</v>
      </c>
    </row>
    <row r="422" ht="14.25" hidden="1" customHeight="1">
      <c r="A422" s="49" t="s">
        <v>2020</v>
      </c>
      <c r="B422" s="49" t="str">
        <f>IFERROR(__xludf.DUMMYFUNCTION("REGEXREPLACE(
 REGEXREPLACE(A422,""^cost\."",""""),
 ""\.[^.]+\.[^.]+$"",
 """"
)"),"building.rock_garden@1")</f>
        <v>building.rock_garden@1</v>
      </c>
      <c r="C422" s="49" t="str">
        <f t="array" ref="C422">_xlfn.XLOOKUP(
 B422,
 tblTargets[TargetID],
 tblTargets[DisplayName],
 ""
)</f>
        <v>Rock Garden Lv 1</v>
      </c>
      <c r="D422" s="49" t="str">
        <f t="array" ref="D422">_xlfn.XLOOKUP(
 B422,
 tblTargets[TargetID],
 tblTargets[TargetType],
 ""
)</f>
        <v>BUILDING</v>
      </c>
      <c r="E422" s="49" t="s">
        <v>237</v>
      </c>
      <c r="F422" s="49">
        <v>1.0</v>
      </c>
      <c r="G422" s="49">
        <f t="array" ref="G422">_xlfn.XLOOKUP(
 A422,
 tblCost[RequirementID],
 tblCost[QuantityRequired],
 ""
)</f>
        <v>200</v>
      </c>
      <c r="H422" s="49">
        <f t="array" ref="H422">IF(
 OR(
  LEFT(B422,15)="state.character",
  RIGHT(B422,6)=".maxed"
 ),
 0,
 LET(
  sort,
   _xlfn.XLOOKUP(
    B422,
    tblChecklist[TargetID],
    tblChecklist[PlayerSort],
    0
   ),
  IF(sort=0,500,sort)
 )
)</f>
        <v>83</v>
      </c>
      <c r="I422" s="49" t="str">
        <f t="array" ref="I422">_xlfn.XLOOKUP(
 B422,
 tblTargetStatus[TargetID],
 tblTargetStatus[Status],
 ""
)</f>
        <v>BLOCKED</v>
      </c>
      <c r="J422" s="45" t="b">
        <v>0</v>
      </c>
    </row>
    <row r="423" ht="14.25" hidden="1" customHeight="1">
      <c r="A423" s="49" t="s">
        <v>2021</v>
      </c>
      <c r="B423" s="49" t="str">
        <f>IFERROR(__xludf.DUMMYFUNCTION("REGEXREPLACE(
 REGEXREPLACE(A423,""^cost\."",""""),
 ""\.[^.]+\.[^.]+$"",
 """"
)"),"building.rock_garden@1")</f>
        <v>building.rock_garden@1</v>
      </c>
      <c r="C423" s="49" t="str">
        <f t="array" ref="C423">_xlfn.XLOOKUP(
 B423,
 tblTargets[TargetID],
 tblTargets[DisplayName],
 ""
)</f>
        <v>Rock Garden Lv 1</v>
      </c>
      <c r="D423" s="49" t="str">
        <f t="array" ref="D423">_xlfn.XLOOKUP(
 B423,
 tblTargets[TargetID],
 tblTargets[TargetType],
 ""
)</f>
        <v>BUILDING</v>
      </c>
      <c r="E423" s="49" t="s">
        <v>244</v>
      </c>
      <c r="F423" s="49">
        <v>1.0</v>
      </c>
      <c r="G423" s="49">
        <f t="array" ref="G423">_xlfn.XLOOKUP(
 A423,
 tblCost[RequirementID],
 tblCost[QuantityRequired],
 ""
)</f>
        <v>100</v>
      </c>
      <c r="H423" s="49">
        <f t="array" ref="H423">IF(
 OR(
  LEFT(B423,15)="state.character",
  RIGHT(B423,6)=".maxed"
 ),
 0,
 LET(
  sort,
   _xlfn.XLOOKUP(
    B423,
    tblChecklist[TargetID],
    tblChecklist[PlayerSort],
    0
   ),
  IF(sort=0,500,sort)
 )
)</f>
        <v>83</v>
      </c>
      <c r="I423" s="49" t="str">
        <f t="array" ref="I423">_xlfn.XLOOKUP(
 B423,
 tblTargetStatus[TargetID],
 tblTargetStatus[Status],
 ""
)</f>
        <v>BLOCKED</v>
      </c>
      <c r="J423" s="45" t="b">
        <v>0</v>
      </c>
    </row>
    <row r="424" ht="14.25" hidden="1" customHeight="1">
      <c r="A424" s="49" t="s">
        <v>2022</v>
      </c>
      <c r="B424" s="49" t="str">
        <f>IFERROR(__xludf.DUMMYFUNCTION("REGEXREPLACE(
 REGEXREPLACE(A424,""^cost\."",""""),
 ""\.[^.]+\.[^.]+$"",
 """"
)"),"building.rock_garden@2")</f>
        <v>building.rock_garden@2</v>
      </c>
      <c r="C424" s="49" t="str">
        <f t="array" ref="C424">_xlfn.XLOOKUP(
 B424,
 tblTargets[TargetID],
 tblTargets[DisplayName],
 ""
)</f>
        <v>Rock Garden Lv 2</v>
      </c>
      <c r="D424" s="49" t="str">
        <f t="array" ref="D424">_xlfn.XLOOKUP(
 B424,
 tblTargets[TargetID],
 tblTargets[TargetType],
 ""
)</f>
        <v>BUILDING</v>
      </c>
      <c r="E424" s="49" t="s">
        <v>119</v>
      </c>
      <c r="F424" s="49">
        <v>1.0</v>
      </c>
      <c r="G424" s="49">
        <f t="array" ref="G424">_xlfn.XLOOKUP(
 A424,
 tblCost[RequirementID],
 tblCost[QuantityRequired],
 ""
)</f>
        <v>600</v>
      </c>
      <c r="H424" s="49">
        <f t="array" ref="H424">IF(
 OR(
  LEFT(B424,15)="state.character",
  RIGHT(B424,6)=".maxed"
 ),
 0,
 LET(
  sort,
   _xlfn.XLOOKUP(
    B424,
    tblChecklist[TargetID],
    tblChecklist[PlayerSort],
    0
   ),
  IF(sort=0,500,sort)
 )
)</f>
        <v>84</v>
      </c>
      <c r="I424" s="49" t="str">
        <f t="array" ref="I424">_xlfn.XLOOKUP(
 B424,
 tblTargetStatus[TargetID],
 tblTargetStatus[Status],
 ""
)</f>
        <v>BLOCKED</v>
      </c>
      <c r="J424" s="45" t="b">
        <v>0</v>
      </c>
    </row>
    <row r="425" ht="14.25" hidden="1" customHeight="1">
      <c r="A425" s="49" t="s">
        <v>2023</v>
      </c>
      <c r="B425" s="49" t="str">
        <f>IFERROR(__xludf.DUMMYFUNCTION("REGEXREPLACE(
 REGEXREPLACE(A425,""^cost\."",""""),
 ""\.[^.]+\.[^.]+$"",
 """"
)"),"building.rock_garden@2")</f>
        <v>building.rock_garden@2</v>
      </c>
      <c r="C425" s="49" t="str">
        <f t="array" ref="C425">_xlfn.XLOOKUP(
 B425,
 tblTargets[TargetID],
 tblTargets[DisplayName],
 ""
)</f>
        <v>Rock Garden Lv 2</v>
      </c>
      <c r="D425" s="49" t="str">
        <f t="array" ref="D425">_xlfn.XLOOKUP(
 B425,
 tblTargets[TargetID],
 tblTargets[TargetType],
 ""
)</f>
        <v>BUILDING</v>
      </c>
      <c r="E425" s="49" t="s">
        <v>6</v>
      </c>
      <c r="F425" s="49">
        <v>1.0</v>
      </c>
      <c r="G425" s="49">
        <f t="array" ref="G425">_xlfn.XLOOKUP(
 A425,
 tblCost[RequirementID],
 tblCost[QuantityRequired],
 ""
)</f>
        <v>2</v>
      </c>
      <c r="H425" s="49">
        <f t="array" ref="H425">IF(
 OR(
  LEFT(B425,15)="state.character",
  RIGHT(B425,6)=".maxed"
 ),
 0,
 LET(
  sort,
   _xlfn.XLOOKUP(
    B425,
    tblChecklist[TargetID],
    tblChecklist[PlayerSort],
    0
   ),
  IF(sort=0,500,sort)
 )
)</f>
        <v>84</v>
      </c>
      <c r="I425" s="49" t="str">
        <f t="array" ref="I425">_xlfn.XLOOKUP(
 B425,
 tblTargetStatus[TargetID],
 tblTargetStatus[Status],
 ""
)</f>
        <v>BLOCKED</v>
      </c>
      <c r="J425" s="45" t="b">
        <v>0</v>
      </c>
    </row>
    <row r="426" ht="14.25" hidden="1" customHeight="1">
      <c r="A426" s="49" t="s">
        <v>2024</v>
      </c>
      <c r="B426" s="49" t="str">
        <f>IFERROR(__xludf.DUMMYFUNCTION("REGEXREPLACE(
 REGEXREPLACE(A426,""^cost\."",""""),
 ""\.[^.]+\.[^.]+$"",
 """"
)"),"building.rock_garden@2")</f>
        <v>building.rock_garden@2</v>
      </c>
      <c r="C426" s="49" t="str">
        <f t="array" ref="C426">_xlfn.XLOOKUP(
 B426,
 tblTargets[TargetID],
 tblTargets[DisplayName],
 ""
)</f>
        <v>Rock Garden Lv 2</v>
      </c>
      <c r="D426" s="49" t="str">
        <f t="array" ref="D426">_xlfn.XLOOKUP(
 B426,
 tblTargets[TargetID],
 tblTargets[TargetType],
 ""
)</f>
        <v>BUILDING</v>
      </c>
      <c r="E426" s="49" t="s">
        <v>237</v>
      </c>
      <c r="F426" s="49">
        <v>1.0</v>
      </c>
      <c r="G426" s="49">
        <f t="array" ref="G426">_xlfn.XLOOKUP(
 A426,
 tblCost[RequirementID],
 tblCost[QuantityRequired],
 ""
)</f>
        <v>300</v>
      </c>
      <c r="H426" s="49">
        <f t="array" ref="H426">IF(
 OR(
  LEFT(B426,15)="state.character",
  RIGHT(B426,6)=".maxed"
 ),
 0,
 LET(
  sort,
   _xlfn.XLOOKUP(
    B426,
    tblChecklist[TargetID],
    tblChecklist[PlayerSort],
    0
   ),
  IF(sort=0,500,sort)
 )
)</f>
        <v>84</v>
      </c>
      <c r="I426" s="49" t="str">
        <f t="array" ref="I426">_xlfn.XLOOKUP(
 B426,
 tblTargetStatus[TargetID],
 tblTargetStatus[Status],
 ""
)</f>
        <v>BLOCKED</v>
      </c>
      <c r="J426" s="45" t="b">
        <v>0</v>
      </c>
    </row>
    <row r="427" ht="14.25" hidden="1" customHeight="1">
      <c r="A427" s="49" t="s">
        <v>2025</v>
      </c>
      <c r="B427" s="49" t="str">
        <f>IFERROR(__xludf.DUMMYFUNCTION("REGEXREPLACE(
 REGEXREPLACE(A427,""^cost\."",""""),
 ""\.[^.]+\.[^.]+$"",
 """"
)"),"building.rock_garden@2")</f>
        <v>building.rock_garden@2</v>
      </c>
      <c r="C427" s="49" t="str">
        <f t="array" ref="C427">_xlfn.XLOOKUP(
 B427,
 tblTargets[TargetID],
 tblTargets[DisplayName],
 ""
)</f>
        <v>Rock Garden Lv 2</v>
      </c>
      <c r="D427" s="49" t="str">
        <f t="array" ref="D427">_xlfn.XLOOKUP(
 B427,
 tblTargets[TargetID],
 tblTargets[TargetType],
 ""
)</f>
        <v>BUILDING</v>
      </c>
      <c r="E427" s="49" t="s">
        <v>244</v>
      </c>
      <c r="F427" s="49">
        <v>1.0</v>
      </c>
      <c r="G427" s="49">
        <f t="array" ref="G427">_xlfn.XLOOKUP(
 A427,
 tblCost[RequirementID],
 tblCost[QuantityRequired],
 ""
)</f>
        <v>150</v>
      </c>
      <c r="H427" s="49">
        <f t="array" ref="H427">IF(
 OR(
  LEFT(B427,15)="state.character",
  RIGHT(B427,6)=".maxed"
 ),
 0,
 LET(
  sort,
   _xlfn.XLOOKUP(
    B427,
    tblChecklist[TargetID],
    tblChecklist[PlayerSort],
    0
   ),
  IF(sort=0,500,sort)
 )
)</f>
        <v>84</v>
      </c>
      <c r="I427" s="49" t="str">
        <f t="array" ref="I427">_xlfn.XLOOKUP(
 B427,
 tblTargetStatus[TargetID],
 tblTargetStatus[Status],
 ""
)</f>
        <v>BLOCKED</v>
      </c>
      <c r="J427" s="45" t="b">
        <v>0</v>
      </c>
    </row>
    <row r="428" ht="14.25" hidden="1" customHeight="1">
      <c r="A428" s="49" t="s">
        <v>2026</v>
      </c>
      <c r="B428" s="49" t="str">
        <f>IFERROR(__xludf.DUMMYFUNCTION("REGEXREPLACE(
 REGEXREPLACE(A428,""^cost\."",""""),
 ""\.[^.]+\.[^.]+$"",
 """"
)"),"building.rock_garden@3")</f>
        <v>building.rock_garden@3</v>
      </c>
      <c r="C428" s="49" t="str">
        <f t="array" ref="C428">_xlfn.XLOOKUP(
 B428,
 tblTargets[TargetID],
 tblTargets[DisplayName],
 ""
)</f>
        <v>Rock Garden Lv 3</v>
      </c>
      <c r="D428" s="49" t="str">
        <f t="array" ref="D428">_xlfn.XLOOKUP(
 B428,
 tblTargets[TargetID],
 tblTargets[TargetType],
 ""
)</f>
        <v>BUILDING</v>
      </c>
      <c r="E428" s="49" t="s">
        <v>278</v>
      </c>
      <c r="F428" s="49">
        <v>1.0</v>
      </c>
      <c r="G428" s="49">
        <f t="array" ref="G428">_xlfn.XLOOKUP(
 A428,
 tblCost[RequirementID],
 tblCost[QuantityRequired],
 ""
)</f>
        <v>400</v>
      </c>
      <c r="H428" s="49">
        <f t="array" ref="H428">IF(
 OR(
  LEFT(B428,15)="state.character",
  RIGHT(B428,6)=".maxed"
 ),
 0,
 LET(
  sort,
   _xlfn.XLOOKUP(
    B428,
    tblChecklist[TargetID],
    tblChecklist[PlayerSort],
    0
   ),
  IF(sort=0,500,sort)
 )
)</f>
        <v>85</v>
      </c>
      <c r="I428" s="49" t="str">
        <f t="array" ref="I428">_xlfn.XLOOKUP(
 B428,
 tblTargetStatus[TargetID],
 tblTargetStatus[Status],
 ""
)</f>
        <v>BLOCKED</v>
      </c>
      <c r="J428" s="45" t="b">
        <v>0</v>
      </c>
    </row>
    <row r="429" ht="14.25" hidden="1" customHeight="1">
      <c r="A429" s="49" t="s">
        <v>2027</v>
      </c>
      <c r="B429" s="49" t="str">
        <f>IFERROR(__xludf.DUMMYFUNCTION("REGEXREPLACE(
 REGEXREPLACE(A429,""^cost\."",""""),
 ""\.[^.]+\.[^.]+$"",
 """"
)"),"building.rock_garden@3")</f>
        <v>building.rock_garden@3</v>
      </c>
      <c r="C429" s="49" t="str">
        <f t="array" ref="C429">_xlfn.XLOOKUP(
 B429,
 tblTargets[TargetID],
 tblTargets[DisplayName],
 ""
)</f>
        <v>Rock Garden Lv 3</v>
      </c>
      <c r="D429" s="49" t="str">
        <f t="array" ref="D429">_xlfn.XLOOKUP(
 B429,
 tblTargets[TargetID],
 tblTargets[TargetType],
 ""
)</f>
        <v>BUILDING</v>
      </c>
      <c r="E429" s="49" t="s">
        <v>119</v>
      </c>
      <c r="F429" s="49">
        <v>1.0</v>
      </c>
      <c r="G429" s="49">
        <f t="array" ref="G429">_xlfn.XLOOKUP(
 A429,
 tblCost[RequirementID],
 tblCost[QuantityRequired],
 ""
)</f>
        <v>1000</v>
      </c>
      <c r="H429" s="49">
        <f t="array" ref="H429">IF(
 OR(
  LEFT(B429,15)="state.character",
  RIGHT(B429,6)=".maxed"
 ),
 0,
 LET(
  sort,
   _xlfn.XLOOKUP(
    B429,
    tblChecklist[TargetID],
    tblChecklist[PlayerSort],
    0
   ),
  IF(sort=0,500,sort)
 )
)</f>
        <v>85</v>
      </c>
      <c r="I429" s="49" t="str">
        <f t="array" ref="I429">_xlfn.XLOOKUP(
 B429,
 tblTargetStatus[TargetID],
 tblTargetStatus[Status],
 ""
)</f>
        <v>BLOCKED</v>
      </c>
      <c r="J429" s="45" t="b">
        <v>0</v>
      </c>
    </row>
    <row r="430" ht="14.25" hidden="1" customHeight="1">
      <c r="A430" s="49" t="s">
        <v>2028</v>
      </c>
      <c r="B430" s="49" t="str">
        <f>IFERROR(__xludf.DUMMYFUNCTION("REGEXREPLACE(
 REGEXREPLACE(A430,""^cost\."",""""),
 ""\.[^.]+\.[^.]+$"",
 """"
)"),"building.rock_garden@3")</f>
        <v>building.rock_garden@3</v>
      </c>
      <c r="C430" s="49" t="str">
        <f t="array" ref="C430">_xlfn.XLOOKUP(
 B430,
 tblTargets[TargetID],
 tblTargets[DisplayName],
 ""
)</f>
        <v>Rock Garden Lv 3</v>
      </c>
      <c r="D430" s="49" t="str">
        <f t="array" ref="D430">_xlfn.XLOOKUP(
 B430,
 tblTargets[TargetID],
 tblTargets[TargetType],
 ""
)</f>
        <v>BUILDING</v>
      </c>
      <c r="E430" s="49" t="s">
        <v>6</v>
      </c>
      <c r="F430" s="49">
        <v>1.0</v>
      </c>
      <c r="G430" s="49">
        <f t="array" ref="G430">_xlfn.XLOOKUP(
 A430,
 tblCost[RequirementID],
 tblCost[QuantityRequired],
 ""
)</f>
        <v>4</v>
      </c>
      <c r="H430" s="49">
        <f t="array" ref="H430">IF(
 OR(
  LEFT(B430,15)="state.character",
  RIGHT(B430,6)=".maxed"
 ),
 0,
 LET(
  sort,
   _xlfn.XLOOKUP(
    B430,
    tblChecklist[TargetID],
    tblChecklist[PlayerSort],
    0
   ),
  IF(sort=0,500,sort)
 )
)</f>
        <v>85</v>
      </c>
      <c r="I430" s="49" t="str">
        <f t="array" ref="I430">_xlfn.XLOOKUP(
 B430,
 tblTargetStatus[TargetID],
 tblTargetStatus[Status],
 ""
)</f>
        <v>BLOCKED</v>
      </c>
      <c r="J430" s="45" t="b">
        <v>0</v>
      </c>
    </row>
    <row r="431" ht="14.25" hidden="1" customHeight="1">
      <c r="A431" s="49" t="s">
        <v>2029</v>
      </c>
      <c r="B431" s="49" t="str">
        <f>IFERROR(__xludf.DUMMYFUNCTION("REGEXREPLACE(
 REGEXREPLACE(A431,""^cost\."",""""),
 ""\.[^.]+\.[^.]+$"",
 """"
)"),"building.rock_garden@3")</f>
        <v>building.rock_garden@3</v>
      </c>
      <c r="C431" s="49" t="str">
        <f t="array" ref="C431">_xlfn.XLOOKUP(
 B431,
 tblTargets[TargetID],
 tblTargets[DisplayName],
 ""
)</f>
        <v>Rock Garden Lv 3</v>
      </c>
      <c r="D431" s="49" t="str">
        <f t="array" ref="D431">_xlfn.XLOOKUP(
 B431,
 tblTargets[TargetID],
 tblTargets[TargetType],
 ""
)</f>
        <v>BUILDING</v>
      </c>
      <c r="E431" s="49" t="s">
        <v>237</v>
      </c>
      <c r="F431" s="49">
        <v>1.0</v>
      </c>
      <c r="G431" s="49">
        <f t="array" ref="G431">_xlfn.XLOOKUP(
 A431,
 tblCost[RequirementID],
 tblCost[QuantityRequired],
 ""
)</f>
        <v>400</v>
      </c>
      <c r="H431" s="49">
        <f t="array" ref="H431">IF(
 OR(
  LEFT(B431,15)="state.character",
  RIGHT(B431,6)=".maxed"
 ),
 0,
 LET(
  sort,
   _xlfn.XLOOKUP(
    B431,
    tblChecklist[TargetID],
    tblChecklist[PlayerSort],
    0
   ),
  IF(sort=0,500,sort)
 )
)</f>
        <v>85</v>
      </c>
      <c r="I431" s="49" t="str">
        <f t="array" ref="I431">_xlfn.XLOOKUP(
 B431,
 tblTargetStatus[TargetID],
 tblTargetStatus[Status],
 ""
)</f>
        <v>BLOCKED</v>
      </c>
      <c r="J431" s="45" t="b">
        <v>0</v>
      </c>
    </row>
    <row r="432" ht="14.25" hidden="1" customHeight="1">
      <c r="A432" s="49" t="s">
        <v>2030</v>
      </c>
      <c r="B432" s="49" t="str">
        <f>IFERROR(__xludf.DUMMYFUNCTION("REGEXREPLACE(
 REGEXREPLACE(A432,""^cost\."",""""),
 ""\.[^.]+\.[^.]+$"",
 """"
)"),"building.ship@1")</f>
        <v>building.ship@1</v>
      </c>
      <c r="C432" s="49" t="str">
        <f t="array" ref="C432">_xlfn.XLOOKUP(
 B432,
 tblTargets[TargetID],
 tblTargets[DisplayName],
 ""
)</f>
        <v>Ship Lv 1</v>
      </c>
      <c r="D432" s="49" t="str">
        <f t="array" ref="D432">_xlfn.XLOOKUP(
 B432,
 tblTargets[TargetID],
 tblTargets[TargetType],
 ""
)</f>
        <v>BUILDING</v>
      </c>
      <c r="E432" s="49" t="s">
        <v>119</v>
      </c>
      <c r="F432" s="49">
        <v>1.0</v>
      </c>
      <c r="G432" s="49">
        <f t="array" ref="G432">_xlfn.XLOOKUP(
 A432,
 tblCost[RequirementID],
 tblCost[QuantityRequired],
 ""
)</f>
        <v>500</v>
      </c>
      <c r="H432" s="49">
        <f t="array" ref="H432">IF(
 OR(
  LEFT(B432,15)="state.character",
  RIGHT(B432,6)=".maxed"
 ),
 0,
 LET(
  sort,
   _xlfn.XLOOKUP(
    B432,
    tblChecklist[TargetID],
    tblChecklist[PlayerSort],
    0
   ),
  IF(sort=0,500,sort)
 )
)</f>
        <v>20</v>
      </c>
      <c r="I432" s="49" t="str">
        <f t="array" ref="I432">_xlfn.XLOOKUP(
 B432,
 tblTargetStatus[TargetID],
 tblTargetStatus[Status],
 ""
)</f>
        <v>BLOCKED</v>
      </c>
      <c r="J432" s="45" t="b">
        <v>0</v>
      </c>
    </row>
    <row r="433" ht="14.25" hidden="1" customHeight="1">
      <c r="A433" s="49" t="s">
        <v>2031</v>
      </c>
      <c r="B433" s="49" t="str">
        <f>IFERROR(__xludf.DUMMYFUNCTION("REGEXREPLACE(
 REGEXREPLACE(A433,""^cost\."",""""),
 ""\.[^.]+\.[^.]+$"",
 """"
)"),"building.ship@1")</f>
        <v>building.ship@1</v>
      </c>
      <c r="C433" s="49" t="str">
        <f t="array" ref="C433">_xlfn.XLOOKUP(
 B433,
 tblTargets[TargetID],
 tblTargets[DisplayName],
 ""
)</f>
        <v>Ship Lv 1</v>
      </c>
      <c r="D433" s="49" t="str">
        <f t="array" ref="D433">_xlfn.XLOOKUP(
 B433,
 tblTargets[TargetID],
 tblTargets[TargetType],
 ""
)</f>
        <v>BUILDING</v>
      </c>
      <c r="E433" s="49" t="s">
        <v>187</v>
      </c>
      <c r="F433" s="49">
        <v>1.0</v>
      </c>
      <c r="G433" s="49">
        <f t="array" ref="G433">_xlfn.XLOOKUP(
 A433,
 tblCost[RequirementID],
 tblCost[QuantityRequired],
 ""
)</f>
        <v>600</v>
      </c>
      <c r="H433" s="49">
        <f t="array" ref="H433">IF(
 OR(
  LEFT(B433,15)="state.character",
  RIGHT(B433,6)=".maxed"
 ),
 0,
 LET(
  sort,
   _xlfn.XLOOKUP(
    B433,
    tblChecklist[TargetID],
    tblChecklist[PlayerSort],
    0
   ),
  IF(sort=0,500,sort)
 )
)</f>
        <v>20</v>
      </c>
      <c r="I433" s="49" t="str">
        <f t="array" ref="I433">_xlfn.XLOOKUP(
 B433,
 tblTargetStatus[TargetID],
 tblTargetStatus[Status],
 ""
)</f>
        <v>BLOCKED</v>
      </c>
      <c r="J433" s="45" t="b">
        <v>0</v>
      </c>
    </row>
    <row r="434" ht="14.25" hidden="1" customHeight="1">
      <c r="A434" s="49" t="s">
        <v>2032</v>
      </c>
      <c r="B434" s="49" t="str">
        <f>IFERROR(__xludf.DUMMYFUNCTION("REGEXREPLACE(
 REGEXREPLACE(A434,""^cost\."",""""),
 ""\.[^.]+\.[^.]+$"",
 """"
)"),"building.ship@1")</f>
        <v>building.ship@1</v>
      </c>
      <c r="C434" s="49" t="str">
        <f t="array" ref="C434">_xlfn.XLOOKUP(
 B434,
 tblTargets[TargetID],
 tblTargets[DisplayName],
 ""
)</f>
        <v>Ship Lv 1</v>
      </c>
      <c r="D434" s="49" t="str">
        <f t="array" ref="D434">_xlfn.XLOOKUP(
 B434,
 tblTargets[TargetID],
 tblTargets[TargetType],
 ""
)</f>
        <v>BUILDING</v>
      </c>
      <c r="E434" s="49" t="s">
        <v>6</v>
      </c>
      <c r="F434" s="49">
        <v>1.0</v>
      </c>
      <c r="G434" s="49">
        <f t="array" ref="G434">_xlfn.XLOOKUP(
 A434,
 tblCost[RequirementID],
 tblCost[QuantityRequired],
 ""
)</f>
        <v>3</v>
      </c>
      <c r="H434" s="49">
        <f t="array" ref="H434">IF(
 OR(
  LEFT(B434,15)="state.character",
  RIGHT(B434,6)=".maxed"
 ),
 0,
 LET(
  sort,
   _xlfn.XLOOKUP(
    B434,
    tblChecklist[TargetID],
    tblChecklist[PlayerSort],
    0
   ),
  IF(sort=0,500,sort)
 )
)</f>
        <v>20</v>
      </c>
      <c r="I434" s="49" t="str">
        <f t="array" ref="I434">_xlfn.XLOOKUP(
 B434,
 tblTargetStatus[TargetID],
 tblTargetStatus[Status],
 ""
)</f>
        <v>BLOCKED</v>
      </c>
      <c r="J434" s="45" t="b">
        <v>0</v>
      </c>
    </row>
    <row r="435" ht="14.25" hidden="1" customHeight="1">
      <c r="A435" s="49" t="s">
        <v>2033</v>
      </c>
      <c r="B435" s="49" t="str">
        <f>IFERROR(__xludf.DUMMYFUNCTION("REGEXREPLACE(
 REGEXREPLACE(A435,""^cost\."",""""),
 ""\.[^.]+\.[^.]+$"",
 """"
)"),"building.ship@1")</f>
        <v>building.ship@1</v>
      </c>
      <c r="C435" s="49" t="str">
        <f t="array" ref="C435">_xlfn.XLOOKUP(
 B435,
 tblTargets[TargetID],
 tblTargets[DisplayName],
 ""
)</f>
        <v>Ship Lv 1</v>
      </c>
      <c r="D435" s="49" t="str">
        <f t="array" ref="D435">_xlfn.XLOOKUP(
 B435,
 tblTargets[TargetID],
 tblTargets[TargetType],
 ""
)</f>
        <v>BUILDING</v>
      </c>
      <c r="E435" s="49" t="s">
        <v>392</v>
      </c>
      <c r="F435" s="49">
        <v>1.0</v>
      </c>
      <c r="G435" s="49">
        <f t="array" ref="G435">_xlfn.XLOOKUP(
 A435,
 tblCost[RequirementID],
 tblCost[QuantityRequired],
 ""
)</f>
        <v>60</v>
      </c>
      <c r="H435" s="49">
        <f t="array" ref="H435">IF(
 OR(
  LEFT(B435,15)="state.character",
  RIGHT(B435,6)=".maxed"
 ),
 0,
 LET(
  sort,
   _xlfn.XLOOKUP(
    B435,
    tblChecklist[TargetID],
    tblChecklist[PlayerSort],
    0
   ),
  IF(sort=0,500,sort)
 )
)</f>
        <v>20</v>
      </c>
      <c r="I435" s="49" t="str">
        <f t="array" ref="I435">_xlfn.XLOOKUP(
 B435,
 tblTargetStatus[TargetID],
 tblTargetStatus[Status],
 ""
)</f>
        <v>BLOCKED</v>
      </c>
      <c r="J435" s="45" t="b">
        <v>0</v>
      </c>
    </row>
    <row r="436" ht="14.25" hidden="1" customHeight="1">
      <c r="A436" s="49" t="s">
        <v>2034</v>
      </c>
      <c r="B436" s="49" t="str">
        <f>IFERROR(__xludf.DUMMYFUNCTION("REGEXREPLACE(
 REGEXREPLACE(A436,""^cost\."",""""),
 ""\.[^.]+\.[^.]+$"",
 """"
)"),"building.ship@1")</f>
        <v>building.ship@1</v>
      </c>
      <c r="C436" s="49" t="str">
        <f t="array" ref="C436">_xlfn.XLOOKUP(
 B436,
 tblTargets[TargetID],
 tblTargets[DisplayName],
 ""
)</f>
        <v>Ship Lv 1</v>
      </c>
      <c r="D436" s="49" t="str">
        <f t="array" ref="D436">_xlfn.XLOOKUP(
 B436,
 tblTargets[TargetID],
 tblTargets[TargetType],
 ""
)</f>
        <v>BUILDING</v>
      </c>
      <c r="E436" s="49" t="s">
        <v>237</v>
      </c>
      <c r="F436" s="49">
        <v>1.0</v>
      </c>
      <c r="G436" s="49">
        <f t="array" ref="G436">_xlfn.XLOOKUP(
 A436,
 tblCost[RequirementID],
 tblCost[QuantityRequired],
 ""
)</f>
        <v>1</v>
      </c>
      <c r="H436" s="49">
        <f t="array" ref="H436">IF(
 OR(
  LEFT(B436,15)="state.character",
  RIGHT(B436,6)=".maxed"
 ),
 0,
 LET(
  sort,
   _xlfn.XLOOKUP(
    B436,
    tblChecklist[TargetID],
    tblChecklist[PlayerSort],
    0
   ),
  IF(sort=0,500,sort)
 )
)</f>
        <v>20</v>
      </c>
      <c r="I436" s="49" t="str">
        <f t="array" ref="I436">_xlfn.XLOOKUP(
 B436,
 tblTargetStatus[TargetID],
 tblTargetStatus[Status],
 ""
)</f>
        <v>BLOCKED</v>
      </c>
      <c r="J436" s="45" t="b">
        <v>0</v>
      </c>
    </row>
    <row r="437" ht="14.25" hidden="1" customHeight="1">
      <c r="A437" s="49" t="s">
        <v>2035</v>
      </c>
      <c r="B437" s="49" t="str">
        <f>IFERROR(__xludf.DUMMYFUNCTION("REGEXREPLACE(
 REGEXREPLACE(A437,""^cost\."",""""),
 ""\.[^.]+\.[^.]+$"",
 """"
)"),"building.ship@2")</f>
        <v>building.ship@2</v>
      </c>
      <c r="C437" s="49" t="str">
        <f t="array" ref="C437">_xlfn.XLOOKUP(
 B437,
 tblTargets[TargetID],
 tblTargets[DisplayName],
 ""
)</f>
        <v>Ship Lv 2</v>
      </c>
      <c r="D437" s="49" t="str">
        <f t="array" ref="D437">_xlfn.XLOOKUP(
 B437,
 tblTargets[TargetID],
 tblTargets[TargetType],
 ""
)</f>
        <v>BUILDING</v>
      </c>
      <c r="E437" s="49" t="s">
        <v>119</v>
      </c>
      <c r="F437" s="49">
        <v>1.0</v>
      </c>
      <c r="G437" s="49">
        <f t="array" ref="G437">_xlfn.XLOOKUP(
 A437,
 tblCost[RequirementID],
 tblCost[QuantityRequired],
 ""
)</f>
        <v>750</v>
      </c>
      <c r="H437" s="49">
        <f t="array" ref="H437">IF(
 OR(
  LEFT(B437,15)="state.character",
  RIGHT(B437,6)=".maxed"
 ),
 0,
 LET(
  sort,
   _xlfn.XLOOKUP(
    B437,
    tblChecklist[TargetID],
    tblChecklist[PlayerSort],
    0
   ),
  IF(sort=0,500,sort)
 )
)</f>
        <v>21</v>
      </c>
      <c r="I437" s="49" t="str">
        <f t="array" ref="I437">_xlfn.XLOOKUP(
 B437,
 tblTargetStatus[TargetID],
 tblTargetStatus[Status],
 ""
)</f>
        <v>BLOCKED</v>
      </c>
      <c r="J437" s="45" t="b">
        <v>0</v>
      </c>
    </row>
    <row r="438" ht="14.25" hidden="1" customHeight="1">
      <c r="A438" s="49" t="s">
        <v>2036</v>
      </c>
      <c r="B438" s="49" t="str">
        <f>IFERROR(__xludf.DUMMYFUNCTION("REGEXREPLACE(
 REGEXREPLACE(A438,""^cost\."",""""),
 ""\.[^.]+\.[^.]+$"",
 """"
)"),"building.ship@2")</f>
        <v>building.ship@2</v>
      </c>
      <c r="C438" s="49" t="str">
        <f t="array" ref="C438">_xlfn.XLOOKUP(
 B438,
 tblTargets[TargetID],
 tblTargets[DisplayName],
 ""
)</f>
        <v>Ship Lv 2</v>
      </c>
      <c r="D438" s="49" t="str">
        <f t="array" ref="D438">_xlfn.XLOOKUP(
 B438,
 tblTargets[TargetID],
 tblTargets[TargetType],
 ""
)</f>
        <v>BUILDING</v>
      </c>
      <c r="E438" s="49" t="s">
        <v>1939</v>
      </c>
      <c r="F438" s="49">
        <v>1.0</v>
      </c>
      <c r="G438" s="49">
        <f t="array" ref="G438">_xlfn.XLOOKUP(
 A438,
 tblCost[RequirementID],
 tblCost[QuantityRequired],
 ""
)</f>
        <v>1</v>
      </c>
      <c r="H438" s="49">
        <f t="array" ref="H438">IF(
 OR(
  LEFT(B438,15)="state.character",
  RIGHT(B438,6)=".maxed"
 ),
 0,
 LET(
  sort,
   _xlfn.XLOOKUP(
    B438,
    tblChecklist[TargetID],
    tblChecklist[PlayerSort],
    0
   ),
  IF(sort=0,500,sort)
 )
)</f>
        <v>21</v>
      </c>
      <c r="I438" s="49" t="str">
        <f t="array" ref="I438">_xlfn.XLOOKUP(
 B438,
 tblTargetStatus[TargetID],
 tblTargetStatus[Status],
 ""
)</f>
        <v>BLOCKED</v>
      </c>
      <c r="J438" s="45" t="b">
        <v>0</v>
      </c>
    </row>
    <row r="439" ht="14.25" hidden="1" customHeight="1">
      <c r="A439" s="49" t="s">
        <v>2037</v>
      </c>
      <c r="B439" s="49" t="str">
        <f>IFERROR(__xludf.DUMMYFUNCTION("REGEXREPLACE(
 REGEXREPLACE(A439,""^cost\."",""""),
 ""\.[^.]+\.[^.]+$"",
 """"
)"),"building.ship@2")</f>
        <v>building.ship@2</v>
      </c>
      <c r="C439" s="49" t="str">
        <f t="array" ref="C439">_xlfn.XLOOKUP(
 B439,
 tblTargets[TargetID],
 tblTargets[DisplayName],
 ""
)</f>
        <v>Ship Lv 2</v>
      </c>
      <c r="D439" s="49" t="str">
        <f t="array" ref="D439">_xlfn.XLOOKUP(
 B439,
 tblTargets[TargetID],
 tblTargets[TargetType],
 ""
)</f>
        <v>BUILDING</v>
      </c>
      <c r="E439" s="49" t="s">
        <v>187</v>
      </c>
      <c r="F439" s="49">
        <v>1.0</v>
      </c>
      <c r="G439" s="49">
        <f t="array" ref="G439">_xlfn.XLOOKUP(
 A439,
 tblCost[RequirementID],
 tblCost[QuantityRequired],
 ""
)</f>
        <v>800</v>
      </c>
      <c r="H439" s="49">
        <f t="array" ref="H439">IF(
 OR(
  LEFT(B439,15)="state.character",
  RIGHT(B439,6)=".maxed"
 ),
 0,
 LET(
  sort,
   _xlfn.XLOOKUP(
    B439,
    tblChecklist[TargetID],
    tblChecklist[PlayerSort],
    0
   ),
  IF(sort=0,500,sort)
 )
)</f>
        <v>21</v>
      </c>
      <c r="I439" s="49" t="str">
        <f t="array" ref="I439">_xlfn.XLOOKUP(
 B439,
 tblTargetStatus[TargetID],
 tblTargetStatus[Status],
 ""
)</f>
        <v>BLOCKED</v>
      </c>
      <c r="J439" s="45" t="b">
        <v>0</v>
      </c>
    </row>
    <row r="440" ht="14.25" hidden="1" customHeight="1">
      <c r="A440" s="49" t="s">
        <v>2038</v>
      </c>
      <c r="B440" s="49" t="str">
        <f>IFERROR(__xludf.DUMMYFUNCTION("REGEXREPLACE(
 REGEXREPLACE(A440,""^cost\."",""""),
 ""\.[^.]+\.[^.]+$"",
 """"
)"),"building.ship@2")</f>
        <v>building.ship@2</v>
      </c>
      <c r="C440" s="49" t="str">
        <f t="array" ref="C440">_xlfn.XLOOKUP(
 B440,
 tblTargets[TargetID],
 tblTargets[DisplayName],
 ""
)</f>
        <v>Ship Lv 2</v>
      </c>
      <c r="D440" s="49" t="str">
        <f t="array" ref="D440">_xlfn.XLOOKUP(
 B440,
 tblTargets[TargetID],
 tblTargets[TargetType],
 ""
)</f>
        <v>BUILDING</v>
      </c>
      <c r="E440" s="49" t="s">
        <v>6</v>
      </c>
      <c r="F440" s="49">
        <v>1.0</v>
      </c>
      <c r="G440" s="49">
        <f t="array" ref="G440">_xlfn.XLOOKUP(
 A440,
 tblCost[RequirementID],
 tblCost[QuantityRequired],
 ""
)</f>
        <v>6</v>
      </c>
      <c r="H440" s="49">
        <f t="array" ref="H440">IF(
 OR(
  LEFT(B440,15)="state.character",
  RIGHT(B440,6)=".maxed"
 ),
 0,
 LET(
  sort,
   _xlfn.XLOOKUP(
    B440,
    tblChecklist[TargetID],
    tblChecklist[PlayerSort],
    0
   ),
  IF(sort=0,500,sort)
 )
)</f>
        <v>21</v>
      </c>
      <c r="I440" s="49" t="str">
        <f t="array" ref="I440">_xlfn.XLOOKUP(
 B440,
 tblTargetStatus[TargetID],
 tblTargetStatus[Status],
 ""
)</f>
        <v>BLOCKED</v>
      </c>
      <c r="J440" s="45" t="b">
        <v>0</v>
      </c>
    </row>
    <row r="441" ht="14.25" hidden="1" customHeight="1">
      <c r="A441" s="49" t="s">
        <v>2039</v>
      </c>
      <c r="B441" s="49" t="str">
        <f>IFERROR(__xludf.DUMMYFUNCTION("REGEXREPLACE(
 REGEXREPLACE(A441,""^cost\."",""""),
 ""\.[^.]+\.[^.]+$"",
 """"
)"),"building.ship@2")</f>
        <v>building.ship@2</v>
      </c>
      <c r="C441" s="49" t="str">
        <f t="array" ref="C441">_xlfn.XLOOKUP(
 B441,
 tblTargets[TargetID],
 tblTargets[DisplayName],
 ""
)</f>
        <v>Ship Lv 2</v>
      </c>
      <c r="D441" s="49" t="str">
        <f t="array" ref="D441">_xlfn.XLOOKUP(
 B441,
 tblTargets[TargetID],
 tblTargets[TargetType],
 ""
)</f>
        <v>BUILDING</v>
      </c>
      <c r="E441" s="49" t="s">
        <v>392</v>
      </c>
      <c r="F441" s="49">
        <v>1.0</v>
      </c>
      <c r="G441" s="49">
        <f t="array" ref="G441">_xlfn.XLOOKUP(
 A441,
 tblCost[RequirementID],
 tblCost[QuantityRequired],
 ""
)</f>
        <v>60</v>
      </c>
      <c r="H441" s="49">
        <f t="array" ref="H441">IF(
 OR(
  LEFT(B441,15)="state.character",
  RIGHT(B441,6)=".maxed"
 ),
 0,
 LET(
  sort,
   _xlfn.XLOOKUP(
    B441,
    tblChecklist[TargetID],
    tblChecklist[PlayerSort],
    0
   ),
  IF(sort=0,500,sort)
 )
)</f>
        <v>21</v>
      </c>
      <c r="I441" s="49" t="str">
        <f t="array" ref="I441">_xlfn.XLOOKUP(
 B441,
 tblTargetStatus[TargetID],
 tblTargetStatus[Status],
 ""
)</f>
        <v>BLOCKED</v>
      </c>
      <c r="J441" s="45" t="b">
        <v>0</v>
      </c>
    </row>
    <row r="442" ht="14.25" hidden="1" customHeight="1">
      <c r="A442" s="49" t="s">
        <v>2040</v>
      </c>
      <c r="B442" s="49" t="str">
        <f>IFERROR(__xludf.DUMMYFUNCTION("REGEXREPLACE(
 REGEXREPLACE(A442,""^cost\."",""""),
 ""\.[^.]+\.[^.]+$"",
 """"
)"),"building.ship@3")</f>
        <v>building.ship@3</v>
      </c>
      <c r="C442" s="49" t="str">
        <f t="array" ref="C442">_xlfn.XLOOKUP(
 B442,
 tblTargets[TargetID],
 tblTargets[DisplayName],
 ""
)</f>
        <v>Ship Lv 3</v>
      </c>
      <c r="D442" s="49" t="str">
        <f t="array" ref="D442">_xlfn.XLOOKUP(
 B442,
 tblTargets[TargetID],
 tblTargets[TargetType],
 ""
)</f>
        <v>BUILDING</v>
      </c>
      <c r="E442" s="49" t="s">
        <v>2041</v>
      </c>
      <c r="F442" s="49">
        <v>1.0</v>
      </c>
      <c r="G442" s="49">
        <f t="array" ref="G442">_xlfn.XLOOKUP(
 A442,
 tblCost[RequirementID],
 tblCost[QuantityRequired],
 ""
)</f>
        <v>1</v>
      </c>
      <c r="H442" s="49">
        <f t="array" ref="H442">IF(
 OR(
  LEFT(B442,15)="state.character",
  RIGHT(B442,6)=".maxed"
 ),
 0,
 LET(
  sort,
   _xlfn.XLOOKUP(
    B442,
    tblChecklist[TargetID],
    tblChecklist[PlayerSort],
    0
   ),
  IF(sort=0,500,sort)
 )
)</f>
        <v>22</v>
      </c>
      <c r="I442" s="49" t="str">
        <f t="array" ref="I442">_xlfn.XLOOKUP(
 B442,
 tblTargetStatus[TargetID],
 tblTargetStatus[Status],
 ""
)</f>
        <v>BLOCKED</v>
      </c>
      <c r="J442" s="45" t="b">
        <v>0</v>
      </c>
    </row>
    <row r="443" ht="14.25" hidden="1" customHeight="1">
      <c r="A443" s="49" t="s">
        <v>2042</v>
      </c>
      <c r="B443" s="49" t="str">
        <f>IFERROR(__xludf.DUMMYFUNCTION("REGEXREPLACE(
 REGEXREPLACE(A443,""^cost\."",""""),
 ""\.[^.]+\.[^.]+$"",
 """"
)"),"building.ship@3")</f>
        <v>building.ship@3</v>
      </c>
      <c r="C443" s="49" t="str">
        <f t="array" ref="C443">_xlfn.XLOOKUP(
 B443,
 tblTargets[TargetID],
 tblTargets[DisplayName],
 ""
)</f>
        <v>Ship Lv 3</v>
      </c>
      <c r="D443" s="49" t="str">
        <f t="array" ref="D443">_xlfn.XLOOKUP(
 B443,
 tblTargets[TargetID],
 tblTargets[TargetType],
 ""
)</f>
        <v>BUILDING</v>
      </c>
      <c r="E443" s="49" t="s">
        <v>119</v>
      </c>
      <c r="F443" s="49">
        <v>1.0</v>
      </c>
      <c r="G443" s="49">
        <f t="array" ref="G443">_xlfn.XLOOKUP(
 A443,
 tblCost[RequirementID],
 tblCost[QuantityRequired],
 ""
)</f>
        <v>1000</v>
      </c>
      <c r="H443" s="49">
        <f t="array" ref="H443">IF(
 OR(
  LEFT(B443,15)="state.character",
  RIGHT(B443,6)=".maxed"
 ),
 0,
 LET(
  sort,
   _xlfn.XLOOKUP(
    B443,
    tblChecklist[TargetID],
    tblChecklist[PlayerSort],
    0
   ),
  IF(sort=0,500,sort)
 )
)</f>
        <v>22</v>
      </c>
      <c r="I443" s="49" t="str">
        <f t="array" ref="I443">_xlfn.XLOOKUP(
 B443,
 tblTargetStatus[TargetID],
 tblTargetStatus[Status],
 ""
)</f>
        <v>BLOCKED</v>
      </c>
      <c r="J443" s="45" t="b">
        <v>0</v>
      </c>
    </row>
    <row r="444" ht="14.25" hidden="1" customHeight="1">
      <c r="A444" s="49" t="s">
        <v>2043</v>
      </c>
      <c r="B444" s="49" t="str">
        <f>IFERROR(__xludf.DUMMYFUNCTION("REGEXREPLACE(
 REGEXREPLACE(A444,""^cost\."",""""),
 ""\.[^.]+\.[^.]+$"",
 """"
)"),"building.ship@3")</f>
        <v>building.ship@3</v>
      </c>
      <c r="C444" s="49" t="str">
        <f t="array" ref="C444">_xlfn.XLOOKUP(
 B444,
 tblTargets[TargetID],
 tblTargets[DisplayName],
 ""
)</f>
        <v>Ship Lv 3</v>
      </c>
      <c r="D444" s="49" t="str">
        <f t="array" ref="D444">_xlfn.XLOOKUP(
 B444,
 tblTargets[TargetID],
 tblTargets[TargetType],
 ""
)</f>
        <v>BUILDING</v>
      </c>
      <c r="E444" s="49" t="s">
        <v>187</v>
      </c>
      <c r="F444" s="49">
        <v>1.0</v>
      </c>
      <c r="G444" s="49">
        <f t="array" ref="G444">_xlfn.XLOOKUP(
 A444,
 tblCost[RequirementID],
 tblCost[QuantityRequired],
 ""
)</f>
        <v>1000</v>
      </c>
      <c r="H444" s="49">
        <f t="array" ref="H444">IF(
 OR(
  LEFT(B444,15)="state.character",
  RIGHT(B444,6)=".maxed"
 ),
 0,
 LET(
  sort,
   _xlfn.XLOOKUP(
    B444,
    tblChecklist[TargetID],
    tblChecklist[PlayerSort],
    0
   ),
  IF(sort=0,500,sort)
 )
)</f>
        <v>22</v>
      </c>
      <c r="I444" s="49" t="str">
        <f t="array" ref="I444">_xlfn.XLOOKUP(
 B444,
 tblTargetStatus[TargetID],
 tblTargetStatus[Status],
 ""
)</f>
        <v>BLOCKED</v>
      </c>
      <c r="J444" s="45" t="b">
        <v>0</v>
      </c>
    </row>
    <row r="445" ht="14.25" hidden="1" customHeight="1">
      <c r="A445" s="49" t="s">
        <v>2044</v>
      </c>
      <c r="B445" s="49" t="str">
        <f>IFERROR(__xludf.DUMMYFUNCTION("REGEXREPLACE(
 REGEXREPLACE(A445,""^cost\."",""""),
 ""\.[^.]+\.[^.]+$"",
 """"
)"),"building.ship@3")</f>
        <v>building.ship@3</v>
      </c>
      <c r="C445" s="49" t="str">
        <f t="array" ref="C445">_xlfn.XLOOKUP(
 B445,
 tblTargets[TargetID],
 tblTargets[DisplayName],
 ""
)</f>
        <v>Ship Lv 3</v>
      </c>
      <c r="D445" s="49" t="str">
        <f t="array" ref="D445">_xlfn.XLOOKUP(
 B445,
 tblTargets[TargetID],
 tblTargets[TargetType],
 ""
)</f>
        <v>BUILDING</v>
      </c>
      <c r="E445" s="49" t="s">
        <v>6</v>
      </c>
      <c r="F445" s="49">
        <v>1.0</v>
      </c>
      <c r="G445" s="49">
        <f t="array" ref="G445">_xlfn.XLOOKUP(
 A445,
 tblCost[RequirementID],
 tblCost[QuantityRequired],
 ""
)</f>
        <v>9</v>
      </c>
      <c r="H445" s="49">
        <f t="array" ref="H445">IF(
 OR(
  LEFT(B445,15)="state.character",
  RIGHT(B445,6)=".maxed"
 ),
 0,
 LET(
  sort,
   _xlfn.XLOOKUP(
    B445,
    tblChecklist[TargetID],
    tblChecklist[PlayerSort],
    0
   ),
  IF(sort=0,500,sort)
 )
)</f>
        <v>22</v>
      </c>
      <c r="I445" s="49" t="str">
        <f t="array" ref="I445">_xlfn.XLOOKUP(
 B445,
 tblTargetStatus[TargetID],
 tblTargetStatus[Status],
 ""
)</f>
        <v>BLOCKED</v>
      </c>
      <c r="J445" s="45" t="b">
        <v>0</v>
      </c>
    </row>
    <row r="446" ht="14.25" hidden="1" customHeight="1">
      <c r="A446" s="49" t="s">
        <v>2045</v>
      </c>
      <c r="B446" s="49" t="str">
        <f>IFERROR(__xludf.DUMMYFUNCTION("REGEXREPLACE(
 REGEXREPLACE(A446,""^cost\."",""""),
 ""\.[^.]+\.[^.]+$"",
 """"
)"),"building.ship@3")</f>
        <v>building.ship@3</v>
      </c>
      <c r="C446" s="49" t="str">
        <f t="array" ref="C446">_xlfn.XLOOKUP(
 B446,
 tblTargets[TargetID],
 tblTargets[DisplayName],
 ""
)</f>
        <v>Ship Lv 3</v>
      </c>
      <c r="D446" s="49" t="str">
        <f t="array" ref="D446">_xlfn.XLOOKUP(
 B446,
 tblTargets[TargetID],
 tblTargets[TargetType],
 ""
)</f>
        <v>BUILDING</v>
      </c>
      <c r="E446" s="49" t="s">
        <v>443</v>
      </c>
      <c r="F446" s="49">
        <v>1.0</v>
      </c>
      <c r="G446" s="49">
        <f t="array" ref="G446">_xlfn.XLOOKUP(
 A446,
 tblCost[RequirementID],
 tblCost[QuantityRequired],
 ""
)</f>
        <v>1</v>
      </c>
      <c r="H446" s="49">
        <f t="array" ref="H446">IF(
 OR(
  LEFT(B446,15)="state.character",
  RIGHT(B446,6)=".maxed"
 ),
 0,
 LET(
  sort,
   _xlfn.XLOOKUP(
    B446,
    tblChecklist[TargetID],
    tblChecklist[PlayerSort],
    0
   ),
  IF(sort=0,500,sort)
 )
)</f>
        <v>22</v>
      </c>
      <c r="I446" s="49" t="str">
        <f t="array" ref="I446">_xlfn.XLOOKUP(
 B446,
 tblTargetStatus[TargetID],
 tblTargetStatus[Status],
 ""
)</f>
        <v>BLOCKED</v>
      </c>
      <c r="J446" s="45" t="b">
        <v>0</v>
      </c>
    </row>
    <row r="447" ht="14.25" hidden="1" customHeight="1">
      <c r="A447" s="49" t="s">
        <v>2046</v>
      </c>
      <c r="B447" s="49" t="str">
        <f>IFERROR(__xludf.DUMMYFUNCTION("REGEXREPLACE(
 REGEXREPLACE(A447,""^cost\."",""""),
 ""\.[^.]+\.[^.]+$"",
 """"
)"),"building.ship@4")</f>
        <v>building.ship@4</v>
      </c>
      <c r="C447" s="49" t="str">
        <f t="array" ref="C447">_xlfn.XLOOKUP(
 B447,
 tblTargets[TargetID],
 tblTargets[DisplayName],
 ""
)</f>
        <v>Ship Lv 4</v>
      </c>
      <c r="D447" s="49" t="str">
        <f t="array" ref="D447">_xlfn.XLOOKUP(
 B447,
 tblTargets[TargetID],
 tblTargets[TargetType],
 ""
)</f>
        <v>BUILDING</v>
      </c>
      <c r="E447" s="49" t="s">
        <v>119</v>
      </c>
      <c r="F447" s="49">
        <v>1.0</v>
      </c>
      <c r="G447" s="49">
        <f t="array" ref="G447">_xlfn.XLOOKUP(
 A447,
 tblCost[RequirementID],
 tblCost[QuantityRequired],
 ""
)</f>
        <v>1000</v>
      </c>
      <c r="H447" s="49">
        <f t="array" ref="H447">IF(
 OR(
  LEFT(B447,15)="state.character",
  RIGHT(B447,6)=".maxed"
 ),
 0,
 LET(
  sort,
   _xlfn.XLOOKUP(
    B447,
    tblChecklist[TargetID],
    tblChecklist[PlayerSort],
    0
   ),
  IF(sort=0,500,sort)
 )
)</f>
        <v>24</v>
      </c>
      <c r="I447" s="49" t="str">
        <f t="array" ref="I447">_xlfn.XLOOKUP(
 B447,
 tblTargetStatus[TargetID],
 tblTargetStatus[Status],
 ""
)</f>
        <v>BLOCKED</v>
      </c>
      <c r="J447" s="45" t="b">
        <v>0</v>
      </c>
    </row>
    <row r="448" ht="14.25" hidden="1" customHeight="1">
      <c r="A448" s="49" t="s">
        <v>2047</v>
      </c>
      <c r="B448" s="49" t="str">
        <f>IFERROR(__xludf.DUMMYFUNCTION("REGEXREPLACE(
 REGEXREPLACE(A448,""^cost\."",""""),
 ""\.[^.]+\.[^.]+$"",
 """"
)"),"building.ship@4")</f>
        <v>building.ship@4</v>
      </c>
      <c r="C448" s="49" t="str">
        <f t="array" ref="C448">_xlfn.XLOOKUP(
 B448,
 tblTargets[TargetID],
 tblTargets[DisplayName],
 ""
)</f>
        <v>Ship Lv 4</v>
      </c>
      <c r="D448" s="49" t="str">
        <f t="array" ref="D448">_xlfn.XLOOKUP(
 B448,
 tblTargets[TargetID],
 tblTargets[TargetType],
 ""
)</f>
        <v>BUILDING</v>
      </c>
      <c r="E448" s="49" t="s">
        <v>318</v>
      </c>
      <c r="F448" s="49">
        <v>1.0</v>
      </c>
      <c r="G448" s="49">
        <f t="array" ref="G448">_xlfn.XLOOKUP(
 A448,
 tblCost[RequirementID],
 tblCost[QuantityRequired],
 ""
)</f>
        <v>200</v>
      </c>
      <c r="H448" s="49">
        <f t="array" ref="H448">IF(
 OR(
  LEFT(B448,15)="state.character",
  RIGHT(B448,6)=".maxed"
 ),
 0,
 LET(
  sort,
   _xlfn.XLOOKUP(
    B448,
    tblChecklist[TargetID],
    tblChecklist[PlayerSort],
    0
   ),
  IF(sort=0,500,sort)
 )
)</f>
        <v>24</v>
      </c>
      <c r="I448" s="49" t="str">
        <f t="array" ref="I448">_xlfn.XLOOKUP(
 B448,
 tblTargetStatus[TargetID],
 tblTargetStatus[Status],
 ""
)</f>
        <v>BLOCKED</v>
      </c>
      <c r="J448" s="45" t="b">
        <v>0</v>
      </c>
    </row>
    <row r="449" ht="14.25" hidden="1" customHeight="1">
      <c r="A449" s="49" t="s">
        <v>2048</v>
      </c>
      <c r="B449" s="49" t="str">
        <f>IFERROR(__xludf.DUMMYFUNCTION("REGEXREPLACE(
 REGEXREPLACE(A449,""^cost\."",""""),
 ""\.[^.]+\.[^.]+$"",
 """"
)"),"building.ship@4")</f>
        <v>building.ship@4</v>
      </c>
      <c r="C449" s="49" t="str">
        <f t="array" ref="C449">_xlfn.XLOOKUP(
 B449,
 tblTargets[TargetID],
 tblTargets[DisplayName],
 ""
)</f>
        <v>Ship Lv 4</v>
      </c>
      <c r="D449" s="49" t="str">
        <f t="array" ref="D449">_xlfn.XLOOKUP(
 B449,
 tblTargets[TargetID],
 tblTargets[TargetType],
 ""
)</f>
        <v>BUILDING</v>
      </c>
      <c r="E449" s="49" t="s">
        <v>187</v>
      </c>
      <c r="F449" s="49">
        <v>1.0</v>
      </c>
      <c r="G449" s="49">
        <f t="array" ref="G449">_xlfn.XLOOKUP(
 A449,
 tblCost[RequirementID],
 tblCost[QuantityRequired],
 ""
)</f>
        <v>1000</v>
      </c>
      <c r="H449" s="49">
        <f t="array" ref="H449">IF(
 OR(
  LEFT(B449,15)="state.character",
  RIGHT(B449,6)=".maxed"
 ),
 0,
 LET(
  sort,
   _xlfn.XLOOKUP(
    B449,
    tblChecklist[TargetID],
    tblChecklist[PlayerSort],
    0
   ),
  IF(sort=0,500,sort)
 )
)</f>
        <v>24</v>
      </c>
      <c r="I449" s="49" t="str">
        <f t="array" ref="I449">_xlfn.XLOOKUP(
 B449,
 tblTargetStatus[TargetID],
 tblTargetStatus[Status],
 ""
)</f>
        <v>BLOCKED</v>
      </c>
      <c r="J449" s="45" t="b">
        <v>0</v>
      </c>
    </row>
    <row r="450" ht="14.25" hidden="1" customHeight="1">
      <c r="A450" s="49" t="s">
        <v>2049</v>
      </c>
      <c r="B450" s="49" t="str">
        <f>IFERROR(__xludf.DUMMYFUNCTION("REGEXREPLACE(
 REGEXREPLACE(A450,""^cost\."",""""),
 ""\.[^.]+\.[^.]+$"",
 """"
)"),"building.ship@4")</f>
        <v>building.ship@4</v>
      </c>
      <c r="C450" s="49" t="str">
        <f t="array" ref="C450">_xlfn.XLOOKUP(
 B450,
 tblTargets[TargetID],
 tblTargets[DisplayName],
 ""
)</f>
        <v>Ship Lv 4</v>
      </c>
      <c r="D450" s="49" t="str">
        <f t="array" ref="D450">_xlfn.XLOOKUP(
 B450,
 tblTargets[TargetID],
 tblTargets[TargetType],
 ""
)</f>
        <v>BUILDING</v>
      </c>
      <c r="E450" s="49" t="s">
        <v>6</v>
      </c>
      <c r="F450" s="49">
        <v>1.0</v>
      </c>
      <c r="G450" s="49">
        <f t="array" ref="G450">_xlfn.XLOOKUP(
 A450,
 tblCost[RequirementID],
 tblCost[QuantityRequired],
 ""
)</f>
        <v>10</v>
      </c>
      <c r="H450" s="49">
        <f t="array" ref="H450">IF(
 OR(
  LEFT(B450,15)="state.character",
  RIGHT(B450,6)=".maxed"
 ),
 0,
 LET(
  sort,
   _xlfn.XLOOKUP(
    B450,
    tblChecklist[TargetID],
    tblChecklist[PlayerSort],
    0
   ),
  IF(sort=0,500,sort)
 )
)</f>
        <v>24</v>
      </c>
      <c r="I450" s="49" t="str">
        <f t="array" ref="I450">_xlfn.XLOOKUP(
 B450,
 tblTargetStatus[TargetID],
 tblTargetStatus[Status],
 ""
)</f>
        <v>BLOCKED</v>
      </c>
      <c r="J450" s="45" t="b">
        <v>0</v>
      </c>
    </row>
    <row r="451" ht="14.25" hidden="1" customHeight="1">
      <c r="A451" s="49" t="s">
        <v>2050</v>
      </c>
      <c r="B451" s="49" t="str">
        <f>IFERROR(__xludf.DUMMYFUNCTION("REGEXREPLACE(
 REGEXREPLACE(A451,""^cost\."",""""),
 ""\.[^.]+\.[^.]+$"",
 """"
)"),"building.ship@4")</f>
        <v>building.ship@4</v>
      </c>
      <c r="C451" s="49" t="str">
        <f t="array" ref="C451">_xlfn.XLOOKUP(
 B451,
 tblTargets[TargetID],
 tblTargets[DisplayName],
 ""
)</f>
        <v>Ship Lv 4</v>
      </c>
      <c r="D451" s="49" t="str">
        <f t="array" ref="D451">_xlfn.XLOOKUP(
 B451,
 tblTargets[TargetID],
 tblTargets[TargetType],
 ""
)</f>
        <v>BUILDING</v>
      </c>
      <c r="E451" s="49" t="s">
        <v>443</v>
      </c>
      <c r="F451" s="49">
        <v>1.0</v>
      </c>
      <c r="G451" s="49">
        <f t="array" ref="G451">_xlfn.XLOOKUP(
 A451,
 tblCost[RequirementID],
 tblCost[QuantityRequired],
 ""
)</f>
        <v>2</v>
      </c>
      <c r="H451" s="49">
        <f t="array" ref="H451">IF(
 OR(
  LEFT(B451,15)="state.character",
  RIGHT(B451,6)=".maxed"
 ),
 0,
 LET(
  sort,
   _xlfn.XLOOKUP(
    B451,
    tblChecklist[TargetID],
    tblChecklist[PlayerSort],
    0
   ),
  IF(sort=0,500,sort)
 )
)</f>
        <v>24</v>
      </c>
      <c r="I451" s="49" t="str">
        <f t="array" ref="I451">_xlfn.XLOOKUP(
 B451,
 tblTargetStatus[TargetID],
 tblTargetStatus[Status],
 ""
)</f>
        <v>BLOCKED</v>
      </c>
      <c r="J451" s="45" t="b">
        <v>0</v>
      </c>
    </row>
    <row r="452" ht="14.25" hidden="1" customHeight="1">
      <c r="A452" s="49" t="s">
        <v>2051</v>
      </c>
      <c r="B452" s="49" t="str">
        <f>IFERROR(__xludf.DUMMYFUNCTION("REGEXREPLACE(
 REGEXREPLACE(A452,""^cost\."",""""),
 ""\.[^.]+\.[^.]+$"",
 """"
)"),"building.shop@1")</f>
        <v>building.shop@1</v>
      </c>
      <c r="C452" s="49" t="str">
        <f t="array" ref="C452">_xlfn.XLOOKUP(
 B452,
 tblTargets[TargetID],
 tblTargets[DisplayName],
 ""
)</f>
        <v>Shop Lv 1</v>
      </c>
      <c r="D452" s="49" t="str">
        <f t="array" ref="D452">_xlfn.XLOOKUP(
 B452,
 tblTargets[TargetID],
 tblTargets[TargetType],
 ""
)</f>
        <v>BUILDING</v>
      </c>
      <c r="E452" s="49" t="s">
        <v>119</v>
      </c>
      <c r="F452" s="49">
        <v>1.0</v>
      </c>
      <c r="G452" s="49">
        <f t="array" ref="G452">_xlfn.XLOOKUP(
 A452,
 tblCost[RequirementID],
 tblCost[QuantityRequired],
 ""
)</f>
        <v>100</v>
      </c>
      <c r="H452" s="49">
        <f t="array" ref="H452">IF(
 OR(
  LEFT(B452,15)="state.character",
  RIGHT(B452,6)=".maxed"
 ),
 0,
 LET(
  sort,
   _xlfn.XLOOKUP(
    B452,
    tblChecklist[TargetID],
    tblChecklist[PlayerSort],
    0
   ),
  IF(sort=0,500,sort)
 )
)</f>
        <v>3</v>
      </c>
      <c r="I452" s="49" t="str">
        <f t="array" ref="I452">_xlfn.XLOOKUP(
 B452,
 tblTargetStatus[TargetID],
 tblTargetStatus[Status],
 ""
)</f>
        <v>BLOCKED</v>
      </c>
      <c r="J452" s="45" t="b">
        <v>0</v>
      </c>
    </row>
    <row r="453" ht="14.25" hidden="1" customHeight="1">
      <c r="A453" s="49" t="s">
        <v>2052</v>
      </c>
      <c r="B453" s="49" t="str">
        <f>IFERROR(__xludf.DUMMYFUNCTION("REGEXREPLACE(
 REGEXREPLACE(A453,""^cost\."",""""),
 ""\.[^.]+\.[^.]+$"",
 """"
)"),"building.shop@1")</f>
        <v>building.shop@1</v>
      </c>
      <c r="C453" s="49" t="str">
        <f t="array" ref="C453">_xlfn.XLOOKUP(
 B453,
 tblTargets[TargetID],
 tblTargets[DisplayName],
 ""
)</f>
        <v>Shop Lv 1</v>
      </c>
      <c r="D453" s="49" t="str">
        <f t="array" ref="D453">_xlfn.XLOOKUP(
 B453,
 tblTargets[TargetID],
 tblTargets[TargetType],
 ""
)</f>
        <v>BUILDING</v>
      </c>
      <c r="E453" s="49" t="s">
        <v>6</v>
      </c>
      <c r="F453" s="49">
        <v>1.0</v>
      </c>
      <c r="G453" s="49">
        <f t="array" ref="G453">_xlfn.XLOOKUP(
 A453,
 tblCost[RequirementID],
 tblCost[QuantityRequired],
 ""
)</f>
        <v>1</v>
      </c>
      <c r="H453" s="49">
        <f t="array" ref="H453">IF(
 OR(
  LEFT(B453,15)="state.character",
  RIGHT(B453,6)=".maxed"
 ),
 0,
 LET(
  sort,
   _xlfn.XLOOKUP(
    B453,
    tblChecklist[TargetID],
    tblChecklist[PlayerSort],
    0
   ),
  IF(sort=0,500,sort)
 )
)</f>
        <v>3</v>
      </c>
      <c r="I453" s="49" t="str">
        <f t="array" ref="I453">_xlfn.XLOOKUP(
 B453,
 tblTargetStatus[TargetID],
 tblTargetStatus[Status],
 ""
)</f>
        <v>BLOCKED</v>
      </c>
      <c r="J453" s="45" t="b">
        <v>0</v>
      </c>
    </row>
    <row r="454" ht="14.25" hidden="1" customHeight="1">
      <c r="A454" s="49" t="s">
        <v>2053</v>
      </c>
      <c r="B454" s="49" t="str">
        <f>IFERROR(__xludf.DUMMYFUNCTION("REGEXREPLACE(
 REGEXREPLACE(A454,""^cost\."",""""),
 ""\.[^.]+\.[^.]+$"",
 """"
)"),"building.shop@1")</f>
        <v>building.shop@1</v>
      </c>
      <c r="C454" s="49" t="str">
        <f t="array" ref="C454">_xlfn.XLOOKUP(
 B454,
 tblTargets[TargetID],
 tblTargets[DisplayName],
 ""
)</f>
        <v>Shop Lv 1</v>
      </c>
      <c r="D454" s="49" t="str">
        <f t="array" ref="D454">_xlfn.XLOOKUP(
 B454,
 tblTargets[TargetID],
 tblTargets[TargetType],
 ""
)</f>
        <v>BUILDING</v>
      </c>
      <c r="E454" s="49" t="s">
        <v>237</v>
      </c>
      <c r="F454" s="49">
        <v>1.0</v>
      </c>
      <c r="G454" s="49">
        <f t="array" ref="G454">_xlfn.XLOOKUP(
 A454,
 tblCost[RequirementID],
 tblCost[QuantityRequired],
 ""
)</f>
        <v>20</v>
      </c>
      <c r="H454" s="49">
        <f t="array" ref="H454">IF(
 OR(
  LEFT(B454,15)="state.character",
  RIGHT(B454,6)=".maxed"
 ),
 0,
 LET(
  sort,
   _xlfn.XLOOKUP(
    B454,
    tblChecklist[TargetID],
    tblChecklist[PlayerSort],
    0
   ),
  IF(sort=0,500,sort)
 )
)</f>
        <v>3</v>
      </c>
      <c r="I454" s="49" t="str">
        <f t="array" ref="I454">_xlfn.XLOOKUP(
 B454,
 tblTargetStatus[TargetID],
 tblTargetStatus[Status],
 ""
)</f>
        <v>BLOCKED</v>
      </c>
      <c r="J454" s="45" t="b">
        <v>0</v>
      </c>
    </row>
    <row r="455" ht="14.25" hidden="1" customHeight="1">
      <c r="A455" s="49" t="s">
        <v>2054</v>
      </c>
      <c r="B455" s="49" t="str">
        <f>IFERROR(__xludf.DUMMYFUNCTION("REGEXREPLACE(
 REGEXREPLACE(A455,""^cost\."",""""),
 ""\.[^.]+\.[^.]+$"",
 """"
)"),"building.shop@1")</f>
        <v>building.shop@1</v>
      </c>
      <c r="C455" s="49" t="str">
        <f t="array" ref="C455">_xlfn.XLOOKUP(
 B455,
 tblTargets[TargetID],
 tblTargets[DisplayName],
 ""
)</f>
        <v>Shop Lv 1</v>
      </c>
      <c r="D455" s="49" t="str">
        <f t="array" ref="D455">_xlfn.XLOOKUP(
 B455,
 tblTargets[TargetID],
 tblTargets[TargetType],
 ""
)</f>
        <v>BUILDING</v>
      </c>
      <c r="E455" s="49" t="s">
        <v>244</v>
      </c>
      <c r="F455" s="49">
        <v>1.0</v>
      </c>
      <c r="G455" s="49">
        <f t="array" ref="G455">_xlfn.XLOOKUP(
 A455,
 tblCost[RequirementID],
 tblCost[QuantityRequired],
 ""
)</f>
        <v>20</v>
      </c>
      <c r="H455" s="49">
        <f t="array" ref="H455">IF(
 OR(
  LEFT(B455,15)="state.character",
  RIGHT(B455,6)=".maxed"
 ),
 0,
 LET(
  sort,
   _xlfn.XLOOKUP(
    B455,
    tblChecklist[TargetID],
    tblChecklist[PlayerSort],
    0
   ),
  IF(sort=0,500,sort)
 )
)</f>
        <v>3</v>
      </c>
      <c r="I455" s="49" t="str">
        <f t="array" ref="I455">_xlfn.XLOOKUP(
 B455,
 tblTargetStatus[TargetID],
 tblTargetStatus[Status],
 ""
)</f>
        <v>BLOCKED</v>
      </c>
      <c r="J455" s="45" t="b">
        <v>0</v>
      </c>
    </row>
    <row r="456" ht="14.25" hidden="1" customHeight="1">
      <c r="A456" s="49" t="s">
        <v>2055</v>
      </c>
      <c r="B456" s="49" t="str">
        <f>IFERROR(__xludf.DUMMYFUNCTION("REGEXREPLACE(
 REGEXREPLACE(A456,""^cost\."",""""),
 ""\.[^.]+\.[^.]+$"",
 """"
)"),"building.shop@2")</f>
        <v>building.shop@2</v>
      </c>
      <c r="C456" s="49" t="str">
        <f t="array" ref="C456">_xlfn.XLOOKUP(
 B456,
 tblTargets[TargetID],
 tblTargets[DisplayName],
 ""
)</f>
        <v>Shop Lv 2</v>
      </c>
      <c r="D456" s="49" t="str">
        <f t="array" ref="D456">_xlfn.XLOOKUP(
 B456,
 tblTargets[TargetID],
 tblTargets[TargetType],
 ""
)</f>
        <v>BUILDING</v>
      </c>
      <c r="E456" s="49" t="s">
        <v>119</v>
      </c>
      <c r="F456" s="49">
        <v>1.0</v>
      </c>
      <c r="G456" s="49">
        <f t="array" ref="G456">_xlfn.XLOOKUP(
 A456,
 tblCost[RequirementID],
 tblCost[QuantityRequired],
 ""
)</f>
        <v>400</v>
      </c>
      <c r="H456" s="49">
        <f t="array" ref="H456">IF(
 OR(
  LEFT(B456,15)="state.character",
  RIGHT(B456,6)=".maxed"
 ),
 0,
 LET(
  sort,
   _xlfn.XLOOKUP(
    B456,
    tblChecklist[TargetID],
    tblChecklist[PlayerSort],
    0
   ),
  IF(sort=0,500,sort)
 )
)</f>
        <v>100</v>
      </c>
      <c r="I456" s="49" t="str">
        <f t="array" ref="I456">_xlfn.XLOOKUP(
 B456,
 tblTargetStatus[TargetID],
 tblTargetStatus[Status],
 ""
)</f>
        <v>BLOCKED</v>
      </c>
      <c r="J456" s="45" t="b">
        <v>0</v>
      </c>
    </row>
    <row r="457" ht="14.25" hidden="1" customHeight="1">
      <c r="A457" s="49" t="s">
        <v>2056</v>
      </c>
      <c r="B457" s="49" t="str">
        <f>IFERROR(__xludf.DUMMYFUNCTION("REGEXREPLACE(
 REGEXREPLACE(A457,""^cost\."",""""),
 ""\.[^.]+\.[^.]+$"",
 """"
)"),"building.shop@2")</f>
        <v>building.shop@2</v>
      </c>
      <c r="C457" s="49" t="str">
        <f t="array" ref="C457">_xlfn.XLOOKUP(
 B457,
 tblTargets[TargetID],
 tblTargets[DisplayName],
 ""
)</f>
        <v>Shop Lv 2</v>
      </c>
      <c r="D457" s="49" t="str">
        <f t="array" ref="D457">_xlfn.XLOOKUP(
 B457,
 tblTargets[TargetID],
 tblTargets[TargetType],
 ""
)</f>
        <v>BUILDING</v>
      </c>
      <c r="E457" s="49" t="s">
        <v>6</v>
      </c>
      <c r="F457" s="49">
        <v>1.0</v>
      </c>
      <c r="G457" s="49">
        <f t="array" ref="G457">_xlfn.XLOOKUP(
 A457,
 tblCost[RequirementID],
 tblCost[QuantityRequired],
 ""
)</f>
        <v>2</v>
      </c>
      <c r="H457" s="49">
        <f t="array" ref="H457">IF(
 OR(
  LEFT(B457,15)="state.character",
  RIGHT(B457,6)=".maxed"
 ),
 0,
 LET(
  sort,
   _xlfn.XLOOKUP(
    B457,
    tblChecklist[TargetID],
    tblChecklist[PlayerSort],
    0
   ),
  IF(sort=0,500,sort)
 )
)</f>
        <v>100</v>
      </c>
      <c r="I457" s="49" t="str">
        <f t="array" ref="I457">_xlfn.XLOOKUP(
 B457,
 tblTargetStatus[TargetID],
 tblTargetStatus[Status],
 ""
)</f>
        <v>BLOCKED</v>
      </c>
      <c r="J457" s="45" t="b">
        <v>0</v>
      </c>
    </row>
    <row r="458" ht="14.25" hidden="1" customHeight="1">
      <c r="A458" s="49" t="s">
        <v>2057</v>
      </c>
      <c r="B458" s="49" t="str">
        <f>IFERROR(__xludf.DUMMYFUNCTION("REGEXREPLACE(
 REGEXREPLACE(A458,""^cost\."",""""),
 ""\.[^.]+\.[^.]+$"",
 """"
)"),"building.shop@2")</f>
        <v>building.shop@2</v>
      </c>
      <c r="C458" s="49" t="str">
        <f t="array" ref="C458">_xlfn.XLOOKUP(
 B458,
 tblTargets[TargetID],
 tblTargets[DisplayName],
 ""
)</f>
        <v>Shop Lv 2</v>
      </c>
      <c r="D458" s="49" t="str">
        <f t="array" ref="D458">_xlfn.XLOOKUP(
 B458,
 tblTargets[TargetID],
 tblTargets[TargetType],
 ""
)</f>
        <v>BUILDING</v>
      </c>
      <c r="E458" s="49" t="s">
        <v>237</v>
      </c>
      <c r="F458" s="49">
        <v>1.0</v>
      </c>
      <c r="G458" s="49">
        <f t="array" ref="G458">_xlfn.XLOOKUP(
 A458,
 tblCost[RequirementID],
 tblCost[QuantityRequired],
 ""
)</f>
        <v>80</v>
      </c>
      <c r="H458" s="49">
        <f t="array" ref="H458">IF(
 OR(
  LEFT(B458,15)="state.character",
  RIGHT(B458,6)=".maxed"
 ),
 0,
 LET(
  sort,
   _xlfn.XLOOKUP(
    B458,
    tblChecklist[TargetID],
    tblChecklist[PlayerSort],
    0
   ),
  IF(sort=0,500,sort)
 )
)</f>
        <v>100</v>
      </c>
      <c r="I458" s="49" t="str">
        <f t="array" ref="I458">_xlfn.XLOOKUP(
 B458,
 tblTargetStatus[TargetID],
 tblTargetStatus[Status],
 ""
)</f>
        <v>BLOCKED</v>
      </c>
      <c r="J458" s="45" t="b">
        <v>0</v>
      </c>
    </row>
    <row r="459" ht="14.25" hidden="1" customHeight="1">
      <c r="A459" s="49" t="s">
        <v>2058</v>
      </c>
      <c r="B459" s="49" t="str">
        <f>IFERROR(__xludf.DUMMYFUNCTION("REGEXREPLACE(
 REGEXREPLACE(A459,""^cost\."",""""),
 ""\.[^.]+\.[^.]+$"",
 """"
)"),"building.shop@2")</f>
        <v>building.shop@2</v>
      </c>
      <c r="C459" s="49" t="str">
        <f t="array" ref="C459">_xlfn.XLOOKUP(
 B459,
 tblTargets[TargetID],
 tblTargets[DisplayName],
 ""
)</f>
        <v>Shop Lv 2</v>
      </c>
      <c r="D459" s="49" t="str">
        <f t="array" ref="D459">_xlfn.XLOOKUP(
 B459,
 tblTargets[TargetID],
 tblTargets[TargetType],
 ""
)</f>
        <v>BUILDING</v>
      </c>
      <c r="E459" s="49" t="s">
        <v>244</v>
      </c>
      <c r="F459" s="49">
        <v>1.0</v>
      </c>
      <c r="G459" s="49">
        <f t="array" ref="G459">_xlfn.XLOOKUP(
 A459,
 tblCost[RequirementID],
 tblCost[QuantityRequired],
 ""
)</f>
        <v>80</v>
      </c>
      <c r="H459" s="49">
        <f t="array" ref="H459">IF(
 OR(
  LEFT(B459,15)="state.character",
  RIGHT(B459,6)=".maxed"
 ),
 0,
 LET(
  sort,
   _xlfn.XLOOKUP(
    B459,
    tblChecklist[TargetID],
    tblChecklist[PlayerSort],
    0
   ),
  IF(sort=0,500,sort)
 )
)</f>
        <v>100</v>
      </c>
      <c r="I459" s="49" t="str">
        <f t="array" ref="I459">_xlfn.XLOOKUP(
 B459,
 tblTargetStatus[TargetID],
 tblTargetStatus[Status],
 ""
)</f>
        <v>BLOCKED</v>
      </c>
      <c r="J459" s="45" t="b">
        <v>0</v>
      </c>
    </row>
    <row r="460" ht="14.25" hidden="1" customHeight="1">
      <c r="A460" s="49" t="s">
        <v>2059</v>
      </c>
      <c r="B460" s="49" t="str">
        <f>IFERROR(__xludf.DUMMYFUNCTION("REGEXREPLACE(
 REGEXREPLACE(A460,""^cost\."",""""),
 ""\.[^.]+\.[^.]+$"",
 """"
)"),"building.shop@3")</f>
        <v>building.shop@3</v>
      </c>
      <c r="C460" s="49" t="str">
        <f t="array" ref="C460">_xlfn.XLOOKUP(
 B460,
 tblTargets[TargetID],
 tblTargets[DisplayName],
 ""
)</f>
        <v>Shop Lv 3</v>
      </c>
      <c r="D460" s="49" t="str">
        <f t="array" ref="D460">_xlfn.XLOOKUP(
 B460,
 tblTargets[TargetID],
 tblTargets[TargetType],
 ""
)</f>
        <v>BUILDING</v>
      </c>
      <c r="E460" s="49" t="s">
        <v>278</v>
      </c>
      <c r="F460" s="49">
        <v>1.0</v>
      </c>
      <c r="G460" s="49">
        <f t="array" ref="G460">_xlfn.XLOOKUP(
 A460,
 tblCost[RequirementID],
 tblCost[QuantityRequired],
 ""
)</f>
        <v>400</v>
      </c>
      <c r="H460" s="49">
        <f t="array" ref="H460">IF(
 OR(
  LEFT(B460,15)="state.character",
  RIGHT(B460,6)=".maxed"
 ),
 0,
 LET(
  sort,
   _xlfn.XLOOKUP(
    B460,
    tblChecklist[TargetID],
    tblChecklist[PlayerSort],
    0
   ),
  IF(sort=0,500,sort)
 )
)</f>
        <v>101</v>
      </c>
      <c r="I460" s="49" t="str">
        <f t="array" ref="I460">_xlfn.XLOOKUP(
 B460,
 tblTargetStatus[TargetID],
 tblTargetStatus[Status],
 ""
)</f>
        <v>BLOCKED</v>
      </c>
      <c r="J460" s="45" t="b">
        <v>0</v>
      </c>
    </row>
    <row r="461" ht="14.25" hidden="1" customHeight="1">
      <c r="A461" s="49" t="s">
        <v>2060</v>
      </c>
      <c r="B461" s="49" t="str">
        <f>IFERROR(__xludf.DUMMYFUNCTION("REGEXREPLACE(
 REGEXREPLACE(A461,""^cost\."",""""),
 ""\.[^.]+\.[^.]+$"",
 """"
)"),"building.shop@3")</f>
        <v>building.shop@3</v>
      </c>
      <c r="C461" s="49" t="str">
        <f t="array" ref="C461">_xlfn.XLOOKUP(
 B461,
 tblTargets[TargetID],
 tblTargets[DisplayName],
 ""
)</f>
        <v>Shop Lv 3</v>
      </c>
      <c r="D461" s="49" t="str">
        <f t="array" ref="D461">_xlfn.XLOOKUP(
 B461,
 tblTargets[TargetID],
 tblTargets[TargetType],
 ""
)</f>
        <v>BUILDING</v>
      </c>
      <c r="E461" s="49" t="s">
        <v>119</v>
      </c>
      <c r="F461" s="49">
        <v>1.0</v>
      </c>
      <c r="G461" s="49">
        <f t="array" ref="G461">_xlfn.XLOOKUP(
 A461,
 tblCost[RequirementID],
 tblCost[QuantityRequired],
 ""
)</f>
        <v>800</v>
      </c>
      <c r="H461" s="49">
        <f t="array" ref="H461">IF(
 OR(
  LEFT(B461,15)="state.character",
  RIGHT(B461,6)=".maxed"
 ),
 0,
 LET(
  sort,
   _xlfn.XLOOKUP(
    B461,
    tblChecklist[TargetID],
    tblChecklist[PlayerSort],
    0
   ),
  IF(sort=0,500,sort)
 )
)</f>
        <v>101</v>
      </c>
      <c r="I461" s="49" t="str">
        <f t="array" ref="I461">_xlfn.XLOOKUP(
 B461,
 tblTargetStatus[TargetID],
 tblTargetStatus[Status],
 ""
)</f>
        <v>BLOCKED</v>
      </c>
      <c r="J461" s="45" t="b">
        <v>0</v>
      </c>
    </row>
    <row r="462" ht="14.25" hidden="1" customHeight="1">
      <c r="A462" s="49" t="s">
        <v>2061</v>
      </c>
      <c r="B462" s="49" t="str">
        <f>IFERROR(__xludf.DUMMYFUNCTION("REGEXREPLACE(
 REGEXREPLACE(A462,""^cost\."",""""),
 ""\.[^.]+\.[^.]+$"",
 """"
)"),"building.shop@3")</f>
        <v>building.shop@3</v>
      </c>
      <c r="C462" s="49" t="str">
        <f t="array" ref="C462">_xlfn.XLOOKUP(
 B462,
 tblTargets[TargetID],
 tblTargets[DisplayName],
 ""
)</f>
        <v>Shop Lv 3</v>
      </c>
      <c r="D462" s="49" t="str">
        <f t="array" ref="D462">_xlfn.XLOOKUP(
 B462,
 tblTargets[TargetID],
 tblTargets[TargetType],
 ""
)</f>
        <v>BUILDING</v>
      </c>
      <c r="E462" s="49" t="s">
        <v>6</v>
      </c>
      <c r="F462" s="49">
        <v>1.0</v>
      </c>
      <c r="G462" s="49">
        <f t="array" ref="G462">_xlfn.XLOOKUP(
 A462,
 tblCost[RequirementID],
 tblCost[QuantityRequired],
 ""
)</f>
        <v>3</v>
      </c>
      <c r="H462" s="49">
        <f t="array" ref="H462">IF(
 OR(
  LEFT(B462,15)="state.character",
  RIGHT(B462,6)=".maxed"
 ),
 0,
 LET(
  sort,
   _xlfn.XLOOKUP(
    B462,
    tblChecklist[TargetID],
    tblChecklist[PlayerSort],
    0
   ),
  IF(sort=0,500,sort)
 )
)</f>
        <v>101</v>
      </c>
      <c r="I462" s="49" t="str">
        <f t="array" ref="I462">_xlfn.XLOOKUP(
 B462,
 tblTargetStatus[TargetID],
 tblTargetStatus[Status],
 ""
)</f>
        <v>BLOCKED</v>
      </c>
      <c r="J462" s="45" t="b">
        <v>0</v>
      </c>
    </row>
    <row r="463" ht="14.25" hidden="1" customHeight="1">
      <c r="A463" s="49" t="s">
        <v>2062</v>
      </c>
      <c r="B463" s="49" t="str">
        <f>IFERROR(__xludf.DUMMYFUNCTION("REGEXREPLACE(
 REGEXREPLACE(A463,""^cost\."",""""),
 ""\.[^.]+\.[^.]+$"",
 """"
)"),"building.shop@3")</f>
        <v>building.shop@3</v>
      </c>
      <c r="C463" s="49" t="str">
        <f t="array" ref="C463">_xlfn.XLOOKUP(
 B463,
 tblTargets[TargetID],
 tblTargets[DisplayName],
 ""
)</f>
        <v>Shop Lv 3</v>
      </c>
      <c r="D463" s="49" t="str">
        <f t="array" ref="D463">_xlfn.XLOOKUP(
 B463,
 tblTargets[TargetID],
 tblTargets[TargetType],
 ""
)</f>
        <v>BUILDING</v>
      </c>
      <c r="E463" s="49" t="s">
        <v>237</v>
      </c>
      <c r="F463" s="49">
        <v>1.0</v>
      </c>
      <c r="G463" s="49">
        <f t="array" ref="G463">_xlfn.XLOOKUP(
 A463,
 tblCost[RequirementID],
 tblCost[QuantityRequired],
 ""
)</f>
        <v>200</v>
      </c>
      <c r="H463" s="49">
        <f t="array" ref="H463">IF(
 OR(
  LEFT(B463,15)="state.character",
  RIGHT(B463,6)=".maxed"
 ),
 0,
 LET(
  sort,
   _xlfn.XLOOKUP(
    B463,
    tblChecklist[TargetID],
    tblChecklist[PlayerSort],
    0
   ),
  IF(sort=0,500,sort)
 )
)</f>
        <v>101</v>
      </c>
      <c r="I463" s="49" t="str">
        <f t="array" ref="I463">_xlfn.XLOOKUP(
 B463,
 tblTargetStatus[TargetID],
 tblTargetStatus[Status],
 ""
)</f>
        <v>BLOCKED</v>
      </c>
      <c r="J463" s="45" t="b">
        <v>0</v>
      </c>
    </row>
    <row r="464" ht="14.25" hidden="1" customHeight="1">
      <c r="A464" s="49" t="s">
        <v>2063</v>
      </c>
      <c r="B464" s="49" t="str">
        <f>IFERROR(__xludf.DUMMYFUNCTION("REGEXREPLACE(
 REGEXREPLACE(A464,""^cost\."",""""),
 ""\.[^.]+\.[^.]+$"",
 """"
)"),"building.smithy@1")</f>
        <v>building.smithy@1</v>
      </c>
      <c r="C464" s="49" t="str">
        <f t="array" ref="C464">_xlfn.XLOOKUP(
 B464,
 tblTargets[TargetID],
 tblTargets[DisplayName],
 ""
)</f>
        <v>Smithy Lv 1</v>
      </c>
      <c r="D464" s="49" t="str">
        <f t="array" ref="D464">_xlfn.XLOOKUP(
 B464,
 tblTargets[TargetID],
 tblTargets[TargetType],
 ""
)</f>
        <v>BUILDING</v>
      </c>
      <c r="E464" s="49" t="s">
        <v>119</v>
      </c>
      <c r="F464" s="49">
        <v>1.0</v>
      </c>
      <c r="G464" s="49">
        <f t="array" ref="G464">_xlfn.XLOOKUP(
 A464,
 tblCost[RequirementID],
 tblCost[QuantityRequired],
 ""
)</f>
        <v>240</v>
      </c>
      <c r="H464" s="49">
        <f t="array" ref="H464">IF(
 OR(
  LEFT(B464,15)="state.character",
  RIGHT(B464,6)=".maxed"
 ),
 0,
 LET(
  sort,
   _xlfn.XLOOKUP(
    B464,
    tblChecklist[TargetID],
    tblChecklist[PlayerSort],
    0
   ),
  IF(sort=0,500,sort)
 )
)</f>
        <v>40</v>
      </c>
      <c r="I464" s="49" t="str">
        <f t="array" ref="I464">_xlfn.XLOOKUP(
 B464,
 tblTargetStatus[TargetID],
 tblTargetStatus[Status],
 ""
)</f>
        <v>BLOCKED</v>
      </c>
      <c r="J464" s="45" t="b">
        <v>0</v>
      </c>
    </row>
    <row r="465" ht="14.25" hidden="1" customHeight="1">
      <c r="A465" s="49" t="s">
        <v>2064</v>
      </c>
      <c r="B465" s="49" t="str">
        <f>IFERROR(__xludf.DUMMYFUNCTION("REGEXREPLACE(
 REGEXREPLACE(A465,""^cost\."",""""),
 ""\.[^.]+\.[^.]+$"",
 """"
)"),"building.smithy@1")</f>
        <v>building.smithy@1</v>
      </c>
      <c r="C465" s="49" t="str">
        <f t="array" ref="C465">_xlfn.XLOOKUP(
 B465,
 tblTargets[TargetID],
 tblTargets[DisplayName],
 ""
)</f>
        <v>Smithy Lv 1</v>
      </c>
      <c r="D465" s="49" t="str">
        <f t="array" ref="D465">_xlfn.XLOOKUP(
 B465,
 tblTargets[TargetID],
 tblTargets[TargetType],
 ""
)</f>
        <v>BUILDING</v>
      </c>
      <c r="E465" s="49" t="s">
        <v>6</v>
      </c>
      <c r="F465" s="49">
        <v>1.0</v>
      </c>
      <c r="G465" s="49">
        <f t="array" ref="G465">_xlfn.XLOOKUP(
 A465,
 tblCost[RequirementID],
 tblCost[QuantityRequired],
 ""
)</f>
        <v>1</v>
      </c>
      <c r="H465" s="49">
        <f t="array" ref="H465">IF(
 OR(
  LEFT(B465,15)="state.character",
  RIGHT(B465,6)=".maxed"
 ),
 0,
 LET(
  sort,
   _xlfn.XLOOKUP(
    B465,
    tblChecklist[TargetID],
    tblChecklist[PlayerSort],
    0
   ),
  IF(sort=0,500,sort)
 )
)</f>
        <v>40</v>
      </c>
      <c r="I465" s="49" t="str">
        <f t="array" ref="I465">_xlfn.XLOOKUP(
 B465,
 tblTargetStatus[TargetID],
 tblTargetStatus[Status],
 ""
)</f>
        <v>BLOCKED</v>
      </c>
      <c r="J465" s="45" t="b">
        <v>0</v>
      </c>
    </row>
    <row r="466" ht="14.25" hidden="1" customHeight="1">
      <c r="A466" s="49" t="s">
        <v>2065</v>
      </c>
      <c r="B466" s="49" t="str">
        <f>IFERROR(__xludf.DUMMYFUNCTION("REGEXREPLACE(
 REGEXREPLACE(A466,""^cost\."",""""),
 ""\.[^.]+\.[^.]+$"",
 """"
)"),"building.smithy@1")</f>
        <v>building.smithy@1</v>
      </c>
      <c r="C466" s="49" t="str">
        <f t="array" ref="C466">_xlfn.XLOOKUP(
 B466,
 tblTargets[TargetID],
 tblTargets[DisplayName],
 ""
)</f>
        <v>Smithy Lv 1</v>
      </c>
      <c r="D466" s="49" t="str">
        <f t="array" ref="D466">_xlfn.XLOOKUP(
 B466,
 tblTargets[TargetID],
 tblTargets[TargetType],
 ""
)</f>
        <v>BUILDING</v>
      </c>
      <c r="E466" s="49" t="s">
        <v>392</v>
      </c>
      <c r="F466" s="49">
        <v>1.0</v>
      </c>
      <c r="G466" s="49">
        <f t="array" ref="G466">_xlfn.XLOOKUP(
 A466,
 tblCost[RequirementID],
 tblCost[QuantityRequired],
 ""
)</f>
        <v>20</v>
      </c>
      <c r="H466" s="49">
        <f t="array" ref="H466">IF(
 OR(
  LEFT(B466,15)="state.character",
  RIGHT(B466,6)=".maxed"
 ),
 0,
 LET(
  sort,
   _xlfn.XLOOKUP(
    B466,
    tblChecklist[TargetID],
    tblChecklist[PlayerSort],
    0
   ),
  IF(sort=0,500,sort)
 )
)</f>
        <v>40</v>
      </c>
      <c r="I466" s="49" t="str">
        <f t="array" ref="I466">_xlfn.XLOOKUP(
 B466,
 tblTargetStatus[TargetID],
 tblTargetStatus[Status],
 ""
)</f>
        <v>BLOCKED</v>
      </c>
      <c r="J466" s="45" t="b">
        <v>0</v>
      </c>
    </row>
    <row r="467" ht="14.25" hidden="1" customHeight="1">
      <c r="A467" s="49" t="s">
        <v>2066</v>
      </c>
      <c r="B467" s="49" t="str">
        <f>IFERROR(__xludf.DUMMYFUNCTION("REGEXREPLACE(
 REGEXREPLACE(A467,""^cost\."",""""),
 ""\.[^.]+\.[^.]+$"",
 """"
)"),"building.smithy@1")</f>
        <v>building.smithy@1</v>
      </c>
      <c r="C467" s="49" t="str">
        <f t="array" ref="C467">_xlfn.XLOOKUP(
 B467,
 tblTargets[TargetID],
 tblTargets[DisplayName],
 ""
)</f>
        <v>Smithy Lv 1</v>
      </c>
      <c r="D467" s="49" t="str">
        <f t="array" ref="D467">_xlfn.XLOOKUP(
 B467,
 tblTargets[TargetID],
 tblTargets[TargetType],
 ""
)</f>
        <v>BUILDING</v>
      </c>
      <c r="E467" s="49" t="s">
        <v>237</v>
      </c>
      <c r="F467" s="49">
        <v>1.0</v>
      </c>
      <c r="G467" s="49">
        <f t="array" ref="G467">_xlfn.XLOOKUP(
 A467,
 tblCost[RequirementID],
 tblCost[QuantityRequired],
 ""
)</f>
        <v>120</v>
      </c>
      <c r="H467" s="49">
        <f t="array" ref="H467">IF(
 OR(
  LEFT(B467,15)="state.character",
  RIGHT(B467,6)=".maxed"
 ),
 0,
 LET(
  sort,
   _xlfn.XLOOKUP(
    B467,
    tblChecklist[TargetID],
    tblChecklist[PlayerSort],
    0
   ),
  IF(sort=0,500,sort)
 )
)</f>
        <v>40</v>
      </c>
      <c r="I467" s="49" t="str">
        <f t="array" ref="I467">_xlfn.XLOOKUP(
 B467,
 tblTargetStatus[TargetID],
 tblTargetStatus[Status],
 ""
)</f>
        <v>BLOCKED</v>
      </c>
      <c r="J467" s="45" t="b">
        <v>0</v>
      </c>
    </row>
    <row r="468" ht="14.25" hidden="1" customHeight="1">
      <c r="A468" s="49" t="s">
        <v>2067</v>
      </c>
      <c r="B468" s="49" t="str">
        <f>IFERROR(__xludf.DUMMYFUNCTION("REGEXREPLACE(
 REGEXREPLACE(A468,""^cost\."",""""),
 ""\.[^.]+\.[^.]+$"",
 """"
)"),"building.smithy@1")</f>
        <v>building.smithy@1</v>
      </c>
      <c r="C468" s="49" t="str">
        <f t="array" ref="C468">_xlfn.XLOOKUP(
 B468,
 tblTargets[TargetID],
 tblTargets[DisplayName],
 ""
)</f>
        <v>Smithy Lv 1</v>
      </c>
      <c r="D468" s="49" t="str">
        <f t="array" ref="D468">_xlfn.XLOOKUP(
 B468,
 tblTargets[TargetID],
 tblTargets[TargetType],
 ""
)</f>
        <v>BUILDING</v>
      </c>
      <c r="E468" s="49" t="s">
        <v>244</v>
      </c>
      <c r="F468" s="49">
        <v>1.0</v>
      </c>
      <c r="G468" s="49">
        <f t="array" ref="G468">_xlfn.XLOOKUP(
 A468,
 tblCost[RequirementID],
 tblCost[QuantityRequired],
 ""
)</f>
        <v>120</v>
      </c>
      <c r="H468" s="49">
        <f t="array" ref="H468">IF(
 OR(
  LEFT(B468,15)="state.character",
  RIGHT(B468,6)=".maxed"
 ),
 0,
 LET(
  sort,
   _xlfn.XLOOKUP(
    B468,
    tblChecklist[TargetID],
    tblChecklist[PlayerSort],
    0
   ),
  IF(sort=0,500,sort)
 )
)</f>
        <v>40</v>
      </c>
      <c r="I468" s="49" t="str">
        <f t="array" ref="I468">_xlfn.XLOOKUP(
 B468,
 tblTargetStatus[TargetID],
 tblTargetStatus[Status],
 ""
)</f>
        <v>BLOCKED</v>
      </c>
      <c r="J468" s="45" t="b">
        <v>0</v>
      </c>
    </row>
    <row r="469" ht="14.25" hidden="1" customHeight="1">
      <c r="A469" s="49" t="s">
        <v>2068</v>
      </c>
      <c r="B469" s="49" t="str">
        <f>IFERROR(__xludf.DUMMYFUNCTION("REGEXREPLACE(
 REGEXREPLACE(A469,""^cost\."",""""),
 ""\.[^.]+\.[^.]+$"",
 """"
)"),"building.smithy@2")</f>
        <v>building.smithy@2</v>
      </c>
      <c r="C469" s="49" t="str">
        <f t="array" ref="C469">_xlfn.XLOOKUP(
 B469,
 tblTargets[TargetID],
 tblTargets[DisplayName],
 ""
)</f>
        <v>Smithy Lv 2</v>
      </c>
      <c r="D469" s="49" t="str">
        <f t="array" ref="D469">_xlfn.XLOOKUP(
 B469,
 tblTargets[TargetID],
 tblTargets[TargetType],
 ""
)</f>
        <v>BUILDING</v>
      </c>
      <c r="E469" s="49" t="s">
        <v>119</v>
      </c>
      <c r="F469" s="49">
        <v>1.0</v>
      </c>
      <c r="G469" s="49">
        <f t="array" ref="G469">_xlfn.XLOOKUP(
 A469,
 tblCost[RequirementID],
 tblCost[QuantityRequired],
 ""
)</f>
        <v>280</v>
      </c>
      <c r="H469" s="49">
        <f t="array" ref="H469">IF(
 OR(
  LEFT(B469,15)="state.character",
  RIGHT(B469,6)=".maxed"
 ),
 0,
 LET(
  sort,
   _xlfn.XLOOKUP(
    B469,
    tblChecklist[TargetID],
    tblChecklist[PlayerSort],
    0
   ),
  IF(sort=0,500,sort)
 )
)</f>
        <v>41</v>
      </c>
      <c r="I469" s="49" t="str">
        <f t="array" ref="I469">_xlfn.XLOOKUP(
 B469,
 tblTargetStatus[TargetID],
 tblTargetStatus[Status],
 ""
)</f>
        <v>BLOCKED</v>
      </c>
      <c r="J469" s="45" t="b">
        <v>0</v>
      </c>
    </row>
    <row r="470" ht="14.25" hidden="1" customHeight="1">
      <c r="A470" s="49" t="s">
        <v>2069</v>
      </c>
      <c r="B470" s="49" t="str">
        <f>IFERROR(__xludf.DUMMYFUNCTION("REGEXREPLACE(
 REGEXREPLACE(A470,""^cost\."",""""),
 ""\.[^.]+\.[^.]+$"",
 """"
)"),"building.smithy@2")</f>
        <v>building.smithy@2</v>
      </c>
      <c r="C470" s="49" t="str">
        <f t="array" ref="C470">_xlfn.XLOOKUP(
 B470,
 tblTargets[TargetID],
 tblTargets[DisplayName],
 ""
)</f>
        <v>Smithy Lv 2</v>
      </c>
      <c r="D470" s="49" t="str">
        <f t="array" ref="D470">_xlfn.XLOOKUP(
 B470,
 tblTargets[TargetID],
 tblTargets[TargetType],
 ""
)</f>
        <v>BUILDING</v>
      </c>
      <c r="E470" s="49" t="s">
        <v>6</v>
      </c>
      <c r="F470" s="49">
        <v>1.0</v>
      </c>
      <c r="G470" s="49">
        <f t="array" ref="G470">_xlfn.XLOOKUP(
 A470,
 tblCost[RequirementID],
 tblCost[QuantityRequired],
 ""
)</f>
        <v>2</v>
      </c>
      <c r="H470" s="49">
        <f t="array" ref="H470">IF(
 OR(
  LEFT(B470,15)="state.character",
  RIGHT(B470,6)=".maxed"
 ),
 0,
 LET(
  sort,
   _xlfn.XLOOKUP(
    B470,
    tblChecklist[TargetID],
    tblChecklist[PlayerSort],
    0
   ),
  IF(sort=0,500,sort)
 )
)</f>
        <v>41</v>
      </c>
      <c r="I470" s="49" t="str">
        <f t="array" ref="I470">_xlfn.XLOOKUP(
 B470,
 tblTargetStatus[TargetID],
 tblTargetStatus[Status],
 ""
)</f>
        <v>BLOCKED</v>
      </c>
      <c r="J470" s="45" t="b">
        <v>0</v>
      </c>
    </row>
    <row r="471" ht="14.25" hidden="1" customHeight="1">
      <c r="A471" s="49" t="s">
        <v>2070</v>
      </c>
      <c r="B471" s="49" t="str">
        <f>IFERROR(__xludf.DUMMYFUNCTION("REGEXREPLACE(
 REGEXREPLACE(A471,""^cost\."",""""),
 ""\.[^.]+\.[^.]+$"",
 """"
)"),"building.smithy@2")</f>
        <v>building.smithy@2</v>
      </c>
      <c r="C471" s="49" t="str">
        <f t="array" ref="C471">_xlfn.XLOOKUP(
 B471,
 tblTargets[TargetID],
 tblTargets[DisplayName],
 ""
)</f>
        <v>Smithy Lv 2</v>
      </c>
      <c r="D471" s="49" t="str">
        <f t="array" ref="D471">_xlfn.XLOOKUP(
 B471,
 tblTargets[TargetID],
 tblTargets[TargetType],
 ""
)</f>
        <v>BUILDING</v>
      </c>
      <c r="E471" s="49" t="s">
        <v>392</v>
      </c>
      <c r="F471" s="49">
        <v>1.0</v>
      </c>
      <c r="G471" s="49">
        <f t="array" ref="G471">_xlfn.XLOOKUP(
 A471,
 tblCost[RequirementID],
 tblCost[QuantityRequired],
 ""
)</f>
        <v>40</v>
      </c>
      <c r="H471" s="49">
        <f t="array" ref="H471">IF(
 OR(
  LEFT(B471,15)="state.character",
  RIGHT(B471,6)=".maxed"
 ),
 0,
 LET(
  sort,
   _xlfn.XLOOKUP(
    B471,
    tblChecklist[TargetID],
    tblChecklist[PlayerSort],
    0
   ),
  IF(sort=0,500,sort)
 )
)</f>
        <v>41</v>
      </c>
      <c r="I471" s="49" t="str">
        <f t="array" ref="I471">_xlfn.XLOOKUP(
 B471,
 tblTargetStatus[TargetID],
 tblTargetStatus[Status],
 ""
)</f>
        <v>BLOCKED</v>
      </c>
      <c r="J471" s="45" t="b">
        <v>0</v>
      </c>
    </row>
    <row r="472" ht="14.25" hidden="1" customHeight="1">
      <c r="A472" s="49" t="s">
        <v>2071</v>
      </c>
      <c r="B472" s="49" t="str">
        <f>IFERROR(__xludf.DUMMYFUNCTION("REGEXREPLACE(
 REGEXREPLACE(A472,""^cost\."",""""),
 ""\.[^.]+\.[^.]+$"",
 """"
)"),"building.smithy@2")</f>
        <v>building.smithy@2</v>
      </c>
      <c r="C472" s="49" t="str">
        <f t="array" ref="C472">_xlfn.XLOOKUP(
 B472,
 tblTargets[TargetID],
 tblTargets[DisplayName],
 ""
)</f>
        <v>Smithy Lv 2</v>
      </c>
      <c r="D472" s="49" t="str">
        <f t="array" ref="D472">_xlfn.XLOOKUP(
 B472,
 tblTargets[TargetID],
 tblTargets[TargetType],
 ""
)</f>
        <v>BUILDING</v>
      </c>
      <c r="E472" s="49" t="s">
        <v>237</v>
      </c>
      <c r="F472" s="49">
        <v>1.0</v>
      </c>
      <c r="G472" s="49">
        <f t="array" ref="G472">_xlfn.XLOOKUP(
 A472,
 tblCost[RequirementID],
 tblCost[QuantityRequired],
 ""
)</f>
        <v>140</v>
      </c>
      <c r="H472" s="49">
        <f t="array" ref="H472">IF(
 OR(
  LEFT(B472,15)="state.character",
  RIGHT(B472,6)=".maxed"
 ),
 0,
 LET(
  sort,
   _xlfn.XLOOKUP(
    B472,
    tblChecklist[TargetID],
    tblChecklist[PlayerSort],
    0
   ),
  IF(sort=0,500,sort)
 )
)</f>
        <v>41</v>
      </c>
      <c r="I472" s="49" t="str">
        <f t="array" ref="I472">_xlfn.XLOOKUP(
 B472,
 tblTargetStatus[TargetID],
 tblTargetStatus[Status],
 ""
)</f>
        <v>BLOCKED</v>
      </c>
      <c r="J472" s="45" t="b">
        <v>0</v>
      </c>
    </row>
    <row r="473" ht="14.25" hidden="1" customHeight="1">
      <c r="A473" s="49" t="s">
        <v>2072</v>
      </c>
      <c r="B473" s="49" t="str">
        <f>IFERROR(__xludf.DUMMYFUNCTION("REGEXREPLACE(
 REGEXREPLACE(A473,""^cost\."",""""),
 ""\.[^.]+\.[^.]+$"",
 """"
)"),"building.smithy@2")</f>
        <v>building.smithy@2</v>
      </c>
      <c r="C473" s="49" t="str">
        <f t="array" ref="C473">_xlfn.XLOOKUP(
 B473,
 tblTargets[TargetID],
 tblTargets[DisplayName],
 ""
)</f>
        <v>Smithy Lv 2</v>
      </c>
      <c r="D473" s="49" t="str">
        <f t="array" ref="D473">_xlfn.XLOOKUP(
 B473,
 tblTargets[TargetID],
 tblTargets[TargetType],
 ""
)</f>
        <v>BUILDING</v>
      </c>
      <c r="E473" s="49" t="s">
        <v>244</v>
      </c>
      <c r="F473" s="49">
        <v>1.0</v>
      </c>
      <c r="G473" s="49">
        <f t="array" ref="G473">_xlfn.XLOOKUP(
 A473,
 tblCost[RequirementID],
 tblCost[QuantityRequired],
 ""
)</f>
        <v>140</v>
      </c>
      <c r="H473" s="49">
        <f t="array" ref="H473">IF(
 OR(
  LEFT(B473,15)="state.character",
  RIGHT(B473,6)=".maxed"
 ),
 0,
 LET(
  sort,
   _xlfn.XLOOKUP(
    B473,
    tblChecklist[TargetID],
    tblChecklist[PlayerSort],
    0
   ),
  IF(sort=0,500,sort)
 )
)</f>
        <v>41</v>
      </c>
      <c r="I473" s="49" t="str">
        <f t="array" ref="I473">_xlfn.XLOOKUP(
 B473,
 tblTargetStatus[TargetID],
 tblTargetStatus[Status],
 ""
)</f>
        <v>BLOCKED</v>
      </c>
      <c r="J473" s="45" t="b">
        <v>0</v>
      </c>
    </row>
    <row r="474" ht="14.25" hidden="1" customHeight="1">
      <c r="A474" s="49" t="s">
        <v>2073</v>
      </c>
      <c r="B474" s="49" t="str">
        <f>IFERROR(__xludf.DUMMYFUNCTION("REGEXREPLACE(
 REGEXREPLACE(A474,""^cost\."",""""),
 ""\.[^.]+\.[^.]+$"",
 """"
)"),"building.smithy@3")</f>
        <v>building.smithy@3</v>
      </c>
      <c r="C474" s="49" t="str">
        <f t="array" ref="C474">_xlfn.XLOOKUP(
 B474,
 tblTargets[TargetID],
 tblTargets[DisplayName],
 ""
)</f>
        <v>Smithy Lv 3</v>
      </c>
      <c r="D474" s="49" t="str">
        <f t="array" ref="D474">_xlfn.XLOOKUP(
 B474,
 tblTargets[TargetID],
 tblTargets[TargetType],
 ""
)</f>
        <v>BUILDING</v>
      </c>
      <c r="E474" s="49" t="s">
        <v>278</v>
      </c>
      <c r="F474" s="49">
        <v>1.0</v>
      </c>
      <c r="G474" s="49">
        <f t="array" ref="G474">_xlfn.XLOOKUP(
 A474,
 tblCost[RequirementID],
 tblCost[QuantityRequired],
 ""
)</f>
        <v>400</v>
      </c>
      <c r="H474" s="49">
        <f t="array" ref="H474">IF(
 OR(
  LEFT(B474,15)="state.character",
  RIGHT(B474,6)=".maxed"
 ),
 0,
 LET(
  sort,
   _xlfn.XLOOKUP(
    B474,
    tblChecklist[TargetID],
    tblChecklist[PlayerSort],
    0
   ),
  IF(sort=0,500,sort)
 )
)</f>
        <v>42</v>
      </c>
      <c r="I474" s="49" t="str">
        <f t="array" ref="I474">_xlfn.XLOOKUP(
 B474,
 tblTargetStatus[TargetID],
 tblTargetStatus[Status],
 ""
)</f>
        <v>BLOCKED</v>
      </c>
      <c r="J474" s="45" t="b">
        <v>0</v>
      </c>
    </row>
    <row r="475" ht="14.25" hidden="1" customHeight="1">
      <c r="A475" s="49" t="s">
        <v>2074</v>
      </c>
      <c r="B475" s="49" t="str">
        <f>IFERROR(__xludf.DUMMYFUNCTION("REGEXREPLACE(
 REGEXREPLACE(A475,""^cost\."",""""),
 ""\.[^.]+\.[^.]+$"",
 """"
)"),"building.smithy@3")</f>
        <v>building.smithy@3</v>
      </c>
      <c r="C475" s="49" t="str">
        <f t="array" ref="C475">_xlfn.XLOOKUP(
 B475,
 tblTargets[TargetID],
 tblTargets[DisplayName],
 ""
)</f>
        <v>Smithy Lv 3</v>
      </c>
      <c r="D475" s="49" t="str">
        <f t="array" ref="D475">_xlfn.XLOOKUP(
 B475,
 tblTargets[TargetID],
 tblTargets[TargetType],
 ""
)</f>
        <v>BUILDING</v>
      </c>
      <c r="E475" s="49" t="s">
        <v>119</v>
      </c>
      <c r="F475" s="49">
        <v>1.0</v>
      </c>
      <c r="G475" s="49">
        <f t="array" ref="G475">_xlfn.XLOOKUP(
 A475,
 tblCost[RequirementID],
 tblCost[QuantityRequired],
 ""
)</f>
        <v>500</v>
      </c>
      <c r="H475" s="49">
        <f t="array" ref="H475">IF(
 OR(
  LEFT(B475,15)="state.character",
  RIGHT(B475,6)=".maxed"
 ),
 0,
 LET(
  sort,
   _xlfn.XLOOKUP(
    B475,
    tblChecklist[TargetID],
    tblChecklist[PlayerSort],
    0
   ),
  IF(sort=0,500,sort)
 )
)</f>
        <v>42</v>
      </c>
      <c r="I475" s="49" t="str">
        <f t="array" ref="I475">_xlfn.XLOOKUP(
 B475,
 tblTargetStatus[TargetID],
 tblTargetStatus[Status],
 ""
)</f>
        <v>BLOCKED</v>
      </c>
      <c r="J475" s="45" t="b">
        <v>0</v>
      </c>
    </row>
    <row r="476" ht="14.25" hidden="1" customHeight="1">
      <c r="A476" s="49" t="s">
        <v>2075</v>
      </c>
      <c r="B476" s="49" t="str">
        <f>IFERROR(__xludf.DUMMYFUNCTION("REGEXREPLACE(
 REGEXREPLACE(A476,""^cost\."",""""),
 ""\.[^.]+\.[^.]+$"",
 """"
)"),"building.smithy@3")</f>
        <v>building.smithy@3</v>
      </c>
      <c r="C476" s="49" t="str">
        <f t="array" ref="C476">_xlfn.XLOOKUP(
 B476,
 tblTargets[TargetID],
 tblTargets[DisplayName],
 ""
)</f>
        <v>Smithy Lv 3</v>
      </c>
      <c r="D476" s="49" t="str">
        <f t="array" ref="D476">_xlfn.XLOOKUP(
 B476,
 tblTargets[TargetID],
 tblTargets[TargetType],
 ""
)</f>
        <v>BUILDING</v>
      </c>
      <c r="E476" s="49" t="s">
        <v>6</v>
      </c>
      <c r="F476" s="49">
        <v>1.0</v>
      </c>
      <c r="G476" s="49">
        <f t="array" ref="G476">_xlfn.XLOOKUP(
 A476,
 tblCost[RequirementID],
 tblCost[QuantityRequired],
 ""
)</f>
        <v>4</v>
      </c>
      <c r="H476" s="49">
        <f t="array" ref="H476">IF(
 OR(
  LEFT(B476,15)="state.character",
  RIGHT(B476,6)=".maxed"
 ),
 0,
 LET(
  sort,
   _xlfn.XLOOKUP(
    B476,
    tblChecklist[TargetID],
    tblChecklist[PlayerSort],
    0
   ),
  IF(sort=0,500,sort)
 )
)</f>
        <v>42</v>
      </c>
      <c r="I476" s="49" t="str">
        <f t="array" ref="I476">_xlfn.XLOOKUP(
 B476,
 tblTargetStatus[TargetID],
 tblTargetStatus[Status],
 ""
)</f>
        <v>BLOCKED</v>
      </c>
      <c r="J476" s="45" t="b">
        <v>0</v>
      </c>
    </row>
    <row r="477" ht="14.25" hidden="1" customHeight="1">
      <c r="A477" s="49" t="s">
        <v>2076</v>
      </c>
      <c r="B477" s="49" t="str">
        <f>IFERROR(__xludf.DUMMYFUNCTION("REGEXREPLACE(
 REGEXREPLACE(A477,""^cost\."",""""),
 ""\.[^.]+\.[^.]+$"",
 """"
)"),"building.smithy@3")</f>
        <v>building.smithy@3</v>
      </c>
      <c r="C477" s="49" t="str">
        <f t="array" ref="C477">_xlfn.XLOOKUP(
 B477,
 tblTargets[TargetID],
 tblTargets[DisplayName],
 ""
)</f>
        <v>Smithy Lv 3</v>
      </c>
      <c r="D477" s="49" t="str">
        <f t="array" ref="D477">_xlfn.XLOOKUP(
 B477,
 tblTargets[TargetID],
 tblTargets[TargetType],
 ""
)</f>
        <v>BUILDING</v>
      </c>
      <c r="E477" s="49" t="s">
        <v>392</v>
      </c>
      <c r="F477" s="49">
        <v>1.0</v>
      </c>
      <c r="G477" s="49">
        <f t="array" ref="G477">_xlfn.XLOOKUP(
 A477,
 tblCost[RequirementID],
 tblCost[QuantityRequired],
 ""
)</f>
        <v>60</v>
      </c>
      <c r="H477" s="49">
        <f t="array" ref="H477">IF(
 OR(
  LEFT(B477,15)="state.character",
  RIGHT(B477,6)=".maxed"
 ),
 0,
 LET(
  sort,
   _xlfn.XLOOKUP(
    B477,
    tblChecklist[TargetID],
    tblChecklist[PlayerSort],
    0
   ),
  IF(sort=0,500,sort)
 )
)</f>
        <v>42</v>
      </c>
      <c r="I477" s="49" t="str">
        <f t="array" ref="I477">_xlfn.XLOOKUP(
 B477,
 tblTargetStatus[TargetID],
 tblTargetStatus[Status],
 ""
)</f>
        <v>BLOCKED</v>
      </c>
      <c r="J477" s="45" t="b">
        <v>0</v>
      </c>
    </row>
    <row r="478" ht="14.25" hidden="1" customHeight="1">
      <c r="A478" s="49" t="s">
        <v>2077</v>
      </c>
      <c r="B478" s="49" t="str">
        <f>IFERROR(__xludf.DUMMYFUNCTION("REGEXREPLACE(
 REGEXREPLACE(A478,""^cost\."",""""),
 ""\.[^.]+\.[^.]+$"",
 """"
)"),"building.smithy@3")</f>
        <v>building.smithy@3</v>
      </c>
      <c r="C478" s="49" t="str">
        <f t="array" ref="C478">_xlfn.XLOOKUP(
 B478,
 tblTargets[TargetID],
 tblTargets[DisplayName],
 ""
)</f>
        <v>Smithy Lv 3</v>
      </c>
      <c r="D478" s="49" t="str">
        <f t="array" ref="D478">_xlfn.XLOOKUP(
 B478,
 tblTargets[TargetID],
 tblTargets[TargetType],
 ""
)</f>
        <v>BUILDING</v>
      </c>
      <c r="E478" s="49" t="s">
        <v>237</v>
      </c>
      <c r="F478" s="49">
        <v>1.0</v>
      </c>
      <c r="G478" s="49">
        <f t="array" ref="G478">_xlfn.XLOOKUP(
 A478,
 tblCost[RequirementID],
 tblCost[QuantityRequired],
 ""
)</f>
        <v>200</v>
      </c>
      <c r="H478" s="49">
        <f t="array" ref="H478">IF(
 OR(
  LEFT(B478,15)="state.character",
  RIGHT(B478,6)=".maxed"
 ),
 0,
 LET(
  sort,
   _xlfn.XLOOKUP(
    B478,
    tblChecklist[TargetID],
    tblChecklist[PlayerSort],
    0
   ),
  IF(sort=0,500,sort)
 )
)</f>
        <v>42</v>
      </c>
      <c r="I478" s="49" t="str">
        <f t="array" ref="I478">_xlfn.XLOOKUP(
 B478,
 tblTargetStatus[TargetID],
 tblTargetStatus[Status],
 ""
)</f>
        <v>BLOCKED</v>
      </c>
      <c r="J478" s="45" t="b">
        <v>0</v>
      </c>
    </row>
    <row r="479" ht="14.25" hidden="1" customHeight="1">
      <c r="A479" s="49" t="s">
        <v>2078</v>
      </c>
      <c r="B479" s="49" t="str">
        <f>IFERROR(__xludf.DUMMYFUNCTION("REGEXREPLACE(
 REGEXREPLACE(A479,""^cost\."",""""),
 ""\.[^.]+\.[^.]+$"",
 """"
)"),"building.station@1")</f>
        <v>building.station@1</v>
      </c>
      <c r="C479" s="49" t="str">
        <f t="array" ref="C479">_xlfn.XLOOKUP(
 B479,
 tblTargets[TargetID],
 tblTargets[DisplayName],
 ""
)</f>
        <v>Station Lv 1</v>
      </c>
      <c r="D479" s="49" t="str">
        <f t="array" ref="D479">_xlfn.XLOOKUP(
 B479,
 tblTargets[TargetID],
 tblTargets[TargetType],
 ""
)</f>
        <v>BUILDING</v>
      </c>
      <c r="E479" s="49" t="s">
        <v>278</v>
      </c>
      <c r="F479" s="49">
        <v>1.0</v>
      </c>
      <c r="G479" s="49">
        <f t="array" ref="G479">_xlfn.XLOOKUP(
 A479,
 tblCost[RequirementID],
 tblCost[QuantityRequired],
 ""
)</f>
        <v>8000</v>
      </c>
      <c r="H479" s="49">
        <f t="array" ref="H479">IF(
 OR(
  LEFT(B479,15)="state.character",
  RIGHT(B479,6)=".maxed"
 ),
 0,
 LET(
  sort,
   _xlfn.XLOOKUP(
    B479,
    tblChecklist[TargetID],
    tblChecklist[PlayerSort],
    0
   ),
  IF(sort=0,500,sort)
 )
)</f>
        <v>69</v>
      </c>
      <c r="I479" s="49" t="str">
        <f t="array" ref="I479">_xlfn.XLOOKUP(
 B479,
 tblTargetStatus[TargetID],
 tblTargetStatus[Status],
 ""
)</f>
        <v>BLOCKED</v>
      </c>
      <c r="J479" s="45" t="b">
        <v>0</v>
      </c>
    </row>
    <row r="480" ht="14.25" hidden="1" customHeight="1">
      <c r="A480" s="49" t="s">
        <v>2079</v>
      </c>
      <c r="B480" s="49" t="str">
        <f>IFERROR(__xludf.DUMMYFUNCTION("REGEXREPLACE(
 REGEXREPLACE(A480,""^cost\."",""""),
 ""\.[^.]+\.[^.]+$"",
 """"
)"),"building.station@1")</f>
        <v>building.station@1</v>
      </c>
      <c r="C480" s="49" t="str">
        <f t="array" ref="C480">_xlfn.XLOOKUP(
 B480,
 tblTargets[TargetID],
 tblTargets[DisplayName],
 ""
)</f>
        <v>Station Lv 1</v>
      </c>
      <c r="D480" s="49" t="str">
        <f t="array" ref="D480">_xlfn.XLOOKUP(
 B480,
 tblTargets[TargetID],
 tblTargets[TargetType],
 ""
)</f>
        <v>BUILDING</v>
      </c>
      <c r="E480" s="49" t="s">
        <v>1055</v>
      </c>
      <c r="F480" s="49">
        <v>1.0</v>
      </c>
      <c r="G480" s="49">
        <f t="array" ref="G480">_xlfn.XLOOKUP(
 A480,
 tblCost[RequirementID],
 tblCost[QuantityRequired],
 ""
)</f>
        <v>20</v>
      </c>
      <c r="H480" s="49">
        <f t="array" ref="H480">IF(
 OR(
  LEFT(B480,15)="state.character",
  RIGHT(B480,6)=".maxed"
 ),
 0,
 LET(
  sort,
   _xlfn.XLOOKUP(
    B480,
    tblChecklist[TargetID],
    tblChecklist[PlayerSort],
    0
   ),
  IF(sort=0,500,sort)
 )
)</f>
        <v>69</v>
      </c>
      <c r="I480" s="49" t="str">
        <f t="array" ref="I480">_xlfn.XLOOKUP(
 B480,
 tblTargetStatus[TargetID],
 tblTargetStatus[Status],
 ""
)</f>
        <v>BLOCKED</v>
      </c>
      <c r="J480" s="45" t="b">
        <v>0</v>
      </c>
    </row>
    <row r="481" ht="14.25" hidden="1" customHeight="1">
      <c r="A481" s="49" t="s">
        <v>2080</v>
      </c>
      <c r="B481" s="49" t="str">
        <f>IFERROR(__xludf.DUMMYFUNCTION("REGEXREPLACE(
 REGEXREPLACE(A481,""^cost\."",""""),
 ""\.[^.]+\.[^.]+$"",
 """"
)"),"building.station@1")</f>
        <v>building.station@1</v>
      </c>
      <c r="C481" s="49" t="str">
        <f t="array" ref="C481">_xlfn.XLOOKUP(
 B481,
 tblTargets[TargetID],
 tblTargets[DisplayName],
 ""
)</f>
        <v>Station Lv 1</v>
      </c>
      <c r="D481" s="49" t="str">
        <f t="array" ref="D481">_xlfn.XLOOKUP(
 B481,
 tblTargets[TargetID],
 tblTargets[TargetType],
 ""
)</f>
        <v>BUILDING</v>
      </c>
      <c r="E481" s="49" t="s">
        <v>119</v>
      </c>
      <c r="F481" s="49">
        <v>1.0</v>
      </c>
      <c r="G481" s="49">
        <f t="array" ref="G481">_xlfn.XLOOKUP(
 A481,
 tblCost[RequirementID],
 tblCost[QuantityRequired],
 ""
)</f>
        <v>1000</v>
      </c>
      <c r="H481" s="49">
        <f t="array" ref="H481">IF(
 OR(
  LEFT(B481,15)="state.character",
  RIGHT(B481,6)=".maxed"
 ),
 0,
 LET(
  sort,
   _xlfn.XLOOKUP(
    B481,
    tblChecklist[TargetID],
    tblChecklist[PlayerSort],
    0
   ),
  IF(sort=0,500,sort)
 )
)</f>
        <v>69</v>
      </c>
      <c r="I481" s="49" t="str">
        <f t="array" ref="I481">_xlfn.XLOOKUP(
 B481,
 tblTargetStatus[TargetID],
 tblTargetStatus[Status],
 ""
)</f>
        <v>BLOCKED</v>
      </c>
      <c r="J481" s="45" t="b">
        <v>0</v>
      </c>
    </row>
    <row r="482" ht="14.25" hidden="1" customHeight="1">
      <c r="A482" s="49" t="s">
        <v>2081</v>
      </c>
      <c r="B482" s="49" t="str">
        <f>IFERROR(__xludf.DUMMYFUNCTION("REGEXREPLACE(
 REGEXREPLACE(A482,""^cost\."",""""),
 ""\.[^.]+\.[^.]+$"",
 """"
)"),"building.station@1")</f>
        <v>building.station@1</v>
      </c>
      <c r="C482" s="49" t="str">
        <f t="array" ref="C482">_xlfn.XLOOKUP(
 B482,
 tblTargets[TargetID],
 tblTargets[DisplayName],
 ""
)</f>
        <v>Station Lv 1</v>
      </c>
      <c r="D482" s="49" t="str">
        <f t="array" ref="D482">_xlfn.XLOOKUP(
 B482,
 tblTargets[TargetID],
 tblTargets[TargetType],
 ""
)</f>
        <v>BUILDING</v>
      </c>
      <c r="E482" s="49" t="s">
        <v>412</v>
      </c>
      <c r="F482" s="49">
        <v>1.0</v>
      </c>
      <c r="G482" s="49">
        <f t="array" ref="G482">_xlfn.XLOOKUP(
 A482,
 tblCost[RequirementID],
 tblCost[QuantityRequired],
 ""
)</f>
        <v>1</v>
      </c>
      <c r="H482" s="49">
        <f t="array" ref="H482">IF(
 OR(
  LEFT(B482,15)="state.character",
  RIGHT(B482,6)=".maxed"
 ),
 0,
 LET(
  sort,
   _xlfn.XLOOKUP(
    B482,
    tblChecklist[TargetID],
    tblChecklist[PlayerSort],
    0
   ),
  IF(sort=0,500,sort)
 )
)</f>
        <v>69</v>
      </c>
      <c r="I482" s="49" t="str">
        <f t="array" ref="I482">_xlfn.XLOOKUP(
 B482,
 tblTargetStatus[TargetID],
 tblTargetStatus[Status],
 ""
)</f>
        <v>BLOCKED</v>
      </c>
      <c r="J482" s="45" t="b">
        <v>0</v>
      </c>
    </row>
    <row r="483" ht="14.25" hidden="1" customHeight="1">
      <c r="A483" s="49" t="s">
        <v>2082</v>
      </c>
      <c r="B483" s="49" t="str">
        <f>IFERROR(__xludf.DUMMYFUNCTION("REGEXREPLACE(
 REGEXREPLACE(A483,""^cost\."",""""),
 ""\.[^.]+\.[^.]+$"",
 """"
)"),"building.station@1")</f>
        <v>building.station@1</v>
      </c>
      <c r="C483" s="49" t="str">
        <f t="array" ref="C483">_xlfn.XLOOKUP(
 B483,
 tblTargets[TargetID],
 tblTargets[DisplayName],
 ""
)</f>
        <v>Station Lv 1</v>
      </c>
      <c r="D483" s="49" t="str">
        <f t="array" ref="D483">_xlfn.XLOOKUP(
 B483,
 tblTargets[TargetID],
 tblTargets[TargetType],
 ""
)</f>
        <v>BUILDING</v>
      </c>
      <c r="E483" s="49" t="s">
        <v>2083</v>
      </c>
      <c r="F483" s="49">
        <v>1.0</v>
      </c>
      <c r="G483" s="49">
        <f t="array" ref="G483">_xlfn.XLOOKUP(
 A483,
 tblCost[RequirementID],
 tblCost[QuantityRequired],
 ""
)</f>
        <v>10</v>
      </c>
      <c r="H483" s="49">
        <f t="array" ref="H483">IF(
 OR(
  LEFT(B483,15)="state.character",
  RIGHT(B483,6)=".maxed"
 ),
 0,
 LET(
  sort,
   _xlfn.XLOOKUP(
    B483,
    tblChecklist[TargetID],
    tblChecklist[PlayerSort],
    0
   ),
  IF(sort=0,500,sort)
 )
)</f>
        <v>69</v>
      </c>
      <c r="I483" s="49" t="str">
        <f t="array" ref="I483">_xlfn.XLOOKUP(
 B483,
 tblTargetStatus[TargetID],
 tblTargetStatus[Status],
 ""
)</f>
        <v>BLOCKED</v>
      </c>
      <c r="J483" s="45" t="b">
        <v>0</v>
      </c>
    </row>
    <row r="484" ht="14.25" hidden="1" customHeight="1">
      <c r="A484" s="49" t="s">
        <v>2084</v>
      </c>
      <c r="B484" s="49" t="str">
        <f>IFERROR(__xludf.DUMMYFUNCTION("REGEXREPLACE(
 REGEXREPLACE(A484,""^cost\."",""""),
 ""\.[^.]+\.[^.]+$"",
 """"
)"),"building.station@1")</f>
        <v>building.station@1</v>
      </c>
      <c r="C484" s="49" t="str">
        <f t="array" ref="C484">_xlfn.XLOOKUP(
 B484,
 tblTargets[TargetID],
 tblTargets[DisplayName],
 ""
)</f>
        <v>Station Lv 1</v>
      </c>
      <c r="D484" s="49" t="str">
        <f t="array" ref="D484">_xlfn.XLOOKUP(
 B484,
 tblTargets[TargetID],
 tblTargets[TargetType],
 ""
)</f>
        <v>BUILDING</v>
      </c>
      <c r="E484" s="49" t="s">
        <v>187</v>
      </c>
      <c r="F484" s="49">
        <v>1.0</v>
      </c>
      <c r="G484" s="49">
        <f t="array" ref="G484">_xlfn.XLOOKUP(
 A484,
 tblCost[RequirementID],
 tblCost[QuantityRequired],
 ""
)</f>
        <v>800</v>
      </c>
      <c r="H484" s="49">
        <f t="array" ref="H484">IF(
 OR(
  LEFT(B484,15)="state.character",
  RIGHT(B484,6)=".maxed"
 ),
 0,
 LET(
  sort,
   _xlfn.XLOOKUP(
    B484,
    tblChecklist[TargetID],
    tblChecklist[PlayerSort],
    0
   ),
  IF(sort=0,500,sort)
 )
)</f>
        <v>69</v>
      </c>
      <c r="I484" s="49" t="str">
        <f t="array" ref="I484">_xlfn.XLOOKUP(
 B484,
 tblTargetStatus[TargetID],
 tblTargetStatus[Status],
 ""
)</f>
        <v>BLOCKED</v>
      </c>
      <c r="J484" s="45" t="b">
        <v>0</v>
      </c>
    </row>
    <row r="485" ht="14.25" hidden="1" customHeight="1">
      <c r="A485" s="49" t="s">
        <v>2085</v>
      </c>
      <c r="B485" s="49" t="str">
        <f>IFERROR(__xludf.DUMMYFUNCTION("REGEXREPLACE(
 REGEXREPLACE(A485,""^cost\."",""""),
 ""\.[^.]+\.[^.]+$"",
 """"
)"),"building.station@1")</f>
        <v>building.station@1</v>
      </c>
      <c r="C485" s="49" t="str">
        <f t="array" ref="C485">_xlfn.XLOOKUP(
 B485,
 tblTargets[TargetID],
 tblTargets[DisplayName],
 ""
)</f>
        <v>Station Lv 1</v>
      </c>
      <c r="D485" s="49" t="str">
        <f t="array" ref="D485">_xlfn.XLOOKUP(
 B485,
 tblTargets[TargetID],
 tblTargets[TargetType],
 ""
)</f>
        <v>BUILDING</v>
      </c>
      <c r="E485" s="49" t="s">
        <v>6</v>
      </c>
      <c r="F485" s="49">
        <v>1.0</v>
      </c>
      <c r="G485" s="49">
        <f t="array" ref="G485">_xlfn.XLOOKUP(
 A485,
 tblCost[RequirementID],
 tblCost[QuantityRequired],
 ""
)</f>
        <v>10</v>
      </c>
      <c r="H485" s="49">
        <f t="array" ref="H485">IF(
 OR(
  LEFT(B485,15)="state.character",
  RIGHT(B485,6)=".maxed"
 ),
 0,
 LET(
  sort,
   _xlfn.XLOOKUP(
    B485,
    tblChecklist[TargetID],
    tblChecklist[PlayerSort],
    0
   ),
  IF(sort=0,500,sort)
 )
)</f>
        <v>69</v>
      </c>
      <c r="I485" s="49" t="str">
        <f t="array" ref="I485">_xlfn.XLOOKUP(
 B485,
 tblTargetStatus[TargetID],
 tblTargetStatus[Status],
 ""
)</f>
        <v>BLOCKED</v>
      </c>
      <c r="J485" s="45" t="b">
        <v>0</v>
      </c>
    </row>
    <row r="486" ht="14.25" hidden="1" customHeight="1">
      <c r="A486" s="49" t="s">
        <v>2086</v>
      </c>
      <c r="B486" s="49" t="str">
        <f>IFERROR(__xludf.DUMMYFUNCTION("REGEXREPLACE(
 REGEXREPLACE(A486,""^cost\."",""""),
 ""\.[^.]+\.[^.]+$"",
 """"
)"),"building.station@1")</f>
        <v>building.station@1</v>
      </c>
      <c r="C486" s="49" t="str">
        <f t="array" ref="C486">_xlfn.XLOOKUP(
 B486,
 tblTargets[TargetID],
 tblTargets[DisplayName],
 ""
)</f>
        <v>Station Lv 1</v>
      </c>
      <c r="D486" s="49" t="str">
        <f t="array" ref="D486">_xlfn.XLOOKUP(
 B486,
 tblTargets[TargetID],
 tblTargets[TargetType],
 ""
)</f>
        <v>BUILDING</v>
      </c>
      <c r="E486" s="49" t="s">
        <v>392</v>
      </c>
      <c r="F486" s="49">
        <v>1.0</v>
      </c>
      <c r="G486" s="49">
        <f t="array" ref="G486">_xlfn.XLOOKUP(
 A486,
 tblCost[RequirementID],
 tblCost[QuantityRequired],
 ""
)</f>
        <v>1000</v>
      </c>
      <c r="H486" s="49">
        <f t="array" ref="H486">IF(
 OR(
  LEFT(B486,15)="state.character",
  RIGHT(B486,6)=".maxed"
 ),
 0,
 LET(
  sort,
   _xlfn.XLOOKUP(
    B486,
    tblChecklist[TargetID],
    tblChecklist[PlayerSort],
    0
   ),
  IF(sort=0,500,sort)
 )
)</f>
        <v>69</v>
      </c>
      <c r="I486" s="49" t="str">
        <f t="array" ref="I486">_xlfn.XLOOKUP(
 B486,
 tblTargetStatus[TargetID],
 tblTargetStatus[Status],
 ""
)</f>
        <v>BLOCKED</v>
      </c>
      <c r="J486" s="45" t="b">
        <v>0</v>
      </c>
    </row>
    <row r="487" ht="14.25" hidden="1" customHeight="1">
      <c r="A487" s="49" t="s">
        <v>2087</v>
      </c>
      <c r="B487" s="49" t="str">
        <f>IFERROR(__xludf.DUMMYFUNCTION("REGEXREPLACE(
 REGEXREPLACE(A487,""^cost\."",""""),
 ""\.[^.]+\.[^.]+$"",
 """"
)"),"building.station@1")</f>
        <v>building.station@1</v>
      </c>
      <c r="C487" s="49" t="str">
        <f t="array" ref="C487">_xlfn.XLOOKUP(
 B487,
 tblTargets[TargetID],
 tblTargets[DisplayName],
 ""
)</f>
        <v>Station Lv 1</v>
      </c>
      <c r="D487" s="49" t="str">
        <f t="array" ref="D487">_xlfn.XLOOKUP(
 B487,
 tblTargets[TargetID],
 tblTargets[TargetType],
 ""
)</f>
        <v>BUILDING</v>
      </c>
      <c r="E487" s="49" t="s">
        <v>237</v>
      </c>
      <c r="F487" s="49">
        <v>1.0</v>
      </c>
      <c r="G487" s="49">
        <f t="array" ref="G487">_xlfn.XLOOKUP(
 A487,
 tblCost[RequirementID],
 tblCost[QuantityRequired],
 ""
)</f>
        <v>500</v>
      </c>
      <c r="H487" s="49">
        <f t="array" ref="H487">IF(
 OR(
  LEFT(B487,15)="state.character",
  RIGHT(B487,6)=".maxed"
 ),
 0,
 LET(
  sort,
   _xlfn.XLOOKUP(
    B487,
    tblChecklist[TargetID],
    tblChecklist[PlayerSort],
    0
   ),
  IF(sort=0,500,sort)
 )
)</f>
        <v>69</v>
      </c>
      <c r="I487" s="49" t="str">
        <f t="array" ref="I487">_xlfn.XLOOKUP(
 B487,
 tblTargetStatus[TargetID],
 tblTargetStatus[Status],
 ""
)</f>
        <v>BLOCKED</v>
      </c>
      <c r="J487" s="45" t="b">
        <v>0</v>
      </c>
    </row>
    <row r="488" ht="14.25" hidden="1" customHeight="1">
      <c r="A488" s="49" t="s">
        <v>2088</v>
      </c>
      <c r="B488" s="49" t="str">
        <f>IFERROR(__xludf.DUMMYFUNCTION("REGEXREPLACE(
 REGEXREPLACE(A488,""^cost\."",""""),
 ""\.[^.]+\.[^.]+$"",
 """"
)"),"building.tailor@1")</f>
        <v>building.tailor@1</v>
      </c>
      <c r="C488" s="49" t="str">
        <f t="array" ref="C488">_xlfn.XLOOKUP(
 B488,
 tblTargets[TargetID],
 tblTargets[DisplayName],
 ""
)</f>
        <v>Tailor Lv 1</v>
      </c>
      <c r="D488" s="49" t="str">
        <f t="array" ref="D488">_xlfn.XLOOKUP(
 B488,
 tblTargets[TargetID],
 tblTargets[TargetType],
 ""
)</f>
        <v>BUILDING</v>
      </c>
      <c r="E488" s="49" t="s">
        <v>278</v>
      </c>
      <c r="F488" s="49">
        <v>1.0</v>
      </c>
      <c r="G488" s="49">
        <f t="array" ref="G488">_xlfn.XLOOKUP(
 A488,
 tblCost[RequirementID],
 tblCost[QuantityRequired],
 ""
)</f>
        <v>600</v>
      </c>
      <c r="H488" s="49">
        <f t="array" ref="H488">IF(
 OR(
  LEFT(B488,15)="state.character",
  RIGHT(B488,6)=".maxed"
 ),
 0,
 LET(
  sort,
   _xlfn.XLOOKUP(
    B488,
    tblChecklist[TargetID],
    tblChecklist[PlayerSort],
    0
   ),
  IF(sort=0,500,sort)
 )
)</f>
        <v>47</v>
      </c>
      <c r="I488" s="49" t="str">
        <f t="array" ref="I488">_xlfn.XLOOKUP(
 B488,
 tblTargetStatus[TargetID],
 tblTargetStatus[Status],
 ""
)</f>
        <v>BLOCKED</v>
      </c>
      <c r="J488" s="45" t="b">
        <v>0</v>
      </c>
    </row>
    <row r="489" ht="14.25" hidden="1" customHeight="1">
      <c r="A489" s="49" t="s">
        <v>2089</v>
      </c>
      <c r="B489" s="49" t="str">
        <f>IFERROR(__xludf.DUMMYFUNCTION("REGEXREPLACE(
 REGEXREPLACE(A489,""^cost\."",""""),
 ""\.[^.]+\.[^.]+$"",
 """"
)"),"building.tailor@1")</f>
        <v>building.tailor@1</v>
      </c>
      <c r="C489" s="49" t="str">
        <f t="array" ref="C489">_xlfn.XLOOKUP(
 B489,
 tblTargets[TargetID],
 tblTargets[DisplayName],
 ""
)</f>
        <v>Tailor Lv 1</v>
      </c>
      <c r="D489" s="49" t="str">
        <f t="array" ref="D489">_xlfn.XLOOKUP(
 B489,
 tblTargets[TargetID],
 tblTargets[TargetType],
 ""
)</f>
        <v>BUILDING</v>
      </c>
      <c r="E489" s="49" t="s">
        <v>119</v>
      </c>
      <c r="F489" s="49">
        <v>1.0</v>
      </c>
      <c r="G489" s="49">
        <f t="array" ref="G489">_xlfn.XLOOKUP(
 A489,
 tblCost[RequirementID],
 tblCost[QuantityRequired],
 ""
)</f>
        <v>600</v>
      </c>
      <c r="H489" s="49">
        <f t="array" ref="H489">IF(
 OR(
  LEFT(B489,15)="state.character",
  RIGHT(B489,6)=".maxed"
 ),
 0,
 LET(
  sort,
   _xlfn.XLOOKUP(
    B489,
    tblChecklist[TargetID],
    tblChecklist[PlayerSort],
    0
   ),
  IF(sort=0,500,sort)
 )
)</f>
        <v>47</v>
      </c>
      <c r="I489" s="49" t="str">
        <f t="array" ref="I489">_xlfn.XLOOKUP(
 B489,
 tblTargetStatus[TargetID],
 tblTargetStatus[Status],
 ""
)</f>
        <v>BLOCKED</v>
      </c>
      <c r="J489" s="45" t="b">
        <v>0</v>
      </c>
    </row>
    <row r="490" ht="14.25" hidden="1" customHeight="1">
      <c r="A490" s="49" t="s">
        <v>2090</v>
      </c>
      <c r="B490" s="49" t="str">
        <f>IFERROR(__xludf.DUMMYFUNCTION("REGEXREPLACE(
 REGEXREPLACE(A490,""^cost\."",""""),
 ""\.[^.]+\.[^.]+$"",
 """"
)"),"building.tailor@1")</f>
        <v>building.tailor@1</v>
      </c>
      <c r="C490" s="49" t="str">
        <f t="array" ref="C490">_xlfn.XLOOKUP(
 B490,
 tblTargets[TargetID],
 tblTargets[DisplayName],
 ""
)</f>
        <v>Tailor Lv 1</v>
      </c>
      <c r="D490" s="49" t="str">
        <f t="array" ref="D490">_xlfn.XLOOKUP(
 B490,
 tblTargets[TargetID],
 tblTargets[TargetType],
 ""
)</f>
        <v>BUILDING</v>
      </c>
      <c r="E490" s="49" t="s">
        <v>423</v>
      </c>
      <c r="F490" s="49">
        <v>1.0</v>
      </c>
      <c r="G490" s="49">
        <f t="array" ref="G490">_xlfn.XLOOKUP(
 A490,
 tblCost[RequirementID],
 tblCost[QuantityRequired],
 ""
)</f>
        <v>10</v>
      </c>
      <c r="H490" s="49">
        <f t="array" ref="H490">IF(
 OR(
  LEFT(B490,15)="state.character",
  RIGHT(B490,6)=".maxed"
 ),
 0,
 LET(
  sort,
   _xlfn.XLOOKUP(
    B490,
    tblChecklist[TargetID],
    tblChecklist[PlayerSort],
    0
   ),
  IF(sort=0,500,sort)
 )
)</f>
        <v>47</v>
      </c>
      <c r="I490" s="49" t="str">
        <f t="array" ref="I490">_xlfn.XLOOKUP(
 B490,
 tblTargetStatus[TargetID],
 tblTargetStatus[Status],
 ""
)</f>
        <v>BLOCKED</v>
      </c>
      <c r="J490" s="45" t="b">
        <v>0</v>
      </c>
    </row>
    <row r="491" ht="14.25" hidden="1" customHeight="1">
      <c r="A491" s="49" t="s">
        <v>2091</v>
      </c>
      <c r="B491" s="49" t="str">
        <f>IFERROR(__xludf.DUMMYFUNCTION("REGEXREPLACE(
 REGEXREPLACE(A491,""^cost\."",""""),
 ""\.[^.]+\.[^.]+$"",
 """"
)"),"building.tailor@1")</f>
        <v>building.tailor@1</v>
      </c>
      <c r="C491" s="49" t="str">
        <f t="array" ref="C491">_xlfn.XLOOKUP(
 B491,
 tblTargets[TargetID],
 tblTargets[DisplayName],
 ""
)</f>
        <v>Tailor Lv 1</v>
      </c>
      <c r="D491" s="49" t="str">
        <f t="array" ref="D491">_xlfn.XLOOKUP(
 B491,
 tblTargets[TargetID],
 tblTargets[TargetType],
 ""
)</f>
        <v>BUILDING</v>
      </c>
      <c r="E491" s="49" t="s">
        <v>6</v>
      </c>
      <c r="F491" s="49">
        <v>1.0</v>
      </c>
      <c r="G491" s="49">
        <f t="array" ref="G491">_xlfn.XLOOKUP(
 A491,
 tblCost[RequirementID],
 tblCost[QuantityRequired],
 ""
)</f>
        <v>4</v>
      </c>
      <c r="H491" s="49">
        <f t="array" ref="H491">IF(
 OR(
  LEFT(B491,15)="state.character",
  RIGHT(B491,6)=".maxed"
 ),
 0,
 LET(
  sort,
   _xlfn.XLOOKUP(
    B491,
    tblChecklist[TargetID],
    tblChecklist[PlayerSort],
    0
   ),
  IF(sort=0,500,sort)
 )
)</f>
        <v>47</v>
      </c>
      <c r="I491" s="49" t="str">
        <f t="array" ref="I491">_xlfn.XLOOKUP(
 B491,
 tblTargetStatus[TargetID],
 tblTargetStatus[Status],
 ""
)</f>
        <v>BLOCKED</v>
      </c>
      <c r="J491" s="45" t="b">
        <v>0</v>
      </c>
    </row>
    <row r="492" ht="14.25" hidden="1" customHeight="1">
      <c r="A492" s="49" t="s">
        <v>2092</v>
      </c>
      <c r="B492" s="49" t="str">
        <f>IFERROR(__xludf.DUMMYFUNCTION("REGEXREPLACE(
 REGEXREPLACE(A492,""^cost\."",""""),
 ""\.[^.]+\.[^.]+$"",
 """"
)"),"building.tailor@1")</f>
        <v>building.tailor@1</v>
      </c>
      <c r="C492" s="49" t="str">
        <f t="array" ref="C492">_xlfn.XLOOKUP(
 B492,
 tblTargets[TargetID],
 tblTargets[DisplayName],
 ""
)</f>
        <v>Tailor Lv 1</v>
      </c>
      <c r="D492" s="49" t="str">
        <f t="array" ref="D492">_xlfn.XLOOKUP(
 B492,
 tblTargets[TargetID],
 tblTargets[TargetType],
 ""
)</f>
        <v>BUILDING</v>
      </c>
      <c r="E492" s="49" t="s">
        <v>152</v>
      </c>
      <c r="F492" s="49">
        <v>1.0</v>
      </c>
      <c r="G492" s="49">
        <f t="array" ref="G492">_xlfn.XLOOKUP(
 A492,
 tblCost[RequirementID],
 tblCost[QuantityRequired],
 ""
)</f>
        <v>10</v>
      </c>
      <c r="H492" s="49">
        <f t="array" ref="H492">IF(
 OR(
  LEFT(B492,15)="state.character",
  RIGHT(B492,6)=".maxed"
 ),
 0,
 LET(
  sort,
   _xlfn.XLOOKUP(
    B492,
    tblChecklist[TargetID],
    tblChecklist[PlayerSort],
    0
   ),
  IF(sort=0,500,sort)
 )
)</f>
        <v>47</v>
      </c>
      <c r="I492" s="49" t="str">
        <f t="array" ref="I492">_xlfn.XLOOKUP(
 B492,
 tblTargetStatus[TargetID],
 tblTargetStatus[Status],
 ""
)</f>
        <v>BLOCKED</v>
      </c>
      <c r="J492" s="45" t="b">
        <v>0</v>
      </c>
    </row>
    <row r="493" ht="14.25" hidden="1" customHeight="1">
      <c r="A493" s="49" t="s">
        <v>2093</v>
      </c>
      <c r="B493" s="49" t="str">
        <f>IFERROR(__xludf.DUMMYFUNCTION("REGEXREPLACE(
 REGEXREPLACE(A493,""^cost\."",""""),
 ""\.[^.]+\.[^.]+$"",
 """"
)"),"building.tailor@1")</f>
        <v>building.tailor@1</v>
      </c>
      <c r="C493" s="49" t="str">
        <f t="array" ref="C493">_xlfn.XLOOKUP(
 B493,
 tblTargets[TargetID],
 tblTargets[DisplayName],
 ""
)</f>
        <v>Tailor Lv 1</v>
      </c>
      <c r="D493" s="49" t="str">
        <f t="array" ref="D493">_xlfn.XLOOKUP(
 B493,
 tblTargets[TargetID],
 tblTargets[TargetType],
 ""
)</f>
        <v>BUILDING</v>
      </c>
      <c r="E493" s="49" t="s">
        <v>237</v>
      </c>
      <c r="F493" s="49">
        <v>1.0</v>
      </c>
      <c r="G493" s="49">
        <f t="array" ref="G493">_xlfn.XLOOKUP(
 A493,
 tblCost[RequirementID],
 tblCost[QuantityRequired],
 ""
)</f>
        <v>300</v>
      </c>
      <c r="H493" s="49">
        <f t="array" ref="H493">IF(
 OR(
  LEFT(B493,15)="state.character",
  RIGHT(B493,6)=".maxed"
 ),
 0,
 LET(
  sort,
   _xlfn.XLOOKUP(
    B493,
    tblChecklist[TargetID],
    tblChecklist[PlayerSort],
    0
   ),
  IF(sort=0,500,sort)
 )
)</f>
        <v>47</v>
      </c>
      <c r="I493" s="49" t="str">
        <f t="array" ref="I493">_xlfn.XLOOKUP(
 B493,
 tblTargetStatus[TargetID],
 tblTargetStatus[Status],
 ""
)</f>
        <v>BLOCKED</v>
      </c>
      <c r="J493" s="45" t="b">
        <v>0</v>
      </c>
    </row>
    <row r="494" ht="14.25" hidden="1" customHeight="1">
      <c r="A494" s="49" t="s">
        <v>2094</v>
      </c>
      <c r="B494" s="49" t="str">
        <f>IFERROR(__xludf.DUMMYFUNCTION("REGEXREPLACE(
 REGEXREPLACE(A494,""^cost\."",""""),
 ""\.[^.]+\.[^.]+$"",
 """"
)"),"building.tailor@2")</f>
        <v>building.tailor@2</v>
      </c>
      <c r="C494" s="49" t="str">
        <f t="array" ref="C494">_xlfn.XLOOKUP(
 B494,
 tblTargets[TargetID],
 tblTargets[DisplayName],
 ""
)</f>
        <v>Tailor Lv 2</v>
      </c>
      <c r="D494" s="49" t="str">
        <f t="array" ref="D494">_xlfn.XLOOKUP(
 B494,
 tblTargets[TargetID],
 tblTargets[TargetType],
 ""
)</f>
        <v>BUILDING</v>
      </c>
      <c r="E494" s="49" t="s">
        <v>119</v>
      </c>
      <c r="F494" s="49">
        <v>1.0</v>
      </c>
      <c r="G494" s="49">
        <f t="array" ref="G494">_xlfn.XLOOKUP(
 A494,
 tblCost[RequirementID],
 tblCost[QuantityRequired],
 ""
)</f>
        <v>800</v>
      </c>
      <c r="H494" s="49">
        <f t="array" ref="H494">IF(
 OR(
  LEFT(B494,15)="state.character",
  RIGHT(B494,6)=".maxed"
 ),
 0,
 LET(
  sort,
   _xlfn.XLOOKUP(
    B494,
    tblChecklist[TargetID],
    tblChecklist[PlayerSort],
    0
   ),
  IF(sort=0,500,sort)
 )
)</f>
        <v>48</v>
      </c>
      <c r="I494" s="49" t="str">
        <f t="array" ref="I494">_xlfn.XLOOKUP(
 B494,
 tblTargetStatus[TargetID],
 tblTargetStatus[Status],
 ""
)</f>
        <v>BLOCKED</v>
      </c>
      <c r="J494" s="45" t="b">
        <v>0</v>
      </c>
    </row>
    <row r="495" ht="14.25" hidden="1" customHeight="1">
      <c r="A495" s="49" t="s">
        <v>2095</v>
      </c>
      <c r="B495" s="49" t="str">
        <f>IFERROR(__xludf.DUMMYFUNCTION("REGEXREPLACE(
 REGEXREPLACE(A495,""^cost\."",""""),
 ""\.[^.]+\.[^.]+$"",
 """"
)"),"building.tailor@2")</f>
        <v>building.tailor@2</v>
      </c>
      <c r="C495" s="49" t="str">
        <f t="array" ref="C495">_xlfn.XLOOKUP(
 B495,
 tblTargets[TargetID],
 tblTargets[DisplayName],
 ""
)</f>
        <v>Tailor Lv 2</v>
      </c>
      <c r="D495" s="49" t="str">
        <f t="array" ref="D495">_xlfn.XLOOKUP(
 B495,
 tblTargets[TargetID],
 tblTargets[TargetType],
 ""
)</f>
        <v>BUILDING</v>
      </c>
      <c r="E495" s="49" t="s">
        <v>360</v>
      </c>
      <c r="F495" s="49">
        <v>1.0</v>
      </c>
      <c r="G495" s="49">
        <f t="array" ref="G495">_xlfn.XLOOKUP(
 A495,
 tblCost[RequirementID],
 tblCost[QuantityRequired],
 ""
)</f>
        <v>20</v>
      </c>
      <c r="H495" s="49">
        <f t="array" ref="H495">IF(
 OR(
  LEFT(B495,15)="state.character",
  RIGHT(B495,6)=".maxed"
 ),
 0,
 LET(
  sort,
   _xlfn.XLOOKUP(
    B495,
    tblChecklist[TargetID],
    tblChecklist[PlayerSort],
    0
   ),
  IF(sort=0,500,sort)
 )
)</f>
        <v>48</v>
      </c>
      <c r="I495" s="49" t="str">
        <f t="array" ref="I495">_xlfn.XLOOKUP(
 B495,
 tblTargetStatus[TargetID],
 tblTargetStatus[Status],
 ""
)</f>
        <v>BLOCKED</v>
      </c>
      <c r="J495" s="45" t="b">
        <v>0</v>
      </c>
    </row>
    <row r="496" ht="14.25" hidden="1" customHeight="1">
      <c r="A496" s="49" t="s">
        <v>2096</v>
      </c>
      <c r="B496" s="49" t="str">
        <f>IFERROR(__xludf.DUMMYFUNCTION("REGEXREPLACE(
 REGEXREPLACE(A496,""^cost\."",""""),
 ""\.[^.]+\.[^.]+$"",
 """"
)"),"building.tailor@2")</f>
        <v>building.tailor@2</v>
      </c>
      <c r="C496" s="49" t="str">
        <f t="array" ref="C496">_xlfn.XLOOKUP(
 B496,
 tblTargets[TargetID],
 tblTargets[DisplayName],
 ""
)</f>
        <v>Tailor Lv 2</v>
      </c>
      <c r="D496" s="49" t="str">
        <f t="array" ref="D496">_xlfn.XLOOKUP(
 B496,
 tblTargets[TargetID],
 tblTargets[TargetType],
 ""
)</f>
        <v>BUILDING</v>
      </c>
      <c r="E496" s="49" t="s">
        <v>187</v>
      </c>
      <c r="F496" s="49">
        <v>1.0</v>
      </c>
      <c r="G496" s="49">
        <f t="array" ref="G496">_xlfn.XLOOKUP(
 A496,
 tblCost[RequirementID],
 tblCost[QuantityRequired],
 ""
)</f>
        <v>800</v>
      </c>
      <c r="H496" s="49">
        <f t="array" ref="H496">IF(
 OR(
  LEFT(B496,15)="state.character",
  RIGHT(B496,6)=".maxed"
 ),
 0,
 LET(
  sort,
   _xlfn.XLOOKUP(
    B496,
    tblChecklist[TargetID],
    tblChecklist[PlayerSort],
    0
   ),
  IF(sort=0,500,sort)
 )
)</f>
        <v>48</v>
      </c>
      <c r="I496" s="49" t="str">
        <f t="array" ref="I496">_xlfn.XLOOKUP(
 B496,
 tblTargetStatus[TargetID],
 tblTargetStatus[Status],
 ""
)</f>
        <v>BLOCKED</v>
      </c>
      <c r="J496" s="45" t="b">
        <v>0</v>
      </c>
    </row>
    <row r="497" ht="14.25" hidden="1" customHeight="1">
      <c r="A497" s="49" t="s">
        <v>2097</v>
      </c>
      <c r="B497" s="49" t="str">
        <f>IFERROR(__xludf.DUMMYFUNCTION("REGEXREPLACE(
 REGEXREPLACE(A497,""^cost\."",""""),
 ""\.[^.]+\.[^.]+$"",
 """"
)"),"building.tailor@2")</f>
        <v>building.tailor@2</v>
      </c>
      <c r="C497" s="49" t="str">
        <f t="array" ref="C497">_xlfn.XLOOKUP(
 B497,
 tblTargets[TargetID],
 tblTargets[DisplayName],
 ""
)</f>
        <v>Tailor Lv 2</v>
      </c>
      <c r="D497" s="49" t="str">
        <f t="array" ref="D497">_xlfn.XLOOKUP(
 B497,
 tblTargets[TargetID],
 tblTargets[TargetType],
 ""
)</f>
        <v>BUILDING</v>
      </c>
      <c r="E497" s="49" t="s">
        <v>6</v>
      </c>
      <c r="F497" s="49">
        <v>1.0</v>
      </c>
      <c r="G497" s="49">
        <f t="array" ref="G497">_xlfn.XLOOKUP(
 A497,
 tblCost[RequirementID],
 tblCost[QuantityRequired],
 ""
)</f>
        <v>6</v>
      </c>
      <c r="H497" s="49">
        <f t="array" ref="H497">IF(
 OR(
  LEFT(B497,15)="state.character",
  RIGHT(B497,6)=".maxed"
 ),
 0,
 LET(
  sort,
   _xlfn.XLOOKUP(
    B497,
    tblChecklist[TargetID],
    tblChecklist[PlayerSort],
    0
   ),
  IF(sort=0,500,sort)
 )
)</f>
        <v>48</v>
      </c>
      <c r="I497" s="49" t="str">
        <f t="array" ref="I497">_xlfn.XLOOKUP(
 B497,
 tblTargetStatus[TargetID],
 tblTargetStatus[Status],
 ""
)</f>
        <v>BLOCKED</v>
      </c>
      <c r="J497" s="45" t="b">
        <v>0</v>
      </c>
    </row>
    <row r="498" ht="14.25" hidden="1" customHeight="1">
      <c r="A498" s="49" t="s">
        <v>2098</v>
      </c>
      <c r="B498" s="49" t="str">
        <f>IFERROR(__xludf.DUMMYFUNCTION("REGEXREPLACE(
 REGEXREPLACE(A498,""^cost\."",""""),
 ""\.[^.]+\.[^.]+$"",
 """"
)"),"building.tailor@2")</f>
        <v>building.tailor@2</v>
      </c>
      <c r="C498" s="49" t="str">
        <f t="array" ref="C498">_xlfn.XLOOKUP(
 B498,
 tblTargets[TargetID],
 tblTargets[DisplayName],
 ""
)</f>
        <v>Tailor Lv 2</v>
      </c>
      <c r="D498" s="49" t="str">
        <f t="array" ref="D498">_xlfn.XLOOKUP(
 B498,
 tblTargets[TargetID],
 tblTargets[TargetType],
 ""
)</f>
        <v>BUILDING</v>
      </c>
      <c r="E498" s="49" t="s">
        <v>152</v>
      </c>
      <c r="F498" s="49">
        <v>1.0</v>
      </c>
      <c r="G498" s="49">
        <f t="array" ref="G498">_xlfn.XLOOKUP(
 A498,
 tblCost[RequirementID],
 tblCost[QuantityRequired],
 ""
)</f>
        <v>20</v>
      </c>
      <c r="H498" s="49">
        <f t="array" ref="H498">IF(
 OR(
  LEFT(B498,15)="state.character",
  RIGHT(B498,6)=".maxed"
 ),
 0,
 LET(
  sort,
   _xlfn.XLOOKUP(
    B498,
    tblChecklist[TargetID],
    tblChecklist[PlayerSort],
    0
   ),
  IF(sort=0,500,sort)
 )
)</f>
        <v>48</v>
      </c>
      <c r="I498" s="49" t="str">
        <f t="array" ref="I498">_xlfn.XLOOKUP(
 B498,
 tblTargetStatus[TargetID],
 tblTargetStatus[Status],
 ""
)</f>
        <v>BLOCKED</v>
      </c>
      <c r="J498" s="45" t="b">
        <v>0</v>
      </c>
    </row>
    <row r="499" ht="14.25" hidden="1" customHeight="1">
      <c r="A499" s="49" t="s">
        <v>2099</v>
      </c>
      <c r="B499" s="49" t="str">
        <f>IFERROR(__xludf.DUMMYFUNCTION("REGEXREPLACE(
 REGEXREPLACE(A499,""^cost\."",""""),
 ""\.[^.]+\.[^.]+$"",
 """"
)"),"building.tailor@2")</f>
        <v>building.tailor@2</v>
      </c>
      <c r="C499" s="49" t="str">
        <f t="array" ref="C499">_xlfn.XLOOKUP(
 B499,
 tblTargets[TargetID],
 tblTargets[DisplayName],
 ""
)</f>
        <v>Tailor Lv 2</v>
      </c>
      <c r="D499" s="49" t="str">
        <f t="array" ref="D499">_xlfn.XLOOKUP(
 B499,
 tblTargets[TargetID],
 tblTargets[TargetType],
 ""
)</f>
        <v>BUILDING</v>
      </c>
      <c r="E499" s="49" t="s">
        <v>237</v>
      </c>
      <c r="F499" s="49">
        <v>1.0</v>
      </c>
      <c r="G499" s="49">
        <f t="array" ref="G499">_xlfn.XLOOKUP(
 A499,
 tblCost[RequirementID],
 tblCost[QuantityRequired],
 ""
)</f>
        <v>400</v>
      </c>
      <c r="H499" s="49">
        <f t="array" ref="H499">IF(
 OR(
  LEFT(B499,15)="state.character",
  RIGHT(B499,6)=".maxed"
 ),
 0,
 LET(
  sort,
   _xlfn.XLOOKUP(
    B499,
    tblChecklist[TargetID],
    tblChecklist[PlayerSort],
    0
   ),
  IF(sort=0,500,sort)
 )
)</f>
        <v>48</v>
      </c>
      <c r="I499" s="49" t="str">
        <f t="array" ref="I499">_xlfn.XLOOKUP(
 B499,
 tblTargetStatus[TargetID],
 tblTargetStatus[Status],
 ""
)</f>
        <v>BLOCKED</v>
      </c>
      <c r="J499" s="45" t="b">
        <v>0</v>
      </c>
    </row>
    <row r="500" ht="14.25" hidden="1" customHeight="1">
      <c r="A500" s="49" t="s">
        <v>2100</v>
      </c>
      <c r="B500" s="49" t="str">
        <f>IFERROR(__xludf.DUMMYFUNCTION("REGEXREPLACE(
 REGEXREPLACE(A500,""^cost\."",""""),
 ""\.[^.]+\.[^.]+$"",
 """"
)"),"building.tailor@3")</f>
        <v>building.tailor@3</v>
      </c>
      <c r="C500" s="49" t="str">
        <f t="array" ref="C500">_xlfn.XLOOKUP(
 B500,
 tblTargets[TargetID],
 tblTargets[DisplayName],
 ""
)</f>
        <v>Tailor Lv 3</v>
      </c>
      <c r="D500" s="49" t="str">
        <f t="array" ref="D500">_xlfn.XLOOKUP(
 B500,
 tblTargets[TargetID],
 tblTargets[TargetType],
 ""
)</f>
        <v>BUILDING</v>
      </c>
      <c r="E500" s="49" t="s">
        <v>119</v>
      </c>
      <c r="F500" s="49">
        <v>1.0</v>
      </c>
      <c r="G500" s="49">
        <f t="array" ref="G500">_xlfn.XLOOKUP(
 A500,
 tblCost[RequirementID],
 tblCost[QuantityRequired],
 ""
)</f>
        <v>1000</v>
      </c>
      <c r="H500" s="49">
        <f t="array" ref="H500">IF(
 OR(
  LEFT(B500,15)="state.character",
  RIGHT(B500,6)=".maxed"
 ),
 0,
 LET(
  sort,
   _xlfn.XLOOKUP(
    B500,
    tblChecklist[TargetID],
    tblChecklist[PlayerSort],
    0
   ),
  IF(sort=0,500,sort)
 )
)</f>
        <v>49</v>
      </c>
      <c r="I500" s="49" t="str">
        <f t="array" ref="I500">_xlfn.XLOOKUP(
 B500,
 tblTargetStatus[TargetID],
 tblTargetStatus[Status],
 ""
)</f>
        <v>BLOCKED</v>
      </c>
      <c r="J500" s="45" t="b">
        <v>0</v>
      </c>
    </row>
    <row r="501" ht="14.25" hidden="1" customHeight="1">
      <c r="A501" s="49" t="s">
        <v>2101</v>
      </c>
      <c r="B501" s="49" t="str">
        <f>IFERROR(__xludf.DUMMYFUNCTION("REGEXREPLACE(
 REGEXREPLACE(A501,""^cost\."",""""),
 ""\.[^.]+\.[^.]+$"",
 """"
)"),"building.tailor@3")</f>
        <v>building.tailor@3</v>
      </c>
      <c r="C501" s="49" t="str">
        <f t="array" ref="C501">_xlfn.XLOOKUP(
 B501,
 tblTargets[TargetID],
 tblTargets[DisplayName],
 ""
)</f>
        <v>Tailor Lv 3</v>
      </c>
      <c r="D501" s="49" t="str">
        <f t="array" ref="D501">_xlfn.XLOOKUP(
 B501,
 tblTargets[TargetID],
 tblTargets[TargetType],
 ""
)</f>
        <v>BUILDING</v>
      </c>
      <c r="E501" s="49" t="s">
        <v>187</v>
      </c>
      <c r="F501" s="49">
        <v>1.0</v>
      </c>
      <c r="G501" s="49">
        <f t="array" ref="G501">_xlfn.XLOOKUP(
 A501,
 tblCost[RequirementID],
 tblCost[QuantityRequired],
 ""
)</f>
        <v>1000</v>
      </c>
      <c r="H501" s="49">
        <f t="array" ref="H501">IF(
 OR(
  LEFT(B501,15)="state.character",
  RIGHT(B501,6)=".maxed"
 ),
 0,
 LET(
  sort,
   _xlfn.XLOOKUP(
    B501,
    tblChecklist[TargetID],
    tblChecklist[PlayerSort],
    0
   ),
  IF(sort=0,500,sort)
 )
)</f>
        <v>49</v>
      </c>
      <c r="I501" s="49" t="str">
        <f t="array" ref="I501">_xlfn.XLOOKUP(
 B501,
 tblTargetStatus[TargetID],
 tblTargetStatus[Status],
 ""
)</f>
        <v>BLOCKED</v>
      </c>
      <c r="J501" s="45" t="b">
        <v>0</v>
      </c>
    </row>
    <row r="502" ht="14.25" hidden="1" customHeight="1">
      <c r="A502" s="49" t="s">
        <v>2102</v>
      </c>
      <c r="B502" s="49" t="str">
        <f>IFERROR(__xludf.DUMMYFUNCTION("REGEXREPLACE(
 REGEXREPLACE(A502,""^cost\."",""""),
 ""\.[^.]+\.[^.]+$"",
 """"
)"),"building.tailor@3")</f>
        <v>building.tailor@3</v>
      </c>
      <c r="C502" s="49" t="str">
        <f t="array" ref="C502">_xlfn.XLOOKUP(
 B502,
 tblTargets[TargetID],
 tblTargets[DisplayName],
 ""
)</f>
        <v>Tailor Lv 3</v>
      </c>
      <c r="D502" s="49" t="str">
        <f t="array" ref="D502">_xlfn.XLOOKUP(
 B502,
 tblTargets[TargetID],
 tblTargets[TargetType],
 ""
)</f>
        <v>BUILDING</v>
      </c>
      <c r="E502" s="49" t="s">
        <v>6</v>
      </c>
      <c r="F502" s="49">
        <v>1.0</v>
      </c>
      <c r="G502" s="49">
        <f t="array" ref="G502">_xlfn.XLOOKUP(
 A502,
 tblCost[RequirementID],
 tblCost[QuantityRequired],
 ""
)</f>
        <v>8</v>
      </c>
      <c r="H502" s="49">
        <f t="array" ref="H502">IF(
 OR(
  LEFT(B502,15)="state.character",
  RIGHT(B502,6)=".maxed"
 ),
 0,
 LET(
  sort,
   _xlfn.XLOOKUP(
    B502,
    tblChecklist[TargetID],
    tblChecklist[PlayerSort],
    0
   ),
  IF(sort=0,500,sort)
 )
)</f>
        <v>49</v>
      </c>
      <c r="I502" s="49" t="str">
        <f t="array" ref="I502">_xlfn.XLOOKUP(
 B502,
 tblTargetStatus[TargetID],
 tblTargetStatus[Status],
 ""
)</f>
        <v>BLOCKED</v>
      </c>
      <c r="J502" s="45" t="b">
        <v>0</v>
      </c>
    </row>
    <row r="503" ht="14.25" hidden="1" customHeight="1">
      <c r="A503" s="49" t="s">
        <v>2103</v>
      </c>
      <c r="B503" s="49" t="str">
        <f>IFERROR(__xludf.DUMMYFUNCTION("REGEXREPLACE(
 REGEXREPLACE(A503,""^cost\."",""""),
 ""\.[^.]+\.[^.]+$"",
 """"
)"),"building.tailor@3")</f>
        <v>building.tailor@3</v>
      </c>
      <c r="C503" s="49" t="str">
        <f t="array" ref="C503">_xlfn.XLOOKUP(
 B503,
 tblTargets[TargetID],
 tblTargets[DisplayName],
 ""
)</f>
        <v>Tailor Lv 3</v>
      </c>
      <c r="D503" s="49" t="str">
        <f t="array" ref="D503">_xlfn.XLOOKUP(
 B503,
 tblTargets[TargetID],
 tblTargets[TargetType],
 ""
)</f>
        <v>BUILDING</v>
      </c>
      <c r="E503" s="49" t="s">
        <v>152</v>
      </c>
      <c r="F503" s="49">
        <v>1.0</v>
      </c>
      <c r="G503" s="49">
        <f t="array" ref="G503">_xlfn.XLOOKUP(
 A503,
 tblCost[RequirementID],
 tblCost[QuantityRequired],
 ""
)</f>
        <v>30</v>
      </c>
      <c r="H503" s="49">
        <f t="array" ref="H503">IF(
 OR(
  LEFT(B503,15)="state.character",
  RIGHT(B503,6)=".maxed"
 ),
 0,
 LET(
  sort,
   _xlfn.XLOOKUP(
    B503,
    tblChecklist[TargetID],
    tblChecklist[PlayerSort],
    0
   ),
  IF(sort=0,500,sort)
 )
)</f>
        <v>49</v>
      </c>
      <c r="I503" s="49" t="str">
        <f t="array" ref="I503">_xlfn.XLOOKUP(
 B503,
 tblTargetStatus[TargetID],
 tblTargetStatus[Status],
 ""
)</f>
        <v>BLOCKED</v>
      </c>
      <c r="J503" s="45" t="b">
        <v>0</v>
      </c>
    </row>
    <row r="504" ht="14.25" hidden="1" customHeight="1">
      <c r="A504" s="49" t="s">
        <v>2104</v>
      </c>
      <c r="B504" s="49" t="str">
        <f>IFERROR(__xludf.DUMMYFUNCTION("REGEXREPLACE(
 REGEXREPLACE(A504,""^cost\."",""""),
 ""\.[^.]+\.[^.]+$"",
 """"
)"),"building.tailor@3")</f>
        <v>building.tailor@3</v>
      </c>
      <c r="C504" s="49" t="str">
        <f t="array" ref="C504">_xlfn.XLOOKUP(
 B504,
 tblTargets[TargetID],
 tblTargets[DisplayName],
 ""
)</f>
        <v>Tailor Lv 3</v>
      </c>
      <c r="D504" s="49" t="str">
        <f t="array" ref="D504">_xlfn.XLOOKUP(
 B504,
 tblTargets[TargetID],
 tblTargets[TargetType],
 ""
)</f>
        <v>BUILDING</v>
      </c>
      <c r="E504" s="49" t="s">
        <v>392</v>
      </c>
      <c r="F504" s="49">
        <v>1.0</v>
      </c>
      <c r="G504" s="49">
        <f t="array" ref="G504">_xlfn.XLOOKUP(
 A504,
 tblCost[RequirementID],
 tblCost[QuantityRequired],
 ""
)</f>
        <v>100</v>
      </c>
      <c r="H504" s="49">
        <f t="array" ref="H504">IF(
 OR(
  LEFT(B504,15)="state.character",
  RIGHT(B504,6)=".maxed"
 ),
 0,
 LET(
  sort,
   _xlfn.XLOOKUP(
    B504,
    tblChecklist[TargetID],
    tblChecklist[PlayerSort],
    0
   ),
  IF(sort=0,500,sort)
 )
)</f>
        <v>49</v>
      </c>
      <c r="I504" s="49" t="str">
        <f t="array" ref="I504">_xlfn.XLOOKUP(
 B504,
 tblTargetStatus[TargetID],
 tblTargetStatus[Status],
 ""
)</f>
        <v>BLOCKED</v>
      </c>
      <c r="J504" s="45" t="b">
        <v>0</v>
      </c>
    </row>
    <row r="505" ht="14.25" hidden="1" customHeight="1">
      <c r="A505" s="49" t="s">
        <v>2105</v>
      </c>
      <c r="B505" s="49" t="str">
        <f>IFERROR(__xludf.DUMMYFUNCTION("REGEXREPLACE(
 REGEXREPLACE(A505,""^cost\."",""""),
 ""\.[^.]+\.[^.]+$"",
 """"
)"),"building.tailor@3")</f>
        <v>building.tailor@3</v>
      </c>
      <c r="C505" s="49" t="str">
        <f t="array" ref="C505">_xlfn.XLOOKUP(
 B505,
 tblTargets[TargetID],
 tblTargets[DisplayName],
 ""
)</f>
        <v>Tailor Lv 3</v>
      </c>
      <c r="D505" s="49" t="str">
        <f t="array" ref="D505">_xlfn.XLOOKUP(
 B505,
 tblTargets[TargetID],
 tblTargets[TargetType],
 ""
)</f>
        <v>BUILDING</v>
      </c>
      <c r="E505" s="49" t="s">
        <v>237</v>
      </c>
      <c r="F505" s="49">
        <v>1.0</v>
      </c>
      <c r="G505" s="49">
        <f t="array" ref="G505">_xlfn.XLOOKUP(
 A505,
 tblCost[RequirementID],
 tblCost[QuantityRequired],
 ""
)</f>
        <v>500</v>
      </c>
      <c r="H505" s="49">
        <f t="array" ref="H505">IF(
 OR(
  LEFT(B505,15)="state.character",
  RIGHT(B505,6)=".maxed"
 ),
 0,
 LET(
  sort,
   _xlfn.XLOOKUP(
    B505,
    tblChecklist[TargetID],
    tblChecklist[PlayerSort],
    0
   ),
  IF(sort=0,500,sort)
 )
)</f>
        <v>49</v>
      </c>
      <c r="I505" s="49" t="str">
        <f t="array" ref="I505">_xlfn.XLOOKUP(
 B505,
 tblTargetStatus[TargetID],
 tblTargetStatus[Status],
 ""
)</f>
        <v>BLOCKED</v>
      </c>
      <c r="J505" s="45" t="b">
        <v>0</v>
      </c>
    </row>
    <row r="506" ht="14.25" hidden="1" customHeight="1">
      <c r="A506" s="49" t="s">
        <v>2106</v>
      </c>
      <c r="B506" s="49" t="str">
        <f>IFERROR(__xludf.DUMMYFUNCTION("REGEXREPLACE(
 REGEXREPLACE(A506,""^cost\."",""""),
 ""\.[^.]+\.[^.]+$"",
 """"
)"),"building.train_freight_carriage@1")</f>
        <v>building.train_freight_carriage@1</v>
      </c>
      <c r="C506" s="49" t="str">
        <f t="array" ref="C506">_xlfn.XLOOKUP(
 B506,
 tblTargets[TargetID],
 tblTargets[DisplayName],
 ""
)</f>
        <v>Train: Freight Carriage Lv 1</v>
      </c>
      <c r="D506" s="49" t="str">
        <f t="array" ref="D506">_xlfn.XLOOKUP(
 B506,
 tblTargets[TargetID],
 tblTargets[TargetType],
 ""
)</f>
        <v>BUILDING</v>
      </c>
      <c r="E506" s="49" t="s">
        <v>1055</v>
      </c>
      <c r="F506" s="49">
        <v>1.0</v>
      </c>
      <c r="G506" s="49">
        <f t="array" ref="G506">_xlfn.XLOOKUP(
 A506,
 tblCost[RequirementID],
 tblCost[QuantityRequired],
 ""
)</f>
        <v>15</v>
      </c>
      <c r="H506" s="49" t="str">
        <f t="array" ref="H506">IF(
 OR(
  LEFT(B506,15)="state.character",
  RIGHT(B506,6)=".maxed"
 ),
 0,
 LET(
  sort,
   _xlfn.XLOOKUP(
    B506,
    tblChecklist[TargetID],
    tblChecklist[PlayerSort],
    0
   ),
  IF(sort=0,500,sort)
 )
)</f>
        <v/>
      </c>
      <c r="I506" s="49" t="str">
        <f t="array" ref="I506">_xlfn.XLOOKUP(
 B506,
 tblTargetStatus[TargetID],
 tblTargetStatus[Status],
 ""
)</f>
        <v>BLOCKED</v>
      </c>
      <c r="J506" s="45" t="b">
        <v>0</v>
      </c>
    </row>
    <row r="507" ht="14.25" hidden="1" customHeight="1">
      <c r="A507" s="49" t="s">
        <v>2107</v>
      </c>
      <c r="B507" s="49" t="str">
        <f>IFERROR(__xludf.DUMMYFUNCTION("REGEXREPLACE(
 REGEXREPLACE(A507,""^cost\."",""""),
 ""\.[^.]+\.[^.]+$"",
 """"
)"),"building.train_freight_carriage@1")</f>
        <v>building.train_freight_carriage@1</v>
      </c>
      <c r="C507" s="49" t="str">
        <f t="array" ref="C507">_xlfn.XLOOKUP(
 B507,
 tblTargets[TargetID],
 tblTargets[DisplayName],
 ""
)</f>
        <v>Train: Freight Carriage Lv 1</v>
      </c>
      <c r="D507" s="49" t="str">
        <f t="array" ref="D507">_xlfn.XLOOKUP(
 B507,
 tblTargets[TargetID],
 tblTargets[TargetType],
 ""
)</f>
        <v>BUILDING</v>
      </c>
      <c r="E507" s="49" t="s">
        <v>119</v>
      </c>
      <c r="F507" s="49">
        <v>1.0</v>
      </c>
      <c r="G507" s="49">
        <f t="array" ref="G507">_xlfn.XLOOKUP(
 A507,
 tblCost[RequirementID],
 tblCost[QuantityRequired],
 ""
)</f>
        <v>500</v>
      </c>
      <c r="H507" s="49" t="str">
        <f t="array" ref="H507">IF(
 OR(
  LEFT(B507,15)="state.character",
  RIGHT(B507,6)=".maxed"
 ),
 0,
 LET(
  sort,
   _xlfn.XLOOKUP(
    B507,
    tblChecklist[TargetID],
    tblChecklist[PlayerSort],
    0
   ),
  IF(sort=0,500,sort)
 )
)</f>
        <v/>
      </c>
      <c r="I507" s="49" t="str">
        <f t="array" ref="I507">_xlfn.XLOOKUP(
 B507,
 tblTargetStatus[TargetID],
 tblTargetStatus[Status],
 ""
)</f>
        <v>BLOCKED</v>
      </c>
      <c r="J507" s="45" t="b">
        <v>0</v>
      </c>
    </row>
    <row r="508" ht="14.25" hidden="1" customHeight="1">
      <c r="A508" s="49" t="s">
        <v>2108</v>
      </c>
      <c r="B508" s="49" t="str">
        <f>IFERROR(__xludf.DUMMYFUNCTION("REGEXREPLACE(
 REGEXREPLACE(A508,""^cost\."",""""),
 ""\.[^.]+\.[^.]+$"",
 """"
)"),"building.train_freight_carriage@1")</f>
        <v>building.train_freight_carriage@1</v>
      </c>
      <c r="C508" s="49" t="str">
        <f t="array" ref="C508">_xlfn.XLOOKUP(
 B508,
 tblTargets[TargetID],
 tblTargets[DisplayName],
 ""
)</f>
        <v>Train: Freight Carriage Lv 1</v>
      </c>
      <c r="D508" s="49" t="str">
        <f t="array" ref="D508">_xlfn.XLOOKUP(
 B508,
 tblTargets[TargetID],
 tblTargets[TargetType],
 ""
)</f>
        <v>BUILDING</v>
      </c>
      <c r="E508" s="49" t="s">
        <v>1078</v>
      </c>
      <c r="F508" s="49">
        <v>1.0</v>
      </c>
      <c r="G508" s="49">
        <f t="array" ref="G508">_xlfn.XLOOKUP(
 A508,
 tblCost[RequirementID],
 tblCost[QuantityRequired],
 ""
)</f>
        <v>12</v>
      </c>
      <c r="H508" s="49" t="str">
        <f t="array" ref="H508">IF(
 OR(
  LEFT(B508,15)="state.character",
  RIGHT(B508,6)=".maxed"
 ),
 0,
 LET(
  sort,
   _xlfn.XLOOKUP(
    B508,
    tblChecklist[TargetID],
    tblChecklist[PlayerSort],
    0
   ),
  IF(sort=0,500,sort)
 )
)</f>
        <v/>
      </c>
      <c r="I508" s="49" t="str">
        <f t="array" ref="I508">_xlfn.XLOOKUP(
 B508,
 tblTargetStatus[TargetID],
 tblTargetStatus[Status],
 ""
)</f>
        <v>BLOCKED</v>
      </c>
      <c r="J508" s="45" t="b">
        <v>0</v>
      </c>
    </row>
    <row r="509" ht="14.25" hidden="1" customHeight="1">
      <c r="A509" s="49" t="s">
        <v>2109</v>
      </c>
      <c r="B509" s="49" t="str">
        <f>IFERROR(__xludf.DUMMYFUNCTION("REGEXREPLACE(
 REGEXREPLACE(A509,""^cost\."",""""),
 ""\.[^.]+\.[^.]+$"",
 """"
)"),"building.train_freight_carriage@1")</f>
        <v>building.train_freight_carriage@1</v>
      </c>
      <c r="C509" s="49" t="str">
        <f t="array" ref="C509">_xlfn.XLOOKUP(
 B509,
 tblTargets[TargetID],
 tblTargets[DisplayName],
 ""
)</f>
        <v>Train: Freight Carriage Lv 1</v>
      </c>
      <c r="D509" s="49" t="str">
        <f t="array" ref="D509">_xlfn.XLOOKUP(
 B509,
 tblTargets[TargetID],
 tblTargets[TargetType],
 ""
)</f>
        <v>BUILDING</v>
      </c>
      <c r="E509" s="49" t="s">
        <v>187</v>
      </c>
      <c r="F509" s="49">
        <v>1.0</v>
      </c>
      <c r="G509" s="49">
        <f t="array" ref="G509">_xlfn.XLOOKUP(
 A509,
 tblCost[RequirementID],
 tblCost[QuantityRequired],
 ""
)</f>
        <v>500</v>
      </c>
      <c r="H509" s="49" t="str">
        <f t="array" ref="H509">IF(
 OR(
  LEFT(B509,15)="state.character",
  RIGHT(B509,6)=".maxed"
 ),
 0,
 LET(
  sort,
   _xlfn.XLOOKUP(
    B509,
    tblChecklist[TargetID],
    tblChecklist[PlayerSort],
    0
   ),
  IF(sort=0,500,sort)
 )
)</f>
        <v/>
      </c>
      <c r="I509" s="49" t="str">
        <f t="array" ref="I509">_xlfn.XLOOKUP(
 B509,
 tblTargetStatus[TargetID],
 tblTargetStatus[Status],
 ""
)</f>
        <v>BLOCKED</v>
      </c>
      <c r="J509" s="45" t="b">
        <v>0</v>
      </c>
    </row>
    <row r="510" ht="14.25" hidden="1" customHeight="1">
      <c r="A510" s="49" t="s">
        <v>2110</v>
      </c>
      <c r="B510" s="49" t="str">
        <f>IFERROR(__xludf.DUMMYFUNCTION("REGEXREPLACE(
 REGEXREPLACE(A510,""^cost\."",""""),
 ""\.[^.]+\.[^.]+$"",
 """"
)"),"building.train_freight_carriage@1")</f>
        <v>building.train_freight_carriage@1</v>
      </c>
      <c r="C510" s="49" t="str">
        <f t="array" ref="C510">_xlfn.XLOOKUP(
 B510,
 tblTargets[TargetID],
 tblTargets[DisplayName],
 ""
)</f>
        <v>Train: Freight Carriage Lv 1</v>
      </c>
      <c r="D510" s="49" t="str">
        <f t="array" ref="D510">_xlfn.XLOOKUP(
 B510,
 tblTargets[TargetID],
 tblTargets[TargetType],
 ""
)</f>
        <v>BUILDING</v>
      </c>
      <c r="E510" s="49" t="s">
        <v>6</v>
      </c>
      <c r="F510" s="49">
        <v>1.0</v>
      </c>
      <c r="G510" s="49">
        <f t="array" ref="G510">_xlfn.XLOOKUP(
 A510,
 tblCost[RequirementID],
 tblCost[QuantityRequired],
 ""
)</f>
        <v>2</v>
      </c>
      <c r="H510" s="49" t="str">
        <f t="array" ref="H510">IF(
 OR(
  LEFT(B510,15)="state.character",
  RIGHT(B510,6)=".maxed"
 ),
 0,
 LET(
  sort,
   _xlfn.XLOOKUP(
    B510,
    tblChecklist[TargetID],
    tblChecklist[PlayerSort],
    0
   ),
  IF(sort=0,500,sort)
 )
)</f>
        <v/>
      </c>
      <c r="I510" s="49" t="str">
        <f t="array" ref="I510">_xlfn.XLOOKUP(
 B510,
 tblTargetStatus[TargetID],
 tblTargetStatus[Status],
 ""
)</f>
        <v>BLOCKED</v>
      </c>
      <c r="J510" s="45" t="b">
        <v>0</v>
      </c>
    </row>
    <row r="511" ht="14.25" hidden="1" customHeight="1">
      <c r="A511" s="49" t="s">
        <v>2111</v>
      </c>
      <c r="B511" s="49" t="str">
        <f>IFERROR(__xludf.DUMMYFUNCTION("REGEXREPLACE(
 REGEXREPLACE(A511,""^cost\."",""""),
 ""\.[^.]+\.[^.]+$"",
 """"
)"),"building.train_freight_carriage@1")</f>
        <v>building.train_freight_carriage@1</v>
      </c>
      <c r="C511" s="49" t="str">
        <f t="array" ref="C511">_xlfn.XLOOKUP(
 B511,
 tblTargets[TargetID],
 tblTargets[DisplayName],
 ""
)</f>
        <v>Train: Freight Carriage Lv 1</v>
      </c>
      <c r="D511" s="49" t="str">
        <f t="array" ref="D511">_xlfn.XLOOKUP(
 B511,
 tblTargets[TargetID],
 tblTargets[TargetType],
 ""
)</f>
        <v>BUILDING</v>
      </c>
      <c r="E511" s="49" t="s">
        <v>392</v>
      </c>
      <c r="F511" s="49">
        <v>1.0</v>
      </c>
      <c r="G511" s="49">
        <f t="array" ref="G511">_xlfn.XLOOKUP(
 A511,
 tblCost[RequirementID],
 tblCost[QuantityRequired],
 ""
)</f>
        <v>250</v>
      </c>
      <c r="H511" s="49" t="str">
        <f t="array" ref="H511">IF(
 OR(
  LEFT(B511,15)="state.character",
  RIGHT(B511,6)=".maxed"
 ),
 0,
 LET(
  sort,
   _xlfn.XLOOKUP(
    B511,
    tblChecklist[TargetID],
    tblChecklist[PlayerSort],
    0
   ),
  IF(sort=0,500,sort)
 )
)</f>
        <v/>
      </c>
      <c r="I511" s="49" t="str">
        <f t="array" ref="I511">_xlfn.XLOOKUP(
 B511,
 tblTargetStatus[TargetID],
 tblTargetStatus[Status],
 ""
)</f>
        <v>BLOCKED</v>
      </c>
      <c r="J511" s="45" t="b">
        <v>0</v>
      </c>
    </row>
    <row r="512" ht="14.25" hidden="1" customHeight="1">
      <c r="A512" s="49" t="s">
        <v>2112</v>
      </c>
      <c r="B512" s="49" t="str">
        <f>IFERROR(__xludf.DUMMYFUNCTION("REGEXREPLACE(
 REGEXREPLACE(A512,""^cost\."",""""),
 ""\.[^.]+\.[^.]+$"",
 """"
)"),"building.train_freight_carriage@2")</f>
        <v>building.train_freight_carriage@2</v>
      </c>
      <c r="C512" s="49" t="str">
        <f t="array" ref="C512">_xlfn.XLOOKUP(
 B512,
 tblTargets[TargetID],
 tblTargets[DisplayName],
 ""
)</f>
        <v>Train: Freight Carriage Lv 2</v>
      </c>
      <c r="D512" s="49" t="str">
        <f t="array" ref="D512">_xlfn.XLOOKUP(
 B512,
 tblTargets[TargetID],
 tblTargets[TargetType],
 ""
)</f>
        <v>BUILDING</v>
      </c>
      <c r="E512" s="49" t="s">
        <v>119</v>
      </c>
      <c r="F512" s="49">
        <v>1.0</v>
      </c>
      <c r="G512" s="49">
        <f t="array" ref="G512">_xlfn.XLOOKUP(
 A512,
 tblCost[RequirementID],
 tblCost[QuantityRequired],
 ""
)</f>
        <v>500</v>
      </c>
      <c r="H512" s="49" t="str">
        <f t="array" ref="H512">IF(
 OR(
  LEFT(B512,15)="state.character",
  RIGHT(B512,6)=".maxed"
 ),
 0,
 LET(
  sort,
   _xlfn.XLOOKUP(
    B512,
    tblChecklist[TargetID],
    tblChecklist[PlayerSort],
    0
   ),
  IF(sort=0,500,sort)
 )
)</f>
        <v/>
      </c>
      <c r="I512" s="49" t="str">
        <f t="array" ref="I512">_xlfn.XLOOKUP(
 B512,
 tblTargetStatus[TargetID],
 tblTargetStatus[Status],
 ""
)</f>
        <v>BLOCKED</v>
      </c>
      <c r="J512" s="45" t="b">
        <v>0</v>
      </c>
    </row>
    <row r="513" ht="14.25" hidden="1" customHeight="1">
      <c r="A513" s="49" t="s">
        <v>2113</v>
      </c>
      <c r="B513" s="49" t="str">
        <f>IFERROR(__xludf.DUMMYFUNCTION("REGEXREPLACE(
 REGEXREPLACE(A513,""^cost\."",""""),
 ""\.[^.]+\.[^.]+$"",
 """"
)"),"building.train_freight_carriage@2")</f>
        <v>building.train_freight_carriage@2</v>
      </c>
      <c r="C513" s="49" t="str">
        <f t="array" ref="C513">_xlfn.XLOOKUP(
 B513,
 tblTargets[TargetID],
 tblTargets[DisplayName],
 ""
)</f>
        <v>Train: Freight Carriage Lv 2</v>
      </c>
      <c r="D513" s="49" t="str">
        <f t="array" ref="D513">_xlfn.XLOOKUP(
 B513,
 tblTargets[TargetID],
 tblTargets[TargetType],
 ""
)</f>
        <v>BUILDING</v>
      </c>
      <c r="E513" s="49" t="s">
        <v>1078</v>
      </c>
      <c r="F513" s="49">
        <v>1.0</v>
      </c>
      <c r="G513" s="49">
        <f t="array" ref="G513">_xlfn.XLOOKUP(
 A513,
 tblCost[RequirementID],
 tblCost[QuantityRequired],
 ""
)</f>
        <v>12</v>
      </c>
      <c r="H513" s="49" t="str">
        <f t="array" ref="H513">IF(
 OR(
  LEFT(B513,15)="state.character",
  RIGHT(B513,6)=".maxed"
 ),
 0,
 LET(
  sort,
   _xlfn.XLOOKUP(
    B513,
    tblChecklist[TargetID],
    tblChecklist[PlayerSort],
    0
   ),
  IF(sort=0,500,sort)
 )
)</f>
        <v/>
      </c>
      <c r="I513" s="49" t="str">
        <f t="array" ref="I513">_xlfn.XLOOKUP(
 B513,
 tblTargetStatus[TargetID],
 tblTargetStatus[Status],
 ""
)</f>
        <v>BLOCKED</v>
      </c>
      <c r="J513" s="45" t="b">
        <v>0</v>
      </c>
    </row>
    <row r="514" ht="14.25" hidden="1" customHeight="1">
      <c r="A514" s="49" t="s">
        <v>2114</v>
      </c>
      <c r="B514" s="49" t="str">
        <f>IFERROR(__xludf.DUMMYFUNCTION("REGEXREPLACE(
 REGEXREPLACE(A514,""^cost\."",""""),
 ""\.[^.]+\.[^.]+$"",
 """"
)"),"building.train_freight_carriage@2")</f>
        <v>building.train_freight_carriage@2</v>
      </c>
      <c r="C514" s="49" t="str">
        <f t="array" ref="C514">_xlfn.XLOOKUP(
 B514,
 tblTargets[TargetID],
 tblTargets[DisplayName],
 ""
)</f>
        <v>Train: Freight Carriage Lv 2</v>
      </c>
      <c r="D514" s="49" t="str">
        <f t="array" ref="D514">_xlfn.XLOOKUP(
 B514,
 tblTargets[TargetID],
 tblTargets[TargetType],
 ""
)</f>
        <v>BUILDING</v>
      </c>
      <c r="E514" s="49" t="s">
        <v>187</v>
      </c>
      <c r="F514" s="49">
        <v>1.0</v>
      </c>
      <c r="G514" s="49">
        <f t="array" ref="G514">_xlfn.XLOOKUP(
 A514,
 tblCost[RequirementID],
 tblCost[QuantityRequired],
 ""
)</f>
        <v>500</v>
      </c>
      <c r="H514" s="49" t="str">
        <f t="array" ref="H514">IF(
 OR(
  LEFT(B514,15)="state.character",
  RIGHT(B514,6)=".maxed"
 ),
 0,
 LET(
  sort,
   _xlfn.XLOOKUP(
    B514,
    tblChecklist[TargetID],
    tblChecklist[PlayerSort],
    0
   ),
  IF(sort=0,500,sort)
 )
)</f>
        <v/>
      </c>
      <c r="I514" s="49" t="str">
        <f t="array" ref="I514">_xlfn.XLOOKUP(
 B514,
 tblTargetStatus[TargetID],
 tblTargetStatus[Status],
 ""
)</f>
        <v>BLOCKED</v>
      </c>
      <c r="J514" s="45" t="b">
        <v>0</v>
      </c>
    </row>
    <row r="515" ht="14.25" hidden="1" customHeight="1">
      <c r="A515" s="49" t="s">
        <v>2115</v>
      </c>
      <c r="B515" s="49" t="str">
        <f>IFERROR(__xludf.DUMMYFUNCTION("REGEXREPLACE(
 REGEXREPLACE(A515,""^cost\."",""""),
 ""\.[^.]+\.[^.]+$"",
 """"
)"),"building.train_freight_carriage@2")</f>
        <v>building.train_freight_carriage@2</v>
      </c>
      <c r="C515" s="49" t="str">
        <f t="array" ref="C515">_xlfn.XLOOKUP(
 B515,
 tblTargets[TargetID],
 tblTargets[DisplayName],
 ""
)</f>
        <v>Train: Freight Carriage Lv 2</v>
      </c>
      <c r="D515" s="49" t="str">
        <f t="array" ref="D515">_xlfn.XLOOKUP(
 B515,
 tblTargets[TargetID],
 tblTargets[TargetType],
 ""
)</f>
        <v>BUILDING</v>
      </c>
      <c r="E515" s="49" t="s">
        <v>6</v>
      </c>
      <c r="F515" s="49">
        <v>1.0</v>
      </c>
      <c r="G515" s="49">
        <f t="array" ref="G515">_xlfn.XLOOKUP(
 A515,
 tblCost[RequirementID],
 tblCost[QuantityRequired],
 ""
)</f>
        <v>2</v>
      </c>
      <c r="H515" s="49" t="str">
        <f t="array" ref="H515">IF(
 OR(
  LEFT(B515,15)="state.character",
  RIGHT(B515,6)=".maxed"
 ),
 0,
 LET(
  sort,
   _xlfn.XLOOKUP(
    B515,
    tblChecklist[TargetID],
    tblChecklist[PlayerSort],
    0
   ),
  IF(sort=0,500,sort)
 )
)</f>
        <v/>
      </c>
      <c r="I515" s="49" t="str">
        <f t="array" ref="I515">_xlfn.XLOOKUP(
 B515,
 tblTargetStatus[TargetID],
 tblTargetStatus[Status],
 ""
)</f>
        <v>BLOCKED</v>
      </c>
      <c r="J515" s="45" t="b">
        <v>0</v>
      </c>
    </row>
    <row r="516" ht="14.25" hidden="1" customHeight="1">
      <c r="A516" s="49" t="s">
        <v>2116</v>
      </c>
      <c r="B516" s="49" t="str">
        <f>IFERROR(__xludf.DUMMYFUNCTION("REGEXREPLACE(
 REGEXREPLACE(A516,""^cost\."",""""),
 ""\.[^.]+\.[^.]+$"",
 """"
)"),"building.train_freight_carriage@2")</f>
        <v>building.train_freight_carriage@2</v>
      </c>
      <c r="C516" s="49" t="str">
        <f t="array" ref="C516">_xlfn.XLOOKUP(
 B516,
 tblTargets[TargetID],
 tblTargets[DisplayName],
 ""
)</f>
        <v>Train: Freight Carriage Lv 2</v>
      </c>
      <c r="D516" s="49" t="str">
        <f t="array" ref="D516">_xlfn.XLOOKUP(
 B516,
 tblTargets[TargetID],
 tblTargets[TargetType],
 ""
)</f>
        <v>BUILDING</v>
      </c>
      <c r="E516" s="49" t="s">
        <v>392</v>
      </c>
      <c r="F516" s="49">
        <v>1.0</v>
      </c>
      <c r="G516" s="49">
        <f t="array" ref="G516">_xlfn.XLOOKUP(
 A516,
 tblCost[RequirementID],
 tblCost[QuantityRequired],
 ""
)</f>
        <v>250</v>
      </c>
      <c r="H516" s="49" t="str">
        <f t="array" ref="H516">IF(
 OR(
  LEFT(B516,15)="state.character",
  RIGHT(B516,6)=".maxed"
 ),
 0,
 LET(
  sort,
   _xlfn.XLOOKUP(
    B516,
    tblChecklist[TargetID],
    tblChecklist[PlayerSort],
    0
   ),
  IF(sort=0,500,sort)
 )
)</f>
        <v/>
      </c>
      <c r="I516" s="49" t="str">
        <f t="array" ref="I516">_xlfn.XLOOKUP(
 B516,
 tblTargetStatus[TargetID],
 tblTargetStatus[Status],
 ""
)</f>
        <v>BLOCKED</v>
      </c>
      <c r="J516" s="45" t="b">
        <v>0</v>
      </c>
    </row>
    <row r="517" ht="14.25" hidden="1" customHeight="1">
      <c r="A517" s="49" t="s">
        <v>2117</v>
      </c>
      <c r="B517" s="49" t="str">
        <f>IFERROR(__xludf.DUMMYFUNCTION("REGEXREPLACE(
 REGEXREPLACE(A517,""^cost\."",""""),
 ""\.[^.]+\.[^.]+$"",
 """"
)"),"building.train_passenger_carriage@1")</f>
        <v>building.train_passenger_carriage@1</v>
      </c>
      <c r="C517" s="49" t="str">
        <f t="array" ref="C517">_xlfn.XLOOKUP(
 B517,
 tblTargets[TargetID],
 tblTargets[DisplayName],
 ""
)</f>
        <v>Train: Passenger Carriage Lv 1</v>
      </c>
      <c r="D517" s="49" t="str">
        <f t="array" ref="D517">_xlfn.XLOOKUP(
 B517,
 tblTargets[TargetID],
 tblTargets[TargetType],
 ""
)</f>
        <v>BUILDING</v>
      </c>
      <c r="E517" s="49" t="s">
        <v>1055</v>
      </c>
      <c r="F517" s="49">
        <v>1.0</v>
      </c>
      <c r="G517" s="49">
        <f t="array" ref="G517">_xlfn.XLOOKUP(
 A517,
 tblCost[RequirementID],
 tblCost[QuantityRequired],
 ""
)</f>
        <v>15</v>
      </c>
      <c r="H517" s="49" t="str">
        <f t="array" ref="H517">IF(
 OR(
  LEFT(B517,15)="state.character",
  RIGHT(B517,6)=".maxed"
 ),
 0,
 LET(
  sort,
   _xlfn.XLOOKUP(
    B517,
    tblChecklist[TargetID],
    tblChecklist[PlayerSort],
    0
   ),
  IF(sort=0,500,sort)
 )
)</f>
        <v/>
      </c>
      <c r="I517" s="49" t="str">
        <f t="array" ref="I517">_xlfn.XLOOKUP(
 B517,
 tblTargetStatus[TargetID],
 tblTargetStatus[Status],
 ""
)</f>
        <v>BLOCKED</v>
      </c>
      <c r="J517" s="45" t="b">
        <v>0</v>
      </c>
    </row>
    <row r="518" ht="14.25" hidden="1" customHeight="1">
      <c r="A518" s="49" t="s">
        <v>2118</v>
      </c>
      <c r="B518" s="49" t="str">
        <f>IFERROR(__xludf.DUMMYFUNCTION("REGEXREPLACE(
 REGEXREPLACE(A518,""^cost\."",""""),
 ""\.[^.]+\.[^.]+$"",
 """"
)"),"building.train_passenger_carriage@1")</f>
        <v>building.train_passenger_carriage@1</v>
      </c>
      <c r="C518" s="49" t="str">
        <f t="array" ref="C518">_xlfn.XLOOKUP(
 B518,
 tblTargets[TargetID],
 tblTargets[DisplayName],
 ""
)</f>
        <v>Train: Passenger Carriage Lv 1</v>
      </c>
      <c r="D518" s="49" t="str">
        <f t="array" ref="D518">_xlfn.XLOOKUP(
 B518,
 tblTargets[TargetID],
 tblTargets[TargetType],
 ""
)</f>
        <v>BUILDING</v>
      </c>
      <c r="E518" s="49" t="s">
        <v>119</v>
      </c>
      <c r="F518" s="49">
        <v>1.0</v>
      </c>
      <c r="G518" s="49">
        <f t="array" ref="G518">_xlfn.XLOOKUP(
 A518,
 tblCost[RequirementID],
 tblCost[QuantityRequired],
 ""
)</f>
        <v>500</v>
      </c>
      <c r="H518" s="49" t="str">
        <f t="array" ref="H518">IF(
 OR(
  LEFT(B518,15)="state.character",
  RIGHT(B518,6)=".maxed"
 ),
 0,
 LET(
  sort,
   _xlfn.XLOOKUP(
    B518,
    tblChecklist[TargetID],
    tblChecklist[PlayerSort],
    0
   ),
  IF(sort=0,500,sort)
 )
)</f>
        <v/>
      </c>
      <c r="I518" s="49" t="str">
        <f t="array" ref="I518">_xlfn.XLOOKUP(
 B518,
 tblTargetStatus[TargetID],
 tblTargetStatus[Status],
 ""
)</f>
        <v>BLOCKED</v>
      </c>
      <c r="J518" s="45" t="b">
        <v>0</v>
      </c>
    </row>
    <row r="519" ht="14.25" hidden="1" customHeight="1">
      <c r="A519" s="49" t="s">
        <v>2119</v>
      </c>
      <c r="B519" s="49" t="str">
        <f>IFERROR(__xludf.DUMMYFUNCTION("REGEXREPLACE(
 REGEXREPLACE(A519,""^cost\."",""""),
 ""\.[^.]+\.[^.]+$"",
 """"
)"),"building.train_passenger_carriage@1")</f>
        <v>building.train_passenger_carriage@1</v>
      </c>
      <c r="C519" s="49" t="str">
        <f t="array" ref="C519">_xlfn.XLOOKUP(
 B519,
 tblTargets[TargetID],
 tblTargets[DisplayName],
 ""
)</f>
        <v>Train: Passenger Carriage Lv 1</v>
      </c>
      <c r="D519" s="49" t="str">
        <f t="array" ref="D519">_xlfn.XLOOKUP(
 B519,
 tblTargets[TargetID],
 tblTargets[TargetType],
 ""
)</f>
        <v>BUILDING</v>
      </c>
      <c r="E519" s="49" t="s">
        <v>360</v>
      </c>
      <c r="F519" s="49">
        <v>1.0</v>
      </c>
      <c r="G519" s="49">
        <f t="array" ref="G519">_xlfn.XLOOKUP(
 A519,
 tblCost[RequirementID],
 tblCost[QuantityRequired],
 ""
)</f>
        <v>12</v>
      </c>
      <c r="H519" s="49" t="str">
        <f t="array" ref="H519">IF(
 OR(
  LEFT(B519,15)="state.character",
  RIGHT(B519,6)=".maxed"
 ),
 0,
 LET(
  sort,
   _xlfn.XLOOKUP(
    B519,
    tblChecklist[TargetID],
    tblChecklist[PlayerSort],
    0
   ),
  IF(sort=0,500,sort)
 )
)</f>
        <v/>
      </c>
      <c r="I519" s="49" t="str">
        <f t="array" ref="I519">_xlfn.XLOOKUP(
 B519,
 tblTargetStatus[TargetID],
 tblTargetStatus[Status],
 ""
)</f>
        <v>BLOCKED</v>
      </c>
      <c r="J519" s="45" t="b">
        <v>0</v>
      </c>
    </row>
    <row r="520" ht="14.25" hidden="1" customHeight="1">
      <c r="A520" s="49" t="s">
        <v>2120</v>
      </c>
      <c r="B520" s="49" t="str">
        <f>IFERROR(__xludf.DUMMYFUNCTION("REGEXREPLACE(
 REGEXREPLACE(A520,""^cost\."",""""),
 ""\.[^.]+\.[^.]+$"",
 """"
)"),"building.train_passenger_carriage@1")</f>
        <v>building.train_passenger_carriage@1</v>
      </c>
      <c r="C520" s="49" t="str">
        <f t="array" ref="C520">_xlfn.XLOOKUP(
 B520,
 tblTargets[TargetID],
 tblTargets[DisplayName],
 ""
)</f>
        <v>Train: Passenger Carriage Lv 1</v>
      </c>
      <c r="D520" s="49" t="str">
        <f t="array" ref="D520">_xlfn.XLOOKUP(
 B520,
 tblTargets[TargetID],
 tblTargets[TargetType],
 ""
)</f>
        <v>BUILDING</v>
      </c>
      <c r="E520" s="49" t="s">
        <v>1078</v>
      </c>
      <c r="F520" s="49">
        <v>1.0</v>
      </c>
      <c r="G520" s="49">
        <f t="array" ref="G520">_xlfn.XLOOKUP(
 A520,
 tblCost[RequirementID],
 tblCost[QuantityRequired],
 ""
)</f>
        <v>12</v>
      </c>
      <c r="H520" s="49" t="str">
        <f t="array" ref="H520">IF(
 OR(
  LEFT(B520,15)="state.character",
  RIGHT(B520,6)=".maxed"
 ),
 0,
 LET(
  sort,
   _xlfn.XLOOKUP(
    B520,
    tblChecklist[TargetID],
    tblChecklist[PlayerSort],
    0
   ),
  IF(sort=0,500,sort)
 )
)</f>
        <v/>
      </c>
      <c r="I520" s="49" t="str">
        <f t="array" ref="I520">_xlfn.XLOOKUP(
 B520,
 tblTargetStatus[TargetID],
 tblTargetStatus[Status],
 ""
)</f>
        <v>BLOCKED</v>
      </c>
      <c r="J520" s="45" t="b">
        <v>0</v>
      </c>
    </row>
    <row r="521" ht="14.25" hidden="1" customHeight="1">
      <c r="A521" s="49" t="s">
        <v>2121</v>
      </c>
      <c r="B521" s="49" t="str">
        <f>IFERROR(__xludf.DUMMYFUNCTION("REGEXREPLACE(
 REGEXREPLACE(A521,""^cost\."",""""),
 ""\.[^.]+\.[^.]+$"",
 """"
)"),"building.train_passenger_carriage@1")</f>
        <v>building.train_passenger_carriage@1</v>
      </c>
      <c r="C521" s="49" t="str">
        <f t="array" ref="C521">_xlfn.XLOOKUP(
 B521,
 tblTargets[TargetID],
 tblTargets[DisplayName],
 ""
)</f>
        <v>Train: Passenger Carriage Lv 1</v>
      </c>
      <c r="D521" s="49" t="str">
        <f t="array" ref="D521">_xlfn.XLOOKUP(
 B521,
 tblTargets[TargetID],
 tblTargets[TargetType],
 ""
)</f>
        <v>BUILDING</v>
      </c>
      <c r="E521" s="49" t="s">
        <v>187</v>
      </c>
      <c r="F521" s="49">
        <v>1.0</v>
      </c>
      <c r="G521" s="49">
        <f t="array" ref="G521">_xlfn.XLOOKUP(
 A521,
 tblCost[RequirementID],
 tblCost[QuantityRequired],
 ""
)</f>
        <v>600</v>
      </c>
      <c r="H521" s="49" t="str">
        <f t="array" ref="H521">IF(
 OR(
  LEFT(B521,15)="state.character",
  RIGHT(B521,6)=".maxed"
 ),
 0,
 LET(
  sort,
   _xlfn.XLOOKUP(
    B521,
    tblChecklist[TargetID],
    tblChecklist[PlayerSort],
    0
   ),
  IF(sort=0,500,sort)
 )
)</f>
        <v/>
      </c>
      <c r="I521" s="49" t="str">
        <f t="array" ref="I521">_xlfn.XLOOKUP(
 B521,
 tblTargetStatus[TargetID],
 tblTargetStatus[Status],
 ""
)</f>
        <v>BLOCKED</v>
      </c>
      <c r="J521" s="45" t="b">
        <v>0</v>
      </c>
    </row>
    <row r="522" ht="14.25" hidden="1" customHeight="1">
      <c r="A522" s="49" t="s">
        <v>2122</v>
      </c>
      <c r="B522" s="49" t="str">
        <f>IFERROR(__xludf.DUMMYFUNCTION("REGEXREPLACE(
 REGEXREPLACE(A522,""^cost\."",""""),
 ""\.[^.]+\.[^.]+$"",
 """"
)"),"building.train_passenger_carriage@1")</f>
        <v>building.train_passenger_carriage@1</v>
      </c>
      <c r="C522" s="49" t="str">
        <f t="array" ref="C522">_xlfn.XLOOKUP(
 B522,
 tblTargets[TargetID],
 tblTargets[DisplayName],
 ""
)</f>
        <v>Train: Passenger Carriage Lv 1</v>
      </c>
      <c r="D522" s="49" t="str">
        <f t="array" ref="D522">_xlfn.XLOOKUP(
 B522,
 tblTargets[TargetID],
 tblTargets[TargetType],
 ""
)</f>
        <v>BUILDING</v>
      </c>
      <c r="E522" s="49" t="s">
        <v>6</v>
      </c>
      <c r="F522" s="49">
        <v>1.0</v>
      </c>
      <c r="G522" s="49">
        <f t="array" ref="G522">_xlfn.XLOOKUP(
 A522,
 tblCost[RequirementID],
 tblCost[QuantityRequired],
 ""
)</f>
        <v>2</v>
      </c>
      <c r="H522" s="49" t="str">
        <f t="array" ref="H522">IF(
 OR(
  LEFT(B522,15)="state.character",
  RIGHT(B522,6)=".maxed"
 ),
 0,
 LET(
  sort,
   _xlfn.XLOOKUP(
    B522,
    tblChecklist[TargetID],
    tblChecklist[PlayerSort],
    0
   ),
  IF(sort=0,500,sort)
 )
)</f>
        <v/>
      </c>
      <c r="I522" s="49" t="str">
        <f t="array" ref="I522">_xlfn.XLOOKUP(
 B522,
 tblTargetStatus[TargetID],
 tblTargetStatus[Status],
 ""
)</f>
        <v>BLOCKED</v>
      </c>
      <c r="J522" s="45" t="b">
        <v>0</v>
      </c>
    </row>
    <row r="523" ht="14.25" hidden="1" customHeight="1">
      <c r="A523" s="49" t="s">
        <v>2123</v>
      </c>
      <c r="B523" s="49" t="str">
        <f>IFERROR(__xludf.DUMMYFUNCTION("REGEXREPLACE(
 REGEXREPLACE(A523,""^cost\."",""""),
 ""\.[^.]+\.[^.]+$"",
 """"
)"),"building.train_passenger_carriage@1")</f>
        <v>building.train_passenger_carriage@1</v>
      </c>
      <c r="C523" s="49" t="str">
        <f t="array" ref="C523">_xlfn.XLOOKUP(
 B523,
 tblTargets[TargetID],
 tblTargets[DisplayName],
 ""
)</f>
        <v>Train: Passenger Carriage Lv 1</v>
      </c>
      <c r="D523" s="49" t="str">
        <f t="array" ref="D523">_xlfn.XLOOKUP(
 B523,
 tblTargets[TargetID],
 tblTargets[TargetType],
 ""
)</f>
        <v>BUILDING</v>
      </c>
      <c r="E523" s="49" t="s">
        <v>392</v>
      </c>
      <c r="F523" s="49">
        <v>1.0</v>
      </c>
      <c r="G523" s="49">
        <f t="array" ref="G523">_xlfn.XLOOKUP(
 A523,
 tblCost[RequirementID],
 tblCost[QuantityRequired],
 ""
)</f>
        <v>200</v>
      </c>
      <c r="H523" s="49" t="str">
        <f t="array" ref="H523">IF(
 OR(
  LEFT(B523,15)="state.character",
  RIGHT(B523,6)=".maxed"
 ),
 0,
 LET(
  sort,
   _xlfn.XLOOKUP(
    B523,
    tblChecklist[TargetID],
    tblChecklist[PlayerSort],
    0
   ),
  IF(sort=0,500,sort)
 )
)</f>
        <v/>
      </c>
      <c r="I523" s="49" t="str">
        <f t="array" ref="I523">_xlfn.XLOOKUP(
 B523,
 tblTargetStatus[TargetID],
 tblTargetStatus[Status],
 ""
)</f>
        <v>BLOCKED</v>
      </c>
      <c r="J523" s="45" t="b">
        <v>0</v>
      </c>
    </row>
    <row r="524" ht="14.25" hidden="1" customHeight="1">
      <c r="A524" s="49" t="s">
        <v>2124</v>
      </c>
      <c r="B524" s="49" t="str">
        <f>IFERROR(__xludf.DUMMYFUNCTION("REGEXREPLACE(
 REGEXREPLACE(A524,""^cost\."",""""),
 ""\.[^.]+\.[^.]+$"",
 """"
)"),"building.train_passenger_carriage@2")</f>
        <v>building.train_passenger_carriage@2</v>
      </c>
      <c r="C524" s="49" t="str">
        <f t="array" ref="C524">_xlfn.XLOOKUP(
 B524,
 tblTargets[TargetID],
 tblTargets[DisplayName],
 ""
)</f>
        <v>Train: Passenger Carriage Lv 2</v>
      </c>
      <c r="D524" s="49" t="str">
        <f t="array" ref="D524">_xlfn.XLOOKUP(
 B524,
 tblTargets[TargetID],
 tblTargets[TargetType],
 ""
)</f>
        <v>BUILDING</v>
      </c>
      <c r="E524" s="49" t="s">
        <v>119</v>
      </c>
      <c r="F524" s="49">
        <v>1.0</v>
      </c>
      <c r="G524" s="49">
        <f t="array" ref="G524">_xlfn.XLOOKUP(
 A524,
 tblCost[RequirementID],
 tblCost[QuantityRequired],
 ""
)</f>
        <v>500</v>
      </c>
      <c r="H524" s="49" t="str">
        <f t="array" ref="H524">IF(
 OR(
  LEFT(B524,15)="state.character",
  RIGHT(B524,6)=".maxed"
 ),
 0,
 LET(
  sort,
   _xlfn.XLOOKUP(
    B524,
    tblChecklist[TargetID],
    tblChecklist[PlayerSort],
    0
   ),
  IF(sort=0,500,sort)
 )
)</f>
        <v/>
      </c>
      <c r="I524" s="49" t="str">
        <f t="array" ref="I524">_xlfn.XLOOKUP(
 B524,
 tblTargetStatus[TargetID],
 tblTargetStatus[Status],
 ""
)</f>
        <v>BLOCKED</v>
      </c>
      <c r="J524" s="45" t="b">
        <v>0</v>
      </c>
    </row>
    <row r="525" ht="14.25" hidden="1" customHeight="1">
      <c r="A525" s="49" t="s">
        <v>2125</v>
      </c>
      <c r="B525" s="49" t="str">
        <f>IFERROR(__xludf.DUMMYFUNCTION("REGEXREPLACE(
 REGEXREPLACE(A525,""^cost\."",""""),
 ""\.[^.]+\.[^.]+$"",
 """"
)"),"building.train_passenger_carriage@2")</f>
        <v>building.train_passenger_carriage@2</v>
      </c>
      <c r="C525" s="49" t="str">
        <f t="array" ref="C525">_xlfn.XLOOKUP(
 B525,
 tblTargets[TargetID],
 tblTargets[DisplayName],
 ""
)</f>
        <v>Train: Passenger Carriage Lv 2</v>
      </c>
      <c r="D525" s="49" t="str">
        <f t="array" ref="D525">_xlfn.XLOOKUP(
 B525,
 tblTargets[TargetID],
 tblTargets[TargetType],
 ""
)</f>
        <v>BUILDING</v>
      </c>
      <c r="E525" s="49" t="s">
        <v>360</v>
      </c>
      <c r="F525" s="49">
        <v>1.0</v>
      </c>
      <c r="G525" s="49">
        <f t="array" ref="G525">_xlfn.XLOOKUP(
 A525,
 tblCost[RequirementID],
 tblCost[QuantityRequired],
 ""
)</f>
        <v>12</v>
      </c>
      <c r="H525" s="49" t="str">
        <f t="array" ref="H525">IF(
 OR(
  LEFT(B525,15)="state.character",
  RIGHT(B525,6)=".maxed"
 ),
 0,
 LET(
  sort,
   _xlfn.XLOOKUP(
    B525,
    tblChecklist[TargetID],
    tblChecklist[PlayerSort],
    0
   ),
  IF(sort=0,500,sort)
 )
)</f>
        <v/>
      </c>
      <c r="I525" s="49" t="str">
        <f t="array" ref="I525">_xlfn.XLOOKUP(
 B525,
 tblTargetStatus[TargetID],
 tblTargetStatus[Status],
 ""
)</f>
        <v>BLOCKED</v>
      </c>
      <c r="J525" s="45" t="b">
        <v>0</v>
      </c>
    </row>
    <row r="526" ht="14.25" hidden="1" customHeight="1">
      <c r="A526" s="49" t="s">
        <v>2126</v>
      </c>
      <c r="B526" s="49" t="str">
        <f>IFERROR(__xludf.DUMMYFUNCTION("REGEXREPLACE(
 REGEXREPLACE(A526,""^cost\."",""""),
 ""\.[^.]+\.[^.]+$"",
 """"
)"),"building.train_passenger_carriage@2")</f>
        <v>building.train_passenger_carriage@2</v>
      </c>
      <c r="C526" s="49" t="str">
        <f t="array" ref="C526">_xlfn.XLOOKUP(
 B526,
 tblTargets[TargetID],
 tblTargets[DisplayName],
 ""
)</f>
        <v>Train: Passenger Carriage Lv 2</v>
      </c>
      <c r="D526" s="49" t="str">
        <f t="array" ref="D526">_xlfn.XLOOKUP(
 B526,
 tblTargets[TargetID],
 tblTargets[TargetType],
 ""
)</f>
        <v>BUILDING</v>
      </c>
      <c r="E526" s="49" t="s">
        <v>1078</v>
      </c>
      <c r="F526" s="49">
        <v>1.0</v>
      </c>
      <c r="G526" s="49">
        <f t="array" ref="G526">_xlfn.XLOOKUP(
 A526,
 tblCost[RequirementID],
 tblCost[QuantityRequired],
 ""
)</f>
        <v>12</v>
      </c>
      <c r="H526" s="49" t="str">
        <f t="array" ref="H526">IF(
 OR(
  LEFT(B526,15)="state.character",
  RIGHT(B526,6)=".maxed"
 ),
 0,
 LET(
  sort,
   _xlfn.XLOOKUP(
    B526,
    tblChecklist[TargetID],
    tblChecklist[PlayerSort],
    0
   ),
  IF(sort=0,500,sort)
 )
)</f>
        <v/>
      </c>
      <c r="I526" s="49" t="str">
        <f t="array" ref="I526">_xlfn.XLOOKUP(
 B526,
 tblTargetStatus[TargetID],
 tblTargetStatus[Status],
 ""
)</f>
        <v>BLOCKED</v>
      </c>
      <c r="J526" s="45" t="b">
        <v>0</v>
      </c>
    </row>
    <row r="527" ht="14.25" hidden="1" customHeight="1">
      <c r="A527" s="49" t="s">
        <v>2127</v>
      </c>
      <c r="B527" s="49" t="str">
        <f>IFERROR(__xludf.DUMMYFUNCTION("REGEXREPLACE(
 REGEXREPLACE(A527,""^cost\."",""""),
 ""\.[^.]+\.[^.]+$"",
 """"
)"),"building.train_passenger_carriage@2")</f>
        <v>building.train_passenger_carriage@2</v>
      </c>
      <c r="C527" s="49" t="str">
        <f t="array" ref="C527">_xlfn.XLOOKUP(
 B527,
 tblTargets[TargetID],
 tblTargets[DisplayName],
 ""
)</f>
        <v>Train: Passenger Carriage Lv 2</v>
      </c>
      <c r="D527" s="49" t="str">
        <f t="array" ref="D527">_xlfn.XLOOKUP(
 B527,
 tblTargets[TargetID],
 tblTargets[TargetType],
 ""
)</f>
        <v>BUILDING</v>
      </c>
      <c r="E527" s="49" t="s">
        <v>187</v>
      </c>
      <c r="F527" s="49">
        <v>1.0</v>
      </c>
      <c r="G527" s="49">
        <f t="array" ref="G527">_xlfn.XLOOKUP(
 A527,
 tblCost[RequirementID],
 tblCost[QuantityRequired],
 ""
)</f>
        <v>600</v>
      </c>
      <c r="H527" s="49" t="str">
        <f t="array" ref="H527">IF(
 OR(
  LEFT(B527,15)="state.character",
  RIGHT(B527,6)=".maxed"
 ),
 0,
 LET(
  sort,
   _xlfn.XLOOKUP(
    B527,
    tblChecklist[TargetID],
    tblChecklist[PlayerSort],
    0
   ),
  IF(sort=0,500,sort)
 )
)</f>
        <v/>
      </c>
      <c r="I527" s="49" t="str">
        <f t="array" ref="I527">_xlfn.XLOOKUP(
 B527,
 tblTargetStatus[TargetID],
 tblTargetStatus[Status],
 ""
)</f>
        <v>BLOCKED</v>
      </c>
      <c r="J527" s="45" t="b">
        <v>0</v>
      </c>
    </row>
    <row r="528" ht="14.25" hidden="1" customHeight="1">
      <c r="A528" s="49" t="s">
        <v>2128</v>
      </c>
      <c r="B528" s="49" t="str">
        <f>IFERROR(__xludf.DUMMYFUNCTION("REGEXREPLACE(
 REGEXREPLACE(A528,""^cost\."",""""),
 ""\.[^.]+\.[^.]+$"",
 """"
)"),"building.train_passenger_carriage@2")</f>
        <v>building.train_passenger_carriage@2</v>
      </c>
      <c r="C528" s="49" t="str">
        <f t="array" ref="C528">_xlfn.XLOOKUP(
 B528,
 tblTargets[TargetID],
 tblTargets[DisplayName],
 ""
)</f>
        <v>Train: Passenger Carriage Lv 2</v>
      </c>
      <c r="D528" s="49" t="str">
        <f t="array" ref="D528">_xlfn.XLOOKUP(
 B528,
 tblTargets[TargetID],
 tblTargets[TargetType],
 ""
)</f>
        <v>BUILDING</v>
      </c>
      <c r="E528" s="49" t="s">
        <v>6</v>
      </c>
      <c r="F528" s="49">
        <v>1.0</v>
      </c>
      <c r="G528" s="49">
        <f t="array" ref="G528">_xlfn.XLOOKUP(
 A528,
 tblCost[RequirementID],
 tblCost[QuantityRequired],
 ""
)</f>
        <v>2</v>
      </c>
      <c r="H528" s="49" t="str">
        <f t="array" ref="H528">IF(
 OR(
  LEFT(B528,15)="state.character",
  RIGHT(B528,6)=".maxed"
 ),
 0,
 LET(
  sort,
   _xlfn.XLOOKUP(
    B528,
    tblChecklist[TargetID],
    tblChecklist[PlayerSort],
    0
   ),
  IF(sort=0,500,sort)
 )
)</f>
        <v/>
      </c>
      <c r="I528" s="49" t="str">
        <f t="array" ref="I528">_xlfn.XLOOKUP(
 B528,
 tblTargetStatus[TargetID],
 tblTargetStatus[Status],
 ""
)</f>
        <v>BLOCKED</v>
      </c>
      <c r="J528" s="45" t="b">
        <v>0</v>
      </c>
    </row>
    <row r="529" ht="14.25" hidden="1" customHeight="1">
      <c r="A529" s="49" t="s">
        <v>2129</v>
      </c>
      <c r="B529" s="49" t="str">
        <f>IFERROR(__xludf.DUMMYFUNCTION("REGEXREPLACE(
 REGEXREPLACE(A529,""^cost\."",""""),
 ""\.[^.]+\.[^.]+$"",
 """"
)"),"building.train_passenger_carriage@2")</f>
        <v>building.train_passenger_carriage@2</v>
      </c>
      <c r="C529" s="49" t="str">
        <f t="array" ref="C529">_xlfn.XLOOKUP(
 B529,
 tblTargets[TargetID],
 tblTargets[DisplayName],
 ""
)</f>
        <v>Train: Passenger Carriage Lv 2</v>
      </c>
      <c r="D529" s="49" t="str">
        <f t="array" ref="D529">_xlfn.XLOOKUP(
 B529,
 tblTargets[TargetID],
 tblTargets[TargetType],
 ""
)</f>
        <v>BUILDING</v>
      </c>
      <c r="E529" s="49" t="s">
        <v>392</v>
      </c>
      <c r="F529" s="49">
        <v>1.0</v>
      </c>
      <c r="G529" s="49">
        <f t="array" ref="G529">_xlfn.XLOOKUP(
 A529,
 tblCost[RequirementID],
 tblCost[QuantityRequired],
 ""
)</f>
        <v>200</v>
      </c>
      <c r="H529" s="49" t="str">
        <f t="array" ref="H529">IF(
 OR(
  LEFT(B529,15)="state.character",
  RIGHT(B529,6)=".maxed"
 ),
 0,
 LET(
  sort,
   _xlfn.XLOOKUP(
    B529,
    tblChecklist[TargetID],
    tblChecklist[PlayerSort],
    0
   ),
  IF(sort=0,500,sort)
 )
)</f>
        <v/>
      </c>
      <c r="I529" s="49" t="str">
        <f t="array" ref="I529">_xlfn.XLOOKUP(
 B529,
 tblTargetStatus[TargetID],
 tblTargetStatus[Status],
 ""
)</f>
        <v>BLOCKED</v>
      </c>
      <c r="J529" s="45" t="b">
        <v>0</v>
      </c>
    </row>
    <row r="530" ht="14.25" hidden="1" customHeight="1">
      <c r="A530" s="49" t="s">
        <v>2130</v>
      </c>
      <c r="B530" s="49" t="str">
        <f>IFERROR(__xludf.DUMMYFUNCTION("REGEXREPLACE(
 REGEXREPLACE(A530,""^cost\."",""""),
 ""\.[^.]+\.[^.]+$"",
 """"
)"),"building.train@1")</f>
        <v>building.train@1</v>
      </c>
      <c r="C530" s="49" t="str">
        <f t="array" ref="C530">_xlfn.XLOOKUP(
 B530,
 tblTargets[TargetID],
 tblTargets[DisplayName],
 ""
)</f>
        <v>Train Lv 1</v>
      </c>
      <c r="D530" s="49" t="str">
        <f t="array" ref="D530">_xlfn.XLOOKUP(
 B530,
 tblTargets[TargetID],
 tblTargets[TargetType],
 ""
)</f>
        <v>BUILDING</v>
      </c>
      <c r="E530" s="49" t="s">
        <v>1055</v>
      </c>
      <c r="F530" s="49">
        <v>1.0</v>
      </c>
      <c r="G530" s="49">
        <f t="array" ref="G530">_xlfn.XLOOKUP(
 A530,
 tblCost[RequirementID],
 tblCost[QuantityRequired],
 ""
)</f>
        <v>100</v>
      </c>
      <c r="H530" s="49">
        <f t="array" ref="H530">IF(
 OR(
  LEFT(B530,15)="state.character",
  RIGHT(B530,6)=".maxed"
 ),
 0,
 LET(
  sort,
   _xlfn.XLOOKUP(
    B530,
    tblChecklist[TargetID],
    tblChecklist[PlayerSort],
    0
   ),
  IF(sort=0,500,sort)
 )
)</f>
        <v>70</v>
      </c>
      <c r="I530" s="49" t="str">
        <f t="array" ref="I530">_xlfn.XLOOKUP(
 B530,
 tblTargetStatus[TargetID],
 tblTargetStatus[Status],
 ""
)</f>
        <v>BLOCKED</v>
      </c>
      <c r="J530" s="45" t="b">
        <v>0</v>
      </c>
    </row>
    <row r="531" ht="14.25" hidden="1" customHeight="1">
      <c r="A531" s="49" t="s">
        <v>2131</v>
      </c>
      <c r="B531" s="49" t="str">
        <f>IFERROR(__xludf.DUMMYFUNCTION("REGEXREPLACE(
 REGEXREPLACE(A531,""^cost\."",""""),
 ""\.[^.]+\.[^.]+$"",
 """"
)"),"building.train@1")</f>
        <v>building.train@1</v>
      </c>
      <c r="C531" s="49" t="str">
        <f t="array" ref="C531">_xlfn.XLOOKUP(
 B531,
 tblTargets[TargetID],
 tblTargets[DisplayName],
 ""
)</f>
        <v>Train Lv 1</v>
      </c>
      <c r="D531" s="49" t="str">
        <f t="array" ref="D531">_xlfn.XLOOKUP(
 B531,
 tblTargets[TargetID],
 tblTargets[TargetType],
 ""
)</f>
        <v>BUILDING</v>
      </c>
      <c r="E531" s="49" t="s">
        <v>119</v>
      </c>
      <c r="F531" s="49">
        <v>1.0</v>
      </c>
      <c r="G531" s="49">
        <f t="array" ref="G531">_xlfn.XLOOKUP(
 A531,
 tblCost[RequirementID],
 tblCost[QuantityRequired],
 ""
)</f>
        <v>2000</v>
      </c>
      <c r="H531" s="49">
        <f t="array" ref="H531">IF(
 OR(
  LEFT(B531,15)="state.character",
  RIGHT(B531,6)=".maxed"
 ),
 0,
 LET(
  sort,
   _xlfn.XLOOKUP(
    B531,
    tblChecklist[TargetID],
    tblChecklist[PlayerSort],
    0
   ),
  IF(sort=0,500,sort)
 )
)</f>
        <v>70</v>
      </c>
      <c r="I531" s="49" t="str">
        <f t="array" ref="I531">_xlfn.XLOOKUP(
 B531,
 tblTargetStatus[TargetID],
 tblTargetStatus[Status],
 ""
)</f>
        <v>BLOCKED</v>
      </c>
      <c r="J531" s="45" t="b">
        <v>0</v>
      </c>
    </row>
    <row r="532" ht="14.25" hidden="1" customHeight="1">
      <c r="A532" s="49" t="s">
        <v>2132</v>
      </c>
      <c r="B532" s="49" t="str">
        <f>IFERROR(__xludf.DUMMYFUNCTION("REGEXREPLACE(
 REGEXREPLACE(A532,""^cost\."",""""),
 ""\.[^.]+\.[^.]+$"",
 """"
)"),"building.train@1")</f>
        <v>building.train@1</v>
      </c>
      <c r="C532" s="49" t="str">
        <f t="array" ref="C532">_xlfn.XLOOKUP(
 B532,
 tblTargets[TargetID],
 tblTargets[DisplayName],
 ""
)</f>
        <v>Train Lv 1</v>
      </c>
      <c r="D532" s="49" t="str">
        <f t="array" ref="D532">_xlfn.XLOOKUP(
 B532,
 tblTargets[TargetID],
 tblTargets[TargetType],
 ""
)</f>
        <v>BUILDING</v>
      </c>
      <c r="E532" s="49" t="s">
        <v>360</v>
      </c>
      <c r="F532" s="49">
        <v>1.0</v>
      </c>
      <c r="G532" s="49">
        <f t="array" ref="G532">_xlfn.XLOOKUP(
 A532,
 tblCost[RequirementID],
 tblCost[QuantityRequired],
 ""
)</f>
        <v>10</v>
      </c>
      <c r="H532" s="49">
        <f t="array" ref="H532">IF(
 OR(
  LEFT(B532,15)="state.character",
  RIGHT(B532,6)=".maxed"
 ),
 0,
 LET(
  sort,
   _xlfn.XLOOKUP(
    B532,
    tblChecklist[TargetID],
    tblChecklist[PlayerSort],
    0
   ),
  IF(sort=0,500,sort)
 )
)</f>
        <v>70</v>
      </c>
      <c r="I532" s="49" t="str">
        <f t="array" ref="I532">_xlfn.XLOOKUP(
 B532,
 tblTargetStatus[TargetID],
 tblTargetStatus[Status],
 ""
)</f>
        <v>BLOCKED</v>
      </c>
      <c r="J532" s="45" t="b">
        <v>0</v>
      </c>
    </row>
    <row r="533" ht="14.25" hidden="1" customHeight="1">
      <c r="A533" s="49" t="s">
        <v>2133</v>
      </c>
      <c r="B533" s="49" t="str">
        <f>IFERROR(__xludf.DUMMYFUNCTION("REGEXREPLACE(
 REGEXREPLACE(A533,""^cost\."",""""),
 ""\.[^.]+\.[^.]+$"",
 """"
)"),"building.train@1")</f>
        <v>building.train@1</v>
      </c>
      <c r="C533" s="49" t="str">
        <f t="array" ref="C533">_xlfn.XLOOKUP(
 B533,
 tblTargets[TargetID],
 tblTargets[DisplayName],
 ""
)</f>
        <v>Train Lv 1</v>
      </c>
      <c r="D533" s="49" t="str">
        <f t="array" ref="D533">_xlfn.XLOOKUP(
 B533,
 tblTargets[TargetID],
 tblTargets[TargetType],
 ""
)</f>
        <v>BUILDING</v>
      </c>
      <c r="E533" s="49" t="s">
        <v>1078</v>
      </c>
      <c r="F533" s="49">
        <v>1.0</v>
      </c>
      <c r="G533" s="49">
        <f t="array" ref="G533">_xlfn.XLOOKUP(
 A533,
 tblCost[RequirementID],
 tblCost[QuantityRequired],
 ""
)</f>
        <v>80</v>
      </c>
      <c r="H533" s="49">
        <f t="array" ref="H533">IF(
 OR(
  LEFT(B533,15)="state.character",
  RIGHT(B533,6)=".maxed"
 ),
 0,
 LET(
  sort,
   _xlfn.XLOOKUP(
    B533,
    tblChecklist[TargetID],
    tblChecklist[PlayerSort],
    0
   ),
  IF(sort=0,500,sort)
 )
)</f>
        <v>70</v>
      </c>
      <c r="I533" s="49" t="str">
        <f t="array" ref="I533">_xlfn.XLOOKUP(
 B533,
 tblTargetStatus[TargetID],
 tblTargetStatus[Status],
 ""
)</f>
        <v>BLOCKED</v>
      </c>
      <c r="J533" s="45" t="b">
        <v>0</v>
      </c>
    </row>
    <row r="534" ht="14.25" hidden="1" customHeight="1">
      <c r="A534" s="49" t="s">
        <v>2134</v>
      </c>
      <c r="B534" s="49" t="str">
        <f>IFERROR(__xludf.DUMMYFUNCTION("REGEXREPLACE(
 REGEXREPLACE(A534,""^cost\."",""""),
 ""\.[^.]+\.[^.]+$"",
 """"
)"),"building.train@1")</f>
        <v>building.train@1</v>
      </c>
      <c r="C534" s="49" t="str">
        <f t="array" ref="C534">_xlfn.XLOOKUP(
 B534,
 tblTargets[TargetID],
 tblTargets[DisplayName],
 ""
)</f>
        <v>Train Lv 1</v>
      </c>
      <c r="D534" s="49" t="str">
        <f t="array" ref="D534">_xlfn.XLOOKUP(
 B534,
 tblTargets[TargetID],
 tblTargets[TargetType],
 ""
)</f>
        <v>BUILDING</v>
      </c>
      <c r="E534" s="49" t="s">
        <v>2135</v>
      </c>
      <c r="F534" s="49">
        <v>1.0</v>
      </c>
      <c r="G534" s="49">
        <f t="array" ref="G534">_xlfn.XLOOKUP(
 A534,
 tblCost[RequirementID],
 tblCost[QuantityRequired],
 ""
)</f>
        <v>100</v>
      </c>
      <c r="H534" s="49">
        <f t="array" ref="H534">IF(
 OR(
  LEFT(B534,15)="state.character",
  RIGHT(B534,6)=".maxed"
 ),
 0,
 LET(
  sort,
   _xlfn.XLOOKUP(
    B534,
    tblChecklist[TargetID],
    tblChecklist[PlayerSort],
    0
   ),
  IF(sort=0,500,sort)
 )
)</f>
        <v>70</v>
      </c>
      <c r="I534" s="49" t="str">
        <f t="array" ref="I534">_xlfn.XLOOKUP(
 B534,
 tblTargetStatus[TargetID],
 tblTargetStatus[Status],
 ""
)</f>
        <v>BLOCKED</v>
      </c>
      <c r="J534" s="45" t="b">
        <v>0</v>
      </c>
    </row>
    <row r="535" ht="14.25" hidden="1" customHeight="1">
      <c r="A535" s="49" t="s">
        <v>2136</v>
      </c>
      <c r="B535" s="49" t="str">
        <f>IFERROR(__xludf.DUMMYFUNCTION("REGEXREPLACE(
 REGEXREPLACE(A535,""^cost\."",""""),
 ""\.[^.]+\.[^.]+$"",
 """"
)"),"building.train@1")</f>
        <v>building.train@1</v>
      </c>
      <c r="C535" s="49" t="str">
        <f t="array" ref="C535">_xlfn.XLOOKUP(
 B535,
 tblTargets[TargetID],
 tblTargets[DisplayName],
 ""
)</f>
        <v>Train Lv 1</v>
      </c>
      <c r="D535" s="49" t="str">
        <f t="array" ref="D535">_xlfn.XLOOKUP(
 B535,
 tblTargets[TargetID],
 tblTargets[TargetType],
 ""
)</f>
        <v>BUILDING</v>
      </c>
      <c r="E535" s="49" t="s">
        <v>6</v>
      </c>
      <c r="F535" s="49">
        <v>1.0</v>
      </c>
      <c r="G535" s="49">
        <f t="array" ref="G535">_xlfn.XLOOKUP(
 A535,
 tblCost[RequirementID],
 tblCost[QuantityRequired],
 ""
)</f>
        <v>10</v>
      </c>
      <c r="H535" s="49">
        <f t="array" ref="H535">IF(
 OR(
  LEFT(B535,15)="state.character",
  RIGHT(B535,6)=".maxed"
 ),
 0,
 LET(
  sort,
   _xlfn.XLOOKUP(
    B535,
    tblChecklist[TargetID],
    tblChecklist[PlayerSort],
    0
   ),
  IF(sort=0,500,sort)
 )
)</f>
        <v>70</v>
      </c>
      <c r="I535" s="49" t="str">
        <f t="array" ref="I535">_xlfn.XLOOKUP(
 B535,
 tblTargetStatus[TargetID],
 tblTargetStatus[Status],
 ""
)</f>
        <v>BLOCKED</v>
      </c>
      <c r="J535" s="45" t="b">
        <v>0</v>
      </c>
    </row>
    <row r="536" ht="14.25" hidden="1" customHeight="1">
      <c r="A536" s="49" t="s">
        <v>2137</v>
      </c>
      <c r="B536" s="49" t="str">
        <f>IFERROR(__xludf.DUMMYFUNCTION("REGEXREPLACE(
 REGEXREPLACE(A536,""^cost\."",""""),
 ""\.[^.]+\.[^.]+$"",
 """"
)"),"building.train@1")</f>
        <v>building.train@1</v>
      </c>
      <c r="C536" s="49" t="str">
        <f t="array" ref="C536">_xlfn.XLOOKUP(
 B536,
 tblTargets[TargetID],
 tblTargets[DisplayName],
 ""
)</f>
        <v>Train Lv 1</v>
      </c>
      <c r="D536" s="49" t="str">
        <f t="array" ref="D536">_xlfn.XLOOKUP(
 B536,
 tblTargets[TargetID],
 tblTargets[TargetType],
 ""
)</f>
        <v>BUILDING</v>
      </c>
      <c r="E536" s="49" t="s">
        <v>392</v>
      </c>
      <c r="F536" s="49">
        <v>1.0</v>
      </c>
      <c r="G536" s="49">
        <f t="array" ref="G536">_xlfn.XLOOKUP(
 A536,
 tblCost[RequirementID],
 tblCost[QuantityRequired],
 ""
)</f>
        <v>3000</v>
      </c>
      <c r="H536" s="49">
        <f t="array" ref="H536">IF(
 OR(
  LEFT(B536,15)="state.character",
  RIGHT(B536,6)=".maxed"
 ),
 0,
 LET(
  sort,
   _xlfn.XLOOKUP(
    B536,
    tblChecklist[TargetID],
    tblChecklist[PlayerSort],
    0
   ),
  IF(sort=0,500,sort)
 )
)</f>
        <v>70</v>
      </c>
      <c r="I536" s="49" t="str">
        <f t="array" ref="I536">_xlfn.XLOOKUP(
 B536,
 tblTargetStatus[TargetID],
 tblTargetStatus[Status],
 ""
)</f>
        <v>BLOCKED</v>
      </c>
      <c r="J536" s="45" t="b">
        <v>0</v>
      </c>
    </row>
    <row r="537" ht="14.25" hidden="1" customHeight="1">
      <c r="A537" s="49" t="s">
        <v>2138</v>
      </c>
      <c r="B537" s="49" t="str">
        <f>IFERROR(__xludf.DUMMYFUNCTION("REGEXREPLACE(
 REGEXREPLACE(A537,""^cost\."",""""),
 ""\.[^.]+\.[^.]+$"",
 """"
)"),"building.train@2")</f>
        <v>building.train@2</v>
      </c>
      <c r="C537" s="49" t="str">
        <f t="array" ref="C537">_xlfn.XLOOKUP(
 B537,
 tblTargets[TargetID],
 tblTargets[DisplayName],
 ""
)</f>
        <v>Train Lv 2</v>
      </c>
      <c r="D537" s="49" t="str">
        <f t="array" ref="D537">_xlfn.XLOOKUP(
 B537,
 tblTargets[TargetID],
 tblTargets[TargetType],
 ""
)</f>
        <v>BUILDING</v>
      </c>
      <c r="E537" s="49" t="s">
        <v>1055</v>
      </c>
      <c r="F537" s="49">
        <v>1.0</v>
      </c>
      <c r="G537" s="49">
        <f t="array" ref="G537">_xlfn.XLOOKUP(
 A537,
 tblCost[RequirementID],
 tblCost[QuantityRequired],
 ""
)</f>
        <v>40</v>
      </c>
      <c r="H537" s="49">
        <f t="array" ref="H537">IF(
 OR(
  LEFT(B537,15)="state.character",
  RIGHT(B537,6)=".maxed"
 ),
 0,
 LET(
  sort,
   _xlfn.XLOOKUP(
    B537,
    tblChecklist[TargetID],
    tblChecklist[PlayerSort],
    0
   ),
  IF(sort=0,500,sort)
 )
)</f>
        <v>71</v>
      </c>
      <c r="I537" s="49" t="str">
        <f t="array" ref="I537">_xlfn.XLOOKUP(
 B537,
 tblTargetStatus[TargetID],
 tblTargetStatus[Status],
 ""
)</f>
        <v>BLOCKED</v>
      </c>
      <c r="J537" s="45" t="b">
        <v>0</v>
      </c>
    </row>
    <row r="538" ht="14.25" hidden="1" customHeight="1">
      <c r="A538" s="49" t="s">
        <v>2139</v>
      </c>
      <c r="B538" s="49" t="str">
        <f>IFERROR(__xludf.DUMMYFUNCTION("REGEXREPLACE(
 REGEXREPLACE(A538,""^cost\."",""""),
 ""\.[^.]+\.[^.]+$"",
 """"
)"),"building.train@2")</f>
        <v>building.train@2</v>
      </c>
      <c r="C538" s="49" t="str">
        <f t="array" ref="C538">_xlfn.XLOOKUP(
 B538,
 tblTargets[TargetID],
 tblTargets[DisplayName],
 ""
)</f>
        <v>Train Lv 2</v>
      </c>
      <c r="D538" s="49" t="str">
        <f t="array" ref="D538">_xlfn.XLOOKUP(
 B538,
 tblTargets[TargetID],
 tblTargets[TargetType],
 ""
)</f>
        <v>BUILDING</v>
      </c>
      <c r="E538" s="49" t="s">
        <v>119</v>
      </c>
      <c r="F538" s="49">
        <v>1.0</v>
      </c>
      <c r="G538" s="49">
        <f t="array" ref="G538">_xlfn.XLOOKUP(
 A538,
 tblCost[RequirementID],
 tblCost[QuantityRequired],
 ""
)</f>
        <v>2000</v>
      </c>
      <c r="H538" s="49">
        <f t="array" ref="H538">IF(
 OR(
  LEFT(B538,15)="state.character",
  RIGHT(B538,6)=".maxed"
 ),
 0,
 LET(
  sort,
   _xlfn.XLOOKUP(
    B538,
    tblChecklist[TargetID],
    tblChecklist[PlayerSort],
    0
   ),
  IF(sort=0,500,sort)
 )
)</f>
        <v>71</v>
      </c>
      <c r="I538" s="49" t="str">
        <f t="array" ref="I538">_xlfn.XLOOKUP(
 B538,
 tblTargetStatus[TargetID],
 tblTargetStatus[Status],
 ""
)</f>
        <v>BLOCKED</v>
      </c>
      <c r="J538" s="45" t="b">
        <v>0</v>
      </c>
    </row>
    <row r="539" ht="14.25" hidden="1" customHeight="1">
      <c r="A539" s="49" t="s">
        <v>2140</v>
      </c>
      <c r="B539" s="49" t="str">
        <f>IFERROR(__xludf.DUMMYFUNCTION("REGEXREPLACE(
 REGEXREPLACE(A539,""^cost\."",""""),
 ""\.[^.]+\.[^.]+$"",
 """"
)"),"building.train@2")</f>
        <v>building.train@2</v>
      </c>
      <c r="C539" s="49" t="str">
        <f t="array" ref="C539">_xlfn.XLOOKUP(
 B539,
 tblTargets[TargetID],
 tblTargets[DisplayName],
 ""
)</f>
        <v>Train Lv 2</v>
      </c>
      <c r="D539" s="49" t="str">
        <f t="array" ref="D539">_xlfn.XLOOKUP(
 B539,
 tblTargets[TargetID],
 tblTargets[TargetType],
 ""
)</f>
        <v>BUILDING</v>
      </c>
      <c r="E539" s="49" t="s">
        <v>1078</v>
      </c>
      <c r="F539" s="49">
        <v>1.0</v>
      </c>
      <c r="G539" s="49">
        <f t="array" ref="G539">_xlfn.XLOOKUP(
 A539,
 tblCost[RequirementID],
 tblCost[QuantityRequired],
 ""
)</f>
        <v>40</v>
      </c>
      <c r="H539" s="49">
        <f t="array" ref="H539">IF(
 OR(
  LEFT(B539,15)="state.character",
  RIGHT(B539,6)=".maxed"
 ),
 0,
 LET(
  sort,
   _xlfn.XLOOKUP(
    B539,
    tblChecklist[TargetID],
    tblChecklist[PlayerSort],
    0
   ),
  IF(sort=0,500,sort)
 )
)</f>
        <v>71</v>
      </c>
      <c r="I539" s="49" t="str">
        <f t="array" ref="I539">_xlfn.XLOOKUP(
 B539,
 tblTargetStatus[TargetID],
 tblTargetStatus[Status],
 ""
)</f>
        <v>BLOCKED</v>
      </c>
      <c r="J539" s="45" t="b">
        <v>0</v>
      </c>
    </row>
    <row r="540" ht="14.25" hidden="1" customHeight="1">
      <c r="A540" s="49" t="s">
        <v>2141</v>
      </c>
      <c r="B540" s="49" t="str">
        <f>IFERROR(__xludf.DUMMYFUNCTION("REGEXREPLACE(
 REGEXREPLACE(A540,""^cost\."",""""),
 ""\.[^.]+\.[^.]+$"",
 """"
)"),"building.train@2")</f>
        <v>building.train@2</v>
      </c>
      <c r="C540" s="49" t="str">
        <f t="array" ref="C540">_xlfn.XLOOKUP(
 B540,
 tblTargets[TargetID],
 tblTargets[DisplayName],
 ""
)</f>
        <v>Train Lv 2</v>
      </c>
      <c r="D540" s="49" t="str">
        <f t="array" ref="D540">_xlfn.XLOOKUP(
 B540,
 tblTargets[TargetID],
 tblTargets[TargetType],
 ""
)</f>
        <v>BUILDING</v>
      </c>
      <c r="E540" s="49" t="s">
        <v>1456</v>
      </c>
      <c r="F540" s="49">
        <v>1.0</v>
      </c>
      <c r="G540" s="49">
        <f t="array" ref="G540">_xlfn.XLOOKUP(
 A540,
 tblCost[RequirementID],
 tblCost[QuantityRequired],
 ""
)</f>
        <v>30</v>
      </c>
      <c r="H540" s="49">
        <f t="array" ref="H540">IF(
 OR(
  LEFT(B540,15)="state.character",
  RIGHT(B540,6)=".maxed"
 ),
 0,
 LET(
  sort,
   _xlfn.XLOOKUP(
    B540,
    tblChecklist[TargetID],
    tblChecklist[PlayerSort],
    0
   ),
  IF(sort=0,500,sort)
 )
)</f>
        <v>71</v>
      </c>
      <c r="I540" s="49" t="str">
        <f t="array" ref="I540">_xlfn.XLOOKUP(
 B540,
 tblTargetStatus[TargetID],
 tblTargetStatus[Status],
 ""
)</f>
        <v>BLOCKED</v>
      </c>
      <c r="J540" s="45" t="b">
        <v>0</v>
      </c>
    </row>
    <row r="541" ht="14.25" hidden="1" customHeight="1">
      <c r="A541" s="49" t="s">
        <v>2142</v>
      </c>
      <c r="B541" s="49" t="str">
        <f>IFERROR(__xludf.DUMMYFUNCTION("REGEXREPLACE(
 REGEXREPLACE(A541,""^cost\."",""""),
 ""\.[^.]+\.[^.]+$"",
 """"
)"),"building.train@2")</f>
        <v>building.train@2</v>
      </c>
      <c r="C541" s="49" t="str">
        <f t="array" ref="C541">_xlfn.XLOOKUP(
 B541,
 tblTargets[TargetID],
 tblTargets[DisplayName],
 ""
)</f>
        <v>Train Lv 2</v>
      </c>
      <c r="D541" s="49" t="str">
        <f t="array" ref="D541">_xlfn.XLOOKUP(
 B541,
 tblTargets[TargetID],
 tblTargets[TargetType],
 ""
)</f>
        <v>BUILDING</v>
      </c>
      <c r="E541" s="49" t="s">
        <v>6</v>
      </c>
      <c r="F541" s="49">
        <v>1.0</v>
      </c>
      <c r="G541" s="49">
        <f t="array" ref="G541">_xlfn.XLOOKUP(
 A541,
 tblCost[RequirementID],
 tblCost[QuantityRequired],
 ""
)</f>
        <v>10</v>
      </c>
      <c r="H541" s="49">
        <f t="array" ref="H541">IF(
 OR(
  LEFT(B541,15)="state.character",
  RIGHT(B541,6)=".maxed"
 ),
 0,
 LET(
  sort,
   _xlfn.XLOOKUP(
    B541,
    tblChecklist[TargetID],
    tblChecklist[PlayerSort],
    0
   ),
  IF(sort=0,500,sort)
 )
)</f>
        <v>71</v>
      </c>
      <c r="I541" s="49" t="str">
        <f t="array" ref="I541">_xlfn.XLOOKUP(
 B541,
 tblTargetStatus[TargetID],
 tblTargetStatus[Status],
 ""
)</f>
        <v>BLOCKED</v>
      </c>
      <c r="J541" s="45" t="b">
        <v>0</v>
      </c>
    </row>
    <row r="542" ht="14.25" hidden="1" customHeight="1">
      <c r="A542" s="49" t="s">
        <v>2143</v>
      </c>
      <c r="B542" s="49" t="str">
        <f>IFERROR(__xludf.DUMMYFUNCTION("REGEXREPLACE(
 REGEXREPLACE(A542,""^cost\."",""""),
 ""\.[^.]+\.[^.]+$"",
 """"
)"),"building.train@2")</f>
        <v>building.train@2</v>
      </c>
      <c r="C542" s="49" t="str">
        <f t="array" ref="C542">_xlfn.XLOOKUP(
 B542,
 tblTargets[TargetID],
 tblTargets[DisplayName],
 ""
)</f>
        <v>Train Lv 2</v>
      </c>
      <c r="D542" s="49" t="str">
        <f t="array" ref="D542">_xlfn.XLOOKUP(
 B542,
 tblTargets[TargetID],
 tblTargets[TargetType],
 ""
)</f>
        <v>BUILDING</v>
      </c>
      <c r="E542" s="49" t="s">
        <v>392</v>
      </c>
      <c r="F542" s="49">
        <v>1.0</v>
      </c>
      <c r="G542" s="49">
        <f t="array" ref="G542">_xlfn.XLOOKUP(
 A542,
 tblCost[RequirementID],
 tblCost[QuantityRequired],
 ""
)</f>
        <v>1000</v>
      </c>
      <c r="H542" s="49">
        <f t="array" ref="H542">IF(
 OR(
  LEFT(B542,15)="state.character",
  RIGHT(B542,6)=".maxed"
 ),
 0,
 LET(
  sort,
   _xlfn.XLOOKUP(
    B542,
    tblChecklist[TargetID],
    tblChecklist[PlayerSort],
    0
   ),
  IF(sort=0,500,sort)
 )
)</f>
        <v>71</v>
      </c>
      <c r="I542" s="49" t="str">
        <f t="array" ref="I542">_xlfn.XLOOKUP(
 B542,
 tblTargetStatus[TargetID],
 tblTargetStatus[Status],
 ""
)</f>
        <v>BLOCKED</v>
      </c>
      <c r="J542" s="45" t="b">
        <v>0</v>
      </c>
    </row>
    <row r="543" ht="14.25" hidden="1" customHeight="1">
      <c r="A543" s="49" t="s">
        <v>2144</v>
      </c>
      <c r="B543" s="49" t="str">
        <f>IFERROR(__xludf.DUMMYFUNCTION("REGEXREPLACE(
 REGEXREPLACE(A543,""^cost\."",""""),
 ""\.[^.]+\.[^.]+$"",
 """"
)"),"building.warehouse@1")</f>
        <v>building.warehouse@1</v>
      </c>
      <c r="C543" s="49" t="str">
        <f t="array" ref="C543">_xlfn.XLOOKUP(
 B543,
 tblTargets[TargetID],
 tblTargets[DisplayName],
 ""
)</f>
        <v>Warehouse Lv 1</v>
      </c>
      <c r="D543" s="49" t="str">
        <f t="array" ref="D543">_xlfn.XLOOKUP(
 B543,
 tblTargets[TargetID],
 tblTargets[TargetType],
 ""
)</f>
        <v>BUILDING</v>
      </c>
      <c r="E543" s="49" t="s">
        <v>119</v>
      </c>
      <c r="F543" s="49">
        <v>1.0</v>
      </c>
      <c r="G543" s="49">
        <f t="array" ref="G543">_xlfn.XLOOKUP(
 A543,
 tblCost[RequirementID],
 tblCost[QuantityRequired],
 ""
)</f>
        <v>100</v>
      </c>
      <c r="H543" s="49">
        <f t="array" ref="H543">IF(
 OR(
  LEFT(B543,15)="state.character",
  RIGHT(B543,6)=".maxed"
 ),
 0,
 LET(
  sort,
   _xlfn.XLOOKUP(
    B543,
    tblChecklist[TargetID],
    tblChecklist[PlayerSort],
    0
   ),
  IF(sort=0,500,sort)
 )
)</f>
        <v>2</v>
      </c>
      <c r="I543" s="49" t="str">
        <f t="array" ref="I543">_xlfn.XLOOKUP(
 B543,
 tblTargetStatus[TargetID],
 tblTargetStatus[Status],
 ""
)</f>
        <v>BLOCKED</v>
      </c>
      <c r="J543" s="45" t="b">
        <v>0</v>
      </c>
    </row>
    <row r="544" ht="14.25" hidden="1" customHeight="1">
      <c r="A544" s="49" t="s">
        <v>2145</v>
      </c>
      <c r="B544" s="49" t="str">
        <f>IFERROR(__xludf.DUMMYFUNCTION("REGEXREPLACE(
 REGEXREPLACE(A544,""^cost\."",""""),
 ""\.[^.]+\.[^.]+$"",
 """"
)"),"building.warehouse@1")</f>
        <v>building.warehouse@1</v>
      </c>
      <c r="C544" s="49" t="str">
        <f t="array" ref="C544">_xlfn.XLOOKUP(
 B544,
 tblTargets[TargetID],
 tblTargets[DisplayName],
 ""
)</f>
        <v>Warehouse Lv 1</v>
      </c>
      <c r="D544" s="49" t="str">
        <f t="array" ref="D544">_xlfn.XLOOKUP(
 B544,
 tblTargets[TargetID],
 tblTargets[TargetType],
 ""
)</f>
        <v>BUILDING</v>
      </c>
      <c r="E544" s="49" t="s">
        <v>6</v>
      </c>
      <c r="F544" s="49">
        <v>1.0</v>
      </c>
      <c r="G544" s="49">
        <f t="array" ref="G544">_xlfn.XLOOKUP(
 A544,
 tblCost[RequirementID],
 tblCost[QuantityRequired],
 ""
)</f>
        <v>1</v>
      </c>
      <c r="H544" s="49">
        <f t="array" ref="H544">IF(
 OR(
  LEFT(B544,15)="state.character",
  RIGHT(B544,6)=".maxed"
 ),
 0,
 LET(
  sort,
   _xlfn.XLOOKUP(
    B544,
    tblChecklist[TargetID],
    tblChecklist[PlayerSort],
    0
   ),
  IF(sort=0,500,sort)
 )
)</f>
        <v>2</v>
      </c>
      <c r="I544" s="49" t="str">
        <f t="array" ref="I544">_xlfn.XLOOKUP(
 B544,
 tblTargetStatus[TargetID],
 tblTargetStatus[Status],
 ""
)</f>
        <v>BLOCKED</v>
      </c>
      <c r="J544" s="45" t="b">
        <v>0</v>
      </c>
    </row>
    <row r="545" ht="14.25" hidden="1" customHeight="1">
      <c r="A545" s="49" t="s">
        <v>2146</v>
      </c>
      <c r="B545" s="49" t="str">
        <f>IFERROR(__xludf.DUMMYFUNCTION("REGEXREPLACE(
 REGEXREPLACE(A545,""^cost\."",""""),
 ""\.[^.]+\.[^.]+$"",
 """"
)"),"building.warehouse@1")</f>
        <v>building.warehouse@1</v>
      </c>
      <c r="C545" s="49" t="str">
        <f t="array" ref="C545">_xlfn.XLOOKUP(
 B545,
 tblTargets[TargetID],
 tblTargets[DisplayName],
 ""
)</f>
        <v>Warehouse Lv 1</v>
      </c>
      <c r="D545" s="49" t="str">
        <f t="array" ref="D545">_xlfn.XLOOKUP(
 B545,
 tblTargets[TargetID],
 tblTargets[TargetType],
 ""
)</f>
        <v>BUILDING</v>
      </c>
      <c r="E545" s="49" t="s">
        <v>237</v>
      </c>
      <c r="F545" s="49">
        <v>1.0</v>
      </c>
      <c r="G545" s="49">
        <f t="array" ref="G545">_xlfn.XLOOKUP(
 A545,
 tblCost[RequirementID],
 tblCost[QuantityRequired],
 ""
)</f>
        <v>60</v>
      </c>
      <c r="H545" s="49">
        <f t="array" ref="H545">IF(
 OR(
  LEFT(B545,15)="state.character",
  RIGHT(B545,6)=".maxed"
 ),
 0,
 LET(
  sort,
   _xlfn.XLOOKUP(
    B545,
    tblChecklist[TargetID],
    tblChecklist[PlayerSort],
    0
   ),
  IF(sort=0,500,sort)
 )
)</f>
        <v>2</v>
      </c>
      <c r="I545" s="49" t="str">
        <f t="array" ref="I545">_xlfn.XLOOKUP(
 B545,
 tblTargetStatus[TargetID],
 tblTargetStatus[Status],
 ""
)</f>
        <v>BLOCKED</v>
      </c>
      <c r="J545" s="45" t="b">
        <v>0</v>
      </c>
    </row>
    <row r="546" ht="14.25" hidden="1" customHeight="1">
      <c r="A546" s="49" t="s">
        <v>2147</v>
      </c>
      <c r="B546" s="49" t="str">
        <f>IFERROR(__xludf.DUMMYFUNCTION("REGEXREPLACE(
 REGEXREPLACE(A546,""^cost\."",""""),
 ""\.[^.]+\.[^.]+$"",
 """"
)"),"building.warehouse@1")</f>
        <v>building.warehouse@1</v>
      </c>
      <c r="C546" s="49" t="str">
        <f t="array" ref="C546">_xlfn.XLOOKUP(
 B546,
 tblTargets[TargetID],
 tblTargets[DisplayName],
 ""
)</f>
        <v>Warehouse Lv 1</v>
      </c>
      <c r="D546" s="49" t="str">
        <f t="array" ref="D546">_xlfn.XLOOKUP(
 B546,
 tblTargets[TargetID],
 tblTargets[TargetType],
 ""
)</f>
        <v>BUILDING</v>
      </c>
      <c r="E546" s="49" t="s">
        <v>244</v>
      </c>
      <c r="F546" s="49">
        <v>1.0</v>
      </c>
      <c r="G546" s="49">
        <f t="array" ref="G546">_xlfn.XLOOKUP(
 A546,
 tblCost[RequirementID],
 tblCost[QuantityRequired],
 ""
)</f>
        <v>60</v>
      </c>
      <c r="H546" s="49">
        <f t="array" ref="H546">IF(
 OR(
  LEFT(B546,15)="state.character",
  RIGHT(B546,6)=".maxed"
 ),
 0,
 LET(
  sort,
   _xlfn.XLOOKUP(
    B546,
    tblChecklist[TargetID],
    tblChecklist[PlayerSort],
    0
   ),
  IF(sort=0,500,sort)
 )
)</f>
        <v>2</v>
      </c>
      <c r="I546" s="49" t="str">
        <f t="array" ref="I546">_xlfn.XLOOKUP(
 B546,
 tblTargetStatus[TargetID],
 tblTargetStatus[Status],
 ""
)</f>
        <v>BLOCKED</v>
      </c>
      <c r="J546" s="45" t="b">
        <v>0</v>
      </c>
    </row>
    <row r="547" ht="14.25" hidden="1" customHeight="1">
      <c r="A547" s="49" t="s">
        <v>2148</v>
      </c>
      <c r="B547" s="49" t="str">
        <f>IFERROR(__xludf.DUMMYFUNCTION("REGEXREPLACE(
 REGEXREPLACE(A547,""^cost\."",""""),
 ""\.[^.]+\.[^.]+$"",
 """"
)"),"building.warehouse@2")</f>
        <v>building.warehouse@2</v>
      </c>
      <c r="C547" s="49" t="str">
        <f t="array" ref="C547">_xlfn.XLOOKUP(
 B547,
 tblTargets[TargetID],
 tblTargets[DisplayName],
 ""
)</f>
        <v>Warehouse Lv 2</v>
      </c>
      <c r="D547" s="49" t="str">
        <f t="array" ref="D547">_xlfn.XLOOKUP(
 B547,
 tblTargets[TargetID],
 tblTargets[TargetType],
 ""
)</f>
        <v>BUILDING</v>
      </c>
      <c r="E547" s="49" t="s">
        <v>119</v>
      </c>
      <c r="F547" s="49">
        <v>1.0</v>
      </c>
      <c r="G547" s="49">
        <f t="array" ref="G547">_xlfn.XLOOKUP(
 A547,
 tblCost[RequirementID],
 tblCost[QuantityRequired],
 ""
)</f>
        <v>200</v>
      </c>
      <c r="H547" s="49">
        <f t="array" ref="H547">IF(
 OR(
  LEFT(B547,15)="state.character",
  RIGHT(B547,6)=".maxed"
 ),
 0,
 LET(
  sort,
   _xlfn.XLOOKUP(
    B547,
    tblChecklist[TargetID],
    tblChecklist[PlayerSort],
    0
   ),
  IF(sort=0,500,sort)
 )
)</f>
        <v>94</v>
      </c>
      <c r="I547" s="49" t="str">
        <f t="array" ref="I547">_xlfn.XLOOKUP(
 B547,
 tblTargetStatus[TargetID],
 tblTargetStatus[Status],
 ""
)</f>
        <v>BLOCKED</v>
      </c>
      <c r="J547" s="45" t="b">
        <v>0</v>
      </c>
    </row>
    <row r="548" ht="14.25" hidden="1" customHeight="1">
      <c r="A548" s="49" t="s">
        <v>2149</v>
      </c>
      <c r="B548" s="49" t="str">
        <f>IFERROR(__xludf.DUMMYFUNCTION("REGEXREPLACE(
 REGEXREPLACE(A548,""^cost\."",""""),
 ""\.[^.]+\.[^.]+$"",
 """"
)"),"building.warehouse@2")</f>
        <v>building.warehouse@2</v>
      </c>
      <c r="C548" s="49" t="str">
        <f t="array" ref="C548">_xlfn.XLOOKUP(
 B548,
 tblTargets[TargetID],
 tblTargets[DisplayName],
 ""
)</f>
        <v>Warehouse Lv 2</v>
      </c>
      <c r="D548" s="49" t="str">
        <f t="array" ref="D548">_xlfn.XLOOKUP(
 B548,
 tblTargets[TargetID],
 tblTargets[TargetType],
 ""
)</f>
        <v>BUILDING</v>
      </c>
      <c r="E548" s="49" t="s">
        <v>6</v>
      </c>
      <c r="F548" s="49">
        <v>1.0</v>
      </c>
      <c r="G548" s="49">
        <f t="array" ref="G548">_xlfn.XLOOKUP(
 A548,
 tblCost[RequirementID],
 tblCost[QuantityRequired],
 ""
)</f>
        <v>2</v>
      </c>
      <c r="H548" s="49">
        <f t="array" ref="H548">IF(
 OR(
  LEFT(B548,15)="state.character",
  RIGHT(B548,6)=".maxed"
 ),
 0,
 LET(
  sort,
   _xlfn.XLOOKUP(
    B548,
    tblChecklist[TargetID],
    tblChecklist[PlayerSort],
    0
   ),
  IF(sort=0,500,sort)
 )
)</f>
        <v>94</v>
      </c>
      <c r="I548" s="49" t="str">
        <f t="array" ref="I548">_xlfn.XLOOKUP(
 B548,
 tblTargetStatus[TargetID],
 tblTargetStatus[Status],
 ""
)</f>
        <v>BLOCKED</v>
      </c>
      <c r="J548" s="45" t="b">
        <v>0</v>
      </c>
    </row>
    <row r="549" ht="14.25" hidden="1" customHeight="1">
      <c r="A549" s="49" t="s">
        <v>2150</v>
      </c>
      <c r="B549" s="49" t="str">
        <f>IFERROR(__xludf.DUMMYFUNCTION("REGEXREPLACE(
 REGEXREPLACE(A549,""^cost\."",""""),
 ""\.[^.]+\.[^.]+$"",
 """"
)"),"building.warehouse@2")</f>
        <v>building.warehouse@2</v>
      </c>
      <c r="C549" s="49" t="str">
        <f t="array" ref="C549">_xlfn.XLOOKUP(
 B549,
 tblTargets[TargetID],
 tblTargets[DisplayName],
 ""
)</f>
        <v>Warehouse Lv 2</v>
      </c>
      <c r="D549" s="49" t="str">
        <f t="array" ref="D549">_xlfn.XLOOKUP(
 B549,
 tblTargets[TargetID],
 tblTargets[TargetType],
 ""
)</f>
        <v>BUILDING</v>
      </c>
      <c r="E549" s="49" t="s">
        <v>237</v>
      </c>
      <c r="F549" s="49">
        <v>1.0</v>
      </c>
      <c r="G549" s="49">
        <f t="array" ref="G549">_xlfn.XLOOKUP(
 A549,
 tblCost[RequirementID],
 tblCost[QuantityRequired],
 ""
)</f>
        <v>80</v>
      </c>
      <c r="H549" s="49">
        <f t="array" ref="H549">IF(
 OR(
  LEFT(B549,15)="state.character",
  RIGHT(B549,6)=".maxed"
 ),
 0,
 LET(
  sort,
   _xlfn.XLOOKUP(
    B549,
    tblChecklist[TargetID],
    tblChecklist[PlayerSort],
    0
   ),
  IF(sort=0,500,sort)
 )
)</f>
        <v>94</v>
      </c>
      <c r="I549" s="49" t="str">
        <f t="array" ref="I549">_xlfn.XLOOKUP(
 B549,
 tblTargetStatus[TargetID],
 tblTargetStatus[Status],
 ""
)</f>
        <v>BLOCKED</v>
      </c>
      <c r="J549" s="45" t="b">
        <v>0</v>
      </c>
    </row>
    <row r="550" ht="14.25" hidden="1" customHeight="1">
      <c r="A550" s="49" t="s">
        <v>2151</v>
      </c>
      <c r="B550" s="49" t="str">
        <f>IFERROR(__xludf.DUMMYFUNCTION("REGEXREPLACE(
 REGEXREPLACE(A550,""^cost\."",""""),
 ""\.[^.]+\.[^.]+$"",
 """"
)"),"building.warehouse@2")</f>
        <v>building.warehouse@2</v>
      </c>
      <c r="C550" s="49" t="str">
        <f t="array" ref="C550">_xlfn.XLOOKUP(
 B550,
 tblTargets[TargetID],
 tblTargets[DisplayName],
 ""
)</f>
        <v>Warehouse Lv 2</v>
      </c>
      <c r="D550" s="49" t="str">
        <f t="array" ref="D550">_xlfn.XLOOKUP(
 B550,
 tblTargets[TargetID],
 tblTargets[TargetType],
 ""
)</f>
        <v>BUILDING</v>
      </c>
      <c r="E550" s="49" t="s">
        <v>244</v>
      </c>
      <c r="F550" s="49">
        <v>1.0</v>
      </c>
      <c r="G550" s="49">
        <f t="array" ref="G550">_xlfn.XLOOKUP(
 A550,
 tblCost[RequirementID],
 tblCost[QuantityRequired],
 ""
)</f>
        <v>80</v>
      </c>
      <c r="H550" s="49">
        <f t="array" ref="H550">IF(
 OR(
  LEFT(B550,15)="state.character",
  RIGHT(B550,6)=".maxed"
 ),
 0,
 LET(
  sort,
   _xlfn.XLOOKUP(
    B550,
    tblChecklist[TargetID],
    tblChecklist[PlayerSort],
    0
   ),
  IF(sort=0,500,sort)
 )
)</f>
        <v>94</v>
      </c>
      <c r="I550" s="49" t="str">
        <f t="array" ref="I550">_xlfn.XLOOKUP(
 B550,
 tblTargetStatus[TargetID],
 tblTargetStatus[Status],
 ""
)</f>
        <v>BLOCKED</v>
      </c>
      <c r="J550" s="45" t="b">
        <v>0</v>
      </c>
    </row>
    <row r="551" ht="14.25" hidden="1" customHeight="1">
      <c r="A551" s="49" t="s">
        <v>2152</v>
      </c>
      <c r="B551" s="49" t="str">
        <f>IFERROR(__xludf.DUMMYFUNCTION("REGEXREPLACE(
 REGEXREPLACE(A551,""^cost\."",""""),
 ""\.[^.]+\.[^.]+$"",
 """"
)"),"building.warehouse@3")</f>
        <v>building.warehouse@3</v>
      </c>
      <c r="C551" s="49" t="str">
        <f t="array" ref="C551">_xlfn.XLOOKUP(
 B551,
 tblTargets[TargetID],
 tblTargets[DisplayName],
 ""
)</f>
        <v>Warehouse Lv 3</v>
      </c>
      <c r="D551" s="49" t="str">
        <f t="array" ref="D551">_xlfn.XLOOKUP(
 B551,
 tblTargets[TargetID],
 tblTargets[TargetType],
 ""
)</f>
        <v>BUILDING</v>
      </c>
      <c r="E551" s="49" t="s">
        <v>278</v>
      </c>
      <c r="F551" s="49">
        <v>1.0</v>
      </c>
      <c r="G551" s="49">
        <f t="array" ref="G551">_xlfn.XLOOKUP(
 A551,
 tblCost[RequirementID],
 tblCost[QuantityRequired],
 ""
)</f>
        <v>200</v>
      </c>
      <c r="H551" s="49">
        <f t="array" ref="H551">IF(
 OR(
  LEFT(B551,15)="state.character",
  RIGHT(B551,6)=".maxed"
 ),
 0,
 LET(
  sort,
   _xlfn.XLOOKUP(
    B551,
    tblChecklist[TargetID],
    tblChecklist[PlayerSort],
    0
   ),
  IF(sort=0,500,sort)
 )
)</f>
        <v>95</v>
      </c>
      <c r="I551" s="49" t="str">
        <f t="array" ref="I551">_xlfn.XLOOKUP(
 B551,
 tblTargetStatus[TargetID],
 tblTargetStatus[Status],
 ""
)</f>
        <v>BLOCKED</v>
      </c>
      <c r="J551" s="45" t="b">
        <v>0</v>
      </c>
    </row>
    <row r="552" ht="14.25" hidden="1" customHeight="1">
      <c r="A552" s="49" t="s">
        <v>2153</v>
      </c>
      <c r="B552" s="49" t="str">
        <f>IFERROR(__xludf.DUMMYFUNCTION("REGEXREPLACE(
 REGEXREPLACE(A552,""^cost\."",""""),
 ""\.[^.]+\.[^.]+$"",
 """"
)"),"building.warehouse@3")</f>
        <v>building.warehouse@3</v>
      </c>
      <c r="C552" s="49" t="str">
        <f t="array" ref="C552">_xlfn.XLOOKUP(
 B552,
 tblTargets[TargetID],
 tblTargets[DisplayName],
 ""
)</f>
        <v>Warehouse Lv 3</v>
      </c>
      <c r="D552" s="49" t="str">
        <f t="array" ref="D552">_xlfn.XLOOKUP(
 B552,
 tblTargets[TargetID],
 tblTargets[TargetType],
 ""
)</f>
        <v>BUILDING</v>
      </c>
      <c r="E552" s="49" t="s">
        <v>119</v>
      </c>
      <c r="F552" s="49">
        <v>1.0</v>
      </c>
      <c r="G552" s="49">
        <f t="array" ref="G552">_xlfn.XLOOKUP(
 A552,
 tblCost[RequirementID],
 tblCost[QuantityRequired],
 ""
)</f>
        <v>300</v>
      </c>
      <c r="H552" s="49">
        <f t="array" ref="H552">IF(
 OR(
  LEFT(B552,15)="state.character",
  RIGHT(B552,6)=".maxed"
 ),
 0,
 LET(
  sort,
   _xlfn.XLOOKUP(
    B552,
    tblChecklist[TargetID],
    tblChecklist[PlayerSort],
    0
   ),
  IF(sort=0,500,sort)
 )
)</f>
        <v>95</v>
      </c>
      <c r="I552" s="49" t="str">
        <f t="array" ref="I552">_xlfn.XLOOKUP(
 B552,
 tblTargetStatus[TargetID],
 tblTargetStatus[Status],
 ""
)</f>
        <v>BLOCKED</v>
      </c>
      <c r="J552" s="45" t="b">
        <v>0</v>
      </c>
    </row>
    <row r="553" ht="14.25" hidden="1" customHeight="1">
      <c r="A553" s="49" t="s">
        <v>2154</v>
      </c>
      <c r="B553" s="49" t="str">
        <f>IFERROR(__xludf.DUMMYFUNCTION("REGEXREPLACE(
 REGEXREPLACE(A553,""^cost\."",""""),
 ""\.[^.]+\.[^.]+$"",
 """"
)"),"building.warehouse@3")</f>
        <v>building.warehouse@3</v>
      </c>
      <c r="C553" s="49" t="str">
        <f t="array" ref="C553">_xlfn.XLOOKUP(
 B553,
 tblTargets[TargetID],
 tblTargets[DisplayName],
 ""
)</f>
        <v>Warehouse Lv 3</v>
      </c>
      <c r="D553" s="49" t="str">
        <f t="array" ref="D553">_xlfn.XLOOKUP(
 B553,
 tblTargets[TargetID],
 tblTargets[TargetType],
 ""
)</f>
        <v>BUILDING</v>
      </c>
      <c r="E553" s="49" t="s">
        <v>6</v>
      </c>
      <c r="F553" s="49">
        <v>1.0</v>
      </c>
      <c r="G553" s="49">
        <f t="array" ref="G553">_xlfn.XLOOKUP(
 A553,
 tblCost[RequirementID],
 tblCost[QuantityRequired],
 ""
)</f>
        <v>3</v>
      </c>
      <c r="H553" s="49">
        <f t="array" ref="H553">IF(
 OR(
  LEFT(B553,15)="state.character",
  RIGHT(B553,6)=".maxed"
 ),
 0,
 LET(
  sort,
   _xlfn.XLOOKUP(
    B553,
    tblChecklist[TargetID],
    tblChecklist[PlayerSort],
    0
   ),
  IF(sort=0,500,sort)
 )
)</f>
        <v>95</v>
      </c>
      <c r="I553" s="49" t="str">
        <f t="array" ref="I553">_xlfn.XLOOKUP(
 B553,
 tblTargetStatus[TargetID],
 tblTargetStatus[Status],
 ""
)</f>
        <v>BLOCKED</v>
      </c>
      <c r="J553" s="45" t="b">
        <v>0</v>
      </c>
    </row>
    <row r="554" ht="14.25" hidden="1" customHeight="1">
      <c r="A554" s="49" t="s">
        <v>2155</v>
      </c>
      <c r="B554" s="49" t="str">
        <f>IFERROR(__xludf.DUMMYFUNCTION("REGEXREPLACE(
 REGEXREPLACE(A554,""^cost\."",""""),
 ""\.[^.]+\.[^.]+$"",
 """"
)"),"building.warehouse@3")</f>
        <v>building.warehouse@3</v>
      </c>
      <c r="C554" s="49" t="str">
        <f t="array" ref="C554">_xlfn.XLOOKUP(
 B554,
 tblTargets[TargetID],
 tblTargets[DisplayName],
 ""
)</f>
        <v>Warehouse Lv 3</v>
      </c>
      <c r="D554" s="49" t="str">
        <f t="array" ref="D554">_xlfn.XLOOKUP(
 B554,
 tblTargets[TargetID],
 tblTargets[TargetType],
 ""
)</f>
        <v>BUILDING</v>
      </c>
      <c r="E554" s="49" t="s">
        <v>237</v>
      </c>
      <c r="F554" s="49">
        <v>1.0</v>
      </c>
      <c r="G554" s="49">
        <f t="array" ref="G554">_xlfn.XLOOKUP(
 A554,
 tblCost[RequirementID],
 tblCost[QuantityRequired],
 ""
)</f>
        <v>100</v>
      </c>
      <c r="H554" s="49">
        <f t="array" ref="H554">IF(
 OR(
  LEFT(B554,15)="state.character",
  RIGHT(B554,6)=".maxed"
 ),
 0,
 LET(
  sort,
   _xlfn.XLOOKUP(
    B554,
    tblChecklist[TargetID],
    tblChecklist[PlayerSort],
    0
   ),
  IF(sort=0,500,sort)
 )
)</f>
        <v>95</v>
      </c>
      <c r="I554" s="49" t="str">
        <f t="array" ref="I554">_xlfn.XLOOKUP(
 B554,
 tblTargetStatus[TargetID],
 tblTargetStatus[Status],
 ""
)</f>
        <v>BLOCKED</v>
      </c>
      <c r="J554" s="45" t="b">
        <v>0</v>
      </c>
    </row>
    <row r="555" ht="14.25" hidden="1" customHeight="1">
      <c r="A555" s="49" t="s">
        <v>2156</v>
      </c>
      <c r="B555" s="49" t="str">
        <f>IFERROR(__xludf.DUMMYFUNCTION("REGEXREPLACE(
 REGEXREPLACE(A555,""^cost\."",""""),
 ""\.[^.]+\.[^.]+$"",
 """"
)"),"building.warehouse@4")</f>
        <v>building.warehouse@4</v>
      </c>
      <c r="C555" s="49" t="str">
        <f t="array" ref="C555">_xlfn.XLOOKUP(
 B555,
 tblTargets[TargetID],
 tblTargets[DisplayName],
 ""
)</f>
        <v>Warehouse Lv 4</v>
      </c>
      <c r="D555" s="49" t="str">
        <f t="array" ref="D555">_xlfn.XLOOKUP(
 B555,
 tblTargets[TargetID],
 tblTargets[TargetType],
 ""
)</f>
        <v>BUILDING</v>
      </c>
      <c r="E555" s="49" t="s">
        <v>278</v>
      </c>
      <c r="F555" s="49">
        <v>1.0</v>
      </c>
      <c r="G555" s="49">
        <f t="array" ref="G555">_xlfn.XLOOKUP(
 A555,
 tblCost[RequirementID],
 tblCost[QuantityRequired],
 ""
)</f>
        <v>280</v>
      </c>
      <c r="H555" s="49">
        <f t="array" ref="H555">IF(
 OR(
  LEFT(B555,15)="state.character",
  RIGHT(B555,6)=".maxed"
 ),
 0,
 LET(
  sort,
   _xlfn.XLOOKUP(
    B555,
    tblChecklist[TargetID],
    tblChecklist[PlayerSort],
    0
   ),
  IF(sort=0,500,sort)
 )
)</f>
        <v>96</v>
      </c>
      <c r="I555" s="49" t="str">
        <f t="array" ref="I555">_xlfn.XLOOKUP(
 B555,
 tblTargetStatus[TargetID],
 tblTargetStatus[Status],
 ""
)</f>
        <v>BLOCKED</v>
      </c>
      <c r="J555" s="45" t="b">
        <v>0</v>
      </c>
    </row>
    <row r="556" ht="14.25" hidden="1" customHeight="1">
      <c r="A556" s="49" t="s">
        <v>2157</v>
      </c>
      <c r="B556" s="49" t="str">
        <f>IFERROR(__xludf.DUMMYFUNCTION("REGEXREPLACE(
 REGEXREPLACE(A556,""^cost\."",""""),
 ""\.[^.]+\.[^.]+$"",
 """"
)"),"building.warehouse@4")</f>
        <v>building.warehouse@4</v>
      </c>
      <c r="C556" s="49" t="str">
        <f t="array" ref="C556">_xlfn.XLOOKUP(
 B556,
 tblTargets[TargetID],
 tblTargets[DisplayName],
 ""
)</f>
        <v>Warehouse Lv 4</v>
      </c>
      <c r="D556" s="49" t="str">
        <f t="array" ref="D556">_xlfn.XLOOKUP(
 B556,
 tblTargets[TargetID],
 tblTargets[TargetType],
 ""
)</f>
        <v>BUILDING</v>
      </c>
      <c r="E556" s="49" t="s">
        <v>119</v>
      </c>
      <c r="F556" s="49">
        <v>1.0</v>
      </c>
      <c r="G556" s="49">
        <f t="array" ref="G556">_xlfn.XLOOKUP(
 A556,
 tblCost[RequirementID],
 tblCost[QuantityRequired],
 ""
)</f>
        <v>400</v>
      </c>
      <c r="H556" s="49">
        <f t="array" ref="H556">IF(
 OR(
  LEFT(B556,15)="state.character",
  RIGHT(B556,6)=".maxed"
 ),
 0,
 LET(
  sort,
   _xlfn.XLOOKUP(
    B556,
    tblChecklist[TargetID],
    tblChecklist[PlayerSort],
    0
   ),
  IF(sort=0,500,sort)
 )
)</f>
        <v>96</v>
      </c>
      <c r="I556" s="49" t="str">
        <f t="array" ref="I556">_xlfn.XLOOKUP(
 B556,
 tblTargetStatus[TargetID],
 tblTargetStatus[Status],
 ""
)</f>
        <v>BLOCKED</v>
      </c>
      <c r="J556" s="45" t="b">
        <v>0</v>
      </c>
    </row>
    <row r="557" ht="14.25" hidden="1" customHeight="1">
      <c r="A557" s="49" t="s">
        <v>2158</v>
      </c>
      <c r="B557" s="49" t="str">
        <f>IFERROR(__xludf.DUMMYFUNCTION("REGEXREPLACE(
 REGEXREPLACE(A557,""^cost\."",""""),
 ""\.[^.]+\.[^.]+$"",
 """"
)"),"building.warehouse@4")</f>
        <v>building.warehouse@4</v>
      </c>
      <c r="C557" s="49" t="str">
        <f t="array" ref="C557">_xlfn.XLOOKUP(
 B557,
 tblTargets[TargetID],
 tblTargets[DisplayName],
 ""
)</f>
        <v>Warehouse Lv 4</v>
      </c>
      <c r="D557" s="49" t="str">
        <f t="array" ref="D557">_xlfn.XLOOKUP(
 B557,
 tblTargets[TargetID],
 tblTargets[TargetType],
 ""
)</f>
        <v>BUILDING</v>
      </c>
      <c r="E557" s="49" t="s">
        <v>6</v>
      </c>
      <c r="F557" s="49">
        <v>1.0</v>
      </c>
      <c r="G557" s="49">
        <f t="array" ref="G557">_xlfn.XLOOKUP(
 A557,
 tblCost[RequirementID],
 tblCost[QuantityRequired],
 ""
)</f>
        <v>4</v>
      </c>
      <c r="H557" s="49">
        <f t="array" ref="H557">IF(
 OR(
  LEFT(B557,15)="state.character",
  RIGHT(B557,6)=".maxed"
 ),
 0,
 LET(
  sort,
   _xlfn.XLOOKUP(
    B557,
    tblChecklist[TargetID],
    tblChecklist[PlayerSort],
    0
   ),
  IF(sort=0,500,sort)
 )
)</f>
        <v>96</v>
      </c>
      <c r="I557" s="49" t="str">
        <f t="array" ref="I557">_xlfn.XLOOKUP(
 B557,
 tblTargetStatus[TargetID],
 tblTargetStatus[Status],
 ""
)</f>
        <v>BLOCKED</v>
      </c>
      <c r="J557" s="45" t="b">
        <v>0</v>
      </c>
    </row>
    <row r="558" ht="14.25" hidden="1" customHeight="1">
      <c r="A558" s="49" t="s">
        <v>2159</v>
      </c>
      <c r="B558" s="49" t="str">
        <f>IFERROR(__xludf.DUMMYFUNCTION("REGEXREPLACE(
 REGEXREPLACE(A558,""^cost\."",""""),
 ""\.[^.]+\.[^.]+$"",
 """"
)"),"building.warehouse@4")</f>
        <v>building.warehouse@4</v>
      </c>
      <c r="C558" s="49" t="str">
        <f t="array" ref="C558">_xlfn.XLOOKUP(
 B558,
 tblTargets[TargetID],
 tblTargets[DisplayName],
 ""
)</f>
        <v>Warehouse Lv 4</v>
      </c>
      <c r="D558" s="49" t="str">
        <f t="array" ref="D558">_xlfn.XLOOKUP(
 B558,
 tblTargets[TargetID],
 tblTargets[TargetType],
 ""
)</f>
        <v>BUILDING</v>
      </c>
      <c r="E558" s="49" t="s">
        <v>237</v>
      </c>
      <c r="F558" s="49">
        <v>1.0</v>
      </c>
      <c r="G558" s="49">
        <f t="array" ref="G558">_xlfn.XLOOKUP(
 A558,
 tblCost[RequirementID],
 tblCost[QuantityRequired],
 ""
)</f>
        <v>140</v>
      </c>
      <c r="H558" s="49">
        <f t="array" ref="H558">IF(
 OR(
  LEFT(B558,15)="state.character",
  RIGHT(B558,6)=".maxed"
 ),
 0,
 LET(
  sort,
   _xlfn.XLOOKUP(
    B558,
    tblChecklist[TargetID],
    tblChecklist[PlayerSort],
    0
   ),
  IF(sort=0,500,sort)
 )
)</f>
        <v>96</v>
      </c>
      <c r="I558" s="49" t="str">
        <f t="array" ref="I558">_xlfn.XLOOKUP(
 B558,
 tblTargetStatus[TargetID],
 tblTargetStatus[Status],
 ""
)</f>
        <v>BLOCKED</v>
      </c>
      <c r="J558" s="45" t="b">
        <v>0</v>
      </c>
    </row>
    <row r="559" ht="14.25" hidden="1" customHeight="1">
      <c r="A559" s="49" t="s">
        <v>2160</v>
      </c>
      <c r="B559" s="49" t="str">
        <f>IFERROR(__xludf.DUMMYFUNCTION("REGEXREPLACE(
 REGEXREPLACE(A559,""^cost\."",""""),
 ""\.[^.]+\.[^.]+$"",
 """"
)"),"building.warehouse@5")</f>
        <v>building.warehouse@5</v>
      </c>
      <c r="C559" s="49" t="str">
        <f t="array" ref="C559">_xlfn.XLOOKUP(
 B559,
 tblTargets[TargetID],
 tblTargets[DisplayName],
 ""
)</f>
        <v>Warehouse Lv 5</v>
      </c>
      <c r="D559" s="49" t="str">
        <f t="array" ref="D559">_xlfn.XLOOKUP(
 B559,
 tblTargets[TargetID],
 tblTargets[TargetType],
 ""
)</f>
        <v>BUILDING</v>
      </c>
      <c r="E559" s="49" t="s">
        <v>278</v>
      </c>
      <c r="F559" s="49">
        <v>1.0</v>
      </c>
      <c r="G559" s="49">
        <f t="array" ref="G559">_xlfn.XLOOKUP(
 A559,
 tblCost[RequirementID],
 tblCost[QuantityRequired],
 ""
)</f>
        <v>360</v>
      </c>
      <c r="H559" s="49">
        <f t="array" ref="H559">IF(
 OR(
  LEFT(B559,15)="state.character",
  RIGHT(B559,6)=".maxed"
 ),
 0,
 LET(
  sort,
   _xlfn.XLOOKUP(
    B559,
    tblChecklist[TargetID],
    tblChecklist[PlayerSort],
    0
   ),
  IF(sort=0,500,sort)
 )
)</f>
        <v>97</v>
      </c>
      <c r="I559" s="49" t="str">
        <f t="array" ref="I559">_xlfn.XLOOKUP(
 B559,
 tblTargetStatus[TargetID],
 tblTargetStatus[Status],
 ""
)</f>
        <v>BLOCKED</v>
      </c>
      <c r="J559" s="45" t="b">
        <v>0</v>
      </c>
    </row>
    <row r="560" ht="14.25" hidden="1" customHeight="1">
      <c r="A560" s="49" t="s">
        <v>2161</v>
      </c>
      <c r="B560" s="49" t="str">
        <f>IFERROR(__xludf.DUMMYFUNCTION("REGEXREPLACE(
 REGEXREPLACE(A560,""^cost\."",""""),
 ""\.[^.]+\.[^.]+$"",
 """"
)"),"building.warehouse@5")</f>
        <v>building.warehouse@5</v>
      </c>
      <c r="C560" s="49" t="str">
        <f t="array" ref="C560">_xlfn.XLOOKUP(
 B560,
 tblTargets[TargetID],
 tblTargets[DisplayName],
 ""
)</f>
        <v>Warehouse Lv 5</v>
      </c>
      <c r="D560" s="49" t="str">
        <f t="array" ref="D560">_xlfn.XLOOKUP(
 B560,
 tblTargets[TargetID],
 tblTargets[TargetType],
 ""
)</f>
        <v>BUILDING</v>
      </c>
      <c r="E560" s="49" t="s">
        <v>119</v>
      </c>
      <c r="F560" s="49">
        <v>1.0</v>
      </c>
      <c r="G560" s="49">
        <f t="array" ref="G560">_xlfn.XLOOKUP(
 A560,
 tblCost[RequirementID],
 tblCost[QuantityRequired],
 ""
)</f>
        <v>500</v>
      </c>
      <c r="H560" s="49">
        <f t="array" ref="H560">IF(
 OR(
  LEFT(B560,15)="state.character",
  RIGHT(B560,6)=".maxed"
 ),
 0,
 LET(
  sort,
   _xlfn.XLOOKUP(
    B560,
    tblChecklist[TargetID],
    tblChecklist[PlayerSort],
    0
   ),
  IF(sort=0,500,sort)
 )
)</f>
        <v>97</v>
      </c>
      <c r="I560" s="49" t="str">
        <f t="array" ref="I560">_xlfn.XLOOKUP(
 B560,
 tblTargetStatus[TargetID],
 tblTargetStatus[Status],
 ""
)</f>
        <v>BLOCKED</v>
      </c>
      <c r="J560" s="45" t="b">
        <v>0</v>
      </c>
    </row>
    <row r="561" ht="14.25" hidden="1" customHeight="1">
      <c r="A561" s="49" t="s">
        <v>2162</v>
      </c>
      <c r="B561" s="49" t="str">
        <f>IFERROR(__xludf.DUMMYFUNCTION("REGEXREPLACE(
 REGEXREPLACE(A561,""^cost\."",""""),
 ""\.[^.]+\.[^.]+$"",
 """"
)"),"building.warehouse@5")</f>
        <v>building.warehouse@5</v>
      </c>
      <c r="C561" s="49" t="str">
        <f t="array" ref="C561">_xlfn.XLOOKUP(
 B561,
 tblTargets[TargetID],
 tblTargets[DisplayName],
 ""
)</f>
        <v>Warehouse Lv 5</v>
      </c>
      <c r="D561" s="49" t="str">
        <f t="array" ref="D561">_xlfn.XLOOKUP(
 B561,
 tblTargets[TargetID],
 tblTargets[TargetType],
 ""
)</f>
        <v>BUILDING</v>
      </c>
      <c r="E561" s="49" t="s">
        <v>6</v>
      </c>
      <c r="F561" s="49">
        <v>1.0</v>
      </c>
      <c r="G561" s="49">
        <f t="array" ref="G561">_xlfn.XLOOKUP(
 A561,
 tblCost[RequirementID],
 tblCost[QuantityRequired],
 ""
)</f>
        <v>5</v>
      </c>
      <c r="H561" s="49">
        <f t="array" ref="H561">IF(
 OR(
  LEFT(B561,15)="state.character",
  RIGHT(B561,6)=".maxed"
 ),
 0,
 LET(
  sort,
   _xlfn.XLOOKUP(
    B561,
    tblChecklist[TargetID],
    tblChecklist[PlayerSort],
    0
   ),
  IF(sort=0,500,sort)
 )
)</f>
        <v>97</v>
      </c>
      <c r="I561" s="49" t="str">
        <f t="array" ref="I561">_xlfn.XLOOKUP(
 B561,
 tblTargetStatus[TargetID],
 tblTargetStatus[Status],
 ""
)</f>
        <v>BLOCKED</v>
      </c>
      <c r="J561" s="45" t="b">
        <v>0</v>
      </c>
    </row>
    <row r="562" ht="14.25" hidden="1" customHeight="1">
      <c r="A562" s="49" t="s">
        <v>2163</v>
      </c>
      <c r="B562" s="49" t="str">
        <f>IFERROR(__xludf.DUMMYFUNCTION("REGEXREPLACE(
 REGEXREPLACE(A562,""^cost\."",""""),
 ""\.[^.]+\.[^.]+$"",
 """"
)"),"building.warehouse@5")</f>
        <v>building.warehouse@5</v>
      </c>
      <c r="C562" s="49" t="str">
        <f t="array" ref="C562">_xlfn.XLOOKUP(
 B562,
 tblTargets[TargetID],
 tblTargets[DisplayName],
 ""
)</f>
        <v>Warehouse Lv 5</v>
      </c>
      <c r="D562" s="49" t="str">
        <f t="array" ref="D562">_xlfn.XLOOKUP(
 B562,
 tblTargets[TargetID],
 tblTargets[TargetType],
 ""
)</f>
        <v>BUILDING</v>
      </c>
      <c r="E562" s="49" t="s">
        <v>237</v>
      </c>
      <c r="F562" s="49">
        <v>1.0</v>
      </c>
      <c r="G562" s="49">
        <f t="array" ref="G562">_xlfn.XLOOKUP(
 A562,
 tblCost[RequirementID],
 tblCost[QuantityRequired],
 ""
)</f>
        <v>180</v>
      </c>
      <c r="H562" s="49">
        <f t="array" ref="H562">IF(
 OR(
  LEFT(B562,15)="state.character",
  RIGHT(B562,6)=".maxed"
 ),
 0,
 LET(
  sort,
   _xlfn.XLOOKUP(
    B562,
    tblChecklist[TargetID],
    tblChecklist[PlayerSort],
    0
   ),
  IF(sort=0,500,sort)
 )
)</f>
        <v>97</v>
      </c>
      <c r="I562" s="49" t="str">
        <f t="array" ref="I562">_xlfn.XLOOKUP(
 B562,
 tblTargetStatus[TargetID],
 tblTargetStatus[Status],
 ""
)</f>
        <v>BLOCKED</v>
      </c>
      <c r="J562" s="45" t="b">
        <v>0</v>
      </c>
    </row>
    <row r="563" ht="14.25" hidden="1" customHeight="1">
      <c r="A563" s="49" t="s">
        <v>2164</v>
      </c>
      <c r="B563" s="49" t="str">
        <f>IFERROR(__xludf.DUMMYFUNCTION("REGEXREPLACE(
 REGEXREPLACE(A563,""^cost\."",""""),
 ""\.[^.]+\.[^.]+$"",
 """"
)"),"building.warehouse@6")</f>
        <v>building.warehouse@6</v>
      </c>
      <c r="C563" s="49" t="str">
        <f t="array" ref="C563">_xlfn.XLOOKUP(
 B563,
 tblTargets[TargetID],
 tblTargets[DisplayName],
 ""
)</f>
        <v>Warehouse Lv 6</v>
      </c>
      <c r="D563" s="49" t="str">
        <f t="array" ref="D563">_xlfn.XLOOKUP(
 B563,
 tblTargets[TargetID],
 tblTargets[TargetType],
 ""
)</f>
        <v>BUILDING</v>
      </c>
      <c r="E563" s="49" t="s">
        <v>278</v>
      </c>
      <c r="F563" s="49">
        <v>1.0</v>
      </c>
      <c r="G563" s="49">
        <f t="array" ref="G563">_xlfn.XLOOKUP(
 A563,
 tblCost[RequirementID],
 tblCost[QuantityRequired],
 ""
)</f>
        <v>440</v>
      </c>
      <c r="H563" s="49">
        <f t="array" ref="H563">IF(
 OR(
  LEFT(B563,15)="state.character",
  RIGHT(B563,6)=".maxed"
 ),
 0,
 LET(
  sort,
   _xlfn.XLOOKUP(
    B563,
    tblChecklist[TargetID],
    tblChecklist[PlayerSort],
    0
   ),
  IF(sort=0,500,sort)
 )
)</f>
        <v>98</v>
      </c>
      <c r="I563" s="49" t="str">
        <f t="array" ref="I563">_xlfn.XLOOKUP(
 B563,
 tblTargetStatus[TargetID],
 tblTargetStatus[Status],
 ""
)</f>
        <v>BLOCKED</v>
      </c>
      <c r="J563" s="45" t="b">
        <v>0</v>
      </c>
    </row>
    <row r="564" ht="14.25" hidden="1" customHeight="1">
      <c r="A564" s="49" t="s">
        <v>2165</v>
      </c>
      <c r="B564" s="49" t="str">
        <f>IFERROR(__xludf.DUMMYFUNCTION("REGEXREPLACE(
 REGEXREPLACE(A564,""^cost\."",""""),
 ""\.[^.]+\.[^.]+$"",
 """"
)"),"building.warehouse@6")</f>
        <v>building.warehouse@6</v>
      </c>
      <c r="C564" s="49" t="str">
        <f t="array" ref="C564">_xlfn.XLOOKUP(
 B564,
 tblTargets[TargetID],
 tblTargets[DisplayName],
 ""
)</f>
        <v>Warehouse Lv 6</v>
      </c>
      <c r="D564" s="49" t="str">
        <f t="array" ref="D564">_xlfn.XLOOKUP(
 B564,
 tblTargets[TargetID],
 tblTargets[TargetType],
 ""
)</f>
        <v>BUILDING</v>
      </c>
      <c r="E564" s="49" t="s">
        <v>119</v>
      </c>
      <c r="F564" s="49">
        <v>1.0</v>
      </c>
      <c r="G564" s="49">
        <f t="array" ref="G564">_xlfn.XLOOKUP(
 A564,
 tblCost[RequirementID],
 tblCost[QuantityRequired],
 ""
)</f>
        <v>600</v>
      </c>
      <c r="H564" s="49">
        <f t="array" ref="H564">IF(
 OR(
  LEFT(B564,15)="state.character",
  RIGHT(B564,6)=".maxed"
 ),
 0,
 LET(
  sort,
   _xlfn.XLOOKUP(
    B564,
    tblChecklist[TargetID],
    tblChecklist[PlayerSort],
    0
   ),
  IF(sort=0,500,sort)
 )
)</f>
        <v>98</v>
      </c>
      <c r="I564" s="49" t="str">
        <f t="array" ref="I564">_xlfn.XLOOKUP(
 B564,
 tblTargetStatus[TargetID],
 tblTargetStatus[Status],
 ""
)</f>
        <v>BLOCKED</v>
      </c>
      <c r="J564" s="45" t="b">
        <v>0</v>
      </c>
    </row>
    <row r="565" ht="14.25" hidden="1" customHeight="1">
      <c r="A565" s="49" t="s">
        <v>2166</v>
      </c>
      <c r="B565" s="49" t="str">
        <f>IFERROR(__xludf.DUMMYFUNCTION("REGEXREPLACE(
 REGEXREPLACE(A565,""^cost\."",""""),
 ""\.[^.]+\.[^.]+$"",
 """"
)"),"building.warehouse@6")</f>
        <v>building.warehouse@6</v>
      </c>
      <c r="C565" s="49" t="str">
        <f t="array" ref="C565">_xlfn.XLOOKUP(
 B565,
 tblTargets[TargetID],
 tblTargets[DisplayName],
 ""
)</f>
        <v>Warehouse Lv 6</v>
      </c>
      <c r="D565" s="49" t="str">
        <f t="array" ref="D565">_xlfn.XLOOKUP(
 B565,
 tblTargets[TargetID],
 tblTargets[TargetType],
 ""
)</f>
        <v>BUILDING</v>
      </c>
      <c r="E565" s="49" t="s">
        <v>6</v>
      </c>
      <c r="F565" s="49">
        <v>1.0</v>
      </c>
      <c r="G565" s="49">
        <f t="array" ref="G565">_xlfn.XLOOKUP(
 A565,
 tblCost[RequirementID],
 tblCost[QuantityRequired],
 ""
)</f>
        <v>6</v>
      </c>
      <c r="H565" s="49">
        <f t="array" ref="H565">IF(
 OR(
  LEFT(B565,15)="state.character",
  RIGHT(B565,6)=".maxed"
 ),
 0,
 LET(
  sort,
   _xlfn.XLOOKUP(
    B565,
    tblChecklist[TargetID],
    tblChecklist[PlayerSort],
    0
   ),
  IF(sort=0,500,sort)
 )
)</f>
        <v>98</v>
      </c>
      <c r="I565" s="49" t="str">
        <f t="array" ref="I565">_xlfn.XLOOKUP(
 B565,
 tblTargetStatus[TargetID],
 tblTargetStatus[Status],
 ""
)</f>
        <v>BLOCKED</v>
      </c>
      <c r="J565" s="45" t="b">
        <v>0</v>
      </c>
    </row>
    <row r="566" ht="14.25" hidden="1" customHeight="1">
      <c r="A566" s="49" t="s">
        <v>2167</v>
      </c>
      <c r="B566" s="49" t="str">
        <f>IFERROR(__xludf.DUMMYFUNCTION("REGEXREPLACE(
 REGEXREPLACE(A566,""^cost\."",""""),
 ""\.[^.]+\.[^.]+$"",
 """"
)"),"building.warehouse@6")</f>
        <v>building.warehouse@6</v>
      </c>
      <c r="C566" s="49" t="str">
        <f t="array" ref="C566">_xlfn.XLOOKUP(
 B566,
 tblTargets[TargetID],
 tblTargets[DisplayName],
 ""
)</f>
        <v>Warehouse Lv 6</v>
      </c>
      <c r="D566" s="49" t="str">
        <f t="array" ref="D566">_xlfn.XLOOKUP(
 B566,
 tblTargets[TargetID],
 tblTargets[TargetType],
 ""
)</f>
        <v>BUILDING</v>
      </c>
      <c r="E566" s="49" t="s">
        <v>392</v>
      </c>
      <c r="F566" s="49">
        <v>1.0</v>
      </c>
      <c r="G566" s="49">
        <f t="array" ref="G566">_xlfn.XLOOKUP(
 A566,
 tblCost[RequirementID],
 tblCost[QuantityRequired],
 ""
)</f>
        <v>20</v>
      </c>
      <c r="H566" s="49">
        <f t="array" ref="H566">IF(
 OR(
  LEFT(B566,15)="state.character",
  RIGHT(B566,6)=".maxed"
 ),
 0,
 LET(
  sort,
   _xlfn.XLOOKUP(
    B566,
    tblChecklist[TargetID],
    tblChecklist[PlayerSort],
    0
   ),
  IF(sort=0,500,sort)
 )
)</f>
        <v>98</v>
      </c>
      <c r="I566" s="49" t="str">
        <f t="array" ref="I566">_xlfn.XLOOKUP(
 B566,
 tblTargetStatus[TargetID],
 tblTargetStatus[Status],
 ""
)</f>
        <v>BLOCKED</v>
      </c>
      <c r="J566" s="45" t="b">
        <v>0</v>
      </c>
    </row>
    <row r="567" ht="14.25" hidden="1" customHeight="1">
      <c r="A567" s="49" t="s">
        <v>2170</v>
      </c>
      <c r="B567" s="49" t="str">
        <f>IFERROR(__xludf.DUMMYFUNCTION("REGEXREPLACE(
 REGEXREPLACE(A567,""^cost\."",""""),
 ""\.[^.]+\.[^.]+$"",
 """"
)"),"building.warehouse@6")</f>
        <v>building.warehouse@6</v>
      </c>
      <c r="C567" s="49" t="str">
        <f t="array" ref="C567">_xlfn.XLOOKUP(
 B567,
 tblTargets[TargetID],
 tblTargets[DisplayName],
 ""
)</f>
        <v>Warehouse Lv 6</v>
      </c>
      <c r="D567" s="49" t="str">
        <f t="array" ref="D567">_xlfn.XLOOKUP(
 B567,
 tblTargets[TargetID],
 tblTargets[TargetType],
 ""
)</f>
        <v>BUILDING</v>
      </c>
      <c r="E567" s="49" t="s">
        <v>237</v>
      </c>
      <c r="F567" s="49">
        <v>1.0</v>
      </c>
      <c r="G567" s="49">
        <f t="array" ref="G567">_xlfn.XLOOKUP(
 A567,
 tblCost[RequirementID],
 tblCost[QuantityRequired],
 ""
)</f>
        <v>220</v>
      </c>
      <c r="H567" s="49">
        <f t="array" ref="H567">IF(
 OR(
  LEFT(B567,15)="state.character",
  RIGHT(B567,6)=".maxed"
 ),
 0,
 LET(
  sort,
   _xlfn.XLOOKUP(
    B567,
    tblChecklist[TargetID],
    tblChecklist[PlayerSort],
    0
   ),
  IF(sort=0,500,sort)
 )
)</f>
        <v>98</v>
      </c>
      <c r="I567" s="49" t="str">
        <f t="array" ref="I567">_xlfn.XLOOKUP(
 B567,
 tblTargetStatus[TargetID],
 tblTargetStatus[Status],
 ""
)</f>
        <v>BLOCKED</v>
      </c>
      <c r="J567" s="45" t="b">
        <v>0</v>
      </c>
    </row>
    <row r="568" ht="14.25" hidden="1" customHeight="1">
      <c r="A568" s="49" t="s">
        <v>2171</v>
      </c>
      <c r="B568" s="49" t="str">
        <f>IFERROR(__xludf.DUMMYFUNCTION("REGEXREPLACE(
 REGEXREPLACE(A568,""^cost\."",""""),
 ""\.[^.]+\.[^.]+$"",
 """"
)"),"building.warehouse@7")</f>
        <v>building.warehouse@7</v>
      </c>
      <c r="C568" s="49" t="str">
        <f t="array" ref="C568">_xlfn.XLOOKUP(
 B568,
 tblTargets[TargetID],
 tblTargets[DisplayName],
 ""
)</f>
        <v>Warehouse Lv 7</v>
      </c>
      <c r="D568" s="49" t="str">
        <f t="array" ref="D568">_xlfn.XLOOKUP(
 B568,
 tblTargets[TargetID],
 tblTargets[TargetType],
 ""
)</f>
        <v>BUILDING</v>
      </c>
      <c r="E568" s="49" t="s">
        <v>278</v>
      </c>
      <c r="F568" s="49">
        <v>1.0</v>
      </c>
      <c r="G568" s="49">
        <f t="array" ref="G568">_xlfn.XLOOKUP(
 A568,
 tblCost[RequirementID],
 tblCost[QuantityRequired],
 ""
)</f>
        <v>520</v>
      </c>
      <c r="H568" s="49">
        <f t="array" ref="H568">IF(
 OR(
  LEFT(B568,15)="state.character",
  RIGHT(B568,6)=".maxed"
 ),
 0,
 LET(
  sort,
   _xlfn.XLOOKUP(
    B568,
    tblChecklist[TargetID],
    tblChecklist[PlayerSort],
    0
   ),
  IF(sort=0,500,sort)
 )
)</f>
        <v>99</v>
      </c>
      <c r="I568" s="49" t="str">
        <f t="array" ref="I568">_xlfn.XLOOKUP(
 B568,
 tblTargetStatus[TargetID],
 tblTargetStatus[Status],
 ""
)</f>
        <v>BLOCKED</v>
      </c>
      <c r="J568" s="45" t="b">
        <v>0</v>
      </c>
    </row>
    <row r="569" ht="14.25" hidden="1" customHeight="1">
      <c r="A569" s="49" t="s">
        <v>2172</v>
      </c>
      <c r="B569" s="49" t="str">
        <f>IFERROR(__xludf.DUMMYFUNCTION("REGEXREPLACE(
 REGEXREPLACE(A569,""^cost\."",""""),
 ""\.[^.]+\.[^.]+$"",
 """"
)"),"building.warehouse@7")</f>
        <v>building.warehouse@7</v>
      </c>
      <c r="C569" s="49" t="str">
        <f t="array" ref="C569">_xlfn.XLOOKUP(
 B569,
 tblTargets[TargetID],
 tblTargets[DisplayName],
 ""
)</f>
        <v>Warehouse Lv 7</v>
      </c>
      <c r="D569" s="49" t="str">
        <f t="array" ref="D569">_xlfn.XLOOKUP(
 B569,
 tblTargets[TargetID],
 tblTargets[TargetType],
 ""
)</f>
        <v>BUILDING</v>
      </c>
      <c r="E569" s="49" t="s">
        <v>119</v>
      </c>
      <c r="F569" s="49">
        <v>1.0</v>
      </c>
      <c r="G569" s="49">
        <f t="array" ref="G569">_xlfn.XLOOKUP(
 A569,
 tblCost[RequirementID],
 tblCost[QuantityRequired],
 ""
)</f>
        <v>700</v>
      </c>
      <c r="H569" s="49">
        <f t="array" ref="H569">IF(
 OR(
  LEFT(B569,15)="state.character",
  RIGHT(B569,6)=".maxed"
 ),
 0,
 LET(
  sort,
   _xlfn.XLOOKUP(
    B569,
    tblChecklist[TargetID],
    tblChecklist[PlayerSort],
    0
   ),
  IF(sort=0,500,sort)
 )
)</f>
        <v>99</v>
      </c>
      <c r="I569" s="49" t="str">
        <f t="array" ref="I569">_xlfn.XLOOKUP(
 B569,
 tblTargetStatus[TargetID],
 tblTargetStatus[Status],
 ""
)</f>
        <v>BLOCKED</v>
      </c>
      <c r="J569" s="45" t="b">
        <v>0</v>
      </c>
    </row>
    <row r="570" ht="14.25" hidden="1" customHeight="1">
      <c r="A570" s="49" t="s">
        <v>2173</v>
      </c>
      <c r="B570" s="49" t="str">
        <f>IFERROR(__xludf.DUMMYFUNCTION("REGEXREPLACE(
 REGEXREPLACE(A570,""^cost\."",""""),
 ""\.[^.]+\.[^.]+$"",
 """"
)"),"building.warehouse@7")</f>
        <v>building.warehouse@7</v>
      </c>
      <c r="C570" s="49" t="str">
        <f t="array" ref="C570">_xlfn.XLOOKUP(
 B570,
 tblTargets[TargetID],
 tblTargets[DisplayName],
 ""
)</f>
        <v>Warehouse Lv 7</v>
      </c>
      <c r="D570" s="49" t="str">
        <f t="array" ref="D570">_xlfn.XLOOKUP(
 B570,
 tblTargets[TargetID],
 tblTargets[TargetType],
 ""
)</f>
        <v>BUILDING</v>
      </c>
      <c r="E570" s="49" t="s">
        <v>6</v>
      </c>
      <c r="F570" s="49">
        <v>1.0</v>
      </c>
      <c r="G570" s="49">
        <f t="array" ref="G570">_xlfn.XLOOKUP(
 A570,
 tblCost[RequirementID],
 tblCost[QuantityRequired],
 ""
)</f>
        <v>7</v>
      </c>
      <c r="H570" s="49">
        <f t="array" ref="H570">IF(
 OR(
  LEFT(B570,15)="state.character",
  RIGHT(B570,6)=".maxed"
 ),
 0,
 LET(
  sort,
   _xlfn.XLOOKUP(
    B570,
    tblChecklist[TargetID],
    tblChecklist[PlayerSort],
    0
   ),
  IF(sort=0,500,sort)
 )
)</f>
        <v>99</v>
      </c>
      <c r="I570" s="49" t="str">
        <f t="array" ref="I570">_xlfn.XLOOKUP(
 B570,
 tblTargetStatus[TargetID],
 tblTargetStatus[Status],
 ""
)</f>
        <v>BLOCKED</v>
      </c>
      <c r="J570" s="45" t="b">
        <v>0</v>
      </c>
    </row>
    <row r="571" ht="14.25" hidden="1" customHeight="1">
      <c r="A571" s="49" t="s">
        <v>2174</v>
      </c>
      <c r="B571" s="49" t="str">
        <f>IFERROR(__xludf.DUMMYFUNCTION("REGEXREPLACE(
 REGEXREPLACE(A571,""^cost\."",""""),
 ""\.[^.]+\.[^.]+$"",
 """"
)"),"building.warehouse@7")</f>
        <v>building.warehouse@7</v>
      </c>
      <c r="C571" s="49" t="str">
        <f t="array" ref="C571">_xlfn.XLOOKUP(
 B571,
 tblTargets[TargetID],
 tblTargets[DisplayName],
 ""
)</f>
        <v>Warehouse Lv 7</v>
      </c>
      <c r="D571" s="49" t="str">
        <f t="array" ref="D571">_xlfn.XLOOKUP(
 B571,
 tblTargets[TargetID],
 tblTargets[TargetType],
 ""
)</f>
        <v>BUILDING</v>
      </c>
      <c r="E571" s="49" t="s">
        <v>392</v>
      </c>
      <c r="F571" s="49">
        <v>1.0</v>
      </c>
      <c r="G571" s="49">
        <f t="array" ref="G571">_xlfn.XLOOKUP(
 A571,
 tblCost[RequirementID],
 tblCost[QuantityRequired],
 ""
)</f>
        <v>30</v>
      </c>
      <c r="H571" s="49">
        <f t="array" ref="H571">IF(
 OR(
  LEFT(B571,15)="state.character",
  RIGHT(B571,6)=".maxed"
 ),
 0,
 LET(
  sort,
   _xlfn.XLOOKUP(
    B571,
    tblChecklist[TargetID],
    tblChecklist[PlayerSort],
    0
   ),
  IF(sort=0,500,sort)
 )
)</f>
        <v>99</v>
      </c>
      <c r="I571" s="49" t="str">
        <f t="array" ref="I571">_xlfn.XLOOKUP(
 B571,
 tblTargetStatus[TargetID],
 tblTargetStatus[Status],
 ""
)</f>
        <v>BLOCKED</v>
      </c>
      <c r="J571" s="45" t="b">
        <v>0</v>
      </c>
    </row>
    <row r="572" ht="14.25" hidden="1" customHeight="1">
      <c r="A572" s="49" t="s">
        <v>2175</v>
      </c>
      <c r="B572" s="49" t="str">
        <f>IFERROR(__xludf.DUMMYFUNCTION("REGEXREPLACE(
 REGEXREPLACE(A572,""^cost\."",""""),
 ""\.[^.]+\.[^.]+$"",
 """"
)"),"building.warehouse@7")</f>
        <v>building.warehouse@7</v>
      </c>
      <c r="C572" s="49" t="str">
        <f t="array" ref="C572">_xlfn.XLOOKUP(
 B572,
 tblTargets[TargetID],
 tblTargets[DisplayName],
 ""
)</f>
        <v>Warehouse Lv 7</v>
      </c>
      <c r="D572" s="49" t="str">
        <f t="array" ref="D572">_xlfn.XLOOKUP(
 B572,
 tblTargets[TargetID],
 tblTargets[TargetType],
 ""
)</f>
        <v>BUILDING</v>
      </c>
      <c r="E572" s="49" t="s">
        <v>237</v>
      </c>
      <c r="F572" s="49">
        <v>1.0</v>
      </c>
      <c r="G572" s="49">
        <f t="array" ref="G572">_xlfn.XLOOKUP(
 A572,
 tblCost[RequirementID],
 tblCost[QuantityRequired],
 ""
)</f>
        <v>260</v>
      </c>
      <c r="H572" s="49">
        <f t="array" ref="H572">IF(
 OR(
  LEFT(B572,15)="state.character",
  RIGHT(B572,6)=".maxed"
 ),
 0,
 LET(
  sort,
   _xlfn.XLOOKUP(
    B572,
    tblChecklist[TargetID],
    tblChecklist[PlayerSort],
    0
   ),
  IF(sort=0,500,sort)
 )
)</f>
        <v>99</v>
      </c>
      <c r="I572" s="49" t="str">
        <f t="array" ref="I572">_xlfn.XLOOKUP(
 B572,
 tblTargetStatus[TargetID],
 tblTargetStatus[Status],
 ""
)</f>
        <v>BLOCKED</v>
      </c>
      <c r="J572" s="45" t="b">
        <v>0</v>
      </c>
    </row>
    <row r="573" ht="14.25" hidden="1" customHeight="1">
      <c r="A573" s="49" t="s">
        <v>2176</v>
      </c>
      <c r="B573" s="49" t="str">
        <f>IFERROR(__xludf.DUMMYFUNCTION("REGEXREPLACE(
 REGEXREPLACE(A573,""^cost\."",""""),
 ""\.[^.]+\.[^.]+$"",
 """"
)"),"building.windmill@1")</f>
        <v>building.windmill@1</v>
      </c>
      <c r="C573" s="49" t="str">
        <f t="array" ref="C573">_xlfn.XLOOKUP(
 B573,
 tblTargets[TargetID],
 tblTargets[DisplayName],
 ""
)</f>
        <v>Windmill Lv 1</v>
      </c>
      <c r="D573" s="49" t="str">
        <f t="array" ref="D573">_xlfn.XLOOKUP(
 B573,
 tblTargets[TargetID],
 tblTargets[TargetType],
 ""
)</f>
        <v>BUILDING</v>
      </c>
      <c r="E573" s="49" t="s">
        <v>119</v>
      </c>
      <c r="F573" s="49">
        <v>1.0</v>
      </c>
      <c r="G573" s="49">
        <f t="array" ref="G573">_xlfn.XLOOKUP(
 A573,
 tblCost[RequirementID],
 tblCost[QuantityRequired],
 ""
)</f>
        <v>300</v>
      </c>
      <c r="H573" s="49">
        <f t="array" ref="H573">IF(
 OR(
  LEFT(B573,15)="state.character",
  RIGHT(B573,6)=".maxed"
 ),
 0,
 LET(
  sort,
   _xlfn.XLOOKUP(
    B573,
    tblChecklist[TargetID],
    tblChecklist[PlayerSort],
    0
   ),
  IF(sort=0,500,sort)
 )
)</f>
        <v>9</v>
      </c>
      <c r="I573" s="49" t="str">
        <f t="array" ref="I573">_xlfn.XLOOKUP(
 B573,
 tblTargetStatus[TargetID],
 tblTargetStatus[Status],
 ""
)</f>
        <v>BLOCKED</v>
      </c>
      <c r="J573" s="45" t="b">
        <v>0</v>
      </c>
    </row>
    <row r="574" ht="14.25" hidden="1" customHeight="1">
      <c r="A574" s="49" t="s">
        <v>2177</v>
      </c>
      <c r="B574" s="49" t="str">
        <f>IFERROR(__xludf.DUMMYFUNCTION("REGEXREPLACE(
 REGEXREPLACE(A574,""^cost\."",""""),
 ""\.[^.]+\.[^.]+$"",
 """"
)"),"building.windmill@1")</f>
        <v>building.windmill@1</v>
      </c>
      <c r="C574" s="49" t="str">
        <f t="array" ref="C574">_xlfn.XLOOKUP(
 B574,
 tblTargets[TargetID],
 tblTargets[DisplayName],
 ""
)</f>
        <v>Windmill Lv 1</v>
      </c>
      <c r="D574" s="49" t="str">
        <f t="array" ref="D574">_xlfn.XLOOKUP(
 B574,
 tblTargets[TargetID],
 tblTargets[TargetType],
 ""
)</f>
        <v>BUILDING</v>
      </c>
      <c r="E574" s="49" t="s">
        <v>6</v>
      </c>
      <c r="F574" s="49">
        <v>1.0</v>
      </c>
      <c r="G574" s="49">
        <f t="array" ref="G574">_xlfn.XLOOKUP(
 A574,
 tblCost[RequirementID],
 tblCost[QuantityRequired],
 ""
)</f>
        <v>1</v>
      </c>
      <c r="H574" s="49">
        <f t="array" ref="H574">IF(
 OR(
  LEFT(B574,15)="state.character",
  RIGHT(B574,6)=".maxed"
 ),
 0,
 LET(
  sort,
   _xlfn.XLOOKUP(
    B574,
    tblChecklist[TargetID],
    tblChecklist[PlayerSort],
    0
   ),
  IF(sort=0,500,sort)
 )
)</f>
        <v>9</v>
      </c>
      <c r="I574" s="49" t="str">
        <f t="array" ref="I574">_xlfn.XLOOKUP(
 B574,
 tblTargetStatus[TargetID],
 tblTargetStatus[Status],
 ""
)</f>
        <v>BLOCKED</v>
      </c>
      <c r="J574" s="45" t="b">
        <v>0</v>
      </c>
    </row>
    <row r="575" ht="14.25" hidden="1" customHeight="1">
      <c r="A575" s="49" t="s">
        <v>2178</v>
      </c>
      <c r="B575" s="49" t="str">
        <f>IFERROR(__xludf.DUMMYFUNCTION("REGEXREPLACE(
 REGEXREPLACE(A575,""^cost\."",""""),
 ""\.[^.]+\.[^.]+$"",
 """"
)"),"building.windmill@1")</f>
        <v>building.windmill@1</v>
      </c>
      <c r="C575" s="49" t="str">
        <f t="array" ref="C575">_xlfn.XLOOKUP(
 B575,
 tblTargets[TargetID],
 tblTargets[DisplayName],
 ""
)</f>
        <v>Windmill Lv 1</v>
      </c>
      <c r="D575" s="49" t="str">
        <f t="array" ref="D575">_xlfn.XLOOKUP(
 B575,
 tblTargets[TargetID],
 tblTargets[TargetType],
 ""
)</f>
        <v>BUILDING</v>
      </c>
      <c r="E575" s="49" t="s">
        <v>392</v>
      </c>
      <c r="F575" s="49">
        <v>1.0</v>
      </c>
      <c r="G575" s="49">
        <f t="array" ref="G575">_xlfn.XLOOKUP(
 A575,
 tblCost[RequirementID],
 tblCost[QuantityRequired],
 ""
)</f>
        <v>40</v>
      </c>
      <c r="H575" s="49">
        <f t="array" ref="H575">IF(
 OR(
  LEFT(B575,15)="state.character",
  RIGHT(B575,6)=".maxed"
 ),
 0,
 LET(
  sort,
   _xlfn.XLOOKUP(
    B575,
    tblChecklist[TargetID],
    tblChecklist[PlayerSort],
    0
   ),
  IF(sort=0,500,sort)
 )
)</f>
        <v>9</v>
      </c>
      <c r="I575" s="49" t="str">
        <f t="array" ref="I575">_xlfn.XLOOKUP(
 B575,
 tblTargetStatus[TargetID],
 tblTargetStatus[Status],
 ""
)</f>
        <v>BLOCKED</v>
      </c>
      <c r="J575" s="45" t="b">
        <v>0</v>
      </c>
    </row>
    <row r="576" ht="14.25" hidden="1" customHeight="1">
      <c r="A576" s="49" t="s">
        <v>2179</v>
      </c>
      <c r="B576" s="49" t="str">
        <f>IFERROR(__xludf.DUMMYFUNCTION("REGEXREPLACE(
 REGEXREPLACE(A576,""^cost\."",""""),
 ""\.[^.]+\.[^.]+$"",
 """"
)"),"building.windmill@1")</f>
        <v>building.windmill@1</v>
      </c>
      <c r="C576" s="49" t="str">
        <f t="array" ref="C576">_xlfn.XLOOKUP(
 B576,
 tblTargets[TargetID],
 tblTargets[DisplayName],
 ""
)</f>
        <v>Windmill Lv 1</v>
      </c>
      <c r="D576" s="49" t="str">
        <f t="array" ref="D576">_xlfn.XLOOKUP(
 B576,
 tblTargets[TargetID],
 tblTargets[TargetType],
 ""
)</f>
        <v>BUILDING</v>
      </c>
      <c r="E576" s="49" t="s">
        <v>237</v>
      </c>
      <c r="F576" s="49">
        <v>1.0</v>
      </c>
      <c r="G576" s="49">
        <f t="array" ref="G576">_xlfn.XLOOKUP(
 A576,
 tblCost[RequirementID],
 tblCost[QuantityRequired],
 ""
)</f>
        <v>150</v>
      </c>
      <c r="H576" s="49">
        <f t="array" ref="H576">IF(
 OR(
  LEFT(B576,15)="state.character",
  RIGHT(B576,6)=".maxed"
 ),
 0,
 LET(
  sort,
   _xlfn.XLOOKUP(
    B576,
    tblChecklist[TargetID],
    tblChecklist[PlayerSort],
    0
   ),
  IF(sort=0,500,sort)
 )
)</f>
        <v>9</v>
      </c>
      <c r="I576" s="49" t="str">
        <f t="array" ref="I576">_xlfn.XLOOKUP(
 B576,
 tblTargetStatus[TargetID],
 tblTargetStatus[Status],
 ""
)</f>
        <v>BLOCKED</v>
      </c>
      <c r="J576" s="45" t="b">
        <v>0</v>
      </c>
    </row>
    <row r="577" ht="14.25" hidden="1" customHeight="1">
      <c r="A577" s="49" t="s">
        <v>2180</v>
      </c>
      <c r="B577" s="49" t="str">
        <f>IFERROR(__xludf.DUMMYFUNCTION("REGEXREPLACE(
 REGEXREPLACE(A577,""^cost\."",""""),
 ""\.[^.]+\.[^.]+$"",
 """"
)"),"building.windmill@1")</f>
        <v>building.windmill@1</v>
      </c>
      <c r="C577" s="49" t="str">
        <f t="array" ref="C577">_xlfn.XLOOKUP(
 B577,
 tblTargets[TargetID],
 tblTargets[DisplayName],
 ""
)</f>
        <v>Windmill Lv 1</v>
      </c>
      <c r="D577" s="49" t="str">
        <f t="array" ref="D577">_xlfn.XLOOKUP(
 B577,
 tblTargets[TargetID],
 tblTargets[TargetType],
 ""
)</f>
        <v>BUILDING</v>
      </c>
      <c r="E577" s="49" t="s">
        <v>244</v>
      </c>
      <c r="F577" s="49">
        <v>1.0</v>
      </c>
      <c r="G577" s="49">
        <f t="array" ref="G577">_xlfn.XLOOKUP(
 A577,
 tblCost[RequirementID],
 tblCost[QuantityRequired],
 ""
)</f>
        <v>150</v>
      </c>
      <c r="H577" s="49">
        <f t="array" ref="H577">IF(
 OR(
  LEFT(B577,15)="state.character",
  RIGHT(B577,6)=".maxed"
 ),
 0,
 LET(
  sort,
   _xlfn.XLOOKUP(
    B577,
    tblChecklist[TargetID],
    tblChecklist[PlayerSort],
    0
   ),
  IF(sort=0,500,sort)
 )
)</f>
        <v>9</v>
      </c>
      <c r="I577" s="49" t="str">
        <f t="array" ref="I577">_xlfn.XLOOKUP(
 B577,
 tblTargetStatus[TargetID],
 tblTargetStatus[Status],
 ""
)</f>
        <v>BLOCKED</v>
      </c>
      <c r="J577" s="45" t="b">
        <v>0</v>
      </c>
    </row>
    <row r="578" ht="14.25" hidden="1" customHeight="1">
      <c r="A578" s="49" t="s">
        <v>2181</v>
      </c>
      <c r="B578" s="49" t="str">
        <f>IFERROR(__xludf.DUMMYFUNCTION("REGEXREPLACE(
 REGEXREPLACE(A578,""^cost\."",""""),
 ""\.[^.]+\.[^.]+$"",
 """"
)"),"building.windmill@2")</f>
        <v>building.windmill@2</v>
      </c>
      <c r="C578" s="49" t="str">
        <f t="array" ref="C578">_xlfn.XLOOKUP(
 B578,
 tblTargets[TargetID],
 tblTargets[DisplayName],
 ""
)</f>
        <v>Windmill Lv 2</v>
      </c>
      <c r="D578" s="49" t="str">
        <f t="array" ref="D578">_xlfn.XLOOKUP(
 B578,
 tblTargets[TargetID],
 tblTargets[TargetType],
 ""
)</f>
        <v>BUILDING</v>
      </c>
      <c r="E578" s="49" t="s">
        <v>278</v>
      </c>
      <c r="F578" s="49">
        <v>1.0</v>
      </c>
      <c r="G578" s="49">
        <f t="array" ref="G578">_xlfn.XLOOKUP(
 A578,
 tblCost[RequirementID],
 tblCost[QuantityRequired],
 ""
)</f>
        <v>400</v>
      </c>
      <c r="H578" s="49">
        <f t="array" ref="H578">IF(
 OR(
  LEFT(B578,15)="state.character",
  RIGHT(B578,6)=".maxed"
 ),
 0,
 LET(
  sort,
   _xlfn.XLOOKUP(
    B578,
    tblChecklist[TargetID],
    tblChecklist[PlayerSort],
    0
   ),
  IF(sort=0,500,sort)
 )
)</f>
        <v>15</v>
      </c>
      <c r="I578" s="49" t="str">
        <f t="array" ref="I578">_xlfn.XLOOKUP(
 B578,
 tblTargetStatus[TargetID],
 tblTargetStatus[Status],
 ""
)</f>
        <v>BLOCKED</v>
      </c>
      <c r="J578" s="45" t="b">
        <v>0</v>
      </c>
    </row>
    <row r="579" ht="14.25" hidden="1" customHeight="1">
      <c r="A579" s="49" t="s">
        <v>2182</v>
      </c>
      <c r="B579" s="49" t="str">
        <f>IFERROR(__xludf.DUMMYFUNCTION("REGEXREPLACE(
 REGEXREPLACE(A579,""^cost\."",""""),
 ""\.[^.]+\.[^.]+$"",
 """"
)"),"building.windmill@2")</f>
        <v>building.windmill@2</v>
      </c>
      <c r="C579" s="49" t="str">
        <f t="array" ref="C579">_xlfn.XLOOKUP(
 B579,
 tblTargets[TargetID],
 tblTargets[DisplayName],
 ""
)</f>
        <v>Windmill Lv 2</v>
      </c>
      <c r="D579" s="49" t="str">
        <f t="array" ref="D579">_xlfn.XLOOKUP(
 B579,
 tblTargets[TargetID],
 tblTargets[TargetType],
 ""
)</f>
        <v>BUILDING</v>
      </c>
      <c r="E579" s="49" t="s">
        <v>119</v>
      </c>
      <c r="F579" s="49">
        <v>1.0</v>
      </c>
      <c r="G579" s="49">
        <f t="array" ref="G579">_xlfn.XLOOKUP(
 A579,
 tblCost[RequirementID],
 tblCost[QuantityRequired],
 ""
)</f>
        <v>500</v>
      </c>
      <c r="H579" s="49">
        <f t="array" ref="H579">IF(
 OR(
  LEFT(B579,15)="state.character",
  RIGHT(B579,6)=".maxed"
 ),
 0,
 LET(
  sort,
   _xlfn.XLOOKUP(
    B579,
    tblChecklist[TargetID],
    tblChecklist[PlayerSort],
    0
   ),
  IF(sort=0,500,sort)
 )
)</f>
        <v>15</v>
      </c>
      <c r="I579" s="49" t="str">
        <f t="array" ref="I579">_xlfn.XLOOKUP(
 B579,
 tblTargetStatus[TargetID],
 tblTargetStatus[Status],
 ""
)</f>
        <v>BLOCKED</v>
      </c>
      <c r="J579" s="45" t="b">
        <v>0</v>
      </c>
    </row>
    <row r="580" ht="14.25" hidden="1" customHeight="1">
      <c r="A580" s="49" t="s">
        <v>2183</v>
      </c>
      <c r="B580" s="49" t="str">
        <f>IFERROR(__xludf.DUMMYFUNCTION("REGEXREPLACE(
 REGEXREPLACE(A580,""^cost\."",""""),
 ""\.[^.]+\.[^.]+$"",
 """"
)"),"building.windmill@2")</f>
        <v>building.windmill@2</v>
      </c>
      <c r="C580" s="49" t="str">
        <f t="array" ref="C580">_xlfn.XLOOKUP(
 B580,
 tblTargets[TargetID],
 tblTargets[DisplayName],
 ""
)</f>
        <v>Windmill Lv 2</v>
      </c>
      <c r="D580" s="49" t="str">
        <f t="array" ref="D580">_xlfn.XLOOKUP(
 B580,
 tblTargets[TargetID],
 tblTargets[TargetType],
 ""
)</f>
        <v>BUILDING</v>
      </c>
      <c r="E580" s="49" t="s">
        <v>126</v>
      </c>
      <c r="F580" s="49">
        <v>1.0</v>
      </c>
      <c r="G580" s="49">
        <f t="array" ref="G580">_xlfn.XLOOKUP(
 A580,
 tblCost[RequirementID],
 tblCost[QuantityRequired],
 ""
)</f>
        <v>30</v>
      </c>
      <c r="H580" s="49">
        <f t="array" ref="H580">IF(
 OR(
  LEFT(B580,15)="state.character",
  RIGHT(B580,6)=".maxed"
 ),
 0,
 LET(
  sort,
   _xlfn.XLOOKUP(
    B580,
    tblChecklist[TargetID],
    tblChecklist[PlayerSort],
    0
   ),
  IF(sort=0,500,sort)
 )
)</f>
        <v>15</v>
      </c>
      <c r="I580" s="49" t="str">
        <f t="array" ref="I580">_xlfn.XLOOKUP(
 B580,
 tblTargetStatus[TargetID],
 tblTargetStatus[Status],
 ""
)</f>
        <v>BLOCKED</v>
      </c>
      <c r="J580" s="45" t="b">
        <v>0</v>
      </c>
    </row>
    <row r="581" ht="14.25" hidden="1" customHeight="1">
      <c r="A581" s="49" t="s">
        <v>2184</v>
      </c>
      <c r="B581" s="49" t="str">
        <f>IFERROR(__xludf.DUMMYFUNCTION("REGEXREPLACE(
 REGEXREPLACE(A581,""^cost\."",""""),
 ""\.[^.]+\.[^.]+$"",
 """"
)"),"building.windmill@2")</f>
        <v>building.windmill@2</v>
      </c>
      <c r="C581" s="49" t="str">
        <f t="array" ref="C581">_xlfn.XLOOKUP(
 B581,
 tblTargets[TargetID],
 tblTargets[DisplayName],
 ""
)</f>
        <v>Windmill Lv 2</v>
      </c>
      <c r="D581" s="49" t="str">
        <f t="array" ref="D581">_xlfn.XLOOKUP(
 B581,
 tblTargets[TargetID],
 tblTargets[TargetType],
 ""
)</f>
        <v>BUILDING</v>
      </c>
      <c r="E581" s="49" t="s">
        <v>6</v>
      </c>
      <c r="F581" s="49">
        <v>1.0</v>
      </c>
      <c r="G581" s="49">
        <f t="array" ref="G581">_xlfn.XLOOKUP(
 A581,
 tblCost[RequirementID],
 tblCost[QuantityRequired],
 ""
)</f>
        <v>3</v>
      </c>
      <c r="H581" s="49">
        <f t="array" ref="H581">IF(
 OR(
  LEFT(B581,15)="state.character",
  RIGHT(B581,6)=".maxed"
 ),
 0,
 LET(
  sort,
   _xlfn.XLOOKUP(
    B581,
    tblChecklist[TargetID],
    tblChecklist[PlayerSort],
    0
   ),
  IF(sort=0,500,sort)
 )
)</f>
        <v>15</v>
      </c>
      <c r="I581" s="49" t="str">
        <f t="array" ref="I581">_xlfn.XLOOKUP(
 B581,
 tblTargetStatus[TargetID],
 tblTargetStatus[Status],
 ""
)</f>
        <v>BLOCKED</v>
      </c>
      <c r="J581" s="45" t="b">
        <v>0</v>
      </c>
    </row>
    <row r="582" ht="14.25" hidden="1" customHeight="1">
      <c r="A582" s="49" t="s">
        <v>2185</v>
      </c>
      <c r="B582" s="49" t="str">
        <f>IFERROR(__xludf.DUMMYFUNCTION("REGEXREPLACE(
 REGEXREPLACE(A582,""^cost\."",""""),
 ""\.[^.]+\.[^.]+$"",
 """"
)"),"building.windmill@2")</f>
        <v>building.windmill@2</v>
      </c>
      <c r="C582" s="49" t="str">
        <f t="array" ref="C582">_xlfn.XLOOKUP(
 B582,
 tblTargets[TargetID],
 tblTargets[DisplayName],
 ""
)</f>
        <v>Windmill Lv 2</v>
      </c>
      <c r="D582" s="49" t="str">
        <f t="array" ref="D582">_xlfn.XLOOKUP(
 B582,
 tblTargets[TargetID],
 tblTargets[TargetType],
 ""
)</f>
        <v>BUILDING</v>
      </c>
      <c r="E582" s="49" t="s">
        <v>237</v>
      </c>
      <c r="F582" s="49">
        <v>1.0</v>
      </c>
      <c r="G582" s="49">
        <f t="array" ref="G582">_xlfn.XLOOKUP(
 A582,
 tblCost[RequirementID],
 tblCost[QuantityRequired],
 ""
)</f>
        <v>200</v>
      </c>
      <c r="H582" s="49">
        <f t="array" ref="H582">IF(
 OR(
  LEFT(B582,15)="state.character",
  RIGHT(B582,6)=".maxed"
 ),
 0,
 LET(
  sort,
   _xlfn.XLOOKUP(
    B582,
    tblChecklist[TargetID],
    tblChecklist[PlayerSort],
    0
   ),
  IF(sort=0,500,sort)
 )
)</f>
        <v>15</v>
      </c>
      <c r="I582" s="49" t="str">
        <f t="array" ref="I582">_xlfn.XLOOKUP(
 B582,
 tblTargetStatus[TargetID],
 tblTargetStatus[Status],
 ""
)</f>
        <v>BLOCKED</v>
      </c>
      <c r="J582" s="45" t="b">
        <v>0</v>
      </c>
    </row>
    <row r="583" ht="14.25" hidden="1" customHeight="1">
      <c r="A583" s="49" t="s">
        <v>2186</v>
      </c>
      <c r="B583" s="49" t="str">
        <f>IFERROR(__xludf.DUMMYFUNCTION("REGEXREPLACE(
 REGEXREPLACE(A583,""^cost\."",""""),
 ""\.[^.]+\.[^.]+$"",
 """"
)"),"building.workshop@1")</f>
        <v>building.workshop@1</v>
      </c>
      <c r="C583" s="49" t="str">
        <f t="array" ref="C583">_xlfn.XLOOKUP(
 B583,
 tblTargets[TargetID],
 tblTargets[DisplayName],
 ""
)</f>
        <v>Workshop Lv 1</v>
      </c>
      <c r="D583" s="49" t="str">
        <f t="array" ref="D583">_xlfn.XLOOKUP(
 B583,
 tblTargets[TargetID],
 tblTargets[TargetType],
 ""
)</f>
        <v>BUILDING</v>
      </c>
      <c r="E583" s="49" t="s">
        <v>119</v>
      </c>
      <c r="F583" s="49">
        <v>1.0</v>
      </c>
      <c r="G583" s="49">
        <f t="array" ref="G583">_xlfn.XLOOKUP(
 A583,
 tblCost[RequirementID],
 tblCost[QuantityRequired],
 ""
)</f>
        <v>20</v>
      </c>
      <c r="H583" s="49">
        <f t="array" ref="H583">IF(
 OR(
  LEFT(B583,15)="state.character",
  RIGHT(B583,6)=".maxed"
 ),
 0,
 LET(
  sort,
   _xlfn.XLOOKUP(
    B583,
    tblChecklist[TargetID],
    tblChecklist[PlayerSort],
    0
   ),
  IF(sort=0,500,sort)
 )
)</f>
        <v>30</v>
      </c>
      <c r="I583" s="49" t="str">
        <f t="array" ref="I583">_xlfn.XLOOKUP(
 B583,
 tblTargetStatus[TargetID],
 tblTargetStatus[Status],
 ""
)</f>
        <v>BLOCKED</v>
      </c>
      <c r="J583" s="45" t="b">
        <v>0</v>
      </c>
    </row>
    <row r="584" ht="14.25" hidden="1" customHeight="1">
      <c r="A584" s="49" t="s">
        <v>2187</v>
      </c>
      <c r="B584" s="49" t="str">
        <f>IFERROR(__xludf.DUMMYFUNCTION("REGEXREPLACE(
 REGEXREPLACE(A584,""^cost\."",""""),
 ""\.[^.]+\.[^.]+$"",
 """"
)"),"building.workshop@1")</f>
        <v>building.workshop@1</v>
      </c>
      <c r="C584" s="49" t="str">
        <f t="array" ref="C584">_xlfn.XLOOKUP(
 B584,
 tblTargets[TargetID],
 tblTargets[DisplayName],
 ""
)</f>
        <v>Workshop Lv 1</v>
      </c>
      <c r="D584" s="49" t="str">
        <f t="array" ref="D584">_xlfn.XLOOKUP(
 B584,
 tblTargets[TargetID],
 tblTargets[TargetType],
 ""
)</f>
        <v>BUILDING</v>
      </c>
      <c r="E584" s="49" t="s">
        <v>6</v>
      </c>
      <c r="F584" s="49">
        <v>1.0</v>
      </c>
      <c r="G584" s="49">
        <f t="array" ref="G584">_xlfn.XLOOKUP(
 A584,
 tblCost[RequirementID],
 tblCost[QuantityRequired],
 ""
)</f>
        <v>1</v>
      </c>
      <c r="H584" s="49">
        <f t="array" ref="H584">IF(
 OR(
  LEFT(B584,15)="state.character",
  RIGHT(B584,6)=".maxed"
 ),
 0,
 LET(
  sort,
   _xlfn.XLOOKUP(
    B584,
    tblChecklist[TargetID],
    tblChecklist[PlayerSort],
    0
   ),
  IF(sort=0,500,sort)
 )
)</f>
        <v>30</v>
      </c>
      <c r="I584" s="49" t="str">
        <f t="array" ref="I584">_xlfn.XLOOKUP(
 B584,
 tblTargetStatus[TargetID],
 tblTargetStatus[Status],
 ""
)</f>
        <v>BLOCKED</v>
      </c>
      <c r="J584" s="45" t="b">
        <v>0</v>
      </c>
    </row>
    <row r="585" ht="14.25" hidden="1" customHeight="1">
      <c r="A585" s="49" t="s">
        <v>2188</v>
      </c>
      <c r="B585" s="49" t="str">
        <f>IFERROR(__xludf.DUMMYFUNCTION("REGEXREPLACE(
 REGEXREPLACE(A585,""^cost\."",""""),
 ""\.[^.]+\.[^.]+$"",
 """"
)"),"building.workshop@1")</f>
        <v>building.workshop@1</v>
      </c>
      <c r="C585" s="49" t="str">
        <f t="array" ref="C585">_xlfn.XLOOKUP(
 B585,
 tblTargets[TargetID],
 tblTargets[DisplayName],
 ""
)</f>
        <v>Workshop Lv 1</v>
      </c>
      <c r="D585" s="49" t="str">
        <f t="array" ref="D585">_xlfn.XLOOKUP(
 B585,
 tblTargets[TargetID],
 tblTargets[TargetType],
 ""
)</f>
        <v>BUILDING</v>
      </c>
      <c r="E585" s="49" t="s">
        <v>237</v>
      </c>
      <c r="F585" s="49">
        <v>1.0</v>
      </c>
      <c r="G585" s="49">
        <f t="array" ref="G585">_xlfn.XLOOKUP(
 A585,
 tblCost[RequirementID],
 tblCost[QuantityRequired],
 ""
)</f>
        <v>10</v>
      </c>
      <c r="H585" s="49">
        <f t="array" ref="H585">IF(
 OR(
  LEFT(B585,15)="state.character",
  RIGHT(B585,6)=".maxed"
 ),
 0,
 LET(
  sort,
   _xlfn.XLOOKUP(
    B585,
    tblChecklist[TargetID],
    tblChecklist[PlayerSort],
    0
   ),
  IF(sort=0,500,sort)
 )
)</f>
        <v>30</v>
      </c>
      <c r="I585" s="49" t="str">
        <f t="array" ref="I585">_xlfn.XLOOKUP(
 B585,
 tblTargetStatus[TargetID],
 tblTargetStatus[Status],
 ""
)</f>
        <v>BLOCKED</v>
      </c>
      <c r="J585" s="45" t="b">
        <v>0</v>
      </c>
    </row>
    <row r="586" ht="14.25" hidden="1" customHeight="1">
      <c r="A586" s="49" t="s">
        <v>2189</v>
      </c>
      <c r="B586" s="49" t="str">
        <f>IFERROR(__xludf.DUMMYFUNCTION("REGEXREPLACE(
 REGEXREPLACE(A586,""^cost\."",""""),
 ""\.[^.]+\.[^.]+$"",
 """"
)"),"building.workshop@1")</f>
        <v>building.workshop@1</v>
      </c>
      <c r="C586" s="49" t="str">
        <f t="array" ref="C586">_xlfn.XLOOKUP(
 B586,
 tblTargets[TargetID],
 tblTargets[DisplayName],
 ""
)</f>
        <v>Workshop Lv 1</v>
      </c>
      <c r="D586" s="49" t="str">
        <f t="array" ref="D586">_xlfn.XLOOKUP(
 B586,
 tblTargets[TargetID],
 tblTargets[TargetType],
 ""
)</f>
        <v>BUILDING</v>
      </c>
      <c r="E586" s="49" t="s">
        <v>244</v>
      </c>
      <c r="F586" s="49">
        <v>1.0</v>
      </c>
      <c r="G586" s="49">
        <f t="array" ref="G586">_xlfn.XLOOKUP(
 A586,
 tblCost[RequirementID],
 tblCost[QuantityRequired],
 ""
)</f>
        <v>10</v>
      </c>
      <c r="H586" s="49">
        <f t="array" ref="H586">IF(
 OR(
  LEFT(B586,15)="state.character",
  RIGHT(B586,6)=".maxed"
 ),
 0,
 LET(
  sort,
   _xlfn.XLOOKUP(
    B586,
    tblChecklist[TargetID],
    tblChecklist[PlayerSort],
    0
   ),
  IF(sort=0,500,sort)
 )
)</f>
        <v>30</v>
      </c>
      <c r="I586" s="49" t="str">
        <f t="array" ref="I586">_xlfn.XLOOKUP(
 B586,
 tblTargetStatus[TargetID],
 tblTargetStatus[Status],
 ""
)</f>
        <v>BLOCKED</v>
      </c>
      <c r="J586" s="45" t="b">
        <v>0</v>
      </c>
    </row>
    <row r="587" ht="14.25" hidden="1" customHeight="1">
      <c r="A587" s="49" t="s">
        <v>2190</v>
      </c>
      <c r="B587" s="49" t="str">
        <f>IFERROR(__xludf.DUMMYFUNCTION("REGEXREPLACE(
 REGEXREPLACE(A587,""^cost\."",""""),
 ""\.[^.]+\.[^.]+$"",
 """"
)"),"building.workshop@2")</f>
        <v>building.workshop@2</v>
      </c>
      <c r="C587" s="49" t="str">
        <f t="array" ref="C587">_xlfn.XLOOKUP(
 B587,
 tblTargets[TargetID],
 tblTargets[DisplayName],
 ""
)</f>
        <v>Workshop Lv 2</v>
      </c>
      <c r="D587" s="49" t="str">
        <f t="array" ref="D587">_xlfn.XLOOKUP(
 B587,
 tblTargets[TargetID],
 tblTargets[TargetType],
 ""
)</f>
        <v>BUILDING</v>
      </c>
      <c r="E587" s="49" t="s">
        <v>119</v>
      </c>
      <c r="F587" s="49">
        <v>1.0</v>
      </c>
      <c r="G587" s="49">
        <f t="array" ref="G587">_xlfn.XLOOKUP(
 A587,
 tblCost[RequirementID],
 tblCost[QuantityRequired],
 ""
)</f>
        <v>80</v>
      </c>
      <c r="H587" s="49">
        <f t="array" ref="H587">IF(
 OR(
  LEFT(B587,15)="state.character",
  RIGHT(B587,6)=".maxed"
 ),
 0,
 LET(
  sort,
   _xlfn.XLOOKUP(
    B587,
    tblChecklist[TargetID],
    tblChecklist[PlayerSort],
    0
   ),
  IF(sort=0,500,sort)
 )
)</f>
        <v>31</v>
      </c>
      <c r="I587" s="49" t="str">
        <f t="array" ref="I587">_xlfn.XLOOKUP(
 B587,
 tblTargetStatus[TargetID],
 tblTargetStatus[Status],
 ""
)</f>
        <v>BLOCKED</v>
      </c>
      <c r="J587" s="45" t="b">
        <v>0</v>
      </c>
    </row>
    <row r="588" ht="14.25" hidden="1" customHeight="1">
      <c r="A588" s="49" t="s">
        <v>2191</v>
      </c>
      <c r="B588" s="49" t="str">
        <f>IFERROR(__xludf.DUMMYFUNCTION("REGEXREPLACE(
 REGEXREPLACE(A588,""^cost\."",""""),
 ""\.[^.]+\.[^.]+$"",
 """"
)"),"building.workshop@2")</f>
        <v>building.workshop@2</v>
      </c>
      <c r="C588" s="49" t="str">
        <f t="array" ref="C588">_xlfn.XLOOKUP(
 B588,
 tblTargets[TargetID],
 tblTargets[DisplayName],
 ""
)</f>
        <v>Workshop Lv 2</v>
      </c>
      <c r="D588" s="49" t="str">
        <f t="array" ref="D588">_xlfn.XLOOKUP(
 B588,
 tblTargets[TargetID],
 tblTargets[TargetType],
 ""
)</f>
        <v>BUILDING</v>
      </c>
      <c r="E588" s="49" t="s">
        <v>6</v>
      </c>
      <c r="F588" s="49">
        <v>1.0</v>
      </c>
      <c r="G588" s="49">
        <f t="array" ref="G588">_xlfn.XLOOKUP(
 A588,
 tblCost[RequirementID],
 tblCost[QuantityRequired],
 ""
)</f>
        <v>2</v>
      </c>
      <c r="H588" s="49">
        <f t="array" ref="H588">IF(
 OR(
  LEFT(B588,15)="state.character",
  RIGHT(B588,6)=".maxed"
 ),
 0,
 LET(
  sort,
   _xlfn.XLOOKUP(
    B588,
    tblChecklist[TargetID],
    tblChecklist[PlayerSort],
    0
   ),
  IF(sort=0,500,sort)
 )
)</f>
        <v>31</v>
      </c>
      <c r="I588" s="49" t="str">
        <f t="array" ref="I588">_xlfn.XLOOKUP(
 B588,
 tblTargetStatus[TargetID],
 tblTargetStatus[Status],
 ""
)</f>
        <v>BLOCKED</v>
      </c>
      <c r="J588" s="45" t="b">
        <v>0</v>
      </c>
    </row>
    <row r="589" ht="14.25" hidden="1" customHeight="1">
      <c r="A589" s="49" t="s">
        <v>2192</v>
      </c>
      <c r="B589" s="49" t="str">
        <f>IFERROR(__xludf.DUMMYFUNCTION("REGEXREPLACE(
 REGEXREPLACE(A589,""^cost\."",""""),
 ""\.[^.]+\.[^.]+$"",
 """"
)"),"building.workshop@2")</f>
        <v>building.workshop@2</v>
      </c>
      <c r="C589" s="49" t="str">
        <f t="array" ref="C589">_xlfn.XLOOKUP(
 B589,
 tblTargets[TargetID],
 tblTargets[DisplayName],
 ""
)</f>
        <v>Workshop Lv 2</v>
      </c>
      <c r="D589" s="49" t="str">
        <f t="array" ref="D589">_xlfn.XLOOKUP(
 B589,
 tblTargets[TargetID],
 tblTargets[TargetType],
 ""
)</f>
        <v>BUILDING</v>
      </c>
      <c r="E589" s="49" t="s">
        <v>237</v>
      </c>
      <c r="F589" s="49">
        <v>1.0</v>
      </c>
      <c r="G589" s="49">
        <f t="array" ref="G589">_xlfn.XLOOKUP(
 A589,
 tblCost[RequirementID],
 tblCost[QuantityRequired],
 ""
)</f>
        <v>40</v>
      </c>
      <c r="H589" s="49">
        <f t="array" ref="H589">IF(
 OR(
  LEFT(B589,15)="state.character",
  RIGHT(B589,6)=".maxed"
 ),
 0,
 LET(
  sort,
   _xlfn.XLOOKUP(
    B589,
    tblChecklist[TargetID],
    tblChecklist[PlayerSort],
    0
   ),
  IF(sort=0,500,sort)
 )
)</f>
        <v>31</v>
      </c>
      <c r="I589" s="49" t="str">
        <f t="array" ref="I589">_xlfn.XLOOKUP(
 B589,
 tblTargetStatus[TargetID],
 tblTargetStatus[Status],
 ""
)</f>
        <v>BLOCKED</v>
      </c>
      <c r="J589" s="45" t="b">
        <v>0</v>
      </c>
    </row>
    <row r="590" ht="14.25" hidden="1" customHeight="1">
      <c r="A590" s="49" t="s">
        <v>2193</v>
      </c>
      <c r="B590" s="49" t="str">
        <f>IFERROR(__xludf.DUMMYFUNCTION("REGEXREPLACE(
 REGEXREPLACE(A590,""^cost\."",""""),
 ""\.[^.]+\.[^.]+$"",
 """"
)"),"building.workshop@2")</f>
        <v>building.workshop@2</v>
      </c>
      <c r="C590" s="49" t="str">
        <f t="array" ref="C590">_xlfn.XLOOKUP(
 B590,
 tblTargets[TargetID],
 tblTargets[DisplayName],
 ""
)</f>
        <v>Workshop Lv 2</v>
      </c>
      <c r="D590" s="49" t="str">
        <f t="array" ref="D590">_xlfn.XLOOKUP(
 B590,
 tblTargets[TargetID],
 tblTargets[TargetType],
 ""
)</f>
        <v>BUILDING</v>
      </c>
      <c r="E590" s="49" t="s">
        <v>244</v>
      </c>
      <c r="F590" s="49">
        <v>1.0</v>
      </c>
      <c r="G590" s="49">
        <f t="array" ref="G590">_xlfn.XLOOKUP(
 A590,
 tblCost[RequirementID],
 tblCost[QuantityRequired],
 ""
)</f>
        <v>40</v>
      </c>
      <c r="H590" s="49">
        <f t="array" ref="H590">IF(
 OR(
  LEFT(B590,15)="state.character",
  RIGHT(B590,6)=".maxed"
 ),
 0,
 LET(
  sort,
   _xlfn.XLOOKUP(
    B590,
    tblChecklist[TargetID],
    tblChecklist[PlayerSort],
    0
   ),
  IF(sort=0,500,sort)
 )
)</f>
        <v>31</v>
      </c>
      <c r="I590" s="49" t="str">
        <f t="array" ref="I590">_xlfn.XLOOKUP(
 B590,
 tblTargetStatus[TargetID],
 tblTargetStatus[Status],
 ""
)</f>
        <v>BLOCKED</v>
      </c>
      <c r="J590" s="45" t="b">
        <v>0</v>
      </c>
    </row>
    <row r="591" ht="14.25" hidden="1" customHeight="1">
      <c r="A591" s="49" t="s">
        <v>2194</v>
      </c>
      <c r="B591" s="49" t="str">
        <f>IFERROR(__xludf.DUMMYFUNCTION("REGEXREPLACE(
 REGEXREPLACE(A591,""^cost\."",""""),
 ""\.[^.]+\.[^.]+$"",
 """"
)"),"building.workshop@3")</f>
        <v>building.workshop@3</v>
      </c>
      <c r="C591" s="49" t="str">
        <f t="array" ref="C591">_xlfn.XLOOKUP(
 B591,
 tblTargets[TargetID],
 tblTargets[DisplayName],
 ""
)</f>
        <v>Workshop Lv 3</v>
      </c>
      <c r="D591" s="49" t="str">
        <f t="array" ref="D591">_xlfn.XLOOKUP(
 B591,
 tblTargets[TargetID],
 tblTargets[TargetType],
 ""
)</f>
        <v>BUILDING</v>
      </c>
      <c r="E591" s="49" t="s">
        <v>278</v>
      </c>
      <c r="F591" s="49">
        <v>1.0</v>
      </c>
      <c r="G591" s="49">
        <f t="array" ref="G591">_xlfn.XLOOKUP(
 A591,
 tblCost[RequirementID],
 tblCost[QuantityRequired],
 ""
)</f>
        <v>160</v>
      </c>
      <c r="H591" s="49">
        <f t="array" ref="H591">IF(
 OR(
  LEFT(B591,15)="state.character",
  RIGHT(B591,6)=".maxed"
 ),
 0,
 LET(
  sort,
   _xlfn.XLOOKUP(
    B591,
    tblChecklist[TargetID],
    tblChecklist[PlayerSort],
    0
   ),
  IF(sort=0,500,sort)
 )
)</f>
        <v>32</v>
      </c>
      <c r="I591" s="49" t="str">
        <f t="array" ref="I591">_xlfn.XLOOKUP(
 B591,
 tblTargetStatus[TargetID],
 tblTargetStatus[Status],
 ""
)</f>
        <v>BLOCKED</v>
      </c>
      <c r="J591" s="45" t="b">
        <v>0</v>
      </c>
    </row>
    <row r="592" ht="14.25" hidden="1" customHeight="1">
      <c r="A592" s="49" t="s">
        <v>2195</v>
      </c>
      <c r="B592" s="49" t="str">
        <f>IFERROR(__xludf.DUMMYFUNCTION("REGEXREPLACE(
 REGEXREPLACE(A592,""^cost\."",""""),
 ""\.[^.]+\.[^.]+$"",
 """"
)"),"building.workshop@3")</f>
        <v>building.workshop@3</v>
      </c>
      <c r="C592" s="49" t="str">
        <f t="array" ref="C592">_xlfn.XLOOKUP(
 B592,
 tblTargets[TargetID],
 tblTargets[DisplayName],
 ""
)</f>
        <v>Workshop Lv 3</v>
      </c>
      <c r="D592" s="49" t="str">
        <f t="array" ref="D592">_xlfn.XLOOKUP(
 B592,
 tblTargets[TargetID],
 tblTargets[TargetType],
 ""
)</f>
        <v>BUILDING</v>
      </c>
      <c r="E592" s="49" t="s">
        <v>119</v>
      </c>
      <c r="F592" s="49">
        <v>1.0</v>
      </c>
      <c r="G592" s="49">
        <f t="array" ref="G592">_xlfn.XLOOKUP(
 A592,
 tblCost[RequirementID],
 tblCost[QuantityRequired],
 ""
)</f>
        <v>160</v>
      </c>
      <c r="H592" s="49">
        <f t="array" ref="H592">IF(
 OR(
  LEFT(B592,15)="state.character",
  RIGHT(B592,6)=".maxed"
 ),
 0,
 LET(
  sort,
   _xlfn.XLOOKUP(
    B592,
    tblChecklist[TargetID],
    tblChecklist[PlayerSort],
    0
   ),
  IF(sort=0,500,sort)
 )
)</f>
        <v>32</v>
      </c>
      <c r="I592" s="49" t="str">
        <f t="array" ref="I592">_xlfn.XLOOKUP(
 B592,
 tblTargetStatus[TargetID],
 tblTargetStatus[Status],
 ""
)</f>
        <v>BLOCKED</v>
      </c>
      <c r="J592" s="45" t="b">
        <v>0</v>
      </c>
    </row>
    <row r="593" ht="14.25" hidden="1" customHeight="1">
      <c r="A593" s="49" t="s">
        <v>2196</v>
      </c>
      <c r="B593" s="49" t="str">
        <f>IFERROR(__xludf.DUMMYFUNCTION("REGEXREPLACE(
 REGEXREPLACE(A593,""^cost\."",""""),
 ""\.[^.]+\.[^.]+$"",
 """"
)"),"building.workshop@3")</f>
        <v>building.workshop@3</v>
      </c>
      <c r="C593" s="49" t="str">
        <f t="array" ref="C593">_xlfn.XLOOKUP(
 B593,
 tblTargets[TargetID],
 tblTargets[DisplayName],
 ""
)</f>
        <v>Workshop Lv 3</v>
      </c>
      <c r="D593" s="49" t="str">
        <f t="array" ref="D593">_xlfn.XLOOKUP(
 B593,
 tblTargets[TargetID],
 tblTargets[TargetType],
 ""
)</f>
        <v>BUILDING</v>
      </c>
      <c r="E593" s="49" t="s">
        <v>6</v>
      </c>
      <c r="F593" s="49">
        <v>1.0</v>
      </c>
      <c r="G593" s="49">
        <f t="array" ref="G593">_xlfn.XLOOKUP(
 A593,
 tblCost[RequirementID],
 tblCost[QuantityRequired],
 ""
)</f>
        <v>3</v>
      </c>
      <c r="H593" s="49">
        <f t="array" ref="H593">IF(
 OR(
  LEFT(B593,15)="state.character",
  RIGHT(B593,6)=".maxed"
 ),
 0,
 LET(
  sort,
   _xlfn.XLOOKUP(
    B593,
    tblChecklist[TargetID],
    tblChecklist[PlayerSort],
    0
   ),
  IF(sort=0,500,sort)
 )
)</f>
        <v>32</v>
      </c>
      <c r="I593" s="49" t="str">
        <f t="array" ref="I593">_xlfn.XLOOKUP(
 B593,
 tblTargetStatus[TargetID],
 tblTargetStatus[Status],
 ""
)</f>
        <v>BLOCKED</v>
      </c>
      <c r="J593" s="45" t="b">
        <v>0</v>
      </c>
    </row>
    <row r="594" ht="14.25" hidden="1" customHeight="1">
      <c r="A594" s="49" t="s">
        <v>2197</v>
      </c>
      <c r="B594" s="49" t="str">
        <f>IFERROR(__xludf.DUMMYFUNCTION("REGEXREPLACE(
 REGEXREPLACE(A594,""^cost\."",""""),
 ""\.[^.]+\.[^.]+$"",
 """"
)"),"building.workshop@3")</f>
        <v>building.workshop@3</v>
      </c>
      <c r="C594" s="49" t="str">
        <f t="array" ref="C594">_xlfn.XLOOKUP(
 B594,
 tblTargets[TargetID],
 tblTargets[DisplayName],
 ""
)</f>
        <v>Workshop Lv 3</v>
      </c>
      <c r="D594" s="49" t="str">
        <f t="array" ref="D594">_xlfn.XLOOKUP(
 B594,
 tblTargets[TargetID],
 tblTargets[TargetType],
 ""
)</f>
        <v>BUILDING</v>
      </c>
      <c r="E594" s="49" t="s">
        <v>237</v>
      </c>
      <c r="F594" s="49">
        <v>1.0</v>
      </c>
      <c r="G594" s="49">
        <f t="array" ref="G594">_xlfn.XLOOKUP(
 A594,
 tblCost[RequirementID],
 tblCost[QuantityRequired],
 ""
)</f>
        <v>80</v>
      </c>
      <c r="H594" s="49">
        <f t="array" ref="H594">IF(
 OR(
  LEFT(B594,15)="state.character",
  RIGHT(B594,6)=".maxed"
 ),
 0,
 LET(
  sort,
   _xlfn.XLOOKUP(
    B594,
    tblChecklist[TargetID],
    tblChecklist[PlayerSort],
    0
   ),
  IF(sort=0,500,sort)
 )
)</f>
        <v>32</v>
      </c>
      <c r="I594" s="49" t="str">
        <f t="array" ref="I594">_xlfn.XLOOKUP(
 B594,
 tblTargetStatus[TargetID],
 tblTargetStatus[Status],
 ""
)</f>
        <v>BLOCKED</v>
      </c>
      <c r="J594" s="45" t="b">
        <v>0</v>
      </c>
    </row>
    <row r="595" ht="14.25" hidden="1" customHeight="1">
      <c r="A595" s="49" t="s">
        <v>2198</v>
      </c>
      <c r="B595" s="49" t="str">
        <f>IFERROR(__xludf.DUMMYFUNCTION("REGEXREPLACE(
 REGEXREPLACE(A595,""^cost\."",""""),
 ""\.[^.]+\.[^.]+$"",
 """"
)"),"building.workshop@4")</f>
        <v>building.workshop@4</v>
      </c>
      <c r="C595" s="49" t="str">
        <f t="array" ref="C595">_xlfn.XLOOKUP(
 B595,
 tblTargets[TargetID],
 tblTargets[DisplayName],
 ""
)</f>
        <v>Workshop Lv 4</v>
      </c>
      <c r="D595" s="49" t="str">
        <f t="array" ref="D595">_xlfn.XLOOKUP(
 B595,
 tblTargets[TargetID],
 tblTargets[TargetType],
 ""
)</f>
        <v>BUILDING</v>
      </c>
      <c r="E595" s="49" t="s">
        <v>278</v>
      </c>
      <c r="F595" s="49">
        <v>1.0</v>
      </c>
      <c r="G595" s="49">
        <f t="array" ref="G595">_xlfn.XLOOKUP(
 A595,
 tblCost[RequirementID],
 tblCost[QuantityRequired],
 ""
)</f>
        <v>500</v>
      </c>
      <c r="H595" s="49">
        <f t="array" ref="H595">IF(
 OR(
  LEFT(B595,15)="state.character",
  RIGHT(B595,6)=".maxed"
 ),
 0,
 LET(
  sort,
   _xlfn.XLOOKUP(
    B595,
    tblChecklist[TargetID],
    tblChecklist[PlayerSort],
    0
   ),
  IF(sort=0,500,sort)
 )
)</f>
        <v>33</v>
      </c>
      <c r="I595" s="49" t="str">
        <f t="array" ref="I595">_xlfn.XLOOKUP(
 B595,
 tblTargetStatus[TargetID],
 tblTargetStatus[Status],
 ""
)</f>
        <v>BLOCKED</v>
      </c>
      <c r="J595" s="45" t="b">
        <v>0</v>
      </c>
    </row>
    <row r="596" ht="14.25" hidden="1" customHeight="1">
      <c r="A596" s="49" t="s">
        <v>2199</v>
      </c>
      <c r="B596" s="49" t="str">
        <f>IFERROR(__xludf.DUMMYFUNCTION("REGEXREPLACE(
 REGEXREPLACE(A596,""^cost\."",""""),
 ""\.[^.]+\.[^.]+$"",
 """"
)"),"building.workshop@4")</f>
        <v>building.workshop@4</v>
      </c>
      <c r="C596" s="49" t="str">
        <f t="array" ref="C596">_xlfn.XLOOKUP(
 B596,
 tblTargets[TargetID],
 tblTargets[DisplayName],
 ""
)</f>
        <v>Workshop Lv 4</v>
      </c>
      <c r="D596" s="49" t="str">
        <f t="array" ref="D596">_xlfn.XLOOKUP(
 B596,
 tblTargets[TargetID],
 tblTargets[TargetType],
 ""
)</f>
        <v>BUILDING</v>
      </c>
      <c r="E596" s="49" t="s">
        <v>119</v>
      </c>
      <c r="F596" s="49">
        <v>1.0</v>
      </c>
      <c r="G596" s="49">
        <f t="array" ref="G596">_xlfn.XLOOKUP(
 A596,
 tblCost[RequirementID],
 tblCost[QuantityRequired],
 ""
)</f>
        <v>500</v>
      </c>
      <c r="H596" s="49">
        <f t="array" ref="H596">IF(
 OR(
  LEFT(B596,15)="state.character",
  RIGHT(B596,6)=".maxed"
 ),
 0,
 LET(
  sort,
   _xlfn.XLOOKUP(
    B596,
    tblChecklist[TargetID],
    tblChecklist[PlayerSort],
    0
   ),
  IF(sort=0,500,sort)
 )
)</f>
        <v>33</v>
      </c>
      <c r="I596" s="49" t="str">
        <f t="array" ref="I596">_xlfn.XLOOKUP(
 B596,
 tblTargetStatus[TargetID],
 tblTargetStatus[Status],
 ""
)</f>
        <v>BLOCKED</v>
      </c>
      <c r="J596" s="45" t="b">
        <v>0</v>
      </c>
    </row>
    <row r="597" ht="14.25" hidden="1" customHeight="1">
      <c r="A597" s="49" t="s">
        <v>2200</v>
      </c>
      <c r="B597" s="49" t="str">
        <f>IFERROR(__xludf.DUMMYFUNCTION("REGEXREPLACE(
 REGEXREPLACE(A597,""^cost\."",""""),
 ""\.[^.]+\.[^.]+$"",
 """"
)"),"building.workshop@4")</f>
        <v>building.workshop@4</v>
      </c>
      <c r="C597" s="49" t="str">
        <f t="array" ref="C597">_xlfn.XLOOKUP(
 B597,
 tblTargets[TargetID],
 tblTargets[DisplayName],
 ""
)</f>
        <v>Workshop Lv 4</v>
      </c>
      <c r="D597" s="49" t="str">
        <f t="array" ref="D597">_xlfn.XLOOKUP(
 B597,
 tblTargets[TargetID],
 tblTargets[TargetType],
 ""
)</f>
        <v>BUILDING</v>
      </c>
      <c r="E597" s="49" t="s">
        <v>6</v>
      </c>
      <c r="F597" s="49">
        <v>1.0</v>
      </c>
      <c r="G597" s="49">
        <f t="array" ref="G597">_xlfn.XLOOKUP(
 A597,
 tblCost[RequirementID],
 tblCost[QuantityRequired],
 ""
)</f>
        <v>4</v>
      </c>
      <c r="H597" s="49">
        <f t="array" ref="H597">IF(
 OR(
  LEFT(B597,15)="state.character",
  RIGHT(B597,6)=".maxed"
 ),
 0,
 LET(
  sort,
   _xlfn.XLOOKUP(
    B597,
    tblChecklist[TargetID],
    tblChecklist[PlayerSort],
    0
   ),
  IF(sort=0,500,sort)
 )
)</f>
        <v>33</v>
      </c>
      <c r="I597" s="49" t="str">
        <f t="array" ref="I597">_xlfn.XLOOKUP(
 B597,
 tblTargetStatus[TargetID],
 tblTargetStatus[Status],
 ""
)</f>
        <v>BLOCKED</v>
      </c>
      <c r="J597" s="45" t="b">
        <v>0</v>
      </c>
    </row>
    <row r="598" ht="14.25" hidden="1" customHeight="1">
      <c r="A598" s="49" t="s">
        <v>2201</v>
      </c>
      <c r="B598" s="49" t="str">
        <f>IFERROR(__xludf.DUMMYFUNCTION("REGEXREPLACE(
 REGEXREPLACE(A598,""^cost\."",""""),
 ""\.[^.]+\.[^.]+$"",
 """"
)"),"building.workshop@4")</f>
        <v>building.workshop@4</v>
      </c>
      <c r="C598" s="49" t="str">
        <f t="array" ref="C598">_xlfn.XLOOKUP(
 B598,
 tblTargets[TargetID],
 tblTargets[DisplayName],
 ""
)</f>
        <v>Workshop Lv 4</v>
      </c>
      <c r="D598" s="49" t="str">
        <f t="array" ref="D598">_xlfn.XLOOKUP(
 B598,
 tblTargets[TargetID],
 tblTargets[TargetType],
 ""
)</f>
        <v>BUILDING</v>
      </c>
      <c r="E598" s="49" t="s">
        <v>392</v>
      </c>
      <c r="F598" s="49">
        <v>1.0</v>
      </c>
      <c r="G598" s="49">
        <f t="array" ref="G598">_xlfn.XLOOKUP(
 A598,
 tblCost[RequirementID],
 tblCost[QuantityRequired],
 ""
)</f>
        <v>20</v>
      </c>
      <c r="H598" s="49">
        <f t="array" ref="H598">IF(
 OR(
  LEFT(B598,15)="state.character",
  RIGHT(B598,6)=".maxed"
 ),
 0,
 LET(
  sort,
   _xlfn.XLOOKUP(
    B598,
    tblChecklist[TargetID],
    tblChecklist[PlayerSort],
    0
   ),
  IF(sort=0,500,sort)
 )
)</f>
        <v>33</v>
      </c>
      <c r="I598" s="49" t="str">
        <f t="array" ref="I598">_xlfn.XLOOKUP(
 B598,
 tblTargetStatus[TargetID],
 tblTargetStatus[Status],
 ""
)</f>
        <v>BLOCKED</v>
      </c>
      <c r="J598" s="45" t="b">
        <v>0</v>
      </c>
    </row>
    <row r="599" ht="14.25" hidden="1" customHeight="1">
      <c r="A599" s="49" t="s">
        <v>2202</v>
      </c>
      <c r="B599" s="49" t="str">
        <f>IFERROR(__xludf.DUMMYFUNCTION("REGEXREPLACE(
 REGEXREPLACE(A599,""^cost\."",""""),
 ""\.[^.]+\.[^.]+$"",
 """"
)"),"building.workshop@4")</f>
        <v>building.workshop@4</v>
      </c>
      <c r="C599" s="49" t="str">
        <f t="array" ref="C599">_xlfn.XLOOKUP(
 B599,
 tblTargets[TargetID],
 tblTargets[DisplayName],
 ""
)</f>
        <v>Workshop Lv 4</v>
      </c>
      <c r="D599" s="49" t="str">
        <f t="array" ref="D599">_xlfn.XLOOKUP(
 B599,
 tblTargets[TargetID],
 tblTargets[TargetType],
 ""
)</f>
        <v>BUILDING</v>
      </c>
      <c r="E599" s="49" t="s">
        <v>237</v>
      </c>
      <c r="F599" s="49">
        <v>1.0</v>
      </c>
      <c r="G599" s="49">
        <f t="array" ref="G599">_xlfn.XLOOKUP(
 A599,
 tblCost[RequirementID],
 tblCost[QuantityRequired],
 ""
)</f>
        <v>250</v>
      </c>
      <c r="H599" s="49">
        <f t="array" ref="H599">IF(
 OR(
  LEFT(B599,15)="state.character",
  RIGHT(B599,6)=".maxed"
 ),
 0,
 LET(
  sort,
   _xlfn.XLOOKUP(
    B599,
    tblChecklist[TargetID],
    tblChecklist[PlayerSort],
    0
   ),
  IF(sort=0,500,sort)
 )
)</f>
        <v>33</v>
      </c>
      <c r="I599" s="49" t="str">
        <f t="array" ref="I599">_xlfn.XLOOKUP(
 B599,
 tblTargetStatus[TargetID],
 tblTargetStatus[Status],
 ""
)</f>
        <v>BLOCKED</v>
      </c>
      <c r="J599" s="45" t="b">
        <v>0</v>
      </c>
    </row>
    <row r="600" ht="14.25" hidden="1" customHeight="1">
      <c r="A600" s="49" t="s">
        <v>2203</v>
      </c>
      <c r="B600" s="49" t="str">
        <f>IFERROR(__xludf.DUMMYFUNCTION("REGEXREPLACE(
 REGEXREPLACE(A600,""^cost\."",""""),
 ""\.[^.]+\.[^.]+$"",
 """"
)"),"building.workshop@5")</f>
        <v>building.workshop@5</v>
      </c>
      <c r="C600" s="49" t="str">
        <f t="array" ref="C600">_xlfn.XLOOKUP(
 B600,
 tblTargets[TargetID],
 tblTargets[DisplayName],
 ""
)</f>
        <v>Workshop Lv 5</v>
      </c>
      <c r="D600" s="49" t="str">
        <f t="array" ref="D600">_xlfn.XLOOKUP(
 B600,
 tblTargets[TargetID],
 tblTargets[TargetType],
 ""
)</f>
        <v>BUILDING</v>
      </c>
      <c r="E600" s="49" t="s">
        <v>278</v>
      </c>
      <c r="F600" s="49">
        <v>1.0</v>
      </c>
      <c r="G600" s="49">
        <f t="array" ref="G600">_xlfn.XLOOKUP(
 A600,
 tblCost[RequirementID],
 tblCost[QuantityRequired],
 ""
)</f>
        <v>600</v>
      </c>
      <c r="H600" s="49">
        <f t="array" ref="H600">IF(
 OR(
  LEFT(B600,15)="state.character",
  RIGHT(B600,6)=".maxed"
 ),
 0,
 LET(
  sort,
   _xlfn.XLOOKUP(
    B600,
    tblChecklist[TargetID],
    tblChecklist[PlayerSort],
    0
   ),
  IF(sort=0,500,sort)
 )
)</f>
        <v>34</v>
      </c>
      <c r="I600" s="49" t="str">
        <f t="array" ref="I600">_xlfn.XLOOKUP(
 B600,
 tblTargetStatus[TargetID],
 tblTargetStatus[Status],
 ""
)</f>
        <v>BLOCKED</v>
      </c>
      <c r="J600" s="45" t="b">
        <v>0</v>
      </c>
    </row>
    <row r="601" ht="14.25" hidden="1" customHeight="1">
      <c r="A601" s="49" t="s">
        <v>2204</v>
      </c>
      <c r="B601" s="49" t="str">
        <f>IFERROR(__xludf.DUMMYFUNCTION("REGEXREPLACE(
 REGEXREPLACE(A601,""^cost\."",""""),
 ""\.[^.]+\.[^.]+$"",
 """"
)"),"building.workshop@5")</f>
        <v>building.workshop@5</v>
      </c>
      <c r="C601" s="49" t="str">
        <f t="array" ref="C601">_xlfn.XLOOKUP(
 B601,
 tblTargets[TargetID],
 tblTargets[DisplayName],
 ""
)</f>
        <v>Workshop Lv 5</v>
      </c>
      <c r="D601" s="49" t="str">
        <f t="array" ref="D601">_xlfn.XLOOKUP(
 B601,
 tblTargets[TargetID],
 tblTargets[TargetType],
 ""
)</f>
        <v>BUILDING</v>
      </c>
      <c r="E601" s="49" t="s">
        <v>119</v>
      </c>
      <c r="F601" s="49">
        <v>1.0</v>
      </c>
      <c r="G601" s="49">
        <f t="array" ref="G601">_xlfn.XLOOKUP(
 A601,
 tblCost[RequirementID],
 tblCost[QuantityRequired],
 ""
)</f>
        <v>1000</v>
      </c>
      <c r="H601" s="49">
        <f t="array" ref="H601">IF(
 OR(
  LEFT(B601,15)="state.character",
  RIGHT(B601,6)=".maxed"
 ),
 0,
 LET(
  sort,
   _xlfn.XLOOKUP(
    B601,
    tblChecklist[TargetID],
    tblChecklist[PlayerSort],
    0
   ),
  IF(sort=0,500,sort)
 )
)</f>
        <v>34</v>
      </c>
      <c r="I601" s="49" t="str">
        <f t="array" ref="I601">_xlfn.XLOOKUP(
 B601,
 tblTargetStatus[TargetID],
 tblTargetStatus[Status],
 ""
)</f>
        <v>BLOCKED</v>
      </c>
      <c r="J601" s="45" t="b">
        <v>0</v>
      </c>
    </row>
    <row r="602" ht="14.25" hidden="1" customHeight="1">
      <c r="A602" s="49" t="s">
        <v>2205</v>
      </c>
      <c r="B602" s="49" t="str">
        <f>IFERROR(__xludf.DUMMYFUNCTION("REGEXREPLACE(
 REGEXREPLACE(A602,""^cost\."",""""),
 ""\.[^.]+\.[^.]+$"",
 """"
)"),"building.workshop@5")</f>
        <v>building.workshop@5</v>
      </c>
      <c r="C602" s="49" t="str">
        <f t="array" ref="C602">_xlfn.XLOOKUP(
 B602,
 tblTargets[TargetID],
 tblTargets[DisplayName],
 ""
)</f>
        <v>Workshop Lv 5</v>
      </c>
      <c r="D602" s="49" t="str">
        <f t="array" ref="D602">_xlfn.XLOOKUP(
 B602,
 tblTargets[TargetID],
 tblTargets[TargetType],
 ""
)</f>
        <v>BUILDING</v>
      </c>
      <c r="E602" s="49" t="s">
        <v>6</v>
      </c>
      <c r="F602" s="49">
        <v>1.0</v>
      </c>
      <c r="G602" s="49">
        <f t="array" ref="G602">_xlfn.XLOOKUP(
 A602,
 tblCost[RequirementID],
 tblCost[QuantityRequired],
 ""
)</f>
        <v>5</v>
      </c>
      <c r="H602" s="49">
        <f t="array" ref="H602">IF(
 OR(
  LEFT(B602,15)="state.character",
  RIGHT(B602,6)=".maxed"
 ),
 0,
 LET(
  sort,
   _xlfn.XLOOKUP(
    B602,
    tblChecklist[TargetID],
    tblChecklist[PlayerSort],
    0
   ),
  IF(sort=0,500,sort)
 )
)</f>
        <v>34</v>
      </c>
      <c r="I602" s="49" t="str">
        <f t="array" ref="I602">_xlfn.XLOOKUP(
 B602,
 tblTargetStatus[TargetID],
 tblTargetStatus[Status],
 ""
)</f>
        <v>BLOCKED</v>
      </c>
      <c r="J602" s="45" t="b">
        <v>0</v>
      </c>
    </row>
    <row r="603" ht="14.25" hidden="1" customHeight="1">
      <c r="A603" s="49" t="s">
        <v>2206</v>
      </c>
      <c r="B603" s="49" t="str">
        <f>IFERROR(__xludf.DUMMYFUNCTION("REGEXREPLACE(
 REGEXREPLACE(A603,""^cost\."",""""),
 ""\.[^.]+\.[^.]+$"",
 """"
)"),"building.workshop@5")</f>
        <v>building.workshop@5</v>
      </c>
      <c r="C603" s="49" t="str">
        <f t="array" ref="C603">_xlfn.XLOOKUP(
 B603,
 tblTargets[TargetID],
 tblTargets[DisplayName],
 ""
)</f>
        <v>Workshop Lv 5</v>
      </c>
      <c r="D603" s="49" t="str">
        <f t="array" ref="D603">_xlfn.XLOOKUP(
 B603,
 tblTargets[TargetID],
 tblTargets[TargetType],
 ""
)</f>
        <v>BUILDING</v>
      </c>
      <c r="E603" s="49" t="s">
        <v>392</v>
      </c>
      <c r="F603" s="49">
        <v>1.0</v>
      </c>
      <c r="G603" s="49">
        <f t="array" ref="G603">_xlfn.XLOOKUP(
 A603,
 tblCost[RequirementID],
 tblCost[QuantityRequired],
 ""
)</f>
        <v>40</v>
      </c>
      <c r="H603" s="49">
        <f t="array" ref="H603">IF(
 OR(
  LEFT(B603,15)="state.character",
  RIGHT(B603,6)=".maxed"
 ),
 0,
 LET(
  sort,
   _xlfn.XLOOKUP(
    B603,
    tblChecklist[TargetID],
    tblChecklist[PlayerSort],
    0
   ),
  IF(sort=0,500,sort)
 )
)</f>
        <v>34</v>
      </c>
      <c r="I603" s="49" t="str">
        <f t="array" ref="I603">_xlfn.XLOOKUP(
 B603,
 tblTargetStatus[TargetID],
 tblTargetStatus[Status],
 ""
)</f>
        <v>BLOCKED</v>
      </c>
      <c r="J603" s="45" t="b">
        <v>0</v>
      </c>
    </row>
    <row r="604" ht="14.25" hidden="1" customHeight="1">
      <c r="A604" s="49" t="s">
        <v>2207</v>
      </c>
      <c r="B604" s="49" t="str">
        <f>IFERROR(__xludf.DUMMYFUNCTION("REGEXREPLACE(
 REGEXREPLACE(A604,""^cost\."",""""),
 ""\.[^.]+\.[^.]+$"",
 """"
)"),"building.workshop@5")</f>
        <v>building.workshop@5</v>
      </c>
      <c r="C604" s="49" t="str">
        <f t="array" ref="C604">_xlfn.XLOOKUP(
 B604,
 tblTargets[TargetID],
 tblTargets[DisplayName],
 ""
)</f>
        <v>Workshop Lv 5</v>
      </c>
      <c r="D604" s="49" t="str">
        <f t="array" ref="D604">_xlfn.XLOOKUP(
 B604,
 tblTargets[TargetID],
 tblTargets[TargetType],
 ""
)</f>
        <v>BUILDING</v>
      </c>
      <c r="E604" s="49" t="s">
        <v>237</v>
      </c>
      <c r="F604" s="49">
        <v>1.0</v>
      </c>
      <c r="G604" s="49">
        <f t="array" ref="G604">_xlfn.XLOOKUP(
 A604,
 tblCost[RequirementID],
 tblCost[QuantityRequired],
 ""
)</f>
        <v>300</v>
      </c>
      <c r="H604" s="49">
        <f t="array" ref="H604">IF(
 OR(
  LEFT(B604,15)="state.character",
  RIGHT(B604,6)=".maxed"
 ),
 0,
 LET(
  sort,
   _xlfn.XLOOKUP(
    B604,
    tblChecklist[TargetID],
    tblChecklist[PlayerSort],
    0
   ),
  IF(sort=0,500,sort)
 )
)</f>
        <v>34</v>
      </c>
      <c r="I604" s="49" t="str">
        <f t="array" ref="I604">_xlfn.XLOOKUP(
 B604,
 tblTargetStatus[TargetID],
 tblTargetStatus[Status],
 ""
)</f>
        <v>BLOCKED</v>
      </c>
      <c r="J604" s="45" t="b">
        <v>0</v>
      </c>
    </row>
    <row r="605" ht="14.25" hidden="1" customHeight="1">
      <c r="A605" s="49" t="s">
        <v>2208</v>
      </c>
      <c r="B605" s="49" t="str">
        <f>IFERROR(__xludf.DUMMYFUNCTION("REGEXREPLACE(
 REGEXREPLACE(A605,""^cost\."",""""),
 ""\.[^.]+\.[^.]+$"",
 """"
)"),"citadel.armory")</f>
        <v>citadel.armory</v>
      </c>
      <c r="C605" s="49" t="str">
        <f t="array" ref="C605">_xlfn.XLOOKUP(
 B605,
 tblTargets[TargetID],
 tblTargets[DisplayName],
 ""
)</f>
        <v>Armory</v>
      </c>
      <c r="D605" s="49" t="str">
        <f t="array" ref="D605">_xlfn.XLOOKUP(
 B605,
 tblTargets[TargetID],
 tblTargets[TargetType],
 ""
)</f>
        <v>CITADEL</v>
      </c>
      <c r="E605" s="49" t="s">
        <v>278</v>
      </c>
      <c r="F605" s="49">
        <v>1.0</v>
      </c>
      <c r="G605" s="49">
        <f t="array" ref="G605">_xlfn.XLOOKUP(
 A605,
 tblCost[RequirementID],
 tblCost[QuantityRequired],
 ""
)</f>
        <v>500</v>
      </c>
      <c r="H605" s="49">
        <f t="array" ref="H605">IF(
 OR(
  LEFT(B605,15)="state.character",
  RIGHT(B605,6)=".maxed"
 ),
 0,
 LET(
  sort,
   _xlfn.XLOOKUP(
    B605,
    tblChecklist[TargetID],
    tblChecklist[PlayerSort],
    0
   ),
  IF(sort=0,500,sort)
 )
)</f>
        <v>500</v>
      </c>
      <c r="I605" s="49" t="str">
        <f t="array" ref="I605">_xlfn.XLOOKUP(
 B605,
 tblTargetStatus[TargetID],
 tblTargetStatus[Status],
 ""
)</f>
        <v>BLOCKED</v>
      </c>
      <c r="J605" s="45" t="b">
        <v>0</v>
      </c>
    </row>
    <row r="606" ht="14.25" hidden="1" customHeight="1">
      <c r="A606" s="49" t="s">
        <v>2209</v>
      </c>
      <c r="B606" s="49" t="str">
        <f>IFERROR(__xludf.DUMMYFUNCTION("REGEXREPLACE(
 REGEXREPLACE(A606,""^cost\."",""""),
 ""\.[^.]+\.[^.]+$"",
 """"
)"),"citadel.armory")</f>
        <v>citadel.armory</v>
      </c>
      <c r="C606" s="49" t="str">
        <f t="array" ref="C606">_xlfn.XLOOKUP(
 B606,
 tblTargets[TargetID],
 tblTargets[DisplayName],
 ""
)</f>
        <v>Armory</v>
      </c>
      <c r="D606" s="49" t="str">
        <f t="array" ref="D606">_xlfn.XLOOKUP(
 B606,
 tblTargets[TargetID],
 tblTargets[TargetType],
 ""
)</f>
        <v>CITADEL</v>
      </c>
      <c r="E606" s="49" t="s">
        <v>119</v>
      </c>
      <c r="F606" s="49">
        <v>1.0</v>
      </c>
      <c r="G606" s="49">
        <f t="array" ref="G606">_xlfn.XLOOKUP(
 A606,
 tblCost[RequirementID],
 tblCost[QuantityRequired],
 ""
)</f>
        <v>500</v>
      </c>
      <c r="H606" s="49">
        <f t="array" ref="H606">IF(
 OR(
  LEFT(B606,15)="state.character",
  RIGHT(B606,6)=".maxed"
 ),
 0,
 LET(
  sort,
   _xlfn.XLOOKUP(
    B606,
    tblChecklist[TargetID],
    tblChecklist[PlayerSort],
    0
   ),
  IF(sort=0,500,sort)
 )
)</f>
        <v>500</v>
      </c>
      <c r="I606" s="49" t="str">
        <f t="array" ref="I606">_xlfn.XLOOKUP(
 B606,
 tblTargetStatus[TargetID],
 tblTargetStatus[Status],
 ""
)</f>
        <v>BLOCKED</v>
      </c>
      <c r="J606" s="45" t="b">
        <v>0</v>
      </c>
    </row>
    <row r="607" ht="14.25" hidden="1" customHeight="1">
      <c r="A607" s="49" t="s">
        <v>2210</v>
      </c>
      <c r="B607" s="49" t="str">
        <f>IFERROR(__xludf.DUMMYFUNCTION("REGEXREPLACE(
 REGEXREPLACE(A607,""^cost\."",""""),
 ""\.[^.]+\.[^.]+$"",
 """"
)"),"citadel.armory")</f>
        <v>citadel.armory</v>
      </c>
      <c r="C607" s="49" t="str">
        <f t="array" ref="C607">_xlfn.XLOOKUP(
 B607,
 tblTargets[TargetID],
 tblTargets[DisplayName],
 ""
)</f>
        <v>Armory</v>
      </c>
      <c r="D607" s="49" t="str">
        <f t="array" ref="D607">_xlfn.XLOOKUP(
 B607,
 tblTargets[TargetID],
 tblTargets[TargetType],
 ""
)</f>
        <v>CITADEL</v>
      </c>
      <c r="E607" s="49" t="s">
        <v>132</v>
      </c>
      <c r="F607" s="49">
        <v>1.0</v>
      </c>
      <c r="G607" s="49">
        <f t="array" ref="G607">_xlfn.XLOOKUP(
 A607,
 tblCost[RequirementID],
 tblCost[QuantityRequired],
 ""
)</f>
        <v>15</v>
      </c>
      <c r="H607" s="49">
        <f t="array" ref="H607">IF(
 OR(
  LEFT(B607,15)="state.character",
  RIGHT(B607,6)=".maxed"
 ),
 0,
 LET(
  sort,
   _xlfn.XLOOKUP(
    B607,
    tblChecklist[TargetID],
    tblChecklist[PlayerSort],
    0
   ),
  IF(sort=0,500,sort)
 )
)</f>
        <v>500</v>
      </c>
      <c r="I607" s="49" t="str">
        <f t="array" ref="I607">_xlfn.XLOOKUP(
 B607,
 tblTargetStatus[TargetID],
 tblTargetStatus[Status],
 ""
)</f>
        <v>BLOCKED</v>
      </c>
      <c r="J607" s="45" t="b">
        <v>0</v>
      </c>
    </row>
    <row r="608" ht="14.25" hidden="1" customHeight="1">
      <c r="A608" s="49" t="s">
        <v>2211</v>
      </c>
      <c r="B608" s="49" t="str">
        <f>IFERROR(__xludf.DUMMYFUNCTION("REGEXREPLACE(
 REGEXREPLACE(A608,""^cost\."",""""),
 ""\.[^.]+\.[^.]+$"",
 """"
)"),"citadel.armory")</f>
        <v>citadel.armory</v>
      </c>
      <c r="C608" s="49" t="str">
        <f t="array" ref="C608">_xlfn.XLOOKUP(
 B608,
 tblTargets[TargetID],
 tblTargets[DisplayName],
 ""
)</f>
        <v>Armory</v>
      </c>
      <c r="D608" s="49" t="str">
        <f t="array" ref="D608">_xlfn.XLOOKUP(
 B608,
 tblTargets[TargetID],
 tblTargets[TargetType],
 ""
)</f>
        <v>CITADEL</v>
      </c>
      <c r="E608" s="49" t="s">
        <v>6</v>
      </c>
      <c r="F608" s="49">
        <v>1.0</v>
      </c>
      <c r="G608" s="49">
        <f t="array" ref="G608">_xlfn.XLOOKUP(
 A608,
 tblCost[RequirementID],
 tblCost[QuantityRequired],
 ""
)</f>
        <v>3</v>
      </c>
      <c r="H608" s="49">
        <f t="array" ref="H608">IF(
 OR(
  LEFT(B608,15)="state.character",
  RIGHT(B608,6)=".maxed"
 ),
 0,
 LET(
  sort,
   _xlfn.XLOOKUP(
    B608,
    tblChecklist[TargetID],
    tblChecklist[PlayerSort],
    0
   ),
  IF(sort=0,500,sort)
 )
)</f>
        <v>500</v>
      </c>
      <c r="I608" s="49" t="str">
        <f t="array" ref="I608">_xlfn.XLOOKUP(
 B608,
 tblTargetStatus[TargetID],
 tblTargetStatus[Status],
 ""
)</f>
        <v>BLOCKED</v>
      </c>
      <c r="J608" s="45" t="b">
        <v>0</v>
      </c>
    </row>
    <row r="609" ht="14.25" hidden="1" customHeight="1">
      <c r="A609" s="49" t="s">
        <v>2212</v>
      </c>
      <c r="B609" s="49" t="str">
        <f>IFERROR(__xludf.DUMMYFUNCTION("REGEXREPLACE(
 REGEXREPLACE(A609,""^cost\."",""""),
 ""\.[^.]+\.[^.]+$"",
 """"
)"),"citadel.armory")</f>
        <v>citadel.armory</v>
      </c>
      <c r="C609" s="49" t="str">
        <f t="array" ref="C609">_xlfn.XLOOKUP(
 B609,
 tblTargets[TargetID],
 tblTargets[DisplayName],
 ""
)</f>
        <v>Armory</v>
      </c>
      <c r="D609" s="49" t="str">
        <f t="array" ref="D609">_xlfn.XLOOKUP(
 B609,
 tblTargets[TargetID],
 tblTargets[TargetType],
 ""
)</f>
        <v>CITADEL</v>
      </c>
      <c r="E609" s="49" t="s">
        <v>392</v>
      </c>
      <c r="F609" s="49">
        <v>1.0</v>
      </c>
      <c r="G609" s="49">
        <f t="array" ref="G609">_xlfn.XLOOKUP(
 A609,
 tblCost[RequirementID],
 tblCost[QuantityRequired],
 ""
)</f>
        <v>100</v>
      </c>
      <c r="H609" s="49">
        <f t="array" ref="H609">IF(
 OR(
  LEFT(B609,15)="state.character",
  RIGHT(B609,6)=".maxed"
 ),
 0,
 LET(
  sort,
   _xlfn.XLOOKUP(
    B609,
    tblChecklist[TargetID],
    tblChecklist[PlayerSort],
    0
   ),
  IF(sort=0,500,sort)
 )
)</f>
        <v>500</v>
      </c>
      <c r="I609" s="49" t="str">
        <f t="array" ref="I609">_xlfn.XLOOKUP(
 B609,
 tblTargetStatus[TargetID],
 tblTargetStatus[Status],
 ""
)</f>
        <v>BLOCKED</v>
      </c>
      <c r="J609" s="45" t="b">
        <v>0</v>
      </c>
    </row>
    <row r="610" ht="14.25" hidden="1" customHeight="1">
      <c r="A610" s="49" t="s">
        <v>2213</v>
      </c>
      <c r="B610" s="49" t="str">
        <f>IFERROR(__xludf.DUMMYFUNCTION("REGEXREPLACE(
 REGEXREPLACE(A610,""^cost\."",""""),
 ""\.[^.]+\.[^.]+$"",
 """"
)"),"citadel.armory")</f>
        <v>citadel.armory</v>
      </c>
      <c r="C610" s="49" t="str">
        <f t="array" ref="C610">_xlfn.XLOOKUP(
 B610,
 tblTargets[TargetID],
 tblTargets[DisplayName],
 ""
)</f>
        <v>Armory</v>
      </c>
      <c r="D610" s="49" t="str">
        <f t="array" ref="D610">_xlfn.XLOOKUP(
 B610,
 tblTargets[TargetID],
 tblTargets[TargetType],
 ""
)</f>
        <v>CITADEL</v>
      </c>
      <c r="E610" s="49" t="s">
        <v>237</v>
      </c>
      <c r="F610" s="49">
        <v>1.0</v>
      </c>
      <c r="G610" s="49">
        <f t="array" ref="G610">_xlfn.XLOOKUP(
 A610,
 tblCost[RequirementID],
 tblCost[QuantityRequired],
 ""
)</f>
        <v>500</v>
      </c>
      <c r="H610" s="49">
        <f t="array" ref="H610">IF(
 OR(
  LEFT(B610,15)="state.character",
  RIGHT(B610,6)=".maxed"
 ),
 0,
 LET(
  sort,
   _xlfn.XLOOKUP(
    B610,
    tblChecklist[TargetID],
    tblChecklist[PlayerSort],
    0
   ),
  IF(sort=0,500,sort)
 )
)</f>
        <v>500</v>
      </c>
      <c r="I610" s="49" t="str">
        <f t="array" ref="I610">_xlfn.XLOOKUP(
 B610,
 tblTargetStatus[TargetID],
 tblTargetStatus[Status],
 ""
)</f>
        <v>BLOCKED</v>
      </c>
      <c r="J610" s="45" t="b">
        <v>0</v>
      </c>
    </row>
    <row r="611" ht="14.25" hidden="1" customHeight="1">
      <c r="A611" s="49" t="s">
        <v>2214</v>
      </c>
      <c r="B611" s="49" t="str">
        <f>IFERROR(__xludf.DUMMYFUNCTION("REGEXREPLACE(
 REGEXREPLACE(A611,""^cost\."",""""),
 ""\.[^.]+\.[^.]+$"",
 """"
)"),"citadel.attic")</f>
        <v>citadel.attic</v>
      </c>
      <c r="C611" s="49" t="str">
        <f t="array" ref="C611">_xlfn.XLOOKUP(
 B611,
 tblTargets[TargetID],
 tblTargets[DisplayName],
 ""
)</f>
        <v>Attic</v>
      </c>
      <c r="D611" s="49" t="str">
        <f t="array" ref="D611">_xlfn.XLOOKUP(
 B611,
 tblTargets[TargetID],
 tblTargets[TargetType],
 ""
)</f>
        <v>CITADEL</v>
      </c>
      <c r="E611" s="49" t="s">
        <v>278</v>
      </c>
      <c r="F611" s="49">
        <v>1.0</v>
      </c>
      <c r="G611" s="49">
        <f t="array" ref="G611">_xlfn.XLOOKUP(
 A611,
 tblCost[RequirementID],
 tblCost[QuantityRequired],
 ""
)</f>
        <v>400</v>
      </c>
      <c r="H611" s="49">
        <f t="array" ref="H611">IF(
 OR(
  LEFT(B611,15)="state.character",
  RIGHT(B611,6)=".maxed"
 ),
 0,
 LET(
  sort,
   _xlfn.XLOOKUP(
    B611,
    tblChecklist[TargetID],
    tblChecklist[PlayerSort],
    0
   ),
  IF(sort=0,500,sort)
 )
)</f>
        <v>500</v>
      </c>
      <c r="I611" s="49" t="str">
        <f t="array" ref="I611">_xlfn.XLOOKUP(
 B611,
 tblTargetStatus[TargetID],
 tblTargetStatus[Status],
 ""
)</f>
        <v>BLOCKED</v>
      </c>
      <c r="J611" s="45" t="b">
        <v>0</v>
      </c>
    </row>
    <row r="612" ht="14.25" hidden="1" customHeight="1">
      <c r="A612" s="49" t="s">
        <v>2215</v>
      </c>
      <c r="B612" s="49" t="str">
        <f>IFERROR(__xludf.DUMMYFUNCTION("REGEXREPLACE(
 REGEXREPLACE(A612,""^cost\."",""""),
 ""\.[^.]+\.[^.]+$"",
 """"
)"),"citadel.attic")</f>
        <v>citadel.attic</v>
      </c>
      <c r="C612" s="49" t="str">
        <f t="array" ref="C612">_xlfn.XLOOKUP(
 B612,
 tblTargets[TargetID],
 tblTargets[DisplayName],
 ""
)</f>
        <v>Attic</v>
      </c>
      <c r="D612" s="49" t="str">
        <f t="array" ref="D612">_xlfn.XLOOKUP(
 B612,
 tblTargets[TargetID],
 tblTargets[TargetType],
 ""
)</f>
        <v>CITADEL</v>
      </c>
      <c r="E612" s="49" t="s">
        <v>119</v>
      </c>
      <c r="F612" s="49">
        <v>1.0</v>
      </c>
      <c r="G612" s="49">
        <f t="array" ref="G612">_xlfn.XLOOKUP(
 A612,
 tblCost[RequirementID],
 tblCost[QuantityRequired],
 ""
)</f>
        <v>400</v>
      </c>
      <c r="H612" s="49">
        <f t="array" ref="H612">IF(
 OR(
  LEFT(B612,15)="state.character",
  RIGHT(B612,6)=".maxed"
 ),
 0,
 LET(
  sort,
   _xlfn.XLOOKUP(
    B612,
    tblChecklist[TargetID],
    tblChecklist[PlayerSort],
    0
   ),
  IF(sort=0,500,sort)
 )
)</f>
        <v>500</v>
      </c>
      <c r="I612" s="49" t="str">
        <f t="array" ref="I612">_xlfn.XLOOKUP(
 B612,
 tblTargetStatus[TargetID],
 tblTargetStatus[Status],
 ""
)</f>
        <v>BLOCKED</v>
      </c>
      <c r="J612" s="45" t="b">
        <v>0</v>
      </c>
    </row>
    <row r="613" ht="14.25" hidden="1" customHeight="1">
      <c r="A613" s="49" t="s">
        <v>2216</v>
      </c>
      <c r="B613" s="49" t="str">
        <f>IFERROR(__xludf.DUMMYFUNCTION("REGEXREPLACE(
 REGEXREPLACE(A613,""^cost\."",""""),
 ""\.[^.]+\.[^.]+$"",
 """"
)"),"citadel.attic")</f>
        <v>citadel.attic</v>
      </c>
      <c r="C613" s="49" t="str">
        <f t="array" ref="C613">_xlfn.XLOOKUP(
 B613,
 tblTargets[TargetID],
 tblTargets[DisplayName],
 ""
)</f>
        <v>Attic</v>
      </c>
      <c r="D613" s="49" t="str">
        <f t="array" ref="D613">_xlfn.XLOOKUP(
 B613,
 tblTargets[TargetID],
 tblTargets[TargetType],
 ""
)</f>
        <v>CITADEL</v>
      </c>
      <c r="E613" s="49" t="s">
        <v>132</v>
      </c>
      <c r="F613" s="49">
        <v>1.0</v>
      </c>
      <c r="G613" s="49">
        <f t="array" ref="G613">_xlfn.XLOOKUP(
 A613,
 tblCost[RequirementID],
 tblCost[QuantityRequired],
 ""
)</f>
        <v>10</v>
      </c>
      <c r="H613" s="49">
        <f t="array" ref="H613">IF(
 OR(
  LEFT(B613,15)="state.character",
  RIGHT(B613,6)=".maxed"
 ),
 0,
 LET(
  sort,
   _xlfn.XLOOKUP(
    B613,
    tblChecklist[TargetID],
    tblChecklist[PlayerSort],
    0
   ),
  IF(sort=0,500,sort)
 )
)</f>
        <v>500</v>
      </c>
      <c r="I613" s="49" t="str">
        <f t="array" ref="I613">_xlfn.XLOOKUP(
 B613,
 tblTargetStatus[TargetID],
 tblTargetStatus[Status],
 ""
)</f>
        <v>BLOCKED</v>
      </c>
      <c r="J613" s="45" t="b">
        <v>0</v>
      </c>
    </row>
    <row r="614" ht="14.25" hidden="1" customHeight="1">
      <c r="A614" s="49" t="s">
        <v>2217</v>
      </c>
      <c r="B614" s="49" t="str">
        <f>IFERROR(__xludf.DUMMYFUNCTION("REGEXREPLACE(
 REGEXREPLACE(A614,""^cost\."",""""),
 ""\.[^.]+\.[^.]+$"",
 """"
)"),"citadel.attic")</f>
        <v>citadel.attic</v>
      </c>
      <c r="C614" s="49" t="str">
        <f t="array" ref="C614">_xlfn.XLOOKUP(
 B614,
 tblTargets[TargetID],
 tblTargets[DisplayName],
 ""
)</f>
        <v>Attic</v>
      </c>
      <c r="D614" s="49" t="str">
        <f t="array" ref="D614">_xlfn.XLOOKUP(
 B614,
 tblTargets[TargetID],
 tblTargets[TargetType],
 ""
)</f>
        <v>CITADEL</v>
      </c>
      <c r="E614" s="49" t="s">
        <v>6</v>
      </c>
      <c r="F614" s="49">
        <v>1.0</v>
      </c>
      <c r="G614" s="49">
        <f t="array" ref="G614">_xlfn.XLOOKUP(
 A614,
 tblCost[RequirementID],
 tblCost[QuantityRequired],
 ""
)</f>
        <v>2</v>
      </c>
      <c r="H614" s="49">
        <f t="array" ref="H614">IF(
 OR(
  LEFT(B614,15)="state.character",
  RIGHT(B614,6)=".maxed"
 ),
 0,
 LET(
  sort,
   _xlfn.XLOOKUP(
    B614,
    tblChecklist[TargetID],
    tblChecklist[PlayerSort],
    0
   ),
  IF(sort=0,500,sort)
 )
)</f>
        <v>500</v>
      </c>
      <c r="I614" s="49" t="str">
        <f t="array" ref="I614">_xlfn.XLOOKUP(
 B614,
 tblTargetStatus[TargetID],
 tblTargetStatus[Status],
 ""
)</f>
        <v>BLOCKED</v>
      </c>
      <c r="J614" s="45" t="b">
        <v>0</v>
      </c>
    </row>
    <row r="615" ht="14.25" hidden="1" customHeight="1">
      <c r="A615" s="49" t="s">
        <v>2218</v>
      </c>
      <c r="B615" s="49" t="str">
        <f>IFERROR(__xludf.DUMMYFUNCTION("REGEXREPLACE(
 REGEXREPLACE(A615,""^cost\."",""""),
 ""\.[^.]+\.[^.]+$"",
 """"
)"),"citadel.attic")</f>
        <v>citadel.attic</v>
      </c>
      <c r="C615" s="49" t="str">
        <f t="array" ref="C615">_xlfn.XLOOKUP(
 B615,
 tblTargets[TargetID],
 tblTargets[DisplayName],
 ""
)</f>
        <v>Attic</v>
      </c>
      <c r="D615" s="49" t="str">
        <f t="array" ref="D615">_xlfn.XLOOKUP(
 B615,
 tblTargets[TargetID],
 tblTargets[TargetType],
 ""
)</f>
        <v>CITADEL</v>
      </c>
      <c r="E615" s="49" t="s">
        <v>237</v>
      </c>
      <c r="F615" s="49">
        <v>1.0</v>
      </c>
      <c r="G615" s="49">
        <f t="array" ref="G615">_xlfn.XLOOKUP(
 A615,
 tblCost[RequirementID],
 tblCost[QuantityRequired],
 ""
)</f>
        <v>400</v>
      </c>
      <c r="H615" s="49">
        <f t="array" ref="H615">IF(
 OR(
  LEFT(B615,15)="state.character",
  RIGHT(B615,6)=".maxed"
 ),
 0,
 LET(
  sort,
   _xlfn.XLOOKUP(
    B615,
    tblChecklist[TargetID],
    tblChecklist[PlayerSort],
    0
   ),
  IF(sort=0,500,sort)
 )
)</f>
        <v>500</v>
      </c>
      <c r="I615" s="49" t="str">
        <f t="array" ref="I615">_xlfn.XLOOKUP(
 B615,
 tblTargetStatus[TargetID],
 tblTargetStatus[Status],
 ""
)</f>
        <v>BLOCKED</v>
      </c>
      <c r="J615" s="45" t="b">
        <v>0</v>
      </c>
    </row>
    <row r="616" ht="14.25" hidden="1" customHeight="1">
      <c r="A616" s="49" t="s">
        <v>2219</v>
      </c>
      <c r="B616" s="49" t="str">
        <f>IFERROR(__xludf.DUMMYFUNCTION("REGEXREPLACE(
 REGEXREPLACE(A616,""^cost\."",""""),
 ""\.[^.]+\.[^.]+$"",
 """"
)"),"citadel.cheese_cave")</f>
        <v>citadel.cheese_cave</v>
      </c>
      <c r="C616" s="49" t="str">
        <f t="array" ref="C616">_xlfn.XLOOKUP(
 B616,
 tblTargets[TargetID],
 tblTargets[DisplayName],
 ""
)</f>
        <v>Cheese Cave</v>
      </c>
      <c r="D616" s="49" t="str">
        <f t="array" ref="D616">_xlfn.XLOOKUP(
 B616,
 tblTargets[TargetID],
 tblTargets[TargetType],
 ""
)</f>
        <v>CITADEL</v>
      </c>
      <c r="E616" s="49" t="s">
        <v>119</v>
      </c>
      <c r="F616" s="49">
        <v>1.0</v>
      </c>
      <c r="G616" s="49">
        <f t="array" ref="G616">_xlfn.XLOOKUP(
 A616,
 tblCost[RequirementID],
 tblCost[QuantityRequired],
 ""
)</f>
        <v>1000</v>
      </c>
      <c r="H616" s="49">
        <f t="array" ref="H616">IF(
 OR(
  LEFT(B616,15)="state.character",
  RIGHT(B616,6)=".maxed"
 ),
 0,
 LET(
  sort,
   _xlfn.XLOOKUP(
    B616,
    tblChecklist[TargetID],
    tblChecklist[PlayerSort],
    0
   ),
  IF(sort=0,500,sort)
 )
)</f>
        <v>500</v>
      </c>
      <c r="I616" s="49" t="str">
        <f t="array" ref="I616">_xlfn.XLOOKUP(
 B616,
 tblTargetStatus[TargetID],
 tblTargetStatus[Status],
 ""
)</f>
        <v>BLOCKED</v>
      </c>
      <c r="J616" s="45" t="b">
        <v>0</v>
      </c>
    </row>
    <row r="617" ht="14.25" hidden="1" customHeight="1">
      <c r="A617" s="49" t="s">
        <v>2220</v>
      </c>
      <c r="B617" s="49" t="str">
        <f>IFERROR(__xludf.DUMMYFUNCTION("REGEXREPLACE(
 REGEXREPLACE(A617,""^cost\."",""""),
 ""\.[^.]+\.[^.]+$"",
 """"
)"),"citadel.cheese_cave")</f>
        <v>citadel.cheese_cave</v>
      </c>
      <c r="C617" s="49" t="str">
        <f t="array" ref="C617">_xlfn.XLOOKUP(
 B617,
 tblTargets[TargetID],
 tblTargets[DisplayName],
 ""
)</f>
        <v>Cheese Cave</v>
      </c>
      <c r="D617" s="49" t="str">
        <f t="array" ref="D617">_xlfn.XLOOKUP(
 B617,
 tblTargets[TargetID],
 tblTargets[TargetType],
 ""
)</f>
        <v>CITADEL</v>
      </c>
      <c r="E617" s="49" t="s">
        <v>527</v>
      </c>
      <c r="F617" s="49">
        <v>1.0</v>
      </c>
      <c r="G617" s="49">
        <f t="array" ref="G617">_xlfn.XLOOKUP(
 A617,
 tblCost[RequirementID],
 tblCost[QuantityRequired],
 ""
)</f>
        <v>10</v>
      </c>
      <c r="H617" s="49">
        <f t="array" ref="H617">IF(
 OR(
  LEFT(B617,15)="state.character",
  RIGHT(B617,6)=".maxed"
 ),
 0,
 LET(
  sort,
   _xlfn.XLOOKUP(
    B617,
    tblChecklist[TargetID],
    tblChecklist[PlayerSort],
    0
   ),
  IF(sort=0,500,sort)
 )
)</f>
        <v>500</v>
      </c>
      <c r="I617" s="49" t="str">
        <f t="array" ref="I617">_xlfn.XLOOKUP(
 B617,
 tblTargetStatus[TargetID],
 tblTargetStatus[Status],
 ""
)</f>
        <v>BLOCKED</v>
      </c>
      <c r="J617" s="45" t="b">
        <v>0</v>
      </c>
    </row>
    <row r="618" ht="14.25" hidden="1" customHeight="1">
      <c r="A618" s="49" t="s">
        <v>2221</v>
      </c>
      <c r="B618" s="49" t="str">
        <f>IFERROR(__xludf.DUMMYFUNCTION("REGEXREPLACE(
 REGEXREPLACE(A618,""^cost\."",""""),
 ""\.[^.]+\.[^.]+$"",
 """"
)"),"citadel.cheese_cave")</f>
        <v>citadel.cheese_cave</v>
      </c>
      <c r="C618" s="49" t="str">
        <f t="array" ref="C618">_xlfn.XLOOKUP(
 B618,
 tblTargets[TargetID],
 tblTargets[DisplayName],
 ""
)</f>
        <v>Cheese Cave</v>
      </c>
      <c r="D618" s="49" t="str">
        <f t="array" ref="D618">_xlfn.XLOOKUP(
 B618,
 tblTargets[TargetID],
 tblTargets[TargetType],
 ""
)</f>
        <v>CITADEL</v>
      </c>
      <c r="E618" s="49" t="s">
        <v>530</v>
      </c>
      <c r="F618" s="49">
        <v>1.0</v>
      </c>
      <c r="G618" s="49">
        <f t="array" ref="G618">_xlfn.XLOOKUP(
 A618,
 tblCost[RequirementID],
 tblCost[QuantityRequired],
 ""
)</f>
        <v>5</v>
      </c>
      <c r="H618" s="49">
        <f t="array" ref="H618">IF(
 OR(
  LEFT(B618,15)="state.character",
  RIGHT(B618,6)=".maxed"
 ),
 0,
 LET(
  sort,
   _xlfn.XLOOKUP(
    B618,
    tblChecklist[TargetID],
    tblChecklist[PlayerSort],
    0
   ),
  IF(sort=0,500,sort)
 )
)</f>
        <v>500</v>
      </c>
      <c r="I618" s="49" t="str">
        <f t="array" ref="I618">_xlfn.XLOOKUP(
 B618,
 tblTargetStatus[TargetID],
 tblTargetStatus[Status],
 ""
)</f>
        <v>BLOCKED</v>
      </c>
      <c r="J618" s="45" t="b">
        <v>0</v>
      </c>
    </row>
    <row r="619" ht="14.25" hidden="1" customHeight="1">
      <c r="A619" s="49" t="s">
        <v>2222</v>
      </c>
      <c r="B619" s="49" t="str">
        <f>IFERROR(__xludf.DUMMYFUNCTION("REGEXREPLACE(
 REGEXREPLACE(A619,""^cost\."",""""),
 ""\.[^.]+\.[^.]+$"",
 """"
)"),"citadel.cheese_cave")</f>
        <v>citadel.cheese_cave</v>
      </c>
      <c r="C619" s="49" t="str">
        <f t="array" ref="C619">_xlfn.XLOOKUP(
 B619,
 tblTargets[TargetID],
 tblTargets[DisplayName],
 ""
)</f>
        <v>Cheese Cave</v>
      </c>
      <c r="D619" s="49" t="str">
        <f t="array" ref="D619">_xlfn.XLOOKUP(
 B619,
 tblTargets[TargetID],
 tblTargets[TargetType],
 ""
)</f>
        <v>CITADEL</v>
      </c>
      <c r="E619" s="49" t="s">
        <v>187</v>
      </c>
      <c r="F619" s="49">
        <v>1.0</v>
      </c>
      <c r="G619" s="49">
        <f t="array" ref="G619">_xlfn.XLOOKUP(
 A619,
 tblCost[RequirementID],
 tblCost[QuantityRequired],
 ""
)</f>
        <v>600</v>
      </c>
      <c r="H619" s="49">
        <f t="array" ref="H619">IF(
 OR(
  LEFT(B619,15)="state.character",
  RIGHT(B619,6)=".maxed"
 ),
 0,
 LET(
  sort,
   _xlfn.XLOOKUP(
    B619,
    tblChecklist[TargetID],
    tblChecklist[PlayerSort],
    0
   ),
  IF(sort=0,500,sort)
 )
)</f>
        <v>500</v>
      </c>
      <c r="I619" s="49" t="str">
        <f t="array" ref="I619">_xlfn.XLOOKUP(
 B619,
 tblTargetStatus[TargetID],
 tblTargetStatus[Status],
 ""
)</f>
        <v>BLOCKED</v>
      </c>
      <c r="J619" s="45" t="b">
        <v>0</v>
      </c>
    </row>
    <row r="620" ht="14.25" hidden="1" customHeight="1">
      <c r="A620" s="49" t="s">
        <v>2223</v>
      </c>
      <c r="B620" s="49" t="str">
        <f>IFERROR(__xludf.DUMMYFUNCTION("REGEXREPLACE(
 REGEXREPLACE(A620,""^cost\."",""""),
 ""\.[^.]+\.[^.]+$"",
 """"
)"),"citadel.cheese_cave")</f>
        <v>citadel.cheese_cave</v>
      </c>
      <c r="C620" s="49" t="str">
        <f t="array" ref="C620">_xlfn.XLOOKUP(
 B620,
 tblTargets[TargetID],
 tblTargets[DisplayName],
 ""
)</f>
        <v>Cheese Cave</v>
      </c>
      <c r="D620" s="49" t="str">
        <f t="array" ref="D620">_xlfn.XLOOKUP(
 B620,
 tblTargets[TargetID],
 tblTargets[TargetType],
 ""
)</f>
        <v>CITADEL</v>
      </c>
      <c r="E620" s="49" t="s">
        <v>6</v>
      </c>
      <c r="F620" s="49">
        <v>1.0</v>
      </c>
      <c r="G620" s="49">
        <f t="array" ref="G620">_xlfn.XLOOKUP(
 A620,
 tblCost[RequirementID],
 tblCost[QuantityRequired],
 ""
)</f>
        <v>5</v>
      </c>
      <c r="H620" s="49">
        <f t="array" ref="H620">IF(
 OR(
  LEFT(B620,15)="state.character",
  RIGHT(B620,6)=".maxed"
 ),
 0,
 LET(
  sort,
   _xlfn.XLOOKUP(
    B620,
    tblChecklist[TargetID],
    tblChecklist[PlayerSort],
    0
   ),
  IF(sort=0,500,sort)
 )
)</f>
        <v>500</v>
      </c>
      <c r="I620" s="49" t="str">
        <f t="array" ref="I620">_xlfn.XLOOKUP(
 B620,
 tblTargetStatus[TargetID],
 tblTargetStatus[Status],
 ""
)</f>
        <v>BLOCKED</v>
      </c>
      <c r="J620" s="45" t="b">
        <v>0</v>
      </c>
    </row>
    <row r="621" ht="14.25" hidden="1" customHeight="1">
      <c r="A621" s="49" t="s">
        <v>2224</v>
      </c>
      <c r="B621" s="49" t="str">
        <f>IFERROR(__xludf.DUMMYFUNCTION("REGEXREPLACE(
 REGEXREPLACE(A621,""^cost\."",""""),
 ""\.[^.]+\.[^.]+$"",
 """"
)"),"citadel.cheese_cave")</f>
        <v>citadel.cheese_cave</v>
      </c>
      <c r="C621" s="49" t="str">
        <f t="array" ref="C621">_xlfn.XLOOKUP(
 B621,
 tblTargets[TargetID],
 tblTargets[DisplayName],
 ""
)</f>
        <v>Cheese Cave</v>
      </c>
      <c r="D621" s="49" t="str">
        <f t="array" ref="D621">_xlfn.XLOOKUP(
 B621,
 tblTargets[TargetID],
 tblTargets[TargetType],
 ""
)</f>
        <v>CITADEL</v>
      </c>
      <c r="E621" s="49" t="s">
        <v>2225</v>
      </c>
      <c r="F621" s="49">
        <v>1.0</v>
      </c>
      <c r="G621" s="49">
        <f t="array" ref="G621">_xlfn.XLOOKUP(
 A621,
 tblCost[RequirementID],
 tblCost[QuantityRequired],
 ""
)</f>
        <v>10</v>
      </c>
      <c r="H621" s="49">
        <f t="array" ref="H621">IF(
 OR(
  LEFT(B621,15)="state.character",
  RIGHT(B621,6)=".maxed"
 ),
 0,
 LET(
  sort,
   _xlfn.XLOOKUP(
    B621,
    tblChecklist[TargetID],
    tblChecklist[PlayerSort],
    0
   ),
  IF(sort=0,500,sort)
 )
)</f>
        <v>500</v>
      </c>
      <c r="I621" s="49" t="str">
        <f t="array" ref="I621">_xlfn.XLOOKUP(
 B621,
 tblTargetStatus[TargetID],
 tblTargetStatus[Status],
 ""
)</f>
        <v>BLOCKED</v>
      </c>
      <c r="J621" s="45" t="b">
        <v>0</v>
      </c>
    </row>
    <row r="622" ht="14.25" hidden="1" customHeight="1">
      <c r="A622" s="49" t="s">
        <v>2226</v>
      </c>
      <c r="B622" s="49" t="str">
        <f>IFERROR(__xludf.DUMMYFUNCTION("REGEXREPLACE(
 REGEXREPLACE(A622,""^cost\."",""""),
 ""\.[^.]+\.[^.]+$"",
 """"
)"),"citadel.cheese_cave")</f>
        <v>citadel.cheese_cave</v>
      </c>
      <c r="C622" s="49" t="str">
        <f t="array" ref="C622">_xlfn.XLOOKUP(
 B622,
 tblTargets[TargetID],
 tblTargets[DisplayName],
 ""
)</f>
        <v>Cheese Cave</v>
      </c>
      <c r="D622" s="49" t="str">
        <f t="array" ref="D622">_xlfn.XLOOKUP(
 B622,
 tblTargets[TargetID],
 tblTargets[TargetType],
 ""
)</f>
        <v>CITADEL</v>
      </c>
      <c r="E622" s="49" t="s">
        <v>237</v>
      </c>
      <c r="F622" s="49">
        <v>1.0</v>
      </c>
      <c r="G622" s="49">
        <f t="array" ref="G622">_xlfn.XLOOKUP(
 A622,
 tblCost[RequirementID],
 tblCost[QuantityRequired],
 ""
)</f>
        <v>100</v>
      </c>
      <c r="H622" s="49">
        <f t="array" ref="H622">IF(
 OR(
  LEFT(B622,15)="state.character",
  RIGHT(B622,6)=".maxed"
 ),
 0,
 LET(
  sort,
   _xlfn.XLOOKUP(
    B622,
    tblChecklist[TargetID],
    tblChecklist[PlayerSort],
    0
   ),
  IF(sort=0,500,sort)
 )
)</f>
        <v>500</v>
      </c>
      <c r="I622" s="49" t="str">
        <f t="array" ref="I622">_xlfn.XLOOKUP(
 B622,
 tblTargetStatus[TargetID],
 tblTargetStatus[Status],
 ""
)</f>
        <v>BLOCKED</v>
      </c>
      <c r="J622" s="45" t="b">
        <v>0</v>
      </c>
    </row>
    <row r="623" ht="14.25" hidden="1" customHeight="1">
      <c r="A623" s="49" t="s">
        <v>2227</v>
      </c>
      <c r="B623" s="49" t="str">
        <f>IFERROR(__xludf.DUMMYFUNCTION("REGEXREPLACE(
 REGEXREPLACE(A623,""^cost\."",""""),
 ""\.[^.]+\.[^.]+$"",
 """"
)"),"citadel.courtyard")</f>
        <v>citadel.courtyard</v>
      </c>
      <c r="C623" s="49" t="str">
        <f t="array" ref="C623">_xlfn.XLOOKUP(
 B623,
 tblTargets[TargetID],
 tblTargets[DisplayName],
 ""
)</f>
        <v>Courtyard</v>
      </c>
      <c r="D623" s="49" t="str">
        <f t="array" ref="D623">_xlfn.XLOOKUP(
 B623,
 tblTargets[TargetID],
 tblTargets[TargetType],
 ""
)</f>
        <v>CITADEL</v>
      </c>
      <c r="E623" s="49" t="s">
        <v>278</v>
      </c>
      <c r="F623" s="49">
        <v>1.0</v>
      </c>
      <c r="G623" s="49">
        <f t="array" ref="G623">_xlfn.XLOOKUP(
 A623,
 tblCost[RequirementID],
 tblCost[QuantityRequired],
 ""
)</f>
        <v>500</v>
      </c>
      <c r="H623" s="49">
        <f t="array" ref="H623">IF(
 OR(
  LEFT(B623,15)="state.character",
  RIGHT(B623,6)=".maxed"
 ),
 0,
 LET(
  sort,
   _xlfn.XLOOKUP(
    B623,
    tblChecklist[TargetID],
    tblChecklist[PlayerSort],
    0
   ),
  IF(sort=0,500,sort)
 )
)</f>
        <v>500</v>
      </c>
      <c r="I623" s="49" t="str">
        <f t="array" ref="I623">_xlfn.XLOOKUP(
 B623,
 tblTargetStatus[TargetID],
 tblTargetStatus[Status],
 ""
)</f>
        <v>BLOCKED</v>
      </c>
      <c r="J623" s="45" t="b">
        <v>0</v>
      </c>
    </row>
    <row r="624" ht="14.25" hidden="1" customHeight="1">
      <c r="A624" s="49" t="s">
        <v>2228</v>
      </c>
      <c r="B624" s="49" t="str">
        <f>IFERROR(__xludf.DUMMYFUNCTION("REGEXREPLACE(
 REGEXREPLACE(A624,""^cost\."",""""),
 ""\.[^.]+\.[^.]+$"",
 """"
)"),"citadel.courtyard")</f>
        <v>citadel.courtyard</v>
      </c>
      <c r="C624" s="49" t="str">
        <f t="array" ref="C624">_xlfn.XLOOKUP(
 B624,
 tblTargets[TargetID],
 tblTargets[DisplayName],
 ""
)</f>
        <v>Courtyard</v>
      </c>
      <c r="D624" s="49" t="str">
        <f t="array" ref="D624">_xlfn.XLOOKUP(
 B624,
 tblTargets[TargetID],
 tblTargets[TargetType],
 ""
)</f>
        <v>CITADEL</v>
      </c>
      <c r="E624" s="49" t="s">
        <v>119</v>
      </c>
      <c r="F624" s="49">
        <v>1.0</v>
      </c>
      <c r="G624" s="49">
        <f t="array" ref="G624">_xlfn.XLOOKUP(
 A624,
 tblCost[RequirementID],
 tblCost[QuantityRequired],
 ""
)</f>
        <v>500</v>
      </c>
      <c r="H624" s="49">
        <f t="array" ref="H624">IF(
 OR(
  LEFT(B624,15)="state.character",
  RIGHT(B624,6)=".maxed"
 ),
 0,
 LET(
  sort,
   _xlfn.XLOOKUP(
    B624,
    tblChecklist[TargetID],
    tblChecklist[PlayerSort],
    0
   ),
  IF(sort=0,500,sort)
 )
)</f>
        <v>500</v>
      </c>
      <c r="I624" s="49" t="str">
        <f t="array" ref="I624">_xlfn.XLOOKUP(
 B624,
 tblTargetStatus[TargetID],
 tblTargetStatus[Status],
 ""
)</f>
        <v>BLOCKED</v>
      </c>
      <c r="J624" s="45" t="b">
        <v>0</v>
      </c>
    </row>
    <row r="625" ht="14.25" hidden="1" customHeight="1">
      <c r="A625" s="49" t="s">
        <v>2229</v>
      </c>
      <c r="B625" s="49" t="str">
        <f>IFERROR(__xludf.DUMMYFUNCTION("REGEXREPLACE(
 REGEXREPLACE(A625,""^cost\."",""""),
 ""\.[^.]+\.[^.]+$"",
 """"
)"),"citadel.courtyard")</f>
        <v>citadel.courtyard</v>
      </c>
      <c r="C625" s="49" t="str">
        <f t="array" ref="C625">_xlfn.XLOOKUP(
 B625,
 tblTargets[TargetID],
 tblTargets[DisplayName],
 ""
)</f>
        <v>Courtyard</v>
      </c>
      <c r="D625" s="49" t="str">
        <f t="array" ref="D625">_xlfn.XLOOKUP(
 B625,
 tblTargets[TargetID],
 tblTargets[TargetType],
 ""
)</f>
        <v>CITADEL</v>
      </c>
      <c r="E625" s="49" t="s">
        <v>132</v>
      </c>
      <c r="F625" s="49">
        <v>1.0</v>
      </c>
      <c r="G625" s="49">
        <f t="array" ref="G625">_xlfn.XLOOKUP(
 A625,
 tblCost[RequirementID],
 tblCost[QuantityRequired],
 ""
)</f>
        <v>15</v>
      </c>
      <c r="H625" s="49">
        <f t="array" ref="H625">IF(
 OR(
  LEFT(B625,15)="state.character",
  RIGHT(B625,6)=".maxed"
 ),
 0,
 LET(
  sort,
   _xlfn.XLOOKUP(
    B625,
    tblChecklist[TargetID],
    tblChecklist[PlayerSort],
    0
   ),
  IF(sort=0,500,sort)
 )
)</f>
        <v>500</v>
      </c>
      <c r="I625" s="49" t="str">
        <f t="array" ref="I625">_xlfn.XLOOKUP(
 B625,
 tblTargetStatus[TargetID],
 tblTargetStatus[Status],
 ""
)</f>
        <v>BLOCKED</v>
      </c>
      <c r="J625" s="45" t="b">
        <v>0</v>
      </c>
    </row>
    <row r="626" ht="14.25" hidden="1" customHeight="1">
      <c r="A626" s="49" t="s">
        <v>2230</v>
      </c>
      <c r="B626" s="49" t="str">
        <f>IFERROR(__xludf.DUMMYFUNCTION("REGEXREPLACE(
 REGEXREPLACE(A626,""^cost\."",""""),
 ""\.[^.]+\.[^.]+$"",
 """"
)"),"citadel.courtyard")</f>
        <v>citadel.courtyard</v>
      </c>
      <c r="C626" s="49" t="str">
        <f t="array" ref="C626">_xlfn.XLOOKUP(
 B626,
 tblTargets[TargetID],
 tblTargets[DisplayName],
 ""
)</f>
        <v>Courtyard</v>
      </c>
      <c r="D626" s="49" t="str">
        <f t="array" ref="D626">_xlfn.XLOOKUP(
 B626,
 tblTargets[TargetID],
 tblTargets[TargetType],
 ""
)</f>
        <v>CITADEL</v>
      </c>
      <c r="E626" s="49" t="s">
        <v>6</v>
      </c>
      <c r="F626" s="49">
        <v>1.0</v>
      </c>
      <c r="G626" s="49">
        <f t="array" ref="G626">_xlfn.XLOOKUP(
 A626,
 tblCost[RequirementID],
 tblCost[QuantityRequired],
 ""
)</f>
        <v>3</v>
      </c>
      <c r="H626" s="49">
        <f t="array" ref="H626">IF(
 OR(
  LEFT(B626,15)="state.character",
  RIGHT(B626,6)=".maxed"
 ),
 0,
 LET(
  sort,
   _xlfn.XLOOKUP(
    B626,
    tblChecklist[TargetID],
    tblChecklist[PlayerSort],
    0
   ),
  IF(sort=0,500,sort)
 )
)</f>
        <v>500</v>
      </c>
      <c r="I626" s="49" t="str">
        <f t="array" ref="I626">_xlfn.XLOOKUP(
 B626,
 tblTargetStatus[TargetID],
 tblTargetStatus[Status],
 ""
)</f>
        <v>BLOCKED</v>
      </c>
      <c r="J626" s="45" t="b">
        <v>0</v>
      </c>
    </row>
    <row r="627" ht="14.25" hidden="1" customHeight="1">
      <c r="A627" s="49" t="s">
        <v>2231</v>
      </c>
      <c r="B627" s="49" t="str">
        <f>IFERROR(__xludf.DUMMYFUNCTION("REGEXREPLACE(
 REGEXREPLACE(A627,""^cost\."",""""),
 ""\.[^.]+\.[^.]+$"",
 """"
)"),"citadel.courtyard")</f>
        <v>citadel.courtyard</v>
      </c>
      <c r="C627" s="49" t="str">
        <f t="array" ref="C627">_xlfn.XLOOKUP(
 B627,
 tblTargets[TargetID],
 tblTargets[DisplayName],
 ""
)</f>
        <v>Courtyard</v>
      </c>
      <c r="D627" s="49" t="str">
        <f t="array" ref="D627">_xlfn.XLOOKUP(
 B627,
 tblTargets[TargetID],
 tblTargets[TargetType],
 ""
)</f>
        <v>CITADEL</v>
      </c>
      <c r="E627" s="49" t="s">
        <v>237</v>
      </c>
      <c r="F627" s="49">
        <v>1.0</v>
      </c>
      <c r="G627" s="49">
        <f t="array" ref="G627">_xlfn.XLOOKUP(
 A627,
 tblCost[RequirementID],
 tblCost[QuantityRequired],
 ""
)</f>
        <v>500</v>
      </c>
      <c r="H627" s="49">
        <f t="array" ref="H627">IF(
 OR(
  LEFT(B627,15)="state.character",
  RIGHT(B627,6)=".maxed"
 ),
 0,
 LET(
  sort,
   _xlfn.XLOOKUP(
    B627,
    tblChecklist[TargetID],
    tblChecklist[PlayerSort],
    0
   ),
  IF(sort=0,500,sort)
 )
)</f>
        <v>500</v>
      </c>
      <c r="I627" s="49" t="str">
        <f t="array" ref="I627">_xlfn.XLOOKUP(
 B627,
 tblTargetStatus[TargetID],
 tblTargetStatus[Status],
 ""
)</f>
        <v>BLOCKED</v>
      </c>
      <c r="J627" s="45" t="b">
        <v>0</v>
      </c>
    </row>
    <row r="628" ht="14.25" hidden="1" customHeight="1">
      <c r="A628" s="49" t="s">
        <v>2232</v>
      </c>
      <c r="B628" s="49" t="str">
        <f>IFERROR(__xludf.DUMMYFUNCTION("REGEXREPLACE(
 REGEXREPLACE(A628,""^cost\."",""""),
 ""\.[^.]+\.[^.]+$"",
 """"
)"),"citadel.gallery")</f>
        <v>citadel.gallery</v>
      </c>
      <c r="C628" s="49" t="str">
        <f t="array" ref="C628">_xlfn.XLOOKUP(
 B628,
 tblTargets[TargetID],
 tblTargets[DisplayName],
 ""
)</f>
        <v>Gallery</v>
      </c>
      <c r="D628" s="49" t="str">
        <f t="array" ref="D628">_xlfn.XLOOKUP(
 B628,
 tblTargets[TargetID],
 tblTargets[TargetType],
 ""
)</f>
        <v>CITADEL</v>
      </c>
      <c r="E628" s="49" t="s">
        <v>278</v>
      </c>
      <c r="F628" s="49">
        <v>1.0</v>
      </c>
      <c r="G628" s="49">
        <f t="array" ref="G628">_xlfn.XLOOKUP(
 A628,
 tblCost[RequirementID],
 tblCost[QuantityRequired],
 ""
)</f>
        <v>500</v>
      </c>
      <c r="H628" s="49">
        <f t="array" ref="H628">IF(
 OR(
  LEFT(B628,15)="state.character",
  RIGHT(B628,6)=".maxed"
 ),
 0,
 LET(
  sort,
   _xlfn.XLOOKUP(
    B628,
    tblChecklist[TargetID],
    tblChecklist[PlayerSort],
    0
   ),
  IF(sort=0,500,sort)
 )
)</f>
        <v>500</v>
      </c>
      <c r="I628" s="49" t="str">
        <f t="array" ref="I628">_xlfn.XLOOKUP(
 B628,
 tblTargetStatus[TargetID],
 tblTargetStatus[Status],
 ""
)</f>
        <v>BLOCKED</v>
      </c>
      <c r="J628" s="45" t="b">
        <v>0</v>
      </c>
    </row>
    <row r="629" ht="14.25" hidden="1" customHeight="1">
      <c r="A629" s="49" t="s">
        <v>2233</v>
      </c>
      <c r="B629" s="49" t="str">
        <f>IFERROR(__xludf.DUMMYFUNCTION("REGEXREPLACE(
 REGEXREPLACE(A629,""^cost\."",""""),
 ""\.[^.]+\.[^.]+$"",
 """"
)"),"citadel.gallery")</f>
        <v>citadel.gallery</v>
      </c>
      <c r="C629" s="49" t="str">
        <f t="array" ref="C629">_xlfn.XLOOKUP(
 B629,
 tblTargets[TargetID],
 tblTargets[DisplayName],
 ""
)</f>
        <v>Gallery</v>
      </c>
      <c r="D629" s="49" t="str">
        <f t="array" ref="D629">_xlfn.XLOOKUP(
 B629,
 tblTargets[TargetID],
 tblTargets[TargetType],
 ""
)</f>
        <v>CITADEL</v>
      </c>
      <c r="E629" s="49" t="s">
        <v>119</v>
      </c>
      <c r="F629" s="49">
        <v>1.0</v>
      </c>
      <c r="G629" s="49">
        <f t="array" ref="G629">_xlfn.XLOOKUP(
 A629,
 tblCost[RequirementID],
 tblCost[QuantityRequired],
 ""
)</f>
        <v>500</v>
      </c>
      <c r="H629" s="49">
        <f t="array" ref="H629">IF(
 OR(
  LEFT(B629,15)="state.character",
  RIGHT(B629,6)=".maxed"
 ),
 0,
 LET(
  sort,
   _xlfn.XLOOKUP(
    B629,
    tblChecklist[TargetID],
    tblChecklist[PlayerSort],
    0
   ),
  IF(sort=0,500,sort)
 )
)</f>
        <v>500</v>
      </c>
      <c r="I629" s="49" t="str">
        <f t="array" ref="I629">_xlfn.XLOOKUP(
 B629,
 tblTargetStatus[TargetID],
 tblTargetStatus[Status],
 ""
)</f>
        <v>BLOCKED</v>
      </c>
      <c r="J629" s="45" t="b">
        <v>0</v>
      </c>
    </row>
    <row r="630" ht="14.25" hidden="1" customHeight="1">
      <c r="A630" s="49" t="s">
        <v>2234</v>
      </c>
      <c r="B630" s="49" t="str">
        <f>IFERROR(__xludf.DUMMYFUNCTION("REGEXREPLACE(
 REGEXREPLACE(A630,""^cost\."",""""),
 ""\.[^.]+\.[^.]+$"",
 """"
)"),"citadel.gallery")</f>
        <v>citadel.gallery</v>
      </c>
      <c r="C630" s="49" t="str">
        <f t="array" ref="C630">_xlfn.XLOOKUP(
 B630,
 tblTargets[TargetID],
 tblTargets[DisplayName],
 ""
)</f>
        <v>Gallery</v>
      </c>
      <c r="D630" s="49" t="str">
        <f t="array" ref="D630">_xlfn.XLOOKUP(
 B630,
 tblTargets[TargetID],
 tblTargets[TargetType],
 ""
)</f>
        <v>CITADEL</v>
      </c>
      <c r="E630" s="49" t="s">
        <v>132</v>
      </c>
      <c r="F630" s="49">
        <v>1.0</v>
      </c>
      <c r="G630" s="49">
        <f t="array" ref="G630">_xlfn.XLOOKUP(
 A630,
 tblCost[RequirementID],
 tblCost[QuantityRequired],
 ""
)</f>
        <v>15</v>
      </c>
      <c r="H630" s="49">
        <f t="array" ref="H630">IF(
 OR(
  LEFT(B630,15)="state.character",
  RIGHT(B630,6)=".maxed"
 ),
 0,
 LET(
  sort,
   _xlfn.XLOOKUP(
    B630,
    tblChecklist[TargetID],
    tblChecklist[PlayerSort],
    0
   ),
  IF(sort=0,500,sort)
 )
)</f>
        <v>500</v>
      </c>
      <c r="I630" s="49" t="str">
        <f t="array" ref="I630">_xlfn.XLOOKUP(
 B630,
 tblTargetStatus[TargetID],
 tblTargetStatus[Status],
 ""
)</f>
        <v>BLOCKED</v>
      </c>
      <c r="J630" s="45" t="b">
        <v>0</v>
      </c>
    </row>
    <row r="631" ht="14.25" hidden="1" customHeight="1">
      <c r="A631" s="49" t="s">
        <v>2235</v>
      </c>
      <c r="B631" s="49" t="str">
        <f>IFERROR(__xludf.DUMMYFUNCTION("REGEXREPLACE(
 REGEXREPLACE(A631,""^cost\."",""""),
 ""\.[^.]+\.[^.]+$"",
 """"
)"),"citadel.gallery")</f>
        <v>citadel.gallery</v>
      </c>
      <c r="C631" s="49" t="str">
        <f t="array" ref="C631">_xlfn.XLOOKUP(
 B631,
 tblTargets[TargetID],
 tblTargets[DisplayName],
 ""
)</f>
        <v>Gallery</v>
      </c>
      <c r="D631" s="49" t="str">
        <f t="array" ref="D631">_xlfn.XLOOKUP(
 B631,
 tblTargets[TargetID],
 tblTargets[TargetType],
 ""
)</f>
        <v>CITADEL</v>
      </c>
      <c r="E631" s="49" t="s">
        <v>6</v>
      </c>
      <c r="F631" s="49">
        <v>1.0</v>
      </c>
      <c r="G631" s="49">
        <f t="array" ref="G631">_xlfn.XLOOKUP(
 A631,
 tblCost[RequirementID],
 tblCost[QuantityRequired],
 ""
)</f>
        <v>3</v>
      </c>
      <c r="H631" s="49">
        <f t="array" ref="H631">IF(
 OR(
  LEFT(B631,15)="state.character",
  RIGHT(B631,6)=".maxed"
 ),
 0,
 LET(
  sort,
   _xlfn.XLOOKUP(
    B631,
    tblChecklist[TargetID],
    tblChecklist[PlayerSort],
    0
   ),
  IF(sort=0,500,sort)
 )
)</f>
        <v>500</v>
      </c>
      <c r="I631" s="49" t="str">
        <f t="array" ref="I631">_xlfn.XLOOKUP(
 B631,
 tblTargetStatus[TargetID],
 tblTargetStatus[Status],
 ""
)</f>
        <v>BLOCKED</v>
      </c>
      <c r="J631" s="45" t="b">
        <v>0</v>
      </c>
    </row>
    <row r="632" ht="14.25" hidden="1" customHeight="1">
      <c r="A632" s="49" t="s">
        <v>2236</v>
      </c>
      <c r="B632" s="49" t="str">
        <f>IFERROR(__xludf.DUMMYFUNCTION("REGEXREPLACE(
 REGEXREPLACE(A632,""^cost\."",""""),
 ""\.[^.]+\.[^.]+$"",
 """"
)"),"citadel.gallery")</f>
        <v>citadel.gallery</v>
      </c>
      <c r="C632" s="49" t="str">
        <f t="array" ref="C632">_xlfn.XLOOKUP(
 B632,
 tblTargets[TargetID],
 tblTargets[DisplayName],
 ""
)</f>
        <v>Gallery</v>
      </c>
      <c r="D632" s="49" t="str">
        <f t="array" ref="D632">_xlfn.XLOOKUP(
 B632,
 tblTargets[TargetID],
 tblTargets[TargetType],
 ""
)</f>
        <v>CITADEL</v>
      </c>
      <c r="E632" s="49" t="s">
        <v>392</v>
      </c>
      <c r="F632" s="49">
        <v>1.0</v>
      </c>
      <c r="G632" s="49">
        <f t="array" ref="G632">_xlfn.XLOOKUP(
 A632,
 tblCost[RequirementID],
 tblCost[QuantityRequired],
 ""
)</f>
        <v>100</v>
      </c>
      <c r="H632" s="49">
        <f t="array" ref="H632">IF(
 OR(
  LEFT(B632,15)="state.character",
  RIGHT(B632,6)=".maxed"
 ),
 0,
 LET(
  sort,
   _xlfn.XLOOKUP(
    B632,
    tblChecklist[TargetID],
    tblChecklist[PlayerSort],
    0
   ),
  IF(sort=0,500,sort)
 )
)</f>
        <v>500</v>
      </c>
      <c r="I632" s="49" t="str">
        <f t="array" ref="I632">_xlfn.XLOOKUP(
 B632,
 tblTargetStatus[TargetID],
 tblTargetStatus[Status],
 ""
)</f>
        <v>BLOCKED</v>
      </c>
      <c r="J632" s="45" t="b">
        <v>0</v>
      </c>
    </row>
    <row r="633" ht="14.25" hidden="1" customHeight="1">
      <c r="A633" s="49" t="s">
        <v>2237</v>
      </c>
      <c r="B633" s="49" t="str">
        <f>IFERROR(__xludf.DUMMYFUNCTION("REGEXREPLACE(
 REGEXREPLACE(A633,""^cost\."",""""),
 ""\.[^.]+\.[^.]+$"",
 """"
)"),"citadel.gallery")</f>
        <v>citadel.gallery</v>
      </c>
      <c r="C633" s="49" t="str">
        <f t="array" ref="C633">_xlfn.XLOOKUP(
 B633,
 tblTargets[TargetID],
 tblTargets[DisplayName],
 ""
)</f>
        <v>Gallery</v>
      </c>
      <c r="D633" s="49" t="str">
        <f t="array" ref="D633">_xlfn.XLOOKUP(
 B633,
 tblTargets[TargetID],
 tblTargets[TargetType],
 ""
)</f>
        <v>CITADEL</v>
      </c>
      <c r="E633" s="49" t="s">
        <v>237</v>
      </c>
      <c r="F633" s="49">
        <v>1.0</v>
      </c>
      <c r="G633" s="49">
        <f t="array" ref="G633">_xlfn.XLOOKUP(
 A633,
 tblCost[RequirementID],
 tblCost[QuantityRequired],
 ""
)</f>
        <v>500</v>
      </c>
      <c r="H633" s="49">
        <f t="array" ref="H633">IF(
 OR(
  LEFT(B633,15)="state.character",
  RIGHT(B633,6)=".maxed"
 ),
 0,
 LET(
  sort,
   _xlfn.XLOOKUP(
    B633,
    tblChecklist[TargetID],
    tblChecklist[PlayerSort],
    0
   ),
  IF(sort=0,500,sort)
 )
)</f>
        <v>500</v>
      </c>
      <c r="I633" s="49" t="str">
        <f t="array" ref="I633">_xlfn.XLOOKUP(
 B633,
 tblTargetStatus[TargetID],
 tblTargetStatus[Status],
 ""
)</f>
        <v>BLOCKED</v>
      </c>
      <c r="J633" s="45" t="b">
        <v>0</v>
      </c>
    </row>
    <row r="634" ht="14.25" hidden="1" customHeight="1">
      <c r="A634" s="49" t="s">
        <v>2238</v>
      </c>
      <c r="B634" s="49" t="str">
        <f>IFERROR(__xludf.DUMMYFUNCTION("REGEXREPLACE(
 REGEXREPLACE(A634,""^cost\."",""""),
 ""\.[^.]+\.[^.]+$"",
 """"
)"),"citadel.great_hall")</f>
        <v>citadel.great_hall</v>
      </c>
      <c r="C634" s="49" t="str">
        <f t="array" ref="C634">_xlfn.XLOOKUP(
 B634,
 tblTargets[TargetID],
 tblTargets[DisplayName],
 ""
)</f>
        <v>Great Hall</v>
      </c>
      <c r="D634" s="49" t="str">
        <f t="array" ref="D634">_xlfn.XLOOKUP(
 B634,
 tblTargets[TargetID],
 tblTargets[TargetType],
 ""
)</f>
        <v>CITADEL</v>
      </c>
      <c r="E634" s="49" t="s">
        <v>278</v>
      </c>
      <c r="F634" s="49">
        <v>1.0</v>
      </c>
      <c r="G634" s="49">
        <f t="array" ref="G634">_xlfn.XLOOKUP(
 A634,
 tblCost[RequirementID],
 tblCost[QuantityRequired],
 ""
)</f>
        <v>600</v>
      </c>
      <c r="H634" s="49">
        <f t="array" ref="H634">IF(
 OR(
  LEFT(B634,15)="state.character",
  RIGHT(B634,6)=".maxed"
 ),
 0,
 LET(
  sort,
   _xlfn.XLOOKUP(
    B634,
    tblChecklist[TargetID],
    tblChecklist[PlayerSort],
    0
   ),
  IF(sort=0,500,sort)
 )
)</f>
        <v>500</v>
      </c>
      <c r="I634" s="49" t="str">
        <f t="array" ref="I634">_xlfn.XLOOKUP(
 B634,
 tblTargetStatus[TargetID],
 tblTargetStatus[Status],
 ""
)</f>
        <v>BLOCKED</v>
      </c>
      <c r="J634" s="45" t="b">
        <v>0</v>
      </c>
    </row>
    <row r="635" ht="14.25" hidden="1" customHeight="1">
      <c r="A635" s="49" t="s">
        <v>2239</v>
      </c>
      <c r="B635" s="49" t="str">
        <f>IFERROR(__xludf.DUMMYFUNCTION("REGEXREPLACE(
 REGEXREPLACE(A635,""^cost\."",""""),
 ""\.[^.]+\.[^.]+$"",
 """"
)"),"citadel.great_hall")</f>
        <v>citadel.great_hall</v>
      </c>
      <c r="C635" s="49" t="str">
        <f t="array" ref="C635">_xlfn.XLOOKUP(
 B635,
 tblTargets[TargetID],
 tblTargets[DisplayName],
 ""
)</f>
        <v>Great Hall</v>
      </c>
      <c r="D635" s="49" t="str">
        <f t="array" ref="D635">_xlfn.XLOOKUP(
 B635,
 tblTargets[TargetID],
 tblTargets[TargetType],
 ""
)</f>
        <v>CITADEL</v>
      </c>
      <c r="E635" s="49" t="s">
        <v>119</v>
      </c>
      <c r="F635" s="49">
        <v>1.0</v>
      </c>
      <c r="G635" s="49">
        <f t="array" ref="G635">_xlfn.XLOOKUP(
 A635,
 tblCost[RequirementID],
 tblCost[QuantityRequired],
 ""
)</f>
        <v>800</v>
      </c>
      <c r="H635" s="49">
        <f t="array" ref="H635">IF(
 OR(
  LEFT(B635,15)="state.character",
  RIGHT(B635,6)=".maxed"
 ),
 0,
 LET(
  sort,
   _xlfn.XLOOKUP(
    B635,
    tblChecklist[TargetID],
    tblChecklist[PlayerSort],
    0
   ),
  IF(sort=0,500,sort)
 )
)</f>
        <v>500</v>
      </c>
      <c r="I635" s="49" t="str">
        <f t="array" ref="I635">_xlfn.XLOOKUP(
 B635,
 tblTargetStatus[TargetID],
 tblTargetStatus[Status],
 ""
)</f>
        <v>BLOCKED</v>
      </c>
      <c r="J635" s="45" t="b">
        <v>0</v>
      </c>
    </row>
    <row r="636" ht="14.25" hidden="1" customHeight="1">
      <c r="A636" s="49" t="s">
        <v>2240</v>
      </c>
      <c r="B636" s="49" t="str">
        <f>IFERROR(__xludf.DUMMYFUNCTION("REGEXREPLACE(
 REGEXREPLACE(A636,""^cost\."",""""),
 ""\.[^.]+\.[^.]+$"",
 """"
)"),"citadel.great_hall")</f>
        <v>citadel.great_hall</v>
      </c>
      <c r="C636" s="49" t="str">
        <f t="array" ref="C636">_xlfn.XLOOKUP(
 B636,
 tblTargets[TargetID],
 tblTargets[DisplayName],
 ""
)</f>
        <v>Great Hall</v>
      </c>
      <c r="D636" s="49" t="str">
        <f t="array" ref="D636">_xlfn.XLOOKUP(
 B636,
 tblTargets[TargetID],
 tblTargets[TargetType],
 ""
)</f>
        <v>CITADEL</v>
      </c>
      <c r="E636" s="49" t="s">
        <v>132</v>
      </c>
      <c r="F636" s="49">
        <v>1.0</v>
      </c>
      <c r="G636" s="49">
        <f t="array" ref="G636">_xlfn.XLOOKUP(
 A636,
 tblCost[RequirementID],
 tblCost[QuantityRequired],
 ""
)</f>
        <v>20</v>
      </c>
      <c r="H636" s="49">
        <f t="array" ref="H636">IF(
 OR(
  LEFT(B636,15)="state.character",
  RIGHT(B636,6)=".maxed"
 ),
 0,
 LET(
  sort,
   _xlfn.XLOOKUP(
    B636,
    tblChecklist[TargetID],
    tblChecklist[PlayerSort],
    0
   ),
  IF(sort=0,500,sort)
 )
)</f>
        <v>500</v>
      </c>
      <c r="I636" s="49" t="str">
        <f t="array" ref="I636">_xlfn.XLOOKUP(
 B636,
 tblTargetStatus[TargetID],
 tblTargetStatus[Status],
 ""
)</f>
        <v>BLOCKED</v>
      </c>
      <c r="J636" s="45" t="b">
        <v>0</v>
      </c>
    </row>
    <row r="637" ht="14.25" hidden="1" customHeight="1">
      <c r="A637" s="49" t="s">
        <v>2241</v>
      </c>
      <c r="B637" s="49" t="str">
        <f>IFERROR(__xludf.DUMMYFUNCTION("REGEXREPLACE(
 REGEXREPLACE(A637,""^cost\."",""""),
 ""\.[^.]+\.[^.]+$"",
 """"
)"),"citadel.great_hall")</f>
        <v>citadel.great_hall</v>
      </c>
      <c r="C637" s="49" t="str">
        <f t="array" ref="C637">_xlfn.XLOOKUP(
 B637,
 tblTargets[TargetID],
 tblTargets[DisplayName],
 ""
)</f>
        <v>Great Hall</v>
      </c>
      <c r="D637" s="49" t="str">
        <f t="array" ref="D637">_xlfn.XLOOKUP(
 B637,
 tblTargets[TargetID],
 tblTargets[TargetType],
 ""
)</f>
        <v>CITADEL</v>
      </c>
      <c r="E637" s="49" t="s">
        <v>6</v>
      </c>
      <c r="F637" s="49">
        <v>1.0</v>
      </c>
      <c r="G637" s="49">
        <f t="array" ref="G637">_xlfn.XLOOKUP(
 A637,
 tblCost[RequirementID],
 tblCost[QuantityRequired],
 ""
)</f>
        <v>5</v>
      </c>
      <c r="H637" s="49">
        <f t="array" ref="H637">IF(
 OR(
  LEFT(B637,15)="state.character",
  RIGHT(B637,6)=".maxed"
 ),
 0,
 LET(
  sort,
   _xlfn.XLOOKUP(
    B637,
    tblChecklist[TargetID],
    tblChecklist[PlayerSort],
    0
   ),
  IF(sort=0,500,sort)
 )
)</f>
        <v>500</v>
      </c>
      <c r="I637" s="49" t="str">
        <f t="array" ref="I637">_xlfn.XLOOKUP(
 B637,
 tblTargetStatus[TargetID],
 tblTargetStatus[Status],
 ""
)</f>
        <v>BLOCKED</v>
      </c>
      <c r="J637" s="45" t="b">
        <v>0</v>
      </c>
    </row>
    <row r="638" ht="14.25" hidden="1" customHeight="1">
      <c r="A638" s="49" t="s">
        <v>2242</v>
      </c>
      <c r="B638" s="49" t="str">
        <f>IFERROR(__xludf.DUMMYFUNCTION("REGEXREPLACE(
 REGEXREPLACE(A638,""^cost\."",""""),
 ""\.[^.]+\.[^.]+$"",
 """"
)"),"citadel.great_hall")</f>
        <v>citadel.great_hall</v>
      </c>
      <c r="C638" s="49" t="str">
        <f t="array" ref="C638">_xlfn.XLOOKUP(
 B638,
 tblTargets[TargetID],
 tblTargets[DisplayName],
 ""
)</f>
        <v>Great Hall</v>
      </c>
      <c r="D638" s="49" t="str">
        <f t="array" ref="D638">_xlfn.XLOOKUP(
 B638,
 tblTargets[TargetID],
 tblTargets[TargetType],
 ""
)</f>
        <v>CITADEL</v>
      </c>
      <c r="E638" s="49" t="s">
        <v>237</v>
      </c>
      <c r="F638" s="49">
        <v>1.0</v>
      </c>
      <c r="G638" s="49">
        <f t="array" ref="G638">_xlfn.XLOOKUP(
 A638,
 tblCost[RequirementID],
 tblCost[QuantityRequired],
 ""
)</f>
        <v>600</v>
      </c>
      <c r="H638" s="49">
        <f t="array" ref="H638">IF(
 OR(
  LEFT(B638,15)="state.character",
  RIGHT(B638,6)=".maxed"
 ),
 0,
 LET(
  sort,
   _xlfn.XLOOKUP(
    B638,
    tblChecklist[TargetID],
    tblChecklist[PlayerSort],
    0
   ),
  IF(sort=0,500,sort)
 )
)</f>
        <v>500</v>
      </c>
      <c r="I638" s="49" t="str">
        <f t="array" ref="I638">_xlfn.XLOOKUP(
 B638,
 tblTargetStatus[TargetID],
 tblTargetStatus[Status],
 ""
)</f>
        <v>BLOCKED</v>
      </c>
      <c r="J638" s="45" t="b">
        <v>0</v>
      </c>
    </row>
    <row r="639" ht="14.25" hidden="1" customHeight="1">
      <c r="A639" s="49" t="s">
        <v>2243</v>
      </c>
      <c r="B639" s="49" t="str">
        <f>IFERROR(__xludf.DUMMYFUNCTION("REGEXREPLACE(
 REGEXREPLACE(A639,""^cost\."",""""),
 ""\.[^.]+\.[^.]+$"",
 """"
)"),"citadel.kitchen_and_buttery")</f>
        <v>citadel.kitchen_and_buttery</v>
      </c>
      <c r="C639" s="49" t="str">
        <f t="array" ref="C639">_xlfn.XLOOKUP(
 B639,
 tblTargets[TargetID],
 tblTargets[DisplayName],
 ""
)</f>
        <v>Kitchen and Buttery</v>
      </c>
      <c r="D639" s="49" t="str">
        <f t="array" ref="D639">_xlfn.XLOOKUP(
 B639,
 tblTargets[TargetID],
 tblTargets[TargetType],
 ""
)</f>
        <v>CITADEL</v>
      </c>
      <c r="E639" s="49" t="s">
        <v>278</v>
      </c>
      <c r="F639" s="49">
        <v>1.0</v>
      </c>
      <c r="G639" s="49">
        <f t="array" ref="G639">_xlfn.XLOOKUP(
 A639,
 tblCost[RequirementID],
 tblCost[QuantityRequired],
 ""
)</f>
        <v>400</v>
      </c>
      <c r="H639" s="49">
        <f t="array" ref="H639">IF(
 OR(
  LEFT(B639,15)="state.character",
  RIGHT(B639,6)=".maxed"
 ),
 0,
 LET(
  sort,
   _xlfn.XLOOKUP(
    B639,
    tblChecklist[TargetID],
    tblChecklist[PlayerSort],
    0
   ),
  IF(sort=0,500,sort)
 )
)</f>
        <v>500</v>
      </c>
      <c r="I639" s="49" t="str">
        <f t="array" ref="I639">_xlfn.XLOOKUP(
 B639,
 tblTargetStatus[TargetID],
 tblTargetStatus[Status],
 ""
)</f>
        <v>BLOCKED</v>
      </c>
      <c r="J639" s="45" t="b">
        <v>0</v>
      </c>
    </row>
    <row r="640" ht="14.25" hidden="1" customHeight="1">
      <c r="A640" s="49" t="s">
        <v>2244</v>
      </c>
      <c r="B640" s="49" t="str">
        <f>IFERROR(__xludf.DUMMYFUNCTION("REGEXREPLACE(
 REGEXREPLACE(A640,""^cost\."",""""),
 ""\.[^.]+\.[^.]+$"",
 """"
)"),"citadel.kitchen_and_buttery")</f>
        <v>citadel.kitchen_and_buttery</v>
      </c>
      <c r="C640" s="49" t="str">
        <f t="array" ref="C640">_xlfn.XLOOKUP(
 B640,
 tblTargets[TargetID],
 tblTargets[DisplayName],
 ""
)</f>
        <v>Kitchen and Buttery</v>
      </c>
      <c r="D640" s="49" t="str">
        <f t="array" ref="D640">_xlfn.XLOOKUP(
 B640,
 tblTargets[TargetID],
 tblTargets[TargetType],
 ""
)</f>
        <v>CITADEL</v>
      </c>
      <c r="E640" s="49" t="s">
        <v>119</v>
      </c>
      <c r="F640" s="49">
        <v>1.0</v>
      </c>
      <c r="G640" s="49">
        <f t="array" ref="G640">_xlfn.XLOOKUP(
 A640,
 tblCost[RequirementID],
 tblCost[QuantityRequired],
 ""
)</f>
        <v>400</v>
      </c>
      <c r="H640" s="49">
        <f t="array" ref="H640">IF(
 OR(
  LEFT(B640,15)="state.character",
  RIGHT(B640,6)=".maxed"
 ),
 0,
 LET(
  sort,
   _xlfn.XLOOKUP(
    B640,
    tblChecklist[TargetID],
    tblChecklist[PlayerSort],
    0
   ),
  IF(sort=0,500,sort)
 )
)</f>
        <v>500</v>
      </c>
      <c r="I640" s="49" t="str">
        <f t="array" ref="I640">_xlfn.XLOOKUP(
 B640,
 tblTargetStatus[TargetID],
 tblTargetStatus[Status],
 ""
)</f>
        <v>BLOCKED</v>
      </c>
      <c r="J640" s="45" t="b">
        <v>0</v>
      </c>
    </row>
    <row r="641" ht="14.25" hidden="1" customHeight="1">
      <c r="A641" s="49" t="s">
        <v>2245</v>
      </c>
      <c r="B641" s="49" t="str">
        <f>IFERROR(__xludf.DUMMYFUNCTION("REGEXREPLACE(
 REGEXREPLACE(A641,""^cost\."",""""),
 ""\.[^.]+\.[^.]+$"",
 """"
)"),"citadel.kitchen_and_buttery")</f>
        <v>citadel.kitchen_and_buttery</v>
      </c>
      <c r="C641" s="49" t="str">
        <f t="array" ref="C641">_xlfn.XLOOKUP(
 B641,
 tblTargets[TargetID],
 tblTargets[DisplayName],
 ""
)</f>
        <v>Kitchen and Buttery</v>
      </c>
      <c r="D641" s="49" t="str">
        <f t="array" ref="D641">_xlfn.XLOOKUP(
 B641,
 tblTargets[TargetID],
 tblTargets[TargetType],
 ""
)</f>
        <v>CITADEL</v>
      </c>
      <c r="E641" s="49" t="s">
        <v>132</v>
      </c>
      <c r="F641" s="49">
        <v>1.0</v>
      </c>
      <c r="G641" s="49">
        <f t="array" ref="G641">_xlfn.XLOOKUP(
 A641,
 tblCost[RequirementID],
 tblCost[QuantityRequired],
 ""
)</f>
        <v>10</v>
      </c>
      <c r="H641" s="49">
        <f t="array" ref="H641">IF(
 OR(
  LEFT(B641,15)="state.character",
  RIGHT(B641,6)=".maxed"
 ),
 0,
 LET(
  sort,
   _xlfn.XLOOKUP(
    B641,
    tblChecklist[TargetID],
    tblChecklist[PlayerSort],
    0
   ),
  IF(sort=0,500,sort)
 )
)</f>
        <v>500</v>
      </c>
      <c r="I641" s="49" t="str">
        <f t="array" ref="I641">_xlfn.XLOOKUP(
 B641,
 tblTargetStatus[TargetID],
 tblTargetStatus[Status],
 ""
)</f>
        <v>BLOCKED</v>
      </c>
      <c r="J641" s="45" t="b">
        <v>0</v>
      </c>
    </row>
    <row r="642" ht="14.25" hidden="1" customHeight="1">
      <c r="A642" s="49" t="s">
        <v>2246</v>
      </c>
      <c r="B642" s="49" t="str">
        <f>IFERROR(__xludf.DUMMYFUNCTION("REGEXREPLACE(
 REGEXREPLACE(A642,""^cost\."",""""),
 ""\.[^.]+\.[^.]+$"",
 """"
)"),"citadel.kitchen_and_buttery")</f>
        <v>citadel.kitchen_and_buttery</v>
      </c>
      <c r="C642" s="49" t="str">
        <f t="array" ref="C642">_xlfn.XLOOKUP(
 B642,
 tblTargets[TargetID],
 tblTargets[DisplayName],
 ""
)</f>
        <v>Kitchen and Buttery</v>
      </c>
      <c r="D642" s="49" t="str">
        <f t="array" ref="D642">_xlfn.XLOOKUP(
 B642,
 tblTargets[TargetID],
 tblTargets[TargetType],
 ""
)</f>
        <v>CITADEL</v>
      </c>
      <c r="E642" s="49" t="s">
        <v>6</v>
      </c>
      <c r="F642" s="49">
        <v>1.0</v>
      </c>
      <c r="G642" s="49">
        <f t="array" ref="G642">_xlfn.XLOOKUP(
 A642,
 tblCost[RequirementID],
 tblCost[QuantityRequired],
 ""
)</f>
        <v>2</v>
      </c>
      <c r="H642" s="49">
        <f t="array" ref="H642">IF(
 OR(
  LEFT(B642,15)="state.character",
  RIGHT(B642,6)=".maxed"
 ),
 0,
 LET(
  sort,
   _xlfn.XLOOKUP(
    B642,
    tblChecklist[TargetID],
    tblChecklist[PlayerSort],
    0
   ),
  IF(sort=0,500,sort)
 )
)</f>
        <v>500</v>
      </c>
      <c r="I642" s="49" t="str">
        <f t="array" ref="I642">_xlfn.XLOOKUP(
 B642,
 tblTargetStatus[TargetID],
 tblTargetStatus[Status],
 ""
)</f>
        <v>BLOCKED</v>
      </c>
      <c r="J642" s="45" t="b">
        <v>0</v>
      </c>
    </row>
    <row r="643" ht="14.25" hidden="1" customHeight="1">
      <c r="A643" s="49" t="s">
        <v>2247</v>
      </c>
      <c r="B643" s="49" t="str">
        <f>IFERROR(__xludf.DUMMYFUNCTION("REGEXREPLACE(
 REGEXREPLACE(A643,""^cost\."",""""),
 ""\.[^.]+\.[^.]+$"",
 """"
)"),"citadel.kitchen_and_buttery")</f>
        <v>citadel.kitchen_and_buttery</v>
      </c>
      <c r="C643" s="49" t="str">
        <f t="array" ref="C643">_xlfn.XLOOKUP(
 B643,
 tblTargets[TargetID],
 tblTargets[DisplayName],
 ""
)</f>
        <v>Kitchen and Buttery</v>
      </c>
      <c r="D643" s="49" t="str">
        <f t="array" ref="D643">_xlfn.XLOOKUP(
 B643,
 tblTargets[TargetID],
 tblTargets[TargetType],
 ""
)</f>
        <v>CITADEL</v>
      </c>
      <c r="E643" s="49" t="s">
        <v>237</v>
      </c>
      <c r="F643" s="49">
        <v>1.0</v>
      </c>
      <c r="G643" s="49">
        <f t="array" ref="G643">_xlfn.XLOOKUP(
 A643,
 tblCost[RequirementID],
 tblCost[QuantityRequired],
 ""
)</f>
        <v>400</v>
      </c>
      <c r="H643" s="49">
        <f t="array" ref="H643">IF(
 OR(
  LEFT(B643,15)="state.character",
  RIGHT(B643,6)=".maxed"
 ),
 0,
 LET(
  sort,
   _xlfn.XLOOKUP(
    B643,
    tblChecklist[TargetID],
    tblChecklist[PlayerSort],
    0
   ),
  IF(sort=0,500,sort)
 )
)</f>
        <v>500</v>
      </c>
      <c r="I643" s="49" t="str">
        <f t="array" ref="I643">_xlfn.XLOOKUP(
 B643,
 tblTargetStatus[TargetID],
 tblTargetStatus[Status],
 ""
)</f>
        <v>BLOCKED</v>
      </c>
      <c r="J643" s="45" t="b">
        <v>0</v>
      </c>
    </row>
    <row r="644" ht="14.25" hidden="1" customHeight="1">
      <c r="A644" s="49" t="s">
        <v>2248</v>
      </c>
      <c r="B644" s="49" t="str">
        <f>IFERROR(__xludf.DUMMYFUNCTION("REGEXREPLACE(
 REGEXREPLACE(A644,""^cost\."",""""),
 ""\.[^.]+\.[^.]+$"",
 """"
)"),"citadel.lair_lvl_1")</f>
        <v>citadel.lair_lvl_1</v>
      </c>
      <c r="C644" s="49" t="str">
        <f t="array" ref="C644">_xlfn.XLOOKUP(
 B644,
 tblTargets[TargetID],
 tblTargets[DisplayName],
 ""
)</f>
        <v>Lair lvl. 1</v>
      </c>
      <c r="D644" s="49" t="str">
        <f t="array" ref="D644">_xlfn.XLOOKUP(
 B644,
 tblTargets[TargetID],
 tblTargets[TargetType],
 ""
)</f>
        <v>CITADEL</v>
      </c>
      <c r="E644" s="49" t="s">
        <v>1060</v>
      </c>
      <c r="F644" s="49">
        <v>1.0</v>
      </c>
      <c r="G644" s="49">
        <f t="array" ref="G644">_xlfn.XLOOKUP(
 A644,
 tblCost[RequirementID],
 tblCost[QuantityRequired],
 ""
)</f>
        <v>200</v>
      </c>
      <c r="H644" s="49">
        <f t="array" ref="H644">IF(
 OR(
  LEFT(B644,15)="state.character",
  RIGHT(B644,6)=".maxed"
 ),
 0,
 LET(
  sort,
   _xlfn.XLOOKUP(
    B644,
    tblChecklist[TargetID],
    tblChecklist[PlayerSort],
    0
   ),
  IF(sort=0,500,sort)
 )
)</f>
        <v>50</v>
      </c>
      <c r="I644" s="49" t="str">
        <f t="array" ref="I644">_xlfn.XLOOKUP(
 B644,
 tblTargetStatus[TargetID],
 tblTargetStatus[Status],
 ""
)</f>
        <v>BLOCKED</v>
      </c>
      <c r="J644" s="45" t="b">
        <v>0</v>
      </c>
    </row>
    <row r="645" ht="14.25" hidden="1" customHeight="1">
      <c r="A645" s="49" t="s">
        <v>2249</v>
      </c>
      <c r="B645" s="49" t="str">
        <f>IFERROR(__xludf.DUMMYFUNCTION("REGEXREPLACE(
 REGEXREPLACE(A645,""^cost\."",""""),
 ""\.[^.]+\.[^.]+$"",
 """"
)"),"citadel.lair_lvl_1")</f>
        <v>citadel.lair_lvl_1</v>
      </c>
      <c r="C645" s="49" t="str">
        <f t="array" ref="C645">_xlfn.XLOOKUP(
 B645,
 tblTargets[TargetID],
 tblTargets[DisplayName],
 ""
)</f>
        <v>Lair lvl. 1</v>
      </c>
      <c r="D645" s="49" t="str">
        <f t="array" ref="D645">_xlfn.XLOOKUP(
 B645,
 tblTargets[TargetID],
 tblTargets[TargetType],
 ""
)</f>
        <v>CITADEL</v>
      </c>
      <c r="E645" s="49" t="s">
        <v>530</v>
      </c>
      <c r="F645" s="49">
        <v>1.0</v>
      </c>
      <c r="G645" s="49">
        <f t="array" ref="G645">_xlfn.XLOOKUP(
 A645,
 tblCost[RequirementID],
 tblCost[QuantityRequired],
 ""
)</f>
        <v>17</v>
      </c>
      <c r="H645" s="49">
        <f t="array" ref="H645">IF(
 OR(
  LEFT(B645,15)="state.character",
  RIGHT(B645,6)=".maxed"
 ),
 0,
 LET(
  sort,
   _xlfn.XLOOKUP(
    B645,
    tblChecklist[TargetID],
    tblChecklist[PlayerSort],
    0
   ),
  IF(sort=0,500,sort)
 )
)</f>
        <v>50</v>
      </c>
      <c r="I645" s="49" t="str">
        <f t="array" ref="I645">_xlfn.XLOOKUP(
 B645,
 tblTargetStatus[TargetID],
 tblTargetStatus[Status],
 ""
)</f>
        <v>BLOCKED</v>
      </c>
      <c r="J645" s="45" t="b">
        <v>0</v>
      </c>
    </row>
    <row r="646" ht="14.25" hidden="1" customHeight="1">
      <c r="A646" s="49" t="s">
        <v>2250</v>
      </c>
      <c r="B646" s="49" t="str">
        <f>IFERROR(__xludf.DUMMYFUNCTION("REGEXREPLACE(
 REGEXREPLACE(A646,""^cost\."",""""),
 ""\.[^.]+\.[^.]+$"",
 """"
)"),"citadel.lair_lvl_1")</f>
        <v>citadel.lair_lvl_1</v>
      </c>
      <c r="C646" s="49" t="str">
        <f t="array" ref="C646">_xlfn.XLOOKUP(
 B646,
 tblTargets[TargetID],
 tblTargets[DisplayName],
 ""
)</f>
        <v>Lair lvl. 1</v>
      </c>
      <c r="D646" s="49" t="str">
        <f t="array" ref="D646">_xlfn.XLOOKUP(
 B646,
 tblTargets[TargetID],
 tblTargets[TargetType],
 ""
)</f>
        <v>CITADEL</v>
      </c>
      <c r="E646" s="49" t="s">
        <v>2251</v>
      </c>
      <c r="F646" s="49">
        <v>1.0</v>
      </c>
      <c r="G646" s="49">
        <f t="array" ref="G646">_xlfn.XLOOKUP(
 A646,
 tblCost[RequirementID],
 tblCost[QuantityRequired],
 ""
)</f>
        <v>10</v>
      </c>
      <c r="H646" s="49">
        <f t="array" ref="H646">IF(
 OR(
  LEFT(B646,15)="state.character",
  RIGHT(B646,6)=".maxed"
 ),
 0,
 LET(
  sort,
   _xlfn.XLOOKUP(
    B646,
    tblChecklist[TargetID],
    tblChecklist[PlayerSort],
    0
   ),
  IF(sort=0,500,sort)
 )
)</f>
        <v>50</v>
      </c>
      <c r="I646" s="49" t="str">
        <f t="array" ref="I646">_xlfn.XLOOKUP(
 B646,
 tblTargetStatus[TargetID],
 tblTargetStatus[Status],
 ""
)</f>
        <v>BLOCKED</v>
      </c>
      <c r="J646" s="45" t="b">
        <v>0</v>
      </c>
    </row>
    <row r="647" ht="14.25" hidden="1" customHeight="1">
      <c r="A647" s="49" t="s">
        <v>2252</v>
      </c>
      <c r="B647" s="49" t="str">
        <f>IFERROR(__xludf.DUMMYFUNCTION("REGEXREPLACE(
 REGEXREPLACE(A647,""^cost\."",""""),
 ""\.[^.]+\.[^.]+$"",
 """"
)"),"citadel.lair_lvl_1")</f>
        <v>citadel.lair_lvl_1</v>
      </c>
      <c r="C647" s="49" t="str">
        <f t="array" ref="C647">_xlfn.XLOOKUP(
 B647,
 tblTargets[TargetID],
 tblTargets[DisplayName],
 ""
)</f>
        <v>Lair lvl. 1</v>
      </c>
      <c r="D647" s="49" t="str">
        <f t="array" ref="D647">_xlfn.XLOOKUP(
 B647,
 tblTargets[TargetID],
 tblTargets[TargetType],
 ""
)</f>
        <v>CITADEL</v>
      </c>
      <c r="E647" s="49" t="s">
        <v>6</v>
      </c>
      <c r="F647" s="49">
        <v>1.0</v>
      </c>
      <c r="G647" s="49">
        <f t="array" ref="G647">_xlfn.XLOOKUP(
 A647,
 tblCost[RequirementID],
 tblCost[QuantityRequired],
 ""
)</f>
        <v>5</v>
      </c>
      <c r="H647" s="49">
        <f t="array" ref="H647">IF(
 OR(
  LEFT(B647,15)="state.character",
  RIGHT(B647,6)=".maxed"
 ),
 0,
 LET(
  sort,
   _xlfn.XLOOKUP(
    B647,
    tblChecklist[TargetID],
    tblChecklist[PlayerSort],
    0
   ),
  IF(sort=0,500,sort)
 )
)</f>
        <v>50</v>
      </c>
      <c r="I647" s="49" t="str">
        <f t="array" ref="I647">_xlfn.XLOOKUP(
 B647,
 tblTargetStatus[TargetID],
 tblTargetStatus[Status],
 ""
)</f>
        <v>BLOCKED</v>
      </c>
      <c r="J647" s="45" t="b">
        <v>0</v>
      </c>
    </row>
    <row r="648" ht="14.25" hidden="1" customHeight="1">
      <c r="A648" s="49" t="s">
        <v>2253</v>
      </c>
      <c r="B648" s="49" t="str">
        <f>IFERROR(__xludf.DUMMYFUNCTION("REGEXREPLACE(
 REGEXREPLACE(A648,""^cost\."",""""),
 ""\.[^.]+\.[^.]+$"",
 """"
)"),"citadel.lair_lvl_1")</f>
        <v>citadel.lair_lvl_1</v>
      </c>
      <c r="C648" s="49" t="str">
        <f t="array" ref="C648">_xlfn.XLOOKUP(
 B648,
 tblTargets[TargetID],
 tblTargets[DisplayName],
 ""
)</f>
        <v>Lair lvl. 1</v>
      </c>
      <c r="D648" s="49" t="str">
        <f t="array" ref="D648">_xlfn.XLOOKUP(
 B648,
 tblTargets[TargetID],
 tblTargets[TargetType],
 ""
)</f>
        <v>CITADEL</v>
      </c>
      <c r="E648" s="49" t="s">
        <v>2011</v>
      </c>
      <c r="F648" s="49">
        <v>1.0</v>
      </c>
      <c r="G648" s="49">
        <f t="array" ref="G648">_xlfn.XLOOKUP(
 A648,
 tblCost[RequirementID],
 tblCost[QuantityRequired],
 ""
)</f>
        <v>3</v>
      </c>
      <c r="H648" s="49">
        <f t="array" ref="H648">IF(
 OR(
  LEFT(B648,15)="state.character",
  RIGHT(B648,6)=".maxed"
 ),
 0,
 LET(
  sort,
   _xlfn.XLOOKUP(
    B648,
    tblChecklist[TargetID],
    tblChecklist[PlayerSort],
    0
   ),
  IF(sort=0,500,sort)
 )
)</f>
        <v>50</v>
      </c>
      <c r="I648" s="49" t="str">
        <f t="array" ref="I648">_xlfn.XLOOKUP(
 B648,
 tblTargetStatus[TargetID],
 tblTargetStatus[Status],
 ""
)</f>
        <v>BLOCKED</v>
      </c>
      <c r="J648" s="45" t="b">
        <v>0</v>
      </c>
    </row>
    <row r="649" ht="14.25" hidden="1" customHeight="1">
      <c r="A649" s="49" t="s">
        <v>2254</v>
      </c>
      <c r="B649" s="49" t="str">
        <f>IFERROR(__xludf.DUMMYFUNCTION("REGEXREPLACE(
 REGEXREPLACE(A649,""^cost\."",""""),
 ""\.[^.]+\.[^.]+$"",
 """"
)"),"citadel.lair_lvl_1")</f>
        <v>citadel.lair_lvl_1</v>
      </c>
      <c r="C649" s="49" t="str">
        <f t="array" ref="C649">_xlfn.XLOOKUP(
 B649,
 tblTargets[TargetID],
 tblTargets[DisplayName],
 ""
)</f>
        <v>Lair lvl. 1</v>
      </c>
      <c r="D649" s="49" t="str">
        <f t="array" ref="D649">_xlfn.XLOOKUP(
 B649,
 tblTargets[TargetID],
 tblTargets[TargetType],
 ""
)</f>
        <v>CITADEL</v>
      </c>
      <c r="E649" s="49" t="s">
        <v>244</v>
      </c>
      <c r="F649" s="49">
        <v>1.0</v>
      </c>
      <c r="G649" s="49">
        <f t="array" ref="G649">_xlfn.XLOOKUP(
 A649,
 tblCost[RequirementID],
 tblCost[QuantityRequired],
 ""
)</f>
        <v>300</v>
      </c>
      <c r="H649" s="49">
        <f t="array" ref="H649">IF(
 OR(
  LEFT(B649,15)="state.character",
  RIGHT(B649,6)=".maxed"
 ),
 0,
 LET(
  sort,
   _xlfn.XLOOKUP(
    B649,
    tblChecklist[TargetID],
    tblChecklist[PlayerSort],
    0
   ),
  IF(sort=0,500,sort)
 )
)</f>
        <v>50</v>
      </c>
      <c r="I649" s="49" t="str">
        <f t="array" ref="I649">_xlfn.XLOOKUP(
 B649,
 tblTargetStatus[TargetID],
 tblTargetStatus[Status],
 ""
)</f>
        <v>BLOCKED</v>
      </c>
      <c r="J649" s="45" t="b">
        <v>0</v>
      </c>
    </row>
    <row r="650" ht="14.25" hidden="1" customHeight="1">
      <c r="A650" s="49" t="s">
        <v>2255</v>
      </c>
      <c r="B650" s="49" t="str">
        <f>IFERROR(__xludf.DUMMYFUNCTION("REGEXREPLACE(
 REGEXREPLACE(A650,""^cost\."",""""),
 ""\.[^.]+\.[^.]+$"",
 """"
)"),"citadel.lair_lvl_2")</f>
        <v>citadel.lair_lvl_2</v>
      </c>
      <c r="C650" s="49" t="str">
        <f t="array" ref="C650">_xlfn.XLOOKUP(
 B650,
 tblTargets[TargetID],
 tblTargets[DisplayName],
 ""
)</f>
        <v>Lair lvl. 2</v>
      </c>
      <c r="D650" s="49" t="str">
        <f t="array" ref="D650">_xlfn.XLOOKUP(
 B650,
 tblTargets[TargetID],
 tblTargets[TargetType],
 ""
)</f>
        <v>CITADEL</v>
      </c>
      <c r="E650" s="49" t="s">
        <v>1060</v>
      </c>
      <c r="F650" s="49">
        <v>1.0</v>
      </c>
      <c r="G650" s="49">
        <f t="array" ref="G650">_xlfn.XLOOKUP(
 A650,
 tblCost[RequirementID],
 tblCost[QuantityRequired],
 ""
)</f>
        <v>400</v>
      </c>
      <c r="H650" s="49">
        <f t="array" ref="H650">IF(
 OR(
  LEFT(B650,15)="state.character",
  RIGHT(B650,6)=".maxed"
 ),
 0,
 LET(
  sort,
   _xlfn.XLOOKUP(
    B650,
    tblChecklist[TargetID],
    tblChecklist[PlayerSort],
    0
   ),
  IF(sort=0,500,sort)
 )
)</f>
        <v>500</v>
      </c>
      <c r="I650" s="49" t="str">
        <f t="array" ref="I650">_xlfn.XLOOKUP(
 B650,
 tblTargetStatus[TargetID],
 tblTargetStatus[Status],
 ""
)</f>
        <v>BLOCKED</v>
      </c>
      <c r="J650" s="45" t="b">
        <v>0</v>
      </c>
    </row>
    <row r="651" ht="14.25" hidden="1" customHeight="1">
      <c r="A651" s="49" t="s">
        <v>2256</v>
      </c>
      <c r="B651" s="49" t="str">
        <f>IFERROR(__xludf.DUMMYFUNCTION("REGEXREPLACE(
 REGEXREPLACE(A651,""^cost\."",""""),
 ""\.[^.]+\.[^.]+$"",
 """"
)"),"citadel.lair_lvl_2")</f>
        <v>citadel.lair_lvl_2</v>
      </c>
      <c r="C651" s="49" t="str">
        <f t="array" ref="C651">_xlfn.XLOOKUP(
 B651,
 tblTargets[TargetID],
 tblTargets[DisplayName],
 ""
)</f>
        <v>Lair lvl. 2</v>
      </c>
      <c r="D651" s="49" t="str">
        <f t="array" ref="D651">_xlfn.XLOOKUP(
 B651,
 tblTargets[TargetID],
 tblTargets[TargetType],
 ""
)</f>
        <v>CITADEL</v>
      </c>
      <c r="E651" s="49" t="s">
        <v>530</v>
      </c>
      <c r="F651" s="49">
        <v>1.0</v>
      </c>
      <c r="G651" s="49">
        <f t="array" ref="G651">_xlfn.XLOOKUP(
 A651,
 tblCost[RequirementID],
 tblCost[QuantityRequired],
 ""
)</f>
        <v>19</v>
      </c>
      <c r="H651" s="49">
        <f t="array" ref="H651">IF(
 OR(
  LEFT(B651,15)="state.character",
  RIGHT(B651,6)=".maxed"
 ),
 0,
 LET(
  sort,
   _xlfn.XLOOKUP(
    B651,
    tblChecklist[TargetID],
    tblChecklist[PlayerSort],
    0
   ),
  IF(sort=0,500,sort)
 )
)</f>
        <v>500</v>
      </c>
      <c r="I651" s="49" t="str">
        <f t="array" ref="I651">_xlfn.XLOOKUP(
 B651,
 tblTargetStatus[TargetID],
 tblTargetStatus[Status],
 ""
)</f>
        <v>BLOCKED</v>
      </c>
      <c r="J651" s="45" t="b">
        <v>0</v>
      </c>
    </row>
    <row r="652" ht="14.25" hidden="1" customHeight="1">
      <c r="A652" s="49" t="s">
        <v>2257</v>
      </c>
      <c r="B652" s="49" t="str">
        <f>IFERROR(__xludf.DUMMYFUNCTION("REGEXREPLACE(
 REGEXREPLACE(A652,""^cost\."",""""),
 ""\.[^.]+\.[^.]+$"",
 """"
)"),"citadel.lair_lvl_2")</f>
        <v>citadel.lair_lvl_2</v>
      </c>
      <c r="C652" s="49" t="str">
        <f t="array" ref="C652">_xlfn.XLOOKUP(
 B652,
 tblTargets[TargetID],
 tblTargets[DisplayName],
 ""
)</f>
        <v>Lair lvl. 2</v>
      </c>
      <c r="D652" s="49" t="str">
        <f t="array" ref="D652">_xlfn.XLOOKUP(
 B652,
 tblTargets[TargetID],
 tblTargets[TargetType],
 ""
)</f>
        <v>CITADEL</v>
      </c>
      <c r="E652" s="49" t="s">
        <v>2251</v>
      </c>
      <c r="F652" s="49">
        <v>1.0</v>
      </c>
      <c r="G652" s="49">
        <f t="array" ref="G652">_xlfn.XLOOKUP(
 A652,
 tblCost[RequirementID],
 tblCost[QuantityRequired],
 ""
)</f>
        <v>20</v>
      </c>
      <c r="H652" s="49">
        <f t="array" ref="H652">IF(
 OR(
  LEFT(B652,15)="state.character",
  RIGHT(B652,6)=".maxed"
 ),
 0,
 LET(
  sort,
   _xlfn.XLOOKUP(
    B652,
    tblChecklist[TargetID],
    tblChecklist[PlayerSort],
    0
   ),
  IF(sort=0,500,sort)
 )
)</f>
        <v>500</v>
      </c>
      <c r="I652" s="49" t="str">
        <f t="array" ref="I652">_xlfn.XLOOKUP(
 B652,
 tblTargetStatus[TargetID],
 tblTargetStatus[Status],
 ""
)</f>
        <v>BLOCKED</v>
      </c>
      <c r="J652" s="45" t="b">
        <v>0</v>
      </c>
    </row>
    <row r="653" ht="14.25" hidden="1" customHeight="1">
      <c r="A653" s="49" t="s">
        <v>2258</v>
      </c>
      <c r="B653" s="49" t="str">
        <f>IFERROR(__xludf.DUMMYFUNCTION("REGEXREPLACE(
 REGEXREPLACE(A653,""^cost\."",""""),
 ""\.[^.]+\.[^.]+$"",
 """"
)"),"citadel.lair_lvl_2")</f>
        <v>citadel.lair_lvl_2</v>
      </c>
      <c r="C653" s="49" t="str">
        <f t="array" ref="C653">_xlfn.XLOOKUP(
 B653,
 tblTargets[TargetID],
 tblTargets[DisplayName],
 ""
)</f>
        <v>Lair lvl. 2</v>
      </c>
      <c r="D653" s="49" t="str">
        <f t="array" ref="D653">_xlfn.XLOOKUP(
 B653,
 tblTargets[TargetID],
 tblTargets[TargetType],
 ""
)</f>
        <v>CITADEL</v>
      </c>
      <c r="E653" s="49" t="s">
        <v>6</v>
      </c>
      <c r="F653" s="49">
        <v>1.0</v>
      </c>
      <c r="G653" s="49">
        <f t="array" ref="G653">_xlfn.XLOOKUP(
 A653,
 tblCost[RequirementID],
 tblCost[QuantityRequired],
 ""
)</f>
        <v>10</v>
      </c>
      <c r="H653" s="49">
        <f t="array" ref="H653">IF(
 OR(
  LEFT(B653,15)="state.character",
  RIGHT(B653,6)=".maxed"
 ),
 0,
 LET(
  sort,
   _xlfn.XLOOKUP(
    B653,
    tblChecklist[TargetID],
    tblChecklist[PlayerSort],
    0
   ),
  IF(sort=0,500,sort)
 )
)</f>
        <v>500</v>
      </c>
      <c r="I653" s="49" t="str">
        <f t="array" ref="I653">_xlfn.XLOOKUP(
 B653,
 tblTargetStatus[TargetID],
 tblTargetStatus[Status],
 ""
)</f>
        <v>BLOCKED</v>
      </c>
      <c r="J653" s="45" t="b">
        <v>0</v>
      </c>
    </row>
    <row r="654" ht="14.25" hidden="1" customHeight="1">
      <c r="A654" s="49" t="s">
        <v>2259</v>
      </c>
      <c r="B654" s="49" t="str">
        <f>IFERROR(__xludf.DUMMYFUNCTION("REGEXREPLACE(
 REGEXREPLACE(A654,""^cost\."",""""),
 ""\.[^.]+\.[^.]+$"",
 """"
)"),"citadel.lair_lvl_2")</f>
        <v>citadel.lair_lvl_2</v>
      </c>
      <c r="C654" s="49" t="str">
        <f t="array" ref="C654">_xlfn.XLOOKUP(
 B654,
 tblTargets[TargetID],
 tblTargets[DisplayName],
 ""
)</f>
        <v>Lair lvl. 2</v>
      </c>
      <c r="D654" s="49" t="str">
        <f t="array" ref="D654">_xlfn.XLOOKUP(
 B654,
 tblTargets[TargetID],
 tblTargets[TargetType],
 ""
)</f>
        <v>CITADEL</v>
      </c>
      <c r="E654" s="49" t="s">
        <v>2011</v>
      </c>
      <c r="F654" s="49">
        <v>1.0</v>
      </c>
      <c r="G654" s="49">
        <f t="array" ref="G654">_xlfn.XLOOKUP(
 A654,
 tblCost[RequirementID],
 tblCost[QuantityRequired],
 ""
)</f>
        <v>6</v>
      </c>
      <c r="H654" s="49">
        <f t="array" ref="H654">IF(
 OR(
  LEFT(B654,15)="state.character",
  RIGHT(B654,6)=".maxed"
 ),
 0,
 LET(
  sort,
   _xlfn.XLOOKUP(
    B654,
    tblChecklist[TargetID],
    tblChecklist[PlayerSort],
    0
   ),
  IF(sort=0,500,sort)
 )
)</f>
        <v>500</v>
      </c>
      <c r="I654" s="49" t="str">
        <f t="array" ref="I654">_xlfn.XLOOKUP(
 B654,
 tblTargetStatus[TargetID],
 tblTargetStatus[Status],
 ""
)</f>
        <v>BLOCKED</v>
      </c>
      <c r="J654" s="45" t="b">
        <v>0</v>
      </c>
    </row>
    <row r="655" ht="14.25" hidden="1" customHeight="1">
      <c r="A655" s="49" t="s">
        <v>2260</v>
      </c>
      <c r="B655" s="49" t="str">
        <f>IFERROR(__xludf.DUMMYFUNCTION("REGEXREPLACE(
 REGEXREPLACE(A655,""^cost\."",""""),
 ""\.[^.]+\.[^.]+$"",
 """"
)"),"citadel.lair_lvl_2")</f>
        <v>citadel.lair_lvl_2</v>
      </c>
      <c r="C655" s="49" t="str">
        <f t="array" ref="C655">_xlfn.XLOOKUP(
 B655,
 tblTargets[TargetID],
 tblTargets[DisplayName],
 ""
)</f>
        <v>Lair lvl. 2</v>
      </c>
      <c r="D655" s="49" t="str">
        <f t="array" ref="D655">_xlfn.XLOOKUP(
 B655,
 tblTargets[TargetID],
 tblTargets[TargetType],
 ""
)</f>
        <v>CITADEL</v>
      </c>
      <c r="E655" s="49" t="s">
        <v>244</v>
      </c>
      <c r="F655" s="49">
        <v>1.0</v>
      </c>
      <c r="G655" s="49">
        <f t="array" ref="G655">_xlfn.XLOOKUP(
 A655,
 tblCost[RequirementID],
 tblCost[QuantityRequired],
 ""
)</f>
        <v>600</v>
      </c>
      <c r="H655" s="49">
        <f t="array" ref="H655">IF(
 OR(
  LEFT(B655,15)="state.character",
  RIGHT(B655,6)=".maxed"
 ),
 0,
 LET(
  sort,
   _xlfn.XLOOKUP(
    B655,
    tblChecklist[TargetID],
    tblChecklist[PlayerSort],
    0
   ),
  IF(sort=0,500,sort)
 )
)</f>
        <v>500</v>
      </c>
      <c r="I655" s="49" t="str">
        <f t="array" ref="I655">_xlfn.XLOOKUP(
 B655,
 tblTargetStatus[TargetID],
 tblTargetStatus[Status],
 ""
)</f>
        <v>BLOCKED</v>
      </c>
      <c r="J655" s="45" t="b">
        <v>0</v>
      </c>
    </row>
    <row r="656" ht="14.25" hidden="1" customHeight="1">
      <c r="A656" s="49" t="s">
        <v>2261</v>
      </c>
      <c r="B656" s="49" t="str">
        <f>IFERROR(__xludf.DUMMYFUNCTION("REGEXREPLACE(
 REGEXREPLACE(A656,""^cost\."",""""),
 ""\.[^.]+\.[^.]+$"",
 """"
)"),"citadel.mushroom_farm")</f>
        <v>citadel.mushroom_farm</v>
      </c>
      <c r="C656" s="49" t="str">
        <f t="array" ref="C656">_xlfn.XLOOKUP(
 B656,
 tblTargets[TargetID],
 tblTargets[DisplayName],
 ""
)</f>
        <v>Mushroom Farm</v>
      </c>
      <c r="D656" s="49" t="str">
        <f t="array" ref="D656">_xlfn.XLOOKUP(
 B656,
 tblTargets[TargetID],
 tblTargets[TargetType],
 ""
)</f>
        <v>CITADEL</v>
      </c>
      <c r="E656" s="49" t="s">
        <v>278</v>
      </c>
      <c r="F656" s="49">
        <v>1.0</v>
      </c>
      <c r="G656" s="49">
        <f t="array" ref="G656">_xlfn.XLOOKUP(
 A656,
 tblCost[RequirementID],
 tblCost[QuantityRequired],
 ""
)</f>
        <v>400</v>
      </c>
      <c r="H656" s="49">
        <f t="array" ref="H656">IF(
 OR(
  LEFT(B656,15)="state.character",
  RIGHT(B656,6)=".maxed"
 ),
 0,
 LET(
  sort,
   _xlfn.XLOOKUP(
    B656,
    tblChecklist[TargetID],
    tblChecklist[PlayerSort],
    0
   ),
  IF(sort=0,500,sort)
 )
)</f>
        <v>500</v>
      </c>
      <c r="I656" s="49" t="str">
        <f t="array" ref="I656">_xlfn.XLOOKUP(
 B656,
 tblTargetStatus[TargetID],
 tblTargetStatus[Status],
 ""
)</f>
        <v>BLOCKED</v>
      </c>
      <c r="J656" s="45" t="b">
        <v>0</v>
      </c>
    </row>
    <row r="657" ht="14.25" hidden="1" customHeight="1">
      <c r="A657" s="49" t="s">
        <v>2262</v>
      </c>
      <c r="B657" s="49" t="str">
        <f>IFERROR(__xludf.DUMMYFUNCTION("REGEXREPLACE(
 REGEXREPLACE(A657,""^cost\."",""""),
 ""\.[^.]+\.[^.]+$"",
 """"
)"),"citadel.mushroom_farm")</f>
        <v>citadel.mushroom_farm</v>
      </c>
      <c r="C657" s="49" t="str">
        <f t="array" ref="C657">_xlfn.XLOOKUP(
 B657,
 tblTargets[TargetID],
 tblTargets[DisplayName],
 ""
)</f>
        <v>Mushroom Farm</v>
      </c>
      <c r="D657" s="49" t="str">
        <f t="array" ref="D657">_xlfn.XLOOKUP(
 B657,
 tblTargets[TargetID],
 tblTargets[TargetType],
 ""
)</f>
        <v>CITADEL</v>
      </c>
      <c r="E657" s="49" t="s">
        <v>119</v>
      </c>
      <c r="F657" s="49">
        <v>1.0</v>
      </c>
      <c r="G657" s="49">
        <f t="array" ref="G657">_xlfn.XLOOKUP(
 A657,
 tblCost[RequirementID],
 tblCost[QuantityRequired],
 ""
)</f>
        <v>400</v>
      </c>
      <c r="H657" s="49">
        <f t="array" ref="H657">IF(
 OR(
  LEFT(B657,15)="state.character",
  RIGHT(B657,6)=".maxed"
 ),
 0,
 LET(
  sort,
   _xlfn.XLOOKUP(
    B657,
    tblChecklist[TargetID],
    tblChecklist[PlayerSort],
    0
   ),
  IF(sort=0,500,sort)
 )
)</f>
        <v>500</v>
      </c>
      <c r="I657" s="49" t="str">
        <f t="array" ref="I657">_xlfn.XLOOKUP(
 B657,
 tblTargetStatus[TargetID],
 tblTargetStatus[Status],
 ""
)</f>
        <v>BLOCKED</v>
      </c>
      <c r="J657" s="45" t="b">
        <v>0</v>
      </c>
    </row>
    <row r="658" ht="14.25" hidden="1" customHeight="1">
      <c r="A658" s="49" t="s">
        <v>2263</v>
      </c>
      <c r="B658" s="49" t="str">
        <f>IFERROR(__xludf.DUMMYFUNCTION("REGEXREPLACE(
 REGEXREPLACE(A658,""^cost\."",""""),
 ""\.[^.]+\.[^.]+$"",
 """"
)"),"citadel.mushroom_farm")</f>
        <v>citadel.mushroom_farm</v>
      </c>
      <c r="C658" s="49" t="str">
        <f t="array" ref="C658">_xlfn.XLOOKUP(
 B658,
 tblTargets[TargetID],
 tblTargets[DisplayName],
 ""
)</f>
        <v>Mushroom Farm</v>
      </c>
      <c r="D658" s="49" t="str">
        <f t="array" ref="D658">_xlfn.XLOOKUP(
 B658,
 tblTargets[TargetID],
 tblTargets[TargetType],
 ""
)</f>
        <v>CITADEL</v>
      </c>
      <c r="E658" s="49" t="s">
        <v>132</v>
      </c>
      <c r="F658" s="49">
        <v>1.0</v>
      </c>
      <c r="G658" s="49">
        <f t="array" ref="G658">_xlfn.XLOOKUP(
 A658,
 tblCost[RequirementID],
 tblCost[QuantityRequired],
 ""
)</f>
        <v>10</v>
      </c>
      <c r="H658" s="49">
        <f t="array" ref="H658">IF(
 OR(
  LEFT(B658,15)="state.character",
  RIGHT(B658,6)=".maxed"
 ),
 0,
 LET(
  sort,
   _xlfn.XLOOKUP(
    B658,
    tblChecklist[TargetID],
    tblChecklist[PlayerSort],
    0
   ),
  IF(sort=0,500,sort)
 )
)</f>
        <v>500</v>
      </c>
      <c r="I658" s="49" t="str">
        <f t="array" ref="I658">_xlfn.XLOOKUP(
 B658,
 tblTargetStatus[TargetID],
 tblTargetStatus[Status],
 ""
)</f>
        <v>BLOCKED</v>
      </c>
      <c r="J658" s="45" t="b">
        <v>0</v>
      </c>
    </row>
    <row r="659" ht="14.25" hidden="1" customHeight="1">
      <c r="A659" s="49" t="s">
        <v>2264</v>
      </c>
      <c r="B659" s="49" t="str">
        <f>IFERROR(__xludf.DUMMYFUNCTION("REGEXREPLACE(
 REGEXREPLACE(A659,""^cost\."",""""),
 ""\.[^.]+\.[^.]+$"",
 """"
)"),"citadel.mushroom_farm")</f>
        <v>citadel.mushroom_farm</v>
      </c>
      <c r="C659" s="49" t="str">
        <f t="array" ref="C659">_xlfn.XLOOKUP(
 B659,
 tblTargets[TargetID],
 tblTargets[DisplayName],
 ""
)</f>
        <v>Mushroom Farm</v>
      </c>
      <c r="D659" s="49" t="str">
        <f t="array" ref="D659">_xlfn.XLOOKUP(
 B659,
 tblTargets[TargetID],
 tblTargets[TargetType],
 ""
)</f>
        <v>CITADEL</v>
      </c>
      <c r="E659" s="49" t="s">
        <v>6</v>
      </c>
      <c r="F659" s="49">
        <v>1.0</v>
      </c>
      <c r="G659" s="49">
        <f t="array" ref="G659">_xlfn.XLOOKUP(
 A659,
 tblCost[RequirementID],
 tblCost[QuantityRequired],
 ""
)</f>
        <v>2</v>
      </c>
      <c r="H659" s="49">
        <f t="array" ref="H659">IF(
 OR(
  LEFT(B659,15)="state.character",
  RIGHT(B659,6)=".maxed"
 ),
 0,
 LET(
  sort,
   _xlfn.XLOOKUP(
    B659,
    tblChecklist[TargetID],
    tblChecklist[PlayerSort],
    0
   ),
  IF(sort=0,500,sort)
 )
)</f>
        <v>500</v>
      </c>
      <c r="I659" s="49" t="str">
        <f t="array" ref="I659">_xlfn.XLOOKUP(
 B659,
 tblTargetStatus[TargetID],
 tblTargetStatus[Status],
 ""
)</f>
        <v>BLOCKED</v>
      </c>
      <c r="J659" s="45" t="b">
        <v>0</v>
      </c>
    </row>
    <row r="660" ht="14.25" hidden="1" customHeight="1">
      <c r="A660" s="49" t="s">
        <v>2265</v>
      </c>
      <c r="B660" s="49" t="str">
        <f>IFERROR(__xludf.DUMMYFUNCTION("REGEXREPLACE(
 REGEXREPLACE(A660,""^cost\."",""""),
 ""\.[^.]+\.[^.]+$"",
 """"
)"),"citadel.mushroom_farm")</f>
        <v>citadel.mushroom_farm</v>
      </c>
      <c r="C660" s="49" t="str">
        <f t="array" ref="C660">_xlfn.XLOOKUP(
 B660,
 tblTargets[TargetID],
 tblTargets[DisplayName],
 ""
)</f>
        <v>Mushroom Farm</v>
      </c>
      <c r="D660" s="49" t="str">
        <f t="array" ref="D660">_xlfn.XLOOKUP(
 B660,
 tblTargets[TargetID],
 tblTargets[TargetType],
 ""
)</f>
        <v>CITADEL</v>
      </c>
      <c r="E660" s="49" t="s">
        <v>237</v>
      </c>
      <c r="F660" s="49">
        <v>1.0</v>
      </c>
      <c r="G660" s="49">
        <f t="array" ref="G660">_xlfn.XLOOKUP(
 A660,
 tblCost[RequirementID],
 tblCost[QuantityRequired],
 ""
)</f>
        <v>400</v>
      </c>
      <c r="H660" s="49">
        <f t="array" ref="H660">IF(
 OR(
  LEFT(B660,15)="state.character",
  RIGHT(B660,6)=".maxed"
 ),
 0,
 LET(
  sort,
   _xlfn.XLOOKUP(
    B660,
    tblChecklist[TargetID],
    tblChecklist[PlayerSort],
    0
   ),
  IF(sort=0,500,sort)
 )
)</f>
        <v>500</v>
      </c>
      <c r="I660" s="49" t="str">
        <f t="array" ref="I660">_xlfn.XLOOKUP(
 B660,
 tblTargetStatus[TargetID],
 tblTargetStatus[Status],
 ""
)</f>
        <v>BLOCKED</v>
      </c>
      <c r="J660" s="45" t="b">
        <v>0</v>
      </c>
    </row>
    <row r="661" ht="14.25" hidden="1" customHeight="1">
      <c r="A661" s="49" t="s">
        <v>2266</v>
      </c>
      <c r="B661" s="49" t="str">
        <f>IFERROR(__xludf.DUMMYFUNCTION("REGEXREPLACE(
 REGEXREPLACE(A661,""^cost\."",""""),
 ""\.[^.]+\.[^.]+$"",
 """"
)"),"citadel.orangery")</f>
        <v>citadel.orangery</v>
      </c>
      <c r="C661" s="49" t="str">
        <f t="array" ref="C661">_xlfn.XLOOKUP(
 B661,
 tblTargets[TargetID],
 tblTargets[DisplayName],
 ""
)</f>
        <v>Orangery</v>
      </c>
      <c r="D661" s="49" t="str">
        <f t="array" ref="D661">_xlfn.XLOOKUP(
 B661,
 tblTargets[TargetID],
 tblTargets[TargetType],
 ""
)</f>
        <v>CITADEL</v>
      </c>
      <c r="E661" s="49" t="s">
        <v>278</v>
      </c>
      <c r="F661" s="49">
        <v>1.0</v>
      </c>
      <c r="G661" s="49">
        <f t="array" ref="G661">_xlfn.XLOOKUP(
 A661,
 tblCost[RequirementID],
 tblCost[QuantityRequired],
 ""
)</f>
        <v>400</v>
      </c>
      <c r="H661" s="49">
        <f t="array" ref="H661">IF(
 OR(
  LEFT(B661,15)="state.character",
  RIGHT(B661,6)=".maxed"
 ),
 0,
 LET(
  sort,
   _xlfn.XLOOKUP(
    B661,
    tblChecklist[TargetID],
    tblChecklist[PlayerSort],
    0
   ),
  IF(sort=0,500,sort)
 )
)</f>
        <v>500</v>
      </c>
      <c r="I661" s="49" t="str">
        <f t="array" ref="I661">_xlfn.XLOOKUP(
 B661,
 tblTargetStatus[TargetID],
 tblTargetStatus[Status],
 ""
)</f>
        <v>BLOCKED</v>
      </c>
      <c r="J661" s="45" t="b">
        <v>0</v>
      </c>
    </row>
    <row r="662" ht="14.25" hidden="1" customHeight="1">
      <c r="A662" s="49" t="s">
        <v>2267</v>
      </c>
      <c r="B662" s="49" t="str">
        <f>IFERROR(__xludf.DUMMYFUNCTION("REGEXREPLACE(
 REGEXREPLACE(A662,""^cost\."",""""),
 ""\.[^.]+\.[^.]+$"",
 """"
)"),"citadel.orangery")</f>
        <v>citadel.orangery</v>
      </c>
      <c r="C662" s="49" t="str">
        <f t="array" ref="C662">_xlfn.XLOOKUP(
 B662,
 tblTargets[TargetID],
 tblTargets[DisplayName],
 ""
)</f>
        <v>Orangery</v>
      </c>
      <c r="D662" s="49" t="str">
        <f t="array" ref="D662">_xlfn.XLOOKUP(
 B662,
 tblTargets[TargetID],
 tblTargets[TargetType],
 ""
)</f>
        <v>CITADEL</v>
      </c>
      <c r="E662" s="49" t="s">
        <v>119</v>
      </c>
      <c r="F662" s="49">
        <v>1.0</v>
      </c>
      <c r="G662" s="49">
        <f t="array" ref="G662">_xlfn.XLOOKUP(
 A662,
 tblCost[RequirementID],
 tblCost[QuantityRequired],
 ""
)</f>
        <v>400</v>
      </c>
      <c r="H662" s="49">
        <f t="array" ref="H662">IF(
 OR(
  LEFT(B662,15)="state.character",
  RIGHT(B662,6)=".maxed"
 ),
 0,
 LET(
  sort,
   _xlfn.XLOOKUP(
    B662,
    tblChecklist[TargetID],
    tblChecklist[PlayerSort],
    0
   ),
  IF(sort=0,500,sort)
 )
)</f>
        <v>500</v>
      </c>
      <c r="I662" s="49" t="str">
        <f t="array" ref="I662">_xlfn.XLOOKUP(
 B662,
 tblTargetStatus[TargetID],
 tblTargetStatus[Status],
 ""
)</f>
        <v>BLOCKED</v>
      </c>
      <c r="J662" s="45" t="b">
        <v>0</v>
      </c>
    </row>
    <row r="663" ht="14.25" hidden="1" customHeight="1">
      <c r="A663" s="49" t="s">
        <v>2268</v>
      </c>
      <c r="B663" s="49" t="str">
        <f>IFERROR(__xludf.DUMMYFUNCTION("REGEXREPLACE(
 REGEXREPLACE(A663,""^cost\."",""""),
 ""\.[^.]+\.[^.]+$"",
 """"
)"),"citadel.orangery")</f>
        <v>citadel.orangery</v>
      </c>
      <c r="C663" s="49" t="str">
        <f t="array" ref="C663">_xlfn.XLOOKUP(
 B663,
 tblTargets[TargetID],
 tblTargets[DisplayName],
 ""
)</f>
        <v>Orangery</v>
      </c>
      <c r="D663" s="49" t="str">
        <f t="array" ref="D663">_xlfn.XLOOKUP(
 B663,
 tblTargets[TargetID],
 tblTargets[TargetType],
 ""
)</f>
        <v>CITADEL</v>
      </c>
      <c r="E663" s="49" t="s">
        <v>132</v>
      </c>
      <c r="F663" s="49">
        <v>1.0</v>
      </c>
      <c r="G663" s="49">
        <f t="array" ref="G663">_xlfn.XLOOKUP(
 A663,
 tblCost[RequirementID],
 tblCost[QuantityRequired],
 ""
)</f>
        <v>10</v>
      </c>
      <c r="H663" s="49">
        <f t="array" ref="H663">IF(
 OR(
  LEFT(B663,15)="state.character",
  RIGHT(B663,6)=".maxed"
 ),
 0,
 LET(
  sort,
   _xlfn.XLOOKUP(
    B663,
    tblChecklist[TargetID],
    tblChecklist[PlayerSort],
    0
   ),
  IF(sort=0,500,sort)
 )
)</f>
        <v>500</v>
      </c>
      <c r="I663" s="49" t="str">
        <f t="array" ref="I663">_xlfn.XLOOKUP(
 B663,
 tblTargetStatus[TargetID],
 tblTargetStatus[Status],
 ""
)</f>
        <v>BLOCKED</v>
      </c>
      <c r="J663" s="45" t="b">
        <v>0</v>
      </c>
    </row>
    <row r="664" ht="14.25" hidden="1" customHeight="1">
      <c r="A664" s="49" t="s">
        <v>2269</v>
      </c>
      <c r="B664" s="49" t="str">
        <f>IFERROR(__xludf.DUMMYFUNCTION("REGEXREPLACE(
 REGEXREPLACE(A664,""^cost\."",""""),
 ""\.[^.]+\.[^.]+$"",
 """"
)"),"citadel.orangery")</f>
        <v>citadel.orangery</v>
      </c>
      <c r="C664" s="49" t="str">
        <f t="array" ref="C664">_xlfn.XLOOKUP(
 B664,
 tblTargets[TargetID],
 tblTargets[DisplayName],
 ""
)</f>
        <v>Orangery</v>
      </c>
      <c r="D664" s="49" t="str">
        <f t="array" ref="D664">_xlfn.XLOOKUP(
 B664,
 tblTargets[TargetID],
 tblTargets[TargetType],
 ""
)</f>
        <v>CITADEL</v>
      </c>
      <c r="E664" s="49" t="s">
        <v>6</v>
      </c>
      <c r="F664" s="49">
        <v>1.0</v>
      </c>
      <c r="G664" s="49">
        <f t="array" ref="G664">_xlfn.XLOOKUP(
 A664,
 tblCost[RequirementID],
 tblCost[QuantityRequired],
 ""
)</f>
        <v>2</v>
      </c>
      <c r="H664" s="49">
        <f t="array" ref="H664">IF(
 OR(
  LEFT(B664,15)="state.character",
  RIGHT(B664,6)=".maxed"
 ),
 0,
 LET(
  sort,
   _xlfn.XLOOKUP(
    B664,
    tblChecklist[TargetID],
    tblChecklist[PlayerSort],
    0
   ),
  IF(sort=0,500,sort)
 )
)</f>
        <v>500</v>
      </c>
      <c r="I664" s="49" t="str">
        <f t="array" ref="I664">_xlfn.XLOOKUP(
 B664,
 tblTargetStatus[TargetID],
 tblTargetStatus[Status],
 ""
)</f>
        <v>BLOCKED</v>
      </c>
      <c r="J664" s="45" t="b">
        <v>0</v>
      </c>
    </row>
    <row r="665" ht="14.25" hidden="1" customHeight="1">
      <c r="A665" s="49" t="s">
        <v>2270</v>
      </c>
      <c r="B665" s="49" t="str">
        <f>IFERROR(__xludf.DUMMYFUNCTION("REGEXREPLACE(
 REGEXREPLACE(A665,""^cost\."",""""),
 ""\.[^.]+\.[^.]+$"",
 """"
)"),"citadel.orangery")</f>
        <v>citadel.orangery</v>
      </c>
      <c r="C665" s="49" t="str">
        <f t="array" ref="C665">_xlfn.XLOOKUP(
 B665,
 tblTargets[TargetID],
 tblTargets[DisplayName],
 ""
)</f>
        <v>Orangery</v>
      </c>
      <c r="D665" s="49" t="str">
        <f t="array" ref="D665">_xlfn.XLOOKUP(
 B665,
 tblTargets[TargetID],
 tblTargets[TargetType],
 ""
)</f>
        <v>CITADEL</v>
      </c>
      <c r="E665" s="49" t="s">
        <v>237</v>
      </c>
      <c r="F665" s="49">
        <v>1.0</v>
      </c>
      <c r="G665" s="49">
        <f t="array" ref="G665">_xlfn.XLOOKUP(
 A665,
 tblCost[RequirementID],
 tblCost[QuantityRequired],
 ""
)</f>
        <v>400</v>
      </c>
      <c r="H665" s="49">
        <f t="array" ref="H665">IF(
 OR(
  LEFT(B665,15)="state.character",
  RIGHT(B665,6)=".maxed"
 ),
 0,
 LET(
  sort,
   _xlfn.XLOOKUP(
    B665,
    tblChecklist[TargetID],
    tblChecklist[PlayerSort],
    0
   ),
  IF(sort=0,500,sort)
 )
)</f>
        <v>500</v>
      </c>
      <c r="I665" s="49" t="str">
        <f t="array" ref="I665">_xlfn.XLOOKUP(
 B665,
 tblTargetStatus[TargetID],
 tblTargetStatus[Status],
 ""
)</f>
        <v>BLOCKED</v>
      </c>
      <c r="J665" s="45" t="b">
        <v>0</v>
      </c>
    </row>
    <row r="666" ht="14.25" hidden="1" customHeight="1">
      <c r="A666" s="49" t="s">
        <v>2271</v>
      </c>
      <c r="B666" s="49" t="str">
        <f>IFERROR(__xludf.DUMMYFUNCTION("REGEXREPLACE(
 REGEXREPLACE(A666,""^cost\."",""""),
 ""\.[^.]+\.[^.]+$"",
 """"
)"),"citadel.pantry")</f>
        <v>citadel.pantry</v>
      </c>
      <c r="C666" s="49" t="str">
        <f t="array" ref="C666">_xlfn.XLOOKUP(
 B666,
 tblTargets[TargetID],
 tblTargets[DisplayName],
 ""
)</f>
        <v>Pantry</v>
      </c>
      <c r="D666" s="49" t="str">
        <f t="array" ref="D666">_xlfn.XLOOKUP(
 B666,
 tblTargets[TargetID],
 tblTargets[TargetType],
 ""
)</f>
        <v>CITADEL</v>
      </c>
      <c r="E666" s="49" t="s">
        <v>278</v>
      </c>
      <c r="F666" s="49">
        <v>1.0</v>
      </c>
      <c r="G666" s="49">
        <f t="array" ref="G666">_xlfn.XLOOKUP(
 A666,
 tblCost[RequirementID],
 tblCost[QuantityRequired],
 ""
)</f>
        <v>400</v>
      </c>
      <c r="H666" s="49">
        <f t="array" ref="H666">IF(
 OR(
  LEFT(B666,15)="state.character",
  RIGHT(B666,6)=".maxed"
 ),
 0,
 LET(
  sort,
   _xlfn.XLOOKUP(
    B666,
    tblChecklist[TargetID],
    tblChecklist[PlayerSort],
    0
   ),
  IF(sort=0,500,sort)
 )
)</f>
        <v>500</v>
      </c>
      <c r="I666" s="49" t="str">
        <f t="array" ref="I666">_xlfn.XLOOKUP(
 B666,
 tblTargetStatus[TargetID],
 tblTargetStatus[Status],
 ""
)</f>
        <v>BLOCKED</v>
      </c>
      <c r="J666" s="45" t="b">
        <v>0</v>
      </c>
    </row>
    <row r="667" ht="14.25" hidden="1" customHeight="1">
      <c r="A667" s="49" t="s">
        <v>2272</v>
      </c>
      <c r="B667" s="49" t="str">
        <f>IFERROR(__xludf.DUMMYFUNCTION("REGEXREPLACE(
 REGEXREPLACE(A667,""^cost\."",""""),
 ""\.[^.]+\.[^.]+$"",
 """"
)"),"citadel.pantry")</f>
        <v>citadel.pantry</v>
      </c>
      <c r="C667" s="49" t="str">
        <f t="array" ref="C667">_xlfn.XLOOKUP(
 B667,
 tblTargets[TargetID],
 tblTargets[DisplayName],
 ""
)</f>
        <v>Pantry</v>
      </c>
      <c r="D667" s="49" t="str">
        <f t="array" ref="D667">_xlfn.XLOOKUP(
 B667,
 tblTargets[TargetID],
 tblTargets[TargetType],
 ""
)</f>
        <v>CITADEL</v>
      </c>
      <c r="E667" s="49" t="s">
        <v>119</v>
      </c>
      <c r="F667" s="49">
        <v>1.0</v>
      </c>
      <c r="G667" s="49">
        <f t="array" ref="G667">_xlfn.XLOOKUP(
 A667,
 tblCost[RequirementID],
 tblCost[QuantityRequired],
 ""
)</f>
        <v>400</v>
      </c>
      <c r="H667" s="49">
        <f t="array" ref="H667">IF(
 OR(
  LEFT(B667,15)="state.character",
  RIGHT(B667,6)=".maxed"
 ),
 0,
 LET(
  sort,
   _xlfn.XLOOKUP(
    B667,
    tblChecklist[TargetID],
    tblChecklist[PlayerSort],
    0
   ),
  IF(sort=0,500,sort)
 )
)</f>
        <v>500</v>
      </c>
      <c r="I667" s="49" t="str">
        <f t="array" ref="I667">_xlfn.XLOOKUP(
 B667,
 tblTargetStatus[TargetID],
 tblTargetStatus[Status],
 ""
)</f>
        <v>BLOCKED</v>
      </c>
      <c r="J667" s="45" t="b">
        <v>0</v>
      </c>
    </row>
    <row r="668" ht="14.25" hidden="1" customHeight="1">
      <c r="A668" s="49" t="s">
        <v>2273</v>
      </c>
      <c r="B668" s="49" t="str">
        <f>IFERROR(__xludf.DUMMYFUNCTION("REGEXREPLACE(
 REGEXREPLACE(A668,""^cost\."",""""),
 ""\.[^.]+\.[^.]+$"",
 """"
)"),"citadel.pantry")</f>
        <v>citadel.pantry</v>
      </c>
      <c r="C668" s="49" t="str">
        <f t="array" ref="C668">_xlfn.XLOOKUP(
 B668,
 tblTargets[TargetID],
 tblTargets[DisplayName],
 ""
)</f>
        <v>Pantry</v>
      </c>
      <c r="D668" s="49" t="str">
        <f t="array" ref="D668">_xlfn.XLOOKUP(
 B668,
 tblTargets[TargetID],
 tblTargets[TargetType],
 ""
)</f>
        <v>CITADEL</v>
      </c>
      <c r="E668" s="49" t="s">
        <v>132</v>
      </c>
      <c r="F668" s="49">
        <v>1.0</v>
      </c>
      <c r="G668" s="49">
        <f t="array" ref="G668">_xlfn.XLOOKUP(
 A668,
 tblCost[RequirementID],
 tblCost[QuantityRequired],
 ""
)</f>
        <v>10</v>
      </c>
      <c r="H668" s="49">
        <f t="array" ref="H668">IF(
 OR(
  LEFT(B668,15)="state.character",
  RIGHT(B668,6)=".maxed"
 ),
 0,
 LET(
  sort,
   _xlfn.XLOOKUP(
    B668,
    tblChecklist[TargetID],
    tblChecklist[PlayerSort],
    0
   ),
  IF(sort=0,500,sort)
 )
)</f>
        <v>500</v>
      </c>
      <c r="I668" s="49" t="str">
        <f t="array" ref="I668">_xlfn.XLOOKUP(
 B668,
 tblTargetStatus[TargetID],
 tblTargetStatus[Status],
 ""
)</f>
        <v>BLOCKED</v>
      </c>
      <c r="J668" s="45" t="b">
        <v>0</v>
      </c>
    </row>
    <row r="669" ht="14.25" hidden="1" customHeight="1">
      <c r="A669" s="49" t="s">
        <v>2274</v>
      </c>
      <c r="B669" s="49" t="str">
        <f>IFERROR(__xludf.DUMMYFUNCTION("REGEXREPLACE(
 REGEXREPLACE(A669,""^cost\."",""""),
 ""\.[^.]+\.[^.]+$"",
 """"
)"),"citadel.pantry")</f>
        <v>citadel.pantry</v>
      </c>
      <c r="C669" s="49" t="str">
        <f t="array" ref="C669">_xlfn.XLOOKUP(
 B669,
 tblTargets[TargetID],
 tblTargets[DisplayName],
 ""
)</f>
        <v>Pantry</v>
      </c>
      <c r="D669" s="49" t="str">
        <f t="array" ref="D669">_xlfn.XLOOKUP(
 B669,
 tblTargets[TargetID],
 tblTargets[TargetType],
 ""
)</f>
        <v>CITADEL</v>
      </c>
      <c r="E669" s="49" t="s">
        <v>6</v>
      </c>
      <c r="F669" s="49">
        <v>1.0</v>
      </c>
      <c r="G669" s="49">
        <f t="array" ref="G669">_xlfn.XLOOKUP(
 A669,
 tblCost[RequirementID],
 tblCost[QuantityRequired],
 ""
)</f>
        <v>2</v>
      </c>
      <c r="H669" s="49">
        <f t="array" ref="H669">IF(
 OR(
  LEFT(B669,15)="state.character",
  RIGHT(B669,6)=".maxed"
 ),
 0,
 LET(
  sort,
   _xlfn.XLOOKUP(
    B669,
    tblChecklist[TargetID],
    tblChecklist[PlayerSort],
    0
   ),
  IF(sort=0,500,sort)
 )
)</f>
        <v>500</v>
      </c>
      <c r="I669" s="49" t="str">
        <f t="array" ref="I669">_xlfn.XLOOKUP(
 B669,
 tblTargetStatus[TargetID],
 tblTargetStatus[Status],
 ""
)</f>
        <v>BLOCKED</v>
      </c>
      <c r="J669" s="45" t="b">
        <v>0</v>
      </c>
    </row>
    <row r="670" ht="14.25" hidden="1" customHeight="1">
      <c r="A670" s="49" t="s">
        <v>2275</v>
      </c>
      <c r="B670" s="49" t="str">
        <f>IFERROR(__xludf.DUMMYFUNCTION("REGEXREPLACE(
 REGEXREPLACE(A670,""^cost\."",""""),
 ""\.[^.]+\.[^.]+$"",
 """"
)"),"citadel.pantry")</f>
        <v>citadel.pantry</v>
      </c>
      <c r="C670" s="49" t="str">
        <f t="array" ref="C670">_xlfn.XLOOKUP(
 B670,
 tblTargets[TargetID],
 tblTargets[DisplayName],
 ""
)</f>
        <v>Pantry</v>
      </c>
      <c r="D670" s="49" t="str">
        <f t="array" ref="D670">_xlfn.XLOOKUP(
 B670,
 tblTargets[TargetID],
 tblTargets[TargetType],
 ""
)</f>
        <v>CITADEL</v>
      </c>
      <c r="E670" s="49" t="s">
        <v>237</v>
      </c>
      <c r="F670" s="49">
        <v>1.0</v>
      </c>
      <c r="G670" s="49">
        <f t="array" ref="G670">_xlfn.XLOOKUP(
 A670,
 tblCost[RequirementID],
 tblCost[QuantityRequired],
 ""
)</f>
        <v>400</v>
      </c>
      <c r="H670" s="49">
        <f t="array" ref="H670">IF(
 OR(
  LEFT(B670,15)="state.character",
  RIGHT(B670,6)=".maxed"
 ),
 0,
 LET(
  sort,
   _xlfn.XLOOKUP(
    B670,
    tblChecklist[TargetID],
    tblChecklist[PlayerSort],
    0
   ),
  IF(sort=0,500,sort)
 )
)</f>
        <v>500</v>
      </c>
      <c r="I670" s="49" t="str">
        <f t="array" ref="I670">_xlfn.XLOOKUP(
 B670,
 tblTargetStatus[TargetID],
 tblTargetStatus[Status],
 ""
)</f>
        <v>BLOCKED</v>
      </c>
      <c r="J670" s="45" t="b">
        <v>0</v>
      </c>
    </row>
    <row r="671" ht="14.25" hidden="1" customHeight="1">
      <c r="A671" s="49" t="s">
        <v>2276</v>
      </c>
      <c r="B671" s="49" t="str">
        <f>IFERROR(__xludf.DUMMYFUNCTION("REGEXREPLACE(
 REGEXREPLACE(A671,""^cost\."",""""),
 ""\.[^.]+\.[^.]+$"",
 """"
)"),"citadel.tavern")</f>
        <v>citadel.tavern</v>
      </c>
      <c r="C671" s="49" t="str">
        <f t="array" ref="C671">_xlfn.XLOOKUP(
 B671,
 tblTargets[TargetID],
 tblTargets[DisplayName],
 ""
)</f>
        <v>Tavern</v>
      </c>
      <c r="D671" s="49" t="str">
        <f t="array" ref="D671">_xlfn.XLOOKUP(
 B671,
 tblTargets[TargetID],
 tblTargets[TargetType],
 ""
)</f>
        <v>CITADEL</v>
      </c>
      <c r="E671" s="49" t="s">
        <v>278</v>
      </c>
      <c r="F671" s="49">
        <v>1.0</v>
      </c>
      <c r="G671" s="49">
        <f t="array" ref="G671">_xlfn.XLOOKUP(
 A671,
 tblCost[RequirementID],
 tblCost[QuantityRequired],
 ""
)</f>
        <v>400</v>
      </c>
      <c r="H671" s="49">
        <f t="array" ref="H671">IF(
 OR(
  LEFT(B671,15)="state.character",
  RIGHT(B671,6)=".maxed"
 ),
 0,
 LET(
  sort,
   _xlfn.XLOOKUP(
    B671,
    tblChecklist[TargetID],
    tblChecklist[PlayerSort],
    0
   ),
  IF(sort=0,500,sort)
 )
)</f>
        <v>500</v>
      </c>
      <c r="I671" s="49" t="str">
        <f t="array" ref="I671">_xlfn.XLOOKUP(
 B671,
 tblTargetStatus[TargetID],
 tblTargetStatus[Status],
 ""
)</f>
        <v>BLOCKED</v>
      </c>
      <c r="J671" s="45" t="b">
        <v>0</v>
      </c>
    </row>
    <row r="672" ht="14.25" hidden="1" customHeight="1">
      <c r="A672" s="49" t="s">
        <v>2277</v>
      </c>
      <c r="B672" s="49" t="str">
        <f>IFERROR(__xludf.DUMMYFUNCTION("REGEXREPLACE(
 REGEXREPLACE(A672,""^cost\."",""""),
 ""\.[^.]+\.[^.]+$"",
 """"
)"),"citadel.tavern")</f>
        <v>citadel.tavern</v>
      </c>
      <c r="C672" s="49" t="str">
        <f t="array" ref="C672">_xlfn.XLOOKUP(
 B672,
 tblTargets[TargetID],
 tblTargets[DisplayName],
 ""
)</f>
        <v>Tavern</v>
      </c>
      <c r="D672" s="49" t="str">
        <f t="array" ref="D672">_xlfn.XLOOKUP(
 B672,
 tblTargets[TargetID],
 tblTargets[TargetType],
 ""
)</f>
        <v>CITADEL</v>
      </c>
      <c r="E672" s="49" t="s">
        <v>119</v>
      </c>
      <c r="F672" s="49">
        <v>1.0</v>
      </c>
      <c r="G672" s="49">
        <f t="array" ref="G672">_xlfn.XLOOKUP(
 A672,
 tblCost[RequirementID],
 tblCost[QuantityRequired],
 ""
)</f>
        <v>400</v>
      </c>
      <c r="H672" s="49">
        <f t="array" ref="H672">IF(
 OR(
  LEFT(B672,15)="state.character",
  RIGHT(B672,6)=".maxed"
 ),
 0,
 LET(
  sort,
   _xlfn.XLOOKUP(
    B672,
    tblChecklist[TargetID],
    tblChecklist[PlayerSort],
    0
   ),
  IF(sort=0,500,sort)
 )
)</f>
        <v>500</v>
      </c>
      <c r="I672" s="49" t="str">
        <f t="array" ref="I672">_xlfn.XLOOKUP(
 B672,
 tblTargetStatus[TargetID],
 tblTargetStatus[Status],
 ""
)</f>
        <v>BLOCKED</v>
      </c>
      <c r="J672" s="45" t="b">
        <v>0</v>
      </c>
    </row>
    <row r="673" ht="14.25" hidden="1" customHeight="1">
      <c r="A673" s="49" t="s">
        <v>2278</v>
      </c>
      <c r="B673" s="49" t="str">
        <f>IFERROR(__xludf.DUMMYFUNCTION("REGEXREPLACE(
 REGEXREPLACE(A673,""^cost\."",""""),
 ""\.[^.]+\.[^.]+$"",
 """"
)"),"citadel.tavern")</f>
        <v>citadel.tavern</v>
      </c>
      <c r="C673" s="49" t="str">
        <f t="array" ref="C673">_xlfn.XLOOKUP(
 B673,
 tblTargets[TargetID],
 tblTargets[DisplayName],
 ""
)</f>
        <v>Tavern</v>
      </c>
      <c r="D673" s="49" t="str">
        <f t="array" ref="D673">_xlfn.XLOOKUP(
 B673,
 tblTargets[TargetID],
 tblTargets[TargetType],
 ""
)</f>
        <v>CITADEL</v>
      </c>
      <c r="E673" s="49" t="s">
        <v>132</v>
      </c>
      <c r="F673" s="49">
        <v>1.0</v>
      </c>
      <c r="G673" s="49">
        <f t="array" ref="G673">_xlfn.XLOOKUP(
 A673,
 tblCost[RequirementID],
 tblCost[QuantityRequired],
 ""
)</f>
        <v>10</v>
      </c>
      <c r="H673" s="49">
        <f t="array" ref="H673">IF(
 OR(
  LEFT(B673,15)="state.character",
  RIGHT(B673,6)=".maxed"
 ),
 0,
 LET(
  sort,
   _xlfn.XLOOKUP(
    B673,
    tblChecklist[TargetID],
    tblChecklist[PlayerSort],
    0
   ),
  IF(sort=0,500,sort)
 )
)</f>
        <v>500</v>
      </c>
      <c r="I673" s="49" t="str">
        <f t="array" ref="I673">_xlfn.XLOOKUP(
 B673,
 tblTargetStatus[TargetID],
 tblTargetStatus[Status],
 ""
)</f>
        <v>BLOCKED</v>
      </c>
      <c r="J673" s="45" t="b">
        <v>0</v>
      </c>
    </row>
    <row r="674" ht="14.25" hidden="1" customHeight="1">
      <c r="A674" s="49" t="s">
        <v>2279</v>
      </c>
      <c r="B674" s="49" t="str">
        <f>IFERROR(__xludf.DUMMYFUNCTION("REGEXREPLACE(
 REGEXREPLACE(A674,""^cost\."",""""),
 ""\.[^.]+\.[^.]+$"",
 """"
)"),"citadel.tavern")</f>
        <v>citadel.tavern</v>
      </c>
      <c r="C674" s="49" t="str">
        <f t="array" ref="C674">_xlfn.XLOOKUP(
 B674,
 tblTargets[TargetID],
 tblTargets[DisplayName],
 ""
)</f>
        <v>Tavern</v>
      </c>
      <c r="D674" s="49" t="str">
        <f t="array" ref="D674">_xlfn.XLOOKUP(
 B674,
 tblTargets[TargetID],
 tblTargets[TargetType],
 ""
)</f>
        <v>CITADEL</v>
      </c>
      <c r="E674" s="49" t="s">
        <v>6</v>
      </c>
      <c r="F674" s="49">
        <v>1.0</v>
      </c>
      <c r="G674" s="49">
        <f t="array" ref="G674">_xlfn.XLOOKUP(
 A674,
 tblCost[RequirementID],
 tblCost[QuantityRequired],
 ""
)</f>
        <v>2</v>
      </c>
      <c r="H674" s="49">
        <f t="array" ref="H674">IF(
 OR(
  LEFT(B674,15)="state.character",
  RIGHT(B674,6)=".maxed"
 ),
 0,
 LET(
  sort,
   _xlfn.XLOOKUP(
    B674,
    tblChecklist[TargetID],
    tblChecklist[PlayerSort],
    0
   ),
  IF(sort=0,500,sort)
 )
)</f>
        <v>500</v>
      </c>
      <c r="I674" s="49" t="str">
        <f t="array" ref="I674">_xlfn.XLOOKUP(
 B674,
 tblTargetStatus[TargetID],
 tblTargetStatus[Status],
 ""
)</f>
        <v>BLOCKED</v>
      </c>
      <c r="J674" s="45" t="b">
        <v>0</v>
      </c>
    </row>
    <row r="675" ht="14.25" hidden="1" customHeight="1">
      <c r="A675" s="49" t="s">
        <v>2280</v>
      </c>
      <c r="B675" s="49" t="str">
        <f>IFERROR(__xludf.DUMMYFUNCTION("REGEXREPLACE(
 REGEXREPLACE(A675,""^cost\."",""""),
 ""\.[^.]+\.[^.]+$"",
 """"
)"),"citadel.tavern")</f>
        <v>citadel.tavern</v>
      </c>
      <c r="C675" s="49" t="str">
        <f t="array" ref="C675">_xlfn.XLOOKUP(
 B675,
 tblTargets[TargetID],
 tblTargets[DisplayName],
 ""
)</f>
        <v>Tavern</v>
      </c>
      <c r="D675" s="49" t="str">
        <f t="array" ref="D675">_xlfn.XLOOKUP(
 B675,
 tblTargets[TargetID],
 tblTargets[TargetType],
 ""
)</f>
        <v>CITADEL</v>
      </c>
      <c r="E675" s="49" t="s">
        <v>237</v>
      </c>
      <c r="F675" s="49">
        <v>1.0</v>
      </c>
      <c r="G675" s="49">
        <f t="array" ref="G675">_xlfn.XLOOKUP(
 A675,
 tblCost[RequirementID],
 tblCost[QuantityRequired],
 ""
)</f>
        <v>400</v>
      </c>
      <c r="H675" s="49">
        <f t="array" ref="H675">IF(
 OR(
  LEFT(B675,15)="state.character",
  RIGHT(B675,6)=".maxed"
 ),
 0,
 LET(
  sort,
   _xlfn.XLOOKUP(
    B675,
    tblChecklist[TargetID],
    tblChecklist[PlayerSort],
    0
   ),
  IF(sort=0,500,sort)
 )
)</f>
        <v>500</v>
      </c>
      <c r="I675" s="49" t="str">
        <f t="array" ref="I675">_xlfn.XLOOKUP(
 B675,
 tblTargetStatus[TargetID],
 tblTargetStatus[Status],
 ""
)</f>
        <v>BLOCKED</v>
      </c>
      <c r="J675" s="45" t="b">
        <v>0</v>
      </c>
    </row>
    <row r="676" ht="14.25" hidden="1" customHeight="1">
      <c r="A676" s="49" t="s">
        <v>2281</v>
      </c>
      <c r="B676" s="49" t="str">
        <f>IFERROR(__xludf.DUMMYFUNCTION("REGEXREPLACE(
 REGEXREPLACE(A676,""^cost\."",""""),
 ""\.[^.]+\.[^.]+$"",
 """"
)"),"citadel.treasury")</f>
        <v>citadel.treasury</v>
      </c>
      <c r="C676" s="49" t="str">
        <f t="array" ref="C676">_xlfn.XLOOKUP(
 B676,
 tblTargets[TargetID],
 tblTargets[DisplayName],
 ""
)</f>
        <v>Treasury</v>
      </c>
      <c r="D676" s="49" t="str">
        <f t="array" ref="D676">_xlfn.XLOOKUP(
 B676,
 tblTargets[TargetID],
 tblTargets[TargetType],
 ""
)</f>
        <v>CITADEL</v>
      </c>
      <c r="E676" s="49" t="s">
        <v>278</v>
      </c>
      <c r="F676" s="49">
        <v>1.0</v>
      </c>
      <c r="G676" s="49">
        <f t="array" ref="G676">_xlfn.XLOOKUP(
 A676,
 tblCost[RequirementID],
 tblCost[QuantityRequired],
 ""
)</f>
        <v>600</v>
      </c>
      <c r="H676" s="49">
        <f t="array" ref="H676">IF(
 OR(
  LEFT(B676,15)="state.character",
  RIGHT(B676,6)=".maxed"
 ),
 0,
 LET(
  sort,
   _xlfn.XLOOKUP(
    B676,
    tblChecklist[TargetID],
    tblChecklist[PlayerSort],
    0
   ),
  IF(sort=0,500,sort)
 )
)</f>
        <v>500</v>
      </c>
      <c r="I676" s="49" t="str">
        <f t="array" ref="I676">_xlfn.XLOOKUP(
 B676,
 tblTargetStatus[TargetID],
 tblTargetStatus[Status],
 ""
)</f>
        <v>BLOCKED</v>
      </c>
      <c r="J676" s="45" t="b">
        <v>0</v>
      </c>
    </row>
    <row r="677" ht="14.25" hidden="1" customHeight="1">
      <c r="A677" s="49" t="s">
        <v>2282</v>
      </c>
      <c r="B677" s="49" t="str">
        <f>IFERROR(__xludf.DUMMYFUNCTION("REGEXREPLACE(
 REGEXREPLACE(A677,""^cost\."",""""),
 ""\.[^.]+\.[^.]+$"",
 """"
)"),"citadel.treasury")</f>
        <v>citadel.treasury</v>
      </c>
      <c r="C677" s="49" t="str">
        <f t="array" ref="C677">_xlfn.XLOOKUP(
 B677,
 tblTargets[TargetID],
 tblTargets[DisplayName],
 ""
)</f>
        <v>Treasury</v>
      </c>
      <c r="D677" s="49" t="str">
        <f t="array" ref="D677">_xlfn.XLOOKUP(
 B677,
 tblTargets[TargetID],
 tblTargets[TargetType],
 ""
)</f>
        <v>CITADEL</v>
      </c>
      <c r="E677" s="49" t="s">
        <v>119</v>
      </c>
      <c r="F677" s="49">
        <v>1.0</v>
      </c>
      <c r="G677" s="49">
        <f t="array" ref="G677">_xlfn.XLOOKUP(
 A677,
 tblCost[RequirementID],
 tblCost[QuantityRequired],
 ""
)</f>
        <v>600</v>
      </c>
      <c r="H677" s="49">
        <f t="array" ref="H677">IF(
 OR(
  LEFT(B677,15)="state.character",
  RIGHT(B677,6)=".maxed"
 ),
 0,
 LET(
  sort,
   _xlfn.XLOOKUP(
    B677,
    tblChecklist[TargetID],
    tblChecklist[PlayerSort],
    0
   ),
  IF(sort=0,500,sort)
 )
)</f>
        <v>500</v>
      </c>
      <c r="I677" s="49" t="str">
        <f t="array" ref="I677">_xlfn.XLOOKUP(
 B677,
 tblTargetStatus[TargetID],
 tblTargetStatus[Status],
 ""
)</f>
        <v>BLOCKED</v>
      </c>
      <c r="J677" s="45" t="b">
        <v>0</v>
      </c>
    </row>
    <row r="678" ht="14.25" hidden="1" customHeight="1">
      <c r="A678" s="49" t="s">
        <v>2283</v>
      </c>
      <c r="B678" s="49" t="str">
        <f>IFERROR(__xludf.DUMMYFUNCTION("REGEXREPLACE(
 REGEXREPLACE(A678,""^cost\."",""""),
 ""\.[^.]+\.[^.]+$"",
 """"
)"),"citadel.treasury")</f>
        <v>citadel.treasury</v>
      </c>
      <c r="C678" s="49" t="str">
        <f t="array" ref="C678">_xlfn.XLOOKUP(
 B678,
 tblTargets[TargetID],
 tblTargets[DisplayName],
 ""
)</f>
        <v>Treasury</v>
      </c>
      <c r="D678" s="49" t="str">
        <f t="array" ref="D678">_xlfn.XLOOKUP(
 B678,
 tblTargets[TargetID],
 tblTargets[TargetType],
 ""
)</f>
        <v>CITADEL</v>
      </c>
      <c r="E678" s="49" t="s">
        <v>132</v>
      </c>
      <c r="F678" s="49">
        <v>1.0</v>
      </c>
      <c r="G678" s="49">
        <f t="array" ref="G678">_xlfn.XLOOKUP(
 A678,
 tblCost[RequirementID],
 tblCost[QuantityRequired],
 ""
)</f>
        <v>20</v>
      </c>
      <c r="H678" s="49">
        <f t="array" ref="H678">IF(
 OR(
  LEFT(B678,15)="state.character",
  RIGHT(B678,6)=".maxed"
 ),
 0,
 LET(
  sort,
   _xlfn.XLOOKUP(
    B678,
    tblChecklist[TargetID],
    tblChecklist[PlayerSort],
    0
   ),
  IF(sort=0,500,sort)
 )
)</f>
        <v>500</v>
      </c>
      <c r="I678" s="49" t="str">
        <f t="array" ref="I678">_xlfn.XLOOKUP(
 B678,
 tblTargetStatus[TargetID],
 tblTargetStatus[Status],
 ""
)</f>
        <v>BLOCKED</v>
      </c>
      <c r="J678" s="45" t="b">
        <v>0</v>
      </c>
    </row>
    <row r="679" ht="14.25" hidden="1" customHeight="1">
      <c r="A679" s="49" t="s">
        <v>2284</v>
      </c>
      <c r="B679" s="49" t="str">
        <f>IFERROR(__xludf.DUMMYFUNCTION("REGEXREPLACE(
 REGEXREPLACE(A679,""^cost\."",""""),
 ""\.[^.]+\.[^.]+$"",
 """"
)"),"citadel.treasury")</f>
        <v>citadel.treasury</v>
      </c>
      <c r="C679" s="49" t="str">
        <f t="array" ref="C679">_xlfn.XLOOKUP(
 B679,
 tblTargets[TargetID],
 tblTargets[DisplayName],
 ""
)</f>
        <v>Treasury</v>
      </c>
      <c r="D679" s="49" t="str">
        <f t="array" ref="D679">_xlfn.XLOOKUP(
 B679,
 tblTargets[TargetID],
 tblTargets[TargetType],
 ""
)</f>
        <v>CITADEL</v>
      </c>
      <c r="E679" s="49" t="s">
        <v>6</v>
      </c>
      <c r="F679" s="49">
        <v>1.0</v>
      </c>
      <c r="G679" s="49">
        <f t="array" ref="G679">_xlfn.XLOOKUP(
 A679,
 tblCost[RequirementID],
 tblCost[QuantityRequired],
 ""
)</f>
        <v>3</v>
      </c>
      <c r="H679" s="49">
        <f t="array" ref="H679">IF(
 OR(
  LEFT(B679,15)="state.character",
  RIGHT(B679,6)=".maxed"
 ),
 0,
 LET(
  sort,
   _xlfn.XLOOKUP(
    B679,
    tblChecklist[TargetID],
    tblChecklist[PlayerSort],
    0
   ),
  IF(sort=0,500,sort)
 )
)</f>
        <v>500</v>
      </c>
      <c r="I679" s="49" t="str">
        <f t="array" ref="I679">_xlfn.XLOOKUP(
 B679,
 tblTargetStatus[TargetID],
 tblTargetStatus[Status],
 ""
)</f>
        <v>BLOCKED</v>
      </c>
      <c r="J679" s="45" t="b">
        <v>0</v>
      </c>
    </row>
    <row r="680" ht="14.25" hidden="1" customHeight="1">
      <c r="A680" s="49" t="s">
        <v>2285</v>
      </c>
      <c r="B680" s="49" t="str">
        <f>IFERROR(__xludf.DUMMYFUNCTION("REGEXREPLACE(
 REGEXREPLACE(A680,""^cost\."",""""),
 ""\.[^.]+\.[^.]+$"",
 """"
)"),"citadel.treasury")</f>
        <v>citadel.treasury</v>
      </c>
      <c r="C680" s="49" t="str">
        <f t="array" ref="C680">_xlfn.XLOOKUP(
 B680,
 tblTargets[TargetID],
 tblTargets[DisplayName],
 ""
)</f>
        <v>Treasury</v>
      </c>
      <c r="D680" s="49" t="str">
        <f t="array" ref="D680">_xlfn.XLOOKUP(
 B680,
 tblTargets[TargetID],
 tblTargets[TargetType],
 ""
)</f>
        <v>CITADEL</v>
      </c>
      <c r="E680" s="49" t="s">
        <v>392</v>
      </c>
      <c r="F680" s="49">
        <v>1.0</v>
      </c>
      <c r="G680" s="49">
        <f t="array" ref="G680">_xlfn.XLOOKUP(
 A680,
 tblCost[RequirementID],
 tblCost[QuantityRequired],
 ""
)</f>
        <v>300</v>
      </c>
      <c r="H680" s="49">
        <f t="array" ref="H680">IF(
 OR(
  LEFT(B680,15)="state.character",
  RIGHT(B680,6)=".maxed"
 ),
 0,
 LET(
  sort,
   _xlfn.XLOOKUP(
    B680,
    tblChecklist[TargetID],
    tblChecklist[PlayerSort],
    0
   ),
  IF(sort=0,500,sort)
 )
)</f>
        <v>500</v>
      </c>
      <c r="I680" s="49" t="str">
        <f t="array" ref="I680">_xlfn.XLOOKUP(
 B680,
 tblTargetStatus[TargetID],
 tblTargetStatus[Status],
 ""
)</f>
        <v>BLOCKED</v>
      </c>
      <c r="J680" s="45" t="b">
        <v>0</v>
      </c>
    </row>
    <row r="681" ht="14.25" hidden="1" customHeight="1">
      <c r="A681" s="49" t="s">
        <v>2286</v>
      </c>
      <c r="B681" s="49" t="str">
        <f>IFERROR(__xludf.DUMMYFUNCTION("REGEXREPLACE(
 REGEXREPLACE(A681,""^cost\."",""""),
 ""\.[^.]+\.[^.]+$"",
 """"
)"),"citadel.treasury")</f>
        <v>citadel.treasury</v>
      </c>
      <c r="C681" s="49" t="str">
        <f t="array" ref="C681">_xlfn.XLOOKUP(
 B681,
 tblTargets[TargetID],
 tblTargets[DisplayName],
 ""
)</f>
        <v>Treasury</v>
      </c>
      <c r="D681" s="49" t="str">
        <f t="array" ref="D681">_xlfn.XLOOKUP(
 B681,
 tblTargets[TargetID],
 tblTargets[TargetType],
 ""
)</f>
        <v>CITADEL</v>
      </c>
      <c r="E681" s="49" t="s">
        <v>237</v>
      </c>
      <c r="F681" s="49">
        <v>1.0</v>
      </c>
      <c r="G681" s="49">
        <f t="array" ref="G681">_xlfn.XLOOKUP(
 A681,
 tblCost[RequirementID],
 tblCost[QuantityRequired],
 ""
)</f>
        <v>600</v>
      </c>
      <c r="H681" s="49">
        <f t="array" ref="H681">IF(
 OR(
  LEFT(B681,15)="state.character",
  RIGHT(B681,6)=".maxed"
 ),
 0,
 LET(
  sort,
   _xlfn.XLOOKUP(
    B681,
    tblChecklist[TargetID],
    tblChecklist[PlayerSort],
    0
   ),
  IF(sort=0,500,sort)
 )
)</f>
        <v>500</v>
      </c>
      <c r="I681" s="49" t="str">
        <f t="array" ref="I681">_xlfn.XLOOKUP(
 B681,
 tblTargetStatus[TargetID],
 tblTargetStatus[Status],
 ""
)</f>
        <v>BLOCKED</v>
      </c>
      <c r="J681" s="45" t="b">
        <v>0</v>
      </c>
    </row>
    <row r="682" ht="14.25" hidden="1" customHeight="1">
      <c r="A682" s="49" t="s">
        <v>2287</v>
      </c>
      <c r="B682" s="49" t="str">
        <f>IFERROR(__xludf.DUMMYFUNCTION("REGEXREPLACE(
 REGEXREPLACE(A682,""^cost\."",""""),
 ""\.[^.]+\.[^.]+$"",
 """"
)"),"citadel.tunnel")</f>
        <v>citadel.tunnel</v>
      </c>
      <c r="C682" s="49" t="str">
        <f t="array" ref="C682">_xlfn.XLOOKUP(
 B682,
 tblTargets[TargetID],
 tblTargets[DisplayName],
 ""
)</f>
        <v>Tunnel</v>
      </c>
      <c r="D682" s="49" t="str">
        <f t="array" ref="D682">_xlfn.XLOOKUP(
 B682,
 tblTargets[TargetID],
 tblTargets[TargetType],
 ""
)</f>
        <v>CITADEL</v>
      </c>
      <c r="E682" s="49" t="s">
        <v>278</v>
      </c>
      <c r="F682" s="49">
        <v>1.0</v>
      </c>
      <c r="G682" s="49">
        <f t="array" ref="G682">_xlfn.XLOOKUP(
 A682,
 tblCost[RequirementID],
 tblCost[QuantityRequired],
 ""
)</f>
        <v>8000</v>
      </c>
      <c r="H682" s="49">
        <f t="array" ref="H682">IF(
 OR(
  LEFT(B682,15)="state.character",
  RIGHT(B682,6)=".maxed"
 ),
 0,
 LET(
  sort,
   _xlfn.XLOOKUP(
    B682,
    tblChecklist[TargetID],
    tblChecklist[PlayerSort],
    0
   ),
  IF(sort=0,500,sort)
 )
)</f>
        <v>500</v>
      </c>
      <c r="I682" s="49" t="str">
        <f t="array" ref="I682">_xlfn.XLOOKUP(
 B682,
 tblTargetStatus[TargetID],
 tblTargetStatus[Status],
 ""
)</f>
        <v>BLOCKED</v>
      </c>
      <c r="J682" s="45" t="b">
        <v>0</v>
      </c>
    </row>
    <row r="683" ht="14.25" hidden="1" customHeight="1">
      <c r="A683" s="49" t="s">
        <v>2288</v>
      </c>
      <c r="B683" s="49" t="str">
        <f>IFERROR(__xludf.DUMMYFUNCTION("REGEXREPLACE(
 REGEXREPLACE(A683,""^cost\."",""""),
 ""\.[^.]+\.[^.]+$"",
 """"
)"),"citadel.tunnel")</f>
        <v>citadel.tunnel</v>
      </c>
      <c r="C683" s="49" t="str">
        <f t="array" ref="C683">_xlfn.XLOOKUP(
 B683,
 tblTargets[TargetID],
 tblTargets[DisplayName],
 ""
)</f>
        <v>Tunnel</v>
      </c>
      <c r="D683" s="49" t="str">
        <f t="array" ref="D683">_xlfn.XLOOKUP(
 B683,
 tblTargets[TargetID],
 tblTargets[TargetType],
 ""
)</f>
        <v>CITADEL</v>
      </c>
      <c r="E683" s="49" t="s">
        <v>1055</v>
      </c>
      <c r="F683" s="49">
        <v>1.0</v>
      </c>
      <c r="G683" s="49">
        <f t="array" ref="G683">_xlfn.XLOOKUP(
 A683,
 tblCost[RequirementID],
 tblCost[QuantityRequired],
 ""
)</f>
        <v>100</v>
      </c>
      <c r="H683" s="49">
        <f t="array" ref="H683">IF(
 OR(
  LEFT(B683,15)="state.character",
  RIGHT(B683,6)=".maxed"
 ),
 0,
 LET(
  sort,
   _xlfn.XLOOKUP(
    B683,
    tblChecklist[TargetID],
    tblChecklist[PlayerSort],
    0
   ),
  IF(sort=0,500,sort)
 )
)</f>
        <v>500</v>
      </c>
      <c r="I683" s="49" t="str">
        <f t="array" ref="I683">_xlfn.XLOOKUP(
 B683,
 tblTargetStatus[TargetID],
 tblTargetStatus[Status],
 ""
)</f>
        <v>BLOCKED</v>
      </c>
      <c r="J683" s="45" t="b">
        <v>0</v>
      </c>
    </row>
    <row r="684" ht="14.25" hidden="1" customHeight="1">
      <c r="A684" s="49" t="s">
        <v>2289</v>
      </c>
      <c r="B684" s="49" t="str">
        <f>IFERROR(__xludf.DUMMYFUNCTION("REGEXREPLACE(
 REGEXREPLACE(A684,""^cost\."",""""),
 ""\.[^.]+\.[^.]+$"",
 """"
)"),"citadel.tunnel")</f>
        <v>citadel.tunnel</v>
      </c>
      <c r="C684" s="49" t="str">
        <f t="array" ref="C684">_xlfn.XLOOKUP(
 B684,
 tblTargets[TargetID],
 tblTargets[DisplayName],
 ""
)</f>
        <v>Tunnel</v>
      </c>
      <c r="D684" s="49" t="str">
        <f t="array" ref="D684">_xlfn.XLOOKUP(
 B684,
 tblTargets[TargetID],
 tblTargets[TargetType],
 ""
)</f>
        <v>CITADEL</v>
      </c>
      <c r="E684" s="49" t="s">
        <v>119</v>
      </c>
      <c r="F684" s="49">
        <v>1.0</v>
      </c>
      <c r="G684" s="49">
        <f t="array" ref="G684">_xlfn.XLOOKUP(
 A684,
 tblCost[RequirementID],
 tblCost[QuantityRequired],
 ""
)</f>
        <v>1000</v>
      </c>
      <c r="H684" s="49">
        <f t="array" ref="H684">IF(
 OR(
  LEFT(B684,15)="state.character",
  RIGHT(B684,6)=".maxed"
 ),
 0,
 LET(
  sort,
   _xlfn.XLOOKUP(
    B684,
    tblChecklist[TargetID],
    tblChecklist[PlayerSort],
    0
   ),
  IF(sort=0,500,sort)
 )
)</f>
        <v>500</v>
      </c>
      <c r="I684" s="49" t="str">
        <f t="array" ref="I684">_xlfn.XLOOKUP(
 B684,
 tblTargetStatus[TargetID],
 tblTargetStatus[Status],
 ""
)</f>
        <v>BLOCKED</v>
      </c>
      <c r="J684" s="45" t="b">
        <v>0</v>
      </c>
    </row>
    <row r="685" ht="14.25" hidden="1" customHeight="1">
      <c r="A685" s="49" t="s">
        <v>2290</v>
      </c>
      <c r="B685" s="49" t="str">
        <f>IFERROR(__xludf.DUMMYFUNCTION("REGEXREPLACE(
 REGEXREPLACE(A685,""^cost\."",""""),
 ""\.[^.]+\.[^.]+$"",
 """"
)"),"citadel.tunnel")</f>
        <v>citadel.tunnel</v>
      </c>
      <c r="C685" s="49" t="str">
        <f t="array" ref="C685">_xlfn.XLOOKUP(
 B685,
 tblTargets[TargetID],
 tblTargets[DisplayName],
 ""
)</f>
        <v>Tunnel</v>
      </c>
      <c r="D685" s="49" t="str">
        <f t="array" ref="D685">_xlfn.XLOOKUP(
 B685,
 tblTargets[TargetID],
 tblTargets[TargetType],
 ""
)</f>
        <v>CITADEL</v>
      </c>
      <c r="E685" s="49" t="s">
        <v>1078</v>
      </c>
      <c r="F685" s="49">
        <v>1.0</v>
      </c>
      <c r="G685" s="49">
        <f t="array" ref="G685">_xlfn.XLOOKUP(
 A685,
 tblCost[RequirementID],
 tblCost[QuantityRequired],
 ""
)</f>
        <v>40</v>
      </c>
      <c r="H685" s="49">
        <f t="array" ref="H685">IF(
 OR(
  LEFT(B685,15)="state.character",
  RIGHT(B685,6)=".maxed"
 ),
 0,
 LET(
  sort,
   _xlfn.XLOOKUP(
    B685,
    tblChecklist[TargetID],
    tblChecklist[PlayerSort],
    0
   ),
  IF(sort=0,500,sort)
 )
)</f>
        <v>500</v>
      </c>
      <c r="I685" s="49" t="str">
        <f t="array" ref="I685">_xlfn.XLOOKUP(
 B685,
 tblTargetStatus[TargetID],
 tblTargetStatus[Status],
 ""
)</f>
        <v>BLOCKED</v>
      </c>
      <c r="J685" s="45" t="b">
        <v>0</v>
      </c>
    </row>
    <row r="686" ht="14.25" hidden="1" customHeight="1">
      <c r="A686" s="49" t="s">
        <v>2291</v>
      </c>
      <c r="B686" s="49" t="str">
        <f>IFERROR(__xludf.DUMMYFUNCTION("REGEXREPLACE(
 REGEXREPLACE(A686,""^cost\."",""""),
 ""\.[^.]+\.[^.]+$"",
 """"
)"),"citadel.tunnel")</f>
        <v>citadel.tunnel</v>
      </c>
      <c r="C686" s="49" t="str">
        <f t="array" ref="C686">_xlfn.XLOOKUP(
 B686,
 tblTargets[TargetID],
 tblTargets[DisplayName],
 ""
)</f>
        <v>Tunnel</v>
      </c>
      <c r="D686" s="49" t="str">
        <f t="array" ref="D686">_xlfn.XLOOKUP(
 B686,
 tblTargets[TargetID],
 tblTargets[TargetType],
 ""
)</f>
        <v>CITADEL</v>
      </c>
      <c r="E686" s="49" t="s">
        <v>1537</v>
      </c>
      <c r="F686" s="49">
        <v>1.0</v>
      </c>
      <c r="G686" s="49">
        <f t="array" ref="G686">_xlfn.XLOOKUP(
 A686,
 tblCost[RequirementID],
 tblCost[QuantityRequired],
 ""
)</f>
        <v>100</v>
      </c>
      <c r="H686" s="49">
        <f t="array" ref="H686">IF(
 OR(
  LEFT(B686,15)="state.character",
  RIGHT(B686,6)=".maxed"
 ),
 0,
 LET(
  sort,
   _xlfn.XLOOKUP(
    B686,
    tblChecklist[TargetID],
    tblChecklist[PlayerSort],
    0
   ),
  IF(sort=0,500,sort)
 )
)</f>
        <v>500</v>
      </c>
      <c r="I686" s="49" t="str">
        <f t="array" ref="I686">_xlfn.XLOOKUP(
 B686,
 tblTargetStatus[TargetID],
 tblTargetStatus[Status],
 ""
)</f>
        <v>BLOCKED</v>
      </c>
      <c r="J686" s="45" t="b">
        <v>0</v>
      </c>
    </row>
    <row r="687" ht="14.25" hidden="1" customHeight="1">
      <c r="A687" s="49" t="s">
        <v>2292</v>
      </c>
      <c r="B687" s="49" t="str">
        <f>IFERROR(__xludf.DUMMYFUNCTION("REGEXREPLACE(
 REGEXREPLACE(A687,""^cost\."",""""),
 ""\.[^.]+\.[^.]+$"",
 """"
)"),"citadel.tunnel")</f>
        <v>citadel.tunnel</v>
      </c>
      <c r="C687" s="49" t="str">
        <f t="array" ref="C687">_xlfn.XLOOKUP(
 B687,
 tblTargets[TargetID],
 tblTargets[DisplayName],
 ""
)</f>
        <v>Tunnel</v>
      </c>
      <c r="D687" s="49" t="str">
        <f t="array" ref="D687">_xlfn.XLOOKUP(
 B687,
 tblTargets[TargetID],
 tblTargets[TargetType],
 ""
)</f>
        <v>CITADEL</v>
      </c>
      <c r="E687" s="49" t="s">
        <v>561</v>
      </c>
      <c r="F687" s="49">
        <v>1.0</v>
      </c>
      <c r="G687" s="49">
        <f t="array" ref="G687">_xlfn.XLOOKUP(
 A687,
 tblCost[RequirementID],
 tblCost[QuantityRequired],
 ""
)</f>
        <v>100</v>
      </c>
      <c r="H687" s="49">
        <f t="array" ref="H687">IF(
 OR(
  LEFT(B687,15)="state.character",
  RIGHT(B687,6)=".maxed"
 ),
 0,
 LET(
  sort,
   _xlfn.XLOOKUP(
    B687,
    tblChecklist[TargetID],
    tblChecklist[PlayerSort],
    0
   ),
  IF(sort=0,500,sort)
 )
)</f>
        <v>500</v>
      </c>
      <c r="I687" s="49" t="str">
        <f t="array" ref="I687">_xlfn.XLOOKUP(
 B687,
 tblTargetStatus[TargetID],
 tblTargetStatus[Status],
 ""
)</f>
        <v>BLOCKED</v>
      </c>
      <c r="J687" s="45" t="b">
        <v>0</v>
      </c>
    </row>
    <row r="688" ht="14.25" hidden="1" customHeight="1">
      <c r="A688" s="49" t="s">
        <v>2293</v>
      </c>
      <c r="B688" s="49" t="str">
        <f>IFERROR(__xludf.DUMMYFUNCTION("REGEXREPLACE(
 REGEXREPLACE(A688,""^cost\."",""""),
 ""\.[^.]+\.[^.]+$"",
 """"
)"),"citadel.tunnel")</f>
        <v>citadel.tunnel</v>
      </c>
      <c r="C688" s="49" t="str">
        <f t="array" ref="C688">_xlfn.XLOOKUP(
 B688,
 tblTargets[TargetID],
 tblTargets[DisplayName],
 ""
)</f>
        <v>Tunnel</v>
      </c>
      <c r="D688" s="49" t="str">
        <f t="array" ref="D688">_xlfn.XLOOKUP(
 B688,
 tblTargets[TargetID],
 tblTargets[TargetType],
 ""
)</f>
        <v>CITADEL</v>
      </c>
      <c r="E688" s="49" t="s">
        <v>6</v>
      </c>
      <c r="F688" s="49">
        <v>1.0</v>
      </c>
      <c r="G688" s="49">
        <f t="array" ref="G688">_xlfn.XLOOKUP(
 A688,
 tblCost[RequirementID],
 tblCost[QuantityRequired],
 ""
)</f>
        <v>5</v>
      </c>
      <c r="H688" s="49">
        <f t="array" ref="H688">IF(
 OR(
  LEFT(B688,15)="state.character",
  RIGHT(B688,6)=".maxed"
 ),
 0,
 LET(
  sort,
   _xlfn.XLOOKUP(
    B688,
    tblChecklist[TargetID],
    tblChecklist[PlayerSort],
    0
   ),
  IF(sort=0,500,sort)
 )
)</f>
        <v>500</v>
      </c>
      <c r="I688" s="49" t="str">
        <f t="array" ref="I688">_xlfn.XLOOKUP(
 B688,
 tblTargetStatus[TargetID],
 tblTargetStatus[Status],
 ""
)</f>
        <v>BLOCKED</v>
      </c>
      <c r="J688" s="45" t="b">
        <v>0</v>
      </c>
    </row>
    <row r="689" ht="14.25" hidden="1" customHeight="1">
      <c r="A689" s="49" t="s">
        <v>2294</v>
      </c>
      <c r="B689" s="49" t="str">
        <f>IFERROR(__xludf.DUMMYFUNCTION("REGEXREPLACE(
 REGEXREPLACE(A689,""^cost\."",""""),
 ""\.[^.]+\.[^.]+$"",
 """"
)"),"citadel.tunnel")</f>
        <v>citadel.tunnel</v>
      </c>
      <c r="C689" s="49" t="str">
        <f t="array" ref="C689">_xlfn.XLOOKUP(
 B689,
 tblTargets[TargetID],
 tblTargets[DisplayName],
 ""
)</f>
        <v>Tunnel</v>
      </c>
      <c r="D689" s="49" t="str">
        <f t="array" ref="D689">_xlfn.XLOOKUP(
 B689,
 tblTargets[TargetID],
 tblTargets[TargetType],
 ""
)</f>
        <v>CITADEL</v>
      </c>
      <c r="E689" s="49" t="s">
        <v>392</v>
      </c>
      <c r="F689" s="49">
        <v>1.0</v>
      </c>
      <c r="G689" s="49">
        <f t="array" ref="G689">_xlfn.XLOOKUP(
 A689,
 tblCost[RequirementID],
 tblCost[QuantityRequired],
 ""
)</f>
        <v>1000</v>
      </c>
      <c r="H689" s="49">
        <f t="array" ref="H689">IF(
 OR(
  LEFT(B689,15)="state.character",
  RIGHT(B689,6)=".maxed"
 ),
 0,
 LET(
  sort,
   _xlfn.XLOOKUP(
    B689,
    tblChecklist[TargetID],
    tblChecklist[PlayerSort],
    0
   ),
  IF(sort=0,500,sort)
 )
)</f>
        <v>500</v>
      </c>
      <c r="I689" s="49" t="str">
        <f t="array" ref="I689">_xlfn.XLOOKUP(
 B689,
 tblTargetStatus[TargetID],
 tblTargetStatus[Status],
 ""
)</f>
        <v>BLOCKED</v>
      </c>
      <c r="J689" s="45" t="b">
        <v>0</v>
      </c>
    </row>
    <row r="690" ht="14.25" hidden="1" customHeight="1">
      <c r="A690" s="49" t="s">
        <v>2295</v>
      </c>
      <c r="B690" s="49" t="str">
        <f>IFERROR(__xludf.DUMMYFUNCTION("REGEXREPLACE(
 REGEXREPLACE(A690,""^cost\."",""""),
 ""\.[^.]+\.[^.]+$"",
 """"
)"),"citadel.tunnel")</f>
        <v>citadel.tunnel</v>
      </c>
      <c r="C690" s="49" t="str">
        <f t="array" ref="C690">_xlfn.XLOOKUP(
 B690,
 tblTargets[TargetID],
 tblTargets[DisplayName],
 ""
)</f>
        <v>Tunnel</v>
      </c>
      <c r="D690" s="49" t="str">
        <f t="array" ref="D690">_xlfn.XLOOKUP(
 B690,
 tblTargets[TargetID],
 tblTargets[TargetType],
 ""
)</f>
        <v>CITADEL</v>
      </c>
      <c r="E690" s="49" t="s">
        <v>237</v>
      </c>
      <c r="F690" s="49">
        <v>1.0</v>
      </c>
      <c r="G690" s="49">
        <f t="array" ref="G690">_xlfn.XLOOKUP(
 A690,
 tblCost[RequirementID],
 tblCost[QuantityRequired],
 ""
)</f>
        <v>500</v>
      </c>
      <c r="H690" s="49">
        <f t="array" ref="H690">IF(
 OR(
  LEFT(B690,15)="state.character",
  RIGHT(B690,6)=".maxed"
 ),
 0,
 LET(
  sort,
   _xlfn.XLOOKUP(
    B690,
    tblChecklist[TargetID],
    tblChecklist[PlayerSort],
    0
   ),
  IF(sort=0,500,sort)
 )
)</f>
        <v>500</v>
      </c>
      <c r="I690" s="49" t="str">
        <f t="array" ref="I690">_xlfn.XLOOKUP(
 B690,
 tblTargetStatus[TargetID],
 tblTargetStatus[Status],
 ""
)</f>
        <v>BLOCKED</v>
      </c>
      <c r="J690" s="45" t="b">
        <v>0</v>
      </c>
    </row>
    <row r="691" ht="14.25" hidden="1" customHeight="1">
      <c r="A691" s="49" t="s">
        <v>2296</v>
      </c>
      <c r="B691" s="49" t="str">
        <f>IFERROR(__xludf.DUMMYFUNCTION("REGEXREPLACE(
 REGEXREPLACE(A691,""^cost\."",""""),
 ""\.[^.]+\.[^.]+$"",
 """"
)"),"collection.alchemist_hall_1@1")</f>
        <v>collection.alchemist_hall_1@1</v>
      </c>
      <c r="C691" s="49" t="str">
        <f t="array" ref="C691">_xlfn.XLOOKUP(
 B691,
 tblTargets[TargetID],
 tblTargets[DisplayName],
 ""
)</f>
        <v>Alchemist Hall Lv 1</v>
      </c>
      <c r="D691" s="49" t="str">
        <f t="array" ref="D691">_xlfn.XLOOKUP(
 B691,
 tblTargets[TargetID],
 tblTargets[TargetType],
 ""
)</f>
        <v>COLLECTION</v>
      </c>
      <c r="E691" s="49" t="s">
        <v>2297</v>
      </c>
      <c r="F691" s="49">
        <v>1.0</v>
      </c>
      <c r="G691" s="49">
        <f t="array" ref="G691">_xlfn.XLOOKUP(
 A691,
 tblCost[RequirementID],
 tblCost[QuantityRequired],
 ""
)</f>
        <v>20</v>
      </c>
      <c r="H691" s="49">
        <f t="array" ref="H691">IF(
 OR(
  LEFT(B691,15)="state.character",
  RIGHT(B691,6)=".maxed"
 ),
 0,
 LET(
  sort,
   _xlfn.XLOOKUP(
    B691,
    tblChecklist[TargetID],
    tblChecklist[PlayerSort],
    0
   ),
  IF(sort=0,500,sort)
 )
)</f>
        <v>500</v>
      </c>
      <c r="I691" s="49" t="str">
        <f t="array" ref="I691">_xlfn.XLOOKUP(
 B691,
 tblTargetStatus[TargetID],
 tblTargetStatus[Status],
 ""
)</f>
        <v>BLOCKED</v>
      </c>
      <c r="J691" s="45" t="b">
        <v>0</v>
      </c>
    </row>
    <row r="692" ht="14.25" hidden="1" customHeight="1">
      <c r="A692" s="49" t="s">
        <v>2298</v>
      </c>
      <c r="B692" s="49" t="str">
        <f>IFERROR(__xludf.DUMMYFUNCTION("REGEXREPLACE(
 REGEXREPLACE(A692,""^cost\."",""""),
 ""\.[^.]+\.[^.]+$"",
 """"
)"),"collection.alchemist_hall_1@1")</f>
        <v>collection.alchemist_hall_1@1</v>
      </c>
      <c r="C692" s="49" t="str">
        <f t="array" ref="C692">_xlfn.XLOOKUP(
 B692,
 tblTargets[TargetID],
 tblTargets[DisplayName],
 ""
)</f>
        <v>Alchemist Hall Lv 1</v>
      </c>
      <c r="D692" s="49" t="str">
        <f t="array" ref="D692">_xlfn.XLOOKUP(
 B692,
 tblTargets[TargetID],
 tblTargets[TargetType],
 ""
)</f>
        <v>COLLECTION</v>
      </c>
      <c r="E692" s="49" t="s">
        <v>2299</v>
      </c>
      <c r="F692" s="49">
        <v>1.0</v>
      </c>
      <c r="G692" s="49">
        <f t="array" ref="G692">_xlfn.XLOOKUP(
 A692,
 tblCost[RequirementID],
 tblCost[QuantityRequired],
 ""
)</f>
        <v>20</v>
      </c>
      <c r="H692" s="49">
        <f t="array" ref="H692">IF(
 OR(
  LEFT(B692,15)="state.character",
  RIGHT(B692,6)=".maxed"
 ),
 0,
 LET(
  sort,
   _xlfn.XLOOKUP(
    B692,
    tblChecklist[TargetID],
    tblChecklist[PlayerSort],
    0
   ),
  IF(sort=0,500,sort)
 )
)</f>
        <v>500</v>
      </c>
      <c r="I692" s="49" t="str">
        <f t="array" ref="I692">_xlfn.XLOOKUP(
 B692,
 tblTargetStatus[TargetID],
 tblTargetStatus[Status],
 ""
)</f>
        <v>BLOCKED</v>
      </c>
      <c r="J692" s="45" t="b">
        <v>0</v>
      </c>
    </row>
    <row r="693" ht="14.25" hidden="1" customHeight="1">
      <c r="A693" s="49" t="s">
        <v>2300</v>
      </c>
      <c r="B693" s="49" t="str">
        <f>IFERROR(__xludf.DUMMYFUNCTION("REGEXREPLACE(
 REGEXREPLACE(A693,""^cost\."",""""),
 ""\.[^.]+\.[^.]+$"",
 """"
)"),"collection.alchemist_hall_1@1")</f>
        <v>collection.alchemist_hall_1@1</v>
      </c>
      <c r="C693" s="49" t="str">
        <f t="array" ref="C693">_xlfn.XLOOKUP(
 B693,
 tblTargets[TargetID],
 tblTargets[DisplayName],
 ""
)</f>
        <v>Alchemist Hall Lv 1</v>
      </c>
      <c r="D693" s="49" t="str">
        <f t="array" ref="D693">_xlfn.XLOOKUP(
 B693,
 tblTargets[TargetID],
 tblTargets[TargetType],
 ""
)</f>
        <v>COLLECTION</v>
      </c>
      <c r="E693" s="49" t="s">
        <v>530</v>
      </c>
      <c r="F693" s="49">
        <v>1.0</v>
      </c>
      <c r="G693" s="49">
        <f t="array" ref="G693">_xlfn.XLOOKUP(
 A693,
 tblCost[RequirementID],
 tblCost[QuantityRequired],
 ""
)</f>
        <v>5</v>
      </c>
      <c r="H693" s="49">
        <f t="array" ref="H693">IF(
 OR(
  LEFT(B693,15)="state.character",
  RIGHT(B693,6)=".maxed"
 ),
 0,
 LET(
  sort,
   _xlfn.XLOOKUP(
    B693,
    tblChecklist[TargetID],
    tblChecklist[PlayerSort],
    0
   ),
  IF(sort=0,500,sort)
 )
)</f>
        <v>500</v>
      </c>
      <c r="I693" s="49" t="str">
        <f t="array" ref="I693">_xlfn.XLOOKUP(
 B693,
 tblTargetStatus[TargetID],
 tblTargetStatus[Status],
 ""
)</f>
        <v>BLOCKED</v>
      </c>
      <c r="J693" s="45" t="b">
        <v>0</v>
      </c>
    </row>
    <row r="694" ht="14.25" hidden="1" customHeight="1">
      <c r="A694" s="49" t="s">
        <v>2301</v>
      </c>
      <c r="B694" s="49" t="str">
        <f>IFERROR(__xludf.DUMMYFUNCTION("REGEXREPLACE(
 REGEXREPLACE(A694,""^cost\."",""""),
 ""\.[^.]+\.[^.]+$"",
 """"
)"),"collection.alchemist_hall_1@1")</f>
        <v>collection.alchemist_hall_1@1</v>
      </c>
      <c r="C694" s="49" t="str">
        <f t="array" ref="C694">_xlfn.XLOOKUP(
 B694,
 tblTargets[TargetID],
 tblTargets[DisplayName],
 ""
)</f>
        <v>Alchemist Hall Lv 1</v>
      </c>
      <c r="D694" s="49" t="str">
        <f t="array" ref="D694">_xlfn.XLOOKUP(
 B694,
 tblTargets[TargetID],
 tblTargets[TargetType],
 ""
)</f>
        <v>COLLECTION</v>
      </c>
      <c r="E694" s="49" t="s">
        <v>2302</v>
      </c>
      <c r="F694" s="49">
        <v>1.0</v>
      </c>
      <c r="G694" s="49">
        <f t="array" ref="G694">_xlfn.XLOOKUP(
 A694,
 tblCost[RequirementID],
 tblCost[QuantityRequired],
 ""
)</f>
        <v>10</v>
      </c>
      <c r="H694" s="49">
        <f t="array" ref="H694">IF(
 OR(
  LEFT(B694,15)="state.character",
  RIGHT(B694,6)=".maxed"
 ),
 0,
 LET(
  sort,
   _xlfn.XLOOKUP(
    B694,
    tblChecklist[TargetID],
    tblChecklist[PlayerSort],
    0
   ),
  IF(sort=0,500,sort)
 )
)</f>
        <v>500</v>
      </c>
      <c r="I694" s="49" t="str">
        <f t="array" ref="I694">_xlfn.XLOOKUP(
 B694,
 tblTargetStatus[TargetID],
 tblTargetStatus[Status],
 ""
)</f>
        <v>BLOCKED</v>
      </c>
      <c r="J694" s="45" t="b">
        <v>0</v>
      </c>
    </row>
    <row r="695" ht="14.25" hidden="1" customHeight="1">
      <c r="A695" s="49" t="s">
        <v>2303</v>
      </c>
      <c r="B695" s="49" t="str">
        <f>IFERROR(__xludf.DUMMYFUNCTION("REGEXREPLACE(
 REGEXREPLACE(A695,""^cost\."",""""),
 ""\.[^.]+\.[^.]+$"",
 """"
)"),"collection.alchemist_hall_1@1")</f>
        <v>collection.alchemist_hall_1@1</v>
      </c>
      <c r="C695" s="49" t="str">
        <f t="array" ref="C695">_xlfn.XLOOKUP(
 B695,
 tblTargets[TargetID],
 tblTargets[DisplayName],
 ""
)</f>
        <v>Alchemist Hall Lv 1</v>
      </c>
      <c r="D695" s="49" t="str">
        <f t="array" ref="D695">_xlfn.XLOOKUP(
 B695,
 tblTargets[TargetID],
 tblTargets[TargetType],
 ""
)</f>
        <v>COLLECTION</v>
      </c>
      <c r="E695" s="49" t="s">
        <v>2304</v>
      </c>
      <c r="F695" s="49">
        <v>1.0</v>
      </c>
      <c r="G695" s="49">
        <f t="array" ref="G695">_xlfn.XLOOKUP(
 A695,
 tblCost[RequirementID],
 tblCost[QuantityRequired],
 ""
)</f>
        <v>20</v>
      </c>
      <c r="H695" s="49">
        <f t="array" ref="H695">IF(
 OR(
  LEFT(B695,15)="state.character",
  RIGHT(B695,6)=".maxed"
 ),
 0,
 LET(
  sort,
   _xlfn.XLOOKUP(
    B695,
    tblChecklist[TargetID],
    tblChecklist[PlayerSort],
    0
   ),
  IF(sort=0,500,sort)
 )
)</f>
        <v>500</v>
      </c>
      <c r="I695" s="49" t="str">
        <f t="array" ref="I695">_xlfn.XLOOKUP(
 B695,
 tblTargetStatus[TargetID],
 tblTargetStatus[Status],
 ""
)</f>
        <v>BLOCKED</v>
      </c>
      <c r="J695" s="45" t="b">
        <v>0</v>
      </c>
    </row>
    <row r="696" ht="14.25" hidden="1" customHeight="1">
      <c r="A696" s="49" t="s">
        <v>2305</v>
      </c>
      <c r="B696" s="49" t="str">
        <f>IFERROR(__xludf.DUMMYFUNCTION("REGEXREPLACE(
 REGEXREPLACE(A696,""^cost\."",""""),
 ""\.[^.]+\.[^.]+$"",
 """"
)"),"collection.alchemist_hall_1@1")</f>
        <v>collection.alchemist_hall_1@1</v>
      </c>
      <c r="C696" s="49" t="str">
        <f t="array" ref="C696">_xlfn.XLOOKUP(
 B696,
 tblTargets[TargetID],
 tblTargets[DisplayName],
 ""
)</f>
        <v>Alchemist Hall Lv 1</v>
      </c>
      <c r="D696" s="49" t="str">
        <f t="array" ref="D696">_xlfn.XLOOKUP(
 B696,
 tblTargets[TargetID],
 tblTargets[TargetType],
 ""
)</f>
        <v>COLLECTION</v>
      </c>
      <c r="E696" s="49" t="s">
        <v>1456</v>
      </c>
      <c r="F696" s="49">
        <v>1.0</v>
      </c>
      <c r="G696" s="49">
        <f t="array" ref="G696">_xlfn.XLOOKUP(
 A696,
 tblCost[RequirementID],
 tblCost[QuantityRequired],
 ""
)</f>
        <v>20</v>
      </c>
      <c r="H696" s="49">
        <f t="array" ref="H696">IF(
 OR(
  LEFT(B696,15)="state.character",
  RIGHT(B696,6)=".maxed"
 ),
 0,
 LET(
  sort,
   _xlfn.XLOOKUP(
    B696,
    tblChecklist[TargetID],
    tblChecklist[PlayerSort],
    0
   ),
  IF(sort=0,500,sort)
 )
)</f>
        <v>500</v>
      </c>
      <c r="I696" s="49" t="str">
        <f t="array" ref="I696">_xlfn.XLOOKUP(
 B696,
 tblTargetStatus[TargetID],
 tblTargetStatus[Status],
 ""
)</f>
        <v>BLOCKED</v>
      </c>
      <c r="J696" s="45" t="b">
        <v>0</v>
      </c>
    </row>
    <row r="697" ht="14.25" hidden="1" customHeight="1">
      <c r="A697" s="49" t="s">
        <v>2306</v>
      </c>
      <c r="B697" s="49" t="str">
        <f>IFERROR(__xludf.DUMMYFUNCTION("REGEXREPLACE(
 REGEXREPLACE(A697,""^cost\."",""""),
 ""\.[^.]+\.[^.]+$"",
 """"
)"),"collection.alchemist_hall_1@1")</f>
        <v>collection.alchemist_hall_1@1</v>
      </c>
      <c r="C697" s="49" t="str">
        <f t="array" ref="C697">_xlfn.XLOOKUP(
 B697,
 tblTargets[TargetID],
 tblTargets[DisplayName],
 ""
)</f>
        <v>Alchemist Hall Lv 1</v>
      </c>
      <c r="D697" s="49" t="str">
        <f t="array" ref="D697">_xlfn.XLOOKUP(
 B697,
 tblTargets[TargetID],
 tblTargets[TargetType],
 ""
)</f>
        <v>COLLECTION</v>
      </c>
      <c r="E697" s="49" t="s">
        <v>140</v>
      </c>
      <c r="F697" s="49">
        <v>1.0</v>
      </c>
      <c r="G697" s="49">
        <f t="array" ref="G697">_xlfn.XLOOKUP(
 A697,
 tblCost[RequirementID],
 tblCost[QuantityRequired],
 ""
)</f>
        <v>111</v>
      </c>
      <c r="H697" s="49">
        <f t="array" ref="H697">IF(
 OR(
  LEFT(B697,15)="state.character",
  RIGHT(B697,6)=".maxed"
 ),
 0,
 LET(
  sort,
   _xlfn.XLOOKUP(
    B697,
    tblChecklist[TargetID],
    tblChecklist[PlayerSort],
    0
   ),
  IF(sort=0,500,sort)
 )
)</f>
        <v>500</v>
      </c>
      <c r="I697" s="49" t="str">
        <f t="array" ref="I697">_xlfn.XLOOKUP(
 B697,
 tblTargetStatus[TargetID],
 tblTargetStatus[Status],
 ""
)</f>
        <v>BLOCKED</v>
      </c>
      <c r="J697" s="45" t="b">
        <v>0</v>
      </c>
    </row>
    <row r="698" ht="14.25" hidden="1" customHeight="1">
      <c r="A698" s="49" t="s">
        <v>2307</v>
      </c>
      <c r="B698" s="49" t="str">
        <f>IFERROR(__xludf.DUMMYFUNCTION("REGEXREPLACE(
 REGEXREPLACE(A698,""^cost\."",""""),
 ""\.[^.]+\.[^.]+$"",
 """"
)"),"collection.alchemist_hall_1@1")</f>
        <v>collection.alchemist_hall_1@1</v>
      </c>
      <c r="C698" s="49" t="str">
        <f t="array" ref="C698">_xlfn.XLOOKUP(
 B698,
 tblTargets[TargetID],
 tblTargets[DisplayName],
 ""
)</f>
        <v>Alchemist Hall Lv 1</v>
      </c>
      <c r="D698" s="49" t="str">
        <f t="array" ref="D698">_xlfn.XLOOKUP(
 B698,
 tblTargets[TargetID],
 tblTargets[TargetType],
 ""
)</f>
        <v>COLLECTION</v>
      </c>
      <c r="E698" s="49" t="s">
        <v>2308</v>
      </c>
      <c r="F698" s="49">
        <v>1.0</v>
      </c>
      <c r="G698" s="49">
        <f t="array" ref="G698">_xlfn.XLOOKUP(
 A698,
 tblCost[RequirementID],
 tblCost[QuantityRequired],
 ""
)</f>
        <v>10</v>
      </c>
      <c r="H698" s="49">
        <f t="array" ref="H698">IF(
 OR(
  LEFT(B698,15)="state.character",
  RIGHT(B698,6)=".maxed"
 ),
 0,
 LET(
  sort,
   _xlfn.XLOOKUP(
    B698,
    tblChecklist[TargetID],
    tblChecklist[PlayerSort],
    0
   ),
  IF(sort=0,500,sort)
 )
)</f>
        <v>500</v>
      </c>
      <c r="I698" s="49" t="str">
        <f t="array" ref="I698">_xlfn.XLOOKUP(
 B698,
 tblTargetStatus[TargetID],
 tblTargetStatus[Status],
 ""
)</f>
        <v>BLOCKED</v>
      </c>
      <c r="J698" s="45" t="b">
        <v>0</v>
      </c>
    </row>
    <row r="699" ht="14.25" hidden="1" customHeight="1">
      <c r="A699" s="49" t="s">
        <v>2309</v>
      </c>
      <c r="B699" s="49" t="str">
        <f>IFERROR(__xludf.DUMMYFUNCTION("REGEXREPLACE(
 REGEXREPLACE(A699,""^cost\."",""""),
 ""\.[^.]+\.[^.]+$"",
 """"
)"),"collection.alchemist_hall_1@2")</f>
        <v>collection.alchemist_hall_1@2</v>
      </c>
      <c r="C699" s="49" t="str">
        <f t="array" ref="C699">_xlfn.XLOOKUP(
 B699,
 tblTargets[TargetID],
 tblTargets[DisplayName],
 ""
)</f>
        <v>Alchemist Hall Lv 2</v>
      </c>
      <c r="D699" s="49" t="str">
        <f t="array" ref="D699">_xlfn.XLOOKUP(
 B699,
 tblTargets[TargetID],
 tblTargets[TargetType],
 ""
)</f>
        <v>COLLECTION</v>
      </c>
      <c r="E699" s="49" t="s">
        <v>2297</v>
      </c>
      <c r="F699" s="49">
        <v>1.0</v>
      </c>
      <c r="G699" s="49">
        <f t="array" ref="G699">_xlfn.XLOOKUP(
 A699,
 tblCost[RequirementID],
 tblCost[QuantityRequired],
 ""
)</f>
        <v>40</v>
      </c>
      <c r="H699" s="49">
        <f t="array" ref="H699">IF(
 OR(
  LEFT(B699,15)="state.character",
  RIGHT(B699,6)=".maxed"
 ),
 0,
 LET(
  sort,
   _xlfn.XLOOKUP(
    B699,
    tblChecklist[TargetID],
    tblChecklist[PlayerSort],
    0
   ),
  IF(sort=0,500,sort)
 )
)</f>
        <v>500</v>
      </c>
      <c r="I699" s="49" t="str">
        <f t="array" ref="I699">_xlfn.XLOOKUP(
 B699,
 tblTargetStatus[TargetID],
 tblTargetStatus[Status],
 ""
)</f>
        <v>BLOCKED</v>
      </c>
      <c r="J699" s="45" t="b">
        <v>0</v>
      </c>
    </row>
    <row r="700" ht="14.25" hidden="1" customHeight="1">
      <c r="A700" s="49" t="s">
        <v>2310</v>
      </c>
      <c r="B700" s="49" t="str">
        <f>IFERROR(__xludf.DUMMYFUNCTION("REGEXREPLACE(
 REGEXREPLACE(A700,""^cost\."",""""),
 ""\.[^.]+\.[^.]+$"",
 """"
)"),"collection.alchemist_hall_1@2")</f>
        <v>collection.alchemist_hall_1@2</v>
      </c>
      <c r="C700" s="49" t="str">
        <f t="array" ref="C700">_xlfn.XLOOKUP(
 B700,
 tblTargets[TargetID],
 tblTargets[DisplayName],
 ""
)</f>
        <v>Alchemist Hall Lv 2</v>
      </c>
      <c r="D700" s="49" t="str">
        <f t="array" ref="D700">_xlfn.XLOOKUP(
 B700,
 tblTargets[TargetID],
 tblTargets[TargetType],
 ""
)</f>
        <v>COLLECTION</v>
      </c>
      <c r="E700" s="49" t="s">
        <v>2299</v>
      </c>
      <c r="F700" s="49">
        <v>1.0</v>
      </c>
      <c r="G700" s="49">
        <f t="array" ref="G700">_xlfn.XLOOKUP(
 A700,
 tblCost[RequirementID],
 tblCost[QuantityRequired],
 ""
)</f>
        <v>40</v>
      </c>
      <c r="H700" s="49">
        <f t="array" ref="H700">IF(
 OR(
  LEFT(B700,15)="state.character",
  RIGHT(B700,6)=".maxed"
 ),
 0,
 LET(
  sort,
   _xlfn.XLOOKUP(
    B700,
    tblChecklist[TargetID],
    tblChecklist[PlayerSort],
    0
   ),
  IF(sort=0,500,sort)
 )
)</f>
        <v>500</v>
      </c>
      <c r="I700" s="49" t="str">
        <f t="array" ref="I700">_xlfn.XLOOKUP(
 B700,
 tblTargetStatus[TargetID],
 tblTargetStatus[Status],
 ""
)</f>
        <v>BLOCKED</v>
      </c>
      <c r="J700" s="45" t="b">
        <v>0</v>
      </c>
    </row>
    <row r="701" ht="14.25" hidden="1" customHeight="1">
      <c r="A701" s="49" t="s">
        <v>2311</v>
      </c>
      <c r="B701" s="49" t="str">
        <f>IFERROR(__xludf.DUMMYFUNCTION("REGEXREPLACE(
 REGEXREPLACE(A701,""^cost\."",""""),
 ""\.[^.]+\.[^.]+$"",
 """"
)"),"collection.alchemist_hall_1@2")</f>
        <v>collection.alchemist_hall_1@2</v>
      </c>
      <c r="C701" s="49" t="str">
        <f t="array" ref="C701">_xlfn.XLOOKUP(
 B701,
 tblTargets[TargetID],
 tblTargets[DisplayName],
 ""
)</f>
        <v>Alchemist Hall Lv 2</v>
      </c>
      <c r="D701" s="49" t="str">
        <f t="array" ref="D701">_xlfn.XLOOKUP(
 B701,
 tblTargets[TargetID],
 tblTargets[TargetType],
 ""
)</f>
        <v>COLLECTION</v>
      </c>
      <c r="E701" s="49" t="s">
        <v>530</v>
      </c>
      <c r="F701" s="49">
        <v>1.0</v>
      </c>
      <c r="G701" s="49">
        <f t="array" ref="G701">_xlfn.XLOOKUP(
 A701,
 tblCost[RequirementID],
 tblCost[QuantityRequired],
 ""
)</f>
        <v>10</v>
      </c>
      <c r="H701" s="49">
        <f t="array" ref="H701">IF(
 OR(
  LEFT(B701,15)="state.character",
  RIGHT(B701,6)=".maxed"
 ),
 0,
 LET(
  sort,
   _xlfn.XLOOKUP(
    B701,
    tblChecklist[TargetID],
    tblChecklist[PlayerSort],
    0
   ),
  IF(sort=0,500,sort)
 )
)</f>
        <v>500</v>
      </c>
      <c r="I701" s="49" t="str">
        <f t="array" ref="I701">_xlfn.XLOOKUP(
 B701,
 tblTargetStatus[TargetID],
 tblTargetStatus[Status],
 ""
)</f>
        <v>BLOCKED</v>
      </c>
      <c r="J701" s="45" t="b">
        <v>0</v>
      </c>
    </row>
    <row r="702" ht="14.25" hidden="1" customHeight="1">
      <c r="A702" s="49" t="s">
        <v>2312</v>
      </c>
      <c r="B702" s="49" t="str">
        <f>IFERROR(__xludf.DUMMYFUNCTION("REGEXREPLACE(
 REGEXREPLACE(A702,""^cost\."",""""),
 ""\.[^.]+\.[^.]+$"",
 """"
)"),"collection.alchemist_hall_1@2")</f>
        <v>collection.alchemist_hall_1@2</v>
      </c>
      <c r="C702" s="49" t="str">
        <f t="array" ref="C702">_xlfn.XLOOKUP(
 B702,
 tblTargets[TargetID],
 tblTargets[DisplayName],
 ""
)</f>
        <v>Alchemist Hall Lv 2</v>
      </c>
      <c r="D702" s="49" t="str">
        <f t="array" ref="D702">_xlfn.XLOOKUP(
 B702,
 tblTargets[TargetID],
 tblTargets[TargetType],
 ""
)</f>
        <v>COLLECTION</v>
      </c>
      <c r="E702" s="49" t="s">
        <v>2302</v>
      </c>
      <c r="F702" s="49">
        <v>1.0</v>
      </c>
      <c r="G702" s="49">
        <f t="array" ref="G702">_xlfn.XLOOKUP(
 A702,
 tblCost[RequirementID],
 tblCost[QuantityRequired],
 ""
)</f>
        <v>20</v>
      </c>
      <c r="H702" s="49">
        <f t="array" ref="H702">IF(
 OR(
  LEFT(B702,15)="state.character",
  RIGHT(B702,6)=".maxed"
 ),
 0,
 LET(
  sort,
   _xlfn.XLOOKUP(
    B702,
    tblChecklist[TargetID],
    tblChecklist[PlayerSort],
    0
   ),
  IF(sort=0,500,sort)
 )
)</f>
        <v>500</v>
      </c>
      <c r="I702" s="49" t="str">
        <f t="array" ref="I702">_xlfn.XLOOKUP(
 B702,
 tblTargetStatus[TargetID],
 tblTargetStatus[Status],
 ""
)</f>
        <v>BLOCKED</v>
      </c>
      <c r="J702" s="45" t="b">
        <v>0</v>
      </c>
    </row>
    <row r="703" ht="14.25" hidden="1" customHeight="1">
      <c r="A703" s="49" t="s">
        <v>2313</v>
      </c>
      <c r="B703" s="49" t="str">
        <f>IFERROR(__xludf.DUMMYFUNCTION("REGEXREPLACE(
 REGEXREPLACE(A703,""^cost\."",""""),
 ""\.[^.]+\.[^.]+$"",
 """"
)"),"collection.alchemist_hall_1@2")</f>
        <v>collection.alchemist_hall_1@2</v>
      </c>
      <c r="C703" s="49" t="str">
        <f t="array" ref="C703">_xlfn.XLOOKUP(
 B703,
 tblTargets[TargetID],
 tblTargets[DisplayName],
 ""
)</f>
        <v>Alchemist Hall Lv 2</v>
      </c>
      <c r="D703" s="49" t="str">
        <f t="array" ref="D703">_xlfn.XLOOKUP(
 B703,
 tblTargets[TargetID],
 tblTargets[TargetType],
 ""
)</f>
        <v>COLLECTION</v>
      </c>
      <c r="E703" s="49" t="s">
        <v>2304</v>
      </c>
      <c r="F703" s="49">
        <v>1.0</v>
      </c>
      <c r="G703" s="49">
        <f t="array" ref="G703">_xlfn.XLOOKUP(
 A703,
 tblCost[RequirementID],
 tblCost[QuantityRequired],
 ""
)</f>
        <v>40</v>
      </c>
      <c r="H703" s="49">
        <f t="array" ref="H703">IF(
 OR(
  LEFT(B703,15)="state.character",
  RIGHT(B703,6)=".maxed"
 ),
 0,
 LET(
  sort,
   _xlfn.XLOOKUP(
    B703,
    tblChecklist[TargetID],
    tblChecklist[PlayerSort],
    0
   ),
  IF(sort=0,500,sort)
 )
)</f>
        <v>500</v>
      </c>
      <c r="I703" s="49" t="str">
        <f t="array" ref="I703">_xlfn.XLOOKUP(
 B703,
 tblTargetStatus[TargetID],
 tblTargetStatus[Status],
 ""
)</f>
        <v>BLOCKED</v>
      </c>
      <c r="J703" s="45" t="b">
        <v>0</v>
      </c>
    </row>
    <row r="704" ht="14.25" hidden="1" customHeight="1">
      <c r="A704" s="49" t="s">
        <v>2314</v>
      </c>
      <c r="B704" s="49" t="str">
        <f>IFERROR(__xludf.DUMMYFUNCTION("REGEXREPLACE(
 REGEXREPLACE(A704,""^cost\."",""""),
 ""\.[^.]+\.[^.]+$"",
 """"
)"),"collection.alchemist_hall_1@2")</f>
        <v>collection.alchemist_hall_1@2</v>
      </c>
      <c r="C704" s="49" t="str">
        <f t="array" ref="C704">_xlfn.XLOOKUP(
 B704,
 tblTargets[TargetID],
 tblTargets[DisplayName],
 ""
)</f>
        <v>Alchemist Hall Lv 2</v>
      </c>
      <c r="D704" s="49" t="str">
        <f t="array" ref="D704">_xlfn.XLOOKUP(
 B704,
 tblTargets[TargetID],
 tblTargets[TargetType],
 ""
)</f>
        <v>COLLECTION</v>
      </c>
      <c r="E704" s="49" t="s">
        <v>1456</v>
      </c>
      <c r="F704" s="49">
        <v>1.0</v>
      </c>
      <c r="G704" s="49">
        <f t="array" ref="G704">_xlfn.XLOOKUP(
 A704,
 tblCost[RequirementID],
 tblCost[QuantityRequired],
 ""
)</f>
        <v>40</v>
      </c>
      <c r="H704" s="49">
        <f t="array" ref="H704">IF(
 OR(
  LEFT(B704,15)="state.character",
  RIGHT(B704,6)=".maxed"
 ),
 0,
 LET(
  sort,
   _xlfn.XLOOKUP(
    B704,
    tblChecklist[TargetID],
    tblChecklist[PlayerSort],
    0
   ),
  IF(sort=0,500,sort)
 )
)</f>
        <v>500</v>
      </c>
      <c r="I704" s="49" t="str">
        <f t="array" ref="I704">_xlfn.XLOOKUP(
 B704,
 tblTargetStatus[TargetID],
 tblTargetStatus[Status],
 ""
)</f>
        <v>BLOCKED</v>
      </c>
      <c r="J704" s="45" t="b">
        <v>0</v>
      </c>
    </row>
    <row r="705" ht="14.25" hidden="1" customHeight="1">
      <c r="A705" s="49" t="s">
        <v>2315</v>
      </c>
      <c r="B705" s="49" t="str">
        <f>IFERROR(__xludf.DUMMYFUNCTION("REGEXREPLACE(
 REGEXREPLACE(A705,""^cost\."",""""),
 ""\.[^.]+\.[^.]+$"",
 """"
)"),"collection.alchemist_hall_1@2")</f>
        <v>collection.alchemist_hall_1@2</v>
      </c>
      <c r="C705" s="49" t="str">
        <f t="array" ref="C705">_xlfn.XLOOKUP(
 B705,
 tblTargets[TargetID],
 tblTargets[DisplayName],
 ""
)</f>
        <v>Alchemist Hall Lv 2</v>
      </c>
      <c r="D705" s="49" t="str">
        <f t="array" ref="D705">_xlfn.XLOOKUP(
 B705,
 tblTargets[TargetID],
 tblTargets[TargetType],
 ""
)</f>
        <v>COLLECTION</v>
      </c>
      <c r="E705" s="49" t="s">
        <v>140</v>
      </c>
      <c r="F705" s="49">
        <v>1.0</v>
      </c>
      <c r="G705" s="49">
        <f t="array" ref="G705">_xlfn.XLOOKUP(
 A705,
 tblCost[RequirementID],
 tblCost[QuantityRequired],
 ""
)</f>
        <v>222</v>
      </c>
      <c r="H705" s="49">
        <f t="array" ref="H705">IF(
 OR(
  LEFT(B705,15)="state.character",
  RIGHT(B705,6)=".maxed"
 ),
 0,
 LET(
  sort,
   _xlfn.XLOOKUP(
    B705,
    tblChecklist[TargetID],
    tblChecklist[PlayerSort],
    0
   ),
  IF(sort=0,500,sort)
 )
)</f>
        <v>500</v>
      </c>
      <c r="I705" s="49" t="str">
        <f t="array" ref="I705">_xlfn.XLOOKUP(
 B705,
 tblTargetStatus[TargetID],
 tblTargetStatus[Status],
 ""
)</f>
        <v>BLOCKED</v>
      </c>
      <c r="J705" s="45" t="b">
        <v>0</v>
      </c>
    </row>
    <row r="706" ht="14.25" hidden="1" customHeight="1">
      <c r="A706" s="49" t="s">
        <v>2316</v>
      </c>
      <c r="B706" s="49" t="str">
        <f>IFERROR(__xludf.DUMMYFUNCTION("REGEXREPLACE(
 REGEXREPLACE(A706,""^cost\."",""""),
 ""\.[^.]+\.[^.]+$"",
 """"
)"),"collection.alchemist_hall_1@2")</f>
        <v>collection.alchemist_hall_1@2</v>
      </c>
      <c r="C706" s="49" t="str">
        <f t="array" ref="C706">_xlfn.XLOOKUP(
 B706,
 tblTargets[TargetID],
 tblTargets[DisplayName],
 ""
)</f>
        <v>Alchemist Hall Lv 2</v>
      </c>
      <c r="D706" s="49" t="str">
        <f t="array" ref="D706">_xlfn.XLOOKUP(
 B706,
 tblTargets[TargetID],
 tblTargets[TargetType],
 ""
)</f>
        <v>COLLECTION</v>
      </c>
      <c r="E706" s="49" t="s">
        <v>2308</v>
      </c>
      <c r="F706" s="49">
        <v>1.0</v>
      </c>
      <c r="G706" s="49">
        <f t="array" ref="G706">_xlfn.XLOOKUP(
 A706,
 tblCost[RequirementID],
 tblCost[QuantityRequired],
 ""
)</f>
        <v>20</v>
      </c>
      <c r="H706" s="49">
        <f t="array" ref="H706">IF(
 OR(
  LEFT(B706,15)="state.character",
  RIGHT(B706,6)=".maxed"
 ),
 0,
 LET(
  sort,
   _xlfn.XLOOKUP(
    B706,
    tblChecklist[TargetID],
    tblChecklist[PlayerSort],
    0
   ),
  IF(sort=0,500,sort)
 )
)</f>
        <v>500</v>
      </c>
      <c r="I706" s="49" t="str">
        <f t="array" ref="I706">_xlfn.XLOOKUP(
 B706,
 tblTargetStatus[TargetID],
 tblTargetStatus[Status],
 ""
)</f>
        <v>BLOCKED</v>
      </c>
      <c r="J706" s="45" t="b">
        <v>0</v>
      </c>
    </row>
    <row r="707" ht="14.25" hidden="1" customHeight="1">
      <c r="A707" s="49" t="s">
        <v>2317</v>
      </c>
      <c r="B707" s="49" t="str">
        <f>IFERROR(__xludf.DUMMYFUNCTION("REGEXREPLACE(
 REGEXREPLACE(A707,""^cost\."",""""),
 ""\.[^.]+\.[^.]+$"",
 """"
)"),"collection.alchemist_hall_2@1")</f>
        <v>collection.alchemist_hall_2@1</v>
      </c>
      <c r="C707" s="49" t="str">
        <f t="array" ref="C707">_xlfn.XLOOKUP(
 B707,
 tblTargets[TargetID],
 tblTargets[DisplayName],
 ""
)</f>
        <v>Alchemist Hall Lv 1</v>
      </c>
      <c r="D707" s="49" t="str">
        <f t="array" ref="D707">_xlfn.XLOOKUP(
 B707,
 tblTargets[TargetID],
 tblTargets[TargetType],
 ""
)</f>
        <v>COLLECTION</v>
      </c>
      <c r="E707" s="49" t="s">
        <v>2318</v>
      </c>
      <c r="F707" s="49">
        <v>1.0</v>
      </c>
      <c r="G707" s="49">
        <f t="array" ref="G707">_xlfn.XLOOKUP(
 A707,
 tblCost[RequirementID],
 tblCost[QuantityRequired],
 ""
)</f>
        <v>24</v>
      </c>
      <c r="H707" s="49">
        <f t="array" ref="H707">IF(
 OR(
  LEFT(B707,15)="state.character",
  RIGHT(B707,6)=".maxed"
 ),
 0,
 LET(
  sort,
   _xlfn.XLOOKUP(
    B707,
    tblChecklist[TargetID],
    tblChecklist[PlayerSort],
    0
   ),
  IF(sort=0,500,sort)
 )
)</f>
        <v>500</v>
      </c>
      <c r="I707" s="49" t="str">
        <f t="array" ref="I707">_xlfn.XLOOKUP(
 B707,
 tblTargetStatus[TargetID],
 tblTargetStatus[Status],
 ""
)</f>
        <v>BLOCKED</v>
      </c>
      <c r="J707" s="45" t="b">
        <v>0</v>
      </c>
    </row>
    <row r="708" ht="14.25" hidden="1" customHeight="1">
      <c r="A708" s="49" t="s">
        <v>2319</v>
      </c>
      <c r="B708" s="49" t="str">
        <f>IFERROR(__xludf.DUMMYFUNCTION("REGEXREPLACE(
 REGEXREPLACE(A708,""^cost\."",""""),
 ""\.[^.]+\.[^.]+$"",
 """"
)"),"collection.alchemist_hall_2@1")</f>
        <v>collection.alchemist_hall_2@1</v>
      </c>
      <c r="C708" s="49" t="str">
        <f t="array" ref="C708">_xlfn.XLOOKUP(
 B708,
 tblTargets[TargetID],
 tblTargets[DisplayName],
 ""
)</f>
        <v>Alchemist Hall Lv 1</v>
      </c>
      <c r="D708" s="49" t="str">
        <f t="array" ref="D708">_xlfn.XLOOKUP(
 B708,
 tblTargets[TargetID],
 tblTargets[TargetType],
 ""
)</f>
        <v>COLLECTION</v>
      </c>
      <c r="E708" s="49" t="s">
        <v>2318</v>
      </c>
      <c r="F708" s="49">
        <v>2.0</v>
      </c>
      <c r="G708" s="49">
        <f t="array" ref="G708">_xlfn.XLOOKUP(
 A708,
 tblCost[RequirementID],
 tblCost[QuantityRequired],
 ""
)</f>
        <v>24</v>
      </c>
      <c r="H708" s="49">
        <f t="array" ref="H708">IF(
 OR(
  LEFT(B708,15)="state.character",
  RIGHT(B708,6)=".maxed"
 ),
 0,
 LET(
  sort,
   _xlfn.XLOOKUP(
    B708,
    tblChecklist[TargetID],
    tblChecklist[PlayerSort],
    0
   ),
  IF(sort=0,500,sort)
 )
)</f>
        <v>500</v>
      </c>
      <c r="I708" s="49" t="str">
        <f t="array" ref="I708">_xlfn.XLOOKUP(
 B708,
 tblTargetStatus[TargetID],
 tblTargetStatus[Status],
 ""
)</f>
        <v>BLOCKED</v>
      </c>
      <c r="J708" s="45" t="b">
        <v>0</v>
      </c>
    </row>
    <row r="709" ht="14.25" hidden="1" customHeight="1">
      <c r="A709" s="49" t="s">
        <v>2320</v>
      </c>
      <c r="B709" s="49" t="str">
        <f>IFERROR(__xludf.DUMMYFUNCTION("REGEXREPLACE(
 REGEXREPLACE(A709,""^cost\."",""""),
 ""\.[^.]+\.[^.]+$"",
 """"
)"),"collection.alchemist_hall_2@1")</f>
        <v>collection.alchemist_hall_2@1</v>
      </c>
      <c r="C709" s="49" t="str">
        <f t="array" ref="C709">_xlfn.XLOOKUP(
 B709,
 tblTargets[TargetID],
 tblTargets[DisplayName],
 ""
)</f>
        <v>Alchemist Hall Lv 1</v>
      </c>
      <c r="D709" s="49" t="str">
        <f t="array" ref="D709">_xlfn.XLOOKUP(
 B709,
 tblTargets[TargetID],
 tblTargets[TargetType],
 ""
)</f>
        <v>COLLECTION</v>
      </c>
      <c r="E709" s="49" t="s">
        <v>508</v>
      </c>
      <c r="F709" s="49">
        <v>1.0</v>
      </c>
      <c r="G709" s="49">
        <f t="array" ref="G709">_xlfn.XLOOKUP(
 A709,
 tblCost[RequirementID],
 tblCost[QuantityRequired],
 ""
)</f>
        <v>10</v>
      </c>
      <c r="H709" s="49">
        <f t="array" ref="H709">IF(
 OR(
  LEFT(B709,15)="state.character",
  RIGHT(B709,6)=".maxed"
 ),
 0,
 LET(
  sort,
   _xlfn.XLOOKUP(
    B709,
    tblChecklist[TargetID],
    tblChecklist[PlayerSort],
    0
   ),
  IF(sort=0,500,sort)
 )
)</f>
        <v>500</v>
      </c>
      <c r="I709" s="49" t="str">
        <f t="array" ref="I709">_xlfn.XLOOKUP(
 B709,
 tblTargetStatus[TargetID],
 tblTargetStatus[Status],
 ""
)</f>
        <v>BLOCKED</v>
      </c>
      <c r="J709" s="45" t="b">
        <v>0</v>
      </c>
    </row>
    <row r="710" ht="14.25" hidden="1" customHeight="1">
      <c r="A710" s="49" t="s">
        <v>2321</v>
      </c>
      <c r="B710" s="49" t="str">
        <f>IFERROR(__xludf.DUMMYFUNCTION("REGEXREPLACE(
 REGEXREPLACE(A710,""^cost\."",""""),
 ""\.[^.]+\.[^.]+$"",
 """"
)"),"collection.alchemist_hall_2@1")</f>
        <v>collection.alchemist_hall_2@1</v>
      </c>
      <c r="C710" s="49" t="str">
        <f t="array" ref="C710">_xlfn.XLOOKUP(
 B710,
 tblTargets[TargetID],
 tblTargets[DisplayName],
 ""
)</f>
        <v>Alchemist Hall Lv 1</v>
      </c>
      <c r="D710" s="49" t="str">
        <f t="array" ref="D710">_xlfn.XLOOKUP(
 B710,
 tblTargets[TargetID],
 tblTargets[TargetType],
 ""
)</f>
        <v>COLLECTION</v>
      </c>
      <c r="E710" s="49" t="s">
        <v>508</v>
      </c>
      <c r="F710" s="49">
        <v>2.0</v>
      </c>
      <c r="G710" s="49">
        <f t="array" ref="G710">_xlfn.XLOOKUP(
 A710,
 tblCost[RequirementID],
 tblCost[QuantityRequired],
 ""
)</f>
        <v>10</v>
      </c>
      <c r="H710" s="49">
        <f t="array" ref="H710">IF(
 OR(
  LEFT(B710,15)="state.character",
  RIGHT(B710,6)=".maxed"
 ),
 0,
 LET(
  sort,
   _xlfn.XLOOKUP(
    B710,
    tblChecklist[TargetID],
    tblChecklist[PlayerSort],
    0
   ),
  IF(sort=0,500,sort)
 )
)</f>
        <v>500</v>
      </c>
      <c r="I710" s="49" t="str">
        <f t="array" ref="I710">_xlfn.XLOOKUP(
 B710,
 tblTargetStatus[TargetID],
 tblTargetStatus[Status],
 ""
)</f>
        <v>BLOCKED</v>
      </c>
      <c r="J710" s="45" t="b">
        <v>0</v>
      </c>
    </row>
    <row r="711" ht="14.25" hidden="1" customHeight="1">
      <c r="A711" s="49" t="s">
        <v>2322</v>
      </c>
      <c r="B711" s="49" t="str">
        <f>IFERROR(__xludf.DUMMYFUNCTION("REGEXREPLACE(
 REGEXREPLACE(A711,""^cost\."",""""),
 ""\.[^.]+\.[^.]+$"",
 """"
)"),"collection.alchemist_hall_2@1")</f>
        <v>collection.alchemist_hall_2@1</v>
      </c>
      <c r="C711" s="49" t="str">
        <f t="array" ref="C711">_xlfn.XLOOKUP(
 B711,
 tblTargets[TargetID],
 tblTargets[DisplayName],
 ""
)</f>
        <v>Alchemist Hall Lv 1</v>
      </c>
      <c r="D711" s="49" t="str">
        <f t="array" ref="D711">_xlfn.XLOOKUP(
 B711,
 tblTargets[TargetID],
 tblTargets[TargetType],
 ""
)</f>
        <v>COLLECTION</v>
      </c>
      <c r="E711" s="49" t="s">
        <v>2323</v>
      </c>
      <c r="F711" s="49">
        <v>1.0</v>
      </c>
      <c r="G711" s="49">
        <f t="array" ref="G711">_xlfn.XLOOKUP(
 A711,
 tblCost[RequirementID],
 tblCost[QuantityRequired],
 ""
)</f>
        <v>20</v>
      </c>
      <c r="H711" s="49">
        <f t="array" ref="H711">IF(
 OR(
  LEFT(B711,15)="state.character",
  RIGHT(B711,6)=".maxed"
 ),
 0,
 LET(
  sort,
   _xlfn.XLOOKUP(
    B711,
    tblChecklist[TargetID],
    tblChecklist[PlayerSort],
    0
   ),
  IF(sort=0,500,sort)
 )
)</f>
        <v>500</v>
      </c>
      <c r="I711" s="49" t="str">
        <f t="array" ref="I711">_xlfn.XLOOKUP(
 B711,
 tblTargetStatus[TargetID],
 tblTargetStatus[Status],
 ""
)</f>
        <v>BLOCKED</v>
      </c>
      <c r="J711" s="45" t="b">
        <v>0</v>
      </c>
    </row>
    <row r="712" ht="14.25" hidden="1" customHeight="1">
      <c r="A712" s="49" t="s">
        <v>2324</v>
      </c>
      <c r="B712" s="49" t="str">
        <f>IFERROR(__xludf.DUMMYFUNCTION("REGEXREPLACE(
 REGEXREPLACE(A712,""^cost\."",""""),
 ""\.[^.]+\.[^.]+$"",
 """"
)"),"collection.alchemist_hall_2@1")</f>
        <v>collection.alchemist_hall_2@1</v>
      </c>
      <c r="C712" s="49" t="str">
        <f t="array" ref="C712">_xlfn.XLOOKUP(
 B712,
 tblTargets[TargetID],
 tblTargets[DisplayName],
 ""
)</f>
        <v>Alchemist Hall Lv 1</v>
      </c>
      <c r="D712" s="49" t="str">
        <f t="array" ref="D712">_xlfn.XLOOKUP(
 B712,
 tblTargets[TargetID],
 tblTargets[TargetType],
 ""
)</f>
        <v>COLLECTION</v>
      </c>
      <c r="E712" s="49" t="s">
        <v>132</v>
      </c>
      <c r="F712" s="49">
        <v>1.0</v>
      </c>
      <c r="G712" s="49">
        <f t="array" ref="G712">_xlfn.XLOOKUP(
 A712,
 tblCost[RequirementID],
 tblCost[QuantityRequired],
 ""
)</f>
        <v>20</v>
      </c>
      <c r="H712" s="49">
        <f t="array" ref="H712">IF(
 OR(
  LEFT(B712,15)="state.character",
  RIGHT(B712,6)=".maxed"
 ),
 0,
 LET(
  sort,
   _xlfn.XLOOKUP(
    B712,
    tblChecklist[TargetID],
    tblChecklist[PlayerSort],
    0
   ),
  IF(sort=0,500,sort)
 )
)</f>
        <v>500</v>
      </c>
      <c r="I712" s="49" t="str">
        <f t="array" ref="I712">_xlfn.XLOOKUP(
 B712,
 tblTargetStatus[TargetID],
 tblTargetStatus[Status],
 ""
)</f>
        <v>BLOCKED</v>
      </c>
      <c r="J712" s="45" t="b">
        <v>0</v>
      </c>
    </row>
    <row r="713" ht="14.25" hidden="1" customHeight="1">
      <c r="A713" s="49" t="s">
        <v>2325</v>
      </c>
      <c r="B713" s="49" t="str">
        <f>IFERROR(__xludf.DUMMYFUNCTION("REGEXREPLACE(
 REGEXREPLACE(A713,""^cost\."",""""),
 ""\.[^.]+\.[^.]+$"",
 """"
)"),"collection.alchemist_hall_2@1")</f>
        <v>collection.alchemist_hall_2@1</v>
      </c>
      <c r="C713" s="49" t="str">
        <f t="array" ref="C713">_xlfn.XLOOKUP(
 B713,
 tblTargets[TargetID],
 tblTargets[DisplayName],
 ""
)</f>
        <v>Alchemist Hall Lv 1</v>
      </c>
      <c r="D713" s="49" t="str">
        <f t="array" ref="D713">_xlfn.XLOOKUP(
 B713,
 tblTargets[TargetID],
 tblTargets[TargetType],
 ""
)</f>
        <v>COLLECTION</v>
      </c>
      <c r="E713" s="49" t="s">
        <v>1282</v>
      </c>
      <c r="F713" s="49">
        <v>1.0</v>
      </c>
      <c r="G713" s="49">
        <f t="array" ref="G713">_xlfn.XLOOKUP(
 A713,
 tblCost[RequirementID],
 tblCost[QuantityRequired],
 ""
)</f>
        <v>10</v>
      </c>
      <c r="H713" s="49">
        <f t="array" ref="H713">IF(
 OR(
  LEFT(B713,15)="state.character",
  RIGHT(B713,6)=".maxed"
 ),
 0,
 LET(
  sort,
   _xlfn.XLOOKUP(
    B713,
    tblChecklist[TargetID],
    tblChecklist[PlayerSort],
    0
   ),
  IF(sort=0,500,sort)
 )
)</f>
        <v>500</v>
      </c>
      <c r="I713" s="49" t="str">
        <f t="array" ref="I713">_xlfn.XLOOKUP(
 B713,
 tblTargetStatus[TargetID],
 tblTargetStatus[Status],
 ""
)</f>
        <v>BLOCKED</v>
      </c>
      <c r="J713" s="45" t="b">
        <v>0</v>
      </c>
    </row>
    <row r="714" ht="14.25" hidden="1" customHeight="1">
      <c r="A714" s="49" t="s">
        <v>2326</v>
      </c>
      <c r="B714" s="49" t="str">
        <f>IFERROR(__xludf.DUMMYFUNCTION("REGEXREPLACE(
 REGEXREPLACE(A714,""^cost\."",""""),
 ""\.[^.]+\.[^.]+$"",
 """"
)"),"collection.alchemist_hall_2@1")</f>
        <v>collection.alchemist_hall_2@1</v>
      </c>
      <c r="C714" s="49" t="str">
        <f t="array" ref="C714">_xlfn.XLOOKUP(
 B714,
 tblTargets[TargetID],
 tblTargets[DisplayName],
 ""
)</f>
        <v>Alchemist Hall Lv 1</v>
      </c>
      <c r="D714" s="49" t="str">
        <f t="array" ref="D714">_xlfn.XLOOKUP(
 B714,
 tblTargets[TargetID],
 tblTargets[TargetType],
 ""
)</f>
        <v>COLLECTION</v>
      </c>
      <c r="E714" s="49" t="s">
        <v>2007</v>
      </c>
      <c r="F714" s="49">
        <v>1.0</v>
      </c>
      <c r="G714" s="49">
        <f t="array" ref="G714">_xlfn.XLOOKUP(
 A714,
 tblCost[RequirementID],
 tblCost[QuantityRequired],
 ""
)</f>
        <v>1</v>
      </c>
      <c r="H714" s="49">
        <f t="array" ref="H714">IF(
 OR(
  LEFT(B714,15)="state.character",
  RIGHT(B714,6)=".maxed"
 ),
 0,
 LET(
  sort,
   _xlfn.XLOOKUP(
    B714,
    tblChecklist[TargetID],
    tblChecklist[PlayerSort],
    0
   ),
  IF(sort=0,500,sort)
 )
)</f>
        <v>500</v>
      </c>
      <c r="I714" s="49" t="str">
        <f t="array" ref="I714">_xlfn.XLOOKUP(
 B714,
 tblTargetStatus[TargetID],
 tblTargetStatus[Status],
 ""
)</f>
        <v>BLOCKED</v>
      </c>
      <c r="J714" s="45" t="b">
        <v>0</v>
      </c>
    </row>
    <row r="715" ht="14.25" hidden="1" customHeight="1">
      <c r="A715" s="49" t="s">
        <v>2327</v>
      </c>
      <c r="B715" s="49" t="str">
        <f>IFERROR(__xludf.DUMMYFUNCTION("REGEXREPLACE(
 REGEXREPLACE(A715,""^cost\."",""""),
 ""\.[^.]+\.[^.]+$"",
 """"
)"),"collection.alchemist_hall_2@2")</f>
        <v>collection.alchemist_hall_2@2</v>
      </c>
      <c r="C715" s="49" t="str">
        <f t="array" ref="C715">_xlfn.XLOOKUP(
 B715,
 tblTargets[TargetID],
 tblTargets[DisplayName],
 ""
)</f>
        <v>Alchemist Hall Lv 2</v>
      </c>
      <c r="D715" s="49" t="str">
        <f t="array" ref="D715">_xlfn.XLOOKUP(
 B715,
 tblTargets[TargetID],
 tblTargets[TargetType],
 ""
)</f>
        <v>COLLECTION</v>
      </c>
      <c r="E715" s="49" t="s">
        <v>2318</v>
      </c>
      <c r="F715" s="49">
        <v>1.0</v>
      </c>
      <c r="G715" s="49">
        <f t="array" ref="G715">_xlfn.XLOOKUP(
 A715,
 tblCost[RequirementID],
 tblCost[QuantityRequired],
 ""
)</f>
        <v>48</v>
      </c>
      <c r="H715" s="49">
        <f t="array" ref="H715">IF(
 OR(
  LEFT(B715,15)="state.character",
  RIGHT(B715,6)=".maxed"
 ),
 0,
 LET(
  sort,
   _xlfn.XLOOKUP(
    B715,
    tblChecklist[TargetID],
    tblChecklist[PlayerSort],
    0
   ),
  IF(sort=0,500,sort)
 )
)</f>
        <v>500</v>
      </c>
      <c r="I715" s="49" t="str">
        <f t="array" ref="I715">_xlfn.XLOOKUP(
 B715,
 tblTargetStatus[TargetID],
 tblTargetStatus[Status],
 ""
)</f>
        <v>BLOCKED</v>
      </c>
      <c r="J715" s="45" t="b">
        <v>0</v>
      </c>
    </row>
    <row r="716" ht="14.25" hidden="1" customHeight="1">
      <c r="A716" s="49" t="s">
        <v>2328</v>
      </c>
      <c r="B716" s="49" t="str">
        <f>IFERROR(__xludf.DUMMYFUNCTION("REGEXREPLACE(
 REGEXREPLACE(A716,""^cost\."",""""),
 ""\.[^.]+\.[^.]+$"",
 """"
)"),"collection.alchemist_hall_2@2")</f>
        <v>collection.alchemist_hall_2@2</v>
      </c>
      <c r="C716" s="49" t="str">
        <f t="array" ref="C716">_xlfn.XLOOKUP(
 B716,
 tblTargets[TargetID],
 tblTargets[DisplayName],
 ""
)</f>
        <v>Alchemist Hall Lv 2</v>
      </c>
      <c r="D716" s="49" t="str">
        <f t="array" ref="D716">_xlfn.XLOOKUP(
 B716,
 tblTargets[TargetID],
 tblTargets[TargetType],
 ""
)</f>
        <v>COLLECTION</v>
      </c>
      <c r="E716" s="49" t="s">
        <v>2318</v>
      </c>
      <c r="F716" s="49">
        <v>2.0</v>
      </c>
      <c r="G716" s="49">
        <f t="array" ref="G716">_xlfn.XLOOKUP(
 A716,
 tblCost[RequirementID],
 tblCost[QuantityRequired],
 ""
)</f>
        <v>48</v>
      </c>
      <c r="H716" s="49">
        <f t="array" ref="H716">IF(
 OR(
  LEFT(B716,15)="state.character",
  RIGHT(B716,6)=".maxed"
 ),
 0,
 LET(
  sort,
   _xlfn.XLOOKUP(
    B716,
    tblChecklist[TargetID],
    tblChecklist[PlayerSort],
    0
   ),
  IF(sort=0,500,sort)
 )
)</f>
        <v>500</v>
      </c>
      <c r="I716" s="49" t="str">
        <f t="array" ref="I716">_xlfn.XLOOKUP(
 B716,
 tblTargetStatus[TargetID],
 tblTargetStatus[Status],
 ""
)</f>
        <v>BLOCKED</v>
      </c>
      <c r="J716" s="45" t="b">
        <v>0</v>
      </c>
    </row>
    <row r="717" ht="14.25" hidden="1" customHeight="1">
      <c r="A717" s="49" t="s">
        <v>2329</v>
      </c>
      <c r="B717" s="49" t="str">
        <f>IFERROR(__xludf.DUMMYFUNCTION("REGEXREPLACE(
 REGEXREPLACE(A717,""^cost\."",""""),
 ""\.[^.]+\.[^.]+$"",
 """"
)"),"collection.alchemist_hall_2@2")</f>
        <v>collection.alchemist_hall_2@2</v>
      </c>
      <c r="C717" s="49" t="str">
        <f t="array" ref="C717">_xlfn.XLOOKUP(
 B717,
 tblTargets[TargetID],
 tblTargets[DisplayName],
 ""
)</f>
        <v>Alchemist Hall Lv 2</v>
      </c>
      <c r="D717" s="49" t="str">
        <f t="array" ref="D717">_xlfn.XLOOKUP(
 B717,
 tblTargets[TargetID],
 tblTargets[TargetType],
 ""
)</f>
        <v>COLLECTION</v>
      </c>
      <c r="E717" s="49" t="s">
        <v>508</v>
      </c>
      <c r="F717" s="49">
        <v>1.0</v>
      </c>
      <c r="G717" s="49">
        <f t="array" ref="G717">_xlfn.XLOOKUP(
 A717,
 tblCost[RequirementID],
 tblCost[QuantityRequired],
 ""
)</f>
        <v>20</v>
      </c>
      <c r="H717" s="49">
        <f t="array" ref="H717">IF(
 OR(
  LEFT(B717,15)="state.character",
  RIGHT(B717,6)=".maxed"
 ),
 0,
 LET(
  sort,
   _xlfn.XLOOKUP(
    B717,
    tblChecklist[TargetID],
    tblChecklist[PlayerSort],
    0
   ),
  IF(sort=0,500,sort)
 )
)</f>
        <v>500</v>
      </c>
      <c r="I717" s="49" t="str">
        <f t="array" ref="I717">_xlfn.XLOOKUP(
 B717,
 tblTargetStatus[TargetID],
 tblTargetStatus[Status],
 ""
)</f>
        <v>BLOCKED</v>
      </c>
      <c r="J717" s="45" t="b">
        <v>0</v>
      </c>
    </row>
    <row r="718" ht="14.25" hidden="1" customHeight="1">
      <c r="A718" s="49" t="s">
        <v>2330</v>
      </c>
      <c r="B718" s="49" t="str">
        <f>IFERROR(__xludf.DUMMYFUNCTION("REGEXREPLACE(
 REGEXREPLACE(A718,""^cost\."",""""),
 ""\.[^.]+\.[^.]+$"",
 """"
)"),"collection.alchemist_hall_2@2")</f>
        <v>collection.alchemist_hall_2@2</v>
      </c>
      <c r="C718" s="49" t="str">
        <f t="array" ref="C718">_xlfn.XLOOKUP(
 B718,
 tblTargets[TargetID],
 tblTargets[DisplayName],
 ""
)</f>
        <v>Alchemist Hall Lv 2</v>
      </c>
      <c r="D718" s="49" t="str">
        <f t="array" ref="D718">_xlfn.XLOOKUP(
 B718,
 tblTargets[TargetID],
 tblTargets[TargetType],
 ""
)</f>
        <v>COLLECTION</v>
      </c>
      <c r="E718" s="49" t="s">
        <v>508</v>
      </c>
      <c r="F718" s="49">
        <v>2.0</v>
      </c>
      <c r="G718" s="49">
        <f t="array" ref="G718">_xlfn.XLOOKUP(
 A718,
 tblCost[RequirementID],
 tblCost[QuantityRequired],
 ""
)</f>
        <v>20</v>
      </c>
      <c r="H718" s="49">
        <f t="array" ref="H718">IF(
 OR(
  LEFT(B718,15)="state.character",
  RIGHT(B718,6)=".maxed"
 ),
 0,
 LET(
  sort,
   _xlfn.XLOOKUP(
    B718,
    tblChecklist[TargetID],
    tblChecklist[PlayerSort],
    0
   ),
  IF(sort=0,500,sort)
 )
)</f>
        <v>500</v>
      </c>
      <c r="I718" s="49" t="str">
        <f t="array" ref="I718">_xlfn.XLOOKUP(
 B718,
 tblTargetStatus[TargetID],
 tblTargetStatus[Status],
 ""
)</f>
        <v>BLOCKED</v>
      </c>
      <c r="J718" s="45" t="b">
        <v>0</v>
      </c>
    </row>
    <row r="719" ht="14.25" hidden="1" customHeight="1">
      <c r="A719" s="49" t="s">
        <v>2331</v>
      </c>
      <c r="B719" s="49" t="str">
        <f>IFERROR(__xludf.DUMMYFUNCTION("REGEXREPLACE(
 REGEXREPLACE(A719,""^cost\."",""""),
 ""\.[^.]+\.[^.]+$"",
 """"
)"),"collection.alchemist_hall_2@2")</f>
        <v>collection.alchemist_hall_2@2</v>
      </c>
      <c r="C719" s="49" t="str">
        <f t="array" ref="C719">_xlfn.XLOOKUP(
 B719,
 tblTargets[TargetID],
 tblTargets[DisplayName],
 ""
)</f>
        <v>Alchemist Hall Lv 2</v>
      </c>
      <c r="D719" s="49" t="str">
        <f t="array" ref="D719">_xlfn.XLOOKUP(
 B719,
 tblTargets[TargetID],
 tblTargets[TargetType],
 ""
)</f>
        <v>COLLECTION</v>
      </c>
      <c r="E719" s="49" t="s">
        <v>2323</v>
      </c>
      <c r="F719" s="49">
        <v>1.0</v>
      </c>
      <c r="G719" s="49">
        <f t="array" ref="G719">_xlfn.XLOOKUP(
 A719,
 tblCost[RequirementID],
 tblCost[QuantityRequired],
 ""
)</f>
        <v>40</v>
      </c>
      <c r="H719" s="49">
        <f t="array" ref="H719">IF(
 OR(
  LEFT(B719,15)="state.character",
  RIGHT(B719,6)=".maxed"
 ),
 0,
 LET(
  sort,
   _xlfn.XLOOKUP(
    B719,
    tblChecklist[TargetID],
    tblChecklist[PlayerSort],
    0
   ),
  IF(sort=0,500,sort)
 )
)</f>
        <v>500</v>
      </c>
      <c r="I719" s="49" t="str">
        <f t="array" ref="I719">_xlfn.XLOOKUP(
 B719,
 tblTargetStatus[TargetID],
 tblTargetStatus[Status],
 ""
)</f>
        <v>BLOCKED</v>
      </c>
      <c r="J719" s="45" t="b">
        <v>0</v>
      </c>
    </row>
    <row r="720" ht="14.25" hidden="1" customHeight="1">
      <c r="A720" s="49" t="s">
        <v>2332</v>
      </c>
      <c r="B720" s="49" t="str">
        <f>IFERROR(__xludf.DUMMYFUNCTION("REGEXREPLACE(
 REGEXREPLACE(A720,""^cost\."",""""),
 ""\.[^.]+\.[^.]+$"",
 """"
)"),"collection.alchemist_hall_2@2")</f>
        <v>collection.alchemist_hall_2@2</v>
      </c>
      <c r="C720" s="49" t="str">
        <f t="array" ref="C720">_xlfn.XLOOKUP(
 B720,
 tblTargets[TargetID],
 tblTargets[DisplayName],
 ""
)</f>
        <v>Alchemist Hall Lv 2</v>
      </c>
      <c r="D720" s="49" t="str">
        <f t="array" ref="D720">_xlfn.XLOOKUP(
 B720,
 tblTargets[TargetID],
 tblTargets[TargetType],
 ""
)</f>
        <v>COLLECTION</v>
      </c>
      <c r="E720" s="49" t="s">
        <v>132</v>
      </c>
      <c r="F720" s="49">
        <v>1.0</v>
      </c>
      <c r="G720" s="49">
        <f t="array" ref="G720">_xlfn.XLOOKUP(
 A720,
 tblCost[RequirementID],
 tblCost[QuantityRequired],
 ""
)</f>
        <v>40</v>
      </c>
      <c r="H720" s="49">
        <f t="array" ref="H720">IF(
 OR(
  LEFT(B720,15)="state.character",
  RIGHT(B720,6)=".maxed"
 ),
 0,
 LET(
  sort,
   _xlfn.XLOOKUP(
    B720,
    tblChecklist[TargetID],
    tblChecklist[PlayerSort],
    0
   ),
  IF(sort=0,500,sort)
 )
)</f>
        <v>500</v>
      </c>
      <c r="I720" s="49" t="str">
        <f t="array" ref="I720">_xlfn.XLOOKUP(
 B720,
 tblTargetStatus[TargetID],
 tblTargetStatus[Status],
 ""
)</f>
        <v>BLOCKED</v>
      </c>
      <c r="J720" s="45" t="b">
        <v>0</v>
      </c>
    </row>
    <row r="721" ht="14.25" hidden="1" customHeight="1">
      <c r="A721" s="49" t="s">
        <v>2333</v>
      </c>
      <c r="B721" s="49" t="str">
        <f>IFERROR(__xludf.DUMMYFUNCTION("REGEXREPLACE(
 REGEXREPLACE(A721,""^cost\."",""""),
 ""\.[^.]+\.[^.]+$"",
 """"
)"),"collection.alchemist_hall_2@2")</f>
        <v>collection.alchemist_hall_2@2</v>
      </c>
      <c r="C721" s="49" t="str">
        <f t="array" ref="C721">_xlfn.XLOOKUP(
 B721,
 tblTargets[TargetID],
 tblTargets[DisplayName],
 ""
)</f>
        <v>Alchemist Hall Lv 2</v>
      </c>
      <c r="D721" s="49" t="str">
        <f t="array" ref="D721">_xlfn.XLOOKUP(
 B721,
 tblTargets[TargetID],
 tblTargets[TargetType],
 ""
)</f>
        <v>COLLECTION</v>
      </c>
      <c r="E721" s="49" t="s">
        <v>1282</v>
      </c>
      <c r="F721" s="49">
        <v>1.0</v>
      </c>
      <c r="G721" s="49">
        <f t="array" ref="G721">_xlfn.XLOOKUP(
 A721,
 tblCost[RequirementID],
 tblCost[QuantityRequired],
 ""
)</f>
        <v>20</v>
      </c>
      <c r="H721" s="49">
        <f t="array" ref="H721">IF(
 OR(
  LEFT(B721,15)="state.character",
  RIGHT(B721,6)=".maxed"
 ),
 0,
 LET(
  sort,
   _xlfn.XLOOKUP(
    B721,
    tblChecklist[TargetID],
    tblChecklist[PlayerSort],
    0
   ),
  IF(sort=0,500,sort)
 )
)</f>
        <v>500</v>
      </c>
      <c r="I721" s="49" t="str">
        <f t="array" ref="I721">_xlfn.XLOOKUP(
 B721,
 tblTargetStatus[TargetID],
 tblTargetStatus[Status],
 ""
)</f>
        <v>BLOCKED</v>
      </c>
      <c r="J721" s="45" t="b">
        <v>0</v>
      </c>
    </row>
    <row r="722" ht="14.25" hidden="1" customHeight="1">
      <c r="A722" s="49" t="s">
        <v>2334</v>
      </c>
      <c r="B722" s="49" t="str">
        <f>IFERROR(__xludf.DUMMYFUNCTION("REGEXREPLACE(
 REGEXREPLACE(A722,""^cost\."",""""),
 ""\.[^.]+\.[^.]+$"",
 """"
)"),"collection.alchemist_hall_2@2")</f>
        <v>collection.alchemist_hall_2@2</v>
      </c>
      <c r="C722" s="49" t="str">
        <f t="array" ref="C722">_xlfn.XLOOKUP(
 B722,
 tblTargets[TargetID],
 tblTargets[DisplayName],
 ""
)</f>
        <v>Alchemist Hall Lv 2</v>
      </c>
      <c r="D722" s="49" t="str">
        <f t="array" ref="D722">_xlfn.XLOOKUP(
 B722,
 tblTargets[TargetID],
 tblTargets[TargetType],
 ""
)</f>
        <v>COLLECTION</v>
      </c>
      <c r="E722" s="49" t="s">
        <v>2007</v>
      </c>
      <c r="F722" s="49">
        <v>1.0</v>
      </c>
      <c r="G722" s="49">
        <f t="array" ref="G722">_xlfn.XLOOKUP(
 A722,
 tblCost[RequirementID],
 tblCost[QuantityRequired],
 ""
)</f>
        <v>2</v>
      </c>
      <c r="H722" s="49">
        <f t="array" ref="H722">IF(
 OR(
  LEFT(B722,15)="state.character",
  RIGHT(B722,6)=".maxed"
 ),
 0,
 LET(
  sort,
   _xlfn.XLOOKUP(
    B722,
    tblChecklist[TargetID],
    tblChecklist[PlayerSort],
    0
   ),
  IF(sort=0,500,sort)
 )
)</f>
        <v>500</v>
      </c>
      <c r="I722" s="49" t="str">
        <f t="array" ref="I722">_xlfn.XLOOKUP(
 B722,
 tblTargetStatus[TargetID],
 tblTargetStatus[Status],
 ""
)</f>
        <v>BLOCKED</v>
      </c>
      <c r="J722" s="45" t="b">
        <v>0</v>
      </c>
    </row>
    <row r="723" ht="14.25" hidden="1" customHeight="1">
      <c r="A723" s="49" t="s">
        <v>2335</v>
      </c>
      <c r="B723" s="49" t="str">
        <f>IFERROR(__xludf.DUMMYFUNCTION("REGEXREPLACE(
 REGEXREPLACE(A723,""^cost\."",""""),
 ""\.[^.]+\.[^.]+$"",
 """"
)"),"collection.alchemist_hall_3@1")</f>
        <v>collection.alchemist_hall_3@1</v>
      </c>
      <c r="C723" s="49" t="str">
        <f t="array" ref="C723">_xlfn.XLOOKUP(
 B723,
 tblTargets[TargetID],
 tblTargets[DisplayName],
 ""
)</f>
        <v>Alchemist Hall Lv 1</v>
      </c>
      <c r="D723" s="49" t="str">
        <f t="array" ref="D723">_xlfn.XLOOKUP(
 B723,
 tblTargets[TargetID],
 tblTargets[TargetType],
 ""
)</f>
        <v>COLLECTION</v>
      </c>
      <c r="E723" s="49" t="s">
        <v>1497</v>
      </c>
      <c r="F723" s="49">
        <v>1.0</v>
      </c>
      <c r="G723" s="49">
        <f t="array" ref="G723">_xlfn.XLOOKUP(
 A723,
 tblCost[RequirementID],
 tblCost[QuantityRequired],
 ""
)</f>
        <v>10</v>
      </c>
      <c r="H723" s="49">
        <f t="array" ref="H723">IF(
 OR(
  LEFT(B723,15)="state.character",
  RIGHT(B723,6)=".maxed"
 ),
 0,
 LET(
  sort,
   _xlfn.XLOOKUP(
    B723,
    tblChecklist[TargetID],
    tblChecklist[PlayerSort],
    0
   ),
  IF(sort=0,500,sort)
 )
)</f>
        <v>500</v>
      </c>
      <c r="I723" s="49" t="str">
        <f t="array" ref="I723">_xlfn.XLOOKUP(
 B723,
 tblTargetStatus[TargetID],
 tblTargetStatus[Status],
 ""
)</f>
        <v>BLOCKED</v>
      </c>
      <c r="J723" s="45" t="b">
        <v>0</v>
      </c>
    </row>
    <row r="724" ht="14.25" hidden="1" customHeight="1">
      <c r="A724" s="49" t="s">
        <v>2336</v>
      </c>
      <c r="B724" s="49" t="str">
        <f>IFERROR(__xludf.DUMMYFUNCTION("REGEXREPLACE(
 REGEXREPLACE(A724,""^cost\."",""""),
 ""\.[^.]+\.[^.]+$"",
 """"
)"),"collection.alchemist_hall_3@1")</f>
        <v>collection.alchemist_hall_3@1</v>
      </c>
      <c r="C724" s="49" t="str">
        <f t="array" ref="C724">_xlfn.XLOOKUP(
 B724,
 tblTargets[TargetID],
 tblTargets[DisplayName],
 ""
)</f>
        <v>Alchemist Hall Lv 1</v>
      </c>
      <c r="D724" s="49" t="str">
        <f t="array" ref="D724">_xlfn.XLOOKUP(
 B724,
 tblTargets[TargetID],
 tblTargets[TargetType],
 ""
)</f>
        <v>COLLECTION</v>
      </c>
      <c r="E724" s="49" t="s">
        <v>2337</v>
      </c>
      <c r="F724" s="49">
        <v>1.0</v>
      </c>
      <c r="G724" s="49">
        <f t="array" ref="G724">_xlfn.XLOOKUP(
 A724,
 tblCost[RequirementID],
 tblCost[QuantityRequired],
 ""
)</f>
        <v>12</v>
      </c>
      <c r="H724" s="49">
        <f t="array" ref="H724">IF(
 OR(
  LEFT(B724,15)="state.character",
  RIGHT(B724,6)=".maxed"
 ),
 0,
 LET(
  sort,
   _xlfn.XLOOKUP(
    B724,
    tblChecklist[TargetID],
    tblChecklist[PlayerSort],
    0
   ),
  IF(sort=0,500,sort)
 )
)</f>
        <v>500</v>
      </c>
      <c r="I724" s="49" t="str">
        <f t="array" ref="I724">_xlfn.XLOOKUP(
 B724,
 tblTargetStatus[TargetID],
 tblTargetStatus[Status],
 ""
)</f>
        <v>BLOCKED</v>
      </c>
      <c r="J724" s="45" t="b">
        <v>0</v>
      </c>
    </row>
    <row r="725" ht="14.25" hidden="1" customHeight="1">
      <c r="A725" s="49" t="s">
        <v>2338</v>
      </c>
      <c r="B725" s="49" t="str">
        <f>IFERROR(__xludf.DUMMYFUNCTION("REGEXREPLACE(
 REGEXREPLACE(A725,""^cost\."",""""),
 ""\.[^.]+\.[^.]+$"",
 """"
)"),"collection.alchemist_hall_3@1")</f>
        <v>collection.alchemist_hall_3@1</v>
      </c>
      <c r="C725" s="49" t="str">
        <f t="array" ref="C725">_xlfn.XLOOKUP(
 B725,
 tblTargets[TargetID],
 tblTargets[DisplayName],
 ""
)</f>
        <v>Alchemist Hall Lv 1</v>
      </c>
      <c r="D725" s="49" t="str">
        <f t="array" ref="D725">_xlfn.XLOOKUP(
 B725,
 tblTargets[TargetID],
 tblTargets[TargetType],
 ""
)</f>
        <v>COLLECTION</v>
      </c>
      <c r="E725" s="49" t="s">
        <v>2339</v>
      </c>
      <c r="F725" s="49">
        <v>1.0</v>
      </c>
      <c r="G725" s="49">
        <f t="array" ref="G725">_xlfn.XLOOKUP(
 A725,
 tblCost[RequirementID],
 tblCost[QuantityRequired],
 ""
)</f>
        <v>24</v>
      </c>
      <c r="H725" s="49">
        <f t="array" ref="H725">IF(
 OR(
  LEFT(B725,15)="state.character",
  RIGHT(B725,6)=".maxed"
 ),
 0,
 LET(
  sort,
   _xlfn.XLOOKUP(
    B725,
    tblChecklist[TargetID],
    tblChecklist[PlayerSort],
    0
   ),
  IF(sort=0,500,sort)
 )
)</f>
        <v>500</v>
      </c>
      <c r="I725" s="49" t="str">
        <f t="array" ref="I725">_xlfn.XLOOKUP(
 B725,
 tblTargetStatus[TargetID],
 tblTargetStatus[Status],
 ""
)</f>
        <v>BLOCKED</v>
      </c>
      <c r="J725" s="45" t="b">
        <v>0</v>
      </c>
    </row>
    <row r="726" ht="14.25" hidden="1" customHeight="1">
      <c r="A726" s="49" t="s">
        <v>2340</v>
      </c>
      <c r="B726" s="49" t="str">
        <f>IFERROR(__xludf.DUMMYFUNCTION("REGEXREPLACE(
 REGEXREPLACE(A726,""^cost\."",""""),
 ""\.[^.]+\.[^.]+$"",
 """"
)"),"collection.alchemist_hall_3@1")</f>
        <v>collection.alchemist_hall_3@1</v>
      </c>
      <c r="C726" s="49" t="str">
        <f t="array" ref="C726">_xlfn.XLOOKUP(
 B726,
 tblTargets[TargetID],
 tblTargets[DisplayName],
 ""
)</f>
        <v>Alchemist Hall Lv 1</v>
      </c>
      <c r="D726" s="49" t="str">
        <f t="array" ref="D726">_xlfn.XLOOKUP(
 B726,
 tblTargets[TargetID],
 tblTargets[TargetType],
 ""
)</f>
        <v>COLLECTION</v>
      </c>
      <c r="E726" s="49" t="s">
        <v>2339</v>
      </c>
      <c r="F726" s="49">
        <v>2.0</v>
      </c>
      <c r="G726" s="49">
        <f t="array" ref="G726">_xlfn.XLOOKUP(
 A726,
 tblCost[RequirementID],
 tblCost[QuantityRequired],
 ""
)</f>
        <v>24</v>
      </c>
      <c r="H726" s="49">
        <f t="array" ref="H726">IF(
 OR(
  LEFT(B726,15)="state.character",
  RIGHT(B726,6)=".maxed"
 ),
 0,
 LET(
  sort,
   _xlfn.XLOOKUP(
    B726,
    tblChecklist[TargetID],
    tblChecklist[PlayerSort],
    0
   ),
  IF(sort=0,500,sort)
 )
)</f>
        <v>500</v>
      </c>
      <c r="I726" s="49" t="str">
        <f t="array" ref="I726">_xlfn.XLOOKUP(
 B726,
 tblTargetStatus[TargetID],
 tblTargetStatus[Status],
 ""
)</f>
        <v>BLOCKED</v>
      </c>
      <c r="J726" s="45" t="b">
        <v>0</v>
      </c>
    </row>
    <row r="727" ht="14.25" hidden="1" customHeight="1">
      <c r="A727" s="49" t="s">
        <v>2341</v>
      </c>
      <c r="B727" s="49" t="str">
        <f>IFERROR(__xludf.DUMMYFUNCTION("REGEXREPLACE(
 REGEXREPLACE(A727,""^cost\."",""""),
 ""\.[^.]+\.[^.]+$"",
 """"
)"),"collection.alchemist_hall_3@1")</f>
        <v>collection.alchemist_hall_3@1</v>
      </c>
      <c r="C727" s="49" t="str">
        <f t="array" ref="C727">_xlfn.XLOOKUP(
 B727,
 tblTargets[TargetID],
 tblTargets[DisplayName],
 ""
)</f>
        <v>Alchemist Hall Lv 1</v>
      </c>
      <c r="D727" s="49" t="str">
        <f t="array" ref="D727">_xlfn.XLOOKUP(
 B727,
 tblTargets[TargetID],
 tblTargets[TargetType],
 ""
)</f>
        <v>COLLECTION</v>
      </c>
      <c r="E727" s="49" t="s">
        <v>530</v>
      </c>
      <c r="F727" s="49">
        <v>1.0</v>
      </c>
      <c r="G727" s="49">
        <f t="array" ref="G727">_xlfn.XLOOKUP(
 A727,
 tblCost[RequirementID],
 tblCost[QuantityRequired],
 ""
)</f>
        <v>10</v>
      </c>
      <c r="H727" s="49">
        <f t="array" ref="H727">IF(
 OR(
  LEFT(B727,15)="state.character",
  RIGHT(B727,6)=".maxed"
 ),
 0,
 LET(
  sort,
   _xlfn.XLOOKUP(
    B727,
    tblChecklist[TargetID],
    tblChecklist[PlayerSort],
    0
   ),
  IF(sort=0,500,sort)
 )
)</f>
        <v>500</v>
      </c>
      <c r="I727" s="49" t="str">
        <f t="array" ref="I727">_xlfn.XLOOKUP(
 B727,
 tblTargetStatus[TargetID],
 tblTargetStatus[Status],
 ""
)</f>
        <v>BLOCKED</v>
      </c>
      <c r="J727" s="45" t="b">
        <v>0</v>
      </c>
    </row>
    <row r="728" ht="14.25" hidden="1" customHeight="1">
      <c r="A728" s="49" t="s">
        <v>2342</v>
      </c>
      <c r="B728" s="49" t="str">
        <f>IFERROR(__xludf.DUMMYFUNCTION("REGEXREPLACE(
 REGEXREPLACE(A728,""^cost\."",""""),
 ""\.[^.]+\.[^.]+$"",
 """"
)"),"collection.alchemist_hall_3@2")</f>
        <v>collection.alchemist_hall_3@2</v>
      </c>
      <c r="C728" s="49" t="str">
        <f t="array" ref="C728">_xlfn.XLOOKUP(
 B728,
 tblTargets[TargetID],
 tblTargets[DisplayName],
 ""
)</f>
        <v>Alchemist Hall Lv 2</v>
      </c>
      <c r="D728" s="49" t="str">
        <f t="array" ref="D728">_xlfn.XLOOKUP(
 B728,
 tblTargets[TargetID],
 tblTargets[TargetType],
 ""
)</f>
        <v>COLLECTION</v>
      </c>
      <c r="E728" s="49" t="s">
        <v>1497</v>
      </c>
      <c r="F728" s="49">
        <v>1.0</v>
      </c>
      <c r="G728" s="49">
        <f t="array" ref="G728">_xlfn.XLOOKUP(
 A728,
 tblCost[RequirementID],
 tblCost[QuantityRequired],
 ""
)</f>
        <v>20</v>
      </c>
      <c r="H728" s="49">
        <f t="array" ref="H728">IF(
 OR(
  LEFT(B728,15)="state.character",
  RIGHT(B728,6)=".maxed"
 ),
 0,
 LET(
  sort,
   _xlfn.XLOOKUP(
    B728,
    tblChecklist[TargetID],
    tblChecklist[PlayerSort],
    0
   ),
  IF(sort=0,500,sort)
 )
)</f>
        <v>500</v>
      </c>
      <c r="I728" s="49" t="str">
        <f t="array" ref="I728">_xlfn.XLOOKUP(
 B728,
 tblTargetStatus[TargetID],
 tblTargetStatus[Status],
 ""
)</f>
        <v>BLOCKED</v>
      </c>
      <c r="J728" s="45" t="b">
        <v>0</v>
      </c>
    </row>
    <row r="729" ht="14.25" hidden="1" customHeight="1">
      <c r="A729" s="49" t="s">
        <v>2343</v>
      </c>
      <c r="B729" s="49" t="str">
        <f>IFERROR(__xludf.DUMMYFUNCTION("REGEXREPLACE(
 REGEXREPLACE(A729,""^cost\."",""""),
 ""\.[^.]+\.[^.]+$"",
 """"
)"),"collection.alchemist_hall_3@2")</f>
        <v>collection.alchemist_hall_3@2</v>
      </c>
      <c r="C729" s="49" t="str">
        <f t="array" ref="C729">_xlfn.XLOOKUP(
 B729,
 tblTargets[TargetID],
 tblTargets[DisplayName],
 ""
)</f>
        <v>Alchemist Hall Lv 2</v>
      </c>
      <c r="D729" s="49" t="str">
        <f t="array" ref="D729">_xlfn.XLOOKUP(
 B729,
 tblTargets[TargetID],
 tblTargets[TargetType],
 ""
)</f>
        <v>COLLECTION</v>
      </c>
      <c r="E729" s="49" t="s">
        <v>2337</v>
      </c>
      <c r="F729" s="49">
        <v>1.0</v>
      </c>
      <c r="G729" s="49">
        <f t="array" ref="G729">_xlfn.XLOOKUP(
 A729,
 tblCost[RequirementID],
 tblCost[QuantityRequired],
 ""
)</f>
        <v>24</v>
      </c>
      <c r="H729" s="49">
        <f t="array" ref="H729">IF(
 OR(
  LEFT(B729,15)="state.character",
  RIGHT(B729,6)=".maxed"
 ),
 0,
 LET(
  sort,
   _xlfn.XLOOKUP(
    B729,
    tblChecklist[TargetID],
    tblChecklist[PlayerSort],
    0
   ),
  IF(sort=0,500,sort)
 )
)</f>
        <v>500</v>
      </c>
      <c r="I729" s="49" t="str">
        <f t="array" ref="I729">_xlfn.XLOOKUP(
 B729,
 tblTargetStatus[TargetID],
 tblTargetStatus[Status],
 ""
)</f>
        <v>BLOCKED</v>
      </c>
      <c r="J729" s="45" t="b">
        <v>0</v>
      </c>
    </row>
    <row r="730" ht="14.25" hidden="1" customHeight="1">
      <c r="A730" s="49" t="s">
        <v>2344</v>
      </c>
      <c r="B730" s="49" t="str">
        <f>IFERROR(__xludf.DUMMYFUNCTION("REGEXREPLACE(
 REGEXREPLACE(A730,""^cost\."",""""),
 ""\.[^.]+\.[^.]+$"",
 """"
)"),"collection.alchemist_hall_3@2")</f>
        <v>collection.alchemist_hall_3@2</v>
      </c>
      <c r="C730" s="49" t="str">
        <f t="array" ref="C730">_xlfn.XLOOKUP(
 B730,
 tblTargets[TargetID],
 tblTargets[DisplayName],
 ""
)</f>
        <v>Alchemist Hall Lv 2</v>
      </c>
      <c r="D730" s="49" t="str">
        <f t="array" ref="D730">_xlfn.XLOOKUP(
 B730,
 tblTargets[TargetID],
 tblTargets[TargetType],
 ""
)</f>
        <v>COLLECTION</v>
      </c>
      <c r="E730" s="49" t="s">
        <v>2339</v>
      </c>
      <c r="F730" s="49">
        <v>1.0</v>
      </c>
      <c r="G730" s="49">
        <f t="array" ref="G730">_xlfn.XLOOKUP(
 A730,
 tblCost[RequirementID],
 tblCost[QuantityRequired],
 ""
)</f>
        <v>48</v>
      </c>
      <c r="H730" s="49">
        <f t="array" ref="H730">IF(
 OR(
  LEFT(B730,15)="state.character",
  RIGHT(B730,6)=".maxed"
 ),
 0,
 LET(
  sort,
   _xlfn.XLOOKUP(
    B730,
    tblChecklist[TargetID],
    tblChecklist[PlayerSort],
    0
   ),
  IF(sort=0,500,sort)
 )
)</f>
        <v>500</v>
      </c>
      <c r="I730" s="49" t="str">
        <f t="array" ref="I730">_xlfn.XLOOKUP(
 B730,
 tblTargetStatus[TargetID],
 tblTargetStatus[Status],
 ""
)</f>
        <v>BLOCKED</v>
      </c>
      <c r="J730" s="45" t="b">
        <v>0</v>
      </c>
    </row>
    <row r="731" ht="14.25" hidden="1" customHeight="1">
      <c r="A731" s="49" t="s">
        <v>2345</v>
      </c>
      <c r="B731" s="49" t="str">
        <f>IFERROR(__xludf.DUMMYFUNCTION("REGEXREPLACE(
 REGEXREPLACE(A731,""^cost\."",""""),
 ""\.[^.]+\.[^.]+$"",
 """"
)"),"collection.alchemist_hall_3@2")</f>
        <v>collection.alchemist_hall_3@2</v>
      </c>
      <c r="C731" s="49" t="str">
        <f t="array" ref="C731">_xlfn.XLOOKUP(
 B731,
 tblTargets[TargetID],
 tblTargets[DisplayName],
 ""
)</f>
        <v>Alchemist Hall Lv 2</v>
      </c>
      <c r="D731" s="49" t="str">
        <f t="array" ref="D731">_xlfn.XLOOKUP(
 B731,
 tblTargets[TargetID],
 tblTargets[TargetType],
 ""
)</f>
        <v>COLLECTION</v>
      </c>
      <c r="E731" s="49" t="s">
        <v>2339</v>
      </c>
      <c r="F731" s="49">
        <v>2.0</v>
      </c>
      <c r="G731" s="49">
        <f t="array" ref="G731">_xlfn.XLOOKUP(
 A731,
 tblCost[RequirementID],
 tblCost[QuantityRequired],
 ""
)</f>
        <v>48</v>
      </c>
      <c r="H731" s="49">
        <f t="array" ref="H731">IF(
 OR(
  LEFT(B731,15)="state.character",
  RIGHT(B731,6)=".maxed"
 ),
 0,
 LET(
  sort,
   _xlfn.XLOOKUP(
    B731,
    tblChecklist[TargetID],
    tblChecklist[PlayerSort],
    0
   ),
  IF(sort=0,500,sort)
 )
)</f>
        <v>500</v>
      </c>
      <c r="I731" s="49" t="str">
        <f t="array" ref="I731">_xlfn.XLOOKUP(
 B731,
 tblTargetStatus[TargetID],
 tblTargetStatus[Status],
 ""
)</f>
        <v>BLOCKED</v>
      </c>
      <c r="J731" s="45" t="b">
        <v>0</v>
      </c>
    </row>
    <row r="732" ht="14.25" hidden="1" customHeight="1">
      <c r="A732" s="49" t="s">
        <v>2346</v>
      </c>
      <c r="B732" s="49" t="str">
        <f>IFERROR(__xludf.DUMMYFUNCTION("REGEXREPLACE(
 REGEXREPLACE(A732,""^cost\."",""""),
 ""\.[^.]+\.[^.]+$"",
 """"
)"),"collection.alchemist_hall_3@2")</f>
        <v>collection.alchemist_hall_3@2</v>
      </c>
      <c r="C732" s="49" t="str">
        <f t="array" ref="C732">_xlfn.XLOOKUP(
 B732,
 tblTargets[TargetID],
 tblTargets[DisplayName],
 ""
)</f>
        <v>Alchemist Hall Lv 2</v>
      </c>
      <c r="D732" s="49" t="str">
        <f t="array" ref="D732">_xlfn.XLOOKUP(
 B732,
 tblTargets[TargetID],
 tblTargets[TargetType],
 ""
)</f>
        <v>COLLECTION</v>
      </c>
      <c r="E732" s="49" t="s">
        <v>530</v>
      </c>
      <c r="F732" s="49">
        <v>1.0</v>
      </c>
      <c r="G732" s="49">
        <f t="array" ref="G732">_xlfn.XLOOKUP(
 A732,
 tblCost[RequirementID],
 tblCost[QuantityRequired],
 ""
)</f>
        <v>20</v>
      </c>
      <c r="H732" s="49">
        <f t="array" ref="H732">IF(
 OR(
  LEFT(B732,15)="state.character",
  RIGHT(B732,6)=".maxed"
 ),
 0,
 LET(
  sort,
   _xlfn.XLOOKUP(
    B732,
    tblChecklist[TargetID],
    tblChecklist[PlayerSort],
    0
   ),
  IF(sort=0,500,sort)
 )
)</f>
        <v>500</v>
      </c>
      <c r="I732" s="49" t="str">
        <f t="array" ref="I732">_xlfn.XLOOKUP(
 B732,
 tblTargetStatus[TargetID],
 tblTargetStatus[Status],
 ""
)</f>
        <v>BLOCKED</v>
      </c>
      <c r="J732" s="45" t="b">
        <v>0</v>
      </c>
    </row>
    <row r="733" ht="14.25" hidden="1" customHeight="1">
      <c r="A733" s="49" t="s">
        <v>2347</v>
      </c>
      <c r="B733" s="49" t="str">
        <f>IFERROR(__xludf.DUMMYFUNCTION("REGEXREPLACE(
 REGEXREPLACE(A733,""^cost\."",""""),
 ""\.[^.]+\.[^.]+$"",
 """"
)"),"collection.armory_1@1")</f>
        <v>collection.armory_1@1</v>
      </c>
      <c r="C733" s="49" t="str">
        <f t="array" ref="C733">_xlfn.XLOOKUP(
 B733,
 tblTargets[TargetID],
 tblTargets[DisplayName],
 ""
)</f>
        <v>Armory 1 Lv 1</v>
      </c>
      <c r="D733" s="49" t="str">
        <f t="array" ref="D733">_xlfn.XLOOKUP(
 B733,
 tblTargets[TargetID],
 tblTargets[TargetType],
 ""
)</f>
        <v>COLLECTION</v>
      </c>
      <c r="E733" s="49" t="s">
        <v>2348</v>
      </c>
      <c r="F733" s="49">
        <v>1.0</v>
      </c>
      <c r="G733" s="49">
        <f t="array" ref="G733">_xlfn.XLOOKUP(
 A733,
 tblCost[RequirementID],
 tblCost[QuantityRequired],
 ""
)</f>
        <v>3</v>
      </c>
      <c r="H733" s="49">
        <f t="array" ref="H733">IF(
 OR(
  LEFT(B733,15)="state.character",
  RIGHT(B733,6)=".maxed"
 ),
 0,
 LET(
  sort,
   _xlfn.XLOOKUP(
    B733,
    tblChecklist[TargetID],
    tblChecklist[PlayerSort],
    0
   ),
  IF(sort=0,500,sort)
 )
)</f>
        <v>500</v>
      </c>
      <c r="I733" s="49" t="str">
        <f t="array" ref="I733">_xlfn.XLOOKUP(
 B733,
 tblTargetStatus[TargetID],
 tblTargetStatus[Status],
 ""
)</f>
        <v>BLOCKED</v>
      </c>
      <c r="J733" s="45" t="b">
        <v>0</v>
      </c>
    </row>
    <row r="734" ht="14.25" hidden="1" customHeight="1">
      <c r="A734" s="49" t="s">
        <v>2349</v>
      </c>
      <c r="B734" s="49" t="str">
        <f>IFERROR(__xludf.DUMMYFUNCTION("REGEXREPLACE(
 REGEXREPLACE(A734,""^cost\."",""""),
 ""\.[^.]+\.[^.]+$"",
 """"
)"),"collection.armory_1@1")</f>
        <v>collection.armory_1@1</v>
      </c>
      <c r="C734" s="49" t="str">
        <f t="array" ref="C734">_xlfn.XLOOKUP(
 B734,
 tblTargets[TargetID],
 tblTargets[DisplayName],
 ""
)</f>
        <v>Armory 1 Lv 1</v>
      </c>
      <c r="D734" s="49" t="str">
        <f t="array" ref="D734">_xlfn.XLOOKUP(
 B734,
 tblTargets[TargetID],
 tblTargets[TargetType],
 ""
)</f>
        <v>COLLECTION</v>
      </c>
      <c r="E734" s="49" t="s">
        <v>2350</v>
      </c>
      <c r="F734" s="49">
        <v>1.0</v>
      </c>
      <c r="G734" s="49">
        <f t="array" ref="G734">_xlfn.XLOOKUP(
 A734,
 tblCost[RequirementID],
 tblCost[QuantityRequired],
 ""
)</f>
        <v>3</v>
      </c>
      <c r="H734" s="49">
        <f t="array" ref="H734">IF(
 OR(
  LEFT(B734,15)="state.character",
  RIGHT(B734,6)=".maxed"
 ),
 0,
 LET(
  sort,
   _xlfn.XLOOKUP(
    B734,
    tblChecklist[TargetID],
    tblChecklist[PlayerSort],
    0
   ),
  IF(sort=0,500,sort)
 )
)</f>
        <v>500</v>
      </c>
      <c r="I734" s="49" t="str">
        <f t="array" ref="I734">_xlfn.XLOOKUP(
 B734,
 tblTargetStatus[TargetID],
 tblTargetStatus[Status],
 ""
)</f>
        <v>BLOCKED</v>
      </c>
      <c r="J734" s="45" t="b">
        <v>0</v>
      </c>
    </row>
    <row r="735" ht="14.25" hidden="1" customHeight="1">
      <c r="A735" s="49" t="s">
        <v>2351</v>
      </c>
      <c r="B735" s="49" t="str">
        <f>IFERROR(__xludf.DUMMYFUNCTION("REGEXREPLACE(
 REGEXREPLACE(A735,""^cost\."",""""),
 ""\.[^.]+\.[^.]+$"",
 """"
)"),"collection.armory_1@1")</f>
        <v>collection.armory_1@1</v>
      </c>
      <c r="C735" s="49" t="str">
        <f t="array" ref="C735">_xlfn.XLOOKUP(
 B735,
 tblTargets[TargetID],
 tblTargets[DisplayName],
 ""
)</f>
        <v>Armory 1 Lv 1</v>
      </c>
      <c r="D735" s="49" t="str">
        <f t="array" ref="D735">_xlfn.XLOOKUP(
 B735,
 tblTargets[TargetID],
 tblTargets[TargetType],
 ""
)</f>
        <v>COLLECTION</v>
      </c>
      <c r="E735" s="49" t="s">
        <v>2352</v>
      </c>
      <c r="F735" s="49">
        <v>1.0</v>
      </c>
      <c r="G735" s="49">
        <f t="array" ref="G735">_xlfn.XLOOKUP(
 A735,
 tblCost[RequirementID],
 tblCost[QuantityRequired],
 ""
)</f>
        <v>3</v>
      </c>
      <c r="H735" s="49">
        <f t="array" ref="H735">IF(
 OR(
  LEFT(B735,15)="state.character",
  RIGHT(B735,6)=".maxed"
 ),
 0,
 LET(
  sort,
   _xlfn.XLOOKUP(
    B735,
    tblChecklist[TargetID],
    tblChecklist[PlayerSort],
    0
   ),
  IF(sort=0,500,sort)
 )
)</f>
        <v>500</v>
      </c>
      <c r="I735" s="49" t="str">
        <f t="array" ref="I735">_xlfn.XLOOKUP(
 B735,
 tblTargetStatus[TargetID],
 tblTargetStatus[Status],
 ""
)</f>
        <v>BLOCKED</v>
      </c>
      <c r="J735" s="45" t="b">
        <v>0</v>
      </c>
    </row>
    <row r="736" ht="14.25" hidden="1" customHeight="1">
      <c r="A736" s="49" t="s">
        <v>2353</v>
      </c>
      <c r="B736" s="49" t="str">
        <f>IFERROR(__xludf.DUMMYFUNCTION("REGEXREPLACE(
 REGEXREPLACE(A736,""^cost\."",""""),
 ""\.[^.]+\.[^.]+$"",
 """"
)"),"collection.armory_1@1")</f>
        <v>collection.armory_1@1</v>
      </c>
      <c r="C736" s="49" t="str">
        <f t="array" ref="C736">_xlfn.XLOOKUP(
 B736,
 tblTargets[TargetID],
 tblTargets[DisplayName],
 ""
)</f>
        <v>Armory 1 Lv 1</v>
      </c>
      <c r="D736" s="49" t="str">
        <f t="array" ref="D736">_xlfn.XLOOKUP(
 B736,
 tblTargets[TargetID],
 tblTargets[TargetType],
 ""
)</f>
        <v>COLLECTION</v>
      </c>
      <c r="E736" s="49" t="s">
        <v>2354</v>
      </c>
      <c r="F736" s="49">
        <v>1.0</v>
      </c>
      <c r="G736" s="49">
        <f t="array" ref="G736">_xlfn.XLOOKUP(
 A736,
 tblCost[RequirementID],
 tblCost[QuantityRequired],
 ""
)</f>
        <v>3</v>
      </c>
      <c r="H736" s="49">
        <f t="array" ref="H736">IF(
 OR(
  LEFT(B736,15)="state.character",
  RIGHT(B736,6)=".maxed"
 ),
 0,
 LET(
  sort,
   _xlfn.XLOOKUP(
    B736,
    tblChecklist[TargetID],
    tblChecklist[PlayerSort],
    0
   ),
  IF(sort=0,500,sort)
 )
)</f>
        <v>500</v>
      </c>
      <c r="I736" s="49" t="str">
        <f t="array" ref="I736">_xlfn.XLOOKUP(
 B736,
 tblTargetStatus[TargetID],
 tblTargetStatus[Status],
 ""
)</f>
        <v>BLOCKED</v>
      </c>
      <c r="J736" s="45" t="b">
        <v>0</v>
      </c>
    </row>
    <row r="737" ht="14.25" hidden="1" customHeight="1">
      <c r="A737" s="49" t="s">
        <v>2355</v>
      </c>
      <c r="B737" s="49" t="str">
        <f>IFERROR(__xludf.DUMMYFUNCTION("REGEXREPLACE(
 REGEXREPLACE(A737,""^cost\."",""""),
 ""\.[^.]+\.[^.]+$"",
 """"
)"),"collection.armory_1@1")</f>
        <v>collection.armory_1@1</v>
      </c>
      <c r="C737" s="49" t="str">
        <f t="array" ref="C737">_xlfn.XLOOKUP(
 B737,
 tblTargets[TargetID],
 tblTargets[DisplayName],
 ""
)</f>
        <v>Armory 1 Lv 1</v>
      </c>
      <c r="D737" s="49" t="str">
        <f t="array" ref="D737">_xlfn.XLOOKUP(
 B737,
 tblTargets[TargetID],
 tblTargets[TargetType],
 ""
)</f>
        <v>COLLECTION</v>
      </c>
      <c r="E737" s="49" t="s">
        <v>2356</v>
      </c>
      <c r="F737" s="49">
        <v>1.0</v>
      </c>
      <c r="G737" s="49">
        <f t="array" ref="G737">_xlfn.XLOOKUP(
 A737,
 tblCost[RequirementID],
 tblCost[QuantityRequired],
 ""
)</f>
        <v>3</v>
      </c>
      <c r="H737" s="49">
        <f t="array" ref="H737">IF(
 OR(
  LEFT(B737,15)="state.character",
  RIGHT(B737,6)=".maxed"
 ),
 0,
 LET(
  sort,
   _xlfn.XLOOKUP(
    B737,
    tblChecklist[TargetID],
    tblChecklist[PlayerSort],
    0
   ),
  IF(sort=0,500,sort)
 )
)</f>
        <v>500</v>
      </c>
      <c r="I737" s="49" t="str">
        <f t="array" ref="I737">_xlfn.XLOOKUP(
 B737,
 tblTargetStatus[TargetID],
 tblTargetStatus[Status],
 ""
)</f>
        <v>BLOCKED</v>
      </c>
      <c r="J737" s="45" t="b">
        <v>0</v>
      </c>
    </row>
    <row r="738" ht="14.25" hidden="1" customHeight="1">
      <c r="A738" s="49" t="s">
        <v>2357</v>
      </c>
      <c r="B738" s="49" t="str">
        <f>IFERROR(__xludf.DUMMYFUNCTION("REGEXREPLACE(
 REGEXREPLACE(A738,""^cost\."",""""),
 ""\.[^.]+\.[^.]+$"",
 """"
)"),"collection.armory_1@1")</f>
        <v>collection.armory_1@1</v>
      </c>
      <c r="C738" s="49" t="str">
        <f t="array" ref="C738">_xlfn.XLOOKUP(
 B738,
 tblTargets[TargetID],
 tblTargets[DisplayName],
 ""
)</f>
        <v>Armory 1 Lv 1</v>
      </c>
      <c r="D738" s="49" t="str">
        <f t="array" ref="D738">_xlfn.XLOOKUP(
 B738,
 tblTargets[TargetID],
 tblTargets[TargetType],
 ""
)</f>
        <v>COLLECTION</v>
      </c>
      <c r="E738" s="49" t="s">
        <v>2358</v>
      </c>
      <c r="F738" s="49">
        <v>1.0</v>
      </c>
      <c r="G738" s="49">
        <f t="array" ref="G738">_xlfn.XLOOKUP(
 A738,
 tblCost[RequirementID],
 tblCost[QuantityRequired],
 ""
)</f>
        <v>3</v>
      </c>
      <c r="H738" s="49">
        <f t="array" ref="H738">IF(
 OR(
  LEFT(B738,15)="state.character",
  RIGHT(B738,6)=".maxed"
 ),
 0,
 LET(
  sort,
   _xlfn.XLOOKUP(
    B738,
    tblChecklist[TargetID],
    tblChecklist[PlayerSort],
    0
   ),
  IF(sort=0,500,sort)
 )
)</f>
        <v>500</v>
      </c>
      <c r="I738" s="49" t="str">
        <f t="array" ref="I738">_xlfn.XLOOKUP(
 B738,
 tblTargetStatus[TargetID],
 tblTargetStatus[Status],
 ""
)</f>
        <v>BLOCKED</v>
      </c>
      <c r="J738" s="45" t="b">
        <v>0</v>
      </c>
    </row>
    <row r="739" ht="14.25" hidden="1" customHeight="1">
      <c r="A739" s="49" t="s">
        <v>2359</v>
      </c>
      <c r="B739" s="49" t="str">
        <f>IFERROR(__xludf.DUMMYFUNCTION("REGEXREPLACE(
 REGEXREPLACE(A739,""^cost\."",""""),
 ""\.[^.]+\.[^.]+$"",
 """"
)"),"collection.armory_1@1")</f>
        <v>collection.armory_1@1</v>
      </c>
      <c r="C739" s="49" t="str">
        <f t="array" ref="C739">_xlfn.XLOOKUP(
 B739,
 tblTargets[TargetID],
 tblTargets[DisplayName],
 ""
)</f>
        <v>Armory 1 Lv 1</v>
      </c>
      <c r="D739" s="49" t="str">
        <f t="array" ref="D739">_xlfn.XLOOKUP(
 B739,
 tblTargets[TargetID],
 tblTargets[TargetType],
 ""
)</f>
        <v>COLLECTION</v>
      </c>
      <c r="E739" s="49" t="s">
        <v>2360</v>
      </c>
      <c r="F739" s="49">
        <v>1.0</v>
      </c>
      <c r="G739" s="49">
        <f t="array" ref="G739">_xlfn.XLOOKUP(
 A739,
 tblCost[RequirementID],
 tblCost[QuantityRequired],
 ""
)</f>
        <v>3</v>
      </c>
      <c r="H739" s="49">
        <f t="array" ref="H739">IF(
 OR(
  LEFT(B739,15)="state.character",
  RIGHT(B739,6)=".maxed"
 ),
 0,
 LET(
  sort,
   _xlfn.XLOOKUP(
    B739,
    tblChecklist[TargetID],
    tblChecklist[PlayerSort],
    0
   ),
  IF(sort=0,500,sort)
 )
)</f>
        <v>500</v>
      </c>
      <c r="I739" s="49" t="str">
        <f t="array" ref="I739">_xlfn.XLOOKUP(
 B739,
 tblTargetStatus[TargetID],
 tblTargetStatus[Status],
 ""
)</f>
        <v>BLOCKED</v>
      </c>
      <c r="J739" s="45" t="b">
        <v>0</v>
      </c>
    </row>
    <row r="740" ht="14.25" hidden="1" customHeight="1">
      <c r="A740" s="49" t="s">
        <v>2361</v>
      </c>
      <c r="B740" s="49" t="str">
        <f>IFERROR(__xludf.DUMMYFUNCTION("REGEXREPLACE(
 REGEXREPLACE(A740,""^cost\."",""""),
 ""\.[^.]+\.[^.]+$"",
 """"
)"),"collection.armory_1@1")</f>
        <v>collection.armory_1@1</v>
      </c>
      <c r="C740" s="49" t="str">
        <f t="array" ref="C740">_xlfn.XLOOKUP(
 B740,
 tblTargets[TargetID],
 tblTargets[DisplayName],
 ""
)</f>
        <v>Armory 1 Lv 1</v>
      </c>
      <c r="D740" s="49" t="str">
        <f t="array" ref="D740">_xlfn.XLOOKUP(
 B740,
 tblTargets[TargetID],
 tblTargets[TargetType],
 ""
)</f>
        <v>COLLECTION</v>
      </c>
      <c r="E740" s="49" t="s">
        <v>2362</v>
      </c>
      <c r="F740" s="49">
        <v>1.0</v>
      </c>
      <c r="G740" s="49">
        <f t="array" ref="G740">_xlfn.XLOOKUP(
 A740,
 tblCost[RequirementID],
 tblCost[QuantityRequired],
 ""
)</f>
        <v>3</v>
      </c>
      <c r="H740" s="49">
        <f t="array" ref="H740">IF(
 OR(
  LEFT(B740,15)="state.character",
  RIGHT(B740,6)=".maxed"
 ),
 0,
 LET(
  sort,
   _xlfn.XLOOKUP(
    B740,
    tblChecklist[TargetID],
    tblChecklist[PlayerSort],
    0
   ),
  IF(sort=0,500,sort)
 )
)</f>
        <v>500</v>
      </c>
      <c r="I740" s="49" t="str">
        <f t="array" ref="I740">_xlfn.XLOOKUP(
 B740,
 tblTargetStatus[TargetID],
 tblTargetStatus[Status],
 ""
)</f>
        <v>BLOCKED</v>
      </c>
      <c r="J740" s="45" t="b">
        <v>0</v>
      </c>
    </row>
    <row r="741" ht="14.25" hidden="1" customHeight="1">
      <c r="A741" s="49" t="s">
        <v>2363</v>
      </c>
      <c r="B741" s="49" t="str">
        <f>IFERROR(__xludf.DUMMYFUNCTION("REGEXREPLACE(
 REGEXREPLACE(A741,""^cost\."",""""),
 ""\.[^.]+\.[^.]+$"",
 """"
)"),"collection.armory_1@1")</f>
        <v>collection.armory_1@1</v>
      </c>
      <c r="C741" s="49" t="str">
        <f t="array" ref="C741">_xlfn.XLOOKUP(
 B741,
 tblTargets[TargetID],
 tblTargets[DisplayName],
 ""
)</f>
        <v>Armory 1 Lv 1</v>
      </c>
      <c r="D741" s="49" t="str">
        <f t="array" ref="D741">_xlfn.XLOOKUP(
 B741,
 tblTargets[TargetID],
 tblTargets[TargetType],
 ""
)</f>
        <v>COLLECTION</v>
      </c>
      <c r="E741" s="49" t="s">
        <v>2364</v>
      </c>
      <c r="F741" s="49">
        <v>1.0</v>
      </c>
      <c r="G741" s="49">
        <f t="array" ref="G741">_xlfn.XLOOKUP(
 A741,
 tblCost[RequirementID],
 tblCost[QuantityRequired],
 ""
)</f>
        <v>3</v>
      </c>
      <c r="H741" s="49">
        <f t="array" ref="H741">IF(
 OR(
  LEFT(B741,15)="state.character",
  RIGHT(B741,6)=".maxed"
 ),
 0,
 LET(
  sort,
   _xlfn.XLOOKUP(
    B741,
    tblChecklist[TargetID],
    tblChecklist[PlayerSort],
    0
   ),
  IF(sort=0,500,sort)
 )
)</f>
        <v>500</v>
      </c>
      <c r="I741" s="49" t="str">
        <f t="array" ref="I741">_xlfn.XLOOKUP(
 B741,
 tblTargetStatus[TargetID],
 tblTargetStatus[Status],
 ""
)</f>
        <v>BLOCKED</v>
      </c>
      <c r="J741" s="45" t="b">
        <v>0</v>
      </c>
    </row>
    <row r="742" ht="14.25" hidden="1" customHeight="1">
      <c r="A742" s="49" t="s">
        <v>2365</v>
      </c>
      <c r="B742" s="49" t="str">
        <f>IFERROR(__xludf.DUMMYFUNCTION("REGEXREPLACE(
 REGEXREPLACE(A742,""^cost\."",""""),
 ""\.[^.]+\.[^.]+$"",
 """"
)"),"collection.armory_1@1")</f>
        <v>collection.armory_1@1</v>
      </c>
      <c r="C742" s="49" t="str">
        <f t="array" ref="C742">_xlfn.XLOOKUP(
 B742,
 tblTargets[TargetID],
 tblTargets[DisplayName],
 ""
)</f>
        <v>Armory 1 Lv 1</v>
      </c>
      <c r="D742" s="49" t="str">
        <f t="array" ref="D742">_xlfn.XLOOKUP(
 B742,
 tblTargets[TargetID],
 tblTargets[TargetType],
 ""
)</f>
        <v>COLLECTION</v>
      </c>
      <c r="E742" s="49" t="s">
        <v>2366</v>
      </c>
      <c r="F742" s="49">
        <v>1.0</v>
      </c>
      <c r="G742" s="49">
        <f t="array" ref="G742">_xlfn.XLOOKUP(
 A742,
 tblCost[RequirementID],
 tblCost[QuantityRequired],
 ""
)</f>
        <v>3</v>
      </c>
      <c r="H742" s="49">
        <f t="array" ref="H742">IF(
 OR(
  LEFT(B742,15)="state.character",
  RIGHT(B742,6)=".maxed"
 ),
 0,
 LET(
  sort,
   _xlfn.XLOOKUP(
    B742,
    tblChecklist[TargetID],
    tblChecklist[PlayerSort],
    0
   ),
  IF(sort=0,500,sort)
 )
)</f>
        <v>500</v>
      </c>
      <c r="I742" s="49" t="str">
        <f t="array" ref="I742">_xlfn.XLOOKUP(
 B742,
 tblTargetStatus[TargetID],
 tblTargetStatus[Status],
 ""
)</f>
        <v>BLOCKED</v>
      </c>
      <c r="J742" s="45" t="b">
        <v>0</v>
      </c>
    </row>
    <row r="743" ht="14.25" hidden="1" customHeight="1">
      <c r="A743" s="49" t="s">
        <v>2367</v>
      </c>
      <c r="B743" s="49" t="str">
        <f>IFERROR(__xludf.DUMMYFUNCTION("REGEXREPLACE(
 REGEXREPLACE(A743,""^cost\."",""""),
 ""\.[^.]+\.[^.]+$"",
 """"
)"),"collection.armory_1@1")</f>
        <v>collection.armory_1@1</v>
      </c>
      <c r="C743" s="49" t="str">
        <f t="array" ref="C743">_xlfn.XLOOKUP(
 B743,
 tblTargets[TargetID],
 tblTargets[DisplayName],
 ""
)</f>
        <v>Armory 1 Lv 1</v>
      </c>
      <c r="D743" s="49" t="str">
        <f t="array" ref="D743">_xlfn.XLOOKUP(
 B743,
 tblTargets[TargetID],
 tblTargets[TargetType],
 ""
)</f>
        <v>COLLECTION</v>
      </c>
      <c r="E743" s="49" t="s">
        <v>2368</v>
      </c>
      <c r="F743" s="49">
        <v>1.0</v>
      </c>
      <c r="G743" s="49">
        <f t="array" ref="G743">_xlfn.XLOOKUP(
 A743,
 tblCost[RequirementID],
 tblCost[QuantityRequired],
 ""
)</f>
        <v>3</v>
      </c>
      <c r="H743" s="49">
        <f t="array" ref="H743">IF(
 OR(
  LEFT(B743,15)="state.character",
  RIGHT(B743,6)=".maxed"
 ),
 0,
 LET(
  sort,
   _xlfn.XLOOKUP(
    B743,
    tblChecklist[TargetID],
    tblChecklist[PlayerSort],
    0
   ),
  IF(sort=0,500,sort)
 )
)</f>
        <v>500</v>
      </c>
      <c r="I743" s="49" t="str">
        <f t="array" ref="I743">_xlfn.XLOOKUP(
 B743,
 tblTargetStatus[TargetID],
 tblTargetStatus[Status],
 ""
)</f>
        <v>BLOCKED</v>
      </c>
      <c r="J743" s="45" t="b">
        <v>0</v>
      </c>
    </row>
    <row r="744" ht="14.25" hidden="1" customHeight="1">
      <c r="A744" s="49" t="s">
        <v>2369</v>
      </c>
      <c r="B744" s="49" t="str">
        <f>IFERROR(__xludf.DUMMYFUNCTION("REGEXREPLACE(
 REGEXREPLACE(A744,""^cost\."",""""),
 ""\.[^.]+\.[^.]+$"",
 """"
)"),"collection.armory_1@1")</f>
        <v>collection.armory_1@1</v>
      </c>
      <c r="C744" s="49" t="str">
        <f t="array" ref="C744">_xlfn.XLOOKUP(
 B744,
 tblTargets[TargetID],
 tblTargets[DisplayName],
 ""
)</f>
        <v>Armory 1 Lv 1</v>
      </c>
      <c r="D744" s="49" t="str">
        <f t="array" ref="D744">_xlfn.XLOOKUP(
 B744,
 tblTargets[TargetID],
 tblTargets[TargetType],
 ""
)</f>
        <v>COLLECTION</v>
      </c>
      <c r="E744" s="49" t="s">
        <v>2370</v>
      </c>
      <c r="F744" s="49">
        <v>1.0</v>
      </c>
      <c r="G744" s="49">
        <f t="array" ref="G744">_xlfn.XLOOKUP(
 A744,
 tblCost[RequirementID],
 tblCost[QuantityRequired],
 ""
)</f>
        <v>3</v>
      </c>
      <c r="H744" s="49">
        <f t="array" ref="H744">IF(
 OR(
  LEFT(B744,15)="state.character",
  RIGHT(B744,6)=".maxed"
 ),
 0,
 LET(
  sort,
   _xlfn.XLOOKUP(
    B744,
    tblChecklist[TargetID],
    tblChecklist[PlayerSort],
    0
   ),
  IF(sort=0,500,sort)
 )
)</f>
        <v>500</v>
      </c>
      <c r="I744" s="49" t="str">
        <f t="array" ref="I744">_xlfn.XLOOKUP(
 B744,
 tblTargetStatus[TargetID],
 tblTargetStatus[Status],
 ""
)</f>
        <v>BLOCKED</v>
      </c>
      <c r="J744" s="45" t="b">
        <v>0</v>
      </c>
    </row>
    <row r="745" ht="14.25" hidden="1" customHeight="1">
      <c r="A745" s="49" t="s">
        <v>2371</v>
      </c>
      <c r="B745" s="49" t="str">
        <f>IFERROR(__xludf.DUMMYFUNCTION("REGEXREPLACE(
 REGEXREPLACE(A745,""^cost\."",""""),
 ""\.[^.]+\.[^.]+$"",
 """"
)"),"collection.armory_1@2")</f>
        <v>collection.armory_1@2</v>
      </c>
      <c r="C745" s="49" t="str">
        <f t="array" ref="C745">_xlfn.XLOOKUP(
 B745,
 tblTargets[TargetID],
 tblTargets[DisplayName],
 ""
)</f>
        <v>Armory 1 Lv 2</v>
      </c>
      <c r="D745" s="49" t="str">
        <f t="array" ref="D745">_xlfn.XLOOKUP(
 B745,
 tblTargets[TargetID],
 tblTargets[TargetType],
 ""
)</f>
        <v>COLLECTION</v>
      </c>
      <c r="E745" s="49" t="s">
        <v>2348</v>
      </c>
      <c r="F745" s="49">
        <v>1.0</v>
      </c>
      <c r="G745" s="49">
        <f t="array" ref="G745">_xlfn.XLOOKUP(
 A745,
 tblCost[RequirementID],
 tblCost[QuantityRequired],
 ""
)</f>
        <v>6</v>
      </c>
      <c r="H745" s="49">
        <f t="array" ref="H745">IF(
 OR(
  LEFT(B745,15)="state.character",
  RIGHT(B745,6)=".maxed"
 ),
 0,
 LET(
  sort,
   _xlfn.XLOOKUP(
    B745,
    tblChecklist[TargetID],
    tblChecklist[PlayerSort],
    0
   ),
  IF(sort=0,500,sort)
 )
)</f>
        <v>500</v>
      </c>
      <c r="I745" s="49" t="str">
        <f t="array" ref="I745">_xlfn.XLOOKUP(
 B745,
 tblTargetStatus[TargetID],
 tblTargetStatus[Status],
 ""
)</f>
        <v>BLOCKED</v>
      </c>
      <c r="J745" s="45" t="b">
        <v>0</v>
      </c>
    </row>
    <row r="746" ht="14.25" hidden="1" customHeight="1">
      <c r="A746" s="49" t="s">
        <v>2372</v>
      </c>
      <c r="B746" s="49" t="str">
        <f>IFERROR(__xludf.DUMMYFUNCTION("REGEXREPLACE(
 REGEXREPLACE(A746,""^cost\."",""""),
 ""\.[^.]+\.[^.]+$"",
 """"
)"),"collection.armory_1@2")</f>
        <v>collection.armory_1@2</v>
      </c>
      <c r="C746" s="49" t="str">
        <f t="array" ref="C746">_xlfn.XLOOKUP(
 B746,
 tblTargets[TargetID],
 tblTargets[DisplayName],
 ""
)</f>
        <v>Armory 1 Lv 2</v>
      </c>
      <c r="D746" s="49" t="str">
        <f t="array" ref="D746">_xlfn.XLOOKUP(
 B746,
 tblTargets[TargetID],
 tblTargets[TargetType],
 ""
)</f>
        <v>COLLECTION</v>
      </c>
      <c r="E746" s="49" t="s">
        <v>2350</v>
      </c>
      <c r="F746" s="49">
        <v>1.0</v>
      </c>
      <c r="G746" s="49">
        <f t="array" ref="G746">_xlfn.XLOOKUP(
 A746,
 tblCost[RequirementID],
 tblCost[QuantityRequired],
 ""
)</f>
        <v>6</v>
      </c>
      <c r="H746" s="49">
        <f t="array" ref="H746">IF(
 OR(
  LEFT(B746,15)="state.character",
  RIGHT(B746,6)=".maxed"
 ),
 0,
 LET(
  sort,
   _xlfn.XLOOKUP(
    B746,
    tblChecklist[TargetID],
    tblChecklist[PlayerSort],
    0
   ),
  IF(sort=0,500,sort)
 )
)</f>
        <v>500</v>
      </c>
      <c r="I746" s="49" t="str">
        <f t="array" ref="I746">_xlfn.XLOOKUP(
 B746,
 tblTargetStatus[TargetID],
 tblTargetStatus[Status],
 ""
)</f>
        <v>BLOCKED</v>
      </c>
      <c r="J746" s="45" t="b">
        <v>0</v>
      </c>
    </row>
    <row r="747" ht="14.25" hidden="1" customHeight="1">
      <c r="A747" s="49" t="s">
        <v>2373</v>
      </c>
      <c r="B747" s="49" t="str">
        <f>IFERROR(__xludf.DUMMYFUNCTION("REGEXREPLACE(
 REGEXREPLACE(A747,""^cost\."",""""),
 ""\.[^.]+\.[^.]+$"",
 """"
)"),"collection.armory_1@2")</f>
        <v>collection.armory_1@2</v>
      </c>
      <c r="C747" s="49" t="str">
        <f t="array" ref="C747">_xlfn.XLOOKUP(
 B747,
 tblTargets[TargetID],
 tblTargets[DisplayName],
 ""
)</f>
        <v>Armory 1 Lv 2</v>
      </c>
      <c r="D747" s="49" t="str">
        <f t="array" ref="D747">_xlfn.XLOOKUP(
 B747,
 tblTargets[TargetID],
 tblTargets[TargetType],
 ""
)</f>
        <v>COLLECTION</v>
      </c>
      <c r="E747" s="49" t="s">
        <v>2352</v>
      </c>
      <c r="F747" s="49">
        <v>1.0</v>
      </c>
      <c r="G747" s="49">
        <f t="array" ref="G747">_xlfn.XLOOKUP(
 A747,
 tblCost[RequirementID],
 tblCost[QuantityRequired],
 ""
)</f>
        <v>6</v>
      </c>
      <c r="H747" s="49">
        <f t="array" ref="H747">IF(
 OR(
  LEFT(B747,15)="state.character",
  RIGHT(B747,6)=".maxed"
 ),
 0,
 LET(
  sort,
   _xlfn.XLOOKUP(
    B747,
    tblChecklist[TargetID],
    tblChecklist[PlayerSort],
    0
   ),
  IF(sort=0,500,sort)
 )
)</f>
        <v>500</v>
      </c>
      <c r="I747" s="49" t="str">
        <f t="array" ref="I747">_xlfn.XLOOKUP(
 B747,
 tblTargetStatus[TargetID],
 tblTargetStatus[Status],
 ""
)</f>
        <v>BLOCKED</v>
      </c>
      <c r="J747" s="45" t="b">
        <v>0</v>
      </c>
    </row>
    <row r="748" ht="14.25" hidden="1" customHeight="1">
      <c r="A748" s="49" t="s">
        <v>2374</v>
      </c>
      <c r="B748" s="49" t="str">
        <f>IFERROR(__xludf.DUMMYFUNCTION("REGEXREPLACE(
 REGEXREPLACE(A748,""^cost\."",""""),
 ""\.[^.]+\.[^.]+$"",
 """"
)"),"collection.armory_1@2")</f>
        <v>collection.armory_1@2</v>
      </c>
      <c r="C748" s="49" t="str">
        <f t="array" ref="C748">_xlfn.XLOOKUP(
 B748,
 tblTargets[TargetID],
 tblTargets[DisplayName],
 ""
)</f>
        <v>Armory 1 Lv 2</v>
      </c>
      <c r="D748" s="49" t="str">
        <f t="array" ref="D748">_xlfn.XLOOKUP(
 B748,
 tblTargets[TargetID],
 tblTargets[TargetType],
 ""
)</f>
        <v>COLLECTION</v>
      </c>
      <c r="E748" s="49" t="s">
        <v>2354</v>
      </c>
      <c r="F748" s="49">
        <v>1.0</v>
      </c>
      <c r="G748" s="49">
        <f t="array" ref="G748">_xlfn.XLOOKUP(
 A748,
 tblCost[RequirementID],
 tblCost[QuantityRequired],
 ""
)</f>
        <v>6</v>
      </c>
      <c r="H748" s="49">
        <f t="array" ref="H748">IF(
 OR(
  LEFT(B748,15)="state.character",
  RIGHT(B748,6)=".maxed"
 ),
 0,
 LET(
  sort,
   _xlfn.XLOOKUP(
    B748,
    tblChecklist[TargetID],
    tblChecklist[PlayerSort],
    0
   ),
  IF(sort=0,500,sort)
 )
)</f>
        <v>500</v>
      </c>
      <c r="I748" s="49" t="str">
        <f t="array" ref="I748">_xlfn.XLOOKUP(
 B748,
 tblTargetStatus[TargetID],
 tblTargetStatus[Status],
 ""
)</f>
        <v>BLOCKED</v>
      </c>
      <c r="J748" s="45" t="b">
        <v>0</v>
      </c>
    </row>
    <row r="749" ht="14.25" hidden="1" customHeight="1">
      <c r="A749" s="49" t="s">
        <v>2375</v>
      </c>
      <c r="B749" s="49" t="str">
        <f>IFERROR(__xludf.DUMMYFUNCTION("REGEXREPLACE(
 REGEXREPLACE(A749,""^cost\."",""""),
 ""\.[^.]+\.[^.]+$"",
 """"
)"),"collection.armory_1@2")</f>
        <v>collection.armory_1@2</v>
      </c>
      <c r="C749" s="49" t="str">
        <f t="array" ref="C749">_xlfn.XLOOKUP(
 B749,
 tblTargets[TargetID],
 tblTargets[DisplayName],
 ""
)</f>
        <v>Armory 1 Lv 2</v>
      </c>
      <c r="D749" s="49" t="str">
        <f t="array" ref="D749">_xlfn.XLOOKUP(
 B749,
 tblTargets[TargetID],
 tblTargets[TargetType],
 ""
)</f>
        <v>COLLECTION</v>
      </c>
      <c r="E749" s="49" t="s">
        <v>2356</v>
      </c>
      <c r="F749" s="49">
        <v>1.0</v>
      </c>
      <c r="G749" s="49">
        <f t="array" ref="G749">_xlfn.XLOOKUP(
 A749,
 tblCost[RequirementID],
 tblCost[QuantityRequired],
 ""
)</f>
        <v>6</v>
      </c>
      <c r="H749" s="49">
        <f t="array" ref="H749">IF(
 OR(
  LEFT(B749,15)="state.character",
  RIGHT(B749,6)=".maxed"
 ),
 0,
 LET(
  sort,
   _xlfn.XLOOKUP(
    B749,
    tblChecklist[TargetID],
    tblChecklist[PlayerSort],
    0
   ),
  IF(sort=0,500,sort)
 )
)</f>
        <v>500</v>
      </c>
      <c r="I749" s="49" t="str">
        <f t="array" ref="I749">_xlfn.XLOOKUP(
 B749,
 tblTargetStatus[TargetID],
 tblTargetStatus[Status],
 ""
)</f>
        <v>BLOCKED</v>
      </c>
      <c r="J749" s="45" t="b">
        <v>0</v>
      </c>
    </row>
    <row r="750" ht="14.25" hidden="1" customHeight="1">
      <c r="A750" s="49" t="s">
        <v>2376</v>
      </c>
      <c r="B750" s="49" t="str">
        <f>IFERROR(__xludf.DUMMYFUNCTION("REGEXREPLACE(
 REGEXREPLACE(A750,""^cost\."",""""),
 ""\.[^.]+\.[^.]+$"",
 """"
)"),"collection.armory_1@2")</f>
        <v>collection.armory_1@2</v>
      </c>
      <c r="C750" s="49" t="str">
        <f t="array" ref="C750">_xlfn.XLOOKUP(
 B750,
 tblTargets[TargetID],
 tblTargets[DisplayName],
 ""
)</f>
        <v>Armory 1 Lv 2</v>
      </c>
      <c r="D750" s="49" t="str">
        <f t="array" ref="D750">_xlfn.XLOOKUP(
 B750,
 tblTargets[TargetID],
 tblTargets[TargetType],
 ""
)</f>
        <v>COLLECTION</v>
      </c>
      <c r="E750" s="49" t="s">
        <v>2358</v>
      </c>
      <c r="F750" s="49">
        <v>1.0</v>
      </c>
      <c r="G750" s="49">
        <f t="array" ref="G750">_xlfn.XLOOKUP(
 A750,
 tblCost[RequirementID],
 tblCost[QuantityRequired],
 ""
)</f>
        <v>6</v>
      </c>
      <c r="H750" s="49">
        <f t="array" ref="H750">IF(
 OR(
  LEFT(B750,15)="state.character",
  RIGHT(B750,6)=".maxed"
 ),
 0,
 LET(
  sort,
   _xlfn.XLOOKUP(
    B750,
    tblChecklist[TargetID],
    tblChecklist[PlayerSort],
    0
   ),
  IF(sort=0,500,sort)
 )
)</f>
        <v>500</v>
      </c>
      <c r="I750" s="49" t="str">
        <f t="array" ref="I750">_xlfn.XLOOKUP(
 B750,
 tblTargetStatus[TargetID],
 tblTargetStatus[Status],
 ""
)</f>
        <v>BLOCKED</v>
      </c>
      <c r="J750" s="45" t="b">
        <v>0</v>
      </c>
    </row>
    <row r="751" ht="14.25" hidden="1" customHeight="1">
      <c r="A751" s="49" t="s">
        <v>2377</v>
      </c>
      <c r="B751" s="49" t="str">
        <f>IFERROR(__xludf.DUMMYFUNCTION("REGEXREPLACE(
 REGEXREPLACE(A751,""^cost\."",""""),
 ""\.[^.]+\.[^.]+$"",
 """"
)"),"collection.armory_1@2")</f>
        <v>collection.armory_1@2</v>
      </c>
      <c r="C751" s="49" t="str">
        <f t="array" ref="C751">_xlfn.XLOOKUP(
 B751,
 tblTargets[TargetID],
 tblTargets[DisplayName],
 ""
)</f>
        <v>Armory 1 Lv 2</v>
      </c>
      <c r="D751" s="49" t="str">
        <f t="array" ref="D751">_xlfn.XLOOKUP(
 B751,
 tblTargets[TargetID],
 tblTargets[TargetType],
 ""
)</f>
        <v>COLLECTION</v>
      </c>
      <c r="E751" s="49" t="s">
        <v>2360</v>
      </c>
      <c r="F751" s="49">
        <v>1.0</v>
      </c>
      <c r="G751" s="49">
        <f t="array" ref="G751">_xlfn.XLOOKUP(
 A751,
 tblCost[RequirementID],
 tblCost[QuantityRequired],
 ""
)</f>
        <v>6</v>
      </c>
      <c r="H751" s="49">
        <f t="array" ref="H751">IF(
 OR(
  LEFT(B751,15)="state.character",
  RIGHT(B751,6)=".maxed"
 ),
 0,
 LET(
  sort,
   _xlfn.XLOOKUP(
    B751,
    tblChecklist[TargetID],
    tblChecklist[PlayerSort],
    0
   ),
  IF(sort=0,500,sort)
 )
)</f>
        <v>500</v>
      </c>
      <c r="I751" s="49" t="str">
        <f t="array" ref="I751">_xlfn.XLOOKUP(
 B751,
 tblTargetStatus[TargetID],
 tblTargetStatus[Status],
 ""
)</f>
        <v>BLOCKED</v>
      </c>
      <c r="J751" s="45" t="b">
        <v>0</v>
      </c>
    </row>
    <row r="752" ht="14.25" hidden="1" customHeight="1">
      <c r="A752" s="49" t="s">
        <v>2378</v>
      </c>
      <c r="B752" s="49" t="str">
        <f>IFERROR(__xludf.DUMMYFUNCTION("REGEXREPLACE(
 REGEXREPLACE(A752,""^cost\."",""""),
 ""\.[^.]+\.[^.]+$"",
 """"
)"),"collection.armory_1@2")</f>
        <v>collection.armory_1@2</v>
      </c>
      <c r="C752" s="49" t="str">
        <f t="array" ref="C752">_xlfn.XLOOKUP(
 B752,
 tblTargets[TargetID],
 tblTargets[DisplayName],
 ""
)</f>
        <v>Armory 1 Lv 2</v>
      </c>
      <c r="D752" s="49" t="str">
        <f t="array" ref="D752">_xlfn.XLOOKUP(
 B752,
 tblTargets[TargetID],
 tblTargets[TargetType],
 ""
)</f>
        <v>COLLECTION</v>
      </c>
      <c r="E752" s="49" t="s">
        <v>2362</v>
      </c>
      <c r="F752" s="49">
        <v>1.0</v>
      </c>
      <c r="G752" s="49">
        <f t="array" ref="G752">_xlfn.XLOOKUP(
 A752,
 tblCost[RequirementID],
 tblCost[QuantityRequired],
 ""
)</f>
        <v>6</v>
      </c>
      <c r="H752" s="49">
        <f t="array" ref="H752">IF(
 OR(
  LEFT(B752,15)="state.character",
  RIGHT(B752,6)=".maxed"
 ),
 0,
 LET(
  sort,
   _xlfn.XLOOKUP(
    B752,
    tblChecklist[TargetID],
    tblChecklist[PlayerSort],
    0
   ),
  IF(sort=0,500,sort)
 )
)</f>
        <v>500</v>
      </c>
      <c r="I752" s="49" t="str">
        <f t="array" ref="I752">_xlfn.XLOOKUP(
 B752,
 tblTargetStatus[TargetID],
 tblTargetStatus[Status],
 ""
)</f>
        <v>BLOCKED</v>
      </c>
      <c r="J752" s="45" t="b">
        <v>0</v>
      </c>
    </row>
    <row r="753" ht="14.25" hidden="1" customHeight="1">
      <c r="A753" s="49" t="s">
        <v>2379</v>
      </c>
      <c r="B753" s="49" t="str">
        <f>IFERROR(__xludf.DUMMYFUNCTION("REGEXREPLACE(
 REGEXREPLACE(A753,""^cost\."",""""),
 ""\.[^.]+\.[^.]+$"",
 """"
)"),"collection.armory_1@2")</f>
        <v>collection.armory_1@2</v>
      </c>
      <c r="C753" s="49" t="str">
        <f t="array" ref="C753">_xlfn.XLOOKUP(
 B753,
 tblTargets[TargetID],
 tblTargets[DisplayName],
 ""
)</f>
        <v>Armory 1 Lv 2</v>
      </c>
      <c r="D753" s="49" t="str">
        <f t="array" ref="D753">_xlfn.XLOOKUP(
 B753,
 tblTargets[TargetID],
 tblTargets[TargetType],
 ""
)</f>
        <v>COLLECTION</v>
      </c>
      <c r="E753" s="49" t="s">
        <v>2364</v>
      </c>
      <c r="F753" s="49">
        <v>1.0</v>
      </c>
      <c r="G753" s="49">
        <f t="array" ref="G753">_xlfn.XLOOKUP(
 A753,
 tblCost[RequirementID],
 tblCost[QuantityRequired],
 ""
)</f>
        <v>6</v>
      </c>
      <c r="H753" s="49">
        <f t="array" ref="H753">IF(
 OR(
  LEFT(B753,15)="state.character",
  RIGHT(B753,6)=".maxed"
 ),
 0,
 LET(
  sort,
   _xlfn.XLOOKUP(
    B753,
    tblChecklist[TargetID],
    tblChecklist[PlayerSort],
    0
   ),
  IF(sort=0,500,sort)
 )
)</f>
        <v>500</v>
      </c>
      <c r="I753" s="49" t="str">
        <f t="array" ref="I753">_xlfn.XLOOKUP(
 B753,
 tblTargetStatus[TargetID],
 tblTargetStatus[Status],
 ""
)</f>
        <v>BLOCKED</v>
      </c>
      <c r="J753" s="45" t="b">
        <v>0</v>
      </c>
    </row>
    <row r="754" ht="14.25" hidden="1" customHeight="1">
      <c r="A754" s="49" t="s">
        <v>2380</v>
      </c>
      <c r="B754" s="49" t="str">
        <f>IFERROR(__xludf.DUMMYFUNCTION("REGEXREPLACE(
 REGEXREPLACE(A754,""^cost\."",""""),
 ""\.[^.]+\.[^.]+$"",
 """"
)"),"collection.armory_1@2")</f>
        <v>collection.armory_1@2</v>
      </c>
      <c r="C754" s="49" t="str">
        <f t="array" ref="C754">_xlfn.XLOOKUP(
 B754,
 tblTargets[TargetID],
 tblTargets[DisplayName],
 ""
)</f>
        <v>Armory 1 Lv 2</v>
      </c>
      <c r="D754" s="49" t="str">
        <f t="array" ref="D754">_xlfn.XLOOKUP(
 B754,
 tblTargets[TargetID],
 tblTargets[TargetType],
 ""
)</f>
        <v>COLLECTION</v>
      </c>
      <c r="E754" s="49" t="s">
        <v>2366</v>
      </c>
      <c r="F754" s="49">
        <v>1.0</v>
      </c>
      <c r="G754" s="49">
        <f t="array" ref="G754">_xlfn.XLOOKUP(
 A754,
 tblCost[RequirementID],
 tblCost[QuantityRequired],
 ""
)</f>
        <v>6</v>
      </c>
      <c r="H754" s="49">
        <f t="array" ref="H754">IF(
 OR(
  LEFT(B754,15)="state.character",
  RIGHT(B754,6)=".maxed"
 ),
 0,
 LET(
  sort,
   _xlfn.XLOOKUP(
    B754,
    tblChecklist[TargetID],
    tblChecklist[PlayerSort],
    0
   ),
  IF(sort=0,500,sort)
 )
)</f>
        <v>500</v>
      </c>
      <c r="I754" s="49" t="str">
        <f t="array" ref="I754">_xlfn.XLOOKUP(
 B754,
 tblTargetStatus[TargetID],
 tblTargetStatus[Status],
 ""
)</f>
        <v>BLOCKED</v>
      </c>
      <c r="J754" s="45" t="b">
        <v>0</v>
      </c>
    </row>
    <row r="755" ht="14.25" hidden="1" customHeight="1">
      <c r="A755" s="49" t="s">
        <v>2381</v>
      </c>
      <c r="B755" s="49" t="str">
        <f>IFERROR(__xludf.DUMMYFUNCTION("REGEXREPLACE(
 REGEXREPLACE(A755,""^cost\."",""""),
 ""\.[^.]+\.[^.]+$"",
 """"
)"),"collection.armory_1@2")</f>
        <v>collection.armory_1@2</v>
      </c>
      <c r="C755" s="49" t="str">
        <f t="array" ref="C755">_xlfn.XLOOKUP(
 B755,
 tblTargets[TargetID],
 tblTargets[DisplayName],
 ""
)</f>
        <v>Armory 1 Lv 2</v>
      </c>
      <c r="D755" s="49" t="str">
        <f t="array" ref="D755">_xlfn.XLOOKUP(
 B755,
 tblTargets[TargetID],
 tblTargets[TargetType],
 ""
)</f>
        <v>COLLECTION</v>
      </c>
      <c r="E755" s="49" t="s">
        <v>2368</v>
      </c>
      <c r="F755" s="49">
        <v>1.0</v>
      </c>
      <c r="G755" s="49">
        <f t="array" ref="G755">_xlfn.XLOOKUP(
 A755,
 tblCost[RequirementID],
 tblCost[QuantityRequired],
 ""
)</f>
        <v>6</v>
      </c>
      <c r="H755" s="49">
        <f t="array" ref="H755">IF(
 OR(
  LEFT(B755,15)="state.character",
  RIGHT(B755,6)=".maxed"
 ),
 0,
 LET(
  sort,
   _xlfn.XLOOKUP(
    B755,
    tblChecklist[TargetID],
    tblChecklist[PlayerSort],
    0
   ),
  IF(sort=0,500,sort)
 )
)</f>
        <v>500</v>
      </c>
      <c r="I755" s="49" t="str">
        <f t="array" ref="I755">_xlfn.XLOOKUP(
 B755,
 tblTargetStatus[TargetID],
 tblTargetStatus[Status],
 ""
)</f>
        <v>BLOCKED</v>
      </c>
      <c r="J755" s="45" t="b">
        <v>0</v>
      </c>
    </row>
    <row r="756" ht="14.25" hidden="1" customHeight="1">
      <c r="A756" s="49" t="s">
        <v>2382</v>
      </c>
      <c r="B756" s="49" t="str">
        <f>IFERROR(__xludf.DUMMYFUNCTION("REGEXREPLACE(
 REGEXREPLACE(A756,""^cost\."",""""),
 ""\.[^.]+\.[^.]+$"",
 """"
)"),"collection.armory_1@2")</f>
        <v>collection.armory_1@2</v>
      </c>
      <c r="C756" s="49" t="str">
        <f t="array" ref="C756">_xlfn.XLOOKUP(
 B756,
 tblTargets[TargetID],
 tblTargets[DisplayName],
 ""
)</f>
        <v>Armory 1 Lv 2</v>
      </c>
      <c r="D756" s="49" t="str">
        <f t="array" ref="D756">_xlfn.XLOOKUP(
 B756,
 tblTargets[TargetID],
 tblTargets[TargetType],
 ""
)</f>
        <v>COLLECTION</v>
      </c>
      <c r="E756" s="49" t="s">
        <v>2370</v>
      </c>
      <c r="F756" s="49">
        <v>1.0</v>
      </c>
      <c r="G756" s="49">
        <f t="array" ref="G756">_xlfn.XLOOKUP(
 A756,
 tblCost[RequirementID],
 tblCost[QuantityRequired],
 ""
)</f>
        <v>6</v>
      </c>
      <c r="H756" s="49">
        <f t="array" ref="H756">IF(
 OR(
  LEFT(B756,15)="state.character",
  RIGHT(B756,6)=".maxed"
 ),
 0,
 LET(
  sort,
   _xlfn.XLOOKUP(
    B756,
    tblChecklist[TargetID],
    tblChecklist[PlayerSort],
    0
   ),
  IF(sort=0,500,sort)
 )
)</f>
        <v>500</v>
      </c>
      <c r="I756" s="49" t="str">
        <f t="array" ref="I756">_xlfn.XLOOKUP(
 B756,
 tblTargetStatus[TargetID],
 tblTargetStatus[Status],
 ""
)</f>
        <v>BLOCKED</v>
      </c>
      <c r="J756" s="45" t="b">
        <v>0</v>
      </c>
    </row>
    <row r="757" ht="14.25" hidden="1" customHeight="1">
      <c r="A757" s="49" t="s">
        <v>2383</v>
      </c>
      <c r="B757" s="49" t="str">
        <f>IFERROR(__xludf.DUMMYFUNCTION("REGEXREPLACE(
 REGEXREPLACE(A757,""^cost\."",""""),
 ""\.[^.]+\.[^.]+$"",
 """"
)"),"collection.armory_1@3")</f>
        <v>collection.armory_1@3</v>
      </c>
      <c r="C757" s="49" t="str">
        <f t="array" ref="C757">_xlfn.XLOOKUP(
 B757,
 tblTargets[TargetID],
 tblTargets[DisplayName],
 ""
)</f>
        <v>Armory 1 Lv 3</v>
      </c>
      <c r="D757" s="49" t="str">
        <f t="array" ref="D757">_xlfn.XLOOKUP(
 B757,
 tblTargets[TargetID],
 tblTargets[TargetType],
 ""
)</f>
        <v>COLLECTION</v>
      </c>
      <c r="E757" s="49" t="s">
        <v>2348</v>
      </c>
      <c r="F757" s="49">
        <v>1.0</v>
      </c>
      <c r="G757" s="49">
        <f t="array" ref="G757">_xlfn.XLOOKUP(
 A757,
 tblCost[RequirementID],
 tblCost[QuantityRequired],
 ""
)</f>
        <v>9</v>
      </c>
      <c r="H757" s="49">
        <f t="array" ref="H757">IF(
 OR(
  LEFT(B757,15)="state.character",
  RIGHT(B757,6)=".maxed"
 ),
 0,
 LET(
  sort,
   _xlfn.XLOOKUP(
    B757,
    tblChecklist[TargetID],
    tblChecklist[PlayerSort],
    0
   ),
  IF(sort=0,500,sort)
 )
)</f>
        <v>500</v>
      </c>
      <c r="I757" s="49" t="str">
        <f t="array" ref="I757">_xlfn.XLOOKUP(
 B757,
 tblTargetStatus[TargetID],
 tblTargetStatus[Status],
 ""
)</f>
        <v>BLOCKED</v>
      </c>
      <c r="J757" s="45" t="b">
        <v>0</v>
      </c>
    </row>
    <row r="758" ht="14.25" hidden="1" customHeight="1">
      <c r="A758" s="49" t="s">
        <v>2384</v>
      </c>
      <c r="B758" s="49" t="str">
        <f>IFERROR(__xludf.DUMMYFUNCTION("REGEXREPLACE(
 REGEXREPLACE(A758,""^cost\."",""""),
 ""\.[^.]+\.[^.]+$"",
 """"
)"),"collection.armory_1@3")</f>
        <v>collection.armory_1@3</v>
      </c>
      <c r="C758" s="49" t="str">
        <f t="array" ref="C758">_xlfn.XLOOKUP(
 B758,
 tblTargets[TargetID],
 tblTargets[DisplayName],
 ""
)</f>
        <v>Armory 1 Lv 3</v>
      </c>
      <c r="D758" s="49" t="str">
        <f t="array" ref="D758">_xlfn.XLOOKUP(
 B758,
 tblTargets[TargetID],
 tblTargets[TargetType],
 ""
)</f>
        <v>COLLECTION</v>
      </c>
      <c r="E758" s="49" t="s">
        <v>2350</v>
      </c>
      <c r="F758" s="49">
        <v>1.0</v>
      </c>
      <c r="G758" s="49">
        <f t="array" ref="G758">_xlfn.XLOOKUP(
 A758,
 tblCost[RequirementID],
 tblCost[QuantityRequired],
 ""
)</f>
        <v>9</v>
      </c>
      <c r="H758" s="49">
        <f t="array" ref="H758">IF(
 OR(
  LEFT(B758,15)="state.character",
  RIGHT(B758,6)=".maxed"
 ),
 0,
 LET(
  sort,
   _xlfn.XLOOKUP(
    B758,
    tblChecklist[TargetID],
    tblChecklist[PlayerSort],
    0
   ),
  IF(sort=0,500,sort)
 )
)</f>
        <v>500</v>
      </c>
      <c r="I758" s="49" t="str">
        <f t="array" ref="I758">_xlfn.XLOOKUP(
 B758,
 tblTargetStatus[TargetID],
 tblTargetStatus[Status],
 ""
)</f>
        <v>BLOCKED</v>
      </c>
      <c r="J758" s="45" t="b">
        <v>0</v>
      </c>
    </row>
    <row r="759" ht="14.25" hidden="1" customHeight="1">
      <c r="A759" s="49" t="s">
        <v>2385</v>
      </c>
      <c r="B759" s="49" t="str">
        <f>IFERROR(__xludf.DUMMYFUNCTION("REGEXREPLACE(
 REGEXREPLACE(A759,""^cost\."",""""),
 ""\.[^.]+\.[^.]+$"",
 """"
)"),"collection.armory_1@3")</f>
        <v>collection.armory_1@3</v>
      </c>
      <c r="C759" s="49" t="str">
        <f t="array" ref="C759">_xlfn.XLOOKUP(
 B759,
 tblTargets[TargetID],
 tblTargets[DisplayName],
 ""
)</f>
        <v>Armory 1 Lv 3</v>
      </c>
      <c r="D759" s="49" t="str">
        <f t="array" ref="D759">_xlfn.XLOOKUP(
 B759,
 tblTargets[TargetID],
 tblTargets[TargetType],
 ""
)</f>
        <v>COLLECTION</v>
      </c>
      <c r="E759" s="49" t="s">
        <v>2352</v>
      </c>
      <c r="F759" s="49">
        <v>1.0</v>
      </c>
      <c r="G759" s="49">
        <f t="array" ref="G759">_xlfn.XLOOKUP(
 A759,
 tblCost[RequirementID],
 tblCost[QuantityRequired],
 ""
)</f>
        <v>9</v>
      </c>
      <c r="H759" s="49">
        <f t="array" ref="H759">IF(
 OR(
  LEFT(B759,15)="state.character",
  RIGHT(B759,6)=".maxed"
 ),
 0,
 LET(
  sort,
   _xlfn.XLOOKUP(
    B759,
    tblChecklist[TargetID],
    tblChecklist[PlayerSort],
    0
   ),
  IF(sort=0,500,sort)
 )
)</f>
        <v>500</v>
      </c>
      <c r="I759" s="49" t="str">
        <f t="array" ref="I759">_xlfn.XLOOKUP(
 B759,
 tblTargetStatus[TargetID],
 tblTargetStatus[Status],
 ""
)</f>
        <v>BLOCKED</v>
      </c>
      <c r="J759" s="45" t="b">
        <v>0</v>
      </c>
    </row>
    <row r="760" ht="14.25" hidden="1" customHeight="1">
      <c r="A760" s="49" t="s">
        <v>2386</v>
      </c>
      <c r="B760" s="49" t="str">
        <f>IFERROR(__xludf.DUMMYFUNCTION("REGEXREPLACE(
 REGEXREPLACE(A760,""^cost\."",""""),
 ""\.[^.]+\.[^.]+$"",
 """"
)"),"collection.armory_1@3")</f>
        <v>collection.armory_1@3</v>
      </c>
      <c r="C760" s="49" t="str">
        <f t="array" ref="C760">_xlfn.XLOOKUP(
 B760,
 tblTargets[TargetID],
 tblTargets[DisplayName],
 ""
)</f>
        <v>Armory 1 Lv 3</v>
      </c>
      <c r="D760" s="49" t="str">
        <f t="array" ref="D760">_xlfn.XLOOKUP(
 B760,
 tblTargets[TargetID],
 tblTargets[TargetType],
 ""
)</f>
        <v>COLLECTION</v>
      </c>
      <c r="E760" s="49" t="s">
        <v>2354</v>
      </c>
      <c r="F760" s="49">
        <v>1.0</v>
      </c>
      <c r="G760" s="49">
        <f t="array" ref="G760">_xlfn.XLOOKUP(
 A760,
 tblCost[RequirementID],
 tblCost[QuantityRequired],
 ""
)</f>
        <v>9</v>
      </c>
      <c r="H760" s="49">
        <f t="array" ref="H760">IF(
 OR(
  LEFT(B760,15)="state.character",
  RIGHT(B760,6)=".maxed"
 ),
 0,
 LET(
  sort,
   _xlfn.XLOOKUP(
    B760,
    tblChecklist[TargetID],
    tblChecklist[PlayerSort],
    0
   ),
  IF(sort=0,500,sort)
 )
)</f>
        <v>500</v>
      </c>
      <c r="I760" s="49" t="str">
        <f t="array" ref="I760">_xlfn.XLOOKUP(
 B760,
 tblTargetStatus[TargetID],
 tblTargetStatus[Status],
 ""
)</f>
        <v>BLOCKED</v>
      </c>
      <c r="J760" s="45" t="b">
        <v>0</v>
      </c>
    </row>
    <row r="761" ht="14.25" hidden="1" customHeight="1">
      <c r="A761" s="49" t="s">
        <v>2387</v>
      </c>
      <c r="B761" s="49" t="str">
        <f>IFERROR(__xludf.DUMMYFUNCTION("REGEXREPLACE(
 REGEXREPLACE(A761,""^cost\."",""""),
 ""\.[^.]+\.[^.]+$"",
 """"
)"),"collection.armory_1@3")</f>
        <v>collection.armory_1@3</v>
      </c>
      <c r="C761" s="49" t="str">
        <f t="array" ref="C761">_xlfn.XLOOKUP(
 B761,
 tblTargets[TargetID],
 tblTargets[DisplayName],
 ""
)</f>
        <v>Armory 1 Lv 3</v>
      </c>
      <c r="D761" s="49" t="str">
        <f t="array" ref="D761">_xlfn.XLOOKUP(
 B761,
 tblTargets[TargetID],
 tblTargets[TargetType],
 ""
)</f>
        <v>COLLECTION</v>
      </c>
      <c r="E761" s="49" t="s">
        <v>2356</v>
      </c>
      <c r="F761" s="49">
        <v>1.0</v>
      </c>
      <c r="G761" s="49">
        <f t="array" ref="G761">_xlfn.XLOOKUP(
 A761,
 tblCost[RequirementID],
 tblCost[QuantityRequired],
 ""
)</f>
        <v>9</v>
      </c>
      <c r="H761" s="49">
        <f t="array" ref="H761">IF(
 OR(
  LEFT(B761,15)="state.character",
  RIGHT(B761,6)=".maxed"
 ),
 0,
 LET(
  sort,
   _xlfn.XLOOKUP(
    B761,
    tblChecklist[TargetID],
    tblChecklist[PlayerSort],
    0
   ),
  IF(sort=0,500,sort)
 )
)</f>
        <v>500</v>
      </c>
      <c r="I761" s="49" t="str">
        <f t="array" ref="I761">_xlfn.XLOOKUP(
 B761,
 tblTargetStatus[TargetID],
 tblTargetStatus[Status],
 ""
)</f>
        <v>BLOCKED</v>
      </c>
      <c r="J761" s="45" t="b">
        <v>0</v>
      </c>
    </row>
    <row r="762" ht="14.25" hidden="1" customHeight="1">
      <c r="A762" s="49" t="s">
        <v>2388</v>
      </c>
      <c r="B762" s="49" t="str">
        <f>IFERROR(__xludf.DUMMYFUNCTION("REGEXREPLACE(
 REGEXREPLACE(A762,""^cost\."",""""),
 ""\.[^.]+\.[^.]+$"",
 """"
)"),"collection.armory_1@3")</f>
        <v>collection.armory_1@3</v>
      </c>
      <c r="C762" s="49" t="str">
        <f t="array" ref="C762">_xlfn.XLOOKUP(
 B762,
 tblTargets[TargetID],
 tblTargets[DisplayName],
 ""
)</f>
        <v>Armory 1 Lv 3</v>
      </c>
      <c r="D762" s="49" t="str">
        <f t="array" ref="D762">_xlfn.XLOOKUP(
 B762,
 tblTargets[TargetID],
 tblTargets[TargetType],
 ""
)</f>
        <v>COLLECTION</v>
      </c>
      <c r="E762" s="49" t="s">
        <v>2358</v>
      </c>
      <c r="F762" s="49">
        <v>1.0</v>
      </c>
      <c r="G762" s="49">
        <f t="array" ref="G762">_xlfn.XLOOKUP(
 A762,
 tblCost[RequirementID],
 tblCost[QuantityRequired],
 ""
)</f>
        <v>9</v>
      </c>
      <c r="H762" s="49">
        <f t="array" ref="H762">IF(
 OR(
  LEFT(B762,15)="state.character",
  RIGHT(B762,6)=".maxed"
 ),
 0,
 LET(
  sort,
   _xlfn.XLOOKUP(
    B762,
    tblChecklist[TargetID],
    tblChecklist[PlayerSort],
    0
   ),
  IF(sort=0,500,sort)
 )
)</f>
        <v>500</v>
      </c>
      <c r="I762" s="49" t="str">
        <f t="array" ref="I762">_xlfn.XLOOKUP(
 B762,
 tblTargetStatus[TargetID],
 tblTargetStatus[Status],
 ""
)</f>
        <v>BLOCKED</v>
      </c>
      <c r="J762" s="45" t="b">
        <v>0</v>
      </c>
    </row>
    <row r="763" ht="14.25" hidden="1" customHeight="1">
      <c r="A763" s="49" t="s">
        <v>2389</v>
      </c>
      <c r="B763" s="49" t="str">
        <f>IFERROR(__xludf.DUMMYFUNCTION("REGEXREPLACE(
 REGEXREPLACE(A763,""^cost\."",""""),
 ""\.[^.]+\.[^.]+$"",
 """"
)"),"collection.armory_1@3")</f>
        <v>collection.armory_1@3</v>
      </c>
      <c r="C763" s="49" t="str">
        <f t="array" ref="C763">_xlfn.XLOOKUP(
 B763,
 tblTargets[TargetID],
 tblTargets[DisplayName],
 ""
)</f>
        <v>Armory 1 Lv 3</v>
      </c>
      <c r="D763" s="49" t="str">
        <f t="array" ref="D763">_xlfn.XLOOKUP(
 B763,
 tblTargets[TargetID],
 tblTargets[TargetType],
 ""
)</f>
        <v>COLLECTION</v>
      </c>
      <c r="E763" s="49" t="s">
        <v>2360</v>
      </c>
      <c r="F763" s="49">
        <v>1.0</v>
      </c>
      <c r="G763" s="49">
        <f t="array" ref="G763">_xlfn.XLOOKUP(
 A763,
 tblCost[RequirementID],
 tblCost[QuantityRequired],
 ""
)</f>
        <v>9</v>
      </c>
      <c r="H763" s="49">
        <f t="array" ref="H763">IF(
 OR(
  LEFT(B763,15)="state.character",
  RIGHT(B763,6)=".maxed"
 ),
 0,
 LET(
  sort,
   _xlfn.XLOOKUP(
    B763,
    tblChecklist[TargetID],
    tblChecklist[PlayerSort],
    0
   ),
  IF(sort=0,500,sort)
 )
)</f>
        <v>500</v>
      </c>
      <c r="I763" s="49" t="str">
        <f t="array" ref="I763">_xlfn.XLOOKUP(
 B763,
 tblTargetStatus[TargetID],
 tblTargetStatus[Status],
 ""
)</f>
        <v>BLOCKED</v>
      </c>
      <c r="J763" s="45" t="b">
        <v>0</v>
      </c>
    </row>
    <row r="764" ht="14.25" hidden="1" customHeight="1">
      <c r="A764" s="49" t="s">
        <v>2390</v>
      </c>
      <c r="B764" s="49" t="str">
        <f>IFERROR(__xludf.DUMMYFUNCTION("REGEXREPLACE(
 REGEXREPLACE(A764,""^cost\."",""""),
 ""\.[^.]+\.[^.]+$"",
 """"
)"),"collection.armory_1@3")</f>
        <v>collection.armory_1@3</v>
      </c>
      <c r="C764" s="49" t="str">
        <f t="array" ref="C764">_xlfn.XLOOKUP(
 B764,
 tblTargets[TargetID],
 tblTargets[DisplayName],
 ""
)</f>
        <v>Armory 1 Lv 3</v>
      </c>
      <c r="D764" s="49" t="str">
        <f t="array" ref="D764">_xlfn.XLOOKUP(
 B764,
 tblTargets[TargetID],
 tblTargets[TargetType],
 ""
)</f>
        <v>COLLECTION</v>
      </c>
      <c r="E764" s="49" t="s">
        <v>2362</v>
      </c>
      <c r="F764" s="49">
        <v>1.0</v>
      </c>
      <c r="G764" s="49">
        <f t="array" ref="G764">_xlfn.XLOOKUP(
 A764,
 tblCost[RequirementID],
 tblCost[QuantityRequired],
 ""
)</f>
        <v>9</v>
      </c>
      <c r="H764" s="49">
        <f t="array" ref="H764">IF(
 OR(
  LEFT(B764,15)="state.character",
  RIGHT(B764,6)=".maxed"
 ),
 0,
 LET(
  sort,
   _xlfn.XLOOKUP(
    B764,
    tblChecklist[TargetID],
    tblChecklist[PlayerSort],
    0
   ),
  IF(sort=0,500,sort)
 )
)</f>
        <v>500</v>
      </c>
      <c r="I764" s="49" t="str">
        <f t="array" ref="I764">_xlfn.XLOOKUP(
 B764,
 tblTargetStatus[TargetID],
 tblTargetStatus[Status],
 ""
)</f>
        <v>BLOCKED</v>
      </c>
      <c r="J764" s="45" t="b">
        <v>0</v>
      </c>
    </row>
    <row r="765" ht="14.25" hidden="1" customHeight="1">
      <c r="A765" s="49" t="s">
        <v>2391</v>
      </c>
      <c r="B765" s="49" t="str">
        <f>IFERROR(__xludf.DUMMYFUNCTION("REGEXREPLACE(
 REGEXREPLACE(A765,""^cost\."",""""),
 ""\.[^.]+\.[^.]+$"",
 """"
)"),"collection.armory_1@3")</f>
        <v>collection.armory_1@3</v>
      </c>
      <c r="C765" s="49" t="str">
        <f t="array" ref="C765">_xlfn.XLOOKUP(
 B765,
 tblTargets[TargetID],
 tblTargets[DisplayName],
 ""
)</f>
        <v>Armory 1 Lv 3</v>
      </c>
      <c r="D765" s="49" t="str">
        <f t="array" ref="D765">_xlfn.XLOOKUP(
 B765,
 tblTargets[TargetID],
 tblTargets[TargetType],
 ""
)</f>
        <v>COLLECTION</v>
      </c>
      <c r="E765" s="49" t="s">
        <v>2364</v>
      </c>
      <c r="F765" s="49">
        <v>1.0</v>
      </c>
      <c r="G765" s="49">
        <f t="array" ref="G765">_xlfn.XLOOKUP(
 A765,
 tblCost[RequirementID],
 tblCost[QuantityRequired],
 ""
)</f>
        <v>9</v>
      </c>
      <c r="H765" s="49">
        <f t="array" ref="H765">IF(
 OR(
  LEFT(B765,15)="state.character",
  RIGHT(B765,6)=".maxed"
 ),
 0,
 LET(
  sort,
   _xlfn.XLOOKUP(
    B765,
    tblChecklist[TargetID],
    tblChecklist[PlayerSort],
    0
   ),
  IF(sort=0,500,sort)
 )
)</f>
        <v>500</v>
      </c>
      <c r="I765" s="49" t="str">
        <f t="array" ref="I765">_xlfn.XLOOKUP(
 B765,
 tblTargetStatus[TargetID],
 tblTargetStatus[Status],
 ""
)</f>
        <v>BLOCKED</v>
      </c>
      <c r="J765" s="45" t="b">
        <v>0</v>
      </c>
    </row>
    <row r="766" ht="14.25" hidden="1" customHeight="1">
      <c r="A766" s="49" t="s">
        <v>2392</v>
      </c>
      <c r="B766" s="49" t="str">
        <f>IFERROR(__xludf.DUMMYFUNCTION("REGEXREPLACE(
 REGEXREPLACE(A766,""^cost\."",""""),
 ""\.[^.]+\.[^.]+$"",
 """"
)"),"collection.armory_1@3")</f>
        <v>collection.armory_1@3</v>
      </c>
      <c r="C766" s="49" t="str">
        <f t="array" ref="C766">_xlfn.XLOOKUP(
 B766,
 tblTargets[TargetID],
 tblTargets[DisplayName],
 ""
)</f>
        <v>Armory 1 Lv 3</v>
      </c>
      <c r="D766" s="49" t="str">
        <f t="array" ref="D766">_xlfn.XLOOKUP(
 B766,
 tblTargets[TargetID],
 tblTargets[TargetType],
 ""
)</f>
        <v>COLLECTION</v>
      </c>
      <c r="E766" s="49" t="s">
        <v>2366</v>
      </c>
      <c r="F766" s="49">
        <v>1.0</v>
      </c>
      <c r="G766" s="49">
        <f t="array" ref="G766">_xlfn.XLOOKUP(
 A766,
 tblCost[RequirementID],
 tblCost[QuantityRequired],
 ""
)</f>
        <v>9</v>
      </c>
      <c r="H766" s="49">
        <f t="array" ref="H766">IF(
 OR(
  LEFT(B766,15)="state.character",
  RIGHT(B766,6)=".maxed"
 ),
 0,
 LET(
  sort,
   _xlfn.XLOOKUP(
    B766,
    tblChecklist[TargetID],
    tblChecklist[PlayerSort],
    0
   ),
  IF(sort=0,500,sort)
 )
)</f>
        <v>500</v>
      </c>
      <c r="I766" s="49" t="str">
        <f t="array" ref="I766">_xlfn.XLOOKUP(
 B766,
 tblTargetStatus[TargetID],
 tblTargetStatus[Status],
 ""
)</f>
        <v>BLOCKED</v>
      </c>
      <c r="J766" s="45" t="b">
        <v>0</v>
      </c>
    </row>
    <row r="767" ht="14.25" hidden="1" customHeight="1">
      <c r="A767" s="49" t="s">
        <v>2393</v>
      </c>
      <c r="B767" s="49" t="str">
        <f>IFERROR(__xludf.DUMMYFUNCTION("REGEXREPLACE(
 REGEXREPLACE(A767,""^cost\."",""""),
 ""\.[^.]+\.[^.]+$"",
 """"
)"),"collection.armory_1@3")</f>
        <v>collection.armory_1@3</v>
      </c>
      <c r="C767" s="49" t="str">
        <f t="array" ref="C767">_xlfn.XLOOKUP(
 B767,
 tblTargets[TargetID],
 tblTargets[DisplayName],
 ""
)</f>
        <v>Armory 1 Lv 3</v>
      </c>
      <c r="D767" s="49" t="str">
        <f t="array" ref="D767">_xlfn.XLOOKUP(
 B767,
 tblTargets[TargetID],
 tblTargets[TargetType],
 ""
)</f>
        <v>COLLECTION</v>
      </c>
      <c r="E767" s="49" t="s">
        <v>2368</v>
      </c>
      <c r="F767" s="49">
        <v>1.0</v>
      </c>
      <c r="G767" s="49">
        <f t="array" ref="G767">_xlfn.XLOOKUP(
 A767,
 tblCost[RequirementID],
 tblCost[QuantityRequired],
 ""
)</f>
        <v>9</v>
      </c>
      <c r="H767" s="49">
        <f t="array" ref="H767">IF(
 OR(
  LEFT(B767,15)="state.character",
  RIGHT(B767,6)=".maxed"
 ),
 0,
 LET(
  sort,
   _xlfn.XLOOKUP(
    B767,
    tblChecklist[TargetID],
    tblChecklist[PlayerSort],
    0
   ),
  IF(sort=0,500,sort)
 )
)</f>
        <v>500</v>
      </c>
      <c r="I767" s="49" t="str">
        <f t="array" ref="I767">_xlfn.XLOOKUP(
 B767,
 tblTargetStatus[TargetID],
 tblTargetStatus[Status],
 ""
)</f>
        <v>BLOCKED</v>
      </c>
      <c r="J767" s="45" t="b">
        <v>0</v>
      </c>
    </row>
    <row r="768" ht="14.25" hidden="1" customHeight="1">
      <c r="A768" s="49" t="s">
        <v>2394</v>
      </c>
      <c r="B768" s="49" t="str">
        <f>IFERROR(__xludf.DUMMYFUNCTION("REGEXREPLACE(
 REGEXREPLACE(A768,""^cost\."",""""),
 ""\.[^.]+\.[^.]+$"",
 """"
)"),"collection.armory_1@3")</f>
        <v>collection.armory_1@3</v>
      </c>
      <c r="C768" s="49" t="str">
        <f t="array" ref="C768">_xlfn.XLOOKUP(
 B768,
 tblTargets[TargetID],
 tblTargets[DisplayName],
 ""
)</f>
        <v>Armory 1 Lv 3</v>
      </c>
      <c r="D768" s="49" t="str">
        <f t="array" ref="D768">_xlfn.XLOOKUP(
 B768,
 tblTargets[TargetID],
 tblTargets[TargetType],
 ""
)</f>
        <v>COLLECTION</v>
      </c>
      <c r="E768" s="49" t="s">
        <v>2370</v>
      </c>
      <c r="F768" s="49">
        <v>1.0</v>
      </c>
      <c r="G768" s="49">
        <f t="array" ref="G768">_xlfn.XLOOKUP(
 A768,
 tblCost[RequirementID],
 tblCost[QuantityRequired],
 ""
)</f>
        <v>9</v>
      </c>
      <c r="H768" s="49">
        <f t="array" ref="H768">IF(
 OR(
  LEFT(B768,15)="state.character",
  RIGHT(B768,6)=".maxed"
 ),
 0,
 LET(
  sort,
   _xlfn.XLOOKUP(
    B768,
    tblChecklist[TargetID],
    tblChecklist[PlayerSort],
    0
   ),
  IF(sort=0,500,sort)
 )
)</f>
        <v>500</v>
      </c>
      <c r="I768" s="49" t="str">
        <f t="array" ref="I768">_xlfn.XLOOKUP(
 B768,
 tblTargetStatus[TargetID],
 tblTargetStatus[Status],
 ""
)</f>
        <v>BLOCKED</v>
      </c>
      <c r="J768" s="45" t="b">
        <v>0</v>
      </c>
    </row>
    <row r="769" ht="14.25" hidden="1" customHeight="1">
      <c r="A769" s="49" t="s">
        <v>2395</v>
      </c>
      <c r="B769" s="49" t="str">
        <f>IFERROR(__xludf.DUMMYFUNCTION("REGEXREPLACE(
 REGEXREPLACE(A769,""^cost\."",""""),
 ""\.[^.]+\.[^.]+$"",
 """"
)"),"collection.armory_2@1")</f>
        <v>collection.armory_2@1</v>
      </c>
      <c r="C769" s="49" t="str">
        <f t="array" ref="C769">_xlfn.XLOOKUP(
 B769,
 tblTargets[TargetID],
 tblTargets[DisplayName],
 ""
)</f>
        <v>Armory 2 Lv 1</v>
      </c>
      <c r="D769" s="49" t="str">
        <f t="array" ref="D769">_xlfn.XLOOKUP(
 B769,
 tblTargets[TargetID],
 tblTargets[TargetType],
 ""
)</f>
        <v>COLLECTION</v>
      </c>
      <c r="E769" s="49" t="s">
        <v>2396</v>
      </c>
      <c r="F769" s="49">
        <v>1.0</v>
      </c>
      <c r="G769" s="49">
        <f t="array" ref="G769">_xlfn.XLOOKUP(
 A769,
 tblCost[RequirementID],
 tblCost[QuantityRequired],
 ""
)</f>
        <v>3</v>
      </c>
      <c r="H769" s="49">
        <f t="array" ref="H769">IF(
 OR(
  LEFT(B769,15)="state.character",
  RIGHT(B769,6)=".maxed"
 ),
 0,
 LET(
  sort,
   _xlfn.XLOOKUP(
    B769,
    tblChecklist[TargetID],
    tblChecklist[PlayerSort],
    0
   ),
  IF(sort=0,500,sort)
 )
)</f>
        <v>500</v>
      </c>
      <c r="I769" s="49" t="str">
        <f t="array" ref="I769">_xlfn.XLOOKUP(
 B769,
 tblTargetStatus[TargetID],
 tblTargetStatus[Status],
 ""
)</f>
        <v>BLOCKED</v>
      </c>
      <c r="J769" s="45" t="b">
        <v>0</v>
      </c>
    </row>
    <row r="770" ht="14.25" hidden="1" customHeight="1">
      <c r="A770" s="49" t="s">
        <v>2397</v>
      </c>
      <c r="B770" s="49" t="str">
        <f>IFERROR(__xludf.DUMMYFUNCTION("REGEXREPLACE(
 REGEXREPLACE(A770,""^cost\."",""""),
 ""\.[^.]+\.[^.]+$"",
 """"
)"),"collection.armory_2@1")</f>
        <v>collection.armory_2@1</v>
      </c>
      <c r="C770" s="49" t="str">
        <f t="array" ref="C770">_xlfn.XLOOKUP(
 B770,
 tblTargets[TargetID],
 tblTargets[DisplayName],
 ""
)</f>
        <v>Armory 2 Lv 1</v>
      </c>
      <c r="D770" s="49" t="str">
        <f t="array" ref="D770">_xlfn.XLOOKUP(
 B770,
 tblTargets[TargetID],
 tblTargets[TargetType],
 ""
)</f>
        <v>COLLECTION</v>
      </c>
      <c r="E770" s="49" t="s">
        <v>2398</v>
      </c>
      <c r="F770" s="49">
        <v>1.0</v>
      </c>
      <c r="G770" s="49">
        <f t="array" ref="G770">_xlfn.XLOOKUP(
 A770,
 tblCost[RequirementID],
 tblCost[QuantityRequired],
 ""
)</f>
        <v>3</v>
      </c>
      <c r="H770" s="49">
        <f t="array" ref="H770">IF(
 OR(
  LEFT(B770,15)="state.character",
  RIGHT(B770,6)=".maxed"
 ),
 0,
 LET(
  sort,
   _xlfn.XLOOKUP(
    B770,
    tblChecklist[TargetID],
    tblChecklist[PlayerSort],
    0
   ),
  IF(sort=0,500,sort)
 )
)</f>
        <v>500</v>
      </c>
      <c r="I770" s="49" t="str">
        <f t="array" ref="I770">_xlfn.XLOOKUP(
 B770,
 tblTargetStatus[TargetID],
 tblTargetStatus[Status],
 ""
)</f>
        <v>BLOCKED</v>
      </c>
      <c r="J770" s="45" t="b">
        <v>0</v>
      </c>
    </row>
    <row r="771" ht="14.25" hidden="1" customHeight="1">
      <c r="A771" s="49" t="s">
        <v>2399</v>
      </c>
      <c r="B771" s="49" t="str">
        <f>IFERROR(__xludf.DUMMYFUNCTION("REGEXREPLACE(
 REGEXREPLACE(A771,""^cost\."",""""),
 ""\.[^.]+\.[^.]+$"",
 """"
)"),"collection.armory_2@1")</f>
        <v>collection.armory_2@1</v>
      </c>
      <c r="C771" s="49" t="str">
        <f t="array" ref="C771">_xlfn.XLOOKUP(
 B771,
 tblTargets[TargetID],
 tblTargets[DisplayName],
 ""
)</f>
        <v>Armory 2 Lv 1</v>
      </c>
      <c r="D771" s="49" t="str">
        <f t="array" ref="D771">_xlfn.XLOOKUP(
 B771,
 tblTargets[TargetID],
 tblTargets[TargetType],
 ""
)</f>
        <v>COLLECTION</v>
      </c>
      <c r="E771" s="49" t="s">
        <v>2400</v>
      </c>
      <c r="F771" s="49">
        <v>1.0</v>
      </c>
      <c r="G771" s="49">
        <f t="array" ref="G771">_xlfn.XLOOKUP(
 A771,
 tblCost[RequirementID],
 tblCost[QuantityRequired],
 ""
)</f>
        <v>3</v>
      </c>
      <c r="H771" s="49">
        <f t="array" ref="H771">IF(
 OR(
  LEFT(B771,15)="state.character",
  RIGHT(B771,6)=".maxed"
 ),
 0,
 LET(
  sort,
   _xlfn.XLOOKUP(
    B771,
    tblChecklist[TargetID],
    tblChecklist[PlayerSort],
    0
   ),
  IF(sort=0,500,sort)
 )
)</f>
        <v>500</v>
      </c>
      <c r="I771" s="49" t="str">
        <f t="array" ref="I771">_xlfn.XLOOKUP(
 B771,
 tblTargetStatus[TargetID],
 tblTargetStatus[Status],
 ""
)</f>
        <v>BLOCKED</v>
      </c>
      <c r="J771" s="45" t="b">
        <v>0</v>
      </c>
    </row>
    <row r="772" ht="14.25" hidden="1" customHeight="1">
      <c r="A772" s="49" t="s">
        <v>2401</v>
      </c>
      <c r="B772" s="49" t="str">
        <f>IFERROR(__xludf.DUMMYFUNCTION("REGEXREPLACE(
 REGEXREPLACE(A772,""^cost\."",""""),
 ""\.[^.]+\.[^.]+$"",
 """"
)"),"collection.attic@1")</f>
        <v>collection.attic@1</v>
      </c>
      <c r="C772" s="49" t="str">
        <f t="array" ref="C772">_xlfn.XLOOKUP(
 B772,
 tblTargets[TargetID],
 tblTargets[DisplayName],
 ""
)</f>
        <v>Attic Lv 1</v>
      </c>
      <c r="D772" s="49" t="str">
        <f t="array" ref="D772">_xlfn.XLOOKUP(
 B772,
 tblTargets[TargetID],
 tblTargets[TargetType],
 ""
)</f>
        <v>COLLECTION</v>
      </c>
      <c r="E772" s="49" t="s">
        <v>1066</v>
      </c>
      <c r="F772" s="49">
        <v>1.0</v>
      </c>
      <c r="G772" s="49">
        <f t="array" ref="G772">_xlfn.XLOOKUP(
 A772,
 tblCost[RequirementID],
 tblCost[QuantityRequired],
 ""
)</f>
        <v>3</v>
      </c>
      <c r="H772" s="49">
        <f t="array" ref="H772">IF(
 OR(
  LEFT(B772,15)="state.character",
  RIGHT(B772,6)=".maxed"
 ),
 0,
 LET(
  sort,
   _xlfn.XLOOKUP(
    B772,
    tblChecklist[TargetID],
    tblChecklist[PlayerSort],
    0
   ),
  IF(sort=0,500,sort)
 )
)</f>
        <v>500</v>
      </c>
      <c r="I772" s="49" t="str">
        <f t="array" ref="I772">_xlfn.XLOOKUP(
 B772,
 tblTargetStatus[TargetID],
 tblTargetStatus[Status],
 ""
)</f>
        <v>BLOCKED</v>
      </c>
      <c r="J772" s="45" t="b">
        <v>0</v>
      </c>
    </row>
    <row r="773" ht="14.25" hidden="1" customHeight="1">
      <c r="A773" s="49" t="s">
        <v>2402</v>
      </c>
      <c r="B773" s="49" t="str">
        <f>IFERROR(__xludf.DUMMYFUNCTION("REGEXREPLACE(
 REGEXREPLACE(A773,""^cost\."",""""),
 ""\.[^.]+\.[^.]+$"",
 """"
)"),"collection.attic@1")</f>
        <v>collection.attic@1</v>
      </c>
      <c r="C773" s="49" t="str">
        <f t="array" ref="C773">_xlfn.XLOOKUP(
 B773,
 tblTargets[TargetID],
 tblTargets[DisplayName],
 ""
)</f>
        <v>Attic Lv 1</v>
      </c>
      <c r="D773" s="49" t="str">
        <f t="array" ref="D773">_xlfn.XLOOKUP(
 B773,
 tblTargets[TargetID],
 tblTargets[TargetType],
 ""
)</f>
        <v>COLLECTION</v>
      </c>
      <c r="E773" s="49" t="s">
        <v>171</v>
      </c>
      <c r="F773" s="49">
        <v>1.0</v>
      </c>
      <c r="G773" s="49">
        <f t="array" ref="G773">_xlfn.XLOOKUP(
 A773,
 tblCost[RequirementID],
 tblCost[QuantityRequired],
 ""
)</f>
        <v>20</v>
      </c>
      <c r="H773" s="49">
        <f t="array" ref="H773">IF(
 OR(
  LEFT(B773,15)="state.character",
  RIGHT(B773,6)=".maxed"
 ),
 0,
 LET(
  sort,
   _xlfn.XLOOKUP(
    B773,
    tblChecklist[TargetID],
    tblChecklist[PlayerSort],
    0
   ),
  IF(sort=0,500,sort)
 )
)</f>
        <v>500</v>
      </c>
      <c r="I773" s="49" t="str">
        <f t="array" ref="I773">_xlfn.XLOOKUP(
 B773,
 tblTargetStatus[TargetID],
 tblTargetStatus[Status],
 ""
)</f>
        <v>BLOCKED</v>
      </c>
      <c r="J773" s="45" t="b">
        <v>0</v>
      </c>
    </row>
    <row r="774" ht="14.25" hidden="1" customHeight="1">
      <c r="A774" s="49" t="s">
        <v>2403</v>
      </c>
      <c r="B774" s="49" t="str">
        <f>IFERROR(__xludf.DUMMYFUNCTION("REGEXREPLACE(
 REGEXREPLACE(A774,""^cost\."",""""),
 ""\.[^.]+\.[^.]+$"",
 """"
)"),"collection.attic@1")</f>
        <v>collection.attic@1</v>
      </c>
      <c r="C774" s="49" t="str">
        <f t="array" ref="C774">_xlfn.XLOOKUP(
 B774,
 tblTargets[TargetID],
 tblTargets[DisplayName],
 ""
)</f>
        <v>Attic Lv 1</v>
      </c>
      <c r="D774" s="49" t="str">
        <f t="array" ref="D774">_xlfn.XLOOKUP(
 B774,
 tblTargets[TargetID],
 tblTargets[TargetType],
 ""
)</f>
        <v>COLLECTION</v>
      </c>
      <c r="E774" s="49" t="s">
        <v>2404</v>
      </c>
      <c r="F774" s="49">
        <v>1.0</v>
      </c>
      <c r="G774" s="49">
        <f t="array" ref="G774">_xlfn.XLOOKUP(
 A774,
 tblCost[RequirementID],
 tblCost[QuantityRequired],
 ""
)</f>
        <v>3</v>
      </c>
      <c r="H774" s="49">
        <f t="array" ref="H774">IF(
 OR(
  LEFT(B774,15)="state.character",
  RIGHT(B774,6)=".maxed"
 ),
 0,
 LET(
  sort,
   _xlfn.XLOOKUP(
    B774,
    tblChecklist[TargetID],
    tblChecklist[PlayerSort],
    0
   ),
  IF(sort=0,500,sort)
 )
)</f>
        <v>500</v>
      </c>
      <c r="I774" s="49" t="str">
        <f t="array" ref="I774">_xlfn.XLOOKUP(
 B774,
 tblTargetStatus[TargetID],
 tblTargetStatus[Status],
 ""
)</f>
        <v>BLOCKED</v>
      </c>
      <c r="J774" s="45" t="b">
        <v>0</v>
      </c>
    </row>
    <row r="775" ht="14.25" hidden="1" customHeight="1">
      <c r="A775" s="49" t="s">
        <v>2405</v>
      </c>
      <c r="B775" s="49" t="str">
        <f>IFERROR(__xludf.DUMMYFUNCTION("REGEXREPLACE(
 REGEXREPLACE(A775,""^cost\."",""""),
 ""\.[^.]+\.[^.]+$"",
 """"
)"),"collection.attic@1")</f>
        <v>collection.attic@1</v>
      </c>
      <c r="C775" s="49" t="str">
        <f t="array" ref="C775">_xlfn.XLOOKUP(
 B775,
 tblTargets[TargetID],
 tblTargets[DisplayName],
 ""
)</f>
        <v>Attic Lv 1</v>
      </c>
      <c r="D775" s="49" t="str">
        <f t="array" ref="D775">_xlfn.XLOOKUP(
 B775,
 tblTargets[TargetID],
 tblTargets[TargetType],
 ""
)</f>
        <v>COLLECTION</v>
      </c>
      <c r="E775" s="49" t="s">
        <v>1922</v>
      </c>
      <c r="F775" s="49">
        <v>1.0</v>
      </c>
      <c r="G775" s="49">
        <f t="array" ref="G775">_xlfn.XLOOKUP(
 A775,
 tblCost[RequirementID],
 tblCost[QuantityRequired],
 ""
)</f>
        <v>10</v>
      </c>
      <c r="H775" s="49">
        <f t="array" ref="H775">IF(
 OR(
  LEFT(B775,15)="state.character",
  RIGHT(B775,6)=".maxed"
 ),
 0,
 LET(
  sort,
   _xlfn.XLOOKUP(
    B775,
    tblChecklist[TargetID],
    tblChecklist[PlayerSort],
    0
   ),
  IF(sort=0,500,sort)
 )
)</f>
        <v>500</v>
      </c>
      <c r="I775" s="49" t="str">
        <f t="array" ref="I775">_xlfn.XLOOKUP(
 B775,
 tblTargetStatus[TargetID],
 tblTargetStatus[Status],
 ""
)</f>
        <v>BLOCKED</v>
      </c>
      <c r="J775" s="45" t="b">
        <v>0</v>
      </c>
    </row>
    <row r="776" ht="14.25" hidden="1" customHeight="1">
      <c r="A776" s="49" t="s">
        <v>2406</v>
      </c>
      <c r="B776" s="49" t="str">
        <f>IFERROR(__xludf.DUMMYFUNCTION("REGEXREPLACE(
 REGEXREPLACE(A776,""^cost\."",""""),
 ""\.[^.]+\.[^.]+$"",
 """"
)"),"collection.attic@1")</f>
        <v>collection.attic@1</v>
      </c>
      <c r="C776" s="49" t="str">
        <f t="array" ref="C776">_xlfn.XLOOKUP(
 B776,
 tblTargets[TargetID],
 tblTargets[DisplayName],
 ""
)</f>
        <v>Attic Lv 1</v>
      </c>
      <c r="D776" s="49" t="str">
        <f t="array" ref="D776">_xlfn.XLOOKUP(
 B776,
 tblTargets[TargetID],
 tblTargets[TargetType],
 ""
)</f>
        <v>COLLECTION</v>
      </c>
      <c r="E776" s="49" t="s">
        <v>2083</v>
      </c>
      <c r="F776" s="49">
        <v>1.0</v>
      </c>
      <c r="G776" s="49">
        <f t="array" ref="G776">_xlfn.XLOOKUP(
 A776,
 tblCost[RequirementID],
 tblCost[QuantityRequired],
 ""
)</f>
        <v>3</v>
      </c>
      <c r="H776" s="49">
        <f t="array" ref="H776">IF(
 OR(
  LEFT(B776,15)="state.character",
  RIGHT(B776,6)=".maxed"
 ),
 0,
 LET(
  sort,
   _xlfn.XLOOKUP(
    B776,
    tblChecklist[TargetID],
    tblChecklist[PlayerSort],
    0
   ),
  IF(sort=0,500,sort)
 )
)</f>
        <v>500</v>
      </c>
      <c r="I776" s="49" t="str">
        <f t="array" ref="I776">_xlfn.XLOOKUP(
 B776,
 tblTargetStatus[TargetID],
 tblTargetStatus[Status],
 ""
)</f>
        <v>BLOCKED</v>
      </c>
      <c r="J776" s="45" t="b">
        <v>0</v>
      </c>
    </row>
    <row r="777" ht="14.25" hidden="1" customHeight="1">
      <c r="A777" s="49" t="s">
        <v>2407</v>
      </c>
      <c r="B777" s="49" t="str">
        <f>IFERROR(__xludf.DUMMYFUNCTION("REGEXREPLACE(
 REGEXREPLACE(A777,""^cost\."",""""),
 ""\.[^.]+\.[^.]+$"",
 """"
)"),"collection.attic@1")</f>
        <v>collection.attic@1</v>
      </c>
      <c r="C777" s="49" t="str">
        <f t="array" ref="C777">_xlfn.XLOOKUP(
 B777,
 tblTargets[TargetID],
 tblTargets[DisplayName],
 ""
)</f>
        <v>Attic Lv 1</v>
      </c>
      <c r="D777" s="49" t="str">
        <f t="array" ref="D777">_xlfn.XLOOKUP(
 B777,
 tblTargets[TargetID],
 tblTargets[TargetType],
 ""
)</f>
        <v>COLLECTION</v>
      </c>
      <c r="E777" s="49" t="s">
        <v>1095</v>
      </c>
      <c r="F777" s="49">
        <v>1.0</v>
      </c>
      <c r="G777" s="49">
        <f t="array" ref="G777">_xlfn.XLOOKUP(
 A777,
 tblCost[RequirementID],
 tblCost[QuantityRequired],
 ""
)</f>
        <v>3</v>
      </c>
      <c r="H777" s="49">
        <f t="array" ref="H777">IF(
 OR(
  LEFT(B777,15)="state.character",
  RIGHT(B777,6)=".maxed"
 ),
 0,
 LET(
  sort,
   _xlfn.XLOOKUP(
    B777,
    tblChecklist[TargetID],
    tblChecklist[PlayerSort],
    0
   ),
  IF(sort=0,500,sort)
 )
)</f>
        <v>500</v>
      </c>
      <c r="I777" s="49" t="str">
        <f t="array" ref="I777">_xlfn.XLOOKUP(
 B777,
 tblTargetStatus[TargetID],
 tblTargetStatus[Status],
 ""
)</f>
        <v>BLOCKED</v>
      </c>
      <c r="J777" s="45" t="b">
        <v>0</v>
      </c>
    </row>
    <row r="778" ht="14.25" hidden="1" customHeight="1">
      <c r="A778" s="49" t="s">
        <v>2408</v>
      </c>
      <c r="B778" s="49" t="str">
        <f>IFERROR(__xludf.DUMMYFUNCTION("REGEXREPLACE(
 REGEXREPLACE(A778,""^cost\."",""""),
 ""\.[^.]+\.[^.]+$"",
 """"
)"),"collection.attic@1")</f>
        <v>collection.attic@1</v>
      </c>
      <c r="C778" s="49" t="str">
        <f t="array" ref="C778">_xlfn.XLOOKUP(
 B778,
 tblTargets[TargetID],
 tblTargets[DisplayName],
 ""
)</f>
        <v>Attic Lv 1</v>
      </c>
      <c r="D778" s="49" t="str">
        <f t="array" ref="D778">_xlfn.XLOOKUP(
 B778,
 tblTargets[TargetID],
 tblTargets[TargetType],
 ""
)</f>
        <v>COLLECTION</v>
      </c>
      <c r="E778" s="49" t="s">
        <v>1948</v>
      </c>
      <c r="F778" s="49">
        <v>1.0</v>
      </c>
      <c r="G778" s="49">
        <f t="array" ref="G778">_xlfn.XLOOKUP(
 A778,
 tblCost[RequirementID],
 tblCost[QuantityRequired],
 ""
)</f>
        <v>3</v>
      </c>
      <c r="H778" s="49">
        <f t="array" ref="H778">IF(
 OR(
  LEFT(B778,15)="state.character",
  RIGHT(B778,6)=".maxed"
 ),
 0,
 LET(
  sort,
   _xlfn.XLOOKUP(
    B778,
    tblChecklist[TargetID],
    tblChecklist[PlayerSort],
    0
   ),
  IF(sort=0,500,sort)
 )
)</f>
        <v>500</v>
      </c>
      <c r="I778" s="49" t="str">
        <f t="array" ref="I778">_xlfn.XLOOKUP(
 B778,
 tblTargetStatus[TargetID],
 tblTargetStatus[Status],
 ""
)</f>
        <v>BLOCKED</v>
      </c>
      <c r="J778" s="45" t="b">
        <v>0</v>
      </c>
    </row>
    <row r="779" ht="14.25" hidden="1" customHeight="1">
      <c r="A779" s="49" t="s">
        <v>2409</v>
      </c>
      <c r="B779" s="49" t="str">
        <f>IFERROR(__xludf.DUMMYFUNCTION("REGEXREPLACE(
 REGEXREPLACE(A779,""^cost\."",""""),
 ""\.[^.]+\.[^.]+$"",
 """"
)"),"collection.attic@1")</f>
        <v>collection.attic@1</v>
      </c>
      <c r="C779" s="49" t="str">
        <f t="array" ref="C779">_xlfn.XLOOKUP(
 B779,
 tblTargets[TargetID],
 tblTargets[DisplayName],
 ""
)</f>
        <v>Attic Lv 1</v>
      </c>
      <c r="D779" s="49" t="str">
        <f t="array" ref="D779">_xlfn.XLOOKUP(
 B779,
 tblTargets[TargetID],
 tblTargets[TargetType],
 ""
)</f>
        <v>COLLECTION</v>
      </c>
      <c r="E779" s="49" t="s">
        <v>2410</v>
      </c>
      <c r="F779" s="49">
        <v>1.0</v>
      </c>
      <c r="G779" s="49">
        <f t="array" ref="G779">_xlfn.XLOOKUP(
 A779,
 tblCost[RequirementID],
 tblCost[QuantityRequired],
 ""
)</f>
        <v>20</v>
      </c>
      <c r="H779" s="49">
        <f t="array" ref="H779">IF(
 OR(
  LEFT(B779,15)="state.character",
  RIGHT(B779,6)=".maxed"
 ),
 0,
 LET(
  sort,
   _xlfn.XLOOKUP(
    B779,
    tblChecklist[TargetID],
    tblChecklist[PlayerSort],
    0
   ),
  IF(sort=0,500,sort)
 )
)</f>
        <v>500</v>
      </c>
      <c r="I779" s="49" t="str">
        <f t="array" ref="I779">_xlfn.XLOOKUP(
 B779,
 tblTargetStatus[TargetID],
 tblTargetStatus[Status],
 ""
)</f>
        <v>BLOCKED</v>
      </c>
      <c r="J779" s="45" t="b">
        <v>0</v>
      </c>
    </row>
    <row r="780" ht="14.25" hidden="1" customHeight="1">
      <c r="A780" s="49" t="s">
        <v>2411</v>
      </c>
      <c r="B780" s="49" t="str">
        <f>IFERROR(__xludf.DUMMYFUNCTION("REGEXREPLACE(
 REGEXREPLACE(A780,""^cost\."",""""),
 ""\.[^.]+\.[^.]+$"",
 """"
)"),"collection.attic@1")</f>
        <v>collection.attic@1</v>
      </c>
      <c r="C780" s="49" t="str">
        <f t="array" ref="C780">_xlfn.XLOOKUP(
 B780,
 tblTargets[TargetID],
 tblTargets[DisplayName],
 ""
)</f>
        <v>Attic Lv 1</v>
      </c>
      <c r="D780" s="49" t="str">
        <f t="array" ref="D780">_xlfn.XLOOKUP(
 B780,
 tblTargets[TargetID],
 tblTargets[TargetType],
 ""
)</f>
        <v>COLLECTION</v>
      </c>
      <c r="E780" s="49" t="s">
        <v>2412</v>
      </c>
      <c r="F780" s="49">
        <v>1.0</v>
      </c>
      <c r="G780" s="49">
        <f t="array" ref="G780">_xlfn.XLOOKUP(
 A780,
 tblCost[RequirementID],
 tblCost[QuantityRequired],
 ""
)</f>
        <v>20</v>
      </c>
      <c r="H780" s="49">
        <f t="array" ref="H780">IF(
 OR(
  LEFT(B780,15)="state.character",
  RIGHT(B780,6)=".maxed"
 ),
 0,
 LET(
  sort,
   _xlfn.XLOOKUP(
    B780,
    tblChecklist[TargetID],
    tblChecklist[PlayerSort],
    0
   ),
  IF(sort=0,500,sort)
 )
)</f>
        <v>500</v>
      </c>
      <c r="I780" s="49" t="str">
        <f t="array" ref="I780">_xlfn.XLOOKUP(
 B780,
 tblTargetStatus[TargetID],
 tblTargetStatus[Status],
 ""
)</f>
        <v>BLOCKED</v>
      </c>
      <c r="J780" s="45" t="b">
        <v>0</v>
      </c>
    </row>
    <row r="781" ht="14.25" hidden="1" customHeight="1">
      <c r="A781" s="49" t="s">
        <v>2413</v>
      </c>
      <c r="B781" s="49" t="str">
        <f>IFERROR(__xludf.DUMMYFUNCTION("REGEXREPLACE(
 REGEXREPLACE(A781,""^cost\."",""""),
 ""\.[^.]+\.[^.]+$"",
 """"
)"),"collection.attic@2")</f>
        <v>collection.attic@2</v>
      </c>
      <c r="C781" s="49" t="str">
        <f t="array" ref="C781">_xlfn.XLOOKUP(
 B781,
 tblTargets[TargetID],
 tblTargets[DisplayName],
 ""
)</f>
        <v>Attic Lv 2</v>
      </c>
      <c r="D781" s="49" t="str">
        <f t="array" ref="D781">_xlfn.XLOOKUP(
 B781,
 tblTargets[TargetID],
 tblTargets[TargetType],
 ""
)</f>
        <v>COLLECTION</v>
      </c>
      <c r="E781" s="49" t="s">
        <v>1066</v>
      </c>
      <c r="F781" s="49">
        <v>1.0</v>
      </c>
      <c r="G781" s="49">
        <f t="array" ref="G781">_xlfn.XLOOKUP(
 A781,
 tblCost[RequirementID],
 tblCost[QuantityRequired],
 ""
)</f>
        <v>6</v>
      </c>
      <c r="H781" s="49">
        <f t="array" ref="H781">IF(
 OR(
  LEFT(B781,15)="state.character",
  RIGHT(B781,6)=".maxed"
 ),
 0,
 LET(
  sort,
   _xlfn.XLOOKUP(
    B781,
    tblChecklist[TargetID],
    tblChecklist[PlayerSort],
    0
   ),
  IF(sort=0,500,sort)
 )
)</f>
        <v>500</v>
      </c>
      <c r="I781" s="49" t="str">
        <f t="array" ref="I781">_xlfn.XLOOKUP(
 B781,
 tblTargetStatus[TargetID],
 tblTargetStatus[Status],
 ""
)</f>
        <v>BLOCKED</v>
      </c>
      <c r="J781" s="45" t="b">
        <v>0</v>
      </c>
    </row>
    <row r="782" ht="14.25" hidden="1" customHeight="1">
      <c r="A782" s="49" t="s">
        <v>2414</v>
      </c>
      <c r="B782" s="49" t="str">
        <f>IFERROR(__xludf.DUMMYFUNCTION("REGEXREPLACE(
 REGEXREPLACE(A782,""^cost\."",""""),
 ""\.[^.]+\.[^.]+$"",
 """"
)"),"collection.attic@2")</f>
        <v>collection.attic@2</v>
      </c>
      <c r="C782" s="49" t="str">
        <f t="array" ref="C782">_xlfn.XLOOKUP(
 B782,
 tblTargets[TargetID],
 tblTargets[DisplayName],
 ""
)</f>
        <v>Attic Lv 2</v>
      </c>
      <c r="D782" s="49" t="str">
        <f t="array" ref="D782">_xlfn.XLOOKUP(
 B782,
 tblTargets[TargetID],
 tblTargets[TargetType],
 ""
)</f>
        <v>COLLECTION</v>
      </c>
      <c r="E782" s="49" t="s">
        <v>171</v>
      </c>
      <c r="F782" s="49">
        <v>1.0</v>
      </c>
      <c r="G782" s="49">
        <f t="array" ref="G782">_xlfn.XLOOKUP(
 A782,
 tblCost[RequirementID],
 tblCost[QuantityRequired],
 ""
)</f>
        <v>40</v>
      </c>
      <c r="H782" s="49">
        <f t="array" ref="H782">IF(
 OR(
  LEFT(B782,15)="state.character",
  RIGHT(B782,6)=".maxed"
 ),
 0,
 LET(
  sort,
   _xlfn.XLOOKUP(
    B782,
    tblChecklist[TargetID],
    tblChecklist[PlayerSort],
    0
   ),
  IF(sort=0,500,sort)
 )
)</f>
        <v>500</v>
      </c>
      <c r="I782" s="49" t="str">
        <f t="array" ref="I782">_xlfn.XLOOKUP(
 B782,
 tblTargetStatus[TargetID],
 tblTargetStatus[Status],
 ""
)</f>
        <v>BLOCKED</v>
      </c>
      <c r="J782" s="45" t="b">
        <v>0</v>
      </c>
    </row>
    <row r="783" ht="14.25" hidden="1" customHeight="1">
      <c r="A783" s="49" t="s">
        <v>2415</v>
      </c>
      <c r="B783" s="49" t="str">
        <f>IFERROR(__xludf.DUMMYFUNCTION("REGEXREPLACE(
 REGEXREPLACE(A783,""^cost\."",""""),
 ""\.[^.]+\.[^.]+$"",
 """"
)"),"collection.attic@2")</f>
        <v>collection.attic@2</v>
      </c>
      <c r="C783" s="49" t="str">
        <f t="array" ref="C783">_xlfn.XLOOKUP(
 B783,
 tblTargets[TargetID],
 tblTargets[DisplayName],
 ""
)</f>
        <v>Attic Lv 2</v>
      </c>
      <c r="D783" s="49" t="str">
        <f t="array" ref="D783">_xlfn.XLOOKUP(
 B783,
 tblTargets[TargetID],
 tblTargets[TargetType],
 ""
)</f>
        <v>COLLECTION</v>
      </c>
      <c r="E783" s="49" t="s">
        <v>2404</v>
      </c>
      <c r="F783" s="49">
        <v>1.0</v>
      </c>
      <c r="G783" s="49">
        <f t="array" ref="G783">_xlfn.XLOOKUP(
 A783,
 tblCost[RequirementID],
 tblCost[QuantityRequired],
 ""
)</f>
        <v>6</v>
      </c>
      <c r="H783" s="49">
        <f t="array" ref="H783">IF(
 OR(
  LEFT(B783,15)="state.character",
  RIGHT(B783,6)=".maxed"
 ),
 0,
 LET(
  sort,
   _xlfn.XLOOKUP(
    B783,
    tblChecklist[TargetID],
    tblChecklist[PlayerSort],
    0
   ),
  IF(sort=0,500,sort)
 )
)</f>
        <v>500</v>
      </c>
      <c r="I783" s="49" t="str">
        <f t="array" ref="I783">_xlfn.XLOOKUP(
 B783,
 tblTargetStatus[TargetID],
 tblTargetStatus[Status],
 ""
)</f>
        <v>BLOCKED</v>
      </c>
      <c r="J783" s="45" t="b">
        <v>0</v>
      </c>
    </row>
    <row r="784" ht="14.25" hidden="1" customHeight="1">
      <c r="A784" s="49" t="s">
        <v>2416</v>
      </c>
      <c r="B784" s="49" t="str">
        <f>IFERROR(__xludf.DUMMYFUNCTION("REGEXREPLACE(
 REGEXREPLACE(A784,""^cost\."",""""),
 ""\.[^.]+\.[^.]+$"",
 """"
)"),"collection.attic@2")</f>
        <v>collection.attic@2</v>
      </c>
      <c r="C784" s="49" t="str">
        <f t="array" ref="C784">_xlfn.XLOOKUP(
 B784,
 tblTargets[TargetID],
 tblTargets[DisplayName],
 ""
)</f>
        <v>Attic Lv 2</v>
      </c>
      <c r="D784" s="49" t="str">
        <f t="array" ref="D784">_xlfn.XLOOKUP(
 B784,
 tblTargets[TargetID],
 tblTargets[TargetType],
 ""
)</f>
        <v>COLLECTION</v>
      </c>
      <c r="E784" s="49" t="s">
        <v>1922</v>
      </c>
      <c r="F784" s="49">
        <v>1.0</v>
      </c>
      <c r="G784" s="49">
        <f t="array" ref="G784">_xlfn.XLOOKUP(
 A784,
 tblCost[RequirementID],
 tblCost[QuantityRequired],
 ""
)</f>
        <v>20</v>
      </c>
      <c r="H784" s="49">
        <f t="array" ref="H784">IF(
 OR(
  LEFT(B784,15)="state.character",
  RIGHT(B784,6)=".maxed"
 ),
 0,
 LET(
  sort,
   _xlfn.XLOOKUP(
    B784,
    tblChecklist[TargetID],
    tblChecklist[PlayerSort],
    0
   ),
  IF(sort=0,500,sort)
 )
)</f>
        <v>500</v>
      </c>
      <c r="I784" s="49" t="str">
        <f t="array" ref="I784">_xlfn.XLOOKUP(
 B784,
 tblTargetStatus[TargetID],
 tblTargetStatus[Status],
 ""
)</f>
        <v>BLOCKED</v>
      </c>
      <c r="J784" s="45" t="b">
        <v>0</v>
      </c>
    </row>
    <row r="785" ht="14.25" hidden="1" customHeight="1">
      <c r="A785" s="49" t="s">
        <v>2417</v>
      </c>
      <c r="B785" s="49" t="str">
        <f>IFERROR(__xludf.DUMMYFUNCTION("REGEXREPLACE(
 REGEXREPLACE(A785,""^cost\."",""""),
 ""\.[^.]+\.[^.]+$"",
 """"
)"),"collection.attic@2")</f>
        <v>collection.attic@2</v>
      </c>
      <c r="C785" s="49" t="str">
        <f t="array" ref="C785">_xlfn.XLOOKUP(
 B785,
 tblTargets[TargetID],
 tblTargets[DisplayName],
 ""
)</f>
        <v>Attic Lv 2</v>
      </c>
      <c r="D785" s="49" t="str">
        <f t="array" ref="D785">_xlfn.XLOOKUP(
 B785,
 tblTargets[TargetID],
 tblTargets[TargetType],
 ""
)</f>
        <v>COLLECTION</v>
      </c>
      <c r="E785" s="49" t="s">
        <v>2083</v>
      </c>
      <c r="F785" s="49">
        <v>1.0</v>
      </c>
      <c r="G785" s="49">
        <f t="array" ref="G785">_xlfn.XLOOKUP(
 A785,
 tblCost[RequirementID],
 tblCost[QuantityRequired],
 ""
)</f>
        <v>6</v>
      </c>
      <c r="H785" s="49">
        <f t="array" ref="H785">IF(
 OR(
  LEFT(B785,15)="state.character",
  RIGHT(B785,6)=".maxed"
 ),
 0,
 LET(
  sort,
   _xlfn.XLOOKUP(
    B785,
    tblChecklist[TargetID],
    tblChecklist[PlayerSort],
    0
   ),
  IF(sort=0,500,sort)
 )
)</f>
        <v>500</v>
      </c>
      <c r="I785" s="49" t="str">
        <f t="array" ref="I785">_xlfn.XLOOKUP(
 B785,
 tblTargetStatus[TargetID],
 tblTargetStatus[Status],
 ""
)</f>
        <v>BLOCKED</v>
      </c>
      <c r="J785" s="45" t="b">
        <v>0</v>
      </c>
    </row>
    <row r="786" ht="14.25" hidden="1" customHeight="1">
      <c r="A786" s="49" t="s">
        <v>2418</v>
      </c>
      <c r="B786" s="49" t="str">
        <f>IFERROR(__xludf.DUMMYFUNCTION("REGEXREPLACE(
 REGEXREPLACE(A786,""^cost\."",""""),
 ""\.[^.]+\.[^.]+$"",
 """"
)"),"collection.attic@2")</f>
        <v>collection.attic@2</v>
      </c>
      <c r="C786" s="49" t="str">
        <f t="array" ref="C786">_xlfn.XLOOKUP(
 B786,
 tblTargets[TargetID],
 tblTargets[DisplayName],
 ""
)</f>
        <v>Attic Lv 2</v>
      </c>
      <c r="D786" s="49" t="str">
        <f t="array" ref="D786">_xlfn.XLOOKUP(
 B786,
 tblTargets[TargetID],
 tblTargets[TargetType],
 ""
)</f>
        <v>COLLECTION</v>
      </c>
      <c r="E786" s="49" t="s">
        <v>1095</v>
      </c>
      <c r="F786" s="49">
        <v>1.0</v>
      </c>
      <c r="G786" s="49">
        <f t="array" ref="G786">_xlfn.XLOOKUP(
 A786,
 tblCost[RequirementID],
 tblCost[QuantityRequired],
 ""
)</f>
        <v>6</v>
      </c>
      <c r="H786" s="49">
        <f t="array" ref="H786">IF(
 OR(
  LEFT(B786,15)="state.character",
  RIGHT(B786,6)=".maxed"
 ),
 0,
 LET(
  sort,
   _xlfn.XLOOKUP(
    B786,
    tblChecklist[TargetID],
    tblChecklist[PlayerSort],
    0
   ),
  IF(sort=0,500,sort)
 )
)</f>
        <v>500</v>
      </c>
      <c r="I786" s="49" t="str">
        <f t="array" ref="I786">_xlfn.XLOOKUP(
 B786,
 tblTargetStatus[TargetID],
 tblTargetStatus[Status],
 ""
)</f>
        <v>BLOCKED</v>
      </c>
      <c r="J786" s="45" t="b">
        <v>0</v>
      </c>
    </row>
    <row r="787" ht="14.25" hidden="1" customHeight="1">
      <c r="A787" s="49" t="s">
        <v>2419</v>
      </c>
      <c r="B787" s="49" t="str">
        <f>IFERROR(__xludf.DUMMYFUNCTION("REGEXREPLACE(
 REGEXREPLACE(A787,""^cost\."",""""),
 ""\.[^.]+\.[^.]+$"",
 """"
)"),"collection.attic@2")</f>
        <v>collection.attic@2</v>
      </c>
      <c r="C787" s="49" t="str">
        <f t="array" ref="C787">_xlfn.XLOOKUP(
 B787,
 tblTargets[TargetID],
 tblTargets[DisplayName],
 ""
)</f>
        <v>Attic Lv 2</v>
      </c>
      <c r="D787" s="49" t="str">
        <f t="array" ref="D787">_xlfn.XLOOKUP(
 B787,
 tblTargets[TargetID],
 tblTargets[TargetType],
 ""
)</f>
        <v>COLLECTION</v>
      </c>
      <c r="E787" s="49" t="s">
        <v>1948</v>
      </c>
      <c r="F787" s="49">
        <v>1.0</v>
      </c>
      <c r="G787" s="49">
        <f t="array" ref="G787">_xlfn.XLOOKUP(
 A787,
 tblCost[RequirementID],
 tblCost[QuantityRequired],
 ""
)</f>
        <v>6</v>
      </c>
      <c r="H787" s="49">
        <f t="array" ref="H787">IF(
 OR(
  LEFT(B787,15)="state.character",
  RIGHT(B787,6)=".maxed"
 ),
 0,
 LET(
  sort,
   _xlfn.XLOOKUP(
    B787,
    tblChecklist[TargetID],
    tblChecklist[PlayerSort],
    0
   ),
  IF(sort=0,500,sort)
 )
)</f>
        <v>500</v>
      </c>
      <c r="I787" s="49" t="str">
        <f t="array" ref="I787">_xlfn.XLOOKUP(
 B787,
 tblTargetStatus[TargetID],
 tblTargetStatus[Status],
 ""
)</f>
        <v>BLOCKED</v>
      </c>
      <c r="J787" s="45" t="b">
        <v>0</v>
      </c>
    </row>
    <row r="788" ht="14.25" hidden="1" customHeight="1">
      <c r="A788" s="49" t="s">
        <v>2420</v>
      </c>
      <c r="B788" s="49" t="str">
        <f>IFERROR(__xludf.DUMMYFUNCTION("REGEXREPLACE(
 REGEXREPLACE(A788,""^cost\."",""""),
 ""\.[^.]+\.[^.]+$"",
 """"
)"),"collection.attic@2")</f>
        <v>collection.attic@2</v>
      </c>
      <c r="C788" s="49" t="str">
        <f t="array" ref="C788">_xlfn.XLOOKUP(
 B788,
 tblTargets[TargetID],
 tblTargets[DisplayName],
 ""
)</f>
        <v>Attic Lv 2</v>
      </c>
      <c r="D788" s="49" t="str">
        <f t="array" ref="D788">_xlfn.XLOOKUP(
 B788,
 tblTargets[TargetID],
 tblTargets[TargetType],
 ""
)</f>
        <v>COLLECTION</v>
      </c>
      <c r="E788" s="49" t="s">
        <v>2410</v>
      </c>
      <c r="F788" s="49">
        <v>1.0</v>
      </c>
      <c r="G788" s="49">
        <f t="array" ref="G788">_xlfn.XLOOKUP(
 A788,
 tblCost[RequirementID],
 tblCost[QuantityRequired],
 ""
)</f>
        <v>40</v>
      </c>
      <c r="H788" s="49">
        <f t="array" ref="H788">IF(
 OR(
  LEFT(B788,15)="state.character",
  RIGHT(B788,6)=".maxed"
 ),
 0,
 LET(
  sort,
   _xlfn.XLOOKUP(
    B788,
    tblChecklist[TargetID],
    tblChecklist[PlayerSort],
    0
   ),
  IF(sort=0,500,sort)
 )
)</f>
        <v>500</v>
      </c>
      <c r="I788" s="49" t="str">
        <f t="array" ref="I788">_xlfn.XLOOKUP(
 B788,
 tblTargetStatus[TargetID],
 tblTargetStatus[Status],
 ""
)</f>
        <v>BLOCKED</v>
      </c>
      <c r="J788" s="45" t="b">
        <v>0</v>
      </c>
    </row>
    <row r="789" ht="14.25" hidden="1" customHeight="1">
      <c r="A789" s="49" t="s">
        <v>2421</v>
      </c>
      <c r="B789" s="49" t="str">
        <f>IFERROR(__xludf.DUMMYFUNCTION("REGEXREPLACE(
 REGEXREPLACE(A789,""^cost\."",""""),
 ""\.[^.]+\.[^.]+$"",
 """"
)"),"collection.attic@2")</f>
        <v>collection.attic@2</v>
      </c>
      <c r="C789" s="49" t="str">
        <f t="array" ref="C789">_xlfn.XLOOKUP(
 B789,
 tblTargets[TargetID],
 tblTargets[DisplayName],
 ""
)</f>
        <v>Attic Lv 2</v>
      </c>
      <c r="D789" s="49" t="str">
        <f t="array" ref="D789">_xlfn.XLOOKUP(
 B789,
 tblTargets[TargetID],
 tblTargets[TargetType],
 ""
)</f>
        <v>COLLECTION</v>
      </c>
      <c r="E789" s="49" t="s">
        <v>2412</v>
      </c>
      <c r="F789" s="49">
        <v>1.0</v>
      </c>
      <c r="G789" s="49">
        <f t="array" ref="G789">_xlfn.XLOOKUP(
 A789,
 tblCost[RequirementID],
 tblCost[QuantityRequired],
 ""
)</f>
        <v>40</v>
      </c>
      <c r="H789" s="49">
        <f t="array" ref="H789">IF(
 OR(
  LEFT(B789,15)="state.character",
  RIGHT(B789,6)=".maxed"
 ),
 0,
 LET(
  sort,
   _xlfn.XLOOKUP(
    B789,
    tblChecklist[TargetID],
    tblChecklist[PlayerSort],
    0
   ),
  IF(sort=0,500,sort)
 )
)</f>
        <v>500</v>
      </c>
      <c r="I789" s="49" t="str">
        <f t="array" ref="I789">_xlfn.XLOOKUP(
 B789,
 tblTargetStatus[TargetID],
 tblTargetStatus[Status],
 ""
)</f>
        <v>BLOCKED</v>
      </c>
      <c r="J789" s="45" t="b">
        <v>0</v>
      </c>
    </row>
    <row r="790" ht="14.25" hidden="1" customHeight="1">
      <c r="A790" s="49" t="s">
        <v>2422</v>
      </c>
      <c r="B790" s="49" t="str">
        <f>IFERROR(__xludf.DUMMYFUNCTION("REGEXREPLACE(
 REGEXREPLACE(A790,""^cost\."",""""),
 ""\.[^.]+\.[^.]+$"",
 """"
)"),"collection.attic@3")</f>
        <v>collection.attic@3</v>
      </c>
      <c r="C790" s="49" t="str">
        <f t="array" ref="C790">_xlfn.XLOOKUP(
 B790,
 tblTargets[TargetID],
 tblTargets[DisplayName],
 ""
)</f>
        <v>Attic Lv 3</v>
      </c>
      <c r="D790" s="49" t="str">
        <f t="array" ref="D790">_xlfn.XLOOKUP(
 B790,
 tblTargets[TargetID],
 tblTargets[TargetType],
 ""
)</f>
        <v>COLLECTION</v>
      </c>
      <c r="E790" s="49" t="s">
        <v>1066</v>
      </c>
      <c r="F790" s="49">
        <v>1.0</v>
      </c>
      <c r="G790" s="49">
        <f t="array" ref="G790">_xlfn.XLOOKUP(
 A790,
 tblCost[RequirementID],
 tblCost[QuantityRequired],
 ""
)</f>
        <v>9</v>
      </c>
      <c r="H790" s="49">
        <f t="array" ref="H790">IF(
 OR(
  LEFT(B790,15)="state.character",
  RIGHT(B790,6)=".maxed"
 ),
 0,
 LET(
  sort,
   _xlfn.XLOOKUP(
    B790,
    tblChecklist[TargetID],
    tblChecklist[PlayerSort],
    0
   ),
  IF(sort=0,500,sort)
 )
)</f>
        <v>500</v>
      </c>
      <c r="I790" s="49" t="str">
        <f t="array" ref="I790">_xlfn.XLOOKUP(
 B790,
 tblTargetStatus[TargetID],
 tblTargetStatus[Status],
 ""
)</f>
        <v>BLOCKED</v>
      </c>
      <c r="J790" s="45" t="b">
        <v>0</v>
      </c>
    </row>
    <row r="791" ht="14.25" hidden="1" customHeight="1">
      <c r="A791" s="49" t="s">
        <v>2423</v>
      </c>
      <c r="B791" s="49" t="str">
        <f>IFERROR(__xludf.DUMMYFUNCTION("REGEXREPLACE(
 REGEXREPLACE(A791,""^cost\."",""""),
 ""\.[^.]+\.[^.]+$"",
 """"
)"),"collection.attic@3")</f>
        <v>collection.attic@3</v>
      </c>
      <c r="C791" s="49" t="str">
        <f t="array" ref="C791">_xlfn.XLOOKUP(
 B791,
 tblTargets[TargetID],
 tblTargets[DisplayName],
 ""
)</f>
        <v>Attic Lv 3</v>
      </c>
      <c r="D791" s="49" t="str">
        <f t="array" ref="D791">_xlfn.XLOOKUP(
 B791,
 tblTargets[TargetID],
 tblTargets[TargetType],
 ""
)</f>
        <v>COLLECTION</v>
      </c>
      <c r="E791" s="49" t="s">
        <v>171</v>
      </c>
      <c r="F791" s="49">
        <v>1.0</v>
      </c>
      <c r="G791" s="49">
        <f t="array" ref="G791">_xlfn.XLOOKUP(
 A791,
 tblCost[RequirementID],
 tblCost[QuantityRequired],
 ""
)</f>
        <v>60</v>
      </c>
      <c r="H791" s="49">
        <f t="array" ref="H791">IF(
 OR(
  LEFT(B791,15)="state.character",
  RIGHT(B791,6)=".maxed"
 ),
 0,
 LET(
  sort,
   _xlfn.XLOOKUP(
    B791,
    tblChecklist[TargetID],
    tblChecklist[PlayerSort],
    0
   ),
  IF(sort=0,500,sort)
 )
)</f>
        <v>500</v>
      </c>
      <c r="I791" s="49" t="str">
        <f t="array" ref="I791">_xlfn.XLOOKUP(
 B791,
 tblTargetStatus[TargetID],
 tblTargetStatus[Status],
 ""
)</f>
        <v>BLOCKED</v>
      </c>
      <c r="J791" s="45" t="b">
        <v>0</v>
      </c>
    </row>
    <row r="792" ht="14.25" hidden="1" customHeight="1">
      <c r="A792" s="49" t="s">
        <v>2424</v>
      </c>
      <c r="B792" s="49" t="str">
        <f>IFERROR(__xludf.DUMMYFUNCTION("REGEXREPLACE(
 REGEXREPLACE(A792,""^cost\."",""""),
 ""\.[^.]+\.[^.]+$"",
 """"
)"),"collection.attic@3")</f>
        <v>collection.attic@3</v>
      </c>
      <c r="C792" s="49" t="str">
        <f t="array" ref="C792">_xlfn.XLOOKUP(
 B792,
 tblTargets[TargetID],
 tblTargets[DisplayName],
 ""
)</f>
        <v>Attic Lv 3</v>
      </c>
      <c r="D792" s="49" t="str">
        <f t="array" ref="D792">_xlfn.XLOOKUP(
 B792,
 tblTargets[TargetID],
 tblTargets[TargetType],
 ""
)</f>
        <v>COLLECTION</v>
      </c>
      <c r="E792" s="49" t="s">
        <v>2404</v>
      </c>
      <c r="F792" s="49">
        <v>1.0</v>
      </c>
      <c r="G792" s="49">
        <f t="array" ref="G792">_xlfn.XLOOKUP(
 A792,
 tblCost[RequirementID],
 tblCost[QuantityRequired],
 ""
)</f>
        <v>9</v>
      </c>
      <c r="H792" s="49">
        <f t="array" ref="H792">IF(
 OR(
  LEFT(B792,15)="state.character",
  RIGHT(B792,6)=".maxed"
 ),
 0,
 LET(
  sort,
   _xlfn.XLOOKUP(
    B792,
    tblChecklist[TargetID],
    tblChecklist[PlayerSort],
    0
   ),
  IF(sort=0,500,sort)
 )
)</f>
        <v>500</v>
      </c>
      <c r="I792" s="49" t="str">
        <f t="array" ref="I792">_xlfn.XLOOKUP(
 B792,
 tblTargetStatus[TargetID],
 tblTargetStatus[Status],
 ""
)</f>
        <v>BLOCKED</v>
      </c>
      <c r="J792" s="45" t="b">
        <v>0</v>
      </c>
    </row>
    <row r="793" ht="14.25" hidden="1" customHeight="1">
      <c r="A793" s="49" t="s">
        <v>2425</v>
      </c>
      <c r="B793" s="49" t="str">
        <f>IFERROR(__xludf.DUMMYFUNCTION("REGEXREPLACE(
 REGEXREPLACE(A793,""^cost\."",""""),
 ""\.[^.]+\.[^.]+$"",
 """"
)"),"collection.attic@3")</f>
        <v>collection.attic@3</v>
      </c>
      <c r="C793" s="49" t="str">
        <f t="array" ref="C793">_xlfn.XLOOKUP(
 B793,
 tblTargets[TargetID],
 tblTargets[DisplayName],
 ""
)</f>
        <v>Attic Lv 3</v>
      </c>
      <c r="D793" s="49" t="str">
        <f t="array" ref="D793">_xlfn.XLOOKUP(
 B793,
 tblTargets[TargetID],
 tblTargets[TargetType],
 ""
)</f>
        <v>COLLECTION</v>
      </c>
      <c r="E793" s="49" t="s">
        <v>1922</v>
      </c>
      <c r="F793" s="49">
        <v>1.0</v>
      </c>
      <c r="G793" s="49">
        <f t="array" ref="G793">_xlfn.XLOOKUP(
 A793,
 tblCost[RequirementID],
 tblCost[QuantityRequired],
 ""
)</f>
        <v>30</v>
      </c>
      <c r="H793" s="49">
        <f t="array" ref="H793">IF(
 OR(
  LEFT(B793,15)="state.character",
  RIGHT(B793,6)=".maxed"
 ),
 0,
 LET(
  sort,
   _xlfn.XLOOKUP(
    B793,
    tblChecklist[TargetID],
    tblChecklist[PlayerSort],
    0
   ),
  IF(sort=0,500,sort)
 )
)</f>
        <v>500</v>
      </c>
      <c r="I793" s="49" t="str">
        <f t="array" ref="I793">_xlfn.XLOOKUP(
 B793,
 tblTargetStatus[TargetID],
 tblTargetStatus[Status],
 ""
)</f>
        <v>BLOCKED</v>
      </c>
      <c r="J793" s="45" t="b">
        <v>0</v>
      </c>
    </row>
    <row r="794" ht="14.25" hidden="1" customHeight="1">
      <c r="A794" s="49" t="s">
        <v>2426</v>
      </c>
      <c r="B794" s="49" t="str">
        <f>IFERROR(__xludf.DUMMYFUNCTION("REGEXREPLACE(
 REGEXREPLACE(A794,""^cost\."",""""),
 ""\.[^.]+\.[^.]+$"",
 """"
)"),"collection.attic@3")</f>
        <v>collection.attic@3</v>
      </c>
      <c r="C794" s="49" t="str">
        <f t="array" ref="C794">_xlfn.XLOOKUP(
 B794,
 tblTargets[TargetID],
 tblTargets[DisplayName],
 ""
)</f>
        <v>Attic Lv 3</v>
      </c>
      <c r="D794" s="49" t="str">
        <f t="array" ref="D794">_xlfn.XLOOKUP(
 B794,
 tblTargets[TargetID],
 tblTargets[TargetType],
 ""
)</f>
        <v>COLLECTION</v>
      </c>
      <c r="E794" s="49" t="s">
        <v>2083</v>
      </c>
      <c r="F794" s="49">
        <v>1.0</v>
      </c>
      <c r="G794" s="49">
        <f t="array" ref="G794">_xlfn.XLOOKUP(
 A794,
 tblCost[RequirementID],
 tblCost[QuantityRequired],
 ""
)</f>
        <v>9</v>
      </c>
      <c r="H794" s="49">
        <f t="array" ref="H794">IF(
 OR(
  LEFT(B794,15)="state.character",
  RIGHT(B794,6)=".maxed"
 ),
 0,
 LET(
  sort,
   _xlfn.XLOOKUP(
    B794,
    tblChecklist[TargetID],
    tblChecklist[PlayerSort],
    0
   ),
  IF(sort=0,500,sort)
 )
)</f>
        <v>500</v>
      </c>
      <c r="I794" s="49" t="str">
        <f t="array" ref="I794">_xlfn.XLOOKUP(
 B794,
 tblTargetStatus[TargetID],
 tblTargetStatus[Status],
 ""
)</f>
        <v>BLOCKED</v>
      </c>
      <c r="J794" s="45" t="b">
        <v>0</v>
      </c>
    </row>
    <row r="795" ht="14.25" hidden="1" customHeight="1">
      <c r="A795" s="49" t="s">
        <v>2427</v>
      </c>
      <c r="B795" s="49" t="str">
        <f>IFERROR(__xludf.DUMMYFUNCTION("REGEXREPLACE(
 REGEXREPLACE(A795,""^cost\."",""""),
 ""\.[^.]+\.[^.]+$"",
 """"
)"),"collection.attic@3")</f>
        <v>collection.attic@3</v>
      </c>
      <c r="C795" s="49" t="str">
        <f t="array" ref="C795">_xlfn.XLOOKUP(
 B795,
 tblTargets[TargetID],
 tblTargets[DisplayName],
 ""
)</f>
        <v>Attic Lv 3</v>
      </c>
      <c r="D795" s="49" t="str">
        <f t="array" ref="D795">_xlfn.XLOOKUP(
 B795,
 tblTargets[TargetID],
 tblTargets[TargetType],
 ""
)</f>
        <v>COLLECTION</v>
      </c>
      <c r="E795" s="49" t="s">
        <v>1095</v>
      </c>
      <c r="F795" s="49">
        <v>1.0</v>
      </c>
      <c r="G795" s="49">
        <f t="array" ref="G795">_xlfn.XLOOKUP(
 A795,
 tblCost[RequirementID],
 tblCost[QuantityRequired],
 ""
)</f>
        <v>9</v>
      </c>
      <c r="H795" s="49">
        <f t="array" ref="H795">IF(
 OR(
  LEFT(B795,15)="state.character",
  RIGHT(B795,6)=".maxed"
 ),
 0,
 LET(
  sort,
   _xlfn.XLOOKUP(
    B795,
    tblChecklist[TargetID],
    tblChecklist[PlayerSort],
    0
   ),
  IF(sort=0,500,sort)
 )
)</f>
        <v>500</v>
      </c>
      <c r="I795" s="49" t="str">
        <f t="array" ref="I795">_xlfn.XLOOKUP(
 B795,
 tblTargetStatus[TargetID],
 tblTargetStatus[Status],
 ""
)</f>
        <v>BLOCKED</v>
      </c>
      <c r="J795" s="45" t="b">
        <v>0</v>
      </c>
    </row>
    <row r="796" ht="14.25" hidden="1" customHeight="1">
      <c r="A796" s="49" t="s">
        <v>2428</v>
      </c>
      <c r="B796" s="49" t="str">
        <f>IFERROR(__xludf.DUMMYFUNCTION("REGEXREPLACE(
 REGEXREPLACE(A796,""^cost\."",""""),
 ""\.[^.]+\.[^.]+$"",
 """"
)"),"collection.attic@3")</f>
        <v>collection.attic@3</v>
      </c>
      <c r="C796" s="49" t="str">
        <f t="array" ref="C796">_xlfn.XLOOKUP(
 B796,
 tblTargets[TargetID],
 tblTargets[DisplayName],
 ""
)</f>
        <v>Attic Lv 3</v>
      </c>
      <c r="D796" s="49" t="str">
        <f t="array" ref="D796">_xlfn.XLOOKUP(
 B796,
 tblTargets[TargetID],
 tblTargets[TargetType],
 ""
)</f>
        <v>COLLECTION</v>
      </c>
      <c r="E796" s="49" t="s">
        <v>1948</v>
      </c>
      <c r="F796" s="49">
        <v>1.0</v>
      </c>
      <c r="G796" s="49">
        <f t="array" ref="G796">_xlfn.XLOOKUP(
 A796,
 tblCost[RequirementID],
 tblCost[QuantityRequired],
 ""
)</f>
        <v>9</v>
      </c>
      <c r="H796" s="49">
        <f t="array" ref="H796">IF(
 OR(
  LEFT(B796,15)="state.character",
  RIGHT(B796,6)=".maxed"
 ),
 0,
 LET(
  sort,
   _xlfn.XLOOKUP(
    B796,
    tblChecklist[TargetID],
    tblChecklist[PlayerSort],
    0
   ),
  IF(sort=0,500,sort)
 )
)</f>
        <v>500</v>
      </c>
      <c r="I796" s="49" t="str">
        <f t="array" ref="I796">_xlfn.XLOOKUP(
 B796,
 tblTargetStatus[TargetID],
 tblTargetStatus[Status],
 ""
)</f>
        <v>BLOCKED</v>
      </c>
      <c r="J796" s="45" t="b">
        <v>0</v>
      </c>
    </row>
    <row r="797" ht="14.25" hidden="1" customHeight="1">
      <c r="A797" s="49" t="s">
        <v>2429</v>
      </c>
      <c r="B797" s="49" t="str">
        <f>IFERROR(__xludf.DUMMYFUNCTION("REGEXREPLACE(
 REGEXREPLACE(A797,""^cost\."",""""),
 ""\.[^.]+\.[^.]+$"",
 """"
)"),"collection.attic@3")</f>
        <v>collection.attic@3</v>
      </c>
      <c r="C797" s="49" t="str">
        <f t="array" ref="C797">_xlfn.XLOOKUP(
 B797,
 tblTargets[TargetID],
 tblTargets[DisplayName],
 ""
)</f>
        <v>Attic Lv 3</v>
      </c>
      <c r="D797" s="49" t="str">
        <f t="array" ref="D797">_xlfn.XLOOKUP(
 B797,
 tblTargets[TargetID],
 tblTargets[TargetType],
 ""
)</f>
        <v>COLLECTION</v>
      </c>
      <c r="E797" s="49" t="s">
        <v>2410</v>
      </c>
      <c r="F797" s="49">
        <v>1.0</v>
      </c>
      <c r="G797" s="49">
        <f t="array" ref="G797">_xlfn.XLOOKUP(
 A797,
 tblCost[RequirementID],
 tblCost[QuantityRequired],
 ""
)</f>
        <v>60</v>
      </c>
      <c r="H797" s="49">
        <f t="array" ref="H797">IF(
 OR(
  LEFT(B797,15)="state.character",
  RIGHT(B797,6)=".maxed"
 ),
 0,
 LET(
  sort,
   _xlfn.XLOOKUP(
    B797,
    tblChecklist[TargetID],
    tblChecklist[PlayerSort],
    0
   ),
  IF(sort=0,500,sort)
 )
)</f>
        <v>500</v>
      </c>
      <c r="I797" s="49" t="str">
        <f t="array" ref="I797">_xlfn.XLOOKUP(
 B797,
 tblTargetStatus[TargetID],
 tblTargetStatus[Status],
 ""
)</f>
        <v>BLOCKED</v>
      </c>
      <c r="J797" s="45" t="b">
        <v>0</v>
      </c>
    </row>
    <row r="798" ht="14.25" hidden="1" customHeight="1">
      <c r="A798" s="49" t="s">
        <v>2430</v>
      </c>
      <c r="B798" s="49" t="str">
        <f>IFERROR(__xludf.DUMMYFUNCTION("REGEXREPLACE(
 REGEXREPLACE(A798,""^cost\."",""""),
 ""\.[^.]+\.[^.]+$"",
 """"
)"),"collection.attic@3")</f>
        <v>collection.attic@3</v>
      </c>
      <c r="C798" s="49" t="str">
        <f t="array" ref="C798">_xlfn.XLOOKUP(
 B798,
 tblTargets[TargetID],
 tblTargets[DisplayName],
 ""
)</f>
        <v>Attic Lv 3</v>
      </c>
      <c r="D798" s="49" t="str">
        <f t="array" ref="D798">_xlfn.XLOOKUP(
 B798,
 tblTargets[TargetID],
 tblTargets[TargetType],
 ""
)</f>
        <v>COLLECTION</v>
      </c>
      <c r="E798" s="49" t="s">
        <v>2412</v>
      </c>
      <c r="F798" s="49">
        <v>1.0</v>
      </c>
      <c r="G798" s="49">
        <f t="array" ref="G798">_xlfn.XLOOKUP(
 A798,
 tblCost[RequirementID],
 tblCost[QuantityRequired],
 ""
)</f>
        <v>60</v>
      </c>
      <c r="H798" s="49">
        <f t="array" ref="H798">IF(
 OR(
  LEFT(B798,15)="state.character",
  RIGHT(B798,6)=".maxed"
 ),
 0,
 LET(
  sort,
   _xlfn.XLOOKUP(
    B798,
    tblChecklist[TargetID],
    tblChecklist[PlayerSort],
    0
   ),
  IF(sort=0,500,sort)
 )
)</f>
        <v>500</v>
      </c>
      <c r="I798" s="49" t="str">
        <f t="array" ref="I798">_xlfn.XLOOKUP(
 B798,
 tblTargetStatus[TargetID],
 tblTargetStatus[Status],
 ""
)</f>
        <v>BLOCKED</v>
      </c>
      <c r="J798" s="45" t="b">
        <v>0</v>
      </c>
    </row>
    <row r="799" ht="14.25" hidden="1" customHeight="1">
      <c r="A799" s="49" t="s">
        <v>2431</v>
      </c>
      <c r="B799" s="49" t="str">
        <f>IFERROR(__xludf.DUMMYFUNCTION("REGEXREPLACE(
 REGEXREPLACE(A799,""^cost\."",""""),
 ""\.[^.]+\.[^.]+$"",
 """"
)"),"collection.attic@4")</f>
        <v>collection.attic@4</v>
      </c>
      <c r="C799" s="49" t="str">
        <f t="array" ref="C799">_xlfn.XLOOKUP(
 B799,
 tblTargets[TargetID],
 tblTargets[DisplayName],
 ""
)</f>
        <v>Attic Lv 4</v>
      </c>
      <c r="D799" s="49" t="str">
        <f t="array" ref="D799">_xlfn.XLOOKUP(
 B799,
 tblTargets[TargetID],
 tblTargets[TargetType],
 ""
)</f>
        <v>COLLECTION</v>
      </c>
      <c r="E799" s="49" t="s">
        <v>1066</v>
      </c>
      <c r="F799" s="49">
        <v>1.0</v>
      </c>
      <c r="G799" s="49">
        <f t="array" ref="G799">_xlfn.XLOOKUP(
 A799,
 tblCost[RequirementID],
 tblCost[QuantityRequired],
 ""
)</f>
        <v>12</v>
      </c>
      <c r="H799" s="49">
        <f t="array" ref="H799">IF(
 OR(
  LEFT(B799,15)="state.character",
  RIGHT(B799,6)=".maxed"
 ),
 0,
 LET(
  sort,
   _xlfn.XLOOKUP(
    B799,
    tblChecklist[TargetID],
    tblChecklist[PlayerSort],
    0
   ),
  IF(sort=0,500,sort)
 )
)</f>
        <v>500</v>
      </c>
      <c r="I799" s="49" t="str">
        <f t="array" ref="I799">_xlfn.XLOOKUP(
 B799,
 tblTargetStatus[TargetID],
 tblTargetStatus[Status],
 ""
)</f>
        <v>BLOCKED</v>
      </c>
      <c r="J799" s="45" t="b">
        <v>0</v>
      </c>
    </row>
    <row r="800" ht="14.25" hidden="1" customHeight="1">
      <c r="A800" s="49" t="s">
        <v>2432</v>
      </c>
      <c r="B800" s="49" t="str">
        <f>IFERROR(__xludf.DUMMYFUNCTION("REGEXREPLACE(
 REGEXREPLACE(A800,""^cost\."",""""),
 ""\.[^.]+\.[^.]+$"",
 """"
)"),"collection.attic@4")</f>
        <v>collection.attic@4</v>
      </c>
      <c r="C800" s="49" t="str">
        <f t="array" ref="C800">_xlfn.XLOOKUP(
 B800,
 tblTargets[TargetID],
 tblTargets[DisplayName],
 ""
)</f>
        <v>Attic Lv 4</v>
      </c>
      <c r="D800" s="49" t="str">
        <f t="array" ref="D800">_xlfn.XLOOKUP(
 B800,
 tblTargets[TargetID],
 tblTargets[TargetType],
 ""
)</f>
        <v>COLLECTION</v>
      </c>
      <c r="E800" s="49" t="s">
        <v>171</v>
      </c>
      <c r="F800" s="49">
        <v>1.0</v>
      </c>
      <c r="G800" s="49">
        <f t="array" ref="G800">_xlfn.XLOOKUP(
 A800,
 tblCost[RequirementID],
 tblCost[QuantityRequired],
 ""
)</f>
        <v>80</v>
      </c>
      <c r="H800" s="49">
        <f t="array" ref="H800">IF(
 OR(
  LEFT(B800,15)="state.character",
  RIGHT(B800,6)=".maxed"
 ),
 0,
 LET(
  sort,
   _xlfn.XLOOKUP(
    B800,
    tblChecklist[TargetID],
    tblChecklist[PlayerSort],
    0
   ),
  IF(sort=0,500,sort)
 )
)</f>
        <v>500</v>
      </c>
      <c r="I800" s="49" t="str">
        <f t="array" ref="I800">_xlfn.XLOOKUP(
 B800,
 tblTargetStatus[TargetID],
 tblTargetStatus[Status],
 ""
)</f>
        <v>BLOCKED</v>
      </c>
      <c r="J800" s="45" t="b">
        <v>0</v>
      </c>
    </row>
    <row r="801" ht="14.25" hidden="1" customHeight="1">
      <c r="A801" s="49" t="s">
        <v>2433</v>
      </c>
      <c r="B801" s="49" t="str">
        <f>IFERROR(__xludf.DUMMYFUNCTION("REGEXREPLACE(
 REGEXREPLACE(A801,""^cost\."",""""),
 ""\.[^.]+\.[^.]+$"",
 """"
)"),"collection.attic@4")</f>
        <v>collection.attic@4</v>
      </c>
      <c r="C801" s="49" t="str">
        <f t="array" ref="C801">_xlfn.XLOOKUP(
 B801,
 tblTargets[TargetID],
 tblTargets[DisplayName],
 ""
)</f>
        <v>Attic Lv 4</v>
      </c>
      <c r="D801" s="49" t="str">
        <f t="array" ref="D801">_xlfn.XLOOKUP(
 B801,
 tblTargets[TargetID],
 tblTargets[TargetType],
 ""
)</f>
        <v>COLLECTION</v>
      </c>
      <c r="E801" s="49" t="s">
        <v>2404</v>
      </c>
      <c r="F801" s="49">
        <v>1.0</v>
      </c>
      <c r="G801" s="49">
        <f t="array" ref="G801">_xlfn.XLOOKUP(
 A801,
 tblCost[RequirementID],
 tblCost[QuantityRequired],
 ""
)</f>
        <v>12</v>
      </c>
      <c r="H801" s="49">
        <f t="array" ref="H801">IF(
 OR(
  LEFT(B801,15)="state.character",
  RIGHT(B801,6)=".maxed"
 ),
 0,
 LET(
  sort,
   _xlfn.XLOOKUP(
    B801,
    tblChecklist[TargetID],
    tblChecklist[PlayerSort],
    0
   ),
  IF(sort=0,500,sort)
 )
)</f>
        <v>500</v>
      </c>
      <c r="I801" s="49" t="str">
        <f t="array" ref="I801">_xlfn.XLOOKUP(
 B801,
 tblTargetStatus[TargetID],
 tblTargetStatus[Status],
 ""
)</f>
        <v>BLOCKED</v>
      </c>
      <c r="J801" s="45" t="b">
        <v>0</v>
      </c>
    </row>
    <row r="802" ht="14.25" hidden="1" customHeight="1">
      <c r="A802" s="49" t="s">
        <v>2434</v>
      </c>
      <c r="B802" s="49" t="str">
        <f>IFERROR(__xludf.DUMMYFUNCTION("REGEXREPLACE(
 REGEXREPLACE(A802,""^cost\."",""""),
 ""\.[^.]+\.[^.]+$"",
 """"
)"),"collection.attic@4")</f>
        <v>collection.attic@4</v>
      </c>
      <c r="C802" s="49" t="str">
        <f t="array" ref="C802">_xlfn.XLOOKUP(
 B802,
 tblTargets[TargetID],
 tblTargets[DisplayName],
 ""
)</f>
        <v>Attic Lv 4</v>
      </c>
      <c r="D802" s="49" t="str">
        <f t="array" ref="D802">_xlfn.XLOOKUP(
 B802,
 tblTargets[TargetID],
 tblTargets[TargetType],
 ""
)</f>
        <v>COLLECTION</v>
      </c>
      <c r="E802" s="49" t="s">
        <v>1922</v>
      </c>
      <c r="F802" s="49">
        <v>1.0</v>
      </c>
      <c r="G802" s="49">
        <f t="array" ref="G802">_xlfn.XLOOKUP(
 A802,
 tblCost[RequirementID],
 tblCost[QuantityRequired],
 ""
)</f>
        <v>40</v>
      </c>
      <c r="H802" s="49">
        <f t="array" ref="H802">IF(
 OR(
  LEFT(B802,15)="state.character",
  RIGHT(B802,6)=".maxed"
 ),
 0,
 LET(
  sort,
   _xlfn.XLOOKUP(
    B802,
    tblChecklist[TargetID],
    tblChecklist[PlayerSort],
    0
   ),
  IF(sort=0,500,sort)
 )
)</f>
        <v>500</v>
      </c>
      <c r="I802" s="49" t="str">
        <f t="array" ref="I802">_xlfn.XLOOKUP(
 B802,
 tblTargetStatus[TargetID],
 tblTargetStatus[Status],
 ""
)</f>
        <v>BLOCKED</v>
      </c>
      <c r="J802" s="45" t="b">
        <v>0</v>
      </c>
    </row>
    <row r="803" ht="14.25" hidden="1" customHeight="1">
      <c r="A803" s="49" t="s">
        <v>2435</v>
      </c>
      <c r="B803" s="49" t="str">
        <f>IFERROR(__xludf.DUMMYFUNCTION("REGEXREPLACE(
 REGEXREPLACE(A803,""^cost\."",""""),
 ""\.[^.]+\.[^.]+$"",
 """"
)"),"collection.attic@4")</f>
        <v>collection.attic@4</v>
      </c>
      <c r="C803" s="49" t="str">
        <f t="array" ref="C803">_xlfn.XLOOKUP(
 B803,
 tblTargets[TargetID],
 tblTargets[DisplayName],
 ""
)</f>
        <v>Attic Lv 4</v>
      </c>
      <c r="D803" s="49" t="str">
        <f t="array" ref="D803">_xlfn.XLOOKUP(
 B803,
 tblTargets[TargetID],
 tblTargets[TargetType],
 ""
)</f>
        <v>COLLECTION</v>
      </c>
      <c r="E803" s="49" t="s">
        <v>2083</v>
      </c>
      <c r="F803" s="49">
        <v>1.0</v>
      </c>
      <c r="G803" s="49">
        <f t="array" ref="G803">_xlfn.XLOOKUP(
 A803,
 tblCost[RequirementID],
 tblCost[QuantityRequired],
 ""
)</f>
        <v>12</v>
      </c>
      <c r="H803" s="49">
        <f t="array" ref="H803">IF(
 OR(
  LEFT(B803,15)="state.character",
  RIGHT(B803,6)=".maxed"
 ),
 0,
 LET(
  sort,
   _xlfn.XLOOKUP(
    B803,
    tblChecklist[TargetID],
    tblChecklist[PlayerSort],
    0
   ),
  IF(sort=0,500,sort)
 )
)</f>
        <v>500</v>
      </c>
      <c r="I803" s="49" t="str">
        <f t="array" ref="I803">_xlfn.XLOOKUP(
 B803,
 tblTargetStatus[TargetID],
 tblTargetStatus[Status],
 ""
)</f>
        <v>BLOCKED</v>
      </c>
      <c r="J803" s="45" t="b">
        <v>0</v>
      </c>
    </row>
    <row r="804" ht="14.25" hidden="1" customHeight="1">
      <c r="A804" s="49" t="s">
        <v>2436</v>
      </c>
      <c r="B804" s="49" t="str">
        <f>IFERROR(__xludf.DUMMYFUNCTION("REGEXREPLACE(
 REGEXREPLACE(A804,""^cost\."",""""),
 ""\.[^.]+\.[^.]+$"",
 """"
)"),"collection.attic@4")</f>
        <v>collection.attic@4</v>
      </c>
      <c r="C804" s="49" t="str">
        <f t="array" ref="C804">_xlfn.XLOOKUP(
 B804,
 tblTargets[TargetID],
 tblTargets[DisplayName],
 ""
)</f>
        <v>Attic Lv 4</v>
      </c>
      <c r="D804" s="49" t="str">
        <f t="array" ref="D804">_xlfn.XLOOKUP(
 B804,
 tblTargets[TargetID],
 tblTargets[TargetType],
 ""
)</f>
        <v>COLLECTION</v>
      </c>
      <c r="E804" s="49" t="s">
        <v>1095</v>
      </c>
      <c r="F804" s="49">
        <v>1.0</v>
      </c>
      <c r="G804" s="49">
        <f t="array" ref="G804">_xlfn.XLOOKUP(
 A804,
 tblCost[RequirementID],
 tblCost[QuantityRequired],
 ""
)</f>
        <v>12</v>
      </c>
      <c r="H804" s="49">
        <f t="array" ref="H804">IF(
 OR(
  LEFT(B804,15)="state.character",
  RIGHT(B804,6)=".maxed"
 ),
 0,
 LET(
  sort,
   _xlfn.XLOOKUP(
    B804,
    tblChecklist[TargetID],
    tblChecklist[PlayerSort],
    0
   ),
  IF(sort=0,500,sort)
 )
)</f>
        <v>500</v>
      </c>
      <c r="I804" s="49" t="str">
        <f t="array" ref="I804">_xlfn.XLOOKUP(
 B804,
 tblTargetStatus[TargetID],
 tblTargetStatus[Status],
 ""
)</f>
        <v>BLOCKED</v>
      </c>
      <c r="J804" s="45" t="b">
        <v>0</v>
      </c>
    </row>
    <row r="805" ht="14.25" hidden="1" customHeight="1">
      <c r="A805" s="49" t="s">
        <v>2437</v>
      </c>
      <c r="B805" s="49" t="str">
        <f>IFERROR(__xludf.DUMMYFUNCTION("REGEXREPLACE(
 REGEXREPLACE(A805,""^cost\."",""""),
 ""\.[^.]+\.[^.]+$"",
 """"
)"),"collection.attic@4")</f>
        <v>collection.attic@4</v>
      </c>
      <c r="C805" s="49" t="str">
        <f t="array" ref="C805">_xlfn.XLOOKUP(
 B805,
 tblTargets[TargetID],
 tblTargets[DisplayName],
 ""
)</f>
        <v>Attic Lv 4</v>
      </c>
      <c r="D805" s="49" t="str">
        <f t="array" ref="D805">_xlfn.XLOOKUP(
 B805,
 tblTargets[TargetID],
 tblTargets[TargetType],
 ""
)</f>
        <v>COLLECTION</v>
      </c>
      <c r="E805" s="49" t="s">
        <v>1948</v>
      </c>
      <c r="F805" s="49">
        <v>1.0</v>
      </c>
      <c r="G805" s="49">
        <f t="array" ref="G805">_xlfn.XLOOKUP(
 A805,
 tblCost[RequirementID],
 tblCost[QuantityRequired],
 ""
)</f>
        <v>12</v>
      </c>
      <c r="H805" s="49">
        <f t="array" ref="H805">IF(
 OR(
  LEFT(B805,15)="state.character",
  RIGHT(B805,6)=".maxed"
 ),
 0,
 LET(
  sort,
   _xlfn.XLOOKUP(
    B805,
    tblChecklist[TargetID],
    tblChecklist[PlayerSort],
    0
   ),
  IF(sort=0,500,sort)
 )
)</f>
        <v>500</v>
      </c>
      <c r="I805" s="49" t="str">
        <f t="array" ref="I805">_xlfn.XLOOKUP(
 B805,
 tblTargetStatus[TargetID],
 tblTargetStatus[Status],
 ""
)</f>
        <v>BLOCKED</v>
      </c>
      <c r="J805" s="45" t="b">
        <v>0</v>
      </c>
    </row>
    <row r="806" ht="14.25" hidden="1" customHeight="1">
      <c r="A806" s="49" t="s">
        <v>2438</v>
      </c>
      <c r="B806" s="49" t="str">
        <f>IFERROR(__xludf.DUMMYFUNCTION("REGEXREPLACE(
 REGEXREPLACE(A806,""^cost\."",""""),
 ""\.[^.]+\.[^.]+$"",
 """"
)"),"collection.attic@4")</f>
        <v>collection.attic@4</v>
      </c>
      <c r="C806" s="49" t="str">
        <f t="array" ref="C806">_xlfn.XLOOKUP(
 B806,
 tblTargets[TargetID],
 tblTargets[DisplayName],
 ""
)</f>
        <v>Attic Lv 4</v>
      </c>
      <c r="D806" s="49" t="str">
        <f t="array" ref="D806">_xlfn.XLOOKUP(
 B806,
 tblTargets[TargetID],
 tblTargets[TargetType],
 ""
)</f>
        <v>COLLECTION</v>
      </c>
      <c r="E806" s="49" t="s">
        <v>2410</v>
      </c>
      <c r="F806" s="49">
        <v>1.0</v>
      </c>
      <c r="G806" s="49">
        <f t="array" ref="G806">_xlfn.XLOOKUP(
 A806,
 tblCost[RequirementID],
 tblCost[QuantityRequired],
 ""
)</f>
        <v>80</v>
      </c>
      <c r="H806" s="49">
        <f t="array" ref="H806">IF(
 OR(
  LEFT(B806,15)="state.character",
  RIGHT(B806,6)=".maxed"
 ),
 0,
 LET(
  sort,
   _xlfn.XLOOKUP(
    B806,
    tblChecklist[TargetID],
    tblChecklist[PlayerSort],
    0
   ),
  IF(sort=0,500,sort)
 )
)</f>
        <v>500</v>
      </c>
      <c r="I806" s="49" t="str">
        <f t="array" ref="I806">_xlfn.XLOOKUP(
 B806,
 tblTargetStatus[TargetID],
 tblTargetStatus[Status],
 ""
)</f>
        <v>BLOCKED</v>
      </c>
      <c r="J806" s="45" t="b">
        <v>0</v>
      </c>
    </row>
    <row r="807" ht="14.25" hidden="1" customHeight="1">
      <c r="A807" s="49" t="s">
        <v>2439</v>
      </c>
      <c r="B807" s="49" t="str">
        <f>IFERROR(__xludf.DUMMYFUNCTION("REGEXREPLACE(
 REGEXREPLACE(A807,""^cost\."",""""),
 ""\.[^.]+\.[^.]+$"",
 """"
)"),"collection.attic@4")</f>
        <v>collection.attic@4</v>
      </c>
      <c r="C807" s="49" t="str">
        <f t="array" ref="C807">_xlfn.XLOOKUP(
 B807,
 tblTargets[TargetID],
 tblTargets[DisplayName],
 ""
)</f>
        <v>Attic Lv 4</v>
      </c>
      <c r="D807" s="49" t="str">
        <f t="array" ref="D807">_xlfn.XLOOKUP(
 B807,
 tblTargets[TargetID],
 tblTargets[TargetType],
 ""
)</f>
        <v>COLLECTION</v>
      </c>
      <c r="E807" s="49" t="s">
        <v>2412</v>
      </c>
      <c r="F807" s="49">
        <v>1.0</v>
      </c>
      <c r="G807" s="49">
        <f t="array" ref="G807">_xlfn.XLOOKUP(
 A807,
 tblCost[RequirementID],
 tblCost[QuantityRequired],
 ""
)</f>
        <v>80</v>
      </c>
      <c r="H807" s="49">
        <f t="array" ref="H807">IF(
 OR(
  LEFT(B807,15)="state.character",
  RIGHT(B807,6)=".maxed"
 ),
 0,
 LET(
  sort,
   _xlfn.XLOOKUP(
    B807,
    tblChecklist[TargetID],
    tblChecklist[PlayerSort],
    0
   ),
  IF(sort=0,500,sort)
 )
)</f>
        <v>500</v>
      </c>
      <c r="I807" s="49" t="str">
        <f t="array" ref="I807">_xlfn.XLOOKUP(
 B807,
 tblTargetStatus[TargetID],
 tblTargetStatus[Status],
 ""
)</f>
        <v>BLOCKED</v>
      </c>
      <c r="J807" s="45" t="b">
        <v>0</v>
      </c>
    </row>
    <row r="808" ht="14.25" hidden="1" customHeight="1">
      <c r="A808" s="49" t="s">
        <v>2440</v>
      </c>
      <c r="B808" s="49" t="str">
        <f>IFERROR(__xludf.DUMMYFUNCTION("REGEXREPLACE(
 REGEXREPLACE(A808,""^cost\."",""""),
 ""\.[^.]+\.[^.]+$"",
 """"
)"),"collection.attic@5")</f>
        <v>collection.attic@5</v>
      </c>
      <c r="C808" s="49" t="str">
        <f t="array" ref="C808">_xlfn.XLOOKUP(
 B808,
 tblTargets[TargetID],
 tblTargets[DisplayName],
 ""
)</f>
        <v>Attic Lv 5</v>
      </c>
      <c r="D808" s="49" t="str">
        <f t="array" ref="D808">_xlfn.XLOOKUP(
 B808,
 tblTargets[TargetID],
 tblTargets[TargetType],
 ""
)</f>
        <v>COLLECTION</v>
      </c>
      <c r="E808" s="49" t="s">
        <v>1066</v>
      </c>
      <c r="F808" s="49">
        <v>1.0</v>
      </c>
      <c r="G808" s="49">
        <f t="array" ref="G808">_xlfn.XLOOKUP(
 A808,
 tblCost[RequirementID],
 tblCost[QuantityRequired],
 ""
)</f>
        <v>15</v>
      </c>
      <c r="H808" s="49">
        <f t="array" ref="H808">IF(
 OR(
  LEFT(B808,15)="state.character",
  RIGHT(B808,6)=".maxed"
 ),
 0,
 LET(
  sort,
   _xlfn.XLOOKUP(
    B808,
    tblChecklist[TargetID],
    tblChecklist[PlayerSort],
    0
   ),
  IF(sort=0,500,sort)
 )
)</f>
        <v>500</v>
      </c>
      <c r="I808" s="49" t="str">
        <f t="array" ref="I808">_xlfn.XLOOKUP(
 B808,
 tblTargetStatus[TargetID],
 tblTargetStatus[Status],
 ""
)</f>
        <v>BLOCKED</v>
      </c>
      <c r="J808" s="45" t="b">
        <v>0</v>
      </c>
    </row>
    <row r="809" ht="14.25" hidden="1" customHeight="1">
      <c r="A809" s="49" t="s">
        <v>2441</v>
      </c>
      <c r="B809" s="49" t="str">
        <f>IFERROR(__xludf.DUMMYFUNCTION("REGEXREPLACE(
 REGEXREPLACE(A809,""^cost\."",""""),
 ""\.[^.]+\.[^.]+$"",
 """"
)"),"collection.attic@5")</f>
        <v>collection.attic@5</v>
      </c>
      <c r="C809" s="49" t="str">
        <f t="array" ref="C809">_xlfn.XLOOKUP(
 B809,
 tblTargets[TargetID],
 tblTargets[DisplayName],
 ""
)</f>
        <v>Attic Lv 5</v>
      </c>
      <c r="D809" s="49" t="str">
        <f t="array" ref="D809">_xlfn.XLOOKUP(
 B809,
 tblTargets[TargetID],
 tblTargets[TargetType],
 ""
)</f>
        <v>COLLECTION</v>
      </c>
      <c r="E809" s="49" t="s">
        <v>171</v>
      </c>
      <c r="F809" s="49">
        <v>1.0</v>
      </c>
      <c r="G809" s="49">
        <f t="array" ref="G809">_xlfn.XLOOKUP(
 A809,
 tblCost[RequirementID],
 tblCost[QuantityRequired],
 ""
)</f>
        <v>100</v>
      </c>
      <c r="H809" s="49">
        <f t="array" ref="H809">IF(
 OR(
  LEFT(B809,15)="state.character",
  RIGHT(B809,6)=".maxed"
 ),
 0,
 LET(
  sort,
   _xlfn.XLOOKUP(
    B809,
    tblChecklist[TargetID],
    tblChecklist[PlayerSort],
    0
   ),
  IF(sort=0,500,sort)
 )
)</f>
        <v>500</v>
      </c>
      <c r="I809" s="49" t="str">
        <f t="array" ref="I809">_xlfn.XLOOKUP(
 B809,
 tblTargetStatus[TargetID],
 tblTargetStatus[Status],
 ""
)</f>
        <v>BLOCKED</v>
      </c>
      <c r="J809" s="45" t="b">
        <v>0</v>
      </c>
    </row>
    <row r="810" ht="14.25" hidden="1" customHeight="1">
      <c r="A810" s="49" t="s">
        <v>2442</v>
      </c>
      <c r="B810" s="49" t="str">
        <f>IFERROR(__xludf.DUMMYFUNCTION("REGEXREPLACE(
 REGEXREPLACE(A810,""^cost\."",""""),
 ""\.[^.]+\.[^.]+$"",
 """"
)"),"collection.attic@5")</f>
        <v>collection.attic@5</v>
      </c>
      <c r="C810" s="49" t="str">
        <f t="array" ref="C810">_xlfn.XLOOKUP(
 B810,
 tblTargets[TargetID],
 tblTargets[DisplayName],
 ""
)</f>
        <v>Attic Lv 5</v>
      </c>
      <c r="D810" s="49" t="str">
        <f t="array" ref="D810">_xlfn.XLOOKUP(
 B810,
 tblTargets[TargetID],
 tblTargets[TargetType],
 ""
)</f>
        <v>COLLECTION</v>
      </c>
      <c r="E810" s="49" t="s">
        <v>2404</v>
      </c>
      <c r="F810" s="49">
        <v>1.0</v>
      </c>
      <c r="G810" s="49">
        <f t="array" ref="G810">_xlfn.XLOOKUP(
 A810,
 tblCost[RequirementID],
 tblCost[QuantityRequired],
 ""
)</f>
        <v>15</v>
      </c>
      <c r="H810" s="49">
        <f t="array" ref="H810">IF(
 OR(
  LEFT(B810,15)="state.character",
  RIGHT(B810,6)=".maxed"
 ),
 0,
 LET(
  sort,
   _xlfn.XLOOKUP(
    B810,
    tblChecklist[TargetID],
    tblChecklist[PlayerSort],
    0
   ),
  IF(sort=0,500,sort)
 )
)</f>
        <v>500</v>
      </c>
      <c r="I810" s="49" t="str">
        <f t="array" ref="I810">_xlfn.XLOOKUP(
 B810,
 tblTargetStatus[TargetID],
 tblTargetStatus[Status],
 ""
)</f>
        <v>BLOCKED</v>
      </c>
      <c r="J810" s="45" t="b">
        <v>0</v>
      </c>
    </row>
    <row r="811" ht="14.25" hidden="1" customHeight="1">
      <c r="A811" s="49" t="s">
        <v>2443</v>
      </c>
      <c r="B811" s="49" t="str">
        <f>IFERROR(__xludf.DUMMYFUNCTION("REGEXREPLACE(
 REGEXREPLACE(A811,""^cost\."",""""),
 ""\.[^.]+\.[^.]+$"",
 """"
)"),"collection.attic@5")</f>
        <v>collection.attic@5</v>
      </c>
      <c r="C811" s="49" t="str">
        <f t="array" ref="C811">_xlfn.XLOOKUP(
 B811,
 tblTargets[TargetID],
 tblTargets[DisplayName],
 ""
)</f>
        <v>Attic Lv 5</v>
      </c>
      <c r="D811" s="49" t="str">
        <f t="array" ref="D811">_xlfn.XLOOKUP(
 B811,
 tblTargets[TargetID],
 tblTargets[TargetType],
 ""
)</f>
        <v>COLLECTION</v>
      </c>
      <c r="E811" s="49" t="s">
        <v>1922</v>
      </c>
      <c r="F811" s="49">
        <v>1.0</v>
      </c>
      <c r="G811" s="49">
        <f t="array" ref="G811">_xlfn.XLOOKUP(
 A811,
 tblCost[RequirementID],
 tblCost[QuantityRequired],
 ""
)</f>
        <v>50</v>
      </c>
      <c r="H811" s="49">
        <f t="array" ref="H811">IF(
 OR(
  LEFT(B811,15)="state.character",
  RIGHT(B811,6)=".maxed"
 ),
 0,
 LET(
  sort,
   _xlfn.XLOOKUP(
    B811,
    tblChecklist[TargetID],
    tblChecklist[PlayerSort],
    0
   ),
  IF(sort=0,500,sort)
 )
)</f>
        <v>500</v>
      </c>
      <c r="I811" s="49" t="str">
        <f t="array" ref="I811">_xlfn.XLOOKUP(
 B811,
 tblTargetStatus[TargetID],
 tblTargetStatus[Status],
 ""
)</f>
        <v>BLOCKED</v>
      </c>
      <c r="J811" s="45" t="b">
        <v>0</v>
      </c>
    </row>
    <row r="812" ht="14.25" hidden="1" customHeight="1">
      <c r="A812" s="49" t="s">
        <v>2444</v>
      </c>
      <c r="B812" s="49" t="str">
        <f>IFERROR(__xludf.DUMMYFUNCTION("REGEXREPLACE(
 REGEXREPLACE(A812,""^cost\."",""""),
 ""\.[^.]+\.[^.]+$"",
 """"
)"),"collection.attic@5")</f>
        <v>collection.attic@5</v>
      </c>
      <c r="C812" s="49" t="str">
        <f t="array" ref="C812">_xlfn.XLOOKUP(
 B812,
 tblTargets[TargetID],
 tblTargets[DisplayName],
 ""
)</f>
        <v>Attic Lv 5</v>
      </c>
      <c r="D812" s="49" t="str">
        <f t="array" ref="D812">_xlfn.XLOOKUP(
 B812,
 tblTargets[TargetID],
 tblTargets[TargetType],
 ""
)</f>
        <v>COLLECTION</v>
      </c>
      <c r="E812" s="49" t="s">
        <v>2083</v>
      </c>
      <c r="F812" s="49">
        <v>1.0</v>
      </c>
      <c r="G812" s="49">
        <f t="array" ref="G812">_xlfn.XLOOKUP(
 A812,
 tblCost[RequirementID],
 tblCost[QuantityRequired],
 ""
)</f>
        <v>15</v>
      </c>
      <c r="H812" s="49">
        <f t="array" ref="H812">IF(
 OR(
  LEFT(B812,15)="state.character",
  RIGHT(B812,6)=".maxed"
 ),
 0,
 LET(
  sort,
   _xlfn.XLOOKUP(
    B812,
    tblChecklist[TargetID],
    tblChecklist[PlayerSort],
    0
   ),
  IF(sort=0,500,sort)
 )
)</f>
        <v>500</v>
      </c>
      <c r="I812" s="49" t="str">
        <f t="array" ref="I812">_xlfn.XLOOKUP(
 B812,
 tblTargetStatus[TargetID],
 tblTargetStatus[Status],
 ""
)</f>
        <v>BLOCKED</v>
      </c>
      <c r="J812" s="45" t="b">
        <v>0</v>
      </c>
    </row>
    <row r="813" ht="14.25" hidden="1" customHeight="1">
      <c r="A813" s="49" t="s">
        <v>2445</v>
      </c>
      <c r="B813" s="49" t="str">
        <f>IFERROR(__xludf.DUMMYFUNCTION("REGEXREPLACE(
 REGEXREPLACE(A813,""^cost\."",""""),
 ""\.[^.]+\.[^.]+$"",
 """"
)"),"collection.attic@5")</f>
        <v>collection.attic@5</v>
      </c>
      <c r="C813" s="49" t="str">
        <f t="array" ref="C813">_xlfn.XLOOKUP(
 B813,
 tblTargets[TargetID],
 tblTargets[DisplayName],
 ""
)</f>
        <v>Attic Lv 5</v>
      </c>
      <c r="D813" s="49" t="str">
        <f t="array" ref="D813">_xlfn.XLOOKUP(
 B813,
 tblTargets[TargetID],
 tblTargets[TargetType],
 ""
)</f>
        <v>COLLECTION</v>
      </c>
      <c r="E813" s="49" t="s">
        <v>1095</v>
      </c>
      <c r="F813" s="49">
        <v>1.0</v>
      </c>
      <c r="G813" s="49">
        <f t="array" ref="G813">_xlfn.XLOOKUP(
 A813,
 tblCost[RequirementID],
 tblCost[QuantityRequired],
 ""
)</f>
        <v>15</v>
      </c>
      <c r="H813" s="49">
        <f t="array" ref="H813">IF(
 OR(
  LEFT(B813,15)="state.character",
  RIGHT(B813,6)=".maxed"
 ),
 0,
 LET(
  sort,
   _xlfn.XLOOKUP(
    B813,
    tblChecklist[TargetID],
    tblChecklist[PlayerSort],
    0
   ),
  IF(sort=0,500,sort)
 )
)</f>
        <v>500</v>
      </c>
      <c r="I813" s="49" t="str">
        <f t="array" ref="I813">_xlfn.XLOOKUP(
 B813,
 tblTargetStatus[TargetID],
 tblTargetStatus[Status],
 ""
)</f>
        <v>BLOCKED</v>
      </c>
      <c r="J813" s="45" t="b">
        <v>0</v>
      </c>
    </row>
    <row r="814" ht="14.25" hidden="1" customHeight="1">
      <c r="A814" s="49" t="s">
        <v>2446</v>
      </c>
      <c r="B814" s="49" t="str">
        <f>IFERROR(__xludf.DUMMYFUNCTION("REGEXREPLACE(
 REGEXREPLACE(A814,""^cost\."",""""),
 ""\.[^.]+\.[^.]+$"",
 """"
)"),"collection.attic@5")</f>
        <v>collection.attic@5</v>
      </c>
      <c r="C814" s="49" t="str">
        <f t="array" ref="C814">_xlfn.XLOOKUP(
 B814,
 tblTargets[TargetID],
 tblTargets[DisplayName],
 ""
)</f>
        <v>Attic Lv 5</v>
      </c>
      <c r="D814" s="49" t="str">
        <f t="array" ref="D814">_xlfn.XLOOKUP(
 B814,
 tblTargets[TargetID],
 tblTargets[TargetType],
 ""
)</f>
        <v>COLLECTION</v>
      </c>
      <c r="E814" s="49" t="s">
        <v>1948</v>
      </c>
      <c r="F814" s="49">
        <v>1.0</v>
      </c>
      <c r="G814" s="49">
        <f t="array" ref="G814">_xlfn.XLOOKUP(
 A814,
 tblCost[RequirementID],
 tblCost[QuantityRequired],
 ""
)</f>
        <v>15</v>
      </c>
      <c r="H814" s="49">
        <f t="array" ref="H814">IF(
 OR(
  LEFT(B814,15)="state.character",
  RIGHT(B814,6)=".maxed"
 ),
 0,
 LET(
  sort,
   _xlfn.XLOOKUP(
    B814,
    tblChecklist[TargetID],
    tblChecklist[PlayerSort],
    0
   ),
  IF(sort=0,500,sort)
 )
)</f>
        <v>500</v>
      </c>
      <c r="I814" s="49" t="str">
        <f t="array" ref="I814">_xlfn.XLOOKUP(
 B814,
 tblTargetStatus[TargetID],
 tblTargetStatus[Status],
 ""
)</f>
        <v>BLOCKED</v>
      </c>
      <c r="J814" s="45" t="b">
        <v>0</v>
      </c>
    </row>
    <row r="815" ht="14.25" hidden="1" customHeight="1">
      <c r="A815" s="49" t="s">
        <v>2447</v>
      </c>
      <c r="B815" s="49" t="str">
        <f>IFERROR(__xludf.DUMMYFUNCTION("REGEXREPLACE(
 REGEXREPLACE(A815,""^cost\."",""""),
 ""\.[^.]+\.[^.]+$"",
 """"
)"),"collection.attic@5")</f>
        <v>collection.attic@5</v>
      </c>
      <c r="C815" s="49" t="str">
        <f t="array" ref="C815">_xlfn.XLOOKUP(
 B815,
 tblTargets[TargetID],
 tblTargets[DisplayName],
 ""
)</f>
        <v>Attic Lv 5</v>
      </c>
      <c r="D815" s="49" t="str">
        <f t="array" ref="D815">_xlfn.XLOOKUP(
 B815,
 tblTargets[TargetID],
 tblTargets[TargetType],
 ""
)</f>
        <v>COLLECTION</v>
      </c>
      <c r="E815" s="49" t="s">
        <v>2410</v>
      </c>
      <c r="F815" s="49">
        <v>1.0</v>
      </c>
      <c r="G815" s="49">
        <f t="array" ref="G815">_xlfn.XLOOKUP(
 A815,
 tblCost[RequirementID],
 tblCost[QuantityRequired],
 ""
)</f>
        <v>100</v>
      </c>
      <c r="H815" s="49">
        <f t="array" ref="H815">IF(
 OR(
  LEFT(B815,15)="state.character",
  RIGHT(B815,6)=".maxed"
 ),
 0,
 LET(
  sort,
   _xlfn.XLOOKUP(
    B815,
    tblChecklist[TargetID],
    tblChecklist[PlayerSort],
    0
   ),
  IF(sort=0,500,sort)
 )
)</f>
        <v>500</v>
      </c>
      <c r="I815" s="49" t="str">
        <f t="array" ref="I815">_xlfn.XLOOKUP(
 B815,
 tblTargetStatus[TargetID],
 tblTargetStatus[Status],
 ""
)</f>
        <v>BLOCKED</v>
      </c>
      <c r="J815" s="45" t="b">
        <v>0</v>
      </c>
    </row>
    <row r="816" ht="14.25" hidden="1" customHeight="1">
      <c r="A816" s="49" t="s">
        <v>2448</v>
      </c>
      <c r="B816" s="49" t="str">
        <f>IFERROR(__xludf.DUMMYFUNCTION("REGEXREPLACE(
 REGEXREPLACE(A816,""^cost\."",""""),
 ""\.[^.]+\.[^.]+$"",
 """"
)"),"collection.attic@5")</f>
        <v>collection.attic@5</v>
      </c>
      <c r="C816" s="49" t="str">
        <f t="array" ref="C816">_xlfn.XLOOKUP(
 B816,
 tblTargets[TargetID],
 tblTargets[DisplayName],
 ""
)</f>
        <v>Attic Lv 5</v>
      </c>
      <c r="D816" s="49" t="str">
        <f t="array" ref="D816">_xlfn.XLOOKUP(
 B816,
 tblTargets[TargetID],
 tblTargets[TargetType],
 ""
)</f>
        <v>COLLECTION</v>
      </c>
      <c r="E816" s="49" t="s">
        <v>2412</v>
      </c>
      <c r="F816" s="49">
        <v>1.0</v>
      </c>
      <c r="G816" s="49">
        <f t="array" ref="G816">_xlfn.XLOOKUP(
 A816,
 tblCost[RequirementID],
 tblCost[QuantityRequired],
 ""
)</f>
        <v>100</v>
      </c>
      <c r="H816" s="49">
        <f t="array" ref="H816">IF(
 OR(
  LEFT(B816,15)="state.character",
  RIGHT(B816,6)=".maxed"
 ),
 0,
 LET(
  sort,
   _xlfn.XLOOKUP(
    B816,
    tblChecklist[TargetID],
    tblChecklist[PlayerSort],
    0
   ),
  IF(sort=0,500,sort)
 )
)</f>
        <v>500</v>
      </c>
      <c r="I816" s="49" t="str">
        <f t="array" ref="I816">_xlfn.XLOOKUP(
 B816,
 tblTargetStatus[TargetID],
 tblTargetStatus[Status],
 ""
)</f>
        <v>BLOCKED</v>
      </c>
      <c r="J816" s="45" t="b">
        <v>0</v>
      </c>
    </row>
    <row r="817" ht="14.25" hidden="1" customHeight="1">
      <c r="A817" s="49" t="s">
        <v>2449</v>
      </c>
      <c r="B817" s="49" t="str">
        <f>IFERROR(__xludf.DUMMYFUNCTION("REGEXREPLACE(
 REGEXREPLACE(A817,""^cost\."",""""),
 ""\.[^.]+\.[^.]+$"",
 """"
)"),"collection.bone_dragon@1")</f>
        <v>collection.bone_dragon@1</v>
      </c>
      <c r="C817" s="49" t="str">
        <f t="array" ref="C817">_xlfn.XLOOKUP(
 B817,
 tblTargets[TargetID],
 tblTargets[DisplayName],
 ""
)</f>
        <v>Bone Dragon Lv 1</v>
      </c>
      <c r="D817" s="49" t="str">
        <f t="array" ref="D817">_xlfn.XLOOKUP(
 B817,
 tblTargets[TargetID],
 tblTargets[TargetType],
 ""
)</f>
        <v>COLLECTION</v>
      </c>
      <c r="E817" s="49" t="s">
        <v>2318</v>
      </c>
      <c r="F817" s="49">
        <v>1.0</v>
      </c>
      <c r="G817" s="49">
        <f t="array" ref="G817">_xlfn.XLOOKUP(
 A817,
 tblCost[RequirementID],
 tblCost[QuantityRequired],
 ""
)</f>
        <v>30</v>
      </c>
      <c r="H817" s="49">
        <f t="array" ref="H817">IF(
 OR(
  LEFT(B817,15)="state.character",
  RIGHT(B817,6)=".maxed"
 ),
 0,
 LET(
  sort,
   _xlfn.XLOOKUP(
    B817,
    tblChecklist[TargetID],
    tblChecklist[PlayerSort],
    0
   ),
  IF(sort=0,500,sort)
 )
)</f>
        <v>500</v>
      </c>
      <c r="I817" s="49" t="str">
        <f t="array" ref="I817">_xlfn.XLOOKUP(
 B817,
 tblTargetStatus[TargetID],
 tblTargetStatus[Status],
 ""
)</f>
        <v>BLOCKED</v>
      </c>
      <c r="J817" s="45" t="b">
        <v>0</v>
      </c>
    </row>
    <row r="818" ht="14.25" hidden="1" customHeight="1">
      <c r="A818" s="49" t="s">
        <v>2450</v>
      </c>
      <c r="B818" s="49" t="str">
        <f>IFERROR(__xludf.DUMMYFUNCTION("REGEXREPLACE(
 REGEXREPLACE(A818,""^cost\."",""""),
 ""\.[^.]+\.[^.]+$"",
 """"
)"),"collection.bone_dragon@1")</f>
        <v>collection.bone_dragon@1</v>
      </c>
      <c r="C818" s="49" t="str">
        <f t="array" ref="C818">_xlfn.XLOOKUP(
 B818,
 tblTargets[TargetID],
 tblTargets[DisplayName],
 ""
)</f>
        <v>Bone Dragon Lv 1</v>
      </c>
      <c r="D818" s="49" t="str">
        <f t="array" ref="D818">_xlfn.XLOOKUP(
 B818,
 tblTargets[TargetID],
 tblTargets[TargetType],
 ""
)</f>
        <v>COLLECTION</v>
      </c>
      <c r="E818" s="49" t="s">
        <v>2318</v>
      </c>
      <c r="F818" s="49">
        <v>2.0</v>
      </c>
      <c r="G818" s="49">
        <f t="array" ref="G818">_xlfn.XLOOKUP(
 A818,
 tblCost[RequirementID],
 tblCost[QuantityRequired],
 ""
)</f>
        <v>150</v>
      </c>
      <c r="H818" s="49">
        <f t="array" ref="H818">IF(
 OR(
  LEFT(B818,15)="state.character",
  RIGHT(B818,6)=".maxed"
 ),
 0,
 LET(
  sort,
   _xlfn.XLOOKUP(
    B818,
    tblChecklist[TargetID],
    tblChecklist[PlayerSort],
    0
   ),
  IF(sort=0,500,sort)
 )
)</f>
        <v>500</v>
      </c>
      <c r="I818" s="49" t="str">
        <f t="array" ref="I818">_xlfn.XLOOKUP(
 B818,
 tblTargetStatus[TargetID],
 tblTargetStatus[Status],
 ""
)</f>
        <v>BLOCKED</v>
      </c>
      <c r="J818" s="45" t="b">
        <v>0</v>
      </c>
    </row>
    <row r="819" ht="14.25" hidden="1" customHeight="1">
      <c r="A819" s="49" t="s">
        <v>2451</v>
      </c>
      <c r="B819" s="49" t="str">
        <f>IFERROR(__xludf.DUMMYFUNCTION("REGEXREPLACE(
 REGEXREPLACE(A819,""^cost\."",""""),
 ""\.[^.]+\.[^.]+$"",
 """"
)"),"collection.bone_dragon@1")</f>
        <v>collection.bone_dragon@1</v>
      </c>
      <c r="C819" s="49" t="str">
        <f t="array" ref="C819">_xlfn.XLOOKUP(
 B819,
 tblTargets[TargetID],
 tblTargets[DisplayName],
 ""
)</f>
        <v>Bone Dragon Lv 1</v>
      </c>
      <c r="D819" s="49" t="str">
        <f t="array" ref="D819">_xlfn.XLOOKUP(
 B819,
 tblTargets[TargetID],
 tblTargets[TargetType],
 ""
)</f>
        <v>COLLECTION</v>
      </c>
      <c r="E819" s="49" t="s">
        <v>2318</v>
      </c>
      <c r="F819" s="49">
        <v>3.0</v>
      </c>
      <c r="G819" s="49">
        <f t="array" ref="G819">_xlfn.XLOOKUP(
 A819,
 tblCost[RequirementID],
 tblCost[QuantityRequired],
 ""
)</f>
        <v>30</v>
      </c>
      <c r="H819" s="49">
        <f t="array" ref="H819">IF(
 OR(
  LEFT(B819,15)="state.character",
  RIGHT(B819,6)=".maxed"
 ),
 0,
 LET(
  sort,
   _xlfn.XLOOKUP(
    B819,
    tblChecklist[TargetID],
    tblChecklist[PlayerSort],
    0
   ),
  IF(sort=0,500,sort)
 )
)</f>
        <v>500</v>
      </c>
      <c r="I819" s="49" t="str">
        <f t="array" ref="I819">_xlfn.XLOOKUP(
 B819,
 tblTargetStatus[TargetID],
 tblTargetStatus[Status],
 ""
)</f>
        <v>BLOCKED</v>
      </c>
      <c r="J819" s="45" t="b">
        <v>0</v>
      </c>
    </row>
    <row r="820" ht="14.25" hidden="1" customHeight="1">
      <c r="A820" s="49" t="s">
        <v>2452</v>
      </c>
      <c r="B820" s="49" t="str">
        <f>IFERROR(__xludf.DUMMYFUNCTION("REGEXREPLACE(
 REGEXREPLACE(A820,""^cost\."",""""),
 ""\.[^.]+\.[^.]+$"",
 """"
)"),"collection.bone_dragon@1")</f>
        <v>collection.bone_dragon@1</v>
      </c>
      <c r="C820" s="49" t="str">
        <f t="array" ref="C820">_xlfn.XLOOKUP(
 B820,
 tblTargets[TargetID],
 tblTargets[DisplayName],
 ""
)</f>
        <v>Bone Dragon Lv 1</v>
      </c>
      <c r="D820" s="49" t="str">
        <f t="array" ref="D820">_xlfn.XLOOKUP(
 B820,
 tblTargets[TargetID],
 tblTargets[TargetType],
 ""
)</f>
        <v>COLLECTION</v>
      </c>
      <c r="E820" s="49" t="s">
        <v>2318</v>
      </c>
      <c r="F820" s="49">
        <v>4.0</v>
      </c>
      <c r="G820" s="49">
        <f t="array" ref="G820">_xlfn.XLOOKUP(
 A820,
 tblCost[RequirementID],
 tblCost[QuantityRequired],
 ""
)</f>
        <v>30</v>
      </c>
      <c r="H820" s="49">
        <f t="array" ref="H820">IF(
 OR(
  LEFT(B820,15)="state.character",
  RIGHT(B820,6)=".maxed"
 ),
 0,
 LET(
  sort,
   _xlfn.XLOOKUP(
    B820,
    tblChecklist[TargetID],
    tblChecklist[PlayerSort],
    0
   ),
  IF(sort=0,500,sort)
 )
)</f>
        <v>500</v>
      </c>
      <c r="I820" s="49" t="str">
        <f t="array" ref="I820">_xlfn.XLOOKUP(
 B820,
 tblTargetStatus[TargetID],
 tblTargetStatus[Status],
 ""
)</f>
        <v>BLOCKED</v>
      </c>
      <c r="J820" s="45" t="b">
        <v>0</v>
      </c>
    </row>
    <row r="821" ht="14.25" hidden="1" customHeight="1">
      <c r="A821" s="49" t="s">
        <v>2453</v>
      </c>
      <c r="B821" s="49" t="str">
        <f>IFERROR(__xludf.DUMMYFUNCTION("REGEXREPLACE(
 REGEXREPLACE(A821,""^cost\."",""""),
 ""\.[^.]+\.[^.]+$"",
 """"
)"),"collection.bone_dragon@1")</f>
        <v>collection.bone_dragon@1</v>
      </c>
      <c r="C821" s="49" t="str">
        <f t="array" ref="C821">_xlfn.XLOOKUP(
 B821,
 tblTargets[TargetID],
 tblTargets[DisplayName],
 ""
)</f>
        <v>Bone Dragon Lv 1</v>
      </c>
      <c r="D821" s="49" t="str">
        <f t="array" ref="D821">_xlfn.XLOOKUP(
 B821,
 tblTargets[TargetID],
 tblTargets[TargetType],
 ""
)</f>
        <v>COLLECTION</v>
      </c>
      <c r="E821" s="49" t="s">
        <v>2318</v>
      </c>
      <c r="F821" s="49">
        <v>5.0</v>
      </c>
      <c r="G821" s="49">
        <f t="array" ref="G821">_xlfn.XLOOKUP(
 A821,
 tblCost[RequirementID],
 tblCost[QuantityRequired],
 ""
)</f>
        <v>30</v>
      </c>
      <c r="H821" s="49">
        <f t="array" ref="H821">IF(
 OR(
  LEFT(B821,15)="state.character",
  RIGHT(B821,6)=".maxed"
 ),
 0,
 LET(
  sort,
   _xlfn.XLOOKUP(
    B821,
    tblChecklist[TargetID],
    tblChecklist[PlayerSort],
    0
   ),
  IF(sort=0,500,sort)
 )
)</f>
        <v>500</v>
      </c>
      <c r="I821" s="49" t="str">
        <f t="array" ref="I821">_xlfn.XLOOKUP(
 B821,
 tblTargetStatus[TargetID],
 tblTargetStatus[Status],
 ""
)</f>
        <v>BLOCKED</v>
      </c>
      <c r="J821" s="45" t="b">
        <v>0</v>
      </c>
    </row>
    <row r="822" ht="14.25" hidden="1" customHeight="1">
      <c r="A822" s="49" t="s">
        <v>2454</v>
      </c>
      <c r="B822" s="49" t="str">
        <f>IFERROR(__xludf.DUMMYFUNCTION("REGEXREPLACE(
 REGEXREPLACE(A822,""^cost\."",""""),
 ""\.[^.]+\.[^.]+$"",
 """"
)"),"collection.bone_dragon@1")</f>
        <v>collection.bone_dragon@1</v>
      </c>
      <c r="C822" s="49" t="str">
        <f t="array" ref="C822">_xlfn.XLOOKUP(
 B822,
 tblTargets[TargetID],
 tblTargets[DisplayName],
 ""
)</f>
        <v>Bone Dragon Lv 1</v>
      </c>
      <c r="D822" s="49" t="str">
        <f t="array" ref="D822">_xlfn.XLOOKUP(
 B822,
 tblTargets[TargetID],
 tblTargets[TargetType],
 ""
)</f>
        <v>COLLECTION</v>
      </c>
      <c r="E822" s="49" t="s">
        <v>2318</v>
      </c>
      <c r="F822" s="49">
        <v>6.0</v>
      </c>
      <c r="G822" s="49">
        <f t="array" ref="G822">_xlfn.XLOOKUP(
 A822,
 tblCost[RequirementID],
 tblCost[QuantityRequired],
 ""
)</f>
        <v>30</v>
      </c>
      <c r="H822" s="49">
        <f t="array" ref="H822">IF(
 OR(
  LEFT(B822,15)="state.character",
  RIGHT(B822,6)=".maxed"
 ),
 0,
 LET(
  sort,
   _xlfn.XLOOKUP(
    B822,
    tblChecklist[TargetID],
    tblChecklist[PlayerSort],
    0
   ),
  IF(sort=0,500,sort)
 )
)</f>
        <v>500</v>
      </c>
      <c r="I822" s="49" t="str">
        <f t="array" ref="I822">_xlfn.XLOOKUP(
 B822,
 tblTargetStatus[TargetID],
 tblTargetStatus[Status],
 ""
)</f>
        <v>BLOCKED</v>
      </c>
      <c r="J822" s="45" t="b">
        <v>0</v>
      </c>
    </row>
    <row r="823" ht="14.25" hidden="1" customHeight="1">
      <c r="A823" s="49" t="s">
        <v>2455</v>
      </c>
      <c r="B823" s="49" t="str">
        <f>IFERROR(__xludf.DUMMYFUNCTION("REGEXREPLACE(
 REGEXREPLACE(A823,""^cost\."",""""),
 ""\.[^.]+\.[^.]+$"",
 """"
)"),"collection.bone_dragon@1")</f>
        <v>collection.bone_dragon@1</v>
      </c>
      <c r="C823" s="49" t="str">
        <f t="array" ref="C823">_xlfn.XLOOKUP(
 B823,
 tblTargets[TargetID],
 tblTargets[DisplayName],
 ""
)</f>
        <v>Bone Dragon Lv 1</v>
      </c>
      <c r="D823" s="49" t="str">
        <f t="array" ref="D823">_xlfn.XLOOKUP(
 B823,
 tblTargets[TargetID],
 tblTargets[TargetType],
 ""
)</f>
        <v>COLLECTION</v>
      </c>
      <c r="E823" s="49" t="s">
        <v>2337</v>
      </c>
      <c r="F823" s="49">
        <v>1.0</v>
      </c>
      <c r="G823" s="49">
        <f t="array" ref="G823">_xlfn.XLOOKUP(
 A823,
 tblCost[RequirementID],
 tblCost[QuantityRequired],
 ""
)</f>
        <v>11</v>
      </c>
      <c r="H823" s="49">
        <f t="array" ref="H823">IF(
 OR(
  LEFT(B823,15)="state.character",
  RIGHT(B823,6)=".maxed"
 ),
 0,
 LET(
  sort,
   _xlfn.XLOOKUP(
    B823,
    tblChecklist[TargetID],
    tblChecklist[PlayerSort],
    0
   ),
  IF(sort=0,500,sort)
 )
)</f>
        <v>500</v>
      </c>
      <c r="I823" s="49" t="str">
        <f t="array" ref="I823">_xlfn.XLOOKUP(
 B823,
 tblTargetStatus[TargetID],
 tblTargetStatus[Status],
 ""
)</f>
        <v>BLOCKED</v>
      </c>
      <c r="J823" s="45" t="b">
        <v>0</v>
      </c>
    </row>
    <row r="824" ht="14.25" hidden="1" customHeight="1">
      <c r="A824" s="49" t="s">
        <v>2456</v>
      </c>
      <c r="B824" s="49" t="str">
        <f>IFERROR(__xludf.DUMMYFUNCTION("REGEXREPLACE(
 REGEXREPLACE(A824,""^cost\."",""""),
 ""\.[^.]+\.[^.]+$"",
 """"
)"),"collection.bone_dragon@1")</f>
        <v>collection.bone_dragon@1</v>
      </c>
      <c r="C824" s="49" t="str">
        <f t="array" ref="C824">_xlfn.XLOOKUP(
 B824,
 tblTargets[TargetID],
 tblTargets[DisplayName],
 ""
)</f>
        <v>Bone Dragon Lv 1</v>
      </c>
      <c r="D824" s="49" t="str">
        <f t="array" ref="D824">_xlfn.XLOOKUP(
 B824,
 tblTargets[TargetID],
 tblTargets[TargetType],
 ""
)</f>
        <v>COLLECTION</v>
      </c>
      <c r="E824" s="49" t="s">
        <v>1060</v>
      </c>
      <c r="F824" s="49">
        <v>1.0</v>
      </c>
      <c r="G824" s="49">
        <f t="array" ref="G824">_xlfn.XLOOKUP(
 A824,
 tblCost[RequirementID],
 tblCost[QuantityRequired],
 ""
)</f>
        <v>555</v>
      </c>
      <c r="H824" s="49">
        <f t="array" ref="H824">IF(
 OR(
  LEFT(B824,15)="state.character",
  RIGHT(B824,6)=".maxed"
 ),
 0,
 LET(
  sort,
   _xlfn.XLOOKUP(
    B824,
    tblChecklist[TargetID],
    tblChecklist[PlayerSort],
    0
   ),
  IF(sort=0,500,sort)
 )
)</f>
        <v>500</v>
      </c>
      <c r="I824" s="49" t="str">
        <f t="array" ref="I824">_xlfn.XLOOKUP(
 B824,
 tblTargetStatus[TargetID],
 tblTargetStatus[Status],
 ""
)</f>
        <v>BLOCKED</v>
      </c>
      <c r="J824" s="45" t="b">
        <v>0</v>
      </c>
    </row>
    <row r="825" ht="14.25" hidden="1" customHeight="1">
      <c r="A825" s="49" t="s">
        <v>2457</v>
      </c>
      <c r="B825" s="49" t="str">
        <f>IFERROR(__xludf.DUMMYFUNCTION("REGEXREPLACE(
 REGEXREPLACE(A825,""^cost\."",""""),
 ""\.[^.]+\.[^.]+$"",
 """"
)"),"collection.bone_dragon@1")</f>
        <v>collection.bone_dragon@1</v>
      </c>
      <c r="C825" s="49" t="str">
        <f t="array" ref="C825">_xlfn.XLOOKUP(
 B825,
 tblTargets[TargetID],
 tblTargets[DisplayName],
 ""
)</f>
        <v>Bone Dragon Lv 1</v>
      </c>
      <c r="D825" s="49" t="str">
        <f t="array" ref="D825">_xlfn.XLOOKUP(
 B825,
 tblTargets[TargetID],
 tblTargets[TargetType],
 ""
)</f>
        <v>COLLECTION</v>
      </c>
      <c r="E825" s="49" t="s">
        <v>2458</v>
      </c>
      <c r="F825" s="49">
        <v>1.0</v>
      </c>
      <c r="G825" s="49">
        <f t="array" ref="G825">_xlfn.XLOOKUP(
 A825,
 tblCost[RequirementID],
 tblCost[QuantityRequired],
 ""
)</f>
        <v>2</v>
      </c>
      <c r="H825" s="49">
        <f t="array" ref="H825">IF(
 OR(
  LEFT(B825,15)="state.character",
  RIGHT(B825,6)=".maxed"
 ),
 0,
 LET(
  sort,
   _xlfn.XLOOKUP(
    B825,
    tblChecklist[TargetID],
    tblChecklist[PlayerSort],
    0
   ),
  IF(sort=0,500,sort)
 )
)</f>
        <v>500</v>
      </c>
      <c r="I825" s="49" t="str">
        <f t="array" ref="I825">_xlfn.XLOOKUP(
 B825,
 tblTargetStatus[TargetID],
 tblTargetStatus[Status],
 ""
)</f>
        <v>BLOCKED</v>
      </c>
      <c r="J825" s="45" t="b">
        <v>0</v>
      </c>
    </row>
    <row r="826" ht="14.25" hidden="1" customHeight="1">
      <c r="A826" s="49" t="s">
        <v>2459</v>
      </c>
      <c r="B826" s="49" t="str">
        <f>IFERROR(__xludf.DUMMYFUNCTION("REGEXREPLACE(
 REGEXREPLACE(A826,""^cost\."",""""),
 ""\.[^.]+\.[^.]+$"",
 """"
)"),"collection.bone_dragon@1")</f>
        <v>collection.bone_dragon@1</v>
      </c>
      <c r="C826" s="49" t="str">
        <f t="array" ref="C826">_xlfn.XLOOKUP(
 B826,
 tblTargets[TargetID],
 tblTargets[DisplayName],
 ""
)</f>
        <v>Bone Dragon Lv 1</v>
      </c>
      <c r="D826" s="49" t="str">
        <f t="array" ref="D826">_xlfn.XLOOKUP(
 B826,
 tblTargets[TargetID],
 tblTargets[TargetType],
 ""
)</f>
        <v>COLLECTION</v>
      </c>
      <c r="E826" s="49" t="s">
        <v>530</v>
      </c>
      <c r="F826" s="49">
        <v>1.0</v>
      </c>
      <c r="G826" s="49">
        <f t="array" ref="G826">_xlfn.XLOOKUP(
 A826,
 tblCost[RequirementID],
 tblCost[QuantityRequired],
 ""
)</f>
        <v>5</v>
      </c>
      <c r="H826" s="49">
        <f t="array" ref="H826">IF(
 OR(
  LEFT(B826,15)="state.character",
  RIGHT(B826,6)=".maxed"
 ),
 0,
 LET(
  sort,
   _xlfn.XLOOKUP(
    B826,
    tblChecklist[TargetID],
    tblChecklist[PlayerSort],
    0
   ),
  IF(sort=0,500,sort)
 )
)</f>
        <v>500</v>
      </c>
      <c r="I826" s="49" t="str">
        <f t="array" ref="I826">_xlfn.XLOOKUP(
 B826,
 tblTargetStatus[TargetID],
 tblTargetStatus[Status],
 ""
)</f>
        <v>BLOCKED</v>
      </c>
      <c r="J826" s="45" t="b">
        <v>0</v>
      </c>
    </row>
    <row r="827" ht="14.25" hidden="1" customHeight="1">
      <c r="A827" s="49" t="s">
        <v>2460</v>
      </c>
      <c r="B827" s="49" t="str">
        <f>IFERROR(__xludf.DUMMYFUNCTION("REGEXREPLACE(
 REGEXREPLACE(A827,""^cost\."",""""),
 ""\.[^.]+\.[^.]+$"",
 """"
)"),"collection.bone_dragon@1")</f>
        <v>collection.bone_dragon@1</v>
      </c>
      <c r="C827" s="49" t="str">
        <f t="array" ref="C827">_xlfn.XLOOKUP(
 B827,
 tblTargets[TargetID],
 tblTargets[DisplayName],
 ""
)</f>
        <v>Bone Dragon Lv 1</v>
      </c>
      <c r="D827" s="49" t="str">
        <f t="array" ref="D827">_xlfn.XLOOKUP(
 B827,
 tblTargets[TargetID],
 tblTargets[TargetType],
 ""
)</f>
        <v>COLLECTION</v>
      </c>
      <c r="E827" s="49" t="s">
        <v>2461</v>
      </c>
      <c r="F827" s="49">
        <v>1.0</v>
      </c>
      <c r="G827" s="49">
        <f t="array" ref="G827">_xlfn.XLOOKUP(
 A827,
 tblCost[RequirementID],
 tblCost[QuantityRequired],
 ""
)</f>
        <v>10</v>
      </c>
      <c r="H827" s="49">
        <f t="array" ref="H827">IF(
 OR(
  LEFT(B827,15)="state.character",
  RIGHT(B827,6)=".maxed"
 ),
 0,
 LET(
  sort,
   _xlfn.XLOOKUP(
    B827,
    tblChecklist[TargetID],
    tblChecklist[PlayerSort],
    0
   ),
  IF(sort=0,500,sort)
 )
)</f>
        <v>500</v>
      </c>
      <c r="I827" s="49" t="str">
        <f t="array" ref="I827">_xlfn.XLOOKUP(
 B827,
 tblTargetStatus[TargetID],
 tblTargetStatus[Status],
 ""
)</f>
        <v>BLOCKED</v>
      </c>
      <c r="J827" s="45" t="b">
        <v>0</v>
      </c>
    </row>
    <row r="828" ht="14.25" hidden="1" customHeight="1">
      <c r="A828" s="49" t="s">
        <v>2462</v>
      </c>
      <c r="B828" s="49" t="str">
        <f>IFERROR(__xludf.DUMMYFUNCTION("REGEXREPLACE(
 REGEXREPLACE(A828,""^cost\."",""""),
 ""\.[^.]+\.[^.]+$"",
 """"
)"),"collection.bone_dragon@2")</f>
        <v>collection.bone_dragon@2</v>
      </c>
      <c r="C828" s="49" t="str">
        <f t="array" ref="C828">_xlfn.XLOOKUP(
 B828,
 tblTargets[TargetID],
 tblTargets[DisplayName],
 ""
)</f>
        <v>Bone Dragon Lv 2</v>
      </c>
      <c r="D828" s="49" t="str">
        <f t="array" ref="D828">_xlfn.XLOOKUP(
 B828,
 tblTargets[TargetID],
 tblTargets[TargetType],
 ""
)</f>
        <v>COLLECTION</v>
      </c>
      <c r="E828" s="49" t="s">
        <v>2318</v>
      </c>
      <c r="F828" s="49">
        <v>1.0</v>
      </c>
      <c r="G828" s="49">
        <f t="array" ref="G828">_xlfn.XLOOKUP(
 A828,
 tblCost[RequirementID],
 tblCost[QuantityRequired],
 ""
)</f>
        <v>60</v>
      </c>
      <c r="H828" s="49">
        <f t="array" ref="H828">IF(
 OR(
  LEFT(B828,15)="state.character",
  RIGHT(B828,6)=".maxed"
 ),
 0,
 LET(
  sort,
   _xlfn.XLOOKUP(
    B828,
    tblChecklist[TargetID],
    tblChecklist[PlayerSort],
    0
   ),
  IF(sort=0,500,sort)
 )
)</f>
        <v>500</v>
      </c>
      <c r="I828" s="49" t="str">
        <f t="array" ref="I828">_xlfn.XLOOKUP(
 B828,
 tblTargetStatus[TargetID],
 tblTargetStatus[Status],
 ""
)</f>
        <v>BLOCKED</v>
      </c>
      <c r="J828" s="45" t="b">
        <v>0</v>
      </c>
    </row>
    <row r="829" ht="14.25" hidden="1" customHeight="1">
      <c r="A829" s="49" t="s">
        <v>2463</v>
      </c>
      <c r="B829" s="49" t="str">
        <f>IFERROR(__xludf.DUMMYFUNCTION("REGEXREPLACE(
 REGEXREPLACE(A829,""^cost\."",""""),
 ""\.[^.]+\.[^.]+$"",
 """"
)"),"collection.bone_dragon@2")</f>
        <v>collection.bone_dragon@2</v>
      </c>
      <c r="C829" s="49" t="str">
        <f t="array" ref="C829">_xlfn.XLOOKUP(
 B829,
 tblTargets[TargetID],
 tblTargets[DisplayName],
 ""
)</f>
        <v>Bone Dragon Lv 2</v>
      </c>
      <c r="D829" s="49" t="str">
        <f t="array" ref="D829">_xlfn.XLOOKUP(
 B829,
 tblTargets[TargetID],
 tblTargets[TargetType],
 ""
)</f>
        <v>COLLECTION</v>
      </c>
      <c r="E829" s="49" t="s">
        <v>2318</v>
      </c>
      <c r="F829" s="49">
        <v>2.0</v>
      </c>
      <c r="G829" s="49">
        <f t="array" ref="G829">_xlfn.XLOOKUP(
 A829,
 tblCost[RequirementID],
 tblCost[QuantityRequired],
 ""
)</f>
        <v>300</v>
      </c>
      <c r="H829" s="49">
        <f t="array" ref="H829">IF(
 OR(
  LEFT(B829,15)="state.character",
  RIGHT(B829,6)=".maxed"
 ),
 0,
 LET(
  sort,
   _xlfn.XLOOKUP(
    B829,
    tblChecklist[TargetID],
    tblChecklist[PlayerSort],
    0
   ),
  IF(sort=0,500,sort)
 )
)</f>
        <v>500</v>
      </c>
      <c r="I829" s="49" t="str">
        <f t="array" ref="I829">_xlfn.XLOOKUP(
 B829,
 tblTargetStatus[TargetID],
 tblTargetStatus[Status],
 ""
)</f>
        <v>BLOCKED</v>
      </c>
      <c r="J829" s="45" t="b">
        <v>0</v>
      </c>
    </row>
    <row r="830" ht="14.25" hidden="1" customHeight="1">
      <c r="A830" s="49" t="s">
        <v>2464</v>
      </c>
      <c r="B830" s="49" t="str">
        <f>IFERROR(__xludf.DUMMYFUNCTION("REGEXREPLACE(
 REGEXREPLACE(A830,""^cost\."",""""),
 ""\.[^.]+\.[^.]+$"",
 """"
)"),"collection.bone_dragon@2")</f>
        <v>collection.bone_dragon@2</v>
      </c>
      <c r="C830" s="49" t="str">
        <f t="array" ref="C830">_xlfn.XLOOKUP(
 B830,
 tblTargets[TargetID],
 tblTargets[DisplayName],
 ""
)</f>
        <v>Bone Dragon Lv 2</v>
      </c>
      <c r="D830" s="49" t="str">
        <f t="array" ref="D830">_xlfn.XLOOKUP(
 B830,
 tblTargets[TargetID],
 tblTargets[TargetType],
 ""
)</f>
        <v>COLLECTION</v>
      </c>
      <c r="E830" s="49" t="s">
        <v>2318</v>
      </c>
      <c r="F830" s="49">
        <v>3.0</v>
      </c>
      <c r="G830" s="49">
        <f t="array" ref="G830">_xlfn.XLOOKUP(
 A830,
 tblCost[RequirementID],
 tblCost[QuantityRequired],
 ""
)</f>
        <v>60</v>
      </c>
      <c r="H830" s="49">
        <f t="array" ref="H830">IF(
 OR(
  LEFT(B830,15)="state.character",
  RIGHT(B830,6)=".maxed"
 ),
 0,
 LET(
  sort,
   _xlfn.XLOOKUP(
    B830,
    tblChecklist[TargetID],
    tblChecklist[PlayerSort],
    0
   ),
  IF(sort=0,500,sort)
 )
)</f>
        <v>500</v>
      </c>
      <c r="I830" s="49" t="str">
        <f t="array" ref="I830">_xlfn.XLOOKUP(
 B830,
 tblTargetStatus[TargetID],
 tblTargetStatus[Status],
 ""
)</f>
        <v>BLOCKED</v>
      </c>
      <c r="J830" s="45" t="b">
        <v>0</v>
      </c>
    </row>
    <row r="831" ht="14.25" hidden="1" customHeight="1">
      <c r="A831" s="49" t="s">
        <v>2465</v>
      </c>
      <c r="B831" s="49" t="str">
        <f>IFERROR(__xludf.DUMMYFUNCTION("REGEXREPLACE(
 REGEXREPLACE(A831,""^cost\."",""""),
 ""\.[^.]+\.[^.]+$"",
 """"
)"),"collection.bone_dragon@2")</f>
        <v>collection.bone_dragon@2</v>
      </c>
      <c r="C831" s="49" t="str">
        <f t="array" ref="C831">_xlfn.XLOOKUP(
 B831,
 tblTargets[TargetID],
 tblTargets[DisplayName],
 ""
)</f>
        <v>Bone Dragon Lv 2</v>
      </c>
      <c r="D831" s="49" t="str">
        <f t="array" ref="D831">_xlfn.XLOOKUP(
 B831,
 tblTargets[TargetID],
 tblTargets[TargetType],
 ""
)</f>
        <v>COLLECTION</v>
      </c>
      <c r="E831" s="49" t="s">
        <v>2318</v>
      </c>
      <c r="F831" s="49">
        <v>4.0</v>
      </c>
      <c r="G831" s="49">
        <f t="array" ref="G831">_xlfn.XLOOKUP(
 A831,
 tblCost[RequirementID],
 tblCost[QuantityRequired],
 ""
)</f>
        <v>60</v>
      </c>
      <c r="H831" s="49">
        <f t="array" ref="H831">IF(
 OR(
  LEFT(B831,15)="state.character",
  RIGHT(B831,6)=".maxed"
 ),
 0,
 LET(
  sort,
   _xlfn.XLOOKUP(
    B831,
    tblChecklist[TargetID],
    tblChecklist[PlayerSort],
    0
   ),
  IF(sort=0,500,sort)
 )
)</f>
        <v>500</v>
      </c>
      <c r="I831" s="49" t="str">
        <f t="array" ref="I831">_xlfn.XLOOKUP(
 B831,
 tblTargetStatus[TargetID],
 tblTargetStatus[Status],
 ""
)</f>
        <v>BLOCKED</v>
      </c>
      <c r="J831" s="45" t="b">
        <v>0</v>
      </c>
    </row>
    <row r="832" ht="14.25" hidden="1" customHeight="1">
      <c r="A832" s="49" t="s">
        <v>2466</v>
      </c>
      <c r="B832" s="49" t="str">
        <f>IFERROR(__xludf.DUMMYFUNCTION("REGEXREPLACE(
 REGEXREPLACE(A832,""^cost\."",""""),
 ""\.[^.]+\.[^.]+$"",
 """"
)"),"collection.bone_dragon@2")</f>
        <v>collection.bone_dragon@2</v>
      </c>
      <c r="C832" s="49" t="str">
        <f t="array" ref="C832">_xlfn.XLOOKUP(
 B832,
 tblTargets[TargetID],
 tblTargets[DisplayName],
 ""
)</f>
        <v>Bone Dragon Lv 2</v>
      </c>
      <c r="D832" s="49" t="str">
        <f t="array" ref="D832">_xlfn.XLOOKUP(
 B832,
 tblTargets[TargetID],
 tblTargets[TargetType],
 ""
)</f>
        <v>COLLECTION</v>
      </c>
      <c r="E832" s="49" t="s">
        <v>2318</v>
      </c>
      <c r="F832" s="49">
        <v>5.0</v>
      </c>
      <c r="G832" s="49">
        <f t="array" ref="G832">_xlfn.XLOOKUP(
 A832,
 tblCost[RequirementID],
 tblCost[QuantityRequired],
 ""
)</f>
        <v>60</v>
      </c>
      <c r="H832" s="49">
        <f t="array" ref="H832">IF(
 OR(
  LEFT(B832,15)="state.character",
  RIGHT(B832,6)=".maxed"
 ),
 0,
 LET(
  sort,
   _xlfn.XLOOKUP(
    B832,
    tblChecklist[TargetID],
    tblChecklist[PlayerSort],
    0
   ),
  IF(sort=0,500,sort)
 )
)</f>
        <v>500</v>
      </c>
      <c r="I832" s="49" t="str">
        <f t="array" ref="I832">_xlfn.XLOOKUP(
 B832,
 tblTargetStatus[TargetID],
 tblTargetStatus[Status],
 ""
)</f>
        <v>BLOCKED</v>
      </c>
      <c r="J832" s="45" t="b">
        <v>0</v>
      </c>
    </row>
    <row r="833" ht="14.25" hidden="1" customHeight="1">
      <c r="A833" s="49" t="s">
        <v>2467</v>
      </c>
      <c r="B833" s="49" t="str">
        <f>IFERROR(__xludf.DUMMYFUNCTION("REGEXREPLACE(
 REGEXREPLACE(A833,""^cost\."",""""),
 ""\.[^.]+\.[^.]+$"",
 """"
)"),"collection.bone_dragon@2")</f>
        <v>collection.bone_dragon@2</v>
      </c>
      <c r="C833" s="49" t="str">
        <f t="array" ref="C833">_xlfn.XLOOKUP(
 B833,
 tblTargets[TargetID],
 tblTargets[DisplayName],
 ""
)</f>
        <v>Bone Dragon Lv 2</v>
      </c>
      <c r="D833" s="49" t="str">
        <f t="array" ref="D833">_xlfn.XLOOKUP(
 B833,
 tblTargets[TargetID],
 tblTargets[TargetType],
 ""
)</f>
        <v>COLLECTION</v>
      </c>
      <c r="E833" s="49" t="s">
        <v>2318</v>
      </c>
      <c r="F833" s="49">
        <v>6.0</v>
      </c>
      <c r="G833" s="49">
        <f t="array" ref="G833">_xlfn.XLOOKUP(
 A833,
 tblCost[RequirementID],
 tblCost[QuantityRequired],
 ""
)</f>
        <v>60</v>
      </c>
      <c r="H833" s="49">
        <f t="array" ref="H833">IF(
 OR(
  LEFT(B833,15)="state.character",
  RIGHT(B833,6)=".maxed"
 ),
 0,
 LET(
  sort,
   _xlfn.XLOOKUP(
    B833,
    tblChecklist[TargetID],
    tblChecklist[PlayerSort],
    0
   ),
  IF(sort=0,500,sort)
 )
)</f>
        <v>500</v>
      </c>
      <c r="I833" s="49" t="str">
        <f t="array" ref="I833">_xlfn.XLOOKUP(
 B833,
 tblTargetStatus[TargetID],
 tblTargetStatus[Status],
 ""
)</f>
        <v>BLOCKED</v>
      </c>
      <c r="J833" s="45" t="b">
        <v>0</v>
      </c>
    </row>
    <row r="834" ht="14.25" hidden="1" customHeight="1">
      <c r="A834" s="49" t="s">
        <v>2468</v>
      </c>
      <c r="B834" s="49" t="str">
        <f>IFERROR(__xludf.DUMMYFUNCTION("REGEXREPLACE(
 REGEXREPLACE(A834,""^cost\."",""""),
 ""\.[^.]+\.[^.]+$"",
 """"
)"),"collection.bone_dragon@2")</f>
        <v>collection.bone_dragon@2</v>
      </c>
      <c r="C834" s="49" t="str">
        <f t="array" ref="C834">_xlfn.XLOOKUP(
 B834,
 tblTargets[TargetID],
 tblTargets[DisplayName],
 ""
)</f>
        <v>Bone Dragon Lv 2</v>
      </c>
      <c r="D834" s="49" t="str">
        <f t="array" ref="D834">_xlfn.XLOOKUP(
 B834,
 tblTargets[TargetID],
 tblTargets[TargetType],
 ""
)</f>
        <v>COLLECTION</v>
      </c>
      <c r="E834" s="49" t="s">
        <v>2337</v>
      </c>
      <c r="F834" s="49">
        <v>1.0</v>
      </c>
      <c r="G834" s="49">
        <f t="array" ref="G834">_xlfn.XLOOKUP(
 A834,
 tblCost[RequirementID],
 tblCost[QuantityRequired],
 ""
)</f>
        <v>22</v>
      </c>
      <c r="H834" s="49">
        <f t="array" ref="H834">IF(
 OR(
  LEFT(B834,15)="state.character",
  RIGHT(B834,6)=".maxed"
 ),
 0,
 LET(
  sort,
   _xlfn.XLOOKUP(
    B834,
    tblChecklist[TargetID],
    tblChecklist[PlayerSort],
    0
   ),
  IF(sort=0,500,sort)
 )
)</f>
        <v>500</v>
      </c>
      <c r="I834" s="49" t="str">
        <f t="array" ref="I834">_xlfn.XLOOKUP(
 B834,
 tblTargetStatus[TargetID],
 tblTargetStatus[Status],
 ""
)</f>
        <v>BLOCKED</v>
      </c>
      <c r="J834" s="45" t="b">
        <v>0</v>
      </c>
    </row>
    <row r="835" ht="14.25" hidden="1" customHeight="1">
      <c r="A835" s="49" t="s">
        <v>2469</v>
      </c>
      <c r="B835" s="49" t="str">
        <f>IFERROR(__xludf.DUMMYFUNCTION("REGEXREPLACE(
 REGEXREPLACE(A835,""^cost\."",""""),
 ""\.[^.]+\.[^.]+$"",
 """"
)"),"collection.bone_dragon@2")</f>
        <v>collection.bone_dragon@2</v>
      </c>
      <c r="C835" s="49" t="str">
        <f t="array" ref="C835">_xlfn.XLOOKUP(
 B835,
 tblTargets[TargetID],
 tblTargets[DisplayName],
 ""
)</f>
        <v>Bone Dragon Lv 2</v>
      </c>
      <c r="D835" s="49" t="str">
        <f t="array" ref="D835">_xlfn.XLOOKUP(
 B835,
 tblTargets[TargetID],
 tblTargets[TargetType],
 ""
)</f>
        <v>COLLECTION</v>
      </c>
      <c r="E835" s="49" t="s">
        <v>1060</v>
      </c>
      <c r="F835" s="49">
        <v>1.0</v>
      </c>
      <c r="G835" s="49">
        <f t="array" ref="G835">_xlfn.XLOOKUP(
 A835,
 tblCost[RequirementID],
 tblCost[QuantityRequired],
 ""
)</f>
        <v>1110</v>
      </c>
      <c r="H835" s="49">
        <f t="array" ref="H835">IF(
 OR(
  LEFT(B835,15)="state.character",
  RIGHT(B835,6)=".maxed"
 ),
 0,
 LET(
  sort,
   _xlfn.XLOOKUP(
    B835,
    tblChecklist[TargetID],
    tblChecklist[PlayerSort],
    0
   ),
  IF(sort=0,500,sort)
 )
)</f>
        <v>500</v>
      </c>
      <c r="I835" s="49" t="str">
        <f t="array" ref="I835">_xlfn.XLOOKUP(
 B835,
 tblTargetStatus[TargetID],
 tblTargetStatus[Status],
 ""
)</f>
        <v>BLOCKED</v>
      </c>
      <c r="J835" s="45" t="b">
        <v>0</v>
      </c>
    </row>
    <row r="836" ht="14.25" hidden="1" customHeight="1">
      <c r="A836" s="49" t="s">
        <v>2470</v>
      </c>
      <c r="B836" s="49" t="str">
        <f>IFERROR(__xludf.DUMMYFUNCTION("REGEXREPLACE(
 REGEXREPLACE(A836,""^cost\."",""""),
 ""\.[^.]+\.[^.]+$"",
 """"
)"),"collection.bone_dragon@2")</f>
        <v>collection.bone_dragon@2</v>
      </c>
      <c r="C836" s="49" t="str">
        <f t="array" ref="C836">_xlfn.XLOOKUP(
 B836,
 tblTargets[TargetID],
 tblTargets[DisplayName],
 ""
)</f>
        <v>Bone Dragon Lv 2</v>
      </c>
      <c r="D836" s="49" t="str">
        <f t="array" ref="D836">_xlfn.XLOOKUP(
 B836,
 tblTargets[TargetID],
 tblTargets[TargetType],
 ""
)</f>
        <v>COLLECTION</v>
      </c>
      <c r="E836" s="49" t="s">
        <v>2458</v>
      </c>
      <c r="F836" s="49">
        <v>1.0</v>
      </c>
      <c r="G836" s="49">
        <f t="array" ref="G836">_xlfn.XLOOKUP(
 A836,
 tblCost[RequirementID],
 tblCost[QuantityRequired],
 ""
)</f>
        <v>4</v>
      </c>
      <c r="H836" s="49">
        <f t="array" ref="H836">IF(
 OR(
  LEFT(B836,15)="state.character",
  RIGHT(B836,6)=".maxed"
 ),
 0,
 LET(
  sort,
   _xlfn.XLOOKUP(
    B836,
    tblChecklist[TargetID],
    tblChecklist[PlayerSort],
    0
   ),
  IF(sort=0,500,sort)
 )
)</f>
        <v>500</v>
      </c>
      <c r="I836" s="49" t="str">
        <f t="array" ref="I836">_xlfn.XLOOKUP(
 B836,
 tblTargetStatus[TargetID],
 tblTargetStatus[Status],
 ""
)</f>
        <v>BLOCKED</v>
      </c>
      <c r="J836" s="45" t="b">
        <v>0</v>
      </c>
    </row>
    <row r="837" ht="14.25" hidden="1" customHeight="1">
      <c r="A837" s="49" t="s">
        <v>2471</v>
      </c>
      <c r="B837" s="49" t="str">
        <f>IFERROR(__xludf.DUMMYFUNCTION("REGEXREPLACE(
 REGEXREPLACE(A837,""^cost\."",""""),
 ""\.[^.]+\.[^.]+$"",
 """"
)"),"collection.bone_dragon@2")</f>
        <v>collection.bone_dragon@2</v>
      </c>
      <c r="C837" s="49" t="str">
        <f t="array" ref="C837">_xlfn.XLOOKUP(
 B837,
 tblTargets[TargetID],
 tblTargets[DisplayName],
 ""
)</f>
        <v>Bone Dragon Lv 2</v>
      </c>
      <c r="D837" s="49" t="str">
        <f t="array" ref="D837">_xlfn.XLOOKUP(
 B837,
 tblTargets[TargetID],
 tblTargets[TargetType],
 ""
)</f>
        <v>COLLECTION</v>
      </c>
      <c r="E837" s="49" t="s">
        <v>530</v>
      </c>
      <c r="F837" s="49">
        <v>1.0</v>
      </c>
      <c r="G837" s="49">
        <f t="array" ref="G837">_xlfn.XLOOKUP(
 A837,
 tblCost[RequirementID],
 tblCost[QuantityRequired],
 ""
)</f>
        <v>10</v>
      </c>
      <c r="H837" s="49">
        <f t="array" ref="H837">IF(
 OR(
  LEFT(B837,15)="state.character",
  RIGHT(B837,6)=".maxed"
 ),
 0,
 LET(
  sort,
   _xlfn.XLOOKUP(
    B837,
    tblChecklist[TargetID],
    tblChecklist[PlayerSort],
    0
   ),
  IF(sort=0,500,sort)
 )
)</f>
        <v>500</v>
      </c>
      <c r="I837" s="49" t="str">
        <f t="array" ref="I837">_xlfn.XLOOKUP(
 B837,
 tblTargetStatus[TargetID],
 tblTargetStatus[Status],
 ""
)</f>
        <v>BLOCKED</v>
      </c>
      <c r="J837" s="45" t="b">
        <v>0</v>
      </c>
    </row>
    <row r="838" ht="14.25" hidden="1" customHeight="1">
      <c r="A838" s="49" t="s">
        <v>2472</v>
      </c>
      <c r="B838" s="49" t="str">
        <f>IFERROR(__xludf.DUMMYFUNCTION("REGEXREPLACE(
 REGEXREPLACE(A838,""^cost\."",""""),
 ""\.[^.]+\.[^.]+$"",
 """"
)"),"collection.bone_dragon@2")</f>
        <v>collection.bone_dragon@2</v>
      </c>
      <c r="C838" s="49" t="str">
        <f t="array" ref="C838">_xlfn.XLOOKUP(
 B838,
 tblTargets[TargetID],
 tblTargets[DisplayName],
 ""
)</f>
        <v>Bone Dragon Lv 2</v>
      </c>
      <c r="D838" s="49" t="str">
        <f t="array" ref="D838">_xlfn.XLOOKUP(
 B838,
 tblTargets[TargetID],
 tblTargets[TargetType],
 ""
)</f>
        <v>COLLECTION</v>
      </c>
      <c r="E838" s="49" t="s">
        <v>2461</v>
      </c>
      <c r="F838" s="49">
        <v>1.0</v>
      </c>
      <c r="G838" s="49">
        <f t="array" ref="G838">_xlfn.XLOOKUP(
 A838,
 tblCost[RequirementID],
 tblCost[QuantityRequired],
 ""
)</f>
        <v>20</v>
      </c>
      <c r="H838" s="49">
        <f t="array" ref="H838">IF(
 OR(
  LEFT(B838,15)="state.character",
  RIGHT(B838,6)=".maxed"
 ),
 0,
 LET(
  sort,
   _xlfn.XLOOKUP(
    B838,
    tblChecklist[TargetID],
    tblChecklist[PlayerSort],
    0
   ),
  IF(sort=0,500,sort)
 )
)</f>
        <v>500</v>
      </c>
      <c r="I838" s="49" t="str">
        <f t="array" ref="I838">_xlfn.XLOOKUP(
 B838,
 tblTargetStatus[TargetID],
 tblTargetStatus[Status],
 ""
)</f>
        <v>BLOCKED</v>
      </c>
      <c r="J838" s="45" t="b">
        <v>0</v>
      </c>
    </row>
    <row r="839" ht="14.25" hidden="1" customHeight="1">
      <c r="A839" s="49" t="s">
        <v>2473</v>
      </c>
      <c r="B839" s="49" t="str">
        <f>IFERROR(__xludf.DUMMYFUNCTION("REGEXREPLACE(
 REGEXREPLACE(A839,""^cost\."",""""),
 ""\.[^.]+\.[^.]+$"",
 """"
)"),"collection.broken_lever@1")</f>
        <v>collection.broken_lever@1</v>
      </c>
      <c r="C839" s="49" t="str">
        <f t="array" ref="C839">_xlfn.XLOOKUP(
 B839,
 tblTargets[TargetID],
 tblTargets[DisplayName],
 ""
)</f>
        <v>Broken Lever</v>
      </c>
      <c r="D839" s="49" t="str">
        <f t="array" ref="D839">_xlfn.XLOOKUP(
 B839,
 tblTargets[TargetID],
 tblTargets[TargetType],
 ""
)</f>
        <v>COLLECTION</v>
      </c>
      <c r="E839" s="49" t="s">
        <v>1078</v>
      </c>
      <c r="F839" s="49">
        <v>1.0</v>
      </c>
      <c r="G839" s="49">
        <f t="array" ref="G839">_xlfn.XLOOKUP(
 A839,
 tblCost[RequirementID],
 tblCost[QuantityRequired],
 ""
)</f>
        <v>5</v>
      </c>
      <c r="H839" s="49">
        <f t="array" ref="H839">IF(
 OR(
  LEFT(B839,15)="state.character",
  RIGHT(B839,6)=".maxed"
 ),
 0,
 LET(
  sort,
   _xlfn.XLOOKUP(
    B839,
    tblChecklist[TargetID],
    tblChecklist[PlayerSort],
    0
   ),
  IF(sort=0,500,sort)
 )
)</f>
        <v>500</v>
      </c>
      <c r="I839" s="49" t="str">
        <f t="array" ref="I839">_xlfn.XLOOKUP(
 B839,
 tblTargetStatus[TargetID],
 tblTargetStatus[Status],
 ""
)</f>
        <v>BLOCKED</v>
      </c>
      <c r="J839" s="45" t="b">
        <v>0</v>
      </c>
    </row>
    <row r="840" ht="14.25" hidden="1" customHeight="1">
      <c r="A840" s="49" t="s">
        <v>2474</v>
      </c>
      <c r="B840" s="49" t="str">
        <f>IFERROR(__xludf.DUMMYFUNCTION("REGEXREPLACE(
 REGEXREPLACE(A840,""^cost\."",""""),
 ""\.[^.]+\.[^.]+$"",
 """"
)"),"collection.broken_minecart@1")</f>
        <v>collection.broken_minecart@1</v>
      </c>
      <c r="C840" s="49" t="str">
        <f t="array" ref="C840">_xlfn.XLOOKUP(
 B840,
 tblTargets[TargetID],
 tblTargets[DisplayName],
 ""
)</f>
        <v>Broken Minecart</v>
      </c>
      <c r="D840" s="49" t="str">
        <f t="array" ref="D840">_xlfn.XLOOKUP(
 B840,
 tblTargets[TargetID],
 tblTargets[TargetType],
 ""
)</f>
        <v>COLLECTION</v>
      </c>
      <c r="E840" s="49" t="s">
        <v>2135</v>
      </c>
      <c r="F840" s="49">
        <v>1.0</v>
      </c>
      <c r="G840" s="49">
        <f t="array" ref="G840">_xlfn.XLOOKUP(
 A840,
 tblCost[RequirementID],
 tblCost[QuantityRequired],
 ""
)</f>
        <v>20</v>
      </c>
      <c r="H840" s="49">
        <f t="array" ref="H840">IF(
 OR(
  LEFT(B840,15)="state.character",
  RIGHT(B840,6)=".maxed"
 ),
 0,
 LET(
  sort,
   _xlfn.XLOOKUP(
    B840,
    tblChecklist[TargetID],
    tblChecklist[PlayerSort],
    0
   ),
  IF(sort=0,500,sort)
 )
)</f>
        <v>500</v>
      </c>
      <c r="I840" s="49" t="str">
        <f t="array" ref="I840">_xlfn.XLOOKUP(
 B840,
 tblTargetStatus[TargetID],
 tblTargetStatus[Status],
 ""
)</f>
        <v>BLOCKED</v>
      </c>
      <c r="J840" s="45" t="b">
        <v>0</v>
      </c>
    </row>
    <row r="841" ht="14.25" hidden="1" customHeight="1">
      <c r="A841" s="49" t="s">
        <v>2475</v>
      </c>
      <c r="B841" s="49" t="str">
        <f>IFERROR(__xludf.DUMMYFUNCTION("REGEXREPLACE(
 REGEXREPLACE(A841,""^cost\."",""""),
 ""\.[^.]+\.[^.]+$"",
 """"
)"),"collection.cave_in_alchemist_hall@1")</f>
        <v>collection.cave_in_alchemist_hall@1</v>
      </c>
      <c r="C841" s="49" t="str">
        <f t="array" ref="C841">_xlfn.XLOOKUP(
 B841,
 tblTargets[TargetID],
 tblTargets[DisplayName],
 ""
)</f>
        <v>Cave-in Alchemist Hall</v>
      </c>
      <c r="D841" s="49" t="str">
        <f t="array" ref="D841">_xlfn.XLOOKUP(
 B841,
 tblTargets[TargetID],
 tblTargets[TargetType],
 ""
)</f>
        <v>COLLECTION</v>
      </c>
      <c r="E841" s="49" t="s">
        <v>561</v>
      </c>
      <c r="F841" s="49">
        <v>1.0</v>
      </c>
      <c r="G841" s="49">
        <f t="array" ref="G841">_xlfn.XLOOKUP(
 A841,
 tblCost[RequirementID],
 tblCost[QuantityRequired],
 ""
)</f>
        <v>30</v>
      </c>
      <c r="H841" s="49">
        <f t="array" ref="H841">IF(
 OR(
  LEFT(B841,15)="state.character",
  RIGHT(B841,6)=".maxed"
 ),
 0,
 LET(
  sort,
   _xlfn.XLOOKUP(
    B841,
    tblChecklist[TargetID],
    tblChecklist[PlayerSort],
    0
   ),
  IF(sort=0,500,sort)
 )
)</f>
        <v>500</v>
      </c>
      <c r="I841" s="49" t="str">
        <f t="array" ref="I841">_xlfn.XLOOKUP(
 B841,
 tblTargetStatus[TargetID],
 tblTargetStatus[Status],
 ""
)</f>
        <v>BLOCKED</v>
      </c>
      <c r="J841" s="45" t="b">
        <v>0</v>
      </c>
    </row>
    <row r="842" ht="14.25" hidden="1" customHeight="1">
      <c r="A842" s="49" t="s">
        <v>2476</v>
      </c>
      <c r="B842" s="49" t="str">
        <f>IFERROR(__xludf.DUMMYFUNCTION("REGEXREPLACE(
 REGEXREPLACE(A842,""^cost\."",""""),
 ""\.[^.]+\.[^.]+$"",
 """"
)"),"collection.cave_in_bone_dragon@1")</f>
        <v>collection.cave_in_bone_dragon@1</v>
      </c>
      <c r="C842" s="49" t="str">
        <f t="array" ref="C842">_xlfn.XLOOKUP(
 B842,
 tblTargets[TargetID],
 tblTargets[DisplayName],
 ""
)</f>
        <v>Cave-in Bone Dragon</v>
      </c>
      <c r="D842" s="49" t="str">
        <f t="array" ref="D842">_xlfn.XLOOKUP(
 B842,
 tblTargets[TargetID],
 tblTargets[TargetType],
 ""
)</f>
        <v>COLLECTION</v>
      </c>
      <c r="E842" s="49" t="s">
        <v>561</v>
      </c>
      <c r="F842" s="49">
        <v>1.0</v>
      </c>
      <c r="G842" s="49">
        <f t="array" ref="G842">_xlfn.XLOOKUP(
 A842,
 tblCost[RequirementID],
 tblCost[QuantityRequired],
 ""
)</f>
        <v>30</v>
      </c>
      <c r="H842" s="49">
        <f t="array" ref="H842">IF(
 OR(
  LEFT(B842,15)="state.character",
  RIGHT(B842,6)=".maxed"
 ),
 0,
 LET(
  sort,
   _xlfn.XLOOKUP(
    B842,
    tblChecklist[TargetID],
    tblChecklist[PlayerSort],
    0
   ),
  IF(sort=0,500,sort)
 )
)</f>
        <v>500</v>
      </c>
      <c r="I842" s="49" t="str">
        <f t="array" ref="I842">_xlfn.XLOOKUP(
 B842,
 tblTargetStatus[TargetID],
 tblTargetStatus[Status],
 ""
)</f>
        <v>BLOCKED</v>
      </c>
      <c r="J842" s="45" t="b">
        <v>0</v>
      </c>
    </row>
    <row r="843" ht="14.25" hidden="1" customHeight="1">
      <c r="A843" s="49" t="s">
        <v>2477</v>
      </c>
      <c r="B843" s="49" t="str">
        <f>IFERROR(__xludf.DUMMYFUNCTION("REGEXREPLACE(
 REGEXREPLACE(A843,""^cost\."",""""),
 ""\.[^.]+\.[^.]+$"",
 """"
)"),"collection.collapsed_staircase@1")</f>
        <v>collection.collapsed_staircase@1</v>
      </c>
      <c r="C843" s="49" t="str">
        <f t="array" ref="C843">_xlfn.XLOOKUP(
 B843,
 tblTargets[TargetID],
 tblTargets[DisplayName],
 ""
)</f>
        <v>Collapsed Staircase</v>
      </c>
      <c r="D843" s="49" t="str">
        <f t="array" ref="D843">_xlfn.XLOOKUP(
 B843,
 tblTargets[TargetID],
 tblTargets[TargetType],
 ""
)</f>
        <v>COLLECTION</v>
      </c>
      <c r="E843" s="49" t="s">
        <v>278</v>
      </c>
      <c r="F843" s="49">
        <v>1.0</v>
      </c>
      <c r="G843" s="49">
        <f t="array" ref="G843">_xlfn.XLOOKUP(
 A843,
 tblCost[RequirementID],
 tblCost[QuantityRequired],
 ""
)</f>
        <v>50</v>
      </c>
      <c r="H843" s="49">
        <f t="array" ref="H843">IF(
 OR(
  LEFT(B843,15)="state.character",
  RIGHT(B843,6)=".maxed"
 ),
 0,
 LET(
  sort,
   _xlfn.XLOOKUP(
    B843,
    tblChecklist[TargetID],
    tblChecklist[PlayerSort],
    0
   ),
  IF(sort=0,500,sort)
 )
)</f>
        <v>500</v>
      </c>
      <c r="I843" s="49" t="str">
        <f t="array" ref="I843">_xlfn.XLOOKUP(
 B843,
 tblTargetStatus[TargetID],
 tblTargetStatus[Status],
 ""
)</f>
        <v>BLOCKED</v>
      </c>
      <c r="J843" s="45" t="b">
        <v>0</v>
      </c>
    </row>
    <row r="844" ht="14.25" hidden="1" customHeight="1">
      <c r="A844" s="49" t="s">
        <v>2478</v>
      </c>
      <c r="B844" s="49" t="str">
        <f>IFERROR(__xludf.DUMMYFUNCTION("REGEXREPLACE(
 REGEXREPLACE(A844,""^cost\."",""""),
 ""\.[^.]+\.[^.]+$"",
 """"
)"),"collection.collapsed_staircase@1")</f>
        <v>collection.collapsed_staircase@1</v>
      </c>
      <c r="C844" s="49" t="str">
        <f t="array" ref="C844">_xlfn.XLOOKUP(
 B844,
 tblTargets[TargetID],
 tblTargets[DisplayName],
 ""
)</f>
        <v>Collapsed Staircase</v>
      </c>
      <c r="D844" s="49" t="str">
        <f t="array" ref="D844">_xlfn.XLOOKUP(
 B844,
 tblTargets[TargetID],
 tblTargets[TargetType],
 ""
)</f>
        <v>COLLECTION</v>
      </c>
      <c r="E844" s="49" t="s">
        <v>1055</v>
      </c>
      <c r="F844" s="49">
        <v>1.0</v>
      </c>
      <c r="G844" s="49">
        <f t="array" ref="G844">_xlfn.XLOOKUP(
 A844,
 tblCost[RequirementID],
 tblCost[QuantityRequired],
 ""
)</f>
        <v>5</v>
      </c>
      <c r="H844" s="49">
        <f t="array" ref="H844">IF(
 OR(
  LEFT(B844,15)="state.character",
  RIGHT(B844,6)=".maxed"
 ),
 0,
 LET(
  sort,
   _xlfn.XLOOKUP(
    B844,
    tblChecklist[TargetID],
    tblChecklist[PlayerSort],
    0
   ),
  IF(sort=0,500,sort)
 )
)</f>
        <v>500</v>
      </c>
      <c r="I844" s="49" t="str">
        <f t="array" ref="I844">_xlfn.XLOOKUP(
 B844,
 tblTargetStatus[TargetID],
 tblTargetStatus[Status],
 ""
)</f>
        <v>BLOCKED</v>
      </c>
      <c r="J844" s="45" t="b">
        <v>0</v>
      </c>
    </row>
    <row r="845" ht="14.25" hidden="1" customHeight="1">
      <c r="A845" s="49" t="s">
        <v>2479</v>
      </c>
      <c r="B845" s="49" t="str">
        <f>IFERROR(__xludf.DUMMYFUNCTION("REGEXREPLACE(
 REGEXREPLACE(A845,""^cost\."",""""),
 ""\.[^.]+\.[^.]+$"",
 """"
)"),"collection.collapsed_staircase@1")</f>
        <v>collection.collapsed_staircase@1</v>
      </c>
      <c r="C845" s="49" t="str">
        <f t="array" ref="C845">_xlfn.XLOOKUP(
 B845,
 tblTargets[TargetID],
 tblTargets[DisplayName],
 ""
)</f>
        <v>Collapsed Staircase</v>
      </c>
      <c r="D845" s="49" t="str">
        <f t="array" ref="D845">_xlfn.XLOOKUP(
 B845,
 tblTargets[TargetID],
 tblTargets[TargetType],
 ""
)</f>
        <v>COLLECTION</v>
      </c>
      <c r="E845" s="49" t="s">
        <v>2337</v>
      </c>
      <c r="F845" s="49">
        <v>1.0</v>
      </c>
      <c r="G845" s="49">
        <f t="array" ref="G845">_xlfn.XLOOKUP(
 A845,
 tblCost[RequirementID],
 tblCost[QuantityRequired],
 ""
)</f>
        <v>10</v>
      </c>
      <c r="H845" s="49">
        <f t="array" ref="H845">IF(
 OR(
  LEFT(B845,15)="state.character",
  RIGHT(B845,6)=".maxed"
 ),
 0,
 LET(
  sort,
   _xlfn.XLOOKUP(
    B845,
    tblChecklist[TargetID],
    tblChecklist[PlayerSort],
    0
   ),
  IF(sort=0,500,sort)
 )
)</f>
        <v>500</v>
      </c>
      <c r="I845" s="49" t="str">
        <f t="array" ref="I845">_xlfn.XLOOKUP(
 B845,
 tblTargetStatus[TargetID],
 tblTargetStatus[Status],
 ""
)</f>
        <v>BLOCKED</v>
      </c>
      <c r="J845" s="45" t="b">
        <v>0</v>
      </c>
    </row>
    <row r="846" ht="14.25" hidden="1" customHeight="1">
      <c r="A846" s="49" t="s">
        <v>2480</v>
      </c>
      <c r="B846" s="49" t="str">
        <f>IFERROR(__xludf.DUMMYFUNCTION("REGEXREPLACE(
 REGEXREPLACE(A846,""^cost\."",""""),
 ""\.[^.]+\.[^.]+$"",
 """"
)"),"collection.collapsed_staircase@1")</f>
        <v>collection.collapsed_staircase@1</v>
      </c>
      <c r="C846" s="49" t="str">
        <f t="array" ref="C846">_xlfn.XLOOKUP(
 B846,
 tblTargets[TargetID],
 tblTargets[DisplayName],
 ""
)</f>
        <v>Collapsed Staircase</v>
      </c>
      <c r="D846" s="49" t="str">
        <f t="array" ref="D846">_xlfn.XLOOKUP(
 B846,
 tblTargets[TargetID],
 tblTargets[TargetType],
 ""
)</f>
        <v>COLLECTION</v>
      </c>
      <c r="E846" s="49" t="s">
        <v>237</v>
      </c>
      <c r="F846" s="49">
        <v>1.0</v>
      </c>
      <c r="G846" s="49">
        <f t="array" ref="G846">_xlfn.XLOOKUP(
 A846,
 tblCost[RequirementID],
 tblCost[QuantityRequired],
 ""
)</f>
        <v>150</v>
      </c>
      <c r="H846" s="49">
        <f t="array" ref="H846">IF(
 OR(
  LEFT(B846,15)="state.character",
  RIGHT(B846,6)=".maxed"
 ),
 0,
 LET(
  sort,
   _xlfn.XLOOKUP(
    B846,
    tblChecklist[TargetID],
    tblChecklist[PlayerSort],
    0
   ),
  IF(sort=0,500,sort)
 )
)</f>
        <v>500</v>
      </c>
      <c r="I846" s="49" t="str">
        <f t="array" ref="I846">_xlfn.XLOOKUP(
 B846,
 tblTargetStatus[TargetID],
 tblTargetStatus[Status],
 ""
)</f>
        <v>BLOCKED</v>
      </c>
      <c r="J846" s="45" t="b">
        <v>0</v>
      </c>
    </row>
    <row r="847" ht="14.25" hidden="1" customHeight="1">
      <c r="A847" s="49" t="s">
        <v>2481</v>
      </c>
      <c r="B847" s="49" t="str">
        <f>IFERROR(__xludf.DUMMYFUNCTION("REGEXREPLACE(
 REGEXREPLACE(A847,""^cost\."",""""),
 ""\.[^.]+\.[^.]+$"",
 """"
)"),"collection.courtyard_1@1")</f>
        <v>collection.courtyard_1@1</v>
      </c>
      <c r="C847" s="49" t="str">
        <f t="array" ref="C847">_xlfn.XLOOKUP(
 B847,
 tblTargets[TargetID],
 tblTargets[DisplayName],
 ""
)</f>
        <v>Courtyard 1 Lv 1</v>
      </c>
      <c r="D847" s="49" t="str">
        <f t="array" ref="D847">_xlfn.XLOOKUP(
 B847,
 tblTargets[TargetID],
 tblTargets[TargetType],
 ""
)</f>
        <v>COLLECTION</v>
      </c>
      <c r="E847" s="49" t="s">
        <v>2339</v>
      </c>
      <c r="F847" s="49">
        <v>1.0</v>
      </c>
      <c r="G847" s="49">
        <f t="array" ref="G847">_xlfn.XLOOKUP(
 A847,
 tblCost[RequirementID],
 tblCost[QuantityRequired],
 ""
)</f>
        <v>20</v>
      </c>
      <c r="H847" s="49">
        <f t="array" ref="H847">IF(
 OR(
  LEFT(B847,15)="state.character",
  RIGHT(B847,6)=".maxed"
 ),
 0,
 LET(
  sort,
   _xlfn.XLOOKUP(
    B847,
    tblChecklist[TargetID],
    tblChecklist[PlayerSort],
    0
   ),
  IF(sort=0,500,sort)
 )
)</f>
        <v>500</v>
      </c>
      <c r="I847" s="49" t="str">
        <f t="array" ref="I847">_xlfn.XLOOKUP(
 B847,
 tblTargetStatus[TargetID],
 tblTargetStatus[Status],
 ""
)</f>
        <v>BLOCKED</v>
      </c>
      <c r="J847" s="45" t="b">
        <v>0</v>
      </c>
    </row>
    <row r="848" ht="14.25" hidden="1" customHeight="1">
      <c r="A848" s="49" t="s">
        <v>2482</v>
      </c>
      <c r="B848" s="49" t="str">
        <f>IFERROR(__xludf.DUMMYFUNCTION("REGEXREPLACE(
 REGEXREPLACE(A848,""^cost\."",""""),
 ""\.[^.]+\.[^.]+$"",
 """"
)"),"collection.courtyard_1@1")</f>
        <v>collection.courtyard_1@1</v>
      </c>
      <c r="C848" s="49" t="str">
        <f t="array" ref="C848">_xlfn.XLOOKUP(
 B848,
 tblTargets[TargetID],
 tblTargets[DisplayName],
 ""
)</f>
        <v>Courtyard 1 Lv 1</v>
      </c>
      <c r="D848" s="49" t="str">
        <f t="array" ref="D848">_xlfn.XLOOKUP(
 B848,
 tblTargets[TargetID],
 tblTargets[TargetType],
 ""
)</f>
        <v>COLLECTION</v>
      </c>
      <c r="E848" s="49" t="s">
        <v>508</v>
      </c>
      <c r="F848" s="49">
        <v>1.0</v>
      </c>
      <c r="G848" s="49">
        <f t="array" ref="G848">_xlfn.XLOOKUP(
 A848,
 tblCost[RequirementID],
 tblCost[QuantityRequired],
 ""
)</f>
        <v>5</v>
      </c>
      <c r="H848" s="49">
        <f t="array" ref="H848">IF(
 OR(
  LEFT(B848,15)="state.character",
  RIGHT(B848,6)=".maxed"
 ),
 0,
 LET(
  sort,
   _xlfn.XLOOKUP(
    B848,
    tblChecklist[TargetID],
    tblChecklist[PlayerSort],
    0
   ),
  IF(sort=0,500,sort)
 )
)</f>
        <v>500</v>
      </c>
      <c r="I848" s="49" t="str">
        <f t="array" ref="I848">_xlfn.XLOOKUP(
 B848,
 tblTargetStatus[TargetID],
 tblTargetStatus[Status],
 ""
)</f>
        <v>BLOCKED</v>
      </c>
      <c r="J848" s="45" t="b">
        <v>0</v>
      </c>
    </row>
    <row r="849" ht="14.25" hidden="1" customHeight="1">
      <c r="A849" s="49" t="s">
        <v>2483</v>
      </c>
      <c r="B849" s="49" t="str">
        <f>IFERROR(__xludf.DUMMYFUNCTION("REGEXREPLACE(
 REGEXREPLACE(A849,""^cost\."",""""),
 ""\.[^.]+\.[^.]+$"",
 """"
)"),"collection.courtyard_1@1")</f>
        <v>collection.courtyard_1@1</v>
      </c>
      <c r="C849" s="49" t="str">
        <f t="array" ref="C849">_xlfn.XLOOKUP(
 B849,
 tblTargets[TargetID],
 tblTargets[DisplayName],
 ""
)</f>
        <v>Courtyard 1 Lv 1</v>
      </c>
      <c r="D849" s="49" t="str">
        <f t="array" ref="D849">_xlfn.XLOOKUP(
 B849,
 tblTargets[TargetID],
 tblTargets[TargetType],
 ""
)</f>
        <v>COLLECTION</v>
      </c>
      <c r="E849" s="49" t="s">
        <v>508</v>
      </c>
      <c r="F849" s="49">
        <v>2.0</v>
      </c>
      <c r="G849" s="49">
        <f t="array" ref="G849">_xlfn.XLOOKUP(
 A849,
 tblCost[RequirementID],
 tblCost[QuantityRequired],
 ""
)</f>
        <v>5</v>
      </c>
      <c r="H849" s="49">
        <f t="array" ref="H849">IF(
 OR(
  LEFT(B849,15)="state.character",
  RIGHT(B849,6)=".maxed"
 ),
 0,
 LET(
  sort,
   _xlfn.XLOOKUP(
    B849,
    tblChecklist[TargetID],
    tblChecklist[PlayerSort],
    0
   ),
  IF(sort=0,500,sort)
 )
)</f>
        <v>500</v>
      </c>
      <c r="I849" s="49" t="str">
        <f t="array" ref="I849">_xlfn.XLOOKUP(
 B849,
 tblTargetStatus[TargetID],
 tblTargetStatus[Status],
 ""
)</f>
        <v>BLOCKED</v>
      </c>
      <c r="J849" s="45" t="b">
        <v>0</v>
      </c>
    </row>
    <row r="850" ht="14.25" hidden="1" customHeight="1">
      <c r="A850" s="49" t="s">
        <v>2484</v>
      </c>
      <c r="B850" s="49" t="str">
        <f>IFERROR(__xludf.DUMMYFUNCTION("REGEXREPLACE(
 REGEXREPLACE(A850,""^cost\."",""""),
 ""\.[^.]+\.[^.]+$"",
 """"
)"),"collection.courtyard_1@1")</f>
        <v>collection.courtyard_1@1</v>
      </c>
      <c r="C850" s="49" t="str">
        <f t="array" ref="C850">_xlfn.XLOOKUP(
 B850,
 tblTargets[TargetID],
 tblTargets[DisplayName],
 ""
)</f>
        <v>Courtyard 1 Lv 1</v>
      </c>
      <c r="D850" s="49" t="str">
        <f t="array" ref="D850">_xlfn.XLOOKUP(
 B850,
 tblTargets[TargetID],
 tblTargets[TargetType],
 ""
)</f>
        <v>COLLECTION</v>
      </c>
      <c r="E850" s="49" t="s">
        <v>508</v>
      </c>
      <c r="F850" s="49">
        <v>3.0</v>
      </c>
      <c r="G850" s="49">
        <f t="array" ref="G850">_xlfn.XLOOKUP(
 A850,
 tblCost[RequirementID],
 tblCost[QuantityRequired],
 ""
)</f>
        <v>5</v>
      </c>
      <c r="H850" s="49">
        <f t="array" ref="H850">IF(
 OR(
  LEFT(B850,15)="state.character",
  RIGHT(B850,6)=".maxed"
 ),
 0,
 LET(
  sort,
   _xlfn.XLOOKUP(
    B850,
    tblChecklist[TargetID],
    tblChecklist[PlayerSort],
    0
   ),
  IF(sort=0,500,sort)
 )
)</f>
        <v>500</v>
      </c>
      <c r="I850" s="49" t="str">
        <f t="array" ref="I850">_xlfn.XLOOKUP(
 B850,
 tblTargetStatus[TargetID],
 tblTargetStatus[Status],
 ""
)</f>
        <v>BLOCKED</v>
      </c>
      <c r="J850" s="45" t="b">
        <v>0</v>
      </c>
    </row>
    <row r="851" ht="14.25" hidden="1" customHeight="1">
      <c r="A851" s="49" t="s">
        <v>2485</v>
      </c>
      <c r="B851" s="49" t="str">
        <f>IFERROR(__xludf.DUMMYFUNCTION("REGEXREPLACE(
 REGEXREPLACE(A851,""^cost\."",""""),
 ""\.[^.]+\.[^.]+$"",
 """"
)"),"collection.courtyard_1@1")</f>
        <v>collection.courtyard_1@1</v>
      </c>
      <c r="C851" s="49" t="str">
        <f t="array" ref="C851">_xlfn.XLOOKUP(
 B851,
 tblTargets[TargetID],
 tblTargets[DisplayName],
 ""
)</f>
        <v>Courtyard 1 Lv 1</v>
      </c>
      <c r="D851" s="49" t="str">
        <f t="array" ref="D851">_xlfn.XLOOKUP(
 B851,
 tblTargets[TargetID],
 tblTargets[TargetType],
 ""
)</f>
        <v>COLLECTION</v>
      </c>
      <c r="E851" s="49" t="s">
        <v>2486</v>
      </c>
      <c r="F851" s="49">
        <v>1.0</v>
      </c>
      <c r="G851" s="49">
        <f t="array" ref="G851">_xlfn.XLOOKUP(
 A851,
 tblCost[RequirementID],
 tblCost[QuantityRequired],
 ""
)</f>
        <v>15</v>
      </c>
      <c r="H851" s="49">
        <f t="array" ref="H851">IF(
 OR(
  LEFT(B851,15)="state.character",
  RIGHT(B851,6)=".maxed"
 ),
 0,
 LET(
  sort,
   _xlfn.XLOOKUP(
    B851,
    tblChecklist[TargetID],
    tblChecklist[PlayerSort],
    0
   ),
  IF(sort=0,500,sort)
 )
)</f>
        <v>500</v>
      </c>
      <c r="I851" s="49" t="str">
        <f t="array" ref="I851">_xlfn.XLOOKUP(
 B851,
 tblTargetStatus[TargetID],
 tblTargetStatus[Status],
 ""
)</f>
        <v>BLOCKED</v>
      </c>
      <c r="J851" s="45" t="b">
        <v>0</v>
      </c>
    </row>
    <row r="852" ht="14.25" hidden="1" customHeight="1">
      <c r="A852" s="49" t="s">
        <v>2487</v>
      </c>
      <c r="B852" s="49" t="str">
        <f>IFERROR(__xludf.DUMMYFUNCTION("REGEXREPLACE(
 REGEXREPLACE(A852,""^cost\."",""""),
 ""\.[^.]+\.[^.]+$"",
 """"
)"),"collection.courtyard_1@1")</f>
        <v>collection.courtyard_1@1</v>
      </c>
      <c r="C852" s="49" t="str">
        <f t="array" ref="C852">_xlfn.XLOOKUP(
 B852,
 tblTargets[TargetID],
 tblTargets[DisplayName],
 ""
)</f>
        <v>Courtyard 1 Lv 1</v>
      </c>
      <c r="D852" s="49" t="str">
        <f t="array" ref="D852">_xlfn.XLOOKUP(
 B852,
 tblTargets[TargetID],
 tblTargets[TargetType],
 ""
)</f>
        <v>COLLECTION</v>
      </c>
      <c r="E852" s="49" t="s">
        <v>2488</v>
      </c>
      <c r="F852" s="49">
        <v>1.0</v>
      </c>
      <c r="G852" s="49">
        <f t="array" ref="G852">_xlfn.XLOOKUP(
 A852,
 tblCost[RequirementID],
 tblCost[QuantityRequired],
 ""
)</f>
        <v>10</v>
      </c>
      <c r="H852" s="49">
        <f t="array" ref="H852">IF(
 OR(
  LEFT(B852,15)="state.character",
  RIGHT(B852,6)=".maxed"
 ),
 0,
 LET(
  sort,
   _xlfn.XLOOKUP(
    B852,
    tblChecklist[TargetID],
    tblChecklist[PlayerSort],
    0
   ),
  IF(sort=0,500,sort)
 )
)</f>
        <v>500</v>
      </c>
      <c r="I852" s="49" t="str">
        <f t="array" ref="I852">_xlfn.XLOOKUP(
 B852,
 tblTargetStatus[TargetID],
 tblTargetStatus[Status],
 ""
)</f>
        <v>BLOCKED</v>
      </c>
      <c r="J852" s="45" t="b">
        <v>0</v>
      </c>
    </row>
    <row r="853" ht="14.25" hidden="1" customHeight="1">
      <c r="A853" s="49" t="s">
        <v>2489</v>
      </c>
      <c r="B853" s="49" t="str">
        <f>IFERROR(__xludf.DUMMYFUNCTION("REGEXREPLACE(
 REGEXREPLACE(A853,""^cost\."",""""),
 ""\.[^.]+\.[^.]+$"",
 """"
)"),"collection.courtyard_1@1")</f>
        <v>collection.courtyard_1@1</v>
      </c>
      <c r="C853" s="49" t="str">
        <f t="array" ref="C853">_xlfn.XLOOKUP(
 B853,
 tblTargets[TargetID],
 tblTargets[DisplayName],
 ""
)</f>
        <v>Courtyard 1 Lv 1</v>
      </c>
      <c r="D853" s="49" t="str">
        <f t="array" ref="D853">_xlfn.XLOOKUP(
 B853,
 tblTargets[TargetID],
 tblTargets[TargetType],
 ""
)</f>
        <v>COLLECTION</v>
      </c>
      <c r="E853" s="49" t="s">
        <v>2490</v>
      </c>
      <c r="F853" s="49">
        <v>1.0</v>
      </c>
      <c r="G853" s="49">
        <f t="array" ref="G853">_xlfn.XLOOKUP(
 A853,
 tblCost[RequirementID],
 tblCost[QuantityRequired],
 ""
)</f>
        <v>5</v>
      </c>
      <c r="H853" s="49">
        <f t="array" ref="H853">IF(
 OR(
  LEFT(B853,15)="state.character",
  RIGHT(B853,6)=".maxed"
 ),
 0,
 LET(
  sort,
   _xlfn.XLOOKUP(
    B853,
    tblChecklist[TargetID],
    tblChecklist[PlayerSort],
    0
   ),
  IF(sort=0,500,sort)
 )
)</f>
        <v>500</v>
      </c>
      <c r="I853" s="49" t="str">
        <f t="array" ref="I853">_xlfn.XLOOKUP(
 B853,
 tblTargetStatus[TargetID],
 tblTargetStatus[Status],
 ""
)</f>
        <v>BLOCKED</v>
      </c>
      <c r="J853" s="45" t="b">
        <v>0</v>
      </c>
    </row>
    <row r="854" ht="14.25" hidden="1" customHeight="1">
      <c r="A854" s="49" t="s">
        <v>2491</v>
      </c>
      <c r="B854" s="49" t="str">
        <f>IFERROR(__xludf.DUMMYFUNCTION("REGEXREPLACE(
 REGEXREPLACE(A854,""^cost\."",""""),
 ""\.[^.]+\.[^.]+$"",
 """"
)"),"collection.courtyard_1@1")</f>
        <v>collection.courtyard_1@1</v>
      </c>
      <c r="C854" s="49" t="str">
        <f t="array" ref="C854">_xlfn.XLOOKUP(
 B854,
 tblTargets[TargetID],
 tblTargets[DisplayName],
 ""
)</f>
        <v>Courtyard 1 Lv 1</v>
      </c>
      <c r="D854" s="49" t="str">
        <f t="array" ref="D854">_xlfn.XLOOKUP(
 B854,
 tblTargets[TargetID],
 tblTargets[TargetType],
 ""
)</f>
        <v>COLLECTION</v>
      </c>
      <c r="E854" s="49" t="s">
        <v>2490</v>
      </c>
      <c r="F854" s="49">
        <v>2.0</v>
      </c>
      <c r="G854" s="49">
        <f t="array" ref="G854">_xlfn.XLOOKUP(
 A854,
 tblCost[RequirementID],
 tblCost[QuantityRequired],
 ""
)</f>
        <v>5</v>
      </c>
      <c r="H854" s="49">
        <f t="array" ref="H854">IF(
 OR(
  LEFT(B854,15)="state.character",
  RIGHT(B854,6)=".maxed"
 ),
 0,
 LET(
  sort,
   _xlfn.XLOOKUP(
    B854,
    tblChecklist[TargetID],
    tblChecklist[PlayerSort],
    0
   ),
  IF(sort=0,500,sort)
 )
)</f>
        <v>500</v>
      </c>
      <c r="I854" s="49" t="str">
        <f t="array" ref="I854">_xlfn.XLOOKUP(
 B854,
 tblTargetStatus[TargetID],
 tblTargetStatus[Status],
 ""
)</f>
        <v>BLOCKED</v>
      </c>
      <c r="J854" s="45" t="b">
        <v>0</v>
      </c>
    </row>
    <row r="855" ht="14.25" hidden="1" customHeight="1">
      <c r="A855" s="49" t="s">
        <v>2492</v>
      </c>
      <c r="B855" s="49" t="str">
        <f>IFERROR(__xludf.DUMMYFUNCTION("REGEXREPLACE(
 REGEXREPLACE(A855,""^cost\."",""""),
 ""\.[^.]+\.[^.]+$"",
 """"
)"),"collection.courtyard_1@1")</f>
        <v>collection.courtyard_1@1</v>
      </c>
      <c r="C855" s="49" t="str">
        <f t="array" ref="C855">_xlfn.XLOOKUP(
 B855,
 tblTargets[TargetID],
 tblTargets[DisplayName],
 ""
)</f>
        <v>Courtyard 1 Lv 1</v>
      </c>
      <c r="D855" s="49" t="str">
        <f t="array" ref="D855">_xlfn.XLOOKUP(
 B855,
 tblTargets[TargetID],
 tblTargets[TargetType],
 ""
)</f>
        <v>COLLECTION</v>
      </c>
      <c r="E855" s="49" t="s">
        <v>2490</v>
      </c>
      <c r="F855" s="49">
        <v>3.0</v>
      </c>
      <c r="G855" s="49">
        <f t="array" ref="G855">_xlfn.XLOOKUP(
 A855,
 tblCost[RequirementID],
 tblCost[QuantityRequired],
 ""
)</f>
        <v>5</v>
      </c>
      <c r="H855" s="49">
        <f t="array" ref="H855">IF(
 OR(
  LEFT(B855,15)="state.character",
  RIGHT(B855,6)=".maxed"
 ),
 0,
 LET(
  sort,
   _xlfn.XLOOKUP(
    B855,
    tblChecklist[TargetID],
    tblChecklist[PlayerSort],
    0
   ),
  IF(sort=0,500,sort)
 )
)</f>
        <v>500</v>
      </c>
      <c r="I855" s="49" t="str">
        <f t="array" ref="I855">_xlfn.XLOOKUP(
 B855,
 tblTargetStatus[TargetID],
 tblTargetStatus[Status],
 ""
)</f>
        <v>BLOCKED</v>
      </c>
      <c r="J855" s="45" t="b">
        <v>0</v>
      </c>
    </row>
    <row r="856" ht="14.25" hidden="1" customHeight="1">
      <c r="A856" s="49" t="s">
        <v>2493</v>
      </c>
      <c r="B856" s="49" t="str">
        <f>IFERROR(__xludf.DUMMYFUNCTION("REGEXREPLACE(
 REGEXREPLACE(A856,""^cost\."",""""),
 ""\.[^.]+\.[^.]+$"",
 """"
)"),"collection.courtyard_1@1")</f>
        <v>collection.courtyard_1@1</v>
      </c>
      <c r="C856" s="49" t="str">
        <f t="array" ref="C856">_xlfn.XLOOKUP(
 B856,
 tblTargets[TargetID],
 tblTargets[DisplayName],
 ""
)</f>
        <v>Courtyard 1 Lv 1</v>
      </c>
      <c r="D856" s="49" t="str">
        <f t="array" ref="D856">_xlfn.XLOOKUP(
 B856,
 tblTargets[TargetID],
 tblTargets[TargetType],
 ""
)</f>
        <v>COLLECTION</v>
      </c>
      <c r="E856" s="49" t="s">
        <v>244</v>
      </c>
      <c r="F856" s="49">
        <v>1.0</v>
      </c>
      <c r="G856" s="49">
        <f t="array" ref="G856">_xlfn.XLOOKUP(
 A856,
 tblCost[RequirementID],
 tblCost[QuantityRequired],
 ""
)</f>
        <v>50</v>
      </c>
      <c r="H856" s="49">
        <f t="array" ref="H856">IF(
 OR(
  LEFT(B856,15)="state.character",
  RIGHT(B856,6)=".maxed"
 ),
 0,
 LET(
  sort,
   _xlfn.XLOOKUP(
    B856,
    tblChecklist[TargetID],
    tblChecklist[PlayerSort],
    0
   ),
  IF(sort=0,500,sort)
 )
)</f>
        <v>500</v>
      </c>
      <c r="I856" s="49" t="str">
        <f t="array" ref="I856">_xlfn.XLOOKUP(
 B856,
 tblTargetStatus[TargetID],
 tblTargetStatus[Status],
 ""
)</f>
        <v>BLOCKED</v>
      </c>
      <c r="J856" s="45" t="b">
        <v>0</v>
      </c>
    </row>
    <row r="857" ht="14.25" hidden="1" customHeight="1">
      <c r="A857" s="49" t="s">
        <v>2494</v>
      </c>
      <c r="B857" s="49" t="str">
        <f>IFERROR(__xludf.DUMMYFUNCTION("REGEXREPLACE(
 REGEXREPLACE(A857,""^cost\."",""""),
 ""\.[^.]+\.[^.]+$"",
 """"
)"),"collection.courtyard_1@2")</f>
        <v>collection.courtyard_1@2</v>
      </c>
      <c r="C857" s="49" t="str">
        <f t="array" ref="C857">_xlfn.XLOOKUP(
 B857,
 tblTargets[TargetID],
 tblTargets[DisplayName],
 ""
)</f>
        <v>Courtyard 1 Lv 2</v>
      </c>
      <c r="D857" s="49" t="str">
        <f t="array" ref="D857">_xlfn.XLOOKUP(
 B857,
 tblTargets[TargetID],
 tblTargets[TargetType],
 ""
)</f>
        <v>COLLECTION</v>
      </c>
      <c r="E857" s="49" t="s">
        <v>2339</v>
      </c>
      <c r="F857" s="49">
        <v>1.0</v>
      </c>
      <c r="G857" s="49">
        <f t="array" ref="G857">_xlfn.XLOOKUP(
 A857,
 tblCost[RequirementID],
 tblCost[QuantityRequired],
 ""
)</f>
        <v>40</v>
      </c>
      <c r="H857" s="49">
        <f t="array" ref="H857">IF(
 OR(
  LEFT(B857,15)="state.character",
  RIGHT(B857,6)=".maxed"
 ),
 0,
 LET(
  sort,
   _xlfn.XLOOKUP(
    B857,
    tblChecklist[TargetID],
    tblChecklist[PlayerSort],
    0
   ),
  IF(sort=0,500,sort)
 )
)</f>
        <v>500</v>
      </c>
      <c r="I857" s="49" t="str">
        <f t="array" ref="I857">_xlfn.XLOOKUP(
 B857,
 tblTargetStatus[TargetID],
 tblTargetStatus[Status],
 ""
)</f>
        <v>BLOCKED</v>
      </c>
      <c r="J857" s="45" t="b">
        <v>0</v>
      </c>
    </row>
    <row r="858" ht="14.25" hidden="1" customHeight="1">
      <c r="A858" s="49" t="s">
        <v>2495</v>
      </c>
      <c r="B858" s="49" t="str">
        <f>IFERROR(__xludf.DUMMYFUNCTION("REGEXREPLACE(
 REGEXREPLACE(A858,""^cost\."",""""),
 ""\.[^.]+\.[^.]+$"",
 """"
)"),"collection.courtyard_1@2")</f>
        <v>collection.courtyard_1@2</v>
      </c>
      <c r="C858" s="49" t="str">
        <f t="array" ref="C858">_xlfn.XLOOKUP(
 B858,
 tblTargets[TargetID],
 tblTargets[DisplayName],
 ""
)</f>
        <v>Courtyard 1 Lv 2</v>
      </c>
      <c r="D858" s="49" t="str">
        <f t="array" ref="D858">_xlfn.XLOOKUP(
 B858,
 tblTargets[TargetID],
 tblTargets[TargetType],
 ""
)</f>
        <v>COLLECTION</v>
      </c>
      <c r="E858" s="49" t="s">
        <v>508</v>
      </c>
      <c r="F858" s="49">
        <v>1.0</v>
      </c>
      <c r="G858" s="49">
        <f t="array" ref="G858">_xlfn.XLOOKUP(
 A858,
 tblCost[RequirementID],
 tblCost[QuantityRequired],
 ""
)</f>
        <v>10</v>
      </c>
      <c r="H858" s="49">
        <f t="array" ref="H858">IF(
 OR(
  LEFT(B858,15)="state.character",
  RIGHT(B858,6)=".maxed"
 ),
 0,
 LET(
  sort,
   _xlfn.XLOOKUP(
    B858,
    tblChecklist[TargetID],
    tblChecklist[PlayerSort],
    0
   ),
  IF(sort=0,500,sort)
 )
)</f>
        <v>500</v>
      </c>
      <c r="I858" s="49" t="str">
        <f t="array" ref="I858">_xlfn.XLOOKUP(
 B858,
 tblTargetStatus[TargetID],
 tblTargetStatus[Status],
 ""
)</f>
        <v>BLOCKED</v>
      </c>
      <c r="J858" s="45" t="b">
        <v>0</v>
      </c>
    </row>
    <row r="859" ht="14.25" hidden="1" customHeight="1">
      <c r="A859" s="49" t="s">
        <v>2496</v>
      </c>
      <c r="B859" s="49" t="str">
        <f>IFERROR(__xludf.DUMMYFUNCTION("REGEXREPLACE(
 REGEXREPLACE(A859,""^cost\."",""""),
 ""\.[^.]+\.[^.]+$"",
 """"
)"),"collection.courtyard_1@2")</f>
        <v>collection.courtyard_1@2</v>
      </c>
      <c r="C859" s="49" t="str">
        <f t="array" ref="C859">_xlfn.XLOOKUP(
 B859,
 tblTargets[TargetID],
 tblTargets[DisplayName],
 ""
)</f>
        <v>Courtyard 1 Lv 2</v>
      </c>
      <c r="D859" s="49" t="str">
        <f t="array" ref="D859">_xlfn.XLOOKUP(
 B859,
 tblTargets[TargetID],
 tblTargets[TargetType],
 ""
)</f>
        <v>COLLECTION</v>
      </c>
      <c r="E859" s="49" t="s">
        <v>508</v>
      </c>
      <c r="F859" s="49">
        <v>2.0</v>
      </c>
      <c r="G859" s="49">
        <f t="array" ref="G859">_xlfn.XLOOKUP(
 A859,
 tblCost[RequirementID],
 tblCost[QuantityRequired],
 ""
)</f>
        <v>10</v>
      </c>
      <c r="H859" s="49">
        <f t="array" ref="H859">IF(
 OR(
  LEFT(B859,15)="state.character",
  RIGHT(B859,6)=".maxed"
 ),
 0,
 LET(
  sort,
   _xlfn.XLOOKUP(
    B859,
    tblChecklist[TargetID],
    tblChecklist[PlayerSort],
    0
   ),
  IF(sort=0,500,sort)
 )
)</f>
        <v>500</v>
      </c>
      <c r="I859" s="49" t="str">
        <f t="array" ref="I859">_xlfn.XLOOKUP(
 B859,
 tblTargetStatus[TargetID],
 tblTargetStatus[Status],
 ""
)</f>
        <v>BLOCKED</v>
      </c>
      <c r="J859" s="45" t="b">
        <v>0</v>
      </c>
    </row>
    <row r="860" ht="14.25" hidden="1" customHeight="1">
      <c r="A860" s="49" t="s">
        <v>2497</v>
      </c>
      <c r="B860" s="49" t="str">
        <f>IFERROR(__xludf.DUMMYFUNCTION("REGEXREPLACE(
 REGEXREPLACE(A860,""^cost\."",""""),
 ""\.[^.]+\.[^.]+$"",
 """"
)"),"collection.courtyard_1@2")</f>
        <v>collection.courtyard_1@2</v>
      </c>
      <c r="C860" s="49" t="str">
        <f t="array" ref="C860">_xlfn.XLOOKUP(
 B860,
 tblTargets[TargetID],
 tblTargets[DisplayName],
 ""
)</f>
        <v>Courtyard 1 Lv 2</v>
      </c>
      <c r="D860" s="49" t="str">
        <f t="array" ref="D860">_xlfn.XLOOKUP(
 B860,
 tblTargets[TargetID],
 tblTargets[TargetType],
 ""
)</f>
        <v>COLLECTION</v>
      </c>
      <c r="E860" s="49" t="s">
        <v>508</v>
      </c>
      <c r="F860" s="49">
        <v>3.0</v>
      </c>
      <c r="G860" s="49">
        <f t="array" ref="G860">_xlfn.XLOOKUP(
 A860,
 tblCost[RequirementID],
 tblCost[QuantityRequired],
 ""
)</f>
        <v>10</v>
      </c>
      <c r="H860" s="49">
        <f t="array" ref="H860">IF(
 OR(
  LEFT(B860,15)="state.character",
  RIGHT(B860,6)=".maxed"
 ),
 0,
 LET(
  sort,
   _xlfn.XLOOKUP(
    B860,
    tblChecklist[TargetID],
    tblChecklist[PlayerSort],
    0
   ),
  IF(sort=0,500,sort)
 )
)</f>
        <v>500</v>
      </c>
      <c r="I860" s="49" t="str">
        <f t="array" ref="I860">_xlfn.XLOOKUP(
 B860,
 tblTargetStatus[TargetID],
 tblTargetStatus[Status],
 ""
)</f>
        <v>BLOCKED</v>
      </c>
      <c r="J860" s="45" t="b">
        <v>0</v>
      </c>
    </row>
    <row r="861" ht="14.25" hidden="1" customHeight="1">
      <c r="A861" s="49" t="s">
        <v>2498</v>
      </c>
      <c r="B861" s="49" t="str">
        <f>IFERROR(__xludf.DUMMYFUNCTION("REGEXREPLACE(
 REGEXREPLACE(A861,""^cost\."",""""),
 ""\.[^.]+\.[^.]+$"",
 """"
)"),"collection.courtyard_1@2")</f>
        <v>collection.courtyard_1@2</v>
      </c>
      <c r="C861" s="49" t="str">
        <f t="array" ref="C861">_xlfn.XLOOKUP(
 B861,
 tblTargets[TargetID],
 tblTargets[DisplayName],
 ""
)</f>
        <v>Courtyard 1 Lv 2</v>
      </c>
      <c r="D861" s="49" t="str">
        <f t="array" ref="D861">_xlfn.XLOOKUP(
 B861,
 tblTargets[TargetID],
 tblTargets[TargetType],
 ""
)</f>
        <v>COLLECTION</v>
      </c>
      <c r="E861" s="49" t="s">
        <v>2486</v>
      </c>
      <c r="F861" s="49">
        <v>1.0</v>
      </c>
      <c r="G861" s="49">
        <f t="array" ref="G861">_xlfn.XLOOKUP(
 A861,
 tblCost[RequirementID],
 tblCost[QuantityRequired],
 ""
)</f>
        <v>30</v>
      </c>
      <c r="H861" s="49">
        <f t="array" ref="H861">IF(
 OR(
  LEFT(B861,15)="state.character",
  RIGHT(B861,6)=".maxed"
 ),
 0,
 LET(
  sort,
   _xlfn.XLOOKUP(
    B861,
    tblChecklist[TargetID],
    tblChecklist[PlayerSort],
    0
   ),
  IF(sort=0,500,sort)
 )
)</f>
        <v>500</v>
      </c>
      <c r="I861" s="49" t="str">
        <f t="array" ref="I861">_xlfn.XLOOKUP(
 B861,
 tblTargetStatus[TargetID],
 tblTargetStatus[Status],
 ""
)</f>
        <v>BLOCKED</v>
      </c>
      <c r="J861" s="45" t="b">
        <v>0</v>
      </c>
    </row>
    <row r="862" ht="14.25" hidden="1" customHeight="1">
      <c r="A862" s="49" t="s">
        <v>2499</v>
      </c>
      <c r="B862" s="49" t="str">
        <f>IFERROR(__xludf.DUMMYFUNCTION("REGEXREPLACE(
 REGEXREPLACE(A862,""^cost\."",""""),
 ""\.[^.]+\.[^.]+$"",
 """"
)"),"collection.courtyard_1@2")</f>
        <v>collection.courtyard_1@2</v>
      </c>
      <c r="C862" s="49" t="str">
        <f t="array" ref="C862">_xlfn.XLOOKUP(
 B862,
 tblTargets[TargetID],
 tblTargets[DisplayName],
 ""
)</f>
        <v>Courtyard 1 Lv 2</v>
      </c>
      <c r="D862" s="49" t="str">
        <f t="array" ref="D862">_xlfn.XLOOKUP(
 B862,
 tblTargets[TargetID],
 tblTargets[TargetType],
 ""
)</f>
        <v>COLLECTION</v>
      </c>
      <c r="E862" s="49" t="s">
        <v>2488</v>
      </c>
      <c r="F862" s="49">
        <v>1.0</v>
      </c>
      <c r="G862" s="49">
        <f t="array" ref="G862">_xlfn.XLOOKUP(
 A862,
 tblCost[RequirementID],
 tblCost[QuantityRequired],
 ""
)</f>
        <v>20</v>
      </c>
      <c r="H862" s="49">
        <f t="array" ref="H862">IF(
 OR(
  LEFT(B862,15)="state.character",
  RIGHT(B862,6)=".maxed"
 ),
 0,
 LET(
  sort,
   _xlfn.XLOOKUP(
    B862,
    tblChecklist[TargetID],
    tblChecklist[PlayerSort],
    0
   ),
  IF(sort=0,500,sort)
 )
)</f>
        <v>500</v>
      </c>
      <c r="I862" s="49" t="str">
        <f t="array" ref="I862">_xlfn.XLOOKUP(
 B862,
 tblTargetStatus[TargetID],
 tblTargetStatus[Status],
 ""
)</f>
        <v>BLOCKED</v>
      </c>
      <c r="J862" s="45" t="b">
        <v>0</v>
      </c>
    </row>
    <row r="863" ht="14.25" hidden="1" customHeight="1">
      <c r="A863" s="49" t="s">
        <v>2500</v>
      </c>
      <c r="B863" s="49" t="str">
        <f>IFERROR(__xludf.DUMMYFUNCTION("REGEXREPLACE(
 REGEXREPLACE(A863,""^cost\."",""""),
 ""\.[^.]+\.[^.]+$"",
 """"
)"),"collection.courtyard_1@2")</f>
        <v>collection.courtyard_1@2</v>
      </c>
      <c r="C863" s="49" t="str">
        <f t="array" ref="C863">_xlfn.XLOOKUP(
 B863,
 tblTargets[TargetID],
 tblTargets[DisplayName],
 ""
)</f>
        <v>Courtyard 1 Lv 2</v>
      </c>
      <c r="D863" s="49" t="str">
        <f t="array" ref="D863">_xlfn.XLOOKUP(
 B863,
 tblTargets[TargetID],
 tblTargets[TargetType],
 ""
)</f>
        <v>COLLECTION</v>
      </c>
      <c r="E863" s="49" t="s">
        <v>2490</v>
      </c>
      <c r="F863" s="49">
        <v>1.0</v>
      </c>
      <c r="G863" s="49">
        <f t="array" ref="G863">_xlfn.XLOOKUP(
 A863,
 tblCost[RequirementID],
 tblCost[QuantityRequired],
 ""
)</f>
        <v>10</v>
      </c>
      <c r="H863" s="49">
        <f t="array" ref="H863">IF(
 OR(
  LEFT(B863,15)="state.character",
  RIGHT(B863,6)=".maxed"
 ),
 0,
 LET(
  sort,
   _xlfn.XLOOKUP(
    B863,
    tblChecklist[TargetID],
    tblChecklist[PlayerSort],
    0
   ),
  IF(sort=0,500,sort)
 )
)</f>
        <v>500</v>
      </c>
      <c r="I863" s="49" t="str">
        <f t="array" ref="I863">_xlfn.XLOOKUP(
 B863,
 tblTargetStatus[TargetID],
 tblTargetStatus[Status],
 ""
)</f>
        <v>BLOCKED</v>
      </c>
      <c r="J863" s="45" t="b">
        <v>0</v>
      </c>
    </row>
    <row r="864" ht="14.25" hidden="1" customHeight="1">
      <c r="A864" s="49" t="s">
        <v>2501</v>
      </c>
      <c r="B864" s="49" t="str">
        <f>IFERROR(__xludf.DUMMYFUNCTION("REGEXREPLACE(
 REGEXREPLACE(A864,""^cost\."",""""),
 ""\.[^.]+\.[^.]+$"",
 """"
)"),"collection.courtyard_1@2")</f>
        <v>collection.courtyard_1@2</v>
      </c>
      <c r="C864" s="49" t="str">
        <f t="array" ref="C864">_xlfn.XLOOKUP(
 B864,
 tblTargets[TargetID],
 tblTargets[DisplayName],
 ""
)</f>
        <v>Courtyard 1 Lv 2</v>
      </c>
      <c r="D864" s="49" t="str">
        <f t="array" ref="D864">_xlfn.XLOOKUP(
 B864,
 tblTargets[TargetID],
 tblTargets[TargetType],
 ""
)</f>
        <v>COLLECTION</v>
      </c>
      <c r="E864" s="49" t="s">
        <v>2490</v>
      </c>
      <c r="F864" s="49">
        <v>2.0</v>
      </c>
      <c r="G864" s="49">
        <f t="array" ref="G864">_xlfn.XLOOKUP(
 A864,
 tblCost[RequirementID],
 tblCost[QuantityRequired],
 ""
)</f>
        <v>10</v>
      </c>
      <c r="H864" s="49">
        <f t="array" ref="H864">IF(
 OR(
  LEFT(B864,15)="state.character",
  RIGHT(B864,6)=".maxed"
 ),
 0,
 LET(
  sort,
   _xlfn.XLOOKUP(
    B864,
    tblChecklist[TargetID],
    tblChecklist[PlayerSort],
    0
   ),
  IF(sort=0,500,sort)
 )
)</f>
        <v>500</v>
      </c>
      <c r="I864" s="49" t="str">
        <f t="array" ref="I864">_xlfn.XLOOKUP(
 B864,
 tblTargetStatus[TargetID],
 tblTargetStatus[Status],
 ""
)</f>
        <v>BLOCKED</v>
      </c>
      <c r="J864" s="45" t="b">
        <v>0</v>
      </c>
    </row>
    <row r="865" ht="14.25" hidden="1" customHeight="1">
      <c r="A865" s="49" t="s">
        <v>2502</v>
      </c>
      <c r="B865" s="49" t="str">
        <f>IFERROR(__xludf.DUMMYFUNCTION("REGEXREPLACE(
 REGEXREPLACE(A865,""^cost\."",""""),
 ""\.[^.]+\.[^.]+$"",
 """"
)"),"collection.courtyard_1@2")</f>
        <v>collection.courtyard_1@2</v>
      </c>
      <c r="C865" s="49" t="str">
        <f t="array" ref="C865">_xlfn.XLOOKUP(
 B865,
 tblTargets[TargetID],
 tblTargets[DisplayName],
 ""
)</f>
        <v>Courtyard 1 Lv 2</v>
      </c>
      <c r="D865" s="49" t="str">
        <f t="array" ref="D865">_xlfn.XLOOKUP(
 B865,
 tblTargets[TargetID],
 tblTargets[TargetType],
 ""
)</f>
        <v>COLLECTION</v>
      </c>
      <c r="E865" s="49" t="s">
        <v>2490</v>
      </c>
      <c r="F865" s="49">
        <v>3.0</v>
      </c>
      <c r="G865" s="49">
        <f t="array" ref="G865">_xlfn.XLOOKUP(
 A865,
 tblCost[RequirementID],
 tblCost[QuantityRequired],
 ""
)</f>
        <v>10</v>
      </c>
      <c r="H865" s="49">
        <f t="array" ref="H865">IF(
 OR(
  LEFT(B865,15)="state.character",
  RIGHT(B865,6)=".maxed"
 ),
 0,
 LET(
  sort,
   _xlfn.XLOOKUP(
    B865,
    tblChecklist[TargetID],
    tblChecklist[PlayerSort],
    0
   ),
  IF(sort=0,500,sort)
 )
)</f>
        <v>500</v>
      </c>
      <c r="I865" s="49" t="str">
        <f t="array" ref="I865">_xlfn.XLOOKUP(
 B865,
 tblTargetStatus[TargetID],
 tblTargetStatus[Status],
 ""
)</f>
        <v>BLOCKED</v>
      </c>
      <c r="J865" s="45" t="b">
        <v>0</v>
      </c>
    </row>
    <row r="866" ht="14.25" hidden="1" customHeight="1">
      <c r="A866" s="49" t="s">
        <v>2503</v>
      </c>
      <c r="B866" s="49" t="str">
        <f>IFERROR(__xludf.DUMMYFUNCTION("REGEXREPLACE(
 REGEXREPLACE(A866,""^cost\."",""""),
 ""\.[^.]+\.[^.]+$"",
 """"
)"),"collection.courtyard_1@2")</f>
        <v>collection.courtyard_1@2</v>
      </c>
      <c r="C866" s="49" t="str">
        <f t="array" ref="C866">_xlfn.XLOOKUP(
 B866,
 tblTargets[TargetID],
 tblTargets[DisplayName],
 ""
)</f>
        <v>Courtyard 1 Lv 2</v>
      </c>
      <c r="D866" s="49" t="str">
        <f t="array" ref="D866">_xlfn.XLOOKUP(
 B866,
 tblTargets[TargetID],
 tblTargets[TargetType],
 ""
)</f>
        <v>COLLECTION</v>
      </c>
      <c r="E866" s="49" t="s">
        <v>244</v>
      </c>
      <c r="F866" s="49">
        <v>1.0</v>
      </c>
      <c r="G866" s="49">
        <f t="array" ref="G866">_xlfn.XLOOKUP(
 A866,
 tblCost[RequirementID],
 tblCost[QuantityRequired],
 ""
)</f>
        <v>100</v>
      </c>
      <c r="H866" s="49">
        <f t="array" ref="H866">IF(
 OR(
  LEFT(B866,15)="state.character",
  RIGHT(B866,6)=".maxed"
 ),
 0,
 LET(
  sort,
   _xlfn.XLOOKUP(
    B866,
    tblChecklist[TargetID],
    tblChecklist[PlayerSort],
    0
   ),
  IF(sort=0,500,sort)
 )
)</f>
        <v>500</v>
      </c>
      <c r="I866" s="49" t="str">
        <f t="array" ref="I866">_xlfn.XLOOKUP(
 B866,
 tblTargetStatus[TargetID],
 tblTargetStatus[Status],
 ""
)</f>
        <v>BLOCKED</v>
      </c>
      <c r="J866" s="45" t="b">
        <v>0</v>
      </c>
    </row>
    <row r="867" ht="14.25" hidden="1" customHeight="1">
      <c r="A867" s="49" t="s">
        <v>2504</v>
      </c>
      <c r="B867" s="49" t="str">
        <f>IFERROR(__xludf.DUMMYFUNCTION("REGEXREPLACE(
 REGEXREPLACE(A867,""^cost\."",""""),
 ""\.[^.]+\.[^.]+$"",
 """"
)"),"collection.courtyard_2@1")</f>
        <v>collection.courtyard_2@1</v>
      </c>
      <c r="C867" s="49" t="str">
        <f t="array" ref="C867">_xlfn.XLOOKUP(
 B867,
 tblTargets[TargetID],
 tblTargets[DisplayName],
 ""
)</f>
        <v>Courtyard 2 Lv 1</v>
      </c>
      <c r="D867" s="49" t="str">
        <f t="array" ref="D867">_xlfn.XLOOKUP(
 B867,
 tblTargets[TargetID],
 tblTargets[TargetType],
 ""
)</f>
        <v>COLLECTION</v>
      </c>
      <c r="E867" s="49" t="s">
        <v>520</v>
      </c>
      <c r="F867" s="49">
        <v>1.0</v>
      </c>
      <c r="G867" s="49">
        <f t="array" ref="G867">_xlfn.XLOOKUP(
 A867,
 tblCost[RequirementID],
 tblCost[QuantityRequired],
 ""
)</f>
        <v>15</v>
      </c>
      <c r="H867" s="49">
        <f t="array" ref="H867">IF(
 OR(
  LEFT(B867,15)="state.character",
  RIGHT(B867,6)=".maxed"
 ),
 0,
 LET(
  sort,
   _xlfn.XLOOKUP(
    B867,
    tblChecklist[TargetID],
    tblChecklist[PlayerSort],
    0
   ),
  IF(sort=0,500,sort)
 )
)</f>
        <v>500</v>
      </c>
      <c r="I867" s="49" t="str">
        <f t="array" ref="I867">_xlfn.XLOOKUP(
 B867,
 tblTargetStatus[TargetID],
 tblTargetStatus[Status],
 ""
)</f>
        <v>BLOCKED</v>
      </c>
      <c r="J867" s="45" t="b">
        <v>0</v>
      </c>
    </row>
    <row r="868" ht="14.25" hidden="1" customHeight="1">
      <c r="A868" s="49" t="s">
        <v>2505</v>
      </c>
      <c r="B868" s="49" t="str">
        <f>IFERROR(__xludf.DUMMYFUNCTION("REGEXREPLACE(
 REGEXREPLACE(A868,""^cost\."",""""),
 ""\.[^.]+\.[^.]+$"",
 """"
)"),"collection.courtyard_2@1")</f>
        <v>collection.courtyard_2@1</v>
      </c>
      <c r="C868" s="49" t="str">
        <f t="array" ref="C868">_xlfn.XLOOKUP(
 B868,
 tblTargets[TargetID],
 tblTargets[DisplayName],
 ""
)</f>
        <v>Courtyard 2 Lv 1</v>
      </c>
      <c r="D868" s="49" t="str">
        <f t="array" ref="D868">_xlfn.XLOOKUP(
 B868,
 tblTargets[TargetID],
 tblTargets[TargetType],
 ""
)</f>
        <v>COLLECTION</v>
      </c>
      <c r="E868" s="49" t="s">
        <v>520</v>
      </c>
      <c r="F868" s="49">
        <v>2.0</v>
      </c>
      <c r="G868" s="49">
        <f t="array" ref="G868">_xlfn.XLOOKUP(
 A868,
 tblCost[RequirementID],
 tblCost[QuantityRequired],
 ""
)</f>
        <v>15</v>
      </c>
      <c r="H868" s="49">
        <f t="array" ref="H868">IF(
 OR(
  LEFT(B868,15)="state.character",
  RIGHT(B868,6)=".maxed"
 ),
 0,
 LET(
  sort,
   _xlfn.XLOOKUP(
    B868,
    tblChecklist[TargetID],
    tblChecklist[PlayerSort],
    0
   ),
  IF(sort=0,500,sort)
 )
)</f>
        <v>500</v>
      </c>
      <c r="I868" s="49" t="str">
        <f t="array" ref="I868">_xlfn.XLOOKUP(
 B868,
 tblTargetStatus[TargetID],
 tblTargetStatus[Status],
 ""
)</f>
        <v>BLOCKED</v>
      </c>
      <c r="J868" s="45" t="b">
        <v>0</v>
      </c>
    </row>
    <row r="869" ht="14.25" hidden="1" customHeight="1">
      <c r="A869" s="49" t="s">
        <v>2506</v>
      </c>
      <c r="B869" s="49" t="str">
        <f>IFERROR(__xludf.DUMMYFUNCTION("REGEXREPLACE(
 REGEXREPLACE(A869,""^cost\."",""""),
 ""\.[^.]+\.[^.]+$"",
 """"
)"),"collection.courtyard_2@1")</f>
        <v>collection.courtyard_2@1</v>
      </c>
      <c r="C869" s="49" t="str">
        <f t="array" ref="C869">_xlfn.XLOOKUP(
 B869,
 tblTargets[TargetID],
 tblTargets[DisplayName],
 ""
)</f>
        <v>Courtyard 2 Lv 1</v>
      </c>
      <c r="D869" s="49" t="str">
        <f t="array" ref="D869">_xlfn.XLOOKUP(
 B869,
 tblTargets[TargetID],
 tblTargets[TargetType],
 ""
)</f>
        <v>COLLECTION</v>
      </c>
      <c r="E869" s="49" t="s">
        <v>520</v>
      </c>
      <c r="F869" s="49">
        <v>3.0</v>
      </c>
      <c r="G869" s="49">
        <f t="array" ref="G869">_xlfn.XLOOKUP(
 A869,
 tblCost[RequirementID],
 tblCost[QuantityRequired],
 ""
)</f>
        <v>15</v>
      </c>
      <c r="H869" s="49">
        <f t="array" ref="H869">IF(
 OR(
  LEFT(B869,15)="state.character",
  RIGHT(B869,6)=".maxed"
 ),
 0,
 LET(
  sort,
   _xlfn.XLOOKUP(
    B869,
    tblChecklist[TargetID],
    tblChecklist[PlayerSort],
    0
   ),
  IF(sort=0,500,sort)
 )
)</f>
        <v>500</v>
      </c>
      <c r="I869" s="49" t="str">
        <f t="array" ref="I869">_xlfn.XLOOKUP(
 B869,
 tblTargetStatus[TargetID],
 tblTargetStatus[Status],
 ""
)</f>
        <v>BLOCKED</v>
      </c>
      <c r="J869" s="45" t="b">
        <v>0</v>
      </c>
    </row>
    <row r="870" ht="14.25" hidden="1" customHeight="1">
      <c r="A870" s="49" t="s">
        <v>2507</v>
      </c>
      <c r="B870" s="49" t="str">
        <f>IFERROR(__xludf.DUMMYFUNCTION("REGEXREPLACE(
 REGEXREPLACE(A870,""^cost\."",""""),
 ""\.[^.]+\.[^.]+$"",
 """"
)"),"collection.crystal_cave@1")</f>
        <v>collection.crystal_cave@1</v>
      </c>
      <c r="C870" s="49" t="str">
        <f t="array" ref="C870">_xlfn.XLOOKUP(
 B870,
 tblTargets[TargetID],
 tblTargets[DisplayName],
 ""
)</f>
        <v>Crystal Cave</v>
      </c>
      <c r="D870" s="49" t="str">
        <f t="array" ref="D870">_xlfn.XLOOKUP(
 B870,
 tblTargets[TargetID],
 tblTargets[TargetType],
 ""
)</f>
        <v>COLLECTION</v>
      </c>
      <c r="E870" s="49" t="s">
        <v>1497</v>
      </c>
      <c r="F870" s="49">
        <v>1.0</v>
      </c>
      <c r="G870" s="49">
        <f t="array" ref="G870">_xlfn.XLOOKUP(
 A870,
 tblCost[RequirementID],
 tblCost[QuantityRequired],
 ""
)</f>
        <v>20</v>
      </c>
      <c r="H870" s="49">
        <f t="array" ref="H870">IF(
 OR(
  LEFT(B870,15)="state.character",
  RIGHT(B870,6)=".maxed"
 ),
 0,
 LET(
  sort,
   _xlfn.XLOOKUP(
    B870,
    tblChecklist[TargetID],
    tblChecklist[PlayerSort],
    0
   ),
  IF(sort=0,500,sort)
 )
)</f>
        <v>500</v>
      </c>
      <c r="I870" s="49" t="str">
        <f t="array" ref="I870">_xlfn.XLOOKUP(
 B870,
 tblTargetStatus[TargetID],
 tblTargetStatus[Status],
 ""
)</f>
        <v>BLOCKED</v>
      </c>
      <c r="J870" s="45" t="b">
        <v>0</v>
      </c>
    </row>
    <row r="871" ht="14.25" hidden="1" customHeight="1">
      <c r="A871" s="49" t="s">
        <v>2508</v>
      </c>
      <c r="B871" s="49" t="str">
        <f>IFERROR(__xludf.DUMMYFUNCTION("REGEXREPLACE(
 REGEXREPLACE(A871,""^cost\."",""""),
 ""\.[^.]+\.[^.]+$"",
 """"
)"),"collection.crystal_cave@1")</f>
        <v>collection.crystal_cave@1</v>
      </c>
      <c r="C871" s="49" t="str">
        <f t="array" ref="C871">_xlfn.XLOOKUP(
 B871,
 tblTargets[TargetID],
 tblTargets[DisplayName],
 ""
)</f>
        <v>Crystal Cave</v>
      </c>
      <c r="D871" s="49" t="str">
        <f t="array" ref="D871">_xlfn.XLOOKUP(
 B871,
 tblTargets[TargetID],
 tblTargets[TargetType],
 ""
)</f>
        <v>COLLECTION</v>
      </c>
      <c r="E871" s="49" t="s">
        <v>1583</v>
      </c>
      <c r="F871" s="49">
        <v>1.0</v>
      </c>
      <c r="G871" s="49">
        <f t="array" ref="G871">_xlfn.XLOOKUP(
 A871,
 tblCost[RequirementID],
 tblCost[QuantityRequired],
 ""
)</f>
        <v>20</v>
      </c>
      <c r="H871" s="49">
        <f t="array" ref="H871">IF(
 OR(
  LEFT(B871,15)="state.character",
  RIGHT(B871,6)=".maxed"
 ),
 0,
 LET(
  sort,
   _xlfn.XLOOKUP(
    B871,
    tblChecklist[TargetID],
    tblChecklist[PlayerSort],
    0
   ),
  IF(sort=0,500,sort)
 )
)</f>
        <v>500</v>
      </c>
      <c r="I871" s="49" t="str">
        <f t="array" ref="I871">_xlfn.XLOOKUP(
 B871,
 tblTargetStatus[TargetID],
 tblTargetStatus[Status],
 ""
)</f>
        <v>BLOCKED</v>
      </c>
      <c r="J871" s="45" t="b">
        <v>0</v>
      </c>
    </row>
    <row r="872" ht="14.25" hidden="1" customHeight="1">
      <c r="A872" s="49" t="s">
        <v>2509</v>
      </c>
      <c r="B872" s="49" t="str">
        <f>IFERROR(__xludf.DUMMYFUNCTION("REGEXREPLACE(
 REGEXREPLACE(A872,""^cost\."",""""),
 ""\.[^.]+\.[^.]+$"",
 """"
)"),"collection.crystal_cave@1")</f>
        <v>collection.crystal_cave@1</v>
      </c>
      <c r="C872" s="49" t="str">
        <f t="array" ref="C872">_xlfn.XLOOKUP(
 B872,
 tblTargets[TargetID],
 tblTargets[DisplayName],
 ""
)</f>
        <v>Crystal Cave</v>
      </c>
      <c r="D872" s="49" t="str">
        <f t="array" ref="D872">_xlfn.XLOOKUP(
 B872,
 tblTargets[TargetID],
 tblTargets[TargetType],
 ""
)</f>
        <v>COLLECTION</v>
      </c>
      <c r="E872" s="49" t="s">
        <v>1282</v>
      </c>
      <c r="F872" s="49">
        <v>1.0</v>
      </c>
      <c r="G872" s="49">
        <f t="array" ref="G872">_xlfn.XLOOKUP(
 A872,
 tblCost[RequirementID],
 tblCost[QuantityRequired],
 ""
)</f>
        <v>20</v>
      </c>
      <c r="H872" s="49">
        <f t="array" ref="H872">IF(
 OR(
  LEFT(B872,15)="state.character",
  RIGHT(B872,6)=".maxed"
 ),
 0,
 LET(
  sort,
   _xlfn.XLOOKUP(
    B872,
    tblChecklist[TargetID],
    tblChecklist[PlayerSort],
    0
   ),
  IF(sort=0,500,sort)
 )
)</f>
        <v>500</v>
      </c>
      <c r="I872" s="49" t="str">
        <f t="array" ref="I872">_xlfn.XLOOKUP(
 B872,
 tblTargetStatus[TargetID],
 tblTargetStatus[Status],
 ""
)</f>
        <v>BLOCKED</v>
      </c>
      <c r="J872" s="45" t="b">
        <v>0</v>
      </c>
    </row>
    <row r="873" ht="14.25" hidden="1" customHeight="1">
      <c r="A873" s="49" t="s">
        <v>2510</v>
      </c>
      <c r="B873" s="49" t="str">
        <f>IFERROR(__xludf.DUMMYFUNCTION("REGEXREPLACE(
 REGEXREPLACE(A873,""^cost\."",""""),
 ""\.[^.]+\.[^.]+$"",
 """"
)"),"collection.crystal_cave@1")</f>
        <v>collection.crystal_cave@1</v>
      </c>
      <c r="C873" s="49" t="str">
        <f t="array" ref="C873">_xlfn.XLOOKUP(
 B873,
 tblTargets[TargetID],
 tblTargets[DisplayName],
 ""
)</f>
        <v>Crystal Cave</v>
      </c>
      <c r="D873" s="49" t="str">
        <f t="array" ref="D873">_xlfn.XLOOKUP(
 B873,
 tblTargets[TargetID],
 tblTargets[TargetType],
 ""
)</f>
        <v>COLLECTION</v>
      </c>
      <c r="E873" s="49" t="s">
        <v>1606</v>
      </c>
      <c r="F873" s="49">
        <v>1.0</v>
      </c>
      <c r="G873" s="49">
        <f t="array" ref="G873">_xlfn.XLOOKUP(
 A873,
 tblCost[RequirementID],
 tblCost[QuantityRequired],
 ""
)</f>
        <v>20</v>
      </c>
      <c r="H873" s="49">
        <f t="array" ref="H873">IF(
 OR(
  LEFT(B873,15)="state.character",
  RIGHT(B873,6)=".maxed"
 ),
 0,
 LET(
  sort,
   _xlfn.XLOOKUP(
    B873,
    tblChecklist[TargetID],
    tblChecklist[PlayerSort],
    0
   ),
  IF(sort=0,500,sort)
 )
)</f>
        <v>500</v>
      </c>
      <c r="I873" s="49" t="str">
        <f t="array" ref="I873">_xlfn.XLOOKUP(
 B873,
 tblTargetStatus[TargetID],
 tblTargetStatus[Status],
 ""
)</f>
        <v>BLOCKED</v>
      </c>
      <c r="J873" s="45" t="b">
        <v>0</v>
      </c>
    </row>
    <row r="874" ht="14.25" hidden="1" customHeight="1">
      <c r="A874" s="49" t="s">
        <v>2511</v>
      </c>
      <c r="B874" s="49" t="str">
        <f>IFERROR(__xludf.DUMMYFUNCTION("REGEXREPLACE(
 REGEXREPLACE(A874,""^cost\."",""""),
 ""\.[^.]+\.[^.]+$"",
 """"
)"),"collection.crystal_cave@1")</f>
        <v>collection.crystal_cave@1</v>
      </c>
      <c r="C874" s="49" t="str">
        <f t="array" ref="C874">_xlfn.XLOOKUP(
 B874,
 tblTargets[TargetID],
 tblTargets[DisplayName],
 ""
)</f>
        <v>Crystal Cave</v>
      </c>
      <c r="D874" s="49" t="str">
        <f t="array" ref="D874">_xlfn.XLOOKUP(
 B874,
 tblTargets[TargetID],
 tblTargets[TargetType],
 ""
)</f>
        <v>COLLECTION</v>
      </c>
      <c r="E874" s="49" t="s">
        <v>2308</v>
      </c>
      <c r="F874" s="49">
        <v>1.0</v>
      </c>
      <c r="G874" s="49">
        <f t="array" ref="G874">_xlfn.XLOOKUP(
 A874,
 tblCost[RequirementID],
 tblCost[QuantityRequired],
 ""
)</f>
        <v>20</v>
      </c>
      <c r="H874" s="49">
        <f t="array" ref="H874">IF(
 OR(
  LEFT(B874,15)="state.character",
  RIGHT(B874,6)=".maxed"
 ),
 0,
 LET(
  sort,
   _xlfn.XLOOKUP(
    B874,
    tblChecklist[TargetID],
    tblChecklist[PlayerSort],
    0
   ),
  IF(sort=0,500,sort)
 )
)</f>
        <v>500</v>
      </c>
      <c r="I874" s="49" t="str">
        <f t="array" ref="I874">_xlfn.XLOOKUP(
 B874,
 tblTargetStatus[TargetID],
 tblTargetStatus[Status],
 ""
)</f>
        <v>BLOCKED</v>
      </c>
      <c r="J874" s="45" t="b">
        <v>0</v>
      </c>
    </row>
    <row r="875" ht="14.25" hidden="1" customHeight="1">
      <c r="A875" s="49" t="s">
        <v>2512</v>
      </c>
      <c r="B875" s="49" t="str">
        <f>IFERROR(__xludf.DUMMYFUNCTION("REGEXREPLACE(
 REGEXREPLACE(A875,""^cost\."",""""),
 ""\.[^.]+\.[^.]+$"",
 """"
)"),"collection.gallery_1@1")</f>
        <v>collection.gallery_1@1</v>
      </c>
      <c r="C875" s="49" t="str">
        <f t="array" ref="C875">_xlfn.XLOOKUP(
 B875,
 tblTargets[TargetID],
 tblTargets[DisplayName],
 ""
)</f>
        <v>Gallery 1 Lv 1</v>
      </c>
      <c r="D875" s="49" t="str">
        <f t="array" ref="D875">_xlfn.XLOOKUP(
 B875,
 tblTargets[TargetID],
 tblTargets[TargetType],
 ""
)</f>
        <v>COLLECTION</v>
      </c>
      <c r="E875" s="49" t="s">
        <v>1230</v>
      </c>
      <c r="F875" s="49">
        <v>1.0</v>
      </c>
      <c r="G875" s="49">
        <f t="array" ref="G875">_xlfn.XLOOKUP(
 A875,
 tblCost[RequirementID],
 tblCost[QuantityRequired],
 ""
)</f>
        <v>5</v>
      </c>
      <c r="H875" s="49">
        <f t="array" ref="H875">IF(
 OR(
  LEFT(B875,15)="state.character",
  RIGHT(B875,6)=".maxed"
 ),
 0,
 LET(
  sort,
   _xlfn.XLOOKUP(
    B875,
    tblChecklist[TargetID],
    tblChecklist[PlayerSort],
    0
   ),
  IF(sort=0,500,sort)
 )
)</f>
        <v>500</v>
      </c>
      <c r="I875" s="49" t="str">
        <f t="array" ref="I875">_xlfn.XLOOKUP(
 B875,
 tblTargetStatus[TargetID],
 tblTargetStatus[Status],
 ""
)</f>
        <v>BLOCKED</v>
      </c>
      <c r="J875" s="45" t="b">
        <v>0</v>
      </c>
    </row>
    <row r="876" ht="14.25" hidden="1" customHeight="1">
      <c r="A876" s="49" t="s">
        <v>2513</v>
      </c>
      <c r="B876" s="49" t="str">
        <f>IFERROR(__xludf.DUMMYFUNCTION("REGEXREPLACE(
 REGEXREPLACE(A876,""^cost\."",""""),
 ""\.[^.]+\.[^.]+$"",
 """"
)"),"collection.gallery_1@1")</f>
        <v>collection.gallery_1@1</v>
      </c>
      <c r="C876" s="49" t="str">
        <f t="array" ref="C876">_xlfn.XLOOKUP(
 B876,
 tblTargets[TargetID],
 tblTargets[DisplayName],
 ""
)</f>
        <v>Gallery 1 Lv 1</v>
      </c>
      <c r="D876" s="49" t="str">
        <f t="array" ref="D876">_xlfn.XLOOKUP(
 B876,
 tblTargets[TargetID],
 tblTargets[TargetType],
 ""
)</f>
        <v>COLLECTION</v>
      </c>
      <c r="E876" s="49" t="s">
        <v>2514</v>
      </c>
      <c r="F876" s="49">
        <v>1.0</v>
      </c>
      <c r="G876" s="49">
        <f t="array" ref="G876">_xlfn.XLOOKUP(
 A876,
 tblCost[RequirementID],
 tblCost[QuantityRequired],
 ""
)</f>
        <v>10</v>
      </c>
      <c r="H876" s="49">
        <f t="array" ref="H876">IF(
 OR(
  LEFT(B876,15)="state.character",
  RIGHT(B876,6)=".maxed"
 ),
 0,
 LET(
  sort,
   _xlfn.XLOOKUP(
    B876,
    tblChecklist[TargetID],
    tblChecklist[PlayerSort],
    0
   ),
  IF(sort=0,500,sort)
 )
)</f>
        <v>500</v>
      </c>
      <c r="I876" s="49" t="str">
        <f t="array" ref="I876">_xlfn.XLOOKUP(
 B876,
 tblTargetStatus[TargetID],
 tblTargetStatus[Status],
 ""
)</f>
        <v>BLOCKED</v>
      </c>
      <c r="J876" s="45" t="b">
        <v>0</v>
      </c>
    </row>
    <row r="877" ht="14.25" hidden="1" customHeight="1">
      <c r="A877" s="49" t="s">
        <v>2515</v>
      </c>
      <c r="B877" s="49" t="str">
        <f>IFERROR(__xludf.DUMMYFUNCTION("REGEXREPLACE(
 REGEXREPLACE(A877,""^cost\."",""""),
 ""\.[^.]+\.[^.]+$"",
 """"
)"),"collection.gallery_1@1")</f>
        <v>collection.gallery_1@1</v>
      </c>
      <c r="C877" s="49" t="str">
        <f t="array" ref="C877">_xlfn.XLOOKUP(
 B877,
 tblTargets[TargetID],
 tblTargets[DisplayName],
 ""
)</f>
        <v>Gallery 1 Lv 1</v>
      </c>
      <c r="D877" s="49" t="str">
        <f t="array" ref="D877">_xlfn.XLOOKUP(
 B877,
 tblTargets[TargetID],
 tblTargets[TargetType],
 ""
)</f>
        <v>COLLECTION</v>
      </c>
      <c r="E877" s="49" t="s">
        <v>2304</v>
      </c>
      <c r="F877" s="49">
        <v>1.0</v>
      </c>
      <c r="G877" s="49">
        <f t="array" ref="G877">_xlfn.XLOOKUP(
 A877,
 tblCost[RequirementID],
 tblCost[QuantityRequired],
 ""
)</f>
        <v>10</v>
      </c>
      <c r="H877" s="49">
        <f t="array" ref="H877">IF(
 OR(
  LEFT(B877,15)="state.character",
  RIGHT(B877,6)=".maxed"
 ),
 0,
 LET(
  sort,
   _xlfn.XLOOKUP(
    B877,
    tblChecklist[TargetID],
    tblChecklist[PlayerSort],
    0
   ),
  IF(sort=0,500,sort)
 )
)</f>
        <v>500</v>
      </c>
      <c r="I877" s="49" t="str">
        <f t="array" ref="I877">_xlfn.XLOOKUP(
 B877,
 tblTargetStatus[TargetID],
 tblTargetStatus[Status],
 ""
)</f>
        <v>BLOCKED</v>
      </c>
      <c r="J877" s="45" t="b">
        <v>0</v>
      </c>
    </row>
    <row r="878" ht="14.25" hidden="1" customHeight="1">
      <c r="A878" s="49" t="s">
        <v>2516</v>
      </c>
      <c r="B878" s="49" t="str">
        <f>IFERROR(__xludf.DUMMYFUNCTION("REGEXREPLACE(
 REGEXREPLACE(A878,""^cost\."",""""),
 ""\.[^.]+\.[^.]+$"",
 """"
)"),"collection.gallery_1@1")</f>
        <v>collection.gallery_1@1</v>
      </c>
      <c r="C878" s="49" t="str">
        <f t="array" ref="C878">_xlfn.XLOOKUP(
 B878,
 tblTargets[TargetID],
 tblTargets[DisplayName],
 ""
)</f>
        <v>Gallery 1 Lv 1</v>
      </c>
      <c r="D878" s="49" t="str">
        <f t="array" ref="D878">_xlfn.XLOOKUP(
 B878,
 tblTargets[TargetID],
 tblTargets[TargetType],
 ""
)</f>
        <v>COLLECTION</v>
      </c>
      <c r="E878" s="49" t="s">
        <v>126</v>
      </c>
      <c r="F878" s="49">
        <v>1.0</v>
      </c>
      <c r="G878" s="49">
        <f t="array" ref="G878">_xlfn.XLOOKUP(
 A878,
 tblCost[RequirementID],
 tblCost[QuantityRequired],
 ""
)</f>
        <v>15</v>
      </c>
      <c r="H878" s="49">
        <f t="array" ref="H878">IF(
 OR(
  LEFT(B878,15)="state.character",
  RIGHT(B878,6)=".maxed"
 ),
 0,
 LET(
  sort,
   _xlfn.XLOOKUP(
    B878,
    tblChecklist[TargetID],
    tblChecklist[PlayerSort],
    0
   ),
  IF(sort=0,500,sort)
 )
)</f>
        <v>500</v>
      </c>
      <c r="I878" s="49" t="str">
        <f t="array" ref="I878">_xlfn.XLOOKUP(
 B878,
 tblTargetStatus[TargetID],
 tblTargetStatus[Status],
 ""
)</f>
        <v>BLOCKED</v>
      </c>
      <c r="J878" s="45" t="b">
        <v>0</v>
      </c>
    </row>
    <row r="879" ht="14.25" hidden="1" customHeight="1">
      <c r="A879" s="49" t="s">
        <v>2517</v>
      </c>
      <c r="B879" s="49" t="str">
        <f>IFERROR(__xludf.DUMMYFUNCTION("REGEXREPLACE(
 REGEXREPLACE(A879,""^cost\."",""""),
 ""\.[^.]+\.[^.]+$"",
 """"
)"),"collection.gallery_1@1")</f>
        <v>collection.gallery_1@1</v>
      </c>
      <c r="C879" s="49" t="str">
        <f t="array" ref="C879">_xlfn.XLOOKUP(
 B879,
 tblTargets[TargetID],
 tblTargets[DisplayName],
 ""
)</f>
        <v>Gallery 1 Lv 1</v>
      </c>
      <c r="D879" s="49" t="str">
        <f t="array" ref="D879">_xlfn.XLOOKUP(
 B879,
 tblTargets[TargetID],
 tblTargets[TargetType],
 ""
)</f>
        <v>COLLECTION</v>
      </c>
      <c r="E879" s="49" t="s">
        <v>140</v>
      </c>
      <c r="F879" s="49">
        <v>1.0</v>
      </c>
      <c r="G879" s="49">
        <f t="array" ref="G879">_xlfn.XLOOKUP(
 A879,
 tblCost[RequirementID],
 tblCost[QuantityRequired],
 ""
)</f>
        <v>15</v>
      </c>
      <c r="H879" s="49">
        <f t="array" ref="H879">IF(
 OR(
  LEFT(B879,15)="state.character",
  RIGHT(B879,6)=".maxed"
 ),
 0,
 LET(
  sort,
   _xlfn.XLOOKUP(
    B879,
    tblChecklist[TargetID],
    tblChecklist[PlayerSort],
    0
   ),
  IF(sort=0,500,sort)
 )
)</f>
        <v>500</v>
      </c>
      <c r="I879" s="49" t="str">
        <f t="array" ref="I879">_xlfn.XLOOKUP(
 B879,
 tblTargetStatus[TargetID],
 tblTargetStatus[Status],
 ""
)</f>
        <v>BLOCKED</v>
      </c>
      <c r="J879" s="45" t="b">
        <v>0</v>
      </c>
    </row>
    <row r="880" ht="14.25" hidden="1" customHeight="1">
      <c r="A880" s="49" t="s">
        <v>2518</v>
      </c>
      <c r="B880" s="49" t="str">
        <f>IFERROR(__xludf.DUMMYFUNCTION("REGEXREPLACE(
 REGEXREPLACE(A880,""^cost\."",""""),
 ""\.[^.]+\.[^.]+$"",
 """"
)"),"collection.gallery_1@1")</f>
        <v>collection.gallery_1@1</v>
      </c>
      <c r="C880" s="49" t="str">
        <f t="array" ref="C880">_xlfn.XLOOKUP(
 B880,
 tblTargets[TargetID],
 tblTargets[DisplayName],
 ""
)</f>
        <v>Gallery 1 Lv 1</v>
      </c>
      <c r="D880" s="49" t="str">
        <f t="array" ref="D880">_xlfn.XLOOKUP(
 B880,
 tblTargets[TargetID],
 tblTargets[TargetType],
 ""
)</f>
        <v>COLLECTION</v>
      </c>
      <c r="E880" s="49" t="s">
        <v>1489</v>
      </c>
      <c r="F880" s="49">
        <v>1.0</v>
      </c>
      <c r="G880" s="49">
        <f t="array" ref="G880">_xlfn.XLOOKUP(
 A880,
 tblCost[RequirementID],
 tblCost[QuantityRequired],
 ""
)</f>
        <v>5</v>
      </c>
      <c r="H880" s="49">
        <f t="array" ref="H880">IF(
 OR(
  LEFT(B880,15)="state.character",
  RIGHT(B880,6)=".maxed"
 ),
 0,
 LET(
  sort,
   _xlfn.XLOOKUP(
    B880,
    tblChecklist[TargetID],
    tblChecklist[PlayerSort],
    0
   ),
  IF(sort=0,500,sort)
 )
)</f>
        <v>500</v>
      </c>
      <c r="I880" s="49" t="str">
        <f t="array" ref="I880">_xlfn.XLOOKUP(
 B880,
 tblTargetStatus[TargetID],
 tblTargetStatus[Status],
 ""
)</f>
        <v>BLOCKED</v>
      </c>
      <c r="J880" s="45" t="b">
        <v>0</v>
      </c>
    </row>
    <row r="881" ht="14.25" hidden="1" customHeight="1">
      <c r="A881" s="49" t="s">
        <v>2519</v>
      </c>
      <c r="B881" s="49" t="str">
        <f>IFERROR(__xludf.DUMMYFUNCTION("REGEXREPLACE(
 REGEXREPLACE(A881,""^cost\."",""""),
 ""\.[^.]+\.[^.]+$"",
 """"
)"),"collection.gallery_1@2")</f>
        <v>collection.gallery_1@2</v>
      </c>
      <c r="C881" s="49" t="str">
        <f t="array" ref="C881">_xlfn.XLOOKUP(
 B881,
 tblTargets[TargetID],
 tblTargets[DisplayName],
 ""
)</f>
        <v>Gallery 1 Lv 2</v>
      </c>
      <c r="D881" s="49" t="str">
        <f t="array" ref="D881">_xlfn.XLOOKUP(
 B881,
 tblTargets[TargetID],
 tblTargets[TargetType],
 ""
)</f>
        <v>COLLECTION</v>
      </c>
      <c r="E881" s="49" t="s">
        <v>1230</v>
      </c>
      <c r="F881" s="49">
        <v>1.0</v>
      </c>
      <c r="G881" s="49">
        <f t="array" ref="G881">_xlfn.XLOOKUP(
 A881,
 tblCost[RequirementID],
 tblCost[QuantityRequired],
 ""
)</f>
        <v>10</v>
      </c>
      <c r="H881" s="49">
        <f t="array" ref="H881">IF(
 OR(
  LEFT(B881,15)="state.character",
  RIGHT(B881,6)=".maxed"
 ),
 0,
 LET(
  sort,
   _xlfn.XLOOKUP(
    B881,
    tblChecklist[TargetID],
    tblChecklist[PlayerSort],
    0
   ),
  IF(sort=0,500,sort)
 )
)</f>
        <v>500</v>
      </c>
      <c r="I881" s="49" t="str">
        <f t="array" ref="I881">_xlfn.XLOOKUP(
 B881,
 tblTargetStatus[TargetID],
 tblTargetStatus[Status],
 ""
)</f>
        <v>BLOCKED</v>
      </c>
      <c r="J881" s="45" t="b">
        <v>0</v>
      </c>
    </row>
    <row r="882" ht="14.25" hidden="1" customHeight="1">
      <c r="A882" s="49" t="s">
        <v>2520</v>
      </c>
      <c r="B882" s="49" t="str">
        <f>IFERROR(__xludf.DUMMYFUNCTION("REGEXREPLACE(
 REGEXREPLACE(A882,""^cost\."",""""),
 ""\.[^.]+\.[^.]+$"",
 """"
)"),"collection.gallery_1@2")</f>
        <v>collection.gallery_1@2</v>
      </c>
      <c r="C882" s="49" t="str">
        <f t="array" ref="C882">_xlfn.XLOOKUP(
 B882,
 tblTargets[TargetID],
 tblTargets[DisplayName],
 ""
)</f>
        <v>Gallery 1 Lv 2</v>
      </c>
      <c r="D882" s="49" t="str">
        <f t="array" ref="D882">_xlfn.XLOOKUP(
 B882,
 tblTargets[TargetID],
 tblTargets[TargetType],
 ""
)</f>
        <v>COLLECTION</v>
      </c>
      <c r="E882" s="49" t="s">
        <v>2514</v>
      </c>
      <c r="F882" s="49">
        <v>1.0</v>
      </c>
      <c r="G882" s="49">
        <f t="array" ref="G882">_xlfn.XLOOKUP(
 A882,
 tblCost[RequirementID],
 tblCost[QuantityRequired],
 ""
)</f>
        <v>20</v>
      </c>
      <c r="H882" s="49">
        <f t="array" ref="H882">IF(
 OR(
  LEFT(B882,15)="state.character",
  RIGHT(B882,6)=".maxed"
 ),
 0,
 LET(
  sort,
   _xlfn.XLOOKUP(
    B882,
    tblChecklist[TargetID],
    tblChecklist[PlayerSort],
    0
   ),
  IF(sort=0,500,sort)
 )
)</f>
        <v>500</v>
      </c>
      <c r="I882" s="49" t="str">
        <f t="array" ref="I882">_xlfn.XLOOKUP(
 B882,
 tblTargetStatus[TargetID],
 tblTargetStatus[Status],
 ""
)</f>
        <v>BLOCKED</v>
      </c>
      <c r="J882" s="45" t="b">
        <v>0</v>
      </c>
    </row>
    <row r="883" ht="14.25" hidden="1" customHeight="1">
      <c r="A883" s="49" t="s">
        <v>2521</v>
      </c>
      <c r="B883" s="49" t="str">
        <f>IFERROR(__xludf.DUMMYFUNCTION("REGEXREPLACE(
 REGEXREPLACE(A883,""^cost\."",""""),
 ""\.[^.]+\.[^.]+$"",
 """"
)"),"collection.gallery_1@2")</f>
        <v>collection.gallery_1@2</v>
      </c>
      <c r="C883" s="49" t="str">
        <f t="array" ref="C883">_xlfn.XLOOKUP(
 B883,
 tblTargets[TargetID],
 tblTargets[DisplayName],
 ""
)</f>
        <v>Gallery 1 Lv 2</v>
      </c>
      <c r="D883" s="49" t="str">
        <f t="array" ref="D883">_xlfn.XLOOKUP(
 B883,
 tblTargets[TargetID],
 tblTargets[TargetType],
 ""
)</f>
        <v>COLLECTION</v>
      </c>
      <c r="E883" s="49" t="s">
        <v>2304</v>
      </c>
      <c r="F883" s="49">
        <v>1.0</v>
      </c>
      <c r="G883" s="49">
        <f t="array" ref="G883">_xlfn.XLOOKUP(
 A883,
 tblCost[RequirementID],
 tblCost[QuantityRequired],
 ""
)</f>
        <v>20</v>
      </c>
      <c r="H883" s="49">
        <f t="array" ref="H883">IF(
 OR(
  LEFT(B883,15)="state.character",
  RIGHT(B883,6)=".maxed"
 ),
 0,
 LET(
  sort,
   _xlfn.XLOOKUP(
    B883,
    tblChecklist[TargetID],
    tblChecklist[PlayerSort],
    0
   ),
  IF(sort=0,500,sort)
 )
)</f>
        <v>500</v>
      </c>
      <c r="I883" s="49" t="str">
        <f t="array" ref="I883">_xlfn.XLOOKUP(
 B883,
 tblTargetStatus[TargetID],
 tblTargetStatus[Status],
 ""
)</f>
        <v>BLOCKED</v>
      </c>
      <c r="J883" s="45" t="b">
        <v>0</v>
      </c>
    </row>
    <row r="884" ht="14.25" hidden="1" customHeight="1">
      <c r="A884" s="49" t="s">
        <v>2522</v>
      </c>
      <c r="B884" s="49" t="str">
        <f>IFERROR(__xludf.DUMMYFUNCTION("REGEXREPLACE(
 REGEXREPLACE(A884,""^cost\."",""""),
 ""\.[^.]+\.[^.]+$"",
 """"
)"),"collection.gallery_1@2")</f>
        <v>collection.gallery_1@2</v>
      </c>
      <c r="C884" s="49" t="str">
        <f t="array" ref="C884">_xlfn.XLOOKUP(
 B884,
 tblTargets[TargetID],
 tblTargets[DisplayName],
 ""
)</f>
        <v>Gallery 1 Lv 2</v>
      </c>
      <c r="D884" s="49" t="str">
        <f t="array" ref="D884">_xlfn.XLOOKUP(
 B884,
 tblTargets[TargetID],
 tblTargets[TargetType],
 ""
)</f>
        <v>COLLECTION</v>
      </c>
      <c r="E884" s="49" t="s">
        <v>126</v>
      </c>
      <c r="F884" s="49">
        <v>1.0</v>
      </c>
      <c r="G884" s="49">
        <f t="array" ref="G884">_xlfn.XLOOKUP(
 A884,
 tblCost[RequirementID],
 tblCost[QuantityRequired],
 ""
)</f>
        <v>30</v>
      </c>
      <c r="H884" s="49">
        <f t="array" ref="H884">IF(
 OR(
  LEFT(B884,15)="state.character",
  RIGHT(B884,6)=".maxed"
 ),
 0,
 LET(
  sort,
   _xlfn.XLOOKUP(
    B884,
    tblChecklist[TargetID],
    tblChecklist[PlayerSort],
    0
   ),
  IF(sort=0,500,sort)
 )
)</f>
        <v>500</v>
      </c>
      <c r="I884" s="49" t="str">
        <f t="array" ref="I884">_xlfn.XLOOKUP(
 B884,
 tblTargetStatus[TargetID],
 tblTargetStatus[Status],
 ""
)</f>
        <v>BLOCKED</v>
      </c>
      <c r="J884" s="45" t="b">
        <v>0</v>
      </c>
    </row>
    <row r="885" ht="14.25" hidden="1" customHeight="1">
      <c r="A885" s="49" t="s">
        <v>2523</v>
      </c>
      <c r="B885" s="49" t="str">
        <f>IFERROR(__xludf.DUMMYFUNCTION("REGEXREPLACE(
 REGEXREPLACE(A885,""^cost\."",""""),
 ""\.[^.]+\.[^.]+$"",
 """"
)"),"collection.gallery_1@2")</f>
        <v>collection.gallery_1@2</v>
      </c>
      <c r="C885" s="49" t="str">
        <f t="array" ref="C885">_xlfn.XLOOKUP(
 B885,
 tblTargets[TargetID],
 tblTargets[DisplayName],
 ""
)</f>
        <v>Gallery 1 Lv 2</v>
      </c>
      <c r="D885" s="49" t="str">
        <f t="array" ref="D885">_xlfn.XLOOKUP(
 B885,
 tblTargets[TargetID],
 tblTargets[TargetType],
 ""
)</f>
        <v>COLLECTION</v>
      </c>
      <c r="E885" s="49" t="s">
        <v>140</v>
      </c>
      <c r="F885" s="49">
        <v>1.0</v>
      </c>
      <c r="G885" s="49">
        <f t="array" ref="G885">_xlfn.XLOOKUP(
 A885,
 tblCost[RequirementID],
 tblCost[QuantityRequired],
 ""
)</f>
        <v>30</v>
      </c>
      <c r="H885" s="49">
        <f t="array" ref="H885">IF(
 OR(
  LEFT(B885,15)="state.character",
  RIGHT(B885,6)=".maxed"
 ),
 0,
 LET(
  sort,
   _xlfn.XLOOKUP(
    B885,
    tblChecklist[TargetID],
    tblChecklist[PlayerSort],
    0
   ),
  IF(sort=0,500,sort)
 )
)</f>
        <v>500</v>
      </c>
      <c r="I885" s="49" t="str">
        <f t="array" ref="I885">_xlfn.XLOOKUP(
 B885,
 tblTargetStatus[TargetID],
 tblTargetStatus[Status],
 ""
)</f>
        <v>BLOCKED</v>
      </c>
      <c r="J885" s="45" t="b">
        <v>0</v>
      </c>
    </row>
    <row r="886" ht="14.25" hidden="1" customHeight="1">
      <c r="A886" s="49" t="s">
        <v>2524</v>
      </c>
      <c r="B886" s="49" t="str">
        <f>IFERROR(__xludf.DUMMYFUNCTION("REGEXREPLACE(
 REGEXREPLACE(A886,""^cost\."",""""),
 ""\.[^.]+\.[^.]+$"",
 """"
)"),"collection.gallery_1@2")</f>
        <v>collection.gallery_1@2</v>
      </c>
      <c r="C886" s="49" t="str">
        <f t="array" ref="C886">_xlfn.XLOOKUP(
 B886,
 tblTargets[TargetID],
 tblTargets[DisplayName],
 ""
)</f>
        <v>Gallery 1 Lv 2</v>
      </c>
      <c r="D886" s="49" t="str">
        <f t="array" ref="D886">_xlfn.XLOOKUP(
 B886,
 tblTargets[TargetID],
 tblTargets[TargetType],
 ""
)</f>
        <v>COLLECTION</v>
      </c>
      <c r="E886" s="49" t="s">
        <v>1489</v>
      </c>
      <c r="F886" s="49">
        <v>1.0</v>
      </c>
      <c r="G886" s="49">
        <f t="array" ref="G886">_xlfn.XLOOKUP(
 A886,
 tblCost[RequirementID],
 tblCost[QuantityRequired],
 ""
)</f>
        <v>10</v>
      </c>
      <c r="H886" s="49">
        <f t="array" ref="H886">IF(
 OR(
  LEFT(B886,15)="state.character",
  RIGHT(B886,6)=".maxed"
 ),
 0,
 LET(
  sort,
   _xlfn.XLOOKUP(
    B886,
    tblChecklist[TargetID],
    tblChecklist[PlayerSort],
    0
   ),
  IF(sort=0,500,sort)
 )
)</f>
        <v>500</v>
      </c>
      <c r="I886" s="49" t="str">
        <f t="array" ref="I886">_xlfn.XLOOKUP(
 B886,
 tblTargetStatus[TargetID],
 tblTargetStatus[Status],
 ""
)</f>
        <v>BLOCKED</v>
      </c>
      <c r="J886" s="45" t="b">
        <v>0</v>
      </c>
    </row>
    <row r="887" ht="14.25" hidden="1" customHeight="1">
      <c r="A887" s="49" t="s">
        <v>2525</v>
      </c>
      <c r="B887" s="49" t="str">
        <f>IFERROR(__xludf.DUMMYFUNCTION("REGEXREPLACE(
 REGEXREPLACE(A887,""^cost\."",""""),
 ""\.[^.]+\.[^.]+$"",
 """"
)"),"collection.gallery_1@3")</f>
        <v>collection.gallery_1@3</v>
      </c>
      <c r="C887" s="49" t="str">
        <f t="array" ref="C887">_xlfn.XLOOKUP(
 B887,
 tblTargets[TargetID],
 tblTargets[DisplayName],
 ""
)</f>
        <v>Gallery 1 Lv 3</v>
      </c>
      <c r="D887" s="49" t="str">
        <f t="array" ref="D887">_xlfn.XLOOKUP(
 B887,
 tblTargets[TargetID],
 tblTargets[TargetType],
 ""
)</f>
        <v>COLLECTION</v>
      </c>
      <c r="E887" s="49" t="s">
        <v>1230</v>
      </c>
      <c r="F887" s="49">
        <v>1.0</v>
      </c>
      <c r="G887" s="49">
        <f t="array" ref="G887">_xlfn.XLOOKUP(
 A887,
 tblCost[RequirementID],
 tblCost[QuantityRequired],
 ""
)</f>
        <v>15</v>
      </c>
      <c r="H887" s="49">
        <f t="array" ref="H887">IF(
 OR(
  LEFT(B887,15)="state.character",
  RIGHT(B887,6)=".maxed"
 ),
 0,
 LET(
  sort,
   _xlfn.XLOOKUP(
    B887,
    tblChecklist[TargetID],
    tblChecklist[PlayerSort],
    0
   ),
  IF(sort=0,500,sort)
 )
)</f>
        <v>500</v>
      </c>
      <c r="I887" s="49" t="str">
        <f t="array" ref="I887">_xlfn.XLOOKUP(
 B887,
 tblTargetStatus[TargetID],
 tblTargetStatus[Status],
 ""
)</f>
        <v>BLOCKED</v>
      </c>
      <c r="J887" s="45" t="b">
        <v>0</v>
      </c>
    </row>
    <row r="888" ht="14.25" hidden="1" customHeight="1">
      <c r="A888" s="49" t="s">
        <v>2526</v>
      </c>
      <c r="B888" s="49" t="str">
        <f>IFERROR(__xludf.DUMMYFUNCTION("REGEXREPLACE(
 REGEXREPLACE(A888,""^cost\."",""""),
 ""\.[^.]+\.[^.]+$"",
 """"
)"),"collection.gallery_1@3")</f>
        <v>collection.gallery_1@3</v>
      </c>
      <c r="C888" s="49" t="str">
        <f t="array" ref="C888">_xlfn.XLOOKUP(
 B888,
 tblTargets[TargetID],
 tblTargets[DisplayName],
 ""
)</f>
        <v>Gallery 1 Lv 3</v>
      </c>
      <c r="D888" s="49" t="str">
        <f t="array" ref="D888">_xlfn.XLOOKUP(
 B888,
 tblTargets[TargetID],
 tblTargets[TargetType],
 ""
)</f>
        <v>COLLECTION</v>
      </c>
      <c r="E888" s="49" t="s">
        <v>2514</v>
      </c>
      <c r="F888" s="49">
        <v>1.0</v>
      </c>
      <c r="G888" s="49">
        <f t="array" ref="G888">_xlfn.XLOOKUP(
 A888,
 tblCost[RequirementID],
 tblCost[QuantityRequired],
 ""
)</f>
        <v>30</v>
      </c>
      <c r="H888" s="49">
        <f t="array" ref="H888">IF(
 OR(
  LEFT(B888,15)="state.character",
  RIGHT(B888,6)=".maxed"
 ),
 0,
 LET(
  sort,
   _xlfn.XLOOKUP(
    B888,
    tblChecklist[TargetID],
    tblChecklist[PlayerSort],
    0
   ),
  IF(sort=0,500,sort)
 )
)</f>
        <v>500</v>
      </c>
      <c r="I888" s="49" t="str">
        <f t="array" ref="I888">_xlfn.XLOOKUP(
 B888,
 tblTargetStatus[TargetID],
 tblTargetStatus[Status],
 ""
)</f>
        <v>BLOCKED</v>
      </c>
      <c r="J888" s="45" t="b">
        <v>0</v>
      </c>
    </row>
    <row r="889" ht="14.25" hidden="1" customHeight="1">
      <c r="A889" s="49" t="s">
        <v>2527</v>
      </c>
      <c r="B889" s="49" t="str">
        <f>IFERROR(__xludf.DUMMYFUNCTION("REGEXREPLACE(
 REGEXREPLACE(A889,""^cost\."",""""),
 ""\.[^.]+\.[^.]+$"",
 """"
)"),"collection.gallery_1@3")</f>
        <v>collection.gallery_1@3</v>
      </c>
      <c r="C889" s="49" t="str">
        <f t="array" ref="C889">_xlfn.XLOOKUP(
 B889,
 tblTargets[TargetID],
 tblTargets[DisplayName],
 ""
)</f>
        <v>Gallery 1 Lv 3</v>
      </c>
      <c r="D889" s="49" t="str">
        <f t="array" ref="D889">_xlfn.XLOOKUP(
 B889,
 tblTargets[TargetID],
 tblTargets[TargetType],
 ""
)</f>
        <v>COLLECTION</v>
      </c>
      <c r="E889" s="49" t="s">
        <v>2304</v>
      </c>
      <c r="F889" s="49">
        <v>1.0</v>
      </c>
      <c r="G889" s="49">
        <f t="array" ref="G889">_xlfn.XLOOKUP(
 A889,
 tblCost[RequirementID],
 tblCost[QuantityRequired],
 ""
)</f>
        <v>30</v>
      </c>
      <c r="H889" s="49">
        <f t="array" ref="H889">IF(
 OR(
  LEFT(B889,15)="state.character",
  RIGHT(B889,6)=".maxed"
 ),
 0,
 LET(
  sort,
   _xlfn.XLOOKUP(
    B889,
    tblChecklist[TargetID],
    tblChecklist[PlayerSort],
    0
   ),
  IF(sort=0,500,sort)
 )
)</f>
        <v>500</v>
      </c>
      <c r="I889" s="49" t="str">
        <f t="array" ref="I889">_xlfn.XLOOKUP(
 B889,
 tblTargetStatus[TargetID],
 tblTargetStatus[Status],
 ""
)</f>
        <v>BLOCKED</v>
      </c>
      <c r="J889" s="45" t="b">
        <v>0</v>
      </c>
    </row>
    <row r="890" ht="14.25" hidden="1" customHeight="1">
      <c r="A890" s="49" t="s">
        <v>2528</v>
      </c>
      <c r="B890" s="49" t="str">
        <f>IFERROR(__xludf.DUMMYFUNCTION("REGEXREPLACE(
 REGEXREPLACE(A890,""^cost\."",""""),
 ""\.[^.]+\.[^.]+$"",
 """"
)"),"collection.gallery_1@3")</f>
        <v>collection.gallery_1@3</v>
      </c>
      <c r="C890" s="49" t="str">
        <f t="array" ref="C890">_xlfn.XLOOKUP(
 B890,
 tblTargets[TargetID],
 tblTargets[DisplayName],
 ""
)</f>
        <v>Gallery 1 Lv 3</v>
      </c>
      <c r="D890" s="49" t="str">
        <f t="array" ref="D890">_xlfn.XLOOKUP(
 B890,
 tblTargets[TargetID],
 tblTargets[TargetType],
 ""
)</f>
        <v>COLLECTION</v>
      </c>
      <c r="E890" s="49" t="s">
        <v>126</v>
      </c>
      <c r="F890" s="49">
        <v>1.0</v>
      </c>
      <c r="G890" s="49">
        <f t="array" ref="G890">_xlfn.XLOOKUP(
 A890,
 tblCost[RequirementID],
 tblCost[QuantityRequired],
 ""
)</f>
        <v>45</v>
      </c>
      <c r="H890" s="49">
        <f t="array" ref="H890">IF(
 OR(
  LEFT(B890,15)="state.character",
  RIGHT(B890,6)=".maxed"
 ),
 0,
 LET(
  sort,
   _xlfn.XLOOKUP(
    B890,
    tblChecklist[TargetID],
    tblChecklist[PlayerSort],
    0
   ),
  IF(sort=0,500,sort)
 )
)</f>
        <v>500</v>
      </c>
      <c r="I890" s="49" t="str">
        <f t="array" ref="I890">_xlfn.XLOOKUP(
 B890,
 tblTargetStatus[TargetID],
 tblTargetStatus[Status],
 ""
)</f>
        <v>BLOCKED</v>
      </c>
      <c r="J890" s="45" t="b">
        <v>0</v>
      </c>
    </row>
    <row r="891" ht="14.25" hidden="1" customHeight="1">
      <c r="A891" s="49" t="s">
        <v>2529</v>
      </c>
      <c r="B891" s="49" t="str">
        <f>IFERROR(__xludf.DUMMYFUNCTION("REGEXREPLACE(
 REGEXREPLACE(A891,""^cost\."",""""),
 ""\.[^.]+\.[^.]+$"",
 """"
)"),"collection.gallery_1@3")</f>
        <v>collection.gallery_1@3</v>
      </c>
      <c r="C891" s="49" t="str">
        <f t="array" ref="C891">_xlfn.XLOOKUP(
 B891,
 tblTargets[TargetID],
 tblTargets[DisplayName],
 ""
)</f>
        <v>Gallery 1 Lv 3</v>
      </c>
      <c r="D891" s="49" t="str">
        <f t="array" ref="D891">_xlfn.XLOOKUP(
 B891,
 tblTargets[TargetID],
 tblTargets[TargetType],
 ""
)</f>
        <v>COLLECTION</v>
      </c>
      <c r="E891" s="49" t="s">
        <v>140</v>
      </c>
      <c r="F891" s="49">
        <v>1.0</v>
      </c>
      <c r="G891" s="49">
        <f t="array" ref="G891">_xlfn.XLOOKUP(
 A891,
 tblCost[RequirementID],
 tblCost[QuantityRequired],
 ""
)</f>
        <v>45</v>
      </c>
      <c r="H891" s="49">
        <f t="array" ref="H891">IF(
 OR(
  LEFT(B891,15)="state.character",
  RIGHT(B891,6)=".maxed"
 ),
 0,
 LET(
  sort,
   _xlfn.XLOOKUP(
    B891,
    tblChecklist[TargetID],
    tblChecklist[PlayerSort],
    0
   ),
  IF(sort=0,500,sort)
 )
)</f>
        <v>500</v>
      </c>
      <c r="I891" s="49" t="str">
        <f t="array" ref="I891">_xlfn.XLOOKUP(
 B891,
 tblTargetStatus[TargetID],
 tblTargetStatus[Status],
 ""
)</f>
        <v>BLOCKED</v>
      </c>
      <c r="J891" s="45" t="b">
        <v>0</v>
      </c>
    </row>
    <row r="892" ht="14.25" hidden="1" customHeight="1">
      <c r="A892" s="49" t="s">
        <v>2530</v>
      </c>
      <c r="B892" s="49" t="str">
        <f>IFERROR(__xludf.DUMMYFUNCTION("REGEXREPLACE(
 REGEXREPLACE(A892,""^cost\."",""""),
 ""\.[^.]+\.[^.]+$"",
 """"
)"),"collection.gallery_1@3")</f>
        <v>collection.gallery_1@3</v>
      </c>
      <c r="C892" s="49" t="str">
        <f t="array" ref="C892">_xlfn.XLOOKUP(
 B892,
 tblTargets[TargetID],
 tblTargets[DisplayName],
 ""
)</f>
        <v>Gallery 1 Lv 3</v>
      </c>
      <c r="D892" s="49" t="str">
        <f t="array" ref="D892">_xlfn.XLOOKUP(
 B892,
 tblTargets[TargetID],
 tblTargets[TargetType],
 ""
)</f>
        <v>COLLECTION</v>
      </c>
      <c r="E892" s="49" t="s">
        <v>1489</v>
      </c>
      <c r="F892" s="49">
        <v>1.0</v>
      </c>
      <c r="G892" s="49">
        <f t="array" ref="G892">_xlfn.XLOOKUP(
 A892,
 tblCost[RequirementID],
 tblCost[QuantityRequired],
 ""
)</f>
        <v>15</v>
      </c>
      <c r="H892" s="49">
        <f t="array" ref="H892">IF(
 OR(
  LEFT(B892,15)="state.character",
  RIGHT(B892,6)=".maxed"
 ),
 0,
 LET(
  sort,
   _xlfn.XLOOKUP(
    B892,
    tblChecklist[TargetID],
    tblChecklist[PlayerSort],
    0
   ),
  IF(sort=0,500,sort)
 )
)</f>
        <v>500</v>
      </c>
      <c r="I892" s="49" t="str">
        <f t="array" ref="I892">_xlfn.XLOOKUP(
 B892,
 tblTargetStatus[TargetID],
 tblTargetStatus[Status],
 ""
)</f>
        <v>BLOCKED</v>
      </c>
      <c r="J892" s="45" t="b">
        <v>0</v>
      </c>
    </row>
    <row r="893" ht="14.25" hidden="1" customHeight="1">
      <c r="A893" s="49" t="s">
        <v>2531</v>
      </c>
      <c r="B893" s="49" t="str">
        <f>IFERROR(__xludf.DUMMYFUNCTION("REGEXREPLACE(
 REGEXREPLACE(A893,""^cost\."",""""),
 ""\.[^.]+\.[^.]+$"",
 """"
)"),"collection.gallery_1@4")</f>
        <v>collection.gallery_1@4</v>
      </c>
      <c r="C893" s="49" t="str">
        <f t="array" ref="C893">_xlfn.XLOOKUP(
 B893,
 tblTargets[TargetID],
 tblTargets[DisplayName],
 ""
)</f>
        <v>Gallery 1 Lv 4</v>
      </c>
      <c r="D893" s="49" t="str">
        <f t="array" ref="D893">_xlfn.XLOOKUP(
 B893,
 tblTargets[TargetID],
 tblTargets[TargetType],
 ""
)</f>
        <v>COLLECTION</v>
      </c>
      <c r="E893" s="49" t="s">
        <v>1230</v>
      </c>
      <c r="F893" s="49">
        <v>1.0</v>
      </c>
      <c r="G893" s="49">
        <f t="array" ref="G893">_xlfn.XLOOKUP(
 A893,
 tblCost[RequirementID],
 tblCost[QuantityRequired],
 ""
)</f>
        <v>20</v>
      </c>
      <c r="H893" s="49">
        <f t="array" ref="H893">IF(
 OR(
  LEFT(B893,15)="state.character",
  RIGHT(B893,6)=".maxed"
 ),
 0,
 LET(
  sort,
   _xlfn.XLOOKUP(
    B893,
    tblChecklist[TargetID],
    tblChecklist[PlayerSort],
    0
   ),
  IF(sort=0,500,sort)
 )
)</f>
        <v>500</v>
      </c>
      <c r="I893" s="49" t="str">
        <f t="array" ref="I893">_xlfn.XLOOKUP(
 B893,
 tblTargetStatus[TargetID],
 tblTargetStatus[Status],
 ""
)</f>
        <v>BLOCKED</v>
      </c>
      <c r="J893" s="45" t="b">
        <v>0</v>
      </c>
    </row>
    <row r="894" ht="14.25" hidden="1" customHeight="1">
      <c r="A894" s="49" t="s">
        <v>2532</v>
      </c>
      <c r="B894" s="49" t="str">
        <f>IFERROR(__xludf.DUMMYFUNCTION("REGEXREPLACE(
 REGEXREPLACE(A894,""^cost\."",""""),
 ""\.[^.]+\.[^.]+$"",
 """"
)"),"collection.gallery_1@4")</f>
        <v>collection.gallery_1@4</v>
      </c>
      <c r="C894" s="49" t="str">
        <f t="array" ref="C894">_xlfn.XLOOKUP(
 B894,
 tblTargets[TargetID],
 tblTargets[DisplayName],
 ""
)</f>
        <v>Gallery 1 Lv 4</v>
      </c>
      <c r="D894" s="49" t="str">
        <f t="array" ref="D894">_xlfn.XLOOKUP(
 B894,
 tblTargets[TargetID],
 tblTargets[TargetType],
 ""
)</f>
        <v>COLLECTION</v>
      </c>
      <c r="E894" s="49" t="s">
        <v>2514</v>
      </c>
      <c r="F894" s="49">
        <v>1.0</v>
      </c>
      <c r="G894" s="49">
        <f t="array" ref="G894">_xlfn.XLOOKUP(
 A894,
 tblCost[RequirementID],
 tblCost[QuantityRequired],
 ""
)</f>
        <v>40</v>
      </c>
      <c r="H894" s="49">
        <f t="array" ref="H894">IF(
 OR(
  LEFT(B894,15)="state.character",
  RIGHT(B894,6)=".maxed"
 ),
 0,
 LET(
  sort,
   _xlfn.XLOOKUP(
    B894,
    tblChecklist[TargetID],
    tblChecklist[PlayerSort],
    0
   ),
  IF(sort=0,500,sort)
 )
)</f>
        <v>500</v>
      </c>
      <c r="I894" s="49" t="str">
        <f t="array" ref="I894">_xlfn.XLOOKUP(
 B894,
 tblTargetStatus[TargetID],
 tblTargetStatus[Status],
 ""
)</f>
        <v>BLOCKED</v>
      </c>
      <c r="J894" s="45" t="b">
        <v>0</v>
      </c>
    </row>
    <row r="895" ht="14.25" hidden="1" customHeight="1">
      <c r="A895" s="49" t="s">
        <v>2533</v>
      </c>
      <c r="B895" s="49" t="str">
        <f>IFERROR(__xludf.DUMMYFUNCTION("REGEXREPLACE(
 REGEXREPLACE(A895,""^cost\."",""""),
 ""\.[^.]+\.[^.]+$"",
 """"
)"),"collection.gallery_1@4")</f>
        <v>collection.gallery_1@4</v>
      </c>
      <c r="C895" s="49" t="str">
        <f t="array" ref="C895">_xlfn.XLOOKUP(
 B895,
 tblTargets[TargetID],
 tblTargets[DisplayName],
 ""
)</f>
        <v>Gallery 1 Lv 4</v>
      </c>
      <c r="D895" s="49" t="str">
        <f t="array" ref="D895">_xlfn.XLOOKUP(
 B895,
 tblTargets[TargetID],
 tblTargets[TargetType],
 ""
)</f>
        <v>COLLECTION</v>
      </c>
      <c r="E895" s="49" t="s">
        <v>2304</v>
      </c>
      <c r="F895" s="49">
        <v>1.0</v>
      </c>
      <c r="G895" s="49">
        <f t="array" ref="G895">_xlfn.XLOOKUP(
 A895,
 tblCost[RequirementID],
 tblCost[QuantityRequired],
 ""
)</f>
        <v>40</v>
      </c>
      <c r="H895" s="49">
        <f t="array" ref="H895">IF(
 OR(
  LEFT(B895,15)="state.character",
  RIGHT(B895,6)=".maxed"
 ),
 0,
 LET(
  sort,
   _xlfn.XLOOKUP(
    B895,
    tblChecklist[TargetID],
    tblChecklist[PlayerSort],
    0
   ),
  IF(sort=0,500,sort)
 )
)</f>
        <v>500</v>
      </c>
      <c r="I895" s="49" t="str">
        <f t="array" ref="I895">_xlfn.XLOOKUP(
 B895,
 tblTargetStatus[TargetID],
 tblTargetStatus[Status],
 ""
)</f>
        <v>BLOCKED</v>
      </c>
      <c r="J895" s="45" t="b">
        <v>0</v>
      </c>
    </row>
    <row r="896" ht="14.25" hidden="1" customHeight="1">
      <c r="A896" s="49" t="s">
        <v>2534</v>
      </c>
      <c r="B896" s="49" t="str">
        <f>IFERROR(__xludf.DUMMYFUNCTION("REGEXREPLACE(
 REGEXREPLACE(A896,""^cost\."",""""),
 ""\.[^.]+\.[^.]+$"",
 """"
)"),"collection.gallery_1@4")</f>
        <v>collection.gallery_1@4</v>
      </c>
      <c r="C896" s="49" t="str">
        <f t="array" ref="C896">_xlfn.XLOOKUP(
 B896,
 tblTargets[TargetID],
 tblTargets[DisplayName],
 ""
)</f>
        <v>Gallery 1 Lv 4</v>
      </c>
      <c r="D896" s="49" t="str">
        <f t="array" ref="D896">_xlfn.XLOOKUP(
 B896,
 tblTargets[TargetID],
 tblTargets[TargetType],
 ""
)</f>
        <v>COLLECTION</v>
      </c>
      <c r="E896" s="49" t="s">
        <v>126</v>
      </c>
      <c r="F896" s="49">
        <v>1.0</v>
      </c>
      <c r="G896" s="49">
        <f t="array" ref="G896">_xlfn.XLOOKUP(
 A896,
 tblCost[RequirementID],
 tblCost[QuantityRequired],
 ""
)</f>
        <v>60</v>
      </c>
      <c r="H896" s="49">
        <f t="array" ref="H896">IF(
 OR(
  LEFT(B896,15)="state.character",
  RIGHT(B896,6)=".maxed"
 ),
 0,
 LET(
  sort,
   _xlfn.XLOOKUP(
    B896,
    tblChecklist[TargetID],
    tblChecklist[PlayerSort],
    0
   ),
  IF(sort=0,500,sort)
 )
)</f>
        <v>500</v>
      </c>
      <c r="I896" s="49" t="str">
        <f t="array" ref="I896">_xlfn.XLOOKUP(
 B896,
 tblTargetStatus[TargetID],
 tblTargetStatus[Status],
 ""
)</f>
        <v>BLOCKED</v>
      </c>
      <c r="J896" s="45" t="b">
        <v>0</v>
      </c>
    </row>
    <row r="897" ht="14.25" hidden="1" customHeight="1">
      <c r="A897" s="49" t="s">
        <v>2535</v>
      </c>
      <c r="B897" s="49" t="str">
        <f>IFERROR(__xludf.DUMMYFUNCTION("REGEXREPLACE(
 REGEXREPLACE(A897,""^cost\."",""""),
 ""\.[^.]+\.[^.]+$"",
 """"
)"),"collection.gallery_1@4")</f>
        <v>collection.gallery_1@4</v>
      </c>
      <c r="C897" s="49" t="str">
        <f t="array" ref="C897">_xlfn.XLOOKUP(
 B897,
 tblTargets[TargetID],
 tblTargets[DisplayName],
 ""
)</f>
        <v>Gallery 1 Lv 4</v>
      </c>
      <c r="D897" s="49" t="str">
        <f t="array" ref="D897">_xlfn.XLOOKUP(
 B897,
 tblTargets[TargetID],
 tblTargets[TargetType],
 ""
)</f>
        <v>COLLECTION</v>
      </c>
      <c r="E897" s="49" t="s">
        <v>140</v>
      </c>
      <c r="F897" s="49">
        <v>1.0</v>
      </c>
      <c r="G897" s="49">
        <f t="array" ref="G897">_xlfn.XLOOKUP(
 A897,
 tblCost[RequirementID],
 tblCost[QuantityRequired],
 ""
)</f>
        <v>60</v>
      </c>
      <c r="H897" s="49">
        <f t="array" ref="H897">IF(
 OR(
  LEFT(B897,15)="state.character",
  RIGHT(B897,6)=".maxed"
 ),
 0,
 LET(
  sort,
   _xlfn.XLOOKUP(
    B897,
    tblChecklist[TargetID],
    tblChecklist[PlayerSort],
    0
   ),
  IF(sort=0,500,sort)
 )
)</f>
        <v>500</v>
      </c>
      <c r="I897" s="49" t="str">
        <f t="array" ref="I897">_xlfn.XLOOKUP(
 B897,
 tblTargetStatus[TargetID],
 tblTargetStatus[Status],
 ""
)</f>
        <v>BLOCKED</v>
      </c>
      <c r="J897" s="45" t="b">
        <v>0</v>
      </c>
    </row>
    <row r="898" ht="14.25" hidden="1" customHeight="1">
      <c r="A898" s="49" t="s">
        <v>2536</v>
      </c>
      <c r="B898" s="49" t="str">
        <f>IFERROR(__xludf.DUMMYFUNCTION("REGEXREPLACE(
 REGEXREPLACE(A898,""^cost\."",""""),
 ""\.[^.]+\.[^.]+$"",
 """"
)"),"collection.gallery_1@4")</f>
        <v>collection.gallery_1@4</v>
      </c>
      <c r="C898" s="49" t="str">
        <f t="array" ref="C898">_xlfn.XLOOKUP(
 B898,
 tblTargets[TargetID],
 tblTargets[DisplayName],
 ""
)</f>
        <v>Gallery 1 Lv 4</v>
      </c>
      <c r="D898" s="49" t="str">
        <f t="array" ref="D898">_xlfn.XLOOKUP(
 B898,
 tblTargets[TargetID],
 tblTargets[TargetType],
 ""
)</f>
        <v>COLLECTION</v>
      </c>
      <c r="E898" s="49" t="s">
        <v>1489</v>
      </c>
      <c r="F898" s="49">
        <v>1.0</v>
      </c>
      <c r="G898" s="49">
        <f t="array" ref="G898">_xlfn.XLOOKUP(
 A898,
 tblCost[RequirementID],
 tblCost[QuantityRequired],
 ""
)</f>
        <v>20</v>
      </c>
      <c r="H898" s="49">
        <f t="array" ref="H898">IF(
 OR(
  LEFT(B898,15)="state.character",
  RIGHT(B898,6)=".maxed"
 ),
 0,
 LET(
  sort,
   _xlfn.XLOOKUP(
    B898,
    tblChecklist[TargetID],
    tblChecklist[PlayerSort],
    0
   ),
  IF(sort=0,500,sort)
 )
)</f>
        <v>500</v>
      </c>
      <c r="I898" s="49" t="str">
        <f t="array" ref="I898">_xlfn.XLOOKUP(
 B898,
 tblTargetStatus[TargetID],
 tblTargetStatus[Status],
 ""
)</f>
        <v>BLOCKED</v>
      </c>
      <c r="J898" s="45" t="b">
        <v>0</v>
      </c>
    </row>
    <row r="899" ht="14.25" hidden="1" customHeight="1">
      <c r="A899" s="49" t="s">
        <v>2537</v>
      </c>
      <c r="B899" s="49" t="str">
        <f>IFERROR(__xludf.DUMMYFUNCTION("REGEXREPLACE(
 REGEXREPLACE(A899,""^cost\."",""""),
 ""\.[^.]+\.[^.]+$"",
 """"
)"),"collection.gallery_1@5")</f>
        <v>collection.gallery_1@5</v>
      </c>
      <c r="C899" s="49" t="str">
        <f t="array" ref="C899">_xlfn.XLOOKUP(
 B899,
 tblTargets[TargetID],
 tblTargets[DisplayName],
 ""
)</f>
        <v>Gallery 1 Lv 5</v>
      </c>
      <c r="D899" s="49" t="str">
        <f t="array" ref="D899">_xlfn.XLOOKUP(
 B899,
 tblTargets[TargetID],
 tblTargets[TargetType],
 ""
)</f>
        <v>COLLECTION</v>
      </c>
      <c r="E899" s="49" t="s">
        <v>1230</v>
      </c>
      <c r="F899" s="49">
        <v>1.0</v>
      </c>
      <c r="G899" s="49">
        <f t="array" ref="G899">_xlfn.XLOOKUP(
 A899,
 tblCost[RequirementID],
 tblCost[QuantityRequired],
 ""
)</f>
        <v>25</v>
      </c>
      <c r="H899" s="49">
        <f t="array" ref="H899">IF(
 OR(
  LEFT(B899,15)="state.character",
  RIGHT(B899,6)=".maxed"
 ),
 0,
 LET(
  sort,
   _xlfn.XLOOKUP(
    B899,
    tblChecklist[TargetID],
    tblChecklist[PlayerSort],
    0
   ),
  IF(sort=0,500,sort)
 )
)</f>
        <v>500</v>
      </c>
      <c r="I899" s="49" t="str">
        <f t="array" ref="I899">_xlfn.XLOOKUP(
 B899,
 tblTargetStatus[TargetID],
 tblTargetStatus[Status],
 ""
)</f>
        <v>BLOCKED</v>
      </c>
      <c r="J899" s="45" t="b">
        <v>0</v>
      </c>
    </row>
    <row r="900" ht="14.25" hidden="1" customHeight="1">
      <c r="A900" s="49" t="s">
        <v>2538</v>
      </c>
      <c r="B900" s="49" t="str">
        <f>IFERROR(__xludf.DUMMYFUNCTION("REGEXREPLACE(
 REGEXREPLACE(A900,""^cost\."",""""),
 ""\.[^.]+\.[^.]+$"",
 """"
)"),"collection.gallery_1@5")</f>
        <v>collection.gallery_1@5</v>
      </c>
      <c r="C900" s="49" t="str">
        <f t="array" ref="C900">_xlfn.XLOOKUP(
 B900,
 tblTargets[TargetID],
 tblTargets[DisplayName],
 ""
)</f>
        <v>Gallery 1 Lv 5</v>
      </c>
      <c r="D900" s="49" t="str">
        <f t="array" ref="D900">_xlfn.XLOOKUP(
 B900,
 tblTargets[TargetID],
 tblTargets[TargetType],
 ""
)</f>
        <v>COLLECTION</v>
      </c>
      <c r="E900" s="49" t="s">
        <v>2514</v>
      </c>
      <c r="F900" s="49">
        <v>1.0</v>
      </c>
      <c r="G900" s="49">
        <f t="array" ref="G900">_xlfn.XLOOKUP(
 A900,
 tblCost[RequirementID],
 tblCost[QuantityRequired],
 ""
)</f>
        <v>50</v>
      </c>
      <c r="H900" s="49">
        <f t="array" ref="H900">IF(
 OR(
  LEFT(B900,15)="state.character",
  RIGHT(B900,6)=".maxed"
 ),
 0,
 LET(
  sort,
   _xlfn.XLOOKUP(
    B900,
    tblChecklist[TargetID],
    tblChecklist[PlayerSort],
    0
   ),
  IF(sort=0,500,sort)
 )
)</f>
        <v>500</v>
      </c>
      <c r="I900" s="49" t="str">
        <f t="array" ref="I900">_xlfn.XLOOKUP(
 B900,
 tblTargetStatus[TargetID],
 tblTargetStatus[Status],
 ""
)</f>
        <v>BLOCKED</v>
      </c>
      <c r="J900" s="45" t="b">
        <v>0</v>
      </c>
    </row>
    <row r="901" ht="14.25" hidden="1" customHeight="1">
      <c r="A901" s="49" t="s">
        <v>2539</v>
      </c>
      <c r="B901" s="49" t="str">
        <f>IFERROR(__xludf.DUMMYFUNCTION("REGEXREPLACE(
 REGEXREPLACE(A901,""^cost\."",""""),
 ""\.[^.]+\.[^.]+$"",
 """"
)"),"collection.gallery_1@5")</f>
        <v>collection.gallery_1@5</v>
      </c>
      <c r="C901" s="49" t="str">
        <f t="array" ref="C901">_xlfn.XLOOKUP(
 B901,
 tblTargets[TargetID],
 tblTargets[DisplayName],
 ""
)</f>
        <v>Gallery 1 Lv 5</v>
      </c>
      <c r="D901" s="49" t="str">
        <f t="array" ref="D901">_xlfn.XLOOKUP(
 B901,
 tblTargets[TargetID],
 tblTargets[TargetType],
 ""
)</f>
        <v>COLLECTION</v>
      </c>
      <c r="E901" s="49" t="s">
        <v>2304</v>
      </c>
      <c r="F901" s="49">
        <v>1.0</v>
      </c>
      <c r="G901" s="49">
        <f t="array" ref="G901">_xlfn.XLOOKUP(
 A901,
 tblCost[RequirementID],
 tblCost[QuantityRequired],
 ""
)</f>
        <v>50</v>
      </c>
      <c r="H901" s="49">
        <f t="array" ref="H901">IF(
 OR(
  LEFT(B901,15)="state.character",
  RIGHT(B901,6)=".maxed"
 ),
 0,
 LET(
  sort,
   _xlfn.XLOOKUP(
    B901,
    tblChecklist[TargetID],
    tblChecklist[PlayerSort],
    0
   ),
  IF(sort=0,500,sort)
 )
)</f>
        <v>500</v>
      </c>
      <c r="I901" s="49" t="str">
        <f t="array" ref="I901">_xlfn.XLOOKUP(
 B901,
 tblTargetStatus[TargetID],
 tblTargetStatus[Status],
 ""
)</f>
        <v>BLOCKED</v>
      </c>
      <c r="J901" s="45" t="b">
        <v>0</v>
      </c>
    </row>
    <row r="902" ht="14.25" hidden="1" customHeight="1">
      <c r="A902" s="49" t="s">
        <v>2540</v>
      </c>
      <c r="B902" s="49" t="str">
        <f>IFERROR(__xludf.DUMMYFUNCTION("REGEXREPLACE(
 REGEXREPLACE(A902,""^cost\."",""""),
 ""\.[^.]+\.[^.]+$"",
 """"
)"),"collection.gallery_1@5")</f>
        <v>collection.gallery_1@5</v>
      </c>
      <c r="C902" s="49" t="str">
        <f t="array" ref="C902">_xlfn.XLOOKUP(
 B902,
 tblTargets[TargetID],
 tblTargets[DisplayName],
 ""
)</f>
        <v>Gallery 1 Lv 5</v>
      </c>
      <c r="D902" s="49" t="str">
        <f t="array" ref="D902">_xlfn.XLOOKUP(
 B902,
 tblTargets[TargetID],
 tblTargets[TargetType],
 ""
)</f>
        <v>COLLECTION</v>
      </c>
      <c r="E902" s="49" t="s">
        <v>126</v>
      </c>
      <c r="F902" s="49">
        <v>1.0</v>
      </c>
      <c r="G902" s="49">
        <f t="array" ref="G902">_xlfn.XLOOKUP(
 A902,
 tblCost[RequirementID],
 tblCost[QuantityRequired],
 ""
)</f>
        <v>75</v>
      </c>
      <c r="H902" s="49">
        <f t="array" ref="H902">IF(
 OR(
  LEFT(B902,15)="state.character",
  RIGHT(B902,6)=".maxed"
 ),
 0,
 LET(
  sort,
   _xlfn.XLOOKUP(
    B902,
    tblChecklist[TargetID],
    tblChecklist[PlayerSort],
    0
   ),
  IF(sort=0,500,sort)
 )
)</f>
        <v>500</v>
      </c>
      <c r="I902" s="49" t="str">
        <f t="array" ref="I902">_xlfn.XLOOKUP(
 B902,
 tblTargetStatus[TargetID],
 tblTargetStatus[Status],
 ""
)</f>
        <v>BLOCKED</v>
      </c>
      <c r="J902" s="45" t="b">
        <v>0</v>
      </c>
    </row>
    <row r="903" ht="14.25" hidden="1" customHeight="1">
      <c r="A903" s="49" t="s">
        <v>2541</v>
      </c>
      <c r="B903" s="49" t="str">
        <f>IFERROR(__xludf.DUMMYFUNCTION("REGEXREPLACE(
 REGEXREPLACE(A903,""^cost\."",""""),
 ""\.[^.]+\.[^.]+$"",
 """"
)"),"collection.gallery_1@5")</f>
        <v>collection.gallery_1@5</v>
      </c>
      <c r="C903" s="49" t="str">
        <f t="array" ref="C903">_xlfn.XLOOKUP(
 B903,
 tblTargets[TargetID],
 tblTargets[DisplayName],
 ""
)</f>
        <v>Gallery 1 Lv 5</v>
      </c>
      <c r="D903" s="49" t="str">
        <f t="array" ref="D903">_xlfn.XLOOKUP(
 B903,
 tblTargets[TargetID],
 tblTargets[TargetType],
 ""
)</f>
        <v>COLLECTION</v>
      </c>
      <c r="E903" s="49" t="s">
        <v>140</v>
      </c>
      <c r="F903" s="49">
        <v>1.0</v>
      </c>
      <c r="G903" s="49">
        <f t="array" ref="G903">_xlfn.XLOOKUP(
 A903,
 tblCost[RequirementID],
 tblCost[QuantityRequired],
 ""
)</f>
        <v>75</v>
      </c>
      <c r="H903" s="49">
        <f t="array" ref="H903">IF(
 OR(
  LEFT(B903,15)="state.character",
  RIGHT(B903,6)=".maxed"
 ),
 0,
 LET(
  sort,
   _xlfn.XLOOKUP(
    B903,
    tblChecklist[TargetID],
    tblChecklist[PlayerSort],
    0
   ),
  IF(sort=0,500,sort)
 )
)</f>
        <v>500</v>
      </c>
      <c r="I903" s="49" t="str">
        <f t="array" ref="I903">_xlfn.XLOOKUP(
 B903,
 tblTargetStatus[TargetID],
 tblTargetStatus[Status],
 ""
)</f>
        <v>BLOCKED</v>
      </c>
      <c r="J903" s="45" t="b">
        <v>0</v>
      </c>
    </row>
    <row r="904" ht="14.25" hidden="1" customHeight="1">
      <c r="A904" s="49" t="s">
        <v>2542</v>
      </c>
      <c r="B904" s="49" t="str">
        <f>IFERROR(__xludf.DUMMYFUNCTION("REGEXREPLACE(
 REGEXREPLACE(A904,""^cost\."",""""),
 ""\.[^.]+\.[^.]+$"",
 """"
)"),"collection.gallery_1@5")</f>
        <v>collection.gallery_1@5</v>
      </c>
      <c r="C904" s="49" t="str">
        <f t="array" ref="C904">_xlfn.XLOOKUP(
 B904,
 tblTargets[TargetID],
 tblTargets[DisplayName],
 ""
)</f>
        <v>Gallery 1 Lv 5</v>
      </c>
      <c r="D904" s="49" t="str">
        <f t="array" ref="D904">_xlfn.XLOOKUP(
 B904,
 tblTargets[TargetID],
 tblTargets[TargetType],
 ""
)</f>
        <v>COLLECTION</v>
      </c>
      <c r="E904" s="49" t="s">
        <v>1489</v>
      </c>
      <c r="F904" s="49">
        <v>1.0</v>
      </c>
      <c r="G904" s="49">
        <f t="array" ref="G904">_xlfn.XLOOKUP(
 A904,
 tblCost[RequirementID],
 tblCost[QuantityRequired],
 ""
)</f>
        <v>25</v>
      </c>
      <c r="H904" s="49">
        <f t="array" ref="H904">IF(
 OR(
  LEFT(B904,15)="state.character",
  RIGHT(B904,6)=".maxed"
 ),
 0,
 LET(
  sort,
   _xlfn.XLOOKUP(
    B904,
    tblChecklist[TargetID],
    tblChecklist[PlayerSort],
    0
   ),
  IF(sort=0,500,sort)
 )
)</f>
        <v>500</v>
      </c>
      <c r="I904" s="49" t="str">
        <f t="array" ref="I904">_xlfn.XLOOKUP(
 B904,
 tblTargetStatus[TargetID],
 tblTargetStatus[Status],
 ""
)</f>
        <v>BLOCKED</v>
      </c>
      <c r="J904" s="45" t="b">
        <v>0</v>
      </c>
    </row>
    <row r="905" ht="14.25" hidden="1" customHeight="1">
      <c r="A905" s="49" t="s">
        <v>2543</v>
      </c>
      <c r="B905" s="49" t="str">
        <f>IFERROR(__xludf.DUMMYFUNCTION("REGEXREPLACE(
 REGEXREPLACE(A905,""^cost\."",""""),
 ""\.[^.]+\.[^.]+$"",
 """"
)"),"collection.gallery_2@1")</f>
        <v>collection.gallery_2@1</v>
      </c>
      <c r="C905" s="49" t="str">
        <f t="array" ref="C905">_xlfn.XLOOKUP(
 B905,
 tblTargets[TargetID],
 tblTargets[DisplayName],
 ""
)</f>
        <v>Gallery 2 Lv 1</v>
      </c>
      <c r="D905" s="49" t="str">
        <f t="array" ref="D905">_xlfn.XLOOKUP(
 B905,
 tblTargets[TargetID],
 tblTargets[TargetType],
 ""
)</f>
        <v>COLLECTION</v>
      </c>
      <c r="E905" s="49" t="s">
        <v>2302</v>
      </c>
      <c r="F905" s="49">
        <v>1.0</v>
      </c>
      <c r="G905" s="49">
        <f t="array" ref="G905">_xlfn.XLOOKUP(
 A905,
 tblCost[RequirementID],
 tblCost[QuantityRequired],
 ""
)</f>
        <v>3</v>
      </c>
      <c r="H905" s="49">
        <f t="array" ref="H905">IF(
 OR(
  LEFT(B905,15)="state.character",
  RIGHT(B905,6)=".maxed"
 ),
 0,
 LET(
  sort,
   _xlfn.XLOOKUP(
    B905,
    tblChecklist[TargetID],
    tblChecklist[PlayerSort],
    0
   ),
  IF(sort=0,500,sort)
 )
)</f>
        <v>500</v>
      </c>
      <c r="I905" s="49" t="str">
        <f t="array" ref="I905">_xlfn.XLOOKUP(
 B905,
 tblTargetStatus[TargetID],
 tblTargetStatus[Status],
 ""
)</f>
        <v>BLOCKED</v>
      </c>
      <c r="J905" s="45" t="b">
        <v>0</v>
      </c>
    </row>
    <row r="906" ht="14.25" hidden="1" customHeight="1">
      <c r="A906" s="49" t="s">
        <v>2544</v>
      </c>
      <c r="B906" s="49" t="str">
        <f>IFERROR(__xludf.DUMMYFUNCTION("REGEXREPLACE(
 REGEXREPLACE(A906,""^cost\."",""""),
 ""\.[^.]+\.[^.]+$"",
 """"
)"),"collection.gallery_2@1")</f>
        <v>collection.gallery_2@1</v>
      </c>
      <c r="C906" s="49" t="str">
        <f t="array" ref="C906">_xlfn.XLOOKUP(
 B906,
 tblTargets[TargetID],
 tblTargets[DisplayName],
 ""
)</f>
        <v>Gallery 2 Lv 1</v>
      </c>
      <c r="D906" s="49" t="str">
        <f t="array" ref="D906">_xlfn.XLOOKUP(
 B906,
 tblTargets[TargetID],
 tblTargets[TargetType],
 ""
)</f>
        <v>COLLECTION</v>
      </c>
      <c r="E906" s="49" t="s">
        <v>2545</v>
      </c>
      <c r="F906" s="49">
        <v>1.0</v>
      </c>
      <c r="G906" s="49">
        <f t="array" ref="G906">_xlfn.XLOOKUP(
 A906,
 tblCost[RequirementID],
 tblCost[QuantityRequired],
 ""
)</f>
        <v>1</v>
      </c>
      <c r="H906" s="49">
        <f t="array" ref="H906">IF(
 OR(
  LEFT(B906,15)="state.character",
  RIGHT(B906,6)=".maxed"
 ),
 0,
 LET(
  sort,
   _xlfn.XLOOKUP(
    B906,
    tblChecklist[TargetID],
    tblChecklist[PlayerSort],
    0
   ),
  IF(sort=0,500,sort)
 )
)</f>
        <v>500</v>
      </c>
      <c r="I906" s="49" t="str">
        <f t="array" ref="I906">_xlfn.XLOOKUP(
 B906,
 tblTargetStatus[TargetID],
 tblTargetStatus[Status],
 ""
)</f>
        <v>BLOCKED</v>
      </c>
      <c r="J906" s="45" t="b">
        <v>0</v>
      </c>
    </row>
    <row r="907" ht="14.25" hidden="1" customHeight="1">
      <c r="A907" s="49" t="s">
        <v>2546</v>
      </c>
      <c r="B907" s="49" t="str">
        <f>IFERROR(__xludf.DUMMYFUNCTION("REGEXREPLACE(
 REGEXREPLACE(A907,""^cost\."",""""),
 ""\.[^.]+\.[^.]+$"",
 """"
)"),"collection.gallery_2@1")</f>
        <v>collection.gallery_2@1</v>
      </c>
      <c r="C907" s="49" t="str">
        <f t="array" ref="C907">_xlfn.XLOOKUP(
 B907,
 tblTargets[TargetID],
 tblTargets[DisplayName],
 ""
)</f>
        <v>Gallery 2 Lv 1</v>
      </c>
      <c r="D907" s="49" t="str">
        <f t="array" ref="D907">_xlfn.XLOOKUP(
 B907,
 tblTargets[TargetID],
 tblTargets[TargetType],
 ""
)</f>
        <v>COLLECTION</v>
      </c>
      <c r="E907" s="49" t="s">
        <v>2461</v>
      </c>
      <c r="F907" s="49">
        <v>1.0</v>
      </c>
      <c r="G907" s="49">
        <f t="array" ref="G907">_xlfn.XLOOKUP(
 A907,
 tblCost[RequirementID],
 tblCost[QuantityRequired],
 ""
)</f>
        <v>3</v>
      </c>
      <c r="H907" s="49">
        <f t="array" ref="H907">IF(
 OR(
  LEFT(B907,15)="state.character",
  RIGHT(B907,6)=".maxed"
 ),
 0,
 LET(
  sort,
   _xlfn.XLOOKUP(
    B907,
    tblChecklist[TargetID],
    tblChecklist[PlayerSort],
    0
   ),
  IF(sort=0,500,sort)
 )
)</f>
        <v>500</v>
      </c>
      <c r="I907" s="49" t="str">
        <f t="array" ref="I907">_xlfn.XLOOKUP(
 B907,
 tblTargetStatus[TargetID],
 tblTargetStatus[Status],
 ""
)</f>
        <v>BLOCKED</v>
      </c>
      <c r="J907" s="45" t="b">
        <v>0</v>
      </c>
    </row>
    <row r="908" ht="14.25" hidden="1" customHeight="1">
      <c r="A908" s="49" t="s">
        <v>2547</v>
      </c>
      <c r="B908" s="49" t="str">
        <f>IFERROR(__xludf.DUMMYFUNCTION("REGEXREPLACE(
 REGEXREPLACE(A908,""^cost\."",""""),
 ""\.[^.]+\.[^.]+$"",
 """"
)"),"collection.gallery_2@2")</f>
        <v>collection.gallery_2@2</v>
      </c>
      <c r="C908" s="49" t="str">
        <f t="array" ref="C908">_xlfn.XLOOKUP(
 B908,
 tblTargets[TargetID],
 tblTargets[DisplayName],
 ""
)</f>
        <v>Gallery 2 Lv 2</v>
      </c>
      <c r="D908" s="49" t="str">
        <f t="array" ref="D908">_xlfn.XLOOKUP(
 B908,
 tblTargets[TargetID],
 tblTargets[TargetType],
 ""
)</f>
        <v>COLLECTION</v>
      </c>
      <c r="E908" s="49" t="s">
        <v>2302</v>
      </c>
      <c r="F908" s="49">
        <v>1.0</v>
      </c>
      <c r="G908" s="49">
        <f t="array" ref="G908">_xlfn.XLOOKUP(
 A908,
 tblCost[RequirementID],
 tblCost[QuantityRequired],
 ""
)</f>
        <v>6</v>
      </c>
      <c r="H908" s="49">
        <f t="array" ref="H908">IF(
 OR(
  LEFT(B908,15)="state.character",
  RIGHT(B908,6)=".maxed"
 ),
 0,
 LET(
  sort,
   _xlfn.XLOOKUP(
    B908,
    tblChecklist[TargetID],
    tblChecklist[PlayerSort],
    0
   ),
  IF(sort=0,500,sort)
 )
)</f>
        <v>500</v>
      </c>
      <c r="I908" s="49" t="str">
        <f t="array" ref="I908">_xlfn.XLOOKUP(
 B908,
 tblTargetStatus[TargetID],
 tblTargetStatus[Status],
 ""
)</f>
        <v>BLOCKED</v>
      </c>
      <c r="J908" s="45" t="b">
        <v>0</v>
      </c>
    </row>
    <row r="909" ht="14.25" hidden="1" customHeight="1">
      <c r="A909" s="49" t="s">
        <v>2548</v>
      </c>
      <c r="B909" s="49" t="str">
        <f>IFERROR(__xludf.DUMMYFUNCTION("REGEXREPLACE(
 REGEXREPLACE(A909,""^cost\."",""""),
 ""\.[^.]+\.[^.]+$"",
 """"
)"),"collection.gallery_2@2")</f>
        <v>collection.gallery_2@2</v>
      </c>
      <c r="C909" s="49" t="str">
        <f t="array" ref="C909">_xlfn.XLOOKUP(
 B909,
 tblTargets[TargetID],
 tblTargets[DisplayName],
 ""
)</f>
        <v>Gallery 2 Lv 2</v>
      </c>
      <c r="D909" s="49" t="str">
        <f t="array" ref="D909">_xlfn.XLOOKUP(
 B909,
 tblTargets[TargetID],
 tblTargets[TargetType],
 ""
)</f>
        <v>COLLECTION</v>
      </c>
      <c r="E909" s="49" t="s">
        <v>2545</v>
      </c>
      <c r="F909" s="49">
        <v>1.0</v>
      </c>
      <c r="G909" s="49">
        <f t="array" ref="G909">_xlfn.XLOOKUP(
 A909,
 tblCost[RequirementID],
 tblCost[QuantityRequired],
 ""
)</f>
        <v>2</v>
      </c>
      <c r="H909" s="49">
        <f t="array" ref="H909">IF(
 OR(
  LEFT(B909,15)="state.character",
  RIGHT(B909,6)=".maxed"
 ),
 0,
 LET(
  sort,
   _xlfn.XLOOKUP(
    B909,
    tblChecklist[TargetID],
    tblChecklist[PlayerSort],
    0
   ),
  IF(sort=0,500,sort)
 )
)</f>
        <v>500</v>
      </c>
      <c r="I909" s="49" t="str">
        <f t="array" ref="I909">_xlfn.XLOOKUP(
 B909,
 tblTargetStatus[TargetID],
 tblTargetStatus[Status],
 ""
)</f>
        <v>BLOCKED</v>
      </c>
      <c r="J909" s="45" t="b">
        <v>0</v>
      </c>
    </row>
    <row r="910" ht="14.25" hidden="1" customHeight="1">
      <c r="A910" s="49" t="s">
        <v>2549</v>
      </c>
      <c r="B910" s="49" t="str">
        <f>IFERROR(__xludf.DUMMYFUNCTION("REGEXREPLACE(
 REGEXREPLACE(A910,""^cost\."",""""),
 ""\.[^.]+\.[^.]+$"",
 """"
)"),"collection.gallery_2@2")</f>
        <v>collection.gallery_2@2</v>
      </c>
      <c r="C910" s="49" t="str">
        <f t="array" ref="C910">_xlfn.XLOOKUP(
 B910,
 tblTargets[TargetID],
 tblTargets[DisplayName],
 ""
)</f>
        <v>Gallery 2 Lv 2</v>
      </c>
      <c r="D910" s="49" t="str">
        <f t="array" ref="D910">_xlfn.XLOOKUP(
 B910,
 tblTargets[TargetID],
 tblTargets[TargetType],
 ""
)</f>
        <v>COLLECTION</v>
      </c>
      <c r="E910" s="49" t="s">
        <v>2461</v>
      </c>
      <c r="F910" s="49">
        <v>1.0</v>
      </c>
      <c r="G910" s="49">
        <f t="array" ref="G910">_xlfn.XLOOKUP(
 A910,
 tblCost[RequirementID],
 tblCost[QuantityRequired],
 ""
)</f>
        <v>6</v>
      </c>
      <c r="H910" s="49">
        <f t="array" ref="H910">IF(
 OR(
  LEFT(B910,15)="state.character",
  RIGHT(B910,6)=".maxed"
 ),
 0,
 LET(
  sort,
   _xlfn.XLOOKUP(
    B910,
    tblChecklist[TargetID],
    tblChecklist[PlayerSort],
    0
   ),
  IF(sort=0,500,sort)
 )
)</f>
        <v>500</v>
      </c>
      <c r="I910" s="49" t="str">
        <f t="array" ref="I910">_xlfn.XLOOKUP(
 B910,
 tblTargetStatus[TargetID],
 tblTargetStatus[Status],
 ""
)</f>
        <v>BLOCKED</v>
      </c>
      <c r="J910" s="45" t="b">
        <v>0</v>
      </c>
    </row>
    <row r="911" ht="14.25" hidden="1" customHeight="1">
      <c r="A911" s="49" t="s">
        <v>2550</v>
      </c>
      <c r="B911" s="49" t="str">
        <f>IFERROR(__xludf.DUMMYFUNCTION("REGEXREPLACE(
 REGEXREPLACE(A911,""^cost\."",""""),
 ""\.[^.]+\.[^.]+$"",
 """"
)"),"collection.gallery_2@3")</f>
        <v>collection.gallery_2@3</v>
      </c>
      <c r="C911" s="49" t="str">
        <f t="array" ref="C911">_xlfn.XLOOKUP(
 B911,
 tblTargets[TargetID],
 tblTargets[DisplayName],
 ""
)</f>
        <v>Gallery 2 Lv 3</v>
      </c>
      <c r="D911" s="49" t="str">
        <f t="array" ref="D911">_xlfn.XLOOKUP(
 B911,
 tblTargets[TargetID],
 tblTargets[TargetType],
 ""
)</f>
        <v>COLLECTION</v>
      </c>
      <c r="E911" s="49" t="s">
        <v>2302</v>
      </c>
      <c r="F911" s="49">
        <v>1.0</v>
      </c>
      <c r="G911" s="49">
        <f t="array" ref="G911">_xlfn.XLOOKUP(
 A911,
 tblCost[RequirementID],
 tblCost[QuantityRequired],
 ""
)</f>
        <v>9</v>
      </c>
      <c r="H911" s="49">
        <f t="array" ref="H911">IF(
 OR(
  LEFT(B911,15)="state.character",
  RIGHT(B911,6)=".maxed"
 ),
 0,
 LET(
  sort,
   _xlfn.XLOOKUP(
    B911,
    tblChecklist[TargetID],
    tblChecklist[PlayerSort],
    0
   ),
  IF(sort=0,500,sort)
 )
)</f>
        <v>500</v>
      </c>
      <c r="I911" s="49" t="str">
        <f t="array" ref="I911">_xlfn.XLOOKUP(
 B911,
 tblTargetStatus[TargetID],
 tblTargetStatus[Status],
 ""
)</f>
        <v>BLOCKED</v>
      </c>
      <c r="J911" s="45" t="b">
        <v>0</v>
      </c>
    </row>
    <row r="912" ht="14.25" hidden="1" customHeight="1">
      <c r="A912" s="49" t="s">
        <v>2551</v>
      </c>
      <c r="B912" s="49" t="str">
        <f>IFERROR(__xludf.DUMMYFUNCTION("REGEXREPLACE(
 REGEXREPLACE(A912,""^cost\."",""""),
 ""\.[^.]+\.[^.]+$"",
 """"
)"),"collection.gallery_2@3")</f>
        <v>collection.gallery_2@3</v>
      </c>
      <c r="C912" s="49" t="str">
        <f t="array" ref="C912">_xlfn.XLOOKUP(
 B912,
 tblTargets[TargetID],
 tblTargets[DisplayName],
 ""
)</f>
        <v>Gallery 2 Lv 3</v>
      </c>
      <c r="D912" s="49" t="str">
        <f t="array" ref="D912">_xlfn.XLOOKUP(
 B912,
 tblTargets[TargetID],
 tblTargets[TargetType],
 ""
)</f>
        <v>COLLECTION</v>
      </c>
      <c r="E912" s="49" t="s">
        <v>2545</v>
      </c>
      <c r="F912" s="49">
        <v>1.0</v>
      </c>
      <c r="G912" s="49">
        <f t="array" ref="G912">_xlfn.XLOOKUP(
 A912,
 tblCost[RequirementID],
 tblCost[QuantityRequired],
 ""
)</f>
        <v>3</v>
      </c>
      <c r="H912" s="49">
        <f t="array" ref="H912">IF(
 OR(
  LEFT(B912,15)="state.character",
  RIGHT(B912,6)=".maxed"
 ),
 0,
 LET(
  sort,
   _xlfn.XLOOKUP(
    B912,
    tblChecklist[TargetID],
    tblChecklist[PlayerSort],
    0
   ),
  IF(sort=0,500,sort)
 )
)</f>
        <v>500</v>
      </c>
      <c r="I912" s="49" t="str">
        <f t="array" ref="I912">_xlfn.XLOOKUP(
 B912,
 tblTargetStatus[TargetID],
 tblTargetStatus[Status],
 ""
)</f>
        <v>BLOCKED</v>
      </c>
      <c r="J912" s="45" t="b">
        <v>0</v>
      </c>
    </row>
    <row r="913" ht="14.25" hidden="1" customHeight="1">
      <c r="A913" s="49" t="s">
        <v>2552</v>
      </c>
      <c r="B913" s="49" t="str">
        <f>IFERROR(__xludf.DUMMYFUNCTION("REGEXREPLACE(
 REGEXREPLACE(A913,""^cost\."",""""),
 ""\.[^.]+\.[^.]+$"",
 """"
)"),"collection.gallery_2@3")</f>
        <v>collection.gallery_2@3</v>
      </c>
      <c r="C913" s="49" t="str">
        <f t="array" ref="C913">_xlfn.XLOOKUP(
 B913,
 tblTargets[TargetID],
 tblTargets[DisplayName],
 ""
)</f>
        <v>Gallery 2 Lv 3</v>
      </c>
      <c r="D913" s="49" t="str">
        <f t="array" ref="D913">_xlfn.XLOOKUP(
 B913,
 tblTargets[TargetID],
 tblTargets[TargetType],
 ""
)</f>
        <v>COLLECTION</v>
      </c>
      <c r="E913" s="49" t="s">
        <v>2461</v>
      </c>
      <c r="F913" s="49">
        <v>1.0</v>
      </c>
      <c r="G913" s="49">
        <f t="array" ref="G913">_xlfn.XLOOKUP(
 A913,
 tblCost[RequirementID],
 tblCost[QuantityRequired],
 ""
)</f>
        <v>9</v>
      </c>
      <c r="H913" s="49">
        <f t="array" ref="H913">IF(
 OR(
  LEFT(B913,15)="state.character",
  RIGHT(B913,6)=".maxed"
 ),
 0,
 LET(
  sort,
   _xlfn.XLOOKUP(
    B913,
    tblChecklist[TargetID],
    tblChecklist[PlayerSort],
    0
   ),
  IF(sort=0,500,sort)
 )
)</f>
        <v>500</v>
      </c>
      <c r="I913" s="49" t="str">
        <f t="array" ref="I913">_xlfn.XLOOKUP(
 B913,
 tblTargetStatus[TargetID],
 tblTargetStatus[Status],
 ""
)</f>
        <v>BLOCKED</v>
      </c>
      <c r="J913" s="45" t="b">
        <v>0</v>
      </c>
    </row>
    <row r="914" ht="14.25" hidden="1" customHeight="1">
      <c r="A914" s="49" t="s">
        <v>2553</v>
      </c>
      <c r="B914" s="49" t="str">
        <f>IFERROR(__xludf.DUMMYFUNCTION("REGEXREPLACE(
 REGEXREPLACE(A914,""^cost\."",""""),
 ""\.[^.]+\.[^.]+$"",
 """"
)"),"collection.gallery_2@4")</f>
        <v>collection.gallery_2@4</v>
      </c>
      <c r="C914" s="49" t="str">
        <f t="array" ref="C914">_xlfn.XLOOKUP(
 B914,
 tblTargets[TargetID],
 tblTargets[DisplayName],
 ""
)</f>
        <v>Gallery 2 Lv 4</v>
      </c>
      <c r="D914" s="49" t="str">
        <f t="array" ref="D914">_xlfn.XLOOKUP(
 B914,
 tblTargets[TargetID],
 tblTargets[TargetType],
 ""
)</f>
        <v>COLLECTION</v>
      </c>
      <c r="E914" s="49" t="s">
        <v>2302</v>
      </c>
      <c r="F914" s="49">
        <v>1.0</v>
      </c>
      <c r="G914" s="49">
        <f t="array" ref="G914">_xlfn.XLOOKUP(
 A914,
 tblCost[RequirementID],
 tblCost[QuantityRequired],
 ""
)</f>
        <v>12</v>
      </c>
      <c r="H914" s="49">
        <f t="array" ref="H914">IF(
 OR(
  LEFT(B914,15)="state.character",
  RIGHT(B914,6)=".maxed"
 ),
 0,
 LET(
  sort,
   _xlfn.XLOOKUP(
    B914,
    tblChecklist[TargetID],
    tblChecklist[PlayerSort],
    0
   ),
  IF(sort=0,500,sort)
 )
)</f>
        <v>500</v>
      </c>
      <c r="I914" s="49" t="str">
        <f t="array" ref="I914">_xlfn.XLOOKUP(
 B914,
 tblTargetStatus[TargetID],
 tblTargetStatus[Status],
 ""
)</f>
        <v>BLOCKED</v>
      </c>
      <c r="J914" s="45" t="b">
        <v>0</v>
      </c>
    </row>
    <row r="915" ht="14.25" hidden="1" customHeight="1">
      <c r="A915" s="49" t="s">
        <v>2554</v>
      </c>
      <c r="B915" s="49" t="str">
        <f>IFERROR(__xludf.DUMMYFUNCTION("REGEXREPLACE(
 REGEXREPLACE(A915,""^cost\."",""""),
 ""\.[^.]+\.[^.]+$"",
 """"
)"),"collection.gallery_2@4")</f>
        <v>collection.gallery_2@4</v>
      </c>
      <c r="C915" s="49" t="str">
        <f t="array" ref="C915">_xlfn.XLOOKUP(
 B915,
 tblTargets[TargetID],
 tblTargets[DisplayName],
 ""
)</f>
        <v>Gallery 2 Lv 4</v>
      </c>
      <c r="D915" s="49" t="str">
        <f t="array" ref="D915">_xlfn.XLOOKUP(
 B915,
 tblTargets[TargetID],
 tblTargets[TargetType],
 ""
)</f>
        <v>COLLECTION</v>
      </c>
      <c r="E915" s="49" t="s">
        <v>2545</v>
      </c>
      <c r="F915" s="49">
        <v>1.0</v>
      </c>
      <c r="G915" s="49">
        <f t="array" ref="G915">_xlfn.XLOOKUP(
 A915,
 tblCost[RequirementID],
 tblCost[QuantityRequired],
 ""
)</f>
        <v>4</v>
      </c>
      <c r="H915" s="49">
        <f t="array" ref="H915">IF(
 OR(
  LEFT(B915,15)="state.character",
  RIGHT(B915,6)=".maxed"
 ),
 0,
 LET(
  sort,
   _xlfn.XLOOKUP(
    B915,
    tblChecklist[TargetID],
    tblChecklist[PlayerSort],
    0
   ),
  IF(sort=0,500,sort)
 )
)</f>
        <v>500</v>
      </c>
      <c r="I915" s="49" t="str">
        <f t="array" ref="I915">_xlfn.XLOOKUP(
 B915,
 tblTargetStatus[TargetID],
 tblTargetStatus[Status],
 ""
)</f>
        <v>BLOCKED</v>
      </c>
      <c r="J915" s="45" t="b">
        <v>0</v>
      </c>
    </row>
    <row r="916" ht="14.25" hidden="1" customHeight="1">
      <c r="A916" s="49" t="s">
        <v>2555</v>
      </c>
      <c r="B916" s="49" t="str">
        <f>IFERROR(__xludf.DUMMYFUNCTION("REGEXREPLACE(
 REGEXREPLACE(A916,""^cost\."",""""),
 ""\.[^.]+\.[^.]+$"",
 """"
)"),"collection.gallery_2@4")</f>
        <v>collection.gallery_2@4</v>
      </c>
      <c r="C916" s="49" t="str">
        <f t="array" ref="C916">_xlfn.XLOOKUP(
 B916,
 tblTargets[TargetID],
 tblTargets[DisplayName],
 ""
)</f>
        <v>Gallery 2 Lv 4</v>
      </c>
      <c r="D916" s="49" t="str">
        <f t="array" ref="D916">_xlfn.XLOOKUP(
 B916,
 tblTargets[TargetID],
 tblTargets[TargetType],
 ""
)</f>
        <v>COLLECTION</v>
      </c>
      <c r="E916" s="49" t="s">
        <v>2461</v>
      </c>
      <c r="F916" s="49">
        <v>1.0</v>
      </c>
      <c r="G916" s="49">
        <f t="array" ref="G916">_xlfn.XLOOKUP(
 A916,
 tblCost[RequirementID],
 tblCost[QuantityRequired],
 ""
)</f>
        <v>12</v>
      </c>
      <c r="H916" s="49">
        <f t="array" ref="H916">IF(
 OR(
  LEFT(B916,15)="state.character",
  RIGHT(B916,6)=".maxed"
 ),
 0,
 LET(
  sort,
   _xlfn.XLOOKUP(
    B916,
    tblChecklist[TargetID],
    tblChecklist[PlayerSort],
    0
   ),
  IF(sort=0,500,sort)
 )
)</f>
        <v>500</v>
      </c>
      <c r="I916" s="49" t="str">
        <f t="array" ref="I916">_xlfn.XLOOKUP(
 B916,
 tblTargetStatus[TargetID],
 tblTargetStatus[Status],
 ""
)</f>
        <v>BLOCKED</v>
      </c>
      <c r="J916" s="45" t="b">
        <v>0</v>
      </c>
    </row>
    <row r="917" ht="14.25" hidden="1" customHeight="1">
      <c r="A917" s="49" t="s">
        <v>2556</v>
      </c>
      <c r="B917" s="49" t="str">
        <f>IFERROR(__xludf.DUMMYFUNCTION("REGEXREPLACE(
 REGEXREPLACE(A917,""^cost\."",""""),
 ""\.[^.]+\.[^.]+$"",
 """"
)"),"collection.gallery_2@5")</f>
        <v>collection.gallery_2@5</v>
      </c>
      <c r="C917" s="49" t="str">
        <f t="array" ref="C917">_xlfn.XLOOKUP(
 B917,
 tblTargets[TargetID],
 tblTargets[DisplayName],
 ""
)</f>
        <v>Gallery 2 Lv 5</v>
      </c>
      <c r="D917" s="49" t="str">
        <f t="array" ref="D917">_xlfn.XLOOKUP(
 B917,
 tblTargets[TargetID],
 tblTargets[TargetType],
 ""
)</f>
        <v>COLLECTION</v>
      </c>
      <c r="E917" s="49" t="s">
        <v>2302</v>
      </c>
      <c r="F917" s="49">
        <v>1.0</v>
      </c>
      <c r="G917" s="49">
        <f t="array" ref="G917">_xlfn.XLOOKUP(
 A917,
 tblCost[RequirementID],
 tblCost[QuantityRequired],
 ""
)</f>
        <v>15</v>
      </c>
      <c r="H917" s="49">
        <f t="array" ref="H917">IF(
 OR(
  LEFT(B917,15)="state.character",
  RIGHT(B917,6)=".maxed"
 ),
 0,
 LET(
  sort,
   _xlfn.XLOOKUP(
    B917,
    tblChecklist[TargetID],
    tblChecklist[PlayerSort],
    0
   ),
  IF(sort=0,500,sort)
 )
)</f>
        <v>500</v>
      </c>
      <c r="I917" s="49" t="str">
        <f t="array" ref="I917">_xlfn.XLOOKUP(
 B917,
 tblTargetStatus[TargetID],
 tblTargetStatus[Status],
 ""
)</f>
        <v>BLOCKED</v>
      </c>
      <c r="J917" s="45" t="b">
        <v>0</v>
      </c>
    </row>
    <row r="918" ht="14.25" hidden="1" customHeight="1">
      <c r="A918" s="49" t="s">
        <v>2557</v>
      </c>
      <c r="B918" s="49" t="str">
        <f>IFERROR(__xludf.DUMMYFUNCTION("REGEXREPLACE(
 REGEXREPLACE(A918,""^cost\."",""""),
 ""\.[^.]+\.[^.]+$"",
 """"
)"),"collection.gallery_2@5")</f>
        <v>collection.gallery_2@5</v>
      </c>
      <c r="C918" s="49" t="str">
        <f t="array" ref="C918">_xlfn.XLOOKUP(
 B918,
 tblTargets[TargetID],
 tblTargets[DisplayName],
 ""
)</f>
        <v>Gallery 2 Lv 5</v>
      </c>
      <c r="D918" s="49" t="str">
        <f t="array" ref="D918">_xlfn.XLOOKUP(
 B918,
 tblTargets[TargetID],
 tblTargets[TargetType],
 ""
)</f>
        <v>COLLECTION</v>
      </c>
      <c r="E918" s="49" t="s">
        <v>2545</v>
      </c>
      <c r="F918" s="49">
        <v>1.0</v>
      </c>
      <c r="G918" s="49">
        <f t="array" ref="G918">_xlfn.XLOOKUP(
 A918,
 tblCost[RequirementID],
 tblCost[QuantityRequired],
 ""
)</f>
        <v>5</v>
      </c>
      <c r="H918" s="49">
        <f t="array" ref="H918">IF(
 OR(
  LEFT(B918,15)="state.character",
  RIGHT(B918,6)=".maxed"
 ),
 0,
 LET(
  sort,
   _xlfn.XLOOKUP(
    B918,
    tblChecklist[TargetID],
    tblChecklist[PlayerSort],
    0
   ),
  IF(sort=0,500,sort)
 )
)</f>
        <v>500</v>
      </c>
      <c r="I918" s="49" t="str">
        <f t="array" ref="I918">_xlfn.XLOOKUP(
 B918,
 tblTargetStatus[TargetID],
 tblTargetStatus[Status],
 ""
)</f>
        <v>BLOCKED</v>
      </c>
      <c r="J918" s="45" t="b">
        <v>0</v>
      </c>
    </row>
    <row r="919" ht="14.25" hidden="1" customHeight="1">
      <c r="A919" s="49" t="s">
        <v>2558</v>
      </c>
      <c r="B919" s="49" t="str">
        <f>IFERROR(__xludf.DUMMYFUNCTION("REGEXREPLACE(
 REGEXREPLACE(A919,""^cost\."",""""),
 ""\.[^.]+\.[^.]+$"",
 """"
)"),"collection.gallery_2@5")</f>
        <v>collection.gallery_2@5</v>
      </c>
      <c r="C919" s="49" t="str">
        <f t="array" ref="C919">_xlfn.XLOOKUP(
 B919,
 tblTargets[TargetID],
 tblTargets[DisplayName],
 ""
)</f>
        <v>Gallery 2 Lv 5</v>
      </c>
      <c r="D919" s="49" t="str">
        <f t="array" ref="D919">_xlfn.XLOOKUP(
 B919,
 tblTargets[TargetID],
 tblTargets[TargetType],
 ""
)</f>
        <v>COLLECTION</v>
      </c>
      <c r="E919" s="49" t="s">
        <v>2461</v>
      </c>
      <c r="F919" s="49">
        <v>1.0</v>
      </c>
      <c r="G919" s="49">
        <f t="array" ref="G919">_xlfn.XLOOKUP(
 A919,
 tblCost[RequirementID],
 tblCost[QuantityRequired],
 ""
)</f>
        <v>15</v>
      </c>
      <c r="H919" s="49">
        <f t="array" ref="H919">IF(
 OR(
  LEFT(B919,15)="state.character",
  RIGHT(B919,6)=".maxed"
 ),
 0,
 LET(
  sort,
   _xlfn.XLOOKUP(
    B919,
    tblChecklist[TargetID],
    tblChecklist[PlayerSort],
    0
   ),
  IF(sort=0,500,sort)
 )
)</f>
        <v>500</v>
      </c>
      <c r="I919" s="49" t="str">
        <f t="array" ref="I919">_xlfn.XLOOKUP(
 B919,
 tblTargetStatus[TargetID],
 tblTargetStatus[Status],
 ""
)</f>
        <v>BLOCKED</v>
      </c>
      <c r="J919" s="45" t="b">
        <v>0</v>
      </c>
    </row>
    <row r="920" ht="14.25" hidden="1" customHeight="1">
      <c r="A920" s="49" t="s">
        <v>2559</v>
      </c>
      <c r="B920" s="49" t="str">
        <f>IFERROR(__xludf.DUMMYFUNCTION("REGEXREPLACE(
 REGEXREPLACE(A920,""^cost\."",""""),
 ""\.[^.]+\.[^.]+$"",
 """"
)"),"collection.gallery_3@1")</f>
        <v>collection.gallery_3@1</v>
      </c>
      <c r="C920" s="49" t="str">
        <f t="array" ref="C920">_xlfn.XLOOKUP(
 B920,
 tblTargets[TargetID],
 tblTargets[DisplayName],
 ""
)</f>
        <v>Gallery 3 Lv 1</v>
      </c>
      <c r="D920" s="49" t="str">
        <f t="array" ref="D920">_xlfn.XLOOKUP(
 B920,
 tblTargets[TargetID],
 tblTargets[TargetType],
 ""
)</f>
        <v>COLLECTION</v>
      </c>
      <c r="E920" s="49" t="s">
        <v>1497</v>
      </c>
      <c r="F920" s="49">
        <v>1.0</v>
      </c>
      <c r="G920" s="49">
        <f t="array" ref="G920">_xlfn.XLOOKUP(
 A920,
 tblCost[RequirementID],
 tblCost[QuantityRequired],
 ""
)</f>
        <v>5</v>
      </c>
      <c r="H920" s="49">
        <f t="array" ref="H920">IF(
 OR(
  LEFT(B920,15)="state.character",
  RIGHT(B920,6)=".maxed"
 ),
 0,
 LET(
  sort,
   _xlfn.XLOOKUP(
    B920,
    tblChecklist[TargetID],
    tblChecklist[PlayerSort],
    0
   ),
  IF(sort=0,500,sort)
 )
)</f>
        <v>500</v>
      </c>
      <c r="I920" s="49" t="str">
        <f t="array" ref="I920">_xlfn.XLOOKUP(
 B920,
 tblTargetStatus[TargetID],
 tblTargetStatus[Status],
 ""
)</f>
        <v>BLOCKED</v>
      </c>
      <c r="J920" s="45" t="b">
        <v>0</v>
      </c>
    </row>
    <row r="921" ht="14.25" hidden="1" customHeight="1">
      <c r="A921" s="49" t="s">
        <v>2560</v>
      </c>
      <c r="B921" s="49" t="str">
        <f>IFERROR(__xludf.DUMMYFUNCTION("REGEXREPLACE(
 REGEXREPLACE(A921,""^cost\."",""""),
 ""\.[^.]+\.[^.]+$"",
 """"
)"),"collection.gallery_3@1")</f>
        <v>collection.gallery_3@1</v>
      </c>
      <c r="C921" s="49" t="str">
        <f t="array" ref="C921">_xlfn.XLOOKUP(
 B921,
 tblTargets[TargetID],
 tblTargets[DisplayName],
 ""
)</f>
        <v>Gallery 3 Lv 1</v>
      </c>
      <c r="D921" s="49" t="str">
        <f t="array" ref="D921">_xlfn.XLOOKUP(
 B921,
 tblTargets[TargetID],
 tblTargets[TargetType],
 ""
)</f>
        <v>COLLECTION</v>
      </c>
      <c r="E921" s="49" t="s">
        <v>1583</v>
      </c>
      <c r="F921" s="49">
        <v>1.0</v>
      </c>
      <c r="G921" s="49">
        <f t="array" ref="G921">_xlfn.XLOOKUP(
 A921,
 tblCost[RequirementID],
 tblCost[QuantityRequired],
 ""
)</f>
        <v>5</v>
      </c>
      <c r="H921" s="49">
        <f t="array" ref="H921">IF(
 OR(
  LEFT(B921,15)="state.character",
  RIGHT(B921,6)=".maxed"
 ),
 0,
 LET(
  sort,
   _xlfn.XLOOKUP(
    B921,
    tblChecklist[TargetID],
    tblChecklist[PlayerSort],
    0
   ),
  IF(sort=0,500,sort)
 )
)</f>
        <v>500</v>
      </c>
      <c r="I921" s="49" t="str">
        <f t="array" ref="I921">_xlfn.XLOOKUP(
 B921,
 tblTargetStatus[TargetID],
 tblTargetStatus[Status],
 ""
)</f>
        <v>BLOCKED</v>
      </c>
      <c r="J921" s="45" t="b">
        <v>0</v>
      </c>
    </row>
    <row r="922" ht="14.25" hidden="1" customHeight="1">
      <c r="A922" s="49" t="s">
        <v>2561</v>
      </c>
      <c r="B922" s="49" t="str">
        <f>IFERROR(__xludf.DUMMYFUNCTION("REGEXREPLACE(
 REGEXREPLACE(A922,""^cost\."",""""),
 ""\.[^.]+\.[^.]+$"",
 """"
)"),"collection.gallery_3@1")</f>
        <v>collection.gallery_3@1</v>
      </c>
      <c r="C922" s="49" t="str">
        <f t="array" ref="C922">_xlfn.XLOOKUP(
 B922,
 tblTargets[TargetID],
 tblTargets[DisplayName],
 ""
)</f>
        <v>Gallery 3 Lv 1</v>
      </c>
      <c r="D922" s="49" t="str">
        <f t="array" ref="D922">_xlfn.XLOOKUP(
 B922,
 tblTargets[TargetID],
 tblTargets[TargetType],
 ""
)</f>
        <v>COLLECTION</v>
      </c>
      <c r="E922" s="49" t="s">
        <v>1282</v>
      </c>
      <c r="F922" s="49">
        <v>1.0</v>
      </c>
      <c r="G922" s="49">
        <f t="array" ref="G922">_xlfn.XLOOKUP(
 A922,
 tblCost[RequirementID],
 tblCost[QuantityRequired],
 ""
)</f>
        <v>5</v>
      </c>
      <c r="H922" s="49">
        <f t="array" ref="H922">IF(
 OR(
  LEFT(B922,15)="state.character",
  RIGHT(B922,6)=".maxed"
 ),
 0,
 LET(
  sort,
   _xlfn.XLOOKUP(
    B922,
    tblChecklist[TargetID],
    tblChecklist[PlayerSort],
    0
   ),
  IF(sort=0,500,sort)
 )
)</f>
        <v>500</v>
      </c>
      <c r="I922" s="49" t="str">
        <f t="array" ref="I922">_xlfn.XLOOKUP(
 B922,
 tblTargetStatus[TargetID],
 tblTargetStatus[Status],
 ""
)</f>
        <v>BLOCKED</v>
      </c>
      <c r="J922" s="45" t="b">
        <v>0</v>
      </c>
    </row>
    <row r="923" ht="14.25" hidden="1" customHeight="1">
      <c r="A923" s="49" t="s">
        <v>2562</v>
      </c>
      <c r="B923" s="49" t="str">
        <f>IFERROR(__xludf.DUMMYFUNCTION("REGEXREPLACE(
 REGEXREPLACE(A923,""^cost\."",""""),
 ""\.[^.]+\.[^.]+$"",
 """"
)"),"collection.gallery_3@1")</f>
        <v>collection.gallery_3@1</v>
      </c>
      <c r="C923" s="49" t="str">
        <f t="array" ref="C923">_xlfn.XLOOKUP(
 B923,
 tblTargets[TargetID],
 tblTargets[DisplayName],
 ""
)</f>
        <v>Gallery 3 Lv 1</v>
      </c>
      <c r="D923" s="49" t="str">
        <f t="array" ref="D923">_xlfn.XLOOKUP(
 B923,
 tblTargets[TargetID],
 tblTargets[TargetType],
 ""
)</f>
        <v>COLLECTION</v>
      </c>
      <c r="E923" s="49" t="s">
        <v>1606</v>
      </c>
      <c r="F923" s="49">
        <v>1.0</v>
      </c>
      <c r="G923" s="49">
        <f t="array" ref="G923">_xlfn.XLOOKUP(
 A923,
 tblCost[RequirementID],
 tblCost[QuantityRequired],
 ""
)</f>
        <v>5</v>
      </c>
      <c r="H923" s="49">
        <f t="array" ref="H923">IF(
 OR(
  LEFT(B923,15)="state.character",
  RIGHT(B923,6)=".maxed"
 ),
 0,
 LET(
  sort,
   _xlfn.XLOOKUP(
    B923,
    tblChecklist[TargetID],
    tblChecklist[PlayerSort],
    0
   ),
  IF(sort=0,500,sort)
 )
)</f>
        <v>500</v>
      </c>
      <c r="I923" s="49" t="str">
        <f t="array" ref="I923">_xlfn.XLOOKUP(
 B923,
 tblTargetStatus[TargetID],
 tblTargetStatus[Status],
 ""
)</f>
        <v>BLOCKED</v>
      </c>
      <c r="J923" s="45" t="b">
        <v>0</v>
      </c>
    </row>
    <row r="924" ht="14.25" hidden="1" customHeight="1">
      <c r="A924" s="49" t="s">
        <v>2563</v>
      </c>
      <c r="B924" s="49" t="str">
        <f>IFERROR(__xludf.DUMMYFUNCTION("REGEXREPLACE(
 REGEXREPLACE(A924,""^cost\."",""""),
 ""\.[^.]+\.[^.]+$"",
 """"
)"),"collection.gallery_3@1")</f>
        <v>collection.gallery_3@1</v>
      </c>
      <c r="C924" s="49" t="str">
        <f t="array" ref="C924">_xlfn.XLOOKUP(
 B924,
 tblTargets[TargetID],
 tblTargets[DisplayName],
 ""
)</f>
        <v>Gallery 3 Lv 1</v>
      </c>
      <c r="D924" s="49" t="str">
        <f t="array" ref="D924">_xlfn.XLOOKUP(
 B924,
 tblTargets[TargetID],
 tblTargets[TargetType],
 ""
)</f>
        <v>COLLECTION</v>
      </c>
      <c r="E924" s="49" t="s">
        <v>2308</v>
      </c>
      <c r="F924" s="49">
        <v>1.0</v>
      </c>
      <c r="G924" s="49">
        <f t="array" ref="G924">_xlfn.XLOOKUP(
 A924,
 tblCost[RequirementID],
 tblCost[QuantityRequired],
 ""
)</f>
        <v>5</v>
      </c>
      <c r="H924" s="49">
        <f t="array" ref="H924">IF(
 OR(
  LEFT(B924,15)="state.character",
  RIGHT(B924,6)=".maxed"
 ),
 0,
 LET(
  sort,
   _xlfn.XLOOKUP(
    B924,
    tblChecklist[TargetID],
    tblChecklist[PlayerSort],
    0
   ),
  IF(sort=0,500,sort)
 )
)</f>
        <v>500</v>
      </c>
      <c r="I924" s="49" t="str">
        <f t="array" ref="I924">_xlfn.XLOOKUP(
 B924,
 tblTargetStatus[TargetID],
 tblTargetStatus[Status],
 ""
)</f>
        <v>BLOCKED</v>
      </c>
      <c r="J924" s="45" t="b">
        <v>0</v>
      </c>
    </row>
    <row r="925" ht="14.25" hidden="1" customHeight="1">
      <c r="A925" s="49" t="s">
        <v>2564</v>
      </c>
      <c r="B925" s="49" t="str">
        <f>IFERROR(__xludf.DUMMYFUNCTION("REGEXREPLACE(
 REGEXREPLACE(A925,""^cost\."",""""),
 ""\.[^.]+\.[^.]+$"",
 """"
)"),"collection.gallery_3@2")</f>
        <v>collection.gallery_3@2</v>
      </c>
      <c r="C925" s="49" t="str">
        <f t="array" ref="C925">_xlfn.XLOOKUP(
 B925,
 tblTargets[TargetID],
 tblTargets[DisplayName],
 ""
)</f>
        <v>Gallery 3 Lv 2</v>
      </c>
      <c r="D925" s="49" t="str">
        <f t="array" ref="D925">_xlfn.XLOOKUP(
 B925,
 tblTargets[TargetID],
 tblTargets[TargetType],
 ""
)</f>
        <v>COLLECTION</v>
      </c>
      <c r="E925" s="49" t="s">
        <v>1497</v>
      </c>
      <c r="F925" s="49">
        <v>1.0</v>
      </c>
      <c r="G925" s="49">
        <f t="array" ref="G925">_xlfn.XLOOKUP(
 A925,
 tblCost[RequirementID],
 tblCost[QuantityRequired],
 ""
)</f>
        <v>10</v>
      </c>
      <c r="H925" s="49">
        <f t="array" ref="H925">IF(
 OR(
  LEFT(B925,15)="state.character",
  RIGHT(B925,6)=".maxed"
 ),
 0,
 LET(
  sort,
   _xlfn.XLOOKUP(
    B925,
    tblChecklist[TargetID],
    tblChecklist[PlayerSort],
    0
   ),
  IF(sort=0,500,sort)
 )
)</f>
        <v>500</v>
      </c>
      <c r="I925" s="49" t="str">
        <f t="array" ref="I925">_xlfn.XLOOKUP(
 B925,
 tblTargetStatus[TargetID],
 tblTargetStatus[Status],
 ""
)</f>
        <v>BLOCKED</v>
      </c>
      <c r="J925" s="45" t="b">
        <v>0</v>
      </c>
    </row>
    <row r="926" ht="14.25" hidden="1" customHeight="1">
      <c r="A926" s="49" t="s">
        <v>2565</v>
      </c>
      <c r="B926" s="49" t="str">
        <f>IFERROR(__xludf.DUMMYFUNCTION("REGEXREPLACE(
 REGEXREPLACE(A926,""^cost\."",""""),
 ""\.[^.]+\.[^.]+$"",
 """"
)"),"collection.gallery_3@2")</f>
        <v>collection.gallery_3@2</v>
      </c>
      <c r="C926" s="49" t="str">
        <f t="array" ref="C926">_xlfn.XLOOKUP(
 B926,
 tblTargets[TargetID],
 tblTargets[DisplayName],
 ""
)</f>
        <v>Gallery 3 Lv 2</v>
      </c>
      <c r="D926" s="49" t="str">
        <f t="array" ref="D926">_xlfn.XLOOKUP(
 B926,
 tblTargets[TargetID],
 tblTargets[TargetType],
 ""
)</f>
        <v>COLLECTION</v>
      </c>
      <c r="E926" s="49" t="s">
        <v>1583</v>
      </c>
      <c r="F926" s="49">
        <v>1.0</v>
      </c>
      <c r="G926" s="49">
        <f t="array" ref="G926">_xlfn.XLOOKUP(
 A926,
 tblCost[RequirementID],
 tblCost[QuantityRequired],
 ""
)</f>
        <v>10</v>
      </c>
      <c r="H926" s="49">
        <f t="array" ref="H926">IF(
 OR(
  LEFT(B926,15)="state.character",
  RIGHT(B926,6)=".maxed"
 ),
 0,
 LET(
  sort,
   _xlfn.XLOOKUP(
    B926,
    tblChecklist[TargetID],
    tblChecklist[PlayerSort],
    0
   ),
  IF(sort=0,500,sort)
 )
)</f>
        <v>500</v>
      </c>
      <c r="I926" s="49" t="str">
        <f t="array" ref="I926">_xlfn.XLOOKUP(
 B926,
 tblTargetStatus[TargetID],
 tblTargetStatus[Status],
 ""
)</f>
        <v>BLOCKED</v>
      </c>
      <c r="J926" s="45" t="b">
        <v>0</v>
      </c>
    </row>
    <row r="927" ht="14.25" hidden="1" customHeight="1">
      <c r="A927" s="49" t="s">
        <v>2566</v>
      </c>
      <c r="B927" s="49" t="str">
        <f>IFERROR(__xludf.DUMMYFUNCTION("REGEXREPLACE(
 REGEXREPLACE(A927,""^cost\."",""""),
 ""\.[^.]+\.[^.]+$"",
 """"
)"),"collection.gallery_3@2")</f>
        <v>collection.gallery_3@2</v>
      </c>
      <c r="C927" s="49" t="str">
        <f t="array" ref="C927">_xlfn.XLOOKUP(
 B927,
 tblTargets[TargetID],
 tblTargets[DisplayName],
 ""
)</f>
        <v>Gallery 3 Lv 2</v>
      </c>
      <c r="D927" s="49" t="str">
        <f t="array" ref="D927">_xlfn.XLOOKUP(
 B927,
 tblTargets[TargetID],
 tblTargets[TargetType],
 ""
)</f>
        <v>COLLECTION</v>
      </c>
      <c r="E927" s="49" t="s">
        <v>1282</v>
      </c>
      <c r="F927" s="49">
        <v>1.0</v>
      </c>
      <c r="G927" s="49">
        <f t="array" ref="G927">_xlfn.XLOOKUP(
 A927,
 tblCost[RequirementID],
 tblCost[QuantityRequired],
 ""
)</f>
        <v>10</v>
      </c>
      <c r="H927" s="49">
        <f t="array" ref="H927">IF(
 OR(
  LEFT(B927,15)="state.character",
  RIGHT(B927,6)=".maxed"
 ),
 0,
 LET(
  sort,
   _xlfn.XLOOKUP(
    B927,
    tblChecklist[TargetID],
    tblChecklist[PlayerSort],
    0
   ),
  IF(sort=0,500,sort)
 )
)</f>
        <v>500</v>
      </c>
      <c r="I927" s="49" t="str">
        <f t="array" ref="I927">_xlfn.XLOOKUP(
 B927,
 tblTargetStatus[TargetID],
 tblTargetStatus[Status],
 ""
)</f>
        <v>BLOCKED</v>
      </c>
      <c r="J927" s="45" t="b">
        <v>0</v>
      </c>
    </row>
    <row r="928" ht="14.25" hidden="1" customHeight="1">
      <c r="A928" s="49" t="s">
        <v>2567</v>
      </c>
      <c r="B928" s="49" t="str">
        <f>IFERROR(__xludf.DUMMYFUNCTION("REGEXREPLACE(
 REGEXREPLACE(A928,""^cost\."",""""),
 ""\.[^.]+\.[^.]+$"",
 """"
)"),"collection.gallery_3@2")</f>
        <v>collection.gallery_3@2</v>
      </c>
      <c r="C928" s="49" t="str">
        <f t="array" ref="C928">_xlfn.XLOOKUP(
 B928,
 tblTargets[TargetID],
 tblTargets[DisplayName],
 ""
)</f>
        <v>Gallery 3 Lv 2</v>
      </c>
      <c r="D928" s="49" t="str">
        <f t="array" ref="D928">_xlfn.XLOOKUP(
 B928,
 tblTargets[TargetID],
 tblTargets[TargetType],
 ""
)</f>
        <v>COLLECTION</v>
      </c>
      <c r="E928" s="49" t="s">
        <v>1606</v>
      </c>
      <c r="F928" s="49">
        <v>1.0</v>
      </c>
      <c r="G928" s="49">
        <f t="array" ref="G928">_xlfn.XLOOKUP(
 A928,
 tblCost[RequirementID],
 tblCost[QuantityRequired],
 ""
)</f>
        <v>10</v>
      </c>
      <c r="H928" s="49">
        <f t="array" ref="H928">IF(
 OR(
  LEFT(B928,15)="state.character",
  RIGHT(B928,6)=".maxed"
 ),
 0,
 LET(
  sort,
   _xlfn.XLOOKUP(
    B928,
    tblChecklist[TargetID],
    tblChecklist[PlayerSort],
    0
   ),
  IF(sort=0,500,sort)
 )
)</f>
        <v>500</v>
      </c>
      <c r="I928" s="49" t="str">
        <f t="array" ref="I928">_xlfn.XLOOKUP(
 B928,
 tblTargetStatus[TargetID],
 tblTargetStatus[Status],
 ""
)</f>
        <v>BLOCKED</v>
      </c>
      <c r="J928" s="45" t="b">
        <v>0</v>
      </c>
    </row>
    <row r="929" ht="14.25" hidden="1" customHeight="1">
      <c r="A929" s="49" t="s">
        <v>2568</v>
      </c>
      <c r="B929" s="49" t="str">
        <f>IFERROR(__xludf.DUMMYFUNCTION("REGEXREPLACE(
 REGEXREPLACE(A929,""^cost\."",""""),
 ""\.[^.]+\.[^.]+$"",
 """"
)"),"collection.gallery_3@2")</f>
        <v>collection.gallery_3@2</v>
      </c>
      <c r="C929" s="49" t="str">
        <f t="array" ref="C929">_xlfn.XLOOKUP(
 B929,
 tblTargets[TargetID],
 tblTargets[DisplayName],
 ""
)</f>
        <v>Gallery 3 Lv 2</v>
      </c>
      <c r="D929" s="49" t="str">
        <f t="array" ref="D929">_xlfn.XLOOKUP(
 B929,
 tblTargets[TargetID],
 tblTargets[TargetType],
 ""
)</f>
        <v>COLLECTION</v>
      </c>
      <c r="E929" s="49" t="s">
        <v>2308</v>
      </c>
      <c r="F929" s="49">
        <v>1.0</v>
      </c>
      <c r="G929" s="49">
        <f t="array" ref="G929">_xlfn.XLOOKUP(
 A929,
 tblCost[RequirementID],
 tblCost[QuantityRequired],
 ""
)</f>
        <v>10</v>
      </c>
      <c r="H929" s="49">
        <f t="array" ref="H929">IF(
 OR(
  LEFT(B929,15)="state.character",
  RIGHT(B929,6)=".maxed"
 ),
 0,
 LET(
  sort,
   _xlfn.XLOOKUP(
    B929,
    tblChecklist[TargetID],
    tblChecklist[PlayerSort],
    0
   ),
  IF(sort=0,500,sort)
 )
)</f>
        <v>500</v>
      </c>
      <c r="I929" s="49" t="str">
        <f t="array" ref="I929">_xlfn.XLOOKUP(
 B929,
 tblTargetStatus[TargetID],
 tblTargetStatus[Status],
 ""
)</f>
        <v>BLOCKED</v>
      </c>
      <c r="J929" s="45" t="b">
        <v>0</v>
      </c>
    </row>
    <row r="930" ht="14.25" hidden="1" customHeight="1">
      <c r="A930" s="49" t="s">
        <v>2569</v>
      </c>
      <c r="B930" s="49" t="str">
        <f>IFERROR(__xludf.DUMMYFUNCTION("REGEXREPLACE(
 REGEXREPLACE(A930,""^cost\."",""""),
 ""\.[^.]+\.[^.]+$"",
 """"
)"),"collection.gallery_3@3")</f>
        <v>collection.gallery_3@3</v>
      </c>
      <c r="C930" s="49" t="str">
        <f t="array" ref="C930">_xlfn.XLOOKUP(
 B930,
 tblTargets[TargetID],
 tblTargets[DisplayName],
 ""
)</f>
        <v>Gallery 3 Lv 3</v>
      </c>
      <c r="D930" s="49" t="str">
        <f t="array" ref="D930">_xlfn.XLOOKUP(
 B930,
 tblTargets[TargetID],
 tblTargets[TargetType],
 ""
)</f>
        <v>COLLECTION</v>
      </c>
      <c r="E930" s="49" t="s">
        <v>1497</v>
      </c>
      <c r="F930" s="49">
        <v>1.0</v>
      </c>
      <c r="G930" s="49">
        <f t="array" ref="G930">_xlfn.XLOOKUP(
 A930,
 tblCost[RequirementID],
 tblCost[QuantityRequired],
 ""
)</f>
        <v>15</v>
      </c>
      <c r="H930" s="49">
        <f t="array" ref="H930">IF(
 OR(
  LEFT(B930,15)="state.character",
  RIGHT(B930,6)=".maxed"
 ),
 0,
 LET(
  sort,
   _xlfn.XLOOKUP(
    B930,
    tblChecklist[TargetID],
    tblChecklist[PlayerSort],
    0
   ),
  IF(sort=0,500,sort)
 )
)</f>
        <v>500</v>
      </c>
      <c r="I930" s="49" t="str">
        <f t="array" ref="I930">_xlfn.XLOOKUP(
 B930,
 tblTargetStatus[TargetID],
 tblTargetStatus[Status],
 ""
)</f>
        <v>BLOCKED</v>
      </c>
      <c r="J930" s="45" t="b">
        <v>0</v>
      </c>
    </row>
    <row r="931" ht="14.25" hidden="1" customHeight="1">
      <c r="A931" s="49" t="s">
        <v>2570</v>
      </c>
      <c r="B931" s="49" t="str">
        <f>IFERROR(__xludf.DUMMYFUNCTION("REGEXREPLACE(
 REGEXREPLACE(A931,""^cost\."",""""),
 ""\.[^.]+\.[^.]+$"",
 """"
)"),"collection.gallery_3@3")</f>
        <v>collection.gallery_3@3</v>
      </c>
      <c r="C931" s="49" t="str">
        <f t="array" ref="C931">_xlfn.XLOOKUP(
 B931,
 tblTargets[TargetID],
 tblTargets[DisplayName],
 ""
)</f>
        <v>Gallery 3 Lv 3</v>
      </c>
      <c r="D931" s="49" t="str">
        <f t="array" ref="D931">_xlfn.XLOOKUP(
 B931,
 tblTargets[TargetID],
 tblTargets[TargetType],
 ""
)</f>
        <v>COLLECTION</v>
      </c>
      <c r="E931" s="49" t="s">
        <v>1583</v>
      </c>
      <c r="F931" s="49">
        <v>1.0</v>
      </c>
      <c r="G931" s="49">
        <f t="array" ref="G931">_xlfn.XLOOKUP(
 A931,
 tblCost[RequirementID],
 tblCost[QuantityRequired],
 ""
)</f>
        <v>15</v>
      </c>
      <c r="H931" s="49">
        <f t="array" ref="H931">IF(
 OR(
  LEFT(B931,15)="state.character",
  RIGHT(B931,6)=".maxed"
 ),
 0,
 LET(
  sort,
   _xlfn.XLOOKUP(
    B931,
    tblChecklist[TargetID],
    tblChecklist[PlayerSort],
    0
   ),
  IF(sort=0,500,sort)
 )
)</f>
        <v>500</v>
      </c>
      <c r="I931" s="49" t="str">
        <f t="array" ref="I931">_xlfn.XLOOKUP(
 B931,
 tblTargetStatus[TargetID],
 tblTargetStatus[Status],
 ""
)</f>
        <v>BLOCKED</v>
      </c>
      <c r="J931" s="45" t="b">
        <v>0</v>
      </c>
    </row>
    <row r="932" ht="14.25" hidden="1" customHeight="1">
      <c r="A932" s="49" t="s">
        <v>2571</v>
      </c>
      <c r="B932" s="49" t="str">
        <f>IFERROR(__xludf.DUMMYFUNCTION("REGEXREPLACE(
 REGEXREPLACE(A932,""^cost\."",""""),
 ""\.[^.]+\.[^.]+$"",
 """"
)"),"collection.gallery_3@3")</f>
        <v>collection.gallery_3@3</v>
      </c>
      <c r="C932" s="49" t="str">
        <f t="array" ref="C932">_xlfn.XLOOKUP(
 B932,
 tblTargets[TargetID],
 tblTargets[DisplayName],
 ""
)</f>
        <v>Gallery 3 Lv 3</v>
      </c>
      <c r="D932" s="49" t="str">
        <f t="array" ref="D932">_xlfn.XLOOKUP(
 B932,
 tblTargets[TargetID],
 tblTargets[TargetType],
 ""
)</f>
        <v>COLLECTION</v>
      </c>
      <c r="E932" s="49" t="s">
        <v>1282</v>
      </c>
      <c r="F932" s="49">
        <v>1.0</v>
      </c>
      <c r="G932" s="49">
        <f t="array" ref="G932">_xlfn.XLOOKUP(
 A932,
 tblCost[RequirementID],
 tblCost[QuantityRequired],
 ""
)</f>
        <v>15</v>
      </c>
      <c r="H932" s="49">
        <f t="array" ref="H932">IF(
 OR(
  LEFT(B932,15)="state.character",
  RIGHT(B932,6)=".maxed"
 ),
 0,
 LET(
  sort,
   _xlfn.XLOOKUP(
    B932,
    tblChecklist[TargetID],
    tblChecklist[PlayerSort],
    0
   ),
  IF(sort=0,500,sort)
 )
)</f>
        <v>500</v>
      </c>
      <c r="I932" s="49" t="str">
        <f t="array" ref="I932">_xlfn.XLOOKUP(
 B932,
 tblTargetStatus[TargetID],
 tblTargetStatus[Status],
 ""
)</f>
        <v>BLOCKED</v>
      </c>
      <c r="J932" s="45" t="b">
        <v>0</v>
      </c>
    </row>
    <row r="933" ht="14.25" hidden="1" customHeight="1">
      <c r="A933" s="49" t="s">
        <v>2572</v>
      </c>
      <c r="B933" s="49" t="str">
        <f>IFERROR(__xludf.DUMMYFUNCTION("REGEXREPLACE(
 REGEXREPLACE(A933,""^cost\."",""""),
 ""\.[^.]+\.[^.]+$"",
 """"
)"),"collection.gallery_3@3")</f>
        <v>collection.gallery_3@3</v>
      </c>
      <c r="C933" s="49" t="str">
        <f t="array" ref="C933">_xlfn.XLOOKUP(
 B933,
 tblTargets[TargetID],
 tblTargets[DisplayName],
 ""
)</f>
        <v>Gallery 3 Lv 3</v>
      </c>
      <c r="D933" s="49" t="str">
        <f t="array" ref="D933">_xlfn.XLOOKUP(
 B933,
 tblTargets[TargetID],
 tblTargets[TargetType],
 ""
)</f>
        <v>COLLECTION</v>
      </c>
      <c r="E933" s="49" t="s">
        <v>1606</v>
      </c>
      <c r="F933" s="49">
        <v>1.0</v>
      </c>
      <c r="G933" s="49">
        <f t="array" ref="G933">_xlfn.XLOOKUP(
 A933,
 tblCost[RequirementID],
 tblCost[QuantityRequired],
 ""
)</f>
        <v>15</v>
      </c>
      <c r="H933" s="49">
        <f t="array" ref="H933">IF(
 OR(
  LEFT(B933,15)="state.character",
  RIGHT(B933,6)=".maxed"
 ),
 0,
 LET(
  sort,
   _xlfn.XLOOKUP(
    B933,
    tblChecklist[TargetID],
    tblChecklist[PlayerSort],
    0
   ),
  IF(sort=0,500,sort)
 )
)</f>
        <v>500</v>
      </c>
      <c r="I933" s="49" t="str">
        <f t="array" ref="I933">_xlfn.XLOOKUP(
 B933,
 tblTargetStatus[TargetID],
 tblTargetStatus[Status],
 ""
)</f>
        <v>BLOCKED</v>
      </c>
      <c r="J933" s="45" t="b">
        <v>0</v>
      </c>
    </row>
    <row r="934" ht="14.25" hidden="1" customHeight="1">
      <c r="A934" s="49" t="s">
        <v>2573</v>
      </c>
      <c r="B934" s="49" t="str">
        <f>IFERROR(__xludf.DUMMYFUNCTION("REGEXREPLACE(
 REGEXREPLACE(A934,""^cost\."",""""),
 ""\.[^.]+\.[^.]+$"",
 """"
)"),"collection.gallery_3@3")</f>
        <v>collection.gallery_3@3</v>
      </c>
      <c r="C934" s="49" t="str">
        <f t="array" ref="C934">_xlfn.XLOOKUP(
 B934,
 tblTargets[TargetID],
 tblTargets[DisplayName],
 ""
)</f>
        <v>Gallery 3 Lv 3</v>
      </c>
      <c r="D934" s="49" t="str">
        <f t="array" ref="D934">_xlfn.XLOOKUP(
 B934,
 tblTargets[TargetID],
 tblTargets[TargetType],
 ""
)</f>
        <v>COLLECTION</v>
      </c>
      <c r="E934" s="49" t="s">
        <v>2308</v>
      </c>
      <c r="F934" s="49">
        <v>1.0</v>
      </c>
      <c r="G934" s="49">
        <f t="array" ref="G934">_xlfn.XLOOKUP(
 A934,
 tblCost[RequirementID],
 tblCost[QuantityRequired],
 ""
)</f>
        <v>15</v>
      </c>
      <c r="H934" s="49">
        <f t="array" ref="H934">IF(
 OR(
  LEFT(B934,15)="state.character",
  RIGHT(B934,6)=".maxed"
 ),
 0,
 LET(
  sort,
   _xlfn.XLOOKUP(
    B934,
    tblChecklist[TargetID],
    tblChecklist[PlayerSort],
    0
   ),
  IF(sort=0,500,sort)
 )
)</f>
        <v>500</v>
      </c>
      <c r="I934" s="49" t="str">
        <f t="array" ref="I934">_xlfn.XLOOKUP(
 B934,
 tblTargetStatus[TargetID],
 tblTargetStatus[Status],
 ""
)</f>
        <v>BLOCKED</v>
      </c>
      <c r="J934" s="45" t="b">
        <v>0</v>
      </c>
    </row>
    <row r="935" ht="14.25" hidden="1" customHeight="1">
      <c r="A935" s="49" t="s">
        <v>2574</v>
      </c>
      <c r="B935" s="49" t="str">
        <f>IFERROR(__xludf.DUMMYFUNCTION("REGEXREPLACE(
 REGEXREPLACE(A935,""^cost\."",""""),
 ""\.[^.]+\.[^.]+$"",
 """"
)"),"collection.gallery_3@4")</f>
        <v>collection.gallery_3@4</v>
      </c>
      <c r="C935" s="49" t="str">
        <f t="array" ref="C935">_xlfn.XLOOKUP(
 B935,
 tblTargets[TargetID],
 tblTargets[DisplayName],
 ""
)</f>
        <v>Gallery 3 Lv 4</v>
      </c>
      <c r="D935" s="49" t="str">
        <f t="array" ref="D935">_xlfn.XLOOKUP(
 B935,
 tblTargets[TargetID],
 tblTargets[TargetType],
 ""
)</f>
        <v>COLLECTION</v>
      </c>
      <c r="E935" s="49" t="s">
        <v>1497</v>
      </c>
      <c r="F935" s="49">
        <v>1.0</v>
      </c>
      <c r="G935" s="49">
        <f t="array" ref="G935">_xlfn.XLOOKUP(
 A935,
 tblCost[RequirementID],
 tblCost[QuantityRequired],
 ""
)</f>
        <v>20</v>
      </c>
      <c r="H935" s="49">
        <f t="array" ref="H935">IF(
 OR(
  LEFT(B935,15)="state.character",
  RIGHT(B935,6)=".maxed"
 ),
 0,
 LET(
  sort,
   _xlfn.XLOOKUP(
    B935,
    tblChecklist[TargetID],
    tblChecklist[PlayerSort],
    0
   ),
  IF(sort=0,500,sort)
 )
)</f>
        <v>500</v>
      </c>
      <c r="I935" s="49" t="str">
        <f t="array" ref="I935">_xlfn.XLOOKUP(
 B935,
 tblTargetStatus[TargetID],
 tblTargetStatus[Status],
 ""
)</f>
        <v>BLOCKED</v>
      </c>
      <c r="J935" s="45" t="b">
        <v>0</v>
      </c>
    </row>
    <row r="936" ht="14.25" hidden="1" customHeight="1">
      <c r="A936" s="49" t="s">
        <v>2575</v>
      </c>
      <c r="B936" s="49" t="str">
        <f>IFERROR(__xludf.DUMMYFUNCTION("REGEXREPLACE(
 REGEXREPLACE(A936,""^cost\."",""""),
 ""\.[^.]+\.[^.]+$"",
 """"
)"),"collection.gallery_3@4")</f>
        <v>collection.gallery_3@4</v>
      </c>
      <c r="C936" s="49" t="str">
        <f t="array" ref="C936">_xlfn.XLOOKUP(
 B936,
 tblTargets[TargetID],
 tblTargets[DisplayName],
 ""
)</f>
        <v>Gallery 3 Lv 4</v>
      </c>
      <c r="D936" s="49" t="str">
        <f t="array" ref="D936">_xlfn.XLOOKUP(
 B936,
 tblTargets[TargetID],
 tblTargets[TargetType],
 ""
)</f>
        <v>COLLECTION</v>
      </c>
      <c r="E936" s="49" t="s">
        <v>1583</v>
      </c>
      <c r="F936" s="49">
        <v>1.0</v>
      </c>
      <c r="G936" s="49">
        <f t="array" ref="G936">_xlfn.XLOOKUP(
 A936,
 tblCost[RequirementID],
 tblCost[QuantityRequired],
 ""
)</f>
        <v>20</v>
      </c>
      <c r="H936" s="49">
        <f t="array" ref="H936">IF(
 OR(
  LEFT(B936,15)="state.character",
  RIGHT(B936,6)=".maxed"
 ),
 0,
 LET(
  sort,
   _xlfn.XLOOKUP(
    B936,
    tblChecklist[TargetID],
    tblChecklist[PlayerSort],
    0
   ),
  IF(sort=0,500,sort)
 )
)</f>
        <v>500</v>
      </c>
      <c r="I936" s="49" t="str">
        <f t="array" ref="I936">_xlfn.XLOOKUP(
 B936,
 tblTargetStatus[TargetID],
 tblTargetStatus[Status],
 ""
)</f>
        <v>BLOCKED</v>
      </c>
      <c r="J936" s="45" t="b">
        <v>0</v>
      </c>
    </row>
    <row r="937" ht="14.25" hidden="1" customHeight="1">
      <c r="A937" s="49" t="s">
        <v>2576</v>
      </c>
      <c r="B937" s="49" t="str">
        <f>IFERROR(__xludf.DUMMYFUNCTION("REGEXREPLACE(
 REGEXREPLACE(A937,""^cost\."",""""),
 ""\.[^.]+\.[^.]+$"",
 """"
)"),"collection.gallery_3@4")</f>
        <v>collection.gallery_3@4</v>
      </c>
      <c r="C937" s="49" t="str">
        <f t="array" ref="C937">_xlfn.XLOOKUP(
 B937,
 tblTargets[TargetID],
 tblTargets[DisplayName],
 ""
)</f>
        <v>Gallery 3 Lv 4</v>
      </c>
      <c r="D937" s="49" t="str">
        <f t="array" ref="D937">_xlfn.XLOOKUP(
 B937,
 tblTargets[TargetID],
 tblTargets[TargetType],
 ""
)</f>
        <v>COLLECTION</v>
      </c>
      <c r="E937" s="49" t="s">
        <v>1282</v>
      </c>
      <c r="F937" s="49">
        <v>1.0</v>
      </c>
      <c r="G937" s="49">
        <f t="array" ref="G937">_xlfn.XLOOKUP(
 A937,
 tblCost[RequirementID],
 tblCost[QuantityRequired],
 ""
)</f>
        <v>20</v>
      </c>
      <c r="H937" s="49">
        <f t="array" ref="H937">IF(
 OR(
  LEFT(B937,15)="state.character",
  RIGHT(B937,6)=".maxed"
 ),
 0,
 LET(
  sort,
   _xlfn.XLOOKUP(
    B937,
    tblChecklist[TargetID],
    tblChecklist[PlayerSort],
    0
   ),
  IF(sort=0,500,sort)
 )
)</f>
        <v>500</v>
      </c>
      <c r="I937" s="49" t="str">
        <f t="array" ref="I937">_xlfn.XLOOKUP(
 B937,
 tblTargetStatus[TargetID],
 tblTargetStatus[Status],
 ""
)</f>
        <v>BLOCKED</v>
      </c>
      <c r="J937" s="45" t="b">
        <v>0</v>
      </c>
    </row>
    <row r="938" ht="14.25" hidden="1" customHeight="1">
      <c r="A938" s="49" t="s">
        <v>2577</v>
      </c>
      <c r="B938" s="49" t="str">
        <f>IFERROR(__xludf.DUMMYFUNCTION("REGEXREPLACE(
 REGEXREPLACE(A938,""^cost\."",""""),
 ""\.[^.]+\.[^.]+$"",
 """"
)"),"collection.gallery_3@4")</f>
        <v>collection.gallery_3@4</v>
      </c>
      <c r="C938" s="49" t="str">
        <f t="array" ref="C938">_xlfn.XLOOKUP(
 B938,
 tblTargets[TargetID],
 tblTargets[DisplayName],
 ""
)</f>
        <v>Gallery 3 Lv 4</v>
      </c>
      <c r="D938" s="49" t="str">
        <f t="array" ref="D938">_xlfn.XLOOKUP(
 B938,
 tblTargets[TargetID],
 tblTargets[TargetType],
 ""
)</f>
        <v>COLLECTION</v>
      </c>
      <c r="E938" s="49" t="s">
        <v>1606</v>
      </c>
      <c r="F938" s="49">
        <v>1.0</v>
      </c>
      <c r="G938" s="49">
        <f t="array" ref="G938">_xlfn.XLOOKUP(
 A938,
 tblCost[RequirementID],
 tblCost[QuantityRequired],
 ""
)</f>
        <v>20</v>
      </c>
      <c r="H938" s="49">
        <f t="array" ref="H938">IF(
 OR(
  LEFT(B938,15)="state.character",
  RIGHT(B938,6)=".maxed"
 ),
 0,
 LET(
  sort,
   _xlfn.XLOOKUP(
    B938,
    tblChecklist[TargetID],
    tblChecklist[PlayerSort],
    0
   ),
  IF(sort=0,500,sort)
 )
)</f>
        <v>500</v>
      </c>
      <c r="I938" s="49" t="str">
        <f t="array" ref="I938">_xlfn.XLOOKUP(
 B938,
 tblTargetStatus[TargetID],
 tblTargetStatus[Status],
 ""
)</f>
        <v>BLOCKED</v>
      </c>
      <c r="J938" s="45" t="b">
        <v>0</v>
      </c>
    </row>
    <row r="939" ht="14.25" hidden="1" customHeight="1">
      <c r="A939" s="49" t="s">
        <v>2578</v>
      </c>
      <c r="B939" s="49" t="str">
        <f>IFERROR(__xludf.DUMMYFUNCTION("REGEXREPLACE(
 REGEXREPLACE(A939,""^cost\."",""""),
 ""\.[^.]+\.[^.]+$"",
 """"
)"),"collection.gallery_3@4")</f>
        <v>collection.gallery_3@4</v>
      </c>
      <c r="C939" s="49" t="str">
        <f t="array" ref="C939">_xlfn.XLOOKUP(
 B939,
 tblTargets[TargetID],
 tblTargets[DisplayName],
 ""
)</f>
        <v>Gallery 3 Lv 4</v>
      </c>
      <c r="D939" s="49" t="str">
        <f t="array" ref="D939">_xlfn.XLOOKUP(
 B939,
 tblTargets[TargetID],
 tblTargets[TargetType],
 ""
)</f>
        <v>COLLECTION</v>
      </c>
      <c r="E939" s="49" t="s">
        <v>2308</v>
      </c>
      <c r="F939" s="49">
        <v>1.0</v>
      </c>
      <c r="G939" s="49">
        <f t="array" ref="G939">_xlfn.XLOOKUP(
 A939,
 tblCost[RequirementID],
 tblCost[QuantityRequired],
 ""
)</f>
        <v>20</v>
      </c>
      <c r="H939" s="49">
        <f t="array" ref="H939">IF(
 OR(
  LEFT(B939,15)="state.character",
  RIGHT(B939,6)=".maxed"
 ),
 0,
 LET(
  sort,
   _xlfn.XLOOKUP(
    B939,
    tblChecklist[TargetID],
    tblChecklist[PlayerSort],
    0
   ),
  IF(sort=0,500,sort)
 )
)</f>
        <v>500</v>
      </c>
      <c r="I939" s="49" t="str">
        <f t="array" ref="I939">_xlfn.XLOOKUP(
 B939,
 tblTargetStatus[TargetID],
 tblTargetStatus[Status],
 ""
)</f>
        <v>BLOCKED</v>
      </c>
      <c r="J939" s="45" t="b">
        <v>0</v>
      </c>
    </row>
    <row r="940" ht="14.25" hidden="1" customHeight="1">
      <c r="A940" s="49" t="s">
        <v>2579</v>
      </c>
      <c r="B940" s="49" t="str">
        <f>IFERROR(__xludf.DUMMYFUNCTION("REGEXREPLACE(
 REGEXREPLACE(A940,""^cost\."",""""),
 ""\.[^.]+\.[^.]+$"",
 """"
)"),"collection.gallery_3@5")</f>
        <v>collection.gallery_3@5</v>
      </c>
      <c r="C940" s="49" t="str">
        <f t="array" ref="C940">_xlfn.XLOOKUP(
 B940,
 tblTargets[TargetID],
 tblTargets[DisplayName],
 ""
)</f>
        <v>Gallery 3 Lv 5</v>
      </c>
      <c r="D940" s="49" t="str">
        <f t="array" ref="D940">_xlfn.XLOOKUP(
 B940,
 tblTargets[TargetID],
 tblTargets[TargetType],
 ""
)</f>
        <v>COLLECTION</v>
      </c>
      <c r="E940" s="49" t="s">
        <v>1497</v>
      </c>
      <c r="F940" s="49">
        <v>1.0</v>
      </c>
      <c r="G940" s="49">
        <f t="array" ref="G940">_xlfn.XLOOKUP(
 A940,
 tblCost[RequirementID],
 tblCost[QuantityRequired],
 ""
)</f>
        <v>25</v>
      </c>
      <c r="H940" s="49">
        <f t="array" ref="H940">IF(
 OR(
  LEFT(B940,15)="state.character",
  RIGHT(B940,6)=".maxed"
 ),
 0,
 LET(
  sort,
   _xlfn.XLOOKUP(
    B940,
    tblChecklist[TargetID],
    tblChecklist[PlayerSort],
    0
   ),
  IF(sort=0,500,sort)
 )
)</f>
        <v>500</v>
      </c>
      <c r="I940" s="49" t="str">
        <f t="array" ref="I940">_xlfn.XLOOKUP(
 B940,
 tblTargetStatus[TargetID],
 tblTargetStatus[Status],
 ""
)</f>
        <v>BLOCKED</v>
      </c>
      <c r="J940" s="45" t="b">
        <v>0</v>
      </c>
    </row>
    <row r="941" ht="14.25" hidden="1" customHeight="1">
      <c r="A941" s="49" t="s">
        <v>2580</v>
      </c>
      <c r="B941" s="49" t="str">
        <f>IFERROR(__xludf.DUMMYFUNCTION("REGEXREPLACE(
 REGEXREPLACE(A941,""^cost\."",""""),
 ""\.[^.]+\.[^.]+$"",
 """"
)"),"collection.gallery_3@5")</f>
        <v>collection.gallery_3@5</v>
      </c>
      <c r="C941" s="49" t="str">
        <f t="array" ref="C941">_xlfn.XLOOKUP(
 B941,
 tblTargets[TargetID],
 tblTargets[DisplayName],
 ""
)</f>
        <v>Gallery 3 Lv 5</v>
      </c>
      <c r="D941" s="49" t="str">
        <f t="array" ref="D941">_xlfn.XLOOKUP(
 B941,
 tblTargets[TargetID],
 tblTargets[TargetType],
 ""
)</f>
        <v>COLLECTION</v>
      </c>
      <c r="E941" s="49" t="s">
        <v>1583</v>
      </c>
      <c r="F941" s="49">
        <v>1.0</v>
      </c>
      <c r="G941" s="49">
        <f t="array" ref="G941">_xlfn.XLOOKUP(
 A941,
 tblCost[RequirementID],
 tblCost[QuantityRequired],
 ""
)</f>
        <v>25</v>
      </c>
      <c r="H941" s="49">
        <f t="array" ref="H941">IF(
 OR(
  LEFT(B941,15)="state.character",
  RIGHT(B941,6)=".maxed"
 ),
 0,
 LET(
  sort,
   _xlfn.XLOOKUP(
    B941,
    tblChecklist[TargetID],
    tblChecklist[PlayerSort],
    0
   ),
  IF(sort=0,500,sort)
 )
)</f>
        <v>500</v>
      </c>
      <c r="I941" s="49" t="str">
        <f t="array" ref="I941">_xlfn.XLOOKUP(
 B941,
 tblTargetStatus[TargetID],
 tblTargetStatus[Status],
 ""
)</f>
        <v>BLOCKED</v>
      </c>
      <c r="J941" s="45" t="b">
        <v>0</v>
      </c>
    </row>
    <row r="942" ht="14.25" hidden="1" customHeight="1">
      <c r="A942" s="49" t="s">
        <v>2581</v>
      </c>
      <c r="B942" s="49" t="str">
        <f>IFERROR(__xludf.DUMMYFUNCTION("REGEXREPLACE(
 REGEXREPLACE(A942,""^cost\."",""""),
 ""\.[^.]+\.[^.]+$"",
 """"
)"),"collection.gallery_3@5")</f>
        <v>collection.gallery_3@5</v>
      </c>
      <c r="C942" s="49" t="str">
        <f t="array" ref="C942">_xlfn.XLOOKUP(
 B942,
 tblTargets[TargetID],
 tblTargets[DisplayName],
 ""
)</f>
        <v>Gallery 3 Lv 5</v>
      </c>
      <c r="D942" s="49" t="str">
        <f t="array" ref="D942">_xlfn.XLOOKUP(
 B942,
 tblTargets[TargetID],
 tblTargets[TargetType],
 ""
)</f>
        <v>COLLECTION</v>
      </c>
      <c r="E942" s="49" t="s">
        <v>1282</v>
      </c>
      <c r="F942" s="49">
        <v>1.0</v>
      </c>
      <c r="G942" s="49">
        <f t="array" ref="G942">_xlfn.XLOOKUP(
 A942,
 tblCost[RequirementID],
 tblCost[QuantityRequired],
 ""
)</f>
        <v>25</v>
      </c>
      <c r="H942" s="49">
        <f t="array" ref="H942">IF(
 OR(
  LEFT(B942,15)="state.character",
  RIGHT(B942,6)=".maxed"
 ),
 0,
 LET(
  sort,
   _xlfn.XLOOKUP(
    B942,
    tblChecklist[TargetID],
    tblChecklist[PlayerSort],
    0
   ),
  IF(sort=0,500,sort)
 )
)</f>
        <v>500</v>
      </c>
      <c r="I942" s="49" t="str">
        <f t="array" ref="I942">_xlfn.XLOOKUP(
 B942,
 tblTargetStatus[TargetID],
 tblTargetStatus[Status],
 ""
)</f>
        <v>BLOCKED</v>
      </c>
      <c r="J942" s="45" t="b">
        <v>0</v>
      </c>
    </row>
    <row r="943" ht="14.25" hidden="1" customHeight="1">
      <c r="A943" s="49" t="s">
        <v>2582</v>
      </c>
      <c r="B943" s="49" t="str">
        <f>IFERROR(__xludf.DUMMYFUNCTION("REGEXREPLACE(
 REGEXREPLACE(A943,""^cost\."",""""),
 ""\.[^.]+\.[^.]+$"",
 """"
)"),"collection.gallery_3@5")</f>
        <v>collection.gallery_3@5</v>
      </c>
      <c r="C943" s="49" t="str">
        <f t="array" ref="C943">_xlfn.XLOOKUP(
 B943,
 tblTargets[TargetID],
 tblTargets[DisplayName],
 ""
)</f>
        <v>Gallery 3 Lv 5</v>
      </c>
      <c r="D943" s="49" t="str">
        <f t="array" ref="D943">_xlfn.XLOOKUP(
 B943,
 tblTargets[TargetID],
 tblTargets[TargetType],
 ""
)</f>
        <v>COLLECTION</v>
      </c>
      <c r="E943" s="49" t="s">
        <v>1606</v>
      </c>
      <c r="F943" s="49">
        <v>1.0</v>
      </c>
      <c r="G943" s="49">
        <f t="array" ref="G943">_xlfn.XLOOKUP(
 A943,
 tblCost[RequirementID],
 tblCost[QuantityRequired],
 ""
)</f>
        <v>25</v>
      </c>
      <c r="H943" s="49">
        <f t="array" ref="H943">IF(
 OR(
  LEFT(B943,15)="state.character",
  RIGHT(B943,6)=".maxed"
 ),
 0,
 LET(
  sort,
   _xlfn.XLOOKUP(
    B943,
    tblChecklist[TargetID],
    tblChecklist[PlayerSort],
    0
   ),
  IF(sort=0,500,sort)
 )
)</f>
        <v>500</v>
      </c>
      <c r="I943" s="49" t="str">
        <f t="array" ref="I943">_xlfn.XLOOKUP(
 B943,
 tblTargetStatus[TargetID],
 tblTargetStatus[Status],
 ""
)</f>
        <v>BLOCKED</v>
      </c>
      <c r="J943" s="45" t="b">
        <v>0</v>
      </c>
    </row>
    <row r="944" ht="14.25" hidden="1" customHeight="1">
      <c r="A944" s="49" t="s">
        <v>2583</v>
      </c>
      <c r="B944" s="49" t="str">
        <f>IFERROR(__xludf.DUMMYFUNCTION("REGEXREPLACE(
 REGEXREPLACE(A944,""^cost\."",""""),
 ""\.[^.]+\.[^.]+$"",
 """"
)"),"collection.gallery_3@5")</f>
        <v>collection.gallery_3@5</v>
      </c>
      <c r="C944" s="49" t="str">
        <f t="array" ref="C944">_xlfn.XLOOKUP(
 B944,
 tblTargets[TargetID],
 tblTargets[DisplayName],
 ""
)</f>
        <v>Gallery 3 Lv 5</v>
      </c>
      <c r="D944" s="49" t="str">
        <f t="array" ref="D944">_xlfn.XLOOKUP(
 B944,
 tblTargets[TargetID],
 tblTargets[TargetType],
 ""
)</f>
        <v>COLLECTION</v>
      </c>
      <c r="E944" s="49" t="s">
        <v>2308</v>
      </c>
      <c r="F944" s="49">
        <v>1.0</v>
      </c>
      <c r="G944" s="49">
        <f t="array" ref="G944">_xlfn.XLOOKUP(
 A944,
 tblCost[RequirementID],
 tblCost[QuantityRequired],
 ""
)</f>
        <v>25</v>
      </c>
      <c r="H944" s="49">
        <f t="array" ref="H944">IF(
 OR(
  LEFT(B944,15)="state.character",
  RIGHT(B944,6)=".maxed"
 ),
 0,
 LET(
  sort,
   _xlfn.XLOOKUP(
    B944,
    tblChecklist[TargetID],
    tblChecklist[PlayerSort],
    0
   ),
  IF(sort=0,500,sort)
 )
)</f>
        <v>500</v>
      </c>
      <c r="I944" s="49" t="str">
        <f t="array" ref="I944">_xlfn.XLOOKUP(
 B944,
 tblTargetStatus[TargetID],
 tblTargetStatus[Status],
 ""
)</f>
        <v>BLOCKED</v>
      </c>
      <c r="J944" s="45" t="b">
        <v>0</v>
      </c>
    </row>
    <row r="945" ht="14.25" hidden="1" customHeight="1">
      <c r="A945" s="49" t="s">
        <v>2584</v>
      </c>
      <c r="B945" s="49" t="str">
        <f>IFERROR(__xludf.DUMMYFUNCTION("REGEXREPLACE(
 REGEXREPLACE(A945,""^cost\."",""""),
 ""\.[^.]+\.[^.]+$"",
 """"
)"),"collection.historical_library_1@1")</f>
        <v>collection.historical_library_1@1</v>
      </c>
      <c r="C945" s="49" t="str">
        <f t="array" ref="C945">_xlfn.XLOOKUP(
 B945,
 tblTargets[TargetID],
 tblTargets[DisplayName],
 ""
)</f>
        <v>Historical Library 1 Lv 1</v>
      </c>
      <c r="D945" s="49" t="str">
        <f t="array" ref="D945">_xlfn.XLOOKUP(
 B945,
 tblTargets[TargetID],
 tblTargets[TargetType],
 ""
)</f>
        <v>COLLECTION</v>
      </c>
      <c r="E945" s="49" t="s">
        <v>1055</v>
      </c>
      <c r="F945" s="49">
        <v>1.0</v>
      </c>
      <c r="G945" s="49">
        <f t="array" ref="G945">_xlfn.XLOOKUP(
 A945,
 tblCost[RequirementID],
 tblCost[QuantityRequired],
 ""
)</f>
        <v>20</v>
      </c>
      <c r="H945" s="49">
        <f t="array" ref="H945">IF(
 OR(
  LEFT(B945,15)="state.character",
  RIGHT(B945,6)=".maxed"
 ),
 0,
 LET(
  sort,
   _xlfn.XLOOKUP(
    B945,
    tblChecklist[TargetID],
    tblChecklist[PlayerSort],
    0
   ),
  IF(sort=0,500,sort)
 )
)</f>
        <v>500</v>
      </c>
      <c r="I945" s="49" t="str">
        <f t="array" ref="I945">_xlfn.XLOOKUP(
 B945,
 tblTargetStatus[TargetID],
 tblTargetStatus[Status],
 ""
)</f>
        <v>BLOCKED</v>
      </c>
      <c r="J945" s="45" t="b">
        <v>0</v>
      </c>
    </row>
    <row r="946" ht="14.25" hidden="1" customHeight="1">
      <c r="A946" s="49" t="s">
        <v>2585</v>
      </c>
      <c r="B946" s="49" t="str">
        <f>IFERROR(__xludf.DUMMYFUNCTION("REGEXREPLACE(
 REGEXREPLACE(A946,""^cost\."",""""),
 ""\.[^.]+\.[^.]+$"",
 """"
)"),"collection.historical_library_1@1")</f>
        <v>collection.historical_library_1@1</v>
      </c>
      <c r="C946" s="49" t="str">
        <f t="array" ref="C946">_xlfn.XLOOKUP(
 B946,
 tblTargets[TargetID],
 tblTargets[DisplayName],
 ""
)</f>
        <v>Historical Library 1 Lv 1</v>
      </c>
      <c r="D946" s="49" t="str">
        <f t="array" ref="D946">_xlfn.XLOOKUP(
 B946,
 tblTargets[TargetID],
 tblTargets[TargetType],
 ""
)</f>
        <v>COLLECTION</v>
      </c>
      <c r="E946" s="49" t="s">
        <v>530</v>
      </c>
      <c r="F946" s="49">
        <v>1.0</v>
      </c>
      <c r="G946" s="49">
        <f t="array" ref="G946">_xlfn.XLOOKUP(
 A946,
 tblCost[RequirementID],
 tblCost[QuantityRequired],
 ""
)</f>
        <v>10</v>
      </c>
      <c r="H946" s="49">
        <f t="array" ref="H946">IF(
 OR(
  LEFT(B946,15)="state.character",
  RIGHT(B946,6)=".maxed"
 ),
 0,
 LET(
  sort,
   _xlfn.XLOOKUP(
    B946,
    tblChecklist[TargetID],
    tblChecklist[PlayerSort],
    0
   ),
  IF(sort=0,500,sort)
 )
)</f>
        <v>500</v>
      </c>
      <c r="I946" s="49" t="str">
        <f t="array" ref="I946">_xlfn.XLOOKUP(
 B946,
 tblTargetStatus[TargetID],
 tblTargetStatus[Status],
 ""
)</f>
        <v>BLOCKED</v>
      </c>
      <c r="J946" s="45" t="b">
        <v>0</v>
      </c>
    </row>
    <row r="947" ht="14.25" hidden="1" customHeight="1">
      <c r="A947" s="49" t="s">
        <v>2586</v>
      </c>
      <c r="B947" s="49" t="str">
        <f>IFERROR(__xludf.DUMMYFUNCTION("REGEXREPLACE(
 REGEXREPLACE(A947,""^cost\."",""""),
 ""\.[^.]+\.[^.]+$"",
 """"
)"),"collection.historical_library_1@1")</f>
        <v>collection.historical_library_1@1</v>
      </c>
      <c r="C947" s="49" t="str">
        <f t="array" ref="C947">_xlfn.XLOOKUP(
 B947,
 tblTargets[TargetID],
 tblTargets[DisplayName],
 ""
)</f>
        <v>Historical Library 1 Lv 1</v>
      </c>
      <c r="D947" s="49" t="str">
        <f t="array" ref="D947">_xlfn.XLOOKUP(
 B947,
 tblTargets[TargetID],
 tblTargets[TargetType],
 ""
)</f>
        <v>COLLECTION</v>
      </c>
      <c r="E947" s="49" t="s">
        <v>132</v>
      </c>
      <c r="F947" s="49">
        <v>1.0</v>
      </c>
      <c r="G947" s="49">
        <f t="array" ref="G947">_xlfn.XLOOKUP(
 A947,
 tblCost[RequirementID],
 tblCost[QuantityRequired],
 ""
)</f>
        <v>30</v>
      </c>
      <c r="H947" s="49">
        <f t="array" ref="H947">IF(
 OR(
  LEFT(B947,15)="state.character",
  RIGHT(B947,6)=".maxed"
 ),
 0,
 LET(
  sort,
   _xlfn.XLOOKUP(
    B947,
    tblChecklist[TargetID],
    tblChecklist[PlayerSort],
    0
   ),
  IF(sort=0,500,sort)
 )
)</f>
        <v>500</v>
      </c>
      <c r="I947" s="49" t="str">
        <f t="array" ref="I947">_xlfn.XLOOKUP(
 B947,
 tblTargetStatus[TargetID],
 tblTargetStatus[Status],
 ""
)</f>
        <v>BLOCKED</v>
      </c>
      <c r="J947" s="45" t="b">
        <v>0</v>
      </c>
    </row>
    <row r="948" ht="14.25" hidden="1" customHeight="1">
      <c r="A948" s="49" t="s">
        <v>2587</v>
      </c>
      <c r="B948" s="49" t="str">
        <f>IFERROR(__xludf.DUMMYFUNCTION("REGEXREPLACE(
 REGEXREPLACE(A948,""^cost\."",""""),
 ""\.[^.]+\.[^.]+$"",
 """"
)"),"collection.historical_library_1@1")</f>
        <v>collection.historical_library_1@1</v>
      </c>
      <c r="C948" s="49" t="str">
        <f t="array" ref="C948">_xlfn.XLOOKUP(
 B948,
 tblTargets[TargetID],
 tblTargets[DisplayName],
 ""
)</f>
        <v>Historical Library 1 Lv 1</v>
      </c>
      <c r="D948" s="49" t="str">
        <f t="array" ref="D948">_xlfn.XLOOKUP(
 B948,
 tblTargets[TargetID],
 tblTargets[TargetType],
 ""
)</f>
        <v>COLLECTION</v>
      </c>
      <c r="E948" s="49" t="s">
        <v>2007</v>
      </c>
      <c r="F948" s="49">
        <v>1.0</v>
      </c>
      <c r="G948" s="49">
        <f t="array" ref="G948">_xlfn.XLOOKUP(
 A948,
 tblCost[RequirementID],
 tblCost[QuantityRequired],
 ""
)</f>
        <v>1</v>
      </c>
      <c r="H948" s="49">
        <f t="array" ref="H948">IF(
 OR(
  LEFT(B948,15)="state.character",
  RIGHT(B948,6)=".maxed"
 ),
 0,
 LET(
  sort,
   _xlfn.XLOOKUP(
    B948,
    tblChecklist[TargetID],
    tblChecklist[PlayerSort],
    0
   ),
  IF(sort=0,500,sort)
 )
)</f>
        <v>500</v>
      </c>
      <c r="I948" s="49" t="str">
        <f t="array" ref="I948">_xlfn.XLOOKUP(
 B948,
 tblTargetStatus[TargetID],
 tblTargetStatus[Status],
 ""
)</f>
        <v>BLOCKED</v>
      </c>
      <c r="J948" s="45" t="b">
        <v>0</v>
      </c>
    </row>
    <row r="949" ht="14.25" hidden="1" customHeight="1">
      <c r="A949" s="49" t="s">
        <v>2588</v>
      </c>
      <c r="B949" s="49" t="str">
        <f>IFERROR(__xludf.DUMMYFUNCTION("REGEXREPLACE(
 REGEXREPLACE(A949,""^cost\."",""""),
 ""\.[^.]+\.[^.]+$"",
 """"
)"),"collection.historical_library_1@2")</f>
        <v>collection.historical_library_1@2</v>
      </c>
      <c r="C949" s="49" t="str">
        <f t="array" ref="C949">_xlfn.XLOOKUP(
 B949,
 tblTargets[TargetID],
 tblTargets[DisplayName],
 ""
)</f>
        <v>Historical Library 1 Lv 2</v>
      </c>
      <c r="D949" s="49" t="str">
        <f t="array" ref="D949">_xlfn.XLOOKUP(
 B949,
 tblTargets[TargetID],
 tblTargets[TargetType],
 ""
)</f>
        <v>COLLECTION</v>
      </c>
      <c r="E949" s="49" t="s">
        <v>1055</v>
      </c>
      <c r="F949" s="49">
        <v>1.0</v>
      </c>
      <c r="G949" s="49">
        <f t="array" ref="G949">_xlfn.XLOOKUP(
 A949,
 tblCost[RequirementID],
 tblCost[QuantityRequired],
 ""
)</f>
        <v>40</v>
      </c>
      <c r="H949" s="49">
        <f t="array" ref="H949">IF(
 OR(
  LEFT(B949,15)="state.character",
  RIGHT(B949,6)=".maxed"
 ),
 0,
 LET(
  sort,
   _xlfn.XLOOKUP(
    B949,
    tblChecklist[TargetID],
    tblChecklist[PlayerSort],
    0
   ),
  IF(sort=0,500,sort)
 )
)</f>
        <v>20</v>
      </c>
      <c r="I949" s="49" t="str">
        <f t="array" ref="I949">_xlfn.XLOOKUP(
 B949,
 tblTargetStatus[TargetID],
 tblTargetStatus[Status],
 ""
)</f>
        <v>BLOCKED</v>
      </c>
      <c r="J949" s="45" t="b">
        <v>0</v>
      </c>
    </row>
    <row r="950" ht="14.25" hidden="1" customHeight="1">
      <c r="A950" s="49" t="s">
        <v>2589</v>
      </c>
      <c r="B950" s="49" t="str">
        <f>IFERROR(__xludf.DUMMYFUNCTION("REGEXREPLACE(
 REGEXREPLACE(A950,""^cost\."",""""),
 ""\.[^.]+\.[^.]+$"",
 """"
)"),"collection.historical_library_1@2")</f>
        <v>collection.historical_library_1@2</v>
      </c>
      <c r="C950" s="49" t="str">
        <f t="array" ref="C950">_xlfn.XLOOKUP(
 B950,
 tblTargets[TargetID],
 tblTargets[DisplayName],
 ""
)</f>
        <v>Historical Library 1 Lv 2</v>
      </c>
      <c r="D950" s="49" t="str">
        <f t="array" ref="D950">_xlfn.XLOOKUP(
 B950,
 tblTargets[TargetID],
 tblTargets[TargetType],
 ""
)</f>
        <v>COLLECTION</v>
      </c>
      <c r="E950" s="49" t="s">
        <v>530</v>
      </c>
      <c r="F950" s="49">
        <v>1.0</v>
      </c>
      <c r="G950" s="49">
        <f t="array" ref="G950">_xlfn.XLOOKUP(
 A950,
 tblCost[RequirementID],
 tblCost[QuantityRequired],
 ""
)</f>
        <v>20</v>
      </c>
      <c r="H950" s="49">
        <f t="array" ref="H950">IF(
 OR(
  LEFT(B950,15)="state.character",
  RIGHT(B950,6)=".maxed"
 ),
 0,
 LET(
  sort,
   _xlfn.XLOOKUP(
    B950,
    tblChecklist[TargetID],
    tblChecklist[PlayerSort],
    0
   ),
  IF(sort=0,500,sort)
 )
)</f>
        <v>20</v>
      </c>
      <c r="I950" s="49" t="str">
        <f t="array" ref="I950">_xlfn.XLOOKUP(
 B950,
 tblTargetStatus[TargetID],
 tblTargetStatus[Status],
 ""
)</f>
        <v>BLOCKED</v>
      </c>
      <c r="J950" s="45" t="b">
        <v>0</v>
      </c>
    </row>
    <row r="951" ht="14.25" hidden="1" customHeight="1">
      <c r="A951" s="49" t="s">
        <v>2590</v>
      </c>
      <c r="B951" s="49" t="str">
        <f>IFERROR(__xludf.DUMMYFUNCTION("REGEXREPLACE(
 REGEXREPLACE(A951,""^cost\."",""""),
 ""\.[^.]+\.[^.]+$"",
 """"
)"),"collection.historical_library_1@2")</f>
        <v>collection.historical_library_1@2</v>
      </c>
      <c r="C951" s="49" t="str">
        <f t="array" ref="C951">_xlfn.XLOOKUP(
 B951,
 tblTargets[TargetID],
 tblTargets[DisplayName],
 ""
)</f>
        <v>Historical Library 1 Lv 2</v>
      </c>
      <c r="D951" s="49" t="str">
        <f t="array" ref="D951">_xlfn.XLOOKUP(
 B951,
 tblTargets[TargetID],
 tblTargets[TargetType],
 ""
)</f>
        <v>COLLECTION</v>
      </c>
      <c r="E951" s="49" t="s">
        <v>132</v>
      </c>
      <c r="F951" s="49">
        <v>1.0</v>
      </c>
      <c r="G951" s="49">
        <f t="array" ref="G951">_xlfn.XLOOKUP(
 A951,
 tblCost[RequirementID],
 tblCost[QuantityRequired],
 ""
)</f>
        <v>60</v>
      </c>
      <c r="H951" s="49">
        <f t="array" ref="H951">IF(
 OR(
  LEFT(B951,15)="state.character",
  RIGHT(B951,6)=".maxed"
 ),
 0,
 LET(
  sort,
   _xlfn.XLOOKUP(
    B951,
    tblChecklist[TargetID],
    tblChecklist[PlayerSort],
    0
   ),
  IF(sort=0,500,sort)
 )
)</f>
        <v>20</v>
      </c>
      <c r="I951" s="49" t="str">
        <f t="array" ref="I951">_xlfn.XLOOKUP(
 B951,
 tblTargetStatus[TargetID],
 tblTargetStatus[Status],
 ""
)</f>
        <v>BLOCKED</v>
      </c>
      <c r="J951" s="45" t="b">
        <v>0</v>
      </c>
    </row>
    <row r="952" ht="14.25" hidden="1" customHeight="1">
      <c r="A952" s="49" t="s">
        <v>2591</v>
      </c>
      <c r="B952" s="49" t="str">
        <f>IFERROR(__xludf.DUMMYFUNCTION("REGEXREPLACE(
 REGEXREPLACE(A952,""^cost\."",""""),
 ""\.[^.]+\.[^.]+$"",
 """"
)"),"collection.historical_library_1@2")</f>
        <v>collection.historical_library_1@2</v>
      </c>
      <c r="C952" s="49" t="str">
        <f t="array" ref="C952">_xlfn.XLOOKUP(
 B952,
 tblTargets[TargetID],
 tblTargets[DisplayName],
 ""
)</f>
        <v>Historical Library 1 Lv 2</v>
      </c>
      <c r="D952" s="49" t="str">
        <f t="array" ref="D952">_xlfn.XLOOKUP(
 B952,
 tblTargets[TargetID],
 tblTargets[TargetType],
 ""
)</f>
        <v>COLLECTION</v>
      </c>
      <c r="E952" s="49" t="s">
        <v>2007</v>
      </c>
      <c r="F952" s="49">
        <v>1.0</v>
      </c>
      <c r="G952" s="49">
        <f t="array" ref="G952">_xlfn.XLOOKUP(
 A952,
 tblCost[RequirementID],
 tblCost[QuantityRequired],
 ""
)</f>
        <v>2</v>
      </c>
      <c r="H952" s="49">
        <f t="array" ref="H952">IF(
 OR(
  LEFT(B952,15)="state.character",
  RIGHT(B952,6)=".maxed"
 ),
 0,
 LET(
  sort,
   _xlfn.XLOOKUP(
    B952,
    tblChecklist[TargetID],
    tblChecklist[PlayerSort],
    0
   ),
  IF(sort=0,500,sort)
 )
)</f>
        <v>20</v>
      </c>
      <c r="I952" s="49" t="str">
        <f t="array" ref="I952">_xlfn.XLOOKUP(
 B952,
 tblTargetStatus[TargetID],
 tblTargetStatus[Status],
 ""
)</f>
        <v>BLOCKED</v>
      </c>
      <c r="J952" s="45" t="b">
        <v>0</v>
      </c>
    </row>
    <row r="953" ht="14.25" hidden="1" customHeight="1">
      <c r="A953" s="49" t="s">
        <v>2592</v>
      </c>
      <c r="B953" s="49" t="str">
        <f>IFERROR(__xludf.DUMMYFUNCTION("REGEXREPLACE(
 REGEXREPLACE(A953,""^cost\."",""""),
 ""\.[^.]+\.[^.]+$"",
 """"
)"),"collection.historical_library_1@3")</f>
        <v>collection.historical_library_1@3</v>
      </c>
      <c r="C953" s="49" t="str">
        <f t="array" ref="C953">_xlfn.XLOOKUP(
 B953,
 tblTargets[TargetID],
 tblTargets[DisplayName],
 ""
)</f>
        <v>Historical Library 1 Lv 3</v>
      </c>
      <c r="D953" s="49" t="str">
        <f t="array" ref="D953">_xlfn.XLOOKUP(
 B953,
 tblTargets[TargetID],
 tblTargets[TargetType],
 ""
)</f>
        <v>COLLECTION</v>
      </c>
      <c r="E953" s="49" t="s">
        <v>1055</v>
      </c>
      <c r="F953" s="49">
        <v>1.0</v>
      </c>
      <c r="G953" s="49">
        <f t="array" ref="G953">_xlfn.XLOOKUP(
 A953,
 tblCost[RequirementID],
 tblCost[QuantityRequired],
 ""
)</f>
        <v>60</v>
      </c>
      <c r="H953" s="49">
        <f t="array" ref="H953">IF(
 OR(
  LEFT(B953,15)="state.character",
  RIGHT(B953,6)=".maxed"
 ),
 0,
 LET(
  sort,
   _xlfn.XLOOKUP(
    B953,
    tblChecklist[TargetID],
    tblChecklist[PlayerSort],
    0
   ),
  IF(sort=0,500,sort)
 )
)</f>
        <v>500</v>
      </c>
      <c r="I953" s="49" t="str">
        <f t="array" ref="I953">_xlfn.XLOOKUP(
 B953,
 tblTargetStatus[TargetID],
 tblTargetStatus[Status],
 ""
)</f>
        <v>BLOCKED</v>
      </c>
      <c r="J953" s="45" t="b">
        <v>0</v>
      </c>
    </row>
    <row r="954" ht="14.25" hidden="1" customHeight="1">
      <c r="A954" s="49" t="s">
        <v>2593</v>
      </c>
      <c r="B954" s="49" t="str">
        <f>IFERROR(__xludf.DUMMYFUNCTION("REGEXREPLACE(
 REGEXREPLACE(A954,""^cost\."",""""),
 ""\.[^.]+\.[^.]+$"",
 """"
)"),"collection.historical_library_1@3")</f>
        <v>collection.historical_library_1@3</v>
      </c>
      <c r="C954" s="49" t="str">
        <f t="array" ref="C954">_xlfn.XLOOKUP(
 B954,
 tblTargets[TargetID],
 tblTargets[DisplayName],
 ""
)</f>
        <v>Historical Library 1 Lv 3</v>
      </c>
      <c r="D954" s="49" t="str">
        <f t="array" ref="D954">_xlfn.XLOOKUP(
 B954,
 tblTargets[TargetID],
 tblTargets[TargetType],
 ""
)</f>
        <v>COLLECTION</v>
      </c>
      <c r="E954" s="49" t="s">
        <v>530</v>
      </c>
      <c r="F954" s="49">
        <v>1.0</v>
      </c>
      <c r="G954" s="49">
        <f t="array" ref="G954">_xlfn.XLOOKUP(
 A954,
 tblCost[RequirementID],
 tblCost[QuantityRequired],
 ""
)</f>
        <v>30</v>
      </c>
      <c r="H954" s="49">
        <f t="array" ref="H954">IF(
 OR(
  LEFT(B954,15)="state.character",
  RIGHT(B954,6)=".maxed"
 ),
 0,
 LET(
  sort,
   _xlfn.XLOOKUP(
    B954,
    tblChecklist[TargetID],
    tblChecklist[PlayerSort],
    0
   ),
  IF(sort=0,500,sort)
 )
)</f>
        <v>500</v>
      </c>
      <c r="I954" s="49" t="str">
        <f t="array" ref="I954">_xlfn.XLOOKUP(
 B954,
 tblTargetStatus[TargetID],
 tblTargetStatus[Status],
 ""
)</f>
        <v>BLOCKED</v>
      </c>
      <c r="J954" s="45" t="b">
        <v>0</v>
      </c>
    </row>
    <row r="955" ht="14.25" hidden="1" customHeight="1">
      <c r="A955" s="49" t="s">
        <v>2594</v>
      </c>
      <c r="B955" s="49" t="str">
        <f>IFERROR(__xludf.DUMMYFUNCTION("REGEXREPLACE(
 REGEXREPLACE(A955,""^cost\."",""""),
 ""\.[^.]+\.[^.]+$"",
 """"
)"),"collection.historical_library_1@3")</f>
        <v>collection.historical_library_1@3</v>
      </c>
      <c r="C955" s="49" t="str">
        <f t="array" ref="C955">_xlfn.XLOOKUP(
 B955,
 tblTargets[TargetID],
 tblTargets[DisplayName],
 ""
)</f>
        <v>Historical Library 1 Lv 3</v>
      </c>
      <c r="D955" s="49" t="str">
        <f t="array" ref="D955">_xlfn.XLOOKUP(
 B955,
 tblTargets[TargetID],
 tblTargets[TargetType],
 ""
)</f>
        <v>COLLECTION</v>
      </c>
      <c r="E955" s="49" t="s">
        <v>132</v>
      </c>
      <c r="F955" s="49">
        <v>1.0</v>
      </c>
      <c r="G955" s="49">
        <f t="array" ref="G955">_xlfn.XLOOKUP(
 A955,
 tblCost[RequirementID],
 tblCost[QuantityRequired],
 ""
)</f>
        <v>90</v>
      </c>
      <c r="H955" s="49">
        <f t="array" ref="H955">IF(
 OR(
  LEFT(B955,15)="state.character",
  RIGHT(B955,6)=".maxed"
 ),
 0,
 LET(
  sort,
   _xlfn.XLOOKUP(
    B955,
    tblChecklist[TargetID],
    tblChecklist[PlayerSort],
    0
   ),
  IF(sort=0,500,sort)
 )
)</f>
        <v>500</v>
      </c>
      <c r="I955" s="49" t="str">
        <f t="array" ref="I955">_xlfn.XLOOKUP(
 B955,
 tblTargetStatus[TargetID],
 tblTargetStatus[Status],
 ""
)</f>
        <v>BLOCKED</v>
      </c>
      <c r="J955" s="45" t="b">
        <v>0</v>
      </c>
    </row>
    <row r="956" ht="14.25" hidden="1" customHeight="1">
      <c r="A956" s="49" t="s">
        <v>2595</v>
      </c>
      <c r="B956" s="49" t="str">
        <f>IFERROR(__xludf.DUMMYFUNCTION("REGEXREPLACE(
 REGEXREPLACE(A956,""^cost\."",""""),
 ""\.[^.]+\.[^.]+$"",
 """"
)"),"collection.historical_library_1@3")</f>
        <v>collection.historical_library_1@3</v>
      </c>
      <c r="C956" s="49" t="str">
        <f t="array" ref="C956">_xlfn.XLOOKUP(
 B956,
 tblTargets[TargetID],
 tblTargets[DisplayName],
 ""
)</f>
        <v>Historical Library 1 Lv 3</v>
      </c>
      <c r="D956" s="49" t="str">
        <f t="array" ref="D956">_xlfn.XLOOKUP(
 B956,
 tblTargets[TargetID],
 tblTargets[TargetType],
 ""
)</f>
        <v>COLLECTION</v>
      </c>
      <c r="E956" s="49" t="s">
        <v>2007</v>
      </c>
      <c r="F956" s="49">
        <v>1.0</v>
      </c>
      <c r="G956" s="49">
        <f t="array" ref="G956">_xlfn.XLOOKUP(
 A956,
 tblCost[RequirementID],
 tblCost[QuantityRequired],
 ""
)</f>
        <v>3</v>
      </c>
      <c r="H956" s="49">
        <f t="array" ref="H956">IF(
 OR(
  LEFT(B956,15)="state.character",
  RIGHT(B956,6)=".maxed"
 ),
 0,
 LET(
  sort,
   _xlfn.XLOOKUP(
    B956,
    tblChecklist[TargetID],
    tblChecklist[PlayerSort],
    0
   ),
  IF(sort=0,500,sort)
 )
)</f>
        <v>500</v>
      </c>
      <c r="I956" s="49" t="str">
        <f t="array" ref="I956">_xlfn.XLOOKUP(
 B956,
 tblTargetStatus[TargetID],
 tblTargetStatus[Status],
 ""
)</f>
        <v>BLOCKED</v>
      </c>
      <c r="J956" s="45" t="b">
        <v>0</v>
      </c>
    </row>
    <row r="957" ht="14.25" hidden="1" customHeight="1">
      <c r="A957" s="49" t="s">
        <v>2596</v>
      </c>
      <c r="B957" s="49" t="str">
        <f>IFERROR(__xludf.DUMMYFUNCTION("REGEXREPLACE(
 REGEXREPLACE(A957,""^cost\."",""""),
 ""\.[^.]+\.[^.]+$"",
 """"
)"),"collection.historical_library_2@1")</f>
        <v>collection.historical_library_2@1</v>
      </c>
      <c r="C957" s="49" t="str">
        <f t="array" ref="C957">_xlfn.XLOOKUP(
 B957,
 tblTargets[TargetID],
 tblTargets[DisplayName],
 ""
)</f>
        <v>Historical Library 2 Lv 1</v>
      </c>
      <c r="D957" s="49" t="str">
        <f t="array" ref="D957">_xlfn.XLOOKUP(
 B957,
 tblTargets[TargetID],
 tblTargets[TargetType],
 ""
)</f>
        <v>COLLECTION</v>
      </c>
      <c r="E957" s="49" t="s">
        <v>2597</v>
      </c>
      <c r="F957" s="49">
        <v>1.0</v>
      </c>
      <c r="G957" s="49">
        <f t="array" ref="G957">_xlfn.XLOOKUP(
 A957,
 tblCost[RequirementID],
 tblCost[QuantityRequired],
 ""
)</f>
        <v>20</v>
      </c>
      <c r="H957" s="49">
        <f t="array" ref="H957">IF(
 OR(
  LEFT(B957,15)="state.character",
  RIGHT(B957,6)=".maxed"
 ),
 0,
 LET(
  sort,
   _xlfn.XLOOKUP(
    B957,
    tblChecklist[TargetID],
    tblChecklist[PlayerSort],
    0
   ),
  IF(sort=0,500,sort)
 )
)</f>
        <v>500</v>
      </c>
      <c r="I957" s="49" t="str">
        <f t="array" ref="I957">_xlfn.XLOOKUP(
 B957,
 tblTargetStatus[TargetID],
 tblTargetStatus[Status],
 ""
)</f>
        <v>BLOCKED</v>
      </c>
      <c r="J957" s="45" t="b">
        <v>0</v>
      </c>
    </row>
    <row r="958" ht="14.25" hidden="1" customHeight="1">
      <c r="A958" s="49" t="s">
        <v>2598</v>
      </c>
      <c r="B958" s="49" t="str">
        <f>IFERROR(__xludf.DUMMYFUNCTION("REGEXREPLACE(
 REGEXREPLACE(A958,""^cost\."",""""),
 ""\.[^.]+\.[^.]+$"",
 """"
)"),"collection.historical_library_2@1")</f>
        <v>collection.historical_library_2@1</v>
      </c>
      <c r="C958" s="49" t="str">
        <f t="array" ref="C958">_xlfn.XLOOKUP(
 B958,
 tblTargets[TargetID],
 tblTargets[DisplayName],
 ""
)</f>
        <v>Historical Library 2 Lv 1</v>
      </c>
      <c r="D958" s="49" t="str">
        <f t="array" ref="D958">_xlfn.XLOOKUP(
 B958,
 tblTargets[TargetID],
 tblTargets[TargetType],
 ""
)</f>
        <v>COLLECTION</v>
      </c>
      <c r="E958" s="49" t="s">
        <v>2599</v>
      </c>
      <c r="F958" s="49">
        <v>1.0</v>
      </c>
      <c r="G958" s="49">
        <f t="array" ref="G958">_xlfn.XLOOKUP(
 A958,
 tblCost[RequirementID],
 tblCost[QuantityRequired],
 ""
)</f>
        <v>10</v>
      </c>
      <c r="H958" s="49">
        <f t="array" ref="H958">IF(
 OR(
  LEFT(B958,15)="state.character",
  RIGHT(B958,6)=".maxed"
 ),
 0,
 LET(
  sort,
   _xlfn.XLOOKUP(
    B958,
    tblChecklist[TargetID],
    tblChecklist[PlayerSort],
    0
   ),
  IF(sort=0,500,sort)
 )
)</f>
        <v>500</v>
      </c>
      <c r="I958" s="49" t="str">
        <f t="array" ref="I958">_xlfn.XLOOKUP(
 B958,
 tblTargetStatus[TargetID],
 tblTargetStatus[Status],
 ""
)</f>
        <v>BLOCKED</v>
      </c>
      <c r="J958" s="45" t="b">
        <v>0</v>
      </c>
    </row>
    <row r="959" ht="14.25" hidden="1" customHeight="1">
      <c r="A959" s="49" t="s">
        <v>2600</v>
      </c>
      <c r="B959" s="49" t="str">
        <f>IFERROR(__xludf.DUMMYFUNCTION("REGEXREPLACE(
 REGEXREPLACE(A959,""^cost\."",""""),
 ""\.[^.]+\.[^.]+$"",
 """"
)"),"collection.historical_library_2@1")</f>
        <v>collection.historical_library_2@1</v>
      </c>
      <c r="C959" s="49" t="str">
        <f t="array" ref="C959">_xlfn.XLOOKUP(
 B959,
 tblTargets[TargetID],
 tblTargets[DisplayName],
 ""
)</f>
        <v>Historical Library 2 Lv 1</v>
      </c>
      <c r="D959" s="49" t="str">
        <f t="array" ref="D959">_xlfn.XLOOKUP(
 B959,
 tblTargets[TargetID],
 tblTargets[TargetType],
 ""
)</f>
        <v>COLLECTION</v>
      </c>
      <c r="E959" s="49" t="s">
        <v>2601</v>
      </c>
      <c r="F959" s="49">
        <v>1.0</v>
      </c>
      <c r="G959" s="49">
        <f t="array" ref="G959">_xlfn.XLOOKUP(
 A959,
 tblCost[RequirementID],
 tblCost[QuantityRequired],
 ""
)</f>
        <v>5</v>
      </c>
      <c r="H959" s="49">
        <f t="array" ref="H959">IF(
 OR(
  LEFT(B959,15)="state.character",
  RIGHT(B959,6)=".maxed"
 ),
 0,
 LET(
  sort,
   _xlfn.XLOOKUP(
    B959,
    tblChecklist[TargetID],
    tblChecklist[PlayerSort],
    0
   ),
  IF(sort=0,500,sort)
 )
)</f>
        <v>500</v>
      </c>
      <c r="I959" s="49" t="str">
        <f t="array" ref="I959">_xlfn.XLOOKUP(
 B959,
 tblTargetStatus[TargetID],
 tblTargetStatus[Status],
 ""
)</f>
        <v>BLOCKED</v>
      </c>
      <c r="J959" s="45" t="b">
        <v>0</v>
      </c>
    </row>
    <row r="960" ht="14.25" hidden="1" customHeight="1">
      <c r="A960" s="49" t="s">
        <v>2602</v>
      </c>
      <c r="B960" s="49" t="str">
        <f>IFERROR(__xludf.DUMMYFUNCTION("REGEXREPLACE(
 REGEXREPLACE(A960,""^cost\."",""""),
 ""\.[^.]+\.[^.]+$"",
 """"
)"),"collection.historical_library_2@2")</f>
        <v>collection.historical_library_2@2</v>
      </c>
      <c r="C960" s="49" t="str">
        <f t="array" ref="C960">_xlfn.XLOOKUP(
 B960,
 tblTargets[TargetID],
 tblTargets[DisplayName],
 ""
)</f>
        <v>Historical Library 2 Lv 2</v>
      </c>
      <c r="D960" s="49" t="str">
        <f t="array" ref="D960">_xlfn.XLOOKUP(
 B960,
 tblTargets[TargetID],
 tblTargets[TargetType],
 ""
)</f>
        <v>COLLECTION</v>
      </c>
      <c r="E960" s="49" t="s">
        <v>2597</v>
      </c>
      <c r="F960" s="49">
        <v>1.0</v>
      </c>
      <c r="G960" s="49">
        <f t="array" ref="G960">_xlfn.XLOOKUP(
 A960,
 tblCost[RequirementID],
 tblCost[QuantityRequired],
 ""
)</f>
        <v>40</v>
      </c>
      <c r="H960" s="49">
        <f t="array" ref="H960">IF(
 OR(
  LEFT(B960,15)="state.character",
  RIGHT(B960,6)=".maxed"
 ),
 0,
 LET(
  sort,
   _xlfn.XLOOKUP(
    B960,
    tblChecklist[TargetID],
    tblChecklist[PlayerSort],
    0
   ),
  IF(sort=0,500,sort)
 )
)</f>
        <v>500</v>
      </c>
      <c r="I960" s="49" t="str">
        <f t="array" ref="I960">_xlfn.XLOOKUP(
 B960,
 tblTargetStatus[TargetID],
 tblTargetStatus[Status],
 ""
)</f>
        <v>BLOCKED</v>
      </c>
      <c r="J960" s="45" t="b">
        <v>0</v>
      </c>
    </row>
    <row r="961" ht="14.25" hidden="1" customHeight="1">
      <c r="A961" s="49" t="s">
        <v>2603</v>
      </c>
      <c r="B961" s="49" t="str">
        <f>IFERROR(__xludf.DUMMYFUNCTION("REGEXREPLACE(
 REGEXREPLACE(A961,""^cost\."",""""),
 ""\.[^.]+\.[^.]+$"",
 """"
)"),"collection.historical_library_2@2")</f>
        <v>collection.historical_library_2@2</v>
      </c>
      <c r="C961" s="49" t="str">
        <f t="array" ref="C961">_xlfn.XLOOKUP(
 B961,
 tblTargets[TargetID],
 tblTargets[DisplayName],
 ""
)</f>
        <v>Historical Library 2 Lv 2</v>
      </c>
      <c r="D961" s="49" t="str">
        <f t="array" ref="D961">_xlfn.XLOOKUP(
 B961,
 tblTargets[TargetID],
 tblTargets[TargetType],
 ""
)</f>
        <v>COLLECTION</v>
      </c>
      <c r="E961" s="49" t="s">
        <v>2599</v>
      </c>
      <c r="F961" s="49">
        <v>1.0</v>
      </c>
      <c r="G961" s="49">
        <f t="array" ref="G961">_xlfn.XLOOKUP(
 A961,
 tblCost[RequirementID],
 tblCost[QuantityRequired],
 ""
)</f>
        <v>20</v>
      </c>
      <c r="H961" s="49">
        <f t="array" ref="H961">IF(
 OR(
  LEFT(B961,15)="state.character",
  RIGHT(B961,6)=".maxed"
 ),
 0,
 LET(
  sort,
   _xlfn.XLOOKUP(
    B961,
    tblChecklist[TargetID],
    tblChecklist[PlayerSort],
    0
   ),
  IF(sort=0,500,sort)
 )
)</f>
        <v>500</v>
      </c>
      <c r="I961" s="49" t="str">
        <f t="array" ref="I961">_xlfn.XLOOKUP(
 B961,
 tblTargetStatus[TargetID],
 tblTargetStatus[Status],
 ""
)</f>
        <v>BLOCKED</v>
      </c>
      <c r="J961" s="45" t="b">
        <v>0</v>
      </c>
    </row>
    <row r="962" ht="14.25" hidden="1" customHeight="1">
      <c r="A962" s="49" t="s">
        <v>2604</v>
      </c>
      <c r="B962" s="49" t="str">
        <f>IFERROR(__xludf.DUMMYFUNCTION("REGEXREPLACE(
 REGEXREPLACE(A962,""^cost\."",""""),
 ""\.[^.]+\.[^.]+$"",
 """"
)"),"collection.historical_library_2@2")</f>
        <v>collection.historical_library_2@2</v>
      </c>
      <c r="C962" s="49" t="str">
        <f t="array" ref="C962">_xlfn.XLOOKUP(
 B962,
 tblTargets[TargetID],
 tblTargets[DisplayName],
 ""
)</f>
        <v>Historical Library 2 Lv 2</v>
      </c>
      <c r="D962" s="49" t="str">
        <f t="array" ref="D962">_xlfn.XLOOKUP(
 B962,
 tblTargets[TargetID],
 tblTargets[TargetType],
 ""
)</f>
        <v>COLLECTION</v>
      </c>
      <c r="E962" s="49" t="s">
        <v>2601</v>
      </c>
      <c r="F962" s="49">
        <v>1.0</v>
      </c>
      <c r="G962" s="49">
        <f t="array" ref="G962">_xlfn.XLOOKUP(
 A962,
 tblCost[RequirementID],
 tblCost[QuantityRequired],
 ""
)</f>
        <v>10</v>
      </c>
      <c r="H962" s="49">
        <f t="array" ref="H962">IF(
 OR(
  LEFT(B962,15)="state.character",
  RIGHT(B962,6)=".maxed"
 ),
 0,
 LET(
  sort,
   _xlfn.XLOOKUP(
    B962,
    tblChecklist[TargetID],
    tblChecklist[PlayerSort],
    0
   ),
  IF(sort=0,500,sort)
 )
)</f>
        <v>500</v>
      </c>
      <c r="I962" s="49" t="str">
        <f t="array" ref="I962">_xlfn.XLOOKUP(
 B962,
 tblTargetStatus[TargetID],
 tblTargetStatus[Status],
 ""
)</f>
        <v>BLOCKED</v>
      </c>
      <c r="J962" s="45" t="b">
        <v>0</v>
      </c>
    </row>
    <row r="963" ht="14.25" hidden="1" customHeight="1">
      <c r="A963" s="49" t="s">
        <v>2605</v>
      </c>
      <c r="B963" s="49" t="str">
        <f>IFERROR(__xludf.DUMMYFUNCTION("REGEXREPLACE(
 REGEXREPLACE(A963,""^cost\."",""""),
 ""\.[^.]+\.[^.]+$"",
 """"
)"),"collection.historical_library_2@3")</f>
        <v>collection.historical_library_2@3</v>
      </c>
      <c r="C963" s="49" t="str">
        <f t="array" ref="C963">_xlfn.XLOOKUP(
 B963,
 tblTargets[TargetID],
 tblTargets[DisplayName],
 ""
)</f>
        <v>Historical Library 2 Lv 3</v>
      </c>
      <c r="D963" s="49" t="str">
        <f t="array" ref="D963">_xlfn.XLOOKUP(
 B963,
 tblTargets[TargetID],
 tblTargets[TargetType],
 ""
)</f>
        <v>COLLECTION</v>
      </c>
      <c r="E963" s="49" t="s">
        <v>2597</v>
      </c>
      <c r="F963" s="49">
        <v>1.0</v>
      </c>
      <c r="G963" s="49">
        <f t="array" ref="G963">_xlfn.XLOOKUP(
 A963,
 tblCost[RequirementID],
 tblCost[QuantityRequired],
 ""
)</f>
        <v>60</v>
      </c>
      <c r="H963" s="49">
        <f t="array" ref="H963">IF(
 OR(
  LEFT(B963,15)="state.character",
  RIGHT(B963,6)=".maxed"
 ),
 0,
 LET(
  sort,
   _xlfn.XLOOKUP(
    B963,
    tblChecklist[TargetID],
    tblChecklist[PlayerSort],
    0
   ),
  IF(sort=0,500,sort)
 )
)</f>
        <v>21</v>
      </c>
      <c r="I963" s="49" t="str">
        <f t="array" ref="I963">_xlfn.XLOOKUP(
 B963,
 tblTargetStatus[TargetID],
 tblTargetStatus[Status],
 ""
)</f>
        <v>BLOCKED</v>
      </c>
      <c r="J963" s="45" t="b">
        <v>0</v>
      </c>
    </row>
    <row r="964" ht="14.25" hidden="1" customHeight="1">
      <c r="A964" s="49" t="s">
        <v>2606</v>
      </c>
      <c r="B964" s="49" t="str">
        <f>IFERROR(__xludf.DUMMYFUNCTION("REGEXREPLACE(
 REGEXREPLACE(A964,""^cost\."",""""),
 ""\.[^.]+\.[^.]+$"",
 """"
)"),"collection.historical_library_2@3")</f>
        <v>collection.historical_library_2@3</v>
      </c>
      <c r="C964" s="49" t="str">
        <f t="array" ref="C964">_xlfn.XLOOKUP(
 B964,
 tblTargets[TargetID],
 tblTargets[DisplayName],
 ""
)</f>
        <v>Historical Library 2 Lv 3</v>
      </c>
      <c r="D964" s="49" t="str">
        <f t="array" ref="D964">_xlfn.XLOOKUP(
 B964,
 tblTargets[TargetID],
 tblTargets[TargetType],
 ""
)</f>
        <v>COLLECTION</v>
      </c>
      <c r="E964" s="49" t="s">
        <v>2599</v>
      </c>
      <c r="F964" s="49">
        <v>1.0</v>
      </c>
      <c r="G964" s="49">
        <f t="array" ref="G964">_xlfn.XLOOKUP(
 A964,
 tblCost[RequirementID],
 tblCost[QuantityRequired],
 ""
)</f>
        <v>30</v>
      </c>
      <c r="H964" s="49">
        <f t="array" ref="H964">IF(
 OR(
  LEFT(B964,15)="state.character",
  RIGHT(B964,6)=".maxed"
 ),
 0,
 LET(
  sort,
   _xlfn.XLOOKUP(
    B964,
    tblChecklist[TargetID],
    tblChecklist[PlayerSort],
    0
   ),
  IF(sort=0,500,sort)
 )
)</f>
        <v>21</v>
      </c>
      <c r="I964" s="49" t="str">
        <f t="array" ref="I964">_xlfn.XLOOKUP(
 B964,
 tblTargetStatus[TargetID],
 tblTargetStatus[Status],
 ""
)</f>
        <v>BLOCKED</v>
      </c>
      <c r="J964" s="45" t="b">
        <v>0</v>
      </c>
    </row>
    <row r="965" ht="14.25" hidden="1" customHeight="1">
      <c r="A965" s="49" t="s">
        <v>2607</v>
      </c>
      <c r="B965" s="49" t="str">
        <f>IFERROR(__xludf.DUMMYFUNCTION("REGEXREPLACE(
 REGEXREPLACE(A965,""^cost\."",""""),
 ""\.[^.]+\.[^.]+$"",
 """"
)"),"collection.historical_library_2@3")</f>
        <v>collection.historical_library_2@3</v>
      </c>
      <c r="C965" s="49" t="str">
        <f t="array" ref="C965">_xlfn.XLOOKUP(
 B965,
 tblTargets[TargetID],
 tblTargets[DisplayName],
 ""
)</f>
        <v>Historical Library 2 Lv 3</v>
      </c>
      <c r="D965" s="49" t="str">
        <f t="array" ref="D965">_xlfn.XLOOKUP(
 B965,
 tblTargets[TargetID],
 tblTargets[TargetType],
 ""
)</f>
        <v>COLLECTION</v>
      </c>
      <c r="E965" s="49" t="s">
        <v>2601</v>
      </c>
      <c r="F965" s="49">
        <v>1.0</v>
      </c>
      <c r="G965" s="49">
        <f t="array" ref="G965">_xlfn.XLOOKUP(
 A965,
 tblCost[RequirementID],
 tblCost[QuantityRequired],
 ""
)</f>
        <v>15</v>
      </c>
      <c r="H965" s="49">
        <f t="array" ref="H965">IF(
 OR(
  LEFT(B965,15)="state.character",
  RIGHT(B965,6)=".maxed"
 ),
 0,
 LET(
  sort,
   _xlfn.XLOOKUP(
    B965,
    tblChecklist[TargetID],
    tblChecklist[PlayerSort],
    0
   ),
  IF(sort=0,500,sort)
 )
)</f>
        <v>21</v>
      </c>
      <c r="I965" s="49" t="str">
        <f t="array" ref="I965">_xlfn.XLOOKUP(
 B965,
 tblTargetStatus[TargetID],
 tblTargetStatus[Status],
 ""
)</f>
        <v>BLOCKED</v>
      </c>
      <c r="J965" s="45" t="b">
        <v>0</v>
      </c>
    </row>
    <row r="966" ht="14.25" hidden="1" customHeight="1">
      <c r="A966" s="49" t="s">
        <v>2608</v>
      </c>
      <c r="B966" s="49" t="str">
        <f>IFERROR(__xludf.DUMMYFUNCTION("REGEXREPLACE(
 REGEXREPLACE(A966,""^cost\."",""""),
 ""\.[^.]+\.[^.]+$"",
 """"
)"),"collection.horse@1")</f>
        <v>collection.horse@1</v>
      </c>
      <c r="C966" s="49" t="str">
        <f t="array" ref="C966">_xlfn.XLOOKUP(
 B966,
 tblTargets[TargetID],
 tblTargets[DisplayName],
 ""
)</f>
        <v>Horse Lv 1</v>
      </c>
      <c r="D966" s="49" t="str">
        <f t="array" ref="D966">_xlfn.XLOOKUP(
 B966,
 tblTargets[TargetID],
 tblTargets[TargetType],
 ""
)</f>
        <v>COLLECTION</v>
      </c>
      <c r="E966" s="49" t="s">
        <v>119</v>
      </c>
      <c r="F966" s="49">
        <v>1.0</v>
      </c>
      <c r="G966" s="49">
        <f t="array" ref="G966">_xlfn.XLOOKUP(
 A966,
 tblCost[RequirementID],
 tblCost[QuantityRequired],
 ""
)</f>
        <v>3000</v>
      </c>
      <c r="H966" s="49">
        <f t="array" ref="H966">IF(
 OR(
  LEFT(B966,15)="state.character",
  RIGHT(B966,6)=".maxed"
 ),
 0,
 LET(
  sort,
   _xlfn.XLOOKUP(
    B966,
    tblChecklist[TargetID],
    tblChecklist[PlayerSort],
    0
   ),
  IF(sort=0,500,sort)
 )
)</f>
        <v>800</v>
      </c>
      <c r="I966" s="49" t="str">
        <f t="array" ref="I966">_xlfn.XLOOKUP(
 B966,
 tblTargetStatus[TargetID],
 tblTargetStatus[Status],
 ""
)</f>
        <v>BLOCKED</v>
      </c>
      <c r="J966" s="45" t="b">
        <v>0</v>
      </c>
    </row>
    <row r="967" ht="14.25" hidden="1" customHeight="1">
      <c r="A967" s="49" t="s">
        <v>2609</v>
      </c>
      <c r="B967" s="49" t="str">
        <f>IFERROR(__xludf.DUMMYFUNCTION("REGEXREPLACE(
 REGEXREPLACE(A967,""^cost\."",""""),
 ""\.[^.]+\.[^.]+$"",
 """"
)"),"collection.kitchen_and_buttery_1@1")</f>
        <v>collection.kitchen_and_buttery_1@1</v>
      </c>
      <c r="C967" s="49" t="str">
        <f t="array" ref="C967">_xlfn.XLOOKUP(
 B967,
 tblTargets[TargetID],
 tblTargets[DisplayName],
 ""
)</f>
        <v>Kitchen And Buttery 1 Lv 1</v>
      </c>
      <c r="D967" s="49" t="str">
        <f t="array" ref="D967">_xlfn.XLOOKUP(
 B967,
 tblTargets[TargetID],
 tblTargets[TargetType],
 ""
)</f>
        <v>COLLECTION</v>
      </c>
      <c r="E967" s="49" t="s">
        <v>2486</v>
      </c>
      <c r="F967" s="49">
        <v>1.0</v>
      </c>
      <c r="G967" s="49">
        <f t="array" ref="G967">_xlfn.XLOOKUP(
 A967,
 tblCost[RequirementID],
 tblCost[QuantityRequired],
 ""
)</f>
        <v>10</v>
      </c>
      <c r="H967" s="49">
        <f t="array" ref="H967">IF(
 OR(
  LEFT(B967,15)="state.character",
  RIGHT(B967,6)=".maxed"
 ),
 0,
 LET(
  sort,
   _xlfn.XLOOKUP(
    B967,
    tblChecklist[TargetID],
    tblChecklist[PlayerSort],
    0
   ),
  IF(sort=0,500,sort)
 )
)</f>
        <v>500</v>
      </c>
      <c r="I967" s="49" t="str">
        <f t="array" ref="I967">_xlfn.XLOOKUP(
 B967,
 tblTargetStatus[TargetID],
 tblTargetStatus[Status],
 ""
)</f>
        <v>BLOCKED</v>
      </c>
      <c r="J967" s="45" t="b">
        <v>0</v>
      </c>
    </row>
    <row r="968" ht="14.25" hidden="1" customHeight="1">
      <c r="A968" s="49" t="s">
        <v>2610</v>
      </c>
      <c r="B968" s="49" t="str">
        <f>IFERROR(__xludf.DUMMYFUNCTION("REGEXREPLACE(
 REGEXREPLACE(A968,""^cost\."",""""),
 ""\.[^.]+\.[^.]+$"",
 """"
)"),"collection.kitchen_and_buttery_1@1")</f>
        <v>collection.kitchen_and_buttery_1@1</v>
      </c>
      <c r="C968" s="49" t="str">
        <f t="array" ref="C968">_xlfn.XLOOKUP(
 B968,
 tblTargets[TargetID],
 tblTargets[DisplayName],
 ""
)</f>
        <v>Kitchen And Buttery 1 Lv 1</v>
      </c>
      <c r="D968" s="49" t="str">
        <f t="array" ref="D968">_xlfn.XLOOKUP(
 B968,
 tblTargets[TargetID],
 tblTargets[TargetType],
 ""
)</f>
        <v>COLLECTION</v>
      </c>
      <c r="E968" s="49" t="s">
        <v>2611</v>
      </c>
      <c r="F968" s="49">
        <v>1.0</v>
      </c>
      <c r="G968" s="49">
        <f t="array" ref="G968">_xlfn.XLOOKUP(
 A968,
 tblCost[RequirementID],
 tblCost[QuantityRequired],
 ""
)</f>
        <v>10</v>
      </c>
      <c r="H968" s="49">
        <f t="array" ref="H968">IF(
 OR(
  LEFT(B968,15)="state.character",
  RIGHT(B968,6)=".maxed"
 ),
 0,
 LET(
  sort,
   _xlfn.XLOOKUP(
    B968,
    tblChecklist[TargetID],
    tblChecklist[PlayerSort],
    0
   ),
  IF(sort=0,500,sort)
 )
)</f>
        <v>500</v>
      </c>
      <c r="I968" s="49" t="str">
        <f t="array" ref="I968">_xlfn.XLOOKUP(
 B968,
 tblTargetStatus[TargetID],
 tblTargetStatus[Status],
 ""
)</f>
        <v>BLOCKED</v>
      </c>
      <c r="J968" s="45" t="b">
        <v>0</v>
      </c>
    </row>
    <row r="969" ht="14.25" hidden="1" customHeight="1">
      <c r="A969" s="49" t="s">
        <v>2612</v>
      </c>
      <c r="B969" s="49" t="str">
        <f>IFERROR(__xludf.DUMMYFUNCTION("REGEXREPLACE(
 REGEXREPLACE(A969,""^cost\."",""""),
 ""\.[^.]+\.[^.]+$"",
 """"
)"),"collection.kitchen_and_buttery_1@1")</f>
        <v>collection.kitchen_and_buttery_1@1</v>
      </c>
      <c r="C969" s="49" t="str">
        <f t="array" ref="C969">_xlfn.XLOOKUP(
 B969,
 tblTargets[TargetID],
 tblTargets[DisplayName],
 ""
)</f>
        <v>Kitchen And Buttery 1 Lv 1</v>
      </c>
      <c r="D969" s="49" t="str">
        <f t="array" ref="D969">_xlfn.XLOOKUP(
 B969,
 tblTargets[TargetID],
 tblTargets[TargetType],
 ""
)</f>
        <v>COLLECTION</v>
      </c>
      <c r="E969" s="49" t="s">
        <v>588</v>
      </c>
      <c r="F969" s="49">
        <v>1.0</v>
      </c>
      <c r="G969" s="49">
        <f t="array" ref="G969">_xlfn.XLOOKUP(
 A969,
 tblCost[RequirementID],
 tblCost[QuantityRequired],
 ""
)</f>
        <v>15</v>
      </c>
      <c r="H969" s="49">
        <f t="array" ref="H969">IF(
 OR(
  LEFT(B969,15)="state.character",
  RIGHT(B969,6)=".maxed"
 ),
 0,
 LET(
  sort,
   _xlfn.XLOOKUP(
    B969,
    tblChecklist[TargetID],
    tblChecklist[PlayerSort],
    0
   ),
  IF(sort=0,500,sort)
 )
)</f>
        <v>500</v>
      </c>
      <c r="I969" s="49" t="str">
        <f t="array" ref="I969">_xlfn.XLOOKUP(
 B969,
 tblTargetStatus[TargetID],
 tblTargetStatus[Status],
 ""
)</f>
        <v>BLOCKED</v>
      </c>
      <c r="J969" s="45" t="b">
        <v>0</v>
      </c>
    </row>
    <row r="970" ht="14.25" hidden="1" customHeight="1">
      <c r="A970" s="49" t="s">
        <v>2613</v>
      </c>
      <c r="B970" s="49" t="str">
        <f>IFERROR(__xludf.DUMMYFUNCTION("REGEXREPLACE(
 REGEXREPLACE(A970,""^cost\."",""""),
 ""\.[^.]+\.[^.]+$"",
 """"
)"),"collection.kitchen_and_buttery_1@1")</f>
        <v>collection.kitchen_and_buttery_1@1</v>
      </c>
      <c r="C970" s="49" t="str">
        <f t="array" ref="C970">_xlfn.XLOOKUP(
 B970,
 tblTargets[TargetID],
 tblTargets[DisplayName],
 ""
)</f>
        <v>Kitchen And Buttery 1 Lv 1</v>
      </c>
      <c r="D970" s="49" t="str">
        <f t="array" ref="D970">_xlfn.XLOOKUP(
 B970,
 tblTargets[TargetID],
 tblTargets[TargetType],
 ""
)</f>
        <v>COLLECTION</v>
      </c>
      <c r="E970" s="49" t="s">
        <v>187</v>
      </c>
      <c r="F970" s="49">
        <v>1.0</v>
      </c>
      <c r="G970" s="49">
        <f t="array" ref="G970">_xlfn.XLOOKUP(
 A970,
 tblCost[RequirementID],
 tblCost[QuantityRequired],
 ""
)</f>
        <v>50</v>
      </c>
      <c r="H970" s="49">
        <f t="array" ref="H970">IF(
 OR(
  LEFT(B970,15)="state.character",
  RIGHT(B970,6)=".maxed"
 ),
 0,
 LET(
  sort,
   _xlfn.XLOOKUP(
    B970,
    tblChecklist[TargetID],
    tblChecklist[PlayerSort],
    0
   ),
  IF(sort=0,500,sort)
 )
)</f>
        <v>500</v>
      </c>
      <c r="I970" s="49" t="str">
        <f t="array" ref="I970">_xlfn.XLOOKUP(
 B970,
 tblTargetStatus[TargetID],
 tblTargetStatus[Status],
 ""
)</f>
        <v>BLOCKED</v>
      </c>
      <c r="J970" s="45" t="b">
        <v>0</v>
      </c>
    </row>
    <row r="971" ht="14.25" hidden="1" customHeight="1">
      <c r="A971" s="49" t="s">
        <v>2614</v>
      </c>
      <c r="B971" s="49" t="str">
        <f>IFERROR(__xludf.DUMMYFUNCTION("REGEXREPLACE(
 REGEXREPLACE(A971,""^cost\."",""""),
 ""\.[^.]+\.[^.]+$"",
 """"
)"),"collection.kitchen_and_buttery_1@1")</f>
        <v>collection.kitchen_and_buttery_1@1</v>
      </c>
      <c r="C971" s="49" t="str">
        <f t="array" ref="C971">_xlfn.XLOOKUP(
 B971,
 tblTargets[TargetID],
 tblTargets[DisplayName],
 ""
)</f>
        <v>Kitchen And Buttery 1 Lv 1</v>
      </c>
      <c r="D971" s="49" t="str">
        <f t="array" ref="D971">_xlfn.XLOOKUP(
 B971,
 tblTargets[TargetID],
 tblTargets[TargetType],
 ""
)</f>
        <v>COLLECTION</v>
      </c>
      <c r="E971" s="49" t="s">
        <v>187</v>
      </c>
      <c r="F971" s="49">
        <v>2.0</v>
      </c>
      <c r="G971" s="49">
        <f t="array" ref="G971">_xlfn.XLOOKUP(
 A971,
 tblCost[RequirementID],
 tblCost[QuantityRequired],
 ""
)</f>
        <v>50</v>
      </c>
      <c r="H971" s="49">
        <f t="array" ref="H971">IF(
 OR(
  LEFT(B971,15)="state.character",
  RIGHT(B971,6)=".maxed"
 ),
 0,
 LET(
  sort,
   _xlfn.XLOOKUP(
    B971,
    tblChecklist[TargetID],
    tblChecklist[PlayerSort],
    0
   ),
  IF(sort=0,500,sort)
 )
)</f>
        <v>500</v>
      </c>
      <c r="I971" s="49" t="str">
        <f t="array" ref="I971">_xlfn.XLOOKUP(
 B971,
 tblTargetStatus[TargetID],
 tblTargetStatus[Status],
 ""
)</f>
        <v>BLOCKED</v>
      </c>
      <c r="J971" s="45" t="b">
        <v>0</v>
      </c>
    </row>
    <row r="972" ht="14.25" hidden="1" customHeight="1">
      <c r="A972" s="49" t="s">
        <v>2615</v>
      </c>
      <c r="B972" s="49" t="str">
        <f>IFERROR(__xludf.DUMMYFUNCTION("REGEXREPLACE(
 REGEXREPLACE(A972,""^cost\."",""""),
 ""\.[^.]+\.[^.]+$"",
 """"
)"),"collection.kitchen_and_buttery_1@1")</f>
        <v>collection.kitchen_and_buttery_1@1</v>
      </c>
      <c r="C972" s="49" t="str">
        <f t="array" ref="C972">_xlfn.XLOOKUP(
 B972,
 tblTargets[TargetID],
 tblTargets[DisplayName],
 ""
)</f>
        <v>Kitchen And Buttery 1 Lv 1</v>
      </c>
      <c r="D972" s="49" t="str">
        <f t="array" ref="D972">_xlfn.XLOOKUP(
 B972,
 tblTargets[TargetID],
 tblTargets[TargetType],
 ""
)</f>
        <v>COLLECTION</v>
      </c>
      <c r="E972" s="49" t="s">
        <v>187</v>
      </c>
      <c r="F972" s="49">
        <v>3.0</v>
      </c>
      <c r="G972" s="49">
        <f t="array" ref="G972">_xlfn.XLOOKUP(
 A972,
 tblCost[RequirementID],
 tblCost[QuantityRequired],
 ""
)</f>
        <v>50</v>
      </c>
      <c r="H972" s="49">
        <f t="array" ref="H972">IF(
 OR(
  LEFT(B972,15)="state.character",
  RIGHT(B972,6)=".maxed"
 ),
 0,
 LET(
  sort,
   _xlfn.XLOOKUP(
    B972,
    tblChecklist[TargetID],
    tblChecklist[PlayerSort],
    0
   ),
  IF(sort=0,500,sort)
 )
)</f>
        <v>500</v>
      </c>
      <c r="I972" s="49" t="str">
        <f t="array" ref="I972">_xlfn.XLOOKUP(
 B972,
 tblTargetStatus[TargetID],
 tblTargetStatus[Status],
 ""
)</f>
        <v>BLOCKED</v>
      </c>
      <c r="J972" s="45" t="b">
        <v>0</v>
      </c>
    </row>
    <row r="973" ht="14.25" hidden="1" customHeight="1">
      <c r="A973" s="49" t="s">
        <v>2616</v>
      </c>
      <c r="B973" s="49" t="str">
        <f>IFERROR(__xludf.DUMMYFUNCTION("REGEXREPLACE(
 REGEXREPLACE(A973,""^cost\."",""""),
 ""\.[^.]+\.[^.]+$"",
 """"
)"),"collection.kitchen_and_buttery_1@1")</f>
        <v>collection.kitchen_and_buttery_1@1</v>
      </c>
      <c r="C973" s="49" t="str">
        <f t="array" ref="C973">_xlfn.XLOOKUP(
 B973,
 tblTargets[TargetID],
 tblTargets[DisplayName],
 ""
)</f>
        <v>Kitchen And Buttery 1 Lv 1</v>
      </c>
      <c r="D973" s="49" t="str">
        <f t="array" ref="D973">_xlfn.XLOOKUP(
 B973,
 tblTargets[TargetID],
 tblTargets[TargetType],
 ""
)</f>
        <v>COLLECTION</v>
      </c>
      <c r="E973" s="49" t="s">
        <v>187</v>
      </c>
      <c r="F973" s="49">
        <v>4.0</v>
      </c>
      <c r="G973" s="49">
        <f t="array" ref="G973">_xlfn.XLOOKUP(
 A973,
 tblCost[RequirementID],
 tblCost[QuantityRequired],
 ""
)</f>
        <v>50</v>
      </c>
      <c r="H973" s="49">
        <f t="array" ref="H973">IF(
 OR(
  LEFT(B973,15)="state.character",
  RIGHT(B973,6)=".maxed"
 ),
 0,
 LET(
  sort,
   _xlfn.XLOOKUP(
    B973,
    tblChecklist[TargetID],
    tblChecklist[PlayerSort],
    0
   ),
  IF(sort=0,500,sort)
 )
)</f>
        <v>500</v>
      </c>
      <c r="I973" s="49" t="str">
        <f t="array" ref="I973">_xlfn.XLOOKUP(
 B973,
 tblTargetStatus[TargetID],
 tblTargetStatus[Status],
 ""
)</f>
        <v>BLOCKED</v>
      </c>
      <c r="J973" s="45" t="b">
        <v>0</v>
      </c>
    </row>
    <row r="974" ht="14.25" hidden="1" customHeight="1">
      <c r="A974" s="49" t="s">
        <v>2617</v>
      </c>
      <c r="B974" s="49" t="str">
        <f>IFERROR(__xludf.DUMMYFUNCTION("REGEXREPLACE(
 REGEXREPLACE(A974,""^cost\."",""""),
 ""\.[^.]+\.[^.]+$"",
 """"
)"),"collection.kitchen_and_buttery_1@1")</f>
        <v>collection.kitchen_and_buttery_1@1</v>
      </c>
      <c r="C974" s="49" t="str">
        <f t="array" ref="C974">_xlfn.XLOOKUP(
 B974,
 tblTargets[TargetID],
 tblTargets[DisplayName],
 ""
)</f>
        <v>Kitchen And Buttery 1 Lv 1</v>
      </c>
      <c r="D974" s="49" t="str">
        <f t="array" ref="D974">_xlfn.XLOOKUP(
 B974,
 tblTargets[TargetID],
 tblTargets[TargetType],
 ""
)</f>
        <v>COLLECTION</v>
      </c>
      <c r="E974" s="49" t="s">
        <v>187</v>
      </c>
      <c r="F974" s="49">
        <v>5.0</v>
      </c>
      <c r="G974" s="49">
        <f t="array" ref="G974">_xlfn.XLOOKUP(
 A974,
 tblCost[RequirementID],
 tblCost[QuantityRequired],
 ""
)</f>
        <v>50</v>
      </c>
      <c r="H974" s="49">
        <f t="array" ref="H974">IF(
 OR(
  LEFT(B974,15)="state.character",
  RIGHT(B974,6)=".maxed"
 ),
 0,
 LET(
  sort,
   _xlfn.XLOOKUP(
    B974,
    tblChecklist[TargetID],
    tblChecklist[PlayerSort],
    0
   ),
  IF(sort=0,500,sort)
 )
)</f>
        <v>500</v>
      </c>
      <c r="I974" s="49" t="str">
        <f t="array" ref="I974">_xlfn.XLOOKUP(
 B974,
 tblTargetStatus[TargetID],
 tblTargetStatus[Status],
 ""
)</f>
        <v>BLOCKED</v>
      </c>
      <c r="J974" s="45" t="b">
        <v>0</v>
      </c>
    </row>
    <row r="975" ht="14.25" hidden="1" customHeight="1">
      <c r="A975" s="49" t="s">
        <v>2618</v>
      </c>
      <c r="B975" s="49" t="str">
        <f>IFERROR(__xludf.DUMMYFUNCTION("REGEXREPLACE(
 REGEXREPLACE(A975,""^cost\."",""""),
 ""\.[^.]+\.[^.]+$"",
 """"
)"),"collection.kitchen_and_buttery_1@1")</f>
        <v>collection.kitchen_and_buttery_1@1</v>
      </c>
      <c r="C975" s="49" t="str">
        <f t="array" ref="C975">_xlfn.XLOOKUP(
 B975,
 tblTargets[TargetID],
 tblTargets[DisplayName],
 ""
)</f>
        <v>Kitchen And Buttery 1 Lv 1</v>
      </c>
      <c r="D975" s="49" t="str">
        <f t="array" ref="D975">_xlfn.XLOOKUP(
 B975,
 tblTargets[TargetID],
 tblTargets[TargetType],
 ""
)</f>
        <v>COLLECTION</v>
      </c>
      <c r="E975" s="49" t="s">
        <v>187</v>
      </c>
      <c r="F975" s="49">
        <v>6.0</v>
      </c>
      <c r="G975" s="49">
        <f t="array" ref="G975">_xlfn.XLOOKUP(
 A975,
 tblCost[RequirementID],
 tblCost[QuantityRequired],
 ""
)</f>
        <v>50</v>
      </c>
      <c r="H975" s="49">
        <f t="array" ref="H975">IF(
 OR(
  LEFT(B975,15)="state.character",
  RIGHT(B975,6)=".maxed"
 ),
 0,
 LET(
  sort,
   _xlfn.XLOOKUP(
    B975,
    tblChecklist[TargetID],
    tblChecklist[PlayerSort],
    0
   ),
  IF(sort=0,500,sort)
 )
)</f>
        <v>500</v>
      </c>
      <c r="I975" s="49" t="str">
        <f t="array" ref="I975">_xlfn.XLOOKUP(
 B975,
 tblTargetStatus[TargetID],
 tblTargetStatus[Status],
 ""
)</f>
        <v>BLOCKED</v>
      </c>
      <c r="J975" s="45" t="b">
        <v>0</v>
      </c>
    </row>
    <row r="976" ht="14.25" hidden="1" customHeight="1">
      <c r="A976" s="49" t="s">
        <v>2619</v>
      </c>
      <c r="B976" s="49" t="str">
        <f>IFERROR(__xludf.DUMMYFUNCTION("REGEXREPLACE(
 REGEXREPLACE(A976,""^cost\."",""""),
 ""\.[^.]+\.[^.]+$"",
 """"
)"),"collection.kitchen_and_buttery_1@1")</f>
        <v>collection.kitchen_and_buttery_1@1</v>
      </c>
      <c r="C976" s="49" t="str">
        <f t="array" ref="C976">_xlfn.XLOOKUP(
 B976,
 tblTargets[TargetID],
 tblTargets[DisplayName],
 ""
)</f>
        <v>Kitchen And Buttery 1 Lv 1</v>
      </c>
      <c r="D976" s="49" t="str">
        <f t="array" ref="D976">_xlfn.XLOOKUP(
 B976,
 tblTargets[TargetID],
 tblTargets[TargetType],
 ""
)</f>
        <v>COLLECTION</v>
      </c>
      <c r="E976" s="49" t="s">
        <v>187</v>
      </c>
      <c r="F976" s="49">
        <v>7.0</v>
      </c>
      <c r="G976" s="49">
        <f t="array" ref="G976">_xlfn.XLOOKUP(
 A976,
 tblCost[RequirementID],
 tblCost[QuantityRequired],
 ""
)</f>
        <v>50</v>
      </c>
      <c r="H976" s="49">
        <f t="array" ref="H976">IF(
 OR(
  LEFT(B976,15)="state.character",
  RIGHT(B976,6)=".maxed"
 ),
 0,
 LET(
  sort,
   _xlfn.XLOOKUP(
    B976,
    tblChecklist[TargetID],
    tblChecklist[PlayerSort],
    0
   ),
  IF(sort=0,500,sort)
 )
)</f>
        <v>500</v>
      </c>
      <c r="I976" s="49" t="str">
        <f t="array" ref="I976">_xlfn.XLOOKUP(
 B976,
 tblTargetStatus[TargetID],
 tblTargetStatus[Status],
 ""
)</f>
        <v>BLOCKED</v>
      </c>
      <c r="J976" s="45" t="b">
        <v>0</v>
      </c>
    </row>
    <row r="977" ht="14.25" hidden="1" customHeight="1">
      <c r="A977" s="49" t="s">
        <v>2620</v>
      </c>
      <c r="B977" s="49" t="str">
        <f>IFERROR(__xludf.DUMMYFUNCTION("REGEXREPLACE(
 REGEXREPLACE(A977,""^cost\."",""""),
 ""\.[^.]+\.[^.]+$"",
 """"
)"),"collection.kitchen_and_buttery_1@1")</f>
        <v>collection.kitchen_and_buttery_1@1</v>
      </c>
      <c r="C977" s="49" t="str">
        <f t="array" ref="C977">_xlfn.XLOOKUP(
 B977,
 tblTargets[TargetID],
 tblTargets[DisplayName],
 ""
)</f>
        <v>Kitchen And Buttery 1 Lv 1</v>
      </c>
      <c r="D977" s="49" t="str">
        <f t="array" ref="D977">_xlfn.XLOOKUP(
 B977,
 tblTargets[TargetID],
 tblTargets[TargetType],
 ""
)</f>
        <v>COLLECTION</v>
      </c>
      <c r="E977" s="49" t="s">
        <v>187</v>
      </c>
      <c r="F977" s="49">
        <v>8.0</v>
      </c>
      <c r="G977" s="49">
        <f t="array" ref="G977">_xlfn.XLOOKUP(
 A977,
 tblCost[RequirementID],
 tblCost[QuantityRequired],
 ""
)</f>
        <v>50</v>
      </c>
      <c r="H977" s="49">
        <f t="array" ref="H977">IF(
 OR(
  LEFT(B977,15)="state.character",
  RIGHT(B977,6)=".maxed"
 ),
 0,
 LET(
  sort,
   _xlfn.XLOOKUP(
    B977,
    tblChecklist[TargetID],
    tblChecklist[PlayerSort],
    0
   ),
  IF(sort=0,500,sort)
 )
)</f>
        <v>500</v>
      </c>
      <c r="I977" s="49" t="str">
        <f t="array" ref="I977">_xlfn.XLOOKUP(
 B977,
 tblTargetStatus[TargetID],
 tblTargetStatus[Status],
 ""
)</f>
        <v>BLOCKED</v>
      </c>
      <c r="J977" s="45" t="b">
        <v>0</v>
      </c>
    </row>
    <row r="978" ht="14.25" hidden="1" customHeight="1">
      <c r="A978" s="49" t="s">
        <v>2621</v>
      </c>
      <c r="B978" s="49" t="str">
        <f>IFERROR(__xludf.DUMMYFUNCTION("REGEXREPLACE(
 REGEXREPLACE(A978,""^cost\."",""""),
 ""\.[^.]+\.[^.]+$"",
 """"
)"),"collection.kitchen_and_buttery_1@1")</f>
        <v>collection.kitchen_and_buttery_1@1</v>
      </c>
      <c r="C978" s="49" t="str">
        <f t="array" ref="C978">_xlfn.XLOOKUP(
 B978,
 tblTargets[TargetID],
 tblTargets[DisplayName],
 ""
)</f>
        <v>Kitchen And Buttery 1 Lv 1</v>
      </c>
      <c r="D978" s="49" t="str">
        <f t="array" ref="D978">_xlfn.XLOOKUP(
 B978,
 tblTargets[TargetID],
 tblTargets[TargetType],
 ""
)</f>
        <v>COLLECTION</v>
      </c>
      <c r="E978" s="49" t="s">
        <v>711</v>
      </c>
      <c r="F978" s="49">
        <v>1.0</v>
      </c>
      <c r="G978" s="49">
        <f t="array" ref="G978">_xlfn.XLOOKUP(
 A978,
 tblCost[RequirementID],
 tblCost[QuantityRequired],
 ""
)</f>
        <v>15</v>
      </c>
      <c r="H978" s="49">
        <f t="array" ref="H978">IF(
 OR(
  LEFT(B978,15)="state.character",
  RIGHT(B978,6)=".maxed"
 ),
 0,
 LET(
  sort,
   _xlfn.XLOOKUP(
    B978,
    tblChecklist[TargetID],
    tblChecklist[PlayerSort],
    0
   ),
  IF(sort=0,500,sort)
 )
)</f>
        <v>500</v>
      </c>
      <c r="I978" s="49" t="str">
        <f t="array" ref="I978">_xlfn.XLOOKUP(
 B978,
 tblTargetStatus[TargetID],
 tblTargetStatus[Status],
 ""
)</f>
        <v>BLOCKED</v>
      </c>
      <c r="J978" s="45" t="b">
        <v>0</v>
      </c>
    </row>
    <row r="979" ht="14.25" hidden="1" customHeight="1">
      <c r="A979" s="49" t="s">
        <v>2622</v>
      </c>
      <c r="B979" s="49" t="str">
        <f>IFERROR(__xludf.DUMMYFUNCTION("REGEXREPLACE(
 REGEXREPLACE(A979,""^cost\."",""""),
 ""\.[^.]+\.[^.]+$"",
 """"
)"),"collection.kitchen_and_buttery_1@2")</f>
        <v>collection.kitchen_and_buttery_1@2</v>
      </c>
      <c r="C979" s="49" t="str">
        <f t="array" ref="C979">_xlfn.XLOOKUP(
 B979,
 tblTargets[TargetID],
 tblTargets[DisplayName],
 ""
)</f>
        <v>Kitchen And Buttery 1 Lv 2</v>
      </c>
      <c r="D979" s="49" t="str">
        <f t="array" ref="D979">_xlfn.XLOOKUP(
 B979,
 tblTargets[TargetID],
 tblTargets[TargetType],
 ""
)</f>
        <v>COLLECTION</v>
      </c>
      <c r="E979" s="49" t="s">
        <v>2486</v>
      </c>
      <c r="F979" s="49">
        <v>1.0</v>
      </c>
      <c r="G979" s="49">
        <f t="array" ref="G979">_xlfn.XLOOKUP(
 A979,
 tblCost[RequirementID],
 tblCost[QuantityRequired],
 ""
)</f>
        <v>20</v>
      </c>
      <c r="H979" s="49">
        <f t="array" ref="H979">IF(
 OR(
  LEFT(B979,15)="state.character",
  RIGHT(B979,6)=".maxed"
 ),
 0,
 LET(
  sort,
   _xlfn.XLOOKUP(
    B979,
    tblChecklist[TargetID],
    tblChecklist[PlayerSort],
    0
   ),
  IF(sort=0,500,sort)
 )
)</f>
        <v>500</v>
      </c>
      <c r="I979" s="49" t="str">
        <f t="array" ref="I979">_xlfn.XLOOKUP(
 B979,
 tblTargetStatus[TargetID],
 tblTargetStatus[Status],
 ""
)</f>
        <v>BLOCKED</v>
      </c>
      <c r="J979" s="45" t="b">
        <v>0</v>
      </c>
    </row>
    <row r="980" ht="14.25" hidden="1" customHeight="1">
      <c r="A980" s="49" t="s">
        <v>2623</v>
      </c>
      <c r="B980" s="49" t="str">
        <f>IFERROR(__xludf.DUMMYFUNCTION("REGEXREPLACE(
 REGEXREPLACE(A980,""^cost\."",""""),
 ""\.[^.]+\.[^.]+$"",
 """"
)"),"collection.kitchen_and_buttery_1@2")</f>
        <v>collection.kitchen_and_buttery_1@2</v>
      </c>
      <c r="C980" s="49" t="str">
        <f t="array" ref="C980">_xlfn.XLOOKUP(
 B980,
 tblTargets[TargetID],
 tblTargets[DisplayName],
 ""
)</f>
        <v>Kitchen And Buttery 1 Lv 2</v>
      </c>
      <c r="D980" s="49" t="str">
        <f t="array" ref="D980">_xlfn.XLOOKUP(
 B980,
 tblTargets[TargetID],
 tblTargets[TargetType],
 ""
)</f>
        <v>COLLECTION</v>
      </c>
      <c r="E980" s="49" t="s">
        <v>2611</v>
      </c>
      <c r="F980" s="49">
        <v>1.0</v>
      </c>
      <c r="G980" s="49">
        <f t="array" ref="G980">_xlfn.XLOOKUP(
 A980,
 tblCost[RequirementID],
 tblCost[QuantityRequired],
 ""
)</f>
        <v>20</v>
      </c>
      <c r="H980" s="49">
        <f t="array" ref="H980">IF(
 OR(
  LEFT(B980,15)="state.character",
  RIGHT(B980,6)=".maxed"
 ),
 0,
 LET(
  sort,
   _xlfn.XLOOKUP(
    B980,
    tblChecklist[TargetID],
    tblChecklist[PlayerSort],
    0
   ),
  IF(sort=0,500,sort)
 )
)</f>
        <v>500</v>
      </c>
      <c r="I980" s="49" t="str">
        <f t="array" ref="I980">_xlfn.XLOOKUP(
 B980,
 tblTargetStatus[TargetID],
 tblTargetStatus[Status],
 ""
)</f>
        <v>BLOCKED</v>
      </c>
      <c r="J980" s="45" t="b">
        <v>0</v>
      </c>
    </row>
    <row r="981" ht="14.25" hidden="1" customHeight="1">
      <c r="A981" s="49" t="s">
        <v>2624</v>
      </c>
      <c r="B981" s="49" t="str">
        <f>IFERROR(__xludf.DUMMYFUNCTION("REGEXREPLACE(
 REGEXREPLACE(A981,""^cost\."",""""),
 ""\.[^.]+\.[^.]+$"",
 """"
)"),"collection.kitchen_and_buttery_1@2")</f>
        <v>collection.kitchen_and_buttery_1@2</v>
      </c>
      <c r="C981" s="49" t="str">
        <f t="array" ref="C981">_xlfn.XLOOKUP(
 B981,
 tblTargets[TargetID],
 tblTargets[DisplayName],
 ""
)</f>
        <v>Kitchen And Buttery 1 Lv 2</v>
      </c>
      <c r="D981" s="49" t="str">
        <f t="array" ref="D981">_xlfn.XLOOKUP(
 B981,
 tblTargets[TargetID],
 tblTargets[TargetType],
 ""
)</f>
        <v>COLLECTION</v>
      </c>
      <c r="E981" s="49" t="s">
        <v>588</v>
      </c>
      <c r="F981" s="49">
        <v>1.0</v>
      </c>
      <c r="G981" s="49">
        <f t="array" ref="G981">_xlfn.XLOOKUP(
 A981,
 tblCost[RequirementID],
 tblCost[QuantityRequired],
 ""
)</f>
        <v>30</v>
      </c>
      <c r="H981" s="49">
        <f t="array" ref="H981">IF(
 OR(
  LEFT(B981,15)="state.character",
  RIGHT(B981,6)=".maxed"
 ),
 0,
 LET(
  sort,
   _xlfn.XLOOKUP(
    B981,
    tblChecklist[TargetID],
    tblChecklist[PlayerSort],
    0
   ),
  IF(sort=0,500,sort)
 )
)</f>
        <v>500</v>
      </c>
      <c r="I981" s="49" t="str">
        <f t="array" ref="I981">_xlfn.XLOOKUP(
 B981,
 tblTargetStatus[TargetID],
 tblTargetStatus[Status],
 ""
)</f>
        <v>BLOCKED</v>
      </c>
      <c r="J981" s="45" t="b">
        <v>0</v>
      </c>
    </row>
    <row r="982" ht="14.25" hidden="1" customHeight="1">
      <c r="A982" s="49" t="s">
        <v>2625</v>
      </c>
      <c r="B982" s="49" t="str">
        <f>IFERROR(__xludf.DUMMYFUNCTION("REGEXREPLACE(
 REGEXREPLACE(A982,""^cost\."",""""),
 ""\.[^.]+\.[^.]+$"",
 """"
)"),"collection.kitchen_and_buttery_1@2")</f>
        <v>collection.kitchen_and_buttery_1@2</v>
      </c>
      <c r="C982" s="49" t="str">
        <f t="array" ref="C982">_xlfn.XLOOKUP(
 B982,
 tblTargets[TargetID],
 tblTargets[DisplayName],
 ""
)</f>
        <v>Kitchen And Buttery 1 Lv 2</v>
      </c>
      <c r="D982" s="49" t="str">
        <f t="array" ref="D982">_xlfn.XLOOKUP(
 B982,
 tblTargets[TargetID],
 tblTargets[TargetType],
 ""
)</f>
        <v>COLLECTION</v>
      </c>
      <c r="E982" s="49" t="s">
        <v>187</v>
      </c>
      <c r="F982" s="49">
        <v>1.0</v>
      </c>
      <c r="G982" s="49">
        <f t="array" ref="G982">_xlfn.XLOOKUP(
 A982,
 tblCost[RequirementID],
 tblCost[QuantityRequired],
 ""
)</f>
        <v>100</v>
      </c>
      <c r="H982" s="49">
        <f t="array" ref="H982">IF(
 OR(
  LEFT(B982,15)="state.character",
  RIGHT(B982,6)=".maxed"
 ),
 0,
 LET(
  sort,
   _xlfn.XLOOKUP(
    B982,
    tblChecklist[TargetID],
    tblChecklist[PlayerSort],
    0
   ),
  IF(sort=0,500,sort)
 )
)</f>
        <v>500</v>
      </c>
      <c r="I982" s="49" t="str">
        <f t="array" ref="I982">_xlfn.XLOOKUP(
 B982,
 tblTargetStatus[TargetID],
 tblTargetStatus[Status],
 ""
)</f>
        <v>BLOCKED</v>
      </c>
      <c r="J982" s="45" t="b">
        <v>0</v>
      </c>
    </row>
    <row r="983" ht="14.25" hidden="1" customHeight="1">
      <c r="A983" s="49" t="s">
        <v>2626</v>
      </c>
      <c r="B983" s="49" t="str">
        <f>IFERROR(__xludf.DUMMYFUNCTION("REGEXREPLACE(
 REGEXREPLACE(A983,""^cost\."",""""),
 ""\.[^.]+\.[^.]+$"",
 """"
)"),"collection.kitchen_and_buttery_1@2")</f>
        <v>collection.kitchen_and_buttery_1@2</v>
      </c>
      <c r="C983" s="49" t="str">
        <f t="array" ref="C983">_xlfn.XLOOKUP(
 B983,
 tblTargets[TargetID],
 tblTargets[DisplayName],
 ""
)</f>
        <v>Kitchen And Buttery 1 Lv 2</v>
      </c>
      <c r="D983" s="49" t="str">
        <f t="array" ref="D983">_xlfn.XLOOKUP(
 B983,
 tblTargets[TargetID],
 tblTargets[TargetType],
 ""
)</f>
        <v>COLLECTION</v>
      </c>
      <c r="E983" s="49" t="s">
        <v>187</v>
      </c>
      <c r="F983" s="49">
        <v>2.0</v>
      </c>
      <c r="G983" s="49">
        <f t="array" ref="G983">_xlfn.XLOOKUP(
 A983,
 tblCost[RequirementID],
 tblCost[QuantityRequired],
 ""
)</f>
        <v>100</v>
      </c>
      <c r="H983" s="49">
        <f t="array" ref="H983">IF(
 OR(
  LEFT(B983,15)="state.character",
  RIGHT(B983,6)=".maxed"
 ),
 0,
 LET(
  sort,
   _xlfn.XLOOKUP(
    B983,
    tblChecklist[TargetID],
    tblChecklist[PlayerSort],
    0
   ),
  IF(sort=0,500,sort)
 )
)</f>
        <v>500</v>
      </c>
      <c r="I983" s="49" t="str">
        <f t="array" ref="I983">_xlfn.XLOOKUP(
 B983,
 tblTargetStatus[TargetID],
 tblTargetStatus[Status],
 ""
)</f>
        <v>BLOCKED</v>
      </c>
      <c r="J983" s="45" t="b">
        <v>0</v>
      </c>
    </row>
    <row r="984" ht="14.25" hidden="1" customHeight="1">
      <c r="A984" s="49" t="s">
        <v>2627</v>
      </c>
      <c r="B984" s="49" t="str">
        <f>IFERROR(__xludf.DUMMYFUNCTION("REGEXREPLACE(
 REGEXREPLACE(A984,""^cost\."",""""),
 ""\.[^.]+\.[^.]+$"",
 """"
)"),"collection.kitchen_and_buttery_1@2")</f>
        <v>collection.kitchen_and_buttery_1@2</v>
      </c>
      <c r="C984" s="49" t="str">
        <f t="array" ref="C984">_xlfn.XLOOKUP(
 B984,
 tblTargets[TargetID],
 tblTargets[DisplayName],
 ""
)</f>
        <v>Kitchen And Buttery 1 Lv 2</v>
      </c>
      <c r="D984" s="49" t="str">
        <f t="array" ref="D984">_xlfn.XLOOKUP(
 B984,
 tblTargets[TargetID],
 tblTargets[TargetType],
 ""
)</f>
        <v>COLLECTION</v>
      </c>
      <c r="E984" s="49" t="s">
        <v>187</v>
      </c>
      <c r="F984" s="49">
        <v>3.0</v>
      </c>
      <c r="G984" s="49">
        <f t="array" ref="G984">_xlfn.XLOOKUP(
 A984,
 tblCost[RequirementID],
 tblCost[QuantityRequired],
 ""
)</f>
        <v>100</v>
      </c>
      <c r="H984" s="49">
        <f t="array" ref="H984">IF(
 OR(
  LEFT(B984,15)="state.character",
  RIGHT(B984,6)=".maxed"
 ),
 0,
 LET(
  sort,
   _xlfn.XLOOKUP(
    B984,
    tblChecklist[TargetID],
    tblChecklist[PlayerSort],
    0
   ),
  IF(sort=0,500,sort)
 )
)</f>
        <v>500</v>
      </c>
      <c r="I984" s="49" t="str">
        <f t="array" ref="I984">_xlfn.XLOOKUP(
 B984,
 tblTargetStatus[TargetID],
 tblTargetStatus[Status],
 ""
)</f>
        <v>BLOCKED</v>
      </c>
      <c r="J984" s="45" t="b">
        <v>0</v>
      </c>
    </row>
    <row r="985" ht="14.25" hidden="1" customHeight="1">
      <c r="A985" s="49" t="s">
        <v>2628</v>
      </c>
      <c r="B985" s="49" t="str">
        <f>IFERROR(__xludf.DUMMYFUNCTION("REGEXREPLACE(
 REGEXREPLACE(A985,""^cost\."",""""),
 ""\.[^.]+\.[^.]+$"",
 """"
)"),"collection.kitchen_and_buttery_1@2")</f>
        <v>collection.kitchen_and_buttery_1@2</v>
      </c>
      <c r="C985" s="49" t="str">
        <f t="array" ref="C985">_xlfn.XLOOKUP(
 B985,
 tblTargets[TargetID],
 tblTargets[DisplayName],
 ""
)</f>
        <v>Kitchen And Buttery 1 Lv 2</v>
      </c>
      <c r="D985" s="49" t="str">
        <f t="array" ref="D985">_xlfn.XLOOKUP(
 B985,
 tblTargets[TargetID],
 tblTargets[TargetType],
 ""
)</f>
        <v>COLLECTION</v>
      </c>
      <c r="E985" s="49" t="s">
        <v>187</v>
      </c>
      <c r="F985" s="49">
        <v>4.0</v>
      </c>
      <c r="G985" s="49">
        <f t="array" ref="G985">_xlfn.XLOOKUP(
 A985,
 tblCost[RequirementID],
 tblCost[QuantityRequired],
 ""
)</f>
        <v>100</v>
      </c>
      <c r="H985" s="49">
        <f t="array" ref="H985">IF(
 OR(
  LEFT(B985,15)="state.character",
  RIGHT(B985,6)=".maxed"
 ),
 0,
 LET(
  sort,
   _xlfn.XLOOKUP(
    B985,
    tblChecklist[TargetID],
    tblChecklist[PlayerSort],
    0
   ),
  IF(sort=0,500,sort)
 )
)</f>
        <v>500</v>
      </c>
      <c r="I985" s="49" t="str">
        <f t="array" ref="I985">_xlfn.XLOOKUP(
 B985,
 tblTargetStatus[TargetID],
 tblTargetStatus[Status],
 ""
)</f>
        <v>BLOCKED</v>
      </c>
      <c r="J985" s="45" t="b">
        <v>0</v>
      </c>
    </row>
    <row r="986" ht="14.25" hidden="1" customHeight="1">
      <c r="A986" s="49" t="s">
        <v>2629</v>
      </c>
      <c r="B986" s="49" t="str">
        <f>IFERROR(__xludf.DUMMYFUNCTION("REGEXREPLACE(
 REGEXREPLACE(A986,""^cost\."",""""),
 ""\.[^.]+\.[^.]+$"",
 """"
)"),"collection.kitchen_and_buttery_1@2")</f>
        <v>collection.kitchen_and_buttery_1@2</v>
      </c>
      <c r="C986" s="49" t="str">
        <f t="array" ref="C986">_xlfn.XLOOKUP(
 B986,
 tblTargets[TargetID],
 tblTargets[DisplayName],
 ""
)</f>
        <v>Kitchen And Buttery 1 Lv 2</v>
      </c>
      <c r="D986" s="49" t="str">
        <f t="array" ref="D986">_xlfn.XLOOKUP(
 B986,
 tblTargets[TargetID],
 tblTargets[TargetType],
 ""
)</f>
        <v>COLLECTION</v>
      </c>
      <c r="E986" s="49" t="s">
        <v>187</v>
      </c>
      <c r="F986" s="49">
        <v>5.0</v>
      </c>
      <c r="G986" s="49">
        <f t="array" ref="G986">_xlfn.XLOOKUP(
 A986,
 tblCost[RequirementID],
 tblCost[QuantityRequired],
 ""
)</f>
        <v>100</v>
      </c>
      <c r="H986" s="49">
        <f t="array" ref="H986">IF(
 OR(
  LEFT(B986,15)="state.character",
  RIGHT(B986,6)=".maxed"
 ),
 0,
 LET(
  sort,
   _xlfn.XLOOKUP(
    B986,
    tblChecklist[TargetID],
    tblChecklist[PlayerSort],
    0
   ),
  IF(sort=0,500,sort)
 )
)</f>
        <v>500</v>
      </c>
      <c r="I986" s="49" t="str">
        <f t="array" ref="I986">_xlfn.XLOOKUP(
 B986,
 tblTargetStatus[TargetID],
 tblTargetStatus[Status],
 ""
)</f>
        <v>BLOCKED</v>
      </c>
      <c r="J986" s="45" t="b">
        <v>0</v>
      </c>
    </row>
    <row r="987" ht="14.25" hidden="1" customHeight="1">
      <c r="A987" s="49" t="s">
        <v>2630</v>
      </c>
      <c r="B987" s="49" t="str">
        <f>IFERROR(__xludf.DUMMYFUNCTION("REGEXREPLACE(
 REGEXREPLACE(A987,""^cost\."",""""),
 ""\.[^.]+\.[^.]+$"",
 """"
)"),"collection.kitchen_and_buttery_1@2")</f>
        <v>collection.kitchen_and_buttery_1@2</v>
      </c>
      <c r="C987" s="49" t="str">
        <f t="array" ref="C987">_xlfn.XLOOKUP(
 B987,
 tblTargets[TargetID],
 tblTargets[DisplayName],
 ""
)</f>
        <v>Kitchen And Buttery 1 Lv 2</v>
      </c>
      <c r="D987" s="49" t="str">
        <f t="array" ref="D987">_xlfn.XLOOKUP(
 B987,
 tblTargets[TargetID],
 tblTargets[TargetType],
 ""
)</f>
        <v>COLLECTION</v>
      </c>
      <c r="E987" s="49" t="s">
        <v>187</v>
      </c>
      <c r="F987" s="49">
        <v>6.0</v>
      </c>
      <c r="G987" s="49">
        <f t="array" ref="G987">_xlfn.XLOOKUP(
 A987,
 tblCost[RequirementID],
 tblCost[QuantityRequired],
 ""
)</f>
        <v>100</v>
      </c>
      <c r="H987" s="49">
        <f t="array" ref="H987">IF(
 OR(
  LEFT(B987,15)="state.character",
  RIGHT(B987,6)=".maxed"
 ),
 0,
 LET(
  sort,
   _xlfn.XLOOKUP(
    B987,
    tblChecklist[TargetID],
    tblChecklist[PlayerSort],
    0
   ),
  IF(sort=0,500,sort)
 )
)</f>
        <v>500</v>
      </c>
      <c r="I987" s="49" t="str">
        <f t="array" ref="I987">_xlfn.XLOOKUP(
 B987,
 tblTargetStatus[TargetID],
 tblTargetStatus[Status],
 ""
)</f>
        <v>BLOCKED</v>
      </c>
      <c r="J987" s="45" t="b">
        <v>0</v>
      </c>
    </row>
    <row r="988" ht="14.25" hidden="1" customHeight="1">
      <c r="A988" s="49" t="s">
        <v>2631</v>
      </c>
      <c r="B988" s="49" t="str">
        <f>IFERROR(__xludf.DUMMYFUNCTION("REGEXREPLACE(
 REGEXREPLACE(A988,""^cost\."",""""),
 ""\.[^.]+\.[^.]+$"",
 """"
)"),"collection.kitchen_and_buttery_1@2")</f>
        <v>collection.kitchen_and_buttery_1@2</v>
      </c>
      <c r="C988" s="49" t="str">
        <f t="array" ref="C988">_xlfn.XLOOKUP(
 B988,
 tblTargets[TargetID],
 tblTargets[DisplayName],
 ""
)</f>
        <v>Kitchen And Buttery 1 Lv 2</v>
      </c>
      <c r="D988" s="49" t="str">
        <f t="array" ref="D988">_xlfn.XLOOKUP(
 B988,
 tblTargets[TargetID],
 tblTargets[TargetType],
 ""
)</f>
        <v>COLLECTION</v>
      </c>
      <c r="E988" s="49" t="s">
        <v>187</v>
      </c>
      <c r="F988" s="49">
        <v>7.0</v>
      </c>
      <c r="G988" s="49">
        <f t="array" ref="G988">_xlfn.XLOOKUP(
 A988,
 tblCost[RequirementID],
 tblCost[QuantityRequired],
 ""
)</f>
        <v>100</v>
      </c>
      <c r="H988" s="49">
        <f t="array" ref="H988">IF(
 OR(
  LEFT(B988,15)="state.character",
  RIGHT(B988,6)=".maxed"
 ),
 0,
 LET(
  sort,
   _xlfn.XLOOKUP(
    B988,
    tblChecklist[TargetID],
    tblChecklist[PlayerSort],
    0
   ),
  IF(sort=0,500,sort)
 )
)</f>
        <v>500</v>
      </c>
      <c r="I988" s="49" t="str">
        <f t="array" ref="I988">_xlfn.XLOOKUP(
 B988,
 tblTargetStatus[TargetID],
 tblTargetStatus[Status],
 ""
)</f>
        <v>BLOCKED</v>
      </c>
      <c r="J988" s="45" t="b">
        <v>0</v>
      </c>
    </row>
    <row r="989" ht="14.25" hidden="1" customHeight="1">
      <c r="A989" s="49" t="s">
        <v>2632</v>
      </c>
      <c r="B989" s="49" t="str">
        <f>IFERROR(__xludf.DUMMYFUNCTION("REGEXREPLACE(
 REGEXREPLACE(A989,""^cost\."",""""),
 ""\.[^.]+\.[^.]+$"",
 """"
)"),"collection.kitchen_and_buttery_1@2")</f>
        <v>collection.kitchen_and_buttery_1@2</v>
      </c>
      <c r="C989" s="49" t="str">
        <f t="array" ref="C989">_xlfn.XLOOKUP(
 B989,
 tblTargets[TargetID],
 tblTargets[DisplayName],
 ""
)</f>
        <v>Kitchen And Buttery 1 Lv 2</v>
      </c>
      <c r="D989" s="49" t="str">
        <f t="array" ref="D989">_xlfn.XLOOKUP(
 B989,
 tblTargets[TargetID],
 tblTargets[TargetType],
 ""
)</f>
        <v>COLLECTION</v>
      </c>
      <c r="E989" s="49" t="s">
        <v>187</v>
      </c>
      <c r="F989" s="49">
        <v>8.0</v>
      </c>
      <c r="G989" s="49">
        <f t="array" ref="G989">_xlfn.XLOOKUP(
 A989,
 tblCost[RequirementID],
 tblCost[QuantityRequired],
 ""
)</f>
        <v>100</v>
      </c>
      <c r="H989" s="49">
        <f t="array" ref="H989">IF(
 OR(
  LEFT(B989,15)="state.character",
  RIGHT(B989,6)=".maxed"
 ),
 0,
 LET(
  sort,
   _xlfn.XLOOKUP(
    B989,
    tblChecklist[TargetID],
    tblChecklist[PlayerSort],
    0
   ),
  IF(sort=0,500,sort)
 )
)</f>
        <v>500</v>
      </c>
      <c r="I989" s="49" t="str">
        <f t="array" ref="I989">_xlfn.XLOOKUP(
 B989,
 tblTargetStatus[TargetID],
 tblTargetStatus[Status],
 ""
)</f>
        <v>BLOCKED</v>
      </c>
      <c r="J989" s="45" t="b">
        <v>0</v>
      </c>
    </row>
    <row r="990" ht="14.25" hidden="1" customHeight="1">
      <c r="A990" s="49" t="s">
        <v>2633</v>
      </c>
      <c r="B990" s="49" t="str">
        <f>IFERROR(__xludf.DUMMYFUNCTION("REGEXREPLACE(
 REGEXREPLACE(A990,""^cost\."",""""),
 ""\.[^.]+\.[^.]+$"",
 """"
)"),"collection.kitchen_and_buttery_1@2")</f>
        <v>collection.kitchen_and_buttery_1@2</v>
      </c>
      <c r="C990" s="49" t="str">
        <f t="array" ref="C990">_xlfn.XLOOKUP(
 B990,
 tblTargets[TargetID],
 tblTargets[DisplayName],
 ""
)</f>
        <v>Kitchen And Buttery 1 Lv 2</v>
      </c>
      <c r="D990" s="49" t="str">
        <f t="array" ref="D990">_xlfn.XLOOKUP(
 B990,
 tblTargets[TargetID],
 tblTargets[TargetType],
 ""
)</f>
        <v>COLLECTION</v>
      </c>
      <c r="E990" s="49" t="s">
        <v>711</v>
      </c>
      <c r="F990" s="49">
        <v>1.0</v>
      </c>
      <c r="G990" s="49">
        <f t="array" ref="G990">_xlfn.XLOOKUP(
 A990,
 tblCost[RequirementID],
 tblCost[QuantityRequired],
 ""
)</f>
        <v>30</v>
      </c>
      <c r="H990" s="49">
        <f t="array" ref="H990">IF(
 OR(
  LEFT(B990,15)="state.character",
  RIGHT(B990,6)=".maxed"
 ),
 0,
 LET(
  sort,
   _xlfn.XLOOKUP(
    B990,
    tblChecklist[TargetID],
    tblChecklist[PlayerSort],
    0
   ),
  IF(sort=0,500,sort)
 )
)</f>
        <v>500</v>
      </c>
      <c r="I990" s="49" t="str">
        <f t="array" ref="I990">_xlfn.XLOOKUP(
 B990,
 tblTargetStatus[TargetID],
 tblTargetStatus[Status],
 ""
)</f>
        <v>BLOCKED</v>
      </c>
      <c r="J990" s="45" t="b">
        <v>0</v>
      </c>
    </row>
    <row r="991" ht="14.25" hidden="1" customHeight="1">
      <c r="A991" s="49" t="s">
        <v>2634</v>
      </c>
      <c r="B991" s="49" t="str">
        <f>IFERROR(__xludf.DUMMYFUNCTION("REGEXREPLACE(
 REGEXREPLACE(A991,""^cost\."",""""),
 ""\.[^.]+\.[^.]+$"",
 """"
)"),"collection.kitchen_and_buttery_1@3")</f>
        <v>collection.kitchen_and_buttery_1@3</v>
      </c>
      <c r="C991" s="49" t="str">
        <f t="array" ref="C991">_xlfn.XLOOKUP(
 B991,
 tblTargets[TargetID],
 tblTargets[DisplayName],
 ""
)</f>
        <v>Kitchen And Buttery 1 Lv 3</v>
      </c>
      <c r="D991" s="49" t="str">
        <f t="array" ref="D991">_xlfn.XLOOKUP(
 B991,
 tblTargets[TargetID],
 tblTargets[TargetType],
 ""
)</f>
        <v>COLLECTION</v>
      </c>
      <c r="E991" s="49" t="s">
        <v>2486</v>
      </c>
      <c r="F991" s="49">
        <v>1.0</v>
      </c>
      <c r="G991" s="49">
        <f t="array" ref="G991">_xlfn.XLOOKUP(
 A991,
 tblCost[RequirementID],
 tblCost[QuantityRequired],
 ""
)</f>
        <v>30</v>
      </c>
      <c r="H991" s="49">
        <f t="array" ref="H991">IF(
 OR(
  LEFT(B991,15)="state.character",
  RIGHT(B991,6)=".maxed"
 ),
 0,
 LET(
  sort,
   _xlfn.XLOOKUP(
    B991,
    tblChecklist[TargetID],
    tblChecklist[PlayerSort],
    0
   ),
  IF(sort=0,500,sort)
 )
)</f>
        <v>500</v>
      </c>
      <c r="I991" s="49" t="str">
        <f t="array" ref="I991">_xlfn.XLOOKUP(
 B991,
 tblTargetStatus[TargetID],
 tblTargetStatus[Status],
 ""
)</f>
        <v>BLOCKED</v>
      </c>
      <c r="J991" s="45" t="b">
        <v>0</v>
      </c>
    </row>
    <row r="992" ht="14.25" hidden="1" customHeight="1">
      <c r="A992" s="49" t="s">
        <v>2635</v>
      </c>
      <c r="B992" s="49" t="str">
        <f>IFERROR(__xludf.DUMMYFUNCTION("REGEXREPLACE(
 REGEXREPLACE(A992,""^cost\."",""""),
 ""\.[^.]+\.[^.]+$"",
 """"
)"),"collection.kitchen_and_buttery_1@3")</f>
        <v>collection.kitchen_and_buttery_1@3</v>
      </c>
      <c r="C992" s="49" t="str">
        <f t="array" ref="C992">_xlfn.XLOOKUP(
 B992,
 tblTargets[TargetID],
 tblTargets[DisplayName],
 ""
)</f>
        <v>Kitchen And Buttery 1 Lv 3</v>
      </c>
      <c r="D992" s="49" t="str">
        <f t="array" ref="D992">_xlfn.XLOOKUP(
 B992,
 tblTargets[TargetID],
 tblTargets[TargetType],
 ""
)</f>
        <v>COLLECTION</v>
      </c>
      <c r="E992" s="49" t="s">
        <v>2611</v>
      </c>
      <c r="F992" s="49">
        <v>1.0</v>
      </c>
      <c r="G992" s="49">
        <f t="array" ref="G992">_xlfn.XLOOKUP(
 A992,
 tblCost[RequirementID],
 tblCost[QuantityRequired],
 ""
)</f>
        <v>30</v>
      </c>
      <c r="H992" s="49">
        <f t="array" ref="H992">IF(
 OR(
  LEFT(B992,15)="state.character",
  RIGHT(B992,6)=".maxed"
 ),
 0,
 LET(
  sort,
   _xlfn.XLOOKUP(
    B992,
    tblChecklist[TargetID],
    tblChecklist[PlayerSort],
    0
   ),
  IF(sort=0,500,sort)
 )
)</f>
        <v>500</v>
      </c>
      <c r="I992" s="49" t="str">
        <f t="array" ref="I992">_xlfn.XLOOKUP(
 B992,
 tblTargetStatus[TargetID],
 tblTargetStatus[Status],
 ""
)</f>
        <v>BLOCKED</v>
      </c>
      <c r="J992" s="45" t="b">
        <v>0</v>
      </c>
    </row>
    <row r="993" ht="14.25" hidden="1" customHeight="1">
      <c r="A993" s="49" t="s">
        <v>2636</v>
      </c>
      <c r="B993" s="49" t="str">
        <f>IFERROR(__xludf.DUMMYFUNCTION("REGEXREPLACE(
 REGEXREPLACE(A993,""^cost\."",""""),
 ""\.[^.]+\.[^.]+$"",
 """"
)"),"collection.kitchen_and_buttery_1@3")</f>
        <v>collection.kitchen_and_buttery_1@3</v>
      </c>
      <c r="C993" s="49" t="str">
        <f t="array" ref="C993">_xlfn.XLOOKUP(
 B993,
 tblTargets[TargetID],
 tblTargets[DisplayName],
 ""
)</f>
        <v>Kitchen And Buttery 1 Lv 3</v>
      </c>
      <c r="D993" s="49" t="str">
        <f t="array" ref="D993">_xlfn.XLOOKUP(
 B993,
 tblTargets[TargetID],
 tblTargets[TargetType],
 ""
)</f>
        <v>COLLECTION</v>
      </c>
      <c r="E993" s="49" t="s">
        <v>588</v>
      </c>
      <c r="F993" s="49">
        <v>1.0</v>
      </c>
      <c r="G993" s="49">
        <f t="array" ref="G993">_xlfn.XLOOKUP(
 A993,
 tblCost[RequirementID],
 tblCost[QuantityRequired],
 ""
)</f>
        <v>45</v>
      </c>
      <c r="H993" s="49">
        <f t="array" ref="H993">IF(
 OR(
  LEFT(B993,15)="state.character",
  RIGHT(B993,6)=".maxed"
 ),
 0,
 LET(
  sort,
   _xlfn.XLOOKUP(
    B993,
    tblChecklist[TargetID],
    tblChecklist[PlayerSort],
    0
   ),
  IF(sort=0,500,sort)
 )
)</f>
        <v>500</v>
      </c>
      <c r="I993" s="49" t="str">
        <f t="array" ref="I993">_xlfn.XLOOKUP(
 B993,
 tblTargetStatus[TargetID],
 tblTargetStatus[Status],
 ""
)</f>
        <v>BLOCKED</v>
      </c>
      <c r="J993" s="45" t="b">
        <v>0</v>
      </c>
    </row>
    <row r="994" ht="14.25" hidden="1" customHeight="1">
      <c r="A994" s="49" t="s">
        <v>2637</v>
      </c>
      <c r="B994" s="49" t="str">
        <f>IFERROR(__xludf.DUMMYFUNCTION("REGEXREPLACE(
 REGEXREPLACE(A994,""^cost\."",""""),
 ""\.[^.]+\.[^.]+$"",
 """"
)"),"collection.kitchen_and_buttery_1@3")</f>
        <v>collection.kitchen_and_buttery_1@3</v>
      </c>
      <c r="C994" s="49" t="str">
        <f t="array" ref="C994">_xlfn.XLOOKUP(
 B994,
 tblTargets[TargetID],
 tblTargets[DisplayName],
 ""
)</f>
        <v>Kitchen And Buttery 1 Lv 3</v>
      </c>
      <c r="D994" s="49" t="str">
        <f t="array" ref="D994">_xlfn.XLOOKUP(
 B994,
 tblTargets[TargetID],
 tblTargets[TargetType],
 ""
)</f>
        <v>COLLECTION</v>
      </c>
      <c r="E994" s="49" t="s">
        <v>187</v>
      </c>
      <c r="F994" s="49">
        <v>1.0</v>
      </c>
      <c r="G994" s="49">
        <f t="array" ref="G994">_xlfn.XLOOKUP(
 A994,
 tblCost[RequirementID],
 tblCost[QuantityRequired],
 ""
)</f>
        <v>150</v>
      </c>
      <c r="H994" s="49">
        <f t="array" ref="H994">IF(
 OR(
  LEFT(B994,15)="state.character",
  RIGHT(B994,6)=".maxed"
 ),
 0,
 LET(
  sort,
   _xlfn.XLOOKUP(
    B994,
    tblChecklist[TargetID],
    tblChecklist[PlayerSort],
    0
   ),
  IF(sort=0,500,sort)
 )
)</f>
        <v>500</v>
      </c>
      <c r="I994" s="49" t="str">
        <f t="array" ref="I994">_xlfn.XLOOKUP(
 B994,
 tblTargetStatus[TargetID],
 tblTargetStatus[Status],
 ""
)</f>
        <v>BLOCKED</v>
      </c>
      <c r="J994" s="45" t="b">
        <v>0</v>
      </c>
    </row>
    <row r="995" ht="14.25" hidden="1" customHeight="1">
      <c r="A995" s="49" t="s">
        <v>2638</v>
      </c>
      <c r="B995" s="49" t="str">
        <f>IFERROR(__xludf.DUMMYFUNCTION("REGEXREPLACE(
 REGEXREPLACE(A995,""^cost\."",""""),
 ""\.[^.]+\.[^.]+$"",
 """"
)"),"collection.kitchen_and_buttery_1@3")</f>
        <v>collection.kitchen_and_buttery_1@3</v>
      </c>
      <c r="C995" s="49" t="str">
        <f t="array" ref="C995">_xlfn.XLOOKUP(
 B995,
 tblTargets[TargetID],
 tblTargets[DisplayName],
 ""
)</f>
        <v>Kitchen And Buttery 1 Lv 3</v>
      </c>
      <c r="D995" s="49" t="str">
        <f t="array" ref="D995">_xlfn.XLOOKUP(
 B995,
 tblTargets[TargetID],
 tblTargets[TargetType],
 ""
)</f>
        <v>COLLECTION</v>
      </c>
      <c r="E995" s="49" t="s">
        <v>187</v>
      </c>
      <c r="F995" s="49">
        <v>2.0</v>
      </c>
      <c r="G995" s="49">
        <f t="array" ref="G995">_xlfn.XLOOKUP(
 A995,
 tblCost[RequirementID],
 tblCost[QuantityRequired],
 ""
)</f>
        <v>150</v>
      </c>
      <c r="H995" s="49">
        <f t="array" ref="H995">IF(
 OR(
  LEFT(B995,15)="state.character",
  RIGHT(B995,6)=".maxed"
 ),
 0,
 LET(
  sort,
   _xlfn.XLOOKUP(
    B995,
    tblChecklist[TargetID],
    tblChecklist[PlayerSort],
    0
   ),
  IF(sort=0,500,sort)
 )
)</f>
        <v>500</v>
      </c>
      <c r="I995" s="49" t="str">
        <f t="array" ref="I995">_xlfn.XLOOKUP(
 B995,
 tblTargetStatus[TargetID],
 tblTargetStatus[Status],
 ""
)</f>
        <v>BLOCKED</v>
      </c>
      <c r="J995" s="45" t="b">
        <v>0</v>
      </c>
    </row>
    <row r="996" ht="14.25" hidden="1" customHeight="1">
      <c r="A996" s="49" t="s">
        <v>2639</v>
      </c>
      <c r="B996" s="49" t="str">
        <f>IFERROR(__xludf.DUMMYFUNCTION("REGEXREPLACE(
 REGEXREPLACE(A996,""^cost\."",""""),
 ""\.[^.]+\.[^.]+$"",
 """"
)"),"collection.kitchen_and_buttery_1@3")</f>
        <v>collection.kitchen_and_buttery_1@3</v>
      </c>
      <c r="C996" s="49" t="str">
        <f t="array" ref="C996">_xlfn.XLOOKUP(
 B996,
 tblTargets[TargetID],
 tblTargets[DisplayName],
 ""
)</f>
        <v>Kitchen And Buttery 1 Lv 3</v>
      </c>
      <c r="D996" s="49" t="str">
        <f t="array" ref="D996">_xlfn.XLOOKUP(
 B996,
 tblTargets[TargetID],
 tblTargets[TargetType],
 ""
)</f>
        <v>COLLECTION</v>
      </c>
      <c r="E996" s="49" t="s">
        <v>187</v>
      </c>
      <c r="F996" s="49">
        <v>3.0</v>
      </c>
      <c r="G996" s="49">
        <f t="array" ref="G996">_xlfn.XLOOKUP(
 A996,
 tblCost[RequirementID],
 tblCost[QuantityRequired],
 ""
)</f>
        <v>150</v>
      </c>
      <c r="H996" s="49">
        <f t="array" ref="H996">IF(
 OR(
  LEFT(B996,15)="state.character",
  RIGHT(B996,6)=".maxed"
 ),
 0,
 LET(
  sort,
   _xlfn.XLOOKUP(
    B996,
    tblChecklist[TargetID],
    tblChecklist[PlayerSort],
    0
   ),
  IF(sort=0,500,sort)
 )
)</f>
        <v>500</v>
      </c>
      <c r="I996" s="49" t="str">
        <f t="array" ref="I996">_xlfn.XLOOKUP(
 B996,
 tblTargetStatus[TargetID],
 tblTargetStatus[Status],
 ""
)</f>
        <v>BLOCKED</v>
      </c>
      <c r="J996" s="45" t="b">
        <v>0</v>
      </c>
    </row>
    <row r="997" ht="14.25" hidden="1" customHeight="1">
      <c r="A997" s="49" t="s">
        <v>2640</v>
      </c>
      <c r="B997" s="49" t="str">
        <f>IFERROR(__xludf.DUMMYFUNCTION("REGEXREPLACE(
 REGEXREPLACE(A997,""^cost\."",""""),
 ""\.[^.]+\.[^.]+$"",
 """"
)"),"collection.kitchen_and_buttery_1@3")</f>
        <v>collection.kitchen_and_buttery_1@3</v>
      </c>
      <c r="C997" s="49" t="str">
        <f t="array" ref="C997">_xlfn.XLOOKUP(
 B997,
 tblTargets[TargetID],
 tblTargets[DisplayName],
 ""
)</f>
        <v>Kitchen And Buttery 1 Lv 3</v>
      </c>
      <c r="D997" s="49" t="str">
        <f t="array" ref="D997">_xlfn.XLOOKUP(
 B997,
 tblTargets[TargetID],
 tblTargets[TargetType],
 ""
)</f>
        <v>COLLECTION</v>
      </c>
      <c r="E997" s="49" t="s">
        <v>187</v>
      </c>
      <c r="F997" s="49">
        <v>4.0</v>
      </c>
      <c r="G997" s="49">
        <f t="array" ref="G997">_xlfn.XLOOKUP(
 A997,
 tblCost[RequirementID],
 tblCost[QuantityRequired],
 ""
)</f>
        <v>150</v>
      </c>
      <c r="H997" s="49">
        <f t="array" ref="H997">IF(
 OR(
  LEFT(B997,15)="state.character",
  RIGHT(B997,6)=".maxed"
 ),
 0,
 LET(
  sort,
   _xlfn.XLOOKUP(
    B997,
    tblChecklist[TargetID],
    tblChecklist[PlayerSort],
    0
   ),
  IF(sort=0,500,sort)
 )
)</f>
        <v>500</v>
      </c>
      <c r="I997" s="49" t="str">
        <f t="array" ref="I997">_xlfn.XLOOKUP(
 B997,
 tblTargetStatus[TargetID],
 tblTargetStatus[Status],
 ""
)</f>
        <v>BLOCKED</v>
      </c>
      <c r="J997" s="45" t="b">
        <v>0</v>
      </c>
    </row>
    <row r="998" ht="14.25" hidden="1" customHeight="1">
      <c r="A998" s="49" t="s">
        <v>2641</v>
      </c>
      <c r="B998" s="49" t="str">
        <f>IFERROR(__xludf.DUMMYFUNCTION("REGEXREPLACE(
 REGEXREPLACE(A998,""^cost\."",""""),
 ""\.[^.]+\.[^.]+$"",
 """"
)"),"collection.kitchen_and_buttery_1@3")</f>
        <v>collection.kitchen_and_buttery_1@3</v>
      </c>
      <c r="C998" s="49" t="str">
        <f t="array" ref="C998">_xlfn.XLOOKUP(
 B998,
 tblTargets[TargetID],
 tblTargets[DisplayName],
 ""
)</f>
        <v>Kitchen And Buttery 1 Lv 3</v>
      </c>
      <c r="D998" s="49" t="str">
        <f t="array" ref="D998">_xlfn.XLOOKUP(
 B998,
 tblTargets[TargetID],
 tblTargets[TargetType],
 ""
)</f>
        <v>COLLECTION</v>
      </c>
      <c r="E998" s="49" t="s">
        <v>187</v>
      </c>
      <c r="F998" s="49">
        <v>5.0</v>
      </c>
      <c r="G998" s="49">
        <f t="array" ref="G998">_xlfn.XLOOKUP(
 A998,
 tblCost[RequirementID],
 tblCost[QuantityRequired],
 ""
)</f>
        <v>150</v>
      </c>
      <c r="H998" s="49">
        <f t="array" ref="H998">IF(
 OR(
  LEFT(B998,15)="state.character",
  RIGHT(B998,6)=".maxed"
 ),
 0,
 LET(
  sort,
   _xlfn.XLOOKUP(
    B998,
    tblChecklist[TargetID],
    tblChecklist[PlayerSort],
    0
   ),
  IF(sort=0,500,sort)
 )
)</f>
        <v>500</v>
      </c>
      <c r="I998" s="49" t="str">
        <f t="array" ref="I998">_xlfn.XLOOKUP(
 B998,
 tblTargetStatus[TargetID],
 tblTargetStatus[Status],
 ""
)</f>
        <v>BLOCKED</v>
      </c>
      <c r="J998" s="45" t="b">
        <v>0</v>
      </c>
    </row>
    <row r="999" ht="14.25" hidden="1" customHeight="1">
      <c r="A999" s="49" t="s">
        <v>2642</v>
      </c>
      <c r="B999" s="49" t="str">
        <f>IFERROR(__xludf.DUMMYFUNCTION("REGEXREPLACE(
 REGEXREPLACE(A999,""^cost\."",""""),
 ""\.[^.]+\.[^.]+$"",
 """"
)"),"collection.kitchen_and_buttery_1@3")</f>
        <v>collection.kitchen_and_buttery_1@3</v>
      </c>
      <c r="C999" s="49" t="str">
        <f t="array" ref="C999">_xlfn.XLOOKUP(
 B999,
 tblTargets[TargetID],
 tblTargets[DisplayName],
 ""
)</f>
        <v>Kitchen And Buttery 1 Lv 3</v>
      </c>
      <c r="D999" s="49" t="str">
        <f t="array" ref="D999">_xlfn.XLOOKUP(
 B999,
 tblTargets[TargetID],
 tblTargets[TargetType],
 ""
)</f>
        <v>COLLECTION</v>
      </c>
      <c r="E999" s="49" t="s">
        <v>187</v>
      </c>
      <c r="F999" s="49">
        <v>6.0</v>
      </c>
      <c r="G999" s="49">
        <f t="array" ref="G999">_xlfn.XLOOKUP(
 A999,
 tblCost[RequirementID],
 tblCost[QuantityRequired],
 ""
)</f>
        <v>150</v>
      </c>
      <c r="H999" s="49">
        <f t="array" ref="H999">IF(
 OR(
  LEFT(B999,15)="state.character",
  RIGHT(B999,6)=".maxed"
 ),
 0,
 LET(
  sort,
   _xlfn.XLOOKUP(
    B999,
    tblChecklist[TargetID],
    tblChecklist[PlayerSort],
    0
   ),
  IF(sort=0,500,sort)
 )
)</f>
        <v>500</v>
      </c>
      <c r="I999" s="49" t="str">
        <f t="array" ref="I999">_xlfn.XLOOKUP(
 B999,
 tblTargetStatus[TargetID],
 tblTargetStatus[Status],
 ""
)</f>
        <v>BLOCKED</v>
      </c>
      <c r="J999" s="45" t="b">
        <v>0</v>
      </c>
    </row>
    <row r="1000" ht="14.25" hidden="1" customHeight="1">
      <c r="A1000" s="49" t="s">
        <v>2643</v>
      </c>
      <c r="B1000" s="49" t="str">
        <f>IFERROR(__xludf.DUMMYFUNCTION("REGEXREPLACE(
 REGEXREPLACE(A1000,""^cost\."",""""),
 ""\.[^.]+\.[^.]+$"",
 """"
)"),"collection.kitchen_and_buttery_1@3")</f>
        <v>collection.kitchen_and_buttery_1@3</v>
      </c>
      <c r="C1000" s="49" t="str">
        <f t="array" ref="C1000">_xlfn.XLOOKUP(
 B1000,
 tblTargets[TargetID],
 tblTargets[DisplayName],
 ""
)</f>
        <v>Kitchen And Buttery 1 Lv 3</v>
      </c>
      <c r="D1000" s="49" t="str">
        <f t="array" ref="D1000">_xlfn.XLOOKUP(
 B1000,
 tblTargets[TargetID],
 tblTargets[TargetType],
 ""
)</f>
        <v>COLLECTION</v>
      </c>
      <c r="E1000" s="49" t="s">
        <v>187</v>
      </c>
      <c r="F1000" s="49">
        <v>7.0</v>
      </c>
      <c r="G1000" s="49">
        <f t="array" ref="G1000">_xlfn.XLOOKUP(
 A1000,
 tblCost[RequirementID],
 tblCost[QuantityRequired],
 ""
)</f>
        <v>150</v>
      </c>
      <c r="H1000" s="49">
        <f t="array" ref="H1000">IF(
 OR(
  LEFT(B1000,15)="state.character",
  RIGHT(B1000,6)=".maxed"
 ),
 0,
 LET(
  sort,
   _xlfn.XLOOKUP(
    B1000,
    tblChecklist[TargetID],
    tblChecklist[PlayerSort],
    0
   ),
  IF(sort=0,500,sort)
 )
)</f>
        <v>500</v>
      </c>
      <c r="I1000" s="49" t="str">
        <f t="array" ref="I1000">_xlfn.XLOOKUP(
 B1000,
 tblTargetStatus[TargetID],
 tblTargetStatus[Status],
 ""
)</f>
        <v>BLOCKED</v>
      </c>
      <c r="J1000" s="45" t="b">
        <v>0</v>
      </c>
    </row>
    <row r="1001" ht="14.25" hidden="1" customHeight="1">
      <c r="A1001" s="49" t="s">
        <v>2644</v>
      </c>
      <c r="B1001" s="49" t="str">
        <f>IFERROR(__xludf.DUMMYFUNCTION("REGEXREPLACE(
 REGEXREPLACE(A1001,""^cost\."",""""),
 ""\.[^.]+\.[^.]+$"",
 """"
)"),"collection.kitchen_and_buttery_1@3")</f>
        <v>collection.kitchen_and_buttery_1@3</v>
      </c>
      <c r="C1001" s="49" t="str">
        <f t="array" ref="C1001">_xlfn.XLOOKUP(
 B1001,
 tblTargets[TargetID],
 tblTargets[DisplayName],
 ""
)</f>
        <v>Kitchen And Buttery 1 Lv 3</v>
      </c>
      <c r="D1001" s="49" t="str">
        <f t="array" ref="D1001">_xlfn.XLOOKUP(
 B1001,
 tblTargets[TargetID],
 tblTargets[TargetType],
 ""
)</f>
        <v>COLLECTION</v>
      </c>
      <c r="E1001" s="49" t="s">
        <v>187</v>
      </c>
      <c r="F1001" s="49">
        <v>8.0</v>
      </c>
      <c r="G1001" s="49">
        <f t="array" ref="G1001">_xlfn.XLOOKUP(
 A1001,
 tblCost[RequirementID],
 tblCost[QuantityRequired],
 ""
)</f>
        <v>150</v>
      </c>
      <c r="H1001" s="49">
        <f t="array" ref="H1001">IF(
 OR(
  LEFT(B1001,15)="state.character",
  RIGHT(B1001,6)=".maxed"
 ),
 0,
 LET(
  sort,
   _xlfn.XLOOKUP(
    B1001,
    tblChecklist[TargetID],
    tblChecklist[PlayerSort],
    0
   ),
  IF(sort=0,500,sort)
 )
)</f>
        <v>500</v>
      </c>
      <c r="I1001" s="49" t="str">
        <f t="array" ref="I1001">_xlfn.XLOOKUP(
 B1001,
 tblTargetStatus[TargetID],
 tblTargetStatus[Status],
 ""
)</f>
        <v>BLOCKED</v>
      </c>
      <c r="J1001" s="45" t="b">
        <v>0</v>
      </c>
    </row>
    <row r="1002" ht="14.25" hidden="1" customHeight="1">
      <c r="A1002" s="49" t="s">
        <v>2645</v>
      </c>
      <c r="B1002" s="49" t="str">
        <f>IFERROR(__xludf.DUMMYFUNCTION("REGEXREPLACE(
 REGEXREPLACE(A1002,""^cost\."",""""),
 ""\.[^.]+\.[^.]+$"",
 """"
)"),"collection.kitchen_and_buttery_1@3")</f>
        <v>collection.kitchen_and_buttery_1@3</v>
      </c>
      <c r="C1002" s="49" t="str">
        <f t="array" ref="C1002">_xlfn.XLOOKUP(
 B1002,
 tblTargets[TargetID],
 tblTargets[DisplayName],
 ""
)</f>
        <v>Kitchen And Buttery 1 Lv 3</v>
      </c>
      <c r="D1002" s="49" t="str">
        <f t="array" ref="D1002">_xlfn.XLOOKUP(
 B1002,
 tblTargets[TargetID],
 tblTargets[TargetType],
 ""
)</f>
        <v>COLLECTION</v>
      </c>
      <c r="E1002" s="49" t="s">
        <v>711</v>
      </c>
      <c r="F1002" s="49">
        <v>1.0</v>
      </c>
      <c r="G1002" s="49">
        <f t="array" ref="G1002">_xlfn.XLOOKUP(
 A1002,
 tblCost[RequirementID],
 tblCost[QuantityRequired],
 ""
)</f>
        <v>45</v>
      </c>
      <c r="H1002" s="49">
        <f t="array" ref="H1002">IF(
 OR(
  LEFT(B1002,15)="state.character",
  RIGHT(B1002,6)=".maxed"
 ),
 0,
 LET(
  sort,
   _xlfn.XLOOKUP(
    B1002,
    tblChecklist[TargetID],
    tblChecklist[PlayerSort],
    0
   ),
  IF(sort=0,500,sort)
 )
)</f>
        <v>500</v>
      </c>
      <c r="I1002" s="49" t="str">
        <f t="array" ref="I1002">_xlfn.XLOOKUP(
 B1002,
 tblTargetStatus[TargetID],
 tblTargetStatus[Status],
 ""
)</f>
        <v>BLOCKED</v>
      </c>
      <c r="J1002" s="45" t="b">
        <v>0</v>
      </c>
    </row>
    <row r="1003" ht="14.25" hidden="1" customHeight="1">
      <c r="A1003" s="49" t="s">
        <v>2646</v>
      </c>
      <c r="B1003" s="49" t="str">
        <f>IFERROR(__xludf.DUMMYFUNCTION("REGEXREPLACE(
 REGEXREPLACE(A1003,""^cost\."",""""),
 ""\.[^.]+\.[^.]+$"",
 """"
)"),"collection.kitchen_and_buttery_1@4")</f>
        <v>collection.kitchen_and_buttery_1@4</v>
      </c>
      <c r="C1003" s="49" t="str">
        <f t="array" ref="C1003">_xlfn.XLOOKUP(
 B1003,
 tblTargets[TargetID],
 tblTargets[DisplayName],
 ""
)</f>
        <v>Kitchen And Buttery 1 Lv 4</v>
      </c>
      <c r="D1003" s="49" t="str">
        <f t="array" ref="D1003">_xlfn.XLOOKUP(
 B1003,
 tblTargets[TargetID],
 tblTargets[TargetType],
 ""
)</f>
        <v>COLLECTION</v>
      </c>
      <c r="E1003" s="49" t="s">
        <v>2486</v>
      </c>
      <c r="F1003" s="49">
        <v>1.0</v>
      </c>
      <c r="G1003" s="49">
        <f t="array" ref="G1003">_xlfn.XLOOKUP(
 A1003,
 tblCost[RequirementID],
 tblCost[QuantityRequired],
 ""
)</f>
        <v>40</v>
      </c>
      <c r="H1003" s="49">
        <f t="array" ref="H1003">IF(
 OR(
  LEFT(B1003,15)="state.character",
  RIGHT(B1003,6)=".maxed"
 ),
 0,
 LET(
  sort,
   _xlfn.XLOOKUP(
    B1003,
    tblChecklist[TargetID],
    tblChecklist[PlayerSort],
    0
   ),
  IF(sort=0,500,sort)
 )
)</f>
        <v>23</v>
      </c>
      <c r="I1003" s="49" t="str">
        <f t="array" ref="I1003">_xlfn.XLOOKUP(
 B1003,
 tblTargetStatus[TargetID],
 tblTargetStatus[Status],
 ""
)</f>
        <v>BLOCKED</v>
      </c>
      <c r="J1003" s="45" t="b">
        <v>0</v>
      </c>
    </row>
    <row r="1004" ht="14.25" hidden="1" customHeight="1">
      <c r="A1004" s="49" t="s">
        <v>2647</v>
      </c>
      <c r="B1004" s="49" t="str">
        <f>IFERROR(__xludf.DUMMYFUNCTION("REGEXREPLACE(
 REGEXREPLACE(A1004,""^cost\."",""""),
 ""\.[^.]+\.[^.]+$"",
 """"
)"),"collection.kitchen_and_buttery_1@4")</f>
        <v>collection.kitchen_and_buttery_1@4</v>
      </c>
      <c r="C1004" s="49" t="str">
        <f t="array" ref="C1004">_xlfn.XLOOKUP(
 B1004,
 tblTargets[TargetID],
 tblTargets[DisplayName],
 ""
)</f>
        <v>Kitchen And Buttery 1 Lv 4</v>
      </c>
      <c r="D1004" s="49" t="str">
        <f t="array" ref="D1004">_xlfn.XLOOKUP(
 B1004,
 tblTargets[TargetID],
 tblTargets[TargetType],
 ""
)</f>
        <v>COLLECTION</v>
      </c>
      <c r="E1004" s="49" t="s">
        <v>2611</v>
      </c>
      <c r="F1004" s="49">
        <v>1.0</v>
      </c>
      <c r="G1004" s="49">
        <f t="array" ref="G1004">_xlfn.XLOOKUP(
 A1004,
 tblCost[RequirementID],
 tblCost[QuantityRequired],
 ""
)</f>
        <v>40</v>
      </c>
      <c r="H1004" s="49">
        <f t="array" ref="H1004">IF(
 OR(
  LEFT(B1004,15)="state.character",
  RIGHT(B1004,6)=".maxed"
 ),
 0,
 LET(
  sort,
   _xlfn.XLOOKUP(
    B1004,
    tblChecklist[TargetID],
    tblChecklist[PlayerSort],
    0
   ),
  IF(sort=0,500,sort)
 )
)</f>
        <v>23</v>
      </c>
      <c r="I1004" s="49" t="str">
        <f t="array" ref="I1004">_xlfn.XLOOKUP(
 B1004,
 tblTargetStatus[TargetID],
 tblTargetStatus[Status],
 ""
)</f>
        <v>BLOCKED</v>
      </c>
      <c r="J1004" s="45" t="b">
        <v>0</v>
      </c>
    </row>
    <row r="1005" ht="14.25" hidden="1" customHeight="1">
      <c r="A1005" s="49" t="s">
        <v>2648</v>
      </c>
      <c r="B1005" s="49" t="str">
        <f>IFERROR(__xludf.DUMMYFUNCTION("REGEXREPLACE(
 REGEXREPLACE(A1005,""^cost\."",""""),
 ""\.[^.]+\.[^.]+$"",
 """"
)"),"collection.kitchen_and_buttery_1@4")</f>
        <v>collection.kitchen_and_buttery_1@4</v>
      </c>
      <c r="C1005" s="49" t="str">
        <f t="array" ref="C1005">_xlfn.XLOOKUP(
 B1005,
 tblTargets[TargetID],
 tblTargets[DisplayName],
 ""
)</f>
        <v>Kitchen And Buttery 1 Lv 4</v>
      </c>
      <c r="D1005" s="49" t="str">
        <f t="array" ref="D1005">_xlfn.XLOOKUP(
 B1005,
 tblTargets[TargetID],
 tblTargets[TargetType],
 ""
)</f>
        <v>COLLECTION</v>
      </c>
      <c r="E1005" s="49" t="s">
        <v>588</v>
      </c>
      <c r="F1005" s="49">
        <v>1.0</v>
      </c>
      <c r="G1005" s="49">
        <f t="array" ref="G1005">_xlfn.XLOOKUP(
 A1005,
 tblCost[RequirementID],
 tblCost[QuantityRequired],
 ""
)</f>
        <v>60</v>
      </c>
      <c r="H1005" s="49">
        <f t="array" ref="H1005">IF(
 OR(
  LEFT(B1005,15)="state.character",
  RIGHT(B1005,6)=".maxed"
 ),
 0,
 LET(
  sort,
   _xlfn.XLOOKUP(
    B1005,
    tblChecklist[TargetID],
    tblChecklist[PlayerSort],
    0
   ),
  IF(sort=0,500,sort)
 )
)</f>
        <v>23</v>
      </c>
      <c r="I1005" s="49" t="str">
        <f t="array" ref="I1005">_xlfn.XLOOKUP(
 B1005,
 tblTargetStatus[TargetID],
 tblTargetStatus[Status],
 ""
)</f>
        <v>BLOCKED</v>
      </c>
      <c r="J1005" s="45" t="b">
        <v>0</v>
      </c>
    </row>
    <row r="1006" ht="14.25" hidden="1" customHeight="1">
      <c r="A1006" s="49" t="s">
        <v>2649</v>
      </c>
      <c r="B1006" s="49" t="str">
        <f>IFERROR(__xludf.DUMMYFUNCTION("REGEXREPLACE(
 REGEXREPLACE(A1006,""^cost\."",""""),
 ""\.[^.]+\.[^.]+$"",
 """"
)"),"collection.kitchen_and_buttery_1@4")</f>
        <v>collection.kitchen_and_buttery_1@4</v>
      </c>
      <c r="C1006" s="49" t="str">
        <f t="array" ref="C1006">_xlfn.XLOOKUP(
 B1006,
 tblTargets[TargetID],
 tblTargets[DisplayName],
 ""
)</f>
        <v>Kitchen And Buttery 1 Lv 4</v>
      </c>
      <c r="D1006" s="49" t="str">
        <f t="array" ref="D1006">_xlfn.XLOOKUP(
 B1006,
 tblTargets[TargetID],
 tblTargets[TargetType],
 ""
)</f>
        <v>COLLECTION</v>
      </c>
      <c r="E1006" s="49" t="s">
        <v>187</v>
      </c>
      <c r="F1006" s="49">
        <v>1.0</v>
      </c>
      <c r="G1006" s="49">
        <f t="array" ref="G1006">_xlfn.XLOOKUP(
 A1006,
 tblCost[RequirementID],
 tblCost[QuantityRequired],
 ""
)</f>
        <v>200</v>
      </c>
      <c r="H1006" s="49">
        <f t="array" ref="H1006">IF(
 OR(
  LEFT(B1006,15)="state.character",
  RIGHT(B1006,6)=".maxed"
 ),
 0,
 LET(
  sort,
   _xlfn.XLOOKUP(
    B1006,
    tblChecklist[TargetID],
    tblChecklist[PlayerSort],
    0
   ),
  IF(sort=0,500,sort)
 )
)</f>
        <v>23</v>
      </c>
      <c r="I1006" s="49" t="str">
        <f t="array" ref="I1006">_xlfn.XLOOKUP(
 B1006,
 tblTargetStatus[TargetID],
 tblTargetStatus[Status],
 ""
)</f>
        <v>BLOCKED</v>
      </c>
      <c r="J1006" s="45" t="b">
        <v>0</v>
      </c>
    </row>
    <row r="1007" ht="14.25" hidden="1" customHeight="1">
      <c r="A1007" s="49" t="s">
        <v>2650</v>
      </c>
      <c r="B1007" s="49" t="str">
        <f>IFERROR(__xludf.DUMMYFUNCTION("REGEXREPLACE(
 REGEXREPLACE(A1007,""^cost\."",""""),
 ""\.[^.]+\.[^.]+$"",
 """"
)"),"collection.kitchen_and_buttery_1@4")</f>
        <v>collection.kitchen_and_buttery_1@4</v>
      </c>
      <c r="C1007" s="49" t="str">
        <f t="array" ref="C1007">_xlfn.XLOOKUP(
 B1007,
 tblTargets[TargetID],
 tblTargets[DisplayName],
 ""
)</f>
        <v>Kitchen And Buttery 1 Lv 4</v>
      </c>
      <c r="D1007" s="49" t="str">
        <f t="array" ref="D1007">_xlfn.XLOOKUP(
 B1007,
 tblTargets[TargetID],
 tblTargets[TargetType],
 ""
)</f>
        <v>COLLECTION</v>
      </c>
      <c r="E1007" s="49" t="s">
        <v>187</v>
      </c>
      <c r="F1007" s="49">
        <v>2.0</v>
      </c>
      <c r="G1007" s="49">
        <f t="array" ref="G1007">_xlfn.XLOOKUP(
 A1007,
 tblCost[RequirementID],
 tblCost[QuantityRequired],
 ""
)</f>
        <v>200</v>
      </c>
      <c r="H1007" s="49">
        <f t="array" ref="H1007">IF(
 OR(
  LEFT(B1007,15)="state.character",
  RIGHT(B1007,6)=".maxed"
 ),
 0,
 LET(
  sort,
   _xlfn.XLOOKUP(
    B1007,
    tblChecklist[TargetID],
    tblChecklist[PlayerSort],
    0
   ),
  IF(sort=0,500,sort)
 )
)</f>
        <v>23</v>
      </c>
      <c r="I1007" s="49" t="str">
        <f t="array" ref="I1007">_xlfn.XLOOKUP(
 B1007,
 tblTargetStatus[TargetID],
 tblTargetStatus[Status],
 ""
)</f>
        <v>BLOCKED</v>
      </c>
      <c r="J1007" s="45" t="b">
        <v>0</v>
      </c>
    </row>
    <row r="1008" ht="14.25" hidden="1" customHeight="1">
      <c r="A1008" s="49" t="s">
        <v>2651</v>
      </c>
      <c r="B1008" s="49" t="str">
        <f>IFERROR(__xludf.DUMMYFUNCTION("REGEXREPLACE(
 REGEXREPLACE(A1008,""^cost\."",""""),
 ""\.[^.]+\.[^.]+$"",
 """"
)"),"collection.kitchen_and_buttery_1@4")</f>
        <v>collection.kitchen_and_buttery_1@4</v>
      </c>
      <c r="C1008" s="49" t="str">
        <f t="array" ref="C1008">_xlfn.XLOOKUP(
 B1008,
 tblTargets[TargetID],
 tblTargets[DisplayName],
 ""
)</f>
        <v>Kitchen And Buttery 1 Lv 4</v>
      </c>
      <c r="D1008" s="49" t="str">
        <f t="array" ref="D1008">_xlfn.XLOOKUP(
 B1008,
 tblTargets[TargetID],
 tblTargets[TargetType],
 ""
)</f>
        <v>COLLECTION</v>
      </c>
      <c r="E1008" s="49" t="s">
        <v>187</v>
      </c>
      <c r="F1008" s="49">
        <v>3.0</v>
      </c>
      <c r="G1008" s="49">
        <f t="array" ref="G1008">_xlfn.XLOOKUP(
 A1008,
 tblCost[RequirementID],
 tblCost[QuantityRequired],
 ""
)</f>
        <v>200</v>
      </c>
      <c r="H1008" s="49">
        <f t="array" ref="H1008">IF(
 OR(
  LEFT(B1008,15)="state.character",
  RIGHT(B1008,6)=".maxed"
 ),
 0,
 LET(
  sort,
   _xlfn.XLOOKUP(
    B1008,
    tblChecklist[TargetID],
    tblChecklist[PlayerSort],
    0
   ),
  IF(sort=0,500,sort)
 )
)</f>
        <v>23</v>
      </c>
      <c r="I1008" s="49" t="str">
        <f t="array" ref="I1008">_xlfn.XLOOKUP(
 B1008,
 tblTargetStatus[TargetID],
 tblTargetStatus[Status],
 ""
)</f>
        <v>BLOCKED</v>
      </c>
      <c r="J1008" s="45" t="b">
        <v>0</v>
      </c>
    </row>
    <row r="1009" ht="14.25" hidden="1" customHeight="1">
      <c r="A1009" s="49" t="s">
        <v>2652</v>
      </c>
      <c r="B1009" s="49" t="str">
        <f>IFERROR(__xludf.DUMMYFUNCTION("REGEXREPLACE(
 REGEXREPLACE(A1009,""^cost\."",""""),
 ""\.[^.]+\.[^.]+$"",
 """"
)"),"collection.kitchen_and_buttery_1@4")</f>
        <v>collection.kitchen_and_buttery_1@4</v>
      </c>
      <c r="C1009" s="49" t="str">
        <f t="array" ref="C1009">_xlfn.XLOOKUP(
 B1009,
 tblTargets[TargetID],
 tblTargets[DisplayName],
 ""
)</f>
        <v>Kitchen And Buttery 1 Lv 4</v>
      </c>
      <c r="D1009" s="49" t="str">
        <f t="array" ref="D1009">_xlfn.XLOOKUP(
 B1009,
 tblTargets[TargetID],
 tblTargets[TargetType],
 ""
)</f>
        <v>COLLECTION</v>
      </c>
      <c r="E1009" s="49" t="s">
        <v>187</v>
      </c>
      <c r="F1009" s="49">
        <v>4.0</v>
      </c>
      <c r="G1009" s="49">
        <f t="array" ref="G1009">_xlfn.XLOOKUP(
 A1009,
 tblCost[RequirementID],
 tblCost[QuantityRequired],
 ""
)</f>
        <v>200</v>
      </c>
      <c r="H1009" s="49">
        <f t="array" ref="H1009">IF(
 OR(
  LEFT(B1009,15)="state.character",
  RIGHT(B1009,6)=".maxed"
 ),
 0,
 LET(
  sort,
   _xlfn.XLOOKUP(
    B1009,
    tblChecklist[TargetID],
    tblChecklist[PlayerSort],
    0
   ),
  IF(sort=0,500,sort)
 )
)</f>
        <v>23</v>
      </c>
      <c r="I1009" s="49" t="str">
        <f t="array" ref="I1009">_xlfn.XLOOKUP(
 B1009,
 tblTargetStatus[TargetID],
 tblTargetStatus[Status],
 ""
)</f>
        <v>BLOCKED</v>
      </c>
      <c r="J1009" s="45" t="b">
        <v>0</v>
      </c>
    </row>
    <row r="1010" ht="14.25" hidden="1" customHeight="1">
      <c r="A1010" s="49" t="s">
        <v>2653</v>
      </c>
      <c r="B1010" s="49" t="str">
        <f>IFERROR(__xludf.DUMMYFUNCTION("REGEXREPLACE(
 REGEXREPLACE(A1010,""^cost\."",""""),
 ""\.[^.]+\.[^.]+$"",
 """"
)"),"collection.kitchen_and_buttery_1@4")</f>
        <v>collection.kitchen_and_buttery_1@4</v>
      </c>
      <c r="C1010" s="49" t="str">
        <f t="array" ref="C1010">_xlfn.XLOOKUP(
 B1010,
 tblTargets[TargetID],
 tblTargets[DisplayName],
 ""
)</f>
        <v>Kitchen And Buttery 1 Lv 4</v>
      </c>
      <c r="D1010" s="49" t="str">
        <f t="array" ref="D1010">_xlfn.XLOOKUP(
 B1010,
 tblTargets[TargetID],
 tblTargets[TargetType],
 ""
)</f>
        <v>COLLECTION</v>
      </c>
      <c r="E1010" s="49" t="s">
        <v>187</v>
      </c>
      <c r="F1010" s="49">
        <v>5.0</v>
      </c>
      <c r="G1010" s="49">
        <f t="array" ref="G1010">_xlfn.XLOOKUP(
 A1010,
 tblCost[RequirementID],
 tblCost[QuantityRequired],
 ""
)</f>
        <v>200</v>
      </c>
      <c r="H1010" s="49">
        <f t="array" ref="H1010">IF(
 OR(
  LEFT(B1010,15)="state.character",
  RIGHT(B1010,6)=".maxed"
 ),
 0,
 LET(
  sort,
   _xlfn.XLOOKUP(
    B1010,
    tblChecklist[TargetID],
    tblChecklist[PlayerSort],
    0
   ),
  IF(sort=0,500,sort)
 )
)</f>
        <v>23</v>
      </c>
      <c r="I1010" s="49" t="str">
        <f t="array" ref="I1010">_xlfn.XLOOKUP(
 B1010,
 tblTargetStatus[TargetID],
 tblTargetStatus[Status],
 ""
)</f>
        <v>BLOCKED</v>
      </c>
      <c r="J1010" s="45" t="b">
        <v>0</v>
      </c>
    </row>
    <row r="1011" ht="14.25" hidden="1" customHeight="1">
      <c r="A1011" s="49" t="s">
        <v>2654</v>
      </c>
      <c r="B1011" s="49" t="str">
        <f>IFERROR(__xludf.DUMMYFUNCTION("REGEXREPLACE(
 REGEXREPLACE(A1011,""^cost\."",""""),
 ""\.[^.]+\.[^.]+$"",
 """"
)"),"collection.kitchen_and_buttery_1@4")</f>
        <v>collection.kitchen_and_buttery_1@4</v>
      </c>
      <c r="C1011" s="49" t="str">
        <f t="array" ref="C1011">_xlfn.XLOOKUP(
 B1011,
 tblTargets[TargetID],
 tblTargets[DisplayName],
 ""
)</f>
        <v>Kitchen And Buttery 1 Lv 4</v>
      </c>
      <c r="D1011" s="49" t="str">
        <f t="array" ref="D1011">_xlfn.XLOOKUP(
 B1011,
 tblTargets[TargetID],
 tblTargets[TargetType],
 ""
)</f>
        <v>COLLECTION</v>
      </c>
      <c r="E1011" s="49" t="s">
        <v>187</v>
      </c>
      <c r="F1011" s="49">
        <v>6.0</v>
      </c>
      <c r="G1011" s="49">
        <f t="array" ref="G1011">_xlfn.XLOOKUP(
 A1011,
 tblCost[RequirementID],
 tblCost[QuantityRequired],
 ""
)</f>
        <v>200</v>
      </c>
      <c r="H1011" s="49">
        <f t="array" ref="H1011">IF(
 OR(
  LEFT(B1011,15)="state.character",
  RIGHT(B1011,6)=".maxed"
 ),
 0,
 LET(
  sort,
   _xlfn.XLOOKUP(
    B1011,
    tblChecklist[TargetID],
    tblChecklist[PlayerSort],
    0
   ),
  IF(sort=0,500,sort)
 )
)</f>
        <v>23</v>
      </c>
      <c r="I1011" s="49" t="str">
        <f t="array" ref="I1011">_xlfn.XLOOKUP(
 B1011,
 tblTargetStatus[TargetID],
 tblTargetStatus[Status],
 ""
)</f>
        <v>BLOCKED</v>
      </c>
      <c r="J1011" s="45" t="b">
        <v>0</v>
      </c>
    </row>
    <row r="1012" ht="14.25" hidden="1" customHeight="1">
      <c r="A1012" s="49" t="s">
        <v>2655</v>
      </c>
      <c r="B1012" s="49" t="str">
        <f>IFERROR(__xludf.DUMMYFUNCTION("REGEXREPLACE(
 REGEXREPLACE(A1012,""^cost\."",""""),
 ""\.[^.]+\.[^.]+$"",
 """"
)"),"collection.kitchen_and_buttery_1@4")</f>
        <v>collection.kitchen_and_buttery_1@4</v>
      </c>
      <c r="C1012" s="49" t="str">
        <f t="array" ref="C1012">_xlfn.XLOOKUP(
 B1012,
 tblTargets[TargetID],
 tblTargets[DisplayName],
 ""
)</f>
        <v>Kitchen And Buttery 1 Lv 4</v>
      </c>
      <c r="D1012" s="49" t="str">
        <f t="array" ref="D1012">_xlfn.XLOOKUP(
 B1012,
 tblTargets[TargetID],
 tblTargets[TargetType],
 ""
)</f>
        <v>COLLECTION</v>
      </c>
      <c r="E1012" s="49" t="s">
        <v>187</v>
      </c>
      <c r="F1012" s="49">
        <v>7.0</v>
      </c>
      <c r="G1012" s="49">
        <f t="array" ref="G1012">_xlfn.XLOOKUP(
 A1012,
 tblCost[RequirementID],
 tblCost[QuantityRequired],
 ""
)</f>
        <v>200</v>
      </c>
      <c r="H1012" s="49">
        <f t="array" ref="H1012">IF(
 OR(
  LEFT(B1012,15)="state.character",
  RIGHT(B1012,6)=".maxed"
 ),
 0,
 LET(
  sort,
   _xlfn.XLOOKUP(
    B1012,
    tblChecklist[TargetID],
    tblChecklist[PlayerSort],
    0
   ),
  IF(sort=0,500,sort)
 )
)</f>
        <v>23</v>
      </c>
      <c r="I1012" s="49" t="str">
        <f t="array" ref="I1012">_xlfn.XLOOKUP(
 B1012,
 tblTargetStatus[TargetID],
 tblTargetStatus[Status],
 ""
)</f>
        <v>BLOCKED</v>
      </c>
      <c r="J1012" s="45" t="b">
        <v>0</v>
      </c>
    </row>
    <row r="1013" ht="14.25" hidden="1" customHeight="1">
      <c r="A1013" s="49" t="s">
        <v>2656</v>
      </c>
      <c r="B1013" s="49" t="str">
        <f>IFERROR(__xludf.DUMMYFUNCTION("REGEXREPLACE(
 REGEXREPLACE(A1013,""^cost\."",""""),
 ""\.[^.]+\.[^.]+$"",
 """"
)"),"collection.kitchen_and_buttery_1@4")</f>
        <v>collection.kitchen_and_buttery_1@4</v>
      </c>
      <c r="C1013" s="49" t="str">
        <f t="array" ref="C1013">_xlfn.XLOOKUP(
 B1013,
 tblTargets[TargetID],
 tblTargets[DisplayName],
 ""
)</f>
        <v>Kitchen And Buttery 1 Lv 4</v>
      </c>
      <c r="D1013" s="49" t="str">
        <f t="array" ref="D1013">_xlfn.XLOOKUP(
 B1013,
 tblTargets[TargetID],
 tblTargets[TargetType],
 ""
)</f>
        <v>COLLECTION</v>
      </c>
      <c r="E1013" s="49" t="s">
        <v>187</v>
      </c>
      <c r="F1013" s="49">
        <v>8.0</v>
      </c>
      <c r="G1013" s="49">
        <f t="array" ref="G1013">_xlfn.XLOOKUP(
 A1013,
 tblCost[RequirementID],
 tblCost[QuantityRequired],
 ""
)</f>
        <v>200</v>
      </c>
      <c r="H1013" s="49">
        <f t="array" ref="H1013">IF(
 OR(
  LEFT(B1013,15)="state.character",
  RIGHT(B1013,6)=".maxed"
 ),
 0,
 LET(
  sort,
   _xlfn.XLOOKUP(
    B1013,
    tblChecklist[TargetID],
    tblChecklist[PlayerSort],
    0
   ),
  IF(sort=0,500,sort)
 )
)</f>
        <v>23</v>
      </c>
      <c r="I1013" s="49" t="str">
        <f t="array" ref="I1013">_xlfn.XLOOKUP(
 B1013,
 tblTargetStatus[TargetID],
 tblTargetStatus[Status],
 ""
)</f>
        <v>BLOCKED</v>
      </c>
      <c r="J1013" s="45" t="b">
        <v>0</v>
      </c>
    </row>
    <row r="1014" ht="14.25" hidden="1" customHeight="1">
      <c r="A1014" s="49" t="s">
        <v>2657</v>
      </c>
      <c r="B1014" s="49" t="str">
        <f>IFERROR(__xludf.DUMMYFUNCTION("REGEXREPLACE(
 REGEXREPLACE(A1014,""^cost\."",""""),
 ""\.[^.]+\.[^.]+$"",
 """"
)"),"collection.kitchen_and_buttery_1@4")</f>
        <v>collection.kitchen_and_buttery_1@4</v>
      </c>
      <c r="C1014" s="49" t="str">
        <f t="array" ref="C1014">_xlfn.XLOOKUP(
 B1014,
 tblTargets[TargetID],
 tblTargets[DisplayName],
 ""
)</f>
        <v>Kitchen And Buttery 1 Lv 4</v>
      </c>
      <c r="D1014" s="49" t="str">
        <f t="array" ref="D1014">_xlfn.XLOOKUP(
 B1014,
 tblTargets[TargetID],
 tblTargets[TargetType],
 ""
)</f>
        <v>COLLECTION</v>
      </c>
      <c r="E1014" s="49" t="s">
        <v>711</v>
      </c>
      <c r="F1014" s="49">
        <v>1.0</v>
      </c>
      <c r="G1014" s="49">
        <f t="array" ref="G1014">_xlfn.XLOOKUP(
 A1014,
 tblCost[RequirementID],
 tblCost[QuantityRequired],
 ""
)</f>
        <v>60</v>
      </c>
      <c r="H1014" s="49">
        <f t="array" ref="H1014">IF(
 OR(
  LEFT(B1014,15)="state.character",
  RIGHT(B1014,6)=".maxed"
 ),
 0,
 LET(
  sort,
   _xlfn.XLOOKUP(
    B1014,
    tblChecklist[TargetID],
    tblChecklist[PlayerSort],
    0
   ),
  IF(sort=0,500,sort)
 )
)</f>
        <v>23</v>
      </c>
      <c r="I1014" s="49" t="str">
        <f t="array" ref="I1014">_xlfn.XLOOKUP(
 B1014,
 tblTargetStatus[TargetID],
 tblTargetStatus[Status],
 ""
)</f>
        <v>BLOCKED</v>
      </c>
      <c r="J1014" s="45" t="b">
        <v>0</v>
      </c>
    </row>
    <row r="1015" ht="14.25" hidden="1" customHeight="1">
      <c r="A1015" s="49" t="s">
        <v>2658</v>
      </c>
      <c r="B1015" s="49" t="str">
        <f>IFERROR(__xludf.DUMMYFUNCTION("REGEXREPLACE(
 REGEXREPLACE(A1015,""^cost\."",""""),
 ""\.[^.]+\.[^.]+$"",
 """"
)"),"collection.kitchen_and_buttery_1@5")</f>
        <v>collection.kitchen_and_buttery_1@5</v>
      </c>
      <c r="C1015" s="49" t="str">
        <f t="array" ref="C1015">_xlfn.XLOOKUP(
 B1015,
 tblTargets[TargetID],
 tblTargets[DisplayName],
 ""
)</f>
        <v>Kitchen And Buttery 1 Lv 5</v>
      </c>
      <c r="D1015" s="49" t="str">
        <f t="array" ref="D1015">_xlfn.XLOOKUP(
 B1015,
 tblTargets[TargetID],
 tblTargets[TargetType],
 ""
)</f>
        <v>COLLECTION</v>
      </c>
      <c r="E1015" s="49" t="s">
        <v>2486</v>
      </c>
      <c r="F1015" s="49">
        <v>1.0</v>
      </c>
      <c r="G1015" s="49">
        <f t="array" ref="G1015">_xlfn.XLOOKUP(
 A1015,
 tblCost[RequirementID],
 tblCost[QuantityRequired],
 ""
)</f>
        <v>50</v>
      </c>
      <c r="H1015" s="49">
        <f t="array" ref="H1015">IF(
 OR(
  LEFT(B1015,15)="state.character",
  RIGHT(B1015,6)=".maxed"
 ),
 0,
 LET(
  sort,
   _xlfn.XLOOKUP(
    B1015,
    tblChecklist[TargetID],
    tblChecklist[PlayerSort],
    0
   ),
  IF(sort=0,500,sort)
 )
)</f>
        <v>500</v>
      </c>
      <c r="I1015" s="49" t="str">
        <f t="array" ref="I1015">_xlfn.XLOOKUP(
 B1015,
 tblTargetStatus[TargetID],
 tblTargetStatus[Status],
 ""
)</f>
        <v>BLOCKED</v>
      </c>
      <c r="J1015" s="45" t="b">
        <v>0</v>
      </c>
    </row>
    <row r="1016" ht="14.25" hidden="1" customHeight="1">
      <c r="A1016" s="49" t="s">
        <v>2659</v>
      </c>
      <c r="B1016" s="49" t="str">
        <f>IFERROR(__xludf.DUMMYFUNCTION("REGEXREPLACE(
 REGEXREPLACE(A1016,""^cost\."",""""),
 ""\.[^.]+\.[^.]+$"",
 """"
)"),"collection.kitchen_and_buttery_1@5")</f>
        <v>collection.kitchen_and_buttery_1@5</v>
      </c>
      <c r="C1016" s="49" t="str">
        <f t="array" ref="C1016">_xlfn.XLOOKUP(
 B1016,
 tblTargets[TargetID],
 tblTargets[DisplayName],
 ""
)</f>
        <v>Kitchen And Buttery 1 Lv 5</v>
      </c>
      <c r="D1016" s="49" t="str">
        <f t="array" ref="D1016">_xlfn.XLOOKUP(
 B1016,
 tblTargets[TargetID],
 tblTargets[TargetType],
 ""
)</f>
        <v>COLLECTION</v>
      </c>
      <c r="E1016" s="49" t="s">
        <v>2611</v>
      </c>
      <c r="F1016" s="49">
        <v>1.0</v>
      </c>
      <c r="G1016" s="49">
        <f t="array" ref="G1016">_xlfn.XLOOKUP(
 A1016,
 tblCost[RequirementID],
 tblCost[QuantityRequired],
 ""
)</f>
        <v>50</v>
      </c>
      <c r="H1016" s="49">
        <f t="array" ref="H1016">IF(
 OR(
  LEFT(B1016,15)="state.character",
  RIGHT(B1016,6)=".maxed"
 ),
 0,
 LET(
  sort,
   _xlfn.XLOOKUP(
    B1016,
    tblChecklist[TargetID],
    tblChecklist[PlayerSort],
    0
   ),
  IF(sort=0,500,sort)
 )
)</f>
        <v>500</v>
      </c>
      <c r="I1016" s="49" t="str">
        <f t="array" ref="I1016">_xlfn.XLOOKUP(
 B1016,
 tblTargetStatus[TargetID],
 tblTargetStatus[Status],
 ""
)</f>
        <v>BLOCKED</v>
      </c>
      <c r="J1016" s="45" t="b">
        <v>0</v>
      </c>
    </row>
    <row r="1017" ht="14.25" hidden="1" customHeight="1">
      <c r="A1017" s="49" t="s">
        <v>2660</v>
      </c>
      <c r="B1017" s="49" t="str">
        <f>IFERROR(__xludf.DUMMYFUNCTION("REGEXREPLACE(
 REGEXREPLACE(A1017,""^cost\."",""""),
 ""\.[^.]+\.[^.]+$"",
 """"
)"),"collection.kitchen_and_buttery_1@5")</f>
        <v>collection.kitchen_and_buttery_1@5</v>
      </c>
      <c r="C1017" s="49" t="str">
        <f t="array" ref="C1017">_xlfn.XLOOKUP(
 B1017,
 tblTargets[TargetID],
 tblTargets[DisplayName],
 ""
)</f>
        <v>Kitchen And Buttery 1 Lv 5</v>
      </c>
      <c r="D1017" s="49" t="str">
        <f t="array" ref="D1017">_xlfn.XLOOKUP(
 B1017,
 tblTargets[TargetID],
 tblTargets[TargetType],
 ""
)</f>
        <v>COLLECTION</v>
      </c>
      <c r="E1017" s="49" t="s">
        <v>588</v>
      </c>
      <c r="F1017" s="49">
        <v>1.0</v>
      </c>
      <c r="G1017" s="49">
        <f t="array" ref="G1017">_xlfn.XLOOKUP(
 A1017,
 tblCost[RequirementID],
 tblCost[QuantityRequired],
 ""
)</f>
        <v>75</v>
      </c>
      <c r="H1017" s="49">
        <f t="array" ref="H1017">IF(
 OR(
  LEFT(B1017,15)="state.character",
  RIGHT(B1017,6)=".maxed"
 ),
 0,
 LET(
  sort,
   _xlfn.XLOOKUP(
    B1017,
    tblChecklist[TargetID],
    tblChecklist[PlayerSort],
    0
   ),
  IF(sort=0,500,sort)
 )
)</f>
        <v>500</v>
      </c>
      <c r="I1017" s="49" t="str">
        <f t="array" ref="I1017">_xlfn.XLOOKUP(
 B1017,
 tblTargetStatus[TargetID],
 tblTargetStatus[Status],
 ""
)</f>
        <v>BLOCKED</v>
      </c>
      <c r="J1017" s="45" t="b">
        <v>0</v>
      </c>
    </row>
    <row r="1018" ht="14.25" hidden="1" customHeight="1">
      <c r="A1018" s="49" t="s">
        <v>2661</v>
      </c>
      <c r="B1018" s="49" t="str">
        <f>IFERROR(__xludf.DUMMYFUNCTION("REGEXREPLACE(
 REGEXREPLACE(A1018,""^cost\."",""""),
 ""\.[^.]+\.[^.]+$"",
 """"
)"),"collection.kitchen_and_buttery_1@5")</f>
        <v>collection.kitchen_and_buttery_1@5</v>
      </c>
      <c r="C1018" s="49" t="str">
        <f t="array" ref="C1018">_xlfn.XLOOKUP(
 B1018,
 tblTargets[TargetID],
 tblTargets[DisplayName],
 ""
)</f>
        <v>Kitchen And Buttery 1 Lv 5</v>
      </c>
      <c r="D1018" s="49" t="str">
        <f t="array" ref="D1018">_xlfn.XLOOKUP(
 B1018,
 tblTargets[TargetID],
 tblTargets[TargetType],
 ""
)</f>
        <v>COLLECTION</v>
      </c>
      <c r="E1018" s="49" t="s">
        <v>187</v>
      </c>
      <c r="F1018" s="49">
        <v>1.0</v>
      </c>
      <c r="G1018" s="49">
        <f t="array" ref="G1018">_xlfn.XLOOKUP(
 A1018,
 tblCost[RequirementID],
 tblCost[QuantityRequired],
 ""
)</f>
        <v>250</v>
      </c>
      <c r="H1018" s="49">
        <f t="array" ref="H1018">IF(
 OR(
  LEFT(B1018,15)="state.character",
  RIGHT(B1018,6)=".maxed"
 ),
 0,
 LET(
  sort,
   _xlfn.XLOOKUP(
    B1018,
    tblChecklist[TargetID],
    tblChecklist[PlayerSort],
    0
   ),
  IF(sort=0,500,sort)
 )
)</f>
        <v>500</v>
      </c>
      <c r="I1018" s="49" t="str">
        <f t="array" ref="I1018">_xlfn.XLOOKUP(
 B1018,
 tblTargetStatus[TargetID],
 tblTargetStatus[Status],
 ""
)</f>
        <v>BLOCKED</v>
      </c>
      <c r="J1018" s="45" t="b">
        <v>0</v>
      </c>
    </row>
    <row r="1019" ht="14.25" hidden="1" customHeight="1">
      <c r="A1019" s="49" t="s">
        <v>2662</v>
      </c>
      <c r="B1019" s="49" t="str">
        <f>IFERROR(__xludf.DUMMYFUNCTION("REGEXREPLACE(
 REGEXREPLACE(A1019,""^cost\."",""""),
 ""\.[^.]+\.[^.]+$"",
 """"
)"),"collection.kitchen_and_buttery_1@5")</f>
        <v>collection.kitchen_and_buttery_1@5</v>
      </c>
      <c r="C1019" s="49" t="str">
        <f t="array" ref="C1019">_xlfn.XLOOKUP(
 B1019,
 tblTargets[TargetID],
 tblTargets[DisplayName],
 ""
)</f>
        <v>Kitchen And Buttery 1 Lv 5</v>
      </c>
      <c r="D1019" s="49" t="str">
        <f t="array" ref="D1019">_xlfn.XLOOKUP(
 B1019,
 tblTargets[TargetID],
 tblTargets[TargetType],
 ""
)</f>
        <v>COLLECTION</v>
      </c>
      <c r="E1019" s="49" t="s">
        <v>187</v>
      </c>
      <c r="F1019" s="49">
        <v>2.0</v>
      </c>
      <c r="G1019" s="49">
        <f t="array" ref="G1019">_xlfn.XLOOKUP(
 A1019,
 tblCost[RequirementID],
 tblCost[QuantityRequired],
 ""
)</f>
        <v>250</v>
      </c>
      <c r="H1019" s="49">
        <f t="array" ref="H1019">IF(
 OR(
  LEFT(B1019,15)="state.character",
  RIGHT(B1019,6)=".maxed"
 ),
 0,
 LET(
  sort,
   _xlfn.XLOOKUP(
    B1019,
    tblChecklist[TargetID],
    tblChecklist[PlayerSort],
    0
   ),
  IF(sort=0,500,sort)
 )
)</f>
        <v>500</v>
      </c>
      <c r="I1019" s="49" t="str">
        <f t="array" ref="I1019">_xlfn.XLOOKUP(
 B1019,
 tblTargetStatus[TargetID],
 tblTargetStatus[Status],
 ""
)</f>
        <v>BLOCKED</v>
      </c>
      <c r="J1019" s="45" t="b">
        <v>0</v>
      </c>
    </row>
    <row r="1020" ht="14.25" hidden="1" customHeight="1">
      <c r="A1020" s="49" t="s">
        <v>2663</v>
      </c>
      <c r="B1020" s="49" t="str">
        <f>IFERROR(__xludf.DUMMYFUNCTION("REGEXREPLACE(
 REGEXREPLACE(A1020,""^cost\."",""""),
 ""\.[^.]+\.[^.]+$"",
 """"
)"),"collection.kitchen_and_buttery_1@5")</f>
        <v>collection.kitchen_and_buttery_1@5</v>
      </c>
      <c r="C1020" s="49" t="str">
        <f t="array" ref="C1020">_xlfn.XLOOKUP(
 B1020,
 tblTargets[TargetID],
 tblTargets[DisplayName],
 ""
)</f>
        <v>Kitchen And Buttery 1 Lv 5</v>
      </c>
      <c r="D1020" s="49" t="str">
        <f t="array" ref="D1020">_xlfn.XLOOKUP(
 B1020,
 tblTargets[TargetID],
 tblTargets[TargetType],
 ""
)</f>
        <v>COLLECTION</v>
      </c>
      <c r="E1020" s="49" t="s">
        <v>187</v>
      </c>
      <c r="F1020" s="49">
        <v>3.0</v>
      </c>
      <c r="G1020" s="49">
        <f t="array" ref="G1020">_xlfn.XLOOKUP(
 A1020,
 tblCost[RequirementID],
 tblCost[QuantityRequired],
 ""
)</f>
        <v>250</v>
      </c>
      <c r="H1020" s="49">
        <f t="array" ref="H1020">IF(
 OR(
  LEFT(B1020,15)="state.character",
  RIGHT(B1020,6)=".maxed"
 ),
 0,
 LET(
  sort,
   _xlfn.XLOOKUP(
    B1020,
    tblChecklist[TargetID],
    tblChecklist[PlayerSort],
    0
   ),
  IF(sort=0,500,sort)
 )
)</f>
        <v>500</v>
      </c>
      <c r="I1020" s="49" t="str">
        <f t="array" ref="I1020">_xlfn.XLOOKUP(
 B1020,
 tblTargetStatus[TargetID],
 tblTargetStatus[Status],
 ""
)</f>
        <v>BLOCKED</v>
      </c>
      <c r="J1020" s="45" t="b">
        <v>0</v>
      </c>
    </row>
    <row r="1021" ht="14.25" hidden="1" customHeight="1">
      <c r="A1021" s="49" t="s">
        <v>2664</v>
      </c>
      <c r="B1021" s="49" t="str">
        <f>IFERROR(__xludf.DUMMYFUNCTION("REGEXREPLACE(
 REGEXREPLACE(A1021,""^cost\."",""""),
 ""\.[^.]+\.[^.]+$"",
 """"
)"),"collection.kitchen_and_buttery_1@5")</f>
        <v>collection.kitchen_and_buttery_1@5</v>
      </c>
      <c r="C1021" s="49" t="str">
        <f t="array" ref="C1021">_xlfn.XLOOKUP(
 B1021,
 tblTargets[TargetID],
 tblTargets[DisplayName],
 ""
)</f>
        <v>Kitchen And Buttery 1 Lv 5</v>
      </c>
      <c r="D1021" s="49" t="str">
        <f t="array" ref="D1021">_xlfn.XLOOKUP(
 B1021,
 tblTargets[TargetID],
 tblTargets[TargetType],
 ""
)</f>
        <v>COLLECTION</v>
      </c>
      <c r="E1021" s="49" t="s">
        <v>187</v>
      </c>
      <c r="F1021" s="49">
        <v>4.0</v>
      </c>
      <c r="G1021" s="49">
        <f t="array" ref="G1021">_xlfn.XLOOKUP(
 A1021,
 tblCost[RequirementID],
 tblCost[QuantityRequired],
 ""
)</f>
        <v>250</v>
      </c>
      <c r="H1021" s="49">
        <f t="array" ref="H1021">IF(
 OR(
  LEFT(B1021,15)="state.character",
  RIGHT(B1021,6)=".maxed"
 ),
 0,
 LET(
  sort,
   _xlfn.XLOOKUP(
    B1021,
    tblChecklist[TargetID],
    tblChecklist[PlayerSort],
    0
   ),
  IF(sort=0,500,sort)
 )
)</f>
        <v>500</v>
      </c>
      <c r="I1021" s="49" t="str">
        <f t="array" ref="I1021">_xlfn.XLOOKUP(
 B1021,
 tblTargetStatus[TargetID],
 tblTargetStatus[Status],
 ""
)</f>
        <v>BLOCKED</v>
      </c>
      <c r="J1021" s="45" t="b">
        <v>0</v>
      </c>
    </row>
    <row r="1022" ht="14.25" hidden="1" customHeight="1">
      <c r="A1022" s="49" t="s">
        <v>2665</v>
      </c>
      <c r="B1022" s="49" t="str">
        <f>IFERROR(__xludf.DUMMYFUNCTION("REGEXREPLACE(
 REGEXREPLACE(A1022,""^cost\."",""""),
 ""\.[^.]+\.[^.]+$"",
 """"
)"),"collection.kitchen_and_buttery_1@5")</f>
        <v>collection.kitchen_and_buttery_1@5</v>
      </c>
      <c r="C1022" s="49" t="str">
        <f t="array" ref="C1022">_xlfn.XLOOKUP(
 B1022,
 tblTargets[TargetID],
 tblTargets[DisplayName],
 ""
)</f>
        <v>Kitchen And Buttery 1 Lv 5</v>
      </c>
      <c r="D1022" s="49" t="str">
        <f t="array" ref="D1022">_xlfn.XLOOKUP(
 B1022,
 tblTargets[TargetID],
 tblTargets[TargetType],
 ""
)</f>
        <v>COLLECTION</v>
      </c>
      <c r="E1022" s="49" t="s">
        <v>187</v>
      </c>
      <c r="F1022" s="49">
        <v>5.0</v>
      </c>
      <c r="G1022" s="49">
        <f t="array" ref="G1022">_xlfn.XLOOKUP(
 A1022,
 tblCost[RequirementID],
 tblCost[QuantityRequired],
 ""
)</f>
        <v>250</v>
      </c>
      <c r="H1022" s="49">
        <f t="array" ref="H1022">IF(
 OR(
  LEFT(B1022,15)="state.character",
  RIGHT(B1022,6)=".maxed"
 ),
 0,
 LET(
  sort,
   _xlfn.XLOOKUP(
    B1022,
    tblChecklist[TargetID],
    tblChecklist[PlayerSort],
    0
   ),
  IF(sort=0,500,sort)
 )
)</f>
        <v>500</v>
      </c>
      <c r="I1022" s="49" t="str">
        <f t="array" ref="I1022">_xlfn.XLOOKUP(
 B1022,
 tblTargetStatus[TargetID],
 tblTargetStatus[Status],
 ""
)</f>
        <v>BLOCKED</v>
      </c>
      <c r="J1022" s="45" t="b">
        <v>0</v>
      </c>
    </row>
    <row r="1023" ht="14.25" hidden="1" customHeight="1">
      <c r="A1023" s="49" t="s">
        <v>2666</v>
      </c>
      <c r="B1023" s="49" t="str">
        <f>IFERROR(__xludf.DUMMYFUNCTION("REGEXREPLACE(
 REGEXREPLACE(A1023,""^cost\."",""""),
 ""\.[^.]+\.[^.]+$"",
 """"
)"),"collection.kitchen_and_buttery_1@5")</f>
        <v>collection.kitchen_and_buttery_1@5</v>
      </c>
      <c r="C1023" s="49" t="str">
        <f t="array" ref="C1023">_xlfn.XLOOKUP(
 B1023,
 tblTargets[TargetID],
 tblTargets[DisplayName],
 ""
)</f>
        <v>Kitchen And Buttery 1 Lv 5</v>
      </c>
      <c r="D1023" s="49" t="str">
        <f t="array" ref="D1023">_xlfn.XLOOKUP(
 B1023,
 tblTargets[TargetID],
 tblTargets[TargetType],
 ""
)</f>
        <v>COLLECTION</v>
      </c>
      <c r="E1023" s="49" t="s">
        <v>187</v>
      </c>
      <c r="F1023" s="49">
        <v>6.0</v>
      </c>
      <c r="G1023" s="49">
        <f t="array" ref="G1023">_xlfn.XLOOKUP(
 A1023,
 tblCost[RequirementID],
 tblCost[QuantityRequired],
 ""
)</f>
        <v>250</v>
      </c>
      <c r="H1023" s="49">
        <f t="array" ref="H1023">IF(
 OR(
  LEFT(B1023,15)="state.character",
  RIGHT(B1023,6)=".maxed"
 ),
 0,
 LET(
  sort,
   _xlfn.XLOOKUP(
    B1023,
    tblChecklist[TargetID],
    tblChecklist[PlayerSort],
    0
   ),
  IF(sort=0,500,sort)
 )
)</f>
        <v>500</v>
      </c>
      <c r="I1023" s="49" t="str">
        <f t="array" ref="I1023">_xlfn.XLOOKUP(
 B1023,
 tblTargetStatus[TargetID],
 tblTargetStatus[Status],
 ""
)</f>
        <v>BLOCKED</v>
      </c>
      <c r="J1023" s="45" t="b">
        <v>0</v>
      </c>
    </row>
    <row r="1024" ht="14.25" hidden="1" customHeight="1">
      <c r="A1024" s="49" t="s">
        <v>2667</v>
      </c>
      <c r="B1024" s="49" t="str">
        <f>IFERROR(__xludf.DUMMYFUNCTION("REGEXREPLACE(
 REGEXREPLACE(A1024,""^cost\."",""""),
 ""\.[^.]+\.[^.]+$"",
 """"
)"),"collection.kitchen_and_buttery_1@5")</f>
        <v>collection.kitchen_and_buttery_1@5</v>
      </c>
      <c r="C1024" s="49" t="str">
        <f t="array" ref="C1024">_xlfn.XLOOKUP(
 B1024,
 tblTargets[TargetID],
 tblTargets[DisplayName],
 ""
)</f>
        <v>Kitchen And Buttery 1 Lv 5</v>
      </c>
      <c r="D1024" s="49" t="str">
        <f t="array" ref="D1024">_xlfn.XLOOKUP(
 B1024,
 tblTargets[TargetID],
 tblTargets[TargetType],
 ""
)</f>
        <v>COLLECTION</v>
      </c>
      <c r="E1024" s="49" t="s">
        <v>187</v>
      </c>
      <c r="F1024" s="49">
        <v>7.0</v>
      </c>
      <c r="G1024" s="49">
        <f t="array" ref="G1024">_xlfn.XLOOKUP(
 A1024,
 tblCost[RequirementID],
 tblCost[QuantityRequired],
 ""
)</f>
        <v>250</v>
      </c>
      <c r="H1024" s="49">
        <f t="array" ref="H1024">IF(
 OR(
  LEFT(B1024,15)="state.character",
  RIGHT(B1024,6)=".maxed"
 ),
 0,
 LET(
  sort,
   _xlfn.XLOOKUP(
    B1024,
    tblChecklist[TargetID],
    tblChecklist[PlayerSort],
    0
   ),
  IF(sort=0,500,sort)
 )
)</f>
        <v>500</v>
      </c>
      <c r="I1024" s="49" t="str">
        <f t="array" ref="I1024">_xlfn.XLOOKUP(
 B1024,
 tblTargetStatus[TargetID],
 tblTargetStatus[Status],
 ""
)</f>
        <v>BLOCKED</v>
      </c>
      <c r="J1024" s="45" t="b">
        <v>0</v>
      </c>
    </row>
    <row r="1025" ht="14.25" hidden="1" customHeight="1">
      <c r="A1025" s="49" t="s">
        <v>2668</v>
      </c>
      <c r="B1025" s="49" t="str">
        <f>IFERROR(__xludf.DUMMYFUNCTION("REGEXREPLACE(
 REGEXREPLACE(A1025,""^cost\."",""""),
 ""\.[^.]+\.[^.]+$"",
 """"
)"),"collection.kitchen_and_buttery_1@5")</f>
        <v>collection.kitchen_and_buttery_1@5</v>
      </c>
      <c r="C1025" s="49" t="str">
        <f t="array" ref="C1025">_xlfn.XLOOKUP(
 B1025,
 tblTargets[TargetID],
 tblTargets[DisplayName],
 ""
)</f>
        <v>Kitchen And Buttery 1 Lv 5</v>
      </c>
      <c r="D1025" s="49" t="str">
        <f t="array" ref="D1025">_xlfn.XLOOKUP(
 B1025,
 tblTargets[TargetID],
 tblTargets[TargetType],
 ""
)</f>
        <v>COLLECTION</v>
      </c>
      <c r="E1025" s="49" t="s">
        <v>187</v>
      </c>
      <c r="F1025" s="49">
        <v>8.0</v>
      </c>
      <c r="G1025" s="49">
        <f t="array" ref="G1025">_xlfn.XLOOKUP(
 A1025,
 tblCost[RequirementID],
 tblCost[QuantityRequired],
 ""
)</f>
        <v>250</v>
      </c>
      <c r="H1025" s="49">
        <f t="array" ref="H1025">IF(
 OR(
  LEFT(B1025,15)="state.character",
  RIGHT(B1025,6)=".maxed"
 ),
 0,
 LET(
  sort,
   _xlfn.XLOOKUP(
    B1025,
    tblChecklist[TargetID],
    tblChecklist[PlayerSort],
    0
   ),
  IF(sort=0,500,sort)
 )
)</f>
        <v>500</v>
      </c>
      <c r="I1025" s="49" t="str">
        <f t="array" ref="I1025">_xlfn.XLOOKUP(
 B1025,
 tblTargetStatus[TargetID],
 tblTargetStatus[Status],
 ""
)</f>
        <v>BLOCKED</v>
      </c>
      <c r="J1025" s="45" t="b">
        <v>0</v>
      </c>
    </row>
    <row r="1026" ht="14.25" hidden="1" customHeight="1">
      <c r="A1026" s="49" t="s">
        <v>2669</v>
      </c>
      <c r="B1026" s="49" t="str">
        <f>IFERROR(__xludf.DUMMYFUNCTION("REGEXREPLACE(
 REGEXREPLACE(A1026,""^cost\."",""""),
 ""\.[^.]+\.[^.]+$"",
 """"
)"),"collection.kitchen_and_buttery_1@5")</f>
        <v>collection.kitchen_and_buttery_1@5</v>
      </c>
      <c r="C1026" s="49" t="str">
        <f t="array" ref="C1026">_xlfn.XLOOKUP(
 B1026,
 tblTargets[TargetID],
 tblTargets[DisplayName],
 ""
)</f>
        <v>Kitchen And Buttery 1 Lv 5</v>
      </c>
      <c r="D1026" s="49" t="str">
        <f t="array" ref="D1026">_xlfn.XLOOKUP(
 B1026,
 tblTargets[TargetID],
 tblTargets[TargetType],
 ""
)</f>
        <v>COLLECTION</v>
      </c>
      <c r="E1026" s="49" t="s">
        <v>711</v>
      </c>
      <c r="F1026" s="49">
        <v>1.0</v>
      </c>
      <c r="G1026" s="49">
        <f t="array" ref="G1026">_xlfn.XLOOKUP(
 A1026,
 tblCost[RequirementID],
 tblCost[QuantityRequired],
 ""
)</f>
        <v>75</v>
      </c>
      <c r="H1026" s="49">
        <f t="array" ref="H1026">IF(
 OR(
  LEFT(B1026,15)="state.character",
  RIGHT(B1026,6)=".maxed"
 ),
 0,
 LET(
  sort,
   _xlfn.XLOOKUP(
    B1026,
    tblChecklist[TargetID],
    tblChecklist[PlayerSort],
    0
   ),
  IF(sort=0,500,sort)
 )
)</f>
        <v>500</v>
      </c>
      <c r="I1026" s="49" t="str">
        <f t="array" ref="I1026">_xlfn.XLOOKUP(
 B1026,
 tblTargetStatus[TargetID],
 tblTargetStatus[Status],
 ""
)</f>
        <v>BLOCKED</v>
      </c>
      <c r="J1026" s="45" t="b">
        <v>0</v>
      </c>
    </row>
    <row r="1027" ht="14.25" hidden="1" customHeight="1">
      <c r="A1027" s="49" t="s">
        <v>2670</v>
      </c>
      <c r="B1027" s="49" t="str">
        <f>IFERROR(__xludf.DUMMYFUNCTION("REGEXREPLACE(
 REGEXREPLACE(A1027,""^cost\."",""""),
 ""\.[^.]+\.[^.]+$"",
 """"
)"),"collection.kitchen_and_buttery_2@1")</f>
        <v>collection.kitchen_and_buttery_2@1</v>
      </c>
      <c r="C1027" s="49" t="str">
        <f t="array" ref="C1027">_xlfn.XLOOKUP(
 B1027,
 tblTargets[TargetID],
 tblTargets[DisplayName],
 ""
)</f>
        <v>Kitchen And Buttery 2 Lv 1</v>
      </c>
      <c r="D1027" s="49" t="str">
        <f t="array" ref="D1027">_xlfn.XLOOKUP(
 B1027,
 tblTargets[TargetID],
 tblTargets[TargetType],
 ""
)</f>
        <v>COLLECTION</v>
      </c>
      <c r="E1027" s="49" t="s">
        <v>283</v>
      </c>
      <c r="F1027" s="49">
        <v>1.0</v>
      </c>
      <c r="G1027" s="49">
        <f t="array" ref="G1027">_xlfn.XLOOKUP(
 A1027,
 tblCost[RequirementID],
 tblCost[QuantityRequired],
 ""
)</f>
        <v>100</v>
      </c>
      <c r="H1027" s="49">
        <f t="array" ref="H1027">IF(
 OR(
  LEFT(B1027,15)="state.character",
  RIGHT(B1027,6)=".maxed"
 ),
 0,
 LET(
  sort,
   _xlfn.XLOOKUP(
    B1027,
    tblChecklist[TargetID],
    tblChecklist[PlayerSort],
    0
   ),
  IF(sort=0,500,sort)
 )
)</f>
        <v>500</v>
      </c>
      <c r="I1027" s="49" t="str">
        <f t="array" ref="I1027">_xlfn.XLOOKUP(
 B1027,
 tblTargetStatus[TargetID],
 tblTargetStatus[Status],
 ""
)</f>
        <v>BLOCKED</v>
      </c>
      <c r="J1027" s="45" t="b">
        <v>0</v>
      </c>
    </row>
    <row r="1028" ht="14.25" hidden="1" customHeight="1">
      <c r="A1028" s="49" t="s">
        <v>2671</v>
      </c>
      <c r="B1028" s="49" t="str">
        <f>IFERROR(__xludf.DUMMYFUNCTION("REGEXREPLACE(
 REGEXREPLACE(A1028,""^cost\."",""""),
 ""\.[^.]+\.[^.]+$"",
 """"
)"),"collection.kitchen_and_buttery_2@1")</f>
        <v>collection.kitchen_and_buttery_2@1</v>
      </c>
      <c r="C1028" s="49" t="str">
        <f t="array" ref="C1028">_xlfn.XLOOKUP(
 B1028,
 tblTargets[TargetID],
 tblTargets[DisplayName],
 ""
)</f>
        <v>Kitchen And Buttery 2 Lv 1</v>
      </c>
      <c r="D1028" s="49" t="str">
        <f t="array" ref="D1028">_xlfn.XLOOKUP(
 B1028,
 tblTargets[TargetID],
 tblTargets[TargetType],
 ""
)</f>
        <v>COLLECTION</v>
      </c>
      <c r="E1028" s="49" t="s">
        <v>588</v>
      </c>
      <c r="F1028" s="49">
        <v>1.0</v>
      </c>
      <c r="G1028" s="49">
        <f t="array" ref="G1028">_xlfn.XLOOKUP(
 A1028,
 tblCost[RequirementID],
 tblCost[QuantityRequired],
 ""
)</f>
        <v>20</v>
      </c>
      <c r="H1028" s="49">
        <f t="array" ref="H1028">IF(
 OR(
  LEFT(B1028,15)="state.character",
  RIGHT(B1028,6)=".maxed"
 ),
 0,
 LET(
  sort,
   _xlfn.XLOOKUP(
    B1028,
    tblChecklist[TargetID],
    tblChecklist[PlayerSort],
    0
   ),
  IF(sort=0,500,sort)
 )
)</f>
        <v>500</v>
      </c>
      <c r="I1028" s="49" t="str">
        <f t="array" ref="I1028">_xlfn.XLOOKUP(
 B1028,
 tblTargetStatus[TargetID],
 tblTargetStatus[Status],
 ""
)</f>
        <v>BLOCKED</v>
      </c>
      <c r="J1028" s="45" t="b">
        <v>0</v>
      </c>
    </row>
    <row r="1029" ht="14.25" hidden="1" customHeight="1">
      <c r="A1029" s="49" t="s">
        <v>2672</v>
      </c>
      <c r="B1029" s="49" t="str">
        <f>IFERROR(__xludf.DUMMYFUNCTION("REGEXREPLACE(
 REGEXREPLACE(A1029,""^cost\."",""""),
 ""\.[^.]+\.[^.]+$"",
 """"
)"),"collection.kitchen_and_buttery_2@1")</f>
        <v>collection.kitchen_and_buttery_2@1</v>
      </c>
      <c r="C1029" s="49" t="str">
        <f t="array" ref="C1029">_xlfn.XLOOKUP(
 B1029,
 tblTargets[TargetID],
 tblTargets[DisplayName],
 ""
)</f>
        <v>Kitchen And Buttery 2 Lv 1</v>
      </c>
      <c r="D1029" s="49" t="str">
        <f t="array" ref="D1029">_xlfn.XLOOKUP(
 B1029,
 tblTargets[TargetID],
 tblTargets[TargetType],
 ""
)</f>
        <v>COLLECTION</v>
      </c>
      <c r="E1029" s="49" t="s">
        <v>187</v>
      </c>
      <c r="F1029" s="49">
        <v>1.0</v>
      </c>
      <c r="G1029" s="49">
        <f t="array" ref="G1029">_xlfn.XLOOKUP(
 A1029,
 tblCost[RequirementID],
 tblCost[QuantityRequired],
 ""
)</f>
        <v>100</v>
      </c>
      <c r="H1029" s="49">
        <f t="array" ref="H1029">IF(
 OR(
  LEFT(B1029,15)="state.character",
  RIGHT(B1029,6)=".maxed"
 ),
 0,
 LET(
  sort,
   _xlfn.XLOOKUP(
    B1029,
    tblChecklist[TargetID],
    tblChecklist[PlayerSort],
    0
   ),
  IF(sort=0,500,sort)
 )
)</f>
        <v>500</v>
      </c>
      <c r="I1029" s="49" t="str">
        <f t="array" ref="I1029">_xlfn.XLOOKUP(
 B1029,
 tblTargetStatus[TargetID],
 tblTargetStatus[Status],
 ""
)</f>
        <v>BLOCKED</v>
      </c>
      <c r="J1029" s="45" t="b">
        <v>0</v>
      </c>
    </row>
    <row r="1030" ht="14.25" hidden="1" customHeight="1">
      <c r="A1030" s="49" t="s">
        <v>2673</v>
      </c>
      <c r="B1030" s="49" t="str">
        <f>IFERROR(__xludf.DUMMYFUNCTION("REGEXREPLACE(
 REGEXREPLACE(A1030,""^cost\."",""""),
 ""\.[^.]+\.[^.]+$"",
 """"
)"),"collection.kitchen_and_buttery_2@1")</f>
        <v>collection.kitchen_and_buttery_2@1</v>
      </c>
      <c r="C1030" s="49" t="str">
        <f t="array" ref="C1030">_xlfn.XLOOKUP(
 B1030,
 tblTargets[TargetID],
 tblTargets[DisplayName],
 ""
)</f>
        <v>Kitchen And Buttery 2 Lv 1</v>
      </c>
      <c r="D1030" s="49" t="str">
        <f t="array" ref="D1030">_xlfn.XLOOKUP(
 B1030,
 tblTargets[TargetID],
 tblTargets[TargetType],
 ""
)</f>
        <v>COLLECTION</v>
      </c>
      <c r="E1030" s="49" t="s">
        <v>187</v>
      </c>
      <c r="F1030" s="49">
        <v>2.0</v>
      </c>
      <c r="G1030" s="49">
        <f t="array" ref="G1030">_xlfn.XLOOKUP(
 A1030,
 tblCost[RequirementID],
 tblCost[QuantityRequired],
 ""
)</f>
        <v>100</v>
      </c>
      <c r="H1030" s="49">
        <f t="array" ref="H1030">IF(
 OR(
  LEFT(B1030,15)="state.character",
  RIGHT(B1030,6)=".maxed"
 ),
 0,
 LET(
  sort,
   _xlfn.XLOOKUP(
    B1030,
    tblChecklist[TargetID],
    tblChecklist[PlayerSort],
    0
   ),
  IF(sort=0,500,sort)
 )
)</f>
        <v>500</v>
      </c>
      <c r="I1030" s="49" t="str">
        <f t="array" ref="I1030">_xlfn.XLOOKUP(
 B1030,
 tblTargetStatus[TargetID],
 tblTargetStatus[Status],
 ""
)</f>
        <v>BLOCKED</v>
      </c>
      <c r="J1030" s="45" t="b">
        <v>0</v>
      </c>
    </row>
    <row r="1031" ht="14.25" hidden="1" customHeight="1">
      <c r="A1031" s="49" t="s">
        <v>2674</v>
      </c>
      <c r="B1031" s="49" t="str">
        <f>IFERROR(__xludf.DUMMYFUNCTION("REGEXREPLACE(
 REGEXREPLACE(A1031,""^cost\."",""""),
 ""\.[^.]+\.[^.]+$"",
 """"
)"),"collection.kitchen_and_buttery_2@1")</f>
        <v>collection.kitchen_and_buttery_2@1</v>
      </c>
      <c r="C1031" s="49" t="str">
        <f t="array" ref="C1031">_xlfn.XLOOKUP(
 B1031,
 tblTargets[TargetID],
 tblTargets[DisplayName],
 ""
)</f>
        <v>Kitchen And Buttery 2 Lv 1</v>
      </c>
      <c r="D1031" s="49" t="str">
        <f t="array" ref="D1031">_xlfn.XLOOKUP(
 B1031,
 tblTargets[TargetID],
 tblTargets[TargetType],
 ""
)</f>
        <v>COLLECTION</v>
      </c>
      <c r="E1031" s="49" t="s">
        <v>187</v>
      </c>
      <c r="F1031" s="49">
        <v>3.0</v>
      </c>
      <c r="G1031" s="49">
        <f t="array" ref="G1031">_xlfn.XLOOKUP(
 A1031,
 tblCost[RequirementID],
 tblCost[QuantityRequired],
 ""
)</f>
        <v>200</v>
      </c>
      <c r="H1031" s="49">
        <f t="array" ref="H1031">IF(
 OR(
  LEFT(B1031,15)="state.character",
  RIGHT(B1031,6)=".maxed"
 ),
 0,
 LET(
  sort,
   _xlfn.XLOOKUP(
    B1031,
    tblChecklist[TargetID],
    tblChecklist[PlayerSort],
    0
   ),
  IF(sort=0,500,sort)
 )
)</f>
        <v>500</v>
      </c>
      <c r="I1031" s="49" t="str">
        <f t="array" ref="I1031">_xlfn.XLOOKUP(
 B1031,
 tblTargetStatus[TargetID],
 tblTargetStatus[Status],
 ""
)</f>
        <v>BLOCKED</v>
      </c>
      <c r="J1031" s="45" t="b">
        <v>0</v>
      </c>
    </row>
    <row r="1032" ht="14.25" hidden="1" customHeight="1">
      <c r="A1032" s="49" t="s">
        <v>2675</v>
      </c>
      <c r="B1032" s="49" t="str">
        <f>IFERROR(__xludf.DUMMYFUNCTION("REGEXREPLACE(
 REGEXREPLACE(A1032,""^cost\."",""""),
 ""\.[^.]+\.[^.]+$"",
 """"
)"),"collection.mushroom_farm@1")</f>
        <v>collection.mushroom_farm@1</v>
      </c>
      <c r="C1032" s="49" t="str">
        <f t="array" ref="C1032">_xlfn.XLOOKUP(
 B1032,
 tblTargets[TargetID],
 tblTargets[DisplayName],
 ""
)</f>
        <v>Mushroom Farm Lv 1</v>
      </c>
      <c r="D1032" s="49" t="str">
        <f t="array" ref="D1032">_xlfn.XLOOKUP(
 B1032,
 tblTargets[TargetID],
 tblTargets[TargetType],
 ""
)</f>
        <v>COLLECTION</v>
      </c>
      <c r="E1032" s="49" t="s">
        <v>2323</v>
      </c>
      <c r="F1032" s="49">
        <v>1.0</v>
      </c>
      <c r="G1032" s="49">
        <f t="array" ref="G1032">_xlfn.XLOOKUP(
 A1032,
 tblCost[RequirementID],
 tblCost[QuantityRequired],
 ""
)</f>
        <v>10</v>
      </c>
      <c r="H1032" s="49">
        <f t="array" ref="H1032">IF(
 OR(
  LEFT(B1032,15)="state.character",
  RIGHT(B1032,6)=".maxed"
 ),
 0,
 LET(
  sort,
   _xlfn.XLOOKUP(
    B1032,
    tblChecklist[TargetID],
    tblChecklist[PlayerSort],
    0
   ),
  IF(sort=0,500,sort)
 )
)</f>
        <v>500</v>
      </c>
      <c r="I1032" s="49" t="str">
        <f t="array" ref="I1032">_xlfn.XLOOKUP(
 B1032,
 tblTargetStatus[TargetID],
 tblTargetStatus[Status],
 ""
)</f>
        <v>BLOCKED</v>
      </c>
      <c r="J1032" s="45" t="b">
        <v>0</v>
      </c>
    </row>
    <row r="1033" ht="14.25" hidden="1" customHeight="1">
      <c r="A1033" s="49" t="s">
        <v>2676</v>
      </c>
      <c r="B1033" s="49" t="str">
        <f>IFERROR(__xludf.DUMMYFUNCTION("REGEXREPLACE(
 REGEXREPLACE(A1033,""^cost\."",""""),
 ""\.[^.]+\.[^.]+$"",
 """"
)"),"collection.mushroom_farm@1")</f>
        <v>collection.mushroom_farm@1</v>
      </c>
      <c r="C1033" s="49" t="str">
        <f t="array" ref="C1033">_xlfn.XLOOKUP(
 B1033,
 tblTargets[TargetID],
 tblTargets[DisplayName],
 ""
)</f>
        <v>Mushroom Farm Lv 1</v>
      </c>
      <c r="D1033" s="49" t="str">
        <f t="array" ref="D1033">_xlfn.XLOOKUP(
 B1033,
 tblTargets[TargetID],
 tblTargets[TargetType],
 ""
)</f>
        <v>COLLECTION</v>
      </c>
      <c r="E1033" s="49" t="s">
        <v>2323</v>
      </c>
      <c r="F1033" s="49">
        <v>2.0</v>
      </c>
      <c r="G1033" s="49">
        <f t="array" ref="G1033">_xlfn.XLOOKUP(
 A1033,
 tblCost[RequirementID],
 tblCost[QuantityRequired],
 ""
)</f>
        <v>10</v>
      </c>
      <c r="H1033" s="49">
        <f t="array" ref="H1033">IF(
 OR(
  LEFT(B1033,15)="state.character",
  RIGHT(B1033,6)=".maxed"
 ),
 0,
 LET(
  sort,
   _xlfn.XLOOKUP(
    B1033,
    tblChecklist[TargetID],
    tblChecklist[PlayerSort],
    0
   ),
  IF(sort=0,500,sort)
 )
)</f>
        <v>500</v>
      </c>
      <c r="I1033" s="49" t="str">
        <f t="array" ref="I1033">_xlfn.XLOOKUP(
 B1033,
 tblTargetStatus[TargetID],
 tblTargetStatus[Status],
 ""
)</f>
        <v>BLOCKED</v>
      </c>
      <c r="J1033" s="45" t="b">
        <v>0</v>
      </c>
    </row>
    <row r="1034" ht="14.25" hidden="1" customHeight="1">
      <c r="A1034" s="49" t="s">
        <v>2677</v>
      </c>
      <c r="B1034" s="49" t="str">
        <f>IFERROR(__xludf.DUMMYFUNCTION("REGEXREPLACE(
 REGEXREPLACE(A1034,""^cost\."",""""),
 ""\.[^.]+\.[^.]+$"",
 """"
)"),"collection.mushroom_farm@1")</f>
        <v>collection.mushroom_farm@1</v>
      </c>
      <c r="C1034" s="49" t="str">
        <f t="array" ref="C1034">_xlfn.XLOOKUP(
 B1034,
 tblTargets[TargetID],
 tblTargets[DisplayName],
 ""
)</f>
        <v>Mushroom Farm Lv 1</v>
      </c>
      <c r="D1034" s="49" t="str">
        <f t="array" ref="D1034">_xlfn.XLOOKUP(
 B1034,
 tblTargets[TargetID],
 tblTargets[TargetType],
 ""
)</f>
        <v>COLLECTION</v>
      </c>
      <c r="E1034" s="49" t="s">
        <v>2323</v>
      </c>
      <c r="F1034" s="49">
        <v>3.0</v>
      </c>
      <c r="G1034" s="49">
        <f t="array" ref="G1034">_xlfn.XLOOKUP(
 A1034,
 tblCost[RequirementID],
 tblCost[QuantityRequired],
 ""
)</f>
        <v>10</v>
      </c>
      <c r="H1034" s="49">
        <f t="array" ref="H1034">IF(
 OR(
  LEFT(B1034,15)="state.character",
  RIGHT(B1034,6)=".maxed"
 ),
 0,
 LET(
  sort,
   _xlfn.XLOOKUP(
    B1034,
    tblChecklist[TargetID],
    tblChecklist[PlayerSort],
    0
   ),
  IF(sort=0,500,sort)
 )
)</f>
        <v>500</v>
      </c>
      <c r="I1034" s="49" t="str">
        <f t="array" ref="I1034">_xlfn.XLOOKUP(
 B1034,
 tblTargetStatus[TargetID],
 tblTargetStatus[Status],
 ""
)</f>
        <v>BLOCKED</v>
      </c>
      <c r="J1034" s="45" t="b">
        <v>0</v>
      </c>
    </row>
    <row r="1035" ht="14.25" hidden="1" customHeight="1">
      <c r="A1035" s="49" t="s">
        <v>2678</v>
      </c>
      <c r="B1035" s="49" t="str">
        <f>IFERROR(__xludf.DUMMYFUNCTION("REGEXREPLACE(
 REGEXREPLACE(A1035,""^cost\."",""""),
 ""\.[^.]+\.[^.]+$"",
 """"
)"),"collection.mushroom_farm@1")</f>
        <v>collection.mushroom_farm@1</v>
      </c>
      <c r="C1035" s="49" t="str">
        <f t="array" ref="C1035">_xlfn.XLOOKUP(
 B1035,
 tblTargets[TargetID],
 tblTargets[DisplayName],
 ""
)</f>
        <v>Mushroom Farm Lv 1</v>
      </c>
      <c r="D1035" s="49" t="str">
        <f t="array" ref="D1035">_xlfn.XLOOKUP(
 B1035,
 tblTargets[TargetID],
 tblTargets[TargetType],
 ""
)</f>
        <v>COLLECTION</v>
      </c>
      <c r="E1035" s="49" t="s">
        <v>2323</v>
      </c>
      <c r="F1035" s="49">
        <v>4.0</v>
      </c>
      <c r="G1035" s="49">
        <f t="array" ref="G1035">_xlfn.XLOOKUP(
 A1035,
 tblCost[RequirementID],
 tblCost[QuantityRequired],
 ""
)</f>
        <v>10</v>
      </c>
      <c r="H1035" s="49">
        <f t="array" ref="H1035">IF(
 OR(
  LEFT(B1035,15)="state.character",
  RIGHT(B1035,6)=".maxed"
 ),
 0,
 LET(
  sort,
   _xlfn.XLOOKUP(
    B1035,
    tblChecklist[TargetID],
    tblChecklist[PlayerSort],
    0
   ),
  IF(sort=0,500,sort)
 )
)</f>
        <v>500</v>
      </c>
      <c r="I1035" s="49" t="str">
        <f t="array" ref="I1035">_xlfn.XLOOKUP(
 B1035,
 tblTargetStatus[TargetID],
 tblTargetStatus[Status],
 ""
)</f>
        <v>BLOCKED</v>
      </c>
      <c r="J1035" s="45" t="b">
        <v>0</v>
      </c>
    </row>
    <row r="1036" ht="14.25" hidden="1" customHeight="1">
      <c r="A1036" s="49" t="s">
        <v>2679</v>
      </c>
      <c r="B1036" s="49" t="str">
        <f>IFERROR(__xludf.DUMMYFUNCTION("REGEXREPLACE(
 REGEXREPLACE(A1036,""^cost\."",""""),
 ""\.[^.]+\.[^.]+$"",
 """"
)"),"collection.mushroom_farm@1")</f>
        <v>collection.mushroom_farm@1</v>
      </c>
      <c r="C1036" s="49" t="str">
        <f t="array" ref="C1036">_xlfn.XLOOKUP(
 B1036,
 tblTargets[TargetID],
 tblTargets[DisplayName],
 ""
)</f>
        <v>Mushroom Farm Lv 1</v>
      </c>
      <c r="D1036" s="49" t="str">
        <f t="array" ref="D1036">_xlfn.XLOOKUP(
 B1036,
 tblTargets[TargetID],
 tblTargets[TargetType],
 ""
)</f>
        <v>COLLECTION</v>
      </c>
      <c r="E1036" s="49" t="s">
        <v>2323</v>
      </c>
      <c r="F1036" s="49">
        <v>5.0</v>
      </c>
      <c r="G1036" s="49">
        <f t="array" ref="G1036">_xlfn.XLOOKUP(
 A1036,
 tblCost[RequirementID],
 tblCost[QuantityRequired],
 ""
)</f>
        <v>10</v>
      </c>
      <c r="H1036" s="49">
        <f t="array" ref="H1036">IF(
 OR(
  LEFT(B1036,15)="state.character",
  RIGHT(B1036,6)=".maxed"
 ),
 0,
 LET(
  sort,
   _xlfn.XLOOKUP(
    B1036,
    tblChecklist[TargetID],
    tblChecklist[PlayerSort],
    0
   ),
  IF(sort=0,500,sort)
 )
)</f>
        <v>500</v>
      </c>
      <c r="I1036" s="49" t="str">
        <f t="array" ref="I1036">_xlfn.XLOOKUP(
 B1036,
 tblTargetStatus[TargetID],
 tblTargetStatus[Status],
 ""
)</f>
        <v>BLOCKED</v>
      </c>
      <c r="J1036" s="45" t="b">
        <v>0</v>
      </c>
    </row>
    <row r="1037" ht="14.25" hidden="1" customHeight="1">
      <c r="A1037" s="49" t="s">
        <v>2680</v>
      </c>
      <c r="B1037" s="49" t="str">
        <f>IFERROR(__xludf.DUMMYFUNCTION("REGEXREPLACE(
 REGEXREPLACE(A1037,""^cost\."",""""),
 ""\.[^.]+\.[^.]+$"",
 """"
)"),"collection.mushroom_farm@1")</f>
        <v>collection.mushroom_farm@1</v>
      </c>
      <c r="C1037" s="49" t="str">
        <f t="array" ref="C1037">_xlfn.XLOOKUP(
 B1037,
 tblTargets[TargetID],
 tblTargets[DisplayName],
 ""
)</f>
        <v>Mushroom Farm Lv 1</v>
      </c>
      <c r="D1037" s="49" t="str">
        <f t="array" ref="D1037">_xlfn.XLOOKUP(
 B1037,
 tblTargets[TargetID],
 tblTargets[TargetType],
 ""
)</f>
        <v>COLLECTION</v>
      </c>
      <c r="E1037" s="49" t="s">
        <v>2323</v>
      </c>
      <c r="F1037" s="49">
        <v>6.0</v>
      </c>
      <c r="G1037" s="49">
        <f t="array" ref="G1037">_xlfn.XLOOKUP(
 A1037,
 tblCost[RequirementID],
 tblCost[QuantityRequired],
 ""
)</f>
        <v>10</v>
      </c>
      <c r="H1037" s="49">
        <f t="array" ref="H1037">IF(
 OR(
  LEFT(B1037,15)="state.character",
  RIGHT(B1037,6)=".maxed"
 ),
 0,
 LET(
  sort,
   _xlfn.XLOOKUP(
    B1037,
    tblChecklist[TargetID],
    tblChecklist[PlayerSort],
    0
   ),
  IF(sort=0,500,sort)
 )
)</f>
        <v>500</v>
      </c>
      <c r="I1037" s="49" t="str">
        <f t="array" ref="I1037">_xlfn.XLOOKUP(
 B1037,
 tblTargetStatus[TargetID],
 tblTargetStatus[Status],
 ""
)</f>
        <v>BLOCKED</v>
      </c>
      <c r="J1037" s="45" t="b">
        <v>0</v>
      </c>
    </row>
    <row r="1038" ht="14.25" hidden="1" customHeight="1">
      <c r="A1038" s="49" t="s">
        <v>2681</v>
      </c>
      <c r="B1038" s="49" t="str">
        <f>IFERROR(__xludf.DUMMYFUNCTION("REGEXREPLACE(
 REGEXREPLACE(A1038,""^cost\."",""""),
 ""\.[^.]+\.[^.]+$"",
 """"
)"),"collection.mushroom_farm@2")</f>
        <v>collection.mushroom_farm@2</v>
      </c>
      <c r="C1038" s="49" t="str">
        <f t="array" ref="C1038">_xlfn.XLOOKUP(
 B1038,
 tblTargets[TargetID],
 tblTargets[DisplayName],
 ""
)</f>
        <v>Mushroom Farm Lv 2</v>
      </c>
      <c r="D1038" s="49" t="str">
        <f t="array" ref="D1038">_xlfn.XLOOKUP(
 B1038,
 tblTargets[TargetID],
 tblTargets[TargetType],
 ""
)</f>
        <v>COLLECTION</v>
      </c>
      <c r="E1038" s="49" t="s">
        <v>2323</v>
      </c>
      <c r="F1038" s="49">
        <v>1.0</v>
      </c>
      <c r="G1038" s="49">
        <f t="array" ref="G1038">_xlfn.XLOOKUP(
 A1038,
 tblCost[RequirementID],
 tblCost[QuantityRequired],
 ""
)</f>
        <v>20</v>
      </c>
      <c r="H1038" s="49">
        <f t="array" ref="H1038">IF(
 OR(
  LEFT(B1038,15)="state.character",
  RIGHT(B1038,6)=".maxed"
 ),
 0,
 LET(
  sort,
   _xlfn.XLOOKUP(
    B1038,
    tblChecklist[TargetID],
    tblChecklist[PlayerSort],
    0
   ),
  IF(sort=0,500,sort)
 )
)</f>
        <v>500</v>
      </c>
      <c r="I1038" s="49" t="str">
        <f t="array" ref="I1038">_xlfn.XLOOKUP(
 B1038,
 tblTargetStatus[TargetID],
 tblTargetStatus[Status],
 ""
)</f>
        <v>BLOCKED</v>
      </c>
      <c r="J1038" s="45" t="b">
        <v>0</v>
      </c>
    </row>
    <row r="1039" ht="14.25" hidden="1" customHeight="1">
      <c r="A1039" s="49" t="s">
        <v>2682</v>
      </c>
      <c r="B1039" s="49" t="str">
        <f>IFERROR(__xludf.DUMMYFUNCTION("REGEXREPLACE(
 REGEXREPLACE(A1039,""^cost\."",""""),
 ""\.[^.]+\.[^.]+$"",
 """"
)"),"collection.mushroom_farm@2")</f>
        <v>collection.mushroom_farm@2</v>
      </c>
      <c r="C1039" s="49" t="str">
        <f t="array" ref="C1039">_xlfn.XLOOKUP(
 B1039,
 tblTargets[TargetID],
 tblTargets[DisplayName],
 ""
)</f>
        <v>Mushroom Farm Lv 2</v>
      </c>
      <c r="D1039" s="49" t="str">
        <f t="array" ref="D1039">_xlfn.XLOOKUP(
 B1039,
 tblTargets[TargetID],
 tblTargets[TargetType],
 ""
)</f>
        <v>COLLECTION</v>
      </c>
      <c r="E1039" s="49" t="s">
        <v>2323</v>
      </c>
      <c r="F1039" s="49">
        <v>2.0</v>
      </c>
      <c r="G1039" s="49">
        <f t="array" ref="G1039">_xlfn.XLOOKUP(
 A1039,
 tblCost[RequirementID],
 tblCost[QuantityRequired],
 ""
)</f>
        <v>20</v>
      </c>
      <c r="H1039" s="49">
        <f t="array" ref="H1039">IF(
 OR(
  LEFT(B1039,15)="state.character",
  RIGHT(B1039,6)=".maxed"
 ),
 0,
 LET(
  sort,
   _xlfn.XLOOKUP(
    B1039,
    tblChecklist[TargetID],
    tblChecklist[PlayerSort],
    0
   ),
  IF(sort=0,500,sort)
 )
)</f>
        <v>500</v>
      </c>
      <c r="I1039" s="49" t="str">
        <f t="array" ref="I1039">_xlfn.XLOOKUP(
 B1039,
 tblTargetStatus[TargetID],
 tblTargetStatus[Status],
 ""
)</f>
        <v>BLOCKED</v>
      </c>
      <c r="J1039" s="45" t="b">
        <v>0</v>
      </c>
    </row>
    <row r="1040" ht="14.25" hidden="1" customHeight="1">
      <c r="A1040" s="49" t="s">
        <v>2683</v>
      </c>
      <c r="B1040" s="49" t="str">
        <f>IFERROR(__xludf.DUMMYFUNCTION("REGEXREPLACE(
 REGEXREPLACE(A1040,""^cost\."",""""),
 ""\.[^.]+\.[^.]+$"",
 """"
)"),"collection.mushroom_farm@2")</f>
        <v>collection.mushroom_farm@2</v>
      </c>
      <c r="C1040" s="49" t="str">
        <f t="array" ref="C1040">_xlfn.XLOOKUP(
 B1040,
 tblTargets[TargetID],
 tblTargets[DisplayName],
 ""
)</f>
        <v>Mushroom Farm Lv 2</v>
      </c>
      <c r="D1040" s="49" t="str">
        <f t="array" ref="D1040">_xlfn.XLOOKUP(
 B1040,
 tblTargets[TargetID],
 tblTargets[TargetType],
 ""
)</f>
        <v>COLLECTION</v>
      </c>
      <c r="E1040" s="49" t="s">
        <v>2323</v>
      </c>
      <c r="F1040" s="49">
        <v>3.0</v>
      </c>
      <c r="G1040" s="49">
        <f t="array" ref="G1040">_xlfn.XLOOKUP(
 A1040,
 tblCost[RequirementID],
 tblCost[QuantityRequired],
 ""
)</f>
        <v>20</v>
      </c>
      <c r="H1040" s="49">
        <f t="array" ref="H1040">IF(
 OR(
  LEFT(B1040,15)="state.character",
  RIGHT(B1040,6)=".maxed"
 ),
 0,
 LET(
  sort,
   _xlfn.XLOOKUP(
    B1040,
    tblChecklist[TargetID],
    tblChecklist[PlayerSort],
    0
   ),
  IF(sort=0,500,sort)
 )
)</f>
        <v>500</v>
      </c>
      <c r="I1040" s="49" t="str">
        <f t="array" ref="I1040">_xlfn.XLOOKUP(
 B1040,
 tblTargetStatus[TargetID],
 tblTargetStatus[Status],
 ""
)</f>
        <v>BLOCKED</v>
      </c>
      <c r="J1040" s="45" t="b">
        <v>0</v>
      </c>
    </row>
    <row r="1041" ht="14.25" hidden="1" customHeight="1">
      <c r="A1041" s="49" t="s">
        <v>2684</v>
      </c>
      <c r="B1041" s="49" t="str">
        <f>IFERROR(__xludf.DUMMYFUNCTION("REGEXREPLACE(
 REGEXREPLACE(A1041,""^cost\."",""""),
 ""\.[^.]+\.[^.]+$"",
 """"
)"),"collection.mushroom_farm@2")</f>
        <v>collection.mushroom_farm@2</v>
      </c>
      <c r="C1041" s="49" t="str">
        <f t="array" ref="C1041">_xlfn.XLOOKUP(
 B1041,
 tblTargets[TargetID],
 tblTargets[DisplayName],
 ""
)</f>
        <v>Mushroom Farm Lv 2</v>
      </c>
      <c r="D1041" s="49" t="str">
        <f t="array" ref="D1041">_xlfn.XLOOKUP(
 B1041,
 tblTargets[TargetID],
 tblTargets[TargetType],
 ""
)</f>
        <v>COLLECTION</v>
      </c>
      <c r="E1041" s="49" t="s">
        <v>2323</v>
      </c>
      <c r="F1041" s="49">
        <v>4.0</v>
      </c>
      <c r="G1041" s="49">
        <f t="array" ref="G1041">_xlfn.XLOOKUP(
 A1041,
 tblCost[RequirementID],
 tblCost[QuantityRequired],
 ""
)</f>
        <v>20</v>
      </c>
      <c r="H1041" s="49">
        <f t="array" ref="H1041">IF(
 OR(
  LEFT(B1041,15)="state.character",
  RIGHT(B1041,6)=".maxed"
 ),
 0,
 LET(
  sort,
   _xlfn.XLOOKUP(
    B1041,
    tblChecklist[TargetID],
    tblChecklist[PlayerSort],
    0
   ),
  IF(sort=0,500,sort)
 )
)</f>
        <v>500</v>
      </c>
      <c r="I1041" s="49" t="str">
        <f t="array" ref="I1041">_xlfn.XLOOKUP(
 B1041,
 tblTargetStatus[TargetID],
 tblTargetStatus[Status],
 ""
)</f>
        <v>BLOCKED</v>
      </c>
      <c r="J1041" s="45" t="b">
        <v>0</v>
      </c>
    </row>
    <row r="1042" ht="14.25" hidden="1" customHeight="1">
      <c r="A1042" s="49" t="s">
        <v>2685</v>
      </c>
      <c r="B1042" s="49" t="str">
        <f>IFERROR(__xludf.DUMMYFUNCTION("REGEXREPLACE(
 REGEXREPLACE(A1042,""^cost\."",""""),
 ""\.[^.]+\.[^.]+$"",
 """"
)"),"collection.mushroom_farm@2")</f>
        <v>collection.mushroom_farm@2</v>
      </c>
      <c r="C1042" s="49" t="str">
        <f t="array" ref="C1042">_xlfn.XLOOKUP(
 B1042,
 tblTargets[TargetID],
 tblTargets[DisplayName],
 ""
)</f>
        <v>Mushroom Farm Lv 2</v>
      </c>
      <c r="D1042" s="49" t="str">
        <f t="array" ref="D1042">_xlfn.XLOOKUP(
 B1042,
 tblTargets[TargetID],
 tblTargets[TargetType],
 ""
)</f>
        <v>COLLECTION</v>
      </c>
      <c r="E1042" s="49" t="s">
        <v>2323</v>
      </c>
      <c r="F1042" s="49">
        <v>5.0</v>
      </c>
      <c r="G1042" s="49">
        <f t="array" ref="G1042">_xlfn.XLOOKUP(
 A1042,
 tblCost[RequirementID],
 tblCost[QuantityRequired],
 ""
)</f>
        <v>20</v>
      </c>
      <c r="H1042" s="49">
        <f t="array" ref="H1042">IF(
 OR(
  LEFT(B1042,15)="state.character",
  RIGHT(B1042,6)=".maxed"
 ),
 0,
 LET(
  sort,
   _xlfn.XLOOKUP(
    B1042,
    tblChecklist[TargetID],
    tblChecklist[PlayerSort],
    0
   ),
  IF(sort=0,500,sort)
 )
)</f>
        <v>500</v>
      </c>
      <c r="I1042" s="49" t="str">
        <f t="array" ref="I1042">_xlfn.XLOOKUP(
 B1042,
 tblTargetStatus[TargetID],
 tblTargetStatus[Status],
 ""
)</f>
        <v>BLOCKED</v>
      </c>
      <c r="J1042" s="45" t="b">
        <v>0</v>
      </c>
    </row>
    <row r="1043" ht="14.25" hidden="1" customHeight="1">
      <c r="A1043" s="49" t="s">
        <v>2686</v>
      </c>
      <c r="B1043" s="49" t="str">
        <f>IFERROR(__xludf.DUMMYFUNCTION("REGEXREPLACE(
 REGEXREPLACE(A1043,""^cost\."",""""),
 ""\.[^.]+\.[^.]+$"",
 """"
)"),"collection.mushroom_farm@2")</f>
        <v>collection.mushroom_farm@2</v>
      </c>
      <c r="C1043" s="49" t="str">
        <f t="array" ref="C1043">_xlfn.XLOOKUP(
 B1043,
 tblTargets[TargetID],
 tblTargets[DisplayName],
 ""
)</f>
        <v>Mushroom Farm Lv 2</v>
      </c>
      <c r="D1043" s="49" t="str">
        <f t="array" ref="D1043">_xlfn.XLOOKUP(
 B1043,
 tblTargets[TargetID],
 tblTargets[TargetType],
 ""
)</f>
        <v>COLLECTION</v>
      </c>
      <c r="E1043" s="49" t="s">
        <v>2323</v>
      </c>
      <c r="F1043" s="49">
        <v>6.0</v>
      </c>
      <c r="G1043" s="49">
        <f t="array" ref="G1043">_xlfn.XLOOKUP(
 A1043,
 tblCost[RequirementID],
 tblCost[QuantityRequired],
 ""
)</f>
        <v>20</v>
      </c>
      <c r="H1043" s="49">
        <f t="array" ref="H1043">IF(
 OR(
  LEFT(B1043,15)="state.character",
  RIGHT(B1043,6)=".maxed"
 ),
 0,
 LET(
  sort,
   _xlfn.XLOOKUP(
    B1043,
    tblChecklist[TargetID],
    tblChecklist[PlayerSort],
    0
   ),
  IF(sort=0,500,sort)
 )
)</f>
        <v>500</v>
      </c>
      <c r="I1043" s="49" t="str">
        <f t="array" ref="I1043">_xlfn.XLOOKUP(
 B1043,
 tblTargetStatus[TargetID],
 tblTargetStatus[Status],
 ""
)</f>
        <v>BLOCKED</v>
      </c>
      <c r="J1043" s="45" t="b">
        <v>0</v>
      </c>
    </row>
    <row r="1044" ht="14.25" hidden="1" customHeight="1">
      <c r="A1044" s="49" t="s">
        <v>2687</v>
      </c>
      <c r="B1044" s="49" t="str">
        <f>IFERROR(__xludf.DUMMYFUNCTION("REGEXREPLACE(
 REGEXREPLACE(A1044,""^cost\."",""""),
 ""\.[^.]+\.[^.]+$"",
 """"
)"),"collection.orangery@1")</f>
        <v>collection.orangery@1</v>
      </c>
      <c r="C1044" s="49" t="str">
        <f t="array" ref="C1044">_xlfn.XLOOKUP(
 B1044,
 tblTargets[TargetID],
 tblTargets[DisplayName],
 ""
)</f>
        <v>Orangery Lv 1</v>
      </c>
      <c r="D1044" s="49" t="str">
        <f t="array" ref="D1044">_xlfn.XLOOKUP(
 B1044,
 tblTargets[TargetID],
 tblTargets[TargetType],
 ""
)</f>
        <v>COLLECTION</v>
      </c>
      <c r="E1044" s="49" t="s">
        <v>2299</v>
      </c>
      <c r="F1044" s="49">
        <v>1.0</v>
      </c>
      <c r="G1044" s="49">
        <f t="array" ref="G1044">_xlfn.XLOOKUP(
 A1044,
 tblCost[RequirementID],
 tblCost[QuantityRequired],
 ""
)</f>
        <v>10</v>
      </c>
      <c r="H1044" s="49">
        <f t="array" ref="H1044">IF(
 OR(
  LEFT(B1044,15)="state.character",
  RIGHT(B1044,6)=".maxed"
 ),
 0,
 LET(
  sort,
   _xlfn.XLOOKUP(
    B1044,
    tblChecklist[TargetID],
    tblChecklist[PlayerSort],
    0
   ),
  IF(sort=0,500,sort)
 )
)</f>
        <v>500</v>
      </c>
      <c r="I1044" s="49" t="str">
        <f t="array" ref="I1044">_xlfn.XLOOKUP(
 B1044,
 tblTargetStatus[TargetID],
 tblTargetStatus[Status],
 ""
)</f>
        <v>BLOCKED</v>
      </c>
      <c r="J1044" s="45" t="b">
        <v>0</v>
      </c>
    </row>
    <row r="1045" ht="14.25" hidden="1" customHeight="1">
      <c r="A1045" s="49" t="s">
        <v>2688</v>
      </c>
      <c r="B1045" s="49" t="str">
        <f>IFERROR(__xludf.DUMMYFUNCTION("REGEXREPLACE(
 REGEXREPLACE(A1045,""^cost\."",""""),
 ""\.[^.]+\.[^.]+$"",
 """"
)"),"collection.orangery@1")</f>
        <v>collection.orangery@1</v>
      </c>
      <c r="C1045" s="49" t="str">
        <f t="array" ref="C1045">_xlfn.XLOOKUP(
 B1045,
 tblTargets[TargetID],
 tblTargets[DisplayName],
 ""
)</f>
        <v>Orangery Lv 1</v>
      </c>
      <c r="D1045" s="49" t="str">
        <f t="array" ref="D1045">_xlfn.XLOOKUP(
 B1045,
 tblTargets[TargetID],
 tblTargets[TargetType],
 ""
)</f>
        <v>COLLECTION</v>
      </c>
      <c r="E1045" s="49" t="s">
        <v>2299</v>
      </c>
      <c r="F1045" s="49">
        <v>2.0</v>
      </c>
      <c r="G1045" s="49">
        <f t="array" ref="G1045">_xlfn.XLOOKUP(
 A1045,
 tblCost[RequirementID],
 tblCost[QuantityRequired],
 ""
)</f>
        <v>10</v>
      </c>
      <c r="H1045" s="49">
        <f t="array" ref="H1045">IF(
 OR(
  LEFT(B1045,15)="state.character",
  RIGHT(B1045,6)=".maxed"
 ),
 0,
 LET(
  sort,
   _xlfn.XLOOKUP(
    B1045,
    tblChecklist[TargetID],
    tblChecklist[PlayerSort],
    0
   ),
  IF(sort=0,500,sort)
 )
)</f>
        <v>500</v>
      </c>
      <c r="I1045" s="49" t="str">
        <f t="array" ref="I1045">_xlfn.XLOOKUP(
 B1045,
 tblTargetStatus[TargetID],
 tblTargetStatus[Status],
 ""
)</f>
        <v>BLOCKED</v>
      </c>
      <c r="J1045" s="45" t="b">
        <v>0</v>
      </c>
    </row>
    <row r="1046" ht="14.25" hidden="1" customHeight="1">
      <c r="A1046" s="49" t="s">
        <v>2689</v>
      </c>
      <c r="B1046" s="49" t="str">
        <f>IFERROR(__xludf.DUMMYFUNCTION("REGEXREPLACE(
 REGEXREPLACE(A1046,""^cost\."",""""),
 ""\.[^.]+\.[^.]+$"",
 """"
)"),"collection.orangery@1")</f>
        <v>collection.orangery@1</v>
      </c>
      <c r="C1046" s="49" t="str">
        <f t="array" ref="C1046">_xlfn.XLOOKUP(
 B1046,
 tblTargets[TargetID],
 tblTargets[DisplayName],
 ""
)</f>
        <v>Orangery Lv 1</v>
      </c>
      <c r="D1046" s="49" t="str">
        <f t="array" ref="D1046">_xlfn.XLOOKUP(
 B1046,
 tblTargets[TargetID],
 tblTargets[TargetType],
 ""
)</f>
        <v>COLLECTION</v>
      </c>
      <c r="E1046" s="49" t="s">
        <v>2299</v>
      </c>
      <c r="F1046" s="49">
        <v>3.0</v>
      </c>
      <c r="G1046" s="49">
        <f t="array" ref="G1046">_xlfn.XLOOKUP(
 A1046,
 tblCost[RequirementID],
 tblCost[QuantityRequired],
 ""
)</f>
        <v>10</v>
      </c>
      <c r="H1046" s="49">
        <f t="array" ref="H1046">IF(
 OR(
  LEFT(B1046,15)="state.character",
  RIGHT(B1046,6)=".maxed"
 ),
 0,
 LET(
  sort,
   _xlfn.XLOOKUP(
    B1046,
    tblChecklist[TargetID],
    tblChecklist[PlayerSort],
    0
   ),
  IF(sort=0,500,sort)
 )
)</f>
        <v>500</v>
      </c>
      <c r="I1046" s="49" t="str">
        <f t="array" ref="I1046">_xlfn.XLOOKUP(
 B1046,
 tblTargetStatus[TargetID],
 tblTargetStatus[Status],
 ""
)</f>
        <v>BLOCKED</v>
      </c>
      <c r="J1046" s="45" t="b">
        <v>0</v>
      </c>
    </row>
    <row r="1047" ht="14.25" hidden="1" customHeight="1">
      <c r="A1047" s="49" t="s">
        <v>2690</v>
      </c>
      <c r="B1047" s="49" t="str">
        <f>IFERROR(__xludf.DUMMYFUNCTION("REGEXREPLACE(
 REGEXREPLACE(A1047,""^cost\."",""""),
 ""\.[^.]+\.[^.]+$"",
 """"
)"),"collection.orangery@1")</f>
        <v>collection.orangery@1</v>
      </c>
      <c r="C1047" s="49" t="str">
        <f t="array" ref="C1047">_xlfn.XLOOKUP(
 B1047,
 tblTargets[TargetID],
 tblTargets[DisplayName],
 ""
)</f>
        <v>Orangery Lv 1</v>
      </c>
      <c r="D1047" s="49" t="str">
        <f t="array" ref="D1047">_xlfn.XLOOKUP(
 B1047,
 tblTargets[TargetID],
 tblTargets[TargetType],
 ""
)</f>
        <v>COLLECTION</v>
      </c>
      <c r="E1047" s="49" t="s">
        <v>2299</v>
      </c>
      <c r="F1047" s="49">
        <v>4.0</v>
      </c>
      <c r="G1047" s="49">
        <f t="array" ref="G1047">_xlfn.XLOOKUP(
 A1047,
 tblCost[RequirementID],
 tblCost[QuantityRequired],
 ""
)</f>
        <v>10</v>
      </c>
      <c r="H1047" s="49">
        <f t="array" ref="H1047">IF(
 OR(
  LEFT(B1047,15)="state.character",
  RIGHT(B1047,6)=".maxed"
 ),
 0,
 LET(
  sort,
   _xlfn.XLOOKUP(
    B1047,
    tblChecklist[TargetID],
    tblChecklist[PlayerSort],
    0
   ),
  IF(sort=0,500,sort)
 )
)</f>
        <v>500</v>
      </c>
      <c r="I1047" s="49" t="str">
        <f t="array" ref="I1047">_xlfn.XLOOKUP(
 B1047,
 tblTargetStatus[TargetID],
 tblTargetStatus[Status],
 ""
)</f>
        <v>BLOCKED</v>
      </c>
      <c r="J1047" s="45" t="b">
        <v>0</v>
      </c>
    </row>
    <row r="1048" ht="14.25" hidden="1" customHeight="1">
      <c r="A1048" s="49" t="s">
        <v>2691</v>
      </c>
      <c r="B1048" s="49" t="str">
        <f>IFERROR(__xludf.DUMMYFUNCTION("REGEXREPLACE(
 REGEXREPLACE(A1048,""^cost\."",""""),
 ""\.[^.]+\.[^.]+$"",
 """"
)"),"collection.orangery@1")</f>
        <v>collection.orangery@1</v>
      </c>
      <c r="C1048" s="49" t="str">
        <f t="array" ref="C1048">_xlfn.XLOOKUP(
 B1048,
 tblTargets[TargetID],
 tblTargets[DisplayName],
 ""
)</f>
        <v>Orangery Lv 1</v>
      </c>
      <c r="D1048" s="49" t="str">
        <f t="array" ref="D1048">_xlfn.XLOOKUP(
 B1048,
 tblTargets[TargetID],
 tblTargets[TargetType],
 ""
)</f>
        <v>COLLECTION</v>
      </c>
      <c r="E1048" s="49" t="s">
        <v>2299</v>
      </c>
      <c r="F1048" s="49">
        <v>5.0</v>
      </c>
      <c r="G1048" s="49">
        <f t="array" ref="G1048">_xlfn.XLOOKUP(
 A1048,
 tblCost[RequirementID],
 tblCost[QuantityRequired],
 ""
)</f>
        <v>10</v>
      </c>
      <c r="H1048" s="49">
        <f t="array" ref="H1048">IF(
 OR(
  LEFT(B1048,15)="state.character",
  RIGHT(B1048,6)=".maxed"
 ),
 0,
 LET(
  sort,
   _xlfn.XLOOKUP(
    B1048,
    tblChecklist[TargetID],
    tblChecklist[PlayerSort],
    0
   ),
  IF(sort=0,500,sort)
 )
)</f>
        <v>500</v>
      </c>
      <c r="I1048" s="49" t="str">
        <f t="array" ref="I1048">_xlfn.XLOOKUP(
 B1048,
 tblTargetStatus[TargetID],
 tblTargetStatus[Status],
 ""
)</f>
        <v>BLOCKED</v>
      </c>
      <c r="J1048" s="45" t="b">
        <v>0</v>
      </c>
    </row>
    <row r="1049" ht="14.25" hidden="1" customHeight="1">
      <c r="A1049" s="49" t="s">
        <v>2692</v>
      </c>
      <c r="B1049" s="49" t="str">
        <f>IFERROR(__xludf.DUMMYFUNCTION("REGEXREPLACE(
 REGEXREPLACE(A1049,""^cost\."",""""),
 ""\.[^.]+\.[^.]+$"",
 """"
)"),"collection.orangery@1")</f>
        <v>collection.orangery@1</v>
      </c>
      <c r="C1049" s="49" t="str">
        <f t="array" ref="C1049">_xlfn.XLOOKUP(
 B1049,
 tblTargets[TargetID],
 tblTargets[DisplayName],
 ""
)</f>
        <v>Orangery Lv 1</v>
      </c>
      <c r="D1049" s="49" t="str">
        <f t="array" ref="D1049">_xlfn.XLOOKUP(
 B1049,
 tblTargets[TargetID],
 tblTargets[TargetType],
 ""
)</f>
        <v>COLLECTION</v>
      </c>
      <c r="E1049" s="49" t="s">
        <v>2299</v>
      </c>
      <c r="F1049" s="49">
        <v>6.0</v>
      </c>
      <c r="G1049" s="49">
        <f t="array" ref="G1049">_xlfn.XLOOKUP(
 A1049,
 tblCost[RequirementID],
 tblCost[QuantityRequired],
 ""
)</f>
        <v>10</v>
      </c>
      <c r="H1049" s="49">
        <f t="array" ref="H1049">IF(
 OR(
  LEFT(B1049,15)="state.character",
  RIGHT(B1049,6)=".maxed"
 ),
 0,
 LET(
  sort,
   _xlfn.XLOOKUP(
    B1049,
    tblChecklist[TargetID],
    tblChecklist[PlayerSort],
    0
   ),
  IF(sort=0,500,sort)
 )
)</f>
        <v>500</v>
      </c>
      <c r="I1049" s="49" t="str">
        <f t="array" ref="I1049">_xlfn.XLOOKUP(
 B1049,
 tblTargetStatus[TargetID],
 tblTargetStatus[Status],
 ""
)</f>
        <v>BLOCKED</v>
      </c>
      <c r="J1049" s="45" t="b">
        <v>0</v>
      </c>
    </row>
    <row r="1050" ht="14.25" hidden="1" customHeight="1">
      <c r="A1050" s="49" t="s">
        <v>2693</v>
      </c>
      <c r="B1050" s="49" t="str">
        <f>IFERROR(__xludf.DUMMYFUNCTION("REGEXREPLACE(
 REGEXREPLACE(A1050,""^cost\."",""""),
 ""\.[^.]+\.[^.]+$"",
 """"
)"),"collection.orangery@1")</f>
        <v>collection.orangery@1</v>
      </c>
      <c r="C1050" s="49" t="str">
        <f t="array" ref="C1050">_xlfn.XLOOKUP(
 B1050,
 tblTargets[TargetID],
 tblTargets[DisplayName],
 ""
)</f>
        <v>Orangery Lv 1</v>
      </c>
      <c r="D1050" s="49" t="str">
        <f t="array" ref="D1050">_xlfn.XLOOKUP(
 B1050,
 tblTargets[TargetID],
 tblTargets[TargetType],
 ""
)</f>
        <v>COLLECTION</v>
      </c>
      <c r="E1050" s="49" t="s">
        <v>237</v>
      </c>
      <c r="F1050" s="49">
        <v>1.0</v>
      </c>
      <c r="G1050" s="49">
        <f t="array" ref="G1050">_xlfn.XLOOKUP(
 A1050,
 tblCost[RequirementID],
 tblCost[QuantityRequired],
 ""
)</f>
        <v>50</v>
      </c>
      <c r="H1050" s="49">
        <f t="array" ref="H1050">IF(
 OR(
  LEFT(B1050,15)="state.character",
  RIGHT(B1050,6)=".maxed"
 ),
 0,
 LET(
  sort,
   _xlfn.XLOOKUP(
    B1050,
    tblChecklist[TargetID],
    tblChecklist[PlayerSort],
    0
   ),
  IF(sort=0,500,sort)
 )
)</f>
        <v>500</v>
      </c>
      <c r="I1050" s="49" t="str">
        <f t="array" ref="I1050">_xlfn.XLOOKUP(
 B1050,
 tblTargetStatus[TargetID],
 tblTargetStatus[Status],
 ""
)</f>
        <v>BLOCKED</v>
      </c>
      <c r="J1050" s="45" t="b">
        <v>0</v>
      </c>
    </row>
    <row r="1051" ht="14.25" hidden="1" customHeight="1">
      <c r="A1051" s="49" t="s">
        <v>2694</v>
      </c>
      <c r="B1051" s="49" t="str">
        <f>IFERROR(__xludf.DUMMYFUNCTION("REGEXREPLACE(
 REGEXREPLACE(A1051,""^cost\."",""""),
 ""\.[^.]+\.[^.]+$"",
 """"
)"),"collection.orangery@1")</f>
        <v>collection.orangery@1</v>
      </c>
      <c r="C1051" s="49" t="str">
        <f t="array" ref="C1051">_xlfn.XLOOKUP(
 B1051,
 tblTargets[TargetID],
 tblTargets[DisplayName],
 ""
)</f>
        <v>Orangery Lv 1</v>
      </c>
      <c r="D1051" s="49" t="str">
        <f t="array" ref="D1051">_xlfn.XLOOKUP(
 B1051,
 tblTargets[TargetID],
 tblTargets[TargetType],
 ""
)</f>
        <v>COLLECTION</v>
      </c>
      <c r="E1051" s="49" t="s">
        <v>237</v>
      </c>
      <c r="F1051" s="49">
        <v>2.0</v>
      </c>
      <c r="G1051" s="49">
        <f t="array" ref="G1051">_xlfn.XLOOKUP(
 A1051,
 tblCost[RequirementID],
 tblCost[QuantityRequired],
 ""
)</f>
        <v>50</v>
      </c>
      <c r="H1051" s="49">
        <f t="array" ref="H1051">IF(
 OR(
  LEFT(B1051,15)="state.character",
  RIGHT(B1051,6)=".maxed"
 ),
 0,
 LET(
  sort,
   _xlfn.XLOOKUP(
    B1051,
    tblChecklist[TargetID],
    tblChecklist[PlayerSort],
    0
   ),
  IF(sort=0,500,sort)
 )
)</f>
        <v>500</v>
      </c>
      <c r="I1051" s="49" t="str">
        <f t="array" ref="I1051">_xlfn.XLOOKUP(
 B1051,
 tblTargetStatus[TargetID],
 tblTargetStatus[Status],
 ""
)</f>
        <v>BLOCKED</v>
      </c>
      <c r="J1051" s="45" t="b">
        <v>0</v>
      </c>
    </row>
    <row r="1052" ht="14.25" hidden="1" customHeight="1">
      <c r="A1052" s="49" t="s">
        <v>2695</v>
      </c>
      <c r="B1052" s="49" t="str">
        <f>IFERROR(__xludf.DUMMYFUNCTION("REGEXREPLACE(
 REGEXREPLACE(A1052,""^cost\."",""""),
 ""\.[^.]+\.[^.]+$"",
 """"
)"),"collection.orangery@2")</f>
        <v>collection.orangery@2</v>
      </c>
      <c r="C1052" s="49" t="str">
        <f t="array" ref="C1052">_xlfn.XLOOKUP(
 B1052,
 tblTargets[TargetID],
 tblTargets[DisplayName],
 ""
)</f>
        <v>Orangery Lv 2</v>
      </c>
      <c r="D1052" s="49" t="str">
        <f t="array" ref="D1052">_xlfn.XLOOKUP(
 B1052,
 tblTargets[TargetID],
 tblTargets[TargetType],
 ""
)</f>
        <v>COLLECTION</v>
      </c>
      <c r="E1052" s="49" t="s">
        <v>2299</v>
      </c>
      <c r="F1052" s="49">
        <v>1.0</v>
      </c>
      <c r="G1052" s="49">
        <f t="array" ref="G1052">_xlfn.XLOOKUP(
 A1052,
 tblCost[RequirementID],
 tblCost[QuantityRequired],
 ""
)</f>
        <v>20</v>
      </c>
      <c r="H1052" s="49">
        <f t="array" ref="H1052">IF(
 OR(
  LEFT(B1052,15)="state.character",
  RIGHT(B1052,6)=".maxed"
 ),
 0,
 LET(
  sort,
   _xlfn.XLOOKUP(
    B1052,
    tblChecklist[TargetID],
    tblChecklist[PlayerSort],
    0
   ),
  IF(sort=0,500,sort)
 )
)</f>
        <v>500</v>
      </c>
      <c r="I1052" s="49" t="str">
        <f t="array" ref="I1052">_xlfn.XLOOKUP(
 B1052,
 tblTargetStatus[TargetID],
 tblTargetStatus[Status],
 ""
)</f>
        <v>BLOCKED</v>
      </c>
      <c r="J1052" s="45" t="b">
        <v>0</v>
      </c>
    </row>
    <row r="1053" ht="14.25" hidden="1" customHeight="1">
      <c r="A1053" s="49" t="s">
        <v>2696</v>
      </c>
      <c r="B1053" s="49" t="str">
        <f>IFERROR(__xludf.DUMMYFUNCTION("REGEXREPLACE(
 REGEXREPLACE(A1053,""^cost\."",""""),
 ""\.[^.]+\.[^.]+$"",
 """"
)"),"collection.orangery@2")</f>
        <v>collection.orangery@2</v>
      </c>
      <c r="C1053" s="49" t="str">
        <f t="array" ref="C1053">_xlfn.XLOOKUP(
 B1053,
 tblTargets[TargetID],
 tblTargets[DisplayName],
 ""
)</f>
        <v>Orangery Lv 2</v>
      </c>
      <c r="D1053" s="49" t="str">
        <f t="array" ref="D1053">_xlfn.XLOOKUP(
 B1053,
 tblTargets[TargetID],
 tblTargets[TargetType],
 ""
)</f>
        <v>COLLECTION</v>
      </c>
      <c r="E1053" s="49" t="s">
        <v>2299</v>
      </c>
      <c r="F1053" s="49">
        <v>2.0</v>
      </c>
      <c r="G1053" s="49">
        <f t="array" ref="G1053">_xlfn.XLOOKUP(
 A1053,
 tblCost[RequirementID],
 tblCost[QuantityRequired],
 ""
)</f>
        <v>20</v>
      </c>
      <c r="H1053" s="49">
        <f t="array" ref="H1053">IF(
 OR(
  LEFT(B1053,15)="state.character",
  RIGHT(B1053,6)=".maxed"
 ),
 0,
 LET(
  sort,
   _xlfn.XLOOKUP(
    B1053,
    tblChecklist[TargetID],
    tblChecklist[PlayerSort],
    0
   ),
  IF(sort=0,500,sort)
 )
)</f>
        <v>500</v>
      </c>
      <c r="I1053" s="49" t="str">
        <f t="array" ref="I1053">_xlfn.XLOOKUP(
 B1053,
 tblTargetStatus[TargetID],
 tblTargetStatus[Status],
 ""
)</f>
        <v>BLOCKED</v>
      </c>
      <c r="J1053" s="45" t="b">
        <v>0</v>
      </c>
    </row>
    <row r="1054" ht="14.25" hidden="1" customHeight="1">
      <c r="A1054" s="49" t="s">
        <v>2697</v>
      </c>
      <c r="B1054" s="49" t="str">
        <f>IFERROR(__xludf.DUMMYFUNCTION("REGEXREPLACE(
 REGEXREPLACE(A1054,""^cost\."",""""),
 ""\.[^.]+\.[^.]+$"",
 """"
)"),"collection.orangery@2")</f>
        <v>collection.orangery@2</v>
      </c>
      <c r="C1054" s="49" t="str">
        <f t="array" ref="C1054">_xlfn.XLOOKUP(
 B1054,
 tblTargets[TargetID],
 tblTargets[DisplayName],
 ""
)</f>
        <v>Orangery Lv 2</v>
      </c>
      <c r="D1054" s="49" t="str">
        <f t="array" ref="D1054">_xlfn.XLOOKUP(
 B1054,
 tblTargets[TargetID],
 tblTargets[TargetType],
 ""
)</f>
        <v>COLLECTION</v>
      </c>
      <c r="E1054" s="49" t="s">
        <v>2299</v>
      </c>
      <c r="F1054" s="49">
        <v>3.0</v>
      </c>
      <c r="G1054" s="49">
        <f t="array" ref="G1054">_xlfn.XLOOKUP(
 A1054,
 tblCost[RequirementID],
 tblCost[QuantityRequired],
 ""
)</f>
        <v>20</v>
      </c>
      <c r="H1054" s="49">
        <f t="array" ref="H1054">IF(
 OR(
  LEFT(B1054,15)="state.character",
  RIGHT(B1054,6)=".maxed"
 ),
 0,
 LET(
  sort,
   _xlfn.XLOOKUP(
    B1054,
    tblChecklist[TargetID],
    tblChecklist[PlayerSort],
    0
   ),
  IF(sort=0,500,sort)
 )
)</f>
        <v>500</v>
      </c>
      <c r="I1054" s="49" t="str">
        <f t="array" ref="I1054">_xlfn.XLOOKUP(
 B1054,
 tblTargetStatus[TargetID],
 tblTargetStatus[Status],
 ""
)</f>
        <v>BLOCKED</v>
      </c>
      <c r="J1054" s="45" t="b">
        <v>0</v>
      </c>
    </row>
    <row r="1055" ht="14.25" hidden="1" customHeight="1">
      <c r="A1055" s="49" t="s">
        <v>2698</v>
      </c>
      <c r="B1055" s="49" t="str">
        <f>IFERROR(__xludf.DUMMYFUNCTION("REGEXREPLACE(
 REGEXREPLACE(A1055,""^cost\."",""""),
 ""\.[^.]+\.[^.]+$"",
 """"
)"),"collection.orangery@2")</f>
        <v>collection.orangery@2</v>
      </c>
      <c r="C1055" s="49" t="str">
        <f t="array" ref="C1055">_xlfn.XLOOKUP(
 B1055,
 tblTargets[TargetID],
 tblTargets[DisplayName],
 ""
)</f>
        <v>Orangery Lv 2</v>
      </c>
      <c r="D1055" s="49" t="str">
        <f t="array" ref="D1055">_xlfn.XLOOKUP(
 B1055,
 tblTargets[TargetID],
 tblTargets[TargetType],
 ""
)</f>
        <v>COLLECTION</v>
      </c>
      <c r="E1055" s="49" t="s">
        <v>2299</v>
      </c>
      <c r="F1055" s="49">
        <v>4.0</v>
      </c>
      <c r="G1055" s="49">
        <f t="array" ref="G1055">_xlfn.XLOOKUP(
 A1055,
 tblCost[RequirementID],
 tblCost[QuantityRequired],
 ""
)</f>
        <v>20</v>
      </c>
      <c r="H1055" s="49">
        <f t="array" ref="H1055">IF(
 OR(
  LEFT(B1055,15)="state.character",
  RIGHT(B1055,6)=".maxed"
 ),
 0,
 LET(
  sort,
   _xlfn.XLOOKUP(
    B1055,
    tblChecklist[TargetID],
    tblChecklist[PlayerSort],
    0
   ),
  IF(sort=0,500,sort)
 )
)</f>
        <v>500</v>
      </c>
      <c r="I1055" s="49" t="str">
        <f t="array" ref="I1055">_xlfn.XLOOKUP(
 B1055,
 tblTargetStatus[TargetID],
 tblTargetStatus[Status],
 ""
)</f>
        <v>BLOCKED</v>
      </c>
      <c r="J1055" s="45" t="b">
        <v>0</v>
      </c>
    </row>
    <row r="1056" ht="14.25" hidden="1" customHeight="1">
      <c r="A1056" s="49" t="s">
        <v>2699</v>
      </c>
      <c r="B1056" s="49" t="str">
        <f>IFERROR(__xludf.DUMMYFUNCTION("REGEXREPLACE(
 REGEXREPLACE(A1056,""^cost\."",""""),
 ""\.[^.]+\.[^.]+$"",
 """"
)"),"collection.orangery@2")</f>
        <v>collection.orangery@2</v>
      </c>
      <c r="C1056" s="49" t="str">
        <f t="array" ref="C1056">_xlfn.XLOOKUP(
 B1056,
 tblTargets[TargetID],
 tblTargets[DisplayName],
 ""
)</f>
        <v>Orangery Lv 2</v>
      </c>
      <c r="D1056" s="49" t="str">
        <f t="array" ref="D1056">_xlfn.XLOOKUP(
 B1056,
 tblTargets[TargetID],
 tblTargets[TargetType],
 ""
)</f>
        <v>COLLECTION</v>
      </c>
      <c r="E1056" s="49" t="s">
        <v>2299</v>
      </c>
      <c r="F1056" s="49">
        <v>5.0</v>
      </c>
      <c r="G1056" s="49">
        <f t="array" ref="G1056">_xlfn.XLOOKUP(
 A1056,
 tblCost[RequirementID],
 tblCost[QuantityRequired],
 ""
)</f>
        <v>20</v>
      </c>
      <c r="H1056" s="49">
        <f t="array" ref="H1056">IF(
 OR(
  LEFT(B1056,15)="state.character",
  RIGHT(B1056,6)=".maxed"
 ),
 0,
 LET(
  sort,
   _xlfn.XLOOKUP(
    B1056,
    tblChecklist[TargetID],
    tblChecklist[PlayerSort],
    0
   ),
  IF(sort=0,500,sort)
 )
)</f>
        <v>500</v>
      </c>
      <c r="I1056" s="49" t="str">
        <f t="array" ref="I1056">_xlfn.XLOOKUP(
 B1056,
 tblTargetStatus[TargetID],
 tblTargetStatus[Status],
 ""
)</f>
        <v>BLOCKED</v>
      </c>
      <c r="J1056" s="45" t="b">
        <v>0</v>
      </c>
    </row>
    <row r="1057" ht="14.25" hidden="1" customHeight="1">
      <c r="A1057" s="49" t="s">
        <v>2700</v>
      </c>
      <c r="B1057" s="49" t="str">
        <f>IFERROR(__xludf.DUMMYFUNCTION("REGEXREPLACE(
 REGEXREPLACE(A1057,""^cost\."",""""),
 ""\.[^.]+\.[^.]+$"",
 """"
)"),"collection.orangery@2")</f>
        <v>collection.orangery@2</v>
      </c>
      <c r="C1057" s="49" t="str">
        <f t="array" ref="C1057">_xlfn.XLOOKUP(
 B1057,
 tblTargets[TargetID],
 tblTargets[DisplayName],
 ""
)</f>
        <v>Orangery Lv 2</v>
      </c>
      <c r="D1057" s="49" t="str">
        <f t="array" ref="D1057">_xlfn.XLOOKUP(
 B1057,
 tblTargets[TargetID],
 tblTargets[TargetType],
 ""
)</f>
        <v>COLLECTION</v>
      </c>
      <c r="E1057" s="49" t="s">
        <v>2299</v>
      </c>
      <c r="F1057" s="49">
        <v>6.0</v>
      </c>
      <c r="G1057" s="49">
        <f t="array" ref="G1057">_xlfn.XLOOKUP(
 A1057,
 tblCost[RequirementID],
 tblCost[QuantityRequired],
 ""
)</f>
        <v>20</v>
      </c>
      <c r="H1057" s="49">
        <f t="array" ref="H1057">IF(
 OR(
  LEFT(B1057,15)="state.character",
  RIGHT(B1057,6)=".maxed"
 ),
 0,
 LET(
  sort,
   _xlfn.XLOOKUP(
    B1057,
    tblChecklist[TargetID],
    tblChecklist[PlayerSort],
    0
   ),
  IF(sort=0,500,sort)
 )
)</f>
        <v>500</v>
      </c>
      <c r="I1057" s="49" t="str">
        <f t="array" ref="I1057">_xlfn.XLOOKUP(
 B1057,
 tblTargetStatus[TargetID],
 tblTargetStatus[Status],
 ""
)</f>
        <v>BLOCKED</v>
      </c>
      <c r="J1057" s="45" t="b">
        <v>0</v>
      </c>
    </row>
    <row r="1058" ht="14.25" hidden="1" customHeight="1">
      <c r="A1058" s="49" t="s">
        <v>2701</v>
      </c>
      <c r="B1058" s="49" t="str">
        <f>IFERROR(__xludf.DUMMYFUNCTION("REGEXREPLACE(
 REGEXREPLACE(A1058,""^cost\."",""""),
 ""\.[^.]+\.[^.]+$"",
 """"
)"),"collection.orangery@2")</f>
        <v>collection.orangery@2</v>
      </c>
      <c r="C1058" s="49" t="str">
        <f t="array" ref="C1058">_xlfn.XLOOKUP(
 B1058,
 tblTargets[TargetID],
 tblTargets[DisplayName],
 ""
)</f>
        <v>Orangery Lv 2</v>
      </c>
      <c r="D1058" s="49" t="str">
        <f t="array" ref="D1058">_xlfn.XLOOKUP(
 B1058,
 tblTargets[TargetID],
 tblTargets[TargetType],
 ""
)</f>
        <v>COLLECTION</v>
      </c>
      <c r="E1058" s="49" t="s">
        <v>237</v>
      </c>
      <c r="F1058" s="49">
        <v>1.0</v>
      </c>
      <c r="G1058" s="49">
        <f t="array" ref="G1058">_xlfn.XLOOKUP(
 A1058,
 tblCost[RequirementID],
 tblCost[QuantityRequired],
 ""
)</f>
        <v>100</v>
      </c>
      <c r="H1058" s="49">
        <f t="array" ref="H1058">IF(
 OR(
  LEFT(B1058,15)="state.character",
  RIGHT(B1058,6)=".maxed"
 ),
 0,
 LET(
  sort,
   _xlfn.XLOOKUP(
    B1058,
    tblChecklist[TargetID],
    tblChecklist[PlayerSort],
    0
   ),
  IF(sort=0,500,sort)
 )
)</f>
        <v>500</v>
      </c>
      <c r="I1058" s="49" t="str">
        <f t="array" ref="I1058">_xlfn.XLOOKUP(
 B1058,
 tblTargetStatus[TargetID],
 tblTargetStatus[Status],
 ""
)</f>
        <v>BLOCKED</v>
      </c>
      <c r="J1058" s="45" t="b">
        <v>0</v>
      </c>
    </row>
    <row r="1059" ht="14.25" hidden="1" customHeight="1">
      <c r="A1059" s="49" t="s">
        <v>2702</v>
      </c>
      <c r="B1059" s="49" t="str">
        <f>IFERROR(__xludf.DUMMYFUNCTION("REGEXREPLACE(
 REGEXREPLACE(A1059,""^cost\."",""""),
 ""\.[^.]+\.[^.]+$"",
 """"
)"),"collection.orangery@2")</f>
        <v>collection.orangery@2</v>
      </c>
      <c r="C1059" s="49" t="str">
        <f t="array" ref="C1059">_xlfn.XLOOKUP(
 B1059,
 tblTargets[TargetID],
 tblTargets[DisplayName],
 ""
)</f>
        <v>Orangery Lv 2</v>
      </c>
      <c r="D1059" s="49" t="str">
        <f t="array" ref="D1059">_xlfn.XLOOKUP(
 B1059,
 tblTargets[TargetID],
 tblTargets[TargetType],
 ""
)</f>
        <v>COLLECTION</v>
      </c>
      <c r="E1059" s="49" t="s">
        <v>237</v>
      </c>
      <c r="F1059" s="49">
        <v>2.0</v>
      </c>
      <c r="G1059" s="49">
        <f t="array" ref="G1059">_xlfn.XLOOKUP(
 A1059,
 tblCost[RequirementID],
 tblCost[QuantityRequired],
 ""
)</f>
        <v>100</v>
      </c>
      <c r="H1059" s="49">
        <f t="array" ref="H1059">IF(
 OR(
  LEFT(B1059,15)="state.character",
  RIGHT(B1059,6)=".maxed"
 ),
 0,
 LET(
  sort,
   _xlfn.XLOOKUP(
    B1059,
    tblChecklist[TargetID],
    tblChecklist[PlayerSort],
    0
   ),
  IF(sort=0,500,sort)
 )
)</f>
        <v>500</v>
      </c>
      <c r="I1059" s="49" t="str">
        <f t="array" ref="I1059">_xlfn.XLOOKUP(
 B1059,
 tblTargetStatus[TargetID],
 tblTargetStatus[Status],
 ""
)</f>
        <v>BLOCKED</v>
      </c>
      <c r="J1059" s="45" t="b">
        <v>0</v>
      </c>
    </row>
    <row r="1060" ht="14.25" hidden="1" customHeight="1">
      <c r="A1060" s="49" t="s">
        <v>2703</v>
      </c>
      <c r="B1060" s="49" t="str">
        <f>IFERROR(__xludf.DUMMYFUNCTION("REGEXREPLACE(
 REGEXREPLACE(A1060,""^cost\."",""""),
 ""\.[^.]+\.[^.]+$"",
 """"
)"),"collection.pantry_1@1")</f>
        <v>collection.pantry_1@1</v>
      </c>
      <c r="C1060" s="49" t="str">
        <f t="array" ref="C1060">_xlfn.XLOOKUP(
 B1060,
 tblTargets[TargetID],
 tblTargets[DisplayName],
 ""
)</f>
        <v>Pantry 1 Lv 1</v>
      </c>
      <c r="D1060" s="49" t="str">
        <f t="array" ref="D1060">_xlfn.XLOOKUP(
 B1060,
 tblTargets[TargetID],
 tblTargets[TargetType],
 ""
)</f>
        <v>COLLECTION</v>
      </c>
      <c r="E1060" s="49" t="s">
        <v>2704</v>
      </c>
      <c r="F1060" s="49">
        <v>1.0</v>
      </c>
      <c r="G1060" s="49">
        <f t="array" ref="G1060">_xlfn.XLOOKUP(
 A1060,
 tblCost[RequirementID],
 tblCost[QuantityRequired],
 ""
)</f>
        <v>5</v>
      </c>
      <c r="H1060" s="49">
        <f t="array" ref="H1060">IF(
 OR(
  LEFT(B1060,15)="state.character",
  RIGHT(B1060,6)=".maxed"
 ),
 0,
 LET(
  sort,
   _xlfn.XLOOKUP(
    B1060,
    tblChecklist[TargetID],
    tblChecklist[PlayerSort],
    0
   ),
  IF(sort=0,500,sort)
 )
)</f>
        <v>500</v>
      </c>
      <c r="I1060" s="49" t="str">
        <f t="array" ref="I1060">_xlfn.XLOOKUP(
 B1060,
 tblTargetStatus[TargetID],
 tblTargetStatus[Status],
 ""
)</f>
        <v>BLOCKED</v>
      </c>
      <c r="J1060" s="45" t="b">
        <v>0</v>
      </c>
    </row>
    <row r="1061" ht="14.25" hidden="1" customHeight="1">
      <c r="A1061" s="49" t="s">
        <v>2705</v>
      </c>
      <c r="B1061" s="49" t="str">
        <f>IFERROR(__xludf.DUMMYFUNCTION("REGEXREPLACE(
 REGEXREPLACE(A1061,""^cost\."",""""),
 ""\.[^.]+\.[^.]+$"",
 """"
)"),"collection.pantry_1@1")</f>
        <v>collection.pantry_1@1</v>
      </c>
      <c r="C1061" s="49" t="str">
        <f t="array" ref="C1061">_xlfn.XLOOKUP(
 B1061,
 tblTargets[TargetID],
 tblTargets[DisplayName],
 ""
)</f>
        <v>Pantry 1 Lv 1</v>
      </c>
      <c r="D1061" s="49" t="str">
        <f t="array" ref="D1061">_xlfn.XLOOKUP(
 B1061,
 tblTargets[TargetID],
 tblTargets[TargetType],
 ""
)</f>
        <v>COLLECTION</v>
      </c>
      <c r="E1061" s="49" t="s">
        <v>367</v>
      </c>
      <c r="F1061" s="49">
        <v>1.0</v>
      </c>
      <c r="G1061" s="49">
        <f t="array" ref="G1061">_xlfn.XLOOKUP(
 A1061,
 tblCost[RequirementID],
 tblCost[QuantityRequired],
 ""
)</f>
        <v>10</v>
      </c>
      <c r="H1061" s="49">
        <f t="array" ref="H1061">IF(
 OR(
  LEFT(B1061,15)="state.character",
  RIGHT(B1061,6)=".maxed"
 ),
 0,
 LET(
  sort,
   _xlfn.XLOOKUP(
    B1061,
    tblChecklist[TargetID],
    tblChecklist[PlayerSort],
    0
   ),
  IF(sort=0,500,sort)
 )
)</f>
        <v>500</v>
      </c>
      <c r="I1061" s="49" t="str">
        <f t="array" ref="I1061">_xlfn.XLOOKUP(
 B1061,
 tblTargetStatus[TargetID],
 tblTargetStatus[Status],
 ""
)</f>
        <v>BLOCKED</v>
      </c>
      <c r="J1061" s="45" t="b">
        <v>0</v>
      </c>
    </row>
    <row r="1062" ht="14.25" hidden="1" customHeight="1">
      <c r="A1062" s="49" t="s">
        <v>2706</v>
      </c>
      <c r="B1062" s="49" t="str">
        <f>IFERROR(__xludf.DUMMYFUNCTION("REGEXREPLACE(
 REGEXREPLACE(A1062,""^cost\."",""""),
 ""\.[^.]+\.[^.]+$"",
 """"
)"),"collection.pantry_1@1")</f>
        <v>collection.pantry_1@1</v>
      </c>
      <c r="C1062" s="49" t="str">
        <f t="array" ref="C1062">_xlfn.XLOOKUP(
 B1062,
 tblTargets[TargetID],
 tblTargets[DisplayName],
 ""
)</f>
        <v>Pantry 1 Lv 1</v>
      </c>
      <c r="D1062" s="49" t="str">
        <f t="array" ref="D1062">_xlfn.XLOOKUP(
 B1062,
 tblTargets[TargetID],
 tblTargets[TargetType],
 ""
)</f>
        <v>COLLECTION</v>
      </c>
      <c r="E1062" s="49" t="s">
        <v>2707</v>
      </c>
      <c r="F1062" s="49">
        <v>1.0</v>
      </c>
      <c r="G1062" s="49">
        <f t="array" ref="G1062">_xlfn.XLOOKUP(
 A1062,
 tblCost[RequirementID],
 tblCost[QuantityRequired],
 ""
)</f>
        <v>10</v>
      </c>
      <c r="H1062" s="49">
        <f t="array" ref="H1062">IF(
 OR(
  LEFT(B1062,15)="state.character",
  RIGHT(B1062,6)=".maxed"
 ),
 0,
 LET(
  sort,
   _xlfn.XLOOKUP(
    B1062,
    tblChecklist[TargetID],
    tblChecklist[PlayerSort],
    0
   ),
  IF(sort=0,500,sort)
 )
)</f>
        <v>500</v>
      </c>
      <c r="I1062" s="49" t="str">
        <f t="array" ref="I1062">_xlfn.XLOOKUP(
 B1062,
 tblTargetStatus[TargetID],
 tblTargetStatus[Status],
 ""
)</f>
        <v>BLOCKED</v>
      </c>
      <c r="J1062" s="45" t="b">
        <v>0</v>
      </c>
    </row>
    <row r="1063" ht="14.25" hidden="1" customHeight="1">
      <c r="A1063" s="49" t="s">
        <v>2708</v>
      </c>
      <c r="B1063" s="49" t="str">
        <f>IFERROR(__xludf.DUMMYFUNCTION("REGEXREPLACE(
 REGEXREPLACE(A1063,""^cost\."",""""),
 ""\.[^.]+\.[^.]+$"",
 """"
)"),"collection.pantry_1@1")</f>
        <v>collection.pantry_1@1</v>
      </c>
      <c r="C1063" s="49" t="str">
        <f t="array" ref="C1063">_xlfn.XLOOKUP(
 B1063,
 tblTargets[TargetID],
 tblTargets[DisplayName],
 ""
)</f>
        <v>Pantry 1 Lv 1</v>
      </c>
      <c r="D1063" s="49" t="str">
        <f t="array" ref="D1063">_xlfn.XLOOKUP(
 B1063,
 tblTargets[TargetID],
 tblTargets[TargetType],
 ""
)</f>
        <v>COLLECTION</v>
      </c>
      <c r="E1063" s="49" t="s">
        <v>2709</v>
      </c>
      <c r="F1063" s="49">
        <v>1.0</v>
      </c>
      <c r="G1063" s="49">
        <f t="array" ref="G1063">_xlfn.XLOOKUP(
 A1063,
 tblCost[RequirementID],
 tblCost[QuantityRequired],
 ""
)</f>
        <v>40</v>
      </c>
      <c r="H1063" s="49">
        <f t="array" ref="H1063">IF(
 OR(
  LEFT(B1063,15)="state.character",
  RIGHT(B1063,6)=".maxed"
 ),
 0,
 LET(
  sort,
   _xlfn.XLOOKUP(
    B1063,
    tblChecklist[TargetID],
    tblChecklist[PlayerSort],
    0
   ),
  IF(sort=0,500,sort)
 )
)</f>
        <v>500</v>
      </c>
      <c r="I1063" s="49" t="str">
        <f t="array" ref="I1063">_xlfn.XLOOKUP(
 B1063,
 tblTargetStatus[TargetID],
 tblTargetStatus[Status],
 ""
)</f>
        <v>BLOCKED</v>
      </c>
      <c r="J1063" s="45" t="b">
        <v>0</v>
      </c>
    </row>
    <row r="1064" ht="14.25" hidden="1" customHeight="1">
      <c r="A1064" s="49" t="s">
        <v>2710</v>
      </c>
      <c r="B1064" s="49" t="str">
        <f>IFERROR(__xludf.DUMMYFUNCTION("REGEXREPLACE(
 REGEXREPLACE(A1064,""^cost\."",""""),
 ""\.[^.]+\.[^.]+$"",
 """"
)"),"collection.pantry_1@1")</f>
        <v>collection.pantry_1@1</v>
      </c>
      <c r="C1064" s="49" t="str">
        <f t="array" ref="C1064">_xlfn.XLOOKUP(
 B1064,
 tblTargets[TargetID],
 tblTargets[DisplayName],
 ""
)</f>
        <v>Pantry 1 Lv 1</v>
      </c>
      <c r="D1064" s="49" t="str">
        <f t="array" ref="D1064">_xlfn.XLOOKUP(
 B1064,
 tblTargets[TargetID],
 tblTargets[TargetType],
 ""
)</f>
        <v>COLLECTION</v>
      </c>
      <c r="E1064" s="49" t="s">
        <v>360</v>
      </c>
      <c r="F1064" s="49">
        <v>1.0</v>
      </c>
      <c r="G1064" s="49">
        <f t="array" ref="G1064">_xlfn.XLOOKUP(
 A1064,
 tblCost[RequirementID],
 tblCost[QuantityRequired],
 ""
)</f>
        <v>10</v>
      </c>
      <c r="H1064" s="49">
        <f t="array" ref="H1064">IF(
 OR(
  LEFT(B1064,15)="state.character",
  RIGHT(B1064,6)=".maxed"
 ),
 0,
 LET(
  sort,
   _xlfn.XLOOKUP(
    B1064,
    tblChecklist[TargetID],
    tblChecklist[PlayerSort],
    0
   ),
  IF(sort=0,500,sort)
 )
)</f>
        <v>500</v>
      </c>
      <c r="I1064" s="49" t="str">
        <f t="array" ref="I1064">_xlfn.XLOOKUP(
 B1064,
 tblTargetStatus[TargetID],
 tblTargetStatus[Status],
 ""
)</f>
        <v>BLOCKED</v>
      </c>
      <c r="J1064" s="45" t="b">
        <v>0</v>
      </c>
    </row>
    <row r="1065" ht="14.25" hidden="1" customHeight="1">
      <c r="A1065" s="49" t="s">
        <v>2711</v>
      </c>
      <c r="B1065" s="49" t="str">
        <f>IFERROR(__xludf.DUMMYFUNCTION("REGEXREPLACE(
 REGEXREPLACE(A1065,""^cost\."",""""),
 ""\.[^.]+\.[^.]+$"",
 """"
)"),"collection.pantry_1@1")</f>
        <v>collection.pantry_1@1</v>
      </c>
      <c r="C1065" s="49" t="str">
        <f t="array" ref="C1065">_xlfn.XLOOKUP(
 B1065,
 tblTargets[TargetID],
 tblTargets[DisplayName],
 ""
)</f>
        <v>Pantry 1 Lv 1</v>
      </c>
      <c r="D1065" s="49" t="str">
        <f t="array" ref="D1065">_xlfn.XLOOKUP(
 B1065,
 tblTargets[TargetID],
 tblTargets[TargetType],
 ""
)</f>
        <v>COLLECTION</v>
      </c>
      <c r="E1065" s="49" t="s">
        <v>423</v>
      </c>
      <c r="F1065" s="49">
        <v>1.0</v>
      </c>
      <c r="G1065" s="49">
        <f t="array" ref="G1065">_xlfn.XLOOKUP(
 A1065,
 tblCost[RequirementID],
 tblCost[QuantityRequired],
 ""
)</f>
        <v>10</v>
      </c>
      <c r="H1065" s="49">
        <f t="array" ref="H1065">IF(
 OR(
  LEFT(B1065,15)="state.character",
  RIGHT(B1065,6)=".maxed"
 ),
 0,
 LET(
  sort,
   _xlfn.XLOOKUP(
    B1065,
    tblChecklist[TargetID],
    tblChecklist[PlayerSort],
    0
   ),
  IF(sort=0,500,sort)
 )
)</f>
        <v>500</v>
      </c>
      <c r="I1065" s="49" t="str">
        <f t="array" ref="I1065">_xlfn.XLOOKUP(
 B1065,
 tblTargetStatus[TargetID],
 tblTargetStatus[Status],
 ""
)</f>
        <v>BLOCKED</v>
      </c>
      <c r="J1065" s="45" t="b">
        <v>0</v>
      </c>
    </row>
    <row r="1066" ht="14.25" hidden="1" customHeight="1">
      <c r="A1066" s="49" t="s">
        <v>2712</v>
      </c>
      <c r="B1066" s="49" t="str">
        <f>IFERROR(__xludf.DUMMYFUNCTION("REGEXREPLACE(
 REGEXREPLACE(A1066,""^cost\."",""""),
 ""\.[^.]+\.[^.]+$"",
 """"
)"),"collection.pantry_1@1")</f>
        <v>collection.pantry_1@1</v>
      </c>
      <c r="C1066" s="49" t="str">
        <f t="array" ref="C1066">_xlfn.XLOOKUP(
 B1066,
 tblTargets[TargetID],
 tblTargets[DisplayName],
 ""
)</f>
        <v>Pantry 1 Lv 1</v>
      </c>
      <c r="D1066" s="49" t="str">
        <f t="array" ref="D1066">_xlfn.XLOOKUP(
 B1066,
 tblTargets[TargetID],
 tblTargets[TargetType],
 ""
)</f>
        <v>COLLECTION</v>
      </c>
      <c r="E1066" s="49" t="s">
        <v>701</v>
      </c>
      <c r="F1066" s="49">
        <v>1.0</v>
      </c>
      <c r="G1066" s="49">
        <f t="array" ref="G1066">_xlfn.XLOOKUP(
 A1066,
 tblCost[RequirementID],
 tblCost[QuantityRequired],
 ""
)</f>
        <v>40</v>
      </c>
      <c r="H1066" s="49">
        <f t="array" ref="H1066">IF(
 OR(
  LEFT(B1066,15)="state.character",
  RIGHT(B1066,6)=".maxed"
 ),
 0,
 LET(
  sort,
   _xlfn.XLOOKUP(
    B1066,
    tblChecklist[TargetID],
    tblChecklist[PlayerSort],
    0
   ),
  IF(sort=0,500,sort)
 )
)</f>
        <v>500</v>
      </c>
      <c r="I1066" s="49" t="str">
        <f t="array" ref="I1066">_xlfn.XLOOKUP(
 B1066,
 tblTargetStatus[TargetID],
 tblTargetStatus[Status],
 ""
)</f>
        <v>BLOCKED</v>
      </c>
      <c r="J1066" s="45" t="b">
        <v>0</v>
      </c>
    </row>
    <row r="1067" ht="14.25" hidden="1" customHeight="1">
      <c r="A1067" s="49" t="s">
        <v>2713</v>
      </c>
      <c r="B1067" s="49" t="str">
        <f>IFERROR(__xludf.DUMMYFUNCTION("REGEXREPLACE(
 REGEXREPLACE(A1067,""^cost\."",""""),
 ""\.[^.]+\.[^.]+$"",
 """"
)"),"collection.pantry_1@1")</f>
        <v>collection.pantry_1@1</v>
      </c>
      <c r="C1067" s="49" t="str">
        <f t="array" ref="C1067">_xlfn.XLOOKUP(
 B1067,
 tblTargets[TargetID],
 tblTargets[DisplayName],
 ""
)</f>
        <v>Pantry 1 Lv 1</v>
      </c>
      <c r="D1067" s="49" t="str">
        <f t="array" ref="D1067">_xlfn.XLOOKUP(
 B1067,
 tblTargets[TargetID],
 tblTargets[TargetType],
 ""
)</f>
        <v>COLLECTION</v>
      </c>
      <c r="E1067" s="49" t="s">
        <v>2714</v>
      </c>
      <c r="F1067" s="49">
        <v>1.0</v>
      </c>
      <c r="G1067" s="49">
        <f t="array" ref="G1067">_xlfn.XLOOKUP(
 A1067,
 tblCost[RequirementID],
 tblCost[QuantityRequired],
 ""
)</f>
        <v>10</v>
      </c>
      <c r="H1067" s="49">
        <f t="array" ref="H1067">IF(
 OR(
  LEFT(B1067,15)="state.character",
  RIGHT(B1067,6)=".maxed"
 ),
 0,
 LET(
  sort,
   _xlfn.XLOOKUP(
    B1067,
    tblChecklist[TargetID],
    tblChecklist[PlayerSort],
    0
   ),
  IF(sort=0,500,sort)
 )
)</f>
        <v>500</v>
      </c>
      <c r="I1067" s="49" t="str">
        <f t="array" ref="I1067">_xlfn.XLOOKUP(
 B1067,
 tblTargetStatus[TargetID],
 tblTargetStatus[Status],
 ""
)</f>
        <v>BLOCKED</v>
      </c>
      <c r="J1067" s="45" t="b">
        <v>0</v>
      </c>
    </row>
    <row r="1068" ht="14.25" hidden="1" customHeight="1">
      <c r="A1068" s="49" t="s">
        <v>2715</v>
      </c>
      <c r="B1068" s="49" t="str">
        <f>IFERROR(__xludf.DUMMYFUNCTION("REGEXREPLACE(
 REGEXREPLACE(A1068,""^cost\."",""""),
 ""\.[^.]+\.[^.]+$"",
 """"
)"),"collection.pantry_1@1")</f>
        <v>collection.pantry_1@1</v>
      </c>
      <c r="C1068" s="49" t="str">
        <f t="array" ref="C1068">_xlfn.XLOOKUP(
 B1068,
 tblTargets[TargetID],
 tblTargets[DisplayName],
 ""
)</f>
        <v>Pantry 1 Lv 1</v>
      </c>
      <c r="D1068" s="49" t="str">
        <f t="array" ref="D1068">_xlfn.XLOOKUP(
 B1068,
 tblTargets[TargetID],
 tblTargets[TargetType],
 ""
)</f>
        <v>COLLECTION</v>
      </c>
      <c r="E1068" s="49" t="s">
        <v>152</v>
      </c>
      <c r="F1068" s="49">
        <v>1.0</v>
      </c>
      <c r="G1068" s="49">
        <f t="array" ref="G1068">_xlfn.XLOOKUP(
 A1068,
 tblCost[RequirementID],
 tblCost[QuantityRequired],
 ""
)</f>
        <v>10</v>
      </c>
      <c r="H1068" s="49">
        <f t="array" ref="H1068">IF(
 OR(
  LEFT(B1068,15)="state.character",
  RIGHT(B1068,6)=".maxed"
 ),
 0,
 LET(
  sort,
   _xlfn.XLOOKUP(
    B1068,
    tblChecklist[TargetID],
    tblChecklist[PlayerSort],
    0
   ),
  IF(sort=0,500,sort)
 )
)</f>
        <v>500</v>
      </c>
      <c r="I1068" s="49" t="str">
        <f t="array" ref="I1068">_xlfn.XLOOKUP(
 B1068,
 tblTargetStatus[TargetID],
 tblTargetStatus[Status],
 ""
)</f>
        <v>BLOCKED</v>
      </c>
      <c r="J1068" s="45" t="b">
        <v>0</v>
      </c>
    </row>
    <row r="1069" ht="14.25" hidden="1" customHeight="1">
      <c r="A1069" s="49" t="s">
        <v>2716</v>
      </c>
      <c r="B1069" s="49" t="str">
        <f>IFERROR(__xludf.DUMMYFUNCTION("REGEXREPLACE(
 REGEXREPLACE(A1069,""^cost\."",""""),
 ""\.[^.]+\.[^.]+$"",
 """"
)"),"collection.pantry_1@1")</f>
        <v>collection.pantry_1@1</v>
      </c>
      <c r="C1069" s="49" t="str">
        <f t="array" ref="C1069">_xlfn.XLOOKUP(
 B1069,
 tblTargets[TargetID],
 tblTargets[DisplayName],
 ""
)</f>
        <v>Pantry 1 Lv 1</v>
      </c>
      <c r="D1069" s="49" t="str">
        <f t="array" ref="D1069">_xlfn.XLOOKUP(
 B1069,
 tblTargets[TargetID],
 tblTargets[TargetType],
 ""
)</f>
        <v>COLLECTION</v>
      </c>
      <c r="E1069" s="49" t="s">
        <v>443</v>
      </c>
      <c r="F1069" s="49">
        <v>1.0</v>
      </c>
      <c r="G1069" s="49">
        <f t="array" ref="G1069">_xlfn.XLOOKUP(
 A1069,
 tblCost[RequirementID],
 tblCost[QuantityRequired],
 ""
)</f>
        <v>5</v>
      </c>
      <c r="H1069" s="49">
        <f t="array" ref="H1069">IF(
 OR(
  LEFT(B1069,15)="state.character",
  RIGHT(B1069,6)=".maxed"
 ),
 0,
 LET(
  sort,
   _xlfn.XLOOKUP(
    B1069,
    tblChecklist[TargetID],
    tblChecklist[PlayerSort],
    0
   ),
  IF(sort=0,500,sort)
 )
)</f>
        <v>500</v>
      </c>
      <c r="I1069" s="49" t="str">
        <f t="array" ref="I1069">_xlfn.XLOOKUP(
 B1069,
 tblTargetStatus[TargetID],
 tblTargetStatus[Status],
 ""
)</f>
        <v>BLOCKED</v>
      </c>
      <c r="J1069" s="45" t="b">
        <v>0</v>
      </c>
    </row>
    <row r="1070" ht="14.25" hidden="1" customHeight="1">
      <c r="A1070" s="49" t="s">
        <v>2717</v>
      </c>
      <c r="B1070" s="49" t="str">
        <f>IFERROR(__xludf.DUMMYFUNCTION("REGEXREPLACE(
 REGEXREPLACE(A1070,""^cost\."",""""),
 ""\.[^.]+\.[^.]+$"",
 """"
)"),"collection.pantry_1@1")</f>
        <v>collection.pantry_1@1</v>
      </c>
      <c r="C1070" s="49" t="str">
        <f t="array" ref="C1070">_xlfn.XLOOKUP(
 B1070,
 tblTargets[TargetID],
 tblTargets[DisplayName],
 ""
)</f>
        <v>Pantry 1 Lv 1</v>
      </c>
      <c r="D1070" s="49" t="str">
        <f t="array" ref="D1070">_xlfn.XLOOKUP(
 B1070,
 tblTargets[TargetID],
 tblTargets[TargetType],
 ""
)</f>
        <v>COLLECTION</v>
      </c>
      <c r="E1070" s="49" t="s">
        <v>158</v>
      </c>
      <c r="F1070" s="49">
        <v>1.0</v>
      </c>
      <c r="G1070" s="49">
        <f t="array" ref="G1070">_xlfn.XLOOKUP(
 A1070,
 tblCost[RequirementID],
 tblCost[QuantityRequired],
 ""
)</f>
        <v>10</v>
      </c>
      <c r="H1070" s="49">
        <f t="array" ref="H1070">IF(
 OR(
  LEFT(B1070,15)="state.character",
  RIGHT(B1070,6)=".maxed"
 ),
 0,
 LET(
  sort,
   _xlfn.XLOOKUP(
    B1070,
    tblChecklist[TargetID],
    tblChecklist[PlayerSort],
    0
   ),
  IF(sort=0,500,sort)
 )
)</f>
        <v>500</v>
      </c>
      <c r="I1070" s="49" t="str">
        <f t="array" ref="I1070">_xlfn.XLOOKUP(
 B1070,
 tblTargetStatus[TargetID],
 tblTargetStatus[Status],
 ""
)</f>
        <v>BLOCKED</v>
      </c>
      <c r="J1070" s="45" t="b">
        <v>0</v>
      </c>
    </row>
    <row r="1071" ht="14.25" hidden="1" customHeight="1">
      <c r="A1071" s="49" t="s">
        <v>2718</v>
      </c>
      <c r="B1071" s="49" t="str">
        <f>IFERROR(__xludf.DUMMYFUNCTION("REGEXREPLACE(
 REGEXREPLACE(A1071,""^cost\."",""""),
 ""\.[^.]+\.[^.]+$"",
 """"
)"),"collection.pantry_1@1")</f>
        <v>collection.pantry_1@1</v>
      </c>
      <c r="C1071" s="49" t="str">
        <f t="array" ref="C1071">_xlfn.XLOOKUP(
 B1071,
 tblTargets[TargetID],
 tblTargets[DisplayName],
 ""
)</f>
        <v>Pantry 1 Lv 1</v>
      </c>
      <c r="D1071" s="49" t="str">
        <f t="array" ref="D1071">_xlfn.XLOOKUP(
 B1071,
 tblTargets[TargetID],
 tblTargets[TargetType],
 ""
)</f>
        <v>COLLECTION</v>
      </c>
      <c r="E1071" s="49" t="s">
        <v>2719</v>
      </c>
      <c r="F1071" s="49">
        <v>1.0</v>
      </c>
      <c r="G1071" s="49">
        <f t="array" ref="G1071">_xlfn.XLOOKUP(
 A1071,
 tblCost[RequirementID],
 tblCost[QuantityRequired],
 ""
)</f>
        <v>5</v>
      </c>
      <c r="H1071" s="49">
        <f t="array" ref="H1071">IF(
 OR(
  LEFT(B1071,15)="state.character",
  RIGHT(B1071,6)=".maxed"
 ),
 0,
 LET(
  sort,
   _xlfn.XLOOKUP(
    B1071,
    tblChecklist[TargetID],
    tblChecklist[PlayerSort],
    0
   ),
  IF(sort=0,500,sort)
 )
)</f>
        <v>500</v>
      </c>
      <c r="I1071" s="49" t="str">
        <f t="array" ref="I1071">_xlfn.XLOOKUP(
 B1071,
 tblTargetStatus[TargetID],
 tblTargetStatus[Status],
 ""
)</f>
        <v>BLOCKED</v>
      </c>
      <c r="J1071" s="45" t="b">
        <v>0</v>
      </c>
    </row>
    <row r="1072" ht="14.25" hidden="1" customHeight="1">
      <c r="A1072" s="49" t="s">
        <v>2720</v>
      </c>
      <c r="B1072" s="49" t="str">
        <f>IFERROR(__xludf.DUMMYFUNCTION("REGEXREPLACE(
 REGEXREPLACE(A1072,""^cost\."",""""),
 ""\.[^.]+\.[^.]+$"",
 """"
)"),"collection.pantry_1@2")</f>
        <v>collection.pantry_1@2</v>
      </c>
      <c r="C1072" s="49" t="str">
        <f t="array" ref="C1072">_xlfn.XLOOKUP(
 B1072,
 tblTargets[TargetID],
 tblTargets[DisplayName],
 ""
)</f>
        <v>Pantry 1 Lv 2</v>
      </c>
      <c r="D1072" s="49" t="str">
        <f t="array" ref="D1072">_xlfn.XLOOKUP(
 B1072,
 tblTargets[TargetID],
 tblTargets[TargetType],
 ""
)</f>
        <v>COLLECTION</v>
      </c>
      <c r="E1072" s="49" t="s">
        <v>2704</v>
      </c>
      <c r="F1072" s="49">
        <v>1.0</v>
      </c>
      <c r="G1072" s="49">
        <f t="array" ref="G1072">_xlfn.XLOOKUP(
 A1072,
 tblCost[RequirementID],
 tblCost[QuantityRequired],
 ""
)</f>
        <v>10</v>
      </c>
      <c r="H1072" s="49">
        <f t="array" ref="H1072">IF(
 OR(
  LEFT(B1072,15)="state.character",
  RIGHT(B1072,6)=".maxed"
 ),
 0,
 LET(
  sort,
   _xlfn.XLOOKUP(
    B1072,
    tblChecklist[TargetID],
    tblChecklist[PlayerSort],
    0
   ),
  IF(sort=0,500,sort)
 )
)</f>
        <v>500</v>
      </c>
      <c r="I1072" s="49" t="str">
        <f t="array" ref="I1072">_xlfn.XLOOKUP(
 B1072,
 tblTargetStatus[TargetID],
 tblTargetStatus[Status],
 ""
)</f>
        <v>BLOCKED</v>
      </c>
      <c r="J1072" s="45" t="b">
        <v>0</v>
      </c>
    </row>
    <row r="1073" ht="14.25" hidden="1" customHeight="1">
      <c r="A1073" s="49" t="s">
        <v>2721</v>
      </c>
      <c r="B1073" s="49" t="str">
        <f>IFERROR(__xludf.DUMMYFUNCTION("REGEXREPLACE(
 REGEXREPLACE(A1073,""^cost\."",""""),
 ""\.[^.]+\.[^.]+$"",
 """"
)"),"collection.pantry_1@2")</f>
        <v>collection.pantry_1@2</v>
      </c>
      <c r="C1073" s="49" t="str">
        <f t="array" ref="C1073">_xlfn.XLOOKUP(
 B1073,
 tblTargets[TargetID],
 tblTargets[DisplayName],
 ""
)</f>
        <v>Pantry 1 Lv 2</v>
      </c>
      <c r="D1073" s="49" t="str">
        <f t="array" ref="D1073">_xlfn.XLOOKUP(
 B1073,
 tblTargets[TargetID],
 tblTargets[TargetType],
 ""
)</f>
        <v>COLLECTION</v>
      </c>
      <c r="E1073" s="49" t="s">
        <v>367</v>
      </c>
      <c r="F1073" s="49">
        <v>1.0</v>
      </c>
      <c r="G1073" s="49">
        <f t="array" ref="G1073">_xlfn.XLOOKUP(
 A1073,
 tblCost[RequirementID],
 tblCost[QuantityRequired],
 ""
)</f>
        <v>20</v>
      </c>
      <c r="H1073" s="49">
        <f t="array" ref="H1073">IF(
 OR(
  LEFT(B1073,15)="state.character",
  RIGHT(B1073,6)=".maxed"
 ),
 0,
 LET(
  sort,
   _xlfn.XLOOKUP(
    B1073,
    tblChecklist[TargetID],
    tblChecklist[PlayerSort],
    0
   ),
  IF(sort=0,500,sort)
 )
)</f>
        <v>500</v>
      </c>
      <c r="I1073" s="49" t="str">
        <f t="array" ref="I1073">_xlfn.XLOOKUP(
 B1073,
 tblTargetStatus[TargetID],
 tblTargetStatus[Status],
 ""
)</f>
        <v>BLOCKED</v>
      </c>
      <c r="J1073" s="45" t="b">
        <v>0</v>
      </c>
    </row>
    <row r="1074" ht="14.25" hidden="1" customHeight="1">
      <c r="A1074" s="49" t="s">
        <v>2722</v>
      </c>
      <c r="B1074" s="49" t="str">
        <f>IFERROR(__xludf.DUMMYFUNCTION("REGEXREPLACE(
 REGEXREPLACE(A1074,""^cost\."",""""),
 ""\.[^.]+\.[^.]+$"",
 """"
)"),"collection.pantry_1@2")</f>
        <v>collection.pantry_1@2</v>
      </c>
      <c r="C1074" s="49" t="str">
        <f t="array" ref="C1074">_xlfn.XLOOKUP(
 B1074,
 tblTargets[TargetID],
 tblTargets[DisplayName],
 ""
)</f>
        <v>Pantry 1 Lv 2</v>
      </c>
      <c r="D1074" s="49" t="str">
        <f t="array" ref="D1074">_xlfn.XLOOKUP(
 B1074,
 tblTargets[TargetID],
 tblTargets[TargetType],
 ""
)</f>
        <v>COLLECTION</v>
      </c>
      <c r="E1074" s="49" t="s">
        <v>2707</v>
      </c>
      <c r="F1074" s="49">
        <v>1.0</v>
      </c>
      <c r="G1074" s="49">
        <f t="array" ref="G1074">_xlfn.XLOOKUP(
 A1074,
 tblCost[RequirementID],
 tblCost[QuantityRequired],
 ""
)</f>
        <v>20</v>
      </c>
      <c r="H1074" s="49">
        <f t="array" ref="H1074">IF(
 OR(
  LEFT(B1074,15)="state.character",
  RIGHT(B1074,6)=".maxed"
 ),
 0,
 LET(
  sort,
   _xlfn.XLOOKUP(
    B1074,
    tblChecklist[TargetID],
    tblChecklist[PlayerSort],
    0
   ),
  IF(sort=0,500,sort)
 )
)</f>
        <v>500</v>
      </c>
      <c r="I1074" s="49" t="str">
        <f t="array" ref="I1074">_xlfn.XLOOKUP(
 B1074,
 tblTargetStatus[TargetID],
 tblTargetStatus[Status],
 ""
)</f>
        <v>BLOCKED</v>
      </c>
      <c r="J1074" s="45" t="b">
        <v>0</v>
      </c>
    </row>
    <row r="1075" ht="14.25" hidden="1" customHeight="1">
      <c r="A1075" s="49" t="s">
        <v>2723</v>
      </c>
      <c r="B1075" s="49" t="str">
        <f>IFERROR(__xludf.DUMMYFUNCTION("REGEXREPLACE(
 REGEXREPLACE(A1075,""^cost\."",""""),
 ""\.[^.]+\.[^.]+$"",
 """"
)"),"collection.pantry_1@2")</f>
        <v>collection.pantry_1@2</v>
      </c>
      <c r="C1075" s="49" t="str">
        <f t="array" ref="C1075">_xlfn.XLOOKUP(
 B1075,
 tblTargets[TargetID],
 tblTargets[DisplayName],
 ""
)</f>
        <v>Pantry 1 Lv 2</v>
      </c>
      <c r="D1075" s="49" t="str">
        <f t="array" ref="D1075">_xlfn.XLOOKUP(
 B1075,
 tblTargets[TargetID],
 tblTargets[TargetType],
 ""
)</f>
        <v>COLLECTION</v>
      </c>
      <c r="E1075" s="49" t="s">
        <v>2709</v>
      </c>
      <c r="F1075" s="49">
        <v>1.0</v>
      </c>
      <c r="G1075" s="49">
        <f t="array" ref="G1075">_xlfn.XLOOKUP(
 A1075,
 tblCost[RequirementID],
 tblCost[QuantityRequired],
 ""
)</f>
        <v>80</v>
      </c>
      <c r="H1075" s="49">
        <f t="array" ref="H1075">IF(
 OR(
  LEFT(B1075,15)="state.character",
  RIGHT(B1075,6)=".maxed"
 ),
 0,
 LET(
  sort,
   _xlfn.XLOOKUP(
    B1075,
    tblChecklist[TargetID],
    tblChecklist[PlayerSort],
    0
   ),
  IF(sort=0,500,sort)
 )
)</f>
        <v>500</v>
      </c>
      <c r="I1075" s="49" t="str">
        <f t="array" ref="I1075">_xlfn.XLOOKUP(
 B1075,
 tblTargetStatus[TargetID],
 tblTargetStatus[Status],
 ""
)</f>
        <v>BLOCKED</v>
      </c>
      <c r="J1075" s="45" t="b">
        <v>0</v>
      </c>
    </row>
    <row r="1076" ht="14.25" hidden="1" customHeight="1">
      <c r="A1076" s="49" t="s">
        <v>2724</v>
      </c>
      <c r="B1076" s="49" t="str">
        <f>IFERROR(__xludf.DUMMYFUNCTION("REGEXREPLACE(
 REGEXREPLACE(A1076,""^cost\."",""""),
 ""\.[^.]+\.[^.]+$"",
 """"
)"),"collection.pantry_1@2")</f>
        <v>collection.pantry_1@2</v>
      </c>
      <c r="C1076" s="49" t="str">
        <f t="array" ref="C1076">_xlfn.XLOOKUP(
 B1076,
 tblTargets[TargetID],
 tblTargets[DisplayName],
 ""
)</f>
        <v>Pantry 1 Lv 2</v>
      </c>
      <c r="D1076" s="49" t="str">
        <f t="array" ref="D1076">_xlfn.XLOOKUP(
 B1076,
 tblTargets[TargetID],
 tblTargets[TargetType],
 ""
)</f>
        <v>COLLECTION</v>
      </c>
      <c r="E1076" s="49" t="s">
        <v>360</v>
      </c>
      <c r="F1076" s="49">
        <v>1.0</v>
      </c>
      <c r="G1076" s="49">
        <f t="array" ref="G1076">_xlfn.XLOOKUP(
 A1076,
 tblCost[RequirementID],
 tblCost[QuantityRequired],
 ""
)</f>
        <v>20</v>
      </c>
      <c r="H1076" s="49">
        <f t="array" ref="H1076">IF(
 OR(
  LEFT(B1076,15)="state.character",
  RIGHT(B1076,6)=".maxed"
 ),
 0,
 LET(
  sort,
   _xlfn.XLOOKUP(
    B1076,
    tblChecklist[TargetID],
    tblChecklist[PlayerSort],
    0
   ),
  IF(sort=0,500,sort)
 )
)</f>
        <v>500</v>
      </c>
      <c r="I1076" s="49" t="str">
        <f t="array" ref="I1076">_xlfn.XLOOKUP(
 B1076,
 tblTargetStatus[TargetID],
 tblTargetStatus[Status],
 ""
)</f>
        <v>BLOCKED</v>
      </c>
      <c r="J1076" s="45" t="b">
        <v>0</v>
      </c>
    </row>
    <row r="1077" ht="14.25" hidden="1" customHeight="1">
      <c r="A1077" s="49" t="s">
        <v>2725</v>
      </c>
      <c r="B1077" s="49" t="str">
        <f>IFERROR(__xludf.DUMMYFUNCTION("REGEXREPLACE(
 REGEXREPLACE(A1077,""^cost\."",""""),
 ""\.[^.]+\.[^.]+$"",
 """"
)"),"collection.pantry_1@2")</f>
        <v>collection.pantry_1@2</v>
      </c>
      <c r="C1077" s="49" t="str">
        <f t="array" ref="C1077">_xlfn.XLOOKUP(
 B1077,
 tblTargets[TargetID],
 tblTargets[DisplayName],
 ""
)</f>
        <v>Pantry 1 Lv 2</v>
      </c>
      <c r="D1077" s="49" t="str">
        <f t="array" ref="D1077">_xlfn.XLOOKUP(
 B1077,
 tblTargets[TargetID],
 tblTargets[TargetType],
 ""
)</f>
        <v>COLLECTION</v>
      </c>
      <c r="E1077" s="49" t="s">
        <v>423</v>
      </c>
      <c r="F1077" s="49">
        <v>1.0</v>
      </c>
      <c r="G1077" s="49">
        <f t="array" ref="G1077">_xlfn.XLOOKUP(
 A1077,
 tblCost[RequirementID],
 tblCost[QuantityRequired],
 ""
)</f>
        <v>20</v>
      </c>
      <c r="H1077" s="49">
        <f t="array" ref="H1077">IF(
 OR(
  LEFT(B1077,15)="state.character",
  RIGHT(B1077,6)=".maxed"
 ),
 0,
 LET(
  sort,
   _xlfn.XLOOKUP(
    B1077,
    tblChecklist[TargetID],
    tblChecklist[PlayerSort],
    0
   ),
  IF(sort=0,500,sort)
 )
)</f>
        <v>500</v>
      </c>
      <c r="I1077" s="49" t="str">
        <f t="array" ref="I1077">_xlfn.XLOOKUP(
 B1077,
 tblTargetStatus[TargetID],
 tblTargetStatus[Status],
 ""
)</f>
        <v>BLOCKED</v>
      </c>
      <c r="J1077" s="45" t="b">
        <v>0</v>
      </c>
    </row>
    <row r="1078" ht="14.25" hidden="1" customHeight="1">
      <c r="A1078" s="49" t="s">
        <v>2726</v>
      </c>
      <c r="B1078" s="49" t="str">
        <f>IFERROR(__xludf.DUMMYFUNCTION("REGEXREPLACE(
 REGEXREPLACE(A1078,""^cost\."",""""),
 ""\.[^.]+\.[^.]+$"",
 """"
)"),"collection.pantry_1@2")</f>
        <v>collection.pantry_1@2</v>
      </c>
      <c r="C1078" s="49" t="str">
        <f t="array" ref="C1078">_xlfn.XLOOKUP(
 B1078,
 tblTargets[TargetID],
 tblTargets[DisplayName],
 ""
)</f>
        <v>Pantry 1 Lv 2</v>
      </c>
      <c r="D1078" s="49" t="str">
        <f t="array" ref="D1078">_xlfn.XLOOKUP(
 B1078,
 tblTargets[TargetID],
 tblTargets[TargetType],
 ""
)</f>
        <v>COLLECTION</v>
      </c>
      <c r="E1078" s="49" t="s">
        <v>701</v>
      </c>
      <c r="F1078" s="49">
        <v>1.0</v>
      </c>
      <c r="G1078" s="49">
        <f t="array" ref="G1078">_xlfn.XLOOKUP(
 A1078,
 tblCost[RequirementID],
 tblCost[QuantityRequired],
 ""
)</f>
        <v>80</v>
      </c>
      <c r="H1078" s="49">
        <f t="array" ref="H1078">IF(
 OR(
  LEFT(B1078,15)="state.character",
  RIGHT(B1078,6)=".maxed"
 ),
 0,
 LET(
  sort,
   _xlfn.XLOOKUP(
    B1078,
    tblChecklist[TargetID],
    tblChecklist[PlayerSort],
    0
   ),
  IF(sort=0,500,sort)
 )
)</f>
        <v>500</v>
      </c>
      <c r="I1078" s="49" t="str">
        <f t="array" ref="I1078">_xlfn.XLOOKUP(
 B1078,
 tblTargetStatus[TargetID],
 tblTargetStatus[Status],
 ""
)</f>
        <v>BLOCKED</v>
      </c>
      <c r="J1078" s="45" t="b">
        <v>0</v>
      </c>
    </row>
    <row r="1079" ht="14.25" hidden="1" customHeight="1">
      <c r="A1079" s="49" t="s">
        <v>2727</v>
      </c>
      <c r="B1079" s="49" t="str">
        <f>IFERROR(__xludf.DUMMYFUNCTION("REGEXREPLACE(
 REGEXREPLACE(A1079,""^cost\."",""""),
 ""\.[^.]+\.[^.]+$"",
 """"
)"),"collection.pantry_1@2")</f>
        <v>collection.pantry_1@2</v>
      </c>
      <c r="C1079" s="49" t="str">
        <f t="array" ref="C1079">_xlfn.XLOOKUP(
 B1079,
 tblTargets[TargetID],
 tblTargets[DisplayName],
 ""
)</f>
        <v>Pantry 1 Lv 2</v>
      </c>
      <c r="D1079" s="49" t="str">
        <f t="array" ref="D1079">_xlfn.XLOOKUP(
 B1079,
 tblTargets[TargetID],
 tblTargets[TargetType],
 ""
)</f>
        <v>COLLECTION</v>
      </c>
      <c r="E1079" s="49" t="s">
        <v>2714</v>
      </c>
      <c r="F1079" s="49">
        <v>1.0</v>
      </c>
      <c r="G1079" s="49">
        <f t="array" ref="G1079">_xlfn.XLOOKUP(
 A1079,
 tblCost[RequirementID],
 tblCost[QuantityRequired],
 ""
)</f>
        <v>20</v>
      </c>
      <c r="H1079" s="49">
        <f t="array" ref="H1079">IF(
 OR(
  LEFT(B1079,15)="state.character",
  RIGHT(B1079,6)=".maxed"
 ),
 0,
 LET(
  sort,
   _xlfn.XLOOKUP(
    B1079,
    tblChecklist[TargetID],
    tblChecklist[PlayerSort],
    0
   ),
  IF(sort=0,500,sort)
 )
)</f>
        <v>500</v>
      </c>
      <c r="I1079" s="49" t="str">
        <f t="array" ref="I1079">_xlfn.XLOOKUP(
 B1079,
 tblTargetStatus[TargetID],
 tblTargetStatus[Status],
 ""
)</f>
        <v>BLOCKED</v>
      </c>
      <c r="J1079" s="45" t="b">
        <v>0</v>
      </c>
    </row>
    <row r="1080" ht="14.25" hidden="1" customHeight="1">
      <c r="A1080" s="49" t="s">
        <v>2728</v>
      </c>
      <c r="B1080" s="49" t="str">
        <f>IFERROR(__xludf.DUMMYFUNCTION("REGEXREPLACE(
 REGEXREPLACE(A1080,""^cost\."",""""),
 ""\.[^.]+\.[^.]+$"",
 """"
)"),"collection.pantry_1@2")</f>
        <v>collection.pantry_1@2</v>
      </c>
      <c r="C1080" s="49" t="str">
        <f t="array" ref="C1080">_xlfn.XLOOKUP(
 B1080,
 tblTargets[TargetID],
 tblTargets[DisplayName],
 ""
)</f>
        <v>Pantry 1 Lv 2</v>
      </c>
      <c r="D1080" s="49" t="str">
        <f t="array" ref="D1080">_xlfn.XLOOKUP(
 B1080,
 tblTargets[TargetID],
 tblTargets[TargetType],
 ""
)</f>
        <v>COLLECTION</v>
      </c>
      <c r="E1080" s="49" t="s">
        <v>152</v>
      </c>
      <c r="F1080" s="49">
        <v>1.0</v>
      </c>
      <c r="G1080" s="49">
        <f t="array" ref="G1080">_xlfn.XLOOKUP(
 A1080,
 tblCost[RequirementID],
 tblCost[QuantityRequired],
 ""
)</f>
        <v>20</v>
      </c>
      <c r="H1080" s="49">
        <f t="array" ref="H1080">IF(
 OR(
  LEFT(B1080,15)="state.character",
  RIGHT(B1080,6)=".maxed"
 ),
 0,
 LET(
  sort,
   _xlfn.XLOOKUP(
    B1080,
    tblChecklist[TargetID],
    tblChecklist[PlayerSort],
    0
   ),
  IF(sort=0,500,sort)
 )
)</f>
        <v>500</v>
      </c>
      <c r="I1080" s="49" t="str">
        <f t="array" ref="I1080">_xlfn.XLOOKUP(
 B1080,
 tblTargetStatus[TargetID],
 tblTargetStatus[Status],
 ""
)</f>
        <v>BLOCKED</v>
      </c>
      <c r="J1080" s="45" t="b">
        <v>0</v>
      </c>
    </row>
    <row r="1081" ht="14.25" hidden="1" customHeight="1">
      <c r="A1081" s="49" t="s">
        <v>2729</v>
      </c>
      <c r="B1081" s="49" t="str">
        <f>IFERROR(__xludf.DUMMYFUNCTION("REGEXREPLACE(
 REGEXREPLACE(A1081,""^cost\."",""""),
 ""\.[^.]+\.[^.]+$"",
 """"
)"),"collection.pantry_1@2")</f>
        <v>collection.pantry_1@2</v>
      </c>
      <c r="C1081" s="49" t="str">
        <f t="array" ref="C1081">_xlfn.XLOOKUP(
 B1081,
 tblTargets[TargetID],
 tblTargets[DisplayName],
 ""
)</f>
        <v>Pantry 1 Lv 2</v>
      </c>
      <c r="D1081" s="49" t="str">
        <f t="array" ref="D1081">_xlfn.XLOOKUP(
 B1081,
 tblTargets[TargetID],
 tblTargets[TargetType],
 ""
)</f>
        <v>COLLECTION</v>
      </c>
      <c r="E1081" s="49" t="s">
        <v>443</v>
      </c>
      <c r="F1081" s="49">
        <v>1.0</v>
      </c>
      <c r="G1081" s="49">
        <f t="array" ref="G1081">_xlfn.XLOOKUP(
 A1081,
 tblCost[RequirementID],
 tblCost[QuantityRequired],
 ""
)</f>
        <v>10</v>
      </c>
      <c r="H1081" s="49">
        <f t="array" ref="H1081">IF(
 OR(
  LEFT(B1081,15)="state.character",
  RIGHT(B1081,6)=".maxed"
 ),
 0,
 LET(
  sort,
   _xlfn.XLOOKUP(
    B1081,
    tblChecklist[TargetID],
    tblChecklist[PlayerSort],
    0
   ),
  IF(sort=0,500,sort)
 )
)</f>
        <v>500</v>
      </c>
      <c r="I1081" s="49" t="str">
        <f t="array" ref="I1081">_xlfn.XLOOKUP(
 B1081,
 tblTargetStatus[TargetID],
 tblTargetStatus[Status],
 ""
)</f>
        <v>BLOCKED</v>
      </c>
      <c r="J1081" s="45" t="b">
        <v>0</v>
      </c>
    </row>
    <row r="1082" ht="14.25" hidden="1" customHeight="1">
      <c r="A1082" s="49" t="s">
        <v>2730</v>
      </c>
      <c r="B1082" s="49" t="str">
        <f>IFERROR(__xludf.DUMMYFUNCTION("REGEXREPLACE(
 REGEXREPLACE(A1082,""^cost\."",""""),
 ""\.[^.]+\.[^.]+$"",
 """"
)"),"collection.pantry_1@2")</f>
        <v>collection.pantry_1@2</v>
      </c>
      <c r="C1082" s="49" t="str">
        <f t="array" ref="C1082">_xlfn.XLOOKUP(
 B1082,
 tblTargets[TargetID],
 tblTargets[DisplayName],
 ""
)</f>
        <v>Pantry 1 Lv 2</v>
      </c>
      <c r="D1082" s="49" t="str">
        <f t="array" ref="D1082">_xlfn.XLOOKUP(
 B1082,
 tblTargets[TargetID],
 tblTargets[TargetType],
 ""
)</f>
        <v>COLLECTION</v>
      </c>
      <c r="E1082" s="49" t="s">
        <v>158</v>
      </c>
      <c r="F1082" s="49">
        <v>1.0</v>
      </c>
      <c r="G1082" s="49">
        <f t="array" ref="G1082">_xlfn.XLOOKUP(
 A1082,
 tblCost[RequirementID],
 tblCost[QuantityRequired],
 ""
)</f>
        <v>20</v>
      </c>
      <c r="H1082" s="49">
        <f t="array" ref="H1082">IF(
 OR(
  LEFT(B1082,15)="state.character",
  RIGHT(B1082,6)=".maxed"
 ),
 0,
 LET(
  sort,
   _xlfn.XLOOKUP(
    B1082,
    tblChecklist[TargetID],
    tblChecklist[PlayerSort],
    0
   ),
  IF(sort=0,500,sort)
 )
)</f>
        <v>500</v>
      </c>
      <c r="I1082" s="49" t="str">
        <f t="array" ref="I1082">_xlfn.XLOOKUP(
 B1082,
 tblTargetStatus[TargetID],
 tblTargetStatus[Status],
 ""
)</f>
        <v>BLOCKED</v>
      </c>
      <c r="J1082" s="45" t="b">
        <v>0</v>
      </c>
    </row>
    <row r="1083" ht="14.25" hidden="1" customHeight="1">
      <c r="A1083" s="49" t="s">
        <v>2731</v>
      </c>
      <c r="B1083" s="49" t="str">
        <f>IFERROR(__xludf.DUMMYFUNCTION("REGEXREPLACE(
 REGEXREPLACE(A1083,""^cost\."",""""),
 ""\.[^.]+\.[^.]+$"",
 """"
)"),"collection.pantry_1@2")</f>
        <v>collection.pantry_1@2</v>
      </c>
      <c r="C1083" s="49" t="str">
        <f t="array" ref="C1083">_xlfn.XLOOKUP(
 B1083,
 tblTargets[TargetID],
 tblTargets[DisplayName],
 ""
)</f>
        <v>Pantry 1 Lv 2</v>
      </c>
      <c r="D1083" s="49" t="str">
        <f t="array" ref="D1083">_xlfn.XLOOKUP(
 B1083,
 tblTargets[TargetID],
 tblTargets[TargetType],
 ""
)</f>
        <v>COLLECTION</v>
      </c>
      <c r="E1083" s="49" t="s">
        <v>2719</v>
      </c>
      <c r="F1083" s="49">
        <v>1.0</v>
      </c>
      <c r="G1083" s="49">
        <f t="array" ref="G1083">_xlfn.XLOOKUP(
 A1083,
 tblCost[RequirementID],
 tblCost[QuantityRequired],
 ""
)</f>
        <v>10</v>
      </c>
      <c r="H1083" s="49">
        <f t="array" ref="H1083">IF(
 OR(
  LEFT(B1083,15)="state.character",
  RIGHT(B1083,6)=".maxed"
 ),
 0,
 LET(
  sort,
   _xlfn.XLOOKUP(
    B1083,
    tblChecklist[TargetID],
    tblChecklist[PlayerSort],
    0
   ),
  IF(sort=0,500,sort)
 )
)</f>
        <v>500</v>
      </c>
      <c r="I1083" s="49" t="str">
        <f t="array" ref="I1083">_xlfn.XLOOKUP(
 B1083,
 tblTargetStatus[TargetID],
 tblTargetStatus[Status],
 ""
)</f>
        <v>BLOCKED</v>
      </c>
      <c r="J1083" s="45" t="b">
        <v>0</v>
      </c>
    </row>
    <row r="1084" ht="14.25" hidden="1" customHeight="1">
      <c r="A1084" s="49" t="s">
        <v>2732</v>
      </c>
      <c r="B1084" s="49" t="str">
        <f>IFERROR(__xludf.DUMMYFUNCTION("REGEXREPLACE(
 REGEXREPLACE(A1084,""^cost\."",""""),
 ""\.[^.]+\.[^.]+$"",
 """"
)"),"collection.pantry_1@3")</f>
        <v>collection.pantry_1@3</v>
      </c>
      <c r="C1084" s="49" t="str">
        <f t="array" ref="C1084">_xlfn.XLOOKUP(
 B1084,
 tblTargets[TargetID],
 tblTargets[DisplayName],
 ""
)</f>
        <v>Pantry 1 Lv 3</v>
      </c>
      <c r="D1084" s="49" t="str">
        <f t="array" ref="D1084">_xlfn.XLOOKUP(
 B1084,
 tblTargets[TargetID],
 tblTargets[TargetType],
 ""
)</f>
        <v>COLLECTION</v>
      </c>
      <c r="E1084" s="49" t="s">
        <v>2704</v>
      </c>
      <c r="F1084" s="49">
        <v>1.0</v>
      </c>
      <c r="G1084" s="49">
        <f t="array" ref="G1084">_xlfn.XLOOKUP(
 A1084,
 tblCost[RequirementID],
 tblCost[QuantityRequired],
 ""
)</f>
        <v>15</v>
      </c>
      <c r="H1084" s="49">
        <f t="array" ref="H1084">IF(
 OR(
  LEFT(B1084,15)="state.character",
  RIGHT(B1084,6)=".maxed"
 ),
 0,
 LET(
  sort,
   _xlfn.XLOOKUP(
    B1084,
    tblChecklist[TargetID],
    tblChecklist[PlayerSort],
    0
   ),
  IF(sort=0,500,sort)
 )
)</f>
        <v>500</v>
      </c>
      <c r="I1084" s="49" t="str">
        <f t="array" ref="I1084">_xlfn.XLOOKUP(
 B1084,
 tblTargetStatus[TargetID],
 tblTargetStatus[Status],
 ""
)</f>
        <v>BLOCKED</v>
      </c>
      <c r="J1084" s="45" t="b">
        <v>0</v>
      </c>
    </row>
    <row r="1085" ht="14.25" hidden="1" customHeight="1">
      <c r="A1085" s="49" t="s">
        <v>2733</v>
      </c>
      <c r="B1085" s="49" t="str">
        <f>IFERROR(__xludf.DUMMYFUNCTION("REGEXREPLACE(
 REGEXREPLACE(A1085,""^cost\."",""""),
 ""\.[^.]+\.[^.]+$"",
 """"
)"),"collection.pantry_1@3")</f>
        <v>collection.pantry_1@3</v>
      </c>
      <c r="C1085" s="49" t="str">
        <f t="array" ref="C1085">_xlfn.XLOOKUP(
 B1085,
 tblTargets[TargetID],
 tblTargets[DisplayName],
 ""
)</f>
        <v>Pantry 1 Lv 3</v>
      </c>
      <c r="D1085" s="49" t="str">
        <f t="array" ref="D1085">_xlfn.XLOOKUP(
 B1085,
 tblTargets[TargetID],
 tblTargets[TargetType],
 ""
)</f>
        <v>COLLECTION</v>
      </c>
      <c r="E1085" s="49" t="s">
        <v>367</v>
      </c>
      <c r="F1085" s="49">
        <v>1.0</v>
      </c>
      <c r="G1085" s="49">
        <f t="array" ref="G1085">_xlfn.XLOOKUP(
 A1085,
 tblCost[RequirementID],
 tblCost[QuantityRequired],
 ""
)</f>
        <v>30</v>
      </c>
      <c r="H1085" s="49">
        <f t="array" ref="H1085">IF(
 OR(
  LEFT(B1085,15)="state.character",
  RIGHT(B1085,6)=".maxed"
 ),
 0,
 LET(
  sort,
   _xlfn.XLOOKUP(
    B1085,
    tblChecklist[TargetID],
    tblChecklist[PlayerSort],
    0
   ),
  IF(sort=0,500,sort)
 )
)</f>
        <v>500</v>
      </c>
      <c r="I1085" s="49" t="str">
        <f t="array" ref="I1085">_xlfn.XLOOKUP(
 B1085,
 tblTargetStatus[TargetID],
 tblTargetStatus[Status],
 ""
)</f>
        <v>BLOCKED</v>
      </c>
      <c r="J1085" s="45" t="b">
        <v>0</v>
      </c>
    </row>
    <row r="1086" ht="14.25" hidden="1" customHeight="1">
      <c r="A1086" s="49" t="s">
        <v>2734</v>
      </c>
      <c r="B1086" s="49" t="str">
        <f>IFERROR(__xludf.DUMMYFUNCTION("REGEXREPLACE(
 REGEXREPLACE(A1086,""^cost\."",""""),
 ""\.[^.]+\.[^.]+$"",
 """"
)"),"collection.pantry_1@3")</f>
        <v>collection.pantry_1@3</v>
      </c>
      <c r="C1086" s="49" t="str">
        <f t="array" ref="C1086">_xlfn.XLOOKUP(
 B1086,
 tblTargets[TargetID],
 tblTargets[DisplayName],
 ""
)</f>
        <v>Pantry 1 Lv 3</v>
      </c>
      <c r="D1086" s="49" t="str">
        <f t="array" ref="D1086">_xlfn.XLOOKUP(
 B1086,
 tblTargets[TargetID],
 tblTargets[TargetType],
 ""
)</f>
        <v>COLLECTION</v>
      </c>
      <c r="E1086" s="49" t="s">
        <v>2707</v>
      </c>
      <c r="F1086" s="49">
        <v>1.0</v>
      </c>
      <c r="G1086" s="49">
        <f t="array" ref="G1086">_xlfn.XLOOKUP(
 A1086,
 tblCost[RequirementID],
 tblCost[QuantityRequired],
 ""
)</f>
        <v>30</v>
      </c>
      <c r="H1086" s="49">
        <f t="array" ref="H1086">IF(
 OR(
  LEFT(B1086,15)="state.character",
  RIGHT(B1086,6)=".maxed"
 ),
 0,
 LET(
  sort,
   _xlfn.XLOOKUP(
    B1086,
    tblChecklist[TargetID],
    tblChecklist[PlayerSort],
    0
   ),
  IF(sort=0,500,sort)
 )
)</f>
        <v>500</v>
      </c>
      <c r="I1086" s="49" t="str">
        <f t="array" ref="I1086">_xlfn.XLOOKUP(
 B1086,
 tblTargetStatus[TargetID],
 tblTargetStatus[Status],
 ""
)</f>
        <v>BLOCKED</v>
      </c>
      <c r="J1086" s="45" t="b">
        <v>0</v>
      </c>
    </row>
    <row r="1087" ht="14.25" hidden="1" customHeight="1">
      <c r="A1087" s="49" t="s">
        <v>2735</v>
      </c>
      <c r="B1087" s="49" t="str">
        <f>IFERROR(__xludf.DUMMYFUNCTION("REGEXREPLACE(
 REGEXREPLACE(A1087,""^cost\."",""""),
 ""\.[^.]+\.[^.]+$"",
 """"
)"),"collection.pantry_1@3")</f>
        <v>collection.pantry_1@3</v>
      </c>
      <c r="C1087" s="49" t="str">
        <f t="array" ref="C1087">_xlfn.XLOOKUP(
 B1087,
 tblTargets[TargetID],
 tblTargets[DisplayName],
 ""
)</f>
        <v>Pantry 1 Lv 3</v>
      </c>
      <c r="D1087" s="49" t="str">
        <f t="array" ref="D1087">_xlfn.XLOOKUP(
 B1087,
 tblTargets[TargetID],
 tblTargets[TargetType],
 ""
)</f>
        <v>COLLECTION</v>
      </c>
      <c r="E1087" s="49" t="s">
        <v>2709</v>
      </c>
      <c r="F1087" s="49">
        <v>1.0</v>
      </c>
      <c r="G1087" s="49">
        <f t="array" ref="G1087">_xlfn.XLOOKUP(
 A1087,
 tblCost[RequirementID],
 tblCost[QuantityRequired],
 ""
)</f>
        <v>120</v>
      </c>
      <c r="H1087" s="49">
        <f t="array" ref="H1087">IF(
 OR(
  LEFT(B1087,15)="state.character",
  RIGHT(B1087,6)=".maxed"
 ),
 0,
 LET(
  sort,
   _xlfn.XLOOKUP(
    B1087,
    tblChecklist[TargetID],
    tblChecklist[PlayerSort],
    0
   ),
  IF(sort=0,500,sort)
 )
)</f>
        <v>500</v>
      </c>
      <c r="I1087" s="49" t="str">
        <f t="array" ref="I1087">_xlfn.XLOOKUP(
 B1087,
 tblTargetStatus[TargetID],
 tblTargetStatus[Status],
 ""
)</f>
        <v>BLOCKED</v>
      </c>
      <c r="J1087" s="45" t="b">
        <v>0</v>
      </c>
    </row>
    <row r="1088" ht="14.25" hidden="1" customHeight="1">
      <c r="A1088" s="49" t="s">
        <v>2736</v>
      </c>
      <c r="B1088" s="49" t="str">
        <f>IFERROR(__xludf.DUMMYFUNCTION("REGEXREPLACE(
 REGEXREPLACE(A1088,""^cost\."",""""),
 ""\.[^.]+\.[^.]+$"",
 """"
)"),"collection.pantry_1@3")</f>
        <v>collection.pantry_1@3</v>
      </c>
      <c r="C1088" s="49" t="str">
        <f t="array" ref="C1088">_xlfn.XLOOKUP(
 B1088,
 tblTargets[TargetID],
 tblTargets[DisplayName],
 ""
)</f>
        <v>Pantry 1 Lv 3</v>
      </c>
      <c r="D1088" s="49" t="str">
        <f t="array" ref="D1088">_xlfn.XLOOKUP(
 B1088,
 tblTargets[TargetID],
 tblTargets[TargetType],
 ""
)</f>
        <v>COLLECTION</v>
      </c>
      <c r="E1088" s="49" t="s">
        <v>360</v>
      </c>
      <c r="F1088" s="49">
        <v>1.0</v>
      </c>
      <c r="G1088" s="49">
        <f t="array" ref="G1088">_xlfn.XLOOKUP(
 A1088,
 tblCost[RequirementID],
 tblCost[QuantityRequired],
 ""
)</f>
        <v>30</v>
      </c>
      <c r="H1088" s="49">
        <f t="array" ref="H1088">IF(
 OR(
  LEFT(B1088,15)="state.character",
  RIGHT(B1088,6)=".maxed"
 ),
 0,
 LET(
  sort,
   _xlfn.XLOOKUP(
    B1088,
    tblChecklist[TargetID],
    tblChecklist[PlayerSort],
    0
   ),
  IF(sort=0,500,sort)
 )
)</f>
        <v>500</v>
      </c>
      <c r="I1088" s="49" t="str">
        <f t="array" ref="I1088">_xlfn.XLOOKUP(
 B1088,
 tblTargetStatus[TargetID],
 tblTargetStatus[Status],
 ""
)</f>
        <v>BLOCKED</v>
      </c>
      <c r="J1088" s="45" t="b">
        <v>0</v>
      </c>
    </row>
    <row r="1089" ht="14.25" hidden="1" customHeight="1">
      <c r="A1089" s="49" t="s">
        <v>2737</v>
      </c>
      <c r="B1089" s="49" t="str">
        <f>IFERROR(__xludf.DUMMYFUNCTION("REGEXREPLACE(
 REGEXREPLACE(A1089,""^cost\."",""""),
 ""\.[^.]+\.[^.]+$"",
 """"
)"),"collection.pantry_1@3")</f>
        <v>collection.pantry_1@3</v>
      </c>
      <c r="C1089" s="49" t="str">
        <f t="array" ref="C1089">_xlfn.XLOOKUP(
 B1089,
 tblTargets[TargetID],
 tblTargets[DisplayName],
 ""
)</f>
        <v>Pantry 1 Lv 3</v>
      </c>
      <c r="D1089" s="49" t="str">
        <f t="array" ref="D1089">_xlfn.XLOOKUP(
 B1089,
 tblTargets[TargetID],
 tblTargets[TargetType],
 ""
)</f>
        <v>COLLECTION</v>
      </c>
      <c r="E1089" s="49" t="s">
        <v>423</v>
      </c>
      <c r="F1089" s="49">
        <v>1.0</v>
      </c>
      <c r="G1089" s="49">
        <f t="array" ref="G1089">_xlfn.XLOOKUP(
 A1089,
 tblCost[RequirementID],
 tblCost[QuantityRequired],
 ""
)</f>
        <v>30</v>
      </c>
      <c r="H1089" s="49">
        <f t="array" ref="H1089">IF(
 OR(
  LEFT(B1089,15)="state.character",
  RIGHT(B1089,6)=".maxed"
 ),
 0,
 LET(
  sort,
   _xlfn.XLOOKUP(
    B1089,
    tblChecklist[TargetID],
    tblChecklist[PlayerSort],
    0
   ),
  IF(sort=0,500,sort)
 )
)</f>
        <v>500</v>
      </c>
      <c r="I1089" s="49" t="str">
        <f t="array" ref="I1089">_xlfn.XLOOKUP(
 B1089,
 tblTargetStatus[TargetID],
 tblTargetStatus[Status],
 ""
)</f>
        <v>BLOCKED</v>
      </c>
      <c r="J1089" s="45" t="b">
        <v>0</v>
      </c>
    </row>
    <row r="1090" ht="14.25" hidden="1" customHeight="1">
      <c r="A1090" s="49" t="s">
        <v>2738</v>
      </c>
      <c r="B1090" s="49" t="str">
        <f>IFERROR(__xludf.DUMMYFUNCTION("REGEXREPLACE(
 REGEXREPLACE(A1090,""^cost\."",""""),
 ""\.[^.]+\.[^.]+$"",
 """"
)"),"collection.pantry_1@3")</f>
        <v>collection.pantry_1@3</v>
      </c>
      <c r="C1090" s="49" t="str">
        <f t="array" ref="C1090">_xlfn.XLOOKUP(
 B1090,
 tblTargets[TargetID],
 tblTargets[DisplayName],
 ""
)</f>
        <v>Pantry 1 Lv 3</v>
      </c>
      <c r="D1090" s="49" t="str">
        <f t="array" ref="D1090">_xlfn.XLOOKUP(
 B1090,
 tblTargets[TargetID],
 tblTargets[TargetType],
 ""
)</f>
        <v>COLLECTION</v>
      </c>
      <c r="E1090" s="49" t="s">
        <v>701</v>
      </c>
      <c r="F1090" s="49">
        <v>1.0</v>
      </c>
      <c r="G1090" s="49">
        <f t="array" ref="G1090">_xlfn.XLOOKUP(
 A1090,
 tblCost[RequirementID],
 tblCost[QuantityRequired],
 ""
)</f>
        <v>120</v>
      </c>
      <c r="H1090" s="49">
        <f t="array" ref="H1090">IF(
 OR(
  LEFT(B1090,15)="state.character",
  RIGHT(B1090,6)=".maxed"
 ),
 0,
 LET(
  sort,
   _xlfn.XLOOKUP(
    B1090,
    tblChecklist[TargetID],
    tblChecklist[PlayerSort],
    0
   ),
  IF(sort=0,500,sort)
 )
)</f>
        <v>500</v>
      </c>
      <c r="I1090" s="49" t="str">
        <f t="array" ref="I1090">_xlfn.XLOOKUP(
 B1090,
 tblTargetStatus[TargetID],
 tblTargetStatus[Status],
 ""
)</f>
        <v>BLOCKED</v>
      </c>
      <c r="J1090" s="45" t="b">
        <v>0</v>
      </c>
    </row>
    <row r="1091" ht="14.25" hidden="1" customHeight="1">
      <c r="A1091" s="49" t="s">
        <v>2739</v>
      </c>
      <c r="B1091" s="49" t="str">
        <f>IFERROR(__xludf.DUMMYFUNCTION("REGEXREPLACE(
 REGEXREPLACE(A1091,""^cost\."",""""),
 ""\.[^.]+\.[^.]+$"",
 """"
)"),"collection.pantry_1@3")</f>
        <v>collection.pantry_1@3</v>
      </c>
      <c r="C1091" s="49" t="str">
        <f t="array" ref="C1091">_xlfn.XLOOKUP(
 B1091,
 tblTargets[TargetID],
 tblTargets[DisplayName],
 ""
)</f>
        <v>Pantry 1 Lv 3</v>
      </c>
      <c r="D1091" s="49" t="str">
        <f t="array" ref="D1091">_xlfn.XLOOKUP(
 B1091,
 tblTargets[TargetID],
 tblTargets[TargetType],
 ""
)</f>
        <v>COLLECTION</v>
      </c>
      <c r="E1091" s="49" t="s">
        <v>2714</v>
      </c>
      <c r="F1091" s="49">
        <v>1.0</v>
      </c>
      <c r="G1091" s="49">
        <f t="array" ref="G1091">_xlfn.XLOOKUP(
 A1091,
 tblCost[RequirementID],
 tblCost[QuantityRequired],
 ""
)</f>
        <v>30</v>
      </c>
      <c r="H1091" s="49">
        <f t="array" ref="H1091">IF(
 OR(
  LEFT(B1091,15)="state.character",
  RIGHT(B1091,6)=".maxed"
 ),
 0,
 LET(
  sort,
   _xlfn.XLOOKUP(
    B1091,
    tblChecklist[TargetID],
    tblChecklist[PlayerSort],
    0
   ),
  IF(sort=0,500,sort)
 )
)</f>
        <v>500</v>
      </c>
      <c r="I1091" s="49" t="str">
        <f t="array" ref="I1091">_xlfn.XLOOKUP(
 B1091,
 tblTargetStatus[TargetID],
 tblTargetStatus[Status],
 ""
)</f>
        <v>BLOCKED</v>
      </c>
      <c r="J1091" s="45" t="b">
        <v>0</v>
      </c>
    </row>
    <row r="1092" ht="14.25" hidden="1" customHeight="1">
      <c r="A1092" s="49" t="s">
        <v>2740</v>
      </c>
      <c r="B1092" s="49" t="str">
        <f>IFERROR(__xludf.DUMMYFUNCTION("REGEXREPLACE(
 REGEXREPLACE(A1092,""^cost\."",""""),
 ""\.[^.]+\.[^.]+$"",
 """"
)"),"collection.pantry_1@3")</f>
        <v>collection.pantry_1@3</v>
      </c>
      <c r="C1092" s="49" t="str">
        <f t="array" ref="C1092">_xlfn.XLOOKUP(
 B1092,
 tblTargets[TargetID],
 tblTargets[DisplayName],
 ""
)</f>
        <v>Pantry 1 Lv 3</v>
      </c>
      <c r="D1092" s="49" t="str">
        <f t="array" ref="D1092">_xlfn.XLOOKUP(
 B1092,
 tblTargets[TargetID],
 tblTargets[TargetType],
 ""
)</f>
        <v>COLLECTION</v>
      </c>
      <c r="E1092" s="49" t="s">
        <v>152</v>
      </c>
      <c r="F1092" s="49">
        <v>1.0</v>
      </c>
      <c r="G1092" s="49">
        <f t="array" ref="G1092">_xlfn.XLOOKUP(
 A1092,
 tblCost[RequirementID],
 tblCost[QuantityRequired],
 ""
)</f>
        <v>30</v>
      </c>
      <c r="H1092" s="49">
        <f t="array" ref="H1092">IF(
 OR(
  LEFT(B1092,15)="state.character",
  RIGHT(B1092,6)=".maxed"
 ),
 0,
 LET(
  sort,
   _xlfn.XLOOKUP(
    B1092,
    tblChecklist[TargetID],
    tblChecklist[PlayerSort],
    0
   ),
  IF(sort=0,500,sort)
 )
)</f>
        <v>500</v>
      </c>
      <c r="I1092" s="49" t="str">
        <f t="array" ref="I1092">_xlfn.XLOOKUP(
 B1092,
 tblTargetStatus[TargetID],
 tblTargetStatus[Status],
 ""
)</f>
        <v>BLOCKED</v>
      </c>
      <c r="J1092" s="45" t="b">
        <v>0</v>
      </c>
    </row>
    <row r="1093" ht="14.25" hidden="1" customHeight="1">
      <c r="A1093" s="49" t="s">
        <v>2741</v>
      </c>
      <c r="B1093" s="49" t="str">
        <f>IFERROR(__xludf.DUMMYFUNCTION("REGEXREPLACE(
 REGEXREPLACE(A1093,""^cost\."",""""),
 ""\.[^.]+\.[^.]+$"",
 """"
)"),"collection.pantry_1@3")</f>
        <v>collection.pantry_1@3</v>
      </c>
      <c r="C1093" s="49" t="str">
        <f t="array" ref="C1093">_xlfn.XLOOKUP(
 B1093,
 tblTargets[TargetID],
 tblTargets[DisplayName],
 ""
)</f>
        <v>Pantry 1 Lv 3</v>
      </c>
      <c r="D1093" s="49" t="str">
        <f t="array" ref="D1093">_xlfn.XLOOKUP(
 B1093,
 tblTargets[TargetID],
 tblTargets[TargetType],
 ""
)</f>
        <v>COLLECTION</v>
      </c>
      <c r="E1093" s="49" t="s">
        <v>443</v>
      </c>
      <c r="F1093" s="49">
        <v>1.0</v>
      </c>
      <c r="G1093" s="49">
        <f t="array" ref="G1093">_xlfn.XLOOKUP(
 A1093,
 tblCost[RequirementID],
 tblCost[QuantityRequired],
 ""
)</f>
        <v>15</v>
      </c>
      <c r="H1093" s="49">
        <f t="array" ref="H1093">IF(
 OR(
  LEFT(B1093,15)="state.character",
  RIGHT(B1093,6)=".maxed"
 ),
 0,
 LET(
  sort,
   _xlfn.XLOOKUP(
    B1093,
    tblChecklist[TargetID],
    tblChecklist[PlayerSort],
    0
   ),
  IF(sort=0,500,sort)
 )
)</f>
        <v>500</v>
      </c>
      <c r="I1093" s="49" t="str">
        <f t="array" ref="I1093">_xlfn.XLOOKUP(
 B1093,
 tblTargetStatus[TargetID],
 tblTargetStatus[Status],
 ""
)</f>
        <v>BLOCKED</v>
      </c>
      <c r="J1093" s="45" t="b">
        <v>0</v>
      </c>
    </row>
    <row r="1094" ht="14.25" hidden="1" customHeight="1">
      <c r="A1094" s="49" t="s">
        <v>2742</v>
      </c>
      <c r="B1094" s="49" t="str">
        <f>IFERROR(__xludf.DUMMYFUNCTION("REGEXREPLACE(
 REGEXREPLACE(A1094,""^cost\."",""""),
 ""\.[^.]+\.[^.]+$"",
 """"
)"),"collection.pantry_1@3")</f>
        <v>collection.pantry_1@3</v>
      </c>
      <c r="C1094" s="49" t="str">
        <f t="array" ref="C1094">_xlfn.XLOOKUP(
 B1094,
 tblTargets[TargetID],
 tblTargets[DisplayName],
 ""
)</f>
        <v>Pantry 1 Lv 3</v>
      </c>
      <c r="D1094" s="49" t="str">
        <f t="array" ref="D1094">_xlfn.XLOOKUP(
 B1094,
 tblTargets[TargetID],
 tblTargets[TargetType],
 ""
)</f>
        <v>COLLECTION</v>
      </c>
      <c r="E1094" s="49" t="s">
        <v>158</v>
      </c>
      <c r="F1094" s="49">
        <v>1.0</v>
      </c>
      <c r="G1094" s="49">
        <f t="array" ref="G1094">_xlfn.XLOOKUP(
 A1094,
 tblCost[RequirementID],
 tblCost[QuantityRequired],
 ""
)</f>
        <v>30</v>
      </c>
      <c r="H1094" s="49">
        <f t="array" ref="H1094">IF(
 OR(
  LEFT(B1094,15)="state.character",
  RIGHT(B1094,6)=".maxed"
 ),
 0,
 LET(
  sort,
   _xlfn.XLOOKUP(
    B1094,
    tblChecklist[TargetID],
    tblChecklist[PlayerSort],
    0
   ),
  IF(sort=0,500,sort)
 )
)</f>
        <v>500</v>
      </c>
      <c r="I1094" s="49" t="str">
        <f t="array" ref="I1094">_xlfn.XLOOKUP(
 B1094,
 tblTargetStatus[TargetID],
 tblTargetStatus[Status],
 ""
)</f>
        <v>BLOCKED</v>
      </c>
      <c r="J1094" s="45" t="b">
        <v>0</v>
      </c>
    </row>
    <row r="1095" ht="14.25" hidden="1" customHeight="1">
      <c r="A1095" s="49" t="s">
        <v>2743</v>
      </c>
      <c r="B1095" s="49" t="str">
        <f>IFERROR(__xludf.DUMMYFUNCTION("REGEXREPLACE(
 REGEXREPLACE(A1095,""^cost\."",""""),
 ""\.[^.]+\.[^.]+$"",
 """"
)"),"collection.pantry_1@3")</f>
        <v>collection.pantry_1@3</v>
      </c>
      <c r="C1095" s="49" t="str">
        <f t="array" ref="C1095">_xlfn.XLOOKUP(
 B1095,
 tblTargets[TargetID],
 tblTargets[DisplayName],
 ""
)</f>
        <v>Pantry 1 Lv 3</v>
      </c>
      <c r="D1095" s="49" t="str">
        <f t="array" ref="D1095">_xlfn.XLOOKUP(
 B1095,
 tblTargets[TargetID],
 tblTargets[TargetType],
 ""
)</f>
        <v>COLLECTION</v>
      </c>
      <c r="E1095" s="49" t="s">
        <v>2719</v>
      </c>
      <c r="F1095" s="49">
        <v>1.0</v>
      </c>
      <c r="G1095" s="49">
        <f t="array" ref="G1095">_xlfn.XLOOKUP(
 A1095,
 tblCost[RequirementID],
 tblCost[QuantityRequired],
 ""
)</f>
        <v>15</v>
      </c>
      <c r="H1095" s="49">
        <f t="array" ref="H1095">IF(
 OR(
  LEFT(B1095,15)="state.character",
  RIGHT(B1095,6)=".maxed"
 ),
 0,
 LET(
  sort,
   _xlfn.XLOOKUP(
    B1095,
    tblChecklist[TargetID],
    tblChecklist[PlayerSort],
    0
   ),
  IF(sort=0,500,sort)
 )
)</f>
        <v>500</v>
      </c>
      <c r="I1095" s="49" t="str">
        <f t="array" ref="I1095">_xlfn.XLOOKUP(
 B1095,
 tblTargetStatus[TargetID],
 tblTargetStatus[Status],
 ""
)</f>
        <v>BLOCKED</v>
      </c>
      <c r="J1095" s="45" t="b">
        <v>0</v>
      </c>
    </row>
    <row r="1096" ht="14.25" hidden="1" customHeight="1">
      <c r="A1096" s="49" t="s">
        <v>2744</v>
      </c>
      <c r="B1096" s="49" t="str">
        <f>IFERROR(__xludf.DUMMYFUNCTION("REGEXREPLACE(
 REGEXREPLACE(A1096,""^cost\."",""""),
 ""\.[^.]+\.[^.]+$"",
 """"
)"),"collection.pantry_1@4")</f>
        <v>collection.pantry_1@4</v>
      </c>
      <c r="C1096" s="49" t="str">
        <f t="array" ref="C1096">_xlfn.XLOOKUP(
 B1096,
 tblTargets[TargetID],
 tblTargets[DisplayName],
 ""
)</f>
        <v>Pantry 1 Lv 4</v>
      </c>
      <c r="D1096" s="49" t="str">
        <f t="array" ref="D1096">_xlfn.XLOOKUP(
 B1096,
 tblTargets[TargetID],
 tblTargets[TargetType],
 ""
)</f>
        <v>COLLECTION</v>
      </c>
      <c r="E1096" s="49" t="s">
        <v>2704</v>
      </c>
      <c r="F1096" s="49">
        <v>1.0</v>
      </c>
      <c r="G1096" s="49">
        <f t="array" ref="G1096">_xlfn.XLOOKUP(
 A1096,
 tblCost[RequirementID],
 tblCost[QuantityRequired],
 ""
)</f>
        <v>20</v>
      </c>
      <c r="H1096" s="49">
        <f t="array" ref="H1096">IF(
 OR(
  LEFT(B1096,15)="state.character",
  RIGHT(B1096,6)=".maxed"
 ),
 0,
 LET(
  sort,
   _xlfn.XLOOKUP(
    B1096,
    tblChecklist[TargetID],
    tblChecklist[PlayerSort],
    0
   ),
  IF(sort=0,500,sort)
 )
)</f>
        <v>500</v>
      </c>
      <c r="I1096" s="49" t="str">
        <f t="array" ref="I1096">_xlfn.XLOOKUP(
 B1096,
 tblTargetStatus[TargetID],
 tblTargetStatus[Status],
 ""
)</f>
        <v>BLOCKED</v>
      </c>
      <c r="J1096" s="45" t="b">
        <v>0</v>
      </c>
    </row>
    <row r="1097" ht="14.25" hidden="1" customHeight="1">
      <c r="A1097" s="49" t="s">
        <v>2745</v>
      </c>
      <c r="B1097" s="49" t="str">
        <f>IFERROR(__xludf.DUMMYFUNCTION("REGEXREPLACE(
 REGEXREPLACE(A1097,""^cost\."",""""),
 ""\.[^.]+\.[^.]+$"",
 """"
)"),"collection.pantry_1@4")</f>
        <v>collection.pantry_1@4</v>
      </c>
      <c r="C1097" s="49" t="str">
        <f t="array" ref="C1097">_xlfn.XLOOKUP(
 B1097,
 tblTargets[TargetID],
 tblTargets[DisplayName],
 ""
)</f>
        <v>Pantry 1 Lv 4</v>
      </c>
      <c r="D1097" s="49" t="str">
        <f t="array" ref="D1097">_xlfn.XLOOKUP(
 B1097,
 tblTargets[TargetID],
 tblTargets[TargetType],
 ""
)</f>
        <v>COLLECTION</v>
      </c>
      <c r="E1097" s="49" t="s">
        <v>367</v>
      </c>
      <c r="F1097" s="49">
        <v>1.0</v>
      </c>
      <c r="G1097" s="49">
        <f t="array" ref="G1097">_xlfn.XLOOKUP(
 A1097,
 tblCost[RequirementID],
 tblCost[QuantityRequired],
 ""
)</f>
        <v>40</v>
      </c>
      <c r="H1097" s="49">
        <f t="array" ref="H1097">IF(
 OR(
  LEFT(B1097,15)="state.character",
  RIGHT(B1097,6)=".maxed"
 ),
 0,
 LET(
  sort,
   _xlfn.XLOOKUP(
    B1097,
    tblChecklist[TargetID],
    tblChecklist[PlayerSort],
    0
   ),
  IF(sort=0,500,sort)
 )
)</f>
        <v>500</v>
      </c>
      <c r="I1097" s="49" t="str">
        <f t="array" ref="I1097">_xlfn.XLOOKUP(
 B1097,
 tblTargetStatus[TargetID],
 tblTargetStatus[Status],
 ""
)</f>
        <v>BLOCKED</v>
      </c>
      <c r="J1097" s="45" t="b">
        <v>0</v>
      </c>
    </row>
    <row r="1098" ht="14.25" hidden="1" customHeight="1">
      <c r="A1098" s="49" t="s">
        <v>2746</v>
      </c>
      <c r="B1098" s="49" t="str">
        <f>IFERROR(__xludf.DUMMYFUNCTION("REGEXREPLACE(
 REGEXREPLACE(A1098,""^cost\."",""""),
 ""\.[^.]+\.[^.]+$"",
 """"
)"),"collection.pantry_1@4")</f>
        <v>collection.pantry_1@4</v>
      </c>
      <c r="C1098" s="49" t="str">
        <f t="array" ref="C1098">_xlfn.XLOOKUP(
 B1098,
 tblTargets[TargetID],
 tblTargets[DisplayName],
 ""
)</f>
        <v>Pantry 1 Lv 4</v>
      </c>
      <c r="D1098" s="49" t="str">
        <f t="array" ref="D1098">_xlfn.XLOOKUP(
 B1098,
 tblTargets[TargetID],
 tblTargets[TargetType],
 ""
)</f>
        <v>COLLECTION</v>
      </c>
      <c r="E1098" s="49" t="s">
        <v>2707</v>
      </c>
      <c r="F1098" s="49">
        <v>1.0</v>
      </c>
      <c r="G1098" s="49">
        <f t="array" ref="G1098">_xlfn.XLOOKUP(
 A1098,
 tblCost[RequirementID],
 tblCost[QuantityRequired],
 ""
)</f>
        <v>40</v>
      </c>
      <c r="H1098" s="49">
        <f t="array" ref="H1098">IF(
 OR(
  LEFT(B1098,15)="state.character",
  RIGHT(B1098,6)=".maxed"
 ),
 0,
 LET(
  sort,
   _xlfn.XLOOKUP(
    B1098,
    tblChecklist[TargetID],
    tblChecklist[PlayerSort],
    0
   ),
  IF(sort=0,500,sort)
 )
)</f>
        <v>500</v>
      </c>
      <c r="I1098" s="49" t="str">
        <f t="array" ref="I1098">_xlfn.XLOOKUP(
 B1098,
 tblTargetStatus[TargetID],
 tblTargetStatus[Status],
 ""
)</f>
        <v>BLOCKED</v>
      </c>
      <c r="J1098" s="45" t="b">
        <v>0</v>
      </c>
    </row>
    <row r="1099" ht="14.25" hidden="1" customHeight="1">
      <c r="A1099" s="49" t="s">
        <v>2747</v>
      </c>
      <c r="B1099" s="49" t="str">
        <f>IFERROR(__xludf.DUMMYFUNCTION("REGEXREPLACE(
 REGEXREPLACE(A1099,""^cost\."",""""),
 ""\.[^.]+\.[^.]+$"",
 """"
)"),"collection.pantry_1@4")</f>
        <v>collection.pantry_1@4</v>
      </c>
      <c r="C1099" s="49" t="str">
        <f t="array" ref="C1099">_xlfn.XLOOKUP(
 B1099,
 tblTargets[TargetID],
 tblTargets[DisplayName],
 ""
)</f>
        <v>Pantry 1 Lv 4</v>
      </c>
      <c r="D1099" s="49" t="str">
        <f t="array" ref="D1099">_xlfn.XLOOKUP(
 B1099,
 tblTargets[TargetID],
 tblTargets[TargetType],
 ""
)</f>
        <v>COLLECTION</v>
      </c>
      <c r="E1099" s="49" t="s">
        <v>2709</v>
      </c>
      <c r="F1099" s="49">
        <v>1.0</v>
      </c>
      <c r="G1099" s="49">
        <f t="array" ref="G1099">_xlfn.XLOOKUP(
 A1099,
 tblCost[RequirementID],
 tblCost[QuantityRequired],
 ""
)</f>
        <v>160</v>
      </c>
      <c r="H1099" s="49">
        <f t="array" ref="H1099">IF(
 OR(
  LEFT(B1099,15)="state.character",
  RIGHT(B1099,6)=".maxed"
 ),
 0,
 LET(
  sort,
   _xlfn.XLOOKUP(
    B1099,
    tblChecklist[TargetID],
    tblChecklist[PlayerSort],
    0
   ),
  IF(sort=0,500,sort)
 )
)</f>
        <v>500</v>
      </c>
      <c r="I1099" s="49" t="str">
        <f t="array" ref="I1099">_xlfn.XLOOKUP(
 B1099,
 tblTargetStatus[TargetID],
 tblTargetStatus[Status],
 ""
)</f>
        <v>BLOCKED</v>
      </c>
      <c r="J1099" s="45" t="b">
        <v>0</v>
      </c>
    </row>
    <row r="1100" ht="14.25" hidden="1" customHeight="1">
      <c r="A1100" s="49" t="s">
        <v>2748</v>
      </c>
      <c r="B1100" s="49" t="str">
        <f>IFERROR(__xludf.DUMMYFUNCTION("REGEXREPLACE(
 REGEXREPLACE(A1100,""^cost\."",""""),
 ""\.[^.]+\.[^.]+$"",
 """"
)"),"collection.pantry_1@4")</f>
        <v>collection.pantry_1@4</v>
      </c>
      <c r="C1100" s="49" t="str">
        <f t="array" ref="C1100">_xlfn.XLOOKUP(
 B1100,
 tblTargets[TargetID],
 tblTargets[DisplayName],
 ""
)</f>
        <v>Pantry 1 Lv 4</v>
      </c>
      <c r="D1100" s="49" t="str">
        <f t="array" ref="D1100">_xlfn.XLOOKUP(
 B1100,
 tblTargets[TargetID],
 tblTargets[TargetType],
 ""
)</f>
        <v>COLLECTION</v>
      </c>
      <c r="E1100" s="49" t="s">
        <v>360</v>
      </c>
      <c r="F1100" s="49">
        <v>1.0</v>
      </c>
      <c r="G1100" s="49">
        <f t="array" ref="G1100">_xlfn.XLOOKUP(
 A1100,
 tblCost[RequirementID],
 tblCost[QuantityRequired],
 ""
)</f>
        <v>40</v>
      </c>
      <c r="H1100" s="49">
        <f t="array" ref="H1100">IF(
 OR(
  LEFT(B1100,15)="state.character",
  RIGHT(B1100,6)=".maxed"
 ),
 0,
 LET(
  sort,
   _xlfn.XLOOKUP(
    B1100,
    tblChecklist[TargetID],
    tblChecklist[PlayerSort],
    0
   ),
  IF(sort=0,500,sort)
 )
)</f>
        <v>500</v>
      </c>
      <c r="I1100" s="49" t="str">
        <f t="array" ref="I1100">_xlfn.XLOOKUP(
 B1100,
 tblTargetStatus[TargetID],
 tblTargetStatus[Status],
 ""
)</f>
        <v>BLOCKED</v>
      </c>
      <c r="J1100" s="45" t="b">
        <v>0</v>
      </c>
    </row>
    <row r="1101" ht="14.25" hidden="1" customHeight="1">
      <c r="A1101" s="49" t="s">
        <v>2749</v>
      </c>
      <c r="B1101" s="49" t="str">
        <f>IFERROR(__xludf.DUMMYFUNCTION("REGEXREPLACE(
 REGEXREPLACE(A1101,""^cost\."",""""),
 ""\.[^.]+\.[^.]+$"",
 """"
)"),"collection.pantry_1@4")</f>
        <v>collection.pantry_1@4</v>
      </c>
      <c r="C1101" s="49" t="str">
        <f t="array" ref="C1101">_xlfn.XLOOKUP(
 B1101,
 tblTargets[TargetID],
 tblTargets[DisplayName],
 ""
)</f>
        <v>Pantry 1 Lv 4</v>
      </c>
      <c r="D1101" s="49" t="str">
        <f t="array" ref="D1101">_xlfn.XLOOKUP(
 B1101,
 tblTargets[TargetID],
 tblTargets[TargetType],
 ""
)</f>
        <v>COLLECTION</v>
      </c>
      <c r="E1101" s="49" t="s">
        <v>423</v>
      </c>
      <c r="F1101" s="49">
        <v>1.0</v>
      </c>
      <c r="G1101" s="49">
        <f t="array" ref="G1101">_xlfn.XLOOKUP(
 A1101,
 tblCost[RequirementID],
 tblCost[QuantityRequired],
 ""
)</f>
        <v>40</v>
      </c>
      <c r="H1101" s="49">
        <f t="array" ref="H1101">IF(
 OR(
  LEFT(B1101,15)="state.character",
  RIGHT(B1101,6)=".maxed"
 ),
 0,
 LET(
  sort,
   _xlfn.XLOOKUP(
    B1101,
    tblChecklist[TargetID],
    tblChecklist[PlayerSort],
    0
   ),
  IF(sort=0,500,sort)
 )
)</f>
        <v>500</v>
      </c>
      <c r="I1101" s="49" t="str">
        <f t="array" ref="I1101">_xlfn.XLOOKUP(
 B1101,
 tblTargetStatus[TargetID],
 tblTargetStatus[Status],
 ""
)</f>
        <v>BLOCKED</v>
      </c>
      <c r="J1101" s="45" t="b">
        <v>0</v>
      </c>
    </row>
    <row r="1102" ht="14.25" hidden="1" customHeight="1">
      <c r="A1102" s="49" t="s">
        <v>2750</v>
      </c>
      <c r="B1102" s="49" t="str">
        <f>IFERROR(__xludf.DUMMYFUNCTION("REGEXREPLACE(
 REGEXREPLACE(A1102,""^cost\."",""""),
 ""\.[^.]+\.[^.]+$"",
 """"
)"),"collection.pantry_1@4")</f>
        <v>collection.pantry_1@4</v>
      </c>
      <c r="C1102" s="49" t="str">
        <f t="array" ref="C1102">_xlfn.XLOOKUP(
 B1102,
 tblTargets[TargetID],
 tblTargets[DisplayName],
 ""
)</f>
        <v>Pantry 1 Lv 4</v>
      </c>
      <c r="D1102" s="49" t="str">
        <f t="array" ref="D1102">_xlfn.XLOOKUP(
 B1102,
 tblTargets[TargetID],
 tblTargets[TargetType],
 ""
)</f>
        <v>COLLECTION</v>
      </c>
      <c r="E1102" s="49" t="s">
        <v>701</v>
      </c>
      <c r="F1102" s="49">
        <v>1.0</v>
      </c>
      <c r="G1102" s="49">
        <f t="array" ref="G1102">_xlfn.XLOOKUP(
 A1102,
 tblCost[RequirementID],
 tblCost[QuantityRequired],
 ""
)</f>
        <v>160</v>
      </c>
      <c r="H1102" s="49">
        <f t="array" ref="H1102">IF(
 OR(
  LEFT(B1102,15)="state.character",
  RIGHT(B1102,6)=".maxed"
 ),
 0,
 LET(
  sort,
   _xlfn.XLOOKUP(
    B1102,
    tblChecklist[TargetID],
    tblChecklist[PlayerSort],
    0
   ),
  IF(sort=0,500,sort)
 )
)</f>
        <v>500</v>
      </c>
      <c r="I1102" s="49" t="str">
        <f t="array" ref="I1102">_xlfn.XLOOKUP(
 B1102,
 tblTargetStatus[TargetID],
 tblTargetStatus[Status],
 ""
)</f>
        <v>BLOCKED</v>
      </c>
      <c r="J1102" s="45" t="b">
        <v>0</v>
      </c>
    </row>
    <row r="1103" ht="14.25" hidden="1" customHeight="1">
      <c r="A1103" s="49" t="s">
        <v>2751</v>
      </c>
      <c r="B1103" s="49" t="str">
        <f>IFERROR(__xludf.DUMMYFUNCTION("REGEXREPLACE(
 REGEXREPLACE(A1103,""^cost\."",""""),
 ""\.[^.]+\.[^.]+$"",
 """"
)"),"collection.pantry_1@4")</f>
        <v>collection.pantry_1@4</v>
      </c>
      <c r="C1103" s="49" t="str">
        <f t="array" ref="C1103">_xlfn.XLOOKUP(
 B1103,
 tblTargets[TargetID],
 tblTargets[DisplayName],
 ""
)</f>
        <v>Pantry 1 Lv 4</v>
      </c>
      <c r="D1103" s="49" t="str">
        <f t="array" ref="D1103">_xlfn.XLOOKUP(
 B1103,
 tblTargets[TargetID],
 tblTargets[TargetType],
 ""
)</f>
        <v>COLLECTION</v>
      </c>
      <c r="E1103" s="49" t="s">
        <v>2714</v>
      </c>
      <c r="F1103" s="49">
        <v>1.0</v>
      </c>
      <c r="G1103" s="49">
        <f t="array" ref="G1103">_xlfn.XLOOKUP(
 A1103,
 tblCost[RequirementID],
 tblCost[QuantityRequired],
 ""
)</f>
        <v>40</v>
      </c>
      <c r="H1103" s="49">
        <f t="array" ref="H1103">IF(
 OR(
  LEFT(B1103,15)="state.character",
  RIGHT(B1103,6)=".maxed"
 ),
 0,
 LET(
  sort,
   _xlfn.XLOOKUP(
    B1103,
    tblChecklist[TargetID],
    tblChecklist[PlayerSort],
    0
   ),
  IF(sort=0,500,sort)
 )
)</f>
        <v>500</v>
      </c>
      <c r="I1103" s="49" t="str">
        <f t="array" ref="I1103">_xlfn.XLOOKUP(
 B1103,
 tblTargetStatus[TargetID],
 tblTargetStatus[Status],
 ""
)</f>
        <v>BLOCKED</v>
      </c>
      <c r="J1103" s="45" t="b">
        <v>0</v>
      </c>
    </row>
    <row r="1104" ht="14.25" hidden="1" customHeight="1">
      <c r="A1104" s="49" t="s">
        <v>2752</v>
      </c>
      <c r="B1104" s="49" t="str">
        <f>IFERROR(__xludf.DUMMYFUNCTION("REGEXREPLACE(
 REGEXREPLACE(A1104,""^cost\."",""""),
 ""\.[^.]+\.[^.]+$"",
 """"
)"),"collection.pantry_1@4")</f>
        <v>collection.pantry_1@4</v>
      </c>
      <c r="C1104" s="49" t="str">
        <f t="array" ref="C1104">_xlfn.XLOOKUP(
 B1104,
 tblTargets[TargetID],
 tblTargets[DisplayName],
 ""
)</f>
        <v>Pantry 1 Lv 4</v>
      </c>
      <c r="D1104" s="49" t="str">
        <f t="array" ref="D1104">_xlfn.XLOOKUP(
 B1104,
 tblTargets[TargetID],
 tblTargets[TargetType],
 ""
)</f>
        <v>COLLECTION</v>
      </c>
      <c r="E1104" s="49" t="s">
        <v>152</v>
      </c>
      <c r="F1104" s="49">
        <v>1.0</v>
      </c>
      <c r="G1104" s="49">
        <f t="array" ref="G1104">_xlfn.XLOOKUP(
 A1104,
 tblCost[RequirementID],
 tblCost[QuantityRequired],
 ""
)</f>
        <v>40</v>
      </c>
      <c r="H1104" s="49">
        <f t="array" ref="H1104">IF(
 OR(
  LEFT(B1104,15)="state.character",
  RIGHT(B1104,6)=".maxed"
 ),
 0,
 LET(
  sort,
   _xlfn.XLOOKUP(
    B1104,
    tblChecklist[TargetID],
    tblChecklist[PlayerSort],
    0
   ),
  IF(sort=0,500,sort)
 )
)</f>
        <v>500</v>
      </c>
      <c r="I1104" s="49" t="str">
        <f t="array" ref="I1104">_xlfn.XLOOKUP(
 B1104,
 tblTargetStatus[TargetID],
 tblTargetStatus[Status],
 ""
)</f>
        <v>BLOCKED</v>
      </c>
      <c r="J1104" s="45" t="b">
        <v>0</v>
      </c>
    </row>
    <row r="1105" ht="14.25" hidden="1" customHeight="1">
      <c r="A1105" s="49" t="s">
        <v>2753</v>
      </c>
      <c r="B1105" s="49" t="str">
        <f>IFERROR(__xludf.DUMMYFUNCTION("REGEXREPLACE(
 REGEXREPLACE(A1105,""^cost\."",""""),
 ""\.[^.]+\.[^.]+$"",
 """"
)"),"collection.pantry_1@4")</f>
        <v>collection.pantry_1@4</v>
      </c>
      <c r="C1105" s="49" t="str">
        <f t="array" ref="C1105">_xlfn.XLOOKUP(
 B1105,
 tblTargets[TargetID],
 tblTargets[DisplayName],
 ""
)</f>
        <v>Pantry 1 Lv 4</v>
      </c>
      <c r="D1105" s="49" t="str">
        <f t="array" ref="D1105">_xlfn.XLOOKUP(
 B1105,
 tblTargets[TargetID],
 tblTargets[TargetType],
 ""
)</f>
        <v>COLLECTION</v>
      </c>
      <c r="E1105" s="49" t="s">
        <v>443</v>
      </c>
      <c r="F1105" s="49">
        <v>1.0</v>
      </c>
      <c r="G1105" s="49">
        <f t="array" ref="G1105">_xlfn.XLOOKUP(
 A1105,
 tblCost[RequirementID],
 tblCost[QuantityRequired],
 ""
)</f>
        <v>20</v>
      </c>
      <c r="H1105" s="49">
        <f t="array" ref="H1105">IF(
 OR(
  LEFT(B1105,15)="state.character",
  RIGHT(B1105,6)=".maxed"
 ),
 0,
 LET(
  sort,
   _xlfn.XLOOKUP(
    B1105,
    tblChecklist[TargetID],
    tblChecklist[PlayerSort],
    0
   ),
  IF(sort=0,500,sort)
 )
)</f>
        <v>500</v>
      </c>
      <c r="I1105" s="49" t="str">
        <f t="array" ref="I1105">_xlfn.XLOOKUP(
 B1105,
 tblTargetStatus[TargetID],
 tblTargetStatus[Status],
 ""
)</f>
        <v>BLOCKED</v>
      </c>
      <c r="J1105" s="45" t="b">
        <v>0</v>
      </c>
    </row>
    <row r="1106" ht="14.25" hidden="1" customHeight="1">
      <c r="A1106" s="49" t="s">
        <v>2754</v>
      </c>
      <c r="B1106" s="49" t="str">
        <f>IFERROR(__xludf.DUMMYFUNCTION("REGEXREPLACE(
 REGEXREPLACE(A1106,""^cost\."",""""),
 ""\.[^.]+\.[^.]+$"",
 """"
)"),"collection.pantry_1@4")</f>
        <v>collection.pantry_1@4</v>
      </c>
      <c r="C1106" s="49" t="str">
        <f t="array" ref="C1106">_xlfn.XLOOKUP(
 B1106,
 tblTargets[TargetID],
 tblTargets[DisplayName],
 ""
)</f>
        <v>Pantry 1 Lv 4</v>
      </c>
      <c r="D1106" s="49" t="str">
        <f t="array" ref="D1106">_xlfn.XLOOKUP(
 B1106,
 tblTargets[TargetID],
 tblTargets[TargetType],
 ""
)</f>
        <v>COLLECTION</v>
      </c>
      <c r="E1106" s="49" t="s">
        <v>158</v>
      </c>
      <c r="F1106" s="49">
        <v>1.0</v>
      </c>
      <c r="G1106" s="49">
        <f t="array" ref="G1106">_xlfn.XLOOKUP(
 A1106,
 tblCost[RequirementID],
 tblCost[QuantityRequired],
 ""
)</f>
        <v>40</v>
      </c>
      <c r="H1106" s="49">
        <f t="array" ref="H1106">IF(
 OR(
  LEFT(B1106,15)="state.character",
  RIGHT(B1106,6)=".maxed"
 ),
 0,
 LET(
  sort,
   _xlfn.XLOOKUP(
    B1106,
    tblChecklist[TargetID],
    tblChecklist[PlayerSort],
    0
   ),
  IF(sort=0,500,sort)
 )
)</f>
        <v>500</v>
      </c>
      <c r="I1106" s="49" t="str">
        <f t="array" ref="I1106">_xlfn.XLOOKUP(
 B1106,
 tblTargetStatus[TargetID],
 tblTargetStatus[Status],
 ""
)</f>
        <v>BLOCKED</v>
      </c>
      <c r="J1106" s="45" t="b">
        <v>0</v>
      </c>
    </row>
    <row r="1107" ht="14.25" hidden="1" customHeight="1">
      <c r="A1107" s="49" t="s">
        <v>2755</v>
      </c>
      <c r="B1107" s="49" t="str">
        <f>IFERROR(__xludf.DUMMYFUNCTION("REGEXREPLACE(
 REGEXREPLACE(A1107,""^cost\."",""""),
 ""\.[^.]+\.[^.]+$"",
 """"
)"),"collection.pantry_1@4")</f>
        <v>collection.pantry_1@4</v>
      </c>
      <c r="C1107" s="49" t="str">
        <f t="array" ref="C1107">_xlfn.XLOOKUP(
 B1107,
 tblTargets[TargetID],
 tblTargets[DisplayName],
 ""
)</f>
        <v>Pantry 1 Lv 4</v>
      </c>
      <c r="D1107" s="49" t="str">
        <f t="array" ref="D1107">_xlfn.XLOOKUP(
 B1107,
 tblTargets[TargetID],
 tblTargets[TargetType],
 ""
)</f>
        <v>COLLECTION</v>
      </c>
      <c r="E1107" s="49" t="s">
        <v>2719</v>
      </c>
      <c r="F1107" s="49">
        <v>1.0</v>
      </c>
      <c r="G1107" s="49">
        <f t="array" ref="G1107">_xlfn.XLOOKUP(
 A1107,
 tblCost[RequirementID],
 tblCost[QuantityRequired],
 ""
)</f>
        <v>20</v>
      </c>
      <c r="H1107" s="49">
        <f t="array" ref="H1107">IF(
 OR(
  LEFT(B1107,15)="state.character",
  RIGHT(B1107,6)=".maxed"
 ),
 0,
 LET(
  sort,
   _xlfn.XLOOKUP(
    B1107,
    tblChecklist[TargetID],
    tblChecklist[PlayerSort],
    0
   ),
  IF(sort=0,500,sort)
 )
)</f>
        <v>500</v>
      </c>
      <c r="I1107" s="49" t="str">
        <f t="array" ref="I1107">_xlfn.XLOOKUP(
 B1107,
 tblTargetStatus[TargetID],
 tblTargetStatus[Status],
 ""
)</f>
        <v>BLOCKED</v>
      </c>
      <c r="J1107" s="45" t="b">
        <v>0</v>
      </c>
    </row>
    <row r="1108" ht="14.25" hidden="1" customHeight="1">
      <c r="A1108" s="49" t="s">
        <v>2756</v>
      </c>
      <c r="B1108" s="49" t="str">
        <f>IFERROR(__xludf.DUMMYFUNCTION("REGEXREPLACE(
 REGEXREPLACE(A1108,""^cost\."",""""),
 ""\.[^.]+\.[^.]+$"",
 """"
)"),"collection.pantry_1@5")</f>
        <v>collection.pantry_1@5</v>
      </c>
      <c r="C1108" s="49" t="str">
        <f t="array" ref="C1108">_xlfn.XLOOKUP(
 B1108,
 tblTargets[TargetID],
 tblTargets[DisplayName],
 ""
)</f>
        <v>Pantry 1 Lv 5</v>
      </c>
      <c r="D1108" s="49" t="str">
        <f t="array" ref="D1108">_xlfn.XLOOKUP(
 B1108,
 tblTargets[TargetID],
 tblTargets[TargetType],
 ""
)</f>
        <v>COLLECTION</v>
      </c>
      <c r="E1108" s="49" t="s">
        <v>2704</v>
      </c>
      <c r="F1108" s="49">
        <v>1.0</v>
      </c>
      <c r="G1108" s="49">
        <f t="array" ref="G1108">_xlfn.XLOOKUP(
 A1108,
 tblCost[RequirementID],
 tblCost[QuantityRequired],
 ""
)</f>
        <v>25</v>
      </c>
      <c r="H1108" s="49">
        <f t="array" ref="H1108">IF(
 OR(
  LEFT(B1108,15)="state.character",
  RIGHT(B1108,6)=".maxed"
 ),
 0,
 LET(
  sort,
   _xlfn.XLOOKUP(
    B1108,
    tblChecklist[TargetID],
    tblChecklist[PlayerSort],
    0
   ),
  IF(sort=0,500,sort)
 )
)</f>
        <v>24</v>
      </c>
      <c r="I1108" s="49" t="str">
        <f t="array" ref="I1108">_xlfn.XLOOKUP(
 B1108,
 tblTargetStatus[TargetID],
 tblTargetStatus[Status],
 ""
)</f>
        <v>BLOCKED</v>
      </c>
      <c r="J1108" s="45" t="b">
        <v>0</v>
      </c>
    </row>
    <row r="1109" ht="14.25" hidden="1" customHeight="1">
      <c r="A1109" s="49" t="s">
        <v>2757</v>
      </c>
      <c r="B1109" s="49" t="str">
        <f>IFERROR(__xludf.DUMMYFUNCTION("REGEXREPLACE(
 REGEXREPLACE(A1109,""^cost\."",""""),
 ""\.[^.]+\.[^.]+$"",
 """"
)"),"collection.pantry_1@5")</f>
        <v>collection.pantry_1@5</v>
      </c>
      <c r="C1109" s="49" t="str">
        <f t="array" ref="C1109">_xlfn.XLOOKUP(
 B1109,
 tblTargets[TargetID],
 tblTargets[DisplayName],
 ""
)</f>
        <v>Pantry 1 Lv 5</v>
      </c>
      <c r="D1109" s="49" t="str">
        <f t="array" ref="D1109">_xlfn.XLOOKUP(
 B1109,
 tblTargets[TargetID],
 tblTargets[TargetType],
 ""
)</f>
        <v>COLLECTION</v>
      </c>
      <c r="E1109" s="49" t="s">
        <v>367</v>
      </c>
      <c r="F1109" s="49">
        <v>1.0</v>
      </c>
      <c r="G1109" s="49">
        <f t="array" ref="G1109">_xlfn.XLOOKUP(
 A1109,
 tblCost[RequirementID],
 tblCost[QuantityRequired],
 ""
)</f>
        <v>50</v>
      </c>
      <c r="H1109" s="49">
        <f t="array" ref="H1109">IF(
 OR(
  LEFT(B1109,15)="state.character",
  RIGHT(B1109,6)=".maxed"
 ),
 0,
 LET(
  sort,
   _xlfn.XLOOKUP(
    B1109,
    tblChecklist[TargetID],
    tblChecklist[PlayerSort],
    0
   ),
  IF(sort=0,500,sort)
 )
)</f>
        <v>24</v>
      </c>
      <c r="I1109" s="49" t="str">
        <f t="array" ref="I1109">_xlfn.XLOOKUP(
 B1109,
 tblTargetStatus[TargetID],
 tblTargetStatus[Status],
 ""
)</f>
        <v>BLOCKED</v>
      </c>
      <c r="J1109" s="45" t="b">
        <v>0</v>
      </c>
    </row>
    <row r="1110" ht="14.25" hidden="1" customHeight="1">
      <c r="A1110" s="49" t="s">
        <v>2758</v>
      </c>
      <c r="B1110" s="49" t="str">
        <f>IFERROR(__xludf.DUMMYFUNCTION("REGEXREPLACE(
 REGEXREPLACE(A1110,""^cost\."",""""),
 ""\.[^.]+\.[^.]+$"",
 """"
)"),"collection.pantry_1@5")</f>
        <v>collection.pantry_1@5</v>
      </c>
      <c r="C1110" s="49" t="str">
        <f t="array" ref="C1110">_xlfn.XLOOKUP(
 B1110,
 tblTargets[TargetID],
 tblTargets[DisplayName],
 ""
)</f>
        <v>Pantry 1 Lv 5</v>
      </c>
      <c r="D1110" s="49" t="str">
        <f t="array" ref="D1110">_xlfn.XLOOKUP(
 B1110,
 tblTargets[TargetID],
 tblTargets[TargetType],
 ""
)</f>
        <v>COLLECTION</v>
      </c>
      <c r="E1110" s="49" t="s">
        <v>2707</v>
      </c>
      <c r="F1110" s="49">
        <v>1.0</v>
      </c>
      <c r="G1110" s="49">
        <f t="array" ref="G1110">_xlfn.XLOOKUP(
 A1110,
 tblCost[RequirementID],
 tblCost[QuantityRequired],
 ""
)</f>
        <v>50</v>
      </c>
      <c r="H1110" s="49">
        <f t="array" ref="H1110">IF(
 OR(
  LEFT(B1110,15)="state.character",
  RIGHT(B1110,6)=".maxed"
 ),
 0,
 LET(
  sort,
   _xlfn.XLOOKUP(
    B1110,
    tblChecklist[TargetID],
    tblChecklist[PlayerSort],
    0
   ),
  IF(sort=0,500,sort)
 )
)</f>
        <v>24</v>
      </c>
      <c r="I1110" s="49" t="str">
        <f t="array" ref="I1110">_xlfn.XLOOKUP(
 B1110,
 tblTargetStatus[TargetID],
 tblTargetStatus[Status],
 ""
)</f>
        <v>BLOCKED</v>
      </c>
      <c r="J1110" s="45" t="b">
        <v>0</v>
      </c>
    </row>
    <row r="1111" ht="14.25" hidden="1" customHeight="1">
      <c r="A1111" s="49" t="s">
        <v>2759</v>
      </c>
      <c r="B1111" s="49" t="str">
        <f>IFERROR(__xludf.DUMMYFUNCTION("REGEXREPLACE(
 REGEXREPLACE(A1111,""^cost\."",""""),
 ""\.[^.]+\.[^.]+$"",
 """"
)"),"collection.pantry_1@5")</f>
        <v>collection.pantry_1@5</v>
      </c>
      <c r="C1111" s="49" t="str">
        <f t="array" ref="C1111">_xlfn.XLOOKUP(
 B1111,
 tblTargets[TargetID],
 tblTargets[DisplayName],
 ""
)</f>
        <v>Pantry 1 Lv 5</v>
      </c>
      <c r="D1111" s="49" t="str">
        <f t="array" ref="D1111">_xlfn.XLOOKUP(
 B1111,
 tblTargets[TargetID],
 tblTargets[TargetType],
 ""
)</f>
        <v>COLLECTION</v>
      </c>
      <c r="E1111" s="49" t="s">
        <v>2709</v>
      </c>
      <c r="F1111" s="49">
        <v>1.0</v>
      </c>
      <c r="G1111" s="49">
        <f t="array" ref="G1111">_xlfn.XLOOKUP(
 A1111,
 tblCost[RequirementID],
 tblCost[QuantityRequired],
 ""
)</f>
        <v>200</v>
      </c>
      <c r="H1111" s="49">
        <f t="array" ref="H1111">IF(
 OR(
  LEFT(B1111,15)="state.character",
  RIGHT(B1111,6)=".maxed"
 ),
 0,
 LET(
  sort,
   _xlfn.XLOOKUP(
    B1111,
    tblChecklist[TargetID],
    tblChecklist[PlayerSort],
    0
   ),
  IF(sort=0,500,sort)
 )
)</f>
        <v>24</v>
      </c>
      <c r="I1111" s="49" t="str">
        <f t="array" ref="I1111">_xlfn.XLOOKUP(
 B1111,
 tblTargetStatus[TargetID],
 tblTargetStatus[Status],
 ""
)</f>
        <v>BLOCKED</v>
      </c>
      <c r="J1111" s="45" t="b">
        <v>0</v>
      </c>
    </row>
    <row r="1112" ht="14.25" hidden="1" customHeight="1">
      <c r="A1112" s="49" t="s">
        <v>2760</v>
      </c>
      <c r="B1112" s="49" t="str">
        <f>IFERROR(__xludf.DUMMYFUNCTION("REGEXREPLACE(
 REGEXREPLACE(A1112,""^cost\."",""""),
 ""\.[^.]+\.[^.]+$"",
 """"
)"),"collection.pantry_1@5")</f>
        <v>collection.pantry_1@5</v>
      </c>
      <c r="C1112" s="49" t="str">
        <f t="array" ref="C1112">_xlfn.XLOOKUP(
 B1112,
 tblTargets[TargetID],
 tblTargets[DisplayName],
 ""
)</f>
        <v>Pantry 1 Lv 5</v>
      </c>
      <c r="D1112" s="49" t="str">
        <f t="array" ref="D1112">_xlfn.XLOOKUP(
 B1112,
 tblTargets[TargetID],
 tblTargets[TargetType],
 ""
)</f>
        <v>COLLECTION</v>
      </c>
      <c r="E1112" s="49" t="s">
        <v>360</v>
      </c>
      <c r="F1112" s="49">
        <v>1.0</v>
      </c>
      <c r="G1112" s="49">
        <f t="array" ref="G1112">_xlfn.XLOOKUP(
 A1112,
 tblCost[RequirementID],
 tblCost[QuantityRequired],
 ""
)</f>
        <v>50</v>
      </c>
      <c r="H1112" s="49">
        <f t="array" ref="H1112">IF(
 OR(
  LEFT(B1112,15)="state.character",
  RIGHT(B1112,6)=".maxed"
 ),
 0,
 LET(
  sort,
   _xlfn.XLOOKUP(
    B1112,
    tblChecklist[TargetID],
    tblChecklist[PlayerSort],
    0
   ),
  IF(sort=0,500,sort)
 )
)</f>
        <v>24</v>
      </c>
      <c r="I1112" s="49" t="str">
        <f t="array" ref="I1112">_xlfn.XLOOKUP(
 B1112,
 tblTargetStatus[TargetID],
 tblTargetStatus[Status],
 ""
)</f>
        <v>BLOCKED</v>
      </c>
      <c r="J1112" s="45" t="b">
        <v>0</v>
      </c>
    </row>
    <row r="1113" ht="14.25" hidden="1" customHeight="1">
      <c r="A1113" s="49" t="s">
        <v>2761</v>
      </c>
      <c r="B1113" s="49" t="str">
        <f>IFERROR(__xludf.DUMMYFUNCTION("REGEXREPLACE(
 REGEXREPLACE(A1113,""^cost\."",""""),
 ""\.[^.]+\.[^.]+$"",
 """"
)"),"collection.pantry_1@5")</f>
        <v>collection.pantry_1@5</v>
      </c>
      <c r="C1113" s="49" t="str">
        <f t="array" ref="C1113">_xlfn.XLOOKUP(
 B1113,
 tblTargets[TargetID],
 tblTargets[DisplayName],
 ""
)</f>
        <v>Pantry 1 Lv 5</v>
      </c>
      <c r="D1113" s="49" t="str">
        <f t="array" ref="D1113">_xlfn.XLOOKUP(
 B1113,
 tblTargets[TargetID],
 tblTargets[TargetType],
 ""
)</f>
        <v>COLLECTION</v>
      </c>
      <c r="E1113" s="49" t="s">
        <v>423</v>
      </c>
      <c r="F1113" s="49">
        <v>1.0</v>
      </c>
      <c r="G1113" s="49">
        <f t="array" ref="G1113">_xlfn.XLOOKUP(
 A1113,
 tblCost[RequirementID],
 tblCost[QuantityRequired],
 ""
)</f>
        <v>50</v>
      </c>
      <c r="H1113" s="49">
        <f t="array" ref="H1113">IF(
 OR(
  LEFT(B1113,15)="state.character",
  RIGHT(B1113,6)=".maxed"
 ),
 0,
 LET(
  sort,
   _xlfn.XLOOKUP(
    B1113,
    tblChecklist[TargetID],
    tblChecklist[PlayerSort],
    0
   ),
  IF(sort=0,500,sort)
 )
)</f>
        <v>24</v>
      </c>
      <c r="I1113" s="49" t="str">
        <f t="array" ref="I1113">_xlfn.XLOOKUP(
 B1113,
 tblTargetStatus[TargetID],
 tblTargetStatus[Status],
 ""
)</f>
        <v>BLOCKED</v>
      </c>
      <c r="J1113" s="45" t="b">
        <v>0</v>
      </c>
    </row>
    <row r="1114" ht="14.25" hidden="1" customHeight="1">
      <c r="A1114" s="49" t="s">
        <v>2762</v>
      </c>
      <c r="B1114" s="49" t="str">
        <f>IFERROR(__xludf.DUMMYFUNCTION("REGEXREPLACE(
 REGEXREPLACE(A1114,""^cost\."",""""),
 ""\.[^.]+\.[^.]+$"",
 """"
)"),"collection.pantry_1@5")</f>
        <v>collection.pantry_1@5</v>
      </c>
      <c r="C1114" s="49" t="str">
        <f t="array" ref="C1114">_xlfn.XLOOKUP(
 B1114,
 tblTargets[TargetID],
 tblTargets[DisplayName],
 ""
)</f>
        <v>Pantry 1 Lv 5</v>
      </c>
      <c r="D1114" s="49" t="str">
        <f t="array" ref="D1114">_xlfn.XLOOKUP(
 B1114,
 tblTargets[TargetID],
 tblTargets[TargetType],
 ""
)</f>
        <v>COLLECTION</v>
      </c>
      <c r="E1114" s="49" t="s">
        <v>701</v>
      </c>
      <c r="F1114" s="49">
        <v>1.0</v>
      </c>
      <c r="G1114" s="49">
        <f t="array" ref="G1114">_xlfn.XLOOKUP(
 A1114,
 tblCost[RequirementID],
 tblCost[QuantityRequired],
 ""
)</f>
        <v>200</v>
      </c>
      <c r="H1114" s="49">
        <f t="array" ref="H1114">IF(
 OR(
  LEFT(B1114,15)="state.character",
  RIGHT(B1114,6)=".maxed"
 ),
 0,
 LET(
  sort,
   _xlfn.XLOOKUP(
    B1114,
    tblChecklist[TargetID],
    tblChecklist[PlayerSort],
    0
   ),
  IF(sort=0,500,sort)
 )
)</f>
        <v>24</v>
      </c>
      <c r="I1114" s="49" t="str">
        <f t="array" ref="I1114">_xlfn.XLOOKUP(
 B1114,
 tblTargetStatus[TargetID],
 tblTargetStatus[Status],
 ""
)</f>
        <v>BLOCKED</v>
      </c>
      <c r="J1114" s="45" t="b">
        <v>0</v>
      </c>
    </row>
    <row r="1115" ht="14.25" hidden="1" customHeight="1">
      <c r="A1115" s="49" t="s">
        <v>2763</v>
      </c>
      <c r="B1115" s="49" t="str">
        <f>IFERROR(__xludf.DUMMYFUNCTION("REGEXREPLACE(
 REGEXREPLACE(A1115,""^cost\."",""""),
 ""\.[^.]+\.[^.]+$"",
 """"
)"),"collection.pantry_1@5")</f>
        <v>collection.pantry_1@5</v>
      </c>
      <c r="C1115" s="49" t="str">
        <f t="array" ref="C1115">_xlfn.XLOOKUP(
 B1115,
 tblTargets[TargetID],
 tblTargets[DisplayName],
 ""
)</f>
        <v>Pantry 1 Lv 5</v>
      </c>
      <c r="D1115" s="49" t="str">
        <f t="array" ref="D1115">_xlfn.XLOOKUP(
 B1115,
 tblTargets[TargetID],
 tblTargets[TargetType],
 ""
)</f>
        <v>COLLECTION</v>
      </c>
      <c r="E1115" s="49" t="s">
        <v>2714</v>
      </c>
      <c r="F1115" s="49">
        <v>1.0</v>
      </c>
      <c r="G1115" s="49">
        <f t="array" ref="G1115">_xlfn.XLOOKUP(
 A1115,
 tblCost[RequirementID],
 tblCost[QuantityRequired],
 ""
)</f>
        <v>50</v>
      </c>
      <c r="H1115" s="49">
        <f t="array" ref="H1115">IF(
 OR(
  LEFT(B1115,15)="state.character",
  RIGHT(B1115,6)=".maxed"
 ),
 0,
 LET(
  sort,
   _xlfn.XLOOKUP(
    B1115,
    tblChecklist[TargetID],
    tblChecklist[PlayerSort],
    0
   ),
  IF(sort=0,500,sort)
 )
)</f>
        <v>24</v>
      </c>
      <c r="I1115" s="49" t="str">
        <f t="array" ref="I1115">_xlfn.XLOOKUP(
 B1115,
 tblTargetStatus[TargetID],
 tblTargetStatus[Status],
 ""
)</f>
        <v>BLOCKED</v>
      </c>
      <c r="J1115" s="45" t="b">
        <v>0</v>
      </c>
    </row>
    <row r="1116" ht="14.25" hidden="1" customHeight="1">
      <c r="A1116" s="49" t="s">
        <v>2764</v>
      </c>
      <c r="B1116" s="49" t="str">
        <f>IFERROR(__xludf.DUMMYFUNCTION("REGEXREPLACE(
 REGEXREPLACE(A1116,""^cost\."",""""),
 ""\.[^.]+\.[^.]+$"",
 """"
)"),"collection.pantry_1@5")</f>
        <v>collection.pantry_1@5</v>
      </c>
      <c r="C1116" s="49" t="str">
        <f t="array" ref="C1116">_xlfn.XLOOKUP(
 B1116,
 tblTargets[TargetID],
 tblTargets[DisplayName],
 ""
)</f>
        <v>Pantry 1 Lv 5</v>
      </c>
      <c r="D1116" s="49" t="str">
        <f t="array" ref="D1116">_xlfn.XLOOKUP(
 B1116,
 tblTargets[TargetID],
 tblTargets[TargetType],
 ""
)</f>
        <v>COLLECTION</v>
      </c>
      <c r="E1116" s="49" t="s">
        <v>152</v>
      </c>
      <c r="F1116" s="49">
        <v>1.0</v>
      </c>
      <c r="G1116" s="49">
        <f t="array" ref="G1116">_xlfn.XLOOKUP(
 A1116,
 tblCost[RequirementID],
 tblCost[QuantityRequired],
 ""
)</f>
        <v>50</v>
      </c>
      <c r="H1116" s="49">
        <f t="array" ref="H1116">IF(
 OR(
  LEFT(B1116,15)="state.character",
  RIGHT(B1116,6)=".maxed"
 ),
 0,
 LET(
  sort,
   _xlfn.XLOOKUP(
    B1116,
    tblChecklist[TargetID],
    tblChecklist[PlayerSort],
    0
   ),
  IF(sort=0,500,sort)
 )
)</f>
        <v>24</v>
      </c>
      <c r="I1116" s="49" t="str">
        <f t="array" ref="I1116">_xlfn.XLOOKUP(
 B1116,
 tblTargetStatus[TargetID],
 tblTargetStatus[Status],
 ""
)</f>
        <v>BLOCKED</v>
      </c>
      <c r="J1116" s="45" t="b">
        <v>0</v>
      </c>
    </row>
    <row r="1117" ht="14.25" hidden="1" customHeight="1">
      <c r="A1117" s="49" t="s">
        <v>2765</v>
      </c>
      <c r="B1117" s="49" t="str">
        <f>IFERROR(__xludf.DUMMYFUNCTION("REGEXREPLACE(
 REGEXREPLACE(A1117,""^cost\."",""""),
 ""\.[^.]+\.[^.]+$"",
 """"
)"),"collection.pantry_1@5")</f>
        <v>collection.pantry_1@5</v>
      </c>
      <c r="C1117" s="49" t="str">
        <f t="array" ref="C1117">_xlfn.XLOOKUP(
 B1117,
 tblTargets[TargetID],
 tblTargets[DisplayName],
 ""
)</f>
        <v>Pantry 1 Lv 5</v>
      </c>
      <c r="D1117" s="49" t="str">
        <f t="array" ref="D1117">_xlfn.XLOOKUP(
 B1117,
 tblTargets[TargetID],
 tblTargets[TargetType],
 ""
)</f>
        <v>COLLECTION</v>
      </c>
      <c r="E1117" s="49" t="s">
        <v>443</v>
      </c>
      <c r="F1117" s="49">
        <v>1.0</v>
      </c>
      <c r="G1117" s="49">
        <f t="array" ref="G1117">_xlfn.XLOOKUP(
 A1117,
 tblCost[RequirementID],
 tblCost[QuantityRequired],
 ""
)</f>
        <v>25</v>
      </c>
      <c r="H1117" s="49">
        <f t="array" ref="H1117">IF(
 OR(
  LEFT(B1117,15)="state.character",
  RIGHT(B1117,6)=".maxed"
 ),
 0,
 LET(
  sort,
   _xlfn.XLOOKUP(
    B1117,
    tblChecklist[TargetID],
    tblChecklist[PlayerSort],
    0
   ),
  IF(sort=0,500,sort)
 )
)</f>
        <v>24</v>
      </c>
      <c r="I1117" s="49" t="str">
        <f t="array" ref="I1117">_xlfn.XLOOKUP(
 B1117,
 tblTargetStatus[TargetID],
 tblTargetStatus[Status],
 ""
)</f>
        <v>BLOCKED</v>
      </c>
      <c r="J1117" s="45" t="b">
        <v>0</v>
      </c>
    </row>
    <row r="1118" ht="14.25" hidden="1" customHeight="1">
      <c r="A1118" s="49" t="s">
        <v>2766</v>
      </c>
      <c r="B1118" s="49" t="str">
        <f>IFERROR(__xludf.DUMMYFUNCTION("REGEXREPLACE(
 REGEXREPLACE(A1118,""^cost\."",""""),
 ""\.[^.]+\.[^.]+$"",
 """"
)"),"collection.pantry_1@5")</f>
        <v>collection.pantry_1@5</v>
      </c>
      <c r="C1118" s="49" t="str">
        <f t="array" ref="C1118">_xlfn.XLOOKUP(
 B1118,
 tblTargets[TargetID],
 tblTargets[DisplayName],
 ""
)</f>
        <v>Pantry 1 Lv 5</v>
      </c>
      <c r="D1118" s="49" t="str">
        <f t="array" ref="D1118">_xlfn.XLOOKUP(
 B1118,
 tblTargets[TargetID],
 tblTargets[TargetType],
 ""
)</f>
        <v>COLLECTION</v>
      </c>
      <c r="E1118" s="49" t="s">
        <v>158</v>
      </c>
      <c r="F1118" s="49">
        <v>1.0</v>
      </c>
      <c r="G1118" s="49">
        <f t="array" ref="G1118">_xlfn.XLOOKUP(
 A1118,
 tblCost[RequirementID],
 tblCost[QuantityRequired],
 ""
)</f>
        <v>50</v>
      </c>
      <c r="H1118" s="49">
        <f t="array" ref="H1118">IF(
 OR(
  LEFT(B1118,15)="state.character",
  RIGHT(B1118,6)=".maxed"
 ),
 0,
 LET(
  sort,
   _xlfn.XLOOKUP(
    B1118,
    tblChecklist[TargetID],
    tblChecklist[PlayerSort],
    0
   ),
  IF(sort=0,500,sort)
 )
)</f>
        <v>24</v>
      </c>
      <c r="I1118" s="49" t="str">
        <f t="array" ref="I1118">_xlfn.XLOOKUP(
 B1118,
 tblTargetStatus[TargetID],
 tblTargetStatus[Status],
 ""
)</f>
        <v>BLOCKED</v>
      </c>
      <c r="J1118" s="45" t="b">
        <v>0</v>
      </c>
    </row>
    <row r="1119" ht="14.25" hidden="1" customHeight="1">
      <c r="A1119" s="49" t="s">
        <v>2767</v>
      </c>
      <c r="B1119" s="49" t="str">
        <f>IFERROR(__xludf.DUMMYFUNCTION("REGEXREPLACE(
 REGEXREPLACE(A1119,""^cost\."",""""),
 ""\.[^.]+\.[^.]+$"",
 """"
)"),"collection.pantry_1@5")</f>
        <v>collection.pantry_1@5</v>
      </c>
      <c r="C1119" s="49" t="str">
        <f t="array" ref="C1119">_xlfn.XLOOKUP(
 B1119,
 tblTargets[TargetID],
 tblTargets[DisplayName],
 ""
)</f>
        <v>Pantry 1 Lv 5</v>
      </c>
      <c r="D1119" s="49" t="str">
        <f t="array" ref="D1119">_xlfn.XLOOKUP(
 B1119,
 tblTargets[TargetID],
 tblTargets[TargetType],
 ""
)</f>
        <v>COLLECTION</v>
      </c>
      <c r="E1119" s="49" t="s">
        <v>2719</v>
      </c>
      <c r="F1119" s="49">
        <v>1.0</v>
      </c>
      <c r="G1119" s="49">
        <f t="array" ref="G1119">_xlfn.XLOOKUP(
 A1119,
 tblCost[RequirementID],
 tblCost[QuantityRequired],
 ""
)</f>
        <v>25</v>
      </c>
      <c r="H1119" s="49">
        <f t="array" ref="H1119">IF(
 OR(
  LEFT(B1119,15)="state.character",
  RIGHT(B1119,6)=".maxed"
 ),
 0,
 LET(
  sort,
   _xlfn.XLOOKUP(
    B1119,
    tblChecklist[TargetID],
    tblChecklist[PlayerSort],
    0
   ),
  IF(sort=0,500,sort)
 )
)</f>
        <v>24</v>
      </c>
      <c r="I1119" s="49" t="str">
        <f t="array" ref="I1119">_xlfn.XLOOKUP(
 B1119,
 tblTargetStatus[TargetID],
 tblTargetStatus[Status],
 ""
)</f>
        <v>BLOCKED</v>
      </c>
      <c r="J1119" s="45" t="b">
        <v>0</v>
      </c>
    </row>
    <row r="1120" ht="14.25" hidden="1" customHeight="1">
      <c r="A1120" s="49" t="s">
        <v>2768</v>
      </c>
      <c r="B1120" s="49" t="str">
        <f>IFERROR(__xludf.DUMMYFUNCTION("REGEXREPLACE(
 REGEXREPLACE(A1120,""^cost\."",""""),
 ""\.[^.]+\.[^.]+$"",
 """"
)"),"collection.pantry_2@1")</f>
        <v>collection.pantry_2@1</v>
      </c>
      <c r="C1120" s="49" t="str">
        <f t="array" ref="C1120">_xlfn.XLOOKUP(
 B1120,
 tblTargets[TargetID],
 tblTargets[DisplayName],
 ""
)</f>
        <v>Pantry 2 Lv 1</v>
      </c>
      <c r="D1120" s="49" t="str">
        <f t="array" ref="D1120">_xlfn.XLOOKUP(
 B1120,
 tblTargets[TargetID],
 tblTargets[TargetType],
 ""
)</f>
        <v>COLLECTION</v>
      </c>
      <c r="E1120" s="49" t="s">
        <v>187</v>
      </c>
      <c r="F1120" s="49">
        <v>1.0</v>
      </c>
      <c r="G1120" s="49">
        <f t="array" ref="G1120">_xlfn.XLOOKUP(
 A1120,
 tblCost[RequirementID],
 tblCost[QuantityRequired],
 ""
)</f>
        <v>100</v>
      </c>
      <c r="H1120" s="49">
        <f t="array" ref="H1120">IF(
 OR(
  LEFT(B1120,15)="state.character",
  RIGHT(B1120,6)=".maxed"
 ),
 0,
 LET(
  sort,
   _xlfn.XLOOKUP(
    B1120,
    tblChecklist[TargetID],
    tblChecklist[PlayerSort],
    0
   ),
  IF(sort=0,500,sort)
 )
)</f>
        <v>500</v>
      </c>
      <c r="I1120" s="49" t="str">
        <f t="array" ref="I1120">_xlfn.XLOOKUP(
 B1120,
 tblTargetStatus[TargetID],
 tblTargetStatus[Status],
 ""
)</f>
        <v>BLOCKED</v>
      </c>
      <c r="J1120" s="45" t="b">
        <v>0</v>
      </c>
    </row>
    <row r="1121" ht="14.25" hidden="1" customHeight="1">
      <c r="A1121" s="49" t="s">
        <v>2769</v>
      </c>
      <c r="B1121" s="49" t="str">
        <f>IFERROR(__xludf.DUMMYFUNCTION("REGEXREPLACE(
 REGEXREPLACE(A1121,""^cost\."",""""),
 ""\.[^.]+\.[^.]+$"",
 """"
)"),"collection.pantry_2@1")</f>
        <v>collection.pantry_2@1</v>
      </c>
      <c r="C1121" s="49" t="str">
        <f t="array" ref="C1121">_xlfn.XLOOKUP(
 B1121,
 tblTargets[TargetID],
 tblTargets[DisplayName],
 ""
)</f>
        <v>Pantry 2 Lv 1</v>
      </c>
      <c r="D1121" s="49" t="str">
        <f t="array" ref="D1121">_xlfn.XLOOKUP(
 B1121,
 tblTargets[TargetID],
 tblTargets[TargetType],
 ""
)</f>
        <v>COLLECTION</v>
      </c>
      <c r="E1121" s="49" t="s">
        <v>187</v>
      </c>
      <c r="F1121" s="49">
        <v>2.0</v>
      </c>
      <c r="G1121" s="49">
        <f t="array" ref="G1121">_xlfn.XLOOKUP(
 A1121,
 tblCost[RequirementID],
 tblCost[QuantityRequired],
 ""
)</f>
        <v>100</v>
      </c>
      <c r="H1121" s="49">
        <f t="array" ref="H1121">IF(
 OR(
  LEFT(B1121,15)="state.character",
  RIGHT(B1121,6)=".maxed"
 ),
 0,
 LET(
  sort,
   _xlfn.XLOOKUP(
    B1121,
    tblChecklist[TargetID],
    tblChecklist[PlayerSort],
    0
   ),
  IF(sort=0,500,sort)
 )
)</f>
        <v>500</v>
      </c>
      <c r="I1121" s="49" t="str">
        <f t="array" ref="I1121">_xlfn.XLOOKUP(
 B1121,
 tblTargetStatus[TargetID],
 tblTargetStatus[Status],
 ""
)</f>
        <v>BLOCKED</v>
      </c>
      <c r="J1121" s="45" t="b">
        <v>0</v>
      </c>
    </row>
    <row r="1122" ht="14.25" hidden="1" customHeight="1">
      <c r="A1122" s="49" t="s">
        <v>2770</v>
      </c>
      <c r="B1122" s="49" t="str">
        <f>IFERROR(__xludf.DUMMYFUNCTION("REGEXREPLACE(
 REGEXREPLACE(A1122,""^cost\."",""""),
 ""\.[^.]+\.[^.]+$"",
 """"
)"),"collection.pantry_2@1")</f>
        <v>collection.pantry_2@1</v>
      </c>
      <c r="C1122" s="49" t="str">
        <f t="array" ref="C1122">_xlfn.XLOOKUP(
 B1122,
 tblTargets[TargetID],
 tblTargets[DisplayName],
 ""
)</f>
        <v>Pantry 2 Lv 1</v>
      </c>
      <c r="D1122" s="49" t="str">
        <f t="array" ref="D1122">_xlfn.XLOOKUP(
 B1122,
 tblTargets[TargetID],
 tblTargets[TargetType],
 ""
)</f>
        <v>COLLECTION</v>
      </c>
      <c r="E1122" s="49" t="s">
        <v>392</v>
      </c>
      <c r="F1122" s="49">
        <v>1.0</v>
      </c>
      <c r="G1122" s="49">
        <f t="array" ref="G1122">_xlfn.XLOOKUP(
 A1122,
 tblCost[RequirementID],
 tblCost[QuantityRequired],
 ""
)</f>
        <v>100</v>
      </c>
      <c r="H1122" s="49">
        <f t="array" ref="H1122">IF(
 OR(
  LEFT(B1122,15)="state.character",
  RIGHT(B1122,6)=".maxed"
 ),
 0,
 LET(
  sort,
   _xlfn.XLOOKUP(
    B1122,
    tblChecklist[TargetID],
    tblChecklist[PlayerSort],
    0
   ),
  IF(sort=0,500,sort)
 )
)</f>
        <v>500</v>
      </c>
      <c r="I1122" s="49" t="str">
        <f t="array" ref="I1122">_xlfn.XLOOKUP(
 B1122,
 tblTargetStatus[TargetID],
 tblTargetStatus[Status],
 ""
)</f>
        <v>BLOCKED</v>
      </c>
      <c r="J1122" s="45" t="b">
        <v>0</v>
      </c>
    </row>
    <row r="1123" ht="14.25" hidden="1" customHeight="1">
      <c r="A1123" s="49" t="s">
        <v>2771</v>
      </c>
      <c r="B1123" s="49" t="str">
        <f>IFERROR(__xludf.DUMMYFUNCTION("REGEXREPLACE(
 REGEXREPLACE(A1123,""^cost\."",""""),
 ""\.[^.]+\.[^.]+$"",
 """"
)"),"collection.pantry_2@1")</f>
        <v>collection.pantry_2@1</v>
      </c>
      <c r="C1123" s="49" t="str">
        <f t="array" ref="C1123">_xlfn.XLOOKUP(
 B1123,
 tblTargets[TargetID],
 tblTargets[DisplayName],
 ""
)</f>
        <v>Pantry 2 Lv 1</v>
      </c>
      <c r="D1123" s="49" t="str">
        <f t="array" ref="D1123">_xlfn.XLOOKUP(
 B1123,
 tblTargets[TargetID],
 tblTargets[TargetType],
 ""
)</f>
        <v>COLLECTION</v>
      </c>
      <c r="E1123" s="49" t="s">
        <v>237</v>
      </c>
      <c r="F1123" s="49">
        <v>1.0</v>
      </c>
      <c r="G1123" s="49">
        <f t="array" ref="G1123">_xlfn.XLOOKUP(
 A1123,
 tblCost[RequirementID],
 tblCost[QuantityRequired],
 ""
)</f>
        <v>100</v>
      </c>
      <c r="H1123" s="49">
        <f t="array" ref="H1123">IF(
 OR(
  LEFT(B1123,15)="state.character",
  RIGHT(B1123,6)=".maxed"
 ),
 0,
 LET(
  sort,
   _xlfn.XLOOKUP(
    B1123,
    tblChecklist[TargetID],
    tblChecklist[PlayerSort],
    0
   ),
  IF(sort=0,500,sort)
 )
)</f>
        <v>500</v>
      </c>
      <c r="I1123" s="49" t="str">
        <f t="array" ref="I1123">_xlfn.XLOOKUP(
 B1123,
 tblTargetStatus[TargetID],
 tblTargetStatus[Status],
 ""
)</f>
        <v>BLOCKED</v>
      </c>
      <c r="J1123" s="45" t="b">
        <v>0</v>
      </c>
    </row>
    <row r="1124" ht="14.25" hidden="1" customHeight="1">
      <c r="A1124" s="49" t="s">
        <v>2772</v>
      </c>
      <c r="B1124" s="49" t="str">
        <f>IFERROR(__xludf.DUMMYFUNCTION("REGEXREPLACE(
 REGEXREPLACE(A1124,""^cost\."",""""),
 ""\.[^.]+\.[^.]+$"",
 """"
)"),"collection.pantry_2@2")</f>
        <v>collection.pantry_2@2</v>
      </c>
      <c r="C1124" s="49" t="str">
        <f t="array" ref="C1124">_xlfn.XLOOKUP(
 B1124,
 tblTargets[TargetID],
 tblTargets[DisplayName],
 ""
)</f>
        <v>Pantry 2 Lv 2</v>
      </c>
      <c r="D1124" s="49" t="str">
        <f t="array" ref="D1124">_xlfn.XLOOKUP(
 B1124,
 tblTargets[TargetID],
 tblTargets[TargetType],
 ""
)</f>
        <v>COLLECTION</v>
      </c>
      <c r="E1124" s="49" t="s">
        <v>187</v>
      </c>
      <c r="F1124" s="49">
        <v>1.0</v>
      </c>
      <c r="G1124" s="49">
        <f t="array" ref="G1124">_xlfn.XLOOKUP(
 A1124,
 tblCost[RequirementID],
 tblCost[QuantityRequired],
 ""
)</f>
        <v>200</v>
      </c>
      <c r="H1124" s="49">
        <f t="array" ref="H1124">IF(
 OR(
  LEFT(B1124,15)="state.character",
  RIGHT(B1124,6)=".maxed"
 ),
 0,
 LET(
  sort,
   _xlfn.XLOOKUP(
    B1124,
    tblChecklist[TargetID],
    tblChecklist[PlayerSort],
    0
   ),
  IF(sort=0,500,sort)
 )
)</f>
        <v>500</v>
      </c>
      <c r="I1124" s="49" t="str">
        <f t="array" ref="I1124">_xlfn.XLOOKUP(
 B1124,
 tblTargetStatus[TargetID],
 tblTargetStatus[Status],
 ""
)</f>
        <v>BLOCKED</v>
      </c>
      <c r="J1124" s="45" t="b">
        <v>0</v>
      </c>
    </row>
    <row r="1125" ht="14.25" hidden="1" customHeight="1">
      <c r="A1125" s="49" t="s">
        <v>2773</v>
      </c>
      <c r="B1125" s="49" t="str">
        <f>IFERROR(__xludf.DUMMYFUNCTION("REGEXREPLACE(
 REGEXREPLACE(A1125,""^cost\."",""""),
 ""\.[^.]+\.[^.]+$"",
 """"
)"),"collection.pantry_2@2")</f>
        <v>collection.pantry_2@2</v>
      </c>
      <c r="C1125" s="49" t="str">
        <f t="array" ref="C1125">_xlfn.XLOOKUP(
 B1125,
 tblTargets[TargetID],
 tblTargets[DisplayName],
 ""
)</f>
        <v>Pantry 2 Lv 2</v>
      </c>
      <c r="D1125" s="49" t="str">
        <f t="array" ref="D1125">_xlfn.XLOOKUP(
 B1125,
 tblTargets[TargetID],
 tblTargets[TargetType],
 ""
)</f>
        <v>COLLECTION</v>
      </c>
      <c r="E1125" s="49" t="s">
        <v>187</v>
      </c>
      <c r="F1125" s="49">
        <v>2.0</v>
      </c>
      <c r="G1125" s="49">
        <f t="array" ref="G1125">_xlfn.XLOOKUP(
 A1125,
 tblCost[RequirementID],
 tblCost[QuantityRequired],
 ""
)</f>
        <v>200</v>
      </c>
      <c r="H1125" s="49">
        <f t="array" ref="H1125">IF(
 OR(
  LEFT(B1125,15)="state.character",
  RIGHT(B1125,6)=".maxed"
 ),
 0,
 LET(
  sort,
   _xlfn.XLOOKUP(
    B1125,
    tblChecklist[TargetID],
    tblChecklist[PlayerSort],
    0
   ),
  IF(sort=0,500,sort)
 )
)</f>
        <v>500</v>
      </c>
      <c r="I1125" s="49" t="str">
        <f t="array" ref="I1125">_xlfn.XLOOKUP(
 B1125,
 tblTargetStatus[TargetID],
 tblTargetStatus[Status],
 ""
)</f>
        <v>BLOCKED</v>
      </c>
      <c r="J1125" s="45" t="b">
        <v>0</v>
      </c>
    </row>
    <row r="1126" ht="14.25" hidden="1" customHeight="1">
      <c r="A1126" s="49" t="s">
        <v>2774</v>
      </c>
      <c r="B1126" s="49" t="str">
        <f>IFERROR(__xludf.DUMMYFUNCTION("REGEXREPLACE(
 REGEXREPLACE(A1126,""^cost\."",""""),
 ""\.[^.]+\.[^.]+$"",
 """"
)"),"collection.pantry_2@2")</f>
        <v>collection.pantry_2@2</v>
      </c>
      <c r="C1126" s="49" t="str">
        <f t="array" ref="C1126">_xlfn.XLOOKUP(
 B1126,
 tblTargets[TargetID],
 tblTargets[DisplayName],
 ""
)</f>
        <v>Pantry 2 Lv 2</v>
      </c>
      <c r="D1126" s="49" t="str">
        <f t="array" ref="D1126">_xlfn.XLOOKUP(
 B1126,
 tblTargets[TargetID],
 tblTargets[TargetType],
 ""
)</f>
        <v>COLLECTION</v>
      </c>
      <c r="E1126" s="49" t="s">
        <v>392</v>
      </c>
      <c r="F1126" s="49">
        <v>1.0</v>
      </c>
      <c r="G1126" s="49">
        <f t="array" ref="G1126">_xlfn.XLOOKUP(
 A1126,
 tblCost[RequirementID],
 tblCost[QuantityRequired],
 ""
)</f>
        <v>200</v>
      </c>
      <c r="H1126" s="49">
        <f t="array" ref="H1126">IF(
 OR(
  LEFT(B1126,15)="state.character",
  RIGHT(B1126,6)=".maxed"
 ),
 0,
 LET(
  sort,
   _xlfn.XLOOKUP(
    B1126,
    tblChecklist[TargetID],
    tblChecklist[PlayerSort],
    0
   ),
  IF(sort=0,500,sort)
 )
)</f>
        <v>500</v>
      </c>
      <c r="I1126" s="49" t="str">
        <f t="array" ref="I1126">_xlfn.XLOOKUP(
 B1126,
 tblTargetStatus[TargetID],
 tblTargetStatus[Status],
 ""
)</f>
        <v>BLOCKED</v>
      </c>
      <c r="J1126" s="45" t="b">
        <v>0</v>
      </c>
    </row>
    <row r="1127" ht="14.25" hidden="1" customHeight="1">
      <c r="A1127" s="49" t="s">
        <v>2776</v>
      </c>
      <c r="B1127" s="49" t="str">
        <f>IFERROR(__xludf.DUMMYFUNCTION("REGEXREPLACE(
 REGEXREPLACE(A1127,""^cost\."",""""),
 ""\.[^.]+\.[^.]+$"",
 """"
)"),"collection.pantry_2@2")</f>
        <v>collection.pantry_2@2</v>
      </c>
      <c r="C1127" s="49" t="str">
        <f t="array" ref="C1127">_xlfn.XLOOKUP(
 B1127,
 tblTargets[TargetID],
 tblTargets[DisplayName],
 ""
)</f>
        <v>Pantry 2 Lv 2</v>
      </c>
      <c r="D1127" s="49" t="str">
        <f t="array" ref="D1127">_xlfn.XLOOKUP(
 B1127,
 tblTargets[TargetID],
 tblTargets[TargetType],
 ""
)</f>
        <v>COLLECTION</v>
      </c>
      <c r="E1127" s="49" t="s">
        <v>237</v>
      </c>
      <c r="F1127" s="49">
        <v>1.0</v>
      </c>
      <c r="G1127" s="49">
        <f t="array" ref="G1127">_xlfn.XLOOKUP(
 A1127,
 tblCost[RequirementID],
 tblCost[QuantityRequired],
 ""
)</f>
        <v>200</v>
      </c>
      <c r="H1127" s="49">
        <f t="array" ref="H1127">IF(
 OR(
  LEFT(B1127,15)="state.character",
  RIGHT(B1127,6)=".maxed"
 ),
 0,
 LET(
  sort,
   _xlfn.XLOOKUP(
    B1127,
    tblChecklist[TargetID],
    tblChecklist[PlayerSort],
    0
   ),
  IF(sort=0,500,sort)
 )
)</f>
        <v>500</v>
      </c>
      <c r="I1127" s="49" t="str">
        <f t="array" ref="I1127">_xlfn.XLOOKUP(
 B1127,
 tblTargetStatus[TargetID],
 tblTargetStatus[Status],
 ""
)</f>
        <v>BLOCKED</v>
      </c>
      <c r="J1127" s="45" t="b">
        <v>0</v>
      </c>
    </row>
    <row r="1128" ht="14.25" hidden="1" customHeight="1">
      <c r="A1128" s="49" t="s">
        <v>2778</v>
      </c>
      <c r="B1128" s="49" t="str">
        <f>IFERROR(__xludf.DUMMYFUNCTION("REGEXREPLACE(
 REGEXREPLACE(A1128,""^cost\."",""""),
 ""\.[^.]+\.[^.]+$"",
 """"
)"),"collection.pantry_2@3")</f>
        <v>collection.pantry_2@3</v>
      </c>
      <c r="C1128" s="49" t="str">
        <f t="array" ref="C1128">_xlfn.XLOOKUP(
 B1128,
 tblTargets[TargetID],
 tblTargets[DisplayName],
 ""
)</f>
        <v>Pantry 2 Lv 3</v>
      </c>
      <c r="D1128" s="49" t="str">
        <f t="array" ref="D1128">_xlfn.XLOOKUP(
 B1128,
 tblTargets[TargetID],
 tblTargets[TargetType],
 ""
)</f>
        <v>COLLECTION</v>
      </c>
      <c r="E1128" s="49" t="s">
        <v>187</v>
      </c>
      <c r="F1128" s="49">
        <v>1.0</v>
      </c>
      <c r="G1128" s="49">
        <f t="array" ref="G1128">_xlfn.XLOOKUP(
 A1128,
 tblCost[RequirementID],
 tblCost[QuantityRequired],
 ""
)</f>
        <v>300</v>
      </c>
      <c r="H1128" s="49">
        <f t="array" ref="H1128">IF(
 OR(
  LEFT(B1128,15)="state.character",
  RIGHT(B1128,6)=".maxed"
 ),
 0,
 LET(
  sort,
   _xlfn.XLOOKUP(
    B1128,
    tblChecklist[TargetID],
    tblChecklist[PlayerSort],
    0
   ),
  IF(sort=0,500,sort)
 )
)</f>
        <v>500</v>
      </c>
      <c r="I1128" s="49" t="str">
        <f t="array" ref="I1128">_xlfn.XLOOKUP(
 B1128,
 tblTargetStatus[TargetID],
 tblTargetStatus[Status],
 ""
)</f>
        <v>BLOCKED</v>
      </c>
      <c r="J1128" s="45" t="b">
        <v>0</v>
      </c>
    </row>
    <row r="1129" ht="14.25" hidden="1" customHeight="1">
      <c r="A1129" s="49" t="s">
        <v>2780</v>
      </c>
      <c r="B1129" s="49" t="str">
        <f>IFERROR(__xludf.DUMMYFUNCTION("REGEXREPLACE(
 REGEXREPLACE(A1129,""^cost\."",""""),
 ""\.[^.]+\.[^.]+$"",
 """"
)"),"collection.pantry_2@3")</f>
        <v>collection.pantry_2@3</v>
      </c>
      <c r="C1129" s="49" t="str">
        <f t="array" ref="C1129">_xlfn.XLOOKUP(
 B1129,
 tblTargets[TargetID],
 tblTargets[DisplayName],
 ""
)</f>
        <v>Pantry 2 Lv 3</v>
      </c>
      <c r="D1129" s="49" t="str">
        <f t="array" ref="D1129">_xlfn.XLOOKUP(
 B1129,
 tblTargets[TargetID],
 tblTargets[TargetType],
 ""
)</f>
        <v>COLLECTION</v>
      </c>
      <c r="E1129" s="49" t="s">
        <v>187</v>
      </c>
      <c r="F1129" s="49">
        <v>2.0</v>
      </c>
      <c r="G1129" s="49">
        <f t="array" ref="G1129">_xlfn.XLOOKUP(
 A1129,
 tblCost[RequirementID],
 tblCost[QuantityRequired],
 ""
)</f>
        <v>300</v>
      </c>
      <c r="H1129" s="49">
        <f t="array" ref="H1129">IF(
 OR(
  LEFT(B1129,15)="state.character",
  RIGHT(B1129,6)=".maxed"
 ),
 0,
 LET(
  sort,
   _xlfn.XLOOKUP(
    B1129,
    tblChecklist[TargetID],
    tblChecklist[PlayerSort],
    0
   ),
  IF(sort=0,500,sort)
 )
)</f>
        <v>500</v>
      </c>
      <c r="I1129" s="49" t="str">
        <f t="array" ref="I1129">_xlfn.XLOOKUP(
 B1129,
 tblTargetStatus[TargetID],
 tblTargetStatus[Status],
 ""
)</f>
        <v>BLOCKED</v>
      </c>
      <c r="J1129" s="45" t="b">
        <v>0</v>
      </c>
    </row>
    <row r="1130" ht="14.25" hidden="1" customHeight="1">
      <c r="A1130" s="49" t="s">
        <v>2782</v>
      </c>
      <c r="B1130" s="49" t="str">
        <f>IFERROR(__xludf.DUMMYFUNCTION("REGEXREPLACE(
 REGEXREPLACE(A1130,""^cost\."",""""),
 ""\.[^.]+\.[^.]+$"",
 """"
)"),"collection.pantry_2@3")</f>
        <v>collection.pantry_2@3</v>
      </c>
      <c r="C1130" s="49" t="str">
        <f t="array" ref="C1130">_xlfn.XLOOKUP(
 B1130,
 tblTargets[TargetID],
 tblTargets[DisplayName],
 ""
)</f>
        <v>Pantry 2 Lv 3</v>
      </c>
      <c r="D1130" s="49" t="str">
        <f t="array" ref="D1130">_xlfn.XLOOKUP(
 B1130,
 tblTargets[TargetID],
 tblTargets[TargetType],
 ""
)</f>
        <v>COLLECTION</v>
      </c>
      <c r="E1130" s="49" t="s">
        <v>392</v>
      </c>
      <c r="F1130" s="49">
        <v>1.0</v>
      </c>
      <c r="G1130" s="49">
        <f t="array" ref="G1130">_xlfn.XLOOKUP(
 A1130,
 tblCost[RequirementID],
 tblCost[QuantityRequired],
 ""
)</f>
        <v>300</v>
      </c>
      <c r="H1130" s="49">
        <f t="array" ref="H1130">IF(
 OR(
  LEFT(B1130,15)="state.character",
  RIGHT(B1130,6)=".maxed"
 ),
 0,
 LET(
  sort,
   _xlfn.XLOOKUP(
    B1130,
    tblChecklist[TargetID],
    tblChecklist[PlayerSort],
    0
   ),
  IF(sort=0,500,sort)
 )
)</f>
        <v>500</v>
      </c>
      <c r="I1130" s="49" t="str">
        <f t="array" ref="I1130">_xlfn.XLOOKUP(
 B1130,
 tblTargetStatus[TargetID],
 tblTargetStatus[Status],
 ""
)</f>
        <v>BLOCKED</v>
      </c>
      <c r="J1130" s="45" t="b">
        <v>0</v>
      </c>
    </row>
    <row r="1131" ht="14.25" hidden="1" customHeight="1">
      <c r="A1131" s="49" t="s">
        <v>2784</v>
      </c>
      <c r="B1131" s="49" t="str">
        <f>IFERROR(__xludf.DUMMYFUNCTION("REGEXREPLACE(
 REGEXREPLACE(A1131,""^cost\."",""""),
 ""\.[^.]+\.[^.]+$"",
 """"
)"),"collection.pantry_2@3")</f>
        <v>collection.pantry_2@3</v>
      </c>
      <c r="C1131" s="49" t="str">
        <f t="array" ref="C1131">_xlfn.XLOOKUP(
 B1131,
 tblTargets[TargetID],
 tblTargets[DisplayName],
 ""
)</f>
        <v>Pantry 2 Lv 3</v>
      </c>
      <c r="D1131" s="49" t="str">
        <f t="array" ref="D1131">_xlfn.XLOOKUP(
 B1131,
 tblTargets[TargetID],
 tblTargets[TargetType],
 ""
)</f>
        <v>COLLECTION</v>
      </c>
      <c r="E1131" s="49" t="s">
        <v>237</v>
      </c>
      <c r="F1131" s="49">
        <v>1.0</v>
      </c>
      <c r="G1131" s="49">
        <f t="array" ref="G1131">_xlfn.XLOOKUP(
 A1131,
 tblCost[RequirementID],
 tblCost[QuantityRequired],
 ""
)</f>
        <v>300</v>
      </c>
      <c r="H1131" s="49">
        <f t="array" ref="H1131">IF(
 OR(
  LEFT(B1131,15)="state.character",
  RIGHT(B1131,6)=".maxed"
 ),
 0,
 LET(
  sort,
   _xlfn.XLOOKUP(
    B1131,
    tblChecklist[TargetID],
    tblChecklist[PlayerSort],
    0
   ),
  IF(sort=0,500,sort)
 )
)</f>
        <v>500</v>
      </c>
      <c r="I1131" s="49" t="str">
        <f t="array" ref="I1131">_xlfn.XLOOKUP(
 B1131,
 tblTargetStatus[TargetID],
 tblTargetStatus[Status],
 ""
)</f>
        <v>BLOCKED</v>
      </c>
      <c r="J1131" s="45" t="b">
        <v>0</v>
      </c>
    </row>
    <row r="1132" ht="14.25" hidden="1" customHeight="1">
      <c r="A1132" s="49" t="s">
        <v>2787</v>
      </c>
      <c r="B1132" s="49" t="str">
        <f>IFERROR(__xludf.DUMMYFUNCTION("REGEXREPLACE(
 REGEXREPLACE(A1132,""^cost\."",""""),
 ""\.[^.]+\.[^.]+$"",
 """"
)"),"collection.pantry_2@4")</f>
        <v>collection.pantry_2@4</v>
      </c>
      <c r="C1132" s="49" t="str">
        <f t="array" ref="C1132">_xlfn.XLOOKUP(
 B1132,
 tblTargets[TargetID],
 tblTargets[DisplayName],
 ""
)</f>
        <v>Pantry 2 Lv 4</v>
      </c>
      <c r="D1132" s="49" t="str">
        <f t="array" ref="D1132">_xlfn.XLOOKUP(
 B1132,
 tblTargets[TargetID],
 tblTargets[TargetType],
 ""
)</f>
        <v>COLLECTION</v>
      </c>
      <c r="E1132" s="49" t="s">
        <v>187</v>
      </c>
      <c r="F1132" s="49">
        <v>1.0</v>
      </c>
      <c r="G1132" s="49">
        <f t="array" ref="G1132">_xlfn.XLOOKUP(
 A1132,
 tblCost[RequirementID],
 tblCost[QuantityRequired],
 ""
)</f>
        <v>400</v>
      </c>
      <c r="H1132" s="49">
        <f t="array" ref="H1132">IF(
 OR(
  LEFT(B1132,15)="state.character",
  RIGHT(B1132,6)=".maxed"
 ),
 0,
 LET(
  sort,
   _xlfn.XLOOKUP(
    B1132,
    tblChecklist[TargetID],
    tblChecklist[PlayerSort],
    0
   ),
  IF(sort=0,500,sort)
 )
)</f>
        <v>500</v>
      </c>
      <c r="I1132" s="49" t="str">
        <f t="array" ref="I1132">_xlfn.XLOOKUP(
 B1132,
 tblTargetStatus[TargetID],
 tblTargetStatus[Status],
 ""
)</f>
        <v>BLOCKED</v>
      </c>
      <c r="J1132" s="45" t="b">
        <v>0</v>
      </c>
    </row>
    <row r="1133" ht="14.25" hidden="1" customHeight="1">
      <c r="A1133" s="49" t="s">
        <v>2789</v>
      </c>
      <c r="B1133" s="49" t="str">
        <f>IFERROR(__xludf.DUMMYFUNCTION("REGEXREPLACE(
 REGEXREPLACE(A1133,""^cost\."",""""),
 ""\.[^.]+\.[^.]+$"",
 """"
)"),"collection.pantry_2@4")</f>
        <v>collection.pantry_2@4</v>
      </c>
      <c r="C1133" s="49" t="str">
        <f t="array" ref="C1133">_xlfn.XLOOKUP(
 B1133,
 tblTargets[TargetID],
 tblTargets[DisplayName],
 ""
)</f>
        <v>Pantry 2 Lv 4</v>
      </c>
      <c r="D1133" s="49" t="str">
        <f t="array" ref="D1133">_xlfn.XLOOKUP(
 B1133,
 tblTargets[TargetID],
 tblTargets[TargetType],
 ""
)</f>
        <v>COLLECTION</v>
      </c>
      <c r="E1133" s="49" t="s">
        <v>187</v>
      </c>
      <c r="F1133" s="49">
        <v>2.0</v>
      </c>
      <c r="G1133" s="49">
        <f t="array" ref="G1133">_xlfn.XLOOKUP(
 A1133,
 tblCost[RequirementID],
 tblCost[QuantityRequired],
 ""
)</f>
        <v>400</v>
      </c>
      <c r="H1133" s="49">
        <f t="array" ref="H1133">IF(
 OR(
  LEFT(B1133,15)="state.character",
  RIGHT(B1133,6)=".maxed"
 ),
 0,
 LET(
  sort,
   _xlfn.XLOOKUP(
    B1133,
    tblChecklist[TargetID],
    tblChecklist[PlayerSort],
    0
   ),
  IF(sort=0,500,sort)
 )
)</f>
        <v>500</v>
      </c>
      <c r="I1133" s="49" t="str">
        <f t="array" ref="I1133">_xlfn.XLOOKUP(
 B1133,
 tblTargetStatus[TargetID],
 tblTargetStatus[Status],
 ""
)</f>
        <v>BLOCKED</v>
      </c>
      <c r="J1133" s="45" t="b">
        <v>0</v>
      </c>
    </row>
    <row r="1134" ht="14.25" hidden="1" customHeight="1">
      <c r="A1134" s="49" t="s">
        <v>2791</v>
      </c>
      <c r="B1134" s="49" t="str">
        <f>IFERROR(__xludf.DUMMYFUNCTION("REGEXREPLACE(
 REGEXREPLACE(A1134,""^cost\."",""""),
 ""\.[^.]+\.[^.]+$"",
 """"
)"),"collection.pantry_2@4")</f>
        <v>collection.pantry_2@4</v>
      </c>
      <c r="C1134" s="49" t="str">
        <f t="array" ref="C1134">_xlfn.XLOOKUP(
 B1134,
 tblTargets[TargetID],
 tblTargets[DisplayName],
 ""
)</f>
        <v>Pantry 2 Lv 4</v>
      </c>
      <c r="D1134" s="49" t="str">
        <f t="array" ref="D1134">_xlfn.XLOOKUP(
 B1134,
 tblTargets[TargetID],
 tblTargets[TargetType],
 ""
)</f>
        <v>COLLECTION</v>
      </c>
      <c r="E1134" s="49" t="s">
        <v>392</v>
      </c>
      <c r="F1134" s="49">
        <v>1.0</v>
      </c>
      <c r="G1134" s="49">
        <f t="array" ref="G1134">_xlfn.XLOOKUP(
 A1134,
 tblCost[RequirementID],
 tblCost[QuantityRequired],
 ""
)</f>
        <v>400</v>
      </c>
      <c r="H1134" s="49">
        <f t="array" ref="H1134">IF(
 OR(
  LEFT(B1134,15)="state.character",
  RIGHT(B1134,6)=".maxed"
 ),
 0,
 LET(
  sort,
   _xlfn.XLOOKUP(
    B1134,
    tblChecklist[TargetID],
    tblChecklist[PlayerSort],
    0
   ),
  IF(sort=0,500,sort)
 )
)</f>
        <v>500</v>
      </c>
      <c r="I1134" s="49" t="str">
        <f t="array" ref="I1134">_xlfn.XLOOKUP(
 B1134,
 tblTargetStatus[TargetID],
 tblTargetStatus[Status],
 ""
)</f>
        <v>BLOCKED</v>
      </c>
      <c r="J1134" s="45" t="b">
        <v>0</v>
      </c>
    </row>
    <row r="1135" ht="14.25" hidden="1" customHeight="1">
      <c r="A1135" s="49" t="s">
        <v>2793</v>
      </c>
      <c r="B1135" s="49" t="str">
        <f>IFERROR(__xludf.DUMMYFUNCTION("REGEXREPLACE(
 REGEXREPLACE(A1135,""^cost\."",""""),
 ""\.[^.]+\.[^.]+$"",
 """"
)"),"collection.pantry_2@4")</f>
        <v>collection.pantry_2@4</v>
      </c>
      <c r="C1135" s="49" t="str">
        <f t="array" ref="C1135">_xlfn.XLOOKUP(
 B1135,
 tblTargets[TargetID],
 tblTargets[DisplayName],
 ""
)</f>
        <v>Pantry 2 Lv 4</v>
      </c>
      <c r="D1135" s="49" t="str">
        <f t="array" ref="D1135">_xlfn.XLOOKUP(
 B1135,
 tblTargets[TargetID],
 tblTargets[TargetType],
 ""
)</f>
        <v>COLLECTION</v>
      </c>
      <c r="E1135" s="49" t="s">
        <v>237</v>
      </c>
      <c r="F1135" s="49">
        <v>1.0</v>
      </c>
      <c r="G1135" s="49">
        <f t="array" ref="G1135">_xlfn.XLOOKUP(
 A1135,
 tblCost[RequirementID],
 tblCost[QuantityRequired],
 ""
)</f>
        <v>400</v>
      </c>
      <c r="H1135" s="49">
        <f t="array" ref="H1135">IF(
 OR(
  LEFT(B1135,15)="state.character",
  RIGHT(B1135,6)=".maxed"
 ),
 0,
 LET(
  sort,
   _xlfn.XLOOKUP(
    B1135,
    tblChecklist[TargetID],
    tblChecklist[PlayerSort],
    0
   ),
  IF(sort=0,500,sort)
 )
)</f>
        <v>500</v>
      </c>
      <c r="I1135" s="49" t="str">
        <f t="array" ref="I1135">_xlfn.XLOOKUP(
 B1135,
 tblTargetStatus[TargetID],
 tblTargetStatus[Status],
 ""
)</f>
        <v>BLOCKED</v>
      </c>
      <c r="J1135" s="45" t="b">
        <v>0</v>
      </c>
    </row>
    <row r="1136" ht="14.25" hidden="1" customHeight="1">
      <c r="A1136" s="49" t="s">
        <v>2795</v>
      </c>
      <c r="B1136" s="49" t="str">
        <f>IFERROR(__xludf.DUMMYFUNCTION("REGEXREPLACE(
 REGEXREPLACE(A1136,""^cost\."",""""),
 ""\.[^.]+\.[^.]+$"",
 """"
)"),"collection.pantry_2@5")</f>
        <v>collection.pantry_2@5</v>
      </c>
      <c r="C1136" s="49" t="str">
        <f t="array" ref="C1136">_xlfn.XLOOKUP(
 B1136,
 tblTargets[TargetID],
 tblTargets[DisplayName],
 ""
)</f>
        <v>Pantry 2 Lv 5</v>
      </c>
      <c r="D1136" s="49" t="str">
        <f t="array" ref="D1136">_xlfn.XLOOKUP(
 B1136,
 tblTargets[TargetID],
 tblTargets[TargetType],
 ""
)</f>
        <v>COLLECTION</v>
      </c>
      <c r="E1136" s="49" t="s">
        <v>187</v>
      </c>
      <c r="F1136" s="49">
        <v>1.0</v>
      </c>
      <c r="G1136" s="49">
        <f t="array" ref="G1136">_xlfn.XLOOKUP(
 A1136,
 tblCost[RequirementID],
 tblCost[QuantityRequired],
 ""
)</f>
        <v>500</v>
      </c>
      <c r="H1136" s="49">
        <f t="array" ref="H1136">IF(
 OR(
  LEFT(B1136,15)="state.character",
  RIGHT(B1136,6)=".maxed"
 ),
 0,
 LET(
  sort,
   _xlfn.XLOOKUP(
    B1136,
    tblChecklist[TargetID],
    tblChecklist[PlayerSort],
    0
   ),
  IF(sort=0,500,sort)
 )
)</f>
        <v>500</v>
      </c>
      <c r="I1136" s="49" t="str">
        <f t="array" ref="I1136">_xlfn.XLOOKUP(
 B1136,
 tblTargetStatus[TargetID],
 tblTargetStatus[Status],
 ""
)</f>
        <v>BLOCKED</v>
      </c>
      <c r="J1136" s="45" t="b">
        <v>0</v>
      </c>
    </row>
    <row r="1137" ht="14.25" hidden="1" customHeight="1">
      <c r="A1137" s="49" t="s">
        <v>2797</v>
      </c>
      <c r="B1137" s="49" t="str">
        <f>IFERROR(__xludf.DUMMYFUNCTION("REGEXREPLACE(
 REGEXREPLACE(A1137,""^cost\."",""""),
 ""\.[^.]+\.[^.]+$"",
 """"
)"),"collection.pantry_2@5")</f>
        <v>collection.pantry_2@5</v>
      </c>
      <c r="C1137" s="49" t="str">
        <f t="array" ref="C1137">_xlfn.XLOOKUP(
 B1137,
 tblTargets[TargetID],
 tblTargets[DisplayName],
 ""
)</f>
        <v>Pantry 2 Lv 5</v>
      </c>
      <c r="D1137" s="49" t="str">
        <f t="array" ref="D1137">_xlfn.XLOOKUP(
 B1137,
 tblTargets[TargetID],
 tblTargets[TargetType],
 ""
)</f>
        <v>COLLECTION</v>
      </c>
      <c r="E1137" s="49" t="s">
        <v>187</v>
      </c>
      <c r="F1137" s="49">
        <v>2.0</v>
      </c>
      <c r="G1137" s="49">
        <f t="array" ref="G1137">_xlfn.XLOOKUP(
 A1137,
 tblCost[RequirementID],
 tblCost[QuantityRequired],
 ""
)</f>
        <v>500</v>
      </c>
      <c r="H1137" s="49">
        <f t="array" ref="H1137">IF(
 OR(
  LEFT(B1137,15)="state.character",
  RIGHT(B1137,6)=".maxed"
 ),
 0,
 LET(
  sort,
   _xlfn.XLOOKUP(
    B1137,
    tblChecklist[TargetID],
    tblChecklist[PlayerSort],
    0
   ),
  IF(sort=0,500,sort)
 )
)</f>
        <v>500</v>
      </c>
      <c r="I1137" s="49" t="str">
        <f t="array" ref="I1137">_xlfn.XLOOKUP(
 B1137,
 tblTargetStatus[TargetID],
 tblTargetStatus[Status],
 ""
)</f>
        <v>BLOCKED</v>
      </c>
      <c r="J1137" s="45" t="b">
        <v>0</v>
      </c>
    </row>
    <row r="1138" ht="14.25" hidden="1" customHeight="1">
      <c r="A1138" s="49" t="s">
        <v>2799</v>
      </c>
      <c r="B1138" s="49" t="str">
        <f>IFERROR(__xludf.DUMMYFUNCTION("REGEXREPLACE(
 REGEXREPLACE(A1138,""^cost\."",""""),
 ""\.[^.]+\.[^.]+$"",
 """"
)"),"collection.pantry_2@5")</f>
        <v>collection.pantry_2@5</v>
      </c>
      <c r="C1138" s="49" t="str">
        <f t="array" ref="C1138">_xlfn.XLOOKUP(
 B1138,
 tblTargets[TargetID],
 tblTargets[DisplayName],
 ""
)</f>
        <v>Pantry 2 Lv 5</v>
      </c>
      <c r="D1138" s="49" t="str">
        <f t="array" ref="D1138">_xlfn.XLOOKUP(
 B1138,
 tblTargets[TargetID],
 tblTargets[TargetType],
 ""
)</f>
        <v>COLLECTION</v>
      </c>
      <c r="E1138" s="49" t="s">
        <v>392</v>
      </c>
      <c r="F1138" s="49">
        <v>1.0</v>
      </c>
      <c r="G1138" s="49">
        <f t="array" ref="G1138">_xlfn.XLOOKUP(
 A1138,
 tblCost[RequirementID],
 tblCost[QuantityRequired],
 ""
)</f>
        <v>500</v>
      </c>
      <c r="H1138" s="49">
        <f t="array" ref="H1138">IF(
 OR(
  LEFT(B1138,15)="state.character",
  RIGHT(B1138,6)=".maxed"
 ),
 0,
 LET(
  sort,
   _xlfn.XLOOKUP(
    B1138,
    tblChecklist[TargetID],
    tblChecklist[PlayerSort],
    0
   ),
  IF(sort=0,500,sort)
 )
)</f>
        <v>500</v>
      </c>
      <c r="I1138" s="49" t="str">
        <f t="array" ref="I1138">_xlfn.XLOOKUP(
 B1138,
 tblTargetStatus[TargetID],
 tblTargetStatus[Status],
 ""
)</f>
        <v>BLOCKED</v>
      </c>
      <c r="J1138" s="45" t="b">
        <v>0</v>
      </c>
    </row>
    <row r="1139" ht="14.25" hidden="1" customHeight="1">
      <c r="A1139" s="49" t="s">
        <v>2801</v>
      </c>
      <c r="B1139" s="49" t="str">
        <f>IFERROR(__xludf.DUMMYFUNCTION("REGEXREPLACE(
 REGEXREPLACE(A1139,""^cost\."",""""),
 ""\.[^.]+\.[^.]+$"",
 """"
)"),"collection.pantry_2@5")</f>
        <v>collection.pantry_2@5</v>
      </c>
      <c r="C1139" s="49" t="str">
        <f t="array" ref="C1139">_xlfn.XLOOKUP(
 B1139,
 tblTargets[TargetID],
 tblTargets[DisplayName],
 ""
)</f>
        <v>Pantry 2 Lv 5</v>
      </c>
      <c r="D1139" s="49" t="str">
        <f t="array" ref="D1139">_xlfn.XLOOKUP(
 B1139,
 tblTargets[TargetID],
 tblTargets[TargetType],
 ""
)</f>
        <v>COLLECTION</v>
      </c>
      <c r="E1139" s="49" t="s">
        <v>237</v>
      </c>
      <c r="F1139" s="49">
        <v>1.0</v>
      </c>
      <c r="G1139" s="49">
        <f t="array" ref="G1139">_xlfn.XLOOKUP(
 A1139,
 tblCost[RequirementID],
 tblCost[QuantityRequired],
 ""
)</f>
        <v>500</v>
      </c>
      <c r="H1139" s="49">
        <f t="array" ref="H1139">IF(
 OR(
  LEFT(B1139,15)="state.character",
  RIGHT(B1139,6)=".maxed"
 ),
 0,
 LET(
  sort,
   _xlfn.XLOOKUP(
    B1139,
    tblChecklist[TargetID],
    tblChecklist[PlayerSort],
    0
   ),
  IF(sort=0,500,sort)
 )
)</f>
        <v>500</v>
      </c>
      <c r="I1139" s="49" t="str">
        <f t="array" ref="I1139">_xlfn.XLOOKUP(
 B1139,
 tblTargetStatus[TargetID],
 tblTargetStatus[Status],
 ""
)</f>
        <v>BLOCKED</v>
      </c>
      <c r="J1139" s="45" t="b">
        <v>0</v>
      </c>
    </row>
    <row r="1140" ht="14.25" hidden="1" customHeight="1">
      <c r="A1140" s="49" t="s">
        <v>2803</v>
      </c>
      <c r="B1140" s="49" t="str">
        <f>IFERROR(__xludf.DUMMYFUNCTION("REGEXREPLACE(
 REGEXREPLACE(A1140,""^cost\."",""""),
 ""\.[^.]+\.[^.]+$"",
 """"
)"),"collection.pantry_3@1")</f>
        <v>collection.pantry_3@1</v>
      </c>
      <c r="C1140" s="49" t="str">
        <f t="array" ref="C1140">_xlfn.XLOOKUP(
 B1140,
 tblTargets[TargetID],
 tblTargets[DisplayName],
 ""
)</f>
        <v>Pantry 3 Lv 1</v>
      </c>
      <c r="D1140" s="49" t="str">
        <f t="array" ref="D1140">_xlfn.XLOOKUP(
 B1140,
 tblTargets[TargetID],
 tblTargets[TargetType],
 ""
)</f>
        <v>COLLECTION</v>
      </c>
      <c r="E1140" s="49" t="s">
        <v>283</v>
      </c>
      <c r="F1140" s="49">
        <v>1.0</v>
      </c>
      <c r="G1140" s="49">
        <f t="array" ref="G1140">_xlfn.XLOOKUP(
 A1140,
 tblCost[RequirementID],
 tblCost[QuantityRequired],
 ""
)</f>
        <v>100</v>
      </c>
      <c r="H1140" s="49">
        <f t="array" ref="H1140">IF(
 OR(
  LEFT(B1140,15)="state.character",
  RIGHT(B1140,6)=".maxed"
 ),
 0,
 LET(
  sort,
   _xlfn.XLOOKUP(
    B1140,
    tblChecklist[TargetID],
    tblChecklist[PlayerSort],
    0
   ),
  IF(sort=0,500,sort)
 )
)</f>
        <v>500</v>
      </c>
      <c r="I1140" s="49" t="str">
        <f t="array" ref="I1140">_xlfn.XLOOKUP(
 B1140,
 tblTargetStatus[TargetID],
 tblTargetStatus[Status],
 ""
)</f>
        <v>BLOCKED</v>
      </c>
      <c r="J1140" s="45" t="b">
        <v>0</v>
      </c>
    </row>
    <row r="1141" ht="14.25" hidden="1" customHeight="1">
      <c r="A1141" s="49" t="s">
        <v>2805</v>
      </c>
      <c r="B1141" s="49" t="str">
        <f>IFERROR(__xludf.DUMMYFUNCTION("REGEXREPLACE(
 REGEXREPLACE(A1141,""^cost\."",""""),
 ""\.[^.]+\.[^.]+$"",
 """"
)"),"collection.pantry_3@1")</f>
        <v>collection.pantry_3@1</v>
      </c>
      <c r="C1141" s="49" t="str">
        <f t="array" ref="C1141">_xlfn.XLOOKUP(
 B1141,
 tblTargets[TargetID],
 tblTargets[DisplayName],
 ""
)</f>
        <v>Pantry 3 Lv 1</v>
      </c>
      <c r="D1141" s="49" t="str">
        <f t="array" ref="D1141">_xlfn.XLOOKUP(
 B1141,
 tblTargets[TargetID],
 tblTargets[TargetType],
 ""
)</f>
        <v>COLLECTION</v>
      </c>
      <c r="E1141" s="49" t="s">
        <v>113</v>
      </c>
      <c r="F1141" s="49">
        <v>1.0</v>
      </c>
      <c r="G1141" s="49">
        <f t="array" ref="G1141">_xlfn.XLOOKUP(
 A1141,
 tblCost[RequirementID],
 tblCost[QuantityRequired],
 ""
)</f>
        <v>100</v>
      </c>
      <c r="H1141" s="49">
        <f t="array" ref="H1141">IF(
 OR(
  LEFT(B1141,15)="state.character",
  RIGHT(B1141,6)=".maxed"
 ),
 0,
 LET(
  sort,
   _xlfn.XLOOKUP(
    B1141,
    tblChecklist[TargetID],
    tblChecklist[PlayerSort],
    0
   ),
  IF(sort=0,500,sort)
 )
)</f>
        <v>500</v>
      </c>
      <c r="I1141" s="49" t="str">
        <f t="array" ref="I1141">_xlfn.XLOOKUP(
 B1141,
 tblTargetStatus[TargetID],
 tblTargetStatus[Status],
 ""
)</f>
        <v>BLOCKED</v>
      </c>
      <c r="J1141" s="45" t="b">
        <v>0</v>
      </c>
    </row>
    <row r="1142" ht="14.25" hidden="1" customHeight="1">
      <c r="A1142" s="49" t="s">
        <v>2807</v>
      </c>
      <c r="B1142" s="49" t="str">
        <f>IFERROR(__xludf.DUMMYFUNCTION("REGEXREPLACE(
 REGEXREPLACE(A1142,""^cost\."",""""),
 ""\.[^.]+\.[^.]+$"",
 """"
)"),"collection.pantry_3@1")</f>
        <v>collection.pantry_3@1</v>
      </c>
      <c r="C1142" s="49" t="str">
        <f t="array" ref="C1142">_xlfn.XLOOKUP(
 B1142,
 tblTargets[TargetID],
 tblTargets[DisplayName],
 ""
)</f>
        <v>Pantry 3 Lv 1</v>
      </c>
      <c r="D1142" s="49" t="str">
        <f t="array" ref="D1142">_xlfn.XLOOKUP(
 B1142,
 tblTargets[TargetID],
 tblTargets[TargetType],
 ""
)</f>
        <v>COLLECTION</v>
      </c>
      <c r="E1142" s="49" t="s">
        <v>318</v>
      </c>
      <c r="F1142" s="49">
        <v>1.0</v>
      </c>
      <c r="G1142" s="49">
        <f t="array" ref="G1142">_xlfn.XLOOKUP(
 A1142,
 tblCost[RequirementID],
 tblCost[QuantityRequired],
 ""
)</f>
        <v>100</v>
      </c>
      <c r="H1142" s="49">
        <f t="array" ref="H1142">IF(
 OR(
  LEFT(B1142,15)="state.character",
  RIGHT(B1142,6)=".maxed"
 ),
 0,
 LET(
  sort,
   _xlfn.XLOOKUP(
    B1142,
    tblChecklist[TargetID],
    tblChecklist[PlayerSort],
    0
   ),
  IF(sort=0,500,sort)
 )
)</f>
        <v>500</v>
      </c>
      <c r="I1142" s="49" t="str">
        <f t="array" ref="I1142">_xlfn.XLOOKUP(
 B1142,
 tblTargetStatus[TargetID],
 tblTargetStatus[Status],
 ""
)</f>
        <v>BLOCKED</v>
      </c>
      <c r="J1142" s="45" t="b">
        <v>0</v>
      </c>
    </row>
    <row r="1143" ht="14.25" hidden="1" customHeight="1">
      <c r="A1143" s="49" t="s">
        <v>2809</v>
      </c>
      <c r="B1143" s="49" t="str">
        <f>IFERROR(__xludf.DUMMYFUNCTION("REGEXREPLACE(
 REGEXREPLACE(A1143,""^cost\."",""""),
 ""\.[^.]+\.[^.]+$"",
 """"
)"),"collection.pantry_3@1")</f>
        <v>collection.pantry_3@1</v>
      </c>
      <c r="C1143" s="49" t="str">
        <f t="array" ref="C1143">_xlfn.XLOOKUP(
 B1143,
 tblTargets[TargetID],
 tblTargets[DisplayName],
 ""
)</f>
        <v>Pantry 3 Lv 1</v>
      </c>
      <c r="D1143" s="49" t="str">
        <f t="array" ref="D1143">_xlfn.XLOOKUP(
 B1143,
 tblTargets[TargetID],
 tblTargets[TargetType],
 ""
)</f>
        <v>COLLECTION</v>
      </c>
      <c r="E1143" s="49" t="s">
        <v>2811</v>
      </c>
      <c r="F1143" s="49">
        <v>1.0</v>
      </c>
      <c r="G1143" s="49">
        <f t="array" ref="G1143">_xlfn.XLOOKUP(
 A1143,
 tblCost[RequirementID],
 tblCost[QuantityRequired],
 ""
)</f>
        <v>100</v>
      </c>
      <c r="H1143" s="49">
        <f t="array" ref="H1143">IF(
 OR(
  LEFT(B1143,15)="state.character",
  RIGHT(B1143,6)=".maxed"
 ),
 0,
 LET(
  sort,
   _xlfn.XLOOKUP(
    B1143,
    tblChecklist[TargetID],
    tblChecklist[PlayerSort],
    0
   ),
  IF(sort=0,500,sort)
 )
)</f>
        <v>500</v>
      </c>
      <c r="I1143" s="49" t="str">
        <f t="array" ref="I1143">_xlfn.XLOOKUP(
 B1143,
 tblTargetStatus[TargetID],
 tblTargetStatus[Status],
 ""
)</f>
        <v>BLOCKED</v>
      </c>
      <c r="J1143" s="45" t="b">
        <v>0</v>
      </c>
    </row>
    <row r="1144" ht="14.25" hidden="1" customHeight="1">
      <c r="A1144" s="49" t="s">
        <v>2812</v>
      </c>
      <c r="B1144" s="49" t="str">
        <f>IFERROR(__xludf.DUMMYFUNCTION("REGEXREPLACE(
 REGEXREPLACE(A1144,""^cost\."",""""),
 ""\.[^.]+\.[^.]+$"",
 """"
)"),"collection.pantry_3@2")</f>
        <v>collection.pantry_3@2</v>
      </c>
      <c r="C1144" s="49" t="str">
        <f t="array" ref="C1144">_xlfn.XLOOKUP(
 B1144,
 tblTargets[TargetID],
 tblTargets[DisplayName],
 ""
)</f>
        <v>Pantry 3 Lv 2</v>
      </c>
      <c r="D1144" s="49" t="str">
        <f t="array" ref="D1144">_xlfn.XLOOKUP(
 B1144,
 tblTargets[TargetID],
 tblTargets[TargetType],
 ""
)</f>
        <v>COLLECTION</v>
      </c>
      <c r="E1144" s="49" t="s">
        <v>283</v>
      </c>
      <c r="F1144" s="49">
        <v>1.0</v>
      </c>
      <c r="G1144" s="49">
        <f t="array" ref="G1144">_xlfn.XLOOKUP(
 A1144,
 tblCost[RequirementID],
 tblCost[QuantityRequired],
 ""
)</f>
        <v>200</v>
      </c>
      <c r="H1144" s="49">
        <f t="array" ref="H1144">IF(
 OR(
  LEFT(B1144,15)="state.character",
  RIGHT(B1144,6)=".maxed"
 ),
 0,
 LET(
  sort,
   _xlfn.XLOOKUP(
    B1144,
    tblChecklist[TargetID],
    tblChecklist[PlayerSort],
    0
   ),
  IF(sort=0,500,sort)
 )
)</f>
        <v>500</v>
      </c>
      <c r="I1144" s="49" t="str">
        <f t="array" ref="I1144">_xlfn.XLOOKUP(
 B1144,
 tblTargetStatus[TargetID],
 tblTargetStatus[Status],
 ""
)</f>
        <v>BLOCKED</v>
      </c>
      <c r="J1144" s="45" t="b">
        <v>0</v>
      </c>
    </row>
    <row r="1145" ht="14.25" hidden="1" customHeight="1">
      <c r="A1145" s="49" t="s">
        <v>2815</v>
      </c>
      <c r="B1145" s="49" t="str">
        <f>IFERROR(__xludf.DUMMYFUNCTION("REGEXREPLACE(
 REGEXREPLACE(A1145,""^cost\."",""""),
 ""\.[^.]+\.[^.]+$"",
 """"
)"),"collection.pantry_3@2")</f>
        <v>collection.pantry_3@2</v>
      </c>
      <c r="C1145" s="49" t="str">
        <f t="array" ref="C1145">_xlfn.XLOOKUP(
 B1145,
 tblTargets[TargetID],
 tblTargets[DisplayName],
 ""
)</f>
        <v>Pantry 3 Lv 2</v>
      </c>
      <c r="D1145" s="49" t="str">
        <f t="array" ref="D1145">_xlfn.XLOOKUP(
 B1145,
 tblTargets[TargetID],
 tblTargets[TargetType],
 ""
)</f>
        <v>COLLECTION</v>
      </c>
      <c r="E1145" s="49" t="s">
        <v>113</v>
      </c>
      <c r="F1145" s="49">
        <v>1.0</v>
      </c>
      <c r="G1145" s="49">
        <f t="array" ref="G1145">_xlfn.XLOOKUP(
 A1145,
 tblCost[RequirementID],
 tblCost[QuantityRequired],
 ""
)</f>
        <v>200</v>
      </c>
      <c r="H1145" s="49">
        <f t="array" ref="H1145">IF(
 OR(
  LEFT(B1145,15)="state.character",
  RIGHT(B1145,6)=".maxed"
 ),
 0,
 LET(
  sort,
   _xlfn.XLOOKUP(
    B1145,
    tblChecklist[TargetID],
    tblChecklist[PlayerSort],
    0
   ),
  IF(sort=0,500,sort)
 )
)</f>
        <v>500</v>
      </c>
      <c r="I1145" s="49" t="str">
        <f t="array" ref="I1145">_xlfn.XLOOKUP(
 B1145,
 tblTargetStatus[TargetID],
 tblTargetStatus[Status],
 ""
)</f>
        <v>BLOCKED</v>
      </c>
      <c r="J1145" s="45" t="b">
        <v>0</v>
      </c>
    </row>
    <row r="1146" ht="14.25" hidden="1" customHeight="1">
      <c r="A1146" s="49" t="s">
        <v>2817</v>
      </c>
      <c r="B1146" s="49" t="str">
        <f>IFERROR(__xludf.DUMMYFUNCTION("REGEXREPLACE(
 REGEXREPLACE(A1146,""^cost\."",""""),
 ""\.[^.]+\.[^.]+$"",
 """"
)"),"collection.pantry_3@2")</f>
        <v>collection.pantry_3@2</v>
      </c>
      <c r="C1146" s="49" t="str">
        <f t="array" ref="C1146">_xlfn.XLOOKUP(
 B1146,
 tblTargets[TargetID],
 tblTargets[DisplayName],
 ""
)</f>
        <v>Pantry 3 Lv 2</v>
      </c>
      <c r="D1146" s="49" t="str">
        <f t="array" ref="D1146">_xlfn.XLOOKUP(
 B1146,
 tblTargets[TargetID],
 tblTargets[TargetType],
 ""
)</f>
        <v>COLLECTION</v>
      </c>
      <c r="E1146" s="49" t="s">
        <v>318</v>
      </c>
      <c r="F1146" s="49">
        <v>1.0</v>
      </c>
      <c r="G1146" s="49">
        <f t="array" ref="G1146">_xlfn.XLOOKUP(
 A1146,
 tblCost[RequirementID],
 tblCost[QuantityRequired],
 ""
)</f>
        <v>200</v>
      </c>
      <c r="H1146" s="49">
        <f t="array" ref="H1146">IF(
 OR(
  LEFT(B1146,15)="state.character",
  RIGHT(B1146,6)=".maxed"
 ),
 0,
 LET(
  sort,
   _xlfn.XLOOKUP(
    B1146,
    tblChecklist[TargetID],
    tblChecklist[PlayerSort],
    0
   ),
  IF(sort=0,500,sort)
 )
)</f>
        <v>500</v>
      </c>
      <c r="I1146" s="49" t="str">
        <f t="array" ref="I1146">_xlfn.XLOOKUP(
 B1146,
 tblTargetStatus[TargetID],
 tblTargetStatus[Status],
 ""
)</f>
        <v>BLOCKED</v>
      </c>
      <c r="J1146" s="45" t="b">
        <v>0</v>
      </c>
    </row>
    <row r="1147" ht="14.25" hidden="1" customHeight="1">
      <c r="A1147" s="49" t="s">
        <v>2819</v>
      </c>
      <c r="B1147" s="49" t="str">
        <f>IFERROR(__xludf.DUMMYFUNCTION("REGEXREPLACE(
 REGEXREPLACE(A1147,""^cost\."",""""),
 ""\.[^.]+\.[^.]+$"",
 """"
)"),"collection.pantry_3@2")</f>
        <v>collection.pantry_3@2</v>
      </c>
      <c r="C1147" s="49" t="str">
        <f t="array" ref="C1147">_xlfn.XLOOKUP(
 B1147,
 tblTargets[TargetID],
 tblTargets[DisplayName],
 ""
)</f>
        <v>Pantry 3 Lv 2</v>
      </c>
      <c r="D1147" s="49" t="str">
        <f t="array" ref="D1147">_xlfn.XLOOKUP(
 B1147,
 tblTargets[TargetID],
 tblTargets[TargetType],
 ""
)</f>
        <v>COLLECTION</v>
      </c>
      <c r="E1147" s="49" t="s">
        <v>2811</v>
      </c>
      <c r="F1147" s="49">
        <v>1.0</v>
      </c>
      <c r="G1147" s="49">
        <f t="array" ref="G1147">_xlfn.XLOOKUP(
 A1147,
 tblCost[RequirementID],
 tblCost[QuantityRequired],
 ""
)</f>
        <v>200</v>
      </c>
      <c r="H1147" s="49">
        <f t="array" ref="H1147">IF(
 OR(
  LEFT(B1147,15)="state.character",
  RIGHT(B1147,6)=".maxed"
 ),
 0,
 LET(
  sort,
   _xlfn.XLOOKUP(
    B1147,
    tblChecklist[TargetID],
    tblChecklist[PlayerSort],
    0
   ),
  IF(sort=0,500,sort)
 )
)</f>
        <v>500</v>
      </c>
      <c r="I1147" s="49" t="str">
        <f t="array" ref="I1147">_xlfn.XLOOKUP(
 B1147,
 tblTargetStatus[TargetID],
 tblTargetStatus[Status],
 ""
)</f>
        <v>BLOCKED</v>
      </c>
      <c r="J1147" s="45" t="b">
        <v>0</v>
      </c>
    </row>
    <row r="1148" ht="14.25" hidden="1" customHeight="1">
      <c r="A1148" s="49" t="s">
        <v>2821</v>
      </c>
      <c r="B1148" s="49" t="str">
        <f>IFERROR(__xludf.DUMMYFUNCTION("REGEXREPLACE(
 REGEXREPLACE(A1148,""^cost\."",""""),
 ""\.[^.]+\.[^.]+$"",
 """"
)"),"collection.pantry_3@3")</f>
        <v>collection.pantry_3@3</v>
      </c>
      <c r="C1148" s="49" t="str">
        <f t="array" ref="C1148">_xlfn.XLOOKUP(
 B1148,
 tblTargets[TargetID],
 tblTargets[DisplayName],
 ""
)</f>
        <v>Pantry 3 Lv 3</v>
      </c>
      <c r="D1148" s="49" t="str">
        <f t="array" ref="D1148">_xlfn.XLOOKUP(
 B1148,
 tblTargets[TargetID],
 tblTargets[TargetType],
 ""
)</f>
        <v>COLLECTION</v>
      </c>
      <c r="E1148" s="49" t="s">
        <v>283</v>
      </c>
      <c r="F1148" s="49">
        <v>1.0</v>
      </c>
      <c r="G1148" s="49">
        <f t="array" ref="G1148">_xlfn.XLOOKUP(
 A1148,
 tblCost[RequirementID],
 tblCost[QuantityRequired],
 ""
)</f>
        <v>300</v>
      </c>
      <c r="H1148" s="49">
        <f t="array" ref="H1148">IF(
 OR(
  LEFT(B1148,15)="state.character",
  RIGHT(B1148,6)=".maxed"
 ),
 0,
 LET(
  sort,
   _xlfn.XLOOKUP(
    B1148,
    tblChecklist[TargetID],
    tblChecklist[PlayerSort],
    0
   ),
  IF(sort=0,500,sort)
 )
)</f>
        <v>500</v>
      </c>
      <c r="I1148" s="49" t="str">
        <f t="array" ref="I1148">_xlfn.XLOOKUP(
 B1148,
 tblTargetStatus[TargetID],
 tblTargetStatus[Status],
 ""
)</f>
        <v>BLOCKED</v>
      </c>
      <c r="J1148" s="45" t="b">
        <v>0</v>
      </c>
    </row>
    <row r="1149" ht="14.25" hidden="1" customHeight="1">
      <c r="A1149" s="49" t="s">
        <v>2823</v>
      </c>
      <c r="B1149" s="49" t="str">
        <f>IFERROR(__xludf.DUMMYFUNCTION("REGEXREPLACE(
 REGEXREPLACE(A1149,""^cost\."",""""),
 ""\.[^.]+\.[^.]+$"",
 """"
)"),"collection.pantry_3@3")</f>
        <v>collection.pantry_3@3</v>
      </c>
      <c r="C1149" s="49" t="str">
        <f t="array" ref="C1149">_xlfn.XLOOKUP(
 B1149,
 tblTargets[TargetID],
 tblTargets[DisplayName],
 ""
)</f>
        <v>Pantry 3 Lv 3</v>
      </c>
      <c r="D1149" s="49" t="str">
        <f t="array" ref="D1149">_xlfn.XLOOKUP(
 B1149,
 tblTargets[TargetID],
 tblTargets[TargetType],
 ""
)</f>
        <v>COLLECTION</v>
      </c>
      <c r="E1149" s="49" t="s">
        <v>113</v>
      </c>
      <c r="F1149" s="49">
        <v>1.0</v>
      </c>
      <c r="G1149" s="49">
        <f t="array" ref="G1149">_xlfn.XLOOKUP(
 A1149,
 tblCost[RequirementID],
 tblCost[QuantityRequired],
 ""
)</f>
        <v>300</v>
      </c>
      <c r="H1149" s="49">
        <f t="array" ref="H1149">IF(
 OR(
  LEFT(B1149,15)="state.character",
  RIGHT(B1149,6)=".maxed"
 ),
 0,
 LET(
  sort,
   _xlfn.XLOOKUP(
    B1149,
    tblChecklist[TargetID],
    tblChecklist[PlayerSort],
    0
   ),
  IF(sort=0,500,sort)
 )
)</f>
        <v>500</v>
      </c>
      <c r="I1149" s="49" t="str">
        <f t="array" ref="I1149">_xlfn.XLOOKUP(
 B1149,
 tblTargetStatus[TargetID],
 tblTargetStatus[Status],
 ""
)</f>
        <v>BLOCKED</v>
      </c>
      <c r="J1149" s="45" t="b">
        <v>0</v>
      </c>
    </row>
    <row r="1150" ht="14.25" hidden="1" customHeight="1">
      <c r="A1150" s="49" t="s">
        <v>2825</v>
      </c>
      <c r="B1150" s="49" t="str">
        <f>IFERROR(__xludf.DUMMYFUNCTION("REGEXREPLACE(
 REGEXREPLACE(A1150,""^cost\."",""""),
 ""\.[^.]+\.[^.]+$"",
 """"
)"),"collection.pantry_3@3")</f>
        <v>collection.pantry_3@3</v>
      </c>
      <c r="C1150" s="49" t="str">
        <f t="array" ref="C1150">_xlfn.XLOOKUP(
 B1150,
 tblTargets[TargetID],
 tblTargets[DisplayName],
 ""
)</f>
        <v>Pantry 3 Lv 3</v>
      </c>
      <c r="D1150" s="49" t="str">
        <f t="array" ref="D1150">_xlfn.XLOOKUP(
 B1150,
 tblTargets[TargetID],
 tblTargets[TargetType],
 ""
)</f>
        <v>COLLECTION</v>
      </c>
      <c r="E1150" s="49" t="s">
        <v>318</v>
      </c>
      <c r="F1150" s="49">
        <v>1.0</v>
      </c>
      <c r="G1150" s="49">
        <f t="array" ref="G1150">_xlfn.XLOOKUP(
 A1150,
 tblCost[RequirementID],
 tblCost[QuantityRequired],
 ""
)</f>
        <v>300</v>
      </c>
      <c r="H1150" s="49">
        <f t="array" ref="H1150">IF(
 OR(
  LEFT(B1150,15)="state.character",
  RIGHT(B1150,6)=".maxed"
 ),
 0,
 LET(
  sort,
   _xlfn.XLOOKUP(
    B1150,
    tblChecklist[TargetID],
    tblChecklist[PlayerSort],
    0
   ),
  IF(sort=0,500,sort)
 )
)</f>
        <v>500</v>
      </c>
      <c r="I1150" s="49" t="str">
        <f t="array" ref="I1150">_xlfn.XLOOKUP(
 B1150,
 tblTargetStatus[TargetID],
 tblTargetStatus[Status],
 ""
)</f>
        <v>BLOCKED</v>
      </c>
      <c r="J1150" s="45" t="b">
        <v>0</v>
      </c>
    </row>
    <row r="1151" ht="14.25" hidden="1" customHeight="1">
      <c r="A1151" s="49" t="s">
        <v>2827</v>
      </c>
      <c r="B1151" s="49" t="str">
        <f>IFERROR(__xludf.DUMMYFUNCTION("REGEXREPLACE(
 REGEXREPLACE(A1151,""^cost\."",""""),
 ""\.[^.]+\.[^.]+$"",
 """"
)"),"collection.pantry_3@3")</f>
        <v>collection.pantry_3@3</v>
      </c>
      <c r="C1151" s="49" t="str">
        <f t="array" ref="C1151">_xlfn.XLOOKUP(
 B1151,
 tblTargets[TargetID],
 tblTargets[DisplayName],
 ""
)</f>
        <v>Pantry 3 Lv 3</v>
      </c>
      <c r="D1151" s="49" t="str">
        <f t="array" ref="D1151">_xlfn.XLOOKUP(
 B1151,
 tblTargets[TargetID],
 tblTargets[TargetType],
 ""
)</f>
        <v>COLLECTION</v>
      </c>
      <c r="E1151" s="49" t="s">
        <v>2811</v>
      </c>
      <c r="F1151" s="49">
        <v>1.0</v>
      </c>
      <c r="G1151" s="49">
        <f t="array" ref="G1151">_xlfn.XLOOKUP(
 A1151,
 tblCost[RequirementID],
 tblCost[QuantityRequired],
 ""
)</f>
        <v>300</v>
      </c>
      <c r="H1151" s="49">
        <f t="array" ref="H1151">IF(
 OR(
  LEFT(B1151,15)="state.character",
  RIGHT(B1151,6)=".maxed"
 ),
 0,
 LET(
  sort,
   _xlfn.XLOOKUP(
    B1151,
    tblChecklist[TargetID],
    tblChecklist[PlayerSort],
    0
   ),
  IF(sort=0,500,sort)
 )
)</f>
        <v>500</v>
      </c>
      <c r="I1151" s="49" t="str">
        <f t="array" ref="I1151">_xlfn.XLOOKUP(
 B1151,
 tblTargetStatus[TargetID],
 tblTargetStatus[Status],
 ""
)</f>
        <v>BLOCKED</v>
      </c>
      <c r="J1151" s="45" t="b">
        <v>0</v>
      </c>
    </row>
    <row r="1152" ht="14.25" hidden="1" customHeight="1">
      <c r="A1152" s="49" t="s">
        <v>2829</v>
      </c>
      <c r="B1152" s="49" t="str">
        <f>IFERROR(__xludf.DUMMYFUNCTION("REGEXREPLACE(
 REGEXREPLACE(A1152,""^cost\."",""""),
 ""\.[^.]+\.[^.]+$"",
 """"
)"),"collection.pantry_3@4")</f>
        <v>collection.pantry_3@4</v>
      </c>
      <c r="C1152" s="49" t="str">
        <f t="array" ref="C1152">_xlfn.XLOOKUP(
 B1152,
 tblTargets[TargetID],
 tblTargets[DisplayName],
 ""
)</f>
        <v>Pantry 3 Lv 4</v>
      </c>
      <c r="D1152" s="49" t="str">
        <f t="array" ref="D1152">_xlfn.XLOOKUP(
 B1152,
 tblTargets[TargetID],
 tblTargets[TargetType],
 ""
)</f>
        <v>COLLECTION</v>
      </c>
      <c r="E1152" s="49" t="s">
        <v>283</v>
      </c>
      <c r="F1152" s="49">
        <v>1.0</v>
      </c>
      <c r="G1152" s="49">
        <f t="array" ref="G1152">_xlfn.XLOOKUP(
 A1152,
 tblCost[RequirementID],
 tblCost[QuantityRequired],
 ""
)</f>
        <v>400</v>
      </c>
      <c r="H1152" s="49">
        <f t="array" ref="H1152">IF(
 OR(
  LEFT(B1152,15)="state.character",
  RIGHT(B1152,6)=".maxed"
 ),
 0,
 LET(
  sort,
   _xlfn.XLOOKUP(
    B1152,
    tblChecklist[TargetID],
    tblChecklist[PlayerSort],
    0
   ),
  IF(sort=0,500,sort)
 )
)</f>
        <v>500</v>
      </c>
      <c r="I1152" s="49" t="str">
        <f t="array" ref="I1152">_xlfn.XLOOKUP(
 B1152,
 tblTargetStatus[TargetID],
 tblTargetStatus[Status],
 ""
)</f>
        <v>BLOCKED</v>
      </c>
      <c r="J1152" s="45" t="b">
        <v>0</v>
      </c>
    </row>
    <row r="1153" ht="14.25" hidden="1" customHeight="1">
      <c r="A1153" s="49" t="s">
        <v>2831</v>
      </c>
      <c r="B1153" s="49" t="str">
        <f>IFERROR(__xludf.DUMMYFUNCTION("REGEXREPLACE(
 REGEXREPLACE(A1153,""^cost\."",""""),
 ""\.[^.]+\.[^.]+$"",
 """"
)"),"collection.pantry_3@4")</f>
        <v>collection.pantry_3@4</v>
      </c>
      <c r="C1153" s="49" t="str">
        <f t="array" ref="C1153">_xlfn.XLOOKUP(
 B1153,
 tblTargets[TargetID],
 tblTargets[DisplayName],
 ""
)</f>
        <v>Pantry 3 Lv 4</v>
      </c>
      <c r="D1153" s="49" t="str">
        <f t="array" ref="D1153">_xlfn.XLOOKUP(
 B1153,
 tblTargets[TargetID],
 tblTargets[TargetType],
 ""
)</f>
        <v>COLLECTION</v>
      </c>
      <c r="E1153" s="49" t="s">
        <v>113</v>
      </c>
      <c r="F1153" s="49">
        <v>1.0</v>
      </c>
      <c r="G1153" s="49">
        <f t="array" ref="G1153">_xlfn.XLOOKUP(
 A1153,
 tblCost[RequirementID],
 tblCost[QuantityRequired],
 ""
)</f>
        <v>400</v>
      </c>
      <c r="H1153" s="49">
        <f t="array" ref="H1153">IF(
 OR(
  LEFT(B1153,15)="state.character",
  RIGHT(B1153,6)=".maxed"
 ),
 0,
 LET(
  sort,
   _xlfn.XLOOKUP(
    B1153,
    tblChecklist[TargetID],
    tblChecklist[PlayerSort],
    0
   ),
  IF(sort=0,500,sort)
 )
)</f>
        <v>500</v>
      </c>
      <c r="I1153" s="49" t="str">
        <f t="array" ref="I1153">_xlfn.XLOOKUP(
 B1153,
 tblTargetStatus[TargetID],
 tblTargetStatus[Status],
 ""
)</f>
        <v>BLOCKED</v>
      </c>
      <c r="J1153" s="45" t="b">
        <v>0</v>
      </c>
    </row>
    <row r="1154" ht="14.25" hidden="1" customHeight="1">
      <c r="A1154" s="49" t="s">
        <v>2833</v>
      </c>
      <c r="B1154" s="49" t="str">
        <f>IFERROR(__xludf.DUMMYFUNCTION("REGEXREPLACE(
 REGEXREPLACE(A1154,""^cost\."",""""),
 ""\.[^.]+\.[^.]+$"",
 """"
)"),"collection.pantry_3@4")</f>
        <v>collection.pantry_3@4</v>
      </c>
      <c r="C1154" s="49" t="str">
        <f t="array" ref="C1154">_xlfn.XLOOKUP(
 B1154,
 tblTargets[TargetID],
 tblTargets[DisplayName],
 ""
)</f>
        <v>Pantry 3 Lv 4</v>
      </c>
      <c r="D1154" s="49" t="str">
        <f t="array" ref="D1154">_xlfn.XLOOKUP(
 B1154,
 tblTargets[TargetID],
 tblTargets[TargetType],
 ""
)</f>
        <v>COLLECTION</v>
      </c>
      <c r="E1154" s="49" t="s">
        <v>318</v>
      </c>
      <c r="F1154" s="49">
        <v>1.0</v>
      </c>
      <c r="G1154" s="49">
        <f t="array" ref="G1154">_xlfn.XLOOKUP(
 A1154,
 tblCost[RequirementID],
 tblCost[QuantityRequired],
 ""
)</f>
        <v>400</v>
      </c>
      <c r="H1154" s="49">
        <f t="array" ref="H1154">IF(
 OR(
  LEFT(B1154,15)="state.character",
  RIGHT(B1154,6)=".maxed"
 ),
 0,
 LET(
  sort,
   _xlfn.XLOOKUP(
    B1154,
    tblChecklist[TargetID],
    tblChecklist[PlayerSort],
    0
   ),
  IF(sort=0,500,sort)
 )
)</f>
        <v>500</v>
      </c>
      <c r="I1154" s="49" t="str">
        <f t="array" ref="I1154">_xlfn.XLOOKUP(
 B1154,
 tblTargetStatus[TargetID],
 tblTargetStatus[Status],
 ""
)</f>
        <v>BLOCKED</v>
      </c>
      <c r="J1154" s="45" t="b">
        <v>0</v>
      </c>
    </row>
    <row r="1155" ht="14.25" hidden="1" customHeight="1">
      <c r="A1155" s="49" t="s">
        <v>2835</v>
      </c>
      <c r="B1155" s="49" t="str">
        <f>IFERROR(__xludf.DUMMYFUNCTION("REGEXREPLACE(
 REGEXREPLACE(A1155,""^cost\."",""""),
 ""\.[^.]+\.[^.]+$"",
 """"
)"),"collection.pantry_3@4")</f>
        <v>collection.pantry_3@4</v>
      </c>
      <c r="C1155" s="49" t="str">
        <f t="array" ref="C1155">_xlfn.XLOOKUP(
 B1155,
 tblTargets[TargetID],
 tblTargets[DisplayName],
 ""
)</f>
        <v>Pantry 3 Lv 4</v>
      </c>
      <c r="D1155" s="49" t="str">
        <f t="array" ref="D1155">_xlfn.XLOOKUP(
 B1155,
 tblTargets[TargetID],
 tblTargets[TargetType],
 ""
)</f>
        <v>COLLECTION</v>
      </c>
      <c r="E1155" s="49" t="s">
        <v>2811</v>
      </c>
      <c r="F1155" s="49">
        <v>1.0</v>
      </c>
      <c r="G1155" s="49">
        <f t="array" ref="G1155">_xlfn.XLOOKUP(
 A1155,
 tblCost[RequirementID],
 tblCost[QuantityRequired],
 ""
)</f>
        <v>400</v>
      </c>
      <c r="H1155" s="49">
        <f t="array" ref="H1155">IF(
 OR(
  LEFT(B1155,15)="state.character",
  RIGHT(B1155,6)=".maxed"
 ),
 0,
 LET(
  sort,
   _xlfn.XLOOKUP(
    B1155,
    tblChecklist[TargetID],
    tblChecklist[PlayerSort],
    0
   ),
  IF(sort=0,500,sort)
 )
)</f>
        <v>500</v>
      </c>
      <c r="I1155" s="49" t="str">
        <f t="array" ref="I1155">_xlfn.XLOOKUP(
 B1155,
 tblTargetStatus[TargetID],
 tblTargetStatus[Status],
 ""
)</f>
        <v>BLOCKED</v>
      </c>
      <c r="J1155" s="45" t="b">
        <v>0</v>
      </c>
    </row>
    <row r="1156" ht="14.25" hidden="1" customHeight="1">
      <c r="A1156" s="49" t="s">
        <v>2837</v>
      </c>
      <c r="B1156" s="49" t="str">
        <f>IFERROR(__xludf.DUMMYFUNCTION("REGEXREPLACE(
 REGEXREPLACE(A1156,""^cost\."",""""),
 ""\.[^.]+\.[^.]+$"",
 """"
)"),"collection.pantry_3@5")</f>
        <v>collection.pantry_3@5</v>
      </c>
      <c r="C1156" s="49" t="str">
        <f t="array" ref="C1156">_xlfn.XLOOKUP(
 B1156,
 tblTargets[TargetID],
 tblTargets[DisplayName],
 ""
)</f>
        <v>Pantry 3 Lv 5</v>
      </c>
      <c r="D1156" s="49" t="str">
        <f t="array" ref="D1156">_xlfn.XLOOKUP(
 B1156,
 tblTargets[TargetID],
 tblTargets[TargetType],
 ""
)</f>
        <v>COLLECTION</v>
      </c>
      <c r="E1156" s="49" t="s">
        <v>283</v>
      </c>
      <c r="F1156" s="49">
        <v>1.0</v>
      </c>
      <c r="G1156" s="49">
        <f t="array" ref="G1156">_xlfn.XLOOKUP(
 A1156,
 tblCost[RequirementID],
 tblCost[QuantityRequired],
 ""
)</f>
        <v>500</v>
      </c>
      <c r="H1156" s="49">
        <f t="array" ref="H1156">IF(
 OR(
  LEFT(B1156,15)="state.character",
  RIGHT(B1156,6)=".maxed"
 ),
 0,
 LET(
  sort,
   _xlfn.XLOOKUP(
    B1156,
    tblChecklist[TargetID],
    tblChecklist[PlayerSort],
    0
   ),
  IF(sort=0,500,sort)
 )
)</f>
        <v>26</v>
      </c>
      <c r="I1156" s="49" t="str">
        <f t="array" ref="I1156">_xlfn.XLOOKUP(
 B1156,
 tblTargetStatus[TargetID],
 tblTargetStatus[Status],
 ""
)</f>
        <v>BLOCKED</v>
      </c>
      <c r="J1156" s="45" t="b">
        <v>0</v>
      </c>
    </row>
    <row r="1157" ht="14.25" hidden="1" customHeight="1">
      <c r="A1157" s="49" t="s">
        <v>2839</v>
      </c>
      <c r="B1157" s="49" t="str">
        <f>IFERROR(__xludf.DUMMYFUNCTION("REGEXREPLACE(
 REGEXREPLACE(A1157,""^cost\."",""""),
 ""\.[^.]+\.[^.]+$"",
 """"
)"),"collection.pantry_3@5")</f>
        <v>collection.pantry_3@5</v>
      </c>
      <c r="C1157" s="49" t="str">
        <f t="array" ref="C1157">_xlfn.XLOOKUP(
 B1157,
 tblTargets[TargetID],
 tblTargets[DisplayName],
 ""
)</f>
        <v>Pantry 3 Lv 5</v>
      </c>
      <c r="D1157" s="49" t="str">
        <f t="array" ref="D1157">_xlfn.XLOOKUP(
 B1157,
 tblTargets[TargetID],
 tblTargets[TargetType],
 ""
)</f>
        <v>COLLECTION</v>
      </c>
      <c r="E1157" s="49" t="s">
        <v>113</v>
      </c>
      <c r="F1157" s="49">
        <v>1.0</v>
      </c>
      <c r="G1157" s="49">
        <f t="array" ref="G1157">_xlfn.XLOOKUP(
 A1157,
 tblCost[RequirementID],
 tblCost[QuantityRequired],
 ""
)</f>
        <v>500</v>
      </c>
      <c r="H1157" s="49">
        <f t="array" ref="H1157">IF(
 OR(
  LEFT(B1157,15)="state.character",
  RIGHT(B1157,6)=".maxed"
 ),
 0,
 LET(
  sort,
   _xlfn.XLOOKUP(
    B1157,
    tblChecklist[TargetID],
    tblChecklist[PlayerSort],
    0
   ),
  IF(sort=0,500,sort)
 )
)</f>
        <v>26</v>
      </c>
      <c r="I1157" s="49" t="str">
        <f t="array" ref="I1157">_xlfn.XLOOKUP(
 B1157,
 tblTargetStatus[TargetID],
 tblTargetStatus[Status],
 ""
)</f>
        <v>BLOCKED</v>
      </c>
      <c r="J1157" s="45" t="b">
        <v>0</v>
      </c>
    </row>
    <row r="1158" ht="14.25" hidden="1" customHeight="1">
      <c r="A1158" s="49" t="s">
        <v>2841</v>
      </c>
      <c r="B1158" s="49" t="str">
        <f>IFERROR(__xludf.DUMMYFUNCTION("REGEXREPLACE(
 REGEXREPLACE(A1158,""^cost\."",""""),
 ""\.[^.]+\.[^.]+$"",
 """"
)"),"collection.pantry_3@5")</f>
        <v>collection.pantry_3@5</v>
      </c>
      <c r="C1158" s="49" t="str">
        <f t="array" ref="C1158">_xlfn.XLOOKUP(
 B1158,
 tblTargets[TargetID],
 tblTargets[DisplayName],
 ""
)</f>
        <v>Pantry 3 Lv 5</v>
      </c>
      <c r="D1158" s="49" t="str">
        <f t="array" ref="D1158">_xlfn.XLOOKUP(
 B1158,
 tblTargets[TargetID],
 tblTargets[TargetType],
 ""
)</f>
        <v>COLLECTION</v>
      </c>
      <c r="E1158" s="49" t="s">
        <v>318</v>
      </c>
      <c r="F1158" s="49">
        <v>1.0</v>
      </c>
      <c r="G1158" s="49">
        <f t="array" ref="G1158">_xlfn.XLOOKUP(
 A1158,
 tblCost[RequirementID],
 tblCost[QuantityRequired],
 ""
)</f>
        <v>500</v>
      </c>
      <c r="H1158" s="49">
        <f t="array" ref="H1158">IF(
 OR(
  LEFT(B1158,15)="state.character",
  RIGHT(B1158,6)=".maxed"
 ),
 0,
 LET(
  sort,
   _xlfn.XLOOKUP(
    B1158,
    tblChecklist[TargetID],
    tblChecklist[PlayerSort],
    0
   ),
  IF(sort=0,500,sort)
 )
)</f>
        <v>26</v>
      </c>
      <c r="I1158" s="49" t="str">
        <f t="array" ref="I1158">_xlfn.XLOOKUP(
 B1158,
 tblTargetStatus[TargetID],
 tblTargetStatus[Status],
 ""
)</f>
        <v>BLOCKED</v>
      </c>
      <c r="J1158" s="45" t="b">
        <v>0</v>
      </c>
    </row>
    <row r="1159" ht="14.25" hidden="1" customHeight="1">
      <c r="A1159" s="49" t="s">
        <v>2843</v>
      </c>
      <c r="B1159" s="49" t="str">
        <f>IFERROR(__xludf.DUMMYFUNCTION("REGEXREPLACE(
 REGEXREPLACE(A1159,""^cost\."",""""),
 ""\.[^.]+\.[^.]+$"",
 """"
)"),"collection.pantry_3@5")</f>
        <v>collection.pantry_3@5</v>
      </c>
      <c r="C1159" s="49" t="str">
        <f t="array" ref="C1159">_xlfn.XLOOKUP(
 B1159,
 tblTargets[TargetID],
 tblTargets[DisplayName],
 ""
)</f>
        <v>Pantry 3 Lv 5</v>
      </c>
      <c r="D1159" s="49" t="str">
        <f t="array" ref="D1159">_xlfn.XLOOKUP(
 B1159,
 tblTargets[TargetID],
 tblTargets[TargetType],
 ""
)</f>
        <v>COLLECTION</v>
      </c>
      <c r="E1159" s="49" t="s">
        <v>2811</v>
      </c>
      <c r="F1159" s="49">
        <v>1.0</v>
      </c>
      <c r="G1159" s="49">
        <f t="array" ref="G1159">_xlfn.XLOOKUP(
 A1159,
 tblCost[RequirementID],
 tblCost[QuantityRequired],
 ""
)</f>
        <v>500</v>
      </c>
      <c r="H1159" s="49">
        <f t="array" ref="H1159">IF(
 OR(
  LEFT(B1159,15)="state.character",
  RIGHT(B1159,6)=".maxed"
 ),
 0,
 LET(
  sort,
   _xlfn.XLOOKUP(
    B1159,
    tblChecklist[TargetID],
    tblChecklist[PlayerSort],
    0
   ),
  IF(sort=0,500,sort)
 )
)</f>
        <v>26</v>
      </c>
      <c r="I1159" s="49" t="str">
        <f t="array" ref="I1159">_xlfn.XLOOKUP(
 B1159,
 tblTargetStatus[TargetID],
 tblTargetStatus[Status],
 ""
)</f>
        <v>BLOCKED</v>
      </c>
      <c r="J1159" s="45" t="b">
        <v>0</v>
      </c>
    </row>
    <row r="1160" ht="14.25" hidden="1" customHeight="1">
      <c r="A1160" s="49" t="s">
        <v>2845</v>
      </c>
      <c r="B1160" s="49" t="str">
        <f>IFERROR(__xludf.DUMMYFUNCTION("REGEXREPLACE(
 REGEXREPLACE(A1160,""^cost\."",""""),
 ""\.[^.]+\.[^.]+$"",
 """"
)"),"collection.pantry_4@1")</f>
        <v>collection.pantry_4@1</v>
      </c>
      <c r="C1160" s="49" t="str">
        <f t="array" ref="C1160">_xlfn.XLOOKUP(
 B1160,
 tblTargets[TargetID],
 tblTargets[DisplayName],
 ""
)</f>
        <v>Pantry 4 Lv 1</v>
      </c>
      <c r="D1160" s="49" t="str">
        <f t="array" ref="D1160">_xlfn.XLOOKUP(
 B1160,
 tblTargets[TargetID],
 tblTargets[TargetType],
 ""
)</f>
        <v>COLLECTION</v>
      </c>
      <c r="E1160" s="49" t="s">
        <v>452</v>
      </c>
      <c r="F1160" s="49">
        <v>1.0</v>
      </c>
      <c r="G1160" s="49">
        <f t="array" ref="G1160">_xlfn.XLOOKUP(
 A1160,
 tblCost[RequirementID],
 tblCost[QuantityRequired],
 ""
)</f>
        <v>20</v>
      </c>
      <c r="H1160" s="49">
        <f t="array" ref="H1160">IF(
 OR(
  LEFT(B1160,15)="state.character",
  RIGHT(B1160,6)=".maxed"
 ),
 0,
 LET(
  sort,
   _xlfn.XLOOKUP(
    B1160,
    tblChecklist[TargetID],
    tblChecklist[PlayerSort],
    0
   ),
  IF(sort=0,500,sort)
 )
)</f>
        <v>500</v>
      </c>
      <c r="I1160" s="49" t="str">
        <f t="array" ref="I1160">_xlfn.XLOOKUP(
 B1160,
 tblTargetStatus[TargetID],
 tblTargetStatus[Status],
 ""
)</f>
        <v>BLOCKED</v>
      </c>
      <c r="J1160" s="45" t="b">
        <v>0</v>
      </c>
    </row>
    <row r="1161" ht="14.25" hidden="1" customHeight="1">
      <c r="A1161" s="49" t="s">
        <v>2847</v>
      </c>
      <c r="B1161" s="49" t="str">
        <f>IFERROR(__xludf.DUMMYFUNCTION("REGEXREPLACE(
 REGEXREPLACE(A1161,""^cost\."",""""),
 ""\.[^.]+\.[^.]+$"",
 """"
)"),"collection.pantry_4@1")</f>
        <v>collection.pantry_4@1</v>
      </c>
      <c r="C1161" s="49" t="str">
        <f t="array" ref="C1161">_xlfn.XLOOKUP(
 B1161,
 tblTargets[TargetID],
 tblTargets[DisplayName],
 ""
)</f>
        <v>Pantry 4 Lv 1</v>
      </c>
      <c r="D1161" s="49" t="str">
        <f t="array" ref="D1161">_xlfn.XLOOKUP(
 B1161,
 tblTargets[TargetID],
 tblTargets[TargetType],
 ""
)</f>
        <v>COLLECTION</v>
      </c>
      <c r="E1161" s="49" t="s">
        <v>533</v>
      </c>
      <c r="F1161" s="49">
        <v>1.0</v>
      </c>
      <c r="G1161" s="49">
        <f t="array" ref="G1161">_xlfn.XLOOKUP(
 A1161,
 tblCost[RequirementID],
 tblCost[QuantityRequired],
 ""
)</f>
        <v>20</v>
      </c>
      <c r="H1161" s="49">
        <f t="array" ref="H1161">IF(
 OR(
  LEFT(B1161,15)="state.character",
  RIGHT(B1161,6)=".maxed"
 ),
 0,
 LET(
  sort,
   _xlfn.XLOOKUP(
    B1161,
    tblChecklist[TargetID],
    tblChecklist[PlayerSort],
    0
   ),
  IF(sort=0,500,sort)
 )
)</f>
        <v>500</v>
      </c>
      <c r="I1161" s="49" t="str">
        <f t="array" ref="I1161">_xlfn.XLOOKUP(
 B1161,
 tblTargetStatus[TargetID],
 tblTargetStatus[Status],
 ""
)</f>
        <v>BLOCKED</v>
      </c>
      <c r="J1161" s="45" t="b">
        <v>0</v>
      </c>
    </row>
    <row r="1162" ht="14.25" hidden="1" customHeight="1">
      <c r="A1162" s="49" t="s">
        <v>2848</v>
      </c>
      <c r="B1162" s="49" t="str">
        <f>IFERROR(__xludf.DUMMYFUNCTION("REGEXREPLACE(
 REGEXREPLACE(A1162,""^cost\."",""""),
 ""\.[^.]+\.[^.]+$"",
 """"
)"),"collection.pantry_4@1")</f>
        <v>collection.pantry_4@1</v>
      </c>
      <c r="C1162" s="49" t="str">
        <f t="array" ref="C1162">_xlfn.XLOOKUP(
 B1162,
 tblTargets[TargetID],
 tblTargets[DisplayName],
 ""
)</f>
        <v>Pantry 4 Lv 1</v>
      </c>
      <c r="D1162" s="49" t="str">
        <f t="array" ref="D1162">_xlfn.XLOOKUP(
 B1162,
 tblTargets[TargetID],
 tblTargets[TargetType],
 ""
)</f>
        <v>COLLECTION</v>
      </c>
      <c r="E1162" s="49" t="s">
        <v>2849</v>
      </c>
      <c r="F1162" s="49">
        <v>1.0</v>
      </c>
      <c r="G1162" s="49">
        <f t="array" ref="G1162">_xlfn.XLOOKUP(
 A1162,
 tblCost[RequirementID],
 tblCost[QuantityRequired],
 ""
)</f>
        <v>10</v>
      </c>
      <c r="H1162" s="49">
        <f t="array" ref="H1162">IF(
 OR(
  LEFT(B1162,15)="state.character",
  RIGHT(B1162,6)=".maxed"
 ),
 0,
 LET(
  sort,
   _xlfn.XLOOKUP(
    B1162,
    tblChecklist[TargetID],
    tblChecklist[PlayerSort],
    0
   ),
  IF(sort=0,500,sort)
 )
)</f>
        <v>500</v>
      </c>
      <c r="I1162" s="49" t="str">
        <f t="array" ref="I1162">_xlfn.XLOOKUP(
 B1162,
 tblTargetStatus[TargetID],
 tblTargetStatus[Status],
 ""
)</f>
        <v>BLOCKED</v>
      </c>
      <c r="J1162" s="45" t="b">
        <v>0</v>
      </c>
    </row>
    <row r="1163" ht="14.25" hidden="1" customHeight="1">
      <c r="A1163" s="49" t="s">
        <v>2851</v>
      </c>
      <c r="B1163" s="49" t="str">
        <f>IFERROR(__xludf.DUMMYFUNCTION("REGEXREPLACE(
 REGEXREPLACE(A1163,""^cost\."",""""),
 ""\.[^.]+\.[^.]+$"",
 """"
)"),"collection.rotten_ladder@1")</f>
        <v>collection.rotten_ladder@1</v>
      </c>
      <c r="C1163" s="49" t="str">
        <f t="array" ref="C1163">_xlfn.XLOOKUP(
 B1163,
 tblTargets[TargetID],
 tblTargets[DisplayName],
 ""
)</f>
        <v>Rotten Ladder</v>
      </c>
      <c r="D1163" s="49" t="str">
        <f t="array" ref="D1163">_xlfn.XLOOKUP(
 B1163,
 tblTargets[TargetID],
 tblTargets[TargetType],
 ""
)</f>
        <v>COLLECTION</v>
      </c>
      <c r="E1163" s="49" t="s">
        <v>187</v>
      </c>
      <c r="F1163" s="49">
        <v>1.0</v>
      </c>
      <c r="G1163" s="49">
        <f t="array" ref="G1163">_xlfn.XLOOKUP(
 A1163,
 tblCost[RequirementID],
 tblCost[QuantityRequired],
 ""
)</f>
        <v>200</v>
      </c>
      <c r="H1163" s="49">
        <f t="array" ref="H1163">IF(
 OR(
  LEFT(B1163,15)="state.character",
  RIGHT(B1163,6)=".maxed"
 ),
 0,
 LET(
  sort,
   _xlfn.XLOOKUP(
    B1163,
    tblChecklist[TargetID],
    tblChecklist[PlayerSort],
    0
   ),
  IF(sort=0,500,sort)
 )
)</f>
        <v>500</v>
      </c>
      <c r="I1163" s="49" t="str">
        <f t="array" ref="I1163">_xlfn.XLOOKUP(
 B1163,
 tblTargetStatus[TargetID],
 tblTargetStatus[Status],
 ""
)</f>
        <v>BLOCKED</v>
      </c>
      <c r="J1163" s="45" t="b">
        <v>0</v>
      </c>
    </row>
    <row r="1164" ht="14.25" hidden="1" customHeight="1">
      <c r="A1164" s="49" t="s">
        <v>2853</v>
      </c>
      <c r="B1164" s="49" t="str">
        <f>IFERROR(__xludf.DUMMYFUNCTION("REGEXREPLACE(
 REGEXREPLACE(A1164,""^cost\."",""""),
 ""\.[^.]+\.[^.]+$"",
 """"
)"),"collection.staircase@1")</f>
        <v>collection.staircase@1</v>
      </c>
      <c r="C1164" s="49" t="str">
        <f t="array" ref="C1164">_xlfn.XLOOKUP(
 B1164,
 tblTargets[TargetID],
 tblTargets[DisplayName],
 ""
)</f>
        <v>Collection Staircase</v>
      </c>
      <c r="D1164" s="49" t="str">
        <f t="array" ref="D1164">_xlfn.XLOOKUP(
 B1164,
 tblTargets[TargetID],
 tblTargets[TargetType],
 ""
)</f>
        <v>COLLECTION</v>
      </c>
      <c r="E1164" s="49" t="s">
        <v>278</v>
      </c>
      <c r="F1164" s="49">
        <v>1.0</v>
      </c>
      <c r="G1164" s="49">
        <f t="array" ref="G1164">_xlfn.XLOOKUP(
 A1164,
 tblCost[RequirementID],
 tblCost[QuantityRequired],
 ""
)</f>
        <v>50</v>
      </c>
      <c r="H1164" s="49">
        <f t="array" ref="H1164">IF(
 OR(
  LEFT(B1164,15)="state.character",
  RIGHT(B1164,6)=".maxed"
 ),
 0,
 LET(
  sort,
   _xlfn.XLOOKUP(
    B1164,
    tblChecklist[TargetID],
    tblChecklist[PlayerSort],
    0
   ),
  IF(sort=0,500,sort)
 )
)</f>
        <v>500</v>
      </c>
      <c r="I1164" s="49" t="str">
        <f t="array" ref="I1164">_xlfn.XLOOKUP(
 B1164,
 tblTargetStatus[TargetID],
 tblTargetStatus[Status],
 ""
)</f>
        <v>BLOCKED</v>
      </c>
      <c r="J1164" s="45" t="b">
        <v>0</v>
      </c>
    </row>
    <row r="1165" ht="14.25" hidden="1" customHeight="1">
      <c r="A1165" s="49" t="s">
        <v>2855</v>
      </c>
      <c r="B1165" s="49" t="str">
        <f>IFERROR(__xludf.DUMMYFUNCTION("REGEXREPLACE(
 REGEXREPLACE(A1165,""^cost\."",""""),
 ""\.[^.]+\.[^.]+$"",
 """"
)"),"collection.staircase@1")</f>
        <v>collection.staircase@1</v>
      </c>
      <c r="C1165" s="49" t="str">
        <f t="array" ref="C1165">_xlfn.XLOOKUP(
 B1165,
 tblTargets[TargetID],
 tblTargets[DisplayName],
 ""
)</f>
        <v>Collection Staircase</v>
      </c>
      <c r="D1165" s="49" t="str">
        <f t="array" ref="D1165">_xlfn.XLOOKUP(
 B1165,
 tblTargets[TargetID],
 tblTargets[TargetType],
 ""
)</f>
        <v>COLLECTION</v>
      </c>
      <c r="E1165" s="49" t="s">
        <v>1055</v>
      </c>
      <c r="F1165" s="49">
        <v>1.0</v>
      </c>
      <c r="G1165" s="49">
        <f t="array" ref="G1165">_xlfn.XLOOKUP(
 A1165,
 tblCost[RequirementID],
 tblCost[QuantityRequired],
 ""
)</f>
        <v>5</v>
      </c>
      <c r="H1165" s="49">
        <f t="array" ref="H1165">IF(
 OR(
  LEFT(B1165,15)="state.character",
  RIGHT(B1165,6)=".maxed"
 ),
 0,
 LET(
  sort,
   _xlfn.XLOOKUP(
    B1165,
    tblChecklist[TargetID],
    tblChecklist[PlayerSort],
    0
   ),
  IF(sort=0,500,sort)
 )
)</f>
        <v>500</v>
      </c>
      <c r="I1165" s="49" t="str">
        <f t="array" ref="I1165">_xlfn.XLOOKUP(
 B1165,
 tblTargetStatus[TargetID],
 tblTargetStatus[Status],
 ""
)</f>
        <v>BLOCKED</v>
      </c>
      <c r="J1165" s="45" t="b">
        <v>0</v>
      </c>
    </row>
    <row r="1166" ht="14.25" hidden="1" customHeight="1">
      <c r="A1166" s="49" t="s">
        <v>2857</v>
      </c>
      <c r="B1166" s="49" t="str">
        <f>IFERROR(__xludf.DUMMYFUNCTION("REGEXREPLACE(
 REGEXREPLACE(A1166,""^cost\."",""""),
 ""\.[^.]+\.[^.]+$"",
 """"
)"),"collection.staircase@1")</f>
        <v>collection.staircase@1</v>
      </c>
      <c r="C1166" s="49" t="str">
        <f t="array" ref="C1166">_xlfn.XLOOKUP(
 B1166,
 tblTargets[TargetID],
 tblTargets[DisplayName],
 ""
)</f>
        <v>Collection Staircase</v>
      </c>
      <c r="D1166" s="49" t="str">
        <f t="array" ref="D1166">_xlfn.XLOOKUP(
 B1166,
 tblTargets[TargetID],
 tblTargets[TargetType],
 ""
)</f>
        <v>COLLECTION</v>
      </c>
      <c r="E1166" s="49" t="s">
        <v>2337</v>
      </c>
      <c r="F1166" s="49">
        <v>1.0</v>
      </c>
      <c r="G1166" s="49">
        <f t="array" ref="G1166">_xlfn.XLOOKUP(
 A1166,
 tblCost[RequirementID],
 tblCost[QuantityRequired],
 ""
)</f>
        <v>10</v>
      </c>
      <c r="H1166" s="49">
        <f t="array" ref="H1166">IF(
 OR(
  LEFT(B1166,15)="state.character",
  RIGHT(B1166,6)=".maxed"
 ),
 0,
 LET(
  sort,
   _xlfn.XLOOKUP(
    B1166,
    tblChecklist[TargetID],
    tblChecklist[PlayerSort],
    0
   ),
  IF(sort=0,500,sort)
 )
)</f>
        <v>500</v>
      </c>
      <c r="I1166" s="49" t="str">
        <f t="array" ref="I1166">_xlfn.XLOOKUP(
 B1166,
 tblTargetStatus[TargetID],
 tblTargetStatus[Status],
 ""
)</f>
        <v>BLOCKED</v>
      </c>
      <c r="J1166" s="45" t="b">
        <v>0</v>
      </c>
    </row>
    <row r="1167" ht="14.25" hidden="1" customHeight="1">
      <c r="A1167" s="49" t="s">
        <v>2859</v>
      </c>
      <c r="B1167" s="49" t="str">
        <f>IFERROR(__xludf.DUMMYFUNCTION("REGEXREPLACE(
 REGEXREPLACE(A1167,""^cost\."",""""),
 ""\.[^.]+\.[^.]+$"",
 """"
)"),"collection.staircase@1")</f>
        <v>collection.staircase@1</v>
      </c>
      <c r="C1167" s="49" t="str">
        <f t="array" ref="C1167">_xlfn.XLOOKUP(
 B1167,
 tblTargets[TargetID],
 tblTargets[DisplayName],
 ""
)</f>
        <v>Collection Staircase</v>
      </c>
      <c r="D1167" s="49" t="str">
        <f t="array" ref="D1167">_xlfn.XLOOKUP(
 B1167,
 tblTargets[TargetID],
 tblTargets[TargetType],
 ""
)</f>
        <v>COLLECTION</v>
      </c>
      <c r="E1167" s="49" t="s">
        <v>237</v>
      </c>
      <c r="F1167" s="49">
        <v>1.0</v>
      </c>
      <c r="G1167" s="49">
        <f t="array" ref="G1167">_xlfn.XLOOKUP(
 A1167,
 tblCost[RequirementID],
 tblCost[QuantityRequired],
 ""
)</f>
        <v>150</v>
      </c>
      <c r="H1167" s="49">
        <f t="array" ref="H1167">IF(
 OR(
  LEFT(B1167,15)="state.character",
  RIGHT(B1167,6)=".maxed"
 ),
 0,
 LET(
  sort,
   _xlfn.XLOOKUP(
    B1167,
    tblChecklist[TargetID],
    tblChecklist[PlayerSort],
    0
   ),
  IF(sort=0,500,sort)
 )
)</f>
        <v>500</v>
      </c>
      <c r="I1167" s="49" t="str">
        <f t="array" ref="I1167">_xlfn.XLOOKUP(
 B1167,
 tblTargetStatus[TargetID],
 tblTargetStatus[Status],
 ""
)</f>
        <v>BLOCKED</v>
      </c>
      <c r="J1167" s="45" t="b">
        <v>0</v>
      </c>
    </row>
    <row r="1168" ht="14.25" hidden="1" customHeight="1">
      <c r="A1168" s="49" t="s">
        <v>2861</v>
      </c>
      <c r="B1168" s="49" t="str">
        <f>IFERROR(__xludf.DUMMYFUNCTION("REGEXREPLACE(
 REGEXREPLACE(A1168,""^cost\."",""""),
 ""\.[^.]+\.[^.]+$"",
 """"
)"),"collection.statue@1")</f>
        <v>collection.statue@1</v>
      </c>
      <c r="C1168" s="49" t="str">
        <f t="array" ref="C1168">_xlfn.XLOOKUP(
 B1168,
 tblTargets[TargetID],
 tblTargets[DisplayName],
 ""
)</f>
        <v>Statue Lv 1</v>
      </c>
      <c r="D1168" s="49" t="str">
        <f t="array" ref="D1168">_xlfn.XLOOKUP(
 B1168,
 tblTargets[TargetID],
 tblTargets[TargetType],
 ""
)</f>
        <v>COLLECTION</v>
      </c>
      <c r="E1168" s="49" t="s">
        <v>237</v>
      </c>
      <c r="F1168" s="49">
        <v>1.0</v>
      </c>
      <c r="G1168" s="49">
        <f t="array" ref="G1168">_xlfn.XLOOKUP(
 A1168,
 tblCost[RequirementID],
 tblCost[QuantityRequired],
 ""
)</f>
        <v>200</v>
      </c>
      <c r="H1168" s="49">
        <f t="array" ref="H1168">IF(
 OR(
  LEFT(B1168,15)="state.character",
  RIGHT(B1168,6)=".maxed"
 ),
 0,
 LET(
  sort,
   _xlfn.XLOOKUP(
    B1168,
    tblChecklist[TargetID],
    tblChecklist[PlayerSort],
    0
   ),
  IF(sort=0,500,sort)
 )
)</f>
        <v>500</v>
      </c>
      <c r="I1168" s="49" t="str">
        <f t="array" ref="I1168">_xlfn.XLOOKUP(
 B1168,
 tblTargetStatus[TargetID],
 tblTargetStatus[Status],
 ""
)</f>
        <v>BLOCKED</v>
      </c>
      <c r="J1168" s="45" t="b">
        <v>0</v>
      </c>
    </row>
    <row r="1169" ht="14.25" hidden="1" customHeight="1">
      <c r="A1169" s="49" t="s">
        <v>2863</v>
      </c>
      <c r="B1169" s="49" t="str">
        <f>IFERROR(__xludf.DUMMYFUNCTION("REGEXREPLACE(
 REGEXREPLACE(A1169,""^cost\."",""""),
 ""\.[^.]+\.[^.]+$"",
 """"
)"),"collection.tavern@1")</f>
        <v>collection.tavern@1</v>
      </c>
      <c r="C1169" s="49" t="str">
        <f t="array" ref="C1169">_xlfn.XLOOKUP(
 B1169,
 tblTargets[TargetID],
 tblTargets[DisplayName],
 ""
)</f>
        <v>Tavern Lv 1</v>
      </c>
      <c r="D1169" s="49" t="str">
        <f t="array" ref="D1169">_xlfn.XLOOKUP(
 B1169,
 tblTargets[TargetID],
 tblTargets[TargetType],
 ""
)</f>
        <v>COLLECTION</v>
      </c>
      <c r="E1169" s="49" t="s">
        <v>2864</v>
      </c>
      <c r="F1169" s="49">
        <v>1.0</v>
      </c>
      <c r="G1169" s="49">
        <f t="array" ref="G1169">_xlfn.XLOOKUP(
 A1169,
 tblCost[RequirementID],
 tblCost[QuantityRequired],
 ""
)</f>
        <v>10</v>
      </c>
      <c r="H1169" s="49">
        <f t="array" ref="H1169">IF(
 OR(
  LEFT(B1169,15)="state.character",
  RIGHT(B1169,6)=".maxed"
 ),
 0,
 LET(
  sort,
   _xlfn.XLOOKUP(
    B1169,
    tblChecklist[TargetID],
    tblChecklist[PlayerSort],
    0
   ),
  IF(sort=0,500,sort)
 )
)</f>
        <v>500</v>
      </c>
      <c r="I1169" s="49" t="str">
        <f t="array" ref="I1169">_xlfn.XLOOKUP(
 B1169,
 tblTargetStatus[TargetID],
 tblTargetStatus[Status],
 ""
)</f>
        <v>BLOCKED</v>
      </c>
      <c r="J1169" s="45" t="b">
        <v>0</v>
      </c>
    </row>
    <row r="1170" ht="14.25" hidden="1" customHeight="1">
      <c r="A1170" s="49" t="s">
        <v>2866</v>
      </c>
      <c r="B1170" s="49" t="str">
        <f>IFERROR(__xludf.DUMMYFUNCTION("REGEXREPLACE(
 REGEXREPLACE(A1170,""^cost\."",""""),
 ""\.[^.]+\.[^.]+$"",
 """"
)"),"collection.tavern@1")</f>
        <v>collection.tavern@1</v>
      </c>
      <c r="C1170" s="49" t="str">
        <f t="array" ref="C1170">_xlfn.XLOOKUP(
 B1170,
 tblTargets[TargetID],
 tblTargets[DisplayName],
 ""
)</f>
        <v>Tavern Lv 1</v>
      </c>
      <c r="D1170" s="49" t="str">
        <f t="array" ref="D1170">_xlfn.XLOOKUP(
 B1170,
 tblTargets[TargetID],
 tblTargets[TargetType],
 ""
)</f>
        <v>COLLECTION</v>
      </c>
      <c r="E1170" s="49" t="s">
        <v>2868</v>
      </c>
      <c r="F1170" s="49">
        <v>1.0</v>
      </c>
      <c r="G1170" s="49">
        <f t="array" ref="G1170">_xlfn.XLOOKUP(
 A1170,
 tblCost[RequirementID],
 tblCost[QuantityRequired],
 ""
)</f>
        <v>10</v>
      </c>
      <c r="H1170" s="49">
        <f t="array" ref="H1170">IF(
 OR(
  LEFT(B1170,15)="state.character",
  RIGHT(B1170,6)=".maxed"
 ),
 0,
 LET(
  sort,
   _xlfn.XLOOKUP(
    B1170,
    tblChecklist[TargetID],
    tblChecklist[PlayerSort],
    0
   ),
  IF(sort=0,500,sort)
 )
)</f>
        <v>500</v>
      </c>
      <c r="I1170" s="49" t="str">
        <f t="array" ref="I1170">_xlfn.XLOOKUP(
 B1170,
 tblTargetStatus[TargetID],
 tblTargetStatus[Status],
 ""
)</f>
        <v>BLOCKED</v>
      </c>
      <c r="J1170" s="45" t="b">
        <v>0</v>
      </c>
    </row>
    <row r="1171" ht="14.25" hidden="1" customHeight="1">
      <c r="A1171" s="49" t="s">
        <v>2869</v>
      </c>
      <c r="B1171" s="49" t="str">
        <f>IFERROR(__xludf.DUMMYFUNCTION("REGEXREPLACE(
 REGEXREPLACE(A1171,""^cost\."",""""),
 ""\.[^.]+\.[^.]+$"",
 """"
)"),"collection.tavern@1")</f>
        <v>collection.tavern@1</v>
      </c>
      <c r="C1171" s="49" t="str">
        <f t="array" ref="C1171">_xlfn.XLOOKUP(
 B1171,
 tblTargets[TargetID],
 tblTargets[DisplayName],
 ""
)</f>
        <v>Tavern Lv 1</v>
      </c>
      <c r="D1171" s="49" t="str">
        <f t="array" ref="D1171">_xlfn.XLOOKUP(
 B1171,
 tblTargets[TargetID],
 tblTargets[TargetType],
 ""
)</f>
        <v>COLLECTION</v>
      </c>
      <c r="E1171" s="49" t="s">
        <v>2871</v>
      </c>
      <c r="F1171" s="49">
        <v>1.0</v>
      </c>
      <c r="G1171" s="49">
        <f t="array" ref="G1171">_xlfn.XLOOKUP(
 A1171,
 tblCost[RequirementID],
 tblCost[QuantityRequired],
 ""
)</f>
        <v>10</v>
      </c>
      <c r="H1171" s="49">
        <f t="array" ref="H1171">IF(
 OR(
  LEFT(B1171,15)="state.character",
  RIGHT(B1171,6)=".maxed"
 ),
 0,
 LET(
  sort,
   _xlfn.XLOOKUP(
    B1171,
    tblChecklist[TargetID],
    tblChecklist[PlayerSort],
    0
   ),
  IF(sort=0,500,sort)
 )
)</f>
        <v>500</v>
      </c>
      <c r="I1171" s="49" t="str">
        <f t="array" ref="I1171">_xlfn.XLOOKUP(
 B1171,
 tblTargetStatus[TargetID],
 tblTargetStatus[Status],
 ""
)</f>
        <v>BLOCKED</v>
      </c>
      <c r="J1171" s="45" t="b">
        <v>0</v>
      </c>
    </row>
    <row r="1172" ht="14.25" hidden="1" customHeight="1">
      <c r="A1172" s="49" t="s">
        <v>2872</v>
      </c>
      <c r="B1172" s="49" t="str">
        <f>IFERROR(__xludf.DUMMYFUNCTION("REGEXREPLACE(
 REGEXREPLACE(A1172,""^cost\."",""""),
 ""\.[^.]+\.[^.]+$"",
 """"
)"),"collection.tavern@1")</f>
        <v>collection.tavern@1</v>
      </c>
      <c r="C1172" s="49" t="str">
        <f t="array" ref="C1172">_xlfn.XLOOKUP(
 B1172,
 tblTargets[TargetID],
 tblTargets[DisplayName],
 ""
)</f>
        <v>Tavern Lv 1</v>
      </c>
      <c r="D1172" s="49" t="str">
        <f t="array" ref="D1172">_xlfn.XLOOKUP(
 B1172,
 tblTargets[TargetID],
 tblTargets[TargetType],
 ""
)</f>
        <v>COLLECTION</v>
      </c>
      <c r="E1172" s="49" t="s">
        <v>2874</v>
      </c>
      <c r="F1172" s="49">
        <v>1.0</v>
      </c>
      <c r="G1172" s="49">
        <f t="array" ref="G1172">_xlfn.XLOOKUP(
 A1172,
 tblCost[RequirementID],
 tblCost[QuantityRequired],
 ""
)</f>
        <v>20</v>
      </c>
      <c r="H1172" s="49">
        <f t="array" ref="H1172">IF(
 OR(
  LEFT(B1172,15)="state.character",
  RIGHT(B1172,6)=".maxed"
 ),
 0,
 LET(
  sort,
   _xlfn.XLOOKUP(
    B1172,
    tblChecklist[TargetID],
    tblChecklist[PlayerSort],
    0
   ),
  IF(sort=0,500,sort)
 )
)</f>
        <v>500</v>
      </c>
      <c r="I1172" s="49" t="str">
        <f t="array" ref="I1172">_xlfn.XLOOKUP(
 B1172,
 tblTargetStatus[TargetID],
 tblTargetStatus[Status],
 ""
)</f>
        <v>BLOCKED</v>
      </c>
      <c r="J1172" s="45" t="b">
        <v>0</v>
      </c>
    </row>
    <row r="1173" ht="14.25" hidden="1" customHeight="1">
      <c r="A1173" s="49" t="s">
        <v>2876</v>
      </c>
      <c r="B1173" s="49" t="str">
        <f>IFERROR(__xludf.DUMMYFUNCTION("REGEXREPLACE(
 REGEXREPLACE(A1173,""^cost\."",""""),
 ""\.[^.]+\.[^.]+$"",
 """"
)"),"collection.tavern@1")</f>
        <v>collection.tavern@1</v>
      </c>
      <c r="C1173" s="49" t="str">
        <f t="array" ref="C1173">_xlfn.XLOOKUP(
 B1173,
 tblTargets[TargetID],
 tblTargets[DisplayName],
 ""
)</f>
        <v>Tavern Lv 1</v>
      </c>
      <c r="D1173" s="49" t="str">
        <f t="array" ref="D1173">_xlfn.XLOOKUP(
 B1173,
 tblTargets[TargetID],
 tblTargets[TargetType],
 ""
)</f>
        <v>COLLECTION</v>
      </c>
      <c r="E1173" s="49" t="s">
        <v>2877</v>
      </c>
      <c r="F1173" s="49">
        <v>1.0</v>
      </c>
      <c r="G1173" s="49">
        <f t="array" ref="G1173">_xlfn.XLOOKUP(
 A1173,
 tblCost[RequirementID],
 tblCost[QuantityRequired],
 ""
)</f>
        <v>10</v>
      </c>
      <c r="H1173" s="49">
        <f t="array" ref="H1173">IF(
 OR(
  LEFT(B1173,15)="state.character",
  RIGHT(B1173,6)=".maxed"
 ),
 0,
 LET(
  sort,
   _xlfn.XLOOKUP(
    B1173,
    tblChecklist[TargetID],
    tblChecklist[PlayerSort],
    0
   ),
  IF(sort=0,500,sort)
 )
)</f>
        <v>500</v>
      </c>
      <c r="I1173" s="49" t="str">
        <f t="array" ref="I1173">_xlfn.XLOOKUP(
 B1173,
 tblTargetStatus[TargetID],
 tblTargetStatus[Status],
 ""
)</f>
        <v>BLOCKED</v>
      </c>
      <c r="J1173" s="45" t="b">
        <v>0</v>
      </c>
    </row>
    <row r="1174" ht="14.25" hidden="1" customHeight="1">
      <c r="A1174" s="49" t="s">
        <v>2879</v>
      </c>
      <c r="B1174" s="49" t="str">
        <f>IFERROR(__xludf.DUMMYFUNCTION("REGEXREPLACE(
 REGEXREPLACE(A1174,""^cost\."",""""),
 ""\.[^.]+\.[^.]+$"",
 """"
)"),"collection.tavern@1")</f>
        <v>collection.tavern@1</v>
      </c>
      <c r="C1174" s="49" t="str">
        <f t="array" ref="C1174">_xlfn.XLOOKUP(
 B1174,
 tblTargets[TargetID],
 tblTargets[DisplayName],
 ""
)</f>
        <v>Tavern Lv 1</v>
      </c>
      <c r="D1174" s="49" t="str">
        <f t="array" ref="D1174">_xlfn.XLOOKUP(
 B1174,
 tblTargets[TargetID],
 tblTargets[TargetType],
 ""
)</f>
        <v>COLLECTION</v>
      </c>
      <c r="E1174" s="49" t="s">
        <v>576</v>
      </c>
      <c r="F1174" s="49">
        <v>1.0</v>
      </c>
      <c r="G1174" s="49">
        <f t="array" ref="G1174">_xlfn.XLOOKUP(
 A1174,
 tblCost[RequirementID],
 tblCost[QuantityRequired],
 ""
)</f>
        <v>10</v>
      </c>
      <c r="H1174" s="49">
        <f t="array" ref="H1174">IF(
 OR(
  LEFT(B1174,15)="state.character",
  RIGHT(B1174,6)=".maxed"
 ),
 0,
 LET(
  sort,
   _xlfn.XLOOKUP(
    B1174,
    tblChecklist[TargetID],
    tblChecklist[PlayerSort],
    0
   ),
  IF(sort=0,500,sort)
 )
)</f>
        <v>500</v>
      </c>
      <c r="I1174" s="49" t="str">
        <f t="array" ref="I1174">_xlfn.XLOOKUP(
 B1174,
 tblTargetStatus[TargetID],
 tblTargetStatus[Status],
 ""
)</f>
        <v>BLOCKED</v>
      </c>
      <c r="J1174" s="45" t="b">
        <v>0</v>
      </c>
    </row>
    <row r="1175" ht="14.25" hidden="1" customHeight="1">
      <c r="A1175" s="49" t="s">
        <v>2881</v>
      </c>
      <c r="B1175" s="49" t="str">
        <f>IFERROR(__xludf.DUMMYFUNCTION("REGEXREPLACE(
 REGEXREPLACE(A1175,""^cost\."",""""),
 ""\.[^.]+\.[^.]+$"",
 """"
)"),"collection.tavern@1")</f>
        <v>collection.tavern@1</v>
      </c>
      <c r="C1175" s="49" t="str">
        <f t="array" ref="C1175">_xlfn.XLOOKUP(
 B1175,
 tblTargets[TargetID],
 tblTargets[DisplayName],
 ""
)</f>
        <v>Tavern Lv 1</v>
      </c>
      <c r="D1175" s="49" t="str">
        <f t="array" ref="D1175">_xlfn.XLOOKUP(
 B1175,
 tblTargets[TargetID],
 tblTargets[TargetType],
 ""
)</f>
        <v>COLLECTION</v>
      </c>
      <c r="E1175" s="49" t="s">
        <v>2882</v>
      </c>
      <c r="F1175" s="49">
        <v>1.0</v>
      </c>
      <c r="G1175" s="49">
        <f t="array" ref="G1175">_xlfn.XLOOKUP(
 A1175,
 tblCost[RequirementID],
 tblCost[QuantityRequired],
 ""
)</f>
        <v>10</v>
      </c>
      <c r="H1175" s="49">
        <f t="array" ref="H1175">IF(
 OR(
  LEFT(B1175,15)="state.character",
  RIGHT(B1175,6)=".maxed"
 ),
 0,
 LET(
  sort,
   _xlfn.XLOOKUP(
    B1175,
    tblChecklist[TargetID],
    tblChecklist[PlayerSort],
    0
   ),
  IF(sort=0,500,sort)
 )
)</f>
        <v>500</v>
      </c>
      <c r="I1175" s="49" t="str">
        <f t="array" ref="I1175">_xlfn.XLOOKUP(
 B1175,
 tblTargetStatus[TargetID],
 tblTargetStatus[Status],
 ""
)</f>
        <v>BLOCKED</v>
      </c>
      <c r="J1175" s="45" t="b">
        <v>0</v>
      </c>
    </row>
    <row r="1176" ht="14.25" hidden="1" customHeight="1">
      <c r="A1176" s="49" t="s">
        <v>2884</v>
      </c>
      <c r="B1176" s="49" t="str">
        <f>IFERROR(__xludf.DUMMYFUNCTION("REGEXREPLACE(
 REGEXREPLACE(A1176,""^cost\."",""""),
 ""\.[^.]+\.[^.]+$"",
 """"
)"),"collection.tavern@1")</f>
        <v>collection.tavern@1</v>
      </c>
      <c r="C1176" s="49" t="str">
        <f t="array" ref="C1176">_xlfn.XLOOKUP(
 B1176,
 tblTargets[TargetID],
 tblTargets[DisplayName],
 ""
)</f>
        <v>Tavern Lv 1</v>
      </c>
      <c r="D1176" s="49" t="str">
        <f t="array" ref="D1176">_xlfn.XLOOKUP(
 B1176,
 tblTargets[TargetID],
 tblTargets[TargetType],
 ""
)</f>
        <v>COLLECTION</v>
      </c>
      <c r="E1176" s="49" t="s">
        <v>405</v>
      </c>
      <c r="F1176" s="49">
        <v>1.0</v>
      </c>
      <c r="G1176" s="49">
        <f t="array" ref="G1176">_xlfn.XLOOKUP(
 A1176,
 tblCost[RequirementID],
 tblCost[QuantityRequired],
 ""
)</f>
        <v>10</v>
      </c>
      <c r="H1176" s="49">
        <f t="array" ref="H1176">IF(
 OR(
  LEFT(B1176,15)="state.character",
  RIGHT(B1176,6)=".maxed"
 ),
 0,
 LET(
  sort,
   _xlfn.XLOOKUP(
    B1176,
    tblChecklist[TargetID],
    tblChecklist[PlayerSort],
    0
   ),
  IF(sort=0,500,sort)
 )
)</f>
        <v>500</v>
      </c>
      <c r="I1176" s="49" t="str">
        <f t="array" ref="I1176">_xlfn.XLOOKUP(
 B1176,
 tblTargetStatus[TargetID],
 tblTargetStatus[Status],
 ""
)</f>
        <v>BLOCKED</v>
      </c>
      <c r="J1176" s="45" t="b">
        <v>0</v>
      </c>
    </row>
    <row r="1177" ht="14.25" hidden="1" customHeight="1">
      <c r="A1177" s="49" t="s">
        <v>2886</v>
      </c>
      <c r="B1177" s="49" t="str">
        <f>IFERROR(__xludf.DUMMYFUNCTION("REGEXREPLACE(
 REGEXREPLACE(A1177,""^cost\."",""""),
 ""\.[^.]+\.[^.]+$"",
 """"
)"),"collection.tavern@1")</f>
        <v>collection.tavern@1</v>
      </c>
      <c r="C1177" s="49" t="str">
        <f t="array" ref="C1177">_xlfn.XLOOKUP(
 B1177,
 tblTargets[TargetID],
 tblTargets[DisplayName],
 ""
)</f>
        <v>Tavern Lv 1</v>
      </c>
      <c r="D1177" s="49" t="str">
        <f t="array" ref="D1177">_xlfn.XLOOKUP(
 B1177,
 tblTargets[TargetID],
 tblTargets[TargetType],
 ""
)</f>
        <v>COLLECTION</v>
      </c>
      <c r="E1177" s="49" t="s">
        <v>2887</v>
      </c>
      <c r="F1177" s="49">
        <v>1.0</v>
      </c>
      <c r="G1177" s="49">
        <f t="array" ref="G1177">_xlfn.XLOOKUP(
 A1177,
 tblCost[RequirementID],
 tblCost[QuantityRequired],
 ""
)</f>
        <v>10</v>
      </c>
      <c r="H1177" s="49">
        <f t="array" ref="H1177">IF(
 OR(
  LEFT(B1177,15)="state.character",
  RIGHT(B1177,6)=".maxed"
 ),
 0,
 LET(
  sort,
   _xlfn.XLOOKUP(
    B1177,
    tblChecklist[TargetID],
    tblChecklist[PlayerSort],
    0
   ),
  IF(sort=0,500,sort)
 )
)</f>
        <v>500</v>
      </c>
      <c r="I1177" s="49" t="str">
        <f t="array" ref="I1177">_xlfn.XLOOKUP(
 B1177,
 tblTargetStatus[TargetID],
 tblTargetStatus[Status],
 ""
)</f>
        <v>BLOCKED</v>
      </c>
      <c r="J1177" s="45" t="b">
        <v>0</v>
      </c>
    </row>
    <row r="1178" ht="14.25" hidden="1" customHeight="1">
      <c r="A1178" s="49" t="s">
        <v>2889</v>
      </c>
      <c r="B1178" s="49" t="str">
        <f>IFERROR(__xludf.DUMMYFUNCTION("REGEXREPLACE(
 REGEXREPLACE(A1178,""^cost\."",""""),
 ""\.[^.]+\.[^.]+$"",
 """"
)"),"collection.tavern@2")</f>
        <v>collection.tavern@2</v>
      </c>
      <c r="C1178" s="49" t="str">
        <f t="array" ref="C1178">_xlfn.XLOOKUP(
 B1178,
 tblTargets[TargetID],
 tblTargets[DisplayName],
 ""
)</f>
        <v>Tavern Lv 2</v>
      </c>
      <c r="D1178" s="49" t="str">
        <f t="array" ref="D1178">_xlfn.XLOOKUP(
 B1178,
 tblTargets[TargetID],
 tblTargets[TargetType],
 ""
)</f>
        <v>COLLECTION</v>
      </c>
      <c r="E1178" s="49" t="s">
        <v>2864</v>
      </c>
      <c r="F1178" s="49">
        <v>1.0</v>
      </c>
      <c r="G1178" s="49">
        <f t="array" ref="G1178">_xlfn.XLOOKUP(
 A1178,
 tblCost[RequirementID],
 tblCost[QuantityRequired],
 ""
)</f>
        <v>20</v>
      </c>
      <c r="H1178" s="49">
        <f t="array" ref="H1178">IF(
 OR(
  LEFT(B1178,15)="state.character",
  RIGHT(B1178,6)=".maxed"
 ),
 0,
 LET(
  sort,
   _xlfn.XLOOKUP(
    B1178,
    tblChecklist[TargetID],
    tblChecklist[PlayerSort],
    0
   ),
  IF(sort=0,500,sort)
 )
)</f>
        <v>500</v>
      </c>
      <c r="I1178" s="49" t="str">
        <f t="array" ref="I1178">_xlfn.XLOOKUP(
 B1178,
 tblTargetStatus[TargetID],
 tblTargetStatus[Status],
 ""
)</f>
        <v>BLOCKED</v>
      </c>
      <c r="J1178" s="45" t="b">
        <v>0</v>
      </c>
    </row>
    <row r="1179" ht="14.25" hidden="1" customHeight="1">
      <c r="A1179" s="49" t="s">
        <v>2891</v>
      </c>
      <c r="B1179" s="49" t="str">
        <f>IFERROR(__xludf.DUMMYFUNCTION("REGEXREPLACE(
 REGEXREPLACE(A1179,""^cost\."",""""),
 ""\.[^.]+\.[^.]+$"",
 """"
)"),"collection.tavern@2")</f>
        <v>collection.tavern@2</v>
      </c>
      <c r="C1179" s="49" t="str">
        <f t="array" ref="C1179">_xlfn.XLOOKUP(
 B1179,
 tblTargets[TargetID],
 tblTargets[DisplayName],
 ""
)</f>
        <v>Tavern Lv 2</v>
      </c>
      <c r="D1179" s="49" t="str">
        <f t="array" ref="D1179">_xlfn.XLOOKUP(
 B1179,
 tblTargets[TargetID],
 tblTargets[TargetType],
 ""
)</f>
        <v>COLLECTION</v>
      </c>
      <c r="E1179" s="49" t="s">
        <v>2868</v>
      </c>
      <c r="F1179" s="49">
        <v>1.0</v>
      </c>
      <c r="G1179" s="49">
        <f t="array" ref="G1179">_xlfn.XLOOKUP(
 A1179,
 tblCost[RequirementID],
 tblCost[QuantityRequired],
 ""
)</f>
        <v>20</v>
      </c>
      <c r="H1179" s="49">
        <f t="array" ref="H1179">IF(
 OR(
  LEFT(B1179,15)="state.character",
  RIGHT(B1179,6)=".maxed"
 ),
 0,
 LET(
  sort,
   _xlfn.XLOOKUP(
    B1179,
    tblChecklist[TargetID],
    tblChecklist[PlayerSort],
    0
   ),
  IF(sort=0,500,sort)
 )
)</f>
        <v>500</v>
      </c>
      <c r="I1179" s="49" t="str">
        <f t="array" ref="I1179">_xlfn.XLOOKUP(
 B1179,
 tblTargetStatus[TargetID],
 tblTargetStatus[Status],
 ""
)</f>
        <v>BLOCKED</v>
      </c>
      <c r="J1179" s="45" t="b">
        <v>0</v>
      </c>
    </row>
    <row r="1180" ht="14.25" hidden="1" customHeight="1">
      <c r="A1180" s="49" t="s">
        <v>2892</v>
      </c>
      <c r="B1180" s="49" t="str">
        <f>IFERROR(__xludf.DUMMYFUNCTION("REGEXREPLACE(
 REGEXREPLACE(A1180,""^cost\."",""""),
 ""\.[^.]+\.[^.]+$"",
 """"
)"),"collection.tavern@2")</f>
        <v>collection.tavern@2</v>
      </c>
      <c r="C1180" s="49" t="str">
        <f t="array" ref="C1180">_xlfn.XLOOKUP(
 B1180,
 tblTargets[TargetID],
 tblTargets[DisplayName],
 ""
)</f>
        <v>Tavern Lv 2</v>
      </c>
      <c r="D1180" s="49" t="str">
        <f t="array" ref="D1180">_xlfn.XLOOKUP(
 B1180,
 tblTargets[TargetID],
 tblTargets[TargetType],
 ""
)</f>
        <v>COLLECTION</v>
      </c>
      <c r="E1180" s="49" t="s">
        <v>2871</v>
      </c>
      <c r="F1180" s="49">
        <v>1.0</v>
      </c>
      <c r="G1180" s="49">
        <f t="array" ref="G1180">_xlfn.XLOOKUP(
 A1180,
 tblCost[RequirementID],
 tblCost[QuantityRequired],
 ""
)</f>
        <v>20</v>
      </c>
      <c r="H1180" s="49">
        <f t="array" ref="H1180">IF(
 OR(
  LEFT(B1180,15)="state.character",
  RIGHT(B1180,6)=".maxed"
 ),
 0,
 LET(
  sort,
   _xlfn.XLOOKUP(
    B1180,
    tblChecklist[TargetID],
    tblChecklist[PlayerSort],
    0
   ),
  IF(sort=0,500,sort)
 )
)</f>
        <v>500</v>
      </c>
      <c r="I1180" s="49" t="str">
        <f t="array" ref="I1180">_xlfn.XLOOKUP(
 B1180,
 tblTargetStatus[TargetID],
 tblTargetStatus[Status],
 ""
)</f>
        <v>BLOCKED</v>
      </c>
      <c r="J1180" s="45" t="b">
        <v>0</v>
      </c>
    </row>
    <row r="1181" ht="14.25" hidden="1" customHeight="1">
      <c r="A1181" s="49" t="s">
        <v>2894</v>
      </c>
      <c r="B1181" s="49" t="str">
        <f>IFERROR(__xludf.DUMMYFUNCTION("REGEXREPLACE(
 REGEXREPLACE(A1181,""^cost\."",""""),
 ""\.[^.]+\.[^.]+$"",
 """"
)"),"collection.tavern@2")</f>
        <v>collection.tavern@2</v>
      </c>
      <c r="C1181" s="49" t="str">
        <f t="array" ref="C1181">_xlfn.XLOOKUP(
 B1181,
 tblTargets[TargetID],
 tblTargets[DisplayName],
 ""
)</f>
        <v>Tavern Lv 2</v>
      </c>
      <c r="D1181" s="49" t="str">
        <f t="array" ref="D1181">_xlfn.XLOOKUP(
 B1181,
 tblTargets[TargetID],
 tblTargets[TargetType],
 ""
)</f>
        <v>COLLECTION</v>
      </c>
      <c r="E1181" s="49" t="s">
        <v>2874</v>
      </c>
      <c r="F1181" s="49">
        <v>1.0</v>
      </c>
      <c r="G1181" s="49">
        <f t="array" ref="G1181">_xlfn.XLOOKUP(
 A1181,
 tblCost[RequirementID],
 tblCost[QuantityRequired],
 ""
)</f>
        <v>40</v>
      </c>
      <c r="H1181" s="49">
        <f t="array" ref="H1181">IF(
 OR(
  LEFT(B1181,15)="state.character",
  RIGHT(B1181,6)=".maxed"
 ),
 0,
 LET(
  sort,
   _xlfn.XLOOKUP(
    B1181,
    tblChecklist[TargetID],
    tblChecklist[PlayerSort],
    0
   ),
  IF(sort=0,500,sort)
 )
)</f>
        <v>500</v>
      </c>
      <c r="I1181" s="49" t="str">
        <f t="array" ref="I1181">_xlfn.XLOOKUP(
 B1181,
 tblTargetStatus[TargetID],
 tblTargetStatus[Status],
 ""
)</f>
        <v>BLOCKED</v>
      </c>
      <c r="J1181" s="45" t="b">
        <v>0</v>
      </c>
    </row>
    <row r="1182" ht="14.25" hidden="1" customHeight="1">
      <c r="A1182" s="49" t="s">
        <v>2896</v>
      </c>
      <c r="B1182" s="49" t="str">
        <f>IFERROR(__xludf.DUMMYFUNCTION("REGEXREPLACE(
 REGEXREPLACE(A1182,""^cost\."",""""),
 ""\.[^.]+\.[^.]+$"",
 """"
)"),"collection.tavern@2")</f>
        <v>collection.tavern@2</v>
      </c>
      <c r="C1182" s="49" t="str">
        <f t="array" ref="C1182">_xlfn.XLOOKUP(
 B1182,
 tblTargets[TargetID],
 tblTargets[DisplayName],
 ""
)</f>
        <v>Tavern Lv 2</v>
      </c>
      <c r="D1182" s="49" t="str">
        <f t="array" ref="D1182">_xlfn.XLOOKUP(
 B1182,
 tblTargets[TargetID],
 tblTargets[TargetType],
 ""
)</f>
        <v>COLLECTION</v>
      </c>
      <c r="E1182" s="49" t="s">
        <v>2877</v>
      </c>
      <c r="F1182" s="49">
        <v>1.0</v>
      </c>
      <c r="G1182" s="49">
        <f t="array" ref="G1182">_xlfn.XLOOKUP(
 A1182,
 tblCost[RequirementID],
 tblCost[QuantityRequired],
 ""
)</f>
        <v>20</v>
      </c>
      <c r="H1182" s="49">
        <f t="array" ref="H1182">IF(
 OR(
  LEFT(B1182,15)="state.character",
  RIGHT(B1182,6)=".maxed"
 ),
 0,
 LET(
  sort,
   _xlfn.XLOOKUP(
    B1182,
    tblChecklist[TargetID],
    tblChecklist[PlayerSort],
    0
   ),
  IF(sort=0,500,sort)
 )
)</f>
        <v>500</v>
      </c>
      <c r="I1182" s="49" t="str">
        <f t="array" ref="I1182">_xlfn.XLOOKUP(
 B1182,
 tblTargetStatus[TargetID],
 tblTargetStatus[Status],
 ""
)</f>
        <v>BLOCKED</v>
      </c>
      <c r="J1182" s="45" t="b">
        <v>0</v>
      </c>
    </row>
    <row r="1183" ht="14.25" hidden="1" customHeight="1">
      <c r="A1183" s="49" t="s">
        <v>2899</v>
      </c>
      <c r="B1183" s="49" t="str">
        <f>IFERROR(__xludf.DUMMYFUNCTION("REGEXREPLACE(
 REGEXREPLACE(A1183,""^cost\."",""""),
 ""\.[^.]+\.[^.]+$"",
 """"
)"),"collection.tavern@2")</f>
        <v>collection.tavern@2</v>
      </c>
      <c r="C1183" s="49" t="str">
        <f t="array" ref="C1183">_xlfn.XLOOKUP(
 B1183,
 tblTargets[TargetID],
 tblTargets[DisplayName],
 ""
)</f>
        <v>Tavern Lv 2</v>
      </c>
      <c r="D1183" s="49" t="str">
        <f t="array" ref="D1183">_xlfn.XLOOKUP(
 B1183,
 tblTargets[TargetID],
 tblTargets[TargetType],
 ""
)</f>
        <v>COLLECTION</v>
      </c>
      <c r="E1183" s="49" t="s">
        <v>576</v>
      </c>
      <c r="F1183" s="49">
        <v>1.0</v>
      </c>
      <c r="G1183" s="49">
        <f t="array" ref="G1183">_xlfn.XLOOKUP(
 A1183,
 tblCost[RequirementID],
 tblCost[QuantityRequired],
 ""
)</f>
        <v>20</v>
      </c>
      <c r="H1183" s="49">
        <f t="array" ref="H1183">IF(
 OR(
  LEFT(B1183,15)="state.character",
  RIGHT(B1183,6)=".maxed"
 ),
 0,
 LET(
  sort,
   _xlfn.XLOOKUP(
    B1183,
    tblChecklist[TargetID],
    tblChecklist[PlayerSort],
    0
   ),
  IF(sort=0,500,sort)
 )
)</f>
        <v>500</v>
      </c>
      <c r="I1183" s="49" t="str">
        <f t="array" ref="I1183">_xlfn.XLOOKUP(
 B1183,
 tblTargetStatus[TargetID],
 tblTargetStatus[Status],
 ""
)</f>
        <v>BLOCKED</v>
      </c>
      <c r="J1183" s="45" t="b">
        <v>0</v>
      </c>
    </row>
    <row r="1184" ht="14.25" hidden="1" customHeight="1">
      <c r="A1184" s="49" t="s">
        <v>2901</v>
      </c>
      <c r="B1184" s="49" t="str">
        <f>IFERROR(__xludf.DUMMYFUNCTION("REGEXREPLACE(
 REGEXREPLACE(A1184,""^cost\."",""""),
 ""\.[^.]+\.[^.]+$"",
 """"
)"),"collection.tavern@2")</f>
        <v>collection.tavern@2</v>
      </c>
      <c r="C1184" s="49" t="str">
        <f t="array" ref="C1184">_xlfn.XLOOKUP(
 B1184,
 tblTargets[TargetID],
 tblTargets[DisplayName],
 ""
)</f>
        <v>Tavern Lv 2</v>
      </c>
      <c r="D1184" s="49" t="str">
        <f t="array" ref="D1184">_xlfn.XLOOKUP(
 B1184,
 tblTargets[TargetID],
 tblTargets[TargetType],
 ""
)</f>
        <v>COLLECTION</v>
      </c>
      <c r="E1184" s="49" t="s">
        <v>2882</v>
      </c>
      <c r="F1184" s="49">
        <v>1.0</v>
      </c>
      <c r="G1184" s="49">
        <f t="array" ref="G1184">_xlfn.XLOOKUP(
 A1184,
 tblCost[RequirementID],
 tblCost[QuantityRequired],
 ""
)</f>
        <v>20</v>
      </c>
      <c r="H1184" s="49">
        <f t="array" ref="H1184">IF(
 OR(
  LEFT(B1184,15)="state.character",
  RIGHT(B1184,6)=".maxed"
 ),
 0,
 LET(
  sort,
   _xlfn.XLOOKUP(
    B1184,
    tblChecklist[TargetID],
    tblChecklist[PlayerSort],
    0
   ),
  IF(sort=0,500,sort)
 )
)</f>
        <v>500</v>
      </c>
      <c r="I1184" s="49" t="str">
        <f t="array" ref="I1184">_xlfn.XLOOKUP(
 B1184,
 tblTargetStatus[TargetID],
 tblTargetStatus[Status],
 ""
)</f>
        <v>BLOCKED</v>
      </c>
      <c r="J1184" s="45" t="b">
        <v>0</v>
      </c>
    </row>
    <row r="1185" ht="14.25" hidden="1" customHeight="1">
      <c r="A1185" s="49" t="s">
        <v>2903</v>
      </c>
      <c r="B1185" s="49" t="str">
        <f>IFERROR(__xludf.DUMMYFUNCTION("REGEXREPLACE(
 REGEXREPLACE(A1185,""^cost\."",""""),
 ""\.[^.]+\.[^.]+$"",
 """"
)"),"collection.tavern@2")</f>
        <v>collection.tavern@2</v>
      </c>
      <c r="C1185" s="49" t="str">
        <f t="array" ref="C1185">_xlfn.XLOOKUP(
 B1185,
 tblTargets[TargetID],
 tblTargets[DisplayName],
 ""
)</f>
        <v>Tavern Lv 2</v>
      </c>
      <c r="D1185" s="49" t="str">
        <f t="array" ref="D1185">_xlfn.XLOOKUP(
 B1185,
 tblTargets[TargetID],
 tblTargets[TargetType],
 ""
)</f>
        <v>COLLECTION</v>
      </c>
      <c r="E1185" s="49" t="s">
        <v>405</v>
      </c>
      <c r="F1185" s="49">
        <v>1.0</v>
      </c>
      <c r="G1185" s="49">
        <f t="array" ref="G1185">_xlfn.XLOOKUP(
 A1185,
 tblCost[RequirementID],
 tblCost[QuantityRequired],
 ""
)</f>
        <v>20</v>
      </c>
      <c r="H1185" s="49">
        <f t="array" ref="H1185">IF(
 OR(
  LEFT(B1185,15)="state.character",
  RIGHT(B1185,6)=".maxed"
 ),
 0,
 LET(
  sort,
   _xlfn.XLOOKUP(
    B1185,
    tblChecklist[TargetID],
    tblChecklist[PlayerSort],
    0
   ),
  IF(sort=0,500,sort)
 )
)</f>
        <v>500</v>
      </c>
      <c r="I1185" s="49" t="str">
        <f t="array" ref="I1185">_xlfn.XLOOKUP(
 B1185,
 tblTargetStatus[TargetID],
 tblTargetStatus[Status],
 ""
)</f>
        <v>BLOCKED</v>
      </c>
      <c r="J1185" s="45" t="b">
        <v>0</v>
      </c>
    </row>
    <row r="1186" ht="14.25" hidden="1" customHeight="1">
      <c r="A1186" s="49" t="s">
        <v>2905</v>
      </c>
      <c r="B1186" s="49" t="str">
        <f>IFERROR(__xludf.DUMMYFUNCTION("REGEXREPLACE(
 REGEXREPLACE(A1186,""^cost\."",""""),
 ""\.[^.]+\.[^.]+$"",
 """"
)"),"collection.tavern@2")</f>
        <v>collection.tavern@2</v>
      </c>
      <c r="C1186" s="49" t="str">
        <f t="array" ref="C1186">_xlfn.XLOOKUP(
 B1186,
 tblTargets[TargetID],
 tblTargets[DisplayName],
 ""
)</f>
        <v>Tavern Lv 2</v>
      </c>
      <c r="D1186" s="49" t="str">
        <f t="array" ref="D1186">_xlfn.XLOOKUP(
 B1186,
 tblTargets[TargetID],
 tblTargets[TargetType],
 ""
)</f>
        <v>COLLECTION</v>
      </c>
      <c r="E1186" s="49" t="s">
        <v>2887</v>
      </c>
      <c r="F1186" s="49">
        <v>1.0</v>
      </c>
      <c r="G1186" s="49">
        <f t="array" ref="G1186">_xlfn.XLOOKUP(
 A1186,
 tblCost[RequirementID],
 tblCost[QuantityRequired],
 ""
)</f>
        <v>20</v>
      </c>
      <c r="H1186" s="49">
        <f t="array" ref="H1186">IF(
 OR(
  LEFT(B1186,15)="state.character",
  RIGHT(B1186,6)=".maxed"
 ),
 0,
 LET(
  sort,
   _xlfn.XLOOKUP(
    B1186,
    tblChecklist[TargetID],
    tblChecklist[PlayerSort],
    0
   ),
  IF(sort=0,500,sort)
 )
)</f>
        <v>500</v>
      </c>
      <c r="I1186" s="49" t="str">
        <f t="array" ref="I1186">_xlfn.XLOOKUP(
 B1186,
 tblTargetStatus[TargetID],
 tblTargetStatus[Status],
 ""
)</f>
        <v>BLOCKED</v>
      </c>
      <c r="J1186" s="45" t="b">
        <v>0</v>
      </c>
    </row>
    <row r="1187" ht="14.25" hidden="1" customHeight="1">
      <c r="A1187" s="49" t="s">
        <v>2907</v>
      </c>
      <c r="B1187" s="49" t="str">
        <f>IFERROR(__xludf.DUMMYFUNCTION("REGEXREPLACE(
 REGEXREPLACE(A1187,""^cost\."",""""),
 ""\.[^.]+\.[^.]+$"",
 """"
)"),"collection.treasury_1@1")</f>
        <v>collection.treasury_1@1</v>
      </c>
      <c r="C1187" s="49" t="str">
        <f t="array" ref="C1187">_xlfn.XLOOKUP(
 B1187,
 tblTargets[TargetID],
 tblTargets[DisplayName],
 ""
)</f>
        <v>Treasury 1 Lv 1</v>
      </c>
      <c r="D1187" s="49" t="str">
        <f t="array" ref="D1187">_xlfn.XLOOKUP(
 B1187,
 tblTargets[TargetID],
 tblTargets[TargetType],
 ""
)</f>
        <v>COLLECTION</v>
      </c>
      <c r="E1187" s="49" t="s">
        <v>119</v>
      </c>
      <c r="F1187" s="49">
        <v>1.0</v>
      </c>
      <c r="G1187" s="49">
        <f t="array" ref="G1187">_xlfn.XLOOKUP(
 A1187,
 tblCost[RequirementID],
 tblCost[QuantityRequired],
 ""
)</f>
        <v>1000</v>
      </c>
      <c r="H1187" s="49">
        <f t="array" ref="H1187">IF(
 OR(
  LEFT(B1187,15)="state.character",
  RIGHT(B1187,6)=".maxed"
 ),
 0,
 LET(
  sort,
   _xlfn.XLOOKUP(
    B1187,
    tblChecklist[TargetID],
    tblChecklist[PlayerSort],
    0
   ),
  IF(sort=0,500,sort)
 )
)</f>
        <v>500</v>
      </c>
      <c r="I1187" s="49" t="str">
        <f t="array" ref="I1187">_xlfn.XLOOKUP(
 B1187,
 tblTargetStatus[TargetID],
 tblTargetStatus[Status],
 ""
)</f>
        <v>BLOCKED</v>
      </c>
      <c r="J1187" s="45" t="b">
        <v>0</v>
      </c>
    </row>
    <row r="1188" ht="14.25" hidden="1" customHeight="1">
      <c r="A1188" s="49" t="s">
        <v>2909</v>
      </c>
      <c r="B1188" s="49" t="str">
        <f>IFERROR(__xludf.DUMMYFUNCTION("REGEXREPLACE(
 REGEXREPLACE(A1188,""^cost\."",""""),
 ""\.[^.]+\.[^.]+$"",
 """"
)"),"collection.treasury_1@1")</f>
        <v>collection.treasury_1@1</v>
      </c>
      <c r="C1188" s="49" t="str">
        <f t="array" ref="C1188">_xlfn.XLOOKUP(
 B1188,
 tblTargets[TargetID],
 tblTargets[DisplayName],
 ""
)</f>
        <v>Treasury 1 Lv 1</v>
      </c>
      <c r="D1188" s="49" t="str">
        <f t="array" ref="D1188">_xlfn.XLOOKUP(
 B1188,
 tblTargets[TargetID],
 tblTargets[TargetType],
 ""
)</f>
        <v>COLLECTION</v>
      </c>
      <c r="E1188" s="49" t="s">
        <v>119</v>
      </c>
      <c r="F1188" s="49">
        <v>2.0</v>
      </c>
      <c r="G1188" s="49">
        <f t="array" ref="G1188">_xlfn.XLOOKUP(
 A1188,
 tblCost[RequirementID],
 tblCost[QuantityRequired],
 ""
)</f>
        <v>1000</v>
      </c>
      <c r="H1188" s="49">
        <f t="array" ref="H1188">IF(
 OR(
  LEFT(B1188,15)="state.character",
  RIGHT(B1188,6)=".maxed"
 ),
 0,
 LET(
  sort,
   _xlfn.XLOOKUP(
    B1188,
    tblChecklist[TargetID],
    tblChecklist[PlayerSort],
    0
   ),
  IF(sort=0,500,sort)
 )
)</f>
        <v>500</v>
      </c>
      <c r="I1188" s="49" t="str">
        <f t="array" ref="I1188">_xlfn.XLOOKUP(
 B1188,
 tblTargetStatus[TargetID],
 tblTargetStatus[Status],
 ""
)</f>
        <v>BLOCKED</v>
      </c>
      <c r="J1188" s="45" t="b">
        <v>0</v>
      </c>
    </row>
    <row r="1189" ht="14.25" hidden="1" customHeight="1">
      <c r="A1189" s="49" t="s">
        <v>2912</v>
      </c>
      <c r="B1189" s="49" t="str">
        <f>IFERROR(__xludf.DUMMYFUNCTION("REGEXREPLACE(
 REGEXREPLACE(A1189,""^cost\."",""""),
 ""\.[^.]+\.[^.]+$"",
 """"
)"),"collection.treasury_1@1")</f>
        <v>collection.treasury_1@1</v>
      </c>
      <c r="C1189" s="49" t="str">
        <f t="array" ref="C1189">_xlfn.XLOOKUP(
 B1189,
 tblTargets[TargetID],
 tblTargets[DisplayName],
 ""
)</f>
        <v>Treasury 1 Lv 1</v>
      </c>
      <c r="D1189" s="49" t="str">
        <f t="array" ref="D1189">_xlfn.XLOOKUP(
 B1189,
 tblTargets[TargetID],
 tblTargets[TargetType],
 ""
)</f>
        <v>COLLECTION</v>
      </c>
      <c r="E1189" s="49" t="s">
        <v>1060</v>
      </c>
      <c r="F1189" s="49">
        <v>1.0</v>
      </c>
      <c r="G1189" s="49">
        <f t="array" ref="G1189">_xlfn.XLOOKUP(
 A1189,
 tblCost[RequirementID],
 tblCost[QuantityRequired],
 ""
)</f>
        <v>250</v>
      </c>
      <c r="H1189" s="49">
        <f t="array" ref="H1189">IF(
 OR(
  LEFT(B1189,15)="state.character",
  RIGHT(B1189,6)=".maxed"
 ),
 0,
 LET(
  sort,
   _xlfn.XLOOKUP(
    B1189,
    tblChecklist[TargetID],
    tblChecklist[PlayerSort],
    0
   ),
  IF(sort=0,500,sort)
 )
)</f>
        <v>500</v>
      </c>
      <c r="I1189" s="49" t="str">
        <f t="array" ref="I1189">_xlfn.XLOOKUP(
 B1189,
 tblTargetStatus[TargetID],
 tblTargetStatus[Status],
 ""
)</f>
        <v>BLOCKED</v>
      </c>
      <c r="J1189" s="45" t="b">
        <v>0</v>
      </c>
    </row>
    <row r="1190" ht="14.25" hidden="1" customHeight="1">
      <c r="A1190" s="49" t="s">
        <v>2914</v>
      </c>
      <c r="B1190" s="49" t="str">
        <f>IFERROR(__xludf.DUMMYFUNCTION("REGEXREPLACE(
 REGEXREPLACE(A1190,""^cost\."",""""),
 ""\.[^.]+\.[^.]+$"",
 """"
)"),"collection.treasury_1@1")</f>
        <v>collection.treasury_1@1</v>
      </c>
      <c r="C1190" s="49" t="str">
        <f t="array" ref="C1190">_xlfn.XLOOKUP(
 B1190,
 tblTargets[TargetID],
 tblTargets[DisplayName],
 ""
)</f>
        <v>Treasury 1 Lv 1</v>
      </c>
      <c r="D1190" s="49" t="str">
        <f t="array" ref="D1190">_xlfn.XLOOKUP(
 B1190,
 tblTargets[TargetID],
 tblTargets[TargetType],
 ""
)</f>
        <v>COLLECTION</v>
      </c>
      <c r="E1190" s="49" t="s">
        <v>2915</v>
      </c>
      <c r="F1190" s="49">
        <v>1.0</v>
      </c>
      <c r="G1190" s="49">
        <f t="array" ref="G1190">_xlfn.XLOOKUP(
 A1190,
 tblCost[RequirementID],
 tblCost[QuantityRequired],
 ""
)</f>
        <v>250</v>
      </c>
      <c r="H1190" s="49">
        <f t="array" ref="H1190">IF(
 OR(
  LEFT(B1190,15)="state.character",
  RIGHT(B1190,6)=".maxed"
 ),
 0,
 LET(
  sort,
   _xlfn.XLOOKUP(
    B1190,
    tblChecklist[TargetID],
    tblChecklist[PlayerSort],
    0
   ),
  IF(sort=0,500,sort)
 )
)</f>
        <v>500</v>
      </c>
      <c r="I1190" s="49" t="str">
        <f t="array" ref="I1190">_xlfn.XLOOKUP(
 B1190,
 tblTargetStatus[TargetID],
 tblTargetStatus[Status],
 ""
)</f>
        <v>BLOCKED</v>
      </c>
      <c r="J1190" s="45" t="b">
        <v>0</v>
      </c>
    </row>
    <row r="1191" ht="14.25" hidden="1" customHeight="1">
      <c r="A1191" s="49" t="s">
        <v>2917</v>
      </c>
      <c r="B1191" s="49" t="str">
        <f>IFERROR(__xludf.DUMMYFUNCTION("REGEXREPLACE(
 REGEXREPLACE(A1191,""^cost\."",""""),
 ""\.[^.]+\.[^.]+$"",
 """"
)"),"collection.treasury_1@1")</f>
        <v>collection.treasury_1@1</v>
      </c>
      <c r="C1191" s="49" t="str">
        <f t="array" ref="C1191">_xlfn.XLOOKUP(
 B1191,
 tblTargets[TargetID],
 tblTargets[DisplayName],
 ""
)</f>
        <v>Treasury 1 Lv 1</v>
      </c>
      <c r="D1191" s="49" t="str">
        <f t="array" ref="D1191">_xlfn.XLOOKUP(
 B1191,
 tblTargets[TargetID],
 tblTargets[TargetType],
 ""
)</f>
        <v>COLLECTION</v>
      </c>
      <c r="E1191" s="49" t="s">
        <v>412</v>
      </c>
      <c r="F1191" s="49">
        <v>1.0</v>
      </c>
      <c r="G1191" s="49">
        <f t="array" ref="G1191">_xlfn.XLOOKUP(
 A1191,
 tblCost[RequirementID],
 tblCost[QuantityRequired],
 ""
)</f>
        <v>10</v>
      </c>
      <c r="H1191" s="49">
        <f t="array" ref="H1191">IF(
 OR(
  LEFT(B1191,15)="state.character",
  RIGHT(B1191,6)=".maxed"
 ),
 0,
 LET(
  sort,
   _xlfn.XLOOKUP(
    B1191,
    tblChecklist[TargetID],
    tblChecklist[PlayerSort],
    0
   ),
  IF(sort=0,500,sort)
 )
)</f>
        <v>500</v>
      </c>
      <c r="I1191" s="49" t="str">
        <f t="array" ref="I1191">_xlfn.XLOOKUP(
 B1191,
 tblTargetStatus[TargetID],
 tblTargetStatus[Status],
 ""
)</f>
        <v>BLOCKED</v>
      </c>
      <c r="J1191" s="45" t="b">
        <v>0</v>
      </c>
    </row>
    <row r="1192" ht="14.25" hidden="1" customHeight="1">
      <c r="A1192" s="49" t="s">
        <v>2919</v>
      </c>
      <c r="B1192" s="49" t="str">
        <f>IFERROR(__xludf.DUMMYFUNCTION("REGEXREPLACE(
 REGEXREPLACE(A1192,""^cost\."",""""),
 ""\.[^.]+\.[^.]+$"",
 """"
)"),"collection.treasury_1@1")</f>
        <v>collection.treasury_1@1</v>
      </c>
      <c r="C1192" s="49" t="str">
        <f t="array" ref="C1192">_xlfn.XLOOKUP(
 B1192,
 tblTargets[TargetID],
 tblTargets[DisplayName],
 ""
)</f>
        <v>Treasury 1 Lv 1</v>
      </c>
      <c r="D1192" s="49" t="str">
        <f t="array" ref="D1192">_xlfn.XLOOKUP(
 B1192,
 tblTargets[TargetID],
 tblTargets[TargetType],
 ""
)</f>
        <v>COLLECTION</v>
      </c>
      <c r="E1192" s="49" t="s">
        <v>426</v>
      </c>
      <c r="F1192" s="49">
        <v>1.0</v>
      </c>
      <c r="G1192" s="49">
        <f t="array" ref="G1192">_xlfn.XLOOKUP(
 A1192,
 tblCost[RequirementID],
 tblCost[QuantityRequired],
 ""
)</f>
        <v>5</v>
      </c>
      <c r="H1192" s="49">
        <f t="array" ref="H1192">IF(
 OR(
  LEFT(B1192,15)="state.character",
  RIGHT(B1192,6)=".maxed"
 ),
 0,
 LET(
  sort,
   _xlfn.XLOOKUP(
    B1192,
    tblChecklist[TargetID],
    tblChecklist[PlayerSort],
    0
   ),
  IF(sort=0,500,sort)
 )
)</f>
        <v>500</v>
      </c>
      <c r="I1192" s="49" t="str">
        <f t="array" ref="I1192">_xlfn.XLOOKUP(
 B1192,
 tblTargetStatus[TargetID],
 tblTargetStatus[Status],
 ""
)</f>
        <v>BLOCKED</v>
      </c>
      <c r="J1192" s="45" t="b">
        <v>0</v>
      </c>
    </row>
    <row r="1193" ht="14.25" hidden="1" customHeight="1">
      <c r="A1193" s="49" t="s">
        <v>2921</v>
      </c>
      <c r="B1193" s="49" t="str">
        <f>IFERROR(__xludf.DUMMYFUNCTION("REGEXREPLACE(
 REGEXREPLACE(A1193,""^cost\."",""""),
 ""\.[^.]+\.[^.]+$"",
 """"
)"),"collection.treasury_1@1")</f>
        <v>collection.treasury_1@1</v>
      </c>
      <c r="C1193" s="49" t="str">
        <f t="array" ref="C1193">_xlfn.XLOOKUP(
 B1193,
 tblTargets[TargetID],
 tblTargets[DisplayName],
 ""
)</f>
        <v>Treasury 1 Lv 1</v>
      </c>
      <c r="D1193" s="49" t="str">
        <f t="array" ref="D1193">_xlfn.XLOOKUP(
 B1193,
 tblTargets[TargetID],
 tblTargets[TargetType],
 ""
)</f>
        <v>COLLECTION</v>
      </c>
      <c r="E1193" s="49" t="s">
        <v>6</v>
      </c>
      <c r="F1193" s="49">
        <v>1.0</v>
      </c>
      <c r="G1193" s="49">
        <f t="array" ref="G1193">_xlfn.XLOOKUP(
 A1193,
 tblCost[RequirementID],
 tblCost[QuantityRequired],
 ""
)</f>
        <v>5</v>
      </c>
      <c r="H1193" s="49">
        <f t="array" ref="H1193">IF(
 OR(
  LEFT(B1193,15)="state.character",
  RIGHT(B1193,6)=".maxed"
 ),
 0,
 LET(
  sort,
   _xlfn.XLOOKUP(
    B1193,
    tblChecklist[TargetID],
    tblChecklist[PlayerSort],
    0
   ),
  IF(sort=0,500,sort)
 )
)</f>
        <v>500</v>
      </c>
      <c r="I1193" s="49" t="str">
        <f t="array" ref="I1193">_xlfn.XLOOKUP(
 B1193,
 tblTargetStatus[TargetID],
 tblTargetStatus[Status],
 ""
)</f>
        <v>BLOCKED</v>
      </c>
      <c r="J1193" s="45" t="b">
        <v>0</v>
      </c>
    </row>
    <row r="1194" ht="14.25" hidden="1" customHeight="1">
      <c r="A1194" s="49" t="s">
        <v>2923</v>
      </c>
      <c r="B1194" s="49" t="str">
        <f>IFERROR(__xludf.DUMMYFUNCTION("REGEXREPLACE(
 REGEXREPLACE(A1194,""^cost\."",""""),
 ""\.[^.]+\.[^.]+$"",
 """"
)"),"collection.treasury_1@1")</f>
        <v>collection.treasury_1@1</v>
      </c>
      <c r="C1194" s="49" t="str">
        <f t="array" ref="C1194">_xlfn.XLOOKUP(
 B1194,
 tblTargets[TargetID],
 tblTargets[DisplayName],
 ""
)</f>
        <v>Treasury 1 Lv 1</v>
      </c>
      <c r="D1194" s="49" t="str">
        <f t="array" ref="D1194">_xlfn.XLOOKUP(
 B1194,
 tblTargets[TargetID],
 tblTargets[TargetType],
 ""
)</f>
        <v>COLLECTION</v>
      </c>
      <c r="E1194" s="49" t="s">
        <v>2011</v>
      </c>
      <c r="F1194" s="49">
        <v>1.0</v>
      </c>
      <c r="G1194" s="49">
        <f t="array" ref="G1194">_xlfn.XLOOKUP(
 A1194,
 tblCost[RequirementID],
 tblCost[QuantityRequired],
 ""
)</f>
        <v>10</v>
      </c>
      <c r="H1194" s="49">
        <f t="array" ref="H1194">IF(
 OR(
  LEFT(B1194,15)="state.character",
  RIGHT(B1194,6)=".maxed"
 ),
 0,
 LET(
  sort,
   _xlfn.XLOOKUP(
    B1194,
    tblChecklist[TargetID],
    tblChecklist[PlayerSort],
    0
   ),
  IF(sort=0,500,sort)
 )
)</f>
        <v>500</v>
      </c>
      <c r="I1194" s="49" t="str">
        <f t="array" ref="I1194">_xlfn.XLOOKUP(
 B1194,
 tblTargetStatus[TargetID],
 tblTargetStatus[Status],
 ""
)</f>
        <v>BLOCKED</v>
      </c>
      <c r="J1194" s="45" t="b">
        <v>0</v>
      </c>
    </row>
    <row r="1195" ht="14.25" hidden="1" customHeight="1">
      <c r="A1195" s="49" t="s">
        <v>2925</v>
      </c>
      <c r="B1195" s="49" t="str">
        <f>IFERROR(__xludf.DUMMYFUNCTION("REGEXREPLACE(
 REGEXREPLACE(A1195,""^cost\."",""""),
 ""\.[^.]+\.[^.]+$"",
 """"
)"),"collection.treasury_1@2")</f>
        <v>collection.treasury_1@2</v>
      </c>
      <c r="C1195" s="49" t="str">
        <f t="array" ref="C1195">_xlfn.XLOOKUP(
 B1195,
 tblTargets[TargetID],
 tblTargets[DisplayName],
 ""
)</f>
        <v>Treasury 1 Lv 2</v>
      </c>
      <c r="D1195" s="49" t="str">
        <f t="array" ref="D1195">_xlfn.XLOOKUP(
 B1195,
 tblTargets[TargetID],
 tblTargets[TargetType],
 ""
)</f>
        <v>COLLECTION</v>
      </c>
      <c r="E1195" s="49" t="s">
        <v>119</v>
      </c>
      <c r="F1195" s="49">
        <v>1.0</v>
      </c>
      <c r="G1195" s="49">
        <f t="array" ref="G1195">_xlfn.XLOOKUP(
 A1195,
 tblCost[RequirementID],
 tblCost[QuantityRequired],
 ""
)</f>
        <v>2000</v>
      </c>
      <c r="H1195" s="49">
        <f t="array" ref="H1195">IF(
 OR(
  LEFT(B1195,15)="state.character",
  RIGHT(B1195,6)=".maxed"
 ),
 0,
 LET(
  sort,
   _xlfn.XLOOKUP(
    B1195,
    tblChecklist[TargetID],
    tblChecklist[PlayerSort],
    0
   ),
  IF(sort=0,500,sort)
 )
)</f>
        <v>500</v>
      </c>
      <c r="I1195" s="49" t="str">
        <f t="array" ref="I1195">_xlfn.XLOOKUP(
 B1195,
 tblTargetStatus[TargetID],
 tblTargetStatus[Status],
 ""
)</f>
        <v>BLOCKED</v>
      </c>
      <c r="J1195" s="45" t="b">
        <v>0</v>
      </c>
    </row>
    <row r="1196" ht="14.25" hidden="1" customHeight="1">
      <c r="A1196" s="49" t="s">
        <v>2927</v>
      </c>
      <c r="B1196" s="49" t="str">
        <f>IFERROR(__xludf.DUMMYFUNCTION("REGEXREPLACE(
 REGEXREPLACE(A1196,""^cost\."",""""),
 ""\.[^.]+\.[^.]+$"",
 """"
)"),"collection.treasury_1@2")</f>
        <v>collection.treasury_1@2</v>
      </c>
      <c r="C1196" s="49" t="str">
        <f t="array" ref="C1196">_xlfn.XLOOKUP(
 B1196,
 tblTargets[TargetID],
 tblTargets[DisplayName],
 ""
)</f>
        <v>Treasury 1 Lv 2</v>
      </c>
      <c r="D1196" s="49" t="str">
        <f t="array" ref="D1196">_xlfn.XLOOKUP(
 B1196,
 tblTargets[TargetID],
 tblTargets[TargetType],
 ""
)</f>
        <v>COLLECTION</v>
      </c>
      <c r="E1196" s="49" t="s">
        <v>119</v>
      </c>
      <c r="F1196" s="49">
        <v>2.0</v>
      </c>
      <c r="G1196" s="49">
        <f t="array" ref="G1196">_xlfn.XLOOKUP(
 A1196,
 tblCost[RequirementID],
 tblCost[QuantityRequired],
 ""
)</f>
        <v>2000</v>
      </c>
      <c r="H1196" s="49">
        <f t="array" ref="H1196">IF(
 OR(
  LEFT(B1196,15)="state.character",
  RIGHT(B1196,6)=".maxed"
 ),
 0,
 LET(
  sort,
   _xlfn.XLOOKUP(
    B1196,
    tblChecklist[TargetID],
    tblChecklist[PlayerSort],
    0
   ),
  IF(sort=0,500,sort)
 )
)</f>
        <v>500</v>
      </c>
      <c r="I1196" s="49" t="str">
        <f t="array" ref="I1196">_xlfn.XLOOKUP(
 B1196,
 tblTargetStatus[TargetID],
 tblTargetStatus[Status],
 ""
)</f>
        <v>BLOCKED</v>
      </c>
      <c r="J1196" s="45" t="b">
        <v>0</v>
      </c>
    </row>
    <row r="1197" ht="14.25" hidden="1" customHeight="1">
      <c r="A1197" s="49" t="s">
        <v>2929</v>
      </c>
      <c r="B1197" s="49" t="str">
        <f>IFERROR(__xludf.DUMMYFUNCTION("REGEXREPLACE(
 REGEXREPLACE(A1197,""^cost\."",""""),
 ""\.[^.]+\.[^.]+$"",
 """"
)"),"collection.treasury_1@2")</f>
        <v>collection.treasury_1@2</v>
      </c>
      <c r="C1197" s="49" t="str">
        <f t="array" ref="C1197">_xlfn.XLOOKUP(
 B1197,
 tblTargets[TargetID],
 tblTargets[DisplayName],
 ""
)</f>
        <v>Treasury 1 Lv 2</v>
      </c>
      <c r="D1197" s="49" t="str">
        <f t="array" ref="D1197">_xlfn.XLOOKUP(
 B1197,
 tblTargets[TargetID],
 tblTargets[TargetType],
 ""
)</f>
        <v>COLLECTION</v>
      </c>
      <c r="E1197" s="49" t="s">
        <v>1060</v>
      </c>
      <c r="F1197" s="49">
        <v>1.0</v>
      </c>
      <c r="G1197" s="49">
        <f t="array" ref="G1197">_xlfn.XLOOKUP(
 A1197,
 tblCost[RequirementID],
 tblCost[QuantityRequired],
 ""
)</f>
        <v>500</v>
      </c>
      <c r="H1197" s="49">
        <f t="array" ref="H1197">IF(
 OR(
  LEFT(B1197,15)="state.character",
  RIGHT(B1197,6)=".maxed"
 ),
 0,
 LET(
  sort,
   _xlfn.XLOOKUP(
    B1197,
    tblChecklist[TargetID],
    tblChecklist[PlayerSort],
    0
   ),
  IF(sort=0,500,sort)
 )
)</f>
        <v>500</v>
      </c>
      <c r="I1197" s="49" t="str">
        <f t="array" ref="I1197">_xlfn.XLOOKUP(
 B1197,
 tblTargetStatus[TargetID],
 tblTargetStatus[Status],
 ""
)</f>
        <v>BLOCKED</v>
      </c>
      <c r="J1197" s="45" t="b">
        <v>0</v>
      </c>
    </row>
    <row r="1198" ht="14.25" hidden="1" customHeight="1">
      <c r="A1198" s="49" t="s">
        <v>2931</v>
      </c>
      <c r="B1198" s="49" t="str">
        <f>IFERROR(__xludf.DUMMYFUNCTION("REGEXREPLACE(
 REGEXREPLACE(A1198,""^cost\."",""""),
 ""\.[^.]+\.[^.]+$"",
 """"
)"),"collection.treasury_1@2")</f>
        <v>collection.treasury_1@2</v>
      </c>
      <c r="C1198" s="49" t="str">
        <f t="array" ref="C1198">_xlfn.XLOOKUP(
 B1198,
 tblTargets[TargetID],
 tblTargets[DisplayName],
 ""
)</f>
        <v>Treasury 1 Lv 2</v>
      </c>
      <c r="D1198" s="49" t="str">
        <f t="array" ref="D1198">_xlfn.XLOOKUP(
 B1198,
 tblTargets[TargetID],
 tblTargets[TargetType],
 ""
)</f>
        <v>COLLECTION</v>
      </c>
      <c r="E1198" s="49" t="s">
        <v>2915</v>
      </c>
      <c r="F1198" s="49">
        <v>1.0</v>
      </c>
      <c r="G1198" s="49">
        <f t="array" ref="G1198">_xlfn.XLOOKUP(
 A1198,
 tblCost[RequirementID],
 tblCost[QuantityRequired],
 ""
)</f>
        <v>500</v>
      </c>
      <c r="H1198" s="49">
        <f t="array" ref="H1198">IF(
 OR(
  LEFT(B1198,15)="state.character",
  RIGHT(B1198,6)=".maxed"
 ),
 0,
 LET(
  sort,
   _xlfn.XLOOKUP(
    B1198,
    tblChecklist[TargetID],
    tblChecklist[PlayerSort],
    0
   ),
  IF(sort=0,500,sort)
 )
)</f>
        <v>500</v>
      </c>
      <c r="I1198" s="49" t="str">
        <f t="array" ref="I1198">_xlfn.XLOOKUP(
 B1198,
 tblTargetStatus[TargetID],
 tblTargetStatus[Status],
 ""
)</f>
        <v>BLOCKED</v>
      </c>
      <c r="J1198" s="45" t="b">
        <v>0</v>
      </c>
    </row>
    <row r="1199" ht="14.25" hidden="1" customHeight="1">
      <c r="A1199" s="49" t="s">
        <v>2933</v>
      </c>
      <c r="B1199" s="49" t="str">
        <f>IFERROR(__xludf.DUMMYFUNCTION("REGEXREPLACE(
 REGEXREPLACE(A1199,""^cost\."",""""),
 ""\.[^.]+\.[^.]+$"",
 """"
)"),"collection.treasury_1@2")</f>
        <v>collection.treasury_1@2</v>
      </c>
      <c r="C1199" s="49" t="str">
        <f t="array" ref="C1199">_xlfn.XLOOKUP(
 B1199,
 tblTargets[TargetID],
 tblTargets[DisplayName],
 ""
)</f>
        <v>Treasury 1 Lv 2</v>
      </c>
      <c r="D1199" s="49" t="str">
        <f t="array" ref="D1199">_xlfn.XLOOKUP(
 B1199,
 tblTargets[TargetID],
 tblTargets[TargetType],
 ""
)</f>
        <v>COLLECTION</v>
      </c>
      <c r="E1199" s="49" t="s">
        <v>412</v>
      </c>
      <c r="F1199" s="49">
        <v>1.0</v>
      </c>
      <c r="G1199" s="49">
        <f t="array" ref="G1199">_xlfn.XLOOKUP(
 A1199,
 tblCost[RequirementID],
 tblCost[QuantityRequired],
 ""
)</f>
        <v>20</v>
      </c>
      <c r="H1199" s="49">
        <f t="array" ref="H1199">IF(
 OR(
  LEFT(B1199,15)="state.character",
  RIGHT(B1199,6)=".maxed"
 ),
 0,
 LET(
  sort,
   _xlfn.XLOOKUP(
    B1199,
    tblChecklist[TargetID],
    tblChecklist[PlayerSort],
    0
   ),
  IF(sort=0,500,sort)
 )
)</f>
        <v>500</v>
      </c>
      <c r="I1199" s="49" t="str">
        <f t="array" ref="I1199">_xlfn.XLOOKUP(
 B1199,
 tblTargetStatus[TargetID],
 tblTargetStatus[Status],
 ""
)</f>
        <v>BLOCKED</v>
      </c>
      <c r="J1199" s="45" t="b">
        <v>0</v>
      </c>
    </row>
    <row r="1200" ht="14.25" hidden="1" customHeight="1">
      <c r="A1200" s="49" t="s">
        <v>2935</v>
      </c>
      <c r="B1200" s="49" t="str">
        <f>IFERROR(__xludf.DUMMYFUNCTION("REGEXREPLACE(
 REGEXREPLACE(A1200,""^cost\."",""""),
 ""\.[^.]+\.[^.]+$"",
 """"
)"),"collection.treasury_1@2")</f>
        <v>collection.treasury_1@2</v>
      </c>
      <c r="C1200" s="49" t="str">
        <f t="array" ref="C1200">_xlfn.XLOOKUP(
 B1200,
 tblTargets[TargetID],
 tblTargets[DisplayName],
 ""
)</f>
        <v>Treasury 1 Lv 2</v>
      </c>
      <c r="D1200" s="49" t="str">
        <f t="array" ref="D1200">_xlfn.XLOOKUP(
 B1200,
 tblTargets[TargetID],
 tblTargets[TargetType],
 ""
)</f>
        <v>COLLECTION</v>
      </c>
      <c r="E1200" s="49" t="s">
        <v>426</v>
      </c>
      <c r="F1200" s="49">
        <v>1.0</v>
      </c>
      <c r="G1200" s="49">
        <f t="array" ref="G1200">_xlfn.XLOOKUP(
 A1200,
 tblCost[RequirementID],
 tblCost[QuantityRequired],
 ""
)</f>
        <v>10</v>
      </c>
      <c r="H1200" s="49">
        <f t="array" ref="H1200">IF(
 OR(
  LEFT(B1200,15)="state.character",
  RIGHT(B1200,6)=".maxed"
 ),
 0,
 LET(
  sort,
   _xlfn.XLOOKUP(
    B1200,
    tblChecklist[TargetID],
    tblChecklist[PlayerSort],
    0
   ),
  IF(sort=0,500,sort)
 )
)</f>
        <v>500</v>
      </c>
      <c r="I1200" s="49" t="str">
        <f t="array" ref="I1200">_xlfn.XLOOKUP(
 B1200,
 tblTargetStatus[TargetID],
 tblTargetStatus[Status],
 ""
)</f>
        <v>BLOCKED</v>
      </c>
      <c r="J1200" s="45" t="b">
        <v>0</v>
      </c>
    </row>
    <row r="1201" ht="14.25" hidden="1" customHeight="1">
      <c r="A1201" s="49" t="s">
        <v>2937</v>
      </c>
      <c r="B1201" s="49" t="str">
        <f>IFERROR(__xludf.DUMMYFUNCTION("REGEXREPLACE(
 REGEXREPLACE(A1201,""^cost\."",""""),
 ""\.[^.]+\.[^.]+$"",
 """"
)"),"collection.treasury_1@2")</f>
        <v>collection.treasury_1@2</v>
      </c>
      <c r="C1201" s="49" t="str">
        <f t="array" ref="C1201">_xlfn.XLOOKUP(
 B1201,
 tblTargets[TargetID],
 tblTargets[DisplayName],
 ""
)</f>
        <v>Treasury 1 Lv 2</v>
      </c>
      <c r="D1201" s="49" t="str">
        <f t="array" ref="D1201">_xlfn.XLOOKUP(
 B1201,
 tblTargets[TargetID],
 tblTargets[TargetType],
 ""
)</f>
        <v>COLLECTION</v>
      </c>
      <c r="E1201" s="49" t="s">
        <v>6</v>
      </c>
      <c r="F1201" s="49">
        <v>1.0</v>
      </c>
      <c r="G1201" s="49">
        <f t="array" ref="G1201">_xlfn.XLOOKUP(
 A1201,
 tblCost[RequirementID],
 tblCost[QuantityRequired],
 ""
)</f>
        <v>10</v>
      </c>
      <c r="H1201" s="49">
        <f t="array" ref="H1201">IF(
 OR(
  LEFT(B1201,15)="state.character",
  RIGHT(B1201,6)=".maxed"
 ),
 0,
 LET(
  sort,
   _xlfn.XLOOKUP(
    B1201,
    tblChecklist[TargetID],
    tblChecklist[PlayerSort],
    0
   ),
  IF(sort=0,500,sort)
 )
)</f>
        <v>500</v>
      </c>
      <c r="I1201" s="49" t="str">
        <f t="array" ref="I1201">_xlfn.XLOOKUP(
 B1201,
 tblTargetStatus[TargetID],
 tblTargetStatus[Status],
 ""
)</f>
        <v>BLOCKED</v>
      </c>
      <c r="J1201" s="45" t="b">
        <v>0</v>
      </c>
    </row>
    <row r="1202" ht="14.25" hidden="1" customHeight="1">
      <c r="A1202" s="49" t="s">
        <v>2939</v>
      </c>
      <c r="B1202" s="49" t="str">
        <f>IFERROR(__xludf.DUMMYFUNCTION("REGEXREPLACE(
 REGEXREPLACE(A1202,""^cost\."",""""),
 ""\.[^.]+\.[^.]+$"",
 """"
)"),"collection.treasury_1@2")</f>
        <v>collection.treasury_1@2</v>
      </c>
      <c r="C1202" s="49" t="str">
        <f t="array" ref="C1202">_xlfn.XLOOKUP(
 B1202,
 tblTargets[TargetID],
 tblTargets[DisplayName],
 ""
)</f>
        <v>Treasury 1 Lv 2</v>
      </c>
      <c r="D1202" s="49" t="str">
        <f t="array" ref="D1202">_xlfn.XLOOKUP(
 B1202,
 tblTargets[TargetID],
 tblTargets[TargetType],
 ""
)</f>
        <v>COLLECTION</v>
      </c>
      <c r="E1202" s="49" t="s">
        <v>2011</v>
      </c>
      <c r="F1202" s="49">
        <v>1.0</v>
      </c>
      <c r="G1202" s="49">
        <f t="array" ref="G1202">_xlfn.XLOOKUP(
 A1202,
 tblCost[RequirementID],
 tblCost[QuantityRequired],
 ""
)</f>
        <v>20</v>
      </c>
      <c r="H1202" s="49">
        <f t="array" ref="H1202">IF(
 OR(
  LEFT(B1202,15)="state.character",
  RIGHT(B1202,6)=".maxed"
 ),
 0,
 LET(
  sort,
   _xlfn.XLOOKUP(
    B1202,
    tblChecklist[TargetID],
    tblChecklist[PlayerSort],
    0
   ),
  IF(sort=0,500,sort)
 )
)</f>
        <v>500</v>
      </c>
      <c r="I1202" s="49" t="str">
        <f t="array" ref="I1202">_xlfn.XLOOKUP(
 B1202,
 tblTargetStatus[TargetID],
 tblTargetStatus[Status],
 ""
)</f>
        <v>BLOCKED</v>
      </c>
      <c r="J1202" s="45" t="b">
        <v>0</v>
      </c>
    </row>
    <row r="1203" ht="14.25" hidden="1" customHeight="1">
      <c r="A1203" s="49" t="s">
        <v>2942</v>
      </c>
      <c r="B1203" s="49" t="str">
        <f>IFERROR(__xludf.DUMMYFUNCTION("REGEXREPLACE(
 REGEXREPLACE(A1203,""^cost\."",""""),
 ""\.[^.]+\.[^.]+$"",
 """"
)"),"collection.treasury_1@3")</f>
        <v>collection.treasury_1@3</v>
      </c>
      <c r="C1203" s="49" t="str">
        <f t="array" ref="C1203">_xlfn.XLOOKUP(
 B1203,
 tblTargets[TargetID],
 tblTargets[DisplayName],
 ""
)</f>
        <v>Treasury 1 Lv 3</v>
      </c>
      <c r="D1203" s="49" t="str">
        <f t="array" ref="D1203">_xlfn.XLOOKUP(
 B1203,
 tblTargets[TargetID],
 tblTargets[TargetType],
 ""
)</f>
        <v>COLLECTION</v>
      </c>
      <c r="E1203" s="49" t="s">
        <v>119</v>
      </c>
      <c r="F1203" s="49">
        <v>1.0</v>
      </c>
      <c r="G1203" s="49">
        <f t="array" ref="G1203">_xlfn.XLOOKUP(
 A1203,
 tblCost[RequirementID],
 tblCost[QuantityRequired],
 ""
)</f>
        <v>3000</v>
      </c>
      <c r="H1203" s="49">
        <f t="array" ref="H1203">IF(
 OR(
  LEFT(B1203,15)="state.character",
  RIGHT(B1203,6)=".maxed"
 ),
 0,
 LET(
  sort,
   _xlfn.XLOOKUP(
    B1203,
    tblChecklist[TargetID],
    tblChecklist[PlayerSort],
    0
   ),
  IF(sort=0,500,sort)
 )
)</f>
        <v>500</v>
      </c>
      <c r="I1203" s="49" t="str">
        <f t="array" ref="I1203">_xlfn.XLOOKUP(
 B1203,
 tblTargetStatus[TargetID],
 tblTargetStatus[Status],
 ""
)</f>
        <v>BLOCKED</v>
      </c>
      <c r="J1203" s="45" t="b">
        <v>0</v>
      </c>
    </row>
    <row r="1204" ht="14.25" hidden="1" customHeight="1">
      <c r="A1204" s="49" t="s">
        <v>2944</v>
      </c>
      <c r="B1204" s="49" t="str">
        <f>IFERROR(__xludf.DUMMYFUNCTION("REGEXREPLACE(
 REGEXREPLACE(A1204,""^cost\."",""""),
 ""\.[^.]+\.[^.]+$"",
 """"
)"),"collection.treasury_1@3")</f>
        <v>collection.treasury_1@3</v>
      </c>
      <c r="C1204" s="49" t="str">
        <f t="array" ref="C1204">_xlfn.XLOOKUP(
 B1204,
 tblTargets[TargetID],
 tblTargets[DisplayName],
 ""
)</f>
        <v>Treasury 1 Lv 3</v>
      </c>
      <c r="D1204" s="49" t="str">
        <f t="array" ref="D1204">_xlfn.XLOOKUP(
 B1204,
 tblTargets[TargetID],
 tblTargets[TargetType],
 ""
)</f>
        <v>COLLECTION</v>
      </c>
      <c r="E1204" s="49" t="s">
        <v>119</v>
      </c>
      <c r="F1204" s="49">
        <v>2.0</v>
      </c>
      <c r="G1204" s="49">
        <f t="array" ref="G1204">_xlfn.XLOOKUP(
 A1204,
 tblCost[RequirementID],
 tblCost[QuantityRequired],
 ""
)</f>
        <v>3000</v>
      </c>
      <c r="H1204" s="49">
        <f t="array" ref="H1204">IF(
 OR(
  LEFT(B1204,15)="state.character",
  RIGHT(B1204,6)=".maxed"
 ),
 0,
 LET(
  sort,
   _xlfn.XLOOKUP(
    B1204,
    tblChecklist[TargetID],
    tblChecklist[PlayerSort],
    0
   ),
  IF(sort=0,500,sort)
 )
)</f>
        <v>500</v>
      </c>
      <c r="I1204" s="49" t="str">
        <f t="array" ref="I1204">_xlfn.XLOOKUP(
 B1204,
 tblTargetStatus[TargetID],
 tblTargetStatus[Status],
 ""
)</f>
        <v>BLOCKED</v>
      </c>
      <c r="J1204" s="45" t="b">
        <v>0</v>
      </c>
    </row>
    <row r="1205" ht="14.25" hidden="1" customHeight="1">
      <c r="A1205" s="49" t="s">
        <v>2946</v>
      </c>
      <c r="B1205" s="49" t="str">
        <f>IFERROR(__xludf.DUMMYFUNCTION("REGEXREPLACE(
 REGEXREPLACE(A1205,""^cost\."",""""),
 ""\.[^.]+\.[^.]+$"",
 """"
)"),"collection.treasury_1@3")</f>
        <v>collection.treasury_1@3</v>
      </c>
      <c r="C1205" s="49" t="str">
        <f t="array" ref="C1205">_xlfn.XLOOKUP(
 B1205,
 tblTargets[TargetID],
 tblTargets[DisplayName],
 ""
)</f>
        <v>Treasury 1 Lv 3</v>
      </c>
      <c r="D1205" s="49" t="str">
        <f t="array" ref="D1205">_xlfn.XLOOKUP(
 B1205,
 tblTargets[TargetID],
 tblTargets[TargetType],
 ""
)</f>
        <v>COLLECTION</v>
      </c>
      <c r="E1205" s="49" t="s">
        <v>1060</v>
      </c>
      <c r="F1205" s="49">
        <v>1.0</v>
      </c>
      <c r="G1205" s="49">
        <f t="array" ref="G1205">_xlfn.XLOOKUP(
 A1205,
 tblCost[RequirementID],
 tblCost[QuantityRequired],
 ""
)</f>
        <v>750</v>
      </c>
      <c r="H1205" s="49">
        <f t="array" ref="H1205">IF(
 OR(
  LEFT(B1205,15)="state.character",
  RIGHT(B1205,6)=".maxed"
 ),
 0,
 LET(
  sort,
   _xlfn.XLOOKUP(
    B1205,
    tblChecklist[TargetID],
    tblChecklist[PlayerSort],
    0
   ),
  IF(sort=0,500,sort)
 )
)</f>
        <v>500</v>
      </c>
      <c r="I1205" s="49" t="str">
        <f t="array" ref="I1205">_xlfn.XLOOKUP(
 B1205,
 tblTargetStatus[TargetID],
 tblTargetStatus[Status],
 ""
)</f>
        <v>BLOCKED</v>
      </c>
      <c r="J1205" s="45" t="b">
        <v>0</v>
      </c>
    </row>
    <row r="1206" ht="14.25" hidden="1" customHeight="1">
      <c r="A1206" s="49" t="s">
        <v>2949</v>
      </c>
      <c r="B1206" s="49" t="str">
        <f>IFERROR(__xludf.DUMMYFUNCTION("REGEXREPLACE(
 REGEXREPLACE(A1206,""^cost\."",""""),
 ""\.[^.]+\.[^.]+$"",
 """"
)"),"collection.treasury_1@3")</f>
        <v>collection.treasury_1@3</v>
      </c>
      <c r="C1206" s="49" t="str">
        <f t="array" ref="C1206">_xlfn.XLOOKUP(
 B1206,
 tblTargets[TargetID],
 tblTargets[DisplayName],
 ""
)</f>
        <v>Treasury 1 Lv 3</v>
      </c>
      <c r="D1206" s="49" t="str">
        <f t="array" ref="D1206">_xlfn.XLOOKUP(
 B1206,
 tblTargets[TargetID],
 tblTargets[TargetType],
 ""
)</f>
        <v>COLLECTION</v>
      </c>
      <c r="E1206" s="49" t="s">
        <v>2915</v>
      </c>
      <c r="F1206" s="49">
        <v>1.0</v>
      </c>
      <c r="G1206" s="49">
        <f t="array" ref="G1206">_xlfn.XLOOKUP(
 A1206,
 tblCost[RequirementID],
 tblCost[QuantityRequired],
 ""
)</f>
        <v>750</v>
      </c>
      <c r="H1206" s="49">
        <f t="array" ref="H1206">IF(
 OR(
  LEFT(B1206,15)="state.character",
  RIGHT(B1206,6)=".maxed"
 ),
 0,
 LET(
  sort,
   _xlfn.XLOOKUP(
    B1206,
    tblChecklist[TargetID],
    tblChecklist[PlayerSort],
    0
   ),
  IF(sort=0,500,sort)
 )
)</f>
        <v>500</v>
      </c>
      <c r="I1206" s="49" t="str">
        <f t="array" ref="I1206">_xlfn.XLOOKUP(
 B1206,
 tblTargetStatus[TargetID],
 tblTargetStatus[Status],
 ""
)</f>
        <v>BLOCKED</v>
      </c>
      <c r="J1206" s="45" t="b">
        <v>0</v>
      </c>
    </row>
    <row r="1207" ht="14.25" hidden="1" customHeight="1">
      <c r="A1207" s="49" t="s">
        <v>2951</v>
      </c>
      <c r="B1207" s="49" t="str">
        <f>IFERROR(__xludf.DUMMYFUNCTION("REGEXREPLACE(
 REGEXREPLACE(A1207,""^cost\."",""""),
 ""\.[^.]+\.[^.]+$"",
 """"
)"),"collection.treasury_1@3")</f>
        <v>collection.treasury_1@3</v>
      </c>
      <c r="C1207" s="49" t="str">
        <f t="array" ref="C1207">_xlfn.XLOOKUP(
 B1207,
 tblTargets[TargetID],
 tblTargets[DisplayName],
 ""
)</f>
        <v>Treasury 1 Lv 3</v>
      </c>
      <c r="D1207" s="49" t="str">
        <f t="array" ref="D1207">_xlfn.XLOOKUP(
 B1207,
 tblTargets[TargetID],
 tblTargets[TargetType],
 ""
)</f>
        <v>COLLECTION</v>
      </c>
      <c r="E1207" s="49" t="s">
        <v>412</v>
      </c>
      <c r="F1207" s="49">
        <v>1.0</v>
      </c>
      <c r="G1207" s="49">
        <f t="array" ref="G1207">_xlfn.XLOOKUP(
 A1207,
 tblCost[RequirementID],
 tblCost[QuantityRequired],
 ""
)</f>
        <v>30</v>
      </c>
      <c r="H1207" s="49">
        <f t="array" ref="H1207">IF(
 OR(
  LEFT(B1207,15)="state.character",
  RIGHT(B1207,6)=".maxed"
 ),
 0,
 LET(
  sort,
   _xlfn.XLOOKUP(
    B1207,
    tblChecklist[TargetID],
    tblChecklist[PlayerSort],
    0
   ),
  IF(sort=0,500,sort)
 )
)</f>
        <v>500</v>
      </c>
      <c r="I1207" s="49" t="str">
        <f t="array" ref="I1207">_xlfn.XLOOKUP(
 B1207,
 tblTargetStatus[TargetID],
 tblTargetStatus[Status],
 ""
)</f>
        <v>BLOCKED</v>
      </c>
      <c r="J1207" s="45" t="b">
        <v>0</v>
      </c>
    </row>
    <row r="1208" ht="14.25" hidden="1" customHeight="1">
      <c r="A1208" s="49" t="s">
        <v>2953</v>
      </c>
      <c r="B1208" s="49" t="str">
        <f>IFERROR(__xludf.DUMMYFUNCTION("REGEXREPLACE(
 REGEXREPLACE(A1208,""^cost\."",""""),
 ""\.[^.]+\.[^.]+$"",
 """"
)"),"collection.treasury_1@3")</f>
        <v>collection.treasury_1@3</v>
      </c>
      <c r="C1208" s="49" t="str">
        <f t="array" ref="C1208">_xlfn.XLOOKUP(
 B1208,
 tblTargets[TargetID],
 tblTargets[DisplayName],
 ""
)</f>
        <v>Treasury 1 Lv 3</v>
      </c>
      <c r="D1208" s="49" t="str">
        <f t="array" ref="D1208">_xlfn.XLOOKUP(
 B1208,
 tblTargets[TargetID],
 tblTargets[TargetType],
 ""
)</f>
        <v>COLLECTION</v>
      </c>
      <c r="E1208" s="49" t="s">
        <v>426</v>
      </c>
      <c r="F1208" s="49">
        <v>1.0</v>
      </c>
      <c r="G1208" s="49">
        <f t="array" ref="G1208">_xlfn.XLOOKUP(
 A1208,
 tblCost[RequirementID],
 tblCost[QuantityRequired],
 ""
)</f>
        <v>15</v>
      </c>
      <c r="H1208" s="49">
        <f t="array" ref="H1208">IF(
 OR(
  LEFT(B1208,15)="state.character",
  RIGHT(B1208,6)=".maxed"
 ),
 0,
 LET(
  sort,
   _xlfn.XLOOKUP(
    B1208,
    tblChecklist[TargetID],
    tblChecklist[PlayerSort],
    0
   ),
  IF(sort=0,500,sort)
 )
)</f>
        <v>500</v>
      </c>
      <c r="I1208" s="49" t="str">
        <f t="array" ref="I1208">_xlfn.XLOOKUP(
 B1208,
 tblTargetStatus[TargetID],
 tblTargetStatus[Status],
 ""
)</f>
        <v>BLOCKED</v>
      </c>
      <c r="J1208" s="45" t="b">
        <v>0</v>
      </c>
    </row>
    <row r="1209" ht="14.25" hidden="1" customHeight="1">
      <c r="A1209" s="49" t="s">
        <v>2956</v>
      </c>
      <c r="B1209" s="49" t="str">
        <f>IFERROR(__xludf.DUMMYFUNCTION("REGEXREPLACE(
 REGEXREPLACE(A1209,""^cost\."",""""),
 ""\.[^.]+\.[^.]+$"",
 """"
)"),"collection.treasury_1@3")</f>
        <v>collection.treasury_1@3</v>
      </c>
      <c r="C1209" s="49" t="str">
        <f t="array" ref="C1209">_xlfn.XLOOKUP(
 B1209,
 tblTargets[TargetID],
 tblTargets[DisplayName],
 ""
)</f>
        <v>Treasury 1 Lv 3</v>
      </c>
      <c r="D1209" s="49" t="str">
        <f t="array" ref="D1209">_xlfn.XLOOKUP(
 B1209,
 tblTargets[TargetID],
 tblTargets[TargetType],
 ""
)</f>
        <v>COLLECTION</v>
      </c>
      <c r="E1209" s="49" t="s">
        <v>6</v>
      </c>
      <c r="F1209" s="49">
        <v>1.0</v>
      </c>
      <c r="G1209" s="49">
        <f t="array" ref="G1209">_xlfn.XLOOKUP(
 A1209,
 tblCost[RequirementID],
 tblCost[QuantityRequired],
 ""
)</f>
        <v>15</v>
      </c>
      <c r="H1209" s="49">
        <f t="array" ref="H1209">IF(
 OR(
  LEFT(B1209,15)="state.character",
  RIGHT(B1209,6)=".maxed"
 ),
 0,
 LET(
  sort,
   _xlfn.XLOOKUP(
    B1209,
    tblChecklist[TargetID],
    tblChecklist[PlayerSort],
    0
   ),
  IF(sort=0,500,sort)
 )
)</f>
        <v>500</v>
      </c>
      <c r="I1209" s="49" t="str">
        <f t="array" ref="I1209">_xlfn.XLOOKUP(
 B1209,
 tblTargetStatus[TargetID],
 tblTargetStatus[Status],
 ""
)</f>
        <v>BLOCKED</v>
      </c>
      <c r="J1209" s="45" t="b">
        <v>0</v>
      </c>
    </row>
    <row r="1210" ht="14.25" hidden="1" customHeight="1">
      <c r="A1210" s="49" t="s">
        <v>2958</v>
      </c>
      <c r="B1210" s="49" t="str">
        <f>IFERROR(__xludf.DUMMYFUNCTION("REGEXREPLACE(
 REGEXREPLACE(A1210,""^cost\."",""""),
 ""\.[^.]+\.[^.]+$"",
 """"
)"),"collection.treasury_1@3")</f>
        <v>collection.treasury_1@3</v>
      </c>
      <c r="C1210" s="49" t="str">
        <f t="array" ref="C1210">_xlfn.XLOOKUP(
 B1210,
 tblTargets[TargetID],
 tblTargets[DisplayName],
 ""
)</f>
        <v>Treasury 1 Lv 3</v>
      </c>
      <c r="D1210" s="49" t="str">
        <f t="array" ref="D1210">_xlfn.XLOOKUP(
 B1210,
 tblTargets[TargetID],
 tblTargets[TargetType],
 ""
)</f>
        <v>COLLECTION</v>
      </c>
      <c r="E1210" s="49" t="s">
        <v>2011</v>
      </c>
      <c r="F1210" s="49">
        <v>1.0</v>
      </c>
      <c r="G1210" s="49">
        <f t="array" ref="G1210">_xlfn.XLOOKUP(
 A1210,
 tblCost[RequirementID],
 tblCost[QuantityRequired],
 ""
)</f>
        <v>30</v>
      </c>
      <c r="H1210" s="49">
        <f t="array" ref="H1210">IF(
 OR(
  LEFT(B1210,15)="state.character",
  RIGHT(B1210,6)=".maxed"
 ),
 0,
 LET(
  sort,
   _xlfn.XLOOKUP(
    B1210,
    tblChecklist[TargetID],
    tblChecklist[PlayerSort],
    0
   ),
  IF(sort=0,500,sort)
 )
)</f>
        <v>500</v>
      </c>
      <c r="I1210" s="49" t="str">
        <f t="array" ref="I1210">_xlfn.XLOOKUP(
 B1210,
 tblTargetStatus[TargetID],
 tblTargetStatus[Status],
 ""
)</f>
        <v>BLOCKED</v>
      </c>
      <c r="J1210" s="45" t="b">
        <v>0</v>
      </c>
    </row>
    <row r="1211" ht="14.25" hidden="1" customHeight="1">
      <c r="A1211" s="49" t="s">
        <v>2960</v>
      </c>
      <c r="B1211" s="49" t="str">
        <f>IFERROR(__xludf.DUMMYFUNCTION("REGEXREPLACE(
 REGEXREPLACE(A1211,""^cost\."",""""),
 ""\.[^.]+\.[^.]+$"",
 """"
)"),"collection.treasury_1@4")</f>
        <v>collection.treasury_1@4</v>
      </c>
      <c r="C1211" s="49" t="str">
        <f t="array" ref="C1211">_xlfn.XLOOKUP(
 B1211,
 tblTargets[TargetID],
 tblTargets[DisplayName],
 ""
)</f>
        <v>Treasury 1 Lv 4</v>
      </c>
      <c r="D1211" s="49" t="str">
        <f t="array" ref="D1211">_xlfn.XLOOKUP(
 B1211,
 tblTargets[TargetID],
 tblTargets[TargetType],
 ""
)</f>
        <v>COLLECTION</v>
      </c>
      <c r="E1211" s="49" t="s">
        <v>119</v>
      </c>
      <c r="F1211" s="49">
        <v>1.0</v>
      </c>
      <c r="G1211" s="49">
        <f t="array" ref="G1211">_xlfn.XLOOKUP(
 A1211,
 tblCost[RequirementID],
 tblCost[QuantityRequired],
 ""
)</f>
        <v>4000</v>
      </c>
      <c r="H1211" s="49">
        <f t="array" ref="H1211">IF(
 OR(
  LEFT(B1211,15)="state.character",
  RIGHT(B1211,6)=".maxed"
 ),
 0,
 LET(
  sort,
   _xlfn.XLOOKUP(
    B1211,
    tblChecklist[TargetID],
    tblChecklist[PlayerSort],
    0
   ),
  IF(sort=0,500,sort)
 )
)</f>
        <v>500</v>
      </c>
      <c r="I1211" s="49" t="str">
        <f t="array" ref="I1211">_xlfn.XLOOKUP(
 B1211,
 tblTargetStatus[TargetID],
 tblTargetStatus[Status],
 ""
)</f>
        <v>BLOCKED</v>
      </c>
      <c r="J1211" s="45" t="b">
        <v>0</v>
      </c>
    </row>
    <row r="1212" ht="14.25" hidden="1" customHeight="1">
      <c r="A1212" s="49" t="s">
        <v>2962</v>
      </c>
      <c r="B1212" s="49" t="str">
        <f>IFERROR(__xludf.DUMMYFUNCTION("REGEXREPLACE(
 REGEXREPLACE(A1212,""^cost\."",""""),
 ""\.[^.]+\.[^.]+$"",
 """"
)"),"collection.treasury_1@4")</f>
        <v>collection.treasury_1@4</v>
      </c>
      <c r="C1212" s="49" t="str">
        <f t="array" ref="C1212">_xlfn.XLOOKUP(
 B1212,
 tblTargets[TargetID],
 tblTargets[DisplayName],
 ""
)</f>
        <v>Treasury 1 Lv 4</v>
      </c>
      <c r="D1212" s="49" t="str">
        <f t="array" ref="D1212">_xlfn.XLOOKUP(
 B1212,
 tblTargets[TargetID],
 tblTargets[TargetType],
 ""
)</f>
        <v>COLLECTION</v>
      </c>
      <c r="E1212" s="49" t="s">
        <v>119</v>
      </c>
      <c r="F1212" s="49">
        <v>2.0</v>
      </c>
      <c r="G1212" s="49">
        <f t="array" ref="G1212">_xlfn.XLOOKUP(
 A1212,
 tblCost[RequirementID],
 tblCost[QuantityRequired],
 ""
)</f>
        <v>4000</v>
      </c>
      <c r="H1212" s="49">
        <f t="array" ref="H1212">IF(
 OR(
  LEFT(B1212,15)="state.character",
  RIGHT(B1212,6)=".maxed"
 ),
 0,
 LET(
  sort,
   _xlfn.XLOOKUP(
    B1212,
    tblChecklist[TargetID],
    tblChecklist[PlayerSort],
    0
   ),
  IF(sort=0,500,sort)
 )
)</f>
        <v>500</v>
      </c>
      <c r="I1212" s="49" t="str">
        <f t="array" ref="I1212">_xlfn.XLOOKUP(
 B1212,
 tblTargetStatus[TargetID],
 tblTargetStatus[Status],
 ""
)</f>
        <v>BLOCKED</v>
      </c>
      <c r="J1212" s="45" t="b">
        <v>0</v>
      </c>
    </row>
    <row r="1213" ht="14.25" hidden="1" customHeight="1">
      <c r="A1213" s="49" t="s">
        <v>2965</v>
      </c>
      <c r="B1213" s="49" t="str">
        <f>IFERROR(__xludf.DUMMYFUNCTION("REGEXREPLACE(
 REGEXREPLACE(A1213,""^cost\."",""""),
 ""\.[^.]+\.[^.]+$"",
 """"
)"),"collection.treasury_1@4")</f>
        <v>collection.treasury_1@4</v>
      </c>
      <c r="C1213" s="49" t="str">
        <f t="array" ref="C1213">_xlfn.XLOOKUP(
 B1213,
 tblTargets[TargetID],
 tblTargets[DisplayName],
 ""
)</f>
        <v>Treasury 1 Lv 4</v>
      </c>
      <c r="D1213" s="49" t="str">
        <f t="array" ref="D1213">_xlfn.XLOOKUP(
 B1213,
 tblTargets[TargetID],
 tblTargets[TargetType],
 ""
)</f>
        <v>COLLECTION</v>
      </c>
      <c r="E1213" s="49" t="s">
        <v>1060</v>
      </c>
      <c r="F1213" s="49">
        <v>1.0</v>
      </c>
      <c r="G1213" s="49">
        <f t="array" ref="G1213">_xlfn.XLOOKUP(
 A1213,
 tblCost[RequirementID],
 tblCost[QuantityRequired],
 ""
)</f>
        <v>1000</v>
      </c>
      <c r="H1213" s="49">
        <f t="array" ref="H1213">IF(
 OR(
  LEFT(B1213,15)="state.character",
  RIGHT(B1213,6)=".maxed"
 ),
 0,
 LET(
  sort,
   _xlfn.XLOOKUP(
    B1213,
    tblChecklist[TargetID],
    tblChecklist[PlayerSort],
    0
   ),
  IF(sort=0,500,sort)
 )
)</f>
        <v>500</v>
      </c>
      <c r="I1213" s="49" t="str">
        <f t="array" ref="I1213">_xlfn.XLOOKUP(
 B1213,
 tblTargetStatus[TargetID],
 tblTargetStatus[Status],
 ""
)</f>
        <v>BLOCKED</v>
      </c>
      <c r="J1213" s="45" t="b">
        <v>0</v>
      </c>
    </row>
    <row r="1214" ht="14.25" hidden="1" customHeight="1">
      <c r="A1214" s="49" t="s">
        <v>2967</v>
      </c>
      <c r="B1214" s="49" t="str">
        <f>IFERROR(__xludf.DUMMYFUNCTION("REGEXREPLACE(
 REGEXREPLACE(A1214,""^cost\."",""""),
 ""\.[^.]+\.[^.]+$"",
 """"
)"),"collection.treasury_1@4")</f>
        <v>collection.treasury_1@4</v>
      </c>
      <c r="C1214" s="49" t="str">
        <f t="array" ref="C1214">_xlfn.XLOOKUP(
 B1214,
 tblTargets[TargetID],
 tblTargets[DisplayName],
 ""
)</f>
        <v>Treasury 1 Lv 4</v>
      </c>
      <c r="D1214" s="49" t="str">
        <f t="array" ref="D1214">_xlfn.XLOOKUP(
 B1214,
 tblTargets[TargetID],
 tblTargets[TargetType],
 ""
)</f>
        <v>COLLECTION</v>
      </c>
      <c r="E1214" s="49" t="s">
        <v>2915</v>
      </c>
      <c r="F1214" s="49">
        <v>1.0</v>
      </c>
      <c r="G1214" s="49">
        <f t="array" ref="G1214">_xlfn.XLOOKUP(
 A1214,
 tblCost[RequirementID],
 tblCost[QuantityRequired],
 ""
)</f>
        <v>1000</v>
      </c>
      <c r="H1214" s="49">
        <f t="array" ref="H1214">IF(
 OR(
  LEFT(B1214,15)="state.character",
  RIGHT(B1214,6)=".maxed"
 ),
 0,
 LET(
  sort,
   _xlfn.XLOOKUP(
    B1214,
    tblChecklist[TargetID],
    tblChecklist[PlayerSort],
    0
   ),
  IF(sort=0,500,sort)
 )
)</f>
        <v>500</v>
      </c>
      <c r="I1214" s="49" t="str">
        <f t="array" ref="I1214">_xlfn.XLOOKUP(
 B1214,
 tblTargetStatus[TargetID],
 tblTargetStatus[Status],
 ""
)</f>
        <v>BLOCKED</v>
      </c>
      <c r="J1214" s="45" t="b">
        <v>0</v>
      </c>
    </row>
    <row r="1215" ht="14.25" hidden="1" customHeight="1">
      <c r="A1215" s="49" t="s">
        <v>2969</v>
      </c>
      <c r="B1215" s="49" t="str">
        <f>IFERROR(__xludf.DUMMYFUNCTION("REGEXREPLACE(
 REGEXREPLACE(A1215,""^cost\."",""""),
 ""\.[^.]+\.[^.]+$"",
 """"
)"),"collection.treasury_1@4")</f>
        <v>collection.treasury_1@4</v>
      </c>
      <c r="C1215" s="49" t="str">
        <f t="array" ref="C1215">_xlfn.XLOOKUP(
 B1215,
 tblTargets[TargetID],
 tblTargets[DisplayName],
 ""
)</f>
        <v>Treasury 1 Lv 4</v>
      </c>
      <c r="D1215" s="49" t="str">
        <f t="array" ref="D1215">_xlfn.XLOOKUP(
 B1215,
 tblTargets[TargetID],
 tblTargets[TargetType],
 ""
)</f>
        <v>COLLECTION</v>
      </c>
      <c r="E1215" s="49" t="s">
        <v>412</v>
      </c>
      <c r="F1215" s="49">
        <v>1.0</v>
      </c>
      <c r="G1215" s="49">
        <f t="array" ref="G1215">_xlfn.XLOOKUP(
 A1215,
 tblCost[RequirementID],
 tblCost[QuantityRequired],
 ""
)</f>
        <v>40</v>
      </c>
      <c r="H1215" s="49">
        <f t="array" ref="H1215">IF(
 OR(
  LEFT(B1215,15)="state.character",
  RIGHT(B1215,6)=".maxed"
 ),
 0,
 LET(
  sort,
   _xlfn.XLOOKUP(
    B1215,
    tblChecklist[TargetID],
    tblChecklist[PlayerSort],
    0
   ),
  IF(sort=0,500,sort)
 )
)</f>
        <v>500</v>
      </c>
      <c r="I1215" s="49" t="str">
        <f t="array" ref="I1215">_xlfn.XLOOKUP(
 B1215,
 tblTargetStatus[TargetID],
 tblTargetStatus[Status],
 ""
)</f>
        <v>BLOCKED</v>
      </c>
      <c r="J1215" s="45" t="b">
        <v>0</v>
      </c>
    </row>
    <row r="1216" ht="14.25" hidden="1" customHeight="1">
      <c r="A1216" s="49" t="s">
        <v>2971</v>
      </c>
      <c r="B1216" s="49" t="str">
        <f>IFERROR(__xludf.DUMMYFUNCTION("REGEXREPLACE(
 REGEXREPLACE(A1216,""^cost\."",""""),
 ""\.[^.]+\.[^.]+$"",
 """"
)"),"collection.treasury_1@4")</f>
        <v>collection.treasury_1@4</v>
      </c>
      <c r="C1216" s="49" t="str">
        <f t="array" ref="C1216">_xlfn.XLOOKUP(
 B1216,
 tblTargets[TargetID],
 tblTargets[DisplayName],
 ""
)</f>
        <v>Treasury 1 Lv 4</v>
      </c>
      <c r="D1216" s="49" t="str">
        <f t="array" ref="D1216">_xlfn.XLOOKUP(
 B1216,
 tblTargets[TargetID],
 tblTargets[TargetType],
 ""
)</f>
        <v>COLLECTION</v>
      </c>
      <c r="E1216" s="49" t="s">
        <v>426</v>
      </c>
      <c r="F1216" s="49">
        <v>1.0</v>
      </c>
      <c r="G1216" s="49">
        <f t="array" ref="G1216">_xlfn.XLOOKUP(
 A1216,
 tblCost[RequirementID],
 tblCost[QuantityRequired],
 ""
)</f>
        <v>20</v>
      </c>
      <c r="H1216" s="49">
        <f t="array" ref="H1216">IF(
 OR(
  LEFT(B1216,15)="state.character",
  RIGHT(B1216,6)=".maxed"
 ),
 0,
 LET(
  sort,
   _xlfn.XLOOKUP(
    B1216,
    tblChecklist[TargetID],
    tblChecklist[PlayerSort],
    0
   ),
  IF(sort=0,500,sort)
 )
)</f>
        <v>500</v>
      </c>
      <c r="I1216" s="49" t="str">
        <f t="array" ref="I1216">_xlfn.XLOOKUP(
 B1216,
 tblTargetStatus[TargetID],
 tblTargetStatus[Status],
 ""
)</f>
        <v>BLOCKED</v>
      </c>
      <c r="J1216" s="45" t="b">
        <v>0</v>
      </c>
    </row>
    <row r="1217" ht="14.25" hidden="1" customHeight="1">
      <c r="A1217" s="49" t="s">
        <v>2973</v>
      </c>
      <c r="B1217" s="49" t="str">
        <f>IFERROR(__xludf.DUMMYFUNCTION("REGEXREPLACE(
 REGEXREPLACE(A1217,""^cost\."",""""),
 ""\.[^.]+\.[^.]+$"",
 """"
)"),"collection.treasury_1@4")</f>
        <v>collection.treasury_1@4</v>
      </c>
      <c r="C1217" s="49" t="str">
        <f t="array" ref="C1217">_xlfn.XLOOKUP(
 B1217,
 tblTargets[TargetID],
 tblTargets[DisplayName],
 ""
)</f>
        <v>Treasury 1 Lv 4</v>
      </c>
      <c r="D1217" s="49" t="str">
        <f t="array" ref="D1217">_xlfn.XLOOKUP(
 B1217,
 tblTargets[TargetID],
 tblTargets[TargetType],
 ""
)</f>
        <v>COLLECTION</v>
      </c>
      <c r="E1217" s="49" t="s">
        <v>6</v>
      </c>
      <c r="F1217" s="49">
        <v>1.0</v>
      </c>
      <c r="G1217" s="49">
        <f t="array" ref="G1217">_xlfn.XLOOKUP(
 A1217,
 tblCost[RequirementID],
 tblCost[QuantityRequired],
 ""
)</f>
        <v>20</v>
      </c>
      <c r="H1217" s="49">
        <f t="array" ref="H1217">IF(
 OR(
  LEFT(B1217,15)="state.character",
  RIGHT(B1217,6)=".maxed"
 ),
 0,
 LET(
  sort,
   _xlfn.XLOOKUP(
    B1217,
    tblChecklist[TargetID],
    tblChecklist[PlayerSort],
    0
   ),
  IF(sort=0,500,sort)
 )
)</f>
        <v>500</v>
      </c>
      <c r="I1217" s="49" t="str">
        <f t="array" ref="I1217">_xlfn.XLOOKUP(
 B1217,
 tblTargetStatus[TargetID],
 tblTargetStatus[Status],
 ""
)</f>
        <v>BLOCKED</v>
      </c>
      <c r="J1217" s="45" t="b">
        <v>0</v>
      </c>
    </row>
    <row r="1218" ht="14.25" hidden="1" customHeight="1">
      <c r="A1218" s="49" t="s">
        <v>2975</v>
      </c>
      <c r="B1218" s="49" t="str">
        <f>IFERROR(__xludf.DUMMYFUNCTION("REGEXREPLACE(
 REGEXREPLACE(A1218,""^cost\."",""""),
 ""\.[^.]+\.[^.]+$"",
 """"
)"),"collection.treasury_1@4")</f>
        <v>collection.treasury_1@4</v>
      </c>
      <c r="C1218" s="49" t="str">
        <f t="array" ref="C1218">_xlfn.XLOOKUP(
 B1218,
 tblTargets[TargetID],
 tblTargets[DisplayName],
 ""
)</f>
        <v>Treasury 1 Lv 4</v>
      </c>
      <c r="D1218" s="49" t="str">
        <f t="array" ref="D1218">_xlfn.XLOOKUP(
 B1218,
 tblTargets[TargetID],
 tblTargets[TargetType],
 ""
)</f>
        <v>COLLECTION</v>
      </c>
      <c r="E1218" s="49" t="s">
        <v>2011</v>
      </c>
      <c r="F1218" s="49">
        <v>1.0</v>
      </c>
      <c r="G1218" s="49">
        <f t="array" ref="G1218">_xlfn.XLOOKUP(
 A1218,
 tblCost[RequirementID],
 tblCost[QuantityRequired],
 ""
)</f>
        <v>40</v>
      </c>
      <c r="H1218" s="49">
        <f t="array" ref="H1218">IF(
 OR(
  LEFT(B1218,15)="state.character",
  RIGHT(B1218,6)=".maxed"
 ),
 0,
 LET(
  sort,
   _xlfn.XLOOKUP(
    B1218,
    tblChecklist[TargetID],
    tblChecklist[PlayerSort],
    0
   ),
  IF(sort=0,500,sort)
 )
)</f>
        <v>500</v>
      </c>
      <c r="I1218" s="49" t="str">
        <f t="array" ref="I1218">_xlfn.XLOOKUP(
 B1218,
 tblTargetStatus[TargetID],
 tblTargetStatus[Status],
 ""
)</f>
        <v>BLOCKED</v>
      </c>
      <c r="J1218" s="45" t="b">
        <v>0</v>
      </c>
    </row>
    <row r="1219" ht="14.25" hidden="1" customHeight="1">
      <c r="A1219" s="49" t="s">
        <v>2978</v>
      </c>
      <c r="B1219" s="49" t="str">
        <f>IFERROR(__xludf.DUMMYFUNCTION("REGEXREPLACE(
 REGEXREPLACE(A1219,""^cost\."",""""),
 ""\.[^.]+\.[^.]+$"",
 """"
)"),"collection.treasury_1@5")</f>
        <v>collection.treasury_1@5</v>
      </c>
      <c r="C1219" s="49" t="str">
        <f t="array" ref="C1219">_xlfn.XLOOKUP(
 B1219,
 tblTargets[TargetID],
 tblTargets[DisplayName],
 ""
)</f>
        <v>Treasury 1 Lv 5</v>
      </c>
      <c r="D1219" s="49" t="str">
        <f t="array" ref="D1219">_xlfn.XLOOKUP(
 B1219,
 tblTargets[TargetID],
 tblTargets[TargetType],
 ""
)</f>
        <v>COLLECTION</v>
      </c>
      <c r="E1219" s="49" t="s">
        <v>119</v>
      </c>
      <c r="F1219" s="49">
        <v>1.0</v>
      </c>
      <c r="G1219" s="49">
        <f t="array" ref="G1219">_xlfn.XLOOKUP(
 A1219,
 tblCost[RequirementID],
 tblCost[QuantityRequired],
 ""
)</f>
        <v>5000</v>
      </c>
      <c r="H1219" s="49">
        <f t="array" ref="H1219">IF(
 OR(
  LEFT(B1219,15)="state.character",
  RIGHT(B1219,6)=".maxed"
 ),
 0,
 LET(
  sort,
   _xlfn.XLOOKUP(
    B1219,
    tblChecklist[TargetID],
    tblChecklist[PlayerSort],
    0
   ),
  IF(sort=0,500,sort)
 )
)</f>
        <v>500</v>
      </c>
      <c r="I1219" s="49" t="str">
        <f t="array" ref="I1219">_xlfn.XLOOKUP(
 B1219,
 tblTargetStatus[TargetID],
 tblTargetStatus[Status],
 ""
)</f>
        <v>BLOCKED</v>
      </c>
      <c r="J1219" s="45" t="b">
        <v>0</v>
      </c>
    </row>
    <row r="1220" ht="14.25" hidden="1" customHeight="1">
      <c r="A1220" s="49" t="s">
        <v>2980</v>
      </c>
      <c r="B1220" s="49" t="str">
        <f>IFERROR(__xludf.DUMMYFUNCTION("REGEXREPLACE(
 REGEXREPLACE(A1220,""^cost\."",""""),
 ""\.[^.]+\.[^.]+$"",
 """"
)"),"collection.treasury_1@5")</f>
        <v>collection.treasury_1@5</v>
      </c>
      <c r="C1220" s="49" t="str">
        <f t="array" ref="C1220">_xlfn.XLOOKUP(
 B1220,
 tblTargets[TargetID],
 tblTargets[DisplayName],
 ""
)</f>
        <v>Treasury 1 Lv 5</v>
      </c>
      <c r="D1220" s="49" t="str">
        <f t="array" ref="D1220">_xlfn.XLOOKUP(
 B1220,
 tblTargets[TargetID],
 tblTargets[TargetType],
 ""
)</f>
        <v>COLLECTION</v>
      </c>
      <c r="E1220" s="49" t="s">
        <v>119</v>
      </c>
      <c r="F1220" s="49">
        <v>2.0</v>
      </c>
      <c r="G1220" s="49">
        <f t="array" ref="G1220">_xlfn.XLOOKUP(
 A1220,
 tblCost[RequirementID],
 tblCost[QuantityRequired],
 ""
)</f>
        <v>5000</v>
      </c>
      <c r="H1220" s="49">
        <f t="array" ref="H1220">IF(
 OR(
  LEFT(B1220,15)="state.character",
  RIGHT(B1220,6)=".maxed"
 ),
 0,
 LET(
  sort,
   _xlfn.XLOOKUP(
    B1220,
    tblChecklist[TargetID],
    tblChecklist[PlayerSort],
    0
   ),
  IF(sort=0,500,sort)
 )
)</f>
        <v>500</v>
      </c>
      <c r="I1220" s="49" t="str">
        <f t="array" ref="I1220">_xlfn.XLOOKUP(
 B1220,
 tblTargetStatus[TargetID],
 tblTargetStatus[Status],
 ""
)</f>
        <v>BLOCKED</v>
      </c>
      <c r="J1220" s="45" t="b">
        <v>0</v>
      </c>
    </row>
    <row r="1221" ht="14.25" hidden="1" customHeight="1">
      <c r="A1221" s="49" t="s">
        <v>2982</v>
      </c>
      <c r="B1221" s="49" t="str">
        <f>IFERROR(__xludf.DUMMYFUNCTION("REGEXREPLACE(
 REGEXREPLACE(A1221,""^cost\."",""""),
 ""\.[^.]+\.[^.]+$"",
 """"
)"),"collection.treasury_1@5")</f>
        <v>collection.treasury_1@5</v>
      </c>
      <c r="C1221" s="49" t="str">
        <f t="array" ref="C1221">_xlfn.XLOOKUP(
 B1221,
 tblTargets[TargetID],
 tblTargets[DisplayName],
 ""
)</f>
        <v>Treasury 1 Lv 5</v>
      </c>
      <c r="D1221" s="49" t="str">
        <f t="array" ref="D1221">_xlfn.XLOOKUP(
 B1221,
 tblTargets[TargetID],
 tblTargets[TargetType],
 ""
)</f>
        <v>COLLECTION</v>
      </c>
      <c r="E1221" s="49" t="s">
        <v>1060</v>
      </c>
      <c r="F1221" s="49">
        <v>1.0</v>
      </c>
      <c r="G1221" s="49">
        <f t="array" ref="G1221">_xlfn.XLOOKUP(
 A1221,
 tblCost[RequirementID],
 tblCost[QuantityRequired],
 ""
)</f>
        <v>1250</v>
      </c>
      <c r="H1221" s="49">
        <f t="array" ref="H1221">IF(
 OR(
  LEFT(B1221,15)="state.character",
  RIGHT(B1221,6)=".maxed"
 ),
 0,
 LET(
  sort,
   _xlfn.XLOOKUP(
    B1221,
    tblChecklist[TargetID],
    tblChecklist[PlayerSort],
    0
   ),
  IF(sort=0,500,sort)
 )
)</f>
        <v>500</v>
      </c>
      <c r="I1221" s="49" t="str">
        <f t="array" ref="I1221">_xlfn.XLOOKUP(
 B1221,
 tblTargetStatus[TargetID],
 tblTargetStatus[Status],
 ""
)</f>
        <v>BLOCKED</v>
      </c>
      <c r="J1221" s="45" t="b">
        <v>0</v>
      </c>
    </row>
    <row r="1222" ht="14.25" hidden="1" customHeight="1">
      <c r="A1222" s="49" t="s">
        <v>2984</v>
      </c>
      <c r="B1222" s="49" t="str">
        <f>IFERROR(__xludf.DUMMYFUNCTION("REGEXREPLACE(
 REGEXREPLACE(A1222,""^cost\."",""""),
 ""\.[^.]+\.[^.]+$"",
 """"
)"),"collection.treasury_1@5")</f>
        <v>collection.treasury_1@5</v>
      </c>
      <c r="C1222" s="49" t="str">
        <f t="array" ref="C1222">_xlfn.XLOOKUP(
 B1222,
 tblTargets[TargetID],
 tblTargets[DisplayName],
 ""
)</f>
        <v>Treasury 1 Lv 5</v>
      </c>
      <c r="D1222" s="49" t="str">
        <f t="array" ref="D1222">_xlfn.XLOOKUP(
 B1222,
 tblTargets[TargetID],
 tblTargets[TargetType],
 ""
)</f>
        <v>COLLECTION</v>
      </c>
      <c r="E1222" s="49" t="s">
        <v>2915</v>
      </c>
      <c r="F1222" s="49">
        <v>1.0</v>
      </c>
      <c r="G1222" s="49">
        <f t="array" ref="G1222">_xlfn.XLOOKUP(
 A1222,
 tblCost[RequirementID],
 tblCost[QuantityRequired],
 ""
)</f>
        <v>1250</v>
      </c>
      <c r="H1222" s="49">
        <f t="array" ref="H1222">IF(
 OR(
  LEFT(B1222,15)="state.character",
  RIGHT(B1222,6)=".maxed"
 ),
 0,
 LET(
  sort,
   _xlfn.XLOOKUP(
    B1222,
    tblChecklist[TargetID],
    tblChecklist[PlayerSort],
    0
   ),
  IF(sort=0,500,sort)
 )
)</f>
        <v>500</v>
      </c>
      <c r="I1222" s="49" t="str">
        <f t="array" ref="I1222">_xlfn.XLOOKUP(
 B1222,
 tblTargetStatus[TargetID],
 tblTargetStatus[Status],
 ""
)</f>
        <v>BLOCKED</v>
      </c>
      <c r="J1222" s="45" t="b">
        <v>0</v>
      </c>
    </row>
    <row r="1223" ht="14.25" hidden="1" customHeight="1">
      <c r="A1223" s="49" t="s">
        <v>2987</v>
      </c>
      <c r="B1223" s="49" t="str">
        <f>IFERROR(__xludf.DUMMYFUNCTION("REGEXREPLACE(
 REGEXREPLACE(A1223,""^cost\."",""""),
 ""\.[^.]+\.[^.]+$"",
 """"
)"),"collection.treasury_1@5")</f>
        <v>collection.treasury_1@5</v>
      </c>
      <c r="C1223" s="49" t="str">
        <f t="array" ref="C1223">_xlfn.XLOOKUP(
 B1223,
 tblTargets[TargetID],
 tblTargets[DisplayName],
 ""
)</f>
        <v>Treasury 1 Lv 5</v>
      </c>
      <c r="D1223" s="49" t="str">
        <f t="array" ref="D1223">_xlfn.XLOOKUP(
 B1223,
 tblTargets[TargetID],
 tblTargets[TargetType],
 ""
)</f>
        <v>COLLECTION</v>
      </c>
      <c r="E1223" s="49" t="s">
        <v>412</v>
      </c>
      <c r="F1223" s="49">
        <v>1.0</v>
      </c>
      <c r="G1223" s="49">
        <f t="array" ref="G1223">_xlfn.XLOOKUP(
 A1223,
 tblCost[RequirementID],
 tblCost[QuantityRequired],
 ""
)</f>
        <v>50</v>
      </c>
      <c r="H1223" s="49">
        <f t="array" ref="H1223">IF(
 OR(
  LEFT(B1223,15)="state.character",
  RIGHT(B1223,6)=".maxed"
 ),
 0,
 LET(
  sort,
   _xlfn.XLOOKUP(
    B1223,
    tblChecklist[TargetID],
    tblChecklist[PlayerSort],
    0
   ),
  IF(sort=0,500,sort)
 )
)</f>
        <v>500</v>
      </c>
      <c r="I1223" s="49" t="str">
        <f t="array" ref="I1223">_xlfn.XLOOKUP(
 B1223,
 tblTargetStatus[TargetID],
 tblTargetStatus[Status],
 ""
)</f>
        <v>BLOCKED</v>
      </c>
      <c r="J1223" s="45" t="b">
        <v>0</v>
      </c>
    </row>
    <row r="1224" ht="14.25" hidden="1" customHeight="1">
      <c r="A1224" s="49" t="s">
        <v>2989</v>
      </c>
      <c r="B1224" s="49" t="str">
        <f>IFERROR(__xludf.DUMMYFUNCTION("REGEXREPLACE(
 REGEXREPLACE(A1224,""^cost\."",""""),
 ""\.[^.]+\.[^.]+$"",
 """"
)"),"collection.treasury_1@5")</f>
        <v>collection.treasury_1@5</v>
      </c>
      <c r="C1224" s="49" t="str">
        <f t="array" ref="C1224">_xlfn.XLOOKUP(
 B1224,
 tblTargets[TargetID],
 tblTargets[DisplayName],
 ""
)</f>
        <v>Treasury 1 Lv 5</v>
      </c>
      <c r="D1224" s="49" t="str">
        <f t="array" ref="D1224">_xlfn.XLOOKUP(
 B1224,
 tblTargets[TargetID],
 tblTargets[TargetType],
 ""
)</f>
        <v>COLLECTION</v>
      </c>
      <c r="E1224" s="49" t="s">
        <v>426</v>
      </c>
      <c r="F1224" s="49">
        <v>1.0</v>
      </c>
      <c r="G1224" s="49">
        <f t="array" ref="G1224">_xlfn.XLOOKUP(
 A1224,
 tblCost[RequirementID],
 tblCost[QuantityRequired],
 ""
)</f>
        <v>25</v>
      </c>
      <c r="H1224" s="49">
        <f t="array" ref="H1224">IF(
 OR(
  LEFT(B1224,15)="state.character",
  RIGHT(B1224,6)=".maxed"
 ),
 0,
 LET(
  sort,
   _xlfn.XLOOKUP(
    B1224,
    tblChecklist[TargetID],
    tblChecklist[PlayerSort],
    0
   ),
  IF(sort=0,500,sort)
 )
)</f>
        <v>500</v>
      </c>
      <c r="I1224" s="49" t="str">
        <f t="array" ref="I1224">_xlfn.XLOOKUP(
 B1224,
 tblTargetStatus[TargetID],
 tblTargetStatus[Status],
 ""
)</f>
        <v>BLOCKED</v>
      </c>
      <c r="J1224" s="45" t="b">
        <v>0</v>
      </c>
    </row>
    <row r="1225" ht="14.25" hidden="1" customHeight="1">
      <c r="A1225" s="49" t="s">
        <v>2991</v>
      </c>
      <c r="B1225" s="49" t="str">
        <f>IFERROR(__xludf.DUMMYFUNCTION("REGEXREPLACE(
 REGEXREPLACE(A1225,""^cost\."",""""),
 ""\.[^.]+\.[^.]+$"",
 """"
)"),"collection.treasury_1@5")</f>
        <v>collection.treasury_1@5</v>
      </c>
      <c r="C1225" s="49" t="str">
        <f t="array" ref="C1225">_xlfn.XLOOKUP(
 B1225,
 tblTargets[TargetID],
 tblTargets[DisplayName],
 ""
)</f>
        <v>Treasury 1 Lv 5</v>
      </c>
      <c r="D1225" s="49" t="str">
        <f t="array" ref="D1225">_xlfn.XLOOKUP(
 B1225,
 tblTargets[TargetID],
 tblTargets[TargetType],
 ""
)</f>
        <v>COLLECTION</v>
      </c>
      <c r="E1225" s="49" t="s">
        <v>6</v>
      </c>
      <c r="F1225" s="49">
        <v>1.0</v>
      </c>
      <c r="G1225" s="49">
        <f t="array" ref="G1225">_xlfn.XLOOKUP(
 A1225,
 tblCost[RequirementID],
 tblCost[QuantityRequired],
 ""
)</f>
        <v>25</v>
      </c>
      <c r="H1225" s="49">
        <f t="array" ref="H1225">IF(
 OR(
  LEFT(B1225,15)="state.character",
  RIGHT(B1225,6)=".maxed"
 ),
 0,
 LET(
  sort,
   _xlfn.XLOOKUP(
    B1225,
    tblChecklist[TargetID],
    tblChecklist[PlayerSort],
    0
   ),
  IF(sort=0,500,sort)
 )
)</f>
        <v>500</v>
      </c>
      <c r="I1225" s="49" t="str">
        <f t="array" ref="I1225">_xlfn.XLOOKUP(
 B1225,
 tblTargetStatus[TargetID],
 tblTargetStatus[Status],
 ""
)</f>
        <v>BLOCKED</v>
      </c>
      <c r="J1225" s="45" t="b">
        <v>0</v>
      </c>
    </row>
    <row r="1226" ht="14.25" hidden="1" customHeight="1">
      <c r="A1226" s="49" t="s">
        <v>2993</v>
      </c>
      <c r="B1226" s="49" t="str">
        <f>IFERROR(__xludf.DUMMYFUNCTION("REGEXREPLACE(
 REGEXREPLACE(A1226,""^cost\."",""""),
 ""\.[^.]+\.[^.]+$"",
 """"
)"),"collection.treasury_1@5")</f>
        <v>collection.treasury_1@5</v>
      </c>
      <c r="C1226" s="49" t="str">
        <f t="array" ref="C1226">_xlfn.XLOOKUP(
 B1226,
 tblTargets[TargetID],
 tblTargets[DisplayName],
 ""
)</f>
        <v>Treasury 1 Lv 5</v>
      </c>
      <c r="D1226" s="49" t="str">
        <f t="array" ref="D1226">_xlfn.XLOOKUP(
 B1226,
 tblTargets[TargetID],
 tblTargets[TargetType],
 ""
)</f>
        <v>COLLECTION</v>
      </c>
      <c r="E1226" s="49" t="s">
        <v>2011</v>
      </c>
      <c r="F1226" s="49">
        <v>1.0</v>
      </c>
      <c r="G1226" s="49">
        <f t="array" ref="G1226">_xlfn.XLOOKUP(
 A1226,
 tblCost[RequirementID],
 tblCost[QuantityRequired],
 ""
)</f>
        <v>50</v>
      </c>
      <c r="H1226" s="49">
        <f t="array" ref="H1226">IF(
 OR(
  LEFT(B1226,15)="state.character",
  RIGHT(B1226,6)=".maxed"
 ),
 0,
 LET(
  sort,
   _xlfn.XLOOKUP(
    B1226,
    tblChecklist[TargetID],
    tblChecklist[PlayerSort],
    0
   ),
  IF(sort=0,500,sort)
 )
)</f>
        <v>500</v>
      </c>
      <c r="I1226" s="49" t="str">
        <f t="array" ref="I1226">_xlfn.XLOOKUP(
 B1226,
 tblTargetStatus[TargetID],
 tblTargetStatus[Status],
 ""
)</f>
        <v>BLOCKED</v>
      </c>
      <c r="J1226" s="45" t="b">
        <v>0</v>
      </c>
    </row>
    <row r="1227" ht="14.25" hidden="1" customHeight="1">
      <c r="A1227" s="49" t="s">
        <v>2995</v>
      </c>
      <c r="B1227" s="49" t="str">
        <f>IFERROR(__xludf.DUMMYFUNCTION("REGEXREPLACE(
 REGEXREPLACE(A1227,""^cost\."",""""),
 ""\.[^.]+\.[^.]+$"",
 """"
)"),"collection.treasury_2@1")</f>
        <v>collection.treasury_2@1</v>
      </c>
      <c r="C1227" s="49" t="str">
        <f t="array" ref="C1227">_xlfn.XLOOKUP(
 B1227,
 tblTargets[TargetID],
 tblTargets[DisplayName],
 ""
)</f>
        <v>Treasury 2 Lv 1</v>
      </c>
      <c r="D1227" s="49" t="str">
        <f t="array" ref="D1227">_xlfn.XLOOKUP(
 B1227,
 tblTargets[TargetID],
 tblTargets[TargetType],
 ""
)</f>
        <v>COLLECTION</v>
      </c>
      <c r="E1227" s="49" t="s">
        <v>2997</v>
      </c>
      <c r="F1227" s="49">
        <v>1.0</v>
      </c>
      <c r="G1227" s="49">
        <f t="array" ref="G1227">_xlfn.XLOOKUP(
 A1227,
 tblCost[RequirementID],
 tblCost[QuantityRequired],
 ""
)</f>
        <v>3</v>
      </c>
      <c r="H1227" s="49">
        <f t="array" ref="H1227">IF(
 OR(
  LEFT(B1227,15)="state.character",
  RIGHT(B1227,6)=".maxed"
 ),
 0,
 LET(
  sort,
   _xlfn.XLOOKUP(
    B1227,
    tblChecklist[TargetID],
    tblChecklist[PlayerSort],
    0
   ),
  IF(sort=0,500,sort)
 )
)</f>
        <v>500</v>
      </c>
      <c r="I1227" s="49" t="str">
        <f t="array" ref="I1227">_xlfn.XLOOKUP(
 B1227,
 tblTargetStatus[TargetID],
 tblTargetStatus[Status],
 ""
)</f>
        <v>BLOCKED</v>
      </c>
      <c r="J1227" s="45" t="b">
        <v>0</v>
      </c>
    </row>
    <row r="1228" ht="14.25" hidden="1" customHeight="1">
      <c r="A1228" s="49" t="s">
        <v>2998</v>
      </c>
      <c r="B1228" s="49" t="str">
        <f>IFERROR(__xludf.DUMMYFUNCTION("REGEXREPLACE(
 REGEXREPLACE(A1228,""^cost\."",""""),
 ""\.[^.]+\.[^.]+$"",
 """"
)"),"collection.treasury_2@1")</f>
        <v>collection.treasury_2@1</v>
      </c>
      <c r="C1228" s="49" t="str">
        <f t="array" ref="C1228">_xlfn.XLOOKUP(
 B1228,
 tblTargets[TargetID],
 tblTargets[DisplayName],
 ""
)</f>
        <v>Treasury 2 Lv 1</v>
      </c>
      <c r="D1228" s="49" t="str">
        <f t="array" ref="D1228">_xlfn.XLOOKUP(
 B1228,
 tblTargets[TargetID],
 tblTargets[TargetType],
 ""
)</f>
        <v>COLLECTION</v>
      </c>
      <c r="E1228" s="49" t="s">
        <v>3000</v>
      </c>
      <c r="F1228" s="49">
        <v>1.0</v>
      </c>
      <c r="G1228" s="49">
        <f t="array" ref="G1228">_xlfn.XLOOKUP(
 A1228,
 tblCost[RequirementID],
 tblCost[QuantityRequired],
 ""
)</f>
        <v>3</v>
      </c>
      <c r="H1228" s="49">
        <f t="array" ref="H1228">IF(
 OR(
  LEFT(B1228,15)="state.character",
  RIGHT(B1228,6)=".maxed"
 ),
 0,
 LET(
  sort,
   _xlfn.XLOOKUP(
    B1228,
    tblChecklist[TargetID],
    tblChecklist[PlayerSort],
    0
   ),
  IF(sort=0,500,sort)
 )
)</f>
        <v>500</v>
      </c>
      <c r="I1228" s="49" t="str">
        <f t="array" ref="I1228">_xlfn.XLOOKUP(
 B1228,
 tblTargetStatus[TargetID],
 tblTargetStatus[Status],
 ""
)</f>
        <v>BLOCKED</v>
      </c>
      <c r="J1228" s="45" t="b">
        <v>0</v>
      </c>
    </row>
    <row r="1229" ht="14.25" hidden="1" customHeight="1">
      <c r="A1229" s="49" t="s">
        <v>3002</v>
      </c>
      <c r="B1229" s="49" t="str">
        <f>IFERROR(__xludf.DUMMYFUNCTION("REGEXREPLACE(
 REGEXREPLACE(A1229,""^cost\."",""""),
 ""\.[^.]+\.[^.]+$"",
 """"
)"),"collection.treasury_2@1")</f>
        <v>collection.treasury_2@1</v>
      </c>
      <c r="C1229" s="49" t="str">
        <f t="array" ref="C1229">_xlfn.XLOOKUP(
 B1229,
 tblTargets[TargetID],
 tblTargets[DisplayName],
 ""
)</f>
        <v>Treasury 2 Lv 1</v>
      </c>
      <c r="D1229" s="49" t="str">
        <f t="array" ref="D1229">_xlfn.XLOOKUP(
 B1229,
 tblTargets[TargetID],
 tblTargets[TargetType],
 ""
)</f>
        <v>COLLECTION</v>
      </c>
      <c r="E1229" s="49" t="s">
        <v>3003</v>
      </c>
      <c r="F1229" s="49">
        <v>1.0</v>
      </c>
      <c r="G1229" s="49">
        <f t="array" ref="G1229">_xlfn.XLOOKUP(
 A1229,
 tblCost[RequirementID],
 tblCost[QuantityRequired],
 ""
)</f>
        <v>3</v>
      </c>
      <c r="H1229" s="49">
        <f t="array" ref="H1229">IF(
 OR(
  LEFT(B1229,15)="state.character",
  RIGHT(B1229,6)=".maxed"
 ),
 0,
 LET(
  sort,
   _xlfn.XLOOKUP(
    B1229,
    tblChecklist[TargetID],
    tblChecklist[PlayerSort],
    0
   ),
  IF(sort=0,500,sort)
 )
)</f>
        <v>500</v>
      </c>
      <c r="I1229" s="49" t="str">
        <f t="array" ref="I1229">_xlfn.XLOOKUP(
 B1229,
 tblTargetStatus[TargetID],
 tblTargetStatus[Status],
 ""
)</f>
        <v>BLOCKED</v>
      </c>
      <c r="J1229" s="45" t="b">
        <v>0</v>
      </c>
    </row>
    <row r="1230" ht="14.25" hidden="1" customHeight="1">
      <c r="A1230" s="49" t="s">
        <v>3005</v>
      </c>
      <c r="B1230" s="49" t="str">
        <f>IFERROR(__xludf.DUMMYFUNCTION("REGEXREPLACE(
 REGEXREPLACE(A1230,""^cost\."",""""),
 ""\.[^.]+\.[^.]+$"",
 """"
)"),"collection.treasury_2@1")</f>
        <v>collection.treasury_2@1</v>
      </c>
      <c r="C1230" s="49" t="str">
        <f t="array" ref="C1230">_xlfn.XLOOKUP(
 B1230,
 tblTargets[TargetID],
 tblTargets[DisplayName],
 ""
)</f>
        <v>Treasury 2 Lv 1</v>
      </c>
      <c r="D1230" s="49" t="str">
        <f t="array" ref="D1230">_xlfn.XLOOKUP(
 B1230,
 tblTargets[TargetID],
 tblTargets[TargetType],
 ""
)</f>
        <v>COLLECTION</v>
      </c>
      <c r="E1230" s="49" t="s">
        <v>3006</v>
      </c>
      <c r="F1230" s="49">
        <v>1.0</v>
      </c>
      <c r="G1230" s="49">
        <f t="array" ref="G1230">_xlfn.XLOOKUP(
 A1230,
 tblCost[RequirementID],
 tblCost[QuantityRequired],
 ""
)</f>
        <v>3</v>
      </c>
      <c r="H1230" s="49">
        <f t="array" ref="H1230">IF(
 OR(
  LEFT(B1230,15)="state.character",
  RIGHT(B1230,6)=".maxed"
 ),
 0,
 LET(
  sort,
   _xlfn.XLOOKUP(
    B1230,
    tblChecklist[TargetID],
    tblChecklist[PlayerSort],
    0
   ),
  IF(sort=0,500,sort)
 )
)</f>
        <v>500</v>
      </c>
      <c r="I1230" s="49" t="str">
        <f t="array" ref="I1230">_xlfn.XLOOKUP(
 B1230,
 tblTargetStatus[TargetID],
 tblTargetStatus[Status],
 ""
)</f>
        <v>BLOCKED</v>
      </c>
      <c r="J1230" s="45" t="b">
        <v>0</v>
      </c>
    </row>
    <row r="1231" ht="14.25" hidden="1" customHeight="1">
      <c r="A1231" s="49" t="s">
        <v>3008</v>
      </c>
      <c r="B1231" s="49" t="str">
        <f>IFERROR(__xludf.DUMMYFUNCTION("REGEXREPLACE(
 REGEXREPLACE(A1231,""^cost\."",""""),
 ""\.[^.]+\.[^.]+$"",
 """"
)"),"collection.treasury_2@1")</f>
        <v>collection.treasury_2@1</v>
      </c>
      <c r="C1231" s="49" t="str">
        <f t="array" ref="C1231">_xlfn.XLOOKUP(
 B1231,
 tblTargets[TargetID],
 tblTargets[DisplayName],
 ""
)</f>
        <v>Treasury 2 Lv 1</v>
      </c>
      <c r="D1231" s="49" t="str">
        <f t="array" ref="D1231">_xlfn.XLOOKUP(
 B1231,
 tblTargets[TargetID],
 tblTargets[TargetType],
 ""
)</f>
        <v>COLLECTION</v>
      </c>
      <c r="E1231" s="49" t="s">
        <v>3009</v>
      </c>
      <c r="F1231" s="49">
        <v>1.0</v>
      </c>
      <c r="G1231" s="49">
        <f t="array" ref="G1231">_xlfn.XLOOKUP(
 A1231,
 tblCost[RequirementID],
 tblCost[QuantityRequired],
 ""
)</f>
        <v>3</v>
      </c>
      <c r="H1231" s="49">
        <f t="array" ref="H1231">IF(
 OR(
  LEFT(B1231,15)="state.character",
  RIGHT(B1231,6)=".maxed"
 ),
 0,
 LET(
  sort,
   _xlfn.XLOOKUP(
    B1231,
    tblChecklist[TargetID],
    tblChecklist[PlayerSort],
    0
   ),
  IF(sort=0,500,sort)
 )
)</f>
        <v>500</v>
      </c>
      <c r="I1231" s="49" t="str">
        <f t="array" ref="I1231">_xlfn.XLOOKUP(
 B1231,
 tblTargetStatus[TargetID],
 tblTargetStatus[Status],
 ""
)</f>
        <v>BLOCKED</v>
      </c>
      <c r="J1231" s="45" t="b">
        <v>0</v>
      </c>
    </row>
    <row r="1232" ht="14.25" hidden="1" customHeight="1">
      <c r="A1232" s="49" t="s">
        <v>3011</v>
      </c>
      <c r="B1232" s="49" t="str">
        <f>IFERROR(__xludf.DUMMYFUNCTION("REGEXREPLACE(
 REGEXREPLACE(A1232,""^cost\."",""""),
 ""\.[^.]+\.[^.]+$"",
 """"
)"),"collection.treasury_2@2")</f>
        <v>collection.treasury_2@2</v>
      </c>
      <c r="C1232" s="49" t="str">
        <f t="array" ref="C1232">_xlfn.XLOOKUP(
 B1232,
 tblTargets[TargetID],
 tblTargets[DisplayName],
 ""
)</f>
        <v>Treasury 2 Lv 2</v>
      </c>
      <c r="D1232" s="49" t="str">
        <f t="array" ref="D1232">_xlfn.XLOOKUP(
 B1232,
 tblTargets[TargetID],
 tblTargets[TargetType],
 ""
)</f>
        <v>COLLECTION</v>
      </c>
      <c r="E1232" s="49" t="s">
        <v>2997</v>
      </c>
      <c r="F1232" s="49">
        <v>1.0</v>
      </c>
      <c r="G1232" s="49">
        <f t="array" ref="G1232">_xlfn.XLOOKUP(
 A1232,
 tblCost[RequirementID],
 tblCost[QuantityRequired],
 ""
)</f>
        <v>6</v>
      </c>
      <c r="H1232" s="49">
        <f t="array" ref="H1232">IF(
 OR(
  LEFT(B1232,15)="state.character",
  RIGHT(B1232,6)=".maxed"
 ),
 0,
 LET(
  sort,
   _xlfn.XLOOKUP(
    B1232,
    tblChecklist[TargetID],
    tblChecklist[PlayerSort],
    0
   ),
  IF(sort=0,500,sort)
 )
)</f>
        <v>500</v>
      </c>
      <c r="I1232" s="49" t="str">
        <f t="array" ref="I1232">_xlfn.XLOOKUP(
 B1232,
 tblTargetStatus[TargetID],
 tblTargetStatus[Status],
 ""
)</f>
        <v>BLOCKED</v>
      </c>
      <c r="J1232" s="45" t="b">
        <v>0</v>
      </c>
    </row>
    <row r="1233" ht="14.25" hidden="1" customHeight="1">
      <c r="A1233" s="49" t="s">
        <v>3013</v>
      </c>
      <c r="B1233" s="49" t="str">
        <f>IFERROR(__xludf.DUMMYFUNCTION("REGEXREPLACE(
 REGEXREPLACE(A1233,""^cost\."",""""),
 ""\.[^.]+\.[^.]+$"",
 """"
)"),"collection.treasury_2@2")</f>
        <v>collection.treasury_2@2</v>
      </c>
      <c r="C1233" s="49" t="str">
        <f t="array" ref="C1233">_xlfn.XLOOKUP(
 B1233,
 tblTargets[TargetID],
 tblTargets[DisplayName],
 ""
)</f>
        <v>Treasury 2 Lv 2</v>
      </c>
      <c r="D1233" s="49" t="str">
        <f t="array" ref="D1233">_xlfn.XLOOKUP(
 B1233,
 tblTargets[TargetID],
 tblTargets[TargetType],
 ""
)</f>
        <v>COLLECTION</v>
      </c>
      <c r="E1233" s="49" t="s">
        <v>3000</v>
      </c>
      <c r="F1233" s="49">
        <v>1.0</v>
      </c>
      <c r="G1233" s="49">
        <f t="array" ref="G1233">_xlfn.XLOOKUP(
 A1233,
 tblCost[RequirementID],
 tblCost[QuantityRequired],
 ""
)</f>
        <v>6</v>
      </c>
      <c r="H1233" s="49">
        <f t="array" ref="H1233">IF(
 OR(
  LEFT(B1233,15)="state.character",
  RIGHT(B1233,6)=".maxed"
 ),
 0,
 LET(
  sort,
   _xlfn.XLOOKUP(
    B1233,
    tblChecklist[TargetID],
    tblChecklist[PlayerSort],
    0
   ),
  IF(sort=0,500,sort)
 )
)</f>
        <v>500</v>
      </c>
      <c r="I1233" s="49" t="str">
        <f t="array" ref="I1233">_xlfn.XLOOKUP(
 B1233,
 tblTargetStatus[TargetID],
 tblTargetStatus[Status],
 ""
)</f>
        <v>BLOCKED</v>
      </c>
      <c r="J1233" s="45" t="b">
        <v>0</v>
      </c>
    </row>
    <row r="1234" ht="14.25" hidden="1" customHeight="1">
      <c r="A1234" s="49" t="s">
        <v>3015</v>
      </c>
      <c r="B1234" s="49" t="str">
        <f>IFERROR(__xludf.DUMMYFUNCTION("REGEXREPLACE(
 REGEXREPLACE(A1234,""^cost\."",""""),
 ""\.[^.]+\.[^.]+$"",
 """"
)"),"collection.treasury_2@2")</f>
        <v>collection.treasury_2@2</v>
      </c>
      <c r="C1234" s="49" t="str">
        <f t="array" ref="C1234">_xlfn.XLOOKUP(
 B1234,
 tblTargets[TargetID],
 tblTargets[DisplayName],
 ""
)</f>
        <v>Treasury 2 Lv 2</v>
      </c>
      <c r="D1234" s="49" t="str">
        <f t="array" ref="D1234">_xlfn.XLOOKUP(
 B1234,
 tblTargets[TargetID],
 tblTargets[TargetType],
 ""
)</f>
        <v>COLLECTION</v>
      </c>
      <c r="E1234" s="49" t="s">
        <v>3003</v>
      </c>
      <c r="F1234" s="49">
        <v>1.0</v>
      </c>
      <c r="G1234" s="49">
        <f t="array" ref="G1234">_xlfn.XLOOKUP(
 A1234,
 tblCost[RequirementID],
 tblCost[QuantityRequired],
 ""
)</f>
        <v>6</v>
      </c>
      <c r="H1234" s="49">
        <f t="array" ref="H1234">IF(
 OR(
  LEFT(B1234,15)="state.character",
  RIGHT(B1234,6)=".maxed"
 ),
 0,
 LET(
  sort,
   _xlfn.XLOOKUP(
    B1234,
    tblChecklist[TargetID],
    tblChecklist[PlayerSort],
    0
   ),
  IF(sort=0,500,sort)
 )
)</f>
        <v>500</v>
      </c>
      <c r="I1234" s="49" t="str">
        <f t="array" ref="I1234">_xlfn.XLOOKUP(
 B1234,
 tblTargetStatus[TargetID],
 tblTargetStatus[Status],
 ""
)</f>
        <v>BLOCKED</v>
      </c>
      <c r="J1234" s="45" t="b">
        <v>0</v>
      </c>
    </row>
    <row r="1235" ht="14.25" hidden="1" customHeight="1">
      <c r="A1235" s="49" t="s">
        <v>3018</v>
      </c>
      <c r="B1235" s="49" t="str">
        <f>IFERROR(__xludf.DUMMYFUNCTION("REGEXREPLACE(
 REGEXREPLACE(A1235,""^cost\."",""""),
 ""\.[^.]+\.[^.]+$"",
 """"
)"),"collection.treasury_2@2")</f>
        <v>collection.treasury_2@2</v>
      </c>
      <c r="C1235" s="49" t="str">
        <f t="array" ref="C1235">_xlfn.XLOOKUP(
 B1235,
 tblTargets[TargetID],
 tblTargets[DisplayName],
 ""
)</f>
        <v>Treasury 2 Lv 2</v>
      </c>
      <c r="D1235" s="49" t="str">
        <f t="array" ref="D1235">_xlfn.XLOOKUP(
 B1235,
 tblTargets[TargetID],
 tblTargets[TargetType],
 ""
)</f>
        <v>COLLECTION</v>
      </c>
      <c r="E1235" s="49" t="s">
        <v>3006</v>
      </c>
      <c r="F1235" s="49">
        <v>1.0</v>
      </c>
      <c r="G1235" s="49">
        <f t="array" ref="G1235">_xlfn.XLOOKUP(
 A1235,
 tblCost[RequirementID],
 tblCost[QuantityRequired],
 ""
)</f>
        <v>6</v>
      </c>
      <c r="H1235" s="49">
        <f t="array" ref="H1235">IF(
 OR(
  LEFT(B1235,15)="state.character",
  RIGHT(B1235,6)=".maxed"
 ),
 0,
 LET(
  sort,
   _xlfn.XLOOKUP(
    B1235,
    tblChecklist[TargetID],
    tblChecklist[PlayerSort],
    0
   ),
  IF(sort=0,500,sort)
 )
)</f>
        <v>500</v>
      </c>
      <c r="I1235" s="49" t="str">
        <f t="array" ref="I1235">_xlfn.XLOOKUP(
 B1235,
 tblTargetStatus[TargetID],
 tblTargetStatus[Status],
 ""
)</f>
        <v>BLOCKED</v>
      </c>
      <c r="J1235" s="45" t="b">
        <v>0</v>
      </c>
    </row>
    <row r="1236" ht="14.25" hidden="1" customHeight="1">
      <c r="A1236" s="49" t="s">
        <v>3020</v>
      </c>
      <c r="B1236" s="49" t="str">
        <f>IFERROR(__xludf.DUMMYFUNCTION("REGEXREPLACE(
 REGEXREPLACE(A1236,""^cost\."",""""),
 ""\.[^.]+\.[^.]+$"",
 """"
)"),"collection.treasury_2@2")</f>
        <v>collection.treasury_2@2</v>
      </c>
      <c r="C1236" s="49" t="str">
        <f t="array" ref="C1236">_xlfn.XLOOKUP(
 B1236,
 tblTargets[TargetID],
 tblTargets[DisplayName],
 ""
)</f>
        <v>Treasury 2 Lv 2</v>
      </c>
      <c r="D1236" s="49" t="str">
        <f t="array" ref="D1236">_xlfn.XLOOKUP(
 B1236,
 tblTargets[TargetID],
 tblTargets[TargetType],
 ""
)</f>
        <v>COLLECTION</v>
      </c>
      <c r="E1236" s="49" t="s">
        <v>3009</v>
      </c>
      <c r="F1236" s="49">
        <v>1.0</v>
      </c>
      <c r="G1236" s="49">
        <f t="array" ref="G1236">_xlfn.XLOOKUP(
 A1236,
 tblCost[RequirementID],
 tblCost[QuantityRequired],
 ""
)</f>
        <v>6</v>
      </c>
      <c r="H1236" s="49">
        <f t="array" ref="H1236">IF(
 OR(
  LEFT(B1236,15)="state.character",
  RIGHT(B1236,6)=".maxed"
 ),
 0,
 LET(
  sort,
   _xlfn.XLOOKUP(
    B1236,
    tblChecklist[TargetID],
    tblChecklist[PlayerSort],
    0
   ),
  IF(sort=0,500,sort)
 )
)</f>
        <v>500</v>
      </c>
      <c r="I1236" s="49" t="str">
        <f t="array" ref="I1236">_xlfn.XLOOKUP(
 B1236,
 tblTargetStatus[TargetID],
 tblTargetStatus[Status],
 ""
)</f>
        <v>BLOCKED</v>
      </c>
      <c r="J1236" s="45" t="b">
        <v>0</v>
      </c>
    </row>
    <row r="1237" ht="14.25" hidden="1" customHeight="1">
      <c r="A1237" s="49" t="s">
        <v>3022</v>
      </c>
      <c r="B1237" s="49" t="str">
        <f>IFERROR(__xludf.DUMMYFUNCTION("REGEXREPLACE(
 REGEXREPLACE(A1237,""^cost\."",""""),
 ""\.[^.]+\.[^.]+$"",
 """"
)"),"collection.treasury_2@3")</f>
        <v>collection.treasury_2@3</v>
      </c>
      <c r="C1237" s="49" t="str">
        <f t="array" ref="C1237">_xlfn.XLOOKUP(
 B1237,
 tblTargets[TargetID],
 tblTargets[DisplayName],
 ""
)</f>
        <v>Treasury 2 Lv 3</v>
      </c>
      <c r="D1237" s="49" t="str">
        <f t="array" ref="D1237">_xlfn.XLOOKUP(
 B1237,
 tblTargets[TargetID],
 tblTargets[TargetType],
 ""
)</f>
        <v>COLLECTION</v>
      </c>
      <c r="E1237" s="49" t="s">
        <v>2997</v>
      </c>
      <c r="F1237" s="49">
        <v>1.0</v>
      </c>
      <c r="G1237" s="49">
        <f t="array" ref="G1237">_xlfn.XLOOKUP(
 A1237,
 tblCost[RequirementID],
 tblCost[QuantityRequired],
 ""
)</f>
        <v>9</v>
      </c>
      <c r="H1237" s="49">
        <f t="array" ref="H1237">IF(
 OR(
  LEFT(B1237,15)="state.character",
  RIGHT(B1237,6)=".maxed"
 ),
 0,
 LET(
  sort,
   _xlfn.XLOOKUP(
    B1237,
    tblChecklist[TargetID],
    tblChecklist[PlayerSort],
    0
   ),
  IF(sort=0,500,sort)
 )
)</f>
        <v>500</v>
      </c>
      <c r="I1237" s="49" t="str">
        <f t="array" ref="I1237">_xlfn.XLOOKUP(
 B1237,
 tblTargetStatus[TargetID],
 tblTargetStatus[Status],
 ""
)</f>
        <v>BLOCKED</v>
      </c>
      <c r="J1237" s="45" t="b">
        <v>0</v>
      </c>
    </row>
    <row r="1238" ht="14.25" hidden="1" customHeight="1">
      <c r="A1238" s="49" t="s">
        <v>3024</v>
      </c>
      <c r="B1238" s="49" t="str">
        <f>IFERROR(__xludf.DUMMYFUNCTION("REGEXREPLACE(
 REGEXREPLACE(A1238,""^cost\."",""""),
 ""\.[^.]+\.[^.]+$"",
 """"
)"),"collection.treasury_2@3")</f>
        <v>collection.treasury_2@3</v>
      </c>
      <c r="C1238" s="49" t="str">
        <f t="array" ref="C1238">_xlfn.XLOOKUP(
 B1238,
 tblTargets[TargetID],
 tblTargets[DisplayName],
 ""
)</f>
        <v>Treasury 2 Lv 3</v>
      </c>
      <c r="D1238" s="49" t="str">
        <f t="array" ref="D1238">_xlfn.XLOOKUP(
 B1238,
 tblTargets[TargetID],
 tblTargets[TargetType],
 ""
)</f>
        <v>COLLECTION</v>
      </c>
      <c r="E1238" s="49" t="s">
        <v>3000</v>
      </c>
      <c r="F1238" s="49">
        <v>1.0</v>
      </c>
      <c r="G1238" s="49">
        <f t="array" ref="G1238">_xlfn.XLOOKUP(
 A1238,
 tblCost[RequirementID],
 tblCost[QuantityRequired],
 ""
)</f>
        <v>9</v>
      </c>
      <c r="H1238" s="49">
        <f t="array" ref="H1238">IF(
 OR(
  LEFT(B1238,15)="state.character",
  RIGHT(B1238,6)=".maxed"
 ),
 0,
 LET(
  sort,
   _xlfn.XLOOKUP(
    B1238,
    tblChecklist[TargetID],
    tblChecklist[PlayerSort],
    0
   ),
  IF(sort=0,500,sort)
 )
)</f>
        <v>500</v>
      </c>
      <c r="I1238" s="49" t="str">
        <f t="array" ref="I1238">_xlfn.XLOOKUP(
 B1238,
 tblTargetStatus[TargetID],
 tblTargetStatus[Status],
 ""
)</f>
        <v>BLOCKED</v>
      </c>
      <c r="J1238" s="45" t="b">
        <v>0</v>
      </c>
    </row>
    <row r="1239" ht="14.25" hidden="1" customHeight="1">
      <c r="A1239" s="49" t="s">
        <v>3026</v>
      </c>
      <c r="B1239" s="49" t="str">
        <f>IFERROR(__xludf.DUMMYFUNCTION("REGEXREPLACE(
 REGEXREPLACE(A1239,""^cost\."",""""),
 ""\.[^.]+\.[^.]+$"",
 """"
)"),"collection.treasury_2@3")</f>
        <v>collection.treasury_2@3</v>
      </c>
      <c r="C1239" s="49" t="str">
        <f t="array" ref="C1239">_xlfn.XLOOKUP(
 B1239,
 tblTargets[TargetID],
 tblTargets[DisplayName],
 ""
)</f>
        <v>Treasury 2 Lv 3</v>
      </c>
      <c r="D1239" s="49" t="str">
        <f t="array" ref="D1239">_xlfn.XLOOKUP(
 B1239,
 tblTargets[TargetID],
 tblTargets[TargetType],
 ""
)</f>
        <v>COLLECTION</v>
      </c>
      <c r="E1239" s="49" t="s">
        <v>3003</v>
      </c>
      <c r="F1239" s="49">
        <v>1.0</v>
      </c>
      <c r="G1239" s="49">
        <f t="array" ref="G1239">_xlfn.XLOOKUP(
 A1239,
 tblCost[RequirementID],
 tblCost[QuantityRequired],
 ""
)</f>
        <v>9</v>
      </c>
      <c r="H1239" s="49">
        <f t="array" ref="H1239">IF(
 OR(
  LEFT(B1239,15)="state.character",
  RIGHT(B1239,6)=".maxed"
 ),
 0,
 LET(
  sort,
   _xlfn.XLOOKUP(
    B1239,
    tblChecklist[TargetID],
    tblChecklist[PlayerSort],
    0
   ),
  IF(sort=0,500,sort)
 )
)</f>
        <v>500</v>
      </c>
      <c r="I1239" s="49" t="str">
        <f t="array" ref="I1239">_xlfn.XLOOKUP(
 B1239,
 tblTargetStatus[TargetID],
 tblTargetStatus[Status],
 ""
)</f>
        <v>BLOCKED</v>
      </c>
      <c r="J1239" s="45" t="b">
        <v>0</v>
      </c>
    </row>
    <row r="1240" ht="14.25" hidden="1" customHeight="1">
      <c r="A1240" s="49" t="s">
        <v>3028</v>
      </c>
      <c r="B1240" s="49" t="str">
        <f>IFERROR(__xludf.DUMMYFUNCTION("REGEXREPLACE(
 REGEXREPLACE(A1240,""^cost\."",""""),
 ""\.[^.]+\.[^.]+$"",
 """"
)"),"collection.treasury_2@3")</f>
        <v>collection.treasury_2@3</v>
      </c>
      <c r="C1240" s="49" t="str">
        <f t="array" ref="C1240">_xlfn.XLOOKUP(
 B1240,
 tblTargets[TargetID],
 tblTargets[DisplayName],
 ""
)</f>
        <v>Treasury 2 Lv 3</v>
      </c>
      <c r="D1240" s="49" t="str">
        <f t="array" ref="D1240">_xlfn.XLOOKUP(
 B1240,
 tblTargets[TargetID],
 tblTargets[TargetType],
 ""
)</f>
        <v>COLLECTION</v>
      </c>
      <c r="E1240" s="49" t="s">
        <v>3006</v>
      </c>
      <c r="F1240" s="49">
        <v>1.0</v>
      </c>
      <c r="G1240" s="49">
        <f t="array" ref="G1240">_xlfn.XLOOKUP(
 A1240,
 tblCost[RequirementID],
 tblCost[QuantityRequired],
 ""
)</f>
        <v>9</v>
      </c>
      <c r="H1240" s="49">
        <f t="array" ref="H1240">IF(
 OR(
  LEFT(B1240,15)="state.character",
  RIGHT(B1240,6)=".maxed"
 ),
 0,
 LET(
  sort,
   _xlfn.XLOOKUP(
    B1240,
    tblChecklist[TargetID],
    tblChecklist[PlayerSort],
    0
   ),
  IF(sort=0,500,sort)
 )
)</f>
        <v>500</v>
      </c>
      <c r="I1240" s="49" t="str">
        <f t="array" ref="I1240">_xlfn.XLOOKUP(
 B1240,
 tblTargetStatus[TargetID],
 tblTargetStatus[Status],
 ""
)</f>
        <v>BLOCKED</v>
      </c>
      <c r="J1240" s="45" t="b">
        <v>0</v>
      </c>
    </row>
    <row r="1241" ht="14.25" hidden="1" customHeight="1">
      <c r="A1241" s="49" t="s">
        <v>3030</v>
      </c>
      <c r="B1241" s="49" t="str">
        <f>IFERROR(__xludf.DUMMYFUNCTION("REGEXREPLACE(
 REGEXREPLACE(A1241,""^cost\."",""""),
 ""\.[^.]+\.[^.]+$"",
 """"
)"),"collection.treasury_2@3")</f>
        <v>collection.treasury_2@3</v>
      </c>
      <c r="C1241" s="49" t="str">
        <f t="array" ref="C1241">_xlfn.XLOOKUP(
 B1241,
 tblTargets[TargetID],
 tblTargets[DisplayName],
 ""
)</f>
        <v>Treasury 2 Lv 3</v>
      </c>
      <c r="D1241" s="49" t="str">
        <f t="array" ref="D1241">_xlfn.XLOOKUP(
 B1241,
 tblTargets[TargetID],
 tblTargets[TargetType],
 ""
)</f>
        <v>COLLECTION</v>
      </c>
      <c r="E1241" s="49" t="s">
        <v>3009</v>
      </c>
      <c r="F1241" s="49">
        <v>1.0</v>
      </c>
      <c r="G1241" s="49">
        <f t="array" ref="G1241">_xlfn.XLOOKUP(
 A1241,
 tblCost[RequirementID],
 tblCost[QuantityRequired],
 ""
)</f>
        <v>9</v>
      </c>
      <c r="H1241" s="49">
        <f t="array" ref="H1241">IF(
 OR(
  LEFT(B1241,15)="state.character",
  RIGHT(B1241,6)=".maxed"
 ),
 0,
 LET(
  sort,
   _xlfn.XLOOKUP(
    B1241,
    tblChecklist[TargetID],
    tblChecklist[PlayerSort],
    0
   ),
  IF(sort=0,500,sort)
 )
)</f>
        <v>500</v>
      </c>
      <c r="I1241" s="49" t="str">
        <f t="array" ref="I1241">_xlfn.XLOOKUP(
 B1241,
 tblTargetStatus[TargetID],
 tblTargetStatus[Status],
 ""
)</f>
        <v>BLOCKED</v>
      </c>
      <c r="J1241" s="45" t="b">
        <v>0</v>
      </c>
    </row>
    <row r="1242" ht="14.25" hidden="1" customHeight="1">
      <c r="A1242" s="49" t="s">
        <v>3032</v>
      </c>
      <c r="B1242" s="49" t="str">
        <f>IFERROR(__xludf.DUMMYFUNCTION("REGEXREPLACE(
 REGEXREPLACE(A1242,""^cost\."",""""),
 ""\.[^.]+\.[^.]+$"",
 """"
)"),"collection.treasury_3@1")</f>
        <v>collection.treasury_3@1</v>
      </c>
      <c r="C1242" s="49" t="str">
        <f t="array" ref="C1242">_xlfn.XLOOKUP(
 B1242,
 tblTargets[TargetID],
 tblTargets[DisplayName],
 ""
)</f>
        <v>Treasury 3 Lv 1</v>
      </c>
      <c r="D1242" s="49" t="str">
        <f t="array" ref="D1242">_xlfn.XLOOKUP(
 B1242,
 tblTargets[TargetID],
 tblTargets[TargetType],
 ""
)</f>
        <v>COLLECTION</v>
      </c>
      <c r="E1242" s="49" t="s">
        <v>2458</v>
      </c>
      <c r="F1242" s="49">
        <v>1.0</v>
      </c>
      <c r="G1242" s="49">
        <f t="array" ref="G1242">_xlfn.XLOOKUP(
 A1242,
 tblCost[RequirementID],
 tblCost[QuantityRequired],
 ""
)</f>
        <v>3</v>
      </c>
      <c r="H1242" s="49">
        <f t="array" ref="H1242">IF(
 OR(
  LEFT(B1242,15)="state.character",
  RIGHT(B1242,6)=".maxed"
 ),
 0,
 LET(
  sort,
   _xlfn.XLOOKUP(
    B1242,
    tblChecklist[TargetID],
    tblChecklist[PlayerSort],
    0
   ),
  IF(sort=0,500,sort)
 )
)</f>
        <v>500</v>
      </c>
      <c r="I1242" s="49" t="str">
        <f t="array" ref="I1242">_xlfn.XLOOKUP(
 B1242,
 tblTargetStatus[TargetID],
 tblTargetStatus[Status],
 ""
)</f>
        <v>BLOCKED</v>
      </c>
      <c r="J1242" s="45" t="b">
        <v>0</v>
      </c>
    </row>
    <row r="1243" ht="14.25" hidden="1" customHeight="1">
      <c r="A1243" s="49" t="s">
        <v>3034</v>
      </c>
      <c r="B1243" s="49" t="str">
        <f>IFERROR(__xludf.DUMMYFUNCTION("REGEXREPLACE(
 REGEXREPLACE(A1243,""^cost\."",""""),
 ""\.[^.]+\.[^.]+$"",
 """"
)"),"collection.treasury_3@1")</f>
        <v>collection.treasury_3@1</v>
      </c>
      <c r="C1243" s="49" t="str">
        <f t="array" ref="C1243">_xlfn.XLOOKUP(
 B1243,
 tblTargets[TargetID],
 tblTargets[DisplayName],
 ""
)</f>
        <v>Treasury 3 Lv 1</v>
      </c>
      <c r="D1243" s="49" t="str">
        <f t="array" ref="D1243">_xlfn.XLOOKUP(
 B1243,
 tblTargets[TargetID],
 tblTargets[TargetType],
 ""
)</f>
        <v>COLLECTION</v>
      </c>
      <c r="E1243" s="49" t="s">
        <v>3035</v>
      </c>
      <c r="F1243" s="49">
        <v>1.0</v>
      </c>
      <c r="G1243" s="49">
        <f t="array" ref="G1243">_xlfn.XLOOKUP(
 A1243,
 tblCost[RequirementID],
 tblCost[QuantityRequired],
 ""
)</f>
        <v>1</v>
      </c>
      <c r="H1243" s="49">
        <f t="array" ref="H1243">IF(
 OR(
  LEFT(B1243,15)="state.character",
  RIGHT(B1243,6)=".maxed"
 ),
 0,
 LET(
  sort,
   _xlfn.XLOOKUP(
    B1243,
    tblChecklist[TargetID],
    tblChecklist[PlayerSort],
    0
   ),
  IF(sort=0,500,sort)
 )
)</f>
        <v>500</v>
      </c>
      <c r="I1243" s="49" t="str">
        <f t="array" ref="I1243">_xlfn.XLOOKUP(
 B1243,
 tblTargetStatus[TargetID],
 tblTargetStatus[Status],
 ""
)</f>
        <v>BLOCKED</v>
      </c>
      <c r="J1243" s="45" t="b">
        <v>0</v>
      </c>
    </row>
    <row r="1244" ht="14.25" hidden="1" customHeight="1">
      <c r="A1244" s="49" t="s">
        <v>3037</v>
      </c>
      <c r="B1244" s="49" t="str">
        <f>IFERROR(__xludf.DUMMYFUNCTION("REGEXREPLACE(
 REGEXREPLACE(A1244,""^cost\."",""""),
 ""\.[^.]+\.[^.]+$"",
 """"
)"),"collection.treasury_3@1")</f>
        <v>collection.treasury_3@1</v>
      </c>
      <c r="C1244" s="49" t="str">
        <f t="array" ref="C1244">_xlfn.XLOOKUP(
 B1244,
 tblTargets[TargetID],
 tblTargets[DisplayName],
 ""
)</f>
        <v>Treasury 3 Lv 1</v>
      </c>
      <c r="D1244" s="49" t="str">
        <f t="array" ref="D1244">_xlfn.XLOOKUP(
 B1244,
 tblTargets[TargetID],
 tblTargets[TargetType],
 ""
)</f>
        <v>COLLECTION</v>
      </c>
      <c r="E1244" s="49" t="s">
        <v>3035</v>
      </c>
      <c r="F1244" s="49">
        <v>2.0</v>
      </c>
      <c r="G1244" s="49">
        <f t="array" ref="G1244">_xlfn.XLOOKUP(
 A1244,
 tblCost[RequirementID],
 tblCost[QuantityRequired],
 ""
)</f>
        <v>1</v>
      </c>
      <c r="H1244" s="49">
        <f t="array" ref="H1244">IF(
 OR(
  LEFT(B1244,15)="state.character",
  RIGHT(B1244,6)=".maxed"
 ),
 0,
 LET(
  sort,
   _xlfn.XLOOKUP(
    B1244,
    tblChecklist[TargetID],
    tblChecklist[PlayerSort],
    0
   ),
  IF(sort=0,500,sort)
 )
)</f>
        <v>500</v>
      </c>
      <c r="I1244" s="49" t="str">
        <f t="array" ref="I1244">_xlfn.XLOOKUP(
 B1244,
 tblTargetStatus[TargetID],
 tblTargetStatus[Status],
 ""
)</f>
        <v>BLOCKED</v>
      </c>
      <c r="J1244" s="45" t="b">
        <v>0</v>
      </c>
    </row>
    <row r="1245" ht="14.25" hidden="1" customHeight="1">
      <c r="A1245" s="49" t="s">
        <v>3039</v>
      </c>
      <c r="B1245" s="49" t="str">
        <f>IFERROR(__xludf.DUMMYFUNCTION("REGEXREPLACE(
 REGEXREPLACE(A1245,""^cost\."",""""),
 ""\.[^.]+\.[^.]+$"",
 """"
)"),"collection.treasury_3@1")</f>
        <v>collection.treasury_3@1</v>
      </c>
      <c r="C1245" s="49" t="str">
        <f t="array" ref="C1245">_xlfn.XLOOKUP(
 B1245,
 tblTargets[TargetID],
 tblTargets[DisplayName],
 ""
)</f>
        <v>Treasury 3 Lv 1</v>
      </c>
      <c r="D1245" s="49" t="str">
        <f t="array" ref="D1245">_xlfn.XLOOKUP(
 B1245,
 tblTargets[TargetID],
 tblTargets[TargetType],
 ""
)</f>
        <v>COLLECTION</v>
      </c>
      <c r="E1245" s="49" t="s">
        <v>3040</v>
      </c>
      <c r="F1245" s="49">
        <v>1.0</v>
      </c>
      <c r="G1245" s="49">
        <f t="array" ref="G1245">_xlfn.XLOOKUP(
 A1245,
 tblCost[RequirementID],
 tblCost[QuantityRequired],
 ""
)</f>
        <v>1</v>
      </c>
      <c r="H1245" s="49">
        <f t="array" ref="H1245">IF(
 OR(
  LEFT(B1245,15)="state.character",
  RIGHT(B1245,6)=".maxed"
 ),
 0,
 LET(
  sort,
   _xlfn.XLOOKUP(
    B1245,
    tblChecklist[TargetID],
    tblChecklist[PlayerSort],
    0
   ),
  IF(sort=0,500,sort)
 )
)</f>
        <v>500</v>
      </c>
      <c r="I1245" s="49" t="str">
        <f t="array" ref="I1245">_xlfn.XLOOKUP(
 B1245,
 tblTargetStatus[TargetID],
 tblTargetStatus[Status],
 ""
)</f>
        <v>BLOCKED</v>
      </c>
      <c r="J1245" s="45" t="b">
        <v>0</v>
      </c>
    </row>
    <row r="1246" ht="14.25" hidden="1" customHeight="1">
      <c r="A1246" s="49" t="s">
        <v>3042</v>
      </c>
      <c r="B1246" s="49" t="str">
        <f>IFERROR(__xludf.DUMMYFUNCTION("REGEXREPLACE(
 REGEXREPLACE(A1246,""^cost\."",""""),
 ""\.[^.]+\.[^.]+$"",
 """"
)"),"collection.treasury_3@1")</f>
        <v>collection.treasury_3@1</v>
      </c>
      <c r="C1246" s="49" t="str">
        <f t="array" ref="C1246">_xlfn.XLOOKUP(
 B1246,
 tblTargets[TargetID],
 tblTargets[DisplayName],
 ""
)</f>
        <v>Treasury 3 Lv 1</v>
      </c>
      <c r="D1246" s="49" t="str">
        <f t="array" ref="D1246">_xlfn.XLOOKUP(
 B1246,
 tblTargets[TargetID],
 tblTargets[TargetType],
 ""
)</f>
        <v>COLLECTION</v>
      </c>
      <c r="E1246" s="49" t="s">
        <v>3043</v>
      </c>
      <c r="F1246" s="49">
        <v>1.0</v>
      </c>
      <c r="G1246" s="49">
        <f t="array" ref="G1246">_xlfn.XLOOKUP(
 A1246,
 tblCost[RequirementID],
 tblCost[QuantityRequired],
 ""
)</f>
        <v>1</v>
      </c>
      <c r="H1246" s="49">
        <f t="array" ref="H1246">IF(
 OR(
  LEFT(B1246,15)="state.character",
  RIGHT(B1246,6)=".maxed"
 ),
 0,
 LET(
  sort,
   _xlfn.XLOOKUP(
    B1246,
    tblChecklist[TargetID],
    tblChecklist[PlayerSort],
    0
   ),
  IF(sort=0,500,sort)
 )
)</f>
        <v>500</v>
      </c>
      <c r="I1246" s="49" t="str">
        <f t="array" ref="I1246">_xlfn.XLOOKUP(
 B1246,
 tblTargetStatus[TargetID],
 tblTargetStatus[Status],
 ""
)</f>
        <v>BLOCKED</v>
      </c>
      <c r="J1246" s="45" t="b">
        <v>0</v>
      </c>
    </row>
    <row r="1247" ht="14.25" hidden="1" customHeight="1">
      <c r="A1247" s="49" t="s">
        <v>3045</v>
      </c>
      <c r="B1247" s="49" t="str">
        <f>IFERROR(__xludf.DUMMYFUNCTION("REGEXREPLACE(
 REGEXREPLACE(A1247,""^cost\."",""""),
 ""\.[^.]+\.[^.]+$"",
 """"
)"),"craftifact.astrolabe")</f>
        <v>craftifact.astrolabe</v>
      </c>
      <c r="C1247" s="49" t="str">
        <f t="array" ref="C1247">_xlfn.XLOOKUP(
 B1247,
 tblTargets[TargetID],
 tblTargets[DisplayName],
 ""
)</f>
        <v>Astrolabe</v>
      </c>
      <c r="D1247" s="49" t="str">
        <f t="array" ref="D1247">_xlfn.XLOOKUP(
 B1247,
 tblTargets[TargetID],
 tblTargets[TargetType],
 ""
)</f>
        <v>CRAFTIFACT</v>
      </c>
      <c r="E1247" s="49" t="s">
        <v>1055</v>
      </c>
      <c r="F1247" s="49">
        <v>1.0</v>
      </c>
      <c r="G1247" s="49">
        <f t="array" ref="G1247">_xlfn.XLOOKUP(
 A1247,
 tblCost[RequirementID],
 tblCost[QuantityRequired],
 ""
)</f>
        <v>15</v>
      </c>
      <c r="H1247" s="49">
        <f t="array" ref="H1247">IF(
 OR(
  LEFT(B1247,15)="state.character",
  RIGHT(B1247,6)=".maxed"
 ),
 0,
 LET(
  sort,
   _xlfn.XLOOKUP(
    B1247,
    tblChecklist[TargetID],
    tblChecklist[PlayerSort],
    0
   ),
  IF(sort=0,500,sort)
 )
)</f>
        <v>500</v>
      </c>
      <c r="I1247" s="49" t="str">
        <f t="array" ref="I1247">_xlfn.XLOOKUP(
 B1247,
 tblTargetStatus[TargetID],
 tblTargetStatus[Status],
 ""
)</f>
        <v>BLOCKED</v>
      </c>
      <c r="J1247" s="45" t="b">
        <v>0</v>
      </c>
    </row>
    <row r="1248" ht="14.25" hidden="1" customHeight="1">
      <c r="A1248" s="49" t="s">
        <v>3048</v>
      </c>
      <c r="B1248" s="49" t="str">
        <f>IFERROR(__xludf.DUMMYFUNCTION("REGEXREPLACE(
 REGEXREPLACE(A1248,""^cost\."",""""),
 ""\.[^.]+\.[^.]+$"",
 """"
)"),"craftifact.astrolabe")</f>
        <v>craftifact.astrolabe</v>
      </c>
      <c r="C1248" s="49" t="str">
        <f t="array" ref="C1248">_xlfn.XLOOKUP(
 B1248,
 tblTargets[TargetID],
 tblTargets[DisplayName],
 ""
)</f>
        <v>Astrolabe</v>
      </c>
      <c r="D1248" s="49" t="str">
        <f t="array" ref="D1248">_xlfn.XLOOKUP(
 B1248,
 tblTargets[TargetID],
 tblTargets[TargetType],
 ""
)</f>
        <v>CRAFTIFACT</v>
      </c>
      <c r="E1248" s="49" t="s">
        <v>119</v>
      </c>
      <c r="F1248" s="49">
        <v>1.0</v>
      </c>
      <c r="G1248" s="49">
        <f t="array" ref="G1248">_xlfn.XLOOKUP(
 A1248,
 tblCost[RequirementID],
 tblCost[QuantityRequired],
 ""
)</f>
        <v>1000</v>
      </c>
      <c r="H1248" s="49">
        <f t="array" ref="H1248">IF(
 OR(
  LEFT(B1248,15)="state.character",
  RIGHT(B1248,6)=".maxed"
 ),
 0,
 LET(
  sort,
   _xlfn.XLOOKUP(
    B1248,
    tblChecklist[TargetID],
    tblChecklist[PlayerSort],
    0
   ),
  IF(sort=0,500,sort)
 )
)</f>
        <v>500</v>
      </c>
      <c r="I1248" s="49" t="str">
        <f t="array" ref="I1248">_xlfn.XLOOKUP(
 B1248,
 tblTargetStatus[TargetID],
 tblTargetStatus[Status],
 ""
)</f>
        <v>BLOCKED</v>
      </c>
      <c r="J1248" s="45" t="b">
        <v>0</v>
      </c>
    </row>
    <row r="1249" ht="14.25" hidden="1" customHeight="1">
      <c r="A1249" s="49" t="s">
        <v>3051</v>
      </c>
      <c r="B1249" s="49" t="str">
        <f>IFERROR(__xludf.DUMMYFUNCTION("REGEXREPLACE(
 REGEXREPLACE(A1249,""^cost\."",""""),
 ""\.[^.]+\.[^.]+$"",
 """"
)"),"craftifact.astrolabe")</f>
        <v>craftifact.astrolabe</v>
      </c>
      <c r="C1249" s="49" t="str">
        <f t="array" ref="C1249">_xlfn.XLOOKUP(
 B1249,
 tblTargets[TargetID],
 tblTargets[DisplayName],
 ""
)</f>
        <v>Astrolabe</v>
      </c>
      <c r="D1249" s="49" t="str">
        <f t="array" ref="D1249">_xlfn.XLOOKUP(
 B1249,
 tblTargets[TargetID],
 tblTargets[TargetType],
 ""
)</f>
        <v>CRAFTIFACT</v>
      </c>
      <c r="E1249" s="49" t="s">
        <v>1078</v>
      </c>
      <c r="F1249" s="49">
        <v>1.0</v>
      </c>
      <c r="G1249" s="49">
        <f t="array" ref="G1249">_xlfn.XLOOKUP(
 A1249,
 tblCost[RequirementID],
 tblCost[QuantityRequired],
 ""
)</f>
        <v>10</v>
      </c>
      <c r="H1249" s="49">
        <f t="array" ref="H1249">IF(
 OR(
  LEFT(B1249,15)="state.character",
  RIGHT(B1249,6)=".maxed"
 ),
 0,
 LET(
  sort,
   _xlfn.XLOOKUP(
    B1249,
    tblChecklist[TargetID],
    tblChecklist[PlayerSort],
    0
   ),
  IF(sort=0,500,sort)
 )
)</f>
        <v>500</v>
      </c>
      <c r="I1249" s="49" t="str">
        <f t="array" ref="I1249">_xlfn.XLOOKUP(
 B1249,
 tblTargetStatus[TargetID],
 tblTargetStatus[Status],
 ""
)</f>
        <v>BLOCKED</v>
      </c>
      <c r="J1249" s="45" t="b">
        <v>0</v>
      </c>
    </row>
    <row r="1250" ht="14.25" hidden="1" customHeight="1">
      <c r="A1250" s="49" t="s">
        <v>3053</v>
      </c>
      <c r="B1250" s="49" t="str">
        <f>IFERROR(__xludf.DUMMYFUNCTION("REGEXREPLACE(
 REGEXREPLACE(A1250,""^cost\."",""""),
 ""\.[^.]+\.[^.]+$"",
 """"
)"),"craftifact.astrolabe")</f>
        <v>craftifact.astrolabe</v>
      </c>
      <c r="C1250" s="49" t="str">
        <f t="array" ref="C1250">_xlfn.XLOOKUP(
 B1250,
 tblTargets[TargetID],
 tblTargets[DisplayName],
 ""
)</f>
        <v>Astrolabe</v>
      </c>
      <c r="D1250" s="49" t="str">
        <f t="array" ref="D1250">_xlfn.XLOOKUP(
 B1250,
 tblTargets[TargetID],
 tblTargets[TargetType],
 ""
)</f>
        <v>CRAFTIFACT</v>
      </c>
      <c r="E1250" s="49" t="s">
        <v>132</v>
      </c>
      <c r="F1250" s="49">
        <v>1.0</v>
      </c>
      <c r="G1250" s="49">
        <f t="array" ref="G1250">_xlfn.XLOOKUP(
 A1250,
 tblCost[RequirementID],
 tblCost[QuantityRequired],
 ""
)</f>
        <v>40</v>
      </c>
      <c r="H1250" s="49">
        <f t="array" ref="H1250">IF(
 OR(
  LEFT(B1250,15)="state.character",
  RIGHT(B1250,6)=".maxed"
 ),
 0,
 LET(
  sort,
   _xlfn.XLOOKUP(
    B1250,
    tblChecklist[TargetID],
    tblChecklist[PlayerSort],
    0
   ),
  IF(sort=0,500,sort)
 )
)</f>
        <v>500</v>
      </c>
      <c r="I1250" s="49" t="str">
        <f t="array" ref="I1250">_xlfn.XLOOKUP(
 B1250,
 tblTargetStatus[TargetID],
 tblTargetStatus[Status],
 ""
)</f>
        <v>BLOCKED</v>
      </c>
      <c r="J1250" s="45" t="b">
        <v>0</v>
      </c>
    </row>
    <row r="1251" ht="14.25" hidden="1" customHeight="1">
      <c r="A1251" s="49" t="s">
        <v>3055</v>
      </c>
      <c r="B1251" s="49" t="str">
        <f>IFERROR(__xludf.DUMMYFUNCTION("REGEXREPLACE(
 REGEXREPLACE(A1251,""^cost\."",""""),
 ""\.[^.]+\.[^.]+$"",
 """"
)"),"craftifact.astrolabe")</f>
        <v>craftifact.astrolabe</v>
      </c>
      <c r="C1251" s="49" t="str">
        <f t="array" ref="C1251">_xlfn.XLOOKUP(
 B1251,
 tblTargets[TargetID],
 tblTargets[DisplayName],
 ""
)</f>
        <v>Astrolabe</v>
      </c>
      <c r="D1251" s="49" t="str">
        <f t="array" ref="D1251">_xlfn.XLOOKUP(
 B1251,
 tblTargets[TargetID],
 tblTargets[TargetType],
 ""
)</f>
        <v>CRAFTIFACT</v>
      </c>
      <c r="E1251" s="49" t="s">
        <v>6</v>
      </c>
      <c r="F1251" s="49">
        <v>1.0</v>
      </c>
      <c r="G1251" s="49">
        <f t="array" ref="G1251">_xlfn.XLOOKUP(
 A1251,
 tblCost[RequirementID],
 tblCost[QuantityRequired],
 ""
)</f>
        <v>10</v>
      </c>
      <c r="H1251" s="49">
        <f t="array" ref="H1251">IF(
 OR(
  LEFT(B1251,15)="state.character",
  RIGHT(B1251,6)=".maxed"
 ),
 0,
 LET(
  sort,
   _xlfn.XLOOKUP(
    B1251,
    tblChecklist[TargetID],
    tblChecklist[PlayerSort],
    0
   ),
  IF(sort=0,500,sort)
 )
)</f>
        <v>500</v>
      </c>
      <c r="I1251" s="49" t="str">
        <f t="array" ref="I1251">_xlfn.XLOOKUP(
 B1251,
 tblTargetStatus[TargetID],
 tblTargetStatus[Status],
 ""
)</f>
        <v>BLOCKED</v>
      </c>
      <c r="J1251" s="45" t="b">
        <v>0</v>
      </c>
    </row>
    <row r="1252" ht="14.25" hidden="1" customHeight="1">
      <c r="A1252" s="49" t="s">
        <v>3057</v>
      </c>
      <c r="B1252" s="49" t="str">
        <f>IFERROR(__xludf.DUMMYFUNCTION("REGEXREPLACE(
 REGEXREPLACE(A1252,""^cost\."",""""),
 ""\.[^.]+\.[^.]+$"",
 """"
)"),"craftifact.barometer")</f>
        <v>craftifact.barometer</v>
      </c>
      <c r="C1252" s="49" t="str">
        <f t="array" ref="C1252">_xlfn.XLOOKUP(
 B1252,
 tblTargets[TargetID],
 tblTargets[DisplayName],
 ""
)</f>
        <v>Barometer</v>
      </c>
      <c r="D1252" s="49" t="str">
        <f t="array" ref="D1252">_xlfn.XLOOKUP(
 B1252,
 tblTargets[TargetID],
 tblTargets[TargetType],
 ""
)</f>
        <v>CRAFTIFACT</v>
      </c>
      <c r="E1252" s="49" t="s">
        <v>1055</v>
      </c>
      <c r="F1252" s="49">
        <v>1.0</v>
      </c>
      <c r="G1252" s="49">
        <f t="array" ref="G1252">_xlfn.XLOOKUP(
 A1252,
 tblCost[RequirementID],
 tblCost[QuantityRequired],
 ""
)</f>
        <v>40</v>
      </c>
      <c r="H1252" s="49">
        <f t="array" ref="H1252">IF(
 OR(
  LEFT(B1252,15)="state.character",
  RIGHT(B1252,6)=".maxed"
 ),
 0,
 LET(
  sort,
   _xlfn.XLOOKUP(
    B1252,
    tblChecklist[TargetID],
    tblChecklist[PlayerSort],
    0
   ),
  IF(sort=0,500,sort)
 )
)</f>
        <v>500</v>
      </c>
      <c r="I1252" s="49" t="str">
        <f t="array" ref="I1252">_xlfn.XLOOKUP(
 B1252,
 tblTargetStatus[TargetID],
 tblTargetStatus[Status],
 ""
)</f>
        <v>BLOCKED</v>
      </c>
      <c r="J1252" s="45" t="b">
        <v>0</v>
      </c>
    </row>
    <row r="1253" ht="14.25" hidden="1" customHeight="1">
      <c r="A1253" s="49" t="s">
        <v>3059</v>
      </c>
      <c r="B1253" s="49" t="str">
        <f>IFERROR(__xludf.DUMMYFUNCTION("REGEXREPLACE(
 REGEXREPLACE(A1253,""^cost\."",""""),
 ""\.[^.]+\.[^.]+$"",
 """"
)"),"craftifact.barometer")</f>
        <v>craftifact.barometer</v>
      </c>
      <c r="C1253" s="49" t="str">
        <f t="array" ref="C1253">_xlfn.XLOOKUP(
 B1253,
 tblTargets[TargetID],
 tblTargets[DisplayName],
 ""
)</f>
        <v>Barometer</v>
      </c>
      <c r="D1253" s="49" t="str">
        <f t="array" ref="D1253">_xlfn.XLOOKUP(
 B1253,
 tblTargets[TargetID],
 tblTargets[TargetType],
 ""
)</f>
        <v>CRAFTIFACT</v>
      </c>
      <c r="E1253" s="49" t="s">
        <v>119</v>
      </c>
      <c r="F1253" s="49">
        <v>1.0</v>
      </c>
      <c r="G1253" s="49">
        <f t="array" ref="G1253">_xlfn.XLOOKUP(
 A1253,
 tblCost[RequirementID],
 tblCost[QuantityRequired],
 ""
)</f>
        <v>1000</v>
      </c>
      <c r="H1253" s="49">
        <f t="array" ref="H1253">IF(
 OR(
  LEFT(B1253,15)="state.character",
  RIGHT(B1253,6)=".maxed"
 ),
 0,
 LET(
  sort,
   _xlfn.XLOOKUP(
    B1253,
    tblChecklist[TargetID],
    tblChecklist[PlayerSort],
    0
   ),
  IF(sort=0,500,sort)
 )
)</f>
        <v>500</v>
      </c>
      <c r="I1253" s="49" t="str">
        <f t="array" ref="I1253">_xlfn.XLOOKUP(
 B1253,
 tblTargetStatus[TargetID],
 tblTargetStatus[Status],
 ""
)</f>
        <v>BLOCKED</v>
      </c>
      <c r="J1253" s="45" t="b">
        <v>0</v>
      </c>
    </row>
    <row r="1254" ht="14.25" hidden="1" customHeight="1">
      <c r="A1254" s="49" t="s">
        <v>3061</v>
      </c>
      <c r="B1254" s="49" t="str">
        <f>IFERROR(__xludf.DUMMYFUNCTION("REGEXREPLACE(
 REGEXREPLACE(A1254,""^cost\."",""""),
 ""\.[^.]+\.[^.]+$"",
 """"
)"),"craftifact.barometer")</f>
        <v>craftifact.barometer</v>
      </c>
      <c r="C1254" s="49" t="str">
        <f t="array" ref="C1254">_xlfn.XLOOKUP(
 B1254,
 tblTargets[TargetID],
 tblTargets[DisplayName],
 ""
)</f>
        <v>Barometer</v>
      </c>
      <c r="D1254" s="49" t="str">
        <f t="array" ref="D1254">_xlfn.XLOOKUP(
 B1254,
 tblTargets[TargetID],
 tblTargets[TargetType],
 ""
)</f>
        <v>CRAFTIFACT</v>
      </c>
      <c r="E1254" s="49" t="s">
        <v>360</v>
      </c>
      <c r="F1254" s="49">
        <v>1.0</v>
      </c>
      <c r="G1254" s="49">
        <f t="array" ref="G1254">_xlfn.XLOOKUP(
 A1254,
 tblCost[RequirementID],
 tblCost[QuantityRequired],
 ""
)</f>
        <v>20</v>
      </c>
      <c r="H1254" s="49">
        <f t="array" ref="H1254">IF(
 OR(
  LEFT(B1254,15)="state.character",
  RIGHT(B1254,6)=".maxed"
 ),
 0,
 LET(
  sort,
   _xlfn.XLOOKUP(
    B1254,
    tblChecklist[TargetID],
    tblChecklist[PlayerSort],
    0
   ),
  IF(sort=0,500,sort)
 )
)</f>
        <v>500</v>
      </c>
      <c r="I1254" s="49" t="str">
        <f t="array" ref="I1254">_xlfn.XLOOKUP(
 B1254,
 tblTargetStatus[TargetID],
 tblTargetStatus[Status],
 ""
)</f>
        <v>BLOCKED</v>
      </c>
      <c r="J1254" s="45" t="b">
        <v>0</v>
      </c>
    </row>
    <row r="1255" ht="14.25" hidden="1" customHeight="1">
      <c r="A1255" s="49" t="s">
        <v>3063</v>
      </c>
      <c r="B1255" s="49" t="str">
        <f>IFERROR(__xludf.DUMMYFUNCTION("REGEXREPLACE(
 REGEXREPLACE(A1255,""^cost\."",""""),
 ""\.[^.]+\.[^.]+$"",
 """"
)"),"craftifact.barometer")</f>
        <v>craftifact.barometer</v>
      </c>
      <c r="C1255" s="49" t="str">
        <f t="array" ref="C1255">_xlfn.XLOOKUP(
 B1255,
 tblTargets[TargetID],
 tblTargets[DisplayName],
 ""
)</f>
        <v>Barometer</v>
      </c>
      <c r="D1255" s="49" t="str">
        <f t="array" ref="D1255">_xlfn.XLOOKUP(
 B1255,
 tblTargets[TargetID],
 tblTargets[TargetType],
 ""
)</f>
        <v>CRAFTIFACT</v>
      </c>
      <c r="E1255" s="49" t="s">
        <v>1456</v>
      </c>
      <c r="F1255" s="49">
        <v>1.0</v>
      </c>
      <c r="G1255" s="49">
        <f t="array" ref="G1255">_xlfn.XLOOKUP(
 A1255,
 tblCost[RequirementID],
 tblCost[QuantityRequired],
 ""
)</f>
        <v>25</v>
      </c>
      <c r="H1255" s="49">
        <f t="array" ref="H1255">IF(
 OR(
  LEFT(B1255,15)="state.character",
  RIGHT(B1255,6)=".maxed"
 ),
 0,
 LET(
  sort,
   _xlfn.XLOOKUP(
    B1255,
    tblChecklist[TargetID],
    tblChecklist[PlayerSort],
    0
   ),
  IF(sort=0,500,sort)
 )
)</f>
        <v>500</v>
      </c>
      <c r="I1255" s="49" t="str">
        <f t="array" ref="I1255">_xlfn.XLOOKUP(
 B1255,
 tblTargetStatus[TargetID],
 tblTargetStatus[Status],
 ""
)</f>
        <v>BLOCKED</v>
      </c>
      <c r="J1255" s="45" t="b">
        <v>0</v>
      </c>
    </row>
    <row r="1256" ht="14.25" hidden="1" customHeight="1">
      <c r="A1256" s="49" t="s">
        <v>3065</v>
      </c>
      <c r="B1256" s="49" t="str">
        <f>IFERROR(__xludf.DUMMYFUNCTION("REGEXREPLACE(
 REGEXREPLACE(A1256,""^cost\."",""""),
 ""\.[^.]+\.[^.]+$"",
 """"
)"),"craftifact.barometer")</f>
        <v>craftifact.barometer</v>
      </c>
      <c r="C1256" s="49" t="str">
        <f t="array" ref="C1256">_xlfn.XLOOKUP(
 B1256,
 tblTargets[TargetID],
 tblTargets[DisplayName],
 ""
)</f>
        <v>Barometer</v>
      </c>
      <c r="D1256" s="49" t="str">
        <f t="array" ref="D1256">_xlfn.XLOOKUP(
 B1256,
 tblTargets[TargetID],
 tblTargets[TargetType],
 ""
)</f>
        <v>CRAFTIFACT</v>
      </c>
      <c r="E1256" s="49" t="s">
        <v>423</v>
      </c>
      <c r="F1256" s="49">
        <v>1.0</v>
      </c>
      <c r="G1256" s="49">
        <f t="array" ref="G1256">_xlfn.XLOOKUP(
 A1256,
 tblCost[RequirementID],
 tblCost[QuantityRequired],
 ""
)</f>
        <v>20</v>
      </c>
      <c r="H1256" s="49">
        <f t="array" ref="H1256">IF(
 OR(
  LEFT(B1256,15)="state.character",
  RIGHT(B1256,6)=".maxed"
 ),
 0,
 LET(
  sort,
   _xlfn.XLOOKUP(
    B1256,
    tblChecklist[TargetID],
    tblChecklist[PlayerSort],
    0
   ),
  IF(sort=0,500,sort)
 )
)</f>
        <v>500</v>
      </c>
      <c r="I1256" s="49" t="str">
        <f t="array" ref="I1256">_xlfn.XLOOKUP(
 B1256,
 tblTargetStatus[TargetID],
 tblTargetStatus[Status],
 ""
)</f>
        <v>BLOCKED</v>
      </c>
      <c r="J1256" s="45" t="b">
        <v>0</v>
      </c>
    </row>
    <row r="1257" ht="14.25" hidden="1" customHeight="1">
      <c r="A1257" s="49" t="s">
        <v>3067</v>
      </c>
      <c r="B1257" s="49" t="str">
        <f>IFERROR(__xludf.DUMMYFUNCTION("REGEXREPLACE(
 REGEXREPLACE(A1257,""^cost\."",""""),
 ""\.[^.]+\.[^.]+$"",
 """"
)"),"craftifact.cinema_projector")</f>
        <v>craftifact.cinema_projector</v>
      </c>
      <c r="C1257" s="49" t="str">
        <f t="array" ref="C1257">_xlfn.XLOOKUP(
 B1257,
 tblTargets[TargetID],
 tblTargets[DisplayName],
 ""
)</f>
        <v>Cinema Projector</v>
      </c>
      <c r="D1257" s="49" t="str">
        <f t="array" ref="D1257">_xlfn.XLOOKUP(
 B1257,
 tblTargets[TargetID],
 tblTargets[TargetType],
 ""
)</f>
        <v>CRAFTIFACT</v>
      </c>
      <c r="E1257" s="49" t="s">
        <v>1055</v>
      </c>
      <c r="F1257" s="49">
        <v>1.0</v>
      </c>
      <c r="G1257" s="49">
        <f t="array" ref="G1257">_xlfn.XLOOKUP(
 A1257,
 tblCost[RequirementID],
 tblCost[QuantityRequired],
 ""
)</f>
        <v>80</v>
      </c>
      <c r="H1257" s="49">
        <f t="array" ref="H1257">IF(
 OR(
  LEFT(B1257,15)="state.character",
  RIGHT(B1257,6)=".maxed"
 ),
 0,
 LET(
  sort,
   _xlfn.XLOOKUP(
    B1257,
    tblChecklist[TargetID],
    tblChecklist[PlayerSort],
    0
   ),
  IF(sort=0,500,sort)
 )
)</f>
        <v>500</v>
      </c>
      <c r="I1257" s="49" t="str">
        <f t="array" ref="I1257">_xlfn.XLOOKUP(
 B1257,
 tblTargetStatus[TargetID],
 tblTargetStatus[Status],
 ""
)</f>
        <v>BLOCKED</v>
      </c>
      <c r="J1257" s="45" t="b">
        <v>0</v>
      </c>
    </row>
    <row r="1258" ht="14.25" hidden="1" customHeight="1">
      <c r="A1258" s="49" t="s">
        <v>3069</v>
      </c>
      <c r="B1258" s="49" t="str">
        <f>IFERROR(__xludf.DUMMYFUNCTION("REGEXREPLACE(
 REGEXREPLACE(A1258,""^cost\."",""""),
 ""\.[^.]+\.[^.]+$"",
 """"
)"),"craftifact.cinema_projector")</f>
        <v>craftifact.cinema_projector</v>
      </c>
      <c r="C1258" s="49" t="str">
        <f t="array" ref="C1258">_xlfn.XLOOKUP(
 B1258,
 tblTargets[TargetID],
 tblTargets[DisplayName],
 ""
)</f>
        <v>Cinema Projector</v>
      </c>
      <c r="D1258" s="49" t="str">
        <f t="array" ref="D1258">_xlfn.XLOOKUP(
 B1258,
 tblTargets[TargetID],
 tblTargets[TargetType],
 ""
)</f>
        <v>CRAFTIFACT</v>
      </c>
      <c r="E1258" s="49" t="s">
        <v>2297</v>
      </c>
      <c r="F1258" s="49">
        <v>1.0</v>
      </c>
      <c r="G1258" s="49">
        <f t="array" ref="G1258">_xlfn.XLOOKUP(
 A1258,
 tblCost[RequirementID],
 tblCost[QuantityRequired],
 ""
)</f>
        <v>10</v>
      </c>
      <c r="H1258" s="49">
        <f t="array" ref="H1258">IF(
 OR(
  LEFT(B1258,15)="state.character",
  RIGHT(B1258,6)=".maxed"
 ),
 0,
 LET(
  sort,
   _xlfn.XLOOKUP(
    B1258,
    tblChecklist[TargetID],
    tblChecklist[PlayerSort],
    0
   ),
  IF(sort=0,500,sort)
 )
)</f>
        <v>500</v>
      </c>
      <c r="I1258" s="49" t="str">
        <f t="array" ref="I1258">_xlfn.XLOOKUP(
 B1258,
 tblTargetStatus[TargetID],
 tblTargetStatus[Status],
 ""
)</f>
        <v>BLOCKED</v>
      </c>
      <c r="J1258" s="45" t="b">
        <v>0</v>
      </c>
    </row>
    <row r="1259" ht="14.25" hidden="1" customHeight="1">
      <c r="A1259" s="49" t="s">
        <v>3072</v>
      </c>
      <c r="B1259" s="49" t="str">
        <f>IFERROR(__xludf.DUMMYFUNCTION("REGEXREPLACE(
 REGEXREPLACE(A1259,""^cost\."",""""),
 ""\.[^.]+\.[^.]+$"",
 """"
)"),"craftifact.cinema_projector")</f>
        <v>craftifact.cinema_projector</v>
      </c>
      <c r="C1259" s="49" t="str">
        <f t="array" ref="C1259">_xlfn.XLOOKUP(
 B1259,
 tblTargets[TargetID],
 tblTargets[DisplayName],
 ""
)</f>
        <v>Cinema Projector</v>
      </c>
      <c r="D1259" s="49" t="str">
        <f t="array" ref="D1259">_xlfn.XLOOKUP(
 B1259,
 tblTargets[TargetID],
 tblTargets[TargetType],
 ""
)</f>
        <v>CRAFTIFACT</v>
      </c>
      <c r="E1259" s="49" t="s">
        <v>113</v>
      </c>
      <c r="F1259" s="49">
        <v>1.0</v>
      </c>
      <c r="G1259" s="49">
        <f t="array" ref="G1259">_xlfn.XLOOKUP(
 A1259,
 tblCost[RequirementID],
 tblCost[QuantityRequired],
 ""
)</f>
        <v>30</v>
      </c>
      <c r="H1259" s="49">
        <f t="array" ref="H1259">IF(
 OR(
  LEFT(B1259,15)="state.character",
  RIGHT(B1259,6)=".maxed"
 ),
 0,
 LET(
  sort,
   _xlfn.XLOOKUP(
    B1259,
    tblChecklist[TargetID],
    tblChecklist[PlayerSort],
    0
   ),
  IF(sort=0,500,sort)
 )
)</f>
        <v>500</v>
      </c>
      <c r="I1259" s="49" t="str">
        <f t="array" ref="I1259">_xlfn.XLOOKUP(
 B1259,
 tblTargetStatus[TargetID],
 tblTargetStatus[Status],
 ""
)</f>
        <v>BLOCKED</v>
      </c>
      <c r="J1259" s="45" t="b">
        <v>0</v>
      </c>
    </row>
    <row r="1260" ht="14.25" hidden="1" customHeight="1">
      <c r="A1260" s="49" t="s">
        <v>3074</v>
      </c>
      <c r="B1260" s="49" t="str">
        <f>IFERROR(__xludf.DUMMYFUNCTION("REGEXREPLACE(
 REGEXREPLACE(A1260,""^cost\."",""""),
 ""\.[^.]+\.[^.]+$"",
 """"
)"),"craftifact.cinema_projector")</f>
        <v>craftifact.cinema_projector</v>
      </c>
      <c r="C1260" s="49" t="str">
        <f t="array" ref="C1260">_xlfn.XLOOKUP(
 B1260,
 tblTargets[TargetID],
 tblTargets[DisplayName],
 ""
)</f>
        <v>Cinema Projector</v>
      </c>
      <c r="D1260" s="49" t="str">
        <f t="array" ref="D1260">_xlfn.XLOOKUP(
 B1260,
 tblTargets[TargetID],
 tblTargets[TargetType],
 ""
)</f>
        <v>CRAFTIFACT</v>
      </c>
      <c r="E1260" s="49" t="s">
        <v>360</v>
      </c>
      <c r="F1260" s="49">
        <v>1.0</v>
      </c>
      <c r="G1260" s="49">
        <f t="array" ref="G1260">_xlfn.XLOOKUP(
 A1260,
 tblCost[RequirementID],
 tblCost[QuantityRequired],
 ""
)</f>
        <v>30</v>
      </c>
      <c r="H1260" s="49">
        <f t="array" ref="H1260">IF(
 OR(
  LEFT(B1260,15)="state.character",
  RIGHT(B1260,6)=".maxed"
 ),
 0,
 LET(
  sort,
   _xlfn.XLOOKUP(
    B1260,
    tblChecklist[TargetID],
    tblChecklist[PlayerSort],
    0
   ),
  IF(sort=0,500,sort)
 )
)</f>
        <v>500</v>
      </c>
      <c r="I1260" s="49" t="str">
        <f t="array" ref="I1260">_xlfn.XLOOKUP(
 B1260,
 tblTargetStatus[TargetID],
 tblTargetStatus[Status],
 ""
)</f>
        <v>BLOCKED</v>
      </c>
      <c r="J1260" s="45" t="b">
        <v>0</v>
      </c>
    </row>
    <row r="1261" ht="14.25" hidden="1" customHeight="1">
      <c r="A1261" s="49" t="s">
        <v>3076</v>
      </c>
      <c r="B1261" s="49" t="str">
        <f>IFERROR(__xludf.DUMMYFUNCTION("REGEXREPLACE(
 REGEXREPLACE(A1261,""^cost\."",""""),
 ""\.[^.]+\.[^.]+$"",
 """"
)"),"craftifact.cinema_projector")</f>
        <v>craftifact.cinema_projector</v>
      </c>
      <c r="C1261" s="49" t="str">
        <f t="array" ref="C1261">_xlfn.XLOOKUP(
 B1261,
 tblTargets[TargetID],
 tblTargets[DisplayName],
 ""
)</f>
        <v>Cinema Projector</v>
      </c>
      <c r="D1261" s="49" t="str">
        <f t="array" ref="D1261">_xlfn.XLOOKUP(
 B1261,
 tblTargets[TargetID],
 tblTargets[TargetType],
 ""
)</f>
        <v>CRAFTIFACT</v>
      </c>
      <c r="E1261" s="49" t="s">
        <v>1078</v>
      </c>
      <c r="F1261" s="49">
        <v>1.0</v>
      </c>
      <c r="G1261" s="49">
        <f t="array" ref="G1261">_xlfn.XLOOKUP(
 A1261,
 tblCost[RequirementID],
 tblCost[QuantityRequired],
 ""
)</f>
        <v>30</v>
      </c>
      <c r="H1261" s="49">
        <f t="array" ref="H1261">IF(
 OR(
  LEFT(B1261,15)="state.character",
  RIGHT(B1261,6)=".maxed"
 ),
 0,
 LET(
  sort,
   _xlfn.XLOOKUP(
    B1261,
    tblChecklist[TargetID],
    tblChecklist[PlayerSort],
    0
   ),
  IF(sort=0,500,sort)
 )
)</f>
        <v>500</v>
      </c>
      <c r="I1261" s="49" t="str">
        <f t="array" ref="I1261">_xlfn.XLOOKUP(
 B1261,
 tblTargetStatus[TargetID],
 tblTargetStatus[Status],
 ""
)</f>
        <v>BLOCKED</v>
      </c>
      <c r="J1261" s="45" t="b">
        <v>0</v>
      </c>
    </row>
    <row r="1262" ht="14.25" hidden="1" customHeight="1">
      <c r="A1262" s="49" t="s">
        <v>3078</v>
      </c>
      <c r="B1262" s="49" t="str">
        <f>IFERROR(__xludf.DUMMYFUNCTION("REGEXREPLACE(
 REGEXREPLACE(A1262,""^cost\."",""""),
 ""\.[^.]+\.[^.]+$"",
 """"
)"),"craftifact.cinema_projector")</f>
        <v>craftifact.cinema_projector</v>
      </c>
      <c r="C1262" s="49" t="str">
        <f t="array" ref="C1262">_xlfn.XLOOKUP(
 B1262,
 tblTargets[TargetID],
 tblTargets[DisplayName],
 ""
)</f>
        <v>Cinema Projector</v>
      </c>
      <c r="D1262" s="49" t="str">
        <f t="array" ref="D1262">_xlfn.XLOOKUP(
 B1262,
 tblTargets[TargetID],
 tblTargets[TargetType],
 ""
)</f>
        <v>CRAFTIFACT</v>
      </c>
      <c r="E1262" s="49" t="s">
        <v>140</v>
      </c>
      <c r="F1262" s="49">
        <v>1.0</v>
      </c>
      <c r="G1262" s="49">
        <f t="array" ref="G1262">_xlfn.XLOOKUP(
 A1262,
 tblCost[RequirementID],
 tblCost[QuantityRequired],
 ""
)</f>
        <v>30</v>
      </c>
      <c r="H1262" s="49">
        <f t="array" ref="H1262">IF(
 OR(
  LEFT(B1262,15)="state.character",
  RIGHT(B1262,6)=".maxed"
 ),
 0,
 LET(
  sort,
   _xlfn.XLOOKUP(
    B1262,
    tblChecklist[TargetID],
    tblChecklist[PlayerSort],
    0
   ),
  IF(sort=0,500,sort)
 )
)</f>
        <v>500</v>
      </c>
      <c r="I1262" s="49" t="str">
        <f t="array" ref="I1262">_xlfn.XLOOKUP(
 B1262,
 tblTargetStatus[TargetID],
 tblTargetStatus[Status],
 ""
)</f>
        <v>BLOCKED</v>
      </c>
      <c r="J1262" s="45" t="b">
        <v>0</v>
      </c>
    </row>
    <row r="1263" ht="14.25" hidden="1" customHeight="1">
      <c r="A1263" s="49" t="s">
        <v>3080</v>
      </c>
      <c r="B1263" s="49" t="str">
        <f>IFERROR(__xludf.DUMMYFUNCTION("REGEXREPLACE(
 REGEXREPLACE(A1263,""^cost\."",""""),
 ""\.[^.]+\.[^.]+$"",
 """"
)"),"craftifact.cinema_projector")</f>
        <v>craftifact.cinema_projector</v>
      </c>
      <c r="C1263" s="49" t="str">
        <f t="array" ref="C1263">_xlfn.XLOOKUP(
 B1263,
 tblTargets[TargetID],
 tblTargets[DisplayName],
 ""
)</f>
        <v>Cinema Projector</v>
      </c>
      <c r="D1263" s="49" t="str">
        <f t="array" ref="D1263">_xlfn.XLOOKUP(
 B1263,
 tblTargets[TargetID],
 tblTargets[TargetType],
 ""
)</f>
        <v>CRAFTIFACT</v>
      </c>
      <c r="E1263" s="49" t="s">
        <v>152</v>
      </c>
      <c r="F1263" s="49">
        <v>1.0</v>
      </c>
      <c r="G1263" s="49">
        <f t="array" ref="G1263">_xlfn.XLOOKUP(
 A1263,
 tblCost[RequirementID],
 tblCost[QuantityRequired],
 ""
)</f>
        <v>10</v>
      </c>
      <c r="H1263" s="49">
        <f t="array" ref="H1263">IF(
 OR(
  LEFT(B1263,15)="state.character",
  RIGHT(B1263,6)=".maxed"
 ),
 0,
 LET(
  sort,
   _xlfn.XLOOKUP(
    B1263,
    tblChecklist[TargetID],
    tblChecklist[PlayerSort],
    0
   ),
  IF(sort=0,500,sort)
 )
)</f>
        <v>500</v>
      </c>
      <c r="I1263" s="49" t="str">
        <f t="array" ref="I1263">_xlfn.XLOOKUP(
 B1263,
 tblTargetStatus[TargetID],
 tblTargetStatus[Status],
 ""
)</f>
        <v>BLOCKED</v>
      </c>
      <c r="J1263" s="45" t="b">
        <v>0</v>
      </c>
    </row>
    <row r="1264" ht="14.25" hidden="1" customHeight="1">
      <c r="A1264" s="49" t="s">
        <v>3082</v>
      </c>
      <c r="B1264" s="49" t="str">
        <f>IFERROR(__xludf.DUMMYFUNCTION("REGEXREPLACE(
 REGEXREPLACE(A1264,""^cost\."",""""),
 ""\.[^.]+\.[^.]+$"",
 """"
)"),"craftifact.dagger")</f>
        <v>craftifact.dagger</v>
      </c>
      <c r="C1264" s="49" t="str">
        <f t="array" ref="C1264">_xlfn.XLOOKUP(
 B1264,
 tblTargets[TargetID],
 tblTargets[DisplayName],
 ""
)</f>
        <v>Dagger</v>
      </c>
      <c r="D1264" s="49" t="str">
        <f t="array" ref="D1264">_xlfn.XLOOKUP(
 B1264,
 tblTargets[TargetID],
 tblTargets[TargetType],
 ""
)</f>
        <v>CRAFTIFACT</v>
      </c>
      <c r="E1264" s="49" t="s">
        <v>1060</v>
      </c>
      <c r="F1264" s="49">
        <v>1.0</v>
      </c>
      <c r="G1264" s="49">
        <f t="array" ref="G1264">_xlfn.XLOOKUP(
 A1264,
 tblCost[RequirementID],
 tblCost[QuantityRequired],
 ""
)</f>
        <v>100</v>
      </c>
      <c r="H1264" s="49">
        <f t="array" ref="H1264">IF(
 OR(
  LEFT(B1264,15)="state.character",
  RIGHT(B1264,6)=".maxed"
 ),
 0,
 LET(
  sort,
   _xlfn.XLOOKUP(
    B1264,
    tblChecklist[TargetID],
    tblChecklist[PlayerSort],
    0
   ),
  IF(sort=0,500,sort)
 )
)</f>
        <v>500</v>
      </c>
      <c r="I1264" s="49" t="str">
        <f t="array" ref="I1264">_xlfn.XLOOKUP(
 B1264,
 tblTargetStatus[TargetID],
 tblTargetStatus[Status],
 ""
)</f>
        <v>BLOCKED</v>
      </c>
      <c r="J1264" s="45" t="b">
        <v>0</v>
      </c>
    </row>
    <row r="1265" ht="14.25" hidden="1" customHeight="1">
      <c r="A1265" s="49" t="s">
        <v>3084</v>
      </c>
      <c r="B1265" s="49" t="str">
        <f>IFERROR(__xludf.DUMMYFUNCTION("REGEXREPLACE(
 REGEXREPLACE(A1265,""^cost\."",""""),
 ""\.[^.]+\.[^.]+$"",
 """"
)"),"craftifact.dagger")</f>
        <v>craftifact.dagger</v>
      </c>
      <c r="C1265" s="49" t="str">
        <f t="array" ref="C1265">_xlfn.XLOOKUP(
 B1265,
 tblTargets[TargetID],
 tblTargets[DisplayName],
 ""
)</f>
        <v>Dagger</v>
      </c>
      <c r="D1265" s="49" t="str">
        <f t="array" ref="D1265">_xlfn.XLOOKUP(
 B1265,
 tblTargets[TargetID],
 tblTargets[TargetType],
 ""
)</f>
        <v>CRAFTIFACT</v>
      </c>
      <c r="E1265" s="49" t="s">
        <v>412</v>
      </c>
      <c r="F1265" s="49">
        <v>1.0</v>
      </c>
      <c r="G1265" s="49">
        <f t="array" ref="G1265">_xlfn.XLOOKUP(
 A1265,
 tblCost[RequirementID],
 tblCost[QuantityRequired],
 ""
)</f>
        <v>10</v>
      </c>
      <c r="H1265" s="49">
        <f t="array" ref="H1265">IF(
 OR(
  LEFT(B1265,15)="state.character",
  RIGHT(B1265,6)=".maxed"
 ),
 0,
 LET(
  sort,
   _xlfn.XLOOKUP(
    B1265,
    tblChecklist[TargetID],
    tblChecklist[PlayerSort],
    0
   ),
  IF(sort=0,500,sort)
 )
)</f>
        <v>500</v>
      </c>
      <c r="I1265" s="49" t="str">
        <f t="array" ref="I1265">_xlfn.XLOOKUP(
 B1265,
 tblTargetStatus[TargetID],
 tblTargetStatus[Status],
 ""
)</f>
        <v>BLOCKED</v>
      </c>
      <c r="J1265" s="45" t="b">
        <v>0</v>
      </c>
    </row>
    <row r="1266" ht="14.25" hidden="1" customHeight="1">
      <c r="A1266" s="49" t="s">
        <v>3087</v>
      </c>
      <c r="B1266" s="49" t="str">
        <f>IFERROR(__xludf.DUMMYFUNCTION("REGEXREPLACE(
 REGEXREPLACE(A1266,""^cost\."",""""),
 ""\.[^.]+\.[^.]+$"",
 """"
)"),"craftifact.dagger")</f>
        <v>craftifact.dagger</v>
      </c>
      <c r="C1266" s="49" t="str">
        <f t="array" ref="C1266">_xlfn.XLOOKUP(
 B1266,
 tblTargets[TargetID],
 tblTargets[DisplayName],
 ""
)</f>
        <v>Dagger</v>
      </c>
      <c r="D1266" s="49" t="str">
        <f t="array" ref="D1266">_xlfn.XLOOKUP(
 B1266,
 tblTargets[TargetID],
 tblTargets[TargetType],
 ""
)</f>
        <v>CRAFTIFACT</v>
      </c>
      <c r="E1266" s="49" t="s">
        <v>2135</v>
      </c>
      <c r="F1266" s="49">
        <v>1.0</v>
      </c>
      <c r="G1266" s="49">
        <f t="array" ref="G1266">_xlfn.XLOOKUP(
 A1266,
 tblCost[RequirementID],
 tblCost[QuantityRequired],
 ""
)</f>
        <v>30</v>
      </c>
      <c r="H1266" s="49">
        <f t="array" ref="H1266">IF(
 OR(
  LEFT(B1266,15)="state.character",
  RIGHT(B1266,6)=".maxed"
 ),
 0,
 LET(
  sort,
   _xlfn.XLOOKUP(
    B1266,
    tblChecklist[TargetID],
    tblChecklist[PlayerSort],
    0
   ),
  IF(sort=0,500,sort)
 )
)</f>
        <v>500</v>
      </c>
      <c r="I1266" s="49" t="str">
        <f t="array" ref="I1266">_xlfn.XLOOKUP(
 B1266,
 tblTargetStatus[TargetID],
 tblTargetStatus[Status],
 ""
)</f>
        <v>BLOCKED</v>
      </c>
      <c r="J1266" s="45" t="b">
        <v>0</v>
      </c>
    </row>
    <row r="1267" ht="14.25" hidden="1" customHeight="1">
      <c r="A1267" s="49" t="s">
        <v>3089</v>
      </c>
      <c r="B1267" s="49" t="str">
        <f>IFERROR(__xludf.DUMMYFUNCTION("REGEXREPLACE(
 REGEXREPLACE(A1267,""^cost\."",""""),
 ""\.[^.]+\.[^.]+$"",
 """"
)"),"craftifact.dagger")</f>
        <v>craftifact.dagger</v>
      </c>
      <c r="C1267" s="49" t="str">
        <f t="array" ref="C1267">_xlfn.XLOOKUP(
 B1267,
 tblTargets[TargetID],
 tblTargets[DisplayName],
 ""
)</f>
        <v>Dagger</v>
      </c>
      <c r="D1267" s="49" t="str">
        <f t="array" ref="D1267">_xlfn.XLOOKUP(
 B1267,
 tblTargets[TargetID],
 tblTargets[TargetType],
 ""
)</f>
        <v>CRAFTIFACT</v>
      </c>
      <c r="E1267" s="49" t="s">
        <v>132</v>
      </c>
      <c r="F1267" s="49">
        <v>1.0</v>
      </c>
      <c r="G1267" s="49">
        <f t="array" ref="G1267">_xlfn.XLOOKUP(
 A1267,
 tblCost[RequirementID],
 tblCost[QuantityRequired],
 ""
)</f>
        <v>20</v>
      </c>
      <c r="H1267" s="49">
        <f t="array" ref="H1267">IF(
 OR(
  LEFT(B1267,15)="state.character",
  RIGHT(B1267,6)=".maxed"
 ),
 0,
 LET(
  sort,
   _xlfn.XLOOKUP(
    B1267,
    tblChecklist[TargetID],
    tblChecklist[PlayerSort],
    0
   ),
  IF(sort=0,500,sort)
 )
)</f>
        <v>500</v>
      </c>
      <c r="I1267" s="49" t="str">
        <f t="array" ref="I1267">_xlfn.XLOOKUP(
 B1267,
 tblTargetStatus[TargetID],
 tblTargetStatus[Status],
 ""
)</f>
        <v>BLOCKED</v>
      </c>
      <c r="J1267" s="45" t="b">
        <v>0</v>
      </c>
    </row>
    <row r="1268" ht="14.25" hidden="1" customHeight="1">
      <c r="A1268" s="49" t="s">
        <v>3092</v>
      </c>
      <c r="B1268" s="49" t="str">
        <f>IFERROR(__xludf.DUMMYFUNCTION("REGEXREPLACE(
 REGEXREPLACE(A1268,""^cost\."",""""),
 ""\.[^.]+\.[^.]+$"",
 """"
)"),"craftifact.dagger")</f>
        <v>craftifact.dagger</v>
      </c>
      <c r="C1268" s="49" t="str">
        <f t="array" ref="C1268">_xlfn.XLOOKUP(
 B1268,
 tblTargets[TargetID],
 tblTargets[DisplayName],
 ""
)</f>
        <v>Dagger</v>
      </c>
      <c r="D1268" s="49" t="str">
        <f t="array" ref="D1268">_xlfn.XLOOKUP(
 B1268,
 tblTargets[TargetID],
 tblTargets[TargetType],
 ""
)</f>
        <v>CRAFTIFACT</v>
      </c>
      <c r="E1268" s="49" t="s">
        <v>6</v>
      </c>
      <c r="F1268" s="49">
        <v>1.0</v>
      </c>
      <c r="G1268" s="49">
        <f t="array" ref="G1268">_xlfn.XLOOKUP(
 A1268,
 tblCost[RequirementID],
 tblCost[QuantityRequired],
 ""
)</f>
        <v>5</v>
      </c>
      <c r="H1268" s="49">
        <f t="array" ref="H1268">IF(
 OR(
  LEFT(B1268,15)="state.character",
  RIGHT(B1268,6)=".maxed"
 ),
 0,
 LET(
  sort,
   _xlfn.XLOOKUP(
    B1268,
    tblChecklist[TargetID],
    tblChecklist[PlayerSort],
    0
   ),
  IF(sort=0,500,sort)
 )
)</f>
        <v>500</v>
      </c>
      <c r="I1268" s="49" t="str">
        <f t="array" ref="I1268">_xlfn.XLOOKUP(
 B1268,
 tblTargetStatus[TargetID],
 tblTargetStatus[Status],
 ""
)</f>
        <v>BLOCKED</v>
      </c>
      <c r="J1268" s="45" t="b">
        <v>0</v>
      </c>
    </row>
    <row r="1269" ht="14.25" hidden="1" customHeight="1">
      <c r="A1269" s="49" t="s">
        <v>3094</v>
      </c>
      <c r="B1269" s="49" t="str">
        <f>IFERROR(__xludf.DUMMYFUNCTION("REGEXREPLACE(
 REGEXREPLACE(A1269,""^cost\."",""""),
 ""\.[^.]+\.[^.]+$"",
 """"
)"),"craftifact.dagger")</f>
        <v>craftifact.dagger</v>
      </c>
      <c r="C1269" s="49" t="str">
        <f t="array" ref="C1269">_xlfn.XLOOKUP(
 B1269,
 tblTargets[TargetID],
 tblTargets[DisplayName],
 ""
)</f>
        <v>Dagger</v>
      </c>
      <c r="D1269" s="49" t="str">
        <f t="array" ref="D1269">_xlfn.XLOOKUP(
 B1269,
 tblTargets[TargetID],
 tblTargets[TargetType],
 ""
)</f>
        <v>CRAFTIFACT</v>
      </c>
      <c r="E1269" s="49" t="s">
        <v>2007</v>
      </c>
      <c r="F1269" s="49">
        <v>1.0</v>
      </c>
      <c r="G1269" s="49">
        <f t="array" ref="G1269">_xlfn.XLOOKUP(
 A1269,
 tblCost[RequirementID],
 tblCost[QuantityRequired],
 ""
)</f>
        <v>1</v>
      </c>
      <c r="H1269" s="49">
        <f t="array" ref="H1269">IF(
 OR(
  LEFT(B1269,15)="state.character",
  RIGHT(B1269,6)=".maxed"
 ),
 0,
 LET(
  sort,
   _xlfn.XLOOKUP(
    B1269,
    tblChecklist[TargetID],
    tblChecklist[PlayerSort],
    0
   ),
  IF(sort=0,500,sort)
 )
)</f>
        <v>500</v>
      </c>
      <c r="I1269" s="49" t="str">
        <f t="array" ref="I1269">_xlfn.XLOOKUP(
 B1269,
 tblTargetStatus[TargetID],
 tblTargetStatus[Status],
 ""
)</f>
        <v>BLOCKED</v>
      </c>
      <c r="J1269" s="45" t="b">
        <v>0</v>
      </c>
    </row>
    <row r="1270" ht="14.25" hidden="1" customHeight="1">
      <c r="A1270" s="49" t="s">
        <v>3096</v>
      </c>
      <c r="B1270" s="49" t="str">
        <f>IFERROR(__xludf.DUMMYFUNCTION("REGEXREPLACE(
 REGEXREPLACE(A1270,""^cost\."",""""),
 ""\.[^.]+\.[^.]+$"",
 """"
)"),"craftifact.emerald_tablet")</f>
        <v>craftifact.emerald_tablet</v>
      </c>
      <c r="C1270" s="49" t="str">
        <f t="array" ref="C1270">_xlfn.XLOOKUP(
 B1270,
 tblTargets[TargetID],
 tblTargets[DisplayName],
 ""
)</f>
        <v>Emerald Tablet</v>
      </c>
      <c r="D1270" s="49" t="str">
        <f t="array" ref="D1270">_xlfn.XLOOKUP(
 B1270,
 tblTargets[TargetID],
 tblTargets[TargetType],
 ""
)</f>
        <v>CRAFTIFACT</v>
      </c>
      <c r="E1270" s="49" t="s">
        <v>3098</v>
      </c>
      <c r="F1270" s="49">
        <v>1.0</v>
      </c>
      <c r="G1270" s="49">
        <f t="array" ref="G1270">_xlfn.XLOOKUP(
 A1270,
 tblCost[RequirementID],
 tblCost[QuantityRequired],
 ""
)</f>
        <v>15</v>
      </c>
      <c r="H1270" s="49">
        <f t="array" ref="H1270">IF(
 OR(
  LEFT(B1270,15)="state.character",
  RIGHT(B1270,6)=".maxed"
 ),
 0,
 LET(
  sort,
   _xlfn.XLOOKUP(
    B1270,
    tblChecklist[TargetID],
    tblChecklist[PlayerSort],
    0
   ),
  IF(sort=0,500,sort)
 )
)</f>
        <v>500</v>
      </c>
      <c r="I1270" s="49" t="str">
        <f t="array" ref="I1270">_xlfn.XLOOKUP(
 B1270,
 tblTargetStatus[TargetID],
 tblTargetStatus[Status],
 ""
)</f>
        <v>BLOCKED</v>
      </c>
      <c r="J1270" s="45" t="b">
        <v>0</v>
      </c>
    </row>
    <row r="1271" ht="14.25" hidden="1" customHeight="1">
      <c r="A1271" s="49" t="s">
        <v>3100</v>
      </c>
      <c r="B1271" s="49" t="str">
        <f>IFERROR(__xludf.DUMMYFUNCTION("REGEXREPLACE(
 REGEXREPLACE(A1271,""^cost\."",""""),
 ""\.[^.]+\.[^.]+$"",
 """"
)"),"craftifact.emerald_tablet")</f>
        <v>craftifact.emerald_tablet</v>
      </c>
      <c r="C1271" s="49" t="str">
        <f t="array" ref="C1271">_xlfn.XLOOKUP(
 B1271,
 tblTargets[TargetID],
 tblTargets[DisplayName],
 ""
)</f>
        <v>Emerald Tablet</v>
      </c>
      <c r="D1271" s="49" t="str">
        <f t="array" ref="D1271">_xlfn.XLOOKUP(
 B1271,
 tblTargets[TargetID],
 tblTargets[TargetType],
 ""
)</f>
        <v>CRAFTIFACT</v>
      </c>
      <c r="E1271" s="49" t="s">
        <v>132</v>
      </c>
      <c r="F1271" s="49">
        <v>1.0</v>
      </c>
      <c r="G1271" s="49">
        <f t="array" ref="G1271">_xlfn.XLOOKUP(
 A1271,
 tblCost[RequirementID],
 tblCost[QuantityRequired],
 ""
)</f>
        <v>30</v>
      </c>
      <c r="H1271" s="49">
        <f t="array" ref="H1271">IF(
 OR(
  LEFT(B1271,15)="state.character",
  RIGHT(B1271,6)=".maxed"
 ),
 0,
 LET(
  sort,
   _xlfn.XLOOKUP(
    B1271,
    tblChecklist[TargetID],
    tblChecklist[PlayerSort],
    0
   ),
  IF(sort=0,500,sort)
 )
)</f>
        <v>500</v>
      </c>
      <c r="I1271" s="49" t="str">
        <f t="array" ref="I1271">_xlfn.XLOOKUP(
 B1271,
 tblTargetStatus[TargetID],
 tblTargetStatus[Status],
 ""
)</f>
        <v>BLOCKED</v>
      </c>
      <c r="J1271" s="45" t="b">
        <v>0</v>
      </c>
    </row>
    <row r="1272" ht="14.25" hidden="1" customHeight="1">
      <c r="A1272" s="49" t="s">
        <v>3102</v>
      </c>
      <c r="B1272" s="49" t="str">
        <f>IFERROR(__xludf.DUMMYFUNCTION("REGEXREPLACE(
 REGEXREPLACE(A1272,""^cost\."",""""),
 ""\.[^.]+\.[^.]+$"",
 """"
)"),"craftifact.flamethrower")</f>
        <v>craftifact.flamethrower</v>
      </c>
      <c r="C1272" s="49" t="str">
        <f t="array" ref="C1272">_xlfn.XLOOKUP(
 B1272,
 tblTargets[TargetID],
 tblTargets[DisplayName],
 ""
)</f>
        <v>Flamethrower</v>
      </c>
      <c r="D1272" s="49" t="str">
        <f t="array" ref="D1272">_xlfn.XLOOKUP(
 B1272,
 tblTargets[TargetID],
 tblTargets[TargetType],
 ""
)</f>
        <v>CRAFTIFACT</v>
      </c>
      <c r="E1272" s="49" t="s">
        <v>1230</v>
      </c>
      <c r="F1272" s="49">
        <v>1.0</v>
      </c>
      <c r="G1272" s="49">
        <f t="array" ref="G1272">_xlfn.XLOOKUP(
 A1272,
 tblCost[RequirementID],
 tblCost[QuantityRequired],
 ""
)</f>
        <v>10</v>
      </c>
      <c r="H1272" s="49">
        <f t="array" ref="H1272">IF(
 OR(
  LEFT(B1272,15)="state.character",
  RIGHT(B1272,6)=".maxed"
 ),
 0,
 LET(
  sort,
   _xlfn.XLOOKUP(
    B1272,
    tblChecklist[TargetID],
    tblChecklist[PlayerSort],
    0
   ),
  IF(sort=0,500,sort)
 )
)</f>
        <v>25</v>
      </c>
      <c r="I1272" s="49" t="str">
        <f t="array" ref="I1272">_xlfn.XLOOKUP(
 B1272,
 tblTargetStatus[TargetID],
 tblTargetStatus[Status],
 ""
)</f>
        <v>BLOCKED</v>
      </c>
      <c r="J1272" s="45" t="b">
        <v>0</v>
      </c>
    </row>
    <row r="1273" ht="14.25" hidden="1" customHeight="1">
      <c r="A1273" s="49" t="s">
        <v>3104</v>
      </c>
      <c r="B1273" s="49" t="str">
        <f>IFERROR(__xludf.DUMMYFUNCTION("REGEXREPLACE(
 REGEXREPLACE(A1273,""^cost\."",""""),
 ""\.[^.]+\.[^.]+$"",
 """"
)"),"craftifact.flamethrower")</f>
        <v>craftifact.flamethrower</v>
      </c>
      <c r="C1273" s="49" t="str">
        <f t="array" ref="C1273">_xlfn.XLOOKUP(
 B1273,
 tblTargets[TargetID],
 tblTargets[DisplayName],
 ""
)</f>
        <v>Flamethrower</v>
      </c>
      <c r="D1273" s="49" t="str">
        <f t="array" ref="D1273">_xlfn.XLOOKUP(
 B1273,
 tblTargets[TargetID],
 tblTargets[TargetType],
 ""
)</f>
        <v>CRAFTIFACT</v>
      </c>
      <c r="E1273" s="49" t="s">
        <v>1055</v>
      </c>
      <c r="F1273" s="49">
        <v>1.0</v>
      </c>
      <c r="G1273" s="49">
        <f t="array" ref="G1273">_xlfn.XLOOKUP(
 A1273,
 tblCost[RequirementID],
 tblCost[QuantityRequired],
 ""
)</f>
        <v>30</v>
      </c>
      <c r="H1273" s="49">
        <f t="array" ref="H1273">IF(
 OR(
  LEFT(B1273,15)="state.character",
  RIGHT(B1273,6)=".maxed"
 ),
 0,
 LET(
  sort,
   _xlfn.XLOOKUP(
    B1273,
    tblChecklist[TargetID],
    tblChecklist[PlayerSort],
    0
   ),
  IF(sort=0,500,sort)
 )
)</f>
        <v>25</v>
      </c>
      <c r="I1273" s="49" t="str">
        <f t="array" ref="I1273">_xlfn.XLOOKUP(
 B1273,
 tblTargetStatus[TargetID],
 tblTargetStatus[Status],
 ""
)</f>
        <v>BLOCKED</v>
      </c>
      <c r="J1273" s="45" t="b">
        <v>0</v>
      </c>
    </row>
    <row r="1274" ht="14.25" hidden="1" customHeight="1">
      <c r="A1274" s="49" t="s">
        <v>3106</v>
      </c>
      <c r="B1274" s="49" t="str">
        <f>IFERROR(__xludf.DUMMYFUNCTION("REGEXREPLACE(
 REGEXREPLACE(A1274,""^cost\."",""""),
 ""\.[^.]+\.[^.]+$"",
 """"
)"),"craftifact.flamethrower")</f>
        <v>craftifact.flamethrower</v>
      </c>
      <c r="C1274" s="49" t="str">
        <f t="array" ref="C1274">_xlfn.XLOOKUP(
 B1274,
 tblTargets[TargetID],
 tblTargets[DisplayName],
 ""
)</f>
        <v>Flamethrower</v>
      </c>
      <c r="D1274" s="49" t="str">
        <f t="array" ref="D1274">_xlfn.XLOOKUP(
 B1274,
 tblTargets[TargetID],
 tblTargets[TargetType],
 ""
)</f>
        <v>CRAFTIFACT</v>
      </c>
      <c r="E1274" s="49" t="s">
        <v>2297</v>
      </c>
      <c r="F1274" s="49">
        <v>1.0</v>
      </c>
      <c r="G1274" s="49">
        <f t="array" ref="G1274">_xlfn.XLOOKUP(
 A1274,
 tblCost[RequirementID],
 tblCost[QuantityRequired],
 ""
)</f>
        <v>10</v>
      </c>
      <c r="H1274" s="49">
        <f t="array" ref="H1274">IF(
 OR(
  LEFT(B1274,15)="state.character",
  RIGHT(B1274,6)=".maxed"
 ),
 0,
 LET(
  sort,
   _xlfn.XLOOKUP(
    B1274,
    tblChecklist[TargetID],
    tblChecklist[PlayerSort],
    0
   ),
  IF(sort=0,500,sort)
 )
)</f>
        <v>25</v>
      </c>
      <c r="I1274" s="49" t="str">
        <f t="array" ref="I1274">_xlfn.XLOOKUP(
 B1274,
 tblTargetStatus[TargetID],
 tblTargetStatus[Status],
 ""
)</f>
        <v>BLOCKED</v>
      </c>
      <c r="J1274" s="45" t="b">
        <v>0</v>
      </c>
    </row>
    <row r="1275" ht="14.25" hidden="1" customHeight="1">
      <c r="A1275" s="49" t="s">
        <v>3108</v>
      </c>
      <c r="B1275" s="49" t="str">
        <f>IFERROR(__xludf.DUMMYFUNCTION("REGEXREPLACE(
 REGEXREPLACE(A1275,""^cost\."",""""),
 ""\.[^.]+\.[^.]+$"",
 """"
)"),"craftifact.flamethrower")</f>
        <v>craftifact.flamethrower</v>
      </c>
      <c r="C1275" s="49" t="str">
        <f t="array" ref="C1275">_xlfn.XLOOKUP(
 B1275,
 tblTargets[TargetID],
 tblTargets[DisplayName],
 ""
)</f>
        <v>Flamethrower</v>
      </c>
      <c r="D1275" s="49" t="str">
        <f t="array" ref="D1275">_xlfn.XLOOKUP(
 B1275,
 tblTargets[TargetID],
 tblTargets[TargetType],
 ""
)</f>
        <v>CRAFTIFACT</v>
      </c>
      <c r="E1275" s="49" t="s">
        <v>113</v>
      </c>
      <c r="F1275" s="49">
        <v>1.0</v>
      </c>
      <c r="G1275" s="49">
        <f t="array" ref="G1275">_xlfn.XLOOKUP(
 A1275,
 tblCost[RequirementID],
 tblCost[QuantityRequired],
 ""
)</f>
        <v>40</v>
      </c>
      <c r="H1275" s="49">
        <f t="array" ref="H1275">IF(
 OR(
  LEFT(B1275,15)="state.character",
  RIGHT(B1275,6)=".maxed"
 ),
 0,
 LET(
  sort,
   _xlfn.XLOOKUP(
    B1275,
    tblChecklist[TargetID],
    tblChecklist[PlayerSort],
    0
   ),
  IF(sort=0,500,sort)
 )
)</f>
        <v>25</v>
      </c>
      <c r="I1275" s="49" t="str">
        <f t="array" ref="I1275">_xlfn.XLOOKUP(
 B1275,
 tblTargetStatus[TargetID],
 tblTargetStatus[Status],
 ""
)</f>
        <v>BLOCKED</v>
      </c>
      <c r="J1275" s="45" t="b">
        <v>0</v>
      </c>
    </row>
    <row r="1276" ht="14.25" hidden="1" customHeight="1">
      <c r="A1276" s="49" t="s">
        <v>3110</v>
      </c>
      <c r="B1276" s="49" t="str">
        <f>IFERROR(__xludf.DUMMYFUNCTION("REGEXREPLACE(
 REGEXREPLACE(A1276,""^cost\."",""""),
 ""\.[^.]+\.[^.]+$"",
 """"
)"),"craftifact.flamethrower")</f>
        <v>craftifact.flamethrower</v>
      </c>
      <c r="C1276" s="49" t="str">
        <f t="array" ref="C1276">_xlfn.XLOOKUP(
 B1276,
 tblTargets[TargetID],
 tblTargets[DisplayName],
 ""
)</f>
        <v>Flamethrower</v>
      </c>
      <c r="D1276" s="49" t="str">
        <f t="array" ref="D1276">_xlfn.XLOOKUP(
 B1276,
 tblTargets[TargetID],
 tblTargets[TargetType],
 ""
)</f>
        <v>CRAFTIFACT</v>
      </c>
      <c r="E1276" s="49" t="s">
        <v>360</v>
      </c>
      <c r="F1276" s="49">
        <v>1.0</v>
      </c>
      <c r="G1276" s="49">
        <f t="array" ref="G1276">_xlfn.XLOOKUP(
 A1276,
 tblCost[RequirementID],
 tblCost[QuantityRequired],
 ""
)</f>
        <v>10</v>
      </c>
      <c r="H1276" s="49">
        <f t="array" ref="H1276">IF(
 OR(
  LEFT(B1276,15)="state.character",
  RIGHT(B1276,6)=".maxed"
 ),
 0,
 LET(
  sort,
   _xlfn.XLOOKUP(
    B1276,
    tblChecklist[TargetID],
    tblChecklist[PlayerSort],
    0
   ),
  IF(sort=0,500,sort)
 )
)</f>
        <v>25</v>
      </c>
      <c r="I1276" s="49" t="str">
        <f t="array" ref="I1276">_xlfn.XLOOKUP(
 B1276,
 tblTargetStatus[TargetID],
 tblTargetStatus[Status],
 ""
)</f>
        <v>BLOCKED</v>
      </c>
      <c r="J1276" s="45" t="b">
        <v>0</v>
      </c>
    </row>
    <row r="1277" ht="14.25" hidden="1" customHeight="1">
      <c r="A1277" s="49" t="s">
        <v>3112</v>
      </c>
      <c r="B1277" s="49" t="str">
        <f>IFERROR(__xludf.DUMMYFUNCTION("REGEXREPLACE(
 REGEXREPLACE(A1277,""^cost\."",""""),
 ""\.[^.]+\.[^.]+$"",
 """"
)"),"craftifact.flamethrower")</f>
        <v>craftifact.flamethrower</v>
      </c>
      <c r="C1277" s="49" t="str">
        <f t="array" ref="C1277">_xlfn.XLOOKUP(
 B1277,
 tblTargets[TargetID],
 tblTargets[DisplayName],
 ""
)</f>
        <v>Flamethrower</v>
      </c>
      <c r="D1277" s="49" t="str">
        <f t="array" ref="D1277">_xlfn.XLOOKUP(
 B1277,
 tblTargets[TargetID],
 tblTargets[TargetType],
 ""
)</f>
        <v>CRAFTIFACT</v>
      </c>
      <c r="E1277" s="49" t="s">
        <v>1078</v>
      </c>
      <c r="F1277" s="49">
        <v>1.0</v>
      </c>
      <c r="G1277" s="49">
        <f t="array" ref="G1277">_xlfn.XLOOKUP(
 A1277,
 tblCost[RequirementID],
 tblCost[QuantityRequired],
 ""
)</f>
        <v>5</v>
      </c>
      <c r="H1277" s="49">
        <f t="array" ref="H1277">IF(
 OR(
  LEFT(B1277,15)="state.character",
  RIGHT(B1277,6)=".maxed"
 ),
 0,
 LET(
  sort,
   _xlfn.XLOOKUP(
    B1277,
    tblChecklist[TargetID],
    tblChecklist[PlayerSort],
    0
   ),
  IF(sort=0,500,sort)
 )
)</f>
        <v>25</v>
      </c>
      <c r="I1277" s="49" t="str">
        <f t="array" ref="I1277">_xlfn.XLOOKUP(
 B1277,
 tblTargetStatus[TargetID],
 tblTargetStatus[Status],
 ""
)</f>
        <v>BLOCKED</v>
      </c>
      <c r="J1277" s="45" t="b">
        <v>0</v>
      </c>
    </row>
    <row r="1278" ht="14.25" hidden="1" customHeight="1">
      <c r="A1278" s="49" t="s">
        <v>3114</v>
      </c>
      <c r="B1278" s="49" t="str">
        <f>IFERROR(__xludf.DUMMYFUNCTION("REGEXREPLACE(
 REGEXREPLACE(A1278,""^cost\."",""""),
 ""\.[^.]+\.[^.]+$"",
 """"
)"),"craftifact.flamethrower")</f>
        <v>craftifact.flamethrower</v>
      </c>
      <c r="C1278" s="49" t="str">
        <f t="array" ref="C1278">_xlfn.XLOOKUP(
 B1278,
 tblTargets[TargetID],
 tblTargets[DisplayName],
 ""
)</f>
        <v>Flamethrower</v>
      </c>
      <c r="D1278" s="49" t="str">
        <f t="array" ref="D1278">_xlfn.XLOOKUP(
 B1278,
 tblTargets[TargetID],
 tblTargets[TargetType],
 ""
)</f>
        <v>CRAFTIFACT</v>
      </c>
      <c r="E1278" s="49" t="s">
        <v>588</v>
      </c>
      <c r="F1278" s="49">
        <v>1.0</v>
      </c>
      <c r="G1278" s="49">
        <f t="array" ref="G1278">_xlfn.XLOOKUP(
 A1278,
 tblCost[RequirementID],
 tblCost[QuantityRequired],
 ""
)</f>
        <v>20</v>
      </c>
      <c r="H1278" s="49">
        <f t="array" ref="H1278">IF(
 OR(
  LEFT(B1278,15)="state.character",
  RIGHT(B1278,6)=".maxed"
 ),
 0,
 LET(
  sort,
   _xlfn.XLOOKUP(
    B1278,
    tblChecklist[TargetID],
    tblChecklist[PlayerSort],
    0
   ),
  IF(sort=0,500,sort)
 )
)</f>
        <v>25</v>
      </c>
      <c r="I1278" s="49" t="str">
        <f t="array" ref="I1278">_xlfn.XLOOKUP(
 B1278,
 tblTargetStatus[TargetID],
 tblTargetStatus[Status],
 ""
)</f>
        <v>BLOCKED</v>
      </c>
      <c r="J1278" s="45" t="b">
        <v>0</v>
      </c>
    </row>
    <row r="1279" ht="14.25" hidden="1" customHeight="1">
      <c r="A1279" s="49" t="s">
        <v>3116</v>
      </c>
      <c r="B1279" s="49" t="str">
        <f>IFERROR(__xludf.DUMMYFUNCTION("REGEXREPLACE(
 REGEXREPLACE(A1279,""^cost\."",""""),
 ""\.[^.]+\.[^.]+$"",
 """"
)"),"craftifact.flamethrower")</f>
        <v>craftifact.flamethrower</v>
      </c>
      <c r="C1279" s="49" t="str">
        <f t="array" ref="C1279">_xlfn.XLOOKUP(
 B1279,
 tblTargets[TargetID],
 tblTargets[DisplayName],
 ""
)</f>
        <v>Flamethrower</v>
      </c>
      <c r="D1279" s="49" t="str">
        <f t="array" ref="D1279">_xlfn.XLOOKUP(
 B1279,
 tblTargets[TargetID],
 tblTargets[TargetType],
 ""
)</f>
        <v>CRAFTIFACT</v>
      </c>
      <c r="E1279" s="49" t="s">
        <v>2786</v>
      </c>
      <c r="F1279" s="49">
        <v>1.0</v>
      </c>
      <c r="G1279" s="49">
        <f t="array" ref="G1279">_xlfn.XLOOKUP(
 A1279,
 tblCost[RequirementID],
 tblCost[QuantityRequired],
 ""
)</f>
        <v>20</v>
      </c>
      <c r="H1279" s="49">
        <f t="array" ref="H1279">IF(
 OR(
  LEFT(B1279,15)="state.character",
  RIGHT(B1279,6)=".maxed"
 ),
 0,
 LET(
  sort,
   _xlfn.XLOOKUP(
    B1279,
    tblChecklist[TargetID],
    tblChecklist[PlayerSort],
    0
   ),
  IF(sort=0,500,sort)
 )
)</f>
        <v>25</v>
      </c>
      <c r="I1279" s="49" t="str">
        <f t="array" ref="I1279">_xlfn.XLOOKUP(
 B1279,
 tblTargetStatus[TargetID],
 tblTargetStatus[Status],
 ""
)</f>
        <v>BLOCKED</v>
      </c>
      <c r="J1279" s="45" t="b">
        <v>0</v>
      </c>
    </row>
    <row r="1280" ht="14.25" hidden="1" customHeight="1">
      <c r="A1280" s="49" t="s">
        <v>3118</v>
      </c>
      <c r="B1280" s="49" t="str">
        <f>IFERROR(__xludf.DUMMYFUNCTION("REGEXREPLACE(
 REGEXREPLACE(A1280,""^cost\."",""""),
 ""\.[^.]+\.[^.]+$"",
 """"
)"),"craftifact.guild_banner")</f>
        <v>craftifact.guild_banner</v>
      </c>
      <c r="C1280" s="49" t="str">
        <f t="array" ref="C1280">_xlfn.XLOOKUP(
 B1280,
 tblTargets[TargetID],
 tblTargets[DisplayName],
 ""
)</f>
        <v>Guild Banner</v>
      </c>
      <c r="D1280" s="49" t="str">
        <f t="array" ref="D1280">_xlfn.XLOOKUP(
 B1280,
 tblTargets[TargetID],
 tblTargets[TargetType],
 ""
)</f>
        <v>CRAFTIFACT</v>
      </c>
      <c r="E1280" s="49" t="s">
        <v>152</v>
      </c>
      <c r="F1280" s="49">
        <v>1.0</v>
      </c>
      <c r="G1280" s="49">
        <f t="array" ref="G1280">_xlfn.XLOOKUP(
 A1280,
 tblCost[RequirementID],
 tblCost[QuantityRequired],
 ""
)</f>
        <v>100</v>
      </c>
      <c r="H1280" s="49">
        <f t="array" ref="H1280">IF(
 OR(
  LEFT(B1280,15)="state.character",
  RIGHT(B1280,6)=".maxed"
 ),
 0,
 LET(
  sort,
   _xlfn.XLOOKUP(
    B1280,
    tblChecklist[TargetID],
    tblChecklist[PlayerSort],
    0
   ),
  IF(sort=0,500,sort)
 )
)</f>
        <v>500</v>
      </c>
      <c r="I1280" s="49" t="str">
        <f t="array" ref="I1280">_xlfn.XLOOKUP(
 B1280,
 tblTargetStatus[TargetID],
 tblTargetStatus[Status],
 ""
)</f>
        <v>BLOCKED</v>
      </c>
      <c r="J1280" s="45" t="b">
        <v>0</v>
      </c>
    </row>
    <row r="1281" ht="14.25" hidden="1" customHeight="1">
      <c r="A1281" s="49" t="s">
        <v>3120</v>
      </c>
      <c r="B1281" s="49" t="str">
        <f>IFERROR(__xludf.DUMMYFUNCTION("REGEXREPLACE(
 REGEXREPLACE(A1281,""^cost\."",""""),
 ""\.[^.]+\.[^.]+$"",
 """"
)"),"craftifact.guild_codex")</f>
        <v>craftifact.guild_codex</v>
      </c>
      <c r="C1281" s="49" t="str">
        <f t="array" ref="C1281">_xlfn.XLOOKUP(
 B1281,
 tblTargets[TargetID],
 tblTargets[DisplayName],
 ""
)</f>
        <v>Guild Codex</v>
      </c>
      <c r="D1281" s="49" t="str">
        <f t="array" ref="D1281">_xlfn.XLOOKUP(
 B1281,
 tblTargets[TargetID],
 tblTargets[TargetType],
 ""
)</f>
        <v>CRAFTIFACT</v>
      </c>
      <c r="E1281" s="49" t="s">
        <v>423</v>
      </c>
      <c r="F1281" s="49">
        <v>1.0</v>
      </c>
      <c r="G1281" s="49">
        <f t="array" ref="G1281">_xlfn.XLOOKUP(
 A1281,
 tblCost[RequirementID],
 tblCost[QuantityRequired],
 ""
)</f>
        <v>100</v>
      </c>
      <c r="H1281" s="49">
        <f t="array" ref="H1281">IF(
 OR(
  LEFT(B1281,15)="state.character",
  RIGHT(B1281,6)=".maxed"
 ),
 0,
 LET(
  sort,
   _xlfn.XLOOKUP(
    B1281,
    tblChecklist[TargetID],
    tblChecklist[PlayerSort],
    0
   ),
  IF(sort=0,500,sort)
 )
)</f>
        <v>500</v>
      </c>
      <c r="I1281" s="49" t="str">
        <f t="array" ref="I1281">_xlfn.XLOOKUP(
 B1281,
 tblTargetStatus[TargetID],
 tblTargetStatus[Status],
 ""
)</f>
        <v>BLOCKED</v>
      </c>
      <c r="J1281" s="45" t="b">
        <v>0</v>
      </c>
    </row>
    <row r="1282" ht="14.25" hidden="1" customHeight="1">
      <c r="A1282" s="49" t="s">
        <v>3122</v>
      </c>
      <c r="B1282" s="49" t="str">
        <f>IFERROR(__xludf.DUMMYFUNCTION("REGEXREPLACE(
 REGEXREPLACE(A1282,""^cost\."",""""),
 ""\.[^.]+\.[^.]+$"",
 """"
)"),"craftifact.guild_supplies")</f>
        <v>craftifact.guild_supplies</v>
      </c>
      <c r="C1282" s="49" t="str">
        <f t="array" ref="C1282">_xlfn.XLOOKUP(
 B1282,
 tblTargets[TargetID],
 tblTargets[DisplayName],
 ""
)</f>
        <v>Guild Supplies</v>
      </c>
      <c r="D1282" s="49" t="str">
        <f t="array" ref="D1282">_xlfn.XLOOKUP(
 B1282,
 tblTargets[TargetID],
 tblTargets[TargetType],
 ""
)</f>
        <v>CRAFTIFACT</v>
      </c>
      <c r="E1282" s="49" t="s">
        <v>2707</v>
      </c>
      <c r="F1282" s="49">
        <v>1.0</v>
      </c>
      <c r="G1282" s="49">
        <f t="array" ref="G1282">_xlfn.XLOOKUP(
 A1282,
 tblCost[RequirementID],
 tblCost[QuantityRequired],
 ""
)</f>
        <v>50</v>
      </c>
      <c r="H1282" s="49">
        <f t="array" ref="H1282">IF(
 OR(
  LEFT(B1282,15)="state.character",
  RIGHT(B1282,6)=".maxed"
 ),
 0,
 LET(
  sort,
   _xlfn.XLOOKUP(
    B1282,
    tblChecklist[TargetID],
    tblChecklist[PlayerSort],
    0
   ),
  IF(sort=0,500,sort)
 )
)</f>
        <v>500</v>
      </c>
      <c r="I1282" s="49" t="str">
        <f t="array" ref="I1282">_xlfn.XLOOKUP(
 B1282,
 tblTargetStatus[TargetID],
 tblTargetStatus[Status],
 ""
)</f>
        <v>BLOCKED</v>
      </c>
      <c r="J1282" s="45" t="b">
        <v>0</v>
      </c>
    </row>
    <row r="1283" ht="14.25" hidden="1" customHeight="1">
      <c r="A1283" s="49" t="s">
        <v>3124</v>
      </c>
      <c r="B1283" s="49" t="str">
        <f>IFERROR(__xludf.DUMMYFUNCTION("REGEXREPLACE(
 REGEXREPLACE(A1283,""^cost\."",""""),
 ""\.[^.]+\.[^.]+$"",
 """"
)"),"craftifact.guild_supplies")</f>
        <v>craftifact.guild_supplies</v>
      </c>
      <c r="C1283" s="49" t="str">
        <f t="array" ref="C1283">_xlfn.XLOOKUP(
 B1283,
 tblTargets[TargetID],
 tblTargets[DisplayName],
 ""
)</f>
        <v>Guild Supplies</v>
      </c>
      <c r="D1283" s="49" t="str">
        <f t="array" ref="D1283">_xlfn.XLOOKUP(
 B1283,
 tblTargets[TargetID],
 tblTargets[TargetType],
 ""
)</f>
        <v>CRAFTIFACT</v>
      </c>
      <c r="E1283" s="49" t="s">
        <v>2709</v>
      </c>
      <c r="F1283" s="49">
        <v>1.0</v>
      </c>
      <c r="G1283" s="49">
        <f t="array" ref="G1283">_xlfn.XLOOKUP(
 A1283,
 tblCost[RequirementID],
 tblCost[QuantityRequired],
 ""
)</f>
        <v>25</v>
      </c>
      <c r="H1283" s="49">
        <f t="array" ref="H1283">IF(
 OR(
  LEFT(B1283,15)="state.character",
  RIGHT(B1283,6)=".maxed"
 ),
 0,
 LET(
  sort,
   _xlfn.XLOOKUP(
    B1283,
    tblChecklist[TargetID],
    tblChecklist[PlayerSort],
    0
   ),
  IF(sort=0,500,sort)
 )
)</f>
        <v>500</v>
      </c>
      <c r="I1283" s="49" t="str">
        <f t="array" ref="I1283">_xlfn.XLOOKUP(
 B1283,
 tblTargetStatus[TargetID],
 tblTargetStatus[Status],
 ""
)</f>
        <v>BLOCKED</v>
      </c>
      <c r="J1283" s="45" t="b">
        <v>0</v>
      </c>
    </row>
    <row r="1284" ht="14.25" hidden="1" customHeight="1">
      <c r="A1284" s="49" t="s">
        <v>3126</v>
      </c>
      <c r="B1284" s="49" t="str">
        <f>IFERROR(__xludf.DUMMYFUNCTION("REGEXREPLACE(
 REGEXREPLACE(A1284,""^cost\."",""""),
 ""\.[^.]+\.[^.]+$"",
 """"
)"),"craftifact.guild_supplies")</f>
        <v>craftifact.guild_supplies</v>
      </c>
      <c r="C1284" s="49" t="str">
        <f t="array" ref="C1284">_xlfn.XLOOKUP(
 B1284,
 tblTargets[TargetID],
 tblTargets[DisplayName],
 ""
)</f>
        <v>Guild Supplies</v>
      </c>
      <c r="D1284" s="49" t="str">
        <f t="array" ref="D1284">_xlfn.XLOOKUP(
 B1284,
 tblTargets[TargetID],
 tblTargets[TargetType],
 ""
)</f>
        <v>CRAFTIFACT</v>
      </c>
      <c r="E1284" s="49" t="s">
        <v>360</v>
      </c>
      <c r="F1284" s="49">
        <v>1.0</v>
      </c>
      <c r="G1284" s="49">
        <f t="array" ref="G1284">_xlfn.XLOOKUP(
 A1284,
 tblCost[RequirementID],
 tblCost[QuantityRequired],
 ""
)</f>
        <v>25</v>
      </c>
      <c r="H1284" s="49">
        <f t="array" ref="H1284">IF(
 OR(
  LEFT(B1284,15)="state.character",
  RIGHT(B1284,6)=".maxed"
 ),
 0,
 LET(
  sort,
   _xlfn.XLOOKUP(
    B1284,
    tblChecklist[TargetID],
    tblChecklist[PlayerSort],
    0
   ),
  IF(sort=0,500,sort)
 )
)</f>
        <v>500</v>
      </c>
      <c r="I1284" s="49" t="str">
        <f t="array" ref="I1284">_xlfn.XLOOKUP(
 B1284,
 tblTargetStatus[TargetID],
 tblTargetStatus[Status],
 ""
)</f>
        <v>BLOCKED</v>
      </c>
      <c r="J1284" s="45" t="b">
        <v>0</v>
      </c>
    </row>
    <row r="1285" ht="14.25" hidden="1" customHeight="1">
      <c r="A1285" s="49" t="s">
        <v>3128</v>
      </c>
      <c r="B1285" s="49" t="str">
        <f>IFERROR(__xludf.DUMMYFUNCTION("REGEXREPLACE(
 REGEXREPLACE(A1285,""^cost\."",""""),
 ""\.[^.]+\.[^.]+$"",
 """"
)"),"craftifact.guild_supplies")</f>
        <v>craftifact.guild_supplies</v>
      </c>
      <c r="C1285" s="49" t="str">
        <f t="array" ref="C1285">_xlfn.XLOOKUP(
 B1285,
 tblTargets[TargetID],
 tblTargets[DisplayName],
 ""
)</f>
        <v>Guild Supplies</v>
      </c>
      <c r="D1285" s="49" t="str">
        <f t="array" ref="D1285">_xlfn.XLOOKUP(
 B1285,
 tblTargets[TargetID],
 tblTargets[TargetType],
 ""
)</f>
        <v>CRAFTIFACT</v>
      </c>
      <c r="E1285" s="49" t="s">
        <v>2486</v>
      </c>
      <c r="F1285" s="49">
        <v>1.0</v>
      </c>
      <c r="G1285" s="49">
        <f t="array" ref="G1285">_xlfn.XLOOKUP(
 A1285,
 tblCost[RequirementID],
 tblCost[QuantityRequired],
 ""
)</f>
        <v>50</v>
      </c>
      <c r="H1285" s="49">
        <f t="array" ref="H1285">IF(
 OR(
  LEFT(B1285,15)="state.character",
  RIGHT(B1285,6)=".maxed"
 ),
 0,
 LET(
  sort,
   _xlfn.XLOOKUP(
    B1285,
    tblChecklist[TargetID],
    tblChecklist[PlayerSort],
    0
   ),
  IF(sort=0,500,sort)
 )
)</f>
        <v>500</v>
      </c>
      <c r="I1285" s="49" t="str">
        <f t="array" ref="I1285">_xlfn.XLOOKUP(
 B1285,
 tblTargetStatus[TargetID],
 tblTargetStatus[Status],
 ""
)</f>
        <v>BLOCKED</v>
      </c>
      <c r="J1285" s="45" t="b">
        <v>0</v>
      </c>
    </row>
    <row r="1286" ht="14.25" hidden="1" customHeight="1">
      <c r="A1286" s="49" t="s">
        <v>3130</v>
      </c>
      <c r="B1286" s="49" t="str">
        <f>IFERROR(__xludf.DUMMYFUNCTION("REGEXREPLACE(
 REGEXREPLACE(A1286,""^cost\."",""""),
 ""\.[^.]+\.[^.]+$"",
 """"
)"),"craftifact.guild_supplies")</f>
        <v>craftifact.guild_supplies</v>
      </c>
      <c r="C1286" s="49" t="str">
        <f t="array" ref="C1286">_xlfn.XLOOKUP(
 B1286,
 tblTargets[TargetID],
 tblTargets[DisplayName],
 ""
)</f>
        <v>Guild Supplies</v>
      </c>
      <c r="D1286" s="49" t="str">
        <f t="array" ref="D1286">_xlfn.XLOOKUP(
 B1286,
 tblTargets[TargetID],
 tblTargets[TargetType],
 ""
)</f>
        <v>CRAFTIFACT</v>
      </c>
      <c r="E1286" s="49" t="s">
        <v>588</v>
      </c>
      <c r="F1286" s="49">
        <v>1.0</v>
      </c>
      <c r="G1286" s="49">
        <f t="array" ref="G1286">_xlfn.XLOOKUP(
 A1286,
 tblCost[RequirementID],
 tblCost[QuantityRequired],
 ""
)</f>
        <v>50</v>
      </c>
      <c r="H1286" s="49">
        <f t="array" ref="H1286">IF(
 OR(
  LEFT(B1286,15)="state.character",
  RIGHT(B1286,6)=".maxed"
 ),
 0,
 LET(
  sort,
   _xlfn.XLOOKUP(
    B1286,
    tblChecklist[TargetID],
    tblChecklist[PlayerSort],
    0
   ),
  IF(sort=0,500,sort)
 )
)</f>
        <v>500</v>
      </c>
      <c r="I1286" s="49" t="str">
        <f t="array" ref="I1286">_xlfn.XLOOKUP(
 B1286,
 tblTargetStatus[TargetID],
 tblTargetStatus[Status],
 ""
)</f>
        <v>BLOCKED</v>
      </c>
      <c r="J1286" s="45" t="b">
        <v>0</v>
      </c>
    </row>
    <row r="1287" ht="14.25" hidden="1" customHeight="1">
      <c r="A1287" s="49" t="s">
        <v>3133</v>
      </c>
      <c r="B1287" s="49" t="str">
        <f>IFERROR(__xludf.DUMMYFUNCTION("REGEXREPLACE(
 REGEXREPLACE(A1287,""^cost\."",""""),
 ""\.[^.]+\.[^.]+$"",
 """"
)"),"craftifact.guild_supplies")</f>
        <v>craftifact.guild_supplies</v>
      </c>
      <c r="C1287" s="49" t="str">
        <f t="array" ref="C1287">_xlfn.XLOOKUP(
 B1287,
 tblTargets[TargetID],
 tblTargets[DisplayName],
 ""
)</f>
        <v>Guild Supplies</v>
      </c>
      <c r="D1287" s="49" t="str">
        <f t="array" ref="D1287">_xlfn.XLOOKUP(
 B1287,
 tblTargets[TargetID],
 tblTargets[TargetType],
 ""
)</f>
        <v>CRAFTIFACT</v>
      </c>
      <c r="E1287" s="49" t="s">
        <v>701</v>
      </c>
      <c r="F1287" s="49">
        <v>1.0</v>
      </c>
      <c r="G1287" s="49">
        <f t="array" ref="G1287">_xlfn.XLOOKUP(
 A1287,
 tblCost[RequirementID],
 tblCost[QuantityRequired],
 ""
)</f>
        <v>25</v>
      </c>
      <c r="H1287" s="49">
        <f t="array" ref="H1287">IF(
 OR(
  LEFT(B1287,15)="state.character",
  RIGHT(B1287,6)=".maxed"
 ),
 0,
 LET(
  sort,
   _xlfn.XLOOKUP(
    B1287,
    tblChecklist[TargetID],
    tblChecklist[PlayerSort],
    0
   ),
  IF(sort=0,500,sort)
 )
)</f>
        <v>500</v>
      </c>
      <c r="I1287" s="49" t="str">
        <f t="array" ref="I1287">_xlfn.XLOOKUP(
 B1287,
 tblTargetStatus[TargetID],
 tblTargetStatus[Status],
 ""
)</f>
        <v>BLOCKED</v>
      </c>
      <c r="J1287" s="45" t="b">
        <v>0</v>
      </c>
    </row>
    <row r="1288" ht="14.25" hidden="1" customHeight="1">
      <c r="A1288" s="49" t="s">
        <v>3135</v>
      </c>
      <c r="B1288" s="49" t="str">
        <f>IFERROR(__xludf.DUMMYFUNCTION("REGEXREPLACE(
 REGEXREPLACE(A1288,""^cost\."",""""),
 ""\.[^.]+\.[^.]+$"",
 """"
)"),"craftifact.guild_supplies")</f>
        <v>craftifact.guild_supplies</v>
      </c>
      <c r="C1288" s="49" t="str">
        <f t="array" ref="C1288">_xlfn.XLOOKUP(
 B1288,
 tblTargets[TargetID],
 tblTargets[DisplayName],
 ""
)</f>
        <v>Guild Supplies</v>
      </c>
      <c r="D1288" s="49" t="str">
        <f t="array" ref="D1288">_xlfn.XLOOKUP(
 B1288,
 tblTargets[TargetID],
 tblTargets[TargetType],
 ""
)</f>
        <v>CRAFTIFACT</v>
      </c>
      <c r="E1288" s="49" t="s">
        <v>2719</v>
      </c>
      <c r="F1288" s="49">
        <v>1.0</v>
      </c>
      <c r="G1288" s="49">
        <f t="array" ref="G1288">_xlfn.XLOOKUP(
 A1288,
 tblCost[RequirementID],
 tblCost[QuantityRequired],
 ""
)</f>
        <v>25</v>
      </c>
      <c r="H1288" s="49">
        <f t="array" ref="H1288">IF(
 OR(
  LEFT(B1288,15)="state.character",
  RIGHT(B1288,6)=".maxed"
 ),
 0,
 LET(
  sort,
   _xlfn.XLOOKUP(
    B1288,
    tblChecklist[TargetID],
    tblChecklist[PlayerSort],
    0
   ),
  IF(sort=0,500,sort)
 )
)</f>
        <v>500</v>
      </c>
      <c r="I1288" s="49" t="str">
        <f t="array" ref="I1288">_xlfn.XLOOKUP(
 B1288,
 tblTargetStatus[TargetID],
 tblTargetStatus[Status],
 ""
)</f>
        <v>BLOCKED</v>
      </c>
      <c r="J1288" s="45" t="b">
        <v>0</v>
      </c>
    </row>
    <row r="1289" ht="14.25" hidden="1" customHeight="1">
      <c r="A1289" s="49" t="s">
        <v>3137</v>
      </c>
      <c r="B1289" s="49" t="str">
        <f>IFERROR(__xludf.DUMMYFUNCTION("REGEXREPLACE(
 REGEXREPLACE(A1289,""^cost\."",""""),
 ""\.[^.]+\.[^.]+$"",
 """"
)"),"craftifact.hat_of_concentration")</f>
        <v>craftifact.hat_of_concentration</v>
      </c>
      <c r="C1289" s="49" t="str">
        <f t="array" ref="C1289">_xlfn.XLOOKUP(
 B1289,
 tblTargets[TargetID],
 tblTargets[DisplayName],
 ""
)</f>
        <v>Hat Of Concentration</v>
      </c>
      <c r="D1289" s="49" t="str">
        <f t="array" ref="D1289">_xlfn.XLOOKUP(
 B1289,
 tblTargets[TargetID],
 tblTargets[TargetType],
 ""
)</f>
        <v>CRAFTIFACT</v>
      </c>
      <c r="E1289" s="49" t="s">
        <v>2339</v>
      </c>
      <c r="F1289" s="49">
        <v>1.0</v>
      </c>
      <c r="G1289" s="49">
        <f t="array" ref="G1289">_xlfn.XLOOKUP(
 A1289,
 tblCost[RequirementID],
 tblCost[QuantityRequired],
 ""
)</f>
        <v>20</v>
      </c>
      <c r="H1289" s="49">
        <f t="array" ref="H1289">IF(
 OR(
  LEFT(B1289,15)="state.character",
  RIGHT(B1289,6)=".maxed"
 ),
 0,
 LET(
  sort,
   _xlfn.XLOOKUP(
    B1289,
    tblChecklist[TargetID],
    tblChecklist[PlayerSort],
    0
   ),
  IF(sort=0,500,sort)
 )
)</f>
        <v>29</v>
      </c>
      <c r="I1289" s="49" t="str">
        <f t="array" ref="I1289">_xlfn.XLOOKUP(
 B1289,
 tblTargetStatus[TargetID],
 tblTargetStatus[Status],
 ""
)</f>
        <v>BLOCKED</v>
      </c>
      <c r="J1289" s="45" t="b">
        <v>0</v>
      </c>
    </row>
    <row r="1290" ht="14.25" hidden="1" customHeight="1">
      <c r="A1290" s="49" t="s">
        <v>3140</v>
      </c>
      <c r="B1290" s="49" t="str">
        <f>IFERROR(__xludf.DUMMYFUNCTION("REGEXREPLACE(
 REGEXREPLACE(A1290,""^cost\."",""""),
 ""\.[^.]+\.[^.]+$"",
 """"
)"),"craftifact.hat_of_concentration")</f>
        <v>craftifact.hat_of_concentration</v>
      </c>
      <c r="C1290" s="49" t="str">
        <f t="array" ref="C1290">_xlfn.XLOOKUP(
 B1290,
 tblTargets[TargetID],
 tblTargets[DisplayName],
 ""
)</f>
        <v>Hat Of Concentration</v>
      </c>
      <c r="D1290" s="49" t="str">
        <f t="array" ref="D1290">_xlfn.XLOOKUP(
 B1290,
 tblTargets[TargetID],
 tblTargets[TargetType],
 ""
)</f>
        <v>CRAFTIFACT</v>
      </c>
      <c r="E1290" s="49" t="s">
        <v>530</v>
      </c>
      <c r="F1290" s="49">
        <v>1.0</v>
      </c>
      <c r="G1290" s="49">
        <f t="array" ref="G1290">_xlfn.XLOOKUP(
 A1290,
 tblCost[RequirementID],
 tblCost[QuantityRequired],
 ""
)</f>
        <v>20</v>
      </c>
      <c r="H1290" s="49">
        <f t="array" ref="H1290">IF(
 OR(
  LEFT(B1290,15)="state.character",
  RIGHT(B1290,6)=".maxed"
 ),
 0,
 LET(
  sort,
   _xlfn.XLOOKUP(
    B1290,
    tblChecklist[TargetID],
    tblChecklist[PlayerSort],
    0
   ),
  IF(sort=0,500,sort)
 )
)</f>
        <v>29</v>
      </c>
      <c r="I1290" s="49" t="str">
        <f t="array" ref="I1290">_xlfn.XLOOKUP(
 B1290,
 tblTargetStatus[TargetID],
 tblTargetStatus[Status],
 ""
)</f>
        <v>BLOCKED</v>
      </c>
      <c r="J1290" s="45" t="b">
        <v>0</v>
      </c>
    </row>
    <row r="1291" ht="14.25" hidden="1" customHeight="1">
      <c r="A1291" s="49" t="s">
        <v>3142</v>
      </c>
      <c r="B1291" s="49" t="str">
        <f>IFERROR(__xludf.DUMMYFUNCTION("REGEXREPLACE(
 REGEXREPLACE(A1291,""^cost\."",""""),
 ""\.[^.]+\.[^.]+$"",
 """"
)"),"craftifact.hat_of_concentration")</f>
        <v>craftifact.hat_of_concentration</v>
      </c>
      <c r="C1291" s="49" t="str">
        <f t="array" ref="C1291">_xlfn.XLOOKUP(
 B1291,
 tblTargets[TargetID],
 tblTargets[DisplayName],
 ""
)</f>
        <v>Hat Of Concentration</v>
      </c>
      <c r="D1291" s="49" t="str">
        <f t="array" ref="D1291">_xlfn.XLOOKUP(
 B1291,
 tblTargets[TargetID],
 tblTargets[TargetType],
 ""
)</f>
        <v>CRAFTIFACT</v>
      </c>
      <c r="E1291" s="49" t="s">
        <v>508</v>
      </c>
      <c r="F1291" s="49">
        <v>1.0</v>
      </c>
      <c r="G1291" s="49">
        <f t="array" ref="G1291">_xlfn.XLOOKUP(
 A1291,
 tblCost[RequirementID],
 tblCost[QuantityRequired],
 ""
)</f>
        <v>10</v>
      </c>
      <c r="H1291" s="49">
        <f t="array" ref="H1291">IF(
 OR(
  LEFT(B1291,15)="state.character",
  RIGHT(B1291,6)=".maxed"
 ),
 0,
 LET(
  sort,
   _xlfn.XLOOKUP(
    B1291,
    tblChecklist[TargetID],
    tblChecklist[PlayerSort],
    0
   ),
  IF(sort=0,500,sort)
 )
)</f>
        <v>29</v>
      </c>
      <c r="I1291" s="49" t="str">
        <f t="array" ref="I1291">_xlfn.XLOOKUP(
 B1291,
 tblTargetStatus[TargetID],
 tblTargetStatus[Status],
 ""
)</f>
        <v>BLOCKED</v>
      </c>
      <c r="J1291" s="45" t="b">
        <v>0</v>
      </c>
    </row>
    <row r="1292" ht="14.25" hidden="1" customHeight="1">
      <c r="A1292" s="49" t="s">
        <v>3145</v>
      </c>
      <c r="B1292" s="49" t="str">
        <f>IFERROR(__xludf.DUMMYFUNCTION("REGEXREPLACE(
 REGEXREPLACE(A1292,""^cost\."",""""),
 ""\.[^.]+\.[^.]+$"",
 """"
)"),"craftifact.hat_of_concentration")</f>
        <v>craftifact.hat_of_concentration</v>
      </c>
      <c r="C1292" s="49" t="str">
        <f t="array" ref="C1292">_xlfn.XLOOKUP(
 B1292,
 tblTargets[TargetID],
 tblTargets[DisplayName],
 ""
)</f>
        <v>Hat Of Concentration</v>
      </c>
      <c r="D1292" s="49" t="str">
        <f t="array" ref="D1292">_xlfn.XLOOKUP(
 B1292,
 tblTargets[TargetID],
 tblTargets[TargetType],
 ""
)</f>
        <v>CRAFTIFACT</v>
      </c>
      <c r="E1292" s="49" t="s">
        <v>1456</v>
      </c>
      <c r="F1292" s="49">
        <v>1.0</v>
      </c>
      <c r="G1292" s="49">
        <f t="array" ref="G1292">_xlfn.XLOOKUP(
 A1292,
 tblCost[RequirementID],
 tblCost[QuantityRequired],
 ""
)</f>
        <v>10</v>
      </c>
      <c r="H1292" s="49">
        <f t="array" ref="H1292">IF(
 OR(
  LEFT(B1292,15)="state.character",
  RIGHT(B1292,6)=".maxed"
 ),
 0,
 LET(
  sort,
   _xlfn.XLOOKUP(
    B1292,
    tblChecklist[TargetID],
    tblChecklist[PlayerSort],
    0
   ),
  IF(sort=0,500,sort)
 )
)</f>
        <v>29</v>
      </c>
      <c r="I1292" s="49" t="str">
        <f t="array" ref="I1292">_xlfn.XLOOKUP(
 B1292,
 tblTargetStatus[TargetID],
 tblTargetStatus[Status],
 ""
)</f>
        <v>BLOCKED</v>
      </c>
      <c r="J1292" s="45" t="b">
        <v>0</v>
      </c>
    </row>
    <row r="1293" ht="14.25" hidden="1" customHeight="1">
      <c r="A1293" s="49" t="s">
        <v>3148</v>
      </c>
      <c r="B1293" s="49" t="str">
        <f>IFERROR(__xludf.DUMMYFUNCTION("REGEXREPLACE(
 REGEXREPLACE(A1293,""^cost\."",""""),
 ""\.[^.]+\.[^.]+$"",
 """"
)"),"craftifact.hat_of_concentration")</f>
        <v>craftifact.hat_of_concentration</v>
      </c>
      <c r="C1293" s="49" t="str">
        <f t="array" ref="C1293">_xlfn.XLOOKUP(
 B1293,
 tblTargets[TargetID],
 tblTargets[DisplayName],
 ""
)</f>
        <v>Hat Of Concentration</v>
      </c>
      <c r="D1293" s="49" t="str">
        <f t="array" ref="D1293">_xlfn.XLOOKUP(
 B1293,
 tblTargets[TargetID],
 tblTargets[TargetType],
 ""
)</f>
        <v>CRAFTIFACT</v>
      </c>
      <c r="E1293" s="49" t="s">
        <v>152</v>
      </c>
      <c r="F1293" s="49">
        <v>1.0</v>
      </c>
      <c r="G1293" s="49">
        <f t="array" ref="G1293">_xlfn.XLOOKUP(
 A1293,
 tblCost[RequirementID],
 tblCost[QuantityRequired],
 ""
)</f>
        <v>10</v>
      </c>
      <c r="H1293" s="49">
        <f t="array" ref="H1293">IF(
 OR(
  LEFT(B1293,15)="state.character",
  RIGHT(B1293,6)=".maxed"
 ),
 0,
 LET(
  sort,
   _xlfn.XLOOKUP(
    B1293,
    tblChecklist[TargetID],
    tblChecklist[PlayerSort],
    0
   ),
  IF(sort=0,500,sort)
 )
)</f>
        <v>29</v>
      </c>
      <c r="I1293" s="49" t="str">
        <f t="array" ref="I1293">_xlfn.XLOOKUP(
 B1293,
 tblTargetStatus[TargetID],
 tblTargetStatus[Status],
 ""
)</f>
        <v>BLOCKED</v>
      </c>
      <c r="J1293" s="45" t="b">
        <v>0</v>
      </c>
    </row>
    <row r="1294" ht="14.25" hidden="1" customHeight="1">
      <c r="A1294" s="49" t="s">
        <v>3150</v>
      </c>
      <c r="B1294" s="49" t="str">
        <f>IFERROR(__xludf.DUMMYFUNCTION("REGEXREPLACE(
 REGEXREPLACE(A1294,""^cost\."",""""),
 ""\.[^.]+\.[^.]+$"",
 """"
)"),"craftifact.hat_of_concentration")</f>
        <v>craftifact.hat_of_concentration</v>
      </c>
      <c r="C1294" s="49" t="str">
        <f t="array" ref="C1294">_xlfn.XLOOKUP(
 B1294,
 tblTargets[TargetID],
 tblTargets[DisplayName],
 ""
)</f>
        <v>Hat Of Concentration</v>
      </c>
      <c r="D1294" s="49" t="str">
        <f t="array" ref="D1294">_xlfn.XLOOKUP(
 B1294,
 tblTargets[TargetID],
 tblTargets[TargetType],
 ""
)</f>
        <v>CRAFTIFACT</v>
      </c>
      <c r="E1294" s="49" t="s">
        <v>2461</v>
      </c>
      <c r="F1294" s="49">
        <v>1.0</v>
      </c>
      <c r="G1294" s="49">
        <f t="array" ref="G1294">_xlfn.XLOOKUP(
 A1294,
 tblCost[RequirementID],
 tblCost[QuantityRequired],
 ""
)</f>
        <v>2</v>
      </c>
      <c r="H1294" s="49">
        <f t="array" ref="H1294">IF(
 OR(
  LEFT(B1294,15)="state.character",
  RIGHT(B1294,6)=".maxed"
 ),
 0,
 LET(
  sort,
   _xlfn.XLOOKUP(
    B1294,
    tblChecklist[TargetID],
    tblChecklist[PlayerSort],
    0
   ),
  IF(sort=0,500,sort)
 )
)</f>
        <v>29</v>
      </c>
      <c r="I1294" s="49" t="str">
        <f t="array" ref="I1294">_xlfn.XLOOKUP(
 B1294,
 tblTargetStatus[TargetID],
 tblTargetStatus[Status],
 ""
)</f>
        <v>BLOCKED</v>
      </c>
      <c r="J1294" s="45" t="b">
        <v>0</v>
      </c>
    </row>
    <row r="1295" ht="14.25" hidden="1" customHeight="1">
      <c r="A1295" s="49" t="s">
        <v>3152</v>
      </c>
      <c r="B1295" s="49" t="str">
        <f>IFERROR(__xludf.DUMMYFUNCTION("REGEXREPLACE(
 REGEXREPLACE(A1295,""^cost\."",""""),
 ""\.[^.]+\.[^.]+$"",
 """"
)"),"craftifact.hat_of_concentration")</f>
        <v>craftifact.hat_of_concentration</v>
      </c>
      <c r="C1295" s="49" t="str">
        <f t="array" ref="C1295">_xlfn.XLOOKUP(
 B1295,
 tblTargets[TargetID],
 tblTargets[DisplayName],
 ""
)</f>
        <v>Hat Of Concentration</v>
      </c>
      <c r="D1295" s="49" t="str">
        <f t="array" ref="D1295">_xlfn.XLOOKUP(
 B1295,
 tblTargets[TargetID],
 tblTargets[TargetType],
 ""
)</f>
        <v>CRAFTIFACT</v>
      </c>
      <c r="E1295" s="49" t="s">
        <v>3153</v>
      </c>
      <c r="F1295" s="49">
        <v>1.0</v>
      </c>
      <c r="G1295" s="49">
        <f t="array" ref="G1295">_xlfn.XLOOKUP(
 A1295,
 tblCost[RequirementID],
 tblCost[QuantityRequired],
 ""
)</f>
        <v>12</v>
      </c>
      <c r="H1295" s="49">
        <f t="array" ref="H1295">IF(
 OR(
  LEFT(B1295,15)="state.character",
  RIGHT(B1295,6)=".maxed"
 ),
 0,
 LET(
  sort,
   _xlfn.XLOOKUP(
    B1295,
    tblChecklist[TargetID],
    tblChecklist[PlayerSort],
    0
   ),
  IF(sort=0,500,sort)
 )
)</f>
        <v>29</v>
      </c>
      <c r="I1295" s="49" t="str">
        <f t="array" ref="I1295">_xlfn.XLOOKUP(
 B1295,
 tblTargetStatus[TargetID],
 tblTargetStatus[Status],
 ""
)</f>
        <v>BLOCKED</v>
      </c>
      <c r="J1295" s="45" t="b">
        <v>0</v>
      </c>
    </row>
    <row r="1296" ht="14.25" hidden="1" customHeight="1">
      <c r="A1296" s="49" t="s">
        <v>3155</v>
      </c>
      <c r="B1296" s="49" t="str">
        <f>IFERROR(__xludf.DUMMYFUNCTION("REGEXREPLACE(
 REGEXREPLACE(A1296,""^cost\."",""""),
 ""\.[^.]+\.[^.]+$"",
 """"
)"),"craftifact.helmet")</f>
        <v>craftifact.helmet</v>
      </c>
      <c r="C1296" s="49" t="str">
        <f t="array" ref="C1296">_xlfn.XLOOKUP(
 B1296,
 tblTargets[TargetID],
 tblTargets[DisplayName],
 ""
)</f>
        <v>Helmet</v>
      </c>
      <c r="D1296" s="49" t="str">
        <f t="array" ref="D1296">_xlfn.XLOOKUP(
 B1296,
 tblTargets[TargetID],
 tblTargets[TargetType],
 ""
)</f>
        <v>CRAFTIFACT</v>
      </c>
      <c r="E1296" s="49" t="s">
        <v>1060</v>
      </c>
      <c r="F1296" s="49">
        <v>1.0</v>
      </c>
      <c r="G1296" s="49">
        <f t="array" ref="G1296">_xlfn.XLOOKUP(
 A1296,
 tblCost[RequirementID],
 tblCost[QuantityRequired],
 ""
)</f>
        <v>100</v>
      </c>
      <c r="H1296" s="49">
        <f t="array" ref="H1296">IF(
 OR(
  LEFT(B1296,15)="state.character",
  RIGHT(B1296,6)=".maxed"
 ),
 0,
 LET(
  sort,
   _xlfn.XLOOKUP(
    B1296,
    tblChecklist[TargetID],
    tblChecklist[PlayerSort],
    0
   ),
  IF(sort=0,500,sort)
 )
)</f>
        <v>500</v>
      </c>
      <c r="I1296" s="49" t="str">
        <f t="array" ref="I1296">_xlfn.XLOOKUP(
 B1296,
 tblTargetStatus[TargetID],
 tblTargetStatus[Status],
 ""
)</f>
        <v>BLOCKED</v>
      </c>
      <c r="J1296" s="45" t="b">
        <v>0</v>
      </c>
    </row>
    <row r="1297" ht="14.25" hidden="1" customHeight="1">
      <c r="A1297" s="49" t="s">
        <v>3157</v>
      </c>
      <c r="B1297" s="49" t="str">
        <f>IFERROR(__xludf.DUMMYFUNCTION("REGEXREPLACE(
 REGEXREPLACE(A1297,""^cost\."",""""),
 ""\.[^.]+\.[^.]+$"",
 """"
)"),"craftifact.helmet")</f>
        <v>craftifact.helmet</v>
      </c>
      <c r="C1297" s="49" t="str">
        <f t="array" ref="C1297">_xlfn.XLOOKUP(
 B1297,
 tblTargets[TargetID],
 tblTargets[DisplayName],
 ""
)</f>
        <v>Helmet</v>
      </c>
      <c r="D1297" s="49" t="str">
        <f t="array" ref="D1297">_xlfn.XLOOKUP(
 B1297,
 tblTargets[TargetID],
 tblTargets[TargetType],
 ""
)</f>
        <v>CRAFTIFACT</v>
      </c>
      <c r="E1297" s="49" t="s">
        <v>2135</v>
      </c>
      <c r="F1297" s="49">
        <v>1.0</v>
      </c>
      <c r="G1297" s="49">
        <f t="array" ref="G1297">_xlfn.XLOOKUP(
 A1297,
 tblCost[RequirementID],
 tblCost[QuantityRequired],
 ""
)</f>
        <v>40</v>
      </c>
      <c r="H1297" s="49">
        <f t="array" ref="H1297">IF(
 OR(
  LEFT(B1297,15)="state.character",
  RIGHT(B1297,6)=".maxed"
 ),
 0,
 LET(
  sort,
   _xlfn.XLOOKUP(
    B1297,
    tblChecklist[TargetID],
    tblChecklist[PlayerSort],
    0
   ),
  IF(sort=0,500,sort)
 )
)</f>
        <v>500</v>
      </c>
      <c r="I1297" s="49" t="str">
        <f t="array" ref="I1297">_xlfn.XLOOKUP(
 B1297,
 tblTargetStatus[TargetID],
 tblTargetStatus[Status],
 ""
)</f>
        <v>BLOCKED</v>
      </c>
      <c r="J1297" s="45" t="b">
        <v>0</v>
      </c>
    </row>
    <row r="1298" ht="14.25" hidden="1" customHeight="1">
      <c r="A1298" s="49" t="s">
        <v>3159</v>
      </c>
      <c r="B1298" s="49" t="str">
        <f>IFERROR(__xludf.DUMMYFUNCTION("REGEXREPLACE(
 REGEXREPLACE(A1298,""^cost\."",""""),
 ""\.[^.]+\.[^.]+$"",
 """"
)"),"craftifact.helmet")</f>
        <v>craftifact.helmet</v>
      </c>
      <c r="C1298" s="49" t="str">
        <f t="array" ref="C1298">_xlfn.XLOOKUP(
 B1298,
 tblTargets[TargetID],
 tblTargets[DisplayName],
 ""
)</f>
        <v>Helmet</v>
      </c>
      <c r="D1298" s="49" t="str">
        <f t="array" ref="D1298">_xlfn.XLOOKUP(
 B1298,
 tblTargets[TargetID],
 tblTargets[TargetType],
 ""
)</f>
        <v>CRAFTIFACT</v>
      </c>
      <c r="E1298" s="49" t="s">
        <v>132</v>
      </c>
      <c r="F1298" s="49">
        <v>1.0</v>
      </c>
      <c r="G1298" s="49">
        <f t="array" ref="G1298">_xlfn.XLOOKUP(
 A1298,
 tblCost[RequirementID],
 tblCost[QuantityRequired],
 ""
)</f>
        <v>20</v>
      </c>
      <c r="H1298" s="49">
        <f t="array" ref="H1298">IF(
 OR(
  LEFT(B1298,15)="state.character",
  RIGHT(B1298,6)=".maxed"
 ),
 0,
 LET(
  sort,
   _xlfn.XLOOKUP(
    B1298,
    tblChecklist[TargetID],
    tblChecklist[PlayerSort],
    0
   ),
  IF(sort=0,500,sort)
 )
)</f>
        <v>500</v>
      </c>
      <c r="I1298" s="49" t="str">
        <f t="array" ref="I1298">_xlfn.XLOOKUP(
 B1298,
 tblTargetStatus[TargetID],
 tblTargetStatus[Status],
 ""
)</f>
        <v>BLOCKED</v>
      </c>
      <c r="J1298" s="45" t="b">
        <v>0</v>
      </c>
    </row>
    <row r="1299" ht="14.25" hidden="1" customHeight="1">
      <c r="A1299" s="49" t="s">
        <v>3169</v>
      </c>
      <c r="B1299" s="49" t="str">
        <f>IFERROR(__xludf.DUMMYFUNCTION("REGEXREPLACE(
 REGEXREPLACE(A1299,""^cost\."",""""),
 ""\.[^.]+\.[^.]+$"",
 """"
)"),"craftifact.helmet")</f>
        <v>craftifact.helmet</v>
      </c>
      <c r="C1299" s="49" t="str">
        <f t="array" ref="C1299">_xlfn.XLOOKUP(
 B1299,
 tblTargets[TargetID],
 tblTargets[DisplayName],
 ""
)</f>
        <v>Helmet</v>
      </c>
      <c r="D1299" s="49" t="str">
        <f t="array" ref="D1299">_xlfn.XLOOKUP(
 B1299,
 tblTargets[TargetID],
 tblTargets[TargetType],
 ""
)</f>
        <v>CRAFTIFACT</v>
      </c>
      <c r="E1299" s="49" t="s">
        <v>2007</v>
      </c>
      <c r="F1299" s="49">
        <v>1.0</v>
      </c>
      <c r="G1299" s="49">
        <f t="array" ref="G1299">_xlfn.XLOOKUP(
 A1299,
 tblCost[RequirementID],
 tblCost[QuantityRequired],
 ""
)</f>
        <v>1</v>
      </c>
      <c r="H1299" s="49">
        <f t="array" ref="H1299">IF(
 OR(
  LEFT(B1299,15)="state.character",
  RIGHT(B1299,6)=".maxed"
 ),
 0,
 LET(
  sort,
   _xlfn.XLOOKUP(
    B1299,
    tblChecklist[TargetID],
    tblChecklist[PlayerSort],
    0
   ),
  IF(sort=0,500,sort)
 )
)</f>
        <v>500</v>
      </c>
      <c r="I1299" s="49" t="str">
        <f t="array" ref="I1299">_xlfn.XLOOKUP(
 B1299,
 tblTargetStatus[TargetID],
 tblTargetStatus[Status],
 ""
)</f>
        <v>BLOCKED</v>
      </c>
      <c r="J1299" s="45" t="b">
        <v>0</v>
      </c>
    </row>
    <row r="1300" ht="14.25" hidden="1" customHeight="1">
      <c r="A1300" s="49" t="s">
        <v>3170</v>
      </c>
      <c r="B1300" s="49" t="str">
        <f>IFERROR(__xludf.DUMMYFUNCTION("REGEXREPLACE(
 REGEXREPLACE(A1300,""^cost\."",""""),
 ""\.[^.]+\.[^.]+$"",
 """"
)"),"craftifact.historical_library")</f>
        <v>craftifact.historical_library</v>
      </c>
      <c r="C1300" s="49" t="str">
        <f t="array" ref="C1300">_xlfn.XLOOKUP(
 B1300,
 tblTargets[TargetID],
 tblTargets[DisplayName],
 ""
)</f>
        <v>Historical Library</v>
      </c>
      <c r="D1300" s="49" t="str">
        <f t="array" ref="D1300">_xlfn.XLOOKUP(
 B1300,
 tblTargets[TargetID],
 tblTargets[TargetType],
 ""
)</f>
        <v>CRAFTIFACT</v>
      </c>
      <c r="E1300" s="49" t="s">
        <v>1055</v>
      </c>
      <c r="F1300" s="49">
        <v>1.0</v>
      </c>
      <c r="G1300" s="49">
        <f t="array" ref="G1300">_xlfn.XLOOKUP(
 A1300,
 tblCost[RequirementID],
 tblCost[QuantityRequired],
 ""
)</f>
        <v>15</v>
      </c>
      <c r="H1300" s="49">
        <f t="array" ref="H1300">IF(
 OR(
  LEFT(B1300,15)="state.character",
  RIGHT(B1300,6)=".maxed"
 ),
 0,
 LET(
  sort,
   _xlfn.XLOOKUP(
    B1300,
    tblChecklist[TargetID],
    tblChecklist[PlayerSort],
    0
   ),
  IF(sort=0,500,sort)
 )
)</f>
        <v>500</v>
      </c>
      <c r="I1300" s="49" t="str">
        <f t="array" ref="I1300">_xlfn.XLOOKUP(
 B1300,
 tblTargetStatus[TargetID],
 tblTargetStatus[Status],
 ""
)</f>
        <v>BLOCKED</v>
      </c>
      <c r="J1300" s="45" t="b">
        <v>0</v>
      </c>
    </row>
    <row r="1301" ht="14.25" hidden="1" customHeight="1">
      <c r="A1301" s="49" t="s">
        <v>3172</v>
      </c>
      <c r="B1301" s="49" t="str">
        <f>IFERROR(__xludf.DUMMYFUNCTION("REGEXREPLACE(
 REGEXREPLACE(A1301,""^cost\."",""""),
 ""\.[^.]+\.[^.]+$"",
 """"
)"),"craftifact.historical_library")</f>
        <v>craftifact.historical_library</v>
      </c>
      <c r="C1301" s="49" t="str">
        <f t="array" ref="C1301">_xlfn.XLOOKUP(
 B1301,
 tblTargets[TargetID],
 tblTargets[DisplayName],
 ""
)</f>
        <v>Historical Library</v>
      </c>
      <c r="D1301" s="49" t="str">
        <f t="array" ref="D1301">_xlfn.XLOOKUP(
 B1301,
 tblTargets[TargetID],
 tblTargets[TargetType],
 ""
)</f>
        <v>CRAFTIFACT</v>
      </c>
      <c r="E1301" s="49" t="s">
        <v>530</v>
      </c>
      <c r="F1301" s="49">
        <v>1.0</v>
      </c>
      <c r="G1301" s="49">
        <f t="array" ref="G1301">_xlfn.XLOOKUP(
 A1301,
 tblCost[RequirementID],
 tblCost[QuantityRequired],
 ""
)</f>
        <v>9</v>
      </c>
      <c r="H1301" s="49">
        <f t="array" ref="H1301">IF(
 OR(
  LEFT(B1301,15)="state.character",
  RIGHT(B1301,6)=".maxed"
 ),
 0,
 LET(
  sort,
   _xlfn.XLOOKUP(
    B1301,
    tblChecklist[TargetID],
    tblChecklist[PlayerSort],
    0
   ),
  IF(sort=0,500,sort)
 )
)</f>
        <v>500</v>
      </c>
      <c r="I1301" s="49" t="str">
        <f t="array" ref="I1301">_xlfn.XLOOKUP(
 B1301,
 tblTargetStatus[TargetID],
 tblTargetStatus[Status],
 ""
)</f>
        <v>BLOCKED</v>
      </c>
      <c r="J1301" s="45" t="b">
        <v>0</v>
      </c>
    </row>
    <row r="1302" ht="14.25" hidden="1" customHeight="1">
      <c r="A1302" s="49" t="s">
        <v>3174</v>
      </c>
      <c r="B1302" s="49" t="str">
        <f>IFERROR(__xludf.DUMMYFUNCTION("REGEXREPLACE(
 REGEXREPLACE(A1302,""^cost\."",""""),
 ""\.[^.]+\.[^.]+$"",
 """"
)"),"craftifact.historical_library")</f>
        <v>craftifact.historical_library</v>
      </c>
      <c r="C1302" s="49" t="str">
        <f t="array" ref="C1302">_xlfn.XLOOKUP(
 B1302,
 tblTargets[TargetID],
 tblTargets[DisplayName],
 ""
)</f>
        <v>Historical Library</v>
      </c>
      <c r="D1302" s="49" t="str">
        <f t="array" ref="D1302">_xlfn.XLOOKUP(
 B1302,
 tblTargets[TargetID],
 tblTargets[TargetType],
 ""
)</f>
        <v>CRAFTIFACT</v>
      </c>
      <c r="E1302" s="49" t="s">
        <v>132</v>
      </c>
      <c r="F1302" s="49">
        <v>1.0</v>
      </c>
      <c r="G1302" s="49">
        <f t="array" ref="G1302">_xlfn.XLOOKUP(
 A1302,
 tblCost[RequirementID],
 tblCost[QuantityRequired],
 ""
)</f>
        <v>40</v>
      </c>
      <c r="H1302" s="49">
        <f t="array" ref="H1302">IF(
 OR(
  LEFT(B1302,15)="state.character",
  RIGHT(B1302,6)=".maxed"
 ),
 0,
 LET(
  sort,
   _xlfn.XLOOKUP(
    B1302,
    tblChecklist[TargetID],
    tblChecklist[PlayerSort],
    0
   ),
  IF(sort=0,500,sort)
 )
)</f>
        <v>500</v>
      </c>
      <c r="I1302" s="49" t="str">
        <f t="array" ref="I1302">_xlfn.XLOOKUP(
 B1302,
 tblTargetStatus[TargetID],
 tblTargetStatus[Status],
 ""
)</f>
        <v>BLOCKED</v>
      </c>
      <c r="J1302" s="45" t="b">
        <v>0</v>
      </c>
    </row>
    <row r="1303" ht="14.25" hidden="1" customHeight="1">
      <c r="A1303" s="49" t="s">
        <v>3176</v>
      </c>
      <c r="B1303" s="49" t="str">
        <f>IFERROR(__xludf.DUMMYFUNCTION("REGEXREPLACE(
 REGEXREPLACE(A1303,""^cost\."",""""),
 ""\.[^.]+\.[^.]+$"",
 """"
)"),"craftifact.historical_library")</f>
        <v>craftifact.historical_library</v>
      </c>
      <c r="C1303" s="49" t="str">
        <f t="array" ref="C1303">_xlfn.XLOOKUP(
 B1303,
 tblTargets[TargetID],
 tblTargets[DisplayName],
 ""
)</f>
        <v>Historical Library</v>
      </c>
      <c r="D1303" s="49" t="str">
        <f t="array" ref="D1303">_xlfn.XLOOKUP(
 B1303,
 tblTargets[TargetID],
 tblTargets[TargetType],
 ""
)</f>
        <v>CRAFTIFACT</v>
      </c>
      <c r="E1303" s="49" t="s">
        <v>2007</v>
      </c>
      <c r="F1303" s="49">
        <v>1.0</v>
      </c>
      <c r="G1303" s="49">
        <f t="array" ref="G1303">_xlfn.XLOOKUP(
 A1303,
 tblCost[RequirementID],
 tblCost[QuantityRequired],
 ""
)</f>
        <v>12</v>
      </c>
      <c r="H1303" s="49">
        <f t="array" ref="H1303">IF(
 OR(
  LEFT(B1303,15)="state.character",
  RIGHT(B1303,6)=".maxed"
 ),
 0,
 LET(
  sort,
   _xlfn.XLOOKUP(
    B1303,
    tblChecklist[TargetID],
    tblChecklist[PlayerSort],
    0
   ),
  IF(sort=0,500,sort)
 )
)</f>
        <v>500</v>
      </c>
      <c r="I1303" s="49" t="str">
        <f t="array" ref="I1303">_xlfn.XLOOKUP(
 B1303,
 tblTargetStatus[TargetID],
 tblTargetStatus[Status],
 ""
)</f>
        <v>BLOCKED</v>
      </c>
      <c r="J1303" s="45" t="b">
        <v>0</v>
      </c>
    </row>
    <row r="1304" ht="14.25" hidden="1" customHeight="1">
      <c r="A1304" s="49" t="s">
        <v>3178</v>
      </c>
      <c r="B1304" s="49" t="str">
        <f>IFERROR(__xludf.DUMMYFUNCTION("REGEXREPLACE(
 REGEXREPLACE(A1304,""^cost\."",""""),
 ""\.[^.]+\.[^.]+$"",
 """"
)"),"craftifact.hotei_statuette")</f>
        <v>craftifact.hotei_statuette</v>
      </c>
      <c r="C1304" s="49" t="str">
        <f t="array" ref="C1304">_xlfn.XLOOKUP(
 B1304,
 tblTargets[TargetID],
 tblTargets[DisplayName],
 ""
)</f>
        <v>Hotei Statuette</v>
      </c>
      <c r="D1304" s="49" t="str">
        <f t="array" ref="D1304">_xlfn.XLOOKUP(
 B1304,
 tblTargets[TargetID],
 tblTargets[TargetType],
 ""
)</f>
        <v>CRAFTIFACT</v>
      </c>
      <c r="E1304" s="49" t="s">
        <v>283</v>
      </c>
      <c r="F1304" s="49">
        <v>1.0</v>
      </c>
      <c r="G1304" s="49">
        <f t="array" ref="G1304">_xlfn.XLOOKUP(
 A1304,
 tblCost[RequirementID],
 tblCost[QuantityRequired],
 ""
)</f>
        <v>200</v>
      </c>
      <c r="H1304" s="49">
        <f t="array" ref="H1304">IF(
 OR(
  LEFT(B1304,15)="state.character",
  RIGHT(B1304,6)=".maxed"
 ),
 0,
 LET(
  sort,
   _xlfn.XLOOKUP(
    B1304,
    tblChecklist[TargetID],
    tblChecklist[PlayerSort],
    0
   ),
  IF(sort=0,500,sort)
 )
)</f>
        <v>500</v>
      </c>
      <c r="I1304" s="49" t="str">
        <f t="array" ref="I1304">_xlfn.XLOOKUP(
 B1304,
 tblTargetStatus[TargetID],
 tblTargetStatus[Status],
 ""
)</f>
        <v>BLOCKED</v>
      </c>
      <c r="J1304" s="45" t="b">
        <v>0</v>
      </c>
    </row>
    <row r="1305" ht="14.25" hidden="1" customHeight="1">
      <c r="A1305" s="49" t="s">
        <v>3180</v>
      </c>
      <c r="B1305" s="49" t="str">
        <f>IFERROR(__xludf.DUMMYFUNCTION("REGEXREPLACE(
 REGEXREPLACE(A1305,""^cost\."",""""),
 ""\.[^.]+\.[^.]+$"",
 """"
)"),"craftifact.hotei_statuette")</f>
        <v>craftifact.hotei_statuette</v>
      </c>
      <c r="C1305" s="49" t="str">
        <f t="array" ref="C1305">_xlfn.XLOOKUP(
 B1305,
 tblTargets[TargetID],
 tblTargets[DisplayName],
 ""
)</f>
        <v>Hotei Statuette</v>
      </c>
      <c r="D1305" s="49" t="str">
        <f t="array" ref="D1305">_xlfn.XLOOKUP(
 B1305,
 tblTargets[TargetID],
 tblTargets[TargetType],
 ""
)</f>
        <v>CRAFTIFACT</v>
      </c>
      <c r="E1305" s="49" t="s">
        <v>119</v>
      </c>
      <c r="F1305" s="49">
        <v>1.0</v>
      </c>
      <c r="G1305" s="49">
        <f t="array" ref="G1305">_xlfn.XLOOKUP(
 A1305,
 tblCost[RequirementID],
 tblCost[QuantityRequired],
 ""
)</f>
        <v>200</v>
      </c>
      <c r="H1305" s="49">
        <f t="array" ref="H1305">IF(
 OR(
  LEFT(B1305,15)="state.character",
  RIGHT(B1305,6)=".maxed"
 ),
 0,
 LET(
  sort,
   _xlfn.XLOOKUP(
    B1305,
    tblChecklist[TargetID],
    tblChecklist[PlayerSort],
    0
   ),
  IF(sort=0,500,sort)
 )
)</f>
        <v>500</v>
      </c>
      <c r="I1305" s="49" t="str">
        <f t="array" ref="I1305">_xlfn.XLOOKUP(
 B1305,
 tblTargetStatus[TargetID],
 tblTargetStatus[Status],
 ""
)</f>
        <v>BLOCKED</v>
      </c>
      <c r="J1305" s="45" t="b">
        <v>0</v>
      </c>
    </row>
    <row r="1306" ht="14.25" hidden="1" customHeight="1">
      <c r="A1306" s="49" t="s">
        <v>3182</v>
      </c>
      <c r="B1306" s="49" t="str">
        <f>IFERROR(__xludf.DUMMYFUNCTION("REGEXREPLACE(
 REGEXREPLACE(A1306,""^cost\."",""""),
 ""\.[^.]+\.[^.]+$"",
 """"
)"),"craftifact.hotei_statuette")</f>
        <v>craftifact.hotei_statuette</v>
      </c>
      <c r="C1306" s="49" t="str">
        <f t="array" ref="C1306">_xlfn.XLOOKUP(
 B1306,
 tblTargets[TargetID],
 tblTargets[DisplayName],
 ""
)</f>
        <v>Hotei Statuette</v>
      </c>
      <c r="D1306" s="49" t="str">
        <f t="array" ref="D1306">_xlfn.XLOOKUP(
 B1306,
 tblTargets[TargetID],
 tblTargets[TargetType],
 ""
)</f>
        <v>CRAFTIFACT</v>
      </c>
      <c r="E1306" s="49" t="s">
        <v>412</v>
      </c>
      <c r="F1306" s="49">
        <v>1.0</v>
      </c>
      <c r="G1306" s="49">
        <f t="array" ref="G1306">_xlfn.XLOOKUP(
 A1306,
 tblCost[RequirementID],
 tblCost[QuantityRequired],
 ""
)</f>
        <v>200</v>
      </c>
      <c r="H1306" s="49">
        <f t="array" ref="H1306">IF(
 OR(
  LEFT(B1306,15)="state.character",
  RIGHT(B1306,6)=".maxed"
 ),
 0,
 LET(
  sort,
   _xlfn.XLOOKUP(
    B1306,
    tblChecklist[TargetID],
    tblChecklist[PlayerSort],
    0
   ),
  IF(sort=0,500,sort)
 )
)</f>
        <v>500</v>
      </c>
      <c r="I1306" s="49" t="str">
        <f t="array" ref="I1306">_xlfn.XLOOKUP(
 B1306,
 tblTargetStatus[TargetID],
 tblTargetStatus[Status],
 ""
)</f>
        <v>BLOCKED</v>
      </c>
      <c r="J1306" s="45" t="b">
        <v>0</v>
      </c>
    </row>
    <row r="1307" ht="14.25" hidden="1" customHeight="1">
      <c r="A1307" s="49" t="s">
        <v>3184</v>
      </c>
      <c r="B1307" s="49" t="str">
        <f>IFERROR(__xludf.DUMMYFUNCTION("REGEXREPLACE(
 REGEXREPLACE(A1307,""^cost\."",""""),
 ""\.[^.]+\.[^.]+$"",
 """"
)"),"craftifact.metal_detector")</f>
        <v>craftifact.metal_detector</v>
      </c>
      <c r="C1307" s="49" t="str">
        <f t="array" ref="C1307">_xlfn.XLOOKUP(
 B1307,
 tblTargets[TargetID],
 tblTargets[DisplayName],
 ""
)</f>
        <v>Metal Detector</v>
      </c>
      <c r="D1307" s="49" t="str">
        <f t="array" ref="D1307">_xlfn.XLOOKUP(
 B1307,
 tblTargets[TargetID],
 tblTargets[TargetType],
 ""
)</f>
        <v>CRAFTIFACT</v>
      </c>
      <c r="E1307" s="49" t="s">
        <v>1230</v>
      </c>
      <c r="F1307" s="49">
        <v>1.0</v>
      </c>
      <c r="G1307" s="49">
        <f t="array" ref="G1307">_xlfn.XLOOKUP(
 A1307,
 tblCost[RequirementID],
 tblCost[QuantityRequired],
 ""
)</f>
        <v>20</v>
      </c>
      <c r="H1307" s="49">
        <f t="array" ref="H1307">IF(
 OR(
  LEFT(B1307,15)="state.character",
  RIGHT(B1307,6)=".maxed"
 ),
 0,
 LET(
  sort,
   _xlfn.XLOOKUP(
    B1307,
    tblChecklist[TargetID],
    tblChecklist[PlayerSort],
    0
   ),
  IF(sort=0,500,sort)
 )
)</f>
        <v>500</v>
      </c>
      <c r="I1307" s="49" t="str">
        <f t="array" ref="I1307">_xlfn.XLOOKUP(
 B1307,
 tblTargetStatus[TargetID],
 tblTargetStatus[Status],
 ""
)</f>
        <v>BLOCKED</v>
      </c>
      <c r="J1307" s="45" t="b">
        <v>0</v>
      </c>
    </row>
    <row r="1308" ht="14.25" hidden="1" customHeight="1">
      <c r="A1308" s="49" t="s">
        <v>3186</v>
      </c>
      <c r="B1308" s="49" t="str">
        <f>IFERROR(__xludf.DUMMYFUNCTION("REGEXREPLACE(
 REGEXREPLACE(A1308,""^cost\."",""""),
 ""\.[^.]+\.[^.]+$"",
 """"
)"),"craftifact.metal_detector")</f>
        <v>craftifact.metal_detector</v>
      </c>
      <c r="C1308" s="49" t="str">
        <f t="array" ref="C1308">_xlfn.XLOOKUP(
 B1308,
 tblTargets[TargetID],
 tblTargets[DisplayName],
 ""
)</f>
        <v>Metal Detector</v>
      </c>
      <c r="D1308" s="49" t="str">
        <f t="array" ref="D1308">_xlfn.XLOOKUP(
 B1308,
 tblTargets[TargetID],
 tblTargets[TargetType],
 ""
)</f>
        <v>CRAFTIFACT</v>
      </c>
      <c r="E1308" s="49" t="s">
        <v>1055</v>
      </c>
      <c r="F1308" s="49">
        <v>1.0</v>
      </c>
      <c r="G1308" s="49">
        <f t="array" ref="G1308">_xlfn.XLOOKUP(
 A1308,
 tblCost[RequirementID],
 tblCost[QuantityRequired],
 ""
)</f>
        <v>30</v>
      </c>
      <c r="H1308" s="49">
        <f t="array" ref="H1308">IF(
 OR(
  LEFT(B1308,15)="state.character",
  RIGHT(B1308,6)=".maxed"
 ),
 0,
 LET(
  sort,
   _xlfn.XLOOKUP(
    B1308,
    tblChecklist[TargetID],
    tblChecklist[PlayerSort],
    0
   ),
  IF(sort=0,500,sort)
 )
)</f>
        <v>500</v>
      </c>
      <c r="I1308" s="49" t="str">
        <f t="array" ref="I1308">_xlfn.XLOOKUP(
 B1308,
 tblTargetStatus[TargetID],
 tblTargetStatus[Status],
 ""
)</f>
        <v>BLOCKED</v>
      </c>
      <c r="J1308" s="45" t="b">
        <v>0</v>
      </c>
    </row>
    <row r="1309" ht="14.25" hidden="1" customHeight="1">
      <c r="A1309" s="49" t="s">
        <v>3188</v>
      </c>
      <c r="B1309" s="49" t="str">
        <f>IFERROR(__xludf.DUMMYFUNCTION("REGEXREPLACE(
 REGEXREPLACE(A1309,""^cost\."",""""),
 ""\.[^.]+\.[^.]+$"",
 """"
)"),"craftifact.metal_detector")</f>
        <v>craftifact.metal_detector</v>
      </c>
      <c r="C1309" s="49" t="str">
        <f t="array" ref="C1309">_xlfn.XLOOKUP(
 B1309,
 tblTargets[TargetID],
 tblTargets[DisplayName],
 ""
)</f>
        <v>Metal Detector</v>
      </c>
      <c r="D1309" s="49" t="str">
        <f t="array" ref="D1309">_xlfn.XLOOKUP(
 B1309,
 tblTargets[TargetID],
 tblTargets[TargetType],
 ""
)</f>
        <v>CRAFTIFACT</v>
      </c>
      <c r="E1309" s="49" t="s">
        <v>2297</v>
      </c>
      <c r="F1309" s="49">
        <v>1.0</v>
      </c>
      <c r="G1309" s="49">
        <f t="array" ref="G1309">_xlfn.XLOOKUP(
 A1309,
 tblCost[RequirementID],
 tblCost[QuantityRequired],
 ""
)</f>
        <v>10</v>
      </c>
      <c r="H1309" s="49">
        <f t="array" ref="H1309">IF(
 OR(
  LEFT(B1309,15)="state.character",
  RIGHT(B1309,6)=".maxed"
 ),
 0,
 LET(
  sort,
   _xlfn.XLOOKUP(
    B1309,
    tblChecklist[TargetID],
    tblChecklist[PlayerSort],
    0
   ),
  IF(sort=0,500,sort)
 )
)</f>
        <v>500</v>
      </c>
      <c r="I1309" s="49" t="str">
        <f t="array" ref="I1309">_xlfn.XLOOKUP(
 B1309,
 tblTargetStatus[TargetID],
 tblTargetStatus[Status],
 ""
)</f>
        <v>BLOCKED</v>
      </c>
      <c r="J1309" s="45" t="b">
        <v>0</v>
      </c>
    </row>
    <row r="1310" ht="14.25" hidden="1" customHeight="1">
      <c r="A1310" s="49" t="s">
        <v>3190</v>
      </c>
      <c r="B1310" s="49" t="str">
        <f>IFERROR(__xludf.DUMMYFUNCTION("REGEXREPLACE(
 REGEXREPLACE(A1310,""^cost\."",""""),
 ""\.[^.]+\.[^.]+$"",
 """"
)"),"craftifact.metal_detector")</f>
        <v>craftifact.metal_detector</v>
      </c>
      <c r="C1310" s="49" t="str">
        <f t="array" ref="C1310">_xlfn.XLOOKUP(
 B1310,
 tblTargets[TargetID],
 tblTargets[DisplayName],
 ""
)</f>
        <v>Metal Detector</v>
      </c>
      <c r="D1310" s="49" t="str">
        <f t="array" ref="D1310">_xlfn.XLOOKUP(
 B1310,
 tblTargets[TargetID],
 tblTargets[TargetType],
 ""
)</f>
        <v>CRAFTIFACT</v>
      </c>
      <c r="E1310" s="49" t="s">
        <v>113</v>
      </c>
      <c r="F1310" s="49">
        <v>1.0</v>
      </c>
      <c r="G1310" s="49">
        <f t="array" ref="G1310">_xlfn.XLOOKUP(
 A1310,
 tblCost[RequirementID],
 tblCost[QuantityRequired],
 ""
)</f>
        <v>20</v>
      </c>
      <c r="H1310" s="49">
        <f t="array" ref="H1310">IF(
 OR(
  LEFT(B1310,15)="state.character",
  RIGHT(B1310,6)=".maxed"
 ),
 0,
 LET(
  sort,
   _xlfn.XLOOKUP(
    B1310,
    tblChecklist[TargetID],
    tblChecklist[PlayerSort],
    0
   ),
  IF(sort=0,500,sort)
 )
)</f>
        <v>500</v>
      </c>
      <c r="I1310" s="49" t="str">
        <f t="array" ref="I1310">_xlfn.XLOOKUP(
 B1310,
 tblTargetStatus[TargetID],
 tblTargetStatus[Status],
 ""
)</f>
        <v>BLOCKED</v>
      </c>
      <c r="J1310" s="45" t="b">
        <v>0</v>
      </c>
    </row>
    <row r="1311" ht="14.25" hidden="1" customHeight="1">
      <c r="A1311" s="49" t="s">
        <v>3192</v>
      </c>
      <c r="B1311" s="49" t="str">
        <f>IFERROR(__xludf.DUMMYFUNCTION("REGEXREPLACE(
 REGEXREPLACE(A1311,""^cost\."",""""),
 ""\.[^.]+\.[^.]+$"",
 """"
)"),"craftifact.metal_detector")</f>
        <v>craftifact.metal_detector</v>
      </c>
      <c r="C1311" s="49" t="str">
        <f t="array" ref="C1311">_xlfn.XLOOKUP(
 B1311,
 tblTargets[TargetID],
 tblTargets[DisplayName],
 ""
)</f>
        <v>Metal Detector</v>
      </c>
      <c r="D1311" s="49" t="str">
        <f t="array" ref="D1311">_xlfn.XLOOKUP(
 B1311,
 tblTargets[TargetID],
 tblTargets[TargetType],
 ""
)</f>
        <v>CRAFTIFACT</v>
      </c>
      <c r="E1311" s="49" t="s">
        <v>1456</v>
      </c>
      <c r="F1311" s="49">
        <v>1.0</v>
      </c>
      <c r="G1311" s="49">
        <f t="array" ref="G1311">_xlfn.XLOOKUP(
 A1311,
 tblCost[RequirementID],
 tblCost[QuantityRequired],
 ""
)</f>
        <v>5</v>
      </c>
      <c r="H1311" s="49">
        <f t="array" ref="H1311">IF(
 OR(
  LEFT(B1311,15)="state.character",
  RIGHT(B1311,6)=".maxed"
 ),
 0,
 LET(
  sort,
   _xlfn.XLOOKUP(
    B1311,
    tblChecklist[TargetID],
    tblChecklist[PlayerSort],
    0
   ),
  IF(sort=0,500,sort)
 )
)</f>
        <v>500</v>
      </c>
      <c r="I1311" s="49" t="str">
        <f t="array" ref="I1311">_xlfn.XLOOKUP(
 B1311,
 tblTargetStatus[TargetID],
 tblTargetStatus[Status],
 ""
)</f>
        <v>BLOCKED</v>
      </c>
      <c r="J1311" s="45" t="b">
        <v>0</v>
      </c>
    </row>
    <row r="1312" ht="14.25" hidden="1" customHeight="1">
      <c r="A1312" s="49" t="s">
        <v>3194</v>
      </c>
      <c r="B1312" s="49" t="str">
        <f>IFERROR(__xludf.DUMMYFUNCTION("REGEXREPLACE(
 REGEXREPLACE(A1312,""^cost\."",""""),
 ""\.[^.]+\.[^.]+$"",
 """"
)"),"craftifact.metal_detector")</f>
        <v>craftifact.metal_detector</v>
      </c>
      <c r="C1312" s="49" t="str">
        <f t="array" ref="C1312">_xlfn.XLOOKUP(
 B1312,
 tblTargets[TargetID],
 tblTargets[DisplayName],
 ""
)</f>
        <v>Metal Detector</v>
      </c>
      <c r="D1312" s="49" t="str">
        <f t="array" ref="D1312">_xlfn.XLOOKUP(
 B1312,
 tblTargets[TargetID],
 tblTargets[TargetType],
 ""
)</f>
        <v>CRAFTIFACT</v>
      </c>
      <c r="E1312" s="49" t="s">
        <v>126</v>
      </c>
      <c r="F1312" s="49">
        <v>1.0</v>
      </c>
      <c r="G1312" s="49">
        <f t="array" ref="G1312">_xlfn.XLOOKUP(
 A1312,
 tblCost[RequirementID],
 tblCost[QuantityRequired],
 ""
)</f>
        <v>30</v>
      </c>
      <c r="H1312" s="49">
        <f t="array" ref="H1312">IF(
 OR(
  LEFT(B1312,15)="state.character",
  RIGHT(B1312,6)=".maxed"
 ),
 0,
 LET(
  sort,
   _xlfn.XLOOKUP(
    B1312,
    tblChecklist[TargetID],
    tblChecklist[PlayerSort],
    0
   ),
  IF(sort=0,500,sort)
 )
)</f>
        <v>500</v>
      </c>
      <c r="I1312" s="49" t="str">
        <f t="array" ref="I1312">_xlfn.XLOOKUP(
 B1312,
 tblTargetStatus[TargetID],
 tblTargetStatus[Status],
 ""
)</f>
        <v>BLOCKED</v>
      </c>
      <c r="J1312" s="45" t="b">
        <v>0</v>
      </c>
    </row>
    <row r="1313" ht="14.25" hidden="1" customHeight="1">
      <c r="A1313" s="49" t="s">
        <v>3196</v>
      </c>
      <c r="B1313" s="49" t="str">
        <f>IFERROR(__xludf.DUMMYFUNCTION("REGEXREPLACE(
 REGEXREPLACE(A1313,""^cost\."",""""),
 ""\.[^.]+\.[^.]+$"",
 """"
)"),"craftifact.metal_detector")</f>
        <v>craftifact.metal_detector</v>
      </c>
      <c r="C1313" s="49" t="str">
        <f t="array" ref="C1313">_xlfn.XLOOKUP(
 B1313,
 tblTargets[TargetID],
 tblTargets[DisplayName],
 ""
)</f>
        <v>Metal Detector</v>
      </c>
      <c r="D1313" s="49" t="str">
        <f t="array" ref="D1313">_xlfn.XLOOKUP(
 B1313,
 tblTargets[TargetID],
 tblTargets[TargetType],
 ""
)</f>
        <v>CRAFTIFACT</v>
      </c>
      <c r="E1313" s="49" t="s">
        <v>140</v>
      </c>
      <c r="F1313" s="49">
        <v>1.0</v>
      </c>
      <c r="G1313" s="49">
        <f t="array" ref="G1313">_xlfn.XLOOKUP(
 A1313,
 tblCost[RequirementID],
 tblCost[QuantityRequired],
 ""
)</f>
        <v>10</v>
      </c>
      <c r="H1313" s="49">
        <f t="array" ref="H1313">IF(
 OR(
  LEFT(B1313,15)="state.character",
  RIGHT(B1313,6)=".maxed"
 ),
 0,
 LET(
  sort,
   _xlfn.XLOOKUP(
    B1313,
    tblChecklist[TargetID],
    tblChecklist[PlayerSort],
    0
   ),
  IF(sort=0,500,sort)
 )
)</f>
        <v>500</v>
      </c>
      <c r="I1313" s="49" t="str">
        <f t="array" ref="I1313">_xlfn.XLOOKUP(
 B1313,
 tblTargetStatus[TargetID],
 tblTargetStatus[Status],
 ""
)</f>
        <v>BLOCKED</v>
      </c>
      <c r="J1313" s="45" t="b">
        <v>0</v>
      </c>
    </row>
    <row r="1314" ht="14.25" hidden="1" customHeight="1">
      <c r="A1314" s="49" t="s">
        <v>3198</v>
      </c>
      <c r="B1314" s="49" t="str">
        <f>IFERROR(__xludf.DUMMYFUNCTION("REGEXREPLACE(
 REGEXREPLACE(A1314,""^cost\."",""""),
 ""\.[^.]+\.[^.]+$"",
 """"
)"),"craftifact.metal_detector")</f>
        <v>craftifact.metal_detector</v>
      </c>
      <c r="C1314" s="49" t="str">
        <f t="array" ref="C1314">_xlfn.XLOOKUP(
 B1314,
 tblTargets[TargetID],
 tblTargets[DisplayName],
 ""
)</f>
        <v>Metal Detector</v>
      </c>
      <c r="D1314" s="49" t="str">
        <f t="array" ref="D1314">_xlfn.XLOOKUP(
 B1314,
 tblTargets[TargetID],
 tblTargets[TargetType],
 ""
)</f>
        <v>CRAFTIFACT</v>
      </c>
      <c r="E1314" s="49" t="s">
        <v>2786</v>
      </c>
      <c r="F1314" s="49">
        <v>1.0</v>
      </c>
      <c r="G1314" s="49">
        <f t="array" ref="G1314">_xlfn.XLOOKUP(
 A1314,
 tblCost[RequirementID],
 tblCost[QuantityRequired],
 ""
)</f>
        <v>10</v>
      </c>
      <c r="H1314" s="49">
        <f t="array" ref="H1314">IF(
 OR(
  LEFT(B1314,15)="state.character",
  RIGHT(B1314,6)=".maxed"
 ),
 0,
 LET(
  sort,
   _xlfn.XLOOKUP(
    B1314,
    tblChecklist[TargetID],
    tblChecklist[PlayerSort],
    0
   ),
  IF(sort=0,500,sort)
 )
)</f>
        <v>500</v>
      </c>
      <c r="I1314" s="49" t="str">
        <f t="array" ref="I1314">_xlfn.XLOOKUP(
 B1314,
 tblTargetStatus[TargetID],
 tblTargetStatus[Status],
 ""
)</f>
        <v>BLOCKED</v>
      </c>
      <c r="J1314" s="45" t="b">
        <v>0</v>
      </c>
    </row>
    <row r="1315" ht="14.25" hidden="1" customHeight="1">
      <c r="A1315" s="49" t="s">
        <v>3200</v>
      </c>
      <c r="B1315" s="49" t="str">
        <f>IFERROR(__xludf.DUMMYFUNCTION("REGEXREPLACE(
 REGEXREPLACE(A1315,""^cost\."",""""),
 ""\.[^.]+\.[^.]+$"",
 """"
)"),"craftifact.necklace_for_haruka")</f>
        <v>craftifact.necklace_for_haruka</v>
      </c>
      <c r="C1315" s="49" t="str">
        <f t="array" ref="C1315">_xlfn.XLOOKUP(
 B1315,
 tblTargets[TargetID],
 tblTargets[DisplayName],
 ""
)</f>
        <v>Necklace For Haruka</v>
      </c>
      <c r="D1315" s="49" t="str">
        <f t="array" ref="D1315">_xlfn.XLOOKUP(
 B1315,
 tblTargets[TargetID],
 tblTargets[TargetType],
 ""
)</f>
        <v>CRAFTIFACT</v>
      </c>
      <c r="E1315" s="49" t="s">
        <v>426</v>
      </c>
      <c r="F1315" s="49">
        <v>1.0</v>
      </c>
      <c r="G1315" s="49">
        <f t="array" ref="G1315">_xlfn.XLOOKUP(
 A1315,
 tblCost[RequirementID],
 tblCost[QuantityRequired],
 ""
)</f>
        <v>50</v>
      </c>
      <c r="H1315" s="49">
        <f t="array" ref="H1315">IF(
 OR(
  LEFT(B1315,15)="state.character",
  RIGHT(B1315,6)=".maxed"
 ),
 0,
 LET(
  sort,
   _xlfn.XLOOKUP(
    B1315,
    tblChecklist[TargetID],
    tblChecklist[PlayerSort],
    0
   ),
  IF(sort=0,500,sort)
 )
)</f>
        <v>500</v>
      </c>
      <c r="I1315" s="49" t="str">
        <f t="array" ref="I1315">_xlfn.XLOOKUP(
 B1315,
 tblTargetStatus[TargetID],
 tblTargetStatus[Status],
 ""
)</f>
        <v>BLOCKED</v>
      </c>
      <c r="J1315" s="45" t="b">
        <v>0</v>
      </c>
    </row>
    <row r="1316" ht="14.25" hidden="1" customHeight="1">
      <c r="A1316" s="49" t="s">
        <v>3202</v>
      </c>
      <c r="B1316" s="49" t="str">
        <f>IFERROR(__xludf.DUMMYFUNCTION("REGEXREPLACE(
 REGEXREPLACE(A1316,""^cost\."",""""),
 ""\.[^.]+\.[^.]+$"",
 """"
)"),"craftifact.necklace_for_haruka")</f>
        <v>craftifact.necklace_for_haruka</v>
      </c>
      <c r="C1316" s="49" t="str">
        <f t="array" ref="C1316">_xlfn.XLOOKUP(
 B1316,
 tblTargets[TargetID],
 tblTargets[DisplayName],
 ""
)</f>
        <v>Necklace For Haruka</v>
      </c>
      <c r="D1316" s="49" t="str">
        <f t="array" ref="D1316">_xlfn.XLOOKUP(
 B1316,
 tblTargets[TargetID],
 tblTargets[TargetType],
 ""
)</f>
        <v>CRAFTIFACT</v>
      </c>
      <c r="E1316" s="49" t="s">
        <v>158</v>
      </c>
      <c r="F1316" s="49">
        <v>1.0</v>
      </c>
      <c r="G1316" s="49">
        <f t="array" ref="G1316">_xlfn.XLOOKUP(
 A1316,
 tblCost[RequirementID],
 tblCost[QuantityRequired],
 ""
)</f>
        <v>1</v>
      </c>
      <c r="H1316" s="49">
        <f t="array" ref="H1316">IF(
 OR(
  LEFT(B1316,15)="state.character",
  RIGHT(B1316,6)=".maxed"
 ),
 0,
 LET(
  sort,
   _xlfn.XLOOKUP(
    B1316,
    tblChecklist[TargetID],
    tblChecklist[PlayerSort],
    0
   ),
  IF(sort=0,500,sort)
 )
)</f>
        <v>500</v>
      </c>
      <c r="I1316" s="49" t="str">
        <f t="array" ref="I1316">_xlfn.XLOOKUP(
 B1316,
 tblTargetStatus[TargetID],
 tblTargetStatus[Status],
 ""
)</f>
        <v>BLOCKED</v>
      </c>
      <c r="J1316" s="45" t="b">
        <v>0</v>
      </c>
    </row>
    <row r="1317" ht="14.25" hidden="1" customHeight="1">
      <c r="A1317" s="49" t="s">
        <v>3204</v>
      </c>
      <c r="B1317" s="49" t="str">
        <f>IFERROR(__xludf.DUMMYFUNCTION("REGEXREPLACE(
 REGEXREPLACE(A1317,""^cost\."",""""),
 ""\.[^.]+\.[^.]+$"",
 """"
)"),"craftifact.safe")</f>
        <v>craftifact.safe</v>
      </c>
      <c r="C1317" s="49" t="str">
        <f t="array" ref="C1317">_xlfn.XLOOKUP(
 B1317,
 tblTargets[TargetID],
 tblTargets[DisplayName],
 ""
)</f>
        <v>Safe</v>
      </c>
      <c r="D1317" s="49" t="str">
        <f t="array" ref="D1317">_xlfn.XLOOKUP(
 B1317,
 tblTargets[TargetID],
 tblTargets[TargetType],
 ""
)</f>
        <v>CRAFTIFACT</v>
      </c>
      <c r="E1317" s="49" t="s">
        <v>1055</v>
      </c>
      <c r="F1317" s="49">
        <v>1.0</v>
      </c>
      <c r="G1317" s="49">
        <f t="array" ref="G1317">_xlfn.XLOOKUP(
 A1317,
 tblCost[RequirementID],
 tblCost[QuantityRequired],
 ""
)</f>
        <v>30</v>
      </c>
      <c r="H1317" s="49">
        <f t="array" ref="H1317">IF(
 OR(
  LEFT(B1317,15)="state.character",
  RIGHT(B1317,6)=".maxed"
 ),
 0,
 LET(
  sort,
   _xlfn.XLOOKUP(
    B1317,
    tblChecklist[TargetID],
    tblChecklist[PlayerSort],
    0
   ),
  IF(sort=0,500,sort)
 )
)</f>
        <v>500</v>
      </c>
      <c r="I1317" s="49" t="str">
        <f t="array" ref="I1317">_xlfn.XLOOKUP(
 B1317,
 tblTargetStatus[TargetID],
 tblTargetStatus[Status],
 ""
)</f>
        <v>BLOCKED</v>
      </c>
      <c r="J1317" s="45" t="b">
        <v>0</v>
      </c>
    </row>
    <row r="1318" ht="14.25" hidden="1" customHeight="1">
      <c r="A1318" s="49" t="s">
        <v>3206</v>
      </c>
      <c r="B1318" s="49" t="str">
        <f>IFERROR(__xludf.DUMMYFUNCTION("REGEXREPLACE(
 REGEXREPLACE(A1318,""^cost\."",""""),
 ""\.[^.]+\.[^.]+$"",
 """"
)"),"craftifact.safe")</f>
        <v>craftifact.safe</v>
      </c>
      <c r="C1318" s="49" t="str">
        <f t="array" ref="C1318">_xlfn.XLOOKUP(
 B1318,
 tblTargets[TargetID],
 tblTargets[DisplayName],
 ""
)</f>
        <v>Safe</v>
      </c>
      <c r="D1318" s="49" t="str">
        <f t="array" ref="D1318">_xlfn.XLOOKUP(
 B1318,
 tblTargets[TargetID],
 tblTargets[TargetType],
 ""
)</f>
        <v>CRAFTIFACT</v>
      </c>
      <c r="E1318" s="49" t="s">
        <v>119</v>
      </c>
      <c r="F1318" s="49">
        <v>1.0</v>
      </c>
      <c r="G1318" s="49">
        <f t="array" ref="G1318">_xlfn.XLOOKUP(
 A1318,
 tblCost[RequirementID],
 tblCost[QuantityRequired],
 ""
)</f>
        <v>500</v>
      </c>
      <c r="H1318" s="49">
        <f t="array" ref="H1318">IF(
 OR(
  LEFT(B1318,15)="state.character",
  RIGHT(B1318,6)=".maxed"
 ),
 0,
 LET(
  sort,
   _xlfn.XLOOKUP(
    B1318,
    tblChecklist[TargetID],
    tblChecklist[PlayerSort],
    0
   ),
  IF(sort=0,500,sort)
 )
)</f>
        <v>500</v>
      </c>
      <c r="I1318" s="49" t="str">
        <f t="array" ref="I1318">_xlfn.XLOOKUP(
 B1318,
 tblTargetStatus[TargetID],
 tblTargetStatus[Status],
 ""
)</f>
        <v>BLOCKED</v>
      </c>
      <c r="J1318" s="45" t="b">
        <v>0</v>
      </c>
    </row>
    <row r="1319" ht="14.25" hidden="1" customHeight="1">
      <c r="A1319" s="49" t="s">
        <v>3208</v>
      </c>
      <c r="B1319" s="49" t="str">
        <f>IFERROR(__xludf.DUMMYFUNCTION("REGEXREPLACE(
 REGEXREPLACE(A1319,""^cost\."",""""),
 ""\.[^.]+\.[^.]+$"",
 """"
)"),"craftifact.safe")</f>
        <v>craftifact.safe</v>
      </c>
      <c r="C1319" s="49" t="str">
        <f t="array" ref="C1319">_xlfn.XLOOKUP(
 B1319,
 tblTargets[TargetID],
 tblTargets[DisplayName],
 ""
)</f>
        <v>Safe</v>
      </c>
      <c r="D1319" s="49" t="str">
        <f t="array" ref="D1319">_xlfn.XLOOKUP(
 B1319,
 tblTargets[TargetID],
 tblTargets[TargetType],
 ""
)</f>
        <v>CRAFTIFACT</v>
      </c>
      <c r="E1319" s="49" t="s">
        <v>1078</v>
      </c>
      <c r="F1319" s="49">
        <v>1.0</v>
      </c>
      <c r="G1319" s="49">
        <f t="array" ref="G1319">_xlfn.XLOOKUP(
 A1319,
 tblCost[RequirementID],
 tblCost[QuantityRequired],
 ""
)</f>
        <v>10</v>
      </c>
      <c r="H1319" s="49">
        <f t="array" ref="H1319">IF(
 OR(
  LEFT(B1319,15)="state.character",
  RIGHT(B1319,6)=".maxed"
 ),
 0,
 LET(
  sort,
   _xlfn.XLOOKUP(
    B1319,
    tblChecklist[TargetID],
    tblChecklist[PlayerSort],
    0
   ),
  IF(sort=0,500,sort)
 )
)</f>
        <v>500</v>
      </c>
      <c r="I1319" s="49" t="str">
        <f t="array" ref="I1319">_xlfn.XLOOKUP(
 B1319,
 tblTargetStatus[TargetID],
 tblTargetStatus[Status],
 ""
)</f>
        <v>BLOCKED</v>
      </c>
      <c r="J1319" s="45" t="b">
        <v>0</v>
      </c>
    </row>
    <row r="1320" ht="14.25" hidden="1" customHeight="1">
      <c r="A1320" s="49" t="s">
        <v>3209</v>
      </c>
      <c r="B1320" s="49" t="str">
        <f>IFERROR(__xludf.DUMMYFUNCTION("REGEXREPLACE(
 REGEXREPLACE(A1320,""^cost\."",""""),
 ""\.[^.]+\.[^.]+$"",
 """"
)"),"craftifact.safe")</f>
        <v>craftifact.safe</v>
      </c>
      <c r="C1320" s="49" t="str">
        <f t="array" ref="C1320">_xlfn.XLOOKUP(
 B1320,
 tblTargets[TargetID],
 tblTargets[DisplayName],
 ""
)</f>
        <v>Safe</v>
      </c>
      <c r="D1320" s="49" t="str">
        <f t="array" ref="D1320">_xlfn.XLOOKUP(
 B1320,
 tblTargets[TargetID],
 tblTargets[TargetType],
 ""
)</f>
        <v>CRAFTIFACT</v>
      </c>
      <c r="E1320" s="49" t="s">
        <v>2135</v>
      </c>
      <c r="F1320" s="49">
        <v>1.0</v>
      </c>
      <c r="G1320" s="49">
        <f t="array" ref="G1320">_xlfn.XLOOKUP(
 A1320,
 tblCost[RequirementID],
 tblCost[QuantityRequired],
 ""
)</f>
        <v>50</v>
      </c>
      <c r="H1320" s="49">
        <f t="array" ref="H1320">IF(
 OR(
  LEFT(B1320,15)="state.character",
  RIGHT(B1320,6)=".maxed"
 ),
 0,
 LET(
  sort,
   _xlfn.XLOOKUP(
    B1320,
    tblChecklist[TargetID],
    tblChecklist[PlayerSort],
    0
   ),
  IF(sort=0,500,sort)
 )
)</f>
        <v>500</v>
      </c>
      <c r="I1320" s="49" t="str">
        <f t="array" ref="I1320">_xlfn.XLOOKUP(
 B1320,
 tblTargetStatus[TargetID],
 tblTargetStatus[Status],
 ""
)</f>
        <v>BLOCKED</v>
      </c>
      <c r="J1320" s="45" t="b">
        <v>0</v>
      </c>
    </row>
    <row r="1321" ht="14.25" hidden="1" customHeight="1">
      <c r="A1321" s="49" t="s">
        <v>3212</v>
      </c>
      <c r="B1321" s="49" t="str">
        <f>IFERROR(__xludf.DUMMYFUNCTION("REGEXREPLACE(
 REGEXREPLACE(A1321,""^cost\."",""""),
 ""\.[^.]+\.[^.]+$"",
 """"
)"),"craftifact.safe")</f>
        <v>craftifact.safe</v>
      </c>
      <c r="C1321" s="49" t="str">
        <f t="array" ref="C1321">_xlfn.XLOOKUP(
 B1321,
 tblTargets[TargetID],
 tblTargets[DisplayName],
 ""
)</f>
        <v>Safe</v>
      </c>
      <c r="D1321" s="49" t="str">
        <f t="array" ref="D1321">_xlfn.XLOOKUP(
 B1321,
 tblTargets[TargetID],
 tblTargets[TargetType],
 ""
)</f>
        <v>CRAFTIFACT</v>
      </c>
      <c r="E1321" s="49" t="s">
        <v>392</v>
      </c>
      <c r="F1321" s="49">
        <v>1.0</v>
      </c>
      <c r="G1321" s="49">
        <f t="array" ref="G1321">_xlfn.XLOOKUP(
 A1321,
 tblCost[RequirementID],
 tblCost[QuantityRequired],
 ""
)</f>
        <v>500</v>
      </c>
      <c r="H1321" s="49">
        <f t="array" ref="H1321">IF(
 OR(
  LEFT(B1321,15)="state.character",
  RIGHT(B1321,6)=".maxed"
 ),
 0,
 LET(
  sort,
   _xlfn.XLOOKUP(
    B1321,
    tblChecklist[TargetID],
    tblChecklist[PlayerSort],
    0
   ),
  IF(sort=0,500,sort)
 )
)</f>
        <v>500</v>
      </c>
      <c r="I1321" s="49" t="str">
        <f t="array" ref="I1321">_xlfn.XLOOKUP(
 B1321,
 tblTargetStatus[TargetID],
 tblTargetStatus[Status],
 ""
)</f>
        <v>BLOCKED</v>
      </c>
      <c r="J1321" s="45" t="b">
        <v>0</v>
      </c>
    </row>
    <row r="1322" ht="14.25" hidden="1" customHeight="1">
      <c r="A1322" s="49" t="s">
        <v>3214</v>
      </c>
      <c r="B1322" s="49" t="str">
        <f>IFERROR(__xludf.DUMMYFUNCTION("REGEXREPLACE(
 REGEXREPLACE(A1322,""^cost\."",""""),
 ""\.[^.]+\.[^.]+$"",
 """"
)"),"craftifact.solver_1_prototype")</f>
        <v>craftifact.solver_1_prototype</v>
      </c>
      <c r="C1322" s="49" t="str">
        <f t="array" ref="C1322">_xlfn.XLOOKUP(
 B1322,
 tblTargets[TargetID],
 tblTargets[DisplayName],
 ""
)</f>
        <v>Solver 1 Prototype</v>
      </c>
      <c r="D1322" s="49" t="str">
        <f t="array" ref="D1322">_xlfn.XLOOKUP(
 B1322,
 tblTargets[TargetID],
 tblTargets[TargetType],
 ""
)</f>
        <v>CRAFTIFACT</v>
      </c>
      <c r="E1322" s="49" t="s">
        <v>1055</v>
      </c>
      <c r="F1322" s="49">
        <v>1.0</v>
      </c>
      <c r="G1322" s="49">
        <f t="array" ref="G1322">_xlfn.XLOOKUP(
 A1322,
 tblCost[RequirementID],
 tblCost[QuantityRequired],
 ""
)</f>
        <v>32</v>
      </c>
      <c r="H1322" s="49">
        <f t="array" ref="H1322">IF(
 OR(
  LEFT(B1322,15)="state.character",
  RIGHT(B1322,6)=".maxed"
 ),
 0,
 LET(
  sort,
   _xlfn.XLOOKUP(
    B1322,
    tblChecklist[TargetID],
    tblChecklist[PlayerSort],
    0
   ),
  IF(sort=0,500,sort)
 )
)</f>
        <v>500</v>
      </c>
      <c r="I1322" s="49" t="str">
        <f t="array" ref="I1322">_xlfn.XLOOKUP(
 B1322,
 tblTargetStatus[TargetID],
 tblTargetStatus[Status],
 ""
)</f>
        <v>BLOCKED</v>
      </c>
      <c r="J1322" s="45" t="b">
        <v>0</v>
      </c>
    </row>
    <row r="1323" ht="14.25" hidden="1" customHeight="1">
      <c r="A1323" s="49" t="s">
        <v>3216</v>
      </c>
      <c r="B1323" s="49" t="str">
        <f>IFERROR(__xludf.DUMMYFUNCTION("REGEXREPLACE(
 REGEXREPLACE(A1323,""^cost\."",""""),
 ""\.[^.]+\.[^.]+$"",
 """"
)"),"craftifact.solver_1_prototype")</f>
        <v>craftifact.solver_1_prototype</v>
      </c>
      <c r="C1323" s="49" t="str">
        <f t="array" ref="C1323">_xlfn.XLOOKUP(
 B1323,
 tblTargets[TargetID],
 tblTargets[DisplayName],
 ""
)</f>
        <v>Solver 1 Prototype</v>
      </c>
      <c r="D1323" s="49" t="str">
        <f t="array" ref="D1323">_xlfn.XLOOKUP(
 B1323,
 tblTargets[TargetID],
 tblTargets[TargetType],
 ""
)</f>
        <v>CRAFTIFACT</v>
      </c>
      <c r="E1323" s="49" t="s">
        <v>412</v>
      </c>
      <c r="F1323" s="49">
        <v>1.0</v>
      </c>
      <c r="G1323" s="49">
        <f t="array" ref="G1323">_xlfn.XLOOKUP(
 A1323,
 tblCost[RequirementID],
 tblCost[QuantityRequired],
 ""
)</f>
        <v>16</v>
      </c>
      <c r="H1323" s="49">
        <f t="array" ref="H1323">IF(
 OR(
  LEFT(B1323,15)="state.character",
  RIGHT(B1323,6)=".maxed"
 ),
 0,
 LET(
  sort,
   _xlfn.XLOOKUP(
    B1323,
    tblChecklist[TargetID],
    tblChecklist[PlayerSort],
    0
   ),
  IF(sort=0,500,sort)
 )
)</f>
        <v>500</v>
      </c>
      <c r="I1323" s="49" t="str">
        <f t="array" ref="I1323">_xlfn.XLOOKUP(
 B1323,
 tblTargetStatus[TargetID],
 tblTargetStatus[Status],
 ""
)</f>
        <v>BLOCKED</v>
      </c>
      <c r="J1323" s="45" t="b">
        <v>0</v>
      </c>
    </row>
    <row r="1324" ht="14.25" hidden="1" customHeight="1">
      <c r="A1324" s="49" t="s">
        <v>3218</v>
      </c>
      <c r="B1324" s="49" t="str">
        <f>IFERROR(__xludf.DUMMYFUNCTION("REGEXREPLACE(
 REGEXREPLACE(A1324,""^cost\."",""""),
 ""\.[^.]+\.[^.]+$"",
 """"
)"),"craftifact.solver_1_prototype")</f>
        <v>craftifact.solver_1_prototype</v>
      </c>
      <c r="C1324" s="49" t="str">
        <f t="array" ref="C1324">_xlfn.XLOOKUP(
 B1324,
 tblTargets[TargetID],
 tblTargets[DisplayName],
 ""
)</f>
        <v>Solver 1 Prototype</v>
      </c>
      <c r="D1324" s="49" t="str">
        <f t="array" ref="D1324">_xlfn.XLOOKUP(
 B1324,
 tblTargets[TargetID],
 tblTargets[TargetType],
 ""
)</f>
        <v>CRAFTIFACT</v>
      </c>
      <c r="E1324" s="49" t="s">
        <v>1375</v>
      </c>
      <c r="F1324" s="49">
        <v>1.0</v>
      </c>
      <c r="G1324" s="49">
        <f t="array" ref="G1324">_xlfn.XLOOKUP(
 A1324,
 tblCost[RequirementID],
 tblCost[QuantityRequired],
 ""
)</f>
        <v>8</v>
      </c>
      <c r="H1324" s="49">
        <f t="array" ref="H1324">IF(
 OR(
  LEFT(B1324,15)="state.character",
  RIGHT(B1324,6)=".maxed"
 ),
 0,
 LET(
  sort,
   _xlfn.XLOOKUP(
    B1324,
    tblChecklist[TargetID],
    tblChecklist[PlayerSort],
    0
   ),
  IF(sort=0,500,sort)
 )
)</f>
        <v>500</v>
      </c>
      <c r="I1324" s="49" t="str">
        <f t="array" ref="I1324">_xlfn.XLOOKUP(
 B1324,
 tblTargetStatus[TargetID],
 tblTargetStatus[Status],
 ""
)</f>
        <v>BLOCKED</v>
      </c>
      <c r="J1324" s="45" t="b">
        <v>0</v>
      </c>
    </row>
    <row r="1325" ht="14.25" hidden="1" customHeight="1">
      <c r="A1325" s="49" t="s">
        <v>3220</v>
      </c>
      <c r="B1325" s="49" t="str">
        <f>IFERROR(__xludf.DUMMYFUNCTION("REGEXREPLACE(
 REGEXREPLACE(A1325,""^cost\."",""""),
 ""\.[^.]+\.[^.]+$"",
 """"
)"),"craftifact.solver_1_prototype")</f>
        <v>craftifact.solver_1_prototype</v>
      </c>
      <c r="C1325" s="49" t="str">
        <f t="array" ref="C1325">_xlfn.XLOOKUP(
 B1325,
 tblTargets[TargetID],
 tblTargets[DisplayName],
 ""
)</f>
        <v>Solver 1 Prototype</v>
      </c>
      <c r="D1325" s="49" t="str">
        <f t="array" ref="D1325">_xlfn.XLOOKUP(
 B1325,
 tblTargets[TargetID],
 tblTargets[TargetType],
 ""
)</f>
        <v>CRAFTIFACT</v>
      </c>
      <c r="E1325" s="49" t="s">
        <v>1078</v>
      </c>
      <c r="F1325" s="49">
        <v>1.0</v>
      </c>
      <c r="G1325" s="49">
        <f t="array" ref="G1325">_xlfn.XLOOKUP(
 A1325,
 tblCost[RequirementID],
 tblCost[QuantityRequired],
 ""
)</f>
        <v>16</v>
      </c>
      <c r="H1325" s="49">
        <f t="array" ref="H1325">IF(
 OR(
  LEFT(B1325,15)="state.character",
  RIGHT(B1325,6)=".maxed"
 ),
 0,
 LET(
  sort,
   _xlfn.XLOOKUP(
    B1325,
    tblChecklist[TargetID],
    tblChecklist[PlayerSort],
    0
   ),
  IF(sort=0,500,sort)
 )
)</f>
        <v>500</v>
      </c>
      <c r="I1325" s="49" t="str">
        <f t="array" ref="I1325">_xlfn.XLOOKUP(
 B1325,
 tblTargetStatus[TargetID],
 tblTargetStatus[Status],
 ""
)</f>
        <v>BLOCKED</v>
      </c>
      <c r="J1325" s="45" t="b">
        <v>0</v>
      </c>
    </row>
    <row r="1326" ht="14.25" hidden="1" customHeight="1">
      <c r="A1326" s="49" t="s">
        <v>3222</v>
      </c>
      <c r="B1326" s="49" t="str">
        <f>IFERROR(__xludf.DUMMYFUNCTION("REGEXREPLACE(
 REGEXREPLACE(A1326,""^cost\."",""""),
 ""\.[^.]+\.[^.]+$"",
 """"
)"),"craftifact.solver_1_prototype")</f>
        <v>craftifact.solver_1_prototype</v>
      </c>
      <c r="C1326" s="49" t="str">
        <f t="array" ref="C1326">_xlfn.XLOOKUP(
 B1326,
 tblTargets[TargetID],
 tblTargets[DisplayName],
 ""
)</f>
        <v>Solver 1 Prototype</v>
      </c>
      <c r="D1326" s="49" t="str">
        <f t="array" ref="D1326">_xlfn.XLOOKUP(
 B1326,
 tblTargets[TargetID],
 tblTargets[TargetType],
 ""
)</f>
        <v>CRAFTIFACT</v>
      </c>
      <c r="E1326" s="49" t="s">
        <v>1537</v>
      </c>
      <c r="F1326" s="49">
        <v>1.0</v>
      </c>
      <c r="G1326" s="49">
        <f t="array" ref="G1326">_xlfn.XLOOKUP(
 A1326,
 tblCost[RequirementID],
 tblCost[QuantityRequired],
 ""
)</f>
        <v>4</v>
      </c>
      <c r="H1326" s="49">
        <f t="array" ref="H1326">IF(
 OR(
  LEFT(B1326,15)="state.character",
  RIGHT(B1326,6)=".maxed"
 ),
 0,
 LET(
  sort,
   _xlfn.XLOOKUP(
    B1326,
    tblChecklist[TargetID],
    tblChecklist[PlayerSort],
    0
   ),
  IF(sort=0,500,sort)
 )
)</f>
        <v>500</v>
      </c>
      <c r="I1326" s="49" t="str">
        <f t="array" ref="I1326">_xlfn.XLOOKUP(
 B1326,
 tblTargetStatus[TargetID],
 tblTargetStatus[Status],
 ""
)</f>
        <v>BLOCKED</v>
      </c>
      <c r="J1326" s="45" t="b">
        <v>0</v>
      </c>
    </row>
    <row r="1327" ht="14.25" hidden="1" customHeight="1">
      <c r="A1327" s="49" t="s">
        <v>3224</v>
      </c>
      <c r="B1327" s="49" t="str">
        <f>IFERROR(__xludf.DUMMYFUNCTION("REGEXREPLACE(
 REGEXREPLACE(A1327,""^cost\."",""""),
 ""\.[^.]+\.[^.]+$"",
 """"
)"),"craftifact.solver_1_prototype")</f>
        <v>craftifact.solver_1_prototype</v>
      </c>
      <c r="C1327" s="49" t="str">
        <f t="array" ref="C1327">_xlfn.XLOOKUP(
 B1327,
 tblTargets[TargetID],
 tblTargets[DisplayName],
 ""
)</f>
        <v>Solver 1 Prototype</v>
      </c>
      <c r="D1327" s="49" t="str">
        <f t="array" ref="D1327">_xlfn.XLOOKUP(
 B1327,
 tblTargets[TargetID],
 tblTargets[TargetType],
 ""
)</f>
        <v>CRAFTIFACT</v>
      </c>
      <c r="E1327" s="49" t="s">
        <v>2786</v>
      </c>
      <c r="F1327" s="49">
        <v>1.0</v>
      </c>
      <c r="G1327" s="49">
        <f t="array" ref="G1327">_xlfn.XLOOKUP(
 A1327,
 tblCost[RequirementID],
 tblCost[QuantityRequired],
 ""
)</f>
        <v>40</v>
      </c>
      <c r="H1327" s="49">
        <f t="array" ref="H1327">IF(
 OR(
  LEFT(B1327,15)="state.character",
  RIGHT(B1327,6)=".maxed"
 ),
 0,
 LET(
  sort,
   _xlfn.XLOOKUP(
    B1327,
    tblChecklist[TargetID],
    tblChecklist[PlayerSort],
    0
   ),
  IF(sort=0,500,sort)
 )
)</f>
        <v>500</v>
      </c>
      <c r="I1327" s="49" t="str">
        <f t="array" ref="I1327">_xlfn.XLOOKUP(
 B1327,
 tblTargetStatus[TargetID],
 tblTargetStatus[Status],
 ""
)</f>
        <v>BLOCKED</v>
      </c>
      <c r="J1327" s="45" t="b">
        <v>0</v>
      </c>
    </row>
    <row r="1328" ht="14.25" hidden="1" customHeight="1">
      <c r="A1328" s="49" t="s">
        <v>3227</v>
      </c>
      <c r="B1328" s="49" t="str">
        <f>IFERROR(__xludf.DUMMYFUNCTION("REGEXREPLACE(
 REGEXREPLACE(A1328,""^cost\."",""""),
 ""\.[^.]+\.[^.]+$"",
 """"
)"),"craftifact.telescope")</f>
        <v>craftifact.telescope</v>
      </c>
      <c r="C1328" s="49" t="str">
        <f t="array" ref="C1328">_xlfn.XLOOKUP(
 B1328,
 tblTargets[TargetID],
 tblTargets[DisplayName],
 ""
)</f>
        <v>Telescope</v>
      </c>
      <c r="D1328" s="49" t="str">
        <f t="array" ref="D1328">_xlfn.XLOOKUP(
 B1328,
 tblTargets[TargetID],
 tblTargets[TargetType],
 ""
)</f>
        <v>CRAFTIFACT</v>
      </c>
      <c r="E1328" s="49" t="s">
        <v>1055</v>
      </c>
      <c r="F1328" s="49">
        <v>1.0</v>
      </c>
      <c r="G1328" s="49">
        <f t="array" ref="G1328">_xlfn.XLOOKUP(
 A1328,
 tblCost[RequirementID],
 tblCost[QuantityRequired],
 ""
)</f>
        <v>40</v>
      </c>
      <c r="H1328" s="49">
        <f t="array" ref="H1328">IF(
 OR(
  LEFT(B1328,15)="state.character",
  RIGHT(B1328,6)=".maxed"
 ),
 0,
 LET(
  sort,
   _xlfn.XLOOKUP(
    B1328,
    tblChecklist[TargetID],
    tblChecklist[PlayerSort],
    0
   ),
  IF(sort=0,500,sort)
 )
)</f>
        <v>500</v>
      </c>
      <c r="I1328" s="49" t="str">
        <f t="array" ref="I1328">_xlfn.XLOOKUP(
 B1328,
 tblTargetStatus[TargetID],
 tblTargetStatus[Status],
 ""
)</f>
        <v>BLOCKED</v>
      </c>
      <c r="J1328" s="45" t="b">
        <v>0</v>
      </c>
    </row>
    <row r="1329" ht="14.25" hidden="1" customHeight="1">
      <c r="A1329" s="49" t="s">
        <v>3229</v>
      </c>
      <c r="B1329" s="49" t="str">
        <f>IFERROR(__xludf.DUMMYFUNCTION("REGEXREPLACE(
 REGEXREPLACE(A1329,""^cost\."",""""),
 ""\.[^.]+\.[^.]+$"",
 """"
)"),"craftifact.telescope")</f>
        <v>craftifact.telescope</v>
      </c>
      <c r="C1329" s="49" t="str">
        <f t="array" ref="C1329">_xlfn.XLOOKUP(
 B1329,
 tblTargets[TargetID],
 tblTargets[DisplayName],
 ""
)</f>
        <v>Telescope</v>
      </c>
      <c r="D1329" s="49" t="str">
        <f t="array" ref="D1329">_xlfn.XLOOKUP(
 B1329,
 tblTargets[TargetID],
 tblTargets[TargetType],
 ""
)</f>
        <v>CRAFTIFACT</v>
      </c>
      <c r="E1329" s="49" t="s">
        <v>360</v>
      </c>
      <c r="F1329" s="49">
        <v>1.0</v>
      </c>
      <c r="G1329" s="49">
        <f t="array" ref="G1329">_xlfn.XLOOKUP(
 A1329,
 tblCost[RequirementID],
 tblCost[QuantityRequired],
 ""
)</f>
        <v>60</v>
      </c>
      <c r="H1329" s="49">
        <f t="array" ref="H1329">IF(
 OR(
  LEFT(B1329,15)="state.character",
  RIGHT(B1329,6)=".maxed"
 ),
 0,
 LET(
  sort,
   _xlfn.XLOOKUP(
    B1329,
    tblChecklist[TargetID],
    tblChecklist[PlayerSort],
    0
   ),
  IF(sort=0,500,sort)
 )
)</f>
        <v>500</v>
      </c>
      <c r="I1329" s="49" t="str">
        <f t="array" ref="I1329">_xlfn.XLOOKUP(
 B1329,
 tblTargetStatus[TargetID],
 tblTargetStatus[Status],
 ""
)</f>
        <v>BLOCKED</v>
      </c>
      <c r="J1329" s="45" t="b">
        <v>0</v>
      </c>
    </row>
    <row r="1330" ht="14.25" hidden="1" customHeight="1">
      <c r="A1330" s="49" t="s">
        <v>3231</v>
      </c>
      <c r="B1330" s="49" t="str">
        <f>IFERROR(__xludf.DUMMYFUNCTION("REGEXREPLACE(
 REGEXREPLACE(A1330,""^cost\."",""""),
 ""\.[^.]+\.[^.]+$"",
 """"
)"),"craftifact.telescope")</f>
        <v>craftifact.telescope</v>
      </c>
      <c r="C1330" s="49" t="str">
        <f t="array" ref="C1330">_xlfn.XLOOKUP(
 B1330,
 tblTargets[TargetID],
 tblTargets[DisplayName],
 ""
)</f>
        <v>Telescope</v>
      </c>
      <c r="D1330" s="49" t="str">
        <f t="array" ref="D1330">_xlfn.XLOOKUP(
 B1330,
 tblTargets[TargetID],
 tblTargets[TargetType],
 ""
)</f>
        <v>CRAFTIFACT</v>
      </c>
      <c r="E1330" s="49" t="s">
        <v>1078</v>
      </c>
      <c r="F1330" s="49">
        <v>1.0</v>
      </c>
      <c r="G1330" s="49">
        <f t="array" ref="G1330">_xlfn.XLOOKUP(
 A1330,
 tblCost[RequirementID],
 tblCost[QuantityRequired],
 ""
)</f>
        <v>20</v>
      </c>
      <c r="H1330" s="49">
        <f t="array" ref="H1330">IF(
 OR(
  LEFT(B1330,15)="state.character",
  RIGHT(B1330,6)=".maxed"
 ),
 0,
 LET(
  sort,
   _xlfn.XLOOKUP(
    B1330,
    tblChecklist[TargetID],
    tblChecklist[PlayerSort],
    0
   ),
  IF(sort=0,500,sort)
 )
)</f>
        <v>500</v>
      </c>
      <c r="I1330" s="49" t="str">
        <f t="array" ref="I1330">_xlfn.XLOOKUP(
 B1330,
 tblTargetStatus[TargetID],
 tblTargetStatus[Status],
 ""
)</f>
        <v>BLOCKED</v>
      </c>
      <c r="J1330" s="45" t="b">
        <v>0</v>
      </c>
    </row>
    <row r="1331" ht="14.25" hidden="1" customHeight="1">
      <c r="A1331" s="49" t="s">
        <v>3233</v>
      </c>
      <c r="B1331" s="49" t="str">
        <f>IFERROR(__xludf.DUMMYFUNCTION("REGEXREPLACE(
 REGEXREPLACE(A1331,""^cost\."",""""),
 ""\.[^.]+\.[^.]+$"",
 """"
)"),"craftifact.telescope")</f>
        <v>craftifact.telescope</v>
      </c>
      <c r="C1331" s="49" t="str">
        <f t="array" ref="C1331">_xlfn.XLOOKUP(
 B1331,
 tblTargets[TargetID],
 tblTargets[DisplayName],
 ""
)</f>
        <v>Telescope</v>
      </c>
      <c r="D1331" s="49" t="str">
        <f t="array" ref="D1331">_xlfn.XLOOKUP(
 B1331,
 tblTargets[TargetID],
 tblTargets[TargetType],
 ""
)</f>
        <v>CRAFTIFACT</v>
      </c>
      <c r="E1331" s="49" t="s">
        <v>6</v>
      </c>
      <c r="F1331" s="49">
        <v>1.0</v>
      </c>
      <c r="G1331" s="49">
        <f t="array" ref="G1331">_xlfn.XLOOKUP(
 A1331,
 tblCost[RequirementID],
 tblCost[QuantityRequired],
 ""
)</f>
        <v>5</v>
      </c>
      <c r="H1331" s="49">
        <f t="array" ref="H1331">IF(
 OR(
  LEFT(B1331,15)="state.character",
  RIGHT(B1331,6)=".maxed"
 ),
 0,
 LET(
  sort,
   _xlfn.XLOOKUP(
    B1331,
    tblChecklist[TargetID],
    tblChecklist[PlayerSort],
    0
   ),
  IF(sort=0,500,sort)
 )
)</f>
        <v>500</v>
      </c>
      <c r="I1331" s="49" t="str">
        <f t="array" ref="I1331">_xlfn.XLOOKUP(
 B1331,
 tblTargetStatus[TargetID],
 tblTargetStatus[Status],
 ""
)</f>
        <v>BLOCKED</v>
      </c>
      <c r="J1331" s="45" t="b">
        <v>0</v>
      </c>
    </row>
    <row r="1332" ht="14.25" hidden="1" customHeight="1">
      <c r="A1332" s="49" t="s">
        <v>3235</v>
      </c>
      <c r="B1332" s="49" t="str">
        <f>IFERROR(__xludf.DUMMYFUNCTION("REGEXREPLACE(
 REGEXREPLACE(A1332,""^cost\."",""""),
 ""\.[^.]+\.[^.]+$"",
 """"
)"),"craftifact.tetrachloroaurate")</f>
        <v>craftifact.tetrachloroaurate</v>
      </c>
      <c r="C1332" s="49" t="str">
        <f t="array" ref="C1332">_xlfn.XLOOKUP(
 B1332,
 tblTargets[TargetID],
 tblTargets[DisplayName],
 ""
)</f>
        <v>Tetrachloroaurate</v>
      </c>
      <c r="D1332" s="49" t="str">
        <f t="array" ref="D1332">_xlfn.XLOOKUP(
 B1332,
 tblTargets[TargetID],
 tblTargets[TargetType],
 ""
)</f>
        <v>CRAFTIFACT</v>
      </c>
      <c r="E1332" s="49" t="s">
        <v>2297</v>
      </c>
      <c r="F1332" s="49">
        <v>1.0</v>
      </c>
      <c r="G1332" s="49">
        <f t="array" ref="G1332">_xlfn.XLOOKUP(
 A1332,
 tblCost[RequirementID],
 tblCost[QuantityRequired],
 ""
)</f>
        <v>30</v>
      </c>
      <c r="H1332" s="49">
        <f t="array" ref="H1332">IF(
 OR(
  LEFT(B1332,15)="state.character",
  RIGHT(B1332,6)=".maxed"
 ),
 0,
 LET(
  sort,
   _xlfn.XLOOKUP(
    B1332,
    tblChecklist[TargetID],
    tblChecklist[PlayerSort],
    0
   ),
  IF(sort=0,500,sort)
 )
)</f>
        <v>500</v>
      </c>
      <c r="I1332" s="49" t="str">
        <f t="array" ref="I1332">_xlfn.XLOOKUP(
 B1332,
 tblTargetStatus[TargetID],
 tblTargetStatus[Status],
 ""
)</f>
        <v>BLOCKED</v>
      </c>
      <c r="J1332" s="45" t="b">
        <v>0</v>
      </c>
    </row>
    <row r="1333" ht="14.25" hidden="1" customHeight="1">
      <c r="A1333" s="49" t="s">
        <v>3238</v>
      </c>
      <c r="B1333" s="49" t="str">
        <f>IFERROR(__xludf.DUMMYFUNCTION("REGEXREPLACE(
 REGEXREPLACE(A1333,""^cost\."",""""),
 ""\.[^.]+\.[^.]+$"",
 """"
)"),"craftifact.tetrachloroaurate")</f>
        <v>craftifact.tetrachloroaurate</v>
      </c>
      <c r="C1333" s="49" t="str">
        <f t="array" ref="C1333">_xlfn.XLOOKUP(
 B1333,
 tblTargets[TargetID],
 tblTargets[DisplayName],
 ""
)</f>
        <v>Tetrachloroaurate</v>
      </c>
      <c r="D1333" s="49" t="str">
        <f t="array" ref="D1333">_xlfn.XLOOKUP(
 B1333,
 tblTargets[TargetID],
 tblTargets[TargetType],
 ""
)</f>
        <v>CRAFTIFACT</v>
      </c>
      <c r="E1333" s="49" t="s">
        <v>113</v>
      </c>
      <c r="F1333" s="49">
        <v>1.0</v>
      </c>
      <c r="G1333" s="49">
        <f t="array" ref="G1333">_xlfn.XLOOKUP(
 A1333,
 tblCost[RequirementID],
 tblCost[QuantityRequired],
 ""
)</f>
        <v>50</v>
      </c>
      <c r="H1333" s="49">
        <f t="array" ref="H1333">IF(
 OR(
  LEFT(B1333,15)="state.character",
  RIGHT(B1333,6)=".maxed"
 ),
 0,
 LET(
  sort,
   _xlfn.XLOOKUP(
    B1333,
    tblChecklist[TargetID],
    tblChecklist[PlayerSort],
    0
   ),
  IF(sort=0,500,sort)
 )
)</f>
        <v>500</v>
      </c>
      <c r="I1333" s="49" t="str">
        <f t="array" ref="I1333">_xlfn.XLOOKUP(
 B1333,
 tblTargetStatus[TargetID],
 tblTargetStatus[Status],
 ""
)</f>
        <v>BLOCKED</v>
      </c>
      <c r="J1333" s="45" t="b">
        <v>0</v>
      </c>
    </row>
    <row r="1334" ht="14.25" hidden="1" customHeight="1">
      <c r="A1334" s="49" t="s">
        <v>3240</v>
      </c>
      <c r="B1334" s="49" t="str">
        <f>IFERROR(__xludf.DUMMYFUNCTION("REGEXREPLACE(
 REGEXREPLACE(A1334,""^cost\."",""""),
 ""\.[^.]+\.[^.]+$"",
 """"
)"),"craftifact.tetrachloroaurate")</f>
        <v>craftifact.tetrachloroaurate</v>
      </c>
      <c r="C1334" s="49" t="str">
        <f t="array" ref="C1334">_xlfn.XLOOKUP(
 B1334,
 tblTargets[TargetID],
 tblTargets[DisplayName],
 ""
)</f>
        <v>Tetrachloroaurate</v>
      </c>
      <c r="D1334" s="49" t="str">
        <f t="array" ref="D1334">_xlfn.XLOOKUP(
 B1334,
 tblTargets[TargetID],
 tblTargets[TargetType],
 ""
)</f>
        <v>CRAFTIFACT</v>
      </c>
      <c r="E1334" s="49" t="s">
        <v>360</v>
      </c>
      <c r="F1334" s="49">
        <v>1.0</v>
      </c>
      <c r="G1334" s="49">
        <f t="array" ref="G1334">_xlfn.XLOOKUP(
 A1334,
 tblCost[RequirementID],
 tblCost[QuantityRequired],
 ""
)</f>
        <v>30</v>
      </c>
      <c r="H1334" s="49">
        <f t="array" ref="H1334">IF(
 OR(
  LEFT(B1334,15)="state.character",
  RIGHT(B1334,6)=".maxed"
 ),
 0,
 LET(
  sort,
   _xlfn.XLOOKUP(
    B1334,
    tblChecklist[TargetID],
    tblChecklist[PlayerSort],
    0
   ),
  IF(sort=0,500,sort)
 )
)</f>
        <v>500</v>
      </c>
      <c r="I1334" s="49" t="str">
        <f t="array" ref="I1334">_xlfn.XLOOKUP(
 B1334,
 tblTargetStatus[TargetID],
 tblTargetStatus[Status],
 ""
)</f>
        <v>BLOCKED</v>
      </c>
      <c r="J1334" s="45" t="b">
        <v>0</v>
      </c>
    </row>
    <row r="1335" ht="14.25" hidden="1" customHeight="1">
      <c r="A1335" s="49" t="s">
        <v>3242</v>
      </c>
      <c r="B1335" s="49" t="str">
        <f>IFERROR(__xludf.DUMMYFUNCTION("REGEXREPLACE(
 REGEXREPLACE(A1335,""^cost\."",""""),
 ""\.[^.]+\.[^.]+$"",
 """"
)"),"craftifact.tetrachloroaurate")</f>
        <v>craftifact.tetrachloroaurate</v>
      </c>
      <c r="C1335" s="49" t="str">
        <f t="array" ref="C1335">_xlfn.XLOOKUP(
 B1335,
 tblTargets[TargetID],
 tblTargets[DisplayName],
 ""
)</f>
        <v>Tetrachloroaurate</v>
      </c>
      <c r="D1335" s="49" t="str">
        <f t="array" ref="D1335">_xlfn.XLOOKUP(
 B1335,
 tblTargets[TargetID],
 tblTargets[TargetType],
 ""
)</f>
        <v>CRAFTIFACT</v>
      </c>
      <c r="E1335" s="49" t="s">
        <v>412</v>
      </c>
      <c r="F1335" s="49">
        <v>1.0</v>
      </c>
      <c r="G1335" s="49">
        <f t="array" ref="G1335">_xlfn.XLOOKUP(
 A1335,
 tblCost[RequirementID],
 tblCost[QuantityRequired],
 ""
)</f>
        <v>50</v>
      </c>
      <c r="H1335" s="49">
        <f t="array" ref="H1335">IF(
 OR(
  LEFT(B1335,15)="state.character",
  RIGHT(B1335,6)=".maxed"
 ),
 0,
 LET(
  sort,
   _xlfn.XLOOKUP(
    B1335,
    tblChecklist[TargetID],
    tblChecklist[PlayerSort],
    0
   ),
  IF(sort=0,500,sort)
 )
)</f>
        <v>500</v>
      </c>
      <c r="I1335" s="49" t="str">
        <f t="array" ref="I1335">_xlfn.XLOOKUP(
 B1335,
 tblTargetStatus[TargetID],
 tblTargetStatus[Status],
 ""
)</f>
        <v>BLOCKED</v>
      </c>
      <c r="J1335" s="45" t="b">
        <v>0</v>
      </c>
    </row>
    <row r="1336" ht="14.25" hidden="1" customHeight="1">
      <c r="A1336" s="49" t="s">
        <v>3245</v>
      </c>
      <c r="B1336" s="49" t="str">
        <f>IFERROR(__xludf.DUMMYFUNCTION("REGEXREPLACE(
 REGEXREPLACE(A1336,""^cost\."",""""),
 ""\.[^.]+\.[^.]+$"",
 """"
)"),"craftifact.tetrachloroaurate")</f>
        <v>craftifact.tetrachloroaurate</v>
      </c>
      <c r="C1336" s="49" t="str">
        <f t="array" ref="C1336">_xlfn.XLOOKUP(
 B1336,
 tblTargets[TargetID],
 tblTargets[DisplayName],
 ""
)</f>
        <v>Tetrachloroaurate</v>
      </c>
      <c r="D1336" s="49" t="str">
        <f t="array" ref="D1336">_xlfn.XLOOKUP(
 B1336,
 tblTargets[TargetID],
 tblTargets[TargetType],
 ""
)</f>
        <v>CRAFTIFACT</v>
      </c>
      <c r="E1336" s="49" t="s">
        <v>140</v>
      </c>
      <c r="F1336" s="49">
        <v>1.0</v>
      </c>
      <c r="G1336" s="49">
        <f t="array" ref="G1336">_xlfn.XLOOKUP(
 A1336,
 tblCost[RequirementID],
 tblCost[QuantityRequired],
 ""
)</f>
        <v>40</v>
      </c>
      <c r="H1336" s="49">
        <f t="array" ref="H1336">IF(
 OR(
  LEFT(B1336,15)="state.character",
  RIGHT(B1336,6)=".maxed"
 ),
 0,
 LET(
  sort,
   _xlfn.XLOOKUP(
    B1336,
    tblChecklist[TargetID],
    tblChecklist[PlayerSort],
    0
   ),
  IF(sort=0,500,sort)
 )
)</f>
        <v>500</v>
      </c>
      <c r="I1336" s="49" t="str">
        <f t="array" ref="I1336">_xlfn.XLOOKUP(
 B1336,
 tblTargetStatus[TargetID],
 tblTargetStatus[Status],
 ""
)</f>
        <v>BLOCKED</v>
      </c>
      <c r="J1336" s="45" t="b">
        <v>0</v>
      </c>
    </row>
    <row r="1337" ht="14.25" hidden="1" customHeight="1">
      <c r="A1337" s="49" t="s">
        <v>3247</v>
      </c>
      <c r="B1337" s="49" t="str">
        <f>IFERROR(__xludf.DUMMYFUNCTION("REGEXREPLACE(
 REGEXREPLACE(A1337,""^cost\."",""""),
 ""\.[^.]+\.[^.]+$"",
 """"
)"),"craftifact.trigonometry")</f>
        <v>craftifact.trigonometry</v>
      </c>
      <c r="C1337" s="49" t="str">
        <f t="array" ref="C1337">_xlfn.XLOOKUP(
 B1337,
 tblTargets[TargetID],
 tblTargets[DisplayName],
 ""
)</f>
        <v>Trigonometry</v>
      </c>
      <c r="D1337" s="49" t="str">
        <f t="array" ref="D1337">_xlfn.XLOOKUP(
 B1337,
 tblTargets[TargetID],
 tblTargets[TargetType],
 ""
)</f>
        <v>CRAFTIFACT</v>
      </c>
      <c r="E1337" s="49" t="s">
        <v>132</v>
      </c>
      <c r="F1337" s="49">
        <v>1.0</v>
      </c>
      <c r="G1337" s="49">
        <f t="array" ref="G1337">_xlfn.XLOOKUP(
 A1337,
 tblCost[RequirementID],
 tblCost[QuantityRequired],
 ""
)</f>
        <v>60</v>
      </c>
      <c r="H1337" s="49">
        <f t="array" ref="H1337">IF(
 OR(
  LEFT(B1337,15)="state.character",
  RIGHT(B1337,6)=".maxed"
 ),
 0,
 LET(
  sort,
   _xlfn.XLOOKUP(
    B1337,
    tblChecklist[TargetID],
    tblChecklist[PlayerSort],
    0
   ),
  IF(sort=0,500,sort)
 )
)</f>
        <v>500</v>
      </c>
      <c r="I1337" s="49" t="str">
        <f t="array" ref="I1337">_xlfn.XLOOKUP(
 B1337,
 tblTargetStatus[TargetID],
 tblTargetStatus[Status],
 ""
)</f>
        <v>BLOCKED</v>
      </c>
      <c r="J1337" s="45" t="b">
        <v>0</v>
      </c>
    </row>
    <row r="1338" ht="14.25" hidden="1" customHeight="1">
      <c r="A1338" s="49" t="s">
        <v>3249</v>
      </c>
      <c r="B1338" s="49" t="str">
        <f>IFERROR(__xludf.DUMMYFUNCTION("REGEXREPLACE(
 REGEXREPLACE(A1338,""^cost\."",""""),
 ""\.[^.]+\.[^.]+$"",
 """"
)"),"craftifact.trigonometry")</f>
        <v>craftifact.trigonometry</v>
      </c>
      <c r="C1338" s="49" t="str">
        <f t="array" ref="C1338">_xlfn.XLOOKUP(
 B1338,
 tblTargets[TargetID],
 tblTargets[DisplayName],
 ""
)</f>
        <v>Trigonometry</v>
      </c>
      <c r="D1338" s="49" t="str">
        <f t="array" ref="D1338">_xlfn.XLOOKUP(
 B1338,
 tblTargets[TargetID],
 tblTargets[TargetType],
 ""
)</f>
        <v>CRAFTIFACT</v>
      </c>
      <c r="E1338" s="49" t="s">
        <v>2007</v>
      </c>
      <c r="F1338" s="49">
        <v>1.0</v>
      </c>
      <c r="G1338" s="49">
        <f t="array" ref="G1338">_xlfn.XLOOKUP(
 A1338,
 tblCost[RequirementID],
 tblCost[QuantityRequired],
 ""
)</f>
        <v>1</v>
      </c>
      <c r="H1338" s="49">
        <f t="array" ref="H1338">IF(
 OR(
  LEFT(B1338,15)="state.character",
  RIGHT(B1338,6)=".maxed"
 ),
 0,
 LET(
  sort,
   _xlfn.XLOOKUP(
    B1338,
    tblChecklist[TargetID],
    tblChecklist[PlayerSort],
    0
   ),
  IF(sort=0,500,sort)
 )
)</f>
        <v>500</v>
      </c>
      <c r="I1338" s="49" t="str">
        <f t="array" ref="I1338">_xlfn.XLOOKUP(
 B1338,
 tblTargetStatus[TargetID],
 tblTargetStatus[Status],
 ""
)</f>
        <v>BLOCKED</v>
      </c>
      <c r="J1338" s="45" t="b">
        <v>0</v>
      </c>
    </row>
    <row r="1339" ht="14.25" hidden="1" customHeight="1">
      <c r="A1339" s="49" t="s">
        <v>3251</v>
      </c>
      <c r="B1339" s="49" t="str">
        <f>IFERROR(__xludf.DUMMYFUNCTION("REGEXREPLACE(
 REGEXREPLACE(A1339,""^cost\."",""""),
 ""\.[^.]+\.[^.]+$"",
 """"
)"),"quest.ahead_of_time_chapter_1.finished")</f>
        <v>quest.ahead_of_time_chapter_1.finished</v>
      </c>
      <c r="C1339" s="49" t="str">
        <f t="array" ref="C1339">_xlfn.XLOOKUP(
 B1339,
 tblTargets[TargetID],
 tblTargets[DisplayName],
 ""
)</f>
        <v>Ahead of Time Chapter 1 Finished</v>
      </c>
      <c r="D1339" s="49" t="str">
        <f t="array" ref="D1339">_xlfn.XLOOKUP(
 B1339,
 tblTargets[TargetID],
 tblTargets[TargetType],
 ""
)</f>
        <v>QUEST</v>
      </c>
      <c r="E1339" s="49" t="s">
        <v>3252</v>
      </c>
      <c r="F1339" s="49">
        <v>1.0</v>
      </c>
      <c r="G1339" s="49">
        <f t="array" ref="G1339">_xlfn.XLOOKUP(
 A1339,
 tblCost[RequirementID],
 tblCost[QuantityRequired],
 ""
)</f>
        <v>1</v>
      </c>
      <c r="H1339" s="49">
        <f t="array" ref="H1339">IF(
 OR(
  LEFT(B1339,15)="state.character",
  RIGHT(B1339,6)=".maxed"
 ),
 0,
 LET(
  sort,
   _xlfn.XLOOKUP(
    B1339,
    tblChecklist[TargetID],
    tblChecklist[PlayerSort],
    0
   ),
  IF(sort=0,500,sort)
 )
)</f>
        <v>500</v>
      </c>
      <c r="I1339" s="49" t="str">
        <f t="array" ref="I1339">_xlfn.XLOOKUP(
 B1339,
 tblTargetStatus[TargetID],
 tblTargetStatus[Status],
 ""
)</f>
        <v>BLOCKED</v>
      </c>
      <c r="J1339" s="45" t="b">
        <v>0</v>
      </c>
    </row>
    <row r="1340" ht="14.25" hidden="1" customHeight="1">
      <c r="A1340" s="49" t="s">
        <v>3254</v>
      </c>
      <c r="B1340" s="49" t="str">
        <f>IFERROR(__xludf.DUMMYFUNCTION("REGEXREPLACE(
 REGEXREPLACE(A1340,""^cost\."",""""),
 ""\.[^.]+\.[^.]+$"",
 """"
)"),"quest.ahead_of_time_chapter_1.finished")</f>
        <v>quest.ahead_of_time_chapter_1.finished</v>
      </c>
      <c r="C1340" s="49" t="str">
        <f t="array" ref="C1340">_xlfn.XLOOKUP(
 B1340,
 tblTargets[TargetID],
 tblTargets[DisplayName],
 ""
)</f>
        <v>Ahead of Time Chapter 1 Finished</v>
      </c>
      <c r="D1340" s="49" t="str">
        <f t="array" ref="D1340">_xlfn.XLOOKUP(
 B1340,
 tblTargets[TargetID],
 tblTargets[TargetType],
 ""
)</f>
        <v>QUEST</v>
      </c>
      <c r="E1340" s="49" t="s">
        <v>2545</v>
      </c>
      <c r="F1340" s="49">
        <v>1.0</v>
      </c>
      <c r="G1340" s="49">
        <f t="array" ref="G1340">_xlfn.XLOOKUP(
 A1340,
 tblCost[RequirementID],
 tblCost[QuantityRequired],
 ""
)</f>
        <v>1</v>
      </c>
      <c r="H1340" s="49">
        <f t="array" ref="H1340">IF(
 OR(
  LEFT(B1340,15)="state.character",
  RIGHT(B1340,6)=".maxed"
 ),
 0,
 LET(
  sort,
   _xlfn.XLOOKUP(
    B1340,
    tblChecklist[TargetID],
    tblChecklist[PlayerSort],
    0
   ),
  IF(sort=0,500,sort)
 )
)</f>
        <v>500</v>
      </c>
      <c r="I1340" s="49" t="str">
        <f t="array" ref="I1340">_xlfn.XLOOKUP(
 B1340,
 tblTargetStatus[TargetID],
 tblTargetStatus[Status],
 ""
)</f>
        <v>BLOCKED</v>
      </c>
      <c r="J1340" s="45" t="b">
        <v>0</v>
      </c>
    </row>
    <row r="1341" ht="14.25" hidden="1" customHeight="1">
      <c r="A1341" s="49" t="s">
        <v>3256</v>
      </c>
      <c r="B1341" s="49" t="str">
        <f>IFERROR(__xludf.DUMMYFUNCTION("REGEXREPLACE(
 REGEXREPLACE(A1341,""^cost\."",""""),
 ""\.[^.]+\.[^.]+$"",
 """"
)"),"quest.ahead_of_time_chapter_1.finished")</f>
        <v>quest.ahead_of_time_chapter_1.finished</v>
      </c>
      <c r="C1341" s="49" t="str">
        <f t="array" ref="C1341">_xlfn.XLOOKUP(
 B1341,
 tblTargets[TargetID],
 tblTargets[DisplayName],
 ""
)</f>
        <v>Ahead of Time Chapter 1 Finished</v>
      </c>
      <c r="D1341" s="49" t="str">
        <f t="array" ref="D1341">_xlfn.XLOOKUP(
 B1341,
 tblTargets[TargetID],
 tblTargets[TargetType],
 ""
)</f>
        <v>QUEST</v>
      </c>
      <c r="E1341" s="49" t="s">
        <v>3257</v>
      </c>
      <c r="F1341" s="49">
        <v>1.0</v>
      </c>
      <c r="G1341" s="49">
        <f t="array" ref="G1341">_xlfn.XLOOKUP(
 A1341,
 tblCost[RequirementID],
 tblCost[QuantityRequired],
 ""
)</f>
        <v>1</v>
      </c>
      <c r="H1341" s="49">
        <f t="array" ref="H1341">IF(
 OR(
  LEFT(B1341,15)="state.character",
  RIGHT(B1341,6)=".maxed"
 ),
 0,
 LET(
  sort,
   _xlfn.XLOOKUP(
    B1341,
    tblChecklist[TargetID],
    tblChecklist[PlayerSort],
    0
   ),
  IF(sort=0,500,sort)
 )
)</f>
        <v>500</v>
      </c>
      <c r="I1341" s="49" t="str">
        <f t="array" ref="I1341">_xlfn.XLOOKUP(
 B1341,
 tblTargetStatus[TargetID],
 tblTargetStatus[Status],
 ""
)</f>
        <v>BLOCKED</v>
      </c>
      <c r="J1341" s="45" t="b">
        <v>0</v>
      </c>
    </row>
    <row r="1342" ht="14.25" hidden="1" customHeight="1">
      <c r="A1342" s="49" t="s">
        <v>3259</v>
      </c>
      <c r="B1342" s="49" t="str">
        <f>IFERROR(__xludf.DUMMYFUNCTION("REGEXREPLACE(
 REGEXREPLACE(A1342,""^cost\."",""""),
 ""\.[^.]+\.[^.]+$"",
 """"
)"),"quest.ahead_of_time_chapter_1.finished")</f>
        <v>quest.ahead_of_time_chapter_1.finished</v>
      </c>
      <c r="C1342" s="49" t="str">
        <f t="array" ref="C1342">_xlfn.XLOOKUP(
 B1342,
 tblTargets[TargetID],
 tblTargets[DisplayName],
 ""
)</f>
        <v>Ahead of Time Chapter 1 Finished</v>
      </c>
      <c r="D1342" s="49" t="str">
        <f t="array" ref="D1342">_xlfn.XLOOKUP(
 B1342,
 tblTargets[TargetID],
 tblTargets[TargetType],
 ""
)</f>
        <v>QUEST</v>
      </c>
      <c r="E1342" s="49" t="s">
        <v>2877</v>
      </c>
      <c r="F1342" s="49">
        <v>1.0</v>
      </c>
      <c r="G1342" s="49">
        <f t="array" ref="G1342">_xlfn.XLOOKUP(
 A1342,
 tblCost[RequirementID],
 tblCost[QuantityRequired],
 ""
)</f>
        <v>1</v>
      </c>
      <c r="H1342" s="49">
        <f t="array" ref="H1342">IF(
 OR(
  LEFT(B1342,15)="state.character",
  RIGHT(B1342,6)=".maxed"
 ),
 0,
 LET(
  sort,
   _xlfn.XLOOKUP(
    B1342,
    tblChecklist[TargetID],
    tblChecklist[PlayerSort],
    0
   ),
  IF(sort=0,500,sort)
 )
)</f>
        <v>500</v>
      </c>
      <c r="I1342" s="49" t="str">
        <f t="array" ref="I1342">_xlfn.XLOOKUP(
 B1342,
 tblTargetStatus[TargetID],
 tblTargetStatus[Status],
 ""
)</f>
        <v>BLOCKED</v>
      </c>
      <c r="J1342" s="45" t="b">
        <v>0</v>
      </c>
    </row>
    <row r="1343" ht="14.25" hidden="1" customHeight="1">
      <c r="A1343" s="49" t="s">
        <v>3261</v>
      </c>
      <c r="B1343" s="49" t="str">
        <f>IFERROR(__xludf.DUMMYFUNCTION("REGEXREPLACE(
 REGEXREPLACE(A1343,""^cost\."",""""),
 ""\.[^.]+\.[^.]+$"",
 """"
)"),"quest.ahead_of_time_chapter_1.finished")</f>
        <v>quest.ahead_of_time_chapter_1.finished</v>
      </c>
      <c r="C1343" s="49" t="str">
        <f t="array" ref="C1343">_xlfn.XLOOKUP(
 B1343,
 tblTargets[TargetID],
 tblTargets[DisplayName],
 ""
)</f>
        <v>Ahead of Time Chapter 1 Finished</v>
      </c>
      <c r="D1343" s="49" t="str">
        <f t="array" ref="D1343">_xlfn.XLOOKUP(
 B1343,
 tblTargets[TargetID],
 tblTargets[TargetType],
 ""
)</f>
        <v>QUEST</v>
      </c>
      <c r="E1343" s="49" t="s">
        <v>3262</v>
      </c>
      <c r="F1343" s="49">
        <v>1.0</v>
      </c>
      <c r="G1343" s="49">
        <f t="array" ref="G1343">_xlfn.XLOOKUP(
 A1343,
 tblCost[RequirementID],
 tblCost[QuantityRequired],
 ""
)</f>
        <v>1</v>
      </c>
      <c r="H1343" s="49">
        <f t="array" ref="H1343">IF(
 OR(
  LEFT(B1343,15)="state.character",
  RIGHT(B1343,6)=".maxed"
 ),
 0,
 LET(
  sort,
   _xlfn.XLOOKUP(
    B1343,
    tblChecklist[TargetID],
    tblChecklist[PlayerSort],
    0
   ),
  IF(sort=0,500,sort)
 )
)</f>
        <v>500</v>
      </c>
      <c r="I1343" s="49" t="str">
        <f t="array" ref="I1343">_xlfn.XLOOKUP(
 B1343,
 tblTargetStatus[TargetID],
 tblTargetStatus[Status],
 ""
)</f>
        <v>BLOCKED</v>
      </c>
      <c r="J1343" s="45" t="b">
        <v>0</v>
      </c>
    </row>
    <row r="1344" ht="14.25" hidden="1" customHeight="1">
      <c r="A1344" s="49" t="s">
        <v>3264</v>
      </c>
      <c r="B1344" s="49" t="str">
        <f>IFERROR(__xludf.DUMMYFUNCTION("REGEXREPLACE(
 REGEXREPLACE(A1344,""^cost\."",""""),
 ""\.[^.]+\.[^.]+$"",
 """"
)"),"quest.ahead_of_time_chapter_1.finished")</f>
        <v>quest.ahead_of_time_chapter_1.finished</v>
      </c>
      <c r="C1344" s="49" t="str">
        <f t="array" ref="C1344">_xlfn.XLOOKUP(
 B1344,
 tblTargets[TargetID],
 tblTargets[DisplayName],
 ""
)</f>
        <v>Ahead of Time Chapter 1 Finished</v>
      </c>
      <c r="D1344" s="49" t="str">
        <f t="array" ref="D1344">_xlfn.XLOOKUP(
 B1344,
 tblTargets[TargetID],
 tblTargets[TargetType],
 ""
)</f>
        <v>QUEST</v>
      </c>
      <c r="E1344" s="49" t="s">
        <v>3265</v>
      </c>
      <c r="F1344" s="49">
        <v>1.0</v>
      </c>
      <c r="G1344" s="49">
        <f t="array" ref="G1344">_xlfn.XLOOKUP(
 A1344,
 tblCost[RequirementID],
 tblCost[QuantityRequired],
 ""
)</f>
        <v>2</v>
      </c>
      <c r="H1344" s="49">
        <f t="array" ref="H1344">IF(
 OR(
  LEFT(B1344,15)="state.character",
  RIGHT(B1344,6)=".maxed"
 ),
 0,
 LET(
  sort,
   _xlfn.XLOOKUP(
    B1344,
    tblChecklist[TargetID],
    tblChecklist[PlayerSort],
    0
   ),
  IF(sort=0,500,sort)
 )
)</f>
        <v>500</v>
      </c>
      <c r="I1344" s="49" t="str">
        <f t="array" ref="I1344">_xlfn.XLOOKUP(
 B1344,
 tblTargetStatus[TargetID],
 tblTargetStatus[Status],
 ""
)</f>
        <v>BLOCKED</v>
      </c>
      <c r="J1344" s="45" t="b">
        <v>0</v>
      </c>
    </row>
    <row r="1345" ht="14.25" hidden="1" customHeight="1">
      <c r="A1345" s="49" t="s">
        <v>3267</v>
      </c>
      <c r="B1345" s="49" t="str">
        <f>IFERROR(__xludf.DUMMYFUNCTION("REGEXREPLACE(
 REGEXREPLACE(A1345,""^cost\."",""""),
 ""\.[^.]+\.[^.]+$"",
 """"
)"),"quest.ahead_of_time_chapter_1.finished")</f>
        <v>quest.ahead_of_time_chapter_1.finished</v>
      </c>
      <c r="C1345" s="49" t="str">
        <f t="array" ref="C1345">_xlfn.XLOOKUP(
 B1345,
 tblTargets[TargetID],
 tblTargets[DisplayName],
 ""
)</f>
        <v>Ahead of Time Chapter 1 Finished</v>
      </c>
      <c r="D1345" s="49" t="str">
        <f t="array" ref="D1345">_xlfn.XLOOKUP(
 B1345,
 tblTargets[TargetID],
 tblTargets[TargetType],
 ""
)</f>
        <v>QUEST</v>
      </c>
      <c r="E1345" s="49" t="s">
        <v>3268</v>
      </c>
      <c r="F1345" s="49">
        <v>1.0</v>
      </c>
      <c r="G1345" s="49">
        <f t="array" ref="G1345">_xlfn.XLOOKUP(
 A1345,
 tblCost[RequirementID],
 tblCost[QuantityRequired],
 ""
)</f>
        <v>1</v>
      </c>
      <c r="H1345" s="49">
        <f t="array" ref="H1345">IF(
 OR(
  LEFT(B1345,15)="state.character",
  RIGHT(B1345,6)=".maxed"
 ),
 0,
 LET(
  sort,
   _xlfn.XLOOKUP(
    B1345,
    tblChecklist[TargetID],
    tblChecklist[PlayerSort],
    0
   ),
  IF(sort=0,500,sort)
 )
)</f>
        <v>500</v>
      </c>
      <c r="I1345" s="49" t="str">
        <f t="array" ref="I1345">_xlfn.XLOOKUP(
 B1345,
 tblTargetStatus[TargetID],
 tblTargetStatus[Status],
 ""
)</f>
        <v>BLOCKED</v>
      </c>
      <c r="J1345" s="45" t="b">
        <v>0</v>
      </c>
    </row>
    <row r="1346" ht="14.25" hidden="1" customHeight="1">
      <c r="A1346" s="49" t="s">
        <v>3270</v>
      </c>
      <c r="B1346" s="49" t="str">
        <f>IFERROR(__xludf.DUMMYFUNCTION("REGEXREPLACE(
 REGEXREPLACE(A1346,""^cost\."",""""),
 ""\.[^.]+\.[^.]+$"",
 """"
)"),"quest.culinary_battle.finished")</f>
        <v>quest.culinary_battle.finished</v>
      </c>
      <c r="C1346" s="49" t="str">
        <f t="array" ref="C1346">_xlfn.XLOOKUP(
 B1346,
 tblTargets[TargetID],
 tblTargets[DisplayName],
 ""
)</f>
        <v>Culinary Battle Finished</v>
      </c>
      <c r="D1346" s="49" t="str">
        <f t="array" ref="D1346">_xlfn.XLOOKUP(
 B1346,
 tblTargets[TargetID],
 tblTargets[TargetType],
 ""
)</f>
        <v>QUEST</v>
      </c>
      <c r="E1346" s="49" t="s">
        <v>3272</v>
      </c>
      <c r="F1346" s="49">
        <v>1.0</v>
      </c>
      <c r="G1346" s="49">
        <f t="array" ref="G1346">_xlfn.XLOOKUP(
 A1346,
 tblCost[RequirementID],
 tblCost[QuantityRequired],
 ""
)</f>
        <v>2</v>
      </c>
      <c r="H1346" s="49">
        <f t="array" ref="H1346">IF(
 OR(
  LEFT(B1346,15)="state.character",
  RIGHT(B1346,6)=".maxed"
 ),
 0,
 LET(
  sort,
   _xlfn.XLOOKUP(
    B1346,
    tblChecklist[TargetID],
    tblChecklist[PlayerSort],
    0
   ),
  IF(sort=0,500,sort)
 )
)</f>
        <v>500</v>
      </c>
      <c r="I1346" s="49" t="str">
        <f t="array" ref="I1346">_xlfn.XLOOKUP(
 B1346,
 tblTargetStatus[TargetID],
 tblTargetStatus[Status],
 ""
)</f>
        <v>BLOCKED</v>
      </c>
      <c r="J1346" s="45" t="b">
        <v>0</v>
      </c>
    </row>
    <row r="1347" ht="14.25" hidden="1" customHeight="1">
      <c r="A1347" s="49" t="s">
        <v>3273</v>
      </c>
      <c r="B1347" s="49" t="str">
        <f>IFERROR(__xludf.DUMMYFUNCTION("REGEXREPLACE(
 REGEXREPLACE(A1347,""^cost\."",""""),
 ""\.[^.]+\.[^.]+$"",
 """"
)"),"quest.culinary_battle.finished")</f>
        <v>quest.culinary_battle.finished</v>
      </c>
      <c r="C1347" s="49" t="str">
        <f t="array" ref="C1347">_xlfn.XLOOKUP(
 B1347,
 tblTargets[TargetID],
 tblTargets[DisplayName],
 ""
)</f>
        <v>Culinary Battle Finished</v>
      </c>
      <c r="D1347" s="49" t="str">
        <f t="array" ref="D1347">_xlfn.XLOOKUP(
 B1347,
 tblTargets[TargetID],
 tblTargets[TargetType],
 ""
)</f>
        <v>QUEST</v>
      </c>
      <c r="E1347" s="49" t="s">
        <v>554</v>
      </c>
      <c r="F1347" s="49">
        <v>1.0</v>
      </c>
      <c r="G1347" s="49">
        <f t="array" ref="G1347">_xlfn.XLOOKUP(
 A1347,
 tblCost[RequirementID],
 tblCost[QuantityRequired],
 ""
)</f>
        <v>2</v>
      </c>
      <c r="H1347" s="49">
        <f t="array" ref="H1347">IF(
 OR(
  LEFT(B1347,15)="state.character",
  RIGHT(B1347,6)=".maxed"
 ),
 0,
 LET(
  sort,
   _xlfn.XLOOKUP(
    B1347,
    tblChecklist[TargetID],
    tblChecklist[PlayerSort],
    0
   ),
  IF(sort=0,500,sort)
 )
)</f>
        <v>500</v>
      </c>
      <c r="I1347" s="49" t="str">
        <f t="array" ref="I1347">_xlfn.XLOOKUP(
 B1347,
 tblTargetStatus[TargetID],
 tblTargetStatus[Status],
 ""
)</f>
        <v>BLOCKED</v>
      </c>
      <c r="J1347" s="45" t="b">
        <v>0</v>
      </c>
    </row>
    <row r="1348" ht="14.25" hidden="1" customHeight="1">
      <c r="A1348" s="49" t="s">
        <v>3275</v>
      </c>
      <c r="B1348" s="49" t="str">
        <f>IFERROR(__xludf.DUMMYFUNCTION("REGEXREPLACE(
 REGEXREPLACE(A1348,""^cost\."",""""),
 ""\.[^.]+\.[^.]+$"",
 """"
)"),"quest.culinary_battle.finished")</f>
        <v>quest.culinary_battle.finished</v>
      </c>
      <c r="C1348" s="49" t="str">
        <f t="array" ref="C1348">_xlfn.XLOOKUP(
 B1348,
 tblTargets[TargetID],
 tblTargets[DisplayName],
 ""
)</f>
        <v>Culinary Battle Finished</v>
      </c>
      <c r="D1348" s="49" t="str">
        <f t="array" ref="D1348">_xlfn.XLOOKUP(
 B1348,
 tblTargets[TargetID],
 tblTargets[TargetType],
 ""
)</f>
        <v>QUEST</v>
      </c>
      <c r="E1348" s="49" t="s">
        <v>2864</v>
      </c>
      <c r="F1348" s="49">
        <v>1.0</v>
      </c>
      <c r="G1348" s="49">
        <f t="array" ref="G1348">_xlfn.XLOOKUP(
 A1348,
 tblCost[RequirementID],
 tblCost[QuantityRequired],
 ""
)</f>
        <v>2</v>
      </c>
      <c r="H1348" s="49">
        <f t="array" ref="H1348">IF(
 OR(
  LEFT(B1348,15)="state.character",
  RIGHT(B1348,6)=".maxed"
 ),
 0,
 LET(
  sort,
   _xlfn.XLOOKUP(
    B1348,
    tblChecklist[TargetID],
    tblChecklist[PlayerSort],
    0
   ),
  IF(sort=0,500,sort)
 )
)</f>
        <v>500</v>
      </c>
      <c r="I1348" s="49" t="str">
        <f t="array" ref="I1348">_xlfn.XLOOKUP(
 B1348,
 tblTargetStatus[TargetID],
 tblTargetStatus[Status],
 ""
)</f>
        <v>BLOCKED</v>
      </c>
      <c r="J1348" s="45" t="b">
        <v>0</v>
      </c>
    </row>
    <row r="1349" ht="14.25" hidden="1" customHeight="1">
      <c r="A1349" s="49" t="s">
        <v>3278</v>
      </c>
      <c r="B1349" s="49" t="str">
        <f>IFERROR(__xludf.DUMMYFUNCTION("REGEXREPLACE(
 REGEXREPLACE(A1349,""^cost\."",""""),
 ""\.[^.]+\.[^.]+$"",
 """"
)"),"quest.culinary_battle.finished")</f>
        <v>quest.culinary_battle.finished</v>
      </c>
      <c r="C1349" s="49" t="str">
        <f t="array" ref="C1349">_xlfn.XLOOKUP(
 B1349,
 tblTargets[TargetID],
 tblTargets[DisplayName],
 ""
)</f>
        <v>Culinary Battle Finished</v>
      </c>
      <c r="D1349" s="49" t="str">
        <f t="array" ref="D1349">_xlfn.XLOOKUP(
 B1349,
 tblTargets[TargetID],
 tblTargets[TargetType],
 ""
)</f>
        <v>QUEST</v>
      </c>
      <c r="E1349" s="49" t="s">
        <v>3279</v>
      </c>
      <c r="F1349" s="49">
        <v>1.0</v>
      </c>
      <c r="G1349" s="49">
        <f t="array" ref="G1349">_xlfn.XLOOKUP(
 A1349,
 tblCost[RequirementID],
 tblCost[QuantityRequired],
 ""
)</f>
        <v>2</v>
      </c>
      <c r="H1349" s="49">
        <f t="array" ref="H1349">IF(
 OR(
  LEFT(B1349,15)="state.character",
  RIGHT(B1349,6)=".maxed"
 ),
 0,
 LET(
  sort,
   _xlfn.XLOOKUP(
    B1349,
    tblChecklist[TargetID],
    tblChecklist[PlayerSort],
    0
   ),
  IF(sort=0,500,sort)
 )
)</f>
        <v>500</v>
      </c>
      <c r="I1349" s="49" t="str">
        <f t="array" ref="I1349">_xlfn.XLOOKUP(
 B1349,
 tblTargetStatus[TargetID],
 tblTargetStatus[Status],
 ""
)</f>
        <v>BLOCKED</v>
      </c>
      <c r="J1349" s="45" t="b">
        <v>0</v>
      </c>
    </row>
    <row r="1350" ht="14.25" hidden="1" customHeight="1">
      <c r="A1350" s="49" t="s">
        <v>3281</v>
      </c>
      <c r="B1350" s="49" t="str">
        <f>IFERROR(__xludf.DUMMYFUNCTION("REGEXREPLACE(
 REGEXREPLACE(A1350,""^cost\."",""""),
 ""\.[^.]+\.[^.]+$"",
 """"
)"),"quest.culinary_battle.finished")</f>
        <v>quest.culinary_battle.finished</v>
      </c>
      <c r="C1350" s="49" t="str">
        <f t="array" ref="C1350">_xlfn.XLOOKUP(
 B1350,
 tblTargets[TargetID],
 tblTargets[DisplayName],
 ""
)</f>
        <v>Culinary Battle Finished</v>
      </c>
      <c r="D1350" s="49" t="str">
        <f t="array" ref="D1350">_xlfn.XLOOKUP(
 B1350,
 tblTargets[TargetID],
 tblTargets[TargetType],
 ""
)</f>
        <v>QUEST</v>
      </c>
      <c r="E1350" s="49" t="s">
        <v>3282</v>
      </c>
      <c r="F1350" s="49">
        <v>1.0</v>
      </c>
      <c r="G1350" s="49">
        <f t="array" ref="G1350">_xlfn.XLOOKUP(
 A1350,
 tblCost[RequirementID],
 tblCost[QuantityRequired],
 ""
)</f>
        <v>2</v>
      </c>
      <c r="H1350" s="49">
        <f t="array" ref="H1350">IF(
 OR(
  LEFT(B1350,15)="state.character",
  RIGHT(B1350,6)=".maxed"
 ),
 0,
 LET(
  sort,
   _xlfn.XLOOKUP(
    B1350,
    tblChecklist[TargetID],
    tblChecklist[PlayerSort],
    0
   ),
  IF(sort=0,500,sort)
 )
)</f>
        <v>500</v>
      </c>
      <c r="I1350" s="49" t="str">
        <f t="array" ref="I1350">_xlfn.XLOOKUP(
 B1350,
 tblTargetStatus[TargetID],
 tblTargetStatus[Status],
 ""
)</f>
        <v>BLOCKED</v>
      </c>
      <c r="J1350" s="45" t="b">
        <v>0</v>
      </c>
    </row>
    <row r="1351" ht="14.25" hidden="1" customHeight="1">
      <c r="A1351" s="49" t="s">
        <v>3284</v>
      </c>
      <c r="B1351" s="49" t="str">
        <f>IFERROR(__xludf.DUMMYFUNCTION("REGEXREPLACE(
 REGEXREPLACE(A1351,""^cost\."",""""),
 ""\.[^.]+\.[^.]+$"",
 """"
)"),"quest.culinary_battle.finished")</f>
        <v>quest.culinary_battle.finished</v>
      </c>
      <c r="C1351" s="49" t="str">
        <f t="array" ref="C1351">_xlfn.XLOOKUP(
 B1351,
 tblTargets[TargetID],
 tblTargets[DisplayName],
 ""
)</f>
        <v>Culinary Battle Finished</v>
      </c>
      <c r="D1351" s="49" t="str">
        <f t="array" ref="D1351">_xlfn.XLOOKUP(
 B1351,
 tblTargets[TargetID],
 tblTargets[TargetType],
 ""
)</f>
        <v>QUEST</v>
      </c>
      <c r="E1351" s="49" t="s">
        <v>3143</v>
      </c>
      <c r="F1351" s="49">
        <v>1.0</v>
      </c>
      <c r="G1351" s="49">
        <f t="array" ref="G1351">_xlfn.XLOOKUP(
 A1351,
 tblCost[RequirementID],
 tblCost[QuantityRequired],
 ""
)</f>
        <v>2</v>
      </c>
      <c r="H1351" s="49">
        <f t="array" ref="H1351">IF(
 OR(
  LEFT(B1351,15)="state.character",
  RIGHT(B1351,6)=".maxed"
 ),
 0,
 LET(
  sort,
   _xlfn.XLOOKUP(
    B1351,
    tblChecklist[TargetID],
    tblChecklist[PlayerSort],
    0
   ),
  IF(sort=0,500,sort)
 )
)</f>
        <v>500</v>
      </c>
      <c r="I1351" s="49" t="str">
        <f t="array" ref="I1351">_xlfn.XLOOKUP(
 B1351,
 tblTargetStatus[TargetID],
 tblTargetStatus[Status],
 ""
)</f>
        <v>BLOCKED</v>
      </c>
      <c r="J1351" s="45" t="b">
        <v>0</v>
      </c>
    </row>
    <row r="1352" ht="14.25" hidden="1" customHeight="1">
      <c r="A1352" s="49" t="s">
        <v>3286</v>
      </c>
      <c r="B1352" s="49" t="str">
        <f>IFERROR(__xludf.DUMMYFUNCTION("REGEXREPLACE(
 REGEXREPLACE(A1352,""^cost\."",""""),
 ""\.[^.]+\.[^.]+$"",
 """"
)"),"quest.culinary_battle.finished")</f>
        <v>quest.culinary_battle.finished</v>
      </c>
      <c r="C1352" s="49" t="str">
        <f t="array" ref="C1352">_xlfn.XLOOKUP(
 B1352,
 tblTargets[TargetID],
 tblTargets[DisplayName],
 ""
)</f>
        <v>Culinary Battle Finished</v>
      </c>
      <c r="D1352" s="49" t="str">
        <f t="array" ref="D1352">_xlfn.XLOOKUP(
 B1352,
 tblTargets[TargetID],
 tblTargets[TargetType],
 ""
)</f>
        <v>QUEST</v>
      </c>
      <c r="E1352" s="49" t="s">
        <v>2871</v>
      </c>
      <c r="F1352" s="49">
        <v>1.0</v>
      </c>
      <c r="G1352" s="49">
        <f t="array" ref="G1352">_xlfn.XLOOKUP(
 A1352,
 tblCost[RequirementID],
 tblCost[QuantityRequired],
 ""
)</f>
        <v>2</v>
      </c>
      <c r="H1352" s="49">
        <f t="array" ref="H1352">IF(
 OR(
  LEFT(B1352,15)="state.character",
  RIGHT(B1352,6)=".maxed"
 ),
 0,
 LET(
  sort,
   _xlfn.XLOOKUP(
    B1352,
    tblChecklist[TargetID],
    tblChecklist[PlayerSort],
    0
   ),
  IF(sort=0,500,sort)
 )
)</f>
        <v>500</v>
      </c>
      <c r="I1352" s="49" t="str">
        <f t="array" ref="I1352">_xlfn.XLOOKUP(
 B1352,
 tblTargetStatus[TargetID],
 tblTargetStatus[Status],
 ""
)</f>
        <v>BLOCKED</v>
      </c>
      <c r="J1352" s="45" t="b">
        <v>0</v>
      </c>
    </row>
    <row r="1353" ht="14.25" hidden="1" customHeight="1">
      <c r="A1353" s="49" t="s">
        <v>3289</v>
      </c>
      <c r="B1353" s="49" t="str">
        <f>IFERROR(__xludf.DUMMYFUNCTION("REGEXREPLACE(
 REGEXREPLACE(A1353,""^cost\."",""""),
 ""\.[^.]+\.[^.]+$"",
 """"
)"),"quest.culinary_battle.finished")</f>
        <v>quest.culinary_battle.finished</v>
      </c>
      <c r="C1353" s="49" t="str">
        <f t="array" ref="C1353">_xlfn.XLOOKUP(
 B1353,
 tblTargets[TargetID],
 tblTargets[DisplayName],
 ""
)</f>
        <v>Culinary Battle Finished</v>
      </c>
      <c r="D1353" s="49" t="str">
        <f t="array" ref="D1353">_xlfn.XLOOKUP(
 B1353,
 tblTargets[TargetID],
 tblTargets[TargetType],
 ""
)</f>
        <v>QUEST</v>
      </c>
      <c r="E1353" s="49" t="s">
        <v>3290</v>
      </c>
      <c r="F1353" s="49">
        <v>1.0</v>
      </c>
      <c r="G1353" s="49">
        <f t="array" ref="G1353">_xlfn.XLOOKUP(
 A1353,
 tblCost[RequirementID],
 tblCost[QuantityRequired],
 ""
)</f>
        <v>2</v>
      </c>
      <c r="H1353" s="49">
        <f t="array" ref="H1353">IF(
 OR(
  LEFT(B1353,15)="state.character",
  RIGHT(B1353,6)=".maxed"
 ),
 0,
 LET(
  sort,
   _xlfn.XLOOKUP(
    B1353,
    tblChecklist[TargetID],
    tblChecklist[PlayerSort],
    0
   ),
  IF(sort=0,500,sort)
 )
)</f>
        <v>500</v>
      </c>
      <c r="I1353" s="49" t="str">
        <f t="array" ref="I1353">_xlfn.XLOOKUP(
 B1353,
 tblTargetStatus[TargetID],
 tblTargetStatus[Status],
 ""
)</f>
        <v>BLOCKED</v>
      </c>
      <c r="J1353" s="45" t="b">
        <v>0</v>
      </c>
    </row>
    <row r="1354" ht="14.25" hidden="1" customHeight="1">
      <c r="A1354" s="49" t="s">
        <v>3292</v>
      </c>
      <c r="B1354" s="49" t="str">
        <f>IFERROR(__xludf.DUMMYFUNCTION("REGEXREPLACE(
 REGEXREPLACE(A1354,""^cost\."",""""),
 ""\.[^.]+\.[^.]+$"",
 """"
)"),"quest.culinary_battle.finished")</f>
        <v>quest.culinary_battle.finished</v>
      </c>
      <c r="C1354" s="49" t="str">
        <f t="array" ref="C1354">_xlfn.XLOOKUP(
 B1354,
 tblTargets[TargetID],
 tblTargets[DisplayName],
 ""
)</f>
        <v>Culinary Battle Finished</v>
      </c>
      <c r="D1354" s="49" t="str">
        <f t="array" ref="D1354">_xlfn.XLOOKUP(
 B1354,
 tblTargets[TargetID],
 tblTargets[TargetType],
 ""
)</f>
        <v>QUEST</v>
      </c>
      <c r="E1354" s="49" t="s">
        <v>3293</v>
      </c>
      <c r="F1354" s="49">
        <v>1.0</v>
      </c>
      <c r="G1354" s="49">
        <f t="array" ref="G1354">_xlfn.XLOOKUP(
 A1354,
 tblCost[RequirementID],
 tblCost[QuantityRequired],
 ""
)</f>
        <v>2</v>
      </c>
      <c r="H1354" s="49">
        <f t="array" ref="H1354">IF(
 OR(
  LEFT(B1354,15)="state.character",
  RIGHT(B1354,6)=".maxed"
 ),
 0,
 LET(
  sort,
   _xlfn.XLOOKUP(
    B1354,
    tblChecklist[TargetID],
    tblChecklist[PlayerSort],
    0
   ),
  IF(sort=0,500,sort)
 )
)</f>
        <v>500</v>
      </c>
      <c r="I1354" s="49" t="str">
        <f t="array" ref="I1354">_xlfn.XLOOKUP(
 B1354,
 tblTargetStatus[TargetID],
 tblTargetStatus[Status],
 ""
)</f>
        <v>BLOCKED</v>
      </c>
      <c r="J1354" s="45" t="b">
        <v>0</v>
      </c>
    </row>
    <row r="1355" ht="14.25" hidden="1" customHeight="1">
      <c r="A1355" s="49" t="s">
        <v>3295</v>
      </c>
      <c r="B1355" s="49" t="str">
        <f>IFERROR(__xludf.DUMMYFUNCTION("REGEXREPLACE(
 REGEXREPLACE(A1355,""^cost\."",""""),
 ""\.[^.]+\.[^.]+$"",
 """"
)"),"quest.culinary_battle.finished")</f>
        <v>quest.culinary_battle.finished</v>
      </c>
      <c r="C1355" s="49" t="str">
        <f t="array" ref="C1355">_xlfn.XLOOKUP(
 B1355,
 tblTargets[TargetID],
 tblTargets[DisplayName],
 ""
)</f>
        <v>Culinary Battle Finished</v>
      </c>
      <c r="D1355" s="49" t="str">
        <f t="array" ref="D1355">_xlfn.XLOOKUP(
 B1355,
 tblTargets[TargetID],
 tblTargets[TargetType],
 ""
)</f>
        <v>QUEST</v>
      </c>
      <c r="E1355" s="49" t="s">
        <v>3146</v>
      </c>
      <c r="F1355" s="49">
        <v>1.0</v>
      </c>
      <c r="G1355" s="49">
        <f t="array" ref="G1355">_xlfn.XLOOKUP(
 A1355,
 tblCost[RequirementID],
 tblCost[QuantityRequired],
 ""
)</f>
        <v>2</v>
      </c>
      <c r="H1355" s="49">
        <f t="array" ref="H1355">IF(
 OR(
  LEFT(B1355,15)="state.character",
  RIGHT(B1355,6)=".maxed"
 ),
 0,
 LET(
  sort,
   _xlfn.XLOOKUP(
    B1355,
    tblChecklist[TargetID],
    tblChecklist[PlayerSort],
    0
   ),
  IF(sort=0,500,sort)
 )
)</f>
        <v>500</v>
      </c>
      <c r="I1355" s="49" t="str">
        <f t="array" ref="I1355">_xlfn.XLOOKUP(
 B1355,
 tblTargetStatus[TargetID],
 tblTargetStatus[Status],
 ""
)</f>
        <v>BLOCKED</v>
      </c>
      <c r="J1355" s="45" t="b">
        <v>0</v>
      </c>
    </row>
    <row r="1356" ht="14.25" hidden="1" customHeight="1">
      <c r="A1356" s="49" t="s">
        <v>3297</v>
      </c>
      <c r="B1356" s="49" t="str">
        <f>IFERROR(__xludf.DUMMYFUNCTION("REGEXREPLACE(
 REGEXREPLACE(A1356,""^cost\."",""""),
 ""\.[^.]+\.[^.]+$"",
 """"
)"),"quest.culinary_battle.finished")</f>
        <v>quest.culinary_battle.finished</v>
      </c>
      <c r="C1356" s="49" t="str">
        <f t="array" ref="C1356">_xlfn.XLOOKUP(
 B1356,
 tblTargets[TargetID],
 tblTargets[DisplayName],
 ""
)</f>
        <v>Culinary Battle Finished</v>
      </c>
      <c r="D1356" s="49" t="str">
        <f t="array" ref="D1356">_xlfn.XLOOKUP(
 B1356,
 tblTargets[TargetID],
 tblTargets[TargetType],
 ""
)</f>
        <v>QUEST</v>
      </c>
      <c r="E1356" s="49" t="s">
        <v>3299</v>
      </c>
      <c r="F1356" s="49">
        <v>1.0</v>
      </c>
      <c r="G1356" s="49">
        <f t="array" ref="G1356">_xlfn.XLOOKUP(
 A1356,
 tblCost[RequirementID],
 tblCost[QuantityRequired],
 ""
)</f>
        <v>2</v>
      </c>
      <c r="H1356" s="49">
        <f t="array" ref="H1356">IF(
 OR(
  LEFT(B1356,15)="state.character",
  RIGHT(B1356,6)=".maxed"
 ),
 0,
 LET(
  sort,
   _xlfn.XLOOKUP(
    B1356,
    tblChecklist[TargetID],
    tblChecklist[PlayerSort],
    0
   ),
  IF(sort=0,500,sort)
 )
)</f>
        <v>500</v>
      </c>
      <c r="I1356" s="49" t="str">
        <f t="array" ref="I1356">_xlfn.XLOOKUP(
 B1356,
 tblTargetStatus[TargetID],
 tblTargetStatus[Status],
 ""
)</f>
        <v>BLOCKED</v>
      </c>
      <c r="J1356" s="45" t="b">
        <v>0</v>
      </c>
    </row>
    <row r="1357" ht="14.25" hidden="1" customHeight="1">
      <c r="A1357" s="49" t="s">
        <v>3300</v>
      </c>
      <c r="B1357" s="49" t="str">
        <f>IFERROR(__xludf.DUMMYFUNCTION("REGEXREPLACE(
 REGEXREPLACE(A1357,""^cost\."",""""),
 ""\.[^.]+\.[^.]+$"",
 """"
)"),"quest.culinary_battle.finished")</f>
        <v>quest.culinary_battle.finished</v>
      </c>
      <c r="C1357" s="49" t="str">
        <f t="array" ref="C1357">_xlfn.XLOOKUP(
 B1357,
 tblTargets[TargetID],
 tblTargets[DisplayName],
 ""
)</f>
        <v>Culinary Battle Finished</v>
      </c>
      <c r="D1357" s="49" t="str">
        <f t="array" ref="D1357">_xlfn.XLOOKUP(
 B1357,
 tblTargets[TargetID],
 tblTargets[TargetType],
 ""
)</f>
        <v>QUEST</v>
      </c>
      <c r="E1357" s="49" t="s">
        <v>576</v>
      </c>
      <c r="F1357" s="49">
        <v>1.0</v>
      </c>
      <c r="G1357" s="49">
        <f t="array" ref="G1357">_xlfn.XLOOKUP(
 A1357,
 tblCost[RequirementID],
 tblCost[QuantityRequired],
 ""
)</f>
        <v>2</v>
      </c>
      <c r="H1357" s="49">
        <f t="array" ref="H1357">IF(
 OR(
  LEFT(B1357,15)="state.character",
  RIGHT(B1357,6)=".maxed"
 ),
 0,
 LET(
  sort,
   _xlfn.XLOOKUP(
    B1357,
    tblChecklist[TargetID],
    tblChecklist[PlayerSort],
    0
   ),
  IF(sort=0,500,sort)
 )
)</f>
        <v>500</v>
      </c>
      <c r="I1357" s="49" t="str">
        <f t="array" ref="I1357">_xlfn.XLOOKUP(
 B1357,
 tblTargetStatus[TargetID],
 tblTargetStatus[Status],
 ""
)</f>
        <v>BLOCKED</v>
      </c>
      <c r="J1357" s="45" t="b">
        <v>0</v>
      </c>
    </row>
    <row r="1358" ht="14.25" hidden="1" customHeight="1">
      <c r="A1358" s="49" t="s">
        <v>3303</v>
      </c>
      <c r="B1358" s="49" t="str">
        <f>IFERROR(__xludf.DUMMYFUNCTION("REGEXREPLACE(
 REGEXREPLACE(A1358,""^cost\."",""""),
 ""\.[^.]+\.[^.]+$"",
 """"
)"),"quest.culinary_battle.finished")</f>
        <v>quest.culinary_battle.finished</v>
      </c>
      <c r="C1358" s="49" t="str">
        <f t="array" ref="C1358">_xlfn.XLOOKUP(
 B1358,
 tblTargets[TargetID],
 tblTargets[DisplayName],
 ""
)</f>
        <v>Culinary Battle Finished</v>
      </c>
      <c r="D1358" s="49" t="str">
        <f t="array" ref="D1358">_xlfn.XLOOKUP(
 B1358,
 tblTargets[TargetID],
 tblTargets[TargetType],
 ""
)</f>
        <v>QUEST</v>
      </c>
      <c r="E1358" s="49" t="s">
        <v>405</v>
      </c>
      <c r="F1358" s="49">
        <v>1.0</v>
      </c>
      <c r="G1358" s="49">
        <f t="array" ref="G1358">_xlfn.XLOOKUP(
 A1358,
 tblCost[RequirementID],
 tblCost[QuantityRequired],
 ""
)</f>
        <v>2</v>
      </c>
      <c r="H1358" s="49">
        <f t="array" ref="H1358">IF(
 OR(
  LEFT(B1358,15)="state.character",
  RIGHT(B1358,6)=".maxed"
 ),
 0,
 LET(
  sort,
   _xlfn.XLOOKUP(
    B1358,
    tblChecklist[TargetID],
    tblChecklist[PlayerSort],
    0
   ),
  IF(sort=0,500,sort)
 )
)</f>
        <v>500</v>
      </c>
      <c r="I1358" s="49" t="str">
        <f t="array" ref="I1358">_xlfn.XLOOKUP(
 B1358,
 tblTargetStatus[TargetID],
 tblTargetStatus[Status],
 ""
)</f>
        <v>BLOCKED</v>
      </c>
      <c r="J1358" s="45" t="b">
        <v>0</v>
      </c>
    </row>
    <row r="1359" ht="14.25" hidden="1" customHeight="1">
      <c r="A1359" s="49" t="s">
        <v>3305</v>
      </c>
      <c r="B1359" s="49" t="str">
        <f>IFERROR(__xludf.DUMMYFUNCTION("REGEXREPLACE(
 REGEXREPLACE(A1359,""^cost\."",""""),
 ""\.[^.]+\.[^.]+$"",
 """"
)"),"quest.culinary_battle.finished")</f>
        <v>quest.culinary_battle.finished</v>
      </c>
      <c r="C1359" s="49" t="str">
        <f t="array" ref="C1359">_xlfn.XLOOKUP(
 B1359,
 tblTargets[TargetID],
 tblTargets[DisplayName],
 ""
)</f>
        <v>Culinary Battle Finished</v>
      </c>
      <c r="D1359" s="49" t="str">
        <f t="array" ref="D1359">_xlfn.XLOOKUP(
 B1359,
 tblTargets[TargetID],
 tblTargets[TargetType],
 ""
)</f>
        <v>QUEST</v>
      </c>
      <c r="E1359" s="49" t="s">
        <v>2887</v>
      </c>
      <c r="F1359" s="49">
        <v>1.0</v>
      </c>
      <c r="G1359" s="49">
        <f t="array" ref="G1359">_xlfn.XLOOKUP(
 A1359,
 tblCost[RequirementID],
 tblCost[QuantityRequired],
 ""
)</f>
        <v>2</v>
      </c>
      <c r="H1359" s="49">
        <f t="array" ref="H1359">IF(
 OR(
  LEFT(B1359,15)="state.character",
  RIGHT(B1359,6)=".maxed"
 ),
 0,
 LET(
  sort,
   _xlfn.XLOOKUP(
    B1359,
    tblChecklist[TargetID],
    tblChecklist[PlayerSort],
    0
   ),
  IF(sort=0,500,sort)
 )
)</f>
        <v>500</v>
      </c>
      <c r="I1359" s="49" t="str">
        <f t="array" ref="I1359">_xlfn.XLOOKUP(
 B1359,
 tblTargetStatus[TargetID],
 tblTargetStatus[Status],
 ""
)</f>
        <v>BLOCKED</v>
      </c>
      <c r="J1359" s="45" t="b">
        <v>0</v>
      </c>
    </row>
    <row r="1360" ht="14.25" hidden="1" customHeight="1">
      <c r="A1360" s="49" t="s">
        <v>3307</v>
      </c>
      <c r="B1360" s="49" t="str">
        <f>IFERROR(__xludf.DUMMYFUNCTION("REGEXREPLACE(
 REGEXREPLACE(A1360,""^cost\."",""""),
 ""\.[^.]+\.[^.]+$"",
 """"
)"),"quest.festival_of_beans.finished")</f>
        <v>quest.festival_of_beans.finished</v>
      </c>
      <c r="C1360" s="49" t="str">
        <f t="array" ref="C1360">_xlfn.XLOOKUP(
 B1360,
 tblTargets[TargetID],
 tblTargets[DisplayName],
 ""
)</f>
        <v>Festival of Beans Finished</v>
      </c>
      <c r="D1360" s="49" t="str">
        <f t="array" ref="D1360">_xlfn.XLOOKUP(
 B1360,
 tblTargets[TargetID],
 tblTargets[TargetType],
 ""
)</f>
        <v>QUEST</v>
      </c>
      <c r="E1360" s="49" t="s">
        <v>3099</v>
      </c>
      <c r="F1360" s="49">
        <v>1.0</v>
      </c>
      <c r="G1360" s="49">
        <f t="array" ref="G1360">_xlfn.XLOOKUP(
 A1360,
 tblCost[RequirementID],
 tblCost[QuantityRequired],
 ""
)</f>
        <v>20</v>
      </c>
      <c r="H1360" s="49">
        <f t="array" ref="H1360">IF(
 OR(
  LEFT(B1360,15)="state.character",
  RIGHT(B1360,6)=".maxed"
 ),
 0,
 LET(
  sort,
   _xlfn.XLOOKUP(
    B1360,
    tblChecklist[TargetID],
    tblChecklist[PlayerSort],
    0
   ),
  IF(sort=0,500,sort)
 )
)</f>
        <v>500</v>
      </c>
      <c r="I1360" s="49" t="str">
        <f t="array" ref="I1360">_xlfn.XLOOKUP(
 B1360,
 tblTargetStatus[TargetID],
 tblTargetStatus[Status],
 ""
)</f>
        <v>BLOCKED</v>
      </c>
      <c r="J1360" s="45" t="b">
        <v>0</v>
      </c>
    </row>
    <row r="1361" ht="14.25" hidden="1" customHeight="1">
      <c r="A1361" s="49" t="s">
        <v>3310</v>
      </c>
      <c r="B1361" s="49" t="str">
        <f>IFERROR(__xludf.DUMMYFUNCTION("REGEXREPLACE(
 REGEXREPLACE(A1361,""^cost\."",""""),
 ""\.[^.]+\.[^.]+$"",
 """"
)"),"quest.festival_of_beans.finished")</f>
        <v>quest.festival_of_beans.finished</v>
      </c>
      <c r="C1361" s="49" t="str">
        <f t="array" ref="C1361">_xlfn.XLOOKUP(
 B1361,
 tblTargets[TargetID],
 tblTargets[DisplayName],
 ""
)</f>
        <v>Festival of Beans Finished</v>
      </c>
      <c r="D1361" s="49" t="str">
        <f t="array" ref="D1361">_xlfn.XLOOKUP(
 B1361,
 tblTargets[TargetID],
 tblTargets[TargetType],
 ""
)</f>
        <v>QUEST</v>
      </c>
      <c r="E1361" s="49" t="s">
        <v>2404</v>
      </c>
      <c r="F1361" s="49">
        <v>1.0</v>
      </c>
      <c r="G1361" s="49">
        <f t="array" ref="G1361">_xlfn.XLOOKUP(
 A1361,
 tblCost[RequirementID],
 tblCost[QuantityRequired],
 ""
)</f>
        <v>10</v>
      </c>
      <c r="H1361" s="49">
        <f t="array" ref="H1361">IF(
 OR(
  LEFT(B1361,15)="state.character",
  RIGHT(B1361,6)=".maxed"
 ),
 0,
 LET(
  sort,
   _xlfn.XLOOKUP(
    B1361,
    tblChecklist[TargetID],
    tblChecklist[PlayerSort],
    0
   ),
  IF(sort=0,500,sort)
 )
)</f>
        <v>500</v>
      </c>
      <c r="I1361" s="49" t="str">
        <f t="array" ref="I1361">_xlfn.XLOOKUP(
 B1361,
 tblTargetStatus[TargetID],
 tblTargetStatus[Status],
 ""
)</f>
        <v>BLOCKED</v>
      </c>
      <c r="J1361" s="45" t="b">
        <v>0</v>
      </c>
    </row>
    <row r="1362" ht="14.25" hidden="1" customHeight="1">
      <c r="A1362" s="49" t="s">
        <v>3312</v>
      </c>
      <c r="B1362" s="49" t="str">
        <f>IFERROR(__xludf.DUMMYFUNCTION("REGEXREPLACE(
 REGEXREPLACE(A1362,""^cost\."",""""),
 ""\.[^.]+\.[^.]+$"",
 """"
)"),"quest.festival_of_beans.finished")</f>
        <v>quest.festival_of_beans.finished</v>
      </c>
      <c r="C1362" s="49" t="str">
        <f t="array" ref="C1362">_xlfn.XLOOKUP(
 B1362,
 tblTargets[TargetID],
 tblTargets[DisplayName],
 ""
)</f>
        <v>Festival of Beans Finished</v>
      </c>
      <c r="D1362" s="49" t="str">
        <f t="array" ref="D1362">_xlfn.XLOOKUP(
 B1362,
 tblTargets[TargetID],
 tblTargets[TargetType],
 ""
)</f>
        <v>QUEST</v>
      </c>
      <c r="E1362" s="49" t="s">
        <v>2251</v>
      </c>
      <c r="F1362" s="49">
        <v>1.0</v>
      </c>
      <c r="G1362" s="49">
        <f t="array" ref="G1362">_xlfn.XLOOKUP(
 A1362,
 tblCost[RequirementID],
 tblCost[QuantityRequired],
 ""
)</f>
        <v>10</v>
      </c>
      <c r="H1362" s="49">
        <f t="array" ref="H1362">IF(
 OR(
  LEFT(B1362,15)="state.character",
  RIGHT(B1362,6)=".maxed"
 ),
 0,
 LET(
  sort,
   _xlfn.XLOOKUP(
    B1362,
    tblChecklist[TargetID],
    tblChecklist[PlayerSort],
    0
   ),
  IF(sort=0,500,sort)
 )
)</f>
        <v>500</v>
      </c>
      <c r="I1362" s="49" t="str">
        <f t="array" ref="I1362">_xlfn.XLOOKUP(
 B1362,
 tblTargetStatus[TargetID],
 tblTargetStatus[Status],
 ""
)</f>
        <v>BLOCKED</v>
      </c>
      <c r="J1362" s="45" t="b">
        <v>0</v>
      </c>
    </row>
    <row r="1363" ht="14.25" hidden="1" customHeight="1">
      <c r="A1363" s="49" t="s">
        <v>3314</v>
      </c>
      <c r="B1363" s="49" t="str">
        <f>IFERROR(__xludf.DUMMYFUNCTION("REGEXREPLACE(
 REGEXREPLACE(A1363,""^cost\."",""""),
 ""\.[^.]+\.[^.]+$"",
 """"
)"),"quest.festival_of_beans.finished")</f>
        <v>quest.festival_of_beans.finished</v>
      </c>
      <c r="C1363" s="49" t="str">
        <f t="array" ref="C1363">_xlfn.XLOOKUP(
 B1363,
 tblTargets[TargetID],
 tblTargets[DisplayName],
 ""
)</f>
        <v>Festival of Beans Finished</v>
      </c>
      <c r="D1363" s="49" t="str">
        <f t="array" ref="D1363">_xlfn.XLOOKUP(
 B1363,
 tblTargets[TargetID],
 tblTargets[TargetType],
 ""
)</f>
        <v>QUEST</v>
      </c>
      <c r="E1363" s="49" t="s">
        <v>2083</v>
      </c>
      <c r="F1363" s="49">
        <v>1.0</v>
      </c>
      <c r="G1363" s="49">
        <f t="array" ref="G1363">_xlfn.XLOOKUP(
 A1363,
 tblCost[RequirementID],
 tblCost[QuantityRequired],
 ""
)</f>
        <v>10</v>
      </c>
      <c r="H1363" s="49">
        <f t="array" ref="H1363">IF(
 OR(
  LEFT(B1363,15)="state.character",
  RIGHT(B1363,6)=".maxed"
 ),
 0,
 LET(
  sort,
   _xlfn.XLOOKUP(
    B1363,
    tblChecklist[TargetID],
    tblChecklist[PlayerSort],
    0
   ),
  IF(sort=0,500,sort)
 )
)</f>
        <v>500</v>
      </c>
      <c r="I1363" s="49" t="str">
        <f t="array" ref="I1363">_xlfn.XLOOKUP(
 B1363,
 tblTargetStatus[TargetID],
 tblTargetStatus[Status],
 ""
)</f>
        <v>BLOCKED</v>
      </c>
      <c r="J1363" s="45" t="b">
        <v>0</v>
      </c>
    </row>
    <row r="1364" ht="14.25" hidden="1" customHeight="1">
      <c r="A1364" s="49" t="s">
        <v>3316</v>
      </c>
      <c r="B1364" s="49" t="str">
        <f>IFERROR(__xludf.DUMMYFUNCTION("REGEXREPLACE(
 REGEXREPLACE(A1364,""^cost\."",""""),
 ""\.[^.]+\.[^.]+$"",
 """"
)"),"quest.festival_of_beans.finished")</f>
        <v>quest.festival_of_beans.finished</v>
      </c>
      <c r="C1364" s="49" t="str">
        <f t="array" ref="C1364">_xlfn.XLOOKUP(
 B1364,
 tblTargets[TargetID],
 tblTargets[DisplayName],
 ""
)</f>
        <v>Festival of Beans Finished</v>
      </c>
      <c r="D1364" s="49" t="str">
        <f t="array" ref="D1364">_xlfn.XLOOKUP(
 B1364,
 tblTargets[TargetID],
 tblTargets[TargetType],
 ""
)</f>
        <v>QUEST</v>
      </c>
      <c r="E1364" s="49" t="s">
        <v>3317</v>
      </c>
      <c r="F1364" s="49">
        <v>1.0</v>
      </c>
      <c r="G1364" s="49">
        <f t="array" ref="G1364">_xlfn.XLOOKUP(
 A1364,
 tblCost[RequirementID],
 tblCost[QuantityRequired],
 ""
)</f>
        <v>10</v>
      </c>
      <c r="H1364" s="49">
        <f t="array" ref="H1364">IF(
 OR(
  LEFT(B1364,15)="state.character",
  RIGHT(B1364,6)=".maxed"
 ),
 0,
 LET(
  sort,
   _xlfn.XLOOKUP(
    B1364,
    tblChecklist[TargetID],
    tblChecklist[PlayerSort],
    0
   ),
  IF(sort=0,500,sort)
 )
)</f>
        <v>500</v>
      </c>
      <c r="I1364" s="49" t="str">
        <f t="array" ref="I1364">_xlfn.XLOOKUP(
 B1364,
 tblTargetStatus[TargetID],
 tblTargetStatus[Status],
 ""
)</f>
        <v>BLOCKED</v>
      </c>
      <c r="J1364" s="45" t="b">
        <v>0</v>
      </c>
    </row>
    <row r="1365" ht="14.25" hidden="1" customHeight="1">
      <c r="A1365" s="49" t="s">
        <v>3319</v>
      </c>
      <c r="B1365" s="49" t="str">
        <f>IFERROR(__xludf.DUMMYFUNCTION("REGEXREPLACE(
 REGEXREPLACE(A1365,""^cost\."",""""),
 ""\.[^.]+\.[^.]+$"",
 """"
)"),"quest.festival_of_beans.finished")</f>
        <v>quest.festival_of_beans.finished</v>
      </c>
      <c r="C1365" s="49" t="str">
        <f t="array" ref="C1365">_xlfn.XLOOKUP(
 B1365,
 tblTargets[TargetID],
 tblTargets[DisplayName],
 ""
)</f>
        <v>Festival of Beans Finished</v>
      </c>
      <c r="D1365" s="49" t="str">
        <f t="array" ref="D1365">_xlfn.XLOOKUP(
 B1365,
 tblTargets[TargetID],
 tblTargets[TargetType],
 ""
)</f>
        <v>QUEST</v>
      </c>
      <c r="E1365" s="49" t="s">
        <v>3320</v>
      </c>
      <c r="F1365" s="49">
        <v>1.0</v>
      </c>
      <c r="G1365" s="49">
        <f t="array" ref="G1365">_xlfn.XLOOKUP(
 A1365,
 tblCost[RequirementID],
 tblCost[QuantityRequired],
 ""
)</f>
        <v>10</v>
      </c>
      <c r="H1365" s="49">
        <f t="array" ref="H1365">IF(
 OR(
  LEFT(B1365,15)="state.character",
  RIGHT(B1365,6)=".maxed"
 ),
 0,
 LET(
  sort,
   _xlfn.XLOOKUP(
    B1365,
    tblChecklist[TargetID],
    tblChecklist[PlayerSort],
    0
   ),
  IF(sort=0,500,sort)
 )
)</f>
        <v>500</v>
      </c>
      <c r="I1365" s="49" t="str">
        <f t="array" ref="I1365">_xlfn.XLOOKUP(
 B1365,
 tblTargetStatus[TargetID],
 tblTargetStatus[Status],
 ""
)</f>
        <v>BLOCKED</v>
      </c>
      <c r="J1365" s="45" t="b">
        <v>0</v>
      </c>
    </row>
    <row r="1366" ht="14.25" hidden="1" customHeight="1">
      <c r="A1366" s="49" t="s">
        <v>3322</v>
      </c>
      <c r="B1366" s="49" t="str">
        <f>IFERROR(__xludf.DUMMYFUNCTION("REGEXREPLACE(
 REGEXREPLACE(A1366,""^cost\."",""""),
 ""\.[^.]+\.[^.]+$"",
 """"
)"),"quest.festival_of_beans.finished")</f>
        <v>quest.festival_of_beans.finished</v>
      </c>
      <c r="C1366" s="49" t="str">
        <f t="array" ref="C1366">_xlfn.XLOOKUP(
 B1366,
 tblTargets[TargetID],
 tblTargets[DisplayName],
 ""
)</f>
        <v>Festival of Beans Finished</v>
      </c>
      <c r="D1366" s="49" t="str">
        <f t="array" ref="D1366">_xlfn.XLOOKUP(
 B1366,
 tblTargets[TargetID],
 tblTargets[TargetType],
 ""
)</f>
        <v>QUEST</v>
      </c>
      <c r="E1366" s="49" t="s">
        <v>711</v>
      </c>
      <c r="F1366" s="49">
        <v>1.0</v>
      </c>
      <c r="G1366" s="49">
        <f t="array" ref="G1366">_xlfn.XLOOKUP(
 A1366,
 tblCost[RequirementID],
 tblCost[QuantityRequired],
 ""
)</f>
        <v>10</v>
      </c>
      <c r="H1366" s="49">
        <f t="array" ref="H1366">IF(
 OR(
  LEFT(B1366,15)="state.character",
  RIGHT(B1366,6)=".maxed"
 ),
 0,
 LET(
  sort,
   _xlfn.XLOOKUP(
    B1366,
    tblChecklist[TargetID],
    tblChecklist[PlayerSort],
    0
   ),
  IF(sort=0,500,sort)
 )
)</f>
        <v>500</v>
      </c>
      <c r="I1366" s="49" t="str">
        <f t="array" ref="I1366">_xlfn.XLOOKUP(
 B1366,
 tblTargetStatus[TargetID],
 tblTargetStatus[Status],
 ""
)</f>
        <v>BLOCKED</v>
      </c>
      <c r="J1366" s="45" t="b">
        <v>0</v>
      </c>
    </row>
    <row r="1367" ht="14.25" hidden="1" customHeight="1">
      <c r="A1367" s="49" t="s">
        <v>3324</v>
      </c>
      <c r="B1367" s="49" t="str">
        <f>IFERROR(__xludf.DUMMYFUNCTION("REGEXREPLACE(
 REGEXREPLACE(A1367,""^cost\."",""""),
 ""\.[^.]+\.[^.]+$"",
 """"
)"),"quest.festival_of_beans.finished")</f>
        <v>quest.festival_of_beans.finished</v>
      </c>
      <c r="C1367" s="49" t="str">
        <f t="array" ref="C1367">_xlfn.XLOOKUP(
 B1367,
 tblTargets[TargetID],
 tblTargets[DisplayName],
 ""
)</f>
        <v>Festival of Beans Finished</v>
      </c>
      <c r="D1367" s="49" t="str">
        <f t="array" ref="D1367">_xlfn.XLOOKUP(
 B1367,
 tblTargets[TargetID],
 tblTargets[TargetType],
 ""
)</f>
        <v>QUEST</v>
      </c>
      <c r="E1367" s="49" t="s">
        <v>629</v>
      </c>
      <c r="F1367" s="49">
        <v>1.0</v>
      </c>
      <c r="G1367" s="49">
        <f t="array" ref="G1367">_xlfn.XLOOKUP(
 A1367,
 tblCost[RequirementID],
 tblCost[QuantityRequired],
 ""
)</f>
        <v>100</v>
      </c>
      <c r="H1367" s="49">
        <f t="array" ref="H1367">IF(
 OR(
  LEFT(B1367,15)="state.character",
  RIGHT(B1367,6)=".maxed"
 ),
 0,
 LET(
  sort,
   _xlfn.XLOOKUP(
    B1367,
    tblChecklist[TargetID],
    tblChecklist[PlayerSort],
    0
   ),
  IF(sort=0,500,sort)
 )
)</f>
        <v>500</v>
      </c>
      <c r="I1367" s="49" t="str">
        <f t="array" ref="I1367">_xlfn.XLOOKUP(
 B1367,
 tblTargetStatus[TargetID],
 tblTargetStatus[Status],
 ""
)</f>
        <v>BLOCKED</v>
      </c>
      <c r="J1367" s="45" t="b">
        <v>0</v>
      </c>
    </row>
    <row r="1368" ht="14.25" hidden="1" customHeight="1">
      <c r="A1368" s="49" t="s">
        <v>3326</v>
      </c>
      <c r="B1368" s="49" t="str">
        <f>IFERROR(__xludf.DUMMYFUNCTION("REGEXREPLACE(
 REGEXREPLACE(A1368,""^cost\."",""""),
 ""\.[^.]+\.[^.]+$"",
 """"
)"),"quest.festival_of_beans.finished")</f>
        <v>quest.festival_of_beans.finished</v>
      </c>
      <c r="C1368" s="49" t="str">
        <f t="array" ref="C1368">_xlfn.XLOOKUP(
 B1368,
 tblTargets[TargetID],
 tblTargets[DisplayName],
 ""
)</f>
        <v>Festival of Beans Finished</v>
      </c>
      <c r="D1368" s="49" t="str">
        <f t="array" ref="D1368">_xlfn.XLOOKUP(
 B1368,
 tblTargets[TargetID],
 tblTargets[TargetType],
 ""
)</f>
        <v>QUEST</v>
      </c>
      <c r="E1368" s="49" t="s">
        <v>405</v>
      </c>
      <c r="F1368" s="49">
        <v>1.0</v>
      </c>
      <c r="G1368" s="49">
        <f t="array" ref="G1368">_xlfn.XLOOKUP(
 A1368,
 tblCost[RequirementID],
 tblCost[QuantityRequired],
 ""
)</f>
        <v>10</v>
      </c>
      <c r="H1368" s="49">
        <f t="array" ref="H1368">IF(
 OR(
  LEFT(B1368,15)="state.character",
  RIGHT(B1368,6)=".maxed"
 ),
 0,
 LET(
  sort,
   _xlfn.XLOOKUP(
    B1368,
    tblChecklist[TargetID],
    tblChecklist[PlayerSort],
    0
   ),
  IF(sort=0,500,sort)
 )
)</f>
        <v>500</v>
      </c>
      <c r="I1368" s="49" t="str">
        <f t="array" ref="I1368">_xlfn.XLOOKUP(
 B1368,
 tblTargetStatus[TargetID],
 tblTargetStatus[Status],
 ""
)</f>
        <v>BLOCKED</v>
      </c>
      <c r="J1368" s="45" t="b">
        <v>0</v>
      </c>
    </row>
    <row r="1369" ht="14.25" hidden="1" customHeight="1">
      <c r="A1369" s="49" t="s">
        <v>3328</v>
      </c>
      <c r="B1369" s="49" t="str">
        <f>IFERROR(__xludf.DUMMYFUNCTION("REGEXREPLACE(
 REGEXREPLACE(A1369,""^cost\."",""""),
 ""\.[^.]+\.[^.]+$"",
 """"
)"),"quest.festival_of_beans.finished")</f>
        <v>quest.festival_of_beans.finished</v>
      </c>
      <c r="C1369" s="49" t="str">
        <f t="array" ref="C1369">_xlfn.XLOOKUP(
 B1369,
 tblTargets[TargetID],
 tblTargets[DisplayName],
 ""
)</f>
        <v>Festival of Beans Finished</v>
      </c>
      <c r="D1369" s="49" t="str">
        <f t="array" ref="D1369">_xlfn.XLOOKUP(
 B1369,
 tblTargets[TargetID],
 tblTargets[TargetType],
 ""
)</f>
        <v>QUEST</v>
      </c>
      <c r="E1369" s="49" t="s">
        <v>3225</v>
      </c>
      <c r="F1369" s="49">
        <v>1.0</v>
      </c>
      <c r="G1369" s="49">
        <f t="array" ref="G1369">_xlfn.XLOOKUP(
 A1369,
 tblCost[RequirementID],
 tblCost[QuantityRequired],
 ""
)</f>
        <v>10</v>
      </c>
      <c r="H1369" s="49">
        <f t="array" ref="H1369">IF(
 OR(
  LEFT(B1369,15)="state.character",
  RIGHT(B1369,6)=".maxed"
 ),
 0,
 LET(
  sort,
   _xlfn.XLOOKUP(
    B1369,
    tblChecklist[TargetID],
    tblChecklist[PlayerSort],
    0
   ),
  IF(sort=0,500,sort)
 )
)</f>
        <v>500</v>
      </c>
      <c r="I1369" s="49" t="str">
        <f t="array" ref="I1369">_xlfn.XLOOKUP(
 B1369,
 tblTargetStatus[TargetID],
 tblTargetStatus[Status],
 ""
)</f>
        <v>BLOCKED</v>
      </c>
      <c r="J1369" s="45" t="b">
        <v>0</v>
      </c>
    </row>
    <row r="1370" ht="14.25" hidden="1" customHeight="1">
      <c r="A1370" s="49" t="s">
        <v>3331</v>
      </c>
      <c r="B1370" s="49" t="str">
        <f>IFERROR(__xludf.DUMMYFUNCTION("REGEXREPLACE(
 REGEXREPLACE(A1370,""^cost\."",""""),
 ""\.[^.]+\.[^.]+$"",
 """"
)"),"quest.festival_of_beans.finished")</f>
        <v>quest.festival_of_beans.finished</v>
      </c>
      <c r="C1370" s="49" t="str">
        <f t="array" ref="C1370">_xlfn.XLOOKUP(
 B1370,
 tblTargets[TargetID],
 tblTargets[DisplayName],
 ""
)</f>
        <v>Festival of Beans Finished</v>
      </c>
      <c r="D1370" s="49" t="str">
        <f t="array" ref="D1370">_xlfn.XLOOKUP(
 B1370,
 tblTargets[TargetID],
 tblTargets[TargetType],
 ""
)</f>
        <v>QUEST</v>
      </c>
      <c r="E1370" s="49" t="s">
        <v>3268</v>
      </c>
      <c r="F1370" s="49">
        <v>1.0</v>
      </c>
      <c r="G1370" s="49">
        <f t="array" ref="G1370">_xlfn.XLOOKUP(
 A1370,
 tblCost[RequirementID],
 tblCost[QuantityRequired],
 ""
)</f>
        <v>10</v>
      </c>
      <c r="H1370" s="49">
        <f t="array" ref="H1370">IF(
 OR(
  LEFT(B1370,15)="state.character",
  RIGHT(B1370,6)=".maxed"
 ),
 0,
 LET(
  sort,
   _xlfn.XLOOKUP(
    B1370,
    tblChecklist[TargetID],
    tblChecklist[PlayerSort],
    0
   ),
  IF(sort=0,500,sort)
 )
)</f>
        <v>500</v>
      </c>
      <c r="I1370" s="49" t="str">
        <f t="array" ref="I1370">_xlfn.XLOOKUP(
 B1370,
 tblTargetStatus[TargetID],
 tblTargetStatus[Status],
 ""
)</f>
        <v>BLOCKED</v>
      </c>
      <c r="J1370" s="45" t="b">
        <v>0</v>
      </c>
    </row>
    <row r="1371" ht="14.25" hidden="1" customHeight="1">
      <c r="A1371" s="49" t="s">
        <v>3333</v>
      </c>
      <c r="B1371" s="49" t="str">
        <f>IFERROR(__xludf.DUMMYFUNCTION("REGEXREPLACE(
 REGEXREPLACE(A1371,""^cost\."",""""),
 ""\.[^.]+\.[^.]+$"",
 """"
)"),"quest.festival_returns.finished")</f>
        <v>quest.festival_returns.finished</v>
      </c>
      <c r="C1371" s="49" t="str">
        <f t="array" ref="C1371">_xlfn.XLOOKUP(
 B1371,
 tblTargets[TargetID],
 tblTargets[DisplayName],
 ""
)</f>
        <v>Festival Returns Finished</v>
      </c>
      <c r="D1371" s="49" t="str">
        <f t="array" ref="D1371">_xlfn.XLOOKUP(
 B1371,
 tblTargets[TargetID],
 tblTargets[TargetType],
 ""
)</f>
        <v>QUEST</v>
      </c>
      <c r="E1371" s="49" t="s">
        <v>3272</v>
      </c>
      <c r="F1371" s="49">
        <v>1.0</v>
      </c>
      <c r="G1371" s="49">
        <f t="array" ref="G1371">_xlfn.XLOOKUP(
 A1371,
 tblCost[RequirementID],
 tblCost[QuantityRequired],
 ""
)</f>
        <v>20</v>
      </c>
      <c r="H1371" s="49">
        <f t="array" ref="H1371">IF(
 OR(
  LEFT(B1371,15)="state.character",
  RIGHT(B1371,6)=".maxed"
 ),
 0,
 LET(
  sort,
   _xlfn.XLOOKUP(
    B1371,
    tblChecklist[TargetID],
    tblChecklist[PlayerSort],
    0
   ),
  IF(sort=0,500,sort)
 )
)</f>
        <v>500</v>
      </c>
      <c r="I1371" s="49" t="str">
        <f t="array" ref="I1371">_xlfn.XLOOKUP(
 B1371,
 tblTargetStatus[TargetID],
 tblTargetStatus[Status],
 ""
)</f>
        <v>BLOCKED</v>
      </c>
      <c r="J1371" s="45" t="b">
        <v>0</v>
      </c>
    </row>
    <row r="1372" ht="14.25" hidden="1" customHeight="1">
      <c r="A1372" s="49" t="s">
        <v>3335</v>
      </c>
      <c r="B1372" s="49" t="str">
        <f>IFERROR(__xludf.DUMMYFUNCTION("REGEXREPLACE(
 REGEXREPLACE(A1372,""^cost\."",""""),
 ""\.[^.]+\.[^.]+$"",
 """"
)"),"quest.festival_returns.finished")</f>
        <v>quest.festival_returns.finished</v>
      </c>
      <c r="C1372" s="49" t="str">
        <f t="array" ref="C1372">_xlfn.XLOOKUP(
 B1372,
 tblTargets[TargetID],
 tblTargets[DisplayName],
 ""
)</f>
        <v>Festival Returns Finished</v>
      </c>
      <c r="D1372" s="49" t="str">
        <f t="array" ref="D1372">_xlfn.XLOOKUP(
 B1372,
 tblTargets[TargetID],
 tblTargets[TargetType],
 ""
)</f>
        <v>QUEST</v>
      </c>
      <c r="E1372" s="49" t="s">
        <v>554</v>
      </c>
      <c r="F1372" s="49">
        <v>1.0</v>
      </c>
      <c r="G1372" s="49">
        <f t="array" ref="G1372">_xlfn.XLOOKUP(
 A1372,
 tblCost[RequirementID],
 tblCost[QuantityRequired],
 ""
)</f>
        <v>10</v>
      </c>
      <c r="H1372" s="49">
        <f t="array" ref="H1372">IF(
 OR(
  LEFT(B1372,15)="state.character",
  RIGHT(B1372,6)=".maxed"
 ),
 0,
 LET(
  sort,
   _xlfn.XLOOKUP(
    B1372,
    tblChecklist[TargetID],
    tblChecklist[PlayerSort],
    0
   ),
  IF(sort=0,500,sort)
 )
)</f>
        <v>500</v>
      </c>
      <c r="I1372" s="49" t="str">
        <f t="array" ref="I1372">_xlfn.XLOOKUP(
 B1372,
 tblTargetStatus[TargetID],
 tblTargetStatus[Status],
 ""
)</f>
        <v>BLOCKED</v>
      </c>
      <c r="J1372" s="45" t="b">
        <v>0</v>
      </c>
    </row>
    <row r="1373" ht="14.25" hidden="1" customHeight="1">
      <c r="A1373" s="49" t="s">
        <v>3337</v>
      </c>
      <c r="B1373" s="49" t="str">
        <f>IFERROR(__xludf.DUMMYFUNCTION("REGEXREPLACE(
 REGEXREPLACE(A1373,""^cost\."",""""),
 ""\.[^.]+\.[^.]+$"",
 """"
)"),"quest.festival_returns.finished")</f>
        <v>quest.festival_returns.finished</v>
      </c>
      <c r="C1373" s="49" t="str">
        <f t="array" ref="C1373">_xlfn.XLOOKUP(
 B1373,
 tblTargets[TargetID],
 tblTargets[DisplayName],
 ""
)</f>
        <v>Festival Returns Finished</v>
      </c>
      <c r="D1373" s="49" t="str">
        <f t="array" ref="D1373">_xlfn.XLOOKUP(
 B1373,
 tblTargets[TargetID],
 tblTargets[TargetType],
 ""
)</f>
        <v>QUEST</v>
      </c>
      <c r="E1373" s="49" t="s">
        <v>3279</v>
      </c>
      <c r="F1373" s="49">
        <v>1.0</v>
      </c>
      <c r="G1373" s="49">
        <f t="array" ref="G1373">_xlfn.XLOOKUP(
 A1373,
 tblCost[RequirementID],
 tblCost[QuantityRequired],
 ""
)</f>
        <v>10</v>
      </c>
      <c r="H1373" s="49">
        <f t="array" ref="H1373">IF(
 OR(
  LEFT(B1373,15)="state.character",
  RIGHT(B1373,6)=".maxed"
 ),
 0,
 LET(
  sort,
   _xlfn.XLOOKUP(
    B1373,
    tblChecklist[TargetID],
    tblChecklist[PlayerSort],
    0
   ),
  IF(sort=0,500,sort)
 )
)</f>
        <v>500</v>
      </c>
      <c r="I1373" s="49" t="str">
        <f t="array" ref="I1373">_xlfn.XLOOKUP(
 B1373,
 tblTargetStatus[TargetID],
 tblTargetStatus[Status],
 ""
)</f>
        <v>BLOCKED</v>
      </c>
      <c r="J1373" s="45" t="b">
        <v>0</v>
      </c>
    </row>
    <row r="1374" ht="14.25" hidden="1" customHeight="1">
      <c r="A1374" s="49" t="s">
        <v>3339</v>
      </c>
      <c r="B1374" s="49" t="str">
        <f>IFERROR(__xludf.DUMMYFUNCTION("REGEXREPLACE(
 REGEXREPLACE(A1374,""^cost\."",""""),
 ""\.[^.]+\.[^.]+$"",
 """"
)"),"quest.festival_returns.finished")</f>
        <v>quest.festival_returns.finished</v>
      </c>
      <c r="C1374" s="49" t="str">
        <f t="array" ref="C1374">_xlfn.XLOOKUP(
 B1374,
 tblTargets[TargetID],
 tblTargets[DisplayName],
 ""
)</f>
        <v>Festival Returns Finished</v>
      </c>
      <c r="D1374" s="49" t="str">
        <f t="array" ref="D1374">_xlfn.XLOOKUP(
 B1374,
 tblTargets[TargetID],
 tblTargets[TargetType],
 ""
)</f>
        <v>QUEST</v>
      </c>
      <c r="E1374" s="49" t="s">
        <v>1066</v>
      </c>
      <c r="F1374" s="49">
        <v>1.0</v>
      </c>
      <c r="G1374" s="49">
        <f t="array" ref="G1374">_xlfn.XLOOKUP(
 A1374,
 tblCost[RequirementID],
 tblCost[QuantityRequired],
 ""
)</f>
        <v>10</v>
      </c>
      <c r="H1374" s="49">
        <f t="array" ref="H1374">IF(
 OR(
  LEFT(B1374,15)="state.character",
  RIGHT(B1374,6)=".maxed"
 ),
 0,
 LET(
  sort,
   _xlfn.XLOOKUP(
    B1374,
    tblChecklist[TargetID],
    tblChecklist[PlayerSort],
    0
   ),
  IF(sort=0,500,sort)
 )
)</f>
        <v>500</v>
      </c>
      <c r="I1374" s="49" t="str">
        <f t="array" ref="I1374">_xlfn.XLOOKUP(
 B1374,
 tblTargetStatus[TargetID],
 tblTargetStatus[Status],
 ""
)</f>
        <v>BLOCKED</v>
      </c>
      <c r="J1374" s="45" t="b">
        <v>0</v>
      </c>
    </row>
    <row r="1375" ht="14.25" hidden="1" customHeight="1">
      <c r="A1375" s="49" t="s">
        <v>3341</v>
      </c>
      <c r="B1375" s="49" t="str">
        <f>IFERROR(__xludf.DUMMYFUNCTION("REGEXREPLACE(
 REGEXREPLACE(A1375,""^cost\."",""""),
 ""\.[^.]+\.[^.]+$"",
 """"
)"),"quest.festival_returns.finished")</f>
        <v>quest.festival_returns.finished</v>
      </c>
      <c r="C1375" s="49" t="str">
        <f t="array" ref="C1375">_xlfn.XLOOKUP(
 B1375,
 tblTargets[TargetID],
 tblTargets[DisplayName],
 ""
)</f>
        <v>Festival Returns Finished</v>
      </c>
      <c r="D1375" s="49" t="str">
        <f t="array" ref="D1375">_xlfn.XLOOKUP(
 B1375,
 tblTargets[TargetID],
 tblTargets[TargetType],
 ""
)</f>
        <v>QUEST</v>
      </c>
      <c r="E1375" s="49" t="s">
        <v>2404</v>
      </c>
      <c r="F1375" s="49">
        <v>1.0</v>
      </c>
      <c r="G1375" s="49">
        <f t="array" ref="G1375">_xlfn.XLOOKUP(
 A1375,
 tblCost[RequirementID],
 tblCost[QuantityRequired],
 ""
)</f>
        <v>10</v>
      </c>
      <c r="H1375" s="49">
        <f t="array" ref="H1375">IF(
 OR(
  LEFT(B1375,15)="state.character",
  RIGHT(B1375,6)=".maxed"
 ),
 0,
 LET(
  sort,
   _xlfn.XLOOKUP(
    B1375,
    tblChecklist[TargetID],
    tblChecklist[PlayerSort],
    0
   ),
  IF(sort=0,500,sort)
 )
)</f>
        <v>500</v>
      </c>
      <c r="I1375" s="49" t="str">
        <f t="array" ref="I1375">_xlfn.XLOOKUP(
 B1375,
 tblTargetStatus[TargetID],
 tblTargetStatus[Status],
 ""
)</f>
        <v>BLOCKED</v>
      </c>
      <c r="J1375" s="45" t="b">
        <v>0</v>
      </c>
    </row>
    <row r="1376" ht="14.25" hidden="1" customHeight="1">
      <c r="A1376" s="49" t="s">
        <v>3345</v>
      </c>
      <c r="B1376" s="49" t="str">
        <f>IFERROR(__xludf.DUMMYFUNCTION("REGEXREPLACE(
 REGEXREPLACE(A1376,""^cost\."",""""),
 ""\.[^.]+\.[^.]+$"",
 """"
)"),"quest.festival_returns.finished")</f>
        <v>quest.festival_returns.finished</v>
      </c>
      <c r="C1376" s="49" t="str">
        <f t="array" ref="C1376">_xlfn.XLOOKUP(
 B1376,
 tblTargets[TargetID],
 tblTargets[DisplayName],
 ""
)</f>
        <v>Festival Returns Finished</v>
      </c>
      <c r="D1376" s="49" t="str">
        <f t="array" ref="D1376">_xlfn.XLOOKUP(
 B1376,
 tblTargets[TargetID],
 tblTargets[TargetType],
 ""
)</f>
        <v>QUEST</v>
      </c>
      <c r="E1376" s="49" t="s">
        <v>2083</v>
      </c>
      <c r="F1376" s="49">
        <v>1.0</v>
      </c>
      <c r="G1376" s="49">
        <f t="array" ref="G1376">_xlfn.XLOOKUP(
 A1376,
 tblCost[RequirementID],
 tblCost[QuantityRequired],
 ""
)</f>
        <v>10</v>
      </c>
      <c r="H1376" s="49">
        <f t="array" ref="H1376">IF(
 OR(
  LEFT(B1376,15)="state.character",
  RIGHT(B1376,6)=".maxed"
 ),
 0,
 LET(
  sort,
   _xlfn.XLOOKUP(
    B1376,
    tblChecklist[TargetID],
    tblChecklist[PlayerSort],
    0
   ),
  IF(sort=0,500,sort)
 )
)</f>
        <v>500</v>
      </c>
      <c r="I1376" s="49" t="str">
        <f t="array" ref="I1376">_xlfn.XLOOKUP(
 B1376,
 tblTargetStatus[TargetID],
 tblTargetStatus[Status],
 ""
)</f>
        <v>BLOCKED</v>
      </c>
      <c r="J1376" s="45" t="b">
        <v>0</v>
      </c>
    </row>
    <row r="1377" ht="14.25" hidden="1" customHeight="1">
      <c r="A1377" s="49" t="s">
        <v>3347</v>
      </c>
      <c r="B1377" s="49" t="str">
        <f>IFERROR(__xludf.DUMMYFUNCTION("REGEXREPLACE(
 REGEXREPLACE(A1377,""^cost\."",""""),
 ""\.[^.]+\.[^.]+$"",
 """"
)"),"quest.festival_returns.finished")</f>
        <v>quest.festival_returns.finished</v>
      </c>
      <c r="C1377" s="49" t="str">
        <f t="array" ref="C1377">_xlfn.XLOOKUP(
 B1377,
 tblTargets[TargetID],
 tblTargets[DisplayName],
 ""
)</f>
        <v>Festival Returns Finished</v>
      </c>
      <c r="D1377" s="49" t="str">
        <f t="array" ref="D1377">_xlfn.XLOOKUP(
 B1377,
 tblTargets[TargetID],
 tblTargets[TargetType],
 ""
)</f>
        <v>QUEST</v>
      </c>
      <c r="E1377" s="49" t="s">
        <v>3146</v>
      </c>
      <c r="F1377" s="49">
        <v>1.0</v>
      </c>
      <c r="G1377" s="49">
        <f t="array" ref="G1377">_xlfn.XLOOKUP(
 A1377,
 tblCost[RequirementID],
 tblCost[QuantityRequired],
 ""
)</f>
        <v>10</v>
      </c>
      <c r="H1377" s="49">
        <f t="array" ref="H1377">IF(
 OR(
  LEFT(B1377,15)="state.character",
  RIGHT(B1377,6)=".maxed"
 ),
 0,
 LET(
  sort,
   _xlfn.XLOOKUP(
    B1377,
    tblChecklist[TargetID],
    tblChecklist[PlayerSort],
    0
   ),
  IF(sort=0,500,sort)
 )
)</f>
        <v>500</v>
      </c>
      <c r="I1377" s="49" t="str">
        <f t="array" ref="I1377">_xlfn.XLOOKUP(
 B1377,
 tblTargetStatus[TargetID],
 tblTargetStatus[Status],
 ""
)</f>
        <v>BLOCKED</v>
      </c>
      <c r="J1377" s="45" t="b">
        <v>0</v>
      </c>
    </row>
    <row r="1378" ht="14.25" hidden="1" customHeight="1">
      <c r="A1378" s="49" t="s">
        <v>3349</v>
      </c>
      <c r="B1378" s="49" t="str">
        <f>IFERROR(__xludf.DUMMYFUNCTION("REGEXREPLACE(
 REGEXREPLACE(A1378,""^cost\."",""""),
 ""\.[^.]+\.[^.]+$"",
 """"
)"),"quest.festival_returns.finished")</f>
        <v>quest.festival_returns.finished</v>
      </c>
      <c r="C1378" s="49" t="str">
        <f t="array" ref="C1378">_xlfn.XLOOKUP(
 B1378,
 tblTargets[TargetID],
 tblTargets[DisplayName],
 ""
)</f>
        <v>Festival Returns Finished</v>
      </c>
      <c r="D1378" s="49" t="str">
        <f t="array" ref="D1378">_xlfn.XLOOKUP(
 B1378,
 tblTargets[TargetID],
 tblTargets[TargetType],
 ""
)</f>
        <v>QUEST</v>
      </c>
      <c r="E1378" s="49" t="s">
        <v>3299</v>
      </c>
      <c r="F1378" s="49">
        <v>1.0</v>
      </c>
      <c r="G1378" s="49">
        <f t="array" ref="G1378">_xlfn.XLOOKUP(
 A1378,
 tblCost[RequirementID],
 tblCost[QuantityRequired],
 ""
)</f>
        <v>10</v>
      </c>
      <c r="H1378" s="49">
        <f t="array" ref="H1378">IF(
 OR(
  LEFT(B1378,15)="state.character",
  RIGHT(B1378,6)=".maxed"
 ),
 0,
 LET(
  sort,
   _xlfn.XLOOKUP(
    B1378,
    tblChecklist[TargetID],
    tblChecklist[PlayerSort],
    0
   ),
  IF(sort=0,500,sort)
 )
)</f>
        <v>500</v>
      </c>
      <c r="I1378" s="49" t="str">
        <f t="array" ref="I1378">_xlfn.XLOOKUP(
 B1378,
 tblTargetStatus[TargetID],
 tblTargetStatus[Status],
 ""
)</f>
        <v>BLOCKED</v>
      </c>
      <c r="J1378" s="45" t="b">
        <v>0</v>
      </c>
    </row>
    <row r="1379" ht="14.25" hidden="1" customHeight="1">
      <c r="A1379" s="49" t="s">
        <v>3351</v>
      </c>
      <c r="B1379" s="49" t="str">
        <f>IFERROR(__xludf.DUMMYFUNCTION("REGEXREPLACE(
 REGEXREPLACE(A1379,""^cost\."",""""),
 ""\.[^.]+\.[^.]+$"",
 """"
)"),"quest.festival_returns.finished")</f>
        <v>quest.festival_returns.finished</v>
      </c>
      <c r="C1379" s="49" t="str">
        <f t="array" ref="C1379">_xlfn.XLOOKUP(
 B1379,
 tblTargets[TargetID],
 tblTargets[DisplayName],
 ""
)</f>
        <v>Festival Returns Finished</v>
      </c>
      <c r="D1379" s="49" t="str">
        <f t="array" ref="D1379">_xlfn.XLOOKUP(
 B1379,
 tblTargets[TargetID],
 tblTargets[TargetType],
 ""
)</f>
        <v>QUEST</v>
      </c>
      <c r="E1379" s="49" t="s">
        <v>609</v>
      </c>
      <c r="F1379" s="49">
        <v>1.0</v>
      </c>
      <c r="G1379" s="49">
        <f t="array" ref="G1379">_xlfn.XLOOKUP(
 A1379,
 tblCost[RequirementID],
 tblCost[QuantityRequired],
 ""
)</f>
        <v>10</v>
      </c>
      <c r="H1379" s="49">
        <f t="array" ref="H1379">IF(
 OR(
  LEFT(B1379,15)="state.character",
  RIGHT(B1379,6)=".maxed"
 ),
 0,
 LET(
  sort,
   _xlfn.XLOOKUP(
    B1379,
    tblChecklist[TargetID],
    tblChecklist[PlayerSort],
    0
   ),
  IF(sort=0,500,sort)
 )
)</f>
        <v>500</v>
      </c>
      <c r="I1379" s="49" t="str">
        <f t="array" ref="I1379">_xlfn.XLOOKUP(
 B1379,
 tblTargetStatus[TargetID],
 tblTargetStatus[Status],
 ""
)</f>
        <v>BLOCKED</v>
      </c>
      <c r="J1379" s="45" t="b">
        <v>0</v>
      </c>
    </row>
    <row r="1380" ht="14.25" hidden="1" customHeight="1">
      <c r="A1380" s="49" t="s">
        <v>3353</v>
      </c>
      <c r="B1380" s="49" t="str">
        <f>IFERROR(__xludf.DUMMYFUNCTION("REGEXREPLACE(
 REGEXREPLACE(A1380,""^cost\."",""""),
 ""\.[^.]+\.[^.]+$"",
 """"
)"),"quest.festival.finished")</f>
        <v>quest.festival.finished</v>
      </c>
      <c r="C1380" s="49" t="str">
        <f t="array" ref="C1380">_xlfn.XLOOKUP(
 B1380,
 tblTargets[TargetID],
 tblTargets[DisplayName],
 ""
)</f>
        <v>Festival Finished</v>
      </c>
      <c r="D1380" s="49" t="str">
        <f t="array" ref="D1380">_xlfn.XLOOKUP(
 B1380,
 tblTargets[TargetID],
 tblTargets[TargetType],
 ""
)</f>
        <v>QUEST</v>
      </c>
      <c r="E1380" s="49" t="s">
        <v>2864</v>
      </c>
      <c r="F1380" s="49">
        <v>1.0</v>
      </c>
      <c r="G1380" s="49">
        <f t="array" ref="G1380">_xlfn.XLOOKUP(
 A1380,
 tblCost[RequirementID],
 tblCost[QuantityRequired],
 ""
)</f>
        <v>5</v>
      </c>
      <c r="H1380" s="49">
        <f t="array" ref="H1380">IF(
 OR(
  LEFT(B1380,15)="state.character",
  RIGHT(B1380,6)=".maxed"
 ),
 0,
 LET(
  sort,
   _xlfn.XLOOKUP(
    B1380,
    tblChecklist[TargetID],
    tblChecklist[PlayerSort],
    0
   ),
  IF(sort=0,500,sort)
 )
)</f>
        <v>500</v>
      </c>
      <c r="I1380" s="49" t="str">
        <f t="array" ref="I1380">_xlfn.XLOOKUP(
 B1380,
 tblTargetStatus[TargetID],
 tblTargetStatus[Status],
 ""
)</f>
        <v>BLOCKED</v>
      </c>
      <c r="J1380" s="45" t="b">
        <v>0</v>
      </c>
    </row>
    <row r="1381" ht="14.25" hidden="1" customHeight="1">
      <c r="A1381" s="49" t="s">
        <v>3355</v>
      </c>
      <c r="B1381" s="49" t="str">
        <f>IFERROR(__xludf.DUMMYFUNCTION("REGEXREPLACE(
 REGEXREPLACE(A1381,""^cost\."",""""),
 ""\.[^.]+\.[^.]+$"",
 """"
)"),"quest.festival.finished")</f>
        <v>quest.festival.finished</v>
      </c>
      <c r="C1381" s="49" t="str">
        <f t="array" ref="C1381">_xlfn.XLOOKUP(
 B1381,
 tblTargets[TargetID],
 tblTargets[DisplayName],
 ""
)</f>
        <v>Festival Finished</v>
      </c>
      <c r="D1381" s="49" t="str">
        <f t="array" ref="D1381">_xlfn.XLOOKUP(
 B1381,
 tblTargets[TargetID],
 tblTargets[TargetType],
 ""
)</f>
        <v>QUEST</v>
      </c>
      <c r="E1381" s="49" t="s">
        <v>2404</v>
      </c>
      <c r="F1381" s="49">
        <v>1.0</v>
      </c>
      <c r="G1381" s="49">
        <f t="array" ref="G1381">_xlfn.XLOOKUP(
 A1381,
 tblCost[RequirementID],
 tblCost[QuantityRequired],
 ""
)</f>
        <v>10</v>
      </c>
      <c r="H1381" s="49">
        <f t="array" ref="H1381">IF(
 OR(
  LEFT(B1381,15)="state.character",
  RIGHT(B1381,6)=".maxed"
 ),
 0,
 LET(
  sort,
   _xlfn.XLOOKUP(
    B1381,
    tblChecklist[TargetID],
    tblChecklist[PlayerSort],
    0
   ),
  IF(sort=0,500,sort)
 )
)</f>
        <v>500</v>
      </c>
      <c r="I1381" s="49" t="str">
        <f t="array" ref="I1381">_xlfn.XLOOKUP(
 B1381,
 tblTargetStatus[TargetID],
 tblTargetStatus[Status],
 ""
)</f>
        <v>BLOCKED</v>
      </c>
      <c r="J1381" s="45" t="b">
        <v>0</v>
      </c>
    </row>
    <row r="1382" ht="14.25" hidden="1" customHeight="1">
      <c r="A1382" s="49" t="s">
        <v>3357</v>
      </c>
      <c r="B1382" s="49" t="str">
        <f>IFERROR(__xludf.DUMMYFUNCTION("REGEXREPLACE(
 REGEXREPLACE(A1382,""^cost\."",""""),
 ""\.[^.]+\.[^.]+$"",
 """"
)"),"quest.festival.finished")</f>
        <v>quest.festival.finished</v>
      </c>
      <c r="C1382" s="49" t="str">
        <f t="array" ref="C1382">_xlfn.XLOOKUP(
 B1382,
 tblTargets[TargetID],
 tblTargets[DisplayName],
 ""
)</f>
        <v>Festival Finished</v>
      </c>
      <c r="D1382" s="49" t="str">
        <f t="array" ref="D1382">_xlfn.XLOOKUP(
 B1382,
 tblTargets[TargetID],
 tblTargets[TargetType],
 ""
)</f>
        <v>QUEST</v>
      </c>
      <c r="E1382" s="49" t="s">
        <v>2486</v>
      </c>
      <c r="F1382" s="49">
        <v>1.0</v>
      </c>
      <c r="G1382" s="49">
        <f t="array" ref="G1382">_xlfn.XLOOKUP(
 A1382,
 tblCost[RequirementID],
 tblCost[QuantityRequired],
 ""
)</f>
        <v>5</v>
      </c>
      <c r="H1382" s="49">
        <f t="array" ref="H1382">IF(
 OR(
  LEFT(B1382,15)="state.character",
  RIGHT(B1382,6)=".maxed"
 ),
 0,
 LET(
  sort,
   _xlfn.XLOOKUP(
    B1382,
    tblChecklist[TargetID],
    tblChecklist[PlayerSort],
    0
   ),
  IF(sort=0,500,sort)
 )
)</f>
        <v>500</v>
      </c>
      <c r="I1382" s="49" t="str">
        <f t="array" ref="I1382">_xlfn.XLOOKUP(
 B1382,
 tblTargetStatus[TargetID],
 tblTargetStatus[Status],
 ""
)</f>
        <v>BLOCKED</v>
      </c>
      <c r="J1382" s="45" t="b">
        <v>0</v>
      </c>
    </row>
    <row r="1383" ht="14.25" hidden="1" customHeight="1">
      <c r="A1383" s="49" t="s">
        <v>3359</v>
      </c>
      <c r="B1383" s="49" t="str">
        <f>IFERROR(__xludf.DUMMYFUNCTION("REGEXREPLACE(
 REGEXREPLACE(A1383,""^cost\."",""""),
 ""\.[^.]+\.[^.]+$"",
 """"
)"),"quest.festival.finished")</f>
        <v>quest.festival.finished</v>
      </c>
      <c r="C1383" s="49" t="str">
        <f t="array" ref="C1383">_xlfn.XLOOKUP(
 B1383,
 tblTargets[TargetID],
 tblTargets[DisplayName],
 ""
)</f>
        <v>Festival Finished</v>
      </c>
      <c r="D1383" s="49" t="str">
        <f t="array" ref="D1383">_xlfn.XLOOKUP(
 B1383,
 tblTargets[TargetID],
 tblTargets[TargetType],
 ""
)</f>
        <v>QUEST</v>
      </c>
      <c r="E1383" s="49" t="s">
        <v>2083</v>
      </c>
      <c r="F1383" s="49">
        <v>1.0</v>
      </c>
      <c r="G1383" s="49">
        <f t="array" ref="G1383">_xlfn.XLOOKUP(
 A1383,
 tblCost[RequirementID],
 tblCost[QuantityRequired],
 ""
)</f>
        <v>5</v>
      </c>
      <c r="H1383" s="49">
        <f t="array" ref="H1383">IF(
 OR(
  LEFT(B1383,15)="state.character",
  RIGHT(B1383,6)=".maxed"
 ),
 0,
 LET(
  sort,
   _xlfn.XLOOKUP(
    B1383,
    tblChecklist[TargetID],
    tblChecklist[PlayerSort],
    0
   ),
  IF(sort=0,500,sort)
 )
)</f>
        <v>500</v>
      </c>
      <c r="I1383" s="49" t="str">
        <f t="array" ref="I1383">_xlfn.XLOOKUP(
 B1383,
 tblTargetStatus[TargetID],
 tblTargetStatus[Status],
 ""
)</f>
        <v>BLOCKED</v>
      </c>
      <c r="J1383" s="45" t="b">
        <v>0</v>
      </c>
    </row>
    <row r="1384" ht="14.25" hidden="1" customHeight="1">
      <c r="A1384" s="49" t="s">
        <v>3361</v>
      </c>
      <c r="B1384" s="49" t="str">
        <f>IFERROR(__xludf.DUMMYFUNCTION("REGEXREPLACE(
 REGEXREPLACE(A1384,""^cost\."",""""),
 ""\.[^.]+\.[^.]+$"",
 """"
)"),"quest.festival.finished")</f>
        <v>quest.festival.finished</v>
      </c>
      <c r="C1384" s="49" t="str">
        <f t="array" ref="C1384">_xlfn.XLOOKUP(
 B1384,
 tblTargets[TargetID],
 tblTargets[DisplayName],
 ""
)</f>
        <v>Festival Finished</v>
      </c>
      <c r="D1384" s="49" t="str">
        <f t="array" ref="D1384">_xlfn.XLOOKUP(
 B1384,
 tblTargets[TargetID],
 tblTargets[TargetType],
 ""
)</f>
        <v>QUEST</v>
      </c>
      <c r="E1384" s="49" t="s">
        <v>576</v>
      </c>
      <c r="F1384" s="49">
        <v>1.0</v>
      </c>
      <c r="G1384" s="49">
        <f t="array" ref="G1384">_xlfn.XLOOKUP(
 A1384,
 tblCost[RequirementID],
 tblCost[QuantityRequired],
 ""
)</f>
        <v>5</v>
      </c>
      <c r="H1384" s="49">
        <f t="array" ref="H1384">IF(
 OR(
  LEFT(B1384,15)="state.character",
  RIGHT(B1384,6)=".maxed"
 ),
 0,
 LET(
  sort,
   _xlfn.XLOOKUP(
    B1384,
    tblChecklist[TargetID],
    tblChecklist[PlayerSort],
    0
   ),
  IF(sort=0,500,sort)
 )
)</f>
        <v>500</v>
      </c>
      <c r="I1384" s="49" t="str">
        <f t="array" ref="I1384">_xlfn.XLOOKUP(
 B1384,
 tblTargetStatus[TargetID],
 tblTargetStatus[Status],
 ""
)</f>
        <v>BLOCKED</v>
      </c>
      <c r="J1384" s="45" t="b">
        <v>0</v>
      </c>
    </row>
    <row r="1385" ht="14.25" hidden="1" customHeight="1">
      <c r="A1385" s="49" t="s">
        <v>3363</v>
      </c>
      <c r="B1385" s="49" t="str">
        <f>IFERROR(__xludf.DUMMYFUNCTION("REGEXREPLACE(
 REGEXREPLACE(A1385,""^cost\."",""""),
 ""\.[^.]+\.[^.]+$"",
 """"
)"),"quest.festival.finished")</f>
        <v>quest.festival.finished</v>
      </c>
      <c r="C1385" s="49" t="str">
        <f t="array" ref="C1385">_xlfn.XLOOKUP(
 B1385,
 tblTargets[TargetID],
 tblTargets[DisplayName],
 ""
)</f>
        <v>Festival Finished</v>
      </c>
      <c r="D1385" s="49" t="str">
        <f t="array" ref="D1385">_xlfn.XLOOKUP(
 B1385,
 tblTargets[TargetID],
 tblTargets[TargetType],
 ""
)</f>
        <v>QUEST</v>
      </c>
      <c r="E1385" s="49" t="s">
        <v>405</v>
      </c>
      <c r="F1385" s="49">
        <v>1.0</v>
      </c>
      <c r="G1385" s="49">
        <f t="array" ref="G1385">_xlfn.XLOOKUP(
 A1385,
 tblCost[RequirementID],
 tblCost[QuantityRequired],
 ""
)</f>
        <v>10</v>
      </c>
      <c r="H1385" s="49">
        <f t="array" ref="H1385">IF(
 OR(
  LEFT(B1385,15)="state.character",
  RIGHT(B1385,6)=".maxed"
 ),
 0,
 LET(
  sort,
   _xlfn.XLOOKUP(
    B1385,
    tblChecklist[TargetID],
    tblChecklist[PlayerSort],
    0
   ),
  IF(sort=0,500,sort)
 )
)</f>
        <v>500</v>
      </c>
      <c r="I1385" s="49" t="str">
        <f t="array" ref="I1385">_xlfn.XLOOKUP(
 B1385,
 tblTargetStatus[TargetID],
 tblTargetStatus[Status],
 ""
)</f>
        <v>BLOCKED</v>
      </c>
      <c r="J1385" s="45" t="b">
        <v>0</v>
      </c>
    </row>
    <row r="1386" ht="14.25" hidden="1" customHeight="1">
      <c r="A1386" s="49" t="s">
        <v>3365</v>
      </c>
      <c r="B1386" s="49" t="str">
        <f>IFERROR(__xludf.DUMMYFUNCTION("REGEXREPLACE(
 REGEXREPLACE(A1386,""^cost\."",""""),
 ""\.[^.]+\.[^.]+$"",
 """"
)"),"quest.green_potion.finished")</f>
        <v>quest.green_potion.finished</v>
      </c>
      <c r="C1386" s="49" t="str">
        <f t="array" ref="C1386">_xlfn.XLOOKUP(
 B1386,
 tblTargets[TargetID],
 tblTargets[DisplayName],
 ""
)</f>
        <v>Green Potion Finished</v>
      </c>
      <c r="D1386" s="49" t="str">
        <f t="array" ref="D1386">_xlfn.XLOOKUP(
 B1386,
 tblTargets[TargetID],
 tblTargets[TargetType],
 ""
)</f>
        <v>QUEST</v>
      </c>
      <c r="E1386" s="49" t="s">
        <v>140</v>
      </c>
      <c r="F1386" s="49">
        <v>1.0</v>
      </c>
      <c r="G1386" s="49">
        <f t="array" ref="G1386">_xlfn.XLOOKUP(
 A1386,
 tblCost[RequirementID],
 tblCost[QuantityRequired],
 ""
)</f>
        <v>2</v>
      </c>
      <c r="H1386" s="49">
        <f t="array" ref="H1386">IF(
 OR(
  LEFT(B1386,15)="state.character",
  RIGHT(B1386,6)=".maxed"
 ),
 0,
 LET(
  sort,
   _xlfn.XLOOKUP(
    B1386,
    tblChecklist[TargetID],
    tblChecklist[PlayerSort],
    0
   ),
  IF(sort=0,500,sort)
 )
)</f>
        <v>500</v>
      </c>
      <c r="I1386" s="49" t="str">
        <f t="array" ref="I1386">_xlfn.XLOOKUP(
 B1386,
 tblTargetStatus[TargetID],
 tblTargetStatus[Status],
 ""
)</f>
        <v>BLOCKED</v>
      </c>
      <c r="J1386" s="45" t="b">
        <v>0</v>
      </c>
    </row>
    <row r="1387" ht="14.25" hidden="1" customHeight="1">
      <c r="A1387" s="49" t="s">
        <v>3367</v>
      </c>
      <c r="B1387" s="49" t="str">
        <f>IFERROR(__xludf.DUMMYFUNCTION("REGEXREPLACE(
 REGEXREPLACE(A1387,""^cost\."",""""),
 ""\.[^.]+\.[^.]+$"",
 """"
)"),"quest.magic_beans.finished")</f>
        <v>quest.magic_beans.finished</v>
      </c>
      <c r="C1387" s="49" t="str">
        <f t="array" ref="C1387">_xlfn.XLOOKUP(
 B1387,
 tblTargets[TargetID],
 tblTargets[DisplayName],
 ""
)</f>
        <v>Magic Beans Finished</v>
      </c>
      <c r="D1387" s="49" t="str">
        <f t="array" ref="D1387">_xlfn.XLOOKUP(
 B1387,
 tblTargets[TargetID],
 tblTargets[TargetType],
 ""
)</f>
        <v>QUEST</v>
      </c>
      <c r="E1387" s="49" t="s">
        <v>2251</v>
      </c>
      <c r="F1387" s="49">
        <v>1.0</v>
      </c>
      <c r="G1387" s="49">
        <f t="array" ref="G1387">_xlfn.XLOOKUP(
 A1387,
 tblCost[RequirementID],
 tblCost[QuantityRequired],
 ""
)</f>
        <v>1</v>
      </c>
      <c r="H1387" s="49">
        <f t="array" ref="H1387">IF(
 OR(
  LEFT(B1387,15)="state.character",
  RIGHT(B1387,6)=".maxed"
 ),
 0,
 LET(
  sort,
   _xlfn.XLOOKUP(
    B1387,
    tblChecklist[TargetID],
    tblChecklist[PlayerSort],
    0
   ),
  IF(sort=0,500,sort)
 )
)</f>
        <v>500</v>
      </c>
      <c r="I1387" s="49" t="str">
        <f t="array" ref="I1387">_xlfn.XLOOKUP(
 B1387,
 tblTargetStatus[TargetID],
 tblTargetStatus[Status],
 ""
)</f>
        <v>BLOCKED</v>
      </c>
      <c r="J1387" s="45" t="b">
        <v>0</v>
      </c>
    </row>
    <row r="1388" ht="14.25" hidden="1" customHeight="1">
      <c r="A1388" s="49" t="s">
        <v>3368</v>
      </c>
      <c r="B1388" s="49" t="str">
        <f>IFERROR(__xludf.DUMMYFUNCTION("REGEXREPLACE(
 REGEXREPLACE(A1388,""^cost\."",""""),
 ""\.[^.]+\.[^.]+$"",
 """"
)"),"quest.magic_beans.finished")</f>
        <v>quest.magic_beans.finished</v>
      </c>
      <c r="C1388" s="49" t="str">
        <f t="array" ref="C1388">_xlfn.XLOOKUP(
 B1388,
 tblTargets[TargetID],
 tblTargets[DisplayName],
 ""
)</f>
        <v>Magic Beans Finished</v>
      </c>
      <c r="D1388" s="49" t="str">
        <f t="array" ref="D1388">_xlfn.XLOOKUP(
 B1388,
 tblTargets[TargetID],
 tblTargets[TargetType],
 ""
)</f>
        <v>QUEST</v>
      </c>
      <c r="E1388" s="49" t="s">
        <v>2887</v>
      </c>
      <c r="F1388" s="49">
        <v>1.0</v>
      </c>
      <c r="G1388" s="49">
        <f t="array" ref="G1388">_xlfn.XLOOKUP(
 A1388,
 tblCost[RequirementID],
 tblCost[QuantityRequired],
 ""
)</f>
        <v>1</v>
      </c>
      <c r="H1388" s="49">
        <f t="array" ref="H1388">IF(
 OR(
  LEFT(B1388,15)="state.character",
  RIGHT(B1388,6)=".maxed"
 ),
 0,
 LET(
  sort,
   _xlfn.XLOOKUP(
    B1388,
    tblChecklist[TargetID],
    tblChecklist[PlayerSort],
    0
   ),
  IF(sort=0,500,sort)
 )
)</f>
        <v>500</v>
      </c>
      <c r="I1388" s="49" t="str">
        <f t="array" ref="I1388">_xlfn.XLOOKUP(
 B1388,
 tblTargetStatus[TargetID],
 tblTargetStatus[Status],
 ""
)</f>
        <v>BLOCKED</v>
      </c>
      <c r="J1388" s="45" t="b">
        <v>0</v>
      </c>
    </row>
    <row r="1389" ht="14.25" hidden="1" customHeight="1">
      <c r="A1389" s="49" t="s">
        <v>3370</v>
      </c>
      <c r="B1389" s="49" t="str">
        <f>IFERROR(__xludf.DUMMYFUNCTION("REGEXREPLACE(
 REGEXREPLACE(A1389,""^cost\."",""""),
 ""\.[^.]+\.[^.]+$"",
 """"
)"),"quest.magic_beans.finished")</f>
        <v>quest.magic_beans.finished</v>
      </c>
      <c r="C1389" s="49" t="str">
        <f t="array" ref="C1389">_xlfn.XLOOKUP(
 B1389,
 tblTargets[TargetID],
 tblTargets[DisplayName],
 ""
)</f>
        <v>Magic Beans Finished</v>
      </c>
      <c r="D1389" s="49" t="str">
        <f t="array" ref="D1389">_xlfn.XLOOKUP(
 B1389,
 tblTargets[TargetID],
 tblTargets[TargetType],
 ""
)</f>
        <v>QUEST</v>
      </c>
      <c r="E1389" s="49" t="s">
        <v>3225</v>
      </c>
      <c r="F1389" s="49">
        <v>1.0</v>
      </c>
      <c r="G1389" s="49">
        <f t="array" ref="G1389">_xlfn.XLOOKUP(
 A1389,
 tblCost[RequirementID],
 tblCost[QuantityRequired],
 ""
)</f>
        <v>1</v>
      </c>
      <c r="H1389" s="49">
        <f t="array" ref="H1389">IF(
 OR(
  LEFT(B1389,15)="state.character",
  RIGHT(B1389,6)=".maxed"
 ),
 0,
 LET(
  sort,
   _xlfn.XLOOKUP(
    B1389,
    tblChecklist[TargetID],
    tblChecklist[PlayerSort],
    0
   ),
  IF(sort=0,500,sort)
 )
)</f>
        <v>500</v>
      </c>
      <c r="I1389" s="49" t="str">
        <f t="array" ref="I1389">_xlfn.XLOOKUP(
 B1389,
 tblTargetStatus[TargetID],
 tblTargetStatus[Status],
 ""
)</f>
        <v>BLOCKED</v>
      </c>
      <c r="J1389" s="45" t="b">
        <v>0</v>
      </c>
    </row>
    <row r="1390" ht="14.25" hidden="1" customHeight="1">
      <c r="A1390" s="49" t="s">
        <v>3373</v>
      </c>
      <c r="B1390" s="49" t="str">
        <f>IFERROR(__xludf.DUMMYFUNCTION("REGEXREPLACE(
 REGEXREPLACE(A1390,""^cost\."",""""),
 ""\.[^.]+\.[^.]+$"",
 """"
)"),"quest.once_upon_a_forest_chapter_13.finished")</f>
        <v>quest.once_upon_a_forest_chapter_13.finished</v>
      </c>
      <c r="C1390" s="49" t="str">
        <f t="array" ref="C1390">_xlfn.XLOOKUP(
 B1390,
 tblTargets[TargetID],
 tblTargets[DisplayName],
 ""
)</f>
        <v>Once Upon a Forest Chapter 13 Finished</v>
      </c>
      <c r="D1390" s="49" t="str">
        <f t="array" ref="D1390">_xlfn.XLOOKUP(
 B1390,
 tblTargets[TargetID],
 tblTargets[TargetType],
 ""
)</f>
        <v>QUEST</v>
      </c>
      <c r="E1390" s="49" t="s">
        <v>3272</v>
      </c>
      <c r="F1390" s="49">
        <v>1.0</v>
      </c>
      <c r="G1390" s="49">
        <f t="array" ref="G1390">_xlfn.XLOOKUP(
 A1390,
 tblCost[RequirementID],
 tblCost[QuantityRequired],
 ""
)</f>
        <v>10</v>
      </c>
      <c r="H1390" s="49">
        <f t="array" ref="H1390">IF(
 OR(
  LEFT(B1390,15)="state.character",
  RIGHT(B1390,6)=".maxed"
 ),
 0,
 LET(
  sort,
   _xlfn.XLOOKUP(
    B1390,
    tblChecklist[TargetID],
    tblChecklist[PlayerSort],
    0
   ),
  IF(sort=0,500,sort)
 )
)</f>
        <v>500</v>
      </c>
      <c r="I1390" s="49" t="str">
        <f t="array" ref="I1390">_xlfn.XLOOKUP(
 B1390,
 tblTargetStatus[TargetID],
 tblTargetStatus[Status],
 ""
)</f>
        <v>BLOCKED</v>
      </c>
      <c r="J1390" s="45" t="b">
        <v>0</v>
      </c>
    </row>
    <row r="1391" ht="14.25" hidden="1" customHeight="1">
      <c r="A1391" s="49" t="s">
        <v>3375</v>
      </c>
      <c r="B1391" s="49" t="str">
        <f>IFERROR(__xludf.DUMMYFUNCTION("REGEXREPLACE(
 REGEXREPLACE(A1391,""^cost\."",""""),
 ""\.[^.]+\.[^.]+$"",
 """"
)"),"quest.once_upon_a_forest_chapter_13.finished")</f>
        <v>quest.once_upon_a_forest_chapter_13.finished</v>
      </c>
      <c r="C1391" s="49" t="str">
        <f t="array" ref="C1391">_xlfn.XLOOKUP(
 B1391,
 tblTargets[TargetID],
 tblTargets[DisplayName],
 ""
)</f>
        <v>Once Upon a Forest Chapter 13 Finished</v>
      </c>
      <c r="D1391" s="49" t="str">
        <f t="array" ref="D1391">_xlfn.XLOOKUP(
 B1391,
 tblTargets[TargetID],
 tblTargets[TargetType],
 ""
)</f>
        <v>QUEST</v>
      </c>
      <c r="E1391" s="49" t="s">
        <v>2864</v>
      </c>
      <c r="F1391" s="49">
        <v>1.0</v>
      </c>
      <c r="G1391" s="49">
        <f t="array" ref="G1391">_xlfn.XLOOKUP(
 A1391,
 tblCost[RequirementID],
 tblCost[QuantityRequired],
 ""
)</f>
        <v>5</v>
      </c>
      <c r="H1391" s="49">
        <f t="array" ref="H1391">IF(
 OR(
  LEFT(B1391,15)="state.character",
  RIGHT(B1391,6)=".maxed"
 ),
 0,
 LET(
  sort,
   _xlfn.XLOOKUP(
    B1391,
    tblChecklist[TargetID],
    tblChecklist[PlayerSort],
    0
   ),
  IF(sort=0,500,sort)
 )
)</f>
        <v>500</v>
      </c>
      <c r="I1391" s="49" t="str">
        <f t="array" ref="I1391">_xlfn.XLOOKUP(
 B1391,
 tblTargetStatus[TargetID],
 tblTargetStatus[Status],
 ""
)</f>
        <v>BLOCKED</v>
      </c>
      <c r="J1391" s="45" t="b">
        <v>0</v>
      </c>
    </row>
    <row r="1392" ht="14.25" hidden="1" customHeight="1">
      <c r="A1392" s="49" t="s">
        <v>3377</v>
      </c>
      <c r="B1392" s="49" t="str">
        <f>IFERROR(__xludf.DUMMYFUNCTION("REGEXREPLACE(
 REGEXREPLACE(A1392,""^cost\."",""""),
 ""\.[^.]+\.[^.]+$"",
 """"
)"),"quest.once_upon_a_forest_chapter_13.finished")</f>
        <v>quest.once_upon_a_forest_chapter_13.finished</v>
      </c>
      <c r="C1392" s="49" t="str">
        <f t="array" ref="C1392">_xlfn.XLOOKUP(
 B1392,
 tblTargets[TargetID],
 tblTargets[DisplayName],
 ""
)</f>
        <v>Once Upon a Forest Chapter 13 Finished</v>
      </c>
      <c r="D1392" s="49" t="str">
        <f t="array" ref="D1392">_xlfn.XLOOKUP(
 B1392,
 tblTargets[TargetID],
 tblTargets[TargetType],
 ""
)</f>
        <v>QUEST</v>
      </c>
      <c r="E1392" s="49" t="s">
        <v>2486</v>
      </c>
      <c r="F1392" s="49">
        <v>1.0</v>
      </c>
      <c r="G1392" s="49">
        <f t="array" ref="G1392">_xlfn.XLOOKUP(
 A1392,
 tblCost[RequirementID],
 tblCost[QuantityRequired],
 ""
)</f>
        <v>5</v>
      </c>
      <c r="H1392" s="49">
        <f t="array" ref="H1392">IF(
 OR(
  LEFT(B1392,15)="state.character",
  RIGHT(B1392,6)=".maxed"
 ),
 0,
 LET(
  sort,
   _xlfn.XLOOKUP(
    B1392,
    tblChecklist[TargetID],
    tblChecklist[PlayerSort],
    0
   ),
  IF(sort=0,500,sort)
 )
)</f>
        <v>500</v>
      </c>
      <c r="I1392" s="49" t="str">
        <f t="array" ref="I1392">_xlfn.XLOOKUP(
 B1392,
 tblTargetStatus[TargetID],
 tblTargetStatus[Status],
 ""
)</f>
        <v>BLOCKED</v>
      </c>
      <c r="J1392" s="45" t="b">
        <v>0</v>
      </c>
    </row>
    <row r="1393" ht="14.25" hidden="1" customHeight="1">
      <c r="A1393" s="49" t="s">
        <v>3378</v>
      </c>
      <c r="B1393" s="49" t="str">
        <f>IFERROR(__xludf.DUMMYFUNCTION("REGEXREPLACE(
 REGEXREPLACE(A1393,""^cost\."",""""),
 ""\.[^.]+\.[^.]+$"",
 """"
)"),"quest.once_upon_a_forest_chapter_13.finished")</f>
        <v>quest.once_upon_a_forest_chapter_13.finished</v>
      </c>
      <c r="C1393" s="49" t="str">
        <f t="array" ref="C1393">_xlfn.XLOOKUP(
 B1393,
 tblTargets[TargetID],
 tblTargets[DisplayName],
 ""
)</f>
        <v>Once Upon a Forest Chapter 13 Finished</v>
      </c>
      <c r="D1393" s="49" t="str">
        <f t="array" ref="D1393">_xlfn.XLOOKUP(
 B1393,
 tblTargets[TargetID],
 tblTargets[TargetType],
 ""
)</f>
        <v>QUEST</v>
      </c>
      <c r="E1393" s="49" t="s">
        <v>2611</v>
      </c>
      <c r="F1393" s="49">
        <v>1.0</v>
      </c>
      <c r="G1393" s="49">
        <f t="array" ref="G1393">_xlfn.XLOOKUP(
 A1393,
 tblCost[RequirementID],
 tblCost[QuantityRequired],
 ""
)</f>
        <v>5</v>
      </c>
      <c r="H1393" s="49">
        <f t="array" ref="H1393">IF(
 OR(
  LEFT(B1393,15)="state.character",
  RIGHT(B1393,6)=".maxed"
 ),
 0,
 LET(
  sort,
   _xlfn.XLOOKUP(
    B1393,
    tblChecklist[TargetID],
    tblChecklist[PlayerSort],
    0
   ),
  IF(sort=0,500,sort)
 )
)</f>
        <v>500</v>
      </c>
      <c r="I1393" s="49" t="str">
        <f t="array" ref="I1393">_xlfn.XLOOKUP(
 B1393,
 tblTargetStatus[TargetID],
 tblTargetStatus[Status],
 ""
)</f>
        <v>BLOCKED</v>
      </c>
      <c r="J1393" s="45" t="b">
        <v>0</v>
      </c>
    </row>
    <row r="1394" ht="14.25" hidden="1" customHeight="1">
      <c r="A1394" s="49" t="s">
        <v>3380</v>
      </c>
      <c r="B1394" s="49" t="str">
        <f>IFERROR(__xludf.DUMMYFUNCTION("REGEXREPLACE(
 REGEXREPLACE(A1394,""^cost\."",""""),
 ""\.[^.]+\.[^.]+$"",
 """"
)"),"quest.once_upon_a_forest_chapter_13.finished")</f>
        <v>quest.once_upon_a_forest_chapter_13.finished</v>
      </c>
      <c r="C1394" s="49" t="str">
        <f t="array" ref="C1394">_xlfn.XLOOKUP(
 B1394,
 tblTargets[TargetID],
 tblTargets[DisplayName],
 ""
)</f>
        <v>Once Upon a Forest Chapter 13 Finished</v>
      </c>
      <c r="D1394" s="49" t="str">
        <f t="array" ref="D1394">_xlfn.XLOOKUP(
 B1394,
 tblTargets[TargetID],
 tblTargets[TargetType],
 ""
)</f>
        <v>QUEST</v>
      </c>
      <c r="E1394" s="49" t="s">
        <v>2874</v>
      </c>
      <c r="F1394" s="49">
        <v>1.0</v>
      </c>
      <c r="G1394" s="49">
        <f t="array" ref="G1394">_xlfn.XLOOKUP(
 A1394,
 tblCost[RequirementID],
 tblCost[QuantityRequired],
 ""
)</f>
        <v>10</v>
      </c>
      <c r="H1394" s="49">
        <f t="array" ref="H1394">IF(
 OR(
  LEFT(B1394,15)="state.character",
  RIGHT(B1394,6)=".maxed"
 ),
 0,
 LET(
  sort,
   _xlfn.XLOOKUP(
    B1394,
    tblChecklist[TargetID],
    tblChecklist[PlayerSort],
    0
   ),
  IF(sort=0,500,sort)
 )
)</f>
        <v>500</v>
      </c>
      <c r="I1394" s="49" t="str">
        <f t="array" ref="I1394">_xlfn.XLOOKUP(
 B1394,
 tblTargetStatus[TargetID],
 tblTargetStatus[Status],
 ""
)</f>
        <v>BLOCKED</v>
      </c>
      <c r="J1394" s="45" t="b">
        <v>0</v>
      </c>
    </row>
    <row r="1395" ht="14.25" hidden="1" customHeight="1">
      <c r="A1395" s="49" t="s">
        <v>3382</v>
      </c>
      <c r="B1395" s="49" t="str">
        <f>IFERROR(__xludf.DUMMYFUNCTION("REGEXREPLACE(
 REGEXREPLACE(A1395,""^cost\."",""""),
 ""\.[^.]+\.[^.]+$"",
 """"
)"),"quest.once_upon_a_forest_chapter_13.finished")</f>
        <v>quest.once_upon_a_forest_chapter_13.finished</v>
      </c>
      <c r="C1395" s="49" t="str">
        <f t="array" ref="C1395">_xlfn.XLOOKUP(
 B1395,
 tblTargets[TargetID],
 tblTargets[DisplayName],
 ""
)</f>
        <v>Once Upon a Forest Chapter 13 Finished</v>
      </c>
      <c r="D1395" s="49" t="str">
        <f t="array" ref="D1395">_xlfn.XLOOKUP(
 B1395,
 tblTargets[TargetID],
 tblTargets[TargetType],
 ""
)</f>
        <v>QUEST</v>
      </c>
      <c r="E1395" s="49" t="s">
        <v>3384</v>
      </c>
      <c r="F1395" s="49">
        <v>1.0</v>
      </c>
      <c r="G1395" s="49">
        <f t="array" ref="G1395">_xlfn.XLOOKUP(
 A1395,
 tblCost[RequirementID],
 tblCost[QuantityRequired],
 ""
)</f>
        <v>10</v>
      </c>
      <c r="H1395" s="49">
        <f t="array" ref="H1395">IF(
 OR(
  LEFT(B1395,15)="state.character",
  RIGHT(B1395,6)=".maxed"
 ),
 0,
 LET(
  sort,
   _xlfn.XLOOKUP(
    B1395,
    tblChecklist[TargetID],
    tblChecklist[PlayerSort],
    0
   ),
  IF(sort=0,500,sort)
 )
)</f>
        <v>500</v>
      </c>
      <c r="I1395" s="49" t="str">
        <f t="array" ref="I1395">_xlfn.XLOOKUP(
 B1395,
 tblTargetStatus[TargetID],
 tblTargetStatus[Status],
 ""
)</f>
        <v>BLOCKED</v>
      </c>
      <c r="J1395" s="45" t="b">
        <v>0</v>
      </c>
    </row>
    <row r="1396" ht="14.25" hidden="1" customHeight="1">
      <c r="A1396" s="49" t="s">
        <v>3386</v>
      </c>
      <c r="B1396" s="49" t="str">
        <f>IFERROR(__xludf.DUMMYFUNCTION("REGEXREPLACE(
 REGEXREPLACE(A1396,""^cost\."",""""),
 ""\.[^.]+\.[^.]+$"",
 """"
)"),"quest.once_upon_a_forest_chapter_5.finished")</f>
        <v>quest.once_upon_a_forest_chapter_5.finished</v>
      </c>
      <c r="C1396" s="49" t="str">
        <f t="array" ref="C1396">_xlfn.XLOOKUP(
 B1396,
 tblTargets[TargetID],
 tblTargets[DisplayName],
 ""
)</f>
        <v>Once Upon a Forest Chapter 5 Finished</v>
      </c>
      <c r="D1396" s="49" t="str">
        <f t="array" ref="D1396">_xlfn.XLOOKUP(
 B1396,
 tblTargets[TargetID],
 tblTargets[TargetType],
 ""
)</f>
        <v>QUEST</v>
      </c>
      <c r="E1396" s="49" t="s">
        <v>2868</v>
      </c>
      <c r="F1396" s="49">
        <v>1.0</v>
      </c>
      <c r="G1396" s="49">
        <f t="array" ref="G1396">_xlfn.XLOOKUP(
 A1396,
 tblCost[RequirementID],
 tblCost[QuantityRequired],
 ""
)</f>
        <v>2</v>
      </c>
      <c r="H1396" s="49">
        <f t="array" ref="H1396">IF(
 OR(
  LEFT(B1396,15)="state.character",
  RIGHT(B1396,6)=".maxed"
 ),
 0,
 LET(
  sort,
   _xlfn.XLOOKUP(
    B1396,
    tblChecklist[TargetID],
    tblChecklist[PlayerSort],
    0
   ),
  IF(sort=0,500,sort)
 )
)</f>
        <v>500</v>
      </c>
      <c r="I1396" s="49" t="str">
        <f t="array" ref="I1396">_xlfn.XLOOKUP(
 B1396,
 tblTargetStatus[TargetID],
 tblTargetStatus[Status],
 ""
)</f>
        <v>BLOCKED</v>
      </c>
      <c r="J1396" s="45" t="b">
        <v>0</v>
      </c>
    </row>
    <row r="1397" ht="14.25" hidden="1" customHeight="1">
      <c r="A1397" s="49" t="s">
        <v>3388</v>
      </c>
      <c r="B1397" s="49" t="str">
        <f>IFERROR(__xludf.DUMMYFUNCTION("REGEXREPLACE(
 REGEXREPLACE(A1397,""^cost\."",""""),
 ""\.[^.]+\.[^.]+$"",
 """"
)"),"quest.once_upon_a_forest_chapter_5.finished")</f>
        <v>quest.once_upon_a_forest_chapter_5.finished</v>
      </c>
      <c r="C1397" s="49" t="str">
        <f t="array" ref="C1397">_xlfn.XLOOKUP(
 B1397,
 tblTargets[TargetID],
 tblTargets[DisplayName],
 ""
)</f>
        <v>Once Upon a Forest Chapter 5 Finished</v>
      </c>
      <c r="D1397" s="49" t="str">
        <f t="array" ref="D1397">_xlfn.XLOOKUP(
 B1397,
 tblTargets[TargetID],
 tblTargets[TargetType],
 ""
)</f>
        <v>QUEST</v>
      </c>
      <c r="E1397" s="49" t="s">
        <v>152</v>
      </c>
      <c r="F1397" s="49">
        <v>1.0</v>
      </c>
      <c r="G1397" s="49">
        <f t="array" ref="G1397">_xlfn.XLOOKUP(
 A1397,
 tblCost[RequirementID],
 tblCost[QuantityRequired],
 ""
)</f>
        <v>2</v>
      </c>
      <c r="H1397" s="49">
        <f t="array" ref="H1397">IF(
 OR(
  LEFT(B1397,15)="state.character",
  RIGHT(B1397,6)=".maxed"
 ),
 0,
 LET(
  sort,
   _xlfn.XLOOKUP(
    B1397,
    tblChecklist[TargetID],
    tblChecklist[PlayerSort],
    0
   ),
  IF(sort=0,500,sort)
 )
)</f>
        <v>500</v>
      </c>
      <c r="I1397" s="49" t="str">
        <f t="array" ref="I1397">_xlfn.XLOOKUP(
 B1397,
 tblTargetStatus[TargetID],
 tblTargetStatus[Status],
 ""
)</f>
        <v>BLOCKED</v>
      </c>
      <c r="J1397" s="45" t="b">
        <v>0</v>
      </c>
    </row>
    <row r="1398" ht="14.25" hidden="1" customHeight="1">
      <c r="A1398" s="49" t="s">
        <v>3390</v>
      </c>
      <c r="B1398" s="49" t="str">
        <f>IFERROR(__xludf.DUMMYFUNCTION("REGEXREPLACE(
 REGEXREPLACE(A1398,""^cost\."",""""),
 ""\.[^.]+\.[^.]+$"",
 """"
)"),"quest.once_upon_a_forest_chapter_5.finished")</f>
        <v>quest.once_upon_a_forest_chapter_5.finished</v>
      </c>
      <c r="C1398" s="49" t="str">
        <f t="array" ref="C1398">_xlfn.XLOOKUP(
 B1398,
 tblTargets[TargetID],
 tblTargets[DisplayName],
 ""
)</f>
        <v>Once Upon a Forest Chapter 5 Finished</v>
      </c>
      <c r="D1398" s="49" t="str">
        <f t="array" ref="D1398">_xlfn.XLOOKUP(
 B1398,
 tblTargets[TargetID],
 tblTargets[TargetType],
 ""
)</f>
        <v>QUEST</v>
      </c>
      <c r="E1398" s="49" t="s">
        <v>2882</v>
      </c>
      <c r="F1398" s="49">
        <v>1.0</v>
      </c>
      <c r="G1398" s="49">
        <f t="array" ref="G1398">_xlfn.XLOOKUP(
 A1398,
 tblCost[RequirementID],
 tblCost[QuantityRequired],
 ""
)</f>
        <v>2</v>
      </c>
      <c r="H1398" s="49">
        <f t="array" ref="H1398">IF(
 OR(
  LEFT(B1398,15)="state.character",
  RIGHT(B1398,6)=".maxed"
 ),
 0,
 LET(
  sort,
   _xlfn.XLOOKUP(
    B1398,
    tblChecklist[TargetID],
    tblChecklist[PlayerSort],
    0
   ),
  IF(sort=0,500,sort)
 )
)</f>
        <v>500</v>
      </c>
      <c r="I1398" s="49" t="str">
        <f t="array" ref="I1398">_xlfn.XLOOKUP(
 B1398,
 tblTargetStatus[TargetID],
 tblTargetStatus[Status],
 ""
)</f>
        <v>BLOCKED</v>
      </c>
      <c r="J1398" s="45" t="b">
        <v>0</v>
      </c>
    </row>
    <row r="1399" ht="14.25" hidden="1" customHeight="1">
      <c r="A1399" s="49" t="s">
        <v>3392</v>
      </c>
      <c r="B1399" s="49" t="str">
        <f>IFERROR(__xludf.DUMMYFUNCTION("REGEXREPLACE(
 REGEXREPLACE(A1399,""^cost\."",""""),
 ""\.[^.]+\.[^.]+$"",
 """"
)"),"quest.once_upon_a_forest_chapter_5.finished")</f>
        <v>quest.once_upon_a_forest_chapter_5.finished</v>
      </c>
      <c r="C1399" s="49" t="str">
        <f t="array" ref="C1399">_xlfn.XLOOKUP(
 B1399,
 tblTargets[TargetID],
 tblTargets[DisplayName],
 ""
)</f>
        <v>Once Upon a Forest Chapter 5 Finished</v>
      </c>
      <c r="D1399" s="49" t="str">
        <f t="array" ref="D1399">_xlfn.XLOOKUP(
 B1399,
 tblTargets[TargetID],
 tblTargets[TargetType],
 ""
)</f>
        <v>QUEST</v>
      </c>
      <c r="E1399" s="49" t="s">
        <v>158</v>
      </c>
      <c r="F1399" s="49">
        <v>1.0</v>
      </c>
      <c r="G1399" s="49">
        <f t="array" ref="G1399">_xlfn.XLOOKUP(
 A1399,
 tblCost[RequirementID],
 tblCost[QuantityRequired],
 ""
)</f>
        <v>4</v>
      </c>
      <c r="H1399" s="49">
        <f t="array" ref="H1399">IF(
 OR(
  LEFT(B1399,15)="state.character",
  RIGHT(B1399,6)=".maxed"
 ),
 0,
 LET(
  sort,
   _xlfn.XLOOKUP(
    B1399,
    tblChecklist[TargetID],
    tblChecklist[PlayerSort],
    0
   ),
  IF(sort=0,500,sort)
 )
)</f>
        <v>500</v>
      </c>
      <c r="I1399" s="49" t="str">
        <f t="array" ref="I1399">_xlfn.XLOOKUP(
 B1399,
 tblTargetStatus[TargetID],
 tblTargetStatus[Status],
 ""
)</f>
        <v>BLOCKED</v>
      </c>
      <c r="J1399" s="45" t="b">
        <v>0</v>
      </c>
    </row>
    <row r="1400" ht="14.25" hidden="1" customHeight="1">
      <c r="A1400" s="49" t="s">
        <v>3394</v>
      </c>
      <c r="B1400" s="49" t="str">
        <f>IFERROR(__xludf.DUMMYFUNCTION("REGEXREPLACE(
 REGEXREPLACE(A1400,""^cost\."",""""),
 ""\.[^.]+\.[^.]+$"",
 """"
)"),"quest.once_upon_a_forest_chapter_8.finished")</f>
        <v>quest.once_upon_a_forest_chapter_8.finished</v>
      </c>
      <c r="C1400" s="49" t="str">
        <f t="array" ref="C1400">_xlfn.XLOOKUP(
 B1400,
 tblTargets[TargetID],
 tblTargets[DisplayName],
 ""
)</f>
        <v>Once Upon a Forest Chapter 8 Finished</v>
      </c>
      <c r="D1400" s="49" t="str">
        <f t="array" ref="D1400">_xlfn.XLOOKUP(
 B1400,
 tblTargets[TargetID],
 tblTargets[TargetType],
 ""
)</f>
        <v>QUEST</v>
      </c>
      <c r="E1400" s="49" t="s">
        <v>119</v>
      </c>
      <c r="F1400" s="49">
        <v>1.0</v>
      </c>
      <c r="G1400" s="49">
        <f t="array" ref="G1400">_xlfn.XLOOKUP(
 A1400,
 tblCost[RequirementID],
 tblCost[QuantityRequired],
 ""
)</f>
        <v>1000</v>
      </c>
      <c r="H1400" s="49">
        <f t="array" ref="H1400">IF(
 OR(
  LEFT(B1400,15)="state.character",
  RIGHT(B1400,6)=".maxed"
 ),
 0,
 LET(
  sort,
   _xlfn.XLOOKUP(
    B1400,
    tblChecklist[TargetID],
    tblChecklist[PlayerSort],
    0
   ),
  IF(sort=0,500,sort)
 )
)</f>
        <v>500</v>
      </c>
      <c r="I1400" s="49" t="str">
        <f t="array" ref="I1400">_xlfn.XLOOKUP(
 B1400,
 tblTargetStatus[TargetID],
 tblTargetStatus[Status],
 ""
)</f>
        <v>BLOCKED</v>
      </c>
      <c r="J1400" s="45" t="b">
        <v>0</v>
      </c>
    </row>
    <row r="1401" ht="14.25" hidden="1" customHeight="1">
      <c r="A1401" s="49" t="s">
        <v>3396</v>
      </c>
      <c r="B1401" s="49" t="str">
        <f>IFERROR(__xludf.DUMMYFUNCTION("REGEXREPLACE(
 REGEXREPLACE(A1401,""^cost\."",""""),
 ""\.[^.]+\.[^.]+$"",
 """"
)"),"quest.once_upon_a_forest_chapter_8.finished")</f>
        <v>quest.once_upon_a_forest_chapter_8.finished</v>
      </c>
      <c r="C1401" s="49" t="str">
        <f t="array" ref="C1401">_xlfn.XLOOKUP(
 B1401,
 tblTargets[TargetID],
 tblTargets[DisplayName],
 ""
)</f>
        <v>Once Upon a Forest Chapter 8 Finished</v>
      </c>
      <c r="D1401" s="49" t="str">
        <f t="array" ref="D1401">_xlfn.XLOOKUP(
 B1401,
 tblTargets[TargetID],
 tblTargets[TargetType],
 ""
)</f>
        <v>QUEST</v>
      </c>
      <c r="E1401" s="49" t="s">
        <v>701</v>
      </c>
      <c r="F1401" s="49">
        <v>1.0</v>
      </c>
      <c r="G1401" s="49">
        <f t="array" ref="G1401">_xlfn.XLOOKUP(
 A1401,
 tblCost[RequirementID],
 tblCost[QuantityRequired],
 ""
)</f>
        <v>10</v>
      </c>
      <c r="H1401" s="49">
        <f t="array" ref="H1401">IF(
 OR(
  LEFT(B1401,15)="state.character",
  RIGHT(B1401,6)=".maxed"
 ),
 0,
 LET(
  sort,
   _xlfn.XLOOKUP(
    B1401,
    tblChecklist[TargetID],
    tblChecklist[PlayerSort],
    0
   ),
  IF(sort=0,500,sort)
 )
)</f>
        <v>500</v>
      </c>
      <c r="I1401" s="49" t="str">
        <f t="array" ref="I1401">_xlfn.XLOOKUP(
 B1401,
 tblTargetStatus[TargetID],
 tblTargetStatus[Status],
 ""
)</f>
        <v>BLOCKED</v>
      </c>
      <c r="J1401" s="45" t="b">
        <v>0</v>
      </c>
    </row>
    <row r="1402" ht="14.25" hidden="1" customHeight="1">
      <c r="A1402" s="49" t="s">
        <v>3398</v>
      </c>
      <c r="B1402" s="49" t="str">
        <f>IFERROR(__xludf.DUMMYFUNCTION("REGEXREPLACE(
 REGEXREPLACE(A1402,""^cost\."",""""),
 ""\.[^.]+\.[^.]+$"",
 """"
)"),"quest.once_upon_a_forest_chapter_8.finished")</f>
        <v>quest.once_upon_a_forest_chapter_8.finished</v>
      </c>
      <c r="C1402" s="49" t="str">
        <f t="array" ref="C1402">_xlfn.XLOOKUP(
 B1402,
 tblTargets[TargetID],
 tblTargets[DisplayName],
 ""
)</f>
        <v>Once Upon a Forest Chapter 8 Finished</v>
      </c>
      <c r="D1402" s="49" t="str">
        <f t="array" ref="D1402">_xlfn.XLOOKUP(
 B1402,
 tblTargets[TargetID],
 tblTargets[TargetType],
 ""
)</f>
        <v>QUEST</v>
      </c>
      <c r="E1402" s="49" t="s">
        <v>461</v>
      </c>
      <c r="F1402" s="49">
        <v>1.0</v>
      </c>
      <c r="G1402" s="49">
        <f t="array" ref="G1402">_xlfn.XLOOKUP(
 A1402,
 tblCost[RequirementID],
 tblCost[QuantityRequired],
 ""
)</f>
        <v>10</v>
      </c>
      <c r="H1402" s="49">
        <f t="array" ref="H1402">IF(
 OR(
  LEFT(B1402,15)="state.character",
  RIGHT(B1402,6)=".maxed"
 ),
 0,
 LET(
  sort,
   _xlfn.XLOOKUP(
    B1402,
    tblChecklist[TargetID],
    tblChecklist[PlayerSort],
    0
   ),
  IF(sort=0,500,sort)
 )
)</f>
        <v>500</v>
      </c>
      <c r="I1402" s="49" t="str">
        <f t="array" ref="I1402">_xlfn.XLOOKUP(
 B1402,
 tblTargetStatus[TargetID],
 tblTargetStatus[Status],
 ""
)</f>
        <v>BLOCKED</v>
      </c>
      <c r="J1402" s="45" t="b">
        <v>0</v>
      </c>
    </row>
    <row r="1403" ht="14.25" hidden="1" customHeight="1">
      <c r="A1403" s="49" t="s">
        <v>3400</v>
      </c>
      <c r="B1403" s="49" t="str">
        <f>IFERROR(__xludf.DUMMYFUNCTION("REGEXREPLACE(
 REGEXREPLACE(A1403,""^cost\."",""""),
 ""\.[^.]+\.[^.]+$"",
 """"
)"),"quest.shoguns_katana_chapter_1.finished")</f>
        <v>quest.shoguns_katana_chapter_1.finished</v>
      </c>
      <c r="C1403" s="49" t="str">
        <f t="array" ref="C1403">_xlfn.XLOOKUP(
 B1403,
 tblTargets[TargetID],
 tblTargets[DisplayName],
 ""
)</f>
        <v>Shogun's Katana Chapter 1 Finished</v>
      </c>
      <c r="D1403" s="49" t="str">
        <f t="array" ref="D1403">_xlfn.XLOOKUP(
 B1403,
 tblTargets[TargetID],
 tblTargets[TargetType],
 ""
)</f>
        <v>QUEST</v>
      </c>
      <c r="E1403" s="49" t="s">
        <v>2599</v>
      </c>
      <c r="F1403" s="49">
        <v>1.0</v>
      </c>
      <c r="G1403" s="49">
        <f t="array" ref="G1403">_xlfn.XLOOKUP(
 A1403,
 tblCost[RequirementID],
 tblCost[QuantityRequired],
 ""
)</f>
        <v>1</v>
      </c>
      <c r="H1403" s="49">
        <f t="array" ref="H1403">IF(
 OR(
  LEFT(B1403,15)="state.character",
  RIGHT(B1403,6)=".maxed"
 ),
 0,
 LET(
  sort,
   _xlfn.XLOOKUP(
    B1403,
    tblChecklist[TargetID],
    tblChecklist[PlayerSort],
    0
   ),
  IF(sort=0,500,sort)
 )
)</f>
        <v>500</v>
      </c>
      <c r="I1403" s="49" t="str">
        <f t="array" ref="I1403">_xlfn.XLOOKUP(
 B1403,
 tblTargetStatus[TargetID],
 tblTargetStatus[Status],
 ""
)</f>
        <v>BLOCKED</v>
      </c>
      <c r="J1403" s="45" t="b">
        <v>0</v>
      </c>
    </row>
    <row r="1404" ht="14.25" hidden="1" customHeight="1">
      <c r="A1404" s="49" t="s">
        <v>3402</v>
      </c>
      <c r="B1404" s="49" t="str">
        <f>IFERROR(__xludf.DUMMYFUNCTION("REGEXREPLACE(
 REGEXREPLACE(A1404,""^cost\."",""""),
 ""\.[^.]+\.[^.]+$"",
 """"
)"),"quest.shoguns_katana_chapter_2.finished")</f>
        <v>quest.shoguns_katana_chapter_2.finished</v>
      </c>
      <c r="C1404" s="49" t="str">
        <f t="array" ref="C1404">_xlfn.XLOOKUP(
 B1404,
 tblTargets[TargetID],
 tblTargets[DisplayName],
 ""
)</f>
        <v>Shogun's Katana Chapter 2 Finished</v>
      </c>
      <c r="D1404" s="49" t="str">
        <f t="array" ref="D1404">_xlfn.XLOOKUP(
 B1404,
 tblTargets[TargetID],
 tblTargets[TargetType],
 ""
)</f>
        <v>QUEST</v>
      </c>
      <c r="E1404" s="49" t="s">
        <v>2601</v>
      </c>
      <c r="F1404" s="49">
        <v>1.0</v>
      </c>
      <c r="G1404" s="49">
        <f t="array" ref="G1404">_xlfn.XLOOKUP(
 A1404,
 tblCost[RequirementID],
 tblCost[QuantityRequired],
 ""
)</f>
        <v>1</v>
      </c>
      <c r="H1404" s="49">
        <f t="array" ref="H1404">IF(
 OR(
  LEFT(B1404,15)="state.character",
  RIGHT(B1404,6)=".maxed"
 ),
 0,
 LET(
  sort,
   _xlfn.XLOOKUP(
    B1404,
    tblChecklist[TargetID],
    tblChecklist[PlayerSort],
    0
   ),
  IF(sort=0,500,sort)
 )
)</f>
        <v>500</v>
      </c>
      <c r="I1404" s="49" t="str">
        <f t="array" ref="I1404">_xlfn.XLOOKUP(
 B1404,
 tblTargetStatus[TargetID],
 tblTargetStatus[Status],
 ""
)</f>
        <v>BLOCKED</v>
      </c>
      <c r="J1404" s="45" t="b">
        <v>0</v>
      </c>
    </row>
    <row r="1405" ht="14.25" hidden="1" customHeight="1">
      <c r="A1405" s="49" t="s">
        <v>3404</v>
      </c>
      <c r="B1405" s="49" t="str">
        <f>IFERROR(__xludf.DUMMYFUNCTION("REGEXREPLACE(
 REGEXREPLACE(A1405,""^cost\."",""""),
 ""\.[^.]+\.[^.]+$"",
 """"
)"),"quest.shoguns_katana_chapter_3.finished")</f>
        <v>quest.shoguns_katana_chapter_3.finished</v>
      </c>
      <c r="C1405" s="49" t="str">
        <f t="array" ref="C1405">_xlfn.XLOOKUP(
 B1405,
 tblTargets[TargetID],
 tblTargets[DisplayName],
 ""
)</f>
        <v>Shogun's Katana Chapter 3 Finished</v>
      </c>
      <c r="D1405" s="49" t="str">
        <f t="array" ref="D1405">_xlfn.XLOOKUP(
 B1405,
 tblTargets[TargetID],
 tblTargets[TargetType],
 ""
)</f>
        <v>QUEST</v>
      </c>
      <c r="E1405" s="49" t="s">
        <v>3405</v>
      </c>
      <c r="F1405" s="49">
        <v>1.0</v>
      </c>
      <c r="G1405" s="49">
        <f t="array" ref="G1405">_xlfn.XLOOKUP(
 A1405,
 tblCost[RequirementID],
 tblCost[QuantityRequired],
 ""
)</f>
        <v>1</v>
      </c>
      <c r="H1405" s="49">
        <f t="array" ref="H1405">IF(
 OR(
  LEFT(B1405,15)="state.character",
  RIGHT(B1405,6)=".maxed"
 ),
 0,
 LET(
  sort,
   _xlfn.XLOOKUP(
    B1405,
    tblChecklist[TargetID],
    tblChecklist[PlayerSort],
    0
   ),
  IF(sort=0,500,sort)
 )
)</f>
        <v>500</v>
      </c>
      <c r="I1405" s="49" t="str">
        <f t="array" ref="I1405">_xlfn.XLOOKUP(
 B1405,
 tblTargetStatus[TargetID],
 tblTargetStatus[Status],
 ""
)</f>
        <v>BLOCKED</v>
      </c>
      <c r="J1405" s="45" t="b">
        <v>0</v>
      </c>
    </row>
    <row r="1406" ht="14.25" hidden="1" customHeight="1">
      <c r="A1406" s="49" t="s">
        <v>3407</v>
      </c>
      <c r="B1406" s="49" t="str">
        <f>IFERROR(__xludf.DUMMYFUNCTION("REGEXREPLACE(
 REGEXREPLACE(A1406,""^cost\."",""""),
 ""\.[^.]+\.[^.]+$"",
 """"
)"),"quest.shoguns_katana_chapter_4.finished")</f>
        <v>quest.shoguns_katana_chapter_4.finished</v>
      </c>
      <c r="C1406" s="49" t="str">
        <f t="array" ref="C1406">_xlfn.XLOOKUP(
 B1406,
 tblTargets[TargetID],
 tblTargets[DisplayName],
 ""
)</f>
        <v>Shogun's Katana Chapter 4 Finished</v>
      </c>
      <c r="D1406" s="49" t="str">
        <f t="array" ref="D1406">_xlfn.XLOOKUP(
 B1406,
 tblTargets[TargetID],
 tblTargets[TargetType],
 ""
)</f>
        <v>QUEST</v>
      </c>
      <c r="E1406" s="49" t="s">
        <v>3405</v>
      </c>
      <c r="F1406" s="49">
        <v>1.0</v>
      </c>
      <c r="G1406" s="49">
        <f t="array" ref="G1406">_xlfn.XLOOKUP(
 A1406,
 tblCost[RequirementID],
 tblCost[QuantityRequired],
 ""
)</f>
        <v>1</v>
      </c>
      <c r="H1406" s="49">
        <f t="array" ref="H1406">IF(
 OR(
  LEFT(B1406,15)="state.character",
  RIGHT(B1406,6)=".maxed"
 ),
 0,
 LET(
  sort,
   _xlfn.XLOOKUP(
    B1406,
    tblChecklist[TargetID],
    tblChecklist[PlayerSort],
    0
   ),
  IF(sort=0,500,sort)
 )
)</f>
        <v>500</v>
      </c>
      <c r="I1406" s="49" t="str">
        <f t="array" ref="I1406">_xlfn.XLOOKUP(
 B1406,
 tblTargetStatus[TargetID],
 tblTargetStatus[Status],
 ""
)</f>
        <v>BLOCKED</v>
      </c>
      <c r="J1406" s="45" t="b">
        <v>0</v>
      </c>
    </row>
    <row r="1407" ht="14.25" hidden="1" customHeight="1">
      <c r="A1407" s="49" t="s">
        <v>3408</v>
      </c>
      <c r="B1407" s="49" t="str">
        <f>IFERROR(__xludf.DUMMYFUNCTION("REGEXREPLACE(
 REGEXREPLACE(A1407,""^cost\."",""""),
 ""\.[^.]+\.[^.]+$"",
 """"
)"),"quest.shoguns_katana_chapter_5.finished")</f>
        <v>quest.shoguns_katana_chapter_5.finished</v>
      </c>
      <c r="C1407" s="49" t="str">
        <f t="array" ref="C1407">_xlfn.XLOOKUP(
 B1407,
 tblTargets[TargetID],
 tblTargets[DisplayName],
 ""
)</f>
        <v>Shogun's Katana Chapter 5 Finished</v>
      </c>
      <c r="D1407" s="49" t="str">
        <f t="array" ref="D1407">_xlfn.XLOOKUP(
 B1407,
 tblTargets[TargetID],
 tblTargets[TargetType],
 ""
)</f>
        <v>QUEST</v>
      </c>
      <c r="E1407" s="49" t="s">
        <v>3405</v>
      </c>
      <c r="F1407" s="49">
        <v>1.0</v>
      </c>
      <c r="G1407" s="49">
        <f t="array" ref="G1407">_xlfn.XLOOKUP(
 A1407,
 tblCost[RequirementID],
 tblCost[QuantityRequired],
 ""
)</f>
        <v>1</v>
      </c>
      <c r="H1407" s="49">
        <f t="array" ref="H1407">IF(
 OR(
  LEFT(B1407,15)="state.character",
  RIGHT(B1407,6)=".maxed"
 ),
 0,
 LET(
  sort,
   _xlfn.XLOOKUP(
    B1407,
    tblChecklist[TargetID],
    tblChecklist[PlayerSort],
    0
   ),
  IF(sort=0,500,sort)
 )
)</f>
        <v>500</v>
      </c>
      <c r="I1407" s="49" t="str">
        <f t="array" ref="I1407">_xlfn.XLOOKUP(
 B1407,
 tblTargetStatus[TargetID],
 tblTargetStatus[Status],
 ""
)</f>
        <v>BLOCKED</v>
      </c>
      <c r="J1407" s="45" t="b">
        <v>0</v>
      </c>
    </row>
    <row r="1408" ht="14.25" hidden="1" customHeight="1">
      <c r="A1408" s="49" t="s">
        <v>3410</v>
      </c>
      <c r="B1408" s="49" t="str">
        <f>IFERROR(__xludf.DUMMYFUNCTION("REGEXREPLACE(
 REGEXREPLACE(A1408,""^cost\."",""""),
 ""\.[^.]+\.[^.]+$"",
 """"
)"),"quest.shoguns_katana_chapter_6.finished")</f>
        <v>quest.shoguns_katana_chapter_6.finished</v>
      </c>
      <c r="C1408" s="49" t="str">
        <f t="array" ref="C1408">_xlfn.XLOOKUP(
 B1408,
 tblTargets[TargetID],
 tblTargets[DisplayName],
 ""
)</f>
        <v>Shogun's Katana Chapter 6 Finished</v>
      </c>
      <c r="D1408" s="49" t="str">
        <f t="array" ref="D1408">_xlfn.XLOOKUP(
 B1408,
 tblTargets[TargetID],
 tblTargets[TargetType],
 ""
)</f>
        <v>QUEST</v>
      </c>
      <c r="E1408" s="49" t="s">
        <v>3411</v>
      </c>
      <c r="F1408" s="49">
        <v>1.0</v>
      </c>
      <c r="G1408" s="49">
        <f t="array" ref="G1408">_xlfn.XLOOKUP(
 A1408,
 tblCost[RequirementID],
 tblCost[QuantityRequired],
 ""
)</f>
        <v>1</v>
      </c>
      <c r="H1408" s="49">
        <f t="array" ref="H1408">IF(
 OR(
  LEFT(B1408,15)="state.character",
  RIGHT(B1408,6)=".maxed"
 ),
 0,
 LET(
  sort,
   _xlfn.XLOOKUP(
    B1408,
    tblChecklist[TargetID],
    tblChecklist[PlayerSort],
    0
   ),
  IF(sort=0,500,sort)
 )
)</f>
        <v>500</v>
      </c>
      <c r="I1408" s="49" t="str">
        <f t="array" ref="I1408">_xlfn.XLOOKUP(
 B1408,
 tblTargetStatus[TargetID],
 tblTargetStatus[Status],
 ""
)</f>
        <v>BLOCKED</v>
      </c>
      <c r="J1408" s="45" t="b">
        <v>0</v>
      </c>
    </row>
    <row r="1409" ht="14.25" hidden="1" customHeight="1">
      <c r="A1409" s="49" t="s">
        <v>3413</v>
      </c>
      <c r="B1409" s="49" t="str">
        <f>IFERROR(__xludf.DUMMYFUNCTION("REGEXREPLACE(
 REGEXREPLACE(A1409,""^cost\."",""""),
 ""\.[^.]+\.[^.]+$"",
 """"
)"),"quest.shoguns_katana_chapter_7.finished")</f>
        <v>quest.shoguns_katana_chapter_7.finished</v>
      </c>
      <c r="C1409" s="49" t="str">
        <f t="array" ref="C1409">_xlfn.XLOOKUP(
 B1409,
 tblTargets[TargetID],
 tblTargets[DisplayName],
 ""
)</f>
        <v>Shogun's Katana Chapter 7 Finished</v>
      </c>
      <c r="D1409" s="49" t="str">
        <f t="array" ref="D1409">_xlfn.XLOOKUP(
 B1409,
 tblTargets[TargetID],
 tblTargets[TargetType],
 ""
)</f>
        <v>QUEST</v>
      </c>
      <c r="E1409" s="49" t="s">
        <v>3411</v>
      </c>
      <c r="F1409" s="49">
        <v>1.0</v>
      </c>
      <c r="G1409" s="49">
        <f t="array" ref="G1409">_xlfn.XLOOKUP(
 A1409,
 tblCost[RequirementID],
 tblCost[QuantityRequired],
 ""
)</f>
        <v>1</v>
      </c>
      <c r="H1409" s="49">
        <f t="array" ref="H1409">IF(
 OR(
  LEFT(B1409,15)="state.character",
  RIGHT(B1409,6)=".maxed"
 ),
 0,
 LET(
  sort,
   _xlfn.XLOOKUP(
    B1409,
    tblChecklist[TargetID],
    tblChecklist[PlayerSort],
    0
   ),
  IF(sort=0,500,sort)
 )
)</f>
        <v>500</v>
      </c>
      <c r="I1409" s="49" t="str">
        <f t="array" ref="I1409">_xlfn.XLOOKUP(
 B1409,
 tblTargetStatus[TargetID],
 tblTargetStatus[Status],
 ""
)</f>
        <v>BLOCKED</v>
      </c>
      <c r="J1409" s="45" t="b">
        <v>0</v>
      </c>
    </row>
    <row r="1410" ht="14.25" hidden="1" customHeight="1">
      <c r="A1410" s="49" t="s">
        <v>3415</v>
      </c>
      <c r="B1410" s="49" t="str">
        <f>IFERROR(__xludf.DUMMYFUNCTION("REGEXREPLACE(
 REGEXREPLACE(A1410,""^cost\."",""""),
 ""\.[^.]+\.[^.]+$"",
 """"
)"),"quest.the_ordinary_days_of_an_adventurer_chapter_2.finished")</f>
        <v>quest.the_ordinary_days_of_an_adventurer_chapter_2.finished</v>
      </c>
      <c r="C1410" s="49" t="str">
        <f t="array" ref="C1410">_xlfn.XLOOKUP(
 B1410,
 tblTargets[TargetID],
 tblTargets[DisplayName],
 ""
)</f>
        <v>The Ordinary Days of an Adventurer Chapter 2 Finished</v>
      </c>
      <c r="D1410" s="49" t="str">
        <f t="array" ref="D1410">_xlfn.XLOOKUP(
 B1410,
 tblTargets[TargetID],
 tblTargets[TargetType],
 ""
)</f>
        <v>QUEST</v>
      </c>
      <c r="E1410" s="49" t="s">
        <v>520</v>
      </c>
      <c r="F1410" s="49">
        <v>1.0</v>
      </c>
      <c r="G1410" s="49">
        <f t="array" ref="G1410">_xlfn.XLOOKUP(
 A1410,
 tblCost[RequirementID],
 tblCost[QuantityRequired],
 ""
)</f>
        <v>25</v>
      </c>
      <c r="H1410" s="49">
        <f t="array" ref="H1410">IF(
 OR(
  LEFT(B1410,15)="state.character",
  RIGHT(B1410,6)=".maxed"
 ),
 0,
 LET(
  sort,
   _xlfn.XLOOKUP(
    B1410,
    tblChecklist[TargetID],
    tblChecklist[PlayerSort],
    0
   ),
  IF(sort=0,500,sort)
 )
)</f>
        <v>500</v>
      </c>
      <c r="I1410" s="49" t="str">
        <f t="array" ref="I1410">_xlfn.XLOOKUP(
 B1410,
 tblTargetStatus[TargetID],
 tblTargetStatus[Status],
 ""
)</f>
        <v>BLOCKED</v>
      </c>
      <c r="J1410" s="45" t="b">
        <v>0</v>
      </c>
    </row>
    <row r="1411" ht="14.25" hidden="1" customHeight="1">
      <c r="A1411" s="49" t="s">
        <v>3417</v>
      </c>
      <c r="B1411" s="49" t="str">
        <f>IFERROR(__xludf.DUMMYFUNCTION("REGEXREPLACE(
 REGEXREPLACE(A1411,""^cost\."",""""),
 ""\.[^.]+\.[^.]+$"",
 """"
)"),"quest.the_ordinary_days_of_an_adventurer_chapter_2.finished")</f>
        <v>quest.the_ordinary_days_of_an_adventurer_chapter_2.finished</v>
      </c>
      <c r="C1411" s="49" t="str">
        <f t="array" ref="C1411">_xlfn.XLOOKUP(
 B1411,
 tblTargets[TargetID],
 tblTargets[DisplayName],
 ""
)</f>
        <v>The Ordinary Days of an Adventurer Chapter 2 Finished</v>
      </c>
      <c r="D1411" s="49" t="str">
        <f t="array" ref="D1411">_xlfn.XLOOKUP(
 B1411,
 tblTargets[TargetID],
 tblTargets[TargetType],
 ""
)</f>
        <v>QUEST</v>
      </c>
      <c r="E1411" s="49" t="s">
        <v>2251</v>
      </c>
      <c r="F1411" s="49">
        <v>1.0</v>
      </c>
      <c r="G1411" s="49">
        <f t="array" ref="G1411">_xlfn.XLOOKUP(
 A1411,
 tblCost[RequirementID],
 tblCost[QuantityRequired],
 ""
)</f>
        <v>3</v>
      </c>
      <c r="H1411" s="49">
        <f t="array" ref="H1411">IF(
 OR(
  LEFT(B1411,15)="state.character",
  RIGHT(B1411,6)=".maxed"
 ),
 0,
 LET(
  sort,
   _xlfn.XLOOKUP(
    B1411,
    tblChecklist[TargetID],
    tblChecklist[PlayerSort],
    0
   ),
  IF(sort=0,500,sort)
 )
)</f>
        <v>500</v>
      </c>
      <c r="I1411" s="49" t="str">
        <f t="array" ref="I1411">_xlfn.XLOOKUP(
 B1411,
 tblTargetStatus[TargetID],
 tblTargetStatus[Status],
 ""
)</f>
        <v>BLOCKED</v>
      </c>
      <c r="J1411" s="45" t="b">
        <v>0</v>
      </c>
    </row>
    <row r="1412" ht="14.25" hidden="1" customHeight="1">
      <c r="A1412" s="49" t="s">
        <v>3419</v>
      </c>
      <c r="B1412" s="49" t="str">
        <f>IFERROR(__xludf.DUMMYFUNCTION("REGEXREPLACE(
 REGEXREPLACE(A1412,""^cost\."",""""),
 ""\.[^.]+\.[^.]+$"",
 """"
)"),"quest.the_ordinary_days_of_an_adventurer_chapter_2.finished")</f>
        <v>quest.the_ordinary_days_of_an_adventurer_chapter_2.finished</v>
      </c>
      <c r="C1412" s="49" t="str">
        <f t="array" ref="C1412">_xlfn.XLOOKUP(
 B1412,
 tblTargets[TargetID],
 tblTargets[DisplayName],
 ""
)</f>
        <v>The Ordinary Days of an Adventurer Chapter 2 Finished</v>
      </c>
      <c r="D1412" s="49" t="str">
        <f t="array" ref="D1412">_xlfn.XLOOKUP(
 B1412,
 tblTargets[TargetID],
 tblTargets[TargetType],
 ""
)</f>
        <v>QUEST</v>
      </c>
      <c r="E1412" s="49" t="s">
        <v>711</v>
      </c>
      <c r="F1412" s="49">
        <v>1.0</v>
      </c>
      <c r="G1412" s="49">
        <f t="array" ref="G1412">_xlfn.XLOOKUP(
 A1412,
 tblCost[RequirementID],
 tblCost[QuantityRequired],
 ""
)</f>
        <v>5</v>
      </c>
      <c r="H1412" s="49">
        <f t="array" ref="H1412">IF(
 OR(
  LEFT(B1412,15)="state.character",
  RIGHT(B1412,6)=".maxed"
 ),
 0,
 LET(
  sort,
   _xlfn.XLOOKUP(
    B1412,
    tblChecklist[TargetID],
    tblChecklist[PlayerSort],
    0
   ),
  IF(sort=0,500,sort)
 )
)</f>
        <v>500</v>
      </c>
      <c r="I1412" s="49" t="str">
        <f t="array" ref="I1412">_xlfn.XLOOKUP(
 B1412,
 tblTargetStatus[TargetID],
 tblTargetStatus[Status],
 ""
)</f>
        <v>BLOCKED</v>
      </c>
      <c r="J1412" s="45" t="b">
        <v>0</v>
      </c>
    </row>
    <row r="1413" ht="14.25" hidden="1" customHeight="1">
      <c r="A1413" s="49" t="s">
        <v>3421</v>
      </c>
      <c r="B1413" s="49" t="str">
        <f>IFERROR(__xludf.DUMMYFUNCTION("REGEXREPLACE(
 REGEXREPLACE(A1413,""^cost\."",""""),
 ""\.[^.]+\.[^.]+$"",
 """"
)"),"quest.the_ordinary_days_of_an_adventurer_chapter_5.finished")</f>
        <v>quest.the_ordinary_days_of_an_adventurer_chapter_5.finished</v>
      </c>
      <c r="C1413" s="49" t="str">
        <f t="array" ref="C1413">_xlfn.XLOOKUP(
 B1413,
 tblTargets[TargetID],
 tblTargets[DisplayName],
 ""
)</f>
        <v>The Ordinary Days of an Adventurer Chapter 5 Finished</v>
      </c>
      <c r="D1413" s="49" t="str">
        <f t="array" ref="D1413">_xlfn.XLOOKUP(
 B1413,
 tblTargets[TargetID],
 tblTargets[TargetType],
 ""
)</f>
        <v>QUEST</v>
      </c>
      <c r="E1413" s="49" t="s">
        <v>2707</v>
      </c>
      <c r="F1413" s="49">
        <v>1.0</v>
      </c>
      <c r="G1413" s="49">
        <f t="array" ref="G1413">_xlfn.XLOOKUP(
 A1413,
 tblCost[RequirementID],
 tblCost[QuantityRequired],
 ""
)</f>
        <v>20</v>
      </c>
      <c r="H1413" s="49">
        <f t="array" ref="H1413">IF(
 OR(
  LEFT(B1413,15)="state.character",
  RIGHT(B1413,6)=".maxed"
 ),
 0,
 LET(
  sort,
   _xlfn.XLOOKUP(
    B1413,
    tblChecklist[TargetID],
    tblChecklist[PlayerSort],
    0
   ),
  IF(sort=0,500,sort)
 )
)</f>
        <v>500</v>
      </c>
      <c r="I1413" s="49" t="str">
        <f t="array" ref="I1413">_xlfn.XLOOKUP(
 B1413,
 tblTargetStatus[TargetID],
 tblTargetStatus[Status],
 ""
)</f>
        <v>BLOCKED</v>
      </c>
      <c r="J1413" s="45" t="b">
        <v>0</v>
      </c>
    </row>
    <row r="1414" ht="14.25" hidden="1" customHeight="1">
      <c r="A1414" s="49" t="s">
        <v>3423</v>
      </c>
      <c r="B1414" s="49" t="str">
        <f>IFERROR(__xludf.DUMMYFUNCTION("REGEXREPLACE(
 REGEXREPLACE(A1414,""^cost\."",""""),
 ""\.[^.]+\.[^.]+$"",
 """"
)"),"quest.the_ordinary_days_of_an_adventurer_chapter_5.finished")</f>
        <v>quest.the_ordinary_days_of_an_adventurer_chapter_5.finished</v>
      </c>
      <c r="C1414" s="49" t="str">
        <f t="array" ref="C1414">_xlfn.XLOOKUP(
 B1414,
 tblTargets[TargetID],
 tblTargets[DisplayName],
 ""
)</f>
        <v>The Ordinary Days of an Adventurer Chapter 5 Finished</v>
      </c>
      <c r="D1414" s="49" t="str">
        <f t="array" ref="D1414">_xlfn.XLOOKUP(
 B1414,
 tblTargets[TargetID],
 tblTargets[TargetType],
 ""
)</f>
        <v>QUEST</v>
      </c>
      <c r="E1414" s="49" t="s">
        <v>452</v>
      </c>
      <c r="F1414" s="49">
        <v>1.0</v>
      </c>
      <c r="G1414" s="49">
        <f t="array" ref="G1414">_xlfn.XLOOKUP(
 A1414,
 tblCost[RequirementID],
 tblCost[QuantityRequired],
 ""
)</f>
        <v>30</v>
      </c>
      <c r="H1414" s="49">
        <f t="array" ref="H1414">IF(
 OR(
  LEFT(B1414,15)="state.character",
  RIGHT(B1414,6)=".maxed"
 ),
 0,
 LET(
  sort,
   _xlfn.XLOOKUP(
    B1414,
    tblChecklist[TargetID],
    tblChecklist[PlayerSort],
    0
   ),
  IF(sort=0,500,sort)
 )
)</f>
        <v>500</v>
      </c>
      <c r="I1414" s="49" t="str">
        <f t="array" ref="I1414">_xlfn.XLOOKUP(
 B1414,
 tblTargetStatus[TargetID],
 tblTargetStatus[Status],
 ""
)</f>
        <v>BLOCKED</v>
      </c>
      <c r="J1414" s="45" t="b">
        <v>0</v>
      </c>
    </row>
    <row r="1415" ht="14.25" hidden="1" customHeight="1">
      <c r="A1415" s="49" t="s">
        <v>3426</v>
      </c>
      <c r="B1415" s="49" t="str">
        <f>IFERROR(__xludf.DUMMYFUNCTION("REGEXREPLACE(
 REGEXREPLACE(A1415,""^cost\."",""""),
 ""\.[^.]+\.[^.]+$"",
 """"
)"),"quest.the_ordinary_days_of_an_adventurer_chapter_5.finished")</f>
        <v>quest.the_ordinary_days_of_an_adventurer_chapter_5.finished</v>
      </c>
      <c r="C1415" s="49" t="str">
        <f t="array" ref="C1415">_xlfn.XLOOKUP(
 B1415,
 tblTargets[TargetID],
 tblTargets[DisplayName],
 ""
)</f>
        <v>The Ordinary Days of an Adventurer Chapter 5 Finished</v>
      </c>
      <c r="D1415" s="49" t="str">
        <f t="array" ref="D1415">_xlfn.XLOOKUP(
 B1415,
 tblTargets[TargetID],
 tblTargets[TargetType],
 ""
)</f>
        <v>QUEST</v>
      </c>
      <c r="E1415" s="49" t="s">
        <v>2709</v>
      </c>
      <c r="F1415" s="49">
        <v>1.0</v>
      </c>
      <c r="G1415" s="49">
        <f t="array" ref="G1415">_xlfn.XLOOKUP(
 A1415,
 tblCost[RequirementID],
 tblCost[QuantityRequired],
 ""
)</f>
        <v>150</v>
      </c>
      <c r="H1415" s="49">
        <f t="array" ref="H1415">IF(
 OR(
  LEFT(B1415,15)="state.character",
  RIGHT(B1415,6)=".maxed"
 ),
 0,
 LET(
  sort,
   _xlfn.XLOOKUP(
    B1415,
    tblChecklist[TargetID],
    tblChecklist[PlayerSort],
    0
   ),
  IF(sort=0,500,sort)
 )
)</f>
        <v>500</v>
      </c>
      <c r="I1415" s="49" t="str">
        <f t="array" ref="I1415">_xlfn.XLOOKUP(
 B1415,
 tblTargetStatus[TargetID],
 tblTargetStatus[Status],
 ""
)</f>
        <v>BLOCKED</v>
      </c>
      <c r="J1415" s="45" t="b">
        <v>0</v>
      </c>
    </row>
    <row r="1416" ht="14.25" hidden="1" customHeight="1">
      <c r="A1416" s="49" t="s">
        <v>3427</v>
      </c>
      <c r="B1416" s="49" t="str">
        <f>IFERROR(__xludf.DUMMYFUNCTION("REGEXREPLACE(
 REGEXREPLACE(A1416,""^cost\."",""""),
 ""\.[^.]+\.[^.]+$"",
 """"
)"),"quest.the_ordinary_days_of_an_adventurer_chapter_5.finished")</f>
        <v>quest.the_ordinary_days_of_an_adventurer_chapter_5.finished</v>
      </c>
      <c r="C1416" s="49" t="str">
        <f t="array" ref="C1416">_xlfn.XLOOKUP(
 B1416,
 tblTargets[TargetID],
 tblTargets[DisplayName],
 ""
)</f>
        <v>The Ordinary Days of an Adventurer Chapter 5 Finished</v>
      </c>
      <c r="D1416" s="49" t="str">
        <f t="array" ref="D1416">_xlfn.XLOOKUP(
 B1416,
 tblTargets[TargetID],
 tblTargets[TargetType],
 ""
)</f>
        <v>QUEST</v>
      </c>
      <c r="E1416" s="49" t="s">
        <v>588</v>
      </c>
      <c r="F1416" s="49">
        <v>1.0</v>
      </c>
      <c r="G1416" s="49">
        <f t="array" ref="G1416">_xlfn.XLOOKUP(
 A1416,
 tblCost[RequirementID],
 tblCost[QuantityRequired],
 ""
)</f>
        <v>20</v>
      </c>
      <c r="H1416" s="49">
        <f t="array" ref="H1416">IF(
 OR(
  LEFT(B1416,15)="state.character",
  RIGHT(B1416,6)=".maxed"
 ),
 0,
 LET(
  sort,
   _xlfn.XLOOKUP(
    B1416,
    tblChecklist[TargetID],
    tblChecklist[PlayerSort],
    0
   ),
  IF(sort=0,500,sort)
 )
)</f>
        <v>500</v>
      </c>
      <c r="I1416" s="49" t="str">
        <f t="array" ref="I1416">_xlfn.XLOOKUP(
 B1416,
 tblTargetStatus[TargetID],
 tblTargetStatus[Status],
 ""
)</f>
        <v>BLOCKED</v>
      </c>
      <c r="J1416" s="45" t="b">
        <v>0</v>
      </c>
    </row>
    <row r="1417" ht="14.25" hidden="1" customHeight="1">
      <c r="A1417" s="49" t="s">
        <v>3429</v>
      </c>
      <c r="B1417" s="49" t="str">
        <f>IFERROR(__xludf.DUMMYFUNCTION("REGEXREPLACE(
 REGEXREPLACE(A1417,""^cost\."",""""),
 ""\.[^.]+\.[^.]+$"",
 """"
)"),"quest.the_ordinary_days_of_an_adventurer_chapter_5.finished")</f>
        <v>quest.the_ordinary_days_of_an_adventurer_chapter_5.finished</v>
      </c>
      <c r="C1417" s="49" t="str">
        <f t="array" ref="C1417">_xlfn.XLOOKUP(
 B1417,
 tblTargets[TargetID],
 tblTargets[DisplayName],
 ""
)</f>
        <v>The Ordinary Days of an Adventurer Chapter 5 Finished</v>
      </c>
      <c r="D1417" s="49" t="str">
        <f t="array" ref="D1417">_xlfn.XLOOKUP(
 B1417,
 tblTargets[TargetID],
 tblTargets[TargetType],
 ""
)</f>
        <v>QUEST</v>
      </c>
      <c r="E1417" s="49" t="s">
        <v>2714</v>
      </c>
      <c r="F1417" s="49">
        <v>1.0</v>
      </c>
      <c r="G1417" s="49">
        <f t="array" ref="G1417">_xlfn.XLOOKUP(
 A1417,
 tblCost[RequirementID],
 tblCost[QuantityRequired],
 ""
)</f>
        <v>20</v>
      </c>
      <c r="H1417" s="49">
        <f t="array" ref="H1417">IF(
 OR(
  LEFT(B1417,15)="state.character",
  RIGHT(B1417,6)=".maxed"
 ),
 0,
 LET(
  sort,
   _xlfn.XLOOKUP(
    B1417,
    tblChecklist[TargetID],
    tblChecklist[PlayerSort],
    0
   ),
  IF(sort=0,500,sort)
 )
)</f>
        <v>500</v>
      </c>
      <c r="I1417" s="49" t="str">
        <f t="array" ref="I1417">_xlfn.XLOOKUP(
 B1417,
 tblTargetStatus[TargetID],
 tblTargetStatus[Status],
 ""
)</f>
        <v>BLOCKED</v>
      </c>
      <c r="J1417" s="45" t="b">
        <v>0</v>
      </c>
    </row>
    <row r="1418" ht="14.25" hidden="1" customHeight="1">
      <c r="A1418" s="49" t="s">
        <v>3431</v>
      </c>
      <c r="B1418" s="49" t="str">
        <f>IFERROR(__xludf.DUMMYFUNCTION("REGEXREPLACE(
 REGEXREPLACE(A1418,""^cost\."",""""),
 ""\.[^.]+\.[^.]+$"",
 """"
)"),"quest.the_ordinary_days_of_an_adventurer_chapter_6.finished")</f>
        <v>quest.the_ordinary_days_of_an_adventurer_chapter_6.finished</v>
      </c>
      <c r="C1418" s="49" t="str">
        <f t="array" ref="C1418">_xlfn.XLOOKUP(
 B1418,
 tblTargets[TargetID],
 tblTargets[DisplayName],
 ""
)</f>
        <v>The Ordinary Days of an Adventurer Chapter 6 Finished</v>
      </c>
      <c r="D1418" s="49" t="str">
        <f t="array" ref="D1418">_xlfn.XLOOKUP(
 B1418,
 tblTargets[TargetID],
 tblTargets[TargetType],
 ""
)</f>
        <v>QUEST</v>
      </c>
      <c r="E1418" s="49" t="s">
        <v>2849</v>
      </c>
      <c r="F1418" s="49">
        <v>1.0</v>
      </c>
      <c r="G1418" s="49">
        <f t="array" ref="G1418">_xlfn.XLOOKUP(
 A1418,
 tblCost[RequirementID],
 tblCost[QuantityRequired],
 ""
)</f>
        <v>1</v>
      </c>
      <c r="H1418" s="49">
        <f t="array" ref="H1418">IF(
 OR(
  LEFT(B1418,15)="state.character",
  RIGHT(B1418,6)=".maxed"
 ),
 0,
 LET(
  sort,
   _xlfn.XLOOKUP(
    B1418,
    tblChecklist[TargetID],
    tblChecklist[PlayerSort],
    0
   ),
  IF(sort=0,500,sort)
 )
)</f>
        <v>500</v>
      </c>
      <c r="I1418" s="49" t="str">
        <f t="array" ref="I1418">_xlfn.XLOOKUP(
 B1418,
 tblTargetStatus[TargetID],
 tblTargetStatus[Status],
 ""
)</f>
        <v>BLOCKED</v>
      </c>
      <c r="J1418" s="45" t="b">
        <v>0</v>
      </c>
    </row>
    <row r="1419" ht="14.25" hidden="1" customHeight="1">
      <c r="A1419" s="49" t="s">
        <v>2775</v>
      </c>
      <c r="B1419" s="49" t="str">
        <f>IFERROR(__xludf.DUMMYFUNCTION("REGEXREPLACE(
 REGEXREPLACE(A1419,""^cost\."",""""),
 ""\.[^.]+\.[^.]+$"",
 """"
)"),"tech.airship.titanium_longerons")</f>
        <v>tech.airship.titanium_longerons</v>
      </c>
      <c r="C1419" s="49" t="str">
        <f t="array" ref="C1419">_xlfn.XLOOKUP(
 B1419,
 tblTargets[TargetID],
 tblTargets[DisplayName],
 ""
)</f>
        <v>Airship - Titanium Longerons</v>
      </c>
      <c r="D1419" s="49" t="str">
        <f t="array" ref="D1419">_xlfn.XLOOKUP(
 B1419,
 tblTargets[TargetID],
 tblTargets[TargetType],
 ""
)</f>
        <v>TECH</v>
      </c>
      <c r="E1419" s="49" t="s">
        <v>1230</v>
      </c>
      <c r="F1419" s="49">
        <v>1.0</v>
      </c>
      <c r="G1419" s="49">
        <f t="array" ref="G1419">_xlfn.XLOOKUP(
 A1419,
 tblCost[RequirementID],
 tblCost[QuantityRequired],
 ""
)</f>
        <v>10</v>
      </c>
      <c r="H1419" s="49">
        <f t="array" ref="H1419">IF(
 OR(
  LEFT(B1419,15)="state.character",
  RIGHT(B1419,6)=".maxed"
 ),
 0,
 LET(
  sort,
   _xlfn.XLOOKUP(
    B1419,
    tblChecklist[TargetID],
    tblChecklist[PlayerSort],
    0
   ),
  IF(sort=0,500,sort)
 )
)</f>
        <v>1</v>
      </c>
      <c r="I1419" s="49" t="str">
        <f t="array" ref="I1419">_xlfn.XLOOKUP(
 B1419,
 tblTargetStatus[TargetID],
 tblTargetStatus[Status],
 ""
)</f>
        <v>BLOCKED</v>
      </c>
      <c r="J1419" s="45" t="b">
        <v>0</v>
      </c>
    </row>
    <row r="1420" ht="14.25" hidden="1" customHeight="1">
      <c r="A1420" s="49" t="s">
        <v>2777</v>
      </c>
      <c r="B1420" s="49" t="str">
        <f>IFERROR(__xludf.DUMMYFUNCTION("REGEXREPLACE(
 REGEXREPLACE(A1420,""^cost\."",""""),
 ""\.[^.]+\.[^.]+$"",
 """"
)"),"tech.airship.titanium_longerons")</f>
        <v>tech.airship.titanium_longerons</v>
      </c>
      <c r="C1420" s="49" t="str">
        <f t="array" ref="C1420">_xlfn.XLOOKUP(
 B1420,
 tblTargets[TargetID],
 tblTargets[DisplayName],
 ""
)</f>
        <v>Airship - Titanium Longerons</v>
      </c>
      <c r="D1420" s="49" t="str">
        <f t="array" ref="D1420">_xlfn.XLOOKUP(
 B1420,
 tblTargets[TargetID],
 tblTargets[TargetType],
 ""
)</f>
        <v>TECH</v>
      </c>
      <c r="E1420" s="49" t="s">
        <v>1055</v>
      </c>
      <c r="F1420" s="49">
        <v>1.0</v>
      </c>
      <c r="G1420" s="49">
        <f t="array" ref="G1420">_xlfn.XLOOKUP(
 A1420,
 tblCost[RequirementID],
 tblCost[QuantityRequired],
 ""
)</f>
        <v>30</v>
      </c>
      <c r="H1420" s="49">
        <f t="array" ref="H1420">IF(
 OR(
  LEFT(B1420,15)="state.character",
  RIGHT(B1420,6)=".maxed"
 ),
 0,
 LET(
  sort,
   _xlfn.XLOOKUP(
    B1420,
    tblChecklist[TargetID],
    tblChecklist[PlayerSort],
    0
   ),
  IF(sort=0,500,sort)
 )
)</f>
        <v>1</v>
      </c>
      <c r="I1420" s="49" t="str">
        <f t="array" ref="I1420">_xlfn.XLOOKUP(
 B1420,
 tblTargetStatus[TargetID],
 tblTargetStatus[Status],
 ""
)</f>
        <v>BLOCKED</v>
      </c>
      <c r="J1420" s="45" t="b">
        <v>0</v>
      </c>
    </row>
    <row r="1421" ht="14.25" hidden="1" customHeight="1">
      <c r="A1421" s="49" t="s">
        <v>2779</v>
      </c>
      <c r="B1421" s="49" t="str">
        <f>IFERROR(__xludf.DUMMYFUNCTION("REGEXREPLACE(
 REGEXREPLACE(A1421,""^cost\."",""""),
 ""\.[^.]+\.[^.]+$"",
 """"
)"),"tech.airship.titanium_longerons")</f>
        <v>tech.airship.titanium_longerons</v>
      </c>
      <c r="C1421" s="49" t="str">
        <f t="array" ref="C1421">_xlfn.XLOOKUP(
 B1421,
 tblTargets[TargetID],
 tblTargets[DisplayName],
 ""
)</f>
        <v>Airship - Titanium Longerons</v>
      </c>
      <c r="D1421" s="49" t="str">
        <f t="array" ref="D1421">_xlfn.XLOOKUP(
 B1421,
 tblTargets[TargetID],
 tblTargets[TargetType],
 ""
)</f>
        <v>TECH</v>
      </c>
      <c r="E1421" s="49" t="s">
        <v>119</v>
      </c>
      <c r="F1421" s="49">
        <v>1.0</v>
      </c>
      <c r="G1421" s="49">
        <f t="array" ref="G1421">_xlfn.XLOOKUP(
 A1421,
 tblCost[RequirementID],
 tblCost[QuantityRequired],
 ""
)</f>
        <v>1000</v>
      </c>
      <c r="H1421" s="49">
        <f t="array" ref="H1421">IF(
 OR(
  LEFT(B1421,15)="state.character",
  RIGHT(B1421,6)=".maxed"
 ),
 0,
 LET(
  sort,
   _xlfn.XLOOKUP(
    B1421,
    tblChecklist[TargetID],
    tblChecklist[PlayerSort],
    0
   ),
  IF(sort=0,500,sort)
 )
)</f>
        <v>1</v>
      </c>
      <c r="I1421" s="49" t="str">
        <f t="array" ref="I1421">_xlfn.XLOOKUP(
 B1421,
 tblTargetStatus[TargetID],
 tblTargetStatus[Status],
 ""
)</f>
        <v>BLOCKED</v>
      </c>
      <c r="J1421" s="45" t="b">
        <v>0</v>
      </c>
    </row>
    <row r="1422" ht="14.25" hidden="1" customHeight="1">
      <c r="A1422" s="49" t="s">
        <v>2781</v>
      </c>
      <c r="B1422" s="49" t="str">
        <f>IFERROR(__xludf.DUMMYFUNCTION("REGEXREPLACE(
 REGEXREPLACE(A1422,""^cost\."",""""),
 ""\.[^.]+\.[^.]+$"",
 """"
)"),"tech.airship.titanium_longerons")</f>
        <v>tech.airship.titanium_longerons</v>
      </c>
      <c r="C1422" s="49" t="str">
        <f t="array" ref="C1422">_xlfn.XLOOKUP(
 B1422,
 tblTargets[TargetID],
 tblTargets[DisplayName],
 ""
)</f>
        <v>Airship - Titanium Longerons</v>
      </c>
      <c r="D1422" s="49" t="str">
        <f t="array" ref="D1422">_xlfn.XLOOKUP(
 B1422,
 tblTargets[TargetID],
 tblTargets[TargetType],
 ""
)</f>
        <v>TECH</v>
      </c>
      <c r="E1422" s="49" t="s">
        <v>140</v>
      </c>
      <c r="F1422" s="49">
        <v>1.0</v>
      </c>
      <c r="G1422" s="49">
        <f t="array" ref="G1422">_xlfn.XLOOKUP(
 A1422,
 tblCost[RequirementID],
 tblCost[QuantityRequired],
 ""
)</f>
        <v>20</v>
      </c>
      <c r="H1422" s="49">
        <f t="array" ref="H1422">IF(
 OR(
  LEFT(B1422,15)="state.character",
  RIGHT(B1422,6)=".maxed"
 ),
 0,
 LET(
  sort,
   _xlfn.XLOOKUP(
    B1422,
    tblChecklist[TargetID],
    tblChecklist[PlayerSort],
    0
   ),
  IF(sort=0,500,sort)
 )
)</f>
        <v>1</v>
      </c>
      <c r="I1422" s="49" t="str">
        <f t="array" ref="I1422">_xlfn.XLOOKUP(
 B1422,
 tblTargetStatus[TargetID],
 tblTargetStatus[Status],
 ""
)</f>
        <v>BLOCKED</v>
      </c>
      <c r="J1422" s="45" t="b">
        <v>0</v>
      </c>
    </row>
    <row r="1423" ht="14.25" hidden="1" customHeight="1">
      <c r="A1423" s="49" t="s">
        <v>2783</v>
      </c>
      <c r="B1423" s="49" t="str">
        <f>IFERROR(__xludf.DUMMYFUNCTION("REGEXREPLACE(
 REGEXREPLACE(A1423,""^cost\."",""""),
 ""\.[^.]+\.[^.]+$"",
 """"
)"),"tech.airship.titanium_longerons")</f>
        <v>tech.airship.titanium_longerons</v>
      </c>
      <c r="C1423" s="49" t="str">
        <f t="array" ref="C1423">_xlfn.XLOOKUP(
 B1423,
 tblTargets[TargetID],
 tblTargets[DisplayName],
 ""
)</f>
        <v>Airship - Titanium Longerons</v>
      </c>
      <c r="D1423" s="49" t="str">
        <f t="array" ref="D1423">_xlfn.XLOOKUP(
 B1423,
 tblTargets[TargetID],
 tblTargets[TargetType],
 ""
)</f>
        <v>TECH</v>
      </c>
      <c r="E1423" s="49" t="s">
        <v>6</v>
      </c>
      <c r="F1423" s="49">
        <v>1.0</v>
      </c>
      <c r="G1423" s="49">
        <f t="array" ref="G1423">_xlfn.XLOOKUP(
 A1423,
 tblCost[RequirementID],
 tblCost[QuantityRequired],
 ""
)</f>
        <v>5</v>
      </c>
      <c r="H1423" s="49">
        <f t="array" ref="H1423">IF(
 OR(
  LEFT(B1423,15)="state.character",
  RIGHT(B1423,6)=".maxed"
 ),
 0,
 LET(
  sort,
   _xlfn.XLOOKUP(
    B1423,
    tblChecklist[TargetID],
    tblChecklist[PlayerSort],
    0
   ),
  IF(sort=0,500,sort)
 )
)</f>
        <v>1</v>
      </c>
      <c r="I1423" s="49" t="str">
        <f t="array" ref="I1423">_xlfn.XLOOKUP(
 B1423,
 tblTargetStatus[TargetID],
 tblTargetStatus[Status],
 ""
)</f>
        <v>BLOCKED</v>
      </c>
      <c r="J1423" s="45" t="b">
        <v>0</v>
      </c>
    </row>
    <row r="1424" ht="14.25" hidden="1" customHeight="1">
      <c r="A1424" s="49" t="s">
        <v>2785</v>
      </c>
      <c r="B1424" s="49" t="str">
        <f>IFERROR(__xludf.DUMMYFUNCTION("REGEXREPLACE(
 REGEXREPLACE(A1424,""^cost\."",""""),
 ""\.[^.]+\.[^.]+$"",
 """"
)"),"tech.airship.titanium_longerons")</f>
        <v>tech.airship.titanium_longerons</v>
      </c>
      <c r="C1424" s="49" t="str">
        <f t="array" ref="C1424">_xlfn.XLOOKUP(
 B1424,
 tblTargets[TargetID],
 tblTargets[DisplayName],
 ""
)</f>
        <v>Airship - Titanium Longerons</v>
      </c>
      <c r="D1424" s="49" t="str">
        <f t="array" ref="D1424">_xlfn.XLOOKUP(
 B1424,
 tblTargets[TargetID],
 tblTargets[TargetType],
 ""
)</f>
        <v>TECH</v>
      </c>
      <c r="E1424" s="49" t="s">
        <v>2786</v>
      </c>
      <c r="F1424" s="49">
        <v>1.0</v>
      </c>
      <c r="G1424" s="49">
        <f t="array" ref="G1424">_xlfn.XLOOKUP(
 A1424,
 tblCost[RequirementID],
 tblCost[QuantityRequired],
 ""
)</f>
        <v>30</v>
      </c>
      <c r="H1424" s="49">
        <f t="array" ref="H1424">IF(
 OR(
  LEFT(B1424,15)="state.character",
  RIGHT(B1424,6)=".maxed"
 ),
 0,
 LET(
  sort,
   _xlfn.XLOOKUP(
    B1424,
    tblChecklist[TargetID],
    tblChecklist[PlayerSort],
    0
   ),
  IF(sort=0,500,sort)
 )
)</f>
        <v>1</v>
      </c>
      <c r="I1424" s="49" t="str">
        <f t="array" ref="I1424">_xlfn.XLOOKUP(
 B1424,
 tblTargetStatus[TargetID],
 tblTargetStatus[Status],
 ""
)</f>
        <v>BLOCKED</v>
      </c>
      <c r="J1424" s="45" t="b">
        <v>0</v>
      </c>
    </row>
    <row r="1425" ht="14.25" hidden="1" customHeight="1">
      <c r="A1425" s="49" t="s">
        <v>3007</v>
      </c>
      <c r="B1425" s="49" t="str">
        <f>IFERROR(__xludf.DUMMYFUNCTION("REGEXREPLACE(
 REGEXREPLACE(A1425,""^cost\."",""""),
 ""\.[^.]+\.[^.]+$"",
 """"
)"),"tech.alchemists_hut.advanced_fertilizer")</f>
        <v>tech.alchemists_hut.advanced_fertilizer</v>
      </c>
      <c r="C1425" s="49" t="str">
        <f t="array" ref="C1425">_xlfn.XLOOKUP(
 B1425,
 tblTargets[TargetID],
 tblTargets[DisplayName],
 ""
)</f>
        <v>Alchemists Hut - Advanced Fertilizer</v>
      </c>
      <c r="D1425" s="49" t="str">
        <f t="array" ref="D1425">_xlfn.XLOOKUP(
 B1425,
 tblTargets[TargetID],
 tblTargets[TargetType],
 ""
)</f>
        <v>TECH</v>
      </c>
      <c r="E1425" s="49" t="s">
        <v>1055</v>
      </c>
      <c r="F1425" s="49">
        <v>1.0</v>
      </c>
      <c r="G1425" s="49">
        <f t="array" ref="G1425">_xlfn.XLOOKUP(
 A1425,
 tblCost[RequirementID],
 tblCost[QuantityRequired],
 ""
)</f>
        <v>30</v>
      </c>
      <c r="H1425" s="49">
        <f t="array" ref="H1425">IF(
 OR(
  LEFT(B1425,15)="state.character",
  RIGHT(B1425,6)=".maxed"
 ),
 0,
 LET(
  sort,
   _xlfn.XLOOKUP(
    B1425,
    tblChecklist[TargetID],
    tblChecklist[PlayerSort],
    0
   ),
  IF(sort=0,500,sort)
 )
)</f>
        <v>500</v>
      </c>
      <c r="I1425" s="49" t="str">
        <f t="array" ref="I1425">_xlfn.XLOOKUP(
 B1425,
 tblTargetStatus[TargetID],
 tblTargetStatus[Status],
 ""
)</f>
        <v>BLOCKED</v>
      </c>
      <c r="J1425" s="45" t="b">
        <v>0</v>
      </c>
    </row>
    <row r="1426" ht="14.25" hidden="1" customHeight="1">
      <c r="A1426" s="49" t="s">
        <v>3010</v>
      </c>
      <c r="B1426" s="49" t="str">
        <f>IFERROR(__xludf.DUMMYFUNCTION("REGEXREPLACE(
 REGEXREPLACE(A1426,""^cost\."",""""),
 ""\.[^.]+\.[^.]+$"",
 """"
)"),"tech.alchemists_hut.advanced_fertilizer")</f>
        <v>tech.alchemists_hut.advanced_fertilizer</v>
      </c>
      <c r="C1426" s="49" t="str">
        <f t="array" ref="C1426">_xlfn.XLOOKUP(
 B1426,
 tblTargets[TargetID],
 tblTargets[DisplayName],
 ""
)</f>
        <v>Alchemists Hut - Advanced Fertilizer</v>
      </c>
      <c r="D1426" s="49" t="str">
        <f t="array" ref="D1426">_xlfn.XLOOKUP(
 B1426,
 tblTargets[TargetID],
 tblTargets[TargetType],
 ""
)</f>
        <v>TECH</v>
      </c>
      <c r="E1426" s="49" t="s">
        <v>2297</v>
      </c>
      <c r="F1426" s="49">
        <v>1.0</v>
      </c>
      <c r="G1426" s="49">
        <f t="array" ref="G1426">_xlfn.XLOOKUP(
 A1426,
 tblCost[RequirementID],
 tblCost[QuantityRequired],
 ""
)</f>
        <v>20</v>
      </c>
      <c r="H1426" s="49">
        <f t="array" ref="H1426">IF(
 OR(
  LEFT(B1426,15)="state.character",
  RIGHT(B1426,6)=".maxed"
 ),
 0,
 LET(
  sort,
   _xlfn.XLOOKUP(
    B1426,
    tblChecklist[TargetID],
    tblChecklist[PlayerSort],
    0
   ),
  IF(sort=0,500,sort)
 )
)</f>
        <v>500</v>
      </c>
      <c r="I1426" s="49" t="str">
        <f t="array" ref="I1426">_xlfn.XLOOKUP(
 B1426,
 tblTargetStatus[TargetID],
 tblTargetStatus[Status],
 ""
)</f>
        <v>BLOCKED</v>
      </c>
      <c r="J1426" s="45" t="b">
        <v>0</v>
      </c>
    </row>
    <row r="1427" ht="14.25" hidden="1" customHeight="1">
      <c r="A1427" s="49" t="s">
        <v>3012</v>
      </c>
      <c r="B1427" s="49" t="str">
        <f>IFERROR(__xludf.DUMMYFUNCTION("REGEXREPLACE(
 REGEXREPLACE(A1427,""^cost\."",""""),
 ""\.[^.]+\.[^.]+$"",
 """"
)"),"tech.alchemists_hut.advanced_fertilizer")</f>
        <v>tech.alchemists_hut.advanced_fertilizer</v>
      </c>
      <c r="C1427" s="49" t="str">
        <f t="array" ref="C1427">_xlfn.XLOOKUP(
 B1427,
 tblTargets[TargetID],
 tblTargets[DisplayName],
 ""
)</f>
        <v>Alchemists Hut - Advanced Fertilizer</v>
      </c>
      <c r="D1427" s="49" t="str">
        <f t="array" ref="D1427">_xlfn.XLOOKUP(
 B1427,
 tblTargets[TargetID],
 tblTargets[TargetType],
 ""
)</f>
        <v>TECH</v>
      </c>
      <c r="E1427" s="49" t="s">
        <v>113</v>
      </c>
      <c r="F1427" s="49">
        <v>1.0</v>
      </c>
      <c r="G1427" s="49">
        <f t="array" ref="G1427">_xlfn.XLOOKUP(
 A1427,
 tblCost[RequirementID],
 tblCost[QuantityRequired],
 ""
)</f>
        <v>100</v>
      </c>
      <c r="H1427" s="49">
        <f t="array" ref="H1427">IF(
 OR(
  LEFT(B1427,15)="state.character",
  RIGHT(B1427,6)=".maxed"
 ),
 0,
 LET(
  sort,
   _xlfn.XLOOKUP(
    B1427,
    tblChecklist[TargetID],
    tblChecklist[PlayerSort],
    0
   ),
  IF(sort=0,500,sort)
 )
)</f>
        <v>500</v>
      </c>
      <c r="I1427" s="49" t="str">
        <f t="array" ref="I1427">_xlfn.XLOOKUP(
 B1427,
 tblTargetStatus[TargetID],
 tblTargetStatus[Status],
 ""
)</f>
        <v>BLOCKED</v>
      </c>
      <c r="J1427" s="45" t="b">
        <v>0</v>
      </c>
    </row>
    <row r="1428" ht="14.25" hidden="1" customHeight="1">
      <c r="A1428" s="49" t="s">
        <v>3014</v>
      </c>
      <c r="B1428" s="49" t="str">
        <f>IFERROR(__xludf.DUMMYFUNCTION("REGEXREPLACE(
 REGEXREPLACE(A1428,""^cost\."",""""),
 ""\.[^.]+\.[^.]+$"",
 """"
)"),"tech.alchemists_hut.advanced_fertilizer")</f>
        <v>tech.alchemists_hut.advanced_fertilizer</v>
      </c>
      <c r="C1428" s="49" t="str">
        <f t="array" ref="C1428">_xlfn.XLOOKUP(
 B1428,
 tblTargets[TargetID],
 tblTargets[DisplayName],
 ""
)</f>
        <v>Alchemists Hut - Advanced Fertilizer</v>
      </c>
      <c r="D1428" s="49" t="str">
        <f t="array" ref="D1428">_xlfn.XLOOKUP(
 B1428,
 tblTargets[TargetID],
 tblTargets[TargetType],
 ""
)</f>
        <v>TECH</v>
      </c>
      <c r="E1428" s="49" t="s">
        <v>119</v>
      </c>
      <c r="F1428" s="49">
        <v>1.0</v>
      </c>
      <c r="G1428" s="49">
        <f t="array" ref="G1428">_xlfn.XLOOKUP(
 A1428,
 tblCost[RequirementID],
 tblCost[QuantityRequired],
 ""
)</f>
        <v>800</v>
      </c>
      <c r="H1428" s="49">
        <f t="array" ref="H1428">IF(
 OR(
  LEFT(B1428,15)="state.character",
  RIGHT(B1428,6)=".maxed"
 ),
 0,
 LET(
  sort,
   _xlfn.XLOOKUP(
    B1428,
    tblChecklist[TargetID],
    tblChecklist[PlayerSort],
    0
   ),
  IF(sort=0,500,sort)
 )
)</f>
        <v>500</v>
      </c>
      <c r="I1428" s="49" t="str">
        <f t="array" ref="I1428">_xlfn.XLOOKUP(
 B1428,
 tblTargetStatus[TargetID],
 tblTargetStatus[Status],
 ""
)</f>
        <v>BLOCKED</v>
      </c>
      <c r="J1428" s="45" t="b">
        <v>0</v>
      </c>
    </row>
    <row r="1429" ht="14.25" hidden="1" customHeight="1">
      <c r="A1429" s="49" t="s">
        <v>3016</v>
      </c>
      <c r="B1429" s="49" t="str">
        <f>IFERROR(__xludf.DUMMYFUNCTION("REGEXREPLACE(
 REGEXREPLACE(A1429,""^cost\."",""""),
 ""\.[^.]+\.[^.]+$"",
 """"
)"),"tech.alchemists_hut.advanced_fertilizer")</f>
        <v>tech.alchemists_hut.advanced_fertilizer</v>
      </c>
      <c r="C1429" s="49" t="str">
        <f t="array" ref="C1429">_xlfn.XLOOKUP(
 B1429,
 tblTargets[TargetID],
 tblTargets[DisplayName],
 ""
)</f>
        <v>Alchemists Hut - Advanced Fertilizer</v>
      </c>
      <c r="D1429" s="49" t="str">
        <f t="array" ref="D1429">_xlfn.XLOOKUP(
 B1429,
 tblTargets[TargetID],
 tblTargets[TargetType],
 ""
)</f>
        <v>TECH</v>
      </c>
      <c r="E1429" s="49" t="s">
        <v>3017</v>
      </c>
      <c r="F1429" s="49">
        <v>1.0</v>
      </c>
      <c r="G1429" s="49">
        <f t="array" ref="G1429">_xlfn.XLOOKUP(
 A1429,
 tblCost[RequirementID],
 tblCost[QuantityRequired],
 ""
)</f>
        <v>50</v>
      </c>
      <c r="H1429" s="49">
        <f t="array" ref="H1429">IF(
 OR(
  LEFT(B1429,15)="state.character",
  RIGHT(B1429,6)=".maxed"
 ),
 0,
 LET(
  sort,
   _xlfn.XLOOKUP(
    B1429,
    tblChecklist[TargetID],
    tblChecklist[PlayerSort],
    0
   ),
  IF(sort=0,500,sort)
 )
)</f>
        <v>500</v>
      </c>
      <c r="I1429" s="49" t="str">
        <f t="array" ref="I1429">_xlfn.XLOOKUP(
 B1429,
 tblTargetStatus[TargetID],
 tblTargetStatus[Status],
 ""
)</f>
        <v>BLOCKED</v>
      </c>
      <c r="J1429" s="45" t="b">
        <v>0</v>
      </c>
    </row>
    <row r="1430" ht="14.25" hidden="1" customHeight="1">
      <c r="A1430" s="49" t="s">
        <v>3019</v>
      </c>
      <c r="B1430" s="49" t="str">
        <f>IFERROR(__xludf.DUMMYFUNCTION("REGEXREPLACE(
 REGEXREPLACE(A1430,""^cost\."",""""),
 ""\.[^.]+\.[^.]+$"",
 """"
)"),"tech.alchemists_hut.advanced_fertilizer")</f>
        <v>tech.alchemists_hut.advanced_fertilizer</v>
      </c>
      <c r="C1430" s="49" t="str">
        <f t="array" ref="C1430">_xlfn.XLOOKUP(
 B1430,
 tblTargets[TargetID],
 tblTargets[DisplayName],
 ""
)</f>
        <v>Alchemists Hut - Advanced Fertilizer</v>
      </c>
      <c r="D1430" s="49" t="str">
        <f t="array" ref="D1430">_xlfn.XLOOKUP(
 B1430,
 tblTargets[TargetID],
 tblTargets[TargetType],
 ""
)</f>
        <v>TECH</v>
      </c>
      <c r="E1430" s="49" t="s">
        <v>360</v>
      </c>
      <c r="F1430" s="49">
        <v>1.0</v>
      </c>
      <c r="G1430" s="49">
        <f t="array" ref="G1430">_xlfn.XLOOKUP(
 A1430,
 tblCost[RequirementID],
 tblCost[QuantityRequired],
 ""
)</f>
        <v>20</v>
      </c>
      <c r="H1430" s="49">
        <f t="array" ref="H1430">IF(
 OR(
  LEFT(B1430,15)="state.character",
  RIGHT(B1430,6)=".maxed"
 ),
 0,
 LET(
  sort,
   _xlfn.XLOOKUP(
    B1430,
    tblChecklist[TargetID],
    tblChecklist[PlayerSort],
    0
   ),
  IF(sort=0,500,sort)
 )
)</f>
        <v>500</v>
      </c>
      <c r="I1430" s="49" t="str">
        <f t="array" ref="I1430">_xlfn.XLOOKUP(
 B1430,
 tblTargetStatus[TargetID],
 tblTargetStatus[Status],
 ""
)</f>
        <v>BLOCKED</v>
      </c>
      <c r="J1430" s="45" t="b">
        <v>0</v>
      </c>
    </row>
    <row r="1431" ht="14.25" hidden="1" customHeight="1">
      <c r="A1431" s="49" t="s">
        <v>3021</v>
      </c>
      <c r="B1431" s="49" t="str">
        <f>IFERROR(__xludf.DUMMYFUNCTION("REGEXREPLACE(
 REGEXREPLACE(A1431,""^cost\."",""""),
 ""\.[^.]+\.[^.]+$"",
 """"
)"),"tech.alchemists_hut.advanced_fertilizer")</f>
        <v>tech.alchemists_hut.advanced_fertilizer</v>
      </c>
      <c r="C1431" s="49" t="str">
        <f t="array" ref="C1431">_xlfn.XLOOKUP(
 B1431,
 tblTargets[TargetID],
 tblTargets[DisplayName],
 ""
)</f>
        <v>Alchemists Hut - Advanced Fertilizer</v>
      </c>
      <c r="D1431" s="49" t="str">
        <f t="array" ref="D1431">_xlfn.XLOOKUP(
 B1431,
 tblTargets[TargetID],
 tblTargets[TargetType],
 ""
)</f>
        <v>TECH</v>
      </c>
      <c r="E1431" s="49" t="s">
        <v>140</v>
      </c>
      <c r="F1431" s="49">
        <v>1.0</v>
      </c>
      <c r="G1431" s="49">
        <f t="array" ref="G1431">_xlfn.XLOOKUP(
 A1431,
 tblCost[RequirementID],
 tblCost[QuantityRequired],
 ""
)</f>
        <v>20</v>
      </c>
      <c r="H1431" s="49">
        <f t="array" ref="H1431">IF(
 OR(
  LEFT(B1431,15)="state.character",
  RIGHT(B1431,6)=".maxed"
 ),
 0,
 LET(
  sort,
   _xlfn.XLOOKUP(
    B1431,
    tblChecklist[TargetID],
    tblChecklist[PlayerSort],
    0
   ),
  IF(sort=0,500,sort)
 )
)</f>
        <v>500</v>
      </c>
      <c r="I1431" s="49" t="str">
        <f t="array" ref="I1431">_xlfn.XLOOKUP(
 B1431,
 tblTargetStatus[TargetID],
 tblTargetStatus[Status],
 ""
)</f>
        <v>BLOCKED</v>
      </c>
      <c r="J1431" s="45" t="b">
        <v>0</v>
      </c>
    </row>
    <row r="1432" ht="14.25" hidden="1" customHeight="1">
      <c r="A1432" s="49" t="s">
        <v>3023</v>
      </c>
      <c r="B1432" s="49" t="str">
        <f>IFERROR(__xludf.DUMMYFUNCTION("REGEXREPLACE(
 REGEXREPLACE(A1432,""^cost\."",""""),
 ""\.[^.]+\.[^.]+$"",
 """"
)"),"tech.alchemists_hut.advanced_fertilizer")</f>
        <v>tech.alchemists_hut.advanced_fertilizer</v>
      </c>
      <c r="C1432" s="49" t="str">
        <f t="array" ref="C1432">_xlfn.XLOOKUP(
 B1432,
 tblTargets[TargetID],
 tblTargets[DisplayName],
 ""
)</f>
        <v>Alchemists Hut - Advanced Fertilizer</v>
      </c>
      <c r="D1432" s="49" t="str">
        <f t="array" ref="D1432">_xlfn.XLOOKUP(
 B1432,
 tblTargets[TargetID],
 tblTargets[TargetType],
 ""
)</f>
        <v>TECH</v>
      </c>
      <c r="E1432" s="49" t="s">
        <v>6</v>
      </c>
      <c r="F1432" s="49">
        <v>1.0</v>
      </c>
      <c r="G1432" s="49">
        <f t="array" ref="G1432">_xlfn.XLOOKUP(
 A1432,
 tblCost[RequirementID],
 tblCost[QuantityRequired],
 ""
)</f>
        <v>5</v>
      </c>
      <c r="H1432" s="49">
        <f t="array" ref="H1432">IF(
 OR(
  LEFT(B1432,15)="state.character",
  RIGHT(B1432,6)=".maxed"
 ),
 0,
 LET(
  sort,
   _xlfn.XLOOKUP(
    B1432,
    tblChecklist[TargetID],
    tblChecklist[PlayerSort],
    0
   ),
  IF(sort=0,500,sort)
 )
)</f>
        <v>500</v>
      </c>
      <c r="I1432" s="49" t="str">
        <f t="array" ref="I1432">_xlfn.XLOOKUP(
 B1432,
 tblTargetStatus[TargetID],
 tblTargetStatus[Status],
 ""
)</f>
        <v>BLOCKED</v>
      </c>
      <c r="J1432" s="45" t="b">
        <v>0</v>
      </c>
    </row>
    <row r="1433" ht="14.25" hidden="1" customHeight="1">
      <c r="A1433" s="49" t="s">
        <v>3025</v>
      </c>
      <c r="B1433" s="49" t="str">
        <f>IFERROR(__xludf.DUMMYFUNCTION("REGEXREPLACE(
 REGEXREPLACE(A1433,""^cost\."",""""),
 ""\.[^.]+\.[^.]+$"",
 """"
)"),"tech.alchemists_hut.advanced_fertilizer")</f>
        <v>tech.alchemists_hut.advanced_fertilizer</v>
      </c>
      <c r="C1433" s="49" t="str">
        <f t="array" ref="C1433">_xlfn.XLOOKUP(
 B1433,
 tblTargets[TargetID],
 tblTargets[DisplayName],
 ""
)</f>
        <v>Alchemists Hut - Advanced Fertilizer</v>
      </c>
      <c r="D1433" s="49" t="str">
        <f t="array" ref="D1433">_xlfn.XLOOKUP(
 B1433,
 tblTargets[TargetID],
 tblTargets[TargetType],
 ""
)</f>
        <v>TECH</v>
      </c>
      <c r="E1433" s="49" t="s">
        <v>1489</v>
      </c>
      <c r="F1433" s="49">
        <v>1.0</v>
      </c>
      <c r="G1433" s="49">
        <f t="array" ref="G1433">_xlfn.XLOOKUP(
 A1433,
 tblCost[RequirementID],
 tblCost[QuantityRequired],
 ""
)</f>
        <v>10</v>
      </c>
      <c r="H1433" s="49">
        <f t="array" ref="H1433">IF(
 OR(
  LEFT(B1433,15)="state.character",
  RIGHT(B1433,6)=".maxed"
 ),
 0,
 LET(
  sort,
   _xlfn.XLOOKUP(
    B1433,
    tblChecklist[TargetID],
    tblChecklist[PlayerSort],
    0
   ),
  IF(sort=0,500,sort)
 )
)</f>
        <v>500</v>
      </c>
      <c r="I1433" s="49" t="str">
        <f t="array" ref="I1433">_xlfn.XLOOKUP(
 B1433,
 tblTargetStatus[TargetID],
 tblTargetStatus[Status],
 ""
)</f>
        <v>BLOCKED</v>
      </c>
      <c r="J1433" s="45" t="b">
        <v>0</v>
      </c>
    </row>
    <row r="1434" ht="14.25" hidden="1" customHeight="1">
      <c r="A1434" s="49" t="s">
        <v>2813</v>
      </c>
      <c r="B1434" s="49" t="str">
        <f>IFERROR(__xludf.DUMMYFUNCTION("REGEXREPLACE(
 REGEXREPLACE(A1434,""^cost\."",""""),
 ""\.[^.]+\.[^.]+$"",
 """"
)"),"tech.alchemists_hut.balm")</f>
        <v>tech.alchemists_hut.balm</v>
      </c>
      <c r="C1434" s="49" t="str">
        <f t="array" ref="C1434">_xlfn.XLOOKUP(
 B1434,
 tblTargets[TargetID],
 tblTargets[DisplayName],
 ""
)</f>
        <v>Alchemists Hut - Balm</v>
      </c>
      <c r="D1434" s="49" t="str">
        <f t="array" ref="D1434">_xlfn.XLOOKUP(
 B1434,
 tblTargets[TargetID],
 tblTargets[TargetType],
 ""
)</f>
        <v>TECH</v>
      </c>
      <c r="E1434" s="49" t="s">
        <v>2514</v>
      </c>
      <c r="F1434" s="49">
        <v>1.0</v>
      </c>
      <c r="G1434" s="49">
        <f t="array" ref="G1434">_xlfn.XLOOKUP(
 A1434,
 tblCost[RequirementID],
 tblCost[QuantityRequired],
 ""
)</f>
        <v>9</v>
      </c>
      <c r="H1434" s="49">
        <f t="array" ref="H1434">IF(
 OR(
  LEFT(B1434,15)="state.character",
  RIGHT(B1434,6)=".maxed"
 ),
 0,
 LET(
  sort,
   _xlfn.XLOOKUP(
    B1434,
    tblChecklist[TargetID],
    tblChecklist[PlayerSort],
    0
   ),
  IF(sort=0,500,sort)
 )
)</f>
        <v>500</v>
      </c>
      <c r="I1434" s="49" t="str">
        <f t="array" ref="I1434">_xlfn.XLOOKUP(
 B1434,
 tblTargetStatus[TargetID],
 tblTargetStatus[Status],
 ""
)</f>
        <v>BLOCKED</v>
      </c>
      <c r="J1434" s="45" t="b">
        <v>0</v>
      </c>
    </row>
    <row r="1435" ht="14.25" hidden="1" customHeight="1">
      <c r="A1435" s="49" t="s">
        <v>2814</v>
      </c>
      <c r="B1435" s="49" t="str">
        <f>IFERROR(__xludf.DUMMYFUNCTION("REGEXREPLACE(
 REGEXREPLACE(A1435,""^cost\."",""""),
 ""\.[^.]+\.[^.]+$"",
 """"
)"),"tech.alchemists_hut.balm")</f>
        <v>tech.alchemists_hut.balm</v>
      </c>
      <c r="C1435" s="49" t="str">
        <f t="array" ref="C1435">_xlfn.XLOOKUP(
 B1435,
 tblTargets[TargetID],
 tblTargets[DisplayName],
 ""
)</f>
        <v>Alchemists Hut - Balm</v>
      </c>
      <c r="D1435" s="49" t="str">
        <f t="array" ref="D1435">_xlfn.XLOOKUP(
 B1435,
 tblTargets[TargetID],
 tblTargets[TargetType],
 ""
)</f>
        <v>TECH</v>
      </c>
      <c r="E1435" s="49" t="s">
        <v>119</v>
      </c>
      <c r="F1435" s="49">
        <v>1.0</v>
      </c>
      <c r="G1435" s="49">
        <f t="array" ref="G1435">_xlfn.XLOOKUP(
 A1435,
 tblCost[RequirementID],
 tblCost[QuantityRequired],
 ""
)</f>
        <v>300</v>
      </c>
      <c r="H1435" s="49">
        <f t="array" ref="H1435">IF(
 OR(
  LEFT(B1435,15)="state.character",
  RIGHT(B1435,6)=".maxed"
 ),
 0,
 LET(
  sort,
   _xlfn.XLOOKUP(
    B1435,
    tblChecklist[TargetID],
    tblChecklist[PlayerSort],
    0
   ),
  IF(sort=0,500,sort)
 )
)</f>
        <v>500</v>
      </c>
      <c r="I1435" s="49" t="str">
        <f t="array" ref="I1435">_xlfn.XLOOKUP(
 B1435,
 tblTargetStatus[TargetID],
 tblTargetStatus[Status],
 ""
)</f>
        <v>BLOCKED</v>
      </c>
      <c r="J1435" s="45" t="b">
        <v>0</v>
      </c>
    </row>
    <row r="1436" ht="14.25" hidden="1" customHeight="1">
      <c r="A1436" s="49" t="s">
        <v>2816</v>
      </c>
      <c r="B1436" s="49" t="str">
        <f>IFERROR(__xludf.DUMMYFUNCTION("REGEXREPLACE(
 REGEXREPLACE(A1436,""^cost\."",""""),
 ""\.[^.]+\.[^.]+$"",
 """"
)"),"tech.alchemists_hut.balm")</f>
        <v>tech.alchemists_hut.balm</v>
      </c>
      <c r="C1436" s="49" t="str">
        <f t="array" ref="C1436">_xlfn.XLOOKUP(
 B1436,
 tblTargets[TargetID],
 tblTargets[DisplayName],
 ""
)</f>
        <v>Alchemists Hut - Balm</v>
      </c>
      <c r="D1436" s="49" t="str">
        <f t="array" ref="D1436">_xlfn.XLOOKUP(
 B1436,
 tblTargets[TargetID],
 tblTargets[TargetType],
 ""
)</f>
        <v>TECH</v>
      </c>
      <c r="E1436" s="49" t="s">
        <v>360</v>
      </c>
      <c r="F1436" s="49">
        <v>1.0</v>
      </c>
      <c r="G1436" s="49">
        <f t="array" ref="G1436">_xlfn.XLOOKUP(
 A1436,
 tblCost[RequirementID],
 tblCost[QuantityRequired],
 ""
)</f>
        <v>10</v>
      </c>
      <c r="H1436" s="49">
        <f t="array" ref="H1436">IF(
 OR(
  LEFT(B1436,15)="state.character",
  RIGHT(B1436,6)=".maxed"
 ),
 0,
 LET(
  sort,
   _xlfn.XLOOKUP(
    B1436,
    tblChecklist[TargetID],
    tblChecklist[PlayerSort],
    0
   ),
  IF(sort=0,500,sort)
 )
)</f>
        <v>500</v>
      </c>
      <c r="I1436" s="49" t="str">
        <f t="array" ref="I1436">_xlfn.XLOOKUP(
 B1436,
 tblTargetStatus[TargetID],
 tblTargetStatus[Status],
 ""
)</f>
        <v>BLOCKED</v>
      </c>
      <c r="J1436" s="45" t="b">
        <v>0</v>
      </c>
    </row>
    <row r="1437" ht="14.25" hidden="1" customHeight="1">
      <c r="A1437" s="49" t="s">
        <v>2818</v>
      </c>
      <c r="B1437" s="49" t="str">
        <f>IFERROR(__xludf.DUMMYFUNCTION("REGEXREPLACE(
 REGEXREPLACE(A1437,""^cost\."",""""),
 ""\.[^.]+\.[^.]+$"",
 """"
)"),"tech.alchemists_hut.balm")</f>
        <v>tech.alchemists_hut.balm</v>
      </c>
      <c r="C1437" s="49" t="str">
        <f t="array" ref="C1437">_xlfn.XLOOKUP(
 B1437,
 tblTargets[TargetID],
 tblTargets[DisplayName],
 ""
)</f>
        <v>Alchemists Hut - Balm</v>
      </c>
      <c r="D1437" s="49" t="str">
        <f t="array" ref="D1437">_xlfn.XLOOKUP(
 B1437,
 tblTargets[TargetID],
 tblTargets[TargetType],
 ""
)</f>
        <v>TECH</v>
      </c>
      <c r="E1437" s="49" t="s">
        <v>530</v>
      </c>
      <c r="F1437" s="49">
        <v>1.0</v>
      </c>
      <c r="G1437" s="49">
        <f t="array" ref="G1437">_xlfn.XLOOKUP(
 A1437,
 tblCost[RequirementID],
 tblCost[QuantityRequired],
 ""
)</f>
        <v>10</v>
      </c>
      <c r="H1437" s="49">
        <f t="array" ref="H1437">IF(
 OR(
  LEFT(B1437,15)="state.character",
  RIGHT(B1437,6)=".maxed"
 ),
 0,
 LET(
  sort,
   _xlfn.XLOOKUP(
    B1437,
    tblChecklist[TargetID],
    tblChecklist[PlayerSort],
    0
   ),
  IF(sort=0,500,sort)
 )
)</f>
        <v>500</v>
      </c>
      <c r="I1437" s="49" t="str">
        <f t="array" ref="I1437">_xlfn.XLOOKUP(
 B1437,
 tblTargetStatus[TargetID],
 tblTargetStatus[Status],
 ""
)</f>
        <v>BLOCKED</v>
      </c>
      <c r="J1437" s="45" t="b">
        <v>0</v>
      </c>
    </row>
    <row r="1438" ht="14.25" hidden="1" customHeight="1">
      <c r="A1438" s="49" t="s">
        <v>2820</v>
      </c>
      <c r="B1438" s="49" t="str">
        <f>IFERROR(__xludf.DUMMYFUNCTION("REGEXREPLACE(
 REGEXREPLACE(A1438,""^cost\."",""""),
 ""\.[^.]+\.[^.]+$"",
 """"
)"),"tech.alchemists_hut.balm")</f>
        <v>tech.alchemists_hut.balm</v>
      </c>
      <c r="C1438" s="49" t="str">
        <f t="array" ref="C1438">_xlfn.XLOOKUP(
 B1438,
 tblTargets[TargetID],
 tblTargets[DisplayName],
 ""
)</f>
        <v>Alchemists Hut - Balm</v>
      </c>
      <c r="D1438" s="49" t="str">
        <f t="array" ref="D1438">_xlfn.XLOOKUP(
 B1438,
 tblTargets[TargetID],
 tblTargets[TargetType],
 ""
)</f>
        <v>TECH</v>
      </c>
      <c r="E1438" s="49" t="s">
        <v>508</v>
      </c>
      <c r="F1438" s="49">
        <v>1.0</v>
      </c>
      <c r="G1438" s="49">
        <f t="array" ref="G1438">_xlfn.XLOOKUP(
 A1438,
 tblCost[RequirementID],
 tblCost[QuantityRequired],
 ""
)</f>
        <v>30</v>
      </c>
      <c r="H1438" s="49">
        <f t="array" ref="H1438">IF(
 OR(
  LEFT(B1438,15)="state.character",
  RIGHT(B1438,6)=".maxed"
 ),
 0,
 LET(
  sort,
   _xlfn.XLOOKUP(
    B1438,
    tblChecklist[TargetID],
    tblChecklist[PlayerSort],
    0
   ),
  IF(sort=0,500,sort)
 )
)</f>
        <v>500</v>
      </c>
      <c r="I1438" s="49" t="str">
        <f t="array" ref="I1438">_xlfn.XLOOKUP(
 B1438,
 tblTargetStatus[TargetID],
 tblTargetStatus[Status],
 ""
)</f>
        <v>BLOCKED</v>
      </c>
      <c r="J1438" s="45" t="b">
        <v>0</v>
      </c>
    </row>
    <row r="1439" ht="14.25" hidden="1" customHeight="1">
      <c r="A1439" s="49" t="s">
        <v>2822</v>
      </c>
      <c r="B1439" s="49" t="str">
        <f>IFERROR(__xludf.DUMMYFUNCTION("REGEXREPLACE(
 REGEXREPLACE(A1439,""^cost\."",""""),
 ""\.[^.]+\.[^.]+$"",
 """"
)"),"tech.alchemists_hut.balm")</f>
        <v>tech.alchemists_hut.balm</v>
      </c>
      <c r="C1439" s="49" t="str">
        <f t="array" ref="C1439">_xlfn.XLOOKUP(
 B1439,
 tblTargets[TargetID],
 tblTargets[DisplayName],
 ""
)</f>
        <v>Alchemists Hut - Balm</v>
      </c>
      <c r="D1439" s="49" t="str">
        <f t="array" ref="D1439">_xlfn.XLOOKUP(
 B1439,
 tblTargets[TargetID],
 tblTargets[TargetType],
 ""
)</f>
        <v>TECH</v>
      </c>
      <c r="E1439" s="49" t="s">
        <v>588</v>
      </c>
      <c r="F1439" s="49">
        <v>1.0</v>
      </c>
      <c r="G1439" s="49">
        <f t="array" ref="G1439">_xlfn.XLOOKUP(
 A1439,
 tblCost[RequirementID],
 tblCost[QuantityRequired],
 ""
)</f>
        <v>5</v>
      </c>
      <c r="H1439" s="49">
        <f t="array" ref="H1439">IF(
 OR(
  LEFT(B1439,15)="state.character",
  RIGHT(B1439,6)=".maxed"
 ),
 0,
 LET(
  sort,
   _xlfn.XLOOKUP(
    B1439,
    tblChecklist[TargetID],
    tblChecklist[PlayerSort],
    0
   ),
  IF(sort=0,500,sort)
 )
)</f>
        <v>500</v>
      </c>
      <c r="I1439" s="49" t="str">
        <f t="array" ref="I1439">_xlfn.XLOOKUP(
 B1439,
 tblTargetStatus[TargetID],
 tblTargetStatus[Status],
 ""
)</f>
        <v>BLOCKED</v>
      </c>
      <c r="J1439" s="45" t="b">
        <v>0</v>
      </c>
    </row>
    <row r="1440" ht="14.25" hidden="1" customHeight="1">
      <c r="A1440" s="49" t="s">
        <v>2824</v>
      </c>
      <c r="B1440" s="49" t="str">
        <f>IFERROR(__xludf.DUMMYFUNCTION("REGEXREPLACE(
 REGEXREPLACE(A1440,""^cost\."",""""),
 ""\.[^.]+\.[^.]+$"",
 """"
)"),"tech.alchemists_hut.balm")</f>
        <v>tech.alchemists_hut.balm</v>
      </c>
      <c r="C1440" s="49" t="str">
        <f t="array" ref="C1440">_xlfn.XLOOKUP(
 B1440,
 tblTargets[TargetID],
 tblTargets[DisplayName],
 ""
)</f>
        <v>Alchemists Hut - Balm</v>
      </c>
      <c r="D1440" s="49" t="str">
        <f t="array" ref="D1440">_xlfn.XLOOKUP(
 B1440,
 tblTargets[TargetID],
 tblTargets[TargetType],
 ""
)</f>
        <v>TECH</v>
      </c>
      <c r="E1440" s="49" t="s">
        <v>6</v>
      </c>
      <c r="F1440" s="49">
        <v>1.0</v>
      </c>
      <c r="G1440" s="49">
        <f t="array" ref="G1440">_xlfn.XLOOKUP(
 A1440,
 tblCost[RequirementID],
 tblCost[QuantityRequired],
 ""
)</f>
        <v>1</v>
      </c>
      <c r="H1440" s="49">
        <f t="array" ref="H1440">IF(
 OR(
  LEFT(B1440,15)="state.character",
  RIGHT(B1440,6)=".maxed"
 ),
 0,
 LET(
  sort,
   _xlfn.XLOOKUP(
    B1440,
    tblChecklist[TargetID],
    tblChecklist[PlayerSort],
    0
   ),
  IF(sort=0,500,sort)
 )
)</f>
        <v>500</v>
      </c>
      <c r="I1440" s="49" t="str">
        <f t="array" ref="I1440">_xlfn.XLOOKUP(
 B1440,
 tblTargetStatus[TargetID],
 tblTargetStatus[Status],
 ""
)</f>
        <v>BLOCKED</v>
      </c>
      <c r="J1440" s="45" t="b">
        <v>0</v>
      </c>
    </row>
    <row r="1441" ht="14.25" hidden="1" customHeight="1">
      <c r="A1441" s="49" t="s">
        <v>2959</v>
      </c>
      <c r="B1441" s="49" t="str">
        <f>IFERROR(__xludf.DUMMYFUNCTION("REGEXREPLACE(
 REGEXREPLACE(A1441,""^cost\."",""""),
 ""\.[^.]+\.[^.]+$"",
 """"
)"),"tech.alchemists_hut.conveyor_lvl_1")</f>
        <v>tech.alchemists_hut.conveyor_lvl_1</v>
      </c>
      <c r="C1441" s="49" t="str">
        <f t="array" ref="C1441">_xlfn.XLOOKUP(
 B1441,
 tblTargets[TargetID],
 tblTargets[DisplayName],
 ""
)</f>
        <v>Alchemists Hut - Conveyor Lvl 1</v>
      </c>
      <c r="D1441" s="49" t="str">
        <f t="array" ref="D1441">_xlfn.XLOOKUP(
 B1441,
 tblTargets[TargetID],
 tblTargets[TargetType],
 ""
)</f>
        <v>TECH</v>
      </c>
      <c r="E1441" s="49" t="s">
        <v>1055</v>
      </c>
      <c r="F1441" s="49">
        <v>1.0</v>
      </c>
      <c r="G1441" s="49">
        <f t="array" ref="G1441">_xlfn.XLOOKUP(
 A1441,
 tblCost[RequirementID],
 tblCost[QuantityRequired],
 ""
)</f>
        <v>10</v>
      </c>
      <c r="H1441" s="49">
        <f t="array" ref="H1441">IF(
 OR(
  LEFT(B1441,15)="state.character",
  RIGHT(B1441,6)=".maxed"
 ),
 0,
 LET(
  sort,
   _xlfn.XLOOKUP(
    B1441,
    tblChecklist[TargetID],
    tblChecklist[PlayerSort],
    0
   ),
  IF(sort=0,500,sort)
 )
)</f>
        <v>500</v>
      </c>
      <c r="I1441" s="49" t="str">
        <f t="array" ref="I1441">_xlfn.XLOOKUP(
 B1441,
 tblTargetStatus[TargetID],
 tblTargetStatus[Status],
 ""
)</f>
        <v>BLOCKED</v>
      </c>
      <c r="J1441" s="45" t="b">
        <v>0</v>
      </c>
    </row>
    <row r="1442" ht="14.25" hidden="1" customHeight="1">
      <c r="A1442" s="49" t="s">
        <v>2961</v>
      </c>
      <c r="B1442" s="49" t="str">
        <f>IFERROR(__xludf.DUMMYFUNCTION("REGEXREPLACE(
 REGEXREPLACE(A1442,""^cost\."",""""),
 ""\.[^.]+\.[^.]+$"",
 """"
)"),"tech.alchemists_hut.conveyor_lvl_1")</f>
        <v>tech.alchemists_hut.conveyor_lvl_1</v>
      </c>
      <c r="C1442" s="49" t="str">
        <f t="array" ref="C1442">_xlfn.XLOOKUP(
 B1442,
 tblTargets[TargetID],
 tblTargets[DisplayName],
 ""
)</f>
        <v>Alchemists Hut - Conveyor Lvl 1</v>
      </c>
      <c r="D1442" s="49" t="str">
        <f t="array" ref="D1442">_xlfn.XLOOKUP(
 B1442,
 tblTargets[TargetID],
 tblTargets[TargetType],
 ""
)</f>
        <v>TECH</v>
      </c>
      <c r="E1442" s="49" t="s">
        <v>119</v>
      </c>
      <c r="F1442" s="49">
        <v>1.0</v>
      </c>
      <c r="G1442" s="49">
        <f t="array" ref="G1442">_xlfn.XLOOKUP(
 A1442,
 tblCost[RequirementID],
 tblCost[QuantityRequired],
 ""
)</f>
        <v>400</v>
      </c>
      <c r="H1442" s="49">
        <f t="array" ref="H1442">IF(
 OR(
  LEFT(B1442,15)="state.character",
  RIGHT(B1442,6)=".maxed"
 ),
 0,
 LET(
  sort,
   _xlfn.XLOOKUP(
    B1442,
    tblChecklist[TargetID],
    tblChecklist[PlayerSort],
    0
   ),
  IF(sort=0,500,sort)
 )
)</f>
        <v>500</v>
      </c>
      <c r="I1442" s="49" t="str">
        <f t="array" ref="I1442">_xlfn.XLOOKUP(
 B1442,
 tblTargetStatus[TargetID],
 tblTargetStatus[Status],
 ""
)</f>
        <v>BLOCKED</v>
      </c>
      <c r="J1442" s="45" t="b">
        <v>0</v>
      </c>
    </row>
    <row r="1443" ht="14.25" hidden="1" customHeight="1">
      <c r="A1443" s="49" t="s">
        <v>2963</v>
      </c>
      <c r="B1443" s="49" t="str">
        <f>IFERROR(__xludf.DUMMYFUNCTION("REGEXREPLACE(
 REGEXREPLACE(A1443,""^cost\."",""""),
 ""\.[^.]+\.[^.]+$"",
 """"
)"),"tech.alchemists_hut.conveyor_lvl_1")</f>
        <v>tech.alchemists_hut.conveyor_lvl_1</v>
      </c>
      <c r="C1443" s="49" t="str">
        <f t="array" ref="C1443">_xlfn.XLOOKUP(
 B1443,
 tblTargets[TargetID],
 tblTargets[DisplayName],
 ""
)</f>
        <v>Alchemists Hut - Conveyor Lvl 1</v>
      </c>
      <c r="D1443" s="49" t="str">
        <f t="array" ref="D1443">_xlfn.XLOOKUP(
 B1443,
 tblTargets[TargetID],
 tblTargets[TargetType],
 ""
)</f>
        <v>TECH</v>
      </c>
      <c r="E1443" s="49" t="s">
        <v>2964</v>
      </c>
      <c r="F1443" s="49">
        <v>1.0</v>
      </c>
      <c r="G1443" s="49">
        <f t="array" ref="G1443">_xlfn.XLOOKUP(
 A1443,
 tblCost[RequirementID],
 tblCost[QuantityRequired],
 ""
)</f>
        <v>40</v>
      </c>
      <c r="H1443" s="49">
        <f t="array" ref="H1443">IF(
 OR(
  LEFT(B1443,15)="state.character",
  RIGHT(B1443,6)=".maxed"
 ),
 0,
 LET(
  sort,
   _xlfn.XLOOKUP(
    B1443,
    tblChecklist[TargetID],
    tblChecklist[PlayerSort],
    0
   ),
  IF(sort=0,500,sort)
 )
)</f>
        <v>500</v>
      </c>
      <c r="I1443" s="49" t="str">
        <f t="array" ref="I1443">_xlfn.XLOOKUP(
 B1443,
 tblTargetStatus[TargetID],
 tblTargetStatus[Status],
 ""
)</f>
        <v>BLOCKED</v>
      </c>
      <c r="J1443" s="45" t="b">
        <v>0</v>
      </c>
    </row>
    <row r="1444" ht="14.25" hidden="1" customHeight="1">
      <c r="A1444" s="49" t="s">
        <v>2966</v>
      </c>
      <c r="B1444" s="49" t="str">
        <f>IFERROR(__xludf.DUMMYFUNCTION("REGEXREPLACE(
 REGEXREPLACE(A1444,""^cost\."",""""),
 ""\.[^.]+\.[^.]+$"",
 """"
)"),"tech.alchemists_hut.conveyor_lvl_1")</f>
        <v>tech.alchemists_hut.conveyor_lvl_1</v>
      </c>
      <c r="C1444" s="49" t="str">
        <f t="array" ref="C1444">_xlfn.XLOOKUP(
 B1444,
 tblTargets[TargetID],
 tblTargets[DisplayName],
 ""
)</f>
        <v>Alchemists Hut - Conveyor Lvl 1</v>
      </c>
      <c r="D1444" s="49" t="str">
        <f t="array" ref="D1444">_xlfn.XLOOKUP(
 B1444,
 tblTargets[TargetID],
 tblTargets[TargetType],
 ""
)</f>
        <v>TECH</v>
      </c>
      <c r="E1444" s="49" t="s">
        <v>1078</v>
      </c>
      <c r="F1444" s="49">
        <v>1.0</v>
      </c>
      <c r="G1444" s="49">
        <f t="array" ref="G1444">_xlfn.XLOOKUP(
 A1444,
 tblCost[RequirementID],
 tblCost[QuantityRequired],
 ""
)</f>
        <v>10</v>
      </c>
      <c r="H1444" s="49">
        <f t="array" ref="H1444">IF(
 OR(
  LEFT(B1444,15)="state.character",
  RIGHT(B1444,6)=".maxed"
 ),
 0,
 LET(
  sort,
   _xlfn.XLOOKUP(
    B1444,
    tblChecklist[TargetID],
    tblChecklist[PlayerSort],
    0
   ),
  IF(sort=0,500,sort)
 )
)</f>
        <v>500</v>
      </c>
      <c r="I1444" s="49" t="str">
        <f t="array" ref="I1444">_xlfn.XLOOKUP(
 B1444,
 tblTargetStatus[TargetID],
 tblTargetStatus[Status],
 ""
)</f>
        <v>BLOCKED</v>
      </c>
      <c r="J1444" s="45" t="b">
        <v>0</v>
      </c>
    </row>
    <row r="1445" ht="14.25" hidden="1" customHeight="1">
      <c r="A1445" s="49" t="s">
        <v>2968</v>
      </c>
      <c r="B1445" s="49" t="str">
        <f>IFERROR(__xludf.DUMMYFUNCTION("REGEXREPLACE(
 REGEXREPLACE(A1445,""^cost\."",""""),
 ""\.[^.]+\.[^.]+$"",
 """"
)"),"tech.alchemists_hut.conveyor_lvl_1")</f>
        <v>tech.alchemists_hut.conveyor_lvl_1</v>
      </c>
      <c r="C1445" s="49" t="str">
        <f t="array" ref="C1445">_xlfn.XLOOKUP(
 B1445,
 tblTargets[TargetID],
 tblTargets[DisplayName],
 ""
)</f>
        <v>Alchemists Hut - Conveyor Lvl 1</v>
      </c>
      <c r="D1445" s="49" t="str">
        <f t="array" ref="D1445">_xlfn.XLOOKUP(
 B1445,
 tblTargets[TargetID],
 tblTargets[TargetType],
 ""
)</f>
        <v>TECH</v>
      </c>
      <c r="E1445" s="49" t="s">
        <v>2135</v>
      </c>
      <c r="F1445" s="49">
        <v>1.0</v>
      </c>
      <c r="G1445" s="49">
        <f t="array" ref="G1445">_xlfn.XLOOKUP(
 A1445,
 tblCost[RequirementID],
 tblCost[QuantityRequired],
 ""
)</f>
        <v>20</v>
      </c>
      <c r="H1445" s="49">
        <f t="array" ref="H1445">IF(
 OR(
  LEFT(B1445,15)="state.character",
  RIGHT(B1445,6)=".maxed"
 ),
 0,
 LET(
  sort,
   _xlfn.XLOOKUP(
    B1445,
    tblChecklist[TargetID],
    tblChecklist[PlayerSort],
    0
   ),
  IF(sort=0,500,sort)
 )
)</f>
        <v>500</v>
      </c>
      <c r="I1445" s="49" t="str">
        <f t="array" ref="I1445">_xlfn.XLOOKUP(
 B1445,
 tblTargetStatus[TargetID],
 tblTargetStatus[Status],
 ""
)</f>
        <v>BLOCKED</v>
      </c>
      <c r="J1445" s="45" t="b">
        <v>0</v>
      </c>
    </row>
    <row r="1446" ht="14.25" hidden="1" customHeight="1">
      <c r="A1446" s="49" t="s">
        <v>2970</v>
      </c>
      <c r="B1446" s="49" t="str">
        <f>IFERROR(__xludf.DUMMYFUNCTION("REGEXREPLACE(
 REGEXREPLACE(A1446,""^cost\."",""""),
 ""\.[^.]+\.[^.]+$"",
 """"
)"),"tech.alchemists_hut.conveyor_lvl_1")</f>
        <v>tech.alchemists_hut.conveyor_lvl_1</v>
      </c>
      <c r="C1446" s="49" t="str">
        <f t="array" ref="C1446">_xlfn.XLOOKUP(
 B1446,
 tblTargets[TargetID],
 tblTargets[DisplayName],
 ""
)</f>
        <v>Alchemists Hut - Conveyor Lvl 1</v>
      </c>
      <c r="D1446" s="49" t="str">
        <f t="array" ref="D1446">_xlfn.XLOOKUP(
 B1446,
 tblTargets[TargetID],
 tblTargets[TargetType],
 ""
)</f>
        <v>TECH</v>
      </c>
      <c r="E1446" s="49" t="s">
        <v>6</v>
      </c>
      <c r="F1446" s="49">
        <v>1.0</v>
      </c>
      <c r="G1446" s="49">
        <f t="array" ref="G1446">_xlfn.XLOOKUP(
 A1446,
 tblCost[RequirementID],
 tblCost[QuantityRequired],
 ""
)</f>
        <v>2</v>
      </c>
      <c r="H1446" s="49">
        <f t="array" ref="H1446">IF(
 OR(
  LEFT(B1446,15)="state.character",
  RIGHT(B1446,6)=".maxed"
 ),
 0,
 LET(
  sort,
   _xlfn.XLOOKUP(
    B1446,
    tblChecklist[TargetID],
    tblChecklist[PlayerSort],
    0
   ),
  IF(sort=0,500,sort)
 )
)</f>
        <v>500</v>
      </c>
      <c r="I1446" s="49" t="str">
        <f t="array" ref="I1446">_xlfn.XLOOKUP(
 B1446,
 tblTargetStatus[TargetID],
 tblTargetStatus[Status],
 ""
)</f>
        <v>BLOCKED</v>
      </c>
      <c r="J1446" s="45" t="b">
        <v>0</v>
      </c>
    </row>
    <row r="1447" ht="14.25" hidden="1" customHeight="1">
      <c r="A1447" s="49" t="s">
        <v>2972</v>
      </c>
      <c r="B1447" s="49" t="str">
        <f>IFERROR(__xludf.DUMMYFUNCTION("REGEXREPLACE(
 REGEXREPLACE(A1447,""^cost\."",""""),
 ""\.[^.]+\.[^.]+$"",
 """"
)"),"tech.alchemists_hut.conveyor_lvl_2")</f>
        <v>tech.alchemists_hut.conveyor_lvl_2</v>
      </c>
      <c r="C1447" s="49" t="str">
        <f t="array" ref="C1447">_xlfn.XLOOKUP(
 B1447,
 tblTargets[TargetID],
 tblTargets[DisplayName],
 ""
)</f>
        <v>Alchemists Hut - Conveyor Lvl 2</v>
      </c>
      <c r="D1447" s="49" t="str">
        <f t="array" ref="D1447">_xlfn.XLOOKUP(
 B1447,
 tblTargets[TargetID],
 tblTargets[TargetType],
 ""
)</f>
        <v>TECH</v>
      </c>
      <c r="E1447" s="49" t="s">
        <v>1055</v>
      </c>
      <c r="F1447" s="49">
        <v>1.0</v>
      </c>
      <c r="G1447" s="49">
        <f t="array" ref="G1447">_xlfn.XLOOKUP(
 A1447,
 tblCost[RequirementID],
 tblCost[QuantityRequired],
 ""
)</f>
        <v>15</v>
      </c>
      <c r="H1447" s="49">
        <f t="array" ref="H1447">IF(
 OR(
  LEFT(B1447,15)="state.character",
  RIGHT(B1447,6)=".maxed"
 ),
 0,
 LET(
  sort,
   _xlfn.XLOOKUP(
    B1447,
    tblChecklist[TargetID],
    tblChecklist[PlayerSort],
    0
   ),
  IF(sort=0,500,sort)
 )
)</f>
        <v>500</v>
      </c>
      <c r="I1447" s="49" t="str">
        <f t="array" ref="I1447">_xlfn.XLOOKUP(
 B1447,
 tblTargetStatus[TargetID],
 tblTargetStatus[Status],
 ""
)</f>
        <v>BLOCKED</v>
      </c>
      <c r="J1447" s="45" t="b">
        <v>0</v>
      </c>
    </row>
    <row r="1448" ht="14.25" hidden="1" customHeight="1">
      <c r="A1448" s="49" t="s">
        <v>2974</v>
      </c>
      <c r="B1448" s="49" t="str">
        <f>IFERROR(__xludf.DUMMYFUNCTION("REGEXREPLACE(
 REGEXREPLACE(A1448,""^cost\."",""""),
 ""\.[^.]+\.[^.]+$"",
 """"
)"),"tech.alchemists_hut.conveyor_lvl_2")</f>
        <v>tech.alchemists_hut.conveyor_lvl_2</v>
      </c>
      <c r="C1448" s="49" t="str">
        <f t="array" ref="C1448">_xlfn.XLOOKUP(
 B1448,
 tblTargets[TargetID],
 tblTargets[DisplayName],
 ""
)</f>
        <v>Alchemists Hut - Conveyor Lvl 2</v>
      </c>
      <c r="D1448" s="49" t="str">
        <f t="array" ref="D1448">_xlfn.XLOOKUP(
 B1448,
 tblTargets[TargetID],
 tblTargets[TargetType],
 ""
)</f>
        <v>TECH</v>
      </c>
      <c r="E1448" s="49" t="s">
        <v>119</v>
      </c>
      <c r="F1448" s="49">
        <v>1.0</v>
      </c>
      <c r="G1448" s="49">
        <f t="array" ref="G1448">_xlfn.XLOOKUP(
 A1448,
 tblCost[RequirementID],
 tblCost[QuantityRequired],
 ""
)</f>
        <v>500</v>
      </c>
      <c r="H1448" s="49">
        <f t="array" ref="H1448">IF(
 OR(
  LEFT(B1448,15)="state.character",
  RIGHT(B1448,6)=".maxed"
 ),
 0,
 LET(
  sort,
   _xlfn.XLOOKUP(
    B1448,
    tblChecklist[TargetID],
    tblChecklist[PlayerSort],
    0
   ),
  IF(sort=0,500,sort)
 )
)</f>
        <v>500</v>
      </c>
      <c r="I1448" s="49" t="str">
        <f t="array" ref="I1448">_xlfn.XLOOKUP(
 B1448,
 tblTargetStatus[TargetID],
 tblTargetStatus[Status],
 ""
)</f>
        <v>BLOCKED</v>
      </c>
      <c r="J1448" s="45" t="b">
        <v>0</v>
      </c>
    </row>
    <row r="1449" ht="14.25" hidden="1" customHeight="1">
      <c r="A1449" s="49" t="s">
        <v>2976</v>
      </c>
      <c r="B1449" s="49" t="str">
        <f>IFERROR(__xludf.DUMMYFUNCTION("REGEXREPLACE(
 REGEXREPLACE(A1449,""^cost\."",""""),
 ""\.[^.]+\.[^.]+$"",
 """"
)"),"tech.alchemists_hut.conveyor_lvl_2")</f>
        <v>tech.alchemists_hut.conveyor_lvl_2</v>
      </c>
      <c r="C1449" s="49" t="str">
        <f t="array" ref="C1449">_xlfn.XLOOKUP(
 B1449,
 tblTargets[TargetID],
 tblTargets[DisplayName],
 ""
)</f>
        <v>Alchemists Hut - Conveyor Lvl 2</v>
      </c>
      <c r="D1449" s="49" t="str">
        <f t="array" ref="D1449">_xlfn.XLOOKUP(
 B1449,
 tblTargets[TargetID],
 tblTargets[TargetType],
 ""
)</f>
        <v>TECH</v>
      </c>
      <c r="E1449" s="49" t="s">
        <v>2964</v>
      </c>
      <c r="F1449" s="49">
        <v>1.0</v>
      </c>
      <c r="G1449" s="49">
        <f t="array" ref="G1449">_xlfn.XLOOKUP(
 A1449,
 tblCost[RequirementID],
 tblCost[QuantityRequired],
 ""
)</f>
        <v>60</v>
      </c>
      <c r="H1449" s="49">
        <f t="array" ref="H1449">IF(
 OR(
  LEFT(B1449,15)="state.character",
  RIGHT(B1449,6)=".maxed"
 ),
 0,
 LET(
  sort,
   _xlfn.XLOOKUP(
    B1449,
    tblChecklist[TargetID],
    tblChecklist[PlayerSort],
    0
   ),
  IF(sort=0,500,sort)
 )
)</f>
        <v>500</v>
      </c>
      <c r="I1449" s="49" t="str">
        <f t="array" ref="I1449">_xlfn.XLOOKUP(
 B1449,
 tblTargetStatus[TargetID],
 tblTargetStatus[Status],
 ""
)</f>
        <v>BLOCKED</v>
      </c>
      <c r="J1449" s="45" t="b">
        <v>0</v>
      </c>
    </row>
    <row r="1450" ht="14.25" hidden="1" customHeight="1">
      <c r="A1450" s="49" t="s">
        <v>2977</v>
      </c>
      <c r="B1450" s="49" t="str">
        <f>IFERROR(__xludf.DUMMYFUNCTION("REGEXREPLACE(
 REGEXREPLACE(A1450,""^cost\."",""""),
 ""\.[^.]+\.[^.]+$"",
 """"
)"),"tech.alchemists_hut.conveyor_lvl_2")</f>
        <v>tech.alchemists_hut.conveyor_lvl_2</v>
      </c>
      <c r="C1450" s="49" t="str">
        <f t="array" ref="C1450">_xlfn.XLOOKUP(
 B1450,
 tblTargets[TargetID],
 tblTargets[DisplayName],
 ""
)</f>
        <v>Alchemists Hut - Conveyor Lvl 2</v>
      </c>
      <c r="D1450" s="49" t="str">
        <f t="array" ref="D1450">_xlfn.XLOOKUP(
 B1450,
 tblTargets[TargetID],
 tblTargets[TargetType],
 ""
)</f>
        <v>TECH</v>
      </c>
      <c r="E1450" s="49" t="s">
        <v>1078</v>
      </c>
      <c r="F1450" s="49">
        <v>1.0</v>
      </c>
      <c r="G1450" s="49">
        <f t="array" ref="G1450">_xlfn.XLOOKUP(
 A1450,
 tblCost[RequirementID],
 tblCost[QuantityRequired],
 ""
)</f>
        <v>15</v>
      </c>
      <c r="H1450" s="49">
        <f t="array" ref="H1450">IF(
 OR(
  LEFT(B1450,15)="state.character",
  RIGHT(B1450,6)=".maxed"
 ),
 0,
 LET(
  sort,
   _xlfn.XLOOKUP(
    B1450,
    tblChecklist[TargetID],
    tblChecklist[PlayerSort],
    0
   ),
  IF(sort=0,500,sort)
 )
)</f>
        <v>500</v>
      </c>
      <c r="I1450" s="49" t="str">
        <f t="array" ref="I1450">_xlfn.XLOOKUP(
 B1450,
 tblTargetStatus[TargetID],
 tblTargetStatus[Status],
 ""
)</f>
        <v>BLOCKED</v>
      </c>
      <c r="J1450" s="45" t="b">
        <v>0</v>
      </c>
    </row>
    <row r="1451" ht="14.25" hidden="1" customHeight="1">
      <c r="A1451" s="49" t="s">
        <v>2979</v>
      </c>
      <c r="B1451" s="49" t="str">
        <f>IFERROR(__xludf.DUMMYFUNCTION("REGEXREPLACE(
 REGEXREPLACE(A1451,""^cost\."",""""),
 ""\.[^.]+\.[^.]+$"",
 """"
)"),"tech.alchemists_hut.conveyor_lvl_2")</f>
        <v>tech.alchemists_hut.conveyor_lvl_2</v>
      </c>
      <c r="C1451" s="49" t="str">
        <f t="array" ref="C1451">_xlfn.XLOOKUP(
 B1451,
 tblTargets[TargetID],
 tblTargets[DisplayName],
 ""
)</f>
        <v>Alchemists Hut - Conveyor Lvl 2</v>
      </c>
      <c r="D1451" s="49" t="str">
        <f t="array" ref="D1451">_xlfn.XLOOKUP(
 B1451,
 tblTargets[TargetID],
 tblTargets[TargetType],
 ""
)</f>
        <v>TECH</v>
      </c>
      <c r="E1451" s="49" t="s">
        <v>2135</v>
      </c>
      <c r="F1451" s="49">
        <v>1.0</v>
      </c>
      <c r="G1451" s="49">
        <f t="array" ref="G1451">_xlfn.XLOOKUP(
 A1451,
 tblCost[RequirementID],
 tblCost[QuantityRequired],
 ""
)</f>
        <v>30</v>
      </c>
      <c r="H1451" s="49">
        <f t="array" ref="H1451">IF(
 OR(
  LEFT(B1451,15)="state.character",
  RIGHT(B1451,6)=".maxed"
 ),
 0,
 LET(
  sort,
   _xlfn.XLOOKUP(
    B1451,
    tblChecklist[TargetID],
    tblChecklist[PlayerSort],
    0
   ),
  IF(sort=0,500,sort)
 )
)</f>
        <v>500</v>
      </c>
      <c r="I1451" s="49" t="str">
        <f t="array" ref="I1451">_xlfn.XLOOKUP(
 B1451,
 tblTargetStatus[TargetID],
 tblTargetStatus[Status],
 ""
)</f>
        <v>BLOCKED</v>
      </c>
      <c r="J1451" s="45" t="b">
        <v>0</v>
      </c>
    </row>
    <row r="1452" ht="14.25" hidden="1" customHeight="1">
      <c r="A1452" s="49" t="s">
        <v>2981</v>
      </c>
      <c r="B1452" s="49" t="str">
        <f>IFERROR(__xludf.DUMMYFUNCTION("REGEXREPLACE(
 REGEXREPLACE(A1452,""^cost\."",""""),
 ""\.[^.]+\.[^.]+$"",
 """"
)"),"tech.alchemists_hut.conveyor_lvl_2")</f>
        <v>tech.alchemists_hut.conveyor_lvl_2</v>
      </c>
      <c r="C1452" s="49" t="str">
        <f t="array" ref="C1452">_xlfn.XLOOKUP(
 B1452,
 tblTargets[TargetID],
 tblTargets[DisplayName],
 ""
)</f>
        <v>Alchemists Hut - Conveyor Lvl 2</v>
      </c>
      <c r="D1452" s="49" t="str">
        <f t="array" ref="D1452">_xlfn.XLOOKUP(
 B1452,
 tblTargets[TargetID],
 tblTargets[TargetType],
 ""
)</f>
        <v>TECH</v>
      </c>
      <c r="E1452" s="49" t="s">
        <v>6</v>
      </c>
      <c r="F1452" s="49">
        <v>1.0</v>
      </c>
      <c r="G1452" s="49">
        <f t="array" ref="G1452">_xlfn.XLOOKUP(
 A1452,
 tblCost[RequirementID],
 tblCost[QuantityRequired],
 ""
)</f>
        <v>3</v>
      </c>
      <c r="H1452" s="49">
        <f t="array" ref="H1452">IF(
 OR(
  LEFT(B1452,15)="state.character",
  RIGHT(B1452,6)=".maxed"
 ),
 0,
 LET(
  sort,
   _xlfn.XLOOKUP(
    B1452,
    tblChecklist[TargetID],
    tblChecklist[PlayerSort],
    0
   ),
  IF(sort=0,500,sort)
 )
)</f>
        <v>500</v>
      </c>
      <c r="I1452" s="49" t="str">
        <f t="array" ref="I1452">_xlfn.XLOOKUP(
 B1452,
 tblTargetStatus[TargetID],
 tblTargetStatus[Status],
 ""
)</f>
        <v>BLOCKED</v>
      </c>
      <c r="J1452" s="45" t="b">
        <v>0</v>
      </c>
    </row>
    <row r="1453" ht="14.25" hidden="1" customHeight="1">
      <c r="A1453" s="49" t="s">
        <v>2983</v>
      </c>
      <c r="B1453" s="49" t="str">
        <f>IFERROR(__xludf.DUMMYFUNCTION("REGEXREPLACE(
 REGEXREPLACE(A1453,""^cost\."",""""),
 ""\.[^.]+\.[^.]+$"",
 """"
)"),"tech.alchemists_hut.galvanization")</f>
        <v>tech.alchemists_hut.galvanization</v>
      </c>
      <c r="C1453" s="49" t="str">
        <f t="array" ref="C1453">_xlfn.XLOOKUP(
 B1453,
 tblTargets[TargetID],
 tblTargets[DisplayName],
 ""
)</f>
        <v>Alchemists Hut - Galvanization</v>
      </c>
      <c r="D1453" s="49" t="str">
        <f t="array" ref="D1453">_xlfn.XLOOKUP(
 B1453,
 tblTargets[TargetID],
 tblTargets[TargetType],
 ""
)</f>
        <v>TECH</v>
      </c>
      <c r="E1453" s="49" t="s">
        <v>1055</v>
      </c>
      <c r="F1453" s="49">
        <v>1.0</v>
      </c>
      <c r="G1453" s="49">
        <f t="array" ref="G1453">_xlfn.XLOOKUP(
 A1453,
 tblCost[RequirementID],
 tblCost[QuantityRequired],
 ""
)</f>
        <v>30</v>
      </c>
      <c r="H1453" s="49">
        <f t="array" ref="H1453">IF(
 OR(
  LEFT(B1453,15)="state.character",
  RIGHT(B1453,6)=".maxed"
 ),
 0,
 LET(
  sort,
   _xlfn.XLOOKUP(
    B1453,
    tblChecklist[TargetID],
    tblChecklist[PlayerSort],
    0
   ),
  IF(sort=0,500,sort)
 )
)</f>
        <v>500</v>
      </c>
      <c r="I1453" s="49" t="str">
        <f t="array" ref="I1453">_xlfn.XLOOKUP(
 B1453,
 tblTargetStatus[TargetID],
 tblTargetStatus[Status],
 ""
)</f>
        <v>BLOCKED</v>
      </c>
      <c r="J1453" s="45" t="b">
        <v>0</v>
      </c>
    </row>
    <row r="1454" ht="14.25" hidden="1" customHeight="1">
      <c r="A1454" s="49" t="s">
        <v>2985</v>
      </c>
      <c r="B1454" s="49" t="str">
        <f>IFERROR(__xludf.DUMMYFUNCTION("REGEXREPLACE(
 REGEXREPLACE(A1454,""^cost\."",""""),
 ""\.[^.]+\.[^.]+$"",
 """"
)"),"tech.alchemists_hut.galvanization")</f>
        <v>tech.alchemists_hut.galvanization</v>
      </c>
      <c r="C1454" s="49" t="str">
        <f t="array" ref="C1454">_xlfn.XLOOKUP(
 B1454,
 tblTargets[TargetID],
 tblTargets[DisplayName],
 ""
)</f>
        <v>Alchemists Hut - Galvanization</v>
      </c>
      <c r="D1454" s="49" t="str">
        <f t="array" ref="D1454">_xlfn.XLOOKUP(
 B1454,
 tblTargets[TargetID],
 tblTargets[TargetType],
 ""
)</f>
        <v>TECH</v>
      </c>
      <c r="E1454" s="49" t="s">
        <v>2297</v>
      </c>
      <c r="F1454" s="49">
        <v>1.0</v>
      </c>
      <c r="G1454" s="49">
        <f t="array" ref="G1454">_xlfn.XLOOKUP(
 A1454,
 tblCost[RequirementID],
 tblCost[QuantityRequired],
 ""
)</f>
        <v>20</v>
      </c>
      <c r="H1454" s="49">
        <f t="array" ref="H1454">IF(
 OR(
  LEFT(B1454,15)="state.character",
  RIGHT(B1454,6)=".maxed"
 ),
 0,
 LET(
  sort,
   _xlfn.XLOOKUP(
    B1454,
    tblChecklist[TargetID],
    tblChecklist[PlayerSort],
    0
   ),
  IF(sort=0,500,sort)
 )
)</f>
        <v>500</v>
      </c>
      <c r="I1454" s="49" t="str">
        <f t="array" ref="I1454">_xlfn.XLOOKUP(
 B1454,
 tblTargetStatus[TargetID],
 tblTargetStatus[Status],
 ""
)</f>
        <v>BLOCKED</v>
      </c>
      <c r="J1454" s="45" t="b">
        <v>0</v>
      </c>
    </row>
    <row r="1455" ht="14.25" hidden="1" customHeight="1">
      <c r="A1455" s="49" t="s">
        <v>2986</v>
      </c>
      <c r="B1455" s="49" t="str">
        <f>IFERROR(__xludf.DUMMYFUNCTION("REGEXREPLACE(
 REGEXREPLACE(A1455,""^cost\."",""""),
 ""\.[^.]+\.[^.]+$"",
 """"
)"),"tech.alchemists_hut.galvanization")</f>
        <v>tech.alchemists_hut.galvanization</v>
      </c>
      <c r="C1455" s="49" t="str">
        <f t="array" ref="C1455">_xlfn.XLOOKUP(
 B1455,
 tblTargets[TargetID],
 tblTargets[DisplayName],
 ""
)</f>
        <v>Alchemists Hut - Galvanization</v>
      </c>
      <c r="D1455" s="49" t="str">
        <f t="array" ref="D1455">_xlfn.XLOOKUP(
 B1455,
 tblTargets[TargetID],
 tblTargets[TargetType],
 ""
)</f>
        <v>TECH</v>
      </c>
      <c r="E1455" s="49" t="s">
        <v>412</v>
      </c>
      <c r="F1455" s="49">
        <v>1.0</v>
      </c>
      <c r="G1455" s="49">
        <f t="array" ref="G1455">_xlfn.XLOOKUP(
 A1455,
 tblCost[RequirementID],
 tblCost[QuantityRequired],
 ""
)</f>
        <v>25</v>
      </c>
      <c r="H1455" s="49">
        <f t="array" ref="H1455">IF(
 OR(
  LEFT(B1455,15)="state.character",
  RIGHT(B1455,6)=".maxed"
 ),
 0,
 LET(
  sort,
   _xlfn.XLOOKUP(
    B1455,
    tblChecklist[TargetID],
    tblChecklist[PlayerSort],
    0
   ),
  IF(sort=0,500,sort)
 )
)</f>
        <v>500</v>
      </c>
      <c r="I1455" s="49" t="str">
        <f t="array" ref="I1455">_xlfn.XLOOKUP(
 B1455,
 tblTargetStatus[TargetID],
 tblTargetStatus[Status],
 ""
)</f>
        <v>BLOCKED</v>
      </c>
      <c r="J1455" s="45" t="b">
        <v>0</v>
      </c>
    </row>
    <row r="1456" ht="14.25" hidden="1" customHeight="1">
      <c r="A1456" s="49" t="s">
        <v>2988</v>
      </c>
      <c r="B1456" s="49" t="str">
        <f>IFERROR(__xludf.DUMMYFUNCTION("REGEXREPLACE(
 REGEXREPLACE(A1456,""^cost\."",""""),
 ""\.[^.]+\.[^.]+$"",
 """"
)"),"tech.alchemists_hut.galvanization")</f>
        <v>tech.alchemists_hut.galvanization</v>
      </c>
      <c r="C1456" s="49" t="str">
        <f t="array" ref="C1456">_xlfn.XLOOKUP(
 B1456,
 tblTargets[TargetID],
 tblTargets[DisplayName],
 ""
)</f>
        <v>Alchemists Hut - Galvanization</v>
      </c>
      <c r="D1456" s="49" t="str">
        <f t="array" ref="D1456">_xlfn.XLOOKUP(
 B1456,
 tblTargets[TargetID],
 tblTargets[TargetType],
 ""
)</f>
        <v>TECH</v>
      </c>
      <c r="E1456" s="49" t="s">
        <v>140</v>
      </c>
      <c r="F1456" s="49">
        <v>1.0</v>
      </c>
      <c r="G1456" s="49">
        <f t="array" ref="G1456">_xlfn.XLOOKUP(
 A1456,
 tblCost[RequirementID],
 tblCost[QuantityRequired],
 ""
)</f>
        <v>40</v>
      </c>
      <c r="H1456" s="49">
        <f t="array" ref="H1456">IF(
 OR(
  LEFT(B1456,15)="state.character",
  RIGHT(B1456,6)=".maxed"
 ),
 0,
 LET(
  sort,
   _xlfn.XLOOKUP(
    B1456,
    tblChecklist[TargetID],
    tblChecklist[PlayerSort],
    0
   ),
  IF(sort=0,500,sort)
 )
)</f>
        <v>500</v>
      </c>
      <c r="I1456" s="49" t="str">
        <f t="array" ref="I1456">_xlfn.XLOOKUP(
 B1456,
 tblTargetStatus[TargetID],
 tblTargetStatus[Status],
 ""
)</f>
        <v>BLOCKED</v>
      </c>
      <c r="J1456" s="45" t="b">
        <v>0</v>
      </c>
    </row>
    <row r="1457" ht="14.25" hidden="1" customHeight="1">
      <c r="A1457" s="49" t="s">
        <v>2990</v>
      </c>
      <c r="B1457" s="49" t="str">
        <f>IFERROR(__xludf.DUMMYFUNCTION("REGEXREPLACE(
 REGEXREPLACE(A1457,""^cost\."",""""),
 ""\.[^.]+\.[^.]+$"",
 """"
)"),"tech.alchemists_hut.galvanization")</f>
        <v>tech.alchemists_hut.galvanization</v>
      </c>
      <c r="C1457" s="49" t="str">
        <f t="array" ref="C1457">_xlfn.XLOOKUP(
 B1457,
 tblTargets[TargetID],
 tblTargets[DisplayName],
 ""
)</f>
        <v>Alchemists Hut - Galvanization</v>
      </c>
      <c r="D1457" s="49" t="str">
        <f t="array" ref="D1457">_xlfn.XLOOKUP(
 B1457,
 tblTargets[TargetID],
 tblTargets[TargetType],
 ""
)</f>
        <v>TECH</v>
      </c>
      <c r="E1457" s="49" t="s">
        <v>6</v>
      </c>
      <c r="F1457" s="49">
        <v>1.0</v>
      </c>
      <c r="G1457" s="49">
        <f t="array" ref="G1457">_xlfn.XLOOKUP(
 A1457,
 tblCost[RequirementID],
 tblCost[QuantityRequired],
 ""
)</f>
        <v>2</v>
      </c>
      <c r="H1457" s="49">
        <f t="array" ref="H1457">IF(
 OR(
  LEFT(B1457,15)="state.character",
  RIGHT(B1457,6)=".maxed"
 ),
 0,
 LET(
  sort,
   _xlfn.XLOOKUP(
    B1457,
    tblChecklist[TargetID],
    tblChecklist[PlayerSort],
    0
   ),
  IF(sort=0,500,sort)
 )
)</f>
        <v>500</v>
      </c>
      <c r="I1457" s="49" t="str">
        <f t="array" ref="I1457">_xlfn.XLOOKUP(
 B1457,
 tblTargetStatus[TargetID],
 tblTargetStatus[Status],
 ""
)</f>
        <v>BLOCKED</v>
      </c>
      <c r="J1457" s="45" t="b">
        <v>0</v>
      </c>
    </row>
    <row r="1458" ht="14.25" hidden="1" customHeight="1">
      <c r="A1458" s="49" t="s">
        <v>2858</v>
      </c>
      <c r="B1458" s="49" t="str">
        <f>IFERROR(__xludf.DUMMYFUNCTION("REGEXREPLACE(
 REGEXREPLACE(A1458,""^cost\."",""""),
 ""\.[^.]+\.[^.]+$"",
 """"
)"),"tech.alchemists_hut.gold_ingot")</f>
        <v>tech.alchemists_hut.gold_ingot</v>
      </c>
      <c r="C1458" s="49" t="str">
        <f t="array" ref="C1458">_xlfn.XLOOKUP(
 B1458,
 tblTargets[TargetID],
 tblTargets[DisplayName],
 ""
)</f>
        <v>Alchemists Hut - Gold Ingot</v>
      </c>
      <c r="D1458" s="49" t="str">
        <f t="array" ref="D1458">_xlfn.XLOOKUP(
 B1458,
 tblTargets[TargetID],
 tblTargets[TargetType],
 ""
)</f>
        <v>TECH</v>
      </c>
      <c r="E1458" s="49" t="s">
        <v>1230</v>
      </c>
      <c r="F1458" s="49">
        <v>1.0</v>
      </c>
      <c r="G1458" s="49">
        <f t="array" ref="G1458">_xlfn.XLOOKUP(
 A1458,
 tblCost[RequirementID],
 tblCost[QuantityRequired],
 ""
)</f>
        <v>20</v>
      </c>
      <c r="H1458" s="49">
        <f t="array" ref="H1458">IF(
 OR(
  LEFT(B1458,15)="state.character",
  RIGHT(B1458,6)=".maxed"
 ),
 0,
 LET(
  sort,
   _xlfn.XLOOKUP(
    B1458,
    tblChecklist[TargetID],
    tblChecklist[PlayerSort],
    0
   ),
  IF(sort=0,500,sort)
 )
)</f>
        <v>800</v>
      </c>
      <c r="I1458" s="49" t="str">
        <f t="array" ref="I1458">_xlfn.XLOOKUP(
 B1458,
 tblTargetStatus[TargetID],
 tblTargetStatus[Status],
 ""
)</f>
        <v>BLOCKED</v>
      </c>
      <c r="J1458" s="45" t="b">
        <v>0</v>
      </c>
    </row>
    <row r="1459" ht="14.25" hidden="1" customHeight="1">
      <c r="A1459" s="49" t="s">
        <v>2860</v>
      </c>
      <c r="B1459" s="49" t="str">
        <f>IFERROR(__xludf.DUMMYFUNCTION("REGEXREPLACE(
 REGEXREPLACE(A1459,""^cost\."",""""),
 ""\.[^.]+\.[^.]+$"",
 """"
)"),"tech.alchemists_hut.gold_ingot")</f>
        <v>tech.alchemists_hut.gold_ingot</v>
      </c>
      <c r="C1459" s="49" t="str">
        <f t="array" ref="C1459">_xlfn.XLOOKUP(
 B1459,
 tblTargets[TargetID],
 tblTargets[DisplayName],
 ""
)</f>
        <v>Alchemists Hut - Gold Ingot</v>
      </c>
      <c r="D1459" s="49" t="str">
        <f t="array" ref="D1459">_xlfn.XLOOKUP(
 B1459,
 tblTargets[TargetID],
 tblTargets[TargetType],
 ""
)</f>
        <v>TECH</v>
      </c>
      <c r="E1459" s="49" t="s">
        <v>283</v>
      </c>
      <c r="F1459" s="49">
        <v>1.0</v>
      </c>
      <c r="G1459" s="49">
        <f t="array" ref="G1459">_xlfn.XLOOKUP(
 A1459,
 tblCost[RequirementID],
 tblCost[QuantityRequired],
 ""
)</f>
        <v>100</v>
      </c>
      <c r="H1459" s="49">
        <f t="array" ref="H1459">IF(
 OR(
  LEFT(B1459,15)="state.character",
  RIGHT(B1459,6)=".maxed"
 ),
 0,
 LET(
  sort,
   _xlfn.XLOOKUP(
    B1459,
    tblChecklist[TargetID],
    tblChecklist[PlayerSort],
    0
   ),
  IF(sort=0,500,sort)
 )
)</f>
        <v>800</v>
      </c>
      <c r="I1459" s="49" t="str">
        <f t="array" ref="I1459">_xlfn.XLOOKUP(
 B1459,
 tblTargetStatus[TargetID],
 tblTargetStatus[Status],
 ""
)</f>
        <v>BLOCKED</v>
      </c>
      <c r="J1459" s="45" t="b">
        <v>0</v>
      </c>
    </row>
    <row r="1460" ht="14.25" hidden="1" customHeight="1">
      <c r="A1460" s="49" t="s">
        <v>2862</v>
      </c>
      <c r="B1460" s="49" t="str">
        <f>IFERROR(__xludf.DUMMYFUNCTION("REGEXREPLACE(
 REGEXREPLACE(A1460,""^cost\."",""""),
 ""\.[^.]+\.[^.]+$"",
 """"
)"),"tech.alchemists_hut.gold_ingot")</f>
        <v>tech.alchemists_hut.gold_ingot</v>
      </c>
      <c r="C1460" s="49" t="str">
        <f t="array" ref="C1460">_xlfn.XLOOKUP(
 B1460,
 tblTargets[TargetID],
 tblTargets[DisplayName],
 ""
)</f>
        <v>Alchemists Hut - Gold Ingot</v>
      </c>
      <c r="D1460" s="49" t="str">
        <f t="array" ref="D1460">_xlfn.XLOOKUP(
 B1460,
 tblTargets[TargetID],
 tblTargets[TargetType],
 ""
)</f>
        <v>TECH</v>
      </c>
      <c r="E1460" s="49" t="s">
        <v>530</v>
      </c>
      <c r="F1460" s="49">
        <v>1.0</v>
      </c>
      <c r="G1460" s="49">
        <f t="array" ref="G1460">_xlfn.XLOOKUP(
 A1460,
 tblCost[RequirementID],
 tblCost[QuantityRequired],
 ""
)</f>
        <v>10</v>
      </c>
      <c r="H1460" s="49">
        <f t="array" ref="H1460">IF(
 OR(
  LEFT(B1460,15)="state.character",
  RIGHT(B1460,6)=".maxed"
 ),
 0,
 LET(
  sort,
   _xlfn.XLOOKUP(
    B1460,
    tblChecklist[TargetID],
    tblChecklist[PlayerSort],
    0
   ),
  IF(sort=0,500,sort)
 )
)</f>
        <v>800</v>
      </c>
      <c r="I1460" s="49" t="str">
        <f t="array" ref="I1460">_xlfn.XLOOKUP(
 B1460,
 tblTargetStatus[TargetID],
 tblTargetStatus[Status],
 ""
)</f>
        <v>BLOCKED</v>
      </c>
      <c r="J1460" s="45" t="b">
        <v>0</v>
      </c>
    </row>
    <row r="1461" ht="14.25" hidden="1" customHeight="1">
      <c r="A1461" s="49" t="s">
        <v>2865</v>
      </c>
      <c r="B1461" s="49" t="str">
        <f>IFERROR(__xludf.DUMMYFUNCTION("REGEXREPLACE(
 REGEXREPLACE(A1461,""^cost\."",""""),
 ""\.[^.]+\.[^.]+$"",
 """"
)"),"tech.alchemists_hut.gold_ingot")</f>
        <v>tech.alchemists_hut.gold_ingot</v>
      </c>
      <c r="C1461" s="49" t="str">
        <f t="array" ref="C1461">_xlfn.XLOOKUP(
 B1461,
 tblTargets[TargetID],
 tblTargets[DisplayName],
 ""
)</f>
        <v>Alchemists Hut - Gold Ingot</v>
      </c>
      <c r="D1461" s="49" t="str">
        <f t="array" ref="D1461">_xlfn.XLOOKUP(
 B1461,
 tblTargets[TargetID],
 tblTargets[TargetType],
 ""
)</f>
        <v>TECH</v>
      </c>
      <c r="E1461" s="49" t="s">
        <v>412</v>
      </c>
      <c r="F1461" s="49">
        <v>1.0</v>
      </c>
      <c r="G1461" s="49">
        <f t="array" ref="G1461">_xlfn.XLOOKUP(
 A1461,
 tblCost[RequirementID],
 tblCost[QuantityRequired],
 ""
)</f>
        <v>20</v>
      </c>
      <c r="H1461" s="49">
        <f t="array" ref="H1461">IF(
 OR(
  LEFT(B1461,15)="state.character",
  RIGHT(B1461,6)=".maxed"
 ),
 0,
 LET(
  sort,
   _xlfn.XLOOKUP(
    B1461,
    tblChecklist[TargetID],
    tblChecklist[PlayerSort],
    0
   ),
  IF(sort=0,500,sort)
 )
)</f>
        <v>800</v>
      </c>
      <c r="I1461" s="49" t="str">
        <f t="array" ref="I1461">_xlfn.XLOOKUP(
 B1461,
 tblTargetStatus[TargetID],
 tblTargetStatus[Status],
 ""
)</f>
        <v>BLOCKED</v>
      </c>
      <c r="J1461" s="45" t="b">
        <v>0</v>
      </c>
    </row>
    <row r="1462" ht="14.25" hidden="1" customHeight="1">
      <c r="A1462" s="49" t="s">
        <v>2867</v>
      </c>
      <c r="B1462" s="49" t="str">
        <f>IFERROR(__xludf.DUMMYFUNCTION("REGEXREPLACE(
 REGEXREPLACE(A1462,""^cost\."",""""),
 ""\.[^.]+\.[^.]+$"",
 """"
)"),"tech.alchemists_hut.gold_ingot")</f>
        <v>tech.alchemists_hut.gold_ingot</v>
      </c>
      <c r="C1462" s="49" t="str">
        <f t="array" ref="C1462">_xlfn.XLOOKUP(
 B1462,
 tblTargets[TargetID],
 tblTargets[DisplayName],
 ""
)</f>
        <v>Alchemists Hut - Gold Ingot</v>
      </c>
      <c r="D1462" s="49" t="str">
        <f t="array" ref="D1462">_xlfn.XLOOKUP(
 B1462,
 tblTargets[TargetID],
 tblTargets[TargetType],
 ""
)</f>
        <v>TECH</v>
      </c>
      <c r="E1462" s="49" t="s">
        <v>1456</v>
      </c>
      <c r="F1462" s="49">
        <v>1.0</v>
      </c>
      <c r="G1462" s="49">
        <f t="array" ref="G1462">_xlfn.XLOOKUP(
 A1462,
 tblCost[RequirementID],
 tblCost[QuantityRequired],
 ""
)</f>
        <v>15</v>
      </c>
      <c r="H1462" s="49">
        <f t="array" ref="H1462">IF(
 OR(
  LEFT(B1462,15)="state.character",
  RIGHT(B1462,6)=".maxed"
 ),
 0,
 LET(
  sort,
   _xlfn.XLOOKUP(
    B1462,
    tblChecklist[TargetID],
    tblChecklist[PlayerSort],
    0
   ),
  IF(sort=0,500,sort)
 )
)</f>
        <v>800</v>
      </c>
      <c r="I1462" s="49" t="str">
        <f t="array" ref="I1462">_xlfn.XLOOKUP(
 B1462,
 tblTargetStatus[TargetID],
 tblTargetStatus[Status],
 ""
)</f>
        <v>BLOCKED</v>
      </c>
      <c r="J1462" s="45" t="b">
        <v>0</v>
      </c>
    </row>
    <row r="1463" ht="14.25" hidden="1" customHeight="1">
      <c r="A1463" s="49" t="s">
        <v>2870</v>
      </c>
      <c r="B1463" s="49" t="str">
        <f>IFERROR(__xludf.DUMMYFUNCTION("REGEXREPLACE(
 REGEXREPLACE(A1463,""^cost\."",""""),
 ""\.[^.]+\.[^.]+$"",
 """"
)"),"tech.alchemists_hut.gold_ingot")</f>
        <v>tech.alchemists_hut.gold_ingot</v>
      </c>
      <c r="C1463" s="49" t="str">
        <f t="array" ref="C1463">_xlfn.XLOOKUP(
 B1463,
 tblTargets[TargetID],
 tblTargets[DisplayName],
 ""
)</f>
        <v>Alchemists Hut - Gold Ingot</v>
      </c>
      <c r="D1463" s="49" t="str">
        <f t="array" ref="D1463">_xlfn.XLOOKUP(
 B1463,
 tblTargets[TargetID],
 tblTargets[TargetType],
 ""
)</f>
        <v>TECH</v>
      </c>
      <c r="E1463" s="49" t="s">
        <v>6</v>
      </c>
      <c r="F1463" s="49">
        <v>1.0</v>
      </c>
      <c r="G1463" s="49">
        <f t="array" ref="G1463">_xlfn.XLOOKUP(
 A1463,
 tblCost[RequirementID],
 tblCost[QuantityRequired],
 ""
)</f>
        <v>3</v>
      </c>
      <c r="H1463" s="49">
        <f t="array" ref="H1463">IF(
 OR(
  LEFT(B1463,15)="state.character",
  RIGHT(B1463,6)=".maxed"
 ),
 0,
 LET(
  sort,
   _xlfn.XLOOKUP(
    B1463,
    tblChecklist[TargetID],
    tblChecklist[PlayerSort],
    0
   ),
  IF(sort=0,500,sort)
 )
)</f>
        <v>800</v>
      </c>
      <c r="I1463" s="49" t="str">
        <f t="array" ref="I1463">_xlfn.XLOOKUP(
 B1463,
 tblTargetStatus[TargetID],
 tblTargetStatus[Status],
 ""
)</f>
        <v>BLOCKED</v>
      </c>
      <c r="J1463" s="45" t="b">
        <v>0</v>
      </c>
    </row>
    <row r="1464" ht="14.25" hidden="1" customHeight="1">
      <c r="A1464" s="49" t="s">
        <v>2788</v>
      </c>
      <c r="B1464" s="49" t="str">
        <f>IFERROR(__xludf.DUMMYFUNCTION("REGEXREPLACE(
 REGEXREPLACE(A1464,""^cost\."",""""),
 ""\.[^.]+\.[^.]+$"",
 """"
)"),"tech.alchemists_hut.greek_grenade")</f>
        <v>tech.alchemists_hut.greek_grenade</v>
      </c>
      <c r="C1464" s="49" t="str">
        <f t="array" ref="C1464">_xlfn.XLOOKUP(
 B1464,
 tblTargets[TargetID],
 tblTargets[DisplayName],
 ""
)</f>
        <v>Alchemists Hut - Greek Grenade</v>
      </c>
      <c r="D1464" s="49" t="str">
        <f t="array" ref="D1464">_xlfn.XLOOKUP(
 B1464,
 tblTargets[TargetID],
 tblTargets[TargetType],
 ""
)</f>
        <v>TECH</v>
      </c>
      <c r="E1464" s="49" t="s">
        <v>113</v>
      </c>
      <c r="F1464" s="49">
        <v>1.0</v>
      </c>
      <c r="G1464" s="49">
        <f t="array" ref="G1464">_xlfn.XLOOKUP(
 A1464,
 tblCost[RequirementID],
 tblCost[QuantityRequired],
 ""
)</f>
        <v>40</v>
      </c>
      <c r="H1464" s="49">
        <f t="array" ref="H1464">IF(
 OR(
  LEFT(B1464,15)="state.character",
  RIGHT(B1464,6)=".maxed"
 ),
 0,
 LET(
  sort,
   _xlfn.XLOOKUP(
    B1464,
    tblChecklist[TargetID],
    tblChecklist[PlayerSort],
    0
   ),
  IF(sort=0,500,sort)
 )
)</f>
        <v>500</v>
      </c>
      <c r="I1464" s="49" t="str">
        <f t="array" ref="I1464">_xlfn.XLOOKUP(
 B1464,
 tblTargetStatus[TargetID],
 tblTargetStatus[Status],
 ""
)</f>
        <v>BLOCKED</v>
      </c>
      <c r="J1464" s="45" t="b">
        <v>0</v>
      </c>
    </row>
    <row r="1465" ht="14.25" hidden="1" customHeight="1">
      <c r="A1465" s="49" t="s">
        <v>2790</v>
      </c>
      <c r="B1465" s="49" t="str">
        <f>IFERROR(__xludf.DUMMYFUNCTION("REGEXREPLACE(
 REGEXREPLACE(A1465,""^cost\."",""""),
 ""\.[^.]+\.[^.]+$"",
 """"
)"),"tech.alchemists_hut.greek_grenade")</f>
        <v>tech.alchemists_hut.greek_grenade</v>
      </c>
      <c r="C1465" s="49" t="str">
        <f t="array" ref="C1465">_xlfn.XLOOKUP(
 B1465,
 tblTargets[TargetID],
 tblTargets[DisplayName],
 ""
)</f>
        <v>Alchemists Hut - Greek Grenade</v>
      </c>
      <c r="D1465" s="49" t="str">
        <f t="array" ref="D1465">_xlfn.XLOOKUP(
 B1465,
 tblTargets[TargetID],
 tblTargets[TargetType],
 ""
)</f>
        <v>TECH</v>
      </c>
      <c r="E1465" s="49" t="s">
        <v>119</v>
      </c>
      <c r="F1465" s="49">
        <v>1.0</v>
      </c>
      <c r="G1465" s="49">
        <f t="array" ref="G1465">_xlfn.XLOOKUP(
 A1465,
 tblCost[RequirementID],
 tblCost[QuantityRequired],
 ""
)</f>
        <v>300</v>
      </c>
      <c r="H1465" s="49">
        <f t="array" ref="H1465">IF(
 OR(
  LEFT(B1465,15)="state.character",
  RIGHT(B1465,6)=".maxed"
 ),
 0,
 LET(
  sort,
   _xlfn.XLOOKUP(
    B1465,
    tblChecklist[TargetID],
    tblChecklist[PlayerSort],
    0
   ),
  IF(sort=0,500,sort)
 )
)</f>
        <v>500</v>
      </c>
      <c r="I1465" s="49" t="str">
        <f t="array" ref="I1465">_xlfn.XLOOKUP(
 B1465,
 tblTargetStatus[TargetID],
 tblTargetStatus[Status],
 ""
)</f>
        <v>BLOCKED</v>
      </c>
      <c r="J1465" s="45" t="b">
        <v>0</v>
      </c>
    </row>
    <row r="1466" ht="14.25" hidden="1" customHeight="1">
      <c r="A1466" s="49" t="s">
        <v>2792</v>
      </c>
      <c r="B1466" s="49" t="str">
        <f>IFERROR(__xludf.DUMMYFUNCTION("REGEXREPLACE(
 REGEXREPLACE(A1466,""^cost\."",""""),
 ""\.[^.]+\.[^.]+$"",
 """"
)"),"tech.alchemists_hut.greek_grenade")</f>
        <v>tech.alchemists_hut.greek_grenade</v>
      </c>
      <c r="C1466" s="49" t="str">
        <f t="array" ref="C1466">_xlfn.XLOOKUP(
 B1466,
 tblTargets[TargetID],
 tblTargets[DisplayName],
 ""
)</f>
        <v>Alchemists Hut - Greek Grenade</v>
      </c>
      <c r="D1466" s="49" t="str">
        <f t="array" ref="D1466">_xlfn.XLOOKUP(
 B1466,
 tblTargets[TargetID],
 tblTargets[TargetType],
 ""
)</f>
        <v>TECH</v>
      </c>
      <c r="E1466" s="49" t="s">
        <v>360</v>
      </c>
      <c r="F1466" s="49">
        <v>1.0</v>
      </c>
      <c r="G1466" s="49">
        <f t="array" ref="G1466">_xlfn.XLOOKUP(
 A1466,
 tblCost[RequirementID],
 tblCost[QuantityRequired],
 ""
)</f>
        <v>10</v>
      </c>
      <c r="H1466" s="49">
        <f t="array" ref="H1466">IF(
 OR(
  LEFT(B1466,15)="state.character",
  RIGHT(B1466,6)=".maxed"
 ),
 0,
 LET(
  sort,
   _xlfn.XLOOKUP(
    B1466,
    tblChecklist[TargetID],
    tblChecklist[PlayerSort],
    0
   ),
  IF(sort=0,500,sort)
 )
)</f>
        <v>500</v>
      </c>
      <c r="I1466" s="49" t="str">
        <f t="array" ref="I1466">_xlfn.XLOOKUP(
 B1466,
 tblTargetStatus[TargetID],
 tblTargetStatus[Status],
 ""
)</f>
        <v>BLOCKED</v>
      </c>
      <c r="J1466" s="45" t="b">
        <v>0</v>
      </c>
    </row>
    <row r="1467" ht="14.25" hidden="1" customHeight="1">
      <c r="A1467" s="49" t="s">
        <v>2794</v>
      </c>
      <c r="B1467" s="49" t="str">
        <f>IFERROR(__xludf.DUMMYFUNCTION("REGEXREPLACE(
 REGEXREPLACE(A1467,""^cost\."",""""),
 ""\.[^.]+\.[^.]+$"",
 """"
)"),"tech.alchemists_hut.greek_grenade")</f>
        <v>tech.alchemists_hut.greek_grenade</v>
      </c>
      <c r="C1467" s="49" t="str">
        <f t="array" ref="C1467">_xlfn.XLOOKUP(
 B1467,
 tblTargets[TargetID],
 tblTargets[DisplayName],
 ""
)</f>
        <v>Alchemists Hut - Greek Grenade</v>
      </c>
      <c r="D1467" s="49" t="str">
        <f t="array" ref="D1467">_xlfn.XLOOKUP(
 B1467,
 tblTargets[TargetID],
 tblTargets[TargetType],
 ""
)</f>
        <v>TECH</v>
      </c>
      <c r="E1467" s="49" t="s">
        <v>588</v>
      </c>
      <c r="F1467" s="49">
        <v>1.0</v>
      </c>
      <c r="G1467" s="49">
        <f t="array" ref="G1467">_xlfn.XLOOKUP(
 A1467,
 tblCost[RequirementID],
 tblCost[QuantityRequired],
 ""
)</f>
        <v>10</v>
      </c>
      <c r="H1467" s="49">
        <f t="array" ref="H1467">IF(
 OR(
  LEFT(B1467,15)="state.character",
  RIGHT(B1467,6)=".maxed"
 ),
 0,
 LET(
  sort,
   _xlfn.XLOOKUP(
    B1467,
    tblChecklist[TargetID],
    tblChecklist[PlayerSort],
    0
   ),
  IF(sort=0,500,sort)
 )
)</f>
        <v>500</v>
      </c>
      <c r="I1467" s="49" t="str">
        <f t="array" ref="I1467">_xlfn.XLOOKUP(
 B1467,
 tblTargetStatus[TargetID],
 tblTargetStatus[Status],
 ""
)</f>
        <v>BLOCKED</v>
      </c>
      <c r="J1467" s="45" t="b">
        <v>0</v>
      </c>
    </row>
    <row r="1468" ht="14.25" hidden="1" customHeight="1">
      <c r="A1468" s="49" t="s">
        <v>2796</v>
      </c>
      <c r="B1468" s="49" t="str">
        <f>IFERROR(__xludf.DUMMYFUNCTION("REGEXREPLACE(
 REGEXREPLACE(A1468,""^cost\."",""""),
 ""\.[^.]+\.[^.]+$"",
 """"
)"),"tech.alchemists_hut.greek_grenade")</f>
        <v>tech.alchemists_hut.greek_grenade</v>
      </c>
      <c r="C1468" s="49" t="str">
        <f t="array" ref="C1468">_xlfn.XLOOKUP(
 B1468,
 tblTargets[TargetID],
 tblTargets[DisplayName],
 ""
)</f>
        <v>Alchemists Hut - Greek Grenade</v>
      </c>
      <c r="D1468" s="49" t="str">
        <f t="array" ref="D1468">_xlfn.XLOOKUP(
 B1468,
 tblTargets[TargetID],
 tblTargets[TargetType],
 ""
)</f>
        <v>TECH</v>
      </c>
      <c r="E1468" s="49" t="s">
        <v>132</v>
      </c>
      <c r="F1468" s="49">
        <v>1.0</v>
      </c>
      <c r="G1468" s="49">
        <f t="array" ref="G1468">_xlfn.XLOOKUP(
 A1468,
 tblCost[RequirementID],
 tblCost[QuantityRequired],
 ""
)</f>
        <v>20</v>
      </c>
      <c r="H1468" s="49">
        <f t="array" ref="H1468">IF(
 OR(
  LEFT(B1468,15)="state.character",
  RIGHT(B1468,6)=".maxed"
 ),
 0,
 LET(
  sort,
   _xlfn.XLOOKUP(
    B1468,
    tblChecklist[TargetID],
    tblChecklist[PlayerSort],
    0
   ),
  IF(sort=0,500,sort)
 )
)</f>
        <v>500</v>
      </c>
      <c r="I1468" s="49" t="str">
        <f t="array" ref="I1468">_xlfn.XLOOKUP(
 B1468,
 tblTargetStatus[TargetID],
 tblTargetStatus[Status],
 ""
)</f>
        <v>BLOCKED</v>
      </c>
      <c r="J1468" s="45" t="b">
        <v>0</v>
      </c>
    </row>
    <row r="1469" ht="14.25" hidden="1" customHeight="1">
      <c r="A1469" s="49" t="s">
        <v>2798</v>
      </c>
      <c r="B1469" s="49" t="str">
        <f>IFERROR(__xludf.DUMMYFUNCTION("REGEXREPLACE(
 REGEXREPLACE(A1469,""^cost\."",""""),
 ""\.[^.]+\.[^.]+$"",
 """"
)"),"tech.alchemists_hut.greek_grenade")</f>
        <v>tech.alchemists_hut.greek_grenade</v>
      </c>
      <c r="C1469" s="49" t="str">
        <f t="array" ref="C1469">_xlfn.XLOOKUP(
 B1469,
 tblTargets[TargetID],
 tblTargets[DisplayName],
 ""
)</f>
        <v>Alchemists Hut - Greek Grenade</v>
      </c>
      <c r="D1469" s="49" t="str">
        <f t="array" ref="D1469">_xlfn.XLOOKUP(
 B1469,
 tblTargets[TargetID],
 tblTargets[TargetType],
 ""
)</f>
        <v>TECH</v>
      </c>
      <c r="E1469" s="49" t="s">
        <v>6</v>
      </c>
      <c r="F1469" s="49">
        <v>1.0</v>
      </c>
      <c r="G1469" s="49">
        <f t="array" ref="G1469">_xlfn.XLOOKUP(
 A1469,
 tblCost[RequirementID],
 tblCost[QuantityRequired],
 ""
)</f>
        <v>1</v>
      </c>
      <c r="H1469" s="49">
        <f t="array" ref="H1469">IF(
 OR(
  LEFT(B1469,15)="state.character",
  RIGHT(B1469,6)=".maxed"
 ),
 0,
 LET(
  sort,
   _xlfn.XLOOKUP(
    B1469,
    tblChecklist[TargetID],
    tblChecklist[PlayerSort],
    0
   ),
  IF(sort=0,500,sort)
 )
)</f>
        <v>500</v>
      </c>
      <c r="I1469" s="49" t="str">
        <f t="array" ref="I1469">_xlfn.XLOOKUP(
 B1469,
 tblTargetStatus[TargetID],
 tblTargetStatus[Status],
 ""
)</f>
        <v>BLOCKED</v>
      </c>
      <c r="J1469" s="45" t="b">
        <v>0</v>
      </c>
    </row>
    <row r="1470" ht="14.25" hidden="1" customHeight="1">
      <c r="A1470" s="49" t="s">
        <v>2873</v>
      </c>
      <c r="B1470" s="49" t="str">
        <f>IFERROR(__xludf.DUMMYFUNCTION("REGEXREPLACE(
 REGEXREPLACE(A1470,""^cost\."",""""),
 ""\.[^.]+\.[^.]+$"",
 """"
)"),"tech.alchemists_hut.madness_grenade")</f>
        <v>tech.alchemists_hut.madness_grenade</v>
      </c>
      <c r="C1470" s="49" t="str">
        <f t="array" ref="C1470">_xlfn.XLOOKUP(
 B1470,
 tblTargets[TargetID],
 tblTargets[DisplayName],
 ""
)</f>
        <v>Alchemists Hut - Madness Grenade</v>
      </c>
      <c r="D1470" s="49" t="str">
        <f t="array" ref="D1470">_xlfn.XLOOKUP(
 B1470,
 tblTargets[TargetID],
 tblTargets[TargetType],
 ""
)</f>
        <v>TECH</v>
      </c>
      <c r="E1470" s="49" t="s">
        <v>1230</v>
      </c>
      <c r="F1470" s="49">
        <v>1.0</v>
      </c>
      <c r="G1470" s="49">
        <f t="array" ref="G1470">_xlfn.XLOOKUP(
 A1470,
 tblCost[RequirementID],
 tblCost[QuantityRequired],
 ""
)</f>
        <v>5</v>
      </c>
      <c r="H1470" s="49">
        <f t="array" ref="H1470">IF(
 OR(
  LEFT(B1470,15)="state.character",
  RIGHT(B1470,6)=".maxed"
 ),
 0,
 LET(
  sort,
   _xlfn.XLOOKUP(
    B1470,
    tblChecklist[TargetID],
    tblChecklist[PlayerSort],
    0
   ),
  IF(sort=0,500,sort)
 )
)</f>
        <v>500</v>
      </c>
      <c r="I1470" s="49" t="str">
        <f t="array" ref="I1470">_xlfn.XLOOKUP(
 B1470,
 tblTargetStatus[TargetID],
 tblTargetStatus[Status],
 ""
)</f>
        <v>BLOCKED</v>
      </c>
      <c r="J1470" s="45" t="b">
        <v>0</v>
      </c>
    </row>
    <row r="1471" ht="14.25" hidden="1" customHeight="1">
      <c r="A1471" s="49" t="s">
        <v>2875</v>
      </c>
      <c r="B1471" s="49" t="str">
        <f>IFERROR(__xludf.DUMMYFUNCTION("REGEXREPLACE(
 REGEXREPLACE(A1471,""^cost\."",""""),
 ""\.[^.]+\.[^.]+$"",
 """"
)"),"tech.alchemists_hut.madness_grenade")</f>
        <v>tech.alchemists_hut.madness_grenade</v>
      </c>
      <c r="C1471" s="49" t="str">
        <f t="array" ref="C1471">_xlfn.XLOOKUP(
 B1471,
 tblTargets[TargetID],
 tblTargets[DisplayName],
 ""
)</f>
        <v>Alchemists Hut - Madness Grenade</v>
      </c>
      <c r="D1471" s="49" t="str">
        <f t="array" ref="D1471">_xlfn.XLOOKUP(
 B1471,
 tblTargets[TargetID],
 tblTargets[TargetType],
 ""
)</f>
        <v>TECH</v>
      </c>
      <c r="E1471" s="49" t="s">
        <v>119</v>
      </c>
      <c r="F1471" s="49">
        <v>1.0</v>
      </c>
      <c r="G1471" s="49">
        <f t="array" ref="G1471">_xlfn.XLOOKUP(
 A1471,
 tblCost[RequirementID],
 tblCost[QuantityRequired],
 ""
)</f>
        <v>300</v>
      </c>
      <c r="H1471" s="49">
        <f t="array" ref="H1471">IF(
 OR(
  LEFT(B1471,15)="state.character",
  RIGHT(B1471,6)=".maxed"
 ),
 0,
 LET(
  sort,
   _xlfn.XLOOKUP(
    B1471,
    tblChecklist[TargetID],
    tblChecklist[PlayerSort],
    0
   ),
  IF(sort=0,500,sort)
 )
)</f>
        <v>500</v>
      </c>
      <c r="I1471" s="49" t="str">
        <f t="array" ref="I1471">_xlfn.XLOOKUP(
 B1471,
 tblTargetStatus[TargetID],
 tblTargetStatus[Status],
 ""
)</f>
        <v>BLOCKED</v>
      </c>
      <c r="J1471" s="45" t="b">
        <v>0</v>
      </c>
    </row>
    <row r="1472" ht="14.25" hidden="1" customHeight="1">
      <c r="A1472" s="49" t="s">
        <v>2878</v>
      </c>
      <c r="B1472" s="49" t="str">
        <f>IFERROR(__xludf.DUMMYFUNCTION("REGEXREPLACE(
 REGEXREPLACE(A1472,""^cost\."",""""),
 ""\.[^.]+\.[^.]+$"",
 """"
)"),"tech.alchemists_hut.madness_grenade")</f>
        <v>tech.alchemists_hut.madness_grenade</v>
      </c>
      <c r="C1472" s="49" t="str">
        <f t="array" ref="C1472">_xlfn.XLOOKUP(
 B1472,
 tblTargets[TargetID],
 tblTargets[DisplayName],
 ""
)</f>
        <v>Alchemists Hut - Madness Grenade</v>
      </c>
      <c r="D1472" s="49" t="str">
        <f t="array" ref="D1472">_xlfn.XLOOKUP(
 B1472,
 tblTargets[TargetID],
 tblTargets[TargetType],
 ""
)</f>
        <v>TECH</v>
      </c>
      <c r="E1472" s="49" t="s">
        <v>360</v>
      </c>
      <c r="F1472" s="49">
        <v>1.0</v>
      </c>
      <c r="G1472" s="49">
        <f t="array" ref="G1472">_xlfn.XLOOKUP(
 A1472,
 tblCost[RequirementID],
 tblCost[QuantityRequired],
 ""
)</f>
        <v>10</v>
      </c>
      <c r="H1472" s="49">
        <f t="array" ref="H1472">IF(
 OR(
  LEFT(B1472,15)="state.character",
  RIGHT(B1472,6)=".maxed"
 ),
 0,
 LET(
  sort,
   _xlfn.XLOOKUP(
    B1472,
    tblChecklist[TargetID],
    tblChecklist[PlayerSort],
    0
   ),
  IF(sort=0,500,sort)
 )
)</f>
        <v>500</v>
      </c>
      <c r="I1472" s="49" t="str">
        <f t="array" ref="I1472">_xlfn.XLOOKUP(
 B1472,
 tblTargetStatus[TargetID],
 tblTargetStatus[Status],
 ""
)</f>
        <v>BLOCKED</v>
      </c>
      <c r="J1472" s="45" t="b">
        <v>0</v>
      </c>
    </row>
    <row r="1473" ht="14.25" hidden="1" customHeight="1">
      <c r="A1473" s="49" t="s">
        <v>2880</v>
      </c>
      <c r="B1473" s="49" t="str">
        <f>IFERROR(__xludf.DUMMYFUNCTION("REGEXREPLACE(
 REGEXREPLACE(A1473,""^cost\."",""""),
 ""\.[^.]+\.[^.]+$"",
 """"
)"),"tech.alchemists_hut.madness_grenade")</f>
        <v>tech.alchemists_hut.madness_grenade</v>
      </c>
      <c r="C1473" s="49" t="str">
        <f t="array" ref="C1473">_xlfn.XLOOKUP(
 B1473,
 tblTargets[TargetID],
 tblTargets[DisplayName],
 ""
)</f>
        <v>Alchemists Hut - Madness Grenade</v>
      </c>
      <c r="D1473" s="49" t="str">
        <f t="array" ref="D1473">_xlfn.XLOOKUP(
 B1473,
 tblTargets[TargetID],
 tblTargets[TargetType],
 ""
)</f>
        <v>TECH</v>
      </c>
      <c r="E1473" s="49" t="s">
        <v>530</v>
      </c>
      <c r="F1473" s="49">
        <v>1.0</v>
      </c>
      <c r="G1473" s="49">
        <f t="array" ref="G1473">_xlfn.XLOOKUP(
 A1473,
 tblCost[RequirementID],
 tblCost[QuantityRequired],
 ""
)</f>
        <v>10</v>
      </c>
      <c r="H1473" s="49">
        <f t="array" ref="H1473">IF(
 OR(
  LEFT(B1473,15)="state.character",
  RIGHT(B1473,6)=".maxed"
 ),
 0,
 LET(
  sort,
   _xlfn.XLOOKUP(
    B1473,
    tblChecklist[TargetID],
    tblChecklist[PlayerSort],
    0
   ),
  IF(sort=0,500,sort)
 )
)</f>
        <v>500</v>
      </c>
      <c r="I1473" s="49" t="str">
        <f t="array" ref="I1473">_xlfn.XLOOKUP(
 B1473,
 tblTargetStatus[TargetID],
 tblTargetStatus[Status],
 ""
)</f>
        <v>BLOCKED</v>
      </c>
      <c r="J1473" s="45" t="b">
        <v>0</v>
      </c>
    </row>
    <row r="1474" ht="14.25" hidden="1" customHeight="1">
      <c r="A1474" s="49" t="s">
        <v>2883</v>
      </c>
      <c r="B1474" s="49" t="str">
        <f>IFERROR(__xludf.DUMMYFUNCTION("REGEXREPLACE(
 REGEXREPLACE(A1474,""^cost\."",""""),
 ""\.[^.]+\.[^.]+$"",
 """"
)"),"tech.alchemists_hut.madness_grenade")</f>
        <v>tech.alchemists_hut.madness_grenade</v>
      </c>
      <c r="C1474" s="49" t="str">
        <f t="array" ref="C1474">_xlfn.XLOOKUP(
 B1474,
 tblTargets[TargetID],
 tblTargets[DisplayName],
 ""
)</f>
        <v>Alchemists Hut - Madness Grenade</v>
      </c>
      <c r="D1474" s="49" t="str">
        <f t="array" ref="D1474">_xlfn.XLOOKUP(
 B1474,
 tblTargets[TargetID],
 tblTargets[TargetType],
 ""
)</f>
        <v>TECH</v>
      </c>
      <c r="E1474" s="49" t="s">
        <v>318</v>
      </c>
      <c r="F1474" s="49">
        <v>1.0</v>
      </c>
      <c r="G1474" s="49">
        <f t="array" ref="G1474">_xlfn.XLOOKUP(
 A1474,
 tblCost[RequirementID],
 tblCost[QuantityRequired],
 ""
)</f>
        <v>100</v>
      </c>
      <c r="H1474" s="49">
        <f t="array" ref="H1474">IF(
 OR(
  LEFT(B1474,15)="state.character",
  RIGHT(B1474,6)=".maxed"
 ),
 0,
 LET(
  sort,
   _xlfn.XLOOKUP(
    B1474,
    tblChecklist[TargetID],
    tblChecklist[PlayerSort],
    0
   ),
  IF(sort=0,500,sort)
 )
)</f>
        <v>500</v>
      </c>
      <c r="I1474" s="49" t="str">
        <f t="array" ref="I1474">_xlfn.XLOOKUP(
 B1474,
 tblTargetStatus[TargetID],
 tblTargetStatus[Status],
 ""
)</f>
        <v>BLOCKED</v>
      </c>
      <c r="J1474" s="45" t="b">
        <v>0</v>
      </c>
    </row>
    <row r="1475" ht="14.25" hidden="1" customHeight="1">
      <c r="A1475" s="49" t="s">
        <v>2885</v>
      </c>
      <c r="B1475" s="49" t="str">
        <f>IFERROR(__xludf.DUMMYFUNCTION("REGEXREPLACE(
 REGEXREPLACE(A1475,""^cost\."",""""),
 ""\.[^.]+\.[^.]+$"",
 """"
)"),"tech.alchemists_hut.madness_grenade")</f>
        <v>tech.alchemists_hut.madness_grenade</v>
      </c>
      <c r="C1475" s="49" t="str">
        <f t="array" ref="C1475">_xlfn.XLOOKUP(
 B1475,
 tblTargets[TargetID],
 tblTargets[DisplayName],
 ""
)</f>
        <v>Alchemists Hut - Madness Grenade</v>
      </c>
      <c r="D1475" s="49" t="str">
        <f t="array" ref="D1475">_xlfn.XLOOKUP(
 B1475,
 tblTargets[TargetID],
 tblTargets[TargetType],
 ""
)</f>
        <v>TECH</v>
      </c>
      <c r="E1475" s="49" t="s">
        <v>508</v>
      </c>
      <c r="F1475" s="49">
        <v>1.0</v>
      </c>
      <c r="G1475" s="49">
        <f t="array" ref="G1475">_xlfn.XLOOKUP(
 A1475,
 tblCost[RequirementID],
 tblCost[QuantityRequired],
 ""
)</f>
        <v>10</v>
      </c>
      <c r="H1475" s="49">
        <f t="array" ref="H1475">IF(
 OR(
  LEFT(B1475,15)="state.character",
  RIGHT(B1475,6)=".maxed"
 ),
 0,
 LET(
  sort,
   _xlfn.XLOOKUP(
    B1475,
    tblChecklist[TargetID],
    tblChecklist[PlayerSort],
    0
   ),
  IF(sort=0,500,sort)
 )
)</f>
        <v>500</v>
      </c>
      <c r="I1475" s="49" t="str">
        <f t="array" ref="I1475">_xlfn.XLOOKUP(
 B1475,
 tblTargetStatus[TargetID],
 tblTargetStatus[Status],
 ""
)</f>
        <v>BLOCKED</v>
      </c>
      <c r="J1475" s="45" t="b">
        <v>0</v>
      </c>
    </row>
    <row r="1476" ht="14.25" hidden="1" customHeight="1">
      <c r="A1476" s="49" t="s">
        <v>2888</v>
      </c>
      <c r="B1476" s="49" t="str">
        <f>IFERROR(__xludf.DUMMYFUNCTION("REGEXREPLACE(
 REGEXREPLACE(A1476,""^cost\."",""""),
 ""\.[^.]+\.[^.]+$"",
 """"
)"),"tech.alchemists_hut.madness_grenade")</f>
        <v>tech.alchemists_hut.madness_grenade</v>
      </c>
      <c r="C1476" s="49" t="str">
        <f t="array" ref="C1476">_xlfn.XLOOKUP(
 B1476,
 tblTargets[TargetID],
 tblTargets[DisplayName],
 ""
)</f>
        <v>Alchemists Hut - Madness Grenade</v>
      </c>
      <c r="D1476" s="49" t="str">
        <f t="array" ref="D1476">_xlfn.XLOOKUP(
 B1476,
 tblTargets[TargetID],
 tblTargets[TargetType],
 ""
)</f>
        <v>TECH</v>
      </c>
      <c r="E1476" s="49" t="s">
        <v>1456</v>
      </c>
      <c r="F1476" s="49">
        <v>1.0</v>
      </c>
      <c r="G1476" s="49">
        <f t="array" ref="G1476">_xlfn.XLOOKUP(
 A1476,
 tblCost[RequirementID],
 tblCost[QuantityRequired],
 ""
)</f>
        <v>10</v>
      </c>
      <c r="H1476" s="49">
        <f t="array" ref="H1476">IF(
 OR(
  LEFT(B1476,15)="state.character",
  RIGHT(B1476,6)=".maxed"
 ),
 0,
 LET(
  sort,
   _xlfn.XLOOKUP(
    B1476,
    tblChecklist[TargetID],
    tblChecklist[PlayerSort],
    0
   ),
  IF(sort=0,500,sort)
 )
)</f>
        <v>500</v>
      </c>
      <c r="I1476" s="49" t="str">
        <f t="array" ref="I1476">_xlfn.XLOOKUP(
 B1476,
 tblTargetStatus[TargetID],
 tblTargetStatus[Status],
 ""
)</f>
        <v>BLOCKED</v>
      </c>
      <c r="J1476" s="45" t="b">
        <v>0</v>
      </c>
    </row>
    <row r="1477" ht="14.25" hidden="1" customHeight="1">
      <c r="A1477" s="49" t="s">
        <v>2890</v>
      </c>
      <c r="B1477" s="49" t="str">
        <f>IFERROR(__xludf.DUMMYFUNCTION("REGEXREPLACE(
 REGEXREPLACE(A1477,""^cost\."",""""),
 ""\.[^.]+\.[^.]+$"",
 """"
)"),"tech.alchemists_hut.madness_grenade")</f>
        <v>tech.alchemists_hut.madness_grenade</v>
      </c>
      <c r="C1477" s="49" t="str">
        <f t="array" ref="C1477">_xlfn.XLOOKUP(
 B1477,
 tblTargets[TargetID],
 tblTargets[DisplayName],
 ""
)</f>
        <v>Alchemists Hut - Madness Grenade</v>
      </c>
      <c r="D1477" s="49" t="str">
        <f t="array" ref="D1477">_xlfn.XLOOKUP(
 B1477,
 tblTargets[TargetID],
 tblTargets[TargetType],
 ""
)</f>
        <v>TECH</v>
      </c>
      <c r="E1477" s="49" t="s">
        <v>6</v>
      </c>
      <c r="F1477" s="49">
        <v>1.0</v>
      </c>
      <c r="G1477" s="49">
        <f t="array" ref="G1477">_xlfn.XLOOKUP(
 A1477,
 tblCost[RequirementID],
 tblCost[QuantityRequired],
 ""
)</f>
        <v>1</v>
      </c>
      <c r="H1477" s="49">
        <f t="array" ref="H1477">IF(
 OR(
  LEFT(B1477,15)="state.character",
  RIGHT(B1477,6)=".maxed"
 ),
 0,
 LET(
  sort,
   _xlfn.XLOOKUP(
    B1477,
    tblChecklist[TargetID],
    tblChecklist[PlayerSort],
    0
   ),
  IF(sort=0,500,sort)
 )
)</f>
        <v>500</v>
      </c>
      <c r="I1477" s="49" t="str">
        <f t="array" ref="I1477">_xlfn.XLOOKUP(
 B1477,
 tblTargetStatus[TargetID],
 tblTargetStatus[Status],
 ""
)</f>
        <v>BLOCKED</v>
      </c>
      <c r="J1477" s="45" t="b">
        <v>0</v>
      </c>
    </row>
    <row r="1478" ht="14.25" hidden="1" customHeight="1">
      <c r="A1478" s="49" t="s">
        <v>2842</v>
      </c>
      <c r="B1478" s="49" t="str">
        <f>IFERROR(__xludf.DUMMYFUNCTION("REGEXREPLACE(
 REGEXREPLACE(A1478,""^cost\."",""""),
 ""\.[^.]+\.[^.]+$"",
 """"
)"),"tech.alchemists_hut.mercury")</f>
        <v>tech.alchemists_hut.mercury</v>
      </c>
      <c r="C1478" s="49" t="str">
        <f t="array" ref="C1478">_xlfn.XLOOKUP(
 B1478,
 tblTargets[TargetID],
 tblTargets[DisplayName],
 ""
)</f>
        <v>Alchemists Hut - Mercury</v>
      </c>
      <c r="D1478" s="49" t="str">
        <f t="array" ref="D1478">_xlfn.XLOOKUP(
 B1478,
 tblTargets[TargetID],
 tblTargets[TargetType],
 ""
)</f>
        <v>TECH</v>
      </c>
      <c r="E1478" s="49" t="s">
        <v>283</v>
      </c>
      <c r="F1478" s="49">
        <v>1.0</v>
      </c>
      <c r="G1478" s="49">
        <f t="array" ref="G1478">_xlfn.XLOOKUP(
 A1478,
 tblCost[RequirementID],
 tblCost[QuantityRequired],
 ""
)</f>
        <v>100</v>
      </c>
      <c r="H1478" s="49">
        <f t="array" ref="H1478">IF(
 OR(
  LEFT(B1478,15)="state.character",
  RIGHT(B1478,6)=".maxed"
 ),
 0,
 LET(
  sort,
   _xlfn.XLOOKUP(
    B1478,
    tblChecklist[TargetID],
    tblChecklist[PlayerSort],
    0
   ),
  IF(sort=0,500,sort)
 )
)</f>
        <v>500</v>
      </c>
      <c r="I1478" s="49" t="str">
        <f t="array" ref="I1478">_xlfn.XLOOKUP(
 B1478,
 tblTargetStatus[TargetID],
 tblTargetStatus[Status],
 ""
)</f>
        <v>BLOCKED</v>
      </c>
      <c r="J1478" s="45" t="b">
        <v>0</v>
      </c>
    </row>
    <row r="1479" ht="14.25" hidden="1" customHeight="1">
      <c r="A1479" s="49" t="s">
        <v>2844</v>
      </c>
      <c r="B1479" s="49" t="str">
        <f>IFERROR(__xludf.DUMMYFUNCTION("REGEXREPLACE(
 REGEXREPLACE(A1479,""^cost\."",""""),
 ""\.[^.]+\.[^.]+$"",
 """"
)"),"tech.alchemists_hut.mercury")</f>
        <v>tech.alchemists_hut.mercury</v>
      </c>
      <c r="C1479" s="49" t="str">
        <f t="array" ref="C1479">_xlfn.XLOOKUP(
 B1479,
 tblTargets[TargetID],
 tblTargets[DisplayName],
 ""
)</f>
        <v>Alchemists Hut - Mercury</v>
      </c>
      <c r="D1479" s="49" t="str">
        <f t="array" ref="D1479">_xlfn.XLOOKUP(
 B1479,
 tblTargets[TargetID],
 tblTargets[TargetType],
 ""
)</f>
        <v>TECH</v>
      </c>
      <c r="E1479" s="49" t="s">
        <v>2514</v>
      </c>
      <c r="F1479" s="49">
        <v>1.0</v>
      </c>
      <c r="G1479" s="49">
        <f t="array" ref="G1479">_xlfn.XLOOKUP(
 A1479,
 tblCost[RequirementID],
 tblCost[QuantityRequired],
 ""
)</f>
        <v>30</v>
      </c>
      <c r="H1479" s="49">
        <f t="array" ref="H1479">IF(
 OR(
  LEFT(B1479,15)="state.character",
  RIGHT(B1479,6)=".maxed"
 ),
 0,
 LET(
  sort,
   _xlfn.XLOOKUP(
    B1479,
    tblChecklist[TargetID],
    tblChecklist[PlayerSort],
    0
   ),
  IF(sort=0,500,sort)
 )
)</f>
        <v>500</v>
      </c>
      <c r="I1479" s="49" t="str">
        <f t="array" ref="I1479">_xlfn.XLOOKUP(
 B1479,
 tblTargetStatus[TargetID],
 tblTargetStatus[Status],
 ""
)</f>
        <v>BLOCKED</v>
      </c>
      <c r="J1479" s="45" t="b">
        <v>0</v>
      </c>
    </row>
    <row r="1480" ht="14.25" hidden="1" customHeight="1">
      <c r="A1480" s="49" t="s">
        <v>2846</v>
      </c>
      <c r="B1480" s="49" t="str">
        <f>IFERROR(__xludf.DUMMYFUNCTION("REGEXREPLACE(
 REGEXREPLACE(A1480,""^cost\."",""""),
 ""\.[^.]+\.[^.]+$"",
 """"
)"),"tech.alchemists_hut.mercury")</f>
        <v>tech.alchemists_hut.mercury</v>
      </c>
      <c r="C1480" s="49" t="str">
        <f t="array" ref="C1480">_xlfn.XLOOKUP(
 B1480,
 tblTargets[TargetID],
 tblTargets[DisplayName],
 ""
)</f>
        <v>Alchemists Hut - Mercury</v>
      </c>
      <c r="D1480" s="49" t="str">
        <f t="array" ref="D1480">_xlfn.XLOOKUP(
 B1480,
 tblTargets[TargetID],
 tblTargets[TargetType],
 ""
)</f>
        <v>TECH</v>
      </c>
      <c r="E1480" s="49" t="s">
        <v>119</v>
      </c>
      <c r="F1480" s="49">
        <v>1.0</v>
      </c>
      <c r="G1480" s="49">
        <f t="array" ref="G1480">_xlfn.XLOOKUP(
 A1480,
 tblCost[RequirementID],
 tblCost[QuantityRequired],
 ""
)</f>
        <v>400</v>
      </c>
      <c r="H1480" s="49">
        <f t="array" ref="H1480">IF(
 OR(
  LEFT(B1480,15)="state.character",
  RIGHT(B1480,6)=".maxed"
 ),
 0,
 LET(
  sort,
   _xlfn.XLOOKUP(
    B1480,
    tblChecklist[TargetID],
    tblChecklist[PlayerSort],
    0
   ),
  IF(sort=0,500,sort)
 )
)</f>
        <v>500</v>
      </c>
      <c r="I1480" s="49" t="str">
        <f t="array" ref="I1480">_xlfn.XLOOKUP(
 B1480,
 tblTargetStatus[TargetID],
 tblTargetStatus[Status],
 ""
)</f>
        <v>BLOCKED</v>
      </c>
      <c r="J1480" s="45" t="b">
        <v>0</v>
      </c>
    </row>
    <row r="1481" ht="14.25" hidden="1" customHeight="1">
      <c r="A1481" s="49" t="s">
        <v>2850</v>
      </c>
      <c r="B1481" s="49" t="str">
        <f>IFERROR(__xludf.DUMMYFUNCTION("REGEXREPLACE(
 REGEXREPLACE(A1481,""^cost\."",""""),
 ""\.[^.]+\.[^.]+$"",
 """"
)"),"tech.alchemists_hut.mercury")</f>
        <v>tech.alchemists_hut.mercury</v>
      </c>
      <c r="C1481" s="49" t="str">
        <f t="array" ref="C1481">_xlfn.XLOOKUP(
 B1481,
 tblTargets[TargetID],
 tblTargets[DisplayName],
 ""
)</f>
        <v>Alchemists Hut - Mercury</v>
      </c>
      <c r="D1481" s="49" t="str">
        <f t="array" ref="D1481">_xlfn.XLOOKUP(
 B1481,
 tblTargets[TargetID],
 tblTargets[TargetType],
 ""
)</f>
        <v>TECH</v>
      </c>
      <c r="E1481" s="49" t="s">
        <v>360</v>
      </c>
      <c r="F1481" s="49">
        <v>1.0</v>
      </c>
      <c r="G1481" s="49">
        <f t="array" ref="G1481">_xlfn.XLOOKUP(
 A1481,
 tblCost[RequirementID],
 tblCost[QuantityRequired],
 ""
)</f>
        <v>10</v>
      </c>
      <c r="H1481" s="49">
        <f t="array" ref="H1481">IF(
 OR(
  LEFT(B1481,15)="state.character",
  RIGHT(B1481,6)=".maxed"
 ),
 0,
 LET(
  sort,
   _xlfn.XLOOKUP(
    B1481,
    tblChecklist[TargetID],
    tblChecklist[PlayerSort],
    0
   ),
  IF(sort=0,500,sort)
 )
)</f>
        <v>500</v>
      </c>
      <c r="I1481" s="49" t="str">
        <f t="array" ref="I1481">_xlfn.XLOOKUP(
 B1481,
 tblTargetStatus[TargetID],
 tblTargetStatus[Status],
 ""
)</f>
        <v>BLOCKED</v>
      </c>
      <c r="J1481" s="45" t="b">
        <v>0</v>
      </c>
    </row>
    <row r="1482" ht="14.25" hidden="1" customHeight="1">
      <c r="A1482" s="49" t="s">
        <v>2852</v>
      </c>
      <c r="B1482" s="49" t="str">
        <f>IFERROR(__xludf.DUMMYFUNCTION("REGEXREPLACE(
 REGEXREPLACE(A1482,""^cost\."",""""),
 ""\.[^.]+\.[^.]+$"",
 """"
)"),"tech.alchemists_hut.mercury")</f>
        <v>tech.alchemists_hut.mercury</v>
      </c>
      <c r="C1482" s="49" t="str">
        <f t="array" ref="C1482">_xlfn.XLOOKUP(
 B1482,
 tblTargets[TargetID],
 tblTargets[DisplayName],
 ""
)</f>
        <v>Alchemists Hut - Mercury</v>
      </c>
      <c r="D1482" s="49" t="str">
        <f t="array" ref="D1482">_xlfn.XLOOKUP(
 B1482,
 tblTargets[TargetID],
 tblTargets[TargetType],
 ""
)</f>
        <v>TECH</v>
      </c>
      <c r="E1482" s="49" t="s">
        <v>530</v>
      </c>
      <c r="F1482" s="49">
        <v>1.0</v>
      </c>
      <c r="G1482" s="49">
        <f t="array" ref="G1482">_xlfn.XLOOKUP(
 A1482,
 tblCost[RequirementID],
 tblCost[QuantityRequired],
 ""
)</f>
        <v>10</v>
      </c>
      <c r="H1482" s="49">
        <f t="array" ref="H1482">IF(
 OR(
  LEFT(B1482,15)="state.character",
  RIGHT(B1482,6)=".maxed"
 ),
 0,
 LET(
  sort,
   _xlfn.XLOOKUP(
    B1482,
    tblChecklist[TargetID],
    tblChecklist[PlayerSort],
    0
   ),
  IF(sort=0,500,sort)
 )
)</f>
        <v>500</v>
      </c>
      <c r="I1482" s="49" t="str">
        <f t="array" ref="I1482">_xlfn.XLOOKUP(
 B1482,
 tblTargetStatus[TargetID],
 tblTargetStatus[Status],
 ""
)</f>
        <v>BLOCKED</v>
      </c>
      <c r="J1482" s="45" t="b">
        <v>0</v>
      </c>
    </row>
    <row r="1483" ht="14.25" hidden="1" customHeight="1">
      <c r="A1483" s="49" t="s">
        <v>2854</v>
      </c>
      <c r="B1483" s="49" t="str">
        <f>IFERROR(__xludf.DUMMYFUNCTION("REGEXREPLACE(
 REGEXREPLACE(A1483,""^cost\."",""""),
 ""\.[^.]+\.[^.]+$"",
 """"
)"),"tech.alchemists_hut.mercury")</f>
        <v>tech.alchemists_hut.mercury</v>
      </c>
      <c r="C1483" s="49" t="str">
        <f t="array" ref="C1483">_xlfn.XLOOKUP(
 B1483,
 tblTargets[TargetID],
 tblTargets[DisplayName],
 ""
)</f>
        <v>Alchemists Hut - Mercury</v>
      </c>
      <c r="D1483" s="49" t="str">
        <f t="array" ref="D1483">_xlfn.XLOOKUP(
 B1483,
 tblTargets[TargetID],
 tblTargets[TargetType],
 ""
)</f>
        <v>TECH</v>
      </c>
      <c r="E1483" s="49" t="s">
        <v>140</v>
      </c>
      <c r="F1483" s="49">
        <v>1.0</v>
      </c>
      <c r="G1483" s="49">
        <f t="array" ref="G1483">_xlfn.XLOOKUP(
 A1483,
 tblCost[RequirementID],
 tblCost[QuantityRequired],
 ""
)</f>
        <v>10</v>
      </c>
      <c r="H1483" s="49">
        <f t="array" ref="H1483">IF(
 OR(
  LEFT(B1483,15)="state.character",
  RIGHT(B1483,6)=".maxed"
 ),
 0,
 LET(
  sort,
   _xlfn.XLOOKUP(
    B1483,
    tblChecklist[TargetID],
    tblChecklist[PlayerSort],
    0
   ),
  IF(sort=0,500,sort)
 )
)</f>
        <v>500</v>
      </c>
      <c r="I1483" s="49" t="str">
        <f t="array" ref="I1483">_xlfn.XLOOKUP(
 B1483,
 tblTargetStatus[TargetID],
 tblTargetStatus[Status],
 ""
)</f>
        <v>BLOCKED</v>
      </c>
      <c r="J1483" s="45" t="b">
        <v>0</v>
      </c>
    </row>
    <row r="1484" ht="14.25" hidden="1" customHeight="1">
      <c r="A1484" s="49" t="s">
        <v>2856</v>
      </c>
      <c r="B1484" s="49" t="str">
        <f>IFERROR(__xludf.DUMMYFUNCTION("REGEXREPLACE(
 REGEXREPLACE(A1484,""^cost\."",""""),
 ""\.[^.]+\.[^.]+$"",
 """"
)"),"tech.alchemists_hut.mercury")</f>
        <v>tech.alchemists_hut.mercury</v>
      </c>
      <c r="C1484" s="49" t="str">
        <f t="array" ref="C1484">_xlfn.XLOOKUP(
 B1484,
 tblTargets[TargetID],
 tblTargets[DisplayName],
 ""
)</f>
        <v>Alchemists Hut - Mercury</v>
      </c>
      <c r="D1484" s="49" t="str">
        <f t="array" ref="D1484">_xlfn.XLOOKUP(
 B1484,
 tblTargets[TargetID],
 tblTargets[TargetType],
 ""
)</f>
        <v>TECH</v>
      </c>
      <c r="E1484" s="49" t="s">
        <v>6</v>
      </c>
      <c r="F1484" s="49">
        <v>1.0</v>
      </c>
      <c r="G1484" s="49">
        <f t="array" ref="G1484">_xlfn.XLOOKUP(
 A1484,
 tblCost[RequirementID],
 tblCost[QuantityRequired],
 ""
)</f>
        <v>1</v>
      </c>
      <c r="H1484" s="49">
        <f t="array" ref="H1484">IF(
 OR(
  LEFT(B1484,15)="state.character",
  RIGHT(B1484,6)=".maxed"
 ),
 0,
 LET(
  sort,
   _xlfn.XLOOKUP(
    B1484,
    tblChecklist[TargetID],
    tblChecklist[PlayerSort],
    0
   ),
  IF(sort=0,500,sort)
 )
)</f>
        <v>500</v>
      </c>
      <c r="I1484" s="49" t="str">
        <f t="array" ref="I1484">_xlfn.XLOOKUP(
 B1484,
 tblTargetStatus[TargetID],
 tblTargetStatus[Status],
 ""
)</f>
        <v>BLOCKED</v>
      </c>
      <c r="J1484" s="45" t="b">
        <v>0</v>
      </c>
    </row>
    <row r="1485" ht="14.25" hidden="1" customHeight="1">
      <c r="A1485" s="49" t="s">
        <v>2992</v>
      </c>
      <c r="B1485" s="49" t="str">
        <f>IFERROR(__xludf.DUMMYFUNCTION("REGEXREPLACE(
 REGEXREPLACE(A1485,""^cost\."",""""),
 ""\.[^.]+\.[^.]+$"",
 """"
)"),"tech.alchemists_hut.metamorphosis")</f>
        <v>tech.alchemists_hut.metamorphosis</v>
      </c>
      <c r="C1485" s="49" t="str">
        <f t="array" ref="C1485">_xlfn.XLOOKUP(
 B1485,
 tblTargets[TargetID],
 tblTargets[DisplayName],
 ""
)</f>
        <v>Alchemists Hut - Metamorphosis</v>
      </c>
      <c r="D1485" s="49" t="str">
        <f t="array" ref="D1485">_xlfn.XLOOKUP(
 B1485,
 tblTargets[TargetID],
 tblTargets[TargetType],
 ""
)</f>
        <v>TECH</v>
      </c>
      <c r="E1485" s="49" t="s">
        <v>119</v>
      </c>
      <c r="F1485" s="49">
        <v>1.0</v>
      </c>
      <c r="G1485" s="49">
        <f t="array" ref="G1485">_xlfn.XLOOKUP(
 A1485,
 tblCost[RequirementID],
 tblCost[QuantityRequired],
 ""
)</f>
        <v>300</v>
      </c>
      <c r="H1485" s="49">
        <f t="array" ref="H1485">IF(
 OR(
  LEFT(B1485,15)="state.character",
  RIGHT(B1485,6)=".maxed"
 ),
 0,
 LET(
  sort,
   _xlfn.XLOOKUP(
    B1485,
    tblChecklist[TargetID],
    tblChecklist[PlayerSort],
    0
   ),
  IF(sort=0,500,sort)
 )
)</f>
        <v>999</v>
      </c>
      <c r="I1485" s="49" t="str">
        <f t="array" ref="I1485">_xlfn.XLOOKUP(
 B1485,
 tblTargetStatus[TargetID],
 tblTargetStatus[Status],
 ""
)</f>
        <v>BLOCKED</v>
      </c>
      <c r="J1485" s="45" t="b">
        <v>0</v>
      </c>
    </row>
    <row r="1486" ht="14.25" hidden="1" customHeight="1">
      <c r="A1486" s="49" t="s">
        <v>2994</v>
      </c>
      <c r="B1486" s="49" t="str">
        <f>IFERROR(__xludf.DUMMYFUNCTION("REGEXREPLACE(
 REGEXREPLACE(A1486,""^cost\."",""""),
 ""\.[^.]+\.[^.]+$"",
 """"
)"),"tech.alchemists_hut.metamorphosis")</f>
        <v>tech.alchemists_hut.metamorphosis</v>
      </c>
      <c r="C1486" s="49" t="str">
        <f t="array" ref="C1486">_xlfn.XLOOKUP(
 B1486,
 tblTargets[TargetID],
 tblTargets[DisplayName],
 ""
)</f>
        <v>Alchemists Hut - Metamorphosis</v>
      </c>
      <c r="D1486" s="49" t="str">
        <f t="array" ref="D1486">_xlfn.XLOOKUP(
 B1486,
 tblTargets[TargetID],
 tblTargets[TargetType],
 ""
)</f>
        <v>TECH</v>
      </c>
      <c r="E1486" s="49" t="s">
        <v>530</v>
      </c>
      <c r="F1486" s="49">
        <v>1.0</v>
      </c>
      <c r="G1486" s="49">
        <f t="array" ref="G1486">_xlfn.XLOOKUP(
 A1486,
 tblCost[RequirementID],
 tblCost[QuantityRequired],
 ""
)</f>
        <v>5</v>
      </c>
      <c r="H1486" s="49">
        <f t="array" ref="H1486">IF(
 OR(
  LEFT(B1486,15)="state.character",
  RIGHT(B1486,6)=".maxed"
 ),
 0,
 LET(
  sort,
   _xlfn.XLOOKUP(
    B1486,
    tblChecklist[TargetID],
    tblChecklist[PlayerSort],
    0
   ),
  IF(sort=0,500,sort)
 )
)</f>
        <v>999</v>
      </c>
      <c r="I1486" s="49" t="str">
        <f t="array" ref="I1486">_xlfn.XLOOKUP(
 B1486,
 tblTargetStatus[TargetID],
 tblTargetStatus[Status],
 ""
)</f>
        <v>BLOCKED</v>
      </c>
      <c r="J1486" s="45" t="b">
        <v>0</v>
      </c>
    </row>
    <row r="1487" ht="14.25" hidden="1" customHeight="1">
      <c r="A1487" s="49" t="s">
        <v>2996</v>
      </c>
      <c r="B1487" s="49" t="str">
        <f>IFERROR(__xludf.DUMMYFUNCTION("REGEXREPLACE(
 REGEXREPLACE(A1487,""^cost\."",""""),
 ""\.[^.]+\.[^.]+$"",
 """"
)"),"tech.alchemists_hut.metamorphosis")</f>
        <v>tech.alchemists_hut.metamorphosis</v>
      </c>
      <c r="C1487" s="49" t="str">
        <f t="array" ref="C1487">_xlfn.XLOOKUP(
 B1487,
 tblTargets[TargetID],
 tblTargets[DisplayName],
 ""
)</f>
        <v>Alchemists Hut - Metamorphosis</v>
      </c>
      <c r="D1487" s="49" t="str">
        <f t="array" ref="D1487">_xlfn.XLOOKUP(
 B1487,
 tblTargets[TargetID],
 tblTargets[TargetType],
 ""
)</f>
        <v>TECH</v>
      </c>
      <c r="E1487" s="49" t="s">
        <v>2304</v>
      </c>
      <c r="F1487" s="49">
        <v>1.0</v>
      </c>
      <c r="G1487" s="49">
        <f t="array" ref="G1487">_xlfn.XLOOKUP(
 A1487,
 tblCost[RequirementID],
 tblCost[QuantityRequired],
 ""
)</f>
        <v>15</v>
      </c>
      <c r="H1487" s="49">
        <f t="array" ref="H1487">IF(
 OR(
  LEFT(B1487,15)="state.character",
  RIGHT(B1487,6)=".maxed"
 ),
 0,
 LET(
  sort,
   _xlfn.XLOOKUP(
    B1487,
    tblChecklist[TargetID],
    tblChecklist[PlayerSort],
    0
   ),
  IF(sort=0,500,sort)
 )
)</f>
        <v>999</v>
      </c>
      <c r="I1487" s="49" t="str">
        <f t="array" ref="I1487">_xlfn.XLOOKUP(
 B1487,
 tblTargetStatus[TargetID],
 tblTargetStatus[Status],
 ""
)</f>
        <v>BLOCKED</v>
      </c>
      <c r="J1487" s="45" t="b">
        <v>0</v>
      </c>
    </row>
    <row r="1488" ht="14.25" hidden="1" customHeight="1">
      <c r="A1488" s="49" t="s">
        <v>2999</v>
      </c>
      <c r="B1488" s="49" t="str">
        <f>IFERROR(__xludf.DUMMYFUNCTION("REGEXREPLACE(
 REGEXREPLACE(A1488,""^cost\."",""""),
 ""\.[^.]+\.[^.]+$"",
 """"
)"),"tech.alchemists_hut.metamorphosis")</f>
        <v>tech.alchemists_hut.metamorphosis</v>
      </c>
      <c r="C1488" s="49" t="str">
        <f t="array" ref="C1488">_xlfn.XLOOKUP(
 B1488,
 tblTargets[TargetID],
 tblTargets[DisplayName],
 ""
)</f>
        <v>Alchemists Hut - Metamorphosis</v>
      </c>
      <c r="D1488" s="49" t="str">
        <f t="array" ref="D1488">_xlfn.XLOOKUP(
 B1488,
 tblTargets[TargetID],
 tblTargets[TargetType],
 ""
)</f>
        <v>TECH</v>
      </c>
      <c r="E1488" s="49" t="s">
        <v>1456</v>
      </c>
      <c r="F1488" s="49">
        <v>1.0</v>
      </c>
      <c r="G1488" s="49">
        <f t="array" ref="G1488">_xlfn.XLOOKUP(
 A1488,
 tblCost[RequirementID],
 tblCost[QuantityRequired],
 ""
)</f>
        <v>5</v>
      </c>
      <c r="H1488" s="49">
        <f t="array" ref="H1488">IF(
 OR(
  LEFT(B1488,15)="state.character",
  RIGHT(B1488,6)=".maxed"
 ),
 0,
 LET(
  sort,
   _xlfn.XLOOKUP(
    B1488,
    tblChecklist[TargetID],
    tblChecklist[PlayerSort],
    0
   ),
  IF(sort=0,500,sort)
 )
)</f>
        <v>999</v>
      </c>
      <c r="I1488" s="49" t="str">
        <f t="array" ref="I1488">_xlfn.XLOOKUP(
 B1488,
 tblTargetStatus[TargetID],
 tblTargetStatus[Status],
 ""
)</f>
        <v>BLOCKED</v>
      </c>
      <c r="J1488" s="45" t="b">
        <v>0</v>
      </c>
    </row>
    <row r="1489" ht="14.25" hidden="1" customHeight="1">
      <c r="A1489" s="49" t="s">
        <v>3001</v>
      </c>
      <c r="B1489" s="49" t="str">
        <f>IFERROR(__xludf.DUMMYFUNCTION("REGEXREPLACE(
 REGEXREPLACE(A1489,""^cost\."",""""),
 ""\.[^.]+\.[^.]+$"",
 """"
)"),"tech.alchemists_hut.metamorphosis")</f>
        <v>tech.alchemists_hut.metamorphosis</v>
      </c>
      <c r="C1489" s="49" t="str">
        <f t="array" ref="C1489">_xlfn.XLOOKUP(
 B1489,
 tblTargets[TargetID],
 tblTargets[DisplayName],
 ""
)</f>
        <v>Alchemists Hut - Metamorphosis</v>
      </c>
      <c r="D1489" s="49" t="str">
        <f t="array" ref="D1489">_xlfn.XLOOKUP(
 B1489,
 tblTargets[TargetID],
 tblTargets[TargetType],
 ""
)</f>
        <v>TECH</v>
      </c>
      <c r="E1489" s="49" t="s">
        <v>140</v>
      </c>
      <c r="F1489" s="49">
        <v>1.0</v>
      </c>
      <c r="G1489" s="49">
        <f t="array" ref="G1489">_xlfn.XLOOKUP(
 A1489,
 tblCost[RequirementID],
 tblCost[QuantityRequired],
 ""
)</f>
        <v>15</v>
      </c>
      <c r="H1489" s="49">
        <f t="array" ref="H1489">IF(
 OR(
  LEFT(B1489,15)="state.character",
  RIGHT(B1489,6)=".maxed"
 ),
 0,
 LET(
  sort,
   _xlfn.XLOOKUP(
    B1489,
    tblChecklist[TargetID],
    tblChecklist[PlayerSort],
    0
   ),
  IF(sort=0,500,sort)
 )
)</f>
        <v>999</v>
      </c>
      <c r="I1489" s="49" t="str">
        <f t="array" ref="I1489">_xlfn.XLOOKUP(
 B1489,
 tblTargetStatus[TargetID],
 tblTargetStatus[Status],
 ""
)</f>
        <v>BLOCKED</v>
      </c>
      <c r="J1489" s="45" t="b">
        <v>0</v>
      </c>
    </row>
    <row r="1490" ht="14.25" hidden="1" customHeight="1">
      <c r="A1490" s="49" t="s">
        <v>3004</v>
      </c>
      <c r="B1490" s="49" t="str">
        <f>IFERROR(__xludf.DUMMYFUNCTION("REGEXREPLACE(
 REGEXREPLACE(A1490,""^cost\."",""""),
 ""\.[^.]+\.[^.]+$"",
 """"
)"),"tech.alchemists_hut.metamorphosis")</f>
        <v>tech.alchemists_hut.metamorphosis</v>
      </c>
      <c r="C1490" s="49" t="str">
        <f t="array" ref="C1490">_xlfn.XLOOKUP(
 B1490,
 tblTargets[TargetID],
 tblTargets[DisplayName],
 ""
)</f>
        <v>Alchemists Hut - Metamorphosis</v>
      </c>
      <c r="D1490" s="49" t="str">
        <f t="array" ref="D1490">_xlfn.XLOOKUP(
 B1490,
 tblTargets[TargetID],
 tblTargets[TargetType],
 ""
)</f>
        <v>TECH</v>
      </c>
      <c r="E1490" s="49" t="s">
        <v>6</v>
      </c>
      <c r="F1490" s="49">
        <v>1.0</v>
      </c>
      <c r="G1490" s="49">
        <f t="array" ref="G1490">_xlfn.XLOOKUP(
 A1490,
 tblCost[RequirementID],
 tblCost[QuantityRequired],
 ""
)</f>
        <v>3</v>
      </c>
      <c r="H1490" s="49">
        <f t="array" ref="H1490">IF(
 OR(
  LEFT(B1490,15)="state.character",
  RIGHT(B1490,6)=".maxed"
 ),
 0,
 LET(
  sort,
   _xlfn.XLOOKUP(
    B1490,
    tblChecklist[TargetID],
    tblChecklist[PlayerSort],
    0
   ),
  IF(sort=0,500,sort)
 )
)</f>
        <v>999</v>
      </c>
      <c r="I1490" s="49" t="str">
        <f t="array" ref="I1490">_xlfn.XLOOKUP(
 B1490,
 tblTargetStatus[TargetID],
 tblTargetStatus[Status],
 ""
)</f>
        <v>BLOCKED</v>
      </c>
      <c r="J1490" s="45" t="b">
        <v>0</v>
      </c>
    </row>
    <row r="1491" ht="14.25" hidden="1" customHeight="1">
      <c r="A1491" s="49" t="s">
        <v>3556</v>
      </c>
      <c r="B1491" s="49" t="str">
        <f>IFERROR(__xludf.DUMMYFUNCTION("REGEXREPLACE(
 REGEXREPLACE(A1491,""^cost\."",""""),
 ""\.[^.]+\.[^.]+$"",
 """"
)"),"tech.alchemists_hut.perfect_fertilizer")</f>
        <v>tech.alchemists_hut.perfect_fertilizer</v>
      </c>
      <c r="C1491" s="49" t="str">
        <f t="array" ref="C1491">_xlfn.XLOOKUP(
 B1491,
 tblTargets[TargetID],
 tblTargets[DisplayName],
 ""
)</f>
        <v>Alchemist's Hut - Perfect Fertilizer</v>
      </c>
      <c r="D1491" s="49" t="str">
        <f t="array" ref="D1491">_xlfn.XLOOKUP(
 B1491,
 tblTargets[TargetID],
 tblTargets[TargetType],
 ""
)</f>
        <v>TECH</v>
      </c>
      <c r="E1491" s="49" t="s">
        <v>1055</v>
      </c>
      <c r="F1491" s="49">
        <v>1.0</v>
      </c>
      <c r="G1491" s="49">
        <f t="array" ref="G1491">_xlfn.XLOOKUP(
 A1491,
 tblCost[RequirementID],
 tblCost[QuantityRequired],
 ""
)</f>
        <v>30</v>
      </c>
      <c r="H1491" s="49">
        <f t="array" ref="H1491">IF(
 OR(
  LEFT(B1491,15)="state.character",
  RIGHT(B1491,6)=".maxed"
 ),
 0,
 LET(
  sort,
   _xlfn.XLOOKUP(
    B1491,
    tblChecklist[TargetID],
    tblChecklist[PlayerSort],
    0
   ),
  IF(sort=0,500,sort)
 )
)</f>
        <v>500</v>
      </c>
      <c r="I1491" s="49" t="str">
        <f t="array" ref="I1491">_xlfn.XLOOKUP(
 B1491,
 tblTargetStatus[TargetID],
 tblTargetStatus[Status],
 ""
)</f>
        <v>BLOCKED</v>
      </c>
      <c r="J1491" s="45" t="b">
        <v>0</v>
      </c>
    </row>
    <row r="1492" ht="14.25" hidden="1" customHeight="1">
      <c r="A1492" s="49" t="s">
        <v>3562</v>
      </c>
      <c r="B1492" s="49" t="str">
        <f>IFERROR(__xludf.DUMMYFUNCTION("REGEXREPLACE(
 REGEXREPLACE(A1492,""^cost\."",""""),
 ""\.[^.]+\.[^.]+$"",
 """"
)"),"tech.alchemists_hut.perfect_fertilizer")</f>
        <v>tech.alchemists_hut.perfect_fertilizer</v>
      </c>
      <c r="C1492" s="49" t="str">
        <f t="array" ref="C1492">_xlfn.XLOOKUP(
 B1492,
 tblTargets[TargetID],
 tblTargets[DisplayName],
 ""
)</f>
        <v>Alchemist's Hut - Perfect Fertilizer</v>
      </c>
      <c r="D1492" s="49" t="str">
        <f t="array" ref="D1492">_xlfn.XLOOKUP(
 B1492,
 tblTargets[TargetID],
 tblTargets[TargetType],
 ""
)</f>
        <v>TECH</v>
      </c>
      <c r="E1492" s="49" t="s">
        <v>3565</v>
      </c>
      <c r="F1492" s="49">
        <v>1.0</v>
      </c>
      <c r="G1492" s="49">
        <f t="array" ref="G1492">_xlfn.XLOOKUP(
 A1492,
 tblCost[RequirementID],
 tblCost[QuantityRequired],
 ""
)</f>
        <v>30</v>
      </c>
      <c r="H1492" s="49">
        <f t="array" ref="H1492">IF(
 OR(
  LEFT(B1492,15)="state.character",
  RIGHT(B1492,6)=".maxed"
 ),
 0,
 LET(
  sort,
   _xlfn.XLOOKUP(
    B1492,
    tblChecklist[TargetID],
    tblChecklist[PlayerSort],
    0
   ),
  IF(sort=0,500,sort)
 )
)</f>
        <v>500</v>
      </c>
      <c r="I1492" s="49" t="str">
        <f t="array" ref="I1492">_xlfn.XLOOKUP(
 B1492,
 tblTargetStatus[TargetID],
 tblTargetStatus[Status],
 ""
)</f>
        <v>BLOCKED</v>
      </c>
      <c r="J1492" s="45" t="b">
        <v>0</v>
      </c>
    </row>
    <row r="1493" ht="14.25" hidden="1" customHeight="1">
      <c r="A1493" s="49" t="s">
        <v>3570</v>
      </c>
      <c r="B1493" s="49" t="str">
        <f>IFERROR(__xludf.DUMMYFUNCTION("REGEXREPLACE(
 REGEXREPLACE(A1493,""^cost\."",""""),
 ""\.[^.]+\.[^.]+$"",
 """"
)"),"tech.alchemists_hut.perfect_fertilizer")</f>
        <v>tech.alchemists_hut.perfect_fertilizer</v>
      </c>
      <c r="C1493" s="49" t="str">
        <f t="array" ref="C1493">_xlfn.XLOOKUP(
 B1493,
 tblTargets[TargetID],
 tblTargets[DisplayName],
 ""
)</f>
        <v>Alchemist's Hut - Perfect Fertilizer</v>
      </c>
      <c r="D1493" s="49" t="str">
        <f t="array" ref="D1493">_xlfn.XLOOKUP(
 B1493,
 tblTargets[TargetID],
 tblTargets[TargetType],
 ""
)</f>
        <v>TECH</v>
      </c>
      <c r="E1493" s="49" t="s">
        <v>2297</v>
      </c>
      <c r="F1493" s="49">
        <v>1.0</v>
      </c>
      <c r="G1493" s="49">
        <f t="array" ref="G1493">_xlfn.XLOOKUP(
 A1493,
 tblCost[RequirementID],
 tblCost[QuantityRequired],
 ""
)</f>
        <v>20</v>
      </c>
      <c r="H1493" s="49">
        <f t="array" ref="H1493">IF(
 OR(
  LEFT(B1493,15)="state.character",
  RIGHT(B1493,6)=".maxed"
 ),
 0,
 LET(
  sort,
   _xlfn.XLOOKUP(
    B1493,
    tblChecklist[TargetID],
    tblChecklist[PlayerSort],
    0
   ),
  IF(sort=0,500,sort)
 )
)</f>
        <v>500</v>
      </c>
      <c r="I1493" s="49" t="str">
        <f t="array" ref="I1493">_xlfn.XLOOKUP(
 B1493,
 tblTargetStatus[TargetID],
 tblTargetStatus[Status],
 ""
)</f>
        <v>BLOCKED</v>
      </c>
      <c r="J1493" s="45" t="b">
        <v>0</v>
      </c>
    </row>
    <row r="1494" ht="14.25" hidden="1" customHeight="1">
      <c r="A1494" s="49" t="s">
        <v>3577</v>
      </c>
      <c r="B1494" s="49" t="str">
        <f>IFERROR(__xludf.DUMMYFUNCTION("REGEXREPLACE(
 REGEXREPLACE(A1494,""^cost\."",""""),
 ""\.[^.]+\.[^.]+$"",
 """"
)"),"tech.alchemists_hut.perfect_fertilizer")</f>
        <v>tech.alchemists_hut.perfect_fertilizer</v>
      </c>
      <c r="C1494" s="49" t="str">
        <f t="array" ref="C1494">_xlfn.XLOOKUP(
 B1494,
 tblTargets[TargetID],
 tblTargets[DisplayName],
 ""
)</f>
        <v>Alchemist's Hut - Perfect Fertilizer</v>
      </c>
      <c r="D1494" s="49" t="str">
        <f t="array" ref="D1494">_xlfn.XLOOKUP(
 B1494,
 tblTargets[TargetID],
 tblTargets[TargetType],
 ""
)</f>
        <v>TECH</v>
      </c>
      <c r="E1494" s="49" t="s">
        <v>113</v>
      </c>
      <c r="F1494" s="49">
        <v>1.0</v>
      </c>
      <c r="G1494" s="49">
        <f t="array" ref="G1494">_xlfn.XLOOKUP(
 A1494,
 tblCost[RequirementID],
 tblCost[QuantityRequired],
 ""
)</f>
        <v>100</v>
      </c>
      <c r="H1494" s="49">
        <f t="array" ref="H1494">IF(
 OR(
  LEFT(B1494,15)="state.character",
  RIGHT(B1494,6)=".maxed"
 ),
 0,
 LET(
  sort,
   _xlfn.XLOOKUP(
    B1494,
    tblChecklist[TargetID],
    tblChecklist[PlayerSort],
    0
   ),
  IF(sort=0,500,sort)
 )
)</f>
        <v>500</v>
      </c>
      <c r="I1494" s="49" t="str">
        <f t="array" ref="I1494">_xlfn.XLOOKUP(
 B1494,
 tblTargetStatus[TargetID],
 tblTargetStatus[Status],
 ""
)</f>
        <v>BLOCKED</v>
      </c>
      <c r="J1494" s="45" t="b">
        <v>0</v>
      </c>
    </row>
    <row r="1495" ht="14.25" hidden="1" customHeight="1">
      <c r="A1495" s="49" t="s">
        <v>3582</v>
      </c>
      <c r="B1495" s="49" t="str">
        <f>IFERROR(__xludf.DUMMYFUNCTION("REGEXREPLACE(
 REGEXREPLACE(A1495,""^cost\."",""""),
 ""\.[^.]+\.[^.]+$"",
 """"
)"),"tech.alchemists_hut.perfect_fertilizer")</f>
        <v>tech.alchemists_hut.perfect_fertilizer</v>
      </c>
      <c r="C1495" s="49" t="str">
        <f t="array" ref="C1495">_xlfn.XLOOKUP(
 B1495,
 tblTargets[TargetID],
 tblTargets[DisplayName],
 ""
)</f>
        <v>Alchemist's Hut - Perfect Fertilizer</v>
      </c>
      <c r="D1495" s="49" t="str">
        <f t="array" ref="D1495">_xlfn.XLOOKUP(
 B1495,
 tblTargets[TargetID],
 tblTargets[TargetType],
 ""
)</f>
        <v>TECH</v>
      </c>
      <c r="E1495" s="49" t="s">
        <v>119</v>
      </c>
      <c r="F1495" s="49">
        <v>1.0</v>
      </c>
      <c r="G1495" s="49">
        <f t="array" ref="G1495">_xlfn.XLOOKUP(
 A1495,
 tblCost[RequirementID],
 tblCost[QuantityRequired],
 ""
)</f>
        <v>1000</v>
      </c>
      <c r="H1495" s="49">
        <f t="array" ref="H1495">IF(
 OR(
  LEFT(B1495,15)="state.character",
  RIGHT(B1495,6)=".maxed"
 ),
 0,
 LET(
  sort,
   _xlfn.XLOOKUP(
    B1495,
    tblChecklist[TargetID],
    tblChecklist[PlayerSort],
    0
   ),
  IF(sort=0,500,sort)
 )
)</f>
        <v>500</v>
      </c>
      <c r="I1495" s="49" t="str">
        <f t="array" ref="I1495">_xlfn.XLOOKUP(
 B1495,
 tblTargetStatus[TargetID],
 tblTargetStatus[Status],
 ""
)</f>
        <v>BLOCKED</v>
      </c>
      <c r="J1495" s="45" t="b">
        <v>0</v>
      </c>
    </row>
    <row r="1496" ht="14.25" hidden="1" customHeight="1">
      <c r="A1496" s="49" t="s">
        <v>3588</v>
      </c>
      <c r="B1496" s="49" t="str">
        <f>IFERROR(__xludf.DUMMYFUNCTION("REGEXREPLACE(
 REGEXREPLACE(A1496,""^cost\."",""""),
 ""\.[^.]+\.[^.]+$"",
 """"
)"),"tech.alchemists_hut.perfect_fertilizer")</f>
        <v>tech.alchemists_hut.perfect_fertilizer</v>
      </c>
      <c r="C1496" s="49" t="str">
        <f t="array" ref="C1496">_xlfn.XLOOKUP(
 B1496,
 tblTargets[TargetID],
 tblTargets[DisplayName],
 ""
)</f>
        <v>Alchemist's Hut - Perfect Fertilizer</v>
      </c>
      <c r="D1496" s="49" t="str">
        <f t="array" ref="D1496">_xlfn.XLOOKUP(
 B1496,
 tblTargets[TargetID],
 tblTargets[TargetType],
 ""
)</f>
        <v>TECH</v>
      </c>
      <c r="E1496" s="49" t="s">
        <v>3591</v>
      </c>
      <c r="F1496" s="49">
        <v>1.0</v>
      </c>
      <c r="G1496" s="49">
        <f t="array" ref="G1496">_xlfn.XLOOKUP(
 A1496,
 tblCost[RequirementID],
 tblCost[QuantityRequired],
 ""
)</f>
        <v>30</v>
      </c>
      <c r="H1496" s="49">
        <f t="array" ref="H1496">IF(
 OR(
  LEFT(B1496,15)="state.character",
  RIGHT(B1496,6)=".maxed"
 ),
 0,
 LET(
  sort,
   _xlfn.XLOOKUP(
    B1496,
    tblChecklist[TargetID],
    tblChecklist[PlayerSort],
    0
   ),
  IF(sort=0,500,sort)
 )
)</f>
        <v>500</v>
      </c>
      <c r="I1496" s="49" t="str">
        <f t="array" ref="I1496">_xlfn.XLOOKUP(
 B1496,
 tblTargetStatus[TargetID],
 tblTargetStatus[Status],
 ""
)</f>
        <v>BLOCKED</v>
      </c>
      <c r="J1496" s="45" t="b">
        <v>0</v>
      </c>
    </row>
    <row r="1497" ht="14.25" hidden="1" customHeight="1">
      <c r="A1497" s="49" t="s">
        <v>3595</v>
      </c>
      <c r="B1497" s="49" t="str">
        <f>IFERROR(__xludf.DUMMYFUNCTION("REGEXREPLACE(
 REGEXREPLACE(A1497,""^cost\."",""""),
 ""\.[^.]+\.[^.]+$"",
 """"
)"),"tech.alchemists_hut.perfect_fertilizer")</f>
        <v>tech.alchemists_hut.perfect_fertilizer</v>
      </c>
      <c r="C1497" s="49" t="str">
        <f t="array" ref="C1497">_xlfn.XLOOKUP(
 B1497,
 tblTargets[TargetID],
 tblTargets[DisplayName],
 ""
)</f>
        <v>Alchemist's Hut - Perfect Fertilizer</v>
      </c>
      <c r="D1497" s="49" t="str">
        <f t="array" ref="D1497">_xlfn.XLOOKUP(
 B1497,
 tblTargets[TargetID],
 tblTargets[TargetType],
 ""
)</f>
        <v>TECH</v>
      </c>
      <c r="E1497" s="49" t="s">
        <v>140</v>
      </c>
      <c r="F1497" s="49">
        <v>1.0</v>
      </c>
      <c r="G1497" s="49">
        <f t="array" ref="G1497">_xlfn.XLOOKUP(
 A1497,
 tblCost[RequirementID],
 tblCost[QuantityRequired],
 ""
)</f>
        <v>20</v>
      </c>
      <c r="H1497" s="49">
        <f t="array" ref="H1497">IF(
 OR(
  LEFT(B1497,15)="state.character",
  RIGHT(B1497,6)=".maxed"
 ),
 0,
 LET(
  sort,
   _xlfn.XLOOKUP(
    B1497,
    tblChecklist[TargetID],
    tblChecklist[PlayerSort],
    0
   ),
  IF(sort=0,500,sort)
 )
)</f>
        <v>500</v>
      </c>
      <c r="I1497" s="49" t="str">
        <f t="array" ref="I1497">_xlfn.XLOOKUP(
 B1497,
 tblTargetStatus[TargetID],
 tblTargetStatus[Status],
 ""
)</f>
        <v>BLOCKED</v>
      </c>
      <c r="J1497" s="45" t="b">
        <v>0</v>
      </c>
    </row>
    <row r="1498" ht="14.25" hidden="1" customHeight="1">
      <c r="A1498" s="49" t="s">
        <v>3604</v>
      </c>
      <c r="B1498" s="49" t="str">
        <f>IFERROR(__xludf.DUMMYFUNCTION("REGEXREPLACE(
 REGEXREPLACE(A1498,""^cost\."",""""),
 ""\.[^.]+\.[^.]+$"",
 """"
)"),"tech.alchemists_hut.perfect_fertilizer")</f>
        <v>tech.alchemists_hut.perfect_fertilizer</v>
      </c>
      <c r="C1498" s="49" t="str">
        <f t="array" ref="C1498">_xlfn.XLOOKUP(
 B1498,
 tblTargets[TargetID],
 tblTargets[DisplayName],
 ""
)</f>
        <v>Alchemist's Hut - Perfect Fertilizer</v>
      </c>
      <c r="D1498" s="49" t="str">
        <f t="array" ref="D1498">_xlfn.XLOOKUP(
 B1498,
 tblTargets[TargetID],
 tblTargets[TargetType],
 ""
)</f>
        <v>TECH</v>
      </c>
      <c r="E1498" s="49" t="s">
        <v>6</v>
      </c>
      <c r="F1498" s="49">
        <v>1.0</v>
      </c>
      <c r="G1498" s="49">
        <f t="array" ref="G1498">_xlfn.XLOOKUP(
 A1498,
 tblCost[RequirementID],
 tblCost[QuantityRequired],
 ""
)</f>
        <v>5</v>
      </c>
      <c r="H1498" s="49">
        <f t="array" ref="H1498">IF(
 OR(
  LEFT(B1498,15)="state.character",
  RIGHT(B1498,6)=".maxed"
 ),
 0,
 LET(
  sort,
   _xlfn.XLOOKUP(
    B1498,
    tblChecklist[TargetID],
    tblChecklist[PlayerSort],
    0
   ),
  IF(sort=0,500,sort)
 )
)</f>
        <v>500</v>
      </c>
      <c r="I1498" s="49" t="str">
        <f t="array" ref="I1498">_xlfn.XLOOKUP(
 B1498,
 tblTargetStatus[TargetID],
 tblTargetStatus[Status],
 ""
)</f>
        <v>BLOCKED</v>
      </c>
      <c r="J1498" s="45" t="b">
        <v>0</v>
      </c>
    </row>
    <row r="1499" ht="14.25" hidden="1" customHeight="1">
      <c r="A1499" s="49" t="s">
        <v>3609</v>
      </c>
      <c r="B1499" s="49" t="str">
        <f>IFERROR(__xludf.DUMMYFUNCTION("REGEXREPLACE(
 REGEXREPLACE(A1499,""^cost\."",""""),
 ""\.[^.]+\.[^.]+$"",
 """"
)"),"tech.alchemists_hut.perfect_fertilizer")</f>
        <v>tech.alchemists_hut.perfect_fertilizer</v>
      </c>
      <c r="C1499" s="49" t="str">
        <f t="array" ref="C1499">_xlfn.XLOOKUP(
 B1499,
 tblTargets[TargetID],
 tblTargets[DisplayName],
 ""
)</f>
        <v>Alchemist's Hut - Perfect Fertilizer</v>
      </c>
      <c r="D1499" s="49" t="str">
        <f t="array" ref="D1499">_xlfn.XLOOKUP(
 B1499,
 tblTargets[TargetID],
 tblTargets[TargetType],
 ""
)</f>
        <v>TECH</v>
      </c>
      <c r="E1499" s="49" t="s">
        <v>3612</v>
      </c>
      <c r="F1499" s="49">
        <v>1.0</v>
      </c>
      <c r="G1499" s="49">
        <f t="array" ref="G1499">_xlfn.XLOOKUP(
 A1499,
 tblCost[RequirementID],
 tblCost[QuantityRequired],
 ""
)</f>
        <v>50</v>
      </c>
      <c r="H1499" s="49">
        <f t="array" ref="H1499">IF(
 OR(
  LEFT(B1499,15)="state.character",
  RIGHT(B1499,6)=".maxed"
 ),
 0,
 LET(
  sort,
   _xlfn.XLOOKUP(
    B1499,
    tblChecklist[TargetID],
    tblChecklist[PlayerSort],
    0
   ),
  IF(sort=0,500,sort)
 )
)</f>
        <v>500</v>
      </c>
      <c r="I1499" s="49" t="str">
        <f t="array" ref="I1499">_xlfn.XLOOKUP(
 B1499,
 tblTargetStatus[TargetID],
 tblTargetStatus[Status],
 ""
)</f>
        <v>BLOCKED</v>
      </c>
      <c r="J1499" s="45" t="b">
        <v>0</v>
      </c>
    </row>
    <row r="1500" ht="14.25" hidden="1" customHeight="1">
      <c r="A1500" s="49" t="s">
        <v>2945</v>
      </c>
      <c r="B1500" s="49" t="str">
        <f>IFERROR(__xludf.DUMMYFUNCTION("REGEXREPLACE(
 REGEXREPLACE(A1500,""^cost\."",""""),
 ""\.[^.]+\.[^.]+$"",
 """"
)"),"tech.alchemists_hut.potion_ambrosia")</f>
        <v>tech.alchemists_hut.potion_ambrosia</v>
      </c>
      <c r="C1500" s="49" t="str">
        <f t="array" ref="C1500">_xlfn.XLOOKUP(
 B1500,
 tblTargets[TargetID],
 tblTargets[DisplayName],
 ""
)</f>
        <v>Alchemists Hut - Potion Ambrosia</v>
      </c>
      <c r="D1500" s="49" t="str">
        <f t="array" ref="D1500">_xlfn.XLOOKUP(
 B1500,
 tblTargets[TargetID],
 tblTargets[TargetType],
 ""
)</f>
        <v>TECH</v>
      </c>
      <c r="E1500" s="49" t="s">
        <v>2297</v>
      </c>
      <c r="F1500" s="49">
        <v>1.0</v>
      </c>
      <c r="G1500" s="49">
        <f t="array" ref="G1500">_xlfn.XLOOKUP(
 A1500,
 tblCost[RequirementID],
 tblCost[QuantityRequired],
 ""
)</f>
        <v>20</v>
      </c>
      <c r="H1500" s="49">
        <f t="array" ref="H1500">IF(
 OR(
  LEFT(B1500,15)="state.character",
  RIGHT(B1500,6)=".maxed"
 ),
 0,
 LET(
  sort,
   _xlfn.XLOOKUP(
    B1500,
    tblChecklist[TargetID],
    tblChecklist[PlayerSort],
    0
   ),
  IF(sort=0,500,sort)
 )
)</f>
        <v>500</v>
      </c>
      <c r="I1500" s="49" t="str">
        <f t="array" ref="I1500">_xlfn.XLOOKUP(
 B1500,
 tblTargetStatus[TargetID],
 tblTargetStatus[Status],
 ""
)</f>
        <v>BLOCKED</v>
      </c>
      <c r="J1500" s="45" t="b">
        <v>0</v>
      </c>
    </row>
    <row r="1501" ht="14.25" hidden="1" customHeight="1">
      <c r="A1501" s="49" t="s">
        <v>2947</v>
      </c>
      <c r="B1501" s="49" t="str">
        <f>IFERROR(__xludf.DUMMYFUNCTION("REGEXREPLACE(
 REGEXREPLACE(A1501,""^cost\."",""""),
 ""\.[^.]+\.[^.]+$"",
 """"
)"),"tech.alchemists_hut.potion_ambrosia")</f>
        <v>tech.alchemists_hut.potion_ambrosia</v>
      </c>
      <c r="C1501" s="49" t="str">
        <f t="array" ref="C1501">_xlfn.XLOOKUP(
 B1501,
 tblTargets[TargetID],
 tblTargets[DisplayName],
 ""
)</f>
        <v>Alchemists Hut - Potion Ambrosia</v>
      </c>
      <c r="D1501" s="49" t="str">
        <f t="array" ref="D1501">_xlfn.XLOOKUP(
 B1501,
 tblTargets[TargetID],
 tblTargets[TargetType],
 ""
)</f>
        <v>TECH</v>
      </c>
      <c r="E1501" s="49" t="s">
        <v>119</v>
      </c>
      <c r="F1501" s="49">
        <v>1.0</v>
      </c>
      <c r="G1501" s="49">
        <f t="array" ref="G1501">_xlfn.XLOOKUP(
 A1501,
 tblCost[RequirementID],
 tblCost[QuantityRequired],
 ""
)</f>
        <v>1000</v>
      </c>
      <c r="H1501" s="49">
        <f t="array" ref="H1501">IF(
 OR(
  LEFT(B1501,15)="state.character",
  RIGHT(B1501,6)=".maxed"
 ),
 0,
 LET(
  sort,
   _xlfn.XLOOKUP(
    B1501,
    tblChecklist[TargetID],
    tblChecklist[PlayerSort],
    0
   ),
  IF(sort=0,500,sort)
 )
)</f>
        <v>500</v>
      </c>
      <c r="I1501" s="49" t="str">
        <f t="array" ref="I1501">_xlfn.XLOOKUP(
 B1501,
 tblTargetStatus[TargetID],
 tblTargetStatus[Status],
 ""
)</f>
        <v>BLOCKED</v>
      </c>
      <c r="J1501" s="45" t="b">
        <v>0</v>
      </c>
    </row>
    <row r="1502" ht="14.25" hidden="1" customHeight="1">
      <c r="A1502" s="49" t="s">
        <v>2948</v>
      </c>
      <c r="B1502" s="49" t="str">
        <f>IFERROR(__xludf.DUMMYFUNCTION("REGEXREPLACE(
 REGEXREPLACE(A1502,""^cost\."",""""),
 ""\.[^.]+\.[^.]+$"",
 """"
)"),"tech.alchemists_hut.potion_ambrosia")</f>
        <v>tech.alchemists_hut.potion_ambrosia</v>
      </c>
      <c r="C1502" s="49" t="str">
        <f t="array" ref="C1502">_xlfn.XLOOKUP(
 B1502,
 tblTargets[TargetID],
 tblTargets[DisplayName],
 ""
)</f>
        <v>Alchemists Hut - Potion Ambrosia</v>
      </c>
      <c r="D1502" s="49" t="str">
        <f t="array" ref="D1502">_xlfn.XLOOKUP(
 B1502,
 tblTargets[TargetID],
 tblTargets[TargetType],
 ""
)</f>
        <v>TECH</v>
      </c>
      <c r="E1502" s="49" t="s">
        <v>2304</v>
      </c>
      <c r="F1502" s="49">
        <v>1.0</v>
      </c>
      <c r="G1502" s="49">
        <f t="array" ref="G1502">_xlfn.XLOOKUP(
 A1502,
 tblCost[RequirementID],
 tblCost[QuantityRequired],
 ""
)</f>
        <v>15</v>
      </c>
      <c r="H1502" s="49">
        <f t="array" ref="H1502">IF(
 OR(
  LEFT(B1502,15)="state.character",
  RIGHT(B1502,6)=".maxed"
 ),
 0,
 LET(
  sort,
   _xlfn.XLOOKUP(
    B1502,
    tblChecklist[TargetID],
    tblChecklist[PlayerSort],
    0
   ),
  IF(sort=0,500,sort)
 )
)</f>
        <v>500</v>
      </c>
      <c r="I1502" s="49" t="str">
        <f t="array" ref="I1502">_xlfn.XLOOKUP(
 B1502,
 tblTargetStatus[TargetID],
 tblTargetStatus[Status],
 ""
)</f>
        <v>BLOCKED</v>
      </c>
      <c r="J1502" s="45" t="b">
        <v>0</v>
      </c>
    </row>
    <row r="1503" ht="14.25" hidden="1" customHeight="1">
      <c r="A1503" s="49" t="s">
        <v>2950</v>
      </c>
      <c r="B1503" s="49" t="str">
        <f>IFERROR(__xludf.DUMMYFUNCTION("REGEXREPLACE(
 REGEXREPLACE(A1503,""^cost\."",""""),
 ""\.[^.]+\.[^.]+$"",
 """"
)"),"tech.alchemists_hut.potion_ambrosia")</f>
        <v>tech.alchemists_hut.potion_ambrosia</v>
      </c>
      <c r="C1503" s="49" t="str">
        <f t="array" ref="C1503">_xlfn.XLOOKUP(
 B1503,
 tblTargets[TargetID],
 tblTargets[DisplayName],
 ""
)</f>
        <v>Alchemists Hut - Potion Ambrosia</v>
      </c>
      <c r="D1503" s="49" t="str">
        <f t="array" ref="D1503">_xlfn.XLOOKUP(
 B1503,
 tblTargets[TargetID],
 tblTargets[TargetType],
 ""
)</f>
        <v>TECH</v>
      </c>
      <c r="E1503" s="49" t="s">
        <v>132</v>
      </c>
      <c r="F1503" s="49">
        <v>1.0</v>
      </c>
      <c r="G1503" s="49">
        <f t="array" ref="G1503">_xlfn.XLOOKUP(
 A1503,
 tblCost[RequirementID],
 tblCost[QuantityRequired],
 ""
)</f>
        <v>30</v>
      </c>
      <c r="H1503" s="49">
        <f t="array" ref="H1503">IF(
 OR(
  LEFT(B1503,15)="state.character",
  RIGHT(B1503,6)=".maxed"
 ),
 0,
 LET(
  sort,
   _xlfn.XLOOKUP(
    B1503,
    tblChecklist[TargetID],
    tblChecklist[PlayerSort],
    0
   ),
  IF(sort=0,500,sort)
 )
)</f>
        <v>500</v>
      </c>
      <c r="I1503" s="49" t="str">
        <f t="array" ref="I1503">_xlfn.XLOOKUP(
 B1503,
 tblTargetStatus[TargetID],
 tblTargetStatus[Status],
 ""
)</f>
        <v>BLOCKED</v>
      </c>
      <c r="J1503" s="45" t="b">
        <v>0</v>
      </c>
    </row>
    <row r="1504" ht="14.25" hidden="1" customHeight="1">
      <c r="A1504" s="49" t="s">
        <v>2952</v>
      </c>
      <c r="B1504" s="49" t="str">
        <f>IFERROR(__xludf.DUMMYFUNCTION("REGEXREPLACE(
 REGEXREPLACE(A1504,""^cost\."",""""),
 ""\.[^.]+\.[^.]+$"",
 """"
)"),"tech.alchemists_hut.potion_ambrosia")</f>
        <v>tech.alchemists_hut.potion_ambrosia</v>
      </c>
      <c r="C1504" s="49" t="str">
        <f t="array" ref="C1504">_xlfn.XLOOKUP(
 B1504,
 tblTargets[TargetID],
 tblTargets[DisplayName],
 ""
)</f>
        <v>Alchemists Hut - Potion Ambrosia</v>
      </c>
      <c r="D1504" s="49" t="str">
        <f t="array" ref="D1504">_xlfn.XLOOKUP(
 B1504,
 tblTargets[TargetID],
 tblTargets[TargetType],
 ""
)</f>
        <v>TECH</v>
      </c>
      <c r="E1504" s="49" t="s">
        <v>2954</v>
      </c>
      <c r="F1504" s="49">
        <v>1.0</v>
      </c>
      <c r="G1504" s="49">
        <f t="array" ref="G1504">_xlfn.XLOOKUP(
 A1504,
 tblCost[RequirementID],
 tblCost[QuantityRequired],
 ""
)</f>
        <v>12</v>
      </c>
      <c r="H1504" s="49">
        <f t="array" ref="H1504">IF(
 OR(
  LEFT(B1504,15)="state.character",
  RIGHT(B1504,6)=".maxed"
 ),
 0,
 LET(
  sort,
   _xlfn.XLOOKUP(
    B1504,
    tblChecklist[TargetID],
    tblChecklist[PlayerSort],
    0
   ),
  IF(sort=0,500,sort)
 )
)</f>
        <v>500</v>
      </c>
      <c r="I1504" s="49" t="str">
        <f t="array" ref="I1504">_xlfn.XLOOKUP(
 B1504,
 tblTargetStatus[TargetID],
 tblTargetStatus[Status],
 ""
)</f>
        <v>BLOCKED</v>
      </c>
      <c r="J1504" s="45" t="b">
        <v>0</v>
      </c>
    </row>
    <row r="1505" ht="14.25" hidden="1" customHeight="1">
      <c r="A1505" s="49" t="s">
        <v>2955</v>
      </c>
      <c r="B1505" s="49" t="str">
        <f>IFERROR(__xludf.DUMMYFUNCTION("REGEXREPLACE(
 REGEXREPLACE(A1505,""^cost\."",""""),
 ""\.[^.]+\.[^.]+$"",
 """"
)"),"tech.alchemists_hut.potion_ambrosia")</f>
        <v>tech.alchemists_hut.potion_ambrosia</v>
      </c>
      <c r="C1505" s="49" t="str">
        <f t="array" ref="C1505">_xlfn.XLOOKUP(
 B1505,
 tblTargets[TargetID],
 tblTargets[DisplayName],
 ""
)</f>
        <v>Alchemists Hut - Potion Ambrosia</v>
      </c>
      <c r="D1505" s="49" t="str">
        <f t="array" ref="D1505">_xlfn.XLOOKUP(
 B1505,
 tblTargets[TargetID],
 tblTargets[TargetType],
 ""
)</f>
        <v>TECH</v>
      </c>
      <c r="E1505" s="49" t="s">
        <v>140</v>
      </c>
      <c r="F1505" s="49">
        <v>1.0</v>
      </c>
      <c r="G1505" s="49">
        <f t="array" ref="G1505">_xlfn.XLOOKUP(
 A1505,
 tblCost[RequirementID],
 tblCost[QuantityRequired],
 ""
)</f>
        <v>30</v>
      </c>
      <c r="H1505" s="49">
        <f t="array" ref="H1505">IF(
 OR(
  LEFT(B1505,15)="state.character",
  RIGHT(B1505,6)=".maxed"
 ),
 0,
 LET(
  sort,
   _xlfn.XLOOKUP(
    B1505,
    tblChecklist[TargetID],
    tblChecklist[PlayerSort],
    0
   ),
  IF(sort=0,500,sort)
 )
)</f>
        <v>500</v>
      </c>
      <c r="I1505" s="49" t="str">
        <f t="array" ref="I1505">_xlfn.XLOOKUP(
 B1505,
 tblTargetStatus[TargetID],
 tblTargetStatus[Status],
 ""
)</f>
        <v>BLOCKED</v>
      </c>
      <c r="J1505" s="45" t="b">
        <v>0</v>
      </c>
    </row>
    <row r="1506" ht="14.25" hidden="1" customHeight="1">
      <c r="A1506" s="49" t="s">
        <v>2957</v>
      </c>
      <c r="B1506" s="49" t="str">
        <f>IFERROR(__xludf.DUMMYFUNCTION("REGEXREPLACE(
 REGEXREPLACE(A1506,""^cost\."",""""),
 ""\.[^.]+\.[^.]+$"",
 """"
)"),"tech.alchemists_hut.potion_ambrosia")</f>
        <v>tech.alchemists_hut.potion_ambrosia</v>
      </c>
      <c r="C1506" s="49" t="str">
        <f t="array" ref="C1506">_xlfn.XLOOKUP(
 B1506,
 tblTargets[TargetID],
 tblTargets[DisplayName],
 ""
)</f>
        <v>Alchemists Hut - Potion Ambrosia</v>
      </c>
      <c r="D1506" s="49" t="str">
        <f t="array" ref="D1506">_xlfn.XLOOKUP(
 B1506,
 tblTargets[TargetID],
 tblTargets[TargetType],
 ""
)</f>
        <v>TECH</v>
      </c>
      <c r="E1506" s="49" t="s">
        <v>6</v>
      </c>
      <c r="F1506" s="49">
        <v>1.0</v>
      </c>
      <c r="G1506" s="49">
        <f t="array" ref="G1506">_xlfn.XLOOKUP(
 A1506,
 tblCost[RequirementID],
 tblCost[QuantityRequired],
 ""
)</f>
        <v>5</v>
      </c>
      <c r="H1506" s="49">
        <f t="array" ref="H1506">IF(
 OR(
  LEFT(B1506,15)="state.character",
  RIGHT(B1506,6)=".maxed"
 ),
 0,
 LET(
  sort,
   _xlfn.XLOOKUP(
    B1506,
    tblChecklist[TargetID],
    tblChecklist[PlayerSort],
    0
   ),
  IF(sort=0,500,sort)
 )
)</f>
        <v>500</v>
      </c>
      <c r="I1506" s="49" t="str">
        <f t="array" ref="I1506">_xlfn.XLOOKUP(
 B1506,
 tblTargetStatus[TargetID],
 tblTargetStatus[Status],
 ""
)</f>
        <v>BLOCKED</v>
      </c>
      <c r="J1506" s="45" t="b">
        <v>0</v>
      </c>
    </row>
    <row r="1507" ht="14.25" hidden="1" customHeight="1">
      <c r="A1507" s="49" t="s">
        <v>2916</v>
      </c>
      <c r="B1507" s="49" t="str">
        <f>IFERROR(__xludf.DUMMYFUNCTION("REGEXREPLACE(
 REGEXREPLACE(A1507,""^cost\."",""""),
 ""\.[^.]+\.[^.]+$"",
 """"
)"),"tech.alchemists_hut.potion_berserker_rage")</f>
        <v>tech.alchemists_hut.potion_berserker_rage</v>
      </c>
      <c r="C1507" s="49" t="str">
        <f t="array" ref="C1507">_xlfn.XLOOKUP(
 B1507,
 tblTargets[TargetID],
 tblTargets[DisplayName],
 ""
)</f>
        <v>Alchemists Hut - Potion Berserker Rage</v>
      </c>
      <c r="D1507" s="49" t="str">
        <f t="array" ref="D1507">_xlfn.XLOOKUP(
 B1507,
 tblTargets[TargetID],
 tblTargets[TargetType],
 ""
)</f>
        <v>TECH</v>
      </c>
      <c r="E1507" s="49" t="s">
        <v>119</v>
      </c>
      <c r="F1507" s="49">
        <v>1.0</v>
      </c>
      <c r="G1507" s="49">
        <f t="array" ref="G1507">_xlfn.XLOOKUP(
 A1507,
 tblCost[RequirementID],
 tblCost[QuantityRequired],
 ""
)</f>
        <v>500</v>
      </c>
      <c r="H1507" s="49">
        <f t="array" ref="H1507">IF(
 OR(
  LEFT(B1507,15)="state.character",
  RIGHT(B1507,6)=".maxed"
 ),
 0,
 LET(
  sort,
   _xlfn.XLOOKUP(
    B1507,
    tblChecklist[TargetID],
    tblChecklist[PlayerSort],
    0
   ),
  IF(sort=0,500,sort)
 )
)</f>
        <v>500</v>
      </c>
      <c r="I1507" s="49" t="str">
        <f t="array" ref="I1507">_xlfn.XLOOKUP(
 B1507,
 tblTargetStatus[TargetID],
 tblTargetStatus[Status],
 ""
)</f>
        <v>BLOCKED</v>
      </c>
      <c r="J1507" s="45" t="b">
        <v>0</v>
      </c>
    </row>
    <row r="1508" ht="14.25" hidden="1" customHeight="1">
      <c r="A1508" s="49" t="s">
        <v>2918</v>
      </c>
      <c r="B1508" s="49" t="str">
        <f>IFERROR(__xludf.DUMMYFUNCTION("REGEXREPLACE(
 REGEXREPLACE(A1508,""^cost\."",""""),
 ""\.[^.]+\.[^.]+$"",
 """"
)"),"tech.alchemists_hut.potion_berserker_rage")</f>
        <v>tech.alchemists_hut.potion_berserker_rage</v>
      </c>
      <c r="C1508" s="49" t="str">
        <f t="array" ref="C1508">_xlfn.XLOOKUP(
 B1508,
 tblTargets[TargetID],
 tblTargets[DisplayName],
 ""
)</f>
        <v>Alchemists Hut - Potion Berserker Rage</v>
      </c>
      <c r="D1508" s="49" t="str">
        <f t="array" ref="D1508">_xlfn.XLOOKUP(
 B1508,
 tblTargets[TargetID],
 tblTargets[TargetType],
 ""
)</f>
        <v>TECH</v>
      </c>
      <c r="E1508" s="49" t="s">
        <v>360</v>
      </c>
      <c r="F1508" s="49">
        <v>1.0</v>
      </c>
      <c r="G1508" s="49">
        <f t="array" ref="G1508">_xlfn.XLOOKUP(
 A1508,
 tblCost[RequirementID],
 tblCost[QuantityRequired],
 ""
)</f>
        <v>10</v>
      </c>
      <c r="H1508" s="49">
        <f t="array" ref="H1508">IF(
 OR(
  LEFT(B1508,15)="state.character",
  RIGHT(B1508,6)=".maxed"
 ),
 0,
 LET(
  sort,
   _xlfn.XLOOKUP(
    B1508,
    tblChecklist[TargetID],
    tblChecklist[PlayerSort],
    0
   ),
  IF(sort=0,500,sort)
 )
)</f>
        <v>500</v>
      </c>
      <c r="I1508" s="49" t="str">
        <f t="array" ref="I1508">_xlfn.XLOOKUP(
 B1508,
 tblTargetStatus[TargetID],
 tblTargetStatus[Status],
 ""
)</f>
        <v>BLOCKED</v>
      </c>
      <c r="J1508" s="45" t="b">
        <v>0</v>
      </c>
    </row>
    <row r="1509" ht="14.25" hidden="1" customHeight="1">
      <c r="A1509" s="49" t="s">
        <v>2920</v>
      </c>
      <c r="B1509" s="49" t="str">
        <f>IFERROR(__xludf.DUMMYFUNCTION("REGEXREPLACE(
 REGEXREPLACE(A1509,""^cost\."",""""),
 ""\.[^.]+\.[^.]+$"",
 """"
)"),"tech.alchemists_hut.potion_berserker_rage")</f>
        <v>tech.alchemists_hut.potion_berserker_rage</v>
      </c>
      <c r="C1509" s="49" t="str">
        <f t="array" ref="C1509">_xlfn.XLOOKUP(
 B1509,
 tblTargets[TargetID],
 tblTargets[DisplayName],
 ""
)</f>
        <v>Alchemists Hut - Potion Berserker Rage</v>
      </c>
      <c r="D1509" s="49" t="str">
        <f t="array" ref="D1509">_xlfn.XLOOKUP(
 B1509,
 tblTargets[TargetID],
 tblTargets[TargetType],
 ""
)</f>
        <v>TECH</v>
      </c>
      <c r="E1509" s="49" t="s">
        <v>2304</v>
      </c>
      <c r="F1509" s="49">
        <v>1.0</v>
      </c>
      <c r="G1509" s="49">
        <f t="array" ref="G1509">_xlfn.XLOOKUP(
 A1509,
 tblCost[RequirementID],
 tblCost[QuantityRequired],
 ""
)</f>
        <v>10</v>
      </c>
      <c r="H1509" s="49">
        <f t="array" ref="H1509">IF(
 OR(
  LEFT(B1509,15)="state.character",
  RIGHT(B1509,6)=".maxed"
 ),
 0,
 LET(
  sort,
   _xlfn.XLOOKUP(
    B1509,
    tblChecklist[TargetID],
    tblChecklist[PlayerSort],
    0
   ),
  IF(sort=0,500,sort)
 )
)</f>
        <v>500</v>
      </c>
      <c r="I1509" s="49" t="str">
        <f t="array" ref="I1509">_xlfn.XLOOKUP(
 B1509,
 tblTargetStatus[TargetID],
 tblTargetStatus[Status],
 ""
)</f>
        <v>BLOCKED</v>
      </c>
      <c r="J1509" s="45" t="b">
        <v>0</v>
      </c>
    </row>
    <row r="1510" ht="14.25" hidden="1" customHeight="1">
      <c r="A1510" s="49" t="s">
        <v>2922</v>
      </c>
      <c r="B1510" s="49" t="str">
        <f>IFERROR(__xludf.DUMMYFUNCTION("REGEXREPLACE(
 REGEXREPLACE(A1510,""^cost\."",""""),
 ""\.[^.]+\.[^.]+$"",
 """"
)"),"tech.alchemists_hut.potion_berserker_rage")</f>
        <v>tech.alchemists_hut.potion_berserker_rage</v>
      </c>
      <c r="C1510" s="49" t="str">
        <f t="array" ref="C1510">_xlfn.XLOOKUP(
 B1510,
 tblTargets[TargetID],
 tblTargets[DisplayName],
 ""
)</f>
        <v>Alchemists Hut - Potion Berserker Rage</v>
      </c>
      <c r="D1510" s="49" t="str">
        <f t="array" ref="D1510">_xlfn.XLOOKUP(
 B1510,
 tblTargets[TargetID],
 tblTargets[TargetType],
 ""
)</f>
        <v>TECH</v>
      </c>
      <c r="E1510" s="49" t="s">
        <v>132</v>
      </c>
      <c r="F1510" s="49">
        <v>1.0</v>
      </c>
      <c r="G1510" s="49">
        <f t="array" ref="G1510">_xlfn.XLOOKUP(
 A1510,
 tblCost[RequirementID],
 tblCost[QuantityRequired],
 ""
)</f>
        <v>20</v>
      </c>
      <c r="H1510" s="49">
        <f t="array" ref="H1510">IF(
 OR(
  LEFT(B1510,15)="state.character",
  RIGHT(B1510,6)=".maxed"
 ),
 0,
 LET(
  sort,
   _xlfn.XLOOKUP(
    B1510,
    tblChecklist[TargetID],
    tblChecklist[PlayerSort],
    0
   ),
  IF(sort=0,500,sort)
 )
)</f>
        <v>500</v>
      </c>
      <c r="I1510" s="49" t="str">
        <f t="array" ref="I1510">_xlfn.XLOOKUP(
 B1510,
 tblTargetStatus[TargetID],
 tblTargetStatus[Status],
 ""
)</f>
        <v>BLOCKED</v>
      </c>
      <c r="J1510" s="45" t="b">
        <v>0</v>
      </c>
    </row>
    <row r="1511" ht="14.25" hidden="1" customHeight="1">
      <c r="A1511" s="49" t="s">
        <v>2924</v>
      </c>
      <c r="B1511" s="49" t="str">
        <f>IFERROR(__xludf.DUMMYFUNCTION("REGEXREPLACE(
 REGEXREPLACE(A1511,""^cost\."",""""),
 ""\.[^.]+\.[^.]+$"",
 """"
)"),"tech.alchemists_hut.potion_berserker_rage")</f>
        <v>tech.alchemists_hut.potion_berserker_rage</v>
      </c>
      <c r="C1511" s="49" t="str">
        <f t="array" ref="C1511">_xlfn.XLOOKUP(
 B1511,
 tblTargets[TargetID],
 tblTargets[DisplayName],
 ""
)</f>
        <v>Alchemists Hut - Potion Berserker Rage</v>
      </c>
      <c r="D1511" s="49" t="str">
        <f t="array" ref="D1511">_xlfn.XLOOKUP(
 B1511,
 tblTargets[TargetID],
 tblTargets[TargetType],
 ""
)</f>
        <v>TECH</v>
      </c>
      <c r="E1511" s="49" t="s">
        <v>140</v>
      </c>
      <c r="F1511" s="49">
        <v>1.0</v>
      </c>
      <c r="G1511" s="49">
        <f t="array" ref="G1511">_xlfn.XLOOKUP(
 A1511,
 tblCost[RequirementID],
 tblCost[QuantityRequired],
 ""
)</f>
        <v>20</v>
      </c>
      <c r="H1511" s="49">
        <f t="array" ref="H1511">IF(
 OR(
  LEFT(B1511,15)="state.character",
  RIGHT(B1511,6)=".maxed"
 ),
 0,
 LET(
  sort,
   _xlfn.XLOOKUP(
    B1511,
    tblChecklist[TargetID],
    tblChecklist[PlayerSort],
    0
   ),
  IF(sort=0,500,sort)
 )
)</f>
        <v>500</v>
      </c>
      <c r="I1511" s="49" t="str">
        <f t="array" ref="I1511">_xlfn.XLOOKUP(
 B1511,
 tblTargetStatus[TargetID],
 tblTargetStatus[Status],
 ""
)</f>
        <v>BLOCKED</v>
      </c>
      <c r="J1511" s="45" t="b">
        <v>0</v>
      </c>
    </row>
    <row r="1512" ht="14.25" hidden="1" customHeight="1">
      <c r="A1512" s="49" t="s">
        <v>2926</v>
      </c>
      <c r="B1512" s="49" t="str">
        <f>IFERROR(__xludf.DUMMYFUNCTION("REGEXREPLACE(
 REGEXREPLACE(A1512,""^cost\."",""""),
 ""\.[^.]+\.[^.]+$"",
 """"
)"),"tech.alchemists_hut.potion_berserker_rage")</f>
        <v>tech.alchemists_hut.potion_berserker_rage</v>
      </c>
      <c r="C1512" s="49" t="str">
        <f t="array" ref="C1512">_xlfn.XLOOKUP(
 B1512,
 tblTargets[TargetID],
 tblTargets[DisplayName],
 ""
)</f>
        <v>Alchemists Hut - Potion Berserker Rage</v>
      </c>
      <c r="D1512" s="49" t="str">
        <f t="array" ref="D1512">_xlfn.XLOOKUP(
 B1512,
 tblTargets[TargetID],
 tblTargets[TargetType],
 ""
)</f>
        <v>TECH</v>
      </c>
      <c r="E1512" s="49" t="s">
        <v>6</v>
      </c>
      <c r="F1512" s="49">
        <v>1.0</v>
      </c>
      <c r="G1512" s="49">
        <f t="array" ref="G1512">_xlfn.XLOOKUP(
 A1512,
 tblCost[RequirementID],
 tblCost[QuantityRequired],
 ""
)</f>
        <v>3</v>
      </c>
      <c r="H1512" s="49">
        <f t="array" ref="H1512">IF(
 OR(
  LEFT(B1512,15)="state.character",
  RIGHT(B1512,6)=".maxed"
 ),
 0,
 LET(
  sort,
   _xlfn.XLOOKUP(
    B1512,
    tblChecklist[TargetID],
    tblChecklist[PlayerSort],
    0
   ),
  IF(sort=0,500,sort)
 )
)</f>
        <v>500</v>
      </c>
      <c r="I1512" s="49" t="str">
        <f t="array" ref="I1512">_xlfn.XLOOKUP(
 B1512,
 tblTargetStatus[TargetID],
 tblTargetStatus[Status],
 ""
)</f>
        <v>BLOCKED</v>
      </c>
      <c r="J1512" s="45" t="b">
        <v>0</v>
      </c>
    </row>
    <row r="1513" ht="14.25" hidden="1" customHeight="1">
      <c r="A1513" s="49" t="s">
        <v>2928</v>
      </c>
      <c r="B1513" s="49" t="str">
        <f>IFERROR(__xludf.DUMMYFUNCTION("REGEXREPLACE(
 REGEXREPLACE(A1513,""^cost\."",""""),
 ""\.[^.]+\.[^.]+$"",
 """"
)"),"tech.alchemists_hut.potion_berserker_rage")</f>
        <v>tech.alchemists_hut.potion_berserker_rage</v>
      </c>
      <c r="C1513" s="49" t="str">
        <f t="array" ref="C1513">_xlfn.XLOOKUP(
 B1513,
 tblTargets[TargetID],
 tblTargets[DisplayName],
 ""
)</f>
        <v>Alchemists Hut - Potion Berserker Rage</v>
      </c>
      <c r="D1513" s="49" t="str">
        <f t="array" ref="D1513">_xlfn.XLOOKUP(
 B1513,
 tblTargets[TargetID],
 tblTargets[TargetType],
 ""
)</f>
        <v>TECH</v>
      </c>
      <c r="E1513" s="49" t="s">
        <v>443</v>
      </c>
      <c r="F1513" s="49">
        <v>1.0</v>
      </c>
      <c r="G1513" s="49">
        <f t="array" ref="G1513">_xlfn.XLOOKUP(
 A1513,
 tblCost[RequirementID],
 tblCost[QuantityRequired],
 ""
)</f>
        <v>3</v>
      </c>
      <c r="H1513" s="49">
        <f t="array" ref="H1513">IF(
 OR(
  LEFT(B1513,15)="state.character",
  RIGHT(B1513,6)=".maxed"
 ),
 0,
 LET(
  sort,
   _xlfn.XLOOKUP(
    B1513,
    tblChecklist[TargetID],
    tblChecklist[PlayerSort],
    0
   ),
  IF(sort=0,500,sort)
 )
)</f>
        <v>500</v>
      </c>
      <c r="I1513" s="49" t="str">
        <f t="array" ref="I1513">_xlfn.XLOOKUP(
 B1513,
 tblTargetStatus[TargetID],
 tblTargetStatus[Status],
 ""
)</f>
        <v>BLOCKED</v>
      </c>
      <c r="J1513" s="45" t="b">
        <v>0</v>
      </c>
    </row>
    <row r="1514" ht="14.25" hidden="1" customHeight="1">
      <c r="A1514" s="49" t="s">
        <v>2904</v>
      </c>
      <c r="B1514" s="49" t="str">
        <f>IFERROR(__xludf.DUMMYFUNCTION("REGEXREPLACE(
 REGEXREPLACE(A1514,""^cost\."",""""),
 ""\.[^.]+\.[^.]+$"",
 """"
)"),"tech.alchemists_hut.potion_of_energy")</f>
        <v>tech.alchemists_hut.potion_of_energy</v>
      </c>
      <c r="C1514" s="49" t="str">
        <f t="array" ref="C1514">_xlfn.XLOOKUP(
 B1514,
 tblTargets[TargetID],
 tblTargets[DisplayName],
 ""
)</f>
        <v>Alchemists Hut - Potion Of Energy</v>
      </c>
      <c r="D1514" s="49" t="str">
        <f t="array" ref="D1514">_xlfn.XLOOKUP(
 B1514,
 tblTargets[TargetID],
 tblTargets[TargetType],
 ""
)</f>
        <v>TECH</v>
      </c>
      <c r="E1514" s="49" t="s">
        <v>119</v>
      </c>
      <c r="F1514" s="49">
        <v>1.0</v>
      </c>
      <c r="G1514" s="49">
        <f t="array" ref="G1514">_xlfn.XLOOKUP(
 A1514,
 tblCost[RequirementID],
 tblCost[QuantityRequired],
 ""
)</f>
        <v>300</v>
      </c>
      <c r="H1514" s="49">
        <f t="array" ref="H1514">IF(
 OR(
  LEFT(B1514,15)="state.character",
  RIGHT(B1514,6)=".maxed"
 ),
 0,
 LET(
  sort,
   _xlfn.XLOOKUP(
    B1514,
    tblChecklist[TargetID],
    tblChecklist[PlayerSort],
    0
   ),
  IF(sort=0,500,sort)
 )
)</f>
        <v>500</v>
      </c>
      <c r="I1514" s="49" t="str">
        <f t="array" ref="I1514">_xlfn.XLOOKUP(
 B1514,
 tblTargetStatus[TargetID],
 tblTargetStatus[Status],
 ""
)</f>
        <v>BLOCKED</v>
      </c>
      <c r="J1514" s="45" t="b">
        <v>0</v>
      </c>
    </row>
    <row r="1515" ht="14.25" hidden="1" customHeight="1">
      <c r="A1515" s="49" t="s">
        <v>2906</v>
      </c>
      <c r="B1515" s="49" t="str">
        <f>IFERROR(__xludf.DUMMYFUNCTION("REGEXREPLACE(
 REGEXREPLACE(A1515,""^cost\."",""""),
 ""\.[^.]+\.[^.]+$"",
 """"
)"),"tech.alchemists_hut.potion_of_energy")</f>
        <v>tech.alchemists_hut.potion_of_energy</v>
      </c>
      <c r="C1515" s="49" t="str">
        <f t="array" ref="C1515">_xlfn.XLOOKUP(
 B1515,
 tblTargets[TargetID],
 tblTargets[DisplayName],
 ""
)</f>
        <v>Alchemists Hut - Potion Of Energy</v>
      </c>
      <c r="D1515" s="49" t="str">
        <f t="array" ref="D1515">_xlfn.XLOOKUP(
 B1515,
 tblTargets[TargetID],
 tblTargets[TargetType],
 ""
)</f>
        <v>TECH</v>
      </c>
      <c r="E1515" s="49" t="s">
        <v>1060</v>
      </c>
      <c r="F1515" s="49">
        <v>1.0</v>
      </c>
      <c r="G1515" s="49">
        <f t="array" ref="G1515">_xlfn.XLOOKUP(
 A1515,
 tblCost[RequirementID],
 tblCost[QuantityRequired],
 ""
)</f>
        <v>50</v>
      </c>
      <c r="H1515" s="49">
        <f t="array" ref="H1515">IF(
 OR(
  LEFT(B1515,15)="state.character",
  RIGHT(B1515,6)=".maxed"
 ),
 0,
 LET(
  sort,
   _xlfn.XLOOKUP(
    B1515,
    tblChecklist[TargetID],
    tblChecklist[PlayerSort],
    0
   ),
  IF(sort=0,500,sort)
 )
)</f>
        <v>500</v>
      </c>
      <c r="I1515" s="49" t="str">
        <f t="array" ref="I1515">_xlfn.XLOOKUP(
 B1515,
 tblTargetStatus[TargetID],
 tblTargetStatus[Status],
 ""
)</f>
        <v>BLOCKED</v>
      </c>
      <c r="J1515" s="45" t="b">
        <v>0</v>
      </c>
    </row>
    <row r="1516" ht="14.25" hidden="1" customHeight="1">
      <c r="A1516" s="49" t="s">
        <v>2908</v>
      </c>
      <c r="B1516" s="49" t="str">
        <f>IFERROR(__xludf.DUMMYFUNCTION("REGEXREPLACE(
 REGEXREPLACE(A1516,""^cost\."",""""),
 ""\.[^.]+\.[^.]+$"",
 """"
)"),"tech.alchemists_hut.potion_of_energy")</f>
        <v>tech.alchemists_hut.potion_of_energy</v>
      </c>
      <c r="C1516" s="49" t="str">
        <f t="array" ref="C1516">_xlfn.XLOOKUP(
 B1516,
 tblTargets[TargetID],
 tblTargets[DisplayName],
 ""
)</f>
        <v>Alchemists Hut - Potion Of Energy</v>
      </c>
      <c r="D1516" s="49" t="str">
        <f t="array" ref="D1516">_xlfn.XLOOKUP(
 B1516,
 tblTargets[TargetID],
 tblTargets[TargetType],
 ""
)</f>
        <v>TECH</v>
      </c>
      <c r="E1516" s="49" t="s">
        <v>360</v>
      </c>
      <c r="F1516" s="49">
        <v>1.0</v>
      </c>
      <c r="G1516" s="49">
        <f t="array" ref="G1516">_xlfn.XLOOKUP(
 A1516,
 tblCost[RequirementID],
 tblCost[QuantityRequired],
 ""
)</f>
        <v>10</v>
      </c>
      <c r="H1516" s="49">
        <f t="array" ref="H1516">IF(
 OR(
  LEFT(B1516,15)="state.character",
  RIGHT(B1516,6)=".maxed"
 ),
 0,
 LET(
  sort,
   _xlfn.XLOOKUP(
    B1516,
    tblChecklist[TargetID],
    tblChecklist[PlayerSort],
    0
   ),
  IF(sort=0,500,sort)
 )
)</f>
        <v>500</v>
      </c>
      <c r="I1516" s="49" t="str">
        <f t="array" ref="I1516">_xlfn.XLOOKUP(
 B1516,
 tblTargetStatus[TargetID],
 tblTargetStatus[Status],
 ""
)</f>
        <v>BLOCKED</v>
      </c>
      <c r="J1516" s="45" t="b">
        <v>0</v>
      </c>
    </row>
    <row r="1517" ht="14.25" hidden="1" customHeight="1">
      <c r="A1517" s="49" t="s">
        <v>2910</v>
      </c>
      <c r="B1517" s="49" t="str">
        <f>IFERROR(__xludf.DUMMYFUNCTION("REGEXREPLACE(
 REGEXREPLACE(A1517,""^cost\."",""""),
 ""\.[^.]+\.[^.]+$"",
 """"
)"),"tech.alchemists_hut.potion_of_energy")</f>
        <v>tech.alchemists_hut.potion_of_energy</v>
      </c>
      <c r="C1517" s="49" t="str">
        <f t="array" ref="C1517">_xlfn.XLOOKUP(
 B1517,
 tblTargets[TargetID],
 tblTargets[DisplayName],
 ""
)</f>
        <v>Alchemists Hut - Potion Of Energy</v>
      </c>
      <c r="D1517" s="49" t="str">
        <f t="array" ref="D1517">_xlfn.XLOOKUP(
 B1517,
 tblTargets[TargetID],
 tblTargets[TargetType],
 ""
)</f>
        <v>TECH</v>
      </c>
      <c r="E1517" s="49" t="s">
        <v>132</v>
      </c>
      <c r="F1517" s="49">
        <v>1.0</v>
      </c>
      <c r="G1517" s="49">
        <f t="array" ref="G1517">_xlfn.XLOOKUP(
 A1517,
 tblCost[RequirementID],
 tblCost[QuantityRequired],
 ""
)</f>
        <v>15</v>
      </c>
      <c r="H1517" s="49">
        <f t="array" ref="H1517">IF(
 OR(
  LEFT(B1517,15)="state.character",
  RIGHT(B1517,6)=".maxed"
 ),
 0,
 LET(
  sort,
   _xlfn.XLOOKUP(
    B1517,
    tblChecklist[TargetID],
    tblChecklist[PlayerSort],
    0
   ),
  IF(sort=0,500,sort)
 )
)</f>
        <v>500</v>
      </c>
      <c r="I1517" s="49" t="str">
        <f t="array" ref="I1517">_xlfn.XLOOKUP(
 B1517,
 tblTargetStatus[TargetID],
 tblTargetStatus[Status],
 ""
)</f>
        <v>BLOCKED</v>
      </c>
      <c r="J1517" s="45" t="b">
        <v>0</v>
      </c>
    </row>
    <row r="1518" ht="14.25" hidden="1" customHeight="1">
      <c r="A1518" s="49" t="s">
        <v>2911</v>
      </c>
      <c r="B1518" s="49" t="str">
        <f>IFERROR(__xludf.DUMMYFUNCTION("REGEXREPLACE(
 REGEXREPLACE(A1518,""^cost\."",""""),
 ""\.[^.]+\.[^.]+$"",
 """"
)"),"tech.alchemists_hut.potion_of_energy")</f>
        <v>tech.alchemists_hut.potion_of_energy</v>
      </c>
      <c r="C1518" s="49" t="str">
        <f t="array" ref="C1518">_xlfn.XLOOKUP(
 B1518,
 tblTargets[TargetID],
 tblTargets[DisplayName],
 ""
)</f>
        <v>Alchemists Hut - Potion Of Energy</v>
      </c>
      <c r="D1518" s="49" t="str">
        <f t="array" ref="D1518">_xlfn.XLOOKUP(
 B1518,
 tblTargets[TargetID],
 tblTargets[TargetType],
 ""
)</f>
        <v>TECH</v>
      </c>
      <c r="E1518" s="49" t="s">
        <v>140</v>
      </c>
      <c r="F1518" s="49">
        <v>1.0</v>
      </c>
      <c r="G1518" s="49">
        <f t="array" ref="G1518">_xlfn.XLOOKUP(
 A1518,
 tblCost[RequirementID],
 tblCost[QuantityRequired],
 ""
)</f>
        <v>15</v>
      </c>
      <c r="H1518" s="49">
        <f t="array" ref="H1518">IF(
 OR(
  LEFT(B1518,15)="state.character",
  RIGHT(B1518,6)=".maxed"
 ),
 0,
 LET(
  sort,
   _xlfn.XLOOKUP(
    B1518,
    tblChecklist[TargetID],
    tblChecklist[PlayerSort],
    0
   ),
  IF(sort=0,500,sort)
 )
)</f>
        <v>500</v>
      </c>
      <c r="I1518" s="49" t="str">
        <f t="array" ref="I1518">_xlfn.XLOOKUP(
 B1518,
 tblTargetStatus[TargetID],
 tblTargetStatus[Status],
 ""
)</f>
        <v>BLOCKED</v>
      </c>
      <c r="J1518" s="45" t="b">
        <v>0</v>
      </c>
    </row>
    <row r="1519" ht="14.25" hidden="1" customHeight="1">
      <c r="A1519" s="49" t="s">
        <v>2913</v>
      </c>
      <c r="B1519" s="49" t="str">
        <f>IFERROR(__xludf.DUMMYFUNCTION("REGEXREPLACE(
 REGEXREPLACE(A1519,""^cost\."",""""),
 ""\.[^.]+\.[^.]+$"",
 """"
)"),"tech.alchemists_hut.potion_of_energy")</f>
        <v>tech.alchemists_hut.potion_of_energy</v>
      </c>
      <c r="C1519" s="49" t="str">
        <f t="array" ref="C1519">_xlfn.XLOOKUP(
 B1519,
 tblTargets[TargetID],
 tblTargets[DisplayName],
 ""
)</f>
        <v>Alchemists Hut - Potion Of Energy</v>
      </c>
      <c r="D1519" s="49" t="str">
        <f t="array" ref="D1519">_xlfn.XLOOKUP(
 B1519,
 tblTargets[TargetID],
 tblTargets[TargetType],
 ""
)</f>
        <v>TECH</v>
      </c>
      <c r="E1519" s="49" t="s">
        <v>6</v>
      </c>
      <c r="F1519" s="49">
        <v>1.0</v>
      </c>
      <c r="G1519" s="49">
        <f t="array" ref="G1519">_xlfn.XLOOKUP(
 A1519,
 tblCost[RequirementID],
 tblCost[QuantityRequired],
 ""
)</f>
        <v>1</v>
      </c>
      <c r="H1519" s="49">
        <f t="array" ref="H1519">IF(
 OR(
  LEFT(B1519,15)="state.character",
  RIGHT(B1519,6)=".maxed"
 ),
 0,
 LET(
  sort,
   _xlfn.XLOOKUP(
    B1519,
    tblChecklist[TargetID],
    tblChecklist[PlayerSort],
    0
   ),
  IF(sort=0,500,sort)
 )
)</f>
        <v>500</v>
      </c>
      <c r="I1519" s="49" t="str">
        <f t="array" ref="I1519">_xlfn.XLOOKUP(
 B1519,
 tblTargetStatus[TargetID],
 tblTargetStatus[Status],
 ""
)</f>
        <v>BLOCKED</v>
      </c>
      <c r="J1519" s="45" t="b">
        <v>0</v>
      </c>
    </row>
    <row r="1520" ht="14.25" hidden="1" customHeight="1">
      <c r="A1520" s="49" t="s">
        <v>2930</v>
      </c>
      <c r="B1520" s="49" t="str">
        <f>IFERROR(__xludf.DUMMYFUNCTION("REGEXREPLACE(
 REGEXREPLACE(A1520,""^cost\."",""""),
 ""\.[^.]+\.[^.]+$"",
 """"
)"),"tech.alchemists_hut.potion_of_healing_lvl_2")</f>
        <v>tech.alchemists_hut.potion_of_healing_lvl_2</v>
      </c>
      <c r="C1520" s="49" t="str">
        <f t="array" ref="C1520">_xlfn.XLOOKUP(
 B1520,
 tblTargets[TargetID],
 tblTargets[DisplayName],
 ""
)</f>
        <v>Alchemists Hut - Potion Of Healing Lvl 2</v>
      </c>
      <c r="D1520" s="49" t="str">
        <f t="array" ref="D1520">_xlfn.XLOOKUP(
 B1520,
 tblTargets[TargetID],
 tblTargets[TargetType],
 ""
)</f>
        <v>TECH</v>
      </c>
      <c r="E1520" s="49" t="s">
        <v>2297</v>
      </c>
      <c r="F1520" s="49">
        <v>1.0</v>
      </c>
      <c r="G1520" s="49">
        <f t="array" ref="G1520">_xlfn.XLOOKUP(
 A1520,
 tblCost[RequirementID],
 tblCost[QuantityRequired],
 ""
)</f>
        <v>15</v>
      </c>
      <c r="H1520" s="49">
        <f t="array" ref="H1520">IF(
 OR(
  LEFT(B1520,15)="state.character",
  RIGHT(B1520,6)=".maxed"
 ),
 0,
 LET(
  sort,
   _xlfn.XLOOKUP(
    B1520,
    tblChecklist[TargetID],
    tblChecklist[PlayerSort],
    0
   ),
  IF(sort=0,500,sort)
 )
)</f>
        <v>500</v>
      </c>
      <c r="I1520" s="49" t="str">
        <f t="array" ref="I1520">_xlfn.XLOOKUP(
 B1520,
 tblTargetStatus[TargetID],
 tblTargetStatus[Status],
 ""
)</f>
        <v>BLOCKED</v>
      </c>
      <c r="J1520" s="45" t="b">
        <v>0</v>
      </c>
    </row>
    <row r="1521" ht="14.25" hidden="1" customHeight="1">
      <c r="A1521" s="49" t="s">
        <v>2932</v>
      </c>
      <c r="B1521" s="49" t="str">
        <f>IFERROR(__xludf.DUMMYFUNCTION("REGEXREPLACE(
 REGEXREPLACE(A1521,""^cost\."",""""),
 ""\.[^.]+\.[^.]+$"",
 """"
)"),"tech.alchemists_hut.potion_of_healing_lvl_2")</f>
        <v>tech.alchemists_hut.potion_of_healing_lvl_2</v>
      </c>
      <c r="C1521" s="49" t="str">
        <f t="array" ref="C1521">_xlfn.XLOOKUP(
 B1521,
 tblTargets[TargetID],
 tblTargets[DisplayName],
 ""
)</f>
        <v>Alchemists Hut - Potion Of Healing Lvl 2</v>
      </c>
      <c r="D1521" s="49" t="str">
        <f t="array" ref="D1521">_xlfn.XLOOKUP(
 B1521,
 tblTargets[TargetID],
 tblTargets[TargetType],
 ""
)</f>
        <v>TECH</v>
      </c>
      <c r="E1521" s="49" t="s">
        <v>119</v>
      </c>
      <c r="F1521" s="49">
        <v>1.0</v>
      </c>
      <c r="G1521" s="49">
        <f t="array" ref="G1521">_xlfn.XLOOKUP(
 A1521,
 tblCost[RequirementID],
 tblCost[QuantityRequired],
 ""
)</f>
        <v>500</v>
      </c>
      <c r="H1521" s="49">
        <f t="array" ref="H1521">IF(
 OR(
  LEFT(B1521,15)="state.character",
  RIGHT(B1521,6)=".maxed"
 ),
 0,
 LET(
  sort,
   _xlfn.XLOOKUP(
    B1521,
    tblChecklist[TargetID],
    tblChecklist[PlayerSort],
    0
   ),
  IF(sort=0,500,sort)
 )
)</f>
        <v>500</v>
      </c>
      <c r="I1521" s="49" t="str">
        <f t="array" ref="I1521">_xlfn.XLOOKUP(
 B1521,
 tblTargetStatus[TargetID],
 tblTargetStatus[Status],
 ""
)</f>
        <v>BLOCKED</v>
      </c>
      <c r="J1521" s="45" t="b">
        <v>0</v>
      </c>
    </row>
    <row r="1522" ht="14.25" hidden="1" customHeight="1">
      <c r="A1522" s="49" t="s">
        <v>2934</v>
      </c>
      <c r="B1522" s="49" t="str">
        <f>IFERROR(__xludf.DUMMYFUNCTION("REGEXREPLACE(
 REGEXREPLACE(A1522,""^cost\."",""""),
 ""\.[^.]+\.[^.]+$"",
 """"
)"),"tech.alchemists_hut.potion_of_healing_lvl_2")</f>
        <v>tech.alchemists_hut.potion_of_healing_lvl_2</v>
      </c>
      <c r="C1522" s="49" t="str">
        <f t="array" ref="C1522">_xlfn.XLOOKUP(
 B1522,
 tblTargets[TargetID],
 tblTargets[DisplayName],
 ""
)</f>
        <v>Alchemists Hut - Potion Of Healing Lvl 2</v>
      </c>
      <c r="D1522" s="49" t="str">
        <f t="array" ref="D1522">_xlfn.XLOOKUP(
 B1522,
 tblTargets[TargetID],
 tblTargets[TargetType],
 ""
)</f>
        <v>TECH</v>
      </c>
      <c r="E1522" s="49" t="s">
        <v>2304</v>
      </c>
      <c r="F1522" s="49">
        <v>1.0</v>
      </c>
      <c r="G1522" s="49">
        <f t="array" ref="G1522">_xlfn.XLOOKUP(
 A1522,
 tblCost[RequirementID],
 tblCost[QuantityRequired],
 ""
)</f>
        <v>10</v>
      </c>
      <c r="H1522" s="49">
        <f t="array" ref="H1522">IF(
 OR(
  LEFT(B1522,15)="state.character",
  RIGHT(B1522,6)=".maxed"
 ),
 0,
 LET(
  sort,
   _xlfn.XLOOKUP(
    B1522,
    tblChecklist[TargetID],
    tblChecklist[PlayerSort],
    0
   ),
  IF(sort=0,500,sort)
 )
)</f>
        <v>500</v>
      </c>
      <c r="I1522" s="49" t="str">
        <f t="array" ref="I1522">_xlfn.XLOOKUP(
 B1522,
 tblTargetStatus[TargetID],
 tblTargetStatus[Status],
 ""
)</f>
        <v>BLOCKED</v>
      </c>
      <c r="J1522" s="45" t="b">
        <v>0</v>
      </c>
    </row>
    <row r="1523" ht="14.25" hidden="1" customHeight="1">
      <c r="A1523" s="49" t="s">
        <v>2936</v>
      </c>
      <c r="B1523" s="49" t="str">
        <f>IFERROR(__xludf.DUMMYFUNCTION("REGEXREPLACE(
 REGEXREPLACE(A1523,""^cost\."",""""),
 ""\.[^.]+\.[^.]+$"",
 """"
)"),"tech.alchemists_hut.potion_of_healing_lvl_2")</f>
        <v>tech.alchemists_hut.potion_of_healing_lvl_2</v>
      </c>
      <c r="C1523" s="49" t="str">
        <f t="array" ref="C1523">_xlfn.XLOOKUP(
 B1523,
 tblTargets[TargetID],
 tblTargets[DisplayName],
 ""
)</f>
        <v>Alchemists Hut - Potion Of Healing Lvl 2</v>
      </c>
      <c r="D1523" s="49" t="str">
        <f t="array" ref="D1523">_xlfn.XLOOKUP(
 B1523,
 tblTargets[TargetID],
 tblTargets[TargetType],
 ""
)</f>
        <v>TECH</v>
      </c>
      <c r="E1523" s="49" t="s">
        <v>132</v>
      </c>
      <c r="F1523" s="49">
        <v>1.0</v>
      </c>
      <c r="G1523" s="49">
        <f t="array" ref="G1523">_xlfn.XLOOKUP(
 A1523,
 tblCost[RequirementID],
 tblCost[QuantityRequired],
 ""
)</f>
        <v>20</v>
      </c>
      <c r="H1523" s="49">
        <f t="array" ref="H1523">IF(
 OR(
  LEFT(B1523,15)="state.character",
  RIGHT(B1523,6)=".maxed"
 ),
 0,
 LET(
  sort,
   _xlfn.XLOOKUP(
    B1523,
    tblChecklist[TargetID],
    tblChecklist[PlayerSort],
    0
   ),
  IF(sort=0,500,sort)
 )
)</f>
        <v>500</v>
      </c>
      <c r="I1523" s="49" t="str">
        <f t="array" ref="I1523">_xlfn.XLOOKUP(
 B1523,
 tblTargetStatus[TargetID],
 tblTargetStatus[Status],
 ""
)</f>
        <v>BLOCKED</v>
      </c>
      <c r="J1523" s="45" t="b">
        <v>0</v>
      </c>
    </row>
    <row r="1524" ht="14.25" hidden="1" customHeight="1">
      <c r="A1524" s="49" t="s">
        <v>2938</v>
      </c>
      <c r="B1524" s="49" t="str">
        <f>IFERROR(__xludf.DUMMYFUNCTION("REGEXREPLACE(
 REGEXREPLACE(A1524,""^cost\."",""""),
 ""\.[^.]+\.[^.]+$"",
 """"
)"),"tech.alchemists_hut.potion_of_healing_lvl_2")</f>
        <v>tech.alchemists_hut.potion_of_healing_lvl_2</v>
      </c>
      <c r="C1524" s="49" t="str">
        <f t="array" ref="C1524">_xlfn.XLOOKUP(
 B1524,
 tblTargets[TargetID],
 tblTargets[DisplayName],
 ""
)</f>
        <v>Alchemists Hut - Potion Of Healing Lvl 2</v>
      </c>
      <c r="D1524" s="49" t="str">
        <f t="array" ref="D1524">_xlfn.XLOOKUP(
 B1524,
 tblTargets[TargetID],
 tblTargets[TargetType],
 ""
)</f>
        <v>TECH</v>
      </c>
      <c r="E1524" s="49" t="s">
        <v>2940</v>
      </c>
      <c r="F1524" s="49">
        <v>1.0</v>
      </c>
      <c r="G1524" s="49">
        <f t="array" ref="G1524">_xlfn.XLOOKUP(
 A1524,
 tblCost[RequirementID],
 tblCost[QuantityRequired],
 ""
)</f>
        <v>12</v>
      </c>
      <c r="H1524" s="49">
        <f t="array" ref="H1524">IF(
 OR(
  LEFT(B1524,15)="state.character",
  RIGHT(B1524,6)=".maxed"
 ),
 0,
 LET(
  sort,
   _xlfn.XLOOKUP(
    B1524,
    tblChecklist[TargetID],
    tblChecklist[PlayerSort],
    0
   ),
  IF(sort=0,500,sort)
 )
)</f>
        <v>500</v>
      </c>
      <c r="I1524" s="49" t="str">
        <f t="array" ref="I1524">_xlfn.XLOOKUP(
 B1524,
 tblTargetStatus[TargetID],
 tblTargetStatus[Status],
 ""
)</f>
        <v>BLOCKED</v>
      </c>
      <c r="J1524" s="45" t="b">
        <v>0</v>
      </c>
    </row>
    <row r="1525" ht="14.25" hidden="1" customHeight="1">
      <c r="A1525" s="49" t="s">
        <v>2941</v>
      </c>
      <c r="B1525" s="49" t="str">
        <f>IFERROR(__xludf.DUMMYFUNCTION("REGEXREPLACE(
 REGEXREPLACE(A1525,""^cost\."",""""),
 ""\.[^.]+\.[^.]+$"",
 """"
)"),"tech.alchemists_hut.potion_of_healing_lvl_2")</f>
        <v>tech.alchemists_hut.potion_of_healing_lvl_2</v>
      </c>
      <c r="C1525" s="49" t="str">
        <f t="array" ref="C1525">_xlfn.XLOOKUP(
 B1525,
 tblTargets[TargetID],
 tblTargets[DisplayName],
 ""
)</f>
        <v>Alchemists Hut - Potion Of Healing Lvl 2</v>
      </c>
      <c r="D1525" s="49" t="str">
        <f t="array" ref="D1525">_xlfn.XLOOKUP(
 B1525,
 tblTargets[TargetID],
 tblTargets[TargetType],
 ""
)</f>
        <v>TECH</v>
      </c>
      <c r="E1525" s="49" t="s">
        <v>140</v>
      </c>
      <c r="F1525" s="49">
        <v>1.0</v>
      </c>
      <c r="G1525" s="49">
        <f t="array" ref="G1525">_xlfn.XLOOKUP(
 A1525,
 tblCost[RequirementID],
 tblCost[QuantityRequired],
 ""
)</f>
        <v>20</v>
      </c>
      <c r="H1525" s="49">
        <f t="array" ref="H1525">IF(
 OR(
  LEFT(B1525,15)="state.character",
  RIGHT(B1525,6)=".maxed"
 ),
 0,
 LET(
  sort,
   _xlfn.XLOOKUP(
    B1525,
    tblChecklist[TargetID],
    tblChecklist[PlayerSort],
    0
   ),
  IF(sort=0,500,sort)
 )
)</f>
        <v>500</v>
      </c>
      <c r="I1525" s="49" t="str">
        <f t="array" ref="I1525">_xlfn.XLOOKUP(
 B1525,
 tblTargetStatus[TargetID],
 tblTargetStatus[Status],
 ""
)</f>
        <v>BLOCKED</v>
      </c>
      <c r="J1525" s="45" t="b">
        <v>0</v>
      </c>
    </row>
    <row r="1526" ht="14.25" hidden="1" customHeight="1">
      <c r="A1526" s="49" t="s">
        <v>2943</v>
      </c>
      <c r="B1526" s="49" t="str">
        <f>IFERROR(__xludf.DUMMYFUNCTION("REGEXREPLACE(
 REGEXREPLACE(A1526,""^cost\."",""""),
 ""\.[^.]+\.[^.]+$"",
 """"
)"),"tech.alchemists_hut.potion_of_healing_lvl_2")</f>
        <v>tech.alchemists_hut.potion_of_healing_lvl_2</v>
      </c>
      <c r="C1526" s="49" t="str">
        <f t="array" ref="C1526">_xlfn.XLOOKUP(
 B1526,
 tblTargets[TargetID],
 tblTargets[DisplayName],
 ""
)</f>
        <v>Alchemists Hut - Potion Of Healing Lvl 2</v>
      </c>
      <c r="D1526" s="49" t="str">
        <f t="array" ref="D1526">_xlfn.XLOOKUP(
 B1526,
 tblTargets[TargetID],
 tblTargets[TargetType],
 ""
)</f>
        <v>TECH</v>
      </c>
      <c r="E1526" s="49" t="s">
        <v>6</v>
      </c>
      <c r="F1526" s="49">
        <v>1.0</v>
      </c>
      <c r="G1526" s="49">
        <f t="array" ref="G1526">_xlfn.XLOOKUP(
 A1526,
 tblCost[RequirementID],
 tblCost[QuantityRequired],
 ""
)</f>
        <v>3</v>
      </c>
      <c r="H1526" s="49">
        <f t="array" ref="H1526">IF(
 OR(
  LEFT(B1526,15)="state.character",
  RIGHT(B1526,6)=".maxed"
 ),
 0,
 LET(
  sort,
   _xlfn.XLOOKUP(
    B1526,
    tblChecklist[TargetID],
    tblChecklist[PlayerSort],
    0
   ),
  IF(sort=0,500,sort)
 )
)</f>
        <v>500</v>
      </c>
      <c r="I1526" s="49" t="str">
        <f t="array" ref="I1526">_xlfn.XLOOKUP(
 B1526,
 tblTargetStatus[TargetID],
 tblTargetStatus[Status],
 ""
)</f>
        <v>BLOCKED</v>
      </c>
      <c r="J1526" s="45" t="b">
        <v>0</v>
      </c>
    </row>
    <row r="1527" ht="14.25" hidden="1" customHeight="1">
      <c r="A1527" s="49" t="s">
        <v>2893</v>
      </c>
      <c r="B1527" s="49" t="str">
        <f>IFERROR(__xludf.DUMMYFUNCTION("REGEXREPLACE(
 REGEXREPLACE(A1527,""^cost\."",""""),
 ""\.[^.]+\.[^.]+$"",
 """"
)"),"tech.alchemists_hut.potion_of_healing")</f>
        <v>tech.alchemists_hut.potion_of_healing</v>
      </c>
      <c r="C1527" s="49" t="str">
        <f t="array" ref="C1527">_xlfn.XLOOKUP(
 B1527,
 tblTargets[TargetID],
 tblTargets[DisplayName],
 ""
)</f>
        <v>Alchemists Hut - Potion Of Healing</v>
      </c>
      <c r="D1527" s="49" t="str">
        <f t="array" ref="D1527">_xlfn.XLOOKUP(
 B1527,
 tblTargets[TargetID],
 tblTargets[TargetType],
 ""
)</f>
        <v>TECH</v>
      </c>
      <c r="E1527" s="49" t="s">
        <v>119</v>
      </c>
      <c r="F1527" s="49">
        <v>1.0</v>
      </c>
      <c r="G1527" s="49">
        <f t="array" ref="G1527">_xlfn.XLOOKUP(
 A1527,
 tblCost[RequirementID],
 tblCost[QuantityRequired],
 ""
)</f>
        <v>300</v>
      </c>
      <c r="H1527" s="49">
        <f t="array" ref="H1527">IF(
 OR(
  LEFT(B1527,15)="state.character",
  RIGHT(B1527,6)=".maxed"
 ),
 0,
 LET(
  sort,
   _xlfn.XLOOKUP(
    B1527,
    tblChecklist[TargetID],
    tblChecklist[PlayerSort],
    0
   ),
  IF(sort=0,500,sort)
 )
)</f>
        <v>500</v>
      </c>
      <c r="I1527" s="49" t="str">
        <f t="array" ref="I1527">_xlfn.XLOOKUP(
 B1527,
 tblTargetStatus[TargetID],
 tblTargetStatus[Status],
 ""
)</f>
        <v>BLOCKED</v>
      </c>
      <c r="J1527" s="45" t="b">
        <v>0</v>
      </c>
    </row>
    <row r="1528" ht="14.25" hidden="1" customHeight="1">
      <c r="A1528" s="49" t="s">
        <v>2895</v>
      </c>
      <c r="B1528" s="49" t="str">
        <f>IFERROR(__xludf.DUMMYFUNCTION("REGEXREPLACE(
 REGEXREPLACE(A1528,""^cost\."",""""),
 ""\.[^.]+\.[^.]+$"",
 """"
)"),"tech.alchemists_hut.potion_of_healing")</f>
        <v>tech.alchemists_hut.potion_of_healing</v>
      </c>
      <c r="C1528" s="49" t="str">
        <f t="array" ref="C1528">_xlfn.XLOOKUP(
 B1528,
 tblTargets[TargetID],
 tblTargets[DisplayName],
 ""
)</f>
        <v>Alchemists Hut - Potion Of Healing</v>
      </c>
      <c r="D1528" s="49" t="str">
        <f t="array" ref="D1528">_xlfn.XLOOKUP(
 B1528,
 tblTargets[TargetID],
 tblTargets[TargetType],
 ""
)</f>
        <v>TECH</v>
      </c>
      <c r="E1528" s="49" t="s">
        <v>1060</v>
      </c>
      <c r="F1528" s="49">
        <v>1.0</v>
      </c>
      <c r="G1528" s="49">
        <f t="array" ref="G1528">_xlfn.XLOOKUP(
 A1528,
 tblCost[RequirementID],
 tblCost[QuantityRequired],
 ""
)</f>
        <v>50</v>
      </c>
      <c r="H1528" s="49">
        <f t="array" ref="H1528">IF(
 OR(
  LEFT(B1528,15)="state.character",
  RIGHT(B1528,6)=".maxed"
 ),
 0,
 LET(
  sort,
   _xlfn.XLOOKUP(
    B1528,
    tblChecklist[TargetID],
    tblChecklist[PlayerSort],
    0
   ),
  IF(sort=0,500,sort)
 )
)</f>
        <v>500</v>
      </c>
      <c r="I1528" s="49" t="str">
        <f t="array" ref="I1528">_xlfn.XLOOKUP(
 B1528,
 tblTargetStatus[TargetID],
 tblTargetStatus[Status],
 ""
)</f>
        <v>BLOCKED</v>
      </c>
      <c r="J1528" s="45" t="b">
        <v>0</v>
      </c>
    </row>
    <row r="1529" ht="14.25" hidden="1" customHeight="1">
      <c r="A1529" s="49" t="s">
        <v>2897</v>
      </c>
      <c r="B1529" s="49" t="str">
        <f>IFERROR(__xludf.DUMMYFUNCTION("REGEXREPLACE(
 REGEXREPLACE(A1529,""^cost\."",""""),
 ""\.[^.]+\.[^.]+$"",
 """"
)"),"tech.alchemists_hut.potion_of_healing")</f>
        <v>tech.alchemists_hut.potion_of_healing</v>
      </c>
      <c r="C1529" s="49" t="str">
        <f t="array" ref="C1529">_xlfn.XLOOKUP(
 B1529,
 tblTargets[TargetID],
 tblTargets[DisplayName],
 ""
)</f>
        <v>Alchemists Hut - Potion Of Healing</v>
      </c>
      <c r="D1529" s="49" t="str">
        <f t="array" ref="D1529">_xlfn.XLOOKUP(
 B1529,
 tblTargets[TargetID],
 tblTargets[TargetType],
 ""
)</f>
        <v>TECH</v>
      </c>
      <c r="E1529" s="49" t="s">
        <v>360</v>
      </c>
      <c r="F1529" s="49">
        <v>1.0</v>
      </c>
      <c r="G1529" s="49">
        <f t="array" ref="G1529">_xlfn.XLOOKUP(
 A1529,
 tblCost[RequirementID],
 tblCost[QuantityRequired],
 ""
)</f>
        <v>10</v>
      </c>
      <c r="H1529" s="49">
        <f t="array" ref="H1529">IF(
 OR(
  LEFT(B1529,15)="state.character",
  RIGHT(B1529,6)=".maxed"
 ),
 0,
 LET(
  sort,
   _xlfn.XLOOKUP(
    B1529,
    tblChecklist[TargetID],
    tblChecklist[PlayerSort],
    0
   ),
  IF(sort=0,500,sort)
 )
)</f>
        <v>500</v>
      </c>
      <c r="I1529" s="49" t="str">
        <f t="array" ref="I1529">_xlfn.XLOOKUP(
 B1529,
 tblTargetStatus[TargetID],
 tblTargetStatus[Status],
 ""
)</f>
        <v>BLOCKED</v>
      </c>
      <c r="J1529" s="45" t="b">
        <v>0</v>
      </c>
    </row>
    <row r="1530" ht="14.25" hidden="1" customHeight="1">
      <c r="A1530" s="49" t="s">
        <v>2898</v>
      </c>
      <c r="B1530" s="49" t="str">
        <f>IFERROR(__xludf.DUMMYFUNCTION("REGEXREPLACE(
 REGEXREPLACE(A1530,""^cost\."",""""),
 ""\.[^.]+\.[^.]+$"",
 """"
)"),"tech.alchemists_hut.potion_of_healing")</f>
        <v>tech.alchemists_hut.potion_of_healing</v>
      </c>
      <c r="C1530" s="49" t="str">
        <f t="array" ref="C1530">_xlfn.XLOOKUP(
 B1530,
 tblTargets[TargetID],
 tblTargets[DisplayName],
 ""
)</f>
        <v>Alchemists Hut - Potion Of Healing</v>
      </c>
      <c r="D1530" s="49" t="str">
        <f t="array" ref="D1530">_xlfn.XLOOKUP(
 B1530,
 tblTargets[TargetID],
 tblTargets[TargetType],
 ""
)</f>
        <v>TECH</v>
      </c>
      <c r="E1530" s="49" t="s">
        <v>132</v>
      </c>
      <c r="F1530" s="49">
        <v>1.0</v>
      </c>
      <c r="G1530" s="49">
        <f t="array" ref="G1530">_xlfn.XLOOKUP(
 A1530,
 tblCost[RequirementID],
 tblCost[QuantityRequired],
 ""
)</f>
        <v>15</v>
      </c>
      <c r="H1530" s="49">
        <f t="array" ref="H1530">IF(
 OR(
  LEFT(B1530,15)="state.character",
  RIGHT(B1530,6)=".maxed"
 ),
 0,
 LET(
  sort,
   _xlfn.XLOOKUP(
    B1530,
    tblChecklist[TargetID],
    tblChecklist[PlayerSort],
    0
   ),
  IF(sort=0,500,sort)
 )
)</f>
        <v>500</v>
      </c>
      <c r="I1530" s="49" t="str">
        <f t="array" ref="I1530">_xlfn.XLOOKUP(
 B1530,
 tblTargetStatus[TargetID],
 tblTargetStatus[Status],
 ""
)</f>
        <v>BLOCKED</v>
      </c>
      <c r="J1530" s="45" t="b">
        <v>0</v>
      </c>
    </row>
    <row r="1531" ht="14.25" hidden="1" customHeight="1">
      <c r="A1531" s="49" t="s">
        <v>2900</v>
      </c>
      <c r="B1531" s="49" t="str">
        <f>IFERROR(__xludf.DUMMYFUNCTION("REGEXREPLACE(
 REGEXREPLACE(A1531,""^cost\."",""""),
 ""\.[^.]+\.[^.]+$"",
 """"
)"),"tech.alchemists_hut.potion_of_healing")</f>
        <v>tech.alchemists_hut.potion_of_healing</v>
      </c>
      <c r="C1531" s="49" t="str">
        <f t="array" ref="C1531">_xlfn.XLOOKUP(
 B1531,
 tblTargets[TargetID],
 tblTargets[DisplayName],
 ""
)</f>
        <v>Alchemists Hut - Potion Of Healing</v>
      </c>
      <c r="D1531" s="49" t="str">
        <f t="array" ref="D1531">_xlfn.XLOOKUP(
 B1531,
 tblTargets[TargetID],
 tblTargets[TargetType],
 ""
)</f>
        <v>TECH</v>
      </c>
      <c r="E1531" s="49" t="s">
        <v>140</v>
      </c>
      <c r="F1531" s="49">
        <v>1.0</v>
      </c>
      <c r="G1531" s="49">
        <f t="array" ref="G1531">_xlfn.XLOOKUP(
 A1531,
 tblCost[RequirementID],
 tblCost[QuantityRequired],
 ""
)</f>
        <v>15</v>
      </c>
      <c r="H1531" s="49">
        <f t="array" ref="H1531">IF(
 OR(
  LEFT(B1531,15)="state.character",
  RIGHT(B1531,6)=".maxed"
 ),
 0,
 LET(
  sort,
   _xlfn.XLOOKUP(
    B1531,
    tblChecklist[TargetID],
    tblChecklist[PlayerSort],
    0
   ),
  IF(sort=0,500,sort)
 )
)</f>
        <v>500</v>
      </c>
      <c r="I1531" s="49" t="str">
        <f t="array" ref="I1531">_xlfn.XLOOKUP(
 B1531,
 tblTargetStatus[TargetID],
 tblTargetStatus[Status],
 ""
)</f>
        <v>BLOCKED</v>
      </c>
      <c r="J1531" s="45" t="b">
        <v>0</v>
      </c>
    </row>
    <row r="1532" ht="14.25" hidden="1" customHeight="1">
      <c r="A1532" s="49" t="s">
        <v>2902</v>
      </c>
      <c r="B1532" s="49" t="str">
        <f>IFERROR(__xludf.DUMMYFUNCTION("REGEXREPLACE(
 REGEXREPLACE(A1532,""^cost\."",""""),
 ""\.[^.]+\.[^.]+$"",
 """"
)"),"tech.alchemists_hut.potion_of_healing")</f>
        <v>tech.alchemists_hut.potion_of_healing</v>
      </c>
      <c r="C1532" s="49" t="str">
        <f t="array" ref="C1532">_xlfn.XLOOKUP(
 B1532,
 tblTargets[TargetID],
 tblTargets[DisplayName],
 ""
)</f>
        <v>Alchemists Hut - Potion Of Healing</v>
      </c>
      <c r="D1532" s="49" t="str">
        <f t="array" ref="D1532">_xlfn.XLOOKUP(
 B1532,
 tblTargets[TargetID],
 tblTargets[TargetType],
 ""
)</f>
        <v>TECH</v>
      </c>
      <c r="E1532" s="49" t="s">
        <v>6</v>
      </c>
      <c r="F1532" s="49">
        <v>1.0</v>
      </c>
      <c r="G1532" s="49">
        <f t="array" ref="G1532">_xlfn.XLOOKUP(
 A1532,
 tblCost[RequirementID],
 tblCost[QuantityRequired],
 ""
)</f>
        <v>1</v>
      </c>
      <c r="H1532" s="49">
        <f t="array" ref="H1532">IF(
 OR(
  LEFT(B1532,15)="state.character",
  RIGHT(B1532,6)=".maxed"
 ),
 0,
 LET(
  sort,
   _xlfn.XLOOKUP(
    B1532,
    tblChecklist[TargetID],
    tblChecklist[PlayerSort],
    0
   ),
  IF(sort=0,500,sort)
 )
)</f>
        <v>500</v>
      </c>
      <c r="I1532" s="49" t="str">
        <f t="array" ref="I1532">_xlfn.XLOOKUP(
 B1532,
 tblTargetStatus[TargetID],
 tblTargetStatus[Status],
 ""
)</f>
        <v>BLOCKED</v>
      </c>
      <c r="J1532" s="45" t="b">
        <v>0</v>
      </c>
    </row>
    <row r="1533" ht="14.25" hidden="1" customHeight="1">
      <c r="A1533" s="49" t="s">
        <v>2826</v>
      </c>
      <c r="B1533" s="49" t="str">
        <f>IFERROR(__xludf.DUMMYFUNCTION("REGEXREPLACE(
 REGEXREPLACE(A1533,""^cost\."",""""),
 ""\.[^.]+\.[^.]+$"",
 """"
)"),"tech.alchemists_hut.potion_of_mental_power")</f>
        <v>tech.alchemists_hut.potion_of_mental_power</v>
      </c>
      <c r="C1533" s="49" t="str">
        <f t="array" ref="C1533">_xlfn.XLOOKUP(
 B1533,
 tblTargets[TargetID],
 tblTargets[DisplayName],
 ""
)</f>
        <v>Alchemists Hut - Potion Of Mental Power</v>
      </c>
      <c r="D1533" s="49" t="str">
        <f t="array" ref="D1533">_xlfn.XLOOKUP(
 B1533,
 tblTargets[TargetID],
 tblTargets[TargetType],
 ""
)</f>
        <v>TECH</v>
      </c>
      <c r="E1533" s="49" t="s">
        <v>2514</v>
      </c>
      <c r="F1533" s="49">
        <v>1.0</v>
      </c>
      <c r="G1533" s="49">
        <f t="array" ref="G1533">_xlfn.XLOOKUP(
 A1533,
 tblCost[RequirementID],
 tblCost[QuantityRequired],
 ""
)</f>
        <v>15</v>
      </c>
      <c r="H1533" s="49">
        <f t="array" ref="H1533">IF(
 OR(
  LEFT(B1533,15)="state.character",
  RIGHT(B1533,6)=".maxed"
 ),
 0,
 LET(
  sort,
   _xlfn.XLOOKUP(
    B1533,
    tblChecklist[TargetID],
    tblChecklist[PlayerSort],
    0
   ),
  IF(sort=0,500,sort)
 )
)</f>
        <v>500</v>
      </c>
      <c r="I1533" s="49" t="str">
        <f t="array" ref="I1533">_xlfn.XLOOKUP(
 B1533,
 tblTargetStatus[TargetID],
 tblTargetStatus[Status],
 ""
)</f>
        <v>BLOCKED</v>
      </c>
      <c r="J1533" s="45" t="b">
        <v>0</v>
      </c>
    </row>
    <row r="1534" ht="14.25" hidden="1" customHeight="1">
      <c r="A1534" s="49" t="s">
        <v>2828</v>
      </c>
      <c r="B1534" s="49" t="str">
        <f>IFERROR(__xludf.DUMMYFUNCTION("REGEXREPLACE(
 REGEXREPLACE(A1534,""^cost\."",""""),
 ""\.[^.]+\.[^.]+$"",
 """"
)"),"tech.alchemists_hut.potion_of_mental_power")</f>
        <v>tech.alchemists_hut.potion_of_mental_power</v>
      </c>
      <c r="C1534" s="49" t="str">
        <f t="array" ref="C1534">_xlfn.XLOOKUP(
 B1534,
 tblTargets[TargetID],
 tblTargets[DisplayName],
 ""
)</f>
        <v>Alchemists Hut - Potion Of Mental Power</v>
      </c>
      <c r="D1534" s="49" t="str">
        <f t="array" ref="D1534">_xlfn.XLOOKUP(
 B1534,
 tblTargets[TargetID],
 tblTargets[TargetType],
 ""
)</f>
        <v>TECH</v>
      </c>
      <c r="E1534" s="49" t="s">
        <v>119</v>
      </c>
      <c r="F1534" s="49">
        <v>1.0</v>
      </c>
      <c r="G1534" s="49">
        <f t="array" ref="G1534">_xlfn.XLOOKUP(
 A1534,
 tblCost[RequirementID],
 tblCost[QuantityRequired],
 ""
)</f>
        <v>300</v>
      </c>
      <c r="H1534" s="49">
        <f t="array" ref="H1534">IF(
 OR(
  LEFT(B1534,15)="state.character",
  RIGHT(B1534,6)=".maxed"
 ),
 0,
 LET(
  sort,
   _xlfn.XLOOKUP(
    B1534,
    tblChecklist[TargetID],
    tblChecklist[PlayerSort],
    0
   ),
  IF(sort=0,500,sort)
 )
)</f>
        <v>500</v>
      </c>
      <c r="I1534" s="49" t="str">
        <f t="array" ref="I1534">_xlfn.XLOOKUP(
 B1534,
 tblTargetStatus[TargetID],
 tblTargetStatus[Status],
 ""
)</f>
        <v>BLOCKED</v>
      </c>
      <c r="J1534" s="45" t="b">
        <v>0</v>
      </c>
    </row>
    <row r="1535" ht="14.25" hidden="1" customHeight="1">
      <c r="A1535" s="49" t="s">
        <v>2830</v>
      </c>
      <c r="B1535" s="49" t="str">
        <f>IFERROR(__xludf.DUMMYFUNCTION("REGEXREPLACE(
 REGEXREPLACE(A1535,""^cost\."",""""),
 ""\.[^.]+\.[^.]+$"",
 """"
)"),"tech.alchemists_hut.potion_of_mental_power")</f>
        <v>tech.alchemists_hut.potion_of_mental_power</v>
      </c>
      <c r="C1535" s="49" t="str">
        <f t="array" ref="C1535">_xlfn.XLOOKUP(
 B1535,
 tblTargets[TargetID],
 tblTargets[DisplayName],
 ""
)</f>
        <v>Alchemists Hut - Potion Of Mental Power</v>
      </c>
      <c r="D1535" s="49" t="str">
        <f t="array" ref="D1535">_xlfn.XLOOKUP(
 B1535,
 tblTargets[TargetID],
 tblTargets[TargetType],
 ""
)</f>
        <v>TECH</v>
      </c>
      <c r="E1535" s="49" t="s">
        <v>2339</v>
      </c>
      <c r="F1535" s="49">
        <v>1.0</v>
      </c>
      <c r="G1535" s="49">
        <f t="array" ref="G1535">_xlfn.XLOOKUP(
 A1535,
 tblCost[RequirementID],
 tblCost[QuantityRequired],
 ""
)</f>
        <v>20</v>
      </c>
      <c r="H1535" s="49">
        <f t="array" ref="H1535">IF(
 OR(
  LEFT(B1535,15)="state.character",
  RIGHT(B1535,6)=".maxed"
 ),
 0,
 LET(
  sort,
   _xlfn.XLOOKUP(
    B1535,
    tblChecklist[TargetID],
    tblChecklist[PlayerSort],
    0
   ),
  IF(sort=0,500,sort)
 )
)</f>
        <v>500</v>
      </c>
      <c r="I1535" s="49" t="str">
        <f t="array" ref="I1535">_xlfn.XLOOKUP(
 B1535,
 tblTargetStatus[TargetID],
 tblTargetStatus[Status],
 ""
)</f>
        <v>BLOCKED</v>
      </c>
      <c r="J1535" s="45" t="b">
        <v>0</v>
      </c>
    </row>
    <row r="1536" ht="14.25" hidden="1" customHeight="1">
      <c r="A1536" s="49" t="s">
        <v>2832</v>
      </c>
      <c r="B1536" s="49" t="str">
        <f>IFERROR(__xludf.DUMMYFUNCTION("REGEXREPLACE(
 REGEXREPLACE(A1536,""^cost\."",""""),
 ""\.[^.]+\.[^.]+$"",
 """"
)"),"tech.alchemists_hut.potion_of_mental_power")</f>
        <v>tech.alchemists_hut.potion_of_mental_power</v>
      </c>
      <c r="C1536" s="49" t="str">
        <f t="array" ref="C1536">_xlfn.XLOOKUP(
 B1536,
 tblTargets[TargetID],
 tblTargets[DisplayName],
 ""
)</f>
        <v>Alchemists Hut - Potion Of Mental Power</v>
      </c>
      <c r="D1536" s="49" t="str">
        <f t="array" ref="D1536">_xlfn.XLOOKUP(
 B1536,
 tblTargets[TargetID],
 tblTargets[TargetType],
 ""
)</f>
        <v>TECH</v>
      </c>
      <c r="E1536" s="49" t="s">
        <v>360</v>
      </c>
      <c r="F1536" s="49">
        <v>1.0</v>
      </c>
      <c r="G1536" s="49">
        <f t="array" ref="G1536">_xlfn.XLOOKUP(
 A1536,
 tblCost[RequirementID],
 tblCost[QuantityRequired],
 ""
)</f>
        <v>10</v>
      </c>
      <c r="H1536" s="49">
        <f t="array" ref="H1536">IF(
 OR(
  LEFT(B1536,15)="state.character",
  RIGHT(B1536,6)=".maxed"
 ),
 0,
 LET(
  sort,
   _xlfn.XLOOKUP(
    B1536,
    tblChecklist[TargetID],
    tblChecklist[PlayerSort],
    0
   ),
  IF(sort=0,500,sort)
 )
)</f>
        <v>500</v>
      </c>
      <c r="I1536" s="49" t="str">
        <f t="array" ref="I1536">_xlfn.XLOOKUP(
 B1536,
 tblTargetStatus[TargetID],
 tblTargetStatus[Status],
 ""
)</f>
        <v>BLOCKED</v>
      </c>
      <c r="J1536" s="45" t="b">
        <v>0</v>
      </c>
    </row>
    <row r="1537" ht="14.25" hidden="1" customHeight="1">
      <c r="A1537" s="49" t="s">
        <v>2834</v>
      </c>
      <c r="B1537" s="49" t="str">
        <f>IFERROR(__xludf.DUMMYFUNCTION("REGEXREPLACE(
 REGEXREPLACE(A1537,""^cost\."",""""),
 ""\.[^.]+\.[^.]+$"",
 """"
)"),"tech.alchemists_hut.potion_of_mental_power")</f>
        <v>tech.alchemists_hut.potion_of_mental_power</v>
      </c>
      <c r="C1537" s="49" t="str">
        <f t="array" ref="C1537">_xlfn.XLOOKUP(
 B1537,
 tblTargets[TargetID],
 tblTargets[DisplayName],
 ""
)</f>
        <v>Alchemists Hut - Potion Of Mental Power</v>
      </c>
      <c r="D1537" s="49" t="str">
        <f t="array" ref="D1537">_xlfn.XLOOKUP(
 B1537,
 tblTargets[TargetID],
 tblTargets[TargetType],
 ""
)</f>
        <v>TECH</v>
      </c>
      <c r="E1537" s="49" t="s">
        <v>530</v>
      </c>
      <c r="F1537" s="49">
        <v>1.0</v>
      </c>
      <c r="G1537" s="49">
        <f t="array" ref="G1537">_xlfn.XLOOKUP(
 A1537,
 tblCost[RequirementID],
 tblCost[QuantityRequired],
 ""
)</f>
        <v>10</v>
      </c>
      <c r="H1537" s="49">
        <f t="array" ref="H1537">IF(
 OR(
  LEFT(B1537,15)="state.character",
  RIGHT(B1537,6)=".maxed"
 ),
 0,
 LET(
  sort,
   _xlfn.XLOOKUP(
    B1537,
    tblChecklist[TargetID],
    tblChecklist[PlayerSort],
    0
   ),
  IF(sort=0,500,sort)
 )
)</f>
        <v>500</v>
      </c>
      <c r="I1537" s="49" t="str">
        <f t="array" ref="I1537">_xlfn.XLOOKUP(
 B1537,
 tblTargetStatus[TargetID],
 tblTargetStatus[Status],
 ""
)</f>
        <v>BLOCKED</v>
      </c>
      <c r="J1537" s="45" t="b">
        <v>0</v>
      </c>
    </row>
    <row r="1538" ht="14.25" hidden="1" customHeight="1">
      <c r="A1538" s="49" t="s">
        <v>2836</v>
      </c>
      <c r="B1538" s="49" t="str">
        <f>IFERROR(__xludf.DUMMYFUNCTION("REGEXREPLACE(
 REGEXREPLACE(A1538,""^cost\."",""""),
 ""\.[^.]+\.[^.]+$"",
 """"
)"),"tech.alchemists_hut.potion_of_mental_power")</f>
        <v>tech.alchemists_hut.potion_of_mental_power</v>
      </c>
      <c r="C1538" s="49" t="str">
        <f t="array" ref="C1538">_xlfn.XLOOKUP(
 B1538,
 tblTargets[TargetID],
 tblTargets[DisplayName],
 ""
)</f>
        <v>Alchemists Hut - Potion Of Mental Power</v>
      </c>
      <c r="D1538" s="49" t="str">
        <f t="array" ref="D1538">_xlfn.XLOOKUP(
 B1538,
 tblTargets[TargetID],
 tblTargets[TargetType],
 ""
)</f>
        <v>TECH</v>
      </c>
      <c r="E1538" s="49" t="s">
        <v>508</v>
      </c>
      <c r="F1538" s="49">
        <v>1.0</v>
      </c>
      <c r="G1538" s="49">
        <f t="array" ref="G1538">_xlfn.XLOOKUP(
 A1538,
 tblCost[RequirementID],
 tblCost[QuantityRequired],
 ""
)</f>
        <v>10</v>
      </c>
      <c r="H1538" s="49">
        <f t="array" ref="H1538">IF(
 OR(
  LEFT(B1538,15)="state.character",
  RIGHT(B1538,6)=".maxed"
 ),
 0,
 LET(
  sort,
   _xlfn.XLOOKUP(
    B1538,
    tblChecklist[TargetID],
    tblChecklist[PlayerSort],
    0
   ),
  IF(sort=0,500,sort)
 )
)</f>
        <v>500</v>
      </c>
      <c r="I1538" s="49" t="str">
        <f t="array" ref="I1538">_xlfn.XLOOKUP(
 B1538,
 tblTargetStatus[TargetID],
 tblTargetStatus[Status],
 ""
)</f>
        <v>BLOCKED</v>
      </c>
      <c r="J1538" s="45" t="b">
        <v>0</v>
      </c>
    </row>
    <row r="1539" ht="14.25" hidden="1" customHeight="1">
      <c r="A1539" s="49" t="s">
        <v>2838</v>
      </c>
      <c r="B1539" s="49" t="str">
        <f>IFERROR(__xludf.DUMMYFUNCTION("REGEXREPLACE(
 REGEXREPLACE(A1539,""^cost\."",""""),
 ""\.[^.]+\.[^.]+$"",
 """"
)"),"tech.alchemists_hut.potion_of_mental_power")</f>
        <v>tech.alchemists_hut.potion_of_mental_power</v>
      </c>
      <c r="C1539" s="49" t="str">
        <f t="array" ref="C1539">_xlfn.XLOOKUP(
 B1539,
 tblTargets[TargetID],
 tblTargets[DisplayName],
 ""
)</f>
        <v>Alchemists Hut - Potion Of Mental Power</v>
      </c>
      <c r="D1539" s="49" t="str">
        <f t="array" ref="D1539">_xlfn.XLOOKUP(
 B1539,
 tblTargets[TargetID],
 tblTargets[TargetType],
 ""
)</f>
        <v>TECH</v>
      </c>
      <c r="E1539" s="49" t="s">
        <v>140</v>
      </c>
      <c r="F1539" s="49">
        <v>1.0</v>
      </c>
      <c r="G1539" s="49">
        <f t="array" ref="G1539">_xlfn.XLOOKUP(
 A1539,
 tblCost[RequirementID],
 tblCost[QuantityRequired],
 ""
)</f>
        <v>10</v>
      </c>
      <c r="H1539" s="49">
        <f t="array" ref="H1539">IF(
 OR(
  LEFT(B1539,15)="state.character",
  RIGHT(B1539,6)=".maxed"
 ),
 0,
 LET(
  sort,
   _xlfn.XLOOKUP(
    B1539,
    tblChecklist[TargetID],
    tblChecklist[PlayerSort],
    0
   ),
  IF(sort=0,500,sort)
 )
)</f>
        <v>500</v>
      </c>
      <c r="I1539" s="49" t="str">
        <f t="array" ref="I1539">_xlfn.XLOOKUP(
 B1539,
 tblTargetStatus[TargetID],
 tblTargetStatus[Status],
 ""
)</f>
        <v>BLOCKED</v>
      </c>
      <c r="J1539" s="45" t="b">
        <v>0</v>
      </c>
    </row>
    <row r="1540" ht="14.25" hidden="1" customHeight="1">
      <c r="A1540" s="49" t="s">
        <v>2840</v>
      </c>
      <c r="B1540" s="49" t="str">
        <f>IFERROR(__xludf.DUMMYFUNCTION("REGEXREPLACE(
 REGEXREPLACE(A1540,""^cost\."",""""),
 ""\.[^.]+\.[^.]+$"",
 """"
)"),"tech.alchemists_hut.potion_of_mental_power")</f>
        <v>tech.alchemists_hut.potion_of_mental_power</v>
      </c>
      <c r="C1540" s="49" t="str">
        <f t="array" ref="C1540">_xlfn.XLOOKUP(
 B1540,
 tblTargets[TargetID],
 tblTargets[DisplayName],
 ""
)</f>
        <v>Alchemists Hut - Potion Of Mental Power</v>
      </c>
      <c r="D1540" s="49" t="str">
        <f t="array" ref="D1540">_xlfn.XLOOKUP(
 B1540,
 tblTargets[TargetID],
 tblTargets[TargetType],
 ""
)</f>
        <v>TECH</v>
      </c>
      <c r="E1540" s="49" t="s">
        <v>6</v>
      </c>
      <c r="F1540" s="49">
        <v>1.0</v>
      </c>
      <c r="G1540" s="49">
        <f t="array" ref="G1540">_xlfn.XLOOKUP(
 A1540,
 tblCost[RequirementID],
 tblCost[QuantityRequired],
 ""
)</f>
        <v>1</v>
      </c>
      <c r="H1540" s="49">
        <f t="array" ref="H1540">IF(
 OR(
  LEFT(B1540,15)="state.character",
  RIGHT(B1540,6)=".maxed"
 ),
 0,
 LET(
  sort,
   _xlfn.XLOOKUP(
    B1540,
    tblChecklist[TargetID],
    tblChecklist[PlayerSort],
    0
   ),
  IF(sort=0,500,sort)
 )
)</f>
        <v>500</v>
      </c>
      <c r="I1540" s="49" t="str">
        <f t="array" ref="I1540">_xlfn.XLOOKUP(
 B1540,
 tblTargetStatus[TargetID],
 tblTargetStatus[Status],
 ""
)</f>
        <v>BLOCKED</v>
      </c>
      <c r="J1540" s="45" t="b">
        <v>0</v>
      </c>
    </row>
    <row r="1541" ht="14.25" hidden="1" customHeight="1">
      <c r="A1541" s="49" t="s">
        <v>2800</v>
      </c>
      <c r="B1541" s="49" t="str">
        <f>IFERROR(__xludf.DUMMYFUNCTION("REGEXREPLACE(
 REGEXREPLACE(A1541,""^cost\."",""""),
 ""\.[^.]+\.[^.]+$"",
 """"
)"),"tech.alchemists_hut.synthetic_fertilizer")</f>
        <v>tech.alchemists_hut.synthetic_fertilizer</v>
      </c>
      <c r="C1541" s="49" t="str">
        <f t="array" ref="C1541">_xlfn.XLOOKUP(
 B1541,
 tblTargets[TargetID],
 tblTargets[DisplayName],
 ""
)</f>
        <v>Alchemists Hut - Synthetic Fertilizer</v>
      </c>
      <c r="D1541" s="49" t="str">
        <f t="array" ref="D1541">_xlfn.XLOOKUP(
 B1541,
 tblTargets[TargetID],
 tblTargets[TargetType],
 ""
)</f>
        <v>TECH</v>
      </c>
      <c r="E1541" s="49" t="s">
        <v>1055</v>
      </c>
      <c r="F1541" s="49">
        <v>1.0</v>
      </c>
      <c r="G1541" s="49">
        <f t="array" ref="G1541">_xlfn.XLOOKUP(
 A1541,
 tblCost[RequirementID],
 tblCost[QuantityRequired],
 ""
)</f>
        <v>15</v>
      </c>
      <c r="H1541" s="49">
        <f t="array" ref="H1541">IF(
 OR(
  LEFT(B1541,15)="state.character",
  RIGHT(B1541,6)=".maxed"
 ),
 0,
 LET(
  sort,
   _xlfn.XLOOKUP(
    B1541,
    tblChecklist[TargetID],
    tblChecklist[PlayerSort],
    0
   ),
  IF(sort=0,500,sort)
 )
)</f>
        <v>500</v>
      </c>
      <c r="I1541" s="49" t="str">
        <f t="array" ref="I1541">_xlfn.XLOOKUP(
 B1541,
 tblTargetStatus[TargetID],
 tblTargetStatus[Status],
 ""
)</f>
        <v>BLOCKED</v>
      </c>
      <c r="J1541" s="45" t="b">
        <v>0</v>
      </c>
    </row>
    <row r="1542" ht="14.25" hidden="1" customHeight="1">
      <c r="A1542" s="49" t="s">
        <v>2802</v>
      </c>
      <c r="B1542" s="49" t="str">
        <f>IFERROR(__xludf.DUMMYFUNCTION("REGEXREPLACE(
 REGEXREPLACE(A1542,""^cost\."",""""),
 ""\.[^.]+\.[^.]+$"",
 """"
)"),"tech.alchemists_hut.synthetic_fertilizer")</f>
        <v>tech.alchemists_hut.synthetic_fertilizer</v>
      </c>
      <c r="C1542" s="49" t="str">
        <f t="array" ref="C1542">_xlfn.XLOOKUP(
 B1542,
 tblTargets[TargetID],
 tblTargets[DisplayName],
 ""
)</f>
        <v>Alchemists Hut - Synthetic Fertilizer</v>
      </c>
      <c r="D1542" s="49" t="str">
        <f t="array" ref="D1542">_xlfn.XLOOKUP(
 B1542,
 tblTargets[TargetID],
 tblTargets[TargetType],
 ""
)</f>
        <v>TECH</v>
      </c>
      <c r="E1542" s="49" t="s">
        <v>283</v>
      </c>
      <c r="F1542" s="49">
        <v>1.0</v>
      </c>
      <c r="G1542" s="49">
        <f t="array" ref="G1542">_xlfn.XLOOKUP(
 A1542,
 tblCost[RequirementID],
 tblCost[QuantityRequired],
 ""
)</f>
        <v>100</v>
      </c>
      <c r="H1542" s="49">
        <f t="array" ref="H1542">IF(
 OR(
  LEFT(B1542,15)="state.character",
  RIGHT(B1542,6)=".maxed"
 ),
 0,
 LET(
  sort,
   _xlfn.XLOOKUP(
    B1542,
    tblChecklist[TargetID],
    tblChecklist[PlayerSort],
    0
   ),
  IF(sort=0,500,sort)
 )
)</f>
        <v>500</v>
      </c>
      <c r="I1542" s="49" t="str">
        <f t="array" ref="I1542">_xlfn.XLOOKUP(
 B1542,
 tblTargetStatus[TargetID],
 tblTargetStatus[Status],
 ""
)</f>
        <v>BLOCKED</v>
      </c>
      <c r="J1542" s="45" t="b">
        <v>0</v>
      </c>
    </row>
    <row r="1543" ht="14.25" hidden="1" customHeight="1">
      <c r="A1543" s="49" t="s">
        <v>2804</v>
      </c>
      <c r="B1543" s="49" t="str">
        <f>IFERROR(__xludf.DUMMYFUNCTION("REGEXREPLACE(
 REGEXREPLACE(A1543,""^cost\."",""""),
 ""\.[^.]+\.[^.]+$"",
 """"
)"),"tech.alchemists_hut.synthetic_fertilizer")</f>
        <v>tech.alchemists_hut.synthetic_fertilizer</v>
      </c>
      <c r="C1543" s="49" t="str">
        <f t="array" ref="C1543">_xlfn.XLOOKUP(
 B1543,
 tblTargets[TargetID],
 tblTargets[DisplayName],
 ""
)</f>
        <v>Alchemists Hut - Synthetic Fertilizer</v>
      </c>
      <c r="D1543" s="49" t="str">
        <f t="array" ref="D1543">_xlfn.XLOOKUP(
 B1543,
 tblTargets[TargetID],
 tblTargets[TargetType],
 ""
)</f>
        <v>TECH</v>
      </c>
      <c r="E1543" s="49" t="s">
        <v>113</v>
      </c>
      <c r="F1543" s="49">
        <v>1.0</v>
      </c>
      <c r="G1543" s="49">
        <f t="array" ref="G1543">_xlfn.XLOOKUP(
 A1543,
 tblCost[RequirementID],
 tblCost[QuantityRequired],
 ""
)</f>
        <v>50</v>
      </c>
      <c r="H1543" s="49">
        <f t="array" ref="H1543">IF(
 OR(
  LEFT(B1543,15)="state.character",
  RIGHT(B1543,6)=".maxed"
 ),
 0,
 LET(
  sort,
   _xlfn.XLOOKUP(
    B1543,
    tblChecklist[TargetID],
    tblChecklist[PlayerSort],
    0
   ),
  IF(sort=0,500,sort)
 )
)</f>
        <v>500</v>
      </c>
      <c r="I1543" s="49" t="str">
        <f t="array" ref="I1543">_xlfn.XLOOKUP(
 B1543,
 tblTargetStatus[TargetID],
 tblTargetStatus[Status],
 ""
)</f>
        <v>BLOCKED</v>
      </c>
      <c r="J1543" s="45" t="b">
        <v>0</v>
      </c>
    </row>
    <row r="1544" ht="14.25" hidden="1" customHeight="1">
      <c r="A1544" s="49" t="s">
        <v>2806</v>
      </c>
      <c r="B1544" s="49" t="str">
        <f>IFERROR(__xludf.DUMMYFUNCTION("REGEXREPLACE(
 REGEXREPLACE(A1544,""^cost\."",""""),
 ""\.[^.]+\.[^.]+$"",
 """"
)"),"tech.alchemists_hut.synthetic_fertilizer")</f>
        <v>tech.alchemists_hut.synthetic_fertilizer</v>
      </c>
      <c r="C1544" s="49" t="str">
        <f t="array" ref="C1544">_xlfn.XLOOKUP(
 B1544,
 tblTargets[TargetID],
 tblTargets[DisplayName],
 ""
)</f>
        <v>Alchemists Hut - Synthetic Fertilizer</v>
      </c>
      <c r="D1544" s="49" t="str">
        <f t="array" ref="D1544">_xlfn.XLOOKUP(
 B1544,
 tblTargets[TargetID],
 tblTargets[TargetType],
 ""
)</f>
        <v>TECH</v>
      </c>
      <c r="E1544" s="49" t="s">
        <v>119</v>
      </c>
      <c r="F1544" s="49">
        <v>1.0</v>
      </c>
      <c r="G1544" s="49">
        <f t="array" ref="G1544">_xlfn.XLOOKUP(
 A1544,
 tblCost[RequirementID],
 tblCost[QuantityRequired],
 ""
)</f>
        <v>300</v>
      </c>
      <c r="H1544" s="49">
        <f t="array" ref="H1544">IF(
 OR(
  LEFT(B1544,15)="state.character",
  RIGHT(B1544,6)=".maxed"
 ),
 0,
 LET(
  sort,
   _xlfn.XLOOKUP(
    B1544,
    tblChecklist[TargetID],
    tblChecklist[PlayerSort],
    0
   ),
  IF(sort=0,500,sort)
 )
)</f>
        <v>500</v>
      </c>
      <c r="I1544" s="49" t="str">
        <f t="array" ref="I1544">_xlfn.XLOOKUP(
 B1544,
 tblTargetStatus[TargetID],
 tblTargetStatus[Status],
 ""
)</f>
        <v>BLOCKED</v>
      </c>
      <c r="J1544" s="45" t="b">
        <v>0</v>
      </c>
    </row>
    <row r="1545" ht="14.25" hidden="1" customHeight="1">
      <c r="A1545" s="49" t="s">
        <v>2808</v>
      </c>
      <c r="B1545" s="49" t="str">
        <f>IFERROR(__xludf.DUMMYFUNCTION("REGEXREPLACE(
 REGEXREPLACE(A1545,""^cost\."",""""),
 ""\.[^.]+\.[^.]+$"",
 """"
)"),"tech.alchemists_hut.synthetic_fertilizer")</f>
        <v>tech.alchemists_hut.synthetic_fertilizer</v>
      </c>
      <c r="C1545" s="49" t="str">
        <f t="array" ref="C1545">_xlfn.XLOOKUP(
 B1545,
 tblTargets[TargetID],
 tblTargets[DisplayName],
 ""
)</f>
        <v>Alchemists Hut - Synthetic Fertilizer</v>
      </c>
      <c r="D1545" s="49" t="str">
        <f t="array" ref="D1545">_xlfn.XLOOKUP(
 B1545,
 tblTargets[TargetID],
 tblTargets[TargetType],
 ""
)</f>
        <v>TECH</v>
      </c>
      <c r="E1545" s="49" t="s">
        <v>140</v>
      </c>
      <c r="F1545" s="49">
        <v>1.0</v>
      </c>
      <c r="G1545" s="49">
        <f t="array" ref="G1545">_xlfn.XLOOKUP(
 A1545,
 tblCost[RequirementID],
 tblCost[QuantityRequired],
 ""
)</f>
        <v>10</v>
      </c>
      <c r="H1545" s="49">
        <f t="array" ref="H1545">IF(
 OR(
  LEFT(B1545,15)="state.character",
  RIGHT(B1545,6)=".maxed"
 ),
 0,
 LET(
  sort,
   _xlfn.XLOOKUP(
    B1545,
    tblChecklist[TargetID],
    tblChecklist[PlayerSort],
    0
   ),
  IF(sort=0,500,sort)
 )
)</f>
        <v>500</v>
      </c>
      <c r="I1545" s="49" t="str">
        <f t="array" ref="I1545">_xlfn.XLOOKUP(
 B1545,
 tblTargetStatus[TargetID],
 tblTargetStatus[Status],
 ""
)</f>
        <v>BLOCKED</v>
      </c>
      <c r="J1545" s="45" t="b">
        <v>0</v>
      </c>
    </row>
    <row r="1546" ht="14.25" hidden="1" customHeight="1">
      <c r="A1546" s="49" t="s">
        <v>2810</v>
      </c>
      <c r="B1546" s="49" t="str">
        <f>IFERROR(__xludf.DUMMYFUNCTION("REGEXREPLACE(
 REGEXREPLACE(A1546,""^cost\."",""""),
 ""\.[^.]+\.[^.]+$"",
 """"
)"),"tech.alchemists_hut.synthetic_fertilizer")</f>
        <v>tech.alchemists_hut.synthetic_fertilizer</v>
      </c>
      <c r="C1546" s="49" t="str">
        <f t="array" ref="C1546">_xlfn.XLOOKUP(
 B1546,
 tblTargets[TargetID],
 tblTargets[DisplayName],
 ""
)</f>
        <v>Alchemists Hut - Synthetic Fertilizer</v>
      </c>
      <c r="D1546" s="49" t="str">
        <f t="array" ref="D1546">_xlfn.XLOOKUP(
 B1546,
 tblTargets[TargetID],
 tblTargets[TargetType],
 ""
)</f>
        <v>TECH</v>
      </c>
      <c r="E1546" s="49" t="s">
        <v>6</v>
      </c>
      <c r="F1546" s="49">
        <v>1.0</v>
      </c>
      <c r="G1546" s="49">
        <f t="array" ref="G1546">_xlfn.XLOOKUP(
 A1546,
 tblCost[RequirementID],
 tblCost[QuantityRequired],
 ""
)</f>
        <v>1</v>
      </c>
      <c r="H1546" s="49">
        <f t="array" ref="H1546">IF(
 OR(
  LEFT(B1546,15)="state.character",
  RIGHT(B1546,6)=".maxed"
 ),
 0,
 LET(
  sort,
   _xlfn.XLOOKUP(
    B1546,
    tblChecklist[TargetID],
    tblChecklist[PlayerSort],
    0
   ),
  IF(sort=0,500,sort)
 )
)</f>
        <v>500</v>
      </c>
      <c r="I1546" s="49" t="str">
        <f t="array" ref="I1546">_xlfn.XLOOKUP(
 B1546,
 tblTargetStatus[TargetID],
 tblTargetStatus[Status],
 ""
)</f>
        <v>BLOCKED</v>
      </c>
      <c r="J1546" s="45" t="b">
        <v>0</v>
      </c>
    </row>
    <row r="1547" ht="14.25" hidden="1" customHeight="1">
      <c r="A1547" s="49" t="s">
        <v>3027</v>
      </c>
      <c r="B1547" s="49" t="str">
        <f>IFERROR(__xludf.DUMMYFUNCTION("REGEXREPLACE(
 REGEXREPLACE(A1547,""^cost\."",""""),
 ""\.[^.]+\.[^.]+$"",
 """"
)"),"tech.bridge.koi_fish")</f>
        <v>tech.bridge.koi_fish</v>
      </c>
      <c r="C1547" s="49" t="str">
        <f t="array" ref="C1547">_xlfn.XLOOKUP(
 B1547,
 tblTargets[TargetID],
 tblTargets[DisplayName],
 ""
)</f>
        <v>Bridge - Koi Fish</v>
      </c>
      <c r="D1547" s="49" t="str">
        <f t="array" ref="D1547">_xlfn.XLOOKUP(
 B1547,
 tblTargets[TargetID],
 tblTargets[TargetType],
 ""
)</f>
        <v>TECH</v>
      </c>
      <c r="E1547" s="49" t="s">
        <v>412</v>
      </c>
      <c r="F1547" s="49">
        <v>1.0</v>
      </c>
      <c r="G1547" s="49">
        <f t="array" ref="G1547">_xlfn.XLOOKUP(
 A1547,
 tblCost[RequirementID],
 tblCost[QuantityRequired],
 ""
)</f>
        <v>20</v>
      </c>
      <c r="H1547" s="49">
        <f t="array" ref="H1547">IF(
 OR(
  LEFT(B1547,15)="state.character",
  RIGHT(B1547,6)=".maxed"
 ),
 0,
 LET(
  sort,
   _xlfn.XLOOKUP(
    B1547,
    tblChecklist[TargetID],
    tblChecklist[PlayerSort],
    0
   ),
  IF(sort=0,500,sort)
 )
)</f>
        <v>500</v>
      </c>
      <c r="I1547" s="49" t="str">
        <f t="array" ref="I1547">_xlfn.XLOOKUP(
 B1547,
 tblTargetStatus[TargetID],
 tblTargetStatus[Status],
 ""
)</f>
        <v>BLOCKED</v>
      </c>
      <c r="J1547" s="45" t="b">
        <v>0</v>
      </c>
    </row>
    <row r="1548" ht="14.25" hidden="1" customHeight="1">
      <c r="A1548" s="49" t="s">
        <v>3029</v>
      </c>
      <c r="B1548" s="49" t="str">
        <f>IFERROR(__xludf.DUMMYFUNCTION("REGEXREPLACE(
 REGEXREPLACE(A1548,""^cost\."",""""),
 ""\.[^.]+\.[^.]+$"",
 """"
)"),"tech.bridge.koi_fish")</f>
        <v>tech.bridge.koi_fish</v>
      </c>
      <c r="C1548" s="49" t="str">
        <f t="array" ref="C1548">_xlfn.XLOOKUP(
 B1548,
 tblTargets[TargetID],
 tblTargets[DisplayName],
 ""
)</f>
        <v>Bridge - Koi Fish</v>
      </c>
      <c r="D1548" s="49" t="str">
        <f t="array" ref="D1548">_xlfn.XLOOKUP(
 B1548,
 tblTargets[TargetID],
 tblTargets[TargetType],
 ""
)</f>
        <v>TECH</v>
      </c>
      <c r="E1548" s="49" t="s">
        <v>423</v>
      </c>
      <c r="F1548" s="49">
        <v>1.0</v>
      </c>
      <c r="G1548" s="49">
        <f t="array" ref="G1548">_xlfn.XLOOKUP(
 A1548,
 tblCost[RequirementID],
 tblCost[QuantityRequired],
 ""
)</f>
        <v>20</v>
      </c>
      <c r="H1548" s="49">
        <f t="array" ref="H1548">IF(
 OR(
  LEFT(B1548,15)="state.character",
  RIGHT(B1548,6)=".maxed"
 ),
 0,
 LET(
  sort,
   _xlfn.XLOOKUP(
    B1548,
    tblChecklist[TargetID],
    tblChecklist[PlayerSort],
    0
   ),
  IF(sort=0,500,sort)
 )
)</f>
        <v>500</v>
      </c>
      <c r="I1548" s="49" t="str">
        <f t="array" ref="I1548">_xlfn.XLOOKUP(
 B1548,
 tblTargetStatus[TargetID],
 tblTargetStatus[Status],
 ""
)</f>
        <v>BLOCKED</v>
      </c>
      <c r="J1548" s="45" t="b">
        <v>0</v>
      </c>
    </row>
    <row r="1549" ht="14.25" hidden="1" customHeight="1">
      <c r="A1549" s="49" t="s">
        <v>3031</v>
      </c>
      <c r="B1549" s="49" t="str">
        <f>IFERROR(__xludf.DUMMYFUNCTION("REGEXREPLACE(
 REGEXREPLACE(A1549,""^cost\."",""""),
 ""\.[^.]+\.[^.]+$"",
 """"
)"),"tech.bridge.koi_fish")</f>
        <v>tech.bridge.koi_fish</v>
      </c>
      <c r="C1549" s="49" t="str">
        <f t="array" ref="C1549">_xlfn.XLOOKUP(
 B1549,
 tblTargets[TargetID],
 tblTargets[DisplayName],
 ""
)</f>
        <v>Bridge - Koi Fish</v>
      </c>
      <c r="D1549" s="49" t="str">
        <f t="array" ref="D1549">_xlfn.XLOOKUP(
 B1549,
 tblTargets[TargetID],
 tblTargets[TargetType],
 ""
)</f>
        <v>TECH</v>
      </c>
      <c r="E1549" s="49" t="s">
        <v>6</v>
      </c>
      <c r="F1549" s="49">
        <v>1.0</v>
      </c>
      <c r="G1549" s="49">
        <f t="array" ref="G1549">_xlfn.XLOOKUP(
 A1549,
 tblCost[RequirementID],
 tblCost[QuantityRequired],
 ""
)</f>
        <v>20</v>
      </c>
      <c r="H1549" s="49">
        <f t="array" ref="H1549">IF(
 OR(
  LEFT(B1549,15)="state.character",
  RIGHT(B1549,6)=".maxed"
 ),
 0,
 LET(
  sort,
   _xlfn.XLOOKUP(
    B1549,
    tblChecklist[TargetID],
    tblChecklist[PlayerSort],
    0
   ),
  IF(sort=0,500,sort)
 )
)</f>
        <v>500</v>
      </c>
      <c r="I1549" s="49" t="str">
        <f t="array" ref="I1549">_xlfn.XLOOKUP(
 B1549,
 tblTargetStatus[TargetID],
 tblTargetStatus[Status],
 ""
)</f>
        <v>BLOCKED</v>
      </c>
      <c r="J1549" s="45" t="b">
        <v>0</v>
      </c>
    </row>
    <row r="1550" ht="14.25" hidden="1" customHeight="1">
      <c r="A1550" s="49" t="s">
        <v>3033</v>
      </c>
      <c r="B1550" s="49" t="str">
        <f>IFERROR(__xludf.DUMMYFUNCTION("REGEXREPLACE(
 REGEXREPLACE(A1550,""^cost\."",""""),
 ""\.[^.]+\.[^.]+$"",
 """"
)"),"tech.bridge.koi_fish")</f>
        <v>tech.bridge.koi_fish</v>
      </c>
      <c r="C1550" s="49" t="str">
        <f t="array" ref="C1550">_xlfn.XLOOKUP(
 B1550,
 tblTargets[TargetID],
 tblTargets[DisplayName],
 ""
)</f>
        <v>Bridge - Koi Fish</v>
      </c>
      <c r="D1550" s="49" t="str">
        <f t="array" ref="D1550">_xlfn.XLOOKUP(
 B1550,
 tblTargets[TargetID],
 tblTargets[TargetType],
 ""
)</f>
        <v>TECH</v>
      </c>
      <c r="E1550" s="49" t="s">
        <v>2714</v>
      </c>
      <c r="F1550" s="49">
        <v>1.0</v>
      </c>
      <c r="G1550" s="49">
        <f t="array" ref="G1550">_xlfn.XLOOKUP(
 A1550,
 tblCost[RequirementID],
 tblCost[QuantityRequired],
 ""
)</f>
        <v>20</v>
      </c>
      <c r="H1550" s="49">
        <f t="array" ref="H1550">IF(
 OR(
  LEFT(B1550,15)="state.character",
  RIGHT(B1550,6)=".maxed"
 ),
 0,
 LET(
  sort,
   _xlfn.XLOOKUP(
    B1550,
    tblChecklist[TargetID],
    tblChecklist[PlayerSort],
    0
   ),
  IF(sort=0,500,sort)
 )
)</f>
        <v>500</v>
      </c>
      <c r="I1550" s="49" t="str">
        <f t="array" ref="I1550">_xlfn.XLOOKUP(
 B1550,
 tblTargetStatus[TargetID],
 tblTargetStatus[Status],
 ""
)</f>
        <v>BLOCKED</v>
      </c>
      <c r="J1550" s="45" t="b">
        <v>0</v>
      </c>
    </row>
    <row r="1551" ht="14.25" hidden="1" customHeight="1">
      <c r="A1551" s="49" t="s">
        <v>3036</v>
      </c>
      <c r="B1551" s="49" t="str">
        <f>IFERROR(__xludf.DUMMYFUNCTION("REGEXREPLACE(
 REGEXREPLACE(A1551,""^cost\."",""""),
 ""\.[^.]+\.[^.]+$"",
 """"
)"),"tech.bridge.koi_fish")</f>
        <v>tech.bridge.koi_fish</v>
      </c>
      <c r="C1551" s="49" t="str">
        <f t="array" ref="C1551">_xlfn.XLOOKUP(
 B1551,
 tblTargets[TargetID],
 tblTargets[DisplayName],
 ""
)</f>
        <v>Bridge - Koi Fish</v>
      </c>
      <c r="D1551" s="49" t="str">
        <f t="array" ref="D1551">_xlfn.XLOOKUP(
 B1551,
 tblTargets[TargetID],
 tblTargets[TargetType],
 ""
)</f>
        <v>TECH</v>
      </c>
      <c r="E1551" s="49" t="s">
        <v>2719</v>
      </c>
      <c r="F1551" s="49">
        <v>1.0</v>
      </c>
      <c r="G1551" s="49">
        <f t="array" ref="G1551">_xlfn.XLOOKUP(
 A1551,
 tblCost[RequirementID],
 tblCost[QuantityRequired],
 ""
)</f>
        <v>20</v>
      </c>
      <c r="H1551" s="49">
        <f t="array" ref="H1551">IF(
 OR(
  LEFT(B1551,15)="state.character",
  RIGHT(B1551,6)=".maxed"
 ),
 0,
 LET(
  sort,
   _xlfn.XLOOKUP(
    B1551,
    tblChecklist[TargetID],
    tblChecklist[PlayerSort],
    0
   ),
  IF(sort=0,500,sort)
 )
)</f>
        <v>500</v>
      </c>
      <c r="I1551" s="49" t="str">
        <f t="array" ref="I1551">_xlfn.XLOOKUP(
 B1551,
 tblTargetStatus[TargetID],
 tblTargetStatus[Status],
 ""
)</f>
        <v>BLOCKED</v>
      </c>
      <c r="J1551" s="45" t="b">
        <v>0</v>
      </c>
    </row>
    <row r="1552" ht="14.25" hidden="1" customHeight="1">
      <c r="A1552" s="49" t="s">
        <v>3038</v>
      </c>
      <c r="B1552" s="49" t="str">
        <f>IFERROR(__xludf.DUMMYFUNCTION("REGEXREPLACE(
 REGEXREPLACE(A1552,""^cost\."",""""),
 ""\.[^.]+\.[^.]+$"",
 """"
)"),"tech.bridge.koi_fish")</f>
        <v>tech.bridge.koi_fish</v>
      </c>
      <c r="C1552" s="49" t="str">
        <f t="array" ref="C1552">_xlfn.XLOOKUP(
 B1552,
 tblTargets[TargetID],
 tblTargets[DisplayName],
 ""
)</f>
        <v>Bridge - Koi Fish</v>
      </c>
      <c r="D1552" s="49" t="str">
        <f t="array" ref="D1552">_xlfn.XLOOKUP(
 B1552,
 tblTargets[TargetID],
 tblTargets[TargetType],
 ""
)</f>
        <v>TECH</v>
      </c>
      <c r="E1552" s="49" t="s">
        <v>461</v>
      </c>
      <c r="F1552" s="49">
        <v>1.0</v>
      </c>
      <c r="G1552" s="49">
        <f t="array" ref="G1552">_xlfn.XLOOKUP(
 A1552,
 tblCost[RequirementID],
 tblCost[QuantityRequired],
 ""
)</f>
        <v>20</v>
      </c>
      <c r="H1552" s="49">
        <f t="array" ref="H1552">IF(
 OR(
  LEFT(B1552,15)="state.character",
  RIGHT(B1552,6)=".maxed"
 ),
 0,
 LET(
  sort,
   _xlfn.XLOOKUP(
    B1552,
    tblChecklist[TargetID],
    tblChecklist[PlayerSort],
    0
   ),
  IF(sort=0,500,sort)
 )
)</f>
        <v>500</v>
      </c>
      <c r="I1552" s="49" t="str">
        <f t="array" ref="I1552">_xlfn.XLOOKUP(
 B1552,
 tblTargetStatus[TargetID],
 tblTargetStatus[Status],
 ""
)</f>
        <v>BLOCKED</v>
      </c>
      <c r="J1552" s="45" t="b">
        <v>0</v>
      </c>
    </row>
    <row r="1553" ht="14.25" hidden="1" customHeight="1">
      <c r="A1553" s="49" t="s">
        <v>3041</v>
      </c>
      <c r="B1553" s="49" t="str">
        <f>IFERROR(__xludf.DUMMYFUNCTION("REGEXREPLACE(
 REGEXREPLACE(A1553,""^cost\."",""""),
 ""\.[^.]+\.[^.]+$"",
 """"
)"),"tech.bridge.salmon_farming")</f>
        <v>tech.bridge.salmon_farming</v>
      </c>
      <c r="C1553" s="49" t="str">
        <f t="array" ref="C1553">_xlfn.XLOOKUP(
 B1553,
 tblTargets[TargetID],
 tblTargets[DisplayName],
 ""
)</f>
        <v>Bridge - Salmon Farming</v>
      </c>
      <c r="D1553" s="49" t="str">
        <f t="array" ref="D1553">_xlfn.XLOOKUP(
 B1553,
 tblTargets[TargetID],
 tblTargets[TargetType],
 ""
)</f>
        <v>TECH</v>
      </c>
      <c r="E1553" s="49" t="s">
        <v>1055</v>
      </c>
      <c r="F1553" s="49">
        <v>1.0</v>
      </c>
      <c r="G1553" s="49">
        <f t="array" ref="G1553">_xlfn.XLOOKUP(
 A1553,
 tblCost[RequirementID],
 tblCost[QuantityRequired],
 ""
)</f>
        <v>20</v>
      </c>
      <c r="H1553" s="49">
        <f t="array" ref="H1553">IF(
 OR(
  LEFT(B1553,15)="state.character",
  RIGHT(B1553,6)=".maxed"
 ),
 0,
 LET(
  sort,
   _xlfn.XLOOKUP(
    B1553,
    tblChecklist[TargetID],
    tblChecklist[PlayerSort],
    0
   ),
  IF(sort=0,500,sort)
 )
)</f>
        <v>500</v>
      </c>
      <c r="I1553" s="49" t="str">
        <f t="array" ref="I1553">_xlfn.XLOOKUP(
 B1553,
 tblTargetStatus[TargetID],
 tblTargetStatus[Status],
 ""
)</f>
        <v>BLOCKED</v>
      </c>
      <c r="J1553" s="45" t="b">
        <v>0</v>
      </c>
    </row>
    <row r="1554" ht="14.25" hidden="1" customHeight="1">
      <c r="A1554" s="49" t="s">
        <v>3044</v>
      </c>
      <c r="B1554" s="49" t="str">
        <f>IFERROR(__xludf.DUMMYFUNCTION("REGEXREPLACE(
 REGEXREPLACE(A1554,""^cost\."",""""),
 ""\.[^.]+\.[^.]+$"",
 """"
)"),"tech.bridge.salmon_farming")</f>
        <v>tech.bridge.salmon_farming</v>
      </c>
      <c r="C1554" s="49" t="str">
        <f t="array" ref="C1554">_xlfn.XLOOKUP(
 B1554,
 tblTargets[TargetID],
 tblTargets[DisplayName],
 ""
)</f>
        <v>Bridge - Salmon Farming</v>
      </c>
      <c r="D1554" s="49" t="str">
        <f t="array" ref="D1554">_xlfn.XLOOKUP(
 B1554,
 tblTargets[TargetID],
 tblTargets[TargetType],
 ""
)</f>
        <v>TECH</v>
      </c>
      <c r="E1554" s="49" t="s">
        <v>2709</v>
      </c>
      <c r="F1554" s="49">
        <v>1.0</v>
      </c>
      <c r="G1554" s="49">
        <f t="array" ref="G1554">_xlfn.XLOOKUP(
 A1554,
 tblCost[RequirementID],
 tblCost[QuantityRequired],
 ""
)</f>
        <v>40</v>
      </c>
      <c r="H1554" s="49">
        <f t="array" ref="H1554">IF(
 OR(
  LEFT(B1554,15)="state.character",
  RIGHT(B1554,6)=".maxed"
 ),
 0,
 LET(
  sort,
   _xlfn.XLOOKUP(
    B1554,
    tblChecklist[TargetID],
    tblChecklist[PlayerSort],
    0
   ),
  IF(sort=0,500,sort)
 )
)</f>
        <v>500</v>
      </c>
      <c r="I1554" s="49" t="str">
        <f t="array" ref="I1554">_xlfn.XLOOKUP(
 B1554,
 tblTargetStatus[TargetID],
 tblTargetStatus[Status],
 ""
)</f>
        <v>BLOCKED</v>
      </c>
      <c r="J1554" s="45" t="b">
        <v>0</v>
      </c>
    </row>
    <row r="1555" ht="14.25" hidden="1" customHeight="1">
      <c r="A1555" s="49" t="s">
        <v>3046</v>
      </c>
      <c r="B1555" s="49" t="str">
        <f>IFERROR(__xludf.DUMMYFUNCTION("REGEXREPLACE(
 REGEXREPLACE(A1555,""^cost\."",""""),
 ""\.[^.]+\.[^.]+$"",
 """"
)"),"tech.bridge.salmon_farming")</f>
        <v>tech.bridge.salmon_farming</v>
      </c>
      <c r="C1555" s="49" t="str">
        <f t="array" ref="C1555">_xlfn.XLOOKUP(
 B1555,
 tblTargets[TargetID],
 tblTargets[DisplayName],
 ""
)</f>
        <v>Bridge - Salmon Farming</v>
      </c>
      <c r="D1555" s="49" t="str">
        <f t="array" ref="D1555">_xlfn.XLOOKUP(
 B1555,
 tblTargets[TargetID],
 tblTargets[TargetType],
 ""
)</f>
        <v>TECH</v>
      </c>
      <c r="E1555" s="49" t="s">
        <v>360</v>
      </c>
      <c r="F1555" s="49">
        <v>1.0</v>
      </c>
      <c r="G1555" s="49">
        <f t="array" ref="G1555">_xlfn.XLOOKUP(
 A1555,
 tblCost[RequirementID],
 tblCost[QuantityRequired],
 ""
)</f>
        <v>20</v>
      </c>
      <c r="H1555" s="49">
        <f t="array" ref="H1555">IF(
 OR(
  LEFT(B1555,15)="state.character",
  RIGHT(B1555,6)=".maxed"
 ),
 0,
 LET(
  sort,
   _xlfn.XLOOKUP(
    B1555,
    tblChecklist[TargetID],
    tblChecklist[PlayerSort],
    0
   ),
  IF(sort=0,500,sort)
 )
)</f>
        <v>500</v>
      </c>
      <c r="I1555" s="49" t="str">
        <f t="array" ref="I1555">_xlfn.XLOOKUP(
 B1555,
 tblTargetStatus[TargetID],
 tblTargetStatus[Status],
 ""
)</f>
        <v>BLOCKED</v>
      </c>
      <c r="J1555" s="45" t="b">
        <v>0</v>
      </c>
    </row>
    <row r="1556" ht="14.25" hidden="1" customHeight="1">
      <c r="A1556" s="49" t="s">
        <v>3047</v>
      </c>
      <c r="B1556" s="49" t="str">
        <f>IFERROR(__xludf.DUMMYFUNCTION("REGEXREPLACE(
 REGEXREPLACE(A1556,""^cost\."",""""),
 ""\.[^.]+\.[^.]+$"",
 """"
)"),"tech.bridge.salmon_farming")</f>
        <v>tech.bridge.salmon_farming</v>
      </c>
      <c r="C1556" s="49" t="str">
        <f t="array" ref="C1556">_xlfn.XLOOKUP(
 B1556,
 tblTargets[TargetID],
 tblTargets[DisplayName],
 ""
)</f>
        <v>Bridge - Salmon Farming</v>
      </c>
      <c r="D1556" s="49" t="str">
        <f t="array" ref="D1556">_xlfn.XLOOKUP(
 B1556,
 tblTargets[TargetID],
 tblTargets[TargetType],
 ""
)</f>
        <v>TECH</v>
      </c>
      <c r="E1556" s="49" t="s">
        <v>3049</v>
      </c>
      <c r="F1556" s="49">
        <v>1.0</v>
      </c>
      <c r="G1556" s="49">
        <f t="array" ref="G1556">_xlfn.XLOOKUP(
 A1556,
 tblCost[RequirementID],
 tblCost[QuantityRequired],
 ""
)</f>
        <v>10</v>
      </c>
      <c r="H1556" s="49">
        <f t="array" ref="H1556">IF(
 OR(
  LEFT(B1556,15)="state.character",
  RIGHT(B1556,6)=".maxed"
 ),
 0,
 LET(
  sort,
   _xlfn.XLOOKUP(
    B1556,
    tblChecklist[TargetID],
    tblChecklist[PlayerSort],
    0
   ),
  IF(sort=0,500,sort)
 )
)</f>
        <v>500</v>
      </c>
      <c r="I1556" s="49" t="str">
        <f t="array" ref="I1556">_xlfn.XLOOKUP(
 B1556,
 tblTargetStatus[TargetID],
 tblTargetStatus[Status],
 ""
)</f>
        <v>BLOCKED</v>
      </c>
      <c r="J1556" s="45" t="b">
        <v>0</v>
      </c>
    </row>
    <row r="1557" ht="14.25" hidden="1" customHeight="1">
      <c r="A1557" s="49" t="s">
        <v>3050</v>
      </c>
      <c r="B1557" s="49" t="str">
        <f>IFERROR(__xludf.DUMMYFUNCTION("REGEXREPLACE(
 REGEXREPLACE(A1557,""^cost\."",""""),
 ""\.[^.]+\.[^.]+$"",
 """"
)"),"tech.bridge.salmon_farming")</f>
        <v>tech.bridge.salmon_farming</v>
      </c>
      <c r="C1557" s="49" t="str">
        <f t="array" ref="C1557">_xlfn.XLOOKUP(
 B1557,
 tblTargets[TargetID],
 tblTargets[DisplayName],
 ""
)</f>
        <v>Bridge - Salmon Farming</v>
      </c>
      <c r="D1557" s="49" t="str">
        <f t="array" ref="D1557">_xlfn.XLOOKUP(
 B1557,
 tblTargets[TargetID],
 tblTargets[TargetType],
 ""
)</f>
        <v>TECH</v>
      </c>
      <c r="E1557" s="49" t="s">
        <v>6</v>
      </c>
      <c r="F1557" s="49">
        <v>1.0</v>
      </c>
      <c r="G1557" s="49">
        <f t="array" ref="G1557">_xlfn.XLOOKUP(
 A1557,
 tblCost[RequirementID],
 tblCost[QuantityRequired],
 ""
)</f>
        <v>15</v>
      </c>
      <c r="H1557" s="49">
        <f t="array" ref="H1557">IF(
 OR(
  LEFT(B1557,15)="state.character",
  RIGHT(B1557,6)=".maxed"
 ),
 0,
 LET(
  sort,
   _xlfn.XLOOKUP(
    B1557,
    tblChecklist[TargetID],
    tblChecklist[PlayerSort],
    0
   ),
  IF(sort=0,500,sort)
 )
)</f>
        <v>500</v>
      </c>
      <c r="I1557" s="49" t="str">
        <f t="array" ref="I1557">_xlfn.XLOOKUP(
 B1557,
 tblTargetStatus[TargetID],
 tblTargetStatus[Status],
 ""
)</f>
        <v>BLOCKED</v>
      </c>
      <c r="J1557" s="45" t="b">
        <v>0</v>
      </c>
    </row>
    <row r="1558" ht="14.25" hidden="1" customHeight="1">
      <c r="A1558" s="49" t="s">
        <v>3052</v>
      </c>
      <c r="B1558" s="49" t="str">
        <f>IFERROR(__xludf.DUMMYFUNCTION("REGEXREPLACE(
 REGEXREPLACE(A1558,""^cost\."",""""),
 ""\.[^.]+\.[^.]+$"",
 """"
)"),"tech.bridge.salmon_farming")</f>
        <v>tech.bridge.salmon_farming</v>
      </c>
      <c r="C1558" s="49" t="str">
        <f t="array" ref="C1558">_xlfn.XLOOKUP(
 B1558,
 tblTargets[TargetID],
 tblTargets[DisplayName],
 ""
)</f>
        <v>Bridge - Salmon Farming</v>
      </c>
      <c r="D1558" s="49" t="str">
        <f t="array" ref="D1558">_xlfn.XLOOKUP(
 B1558,
 tblTargets[TargetID],
 tblTargets[TargetType],
 ""
)</f>
        <v>TECH</v>
      </c>
      <c r="E1558" s="49" t="s">
        <v>2714</v>
      </c>
      <c r="F1558" s="49">
        <v>1.0</v>
      </c>
      <c r="G1558" s="49">
        <f t="array" ref="G1558">_xlfn.XLOOKUP(
 A1558,
 tblCost[RequirementID],
 tblCost[QuantityRequired],
 ""
)</f>
        <v>20</v>
      </c>
      <c r="H1558" s="49">
        <f t="array" ref="H1558">IF(
 OR(
  LEFT(B1558,15)="state.character",
  RIGHT(B1558,6)=".maxed"
 ),
 0,
 LET(
  sort,
   _xlfn.XLOOKUP(
    B1558,
    tblChecklist[TargetID],
    tblChecklist[PlayerSort],
    0
   ),
  IF(sort=0,500,sort)
 )
)</f>
        <v>500</v>
      </c>
      <c r="I1558" s="49" t="str">
        <f t="array" ref="I1558">_xlfn.XLOOKUP(
 B1558,
 tblTargetStatus[TargetID],
 tblTargetStatus[Status],
 ""
)</f>
        <v>BLOCKED</v>
      </c>
      <c r="J1558" s="45" t="b">
        <v>0</v>
      </c>
    </row>
    <row r="1559" ht="14.25" hidden="1" customHeight="1">
      <c r="A1559" s="49" t="s">
        <v>3054</v>
      </c>
      <c r="B1559" s="49" t="str">
        <f>IFERROR(__xludf.DUMMYFUNCTION("REGEXREPLACE(
 REGEXREPLACE(A1559,""^cost\."",""""),
 ""\.[^.]+\.[^.]+$"",
 """"
)"),"tech.bridge.salmon_farming")</f>
        <v>tech.bridge.salmon_farming</v>
      </c>
      <c r="C1559" s="49" t="str">
        <f t="array" ref="C1559">_xlfn.XLOOKUP(
 B1559,
 tblTargets[TargetID],
 tblTargets[DisplayName],
 ""
)</f>
        <v>Bridge - Salmon Farming</v>
      </c>
      <c r="D1559" s="49" t="str">
        <f t="array" ref="D1559">_xlfn.XLOOKUP(
 B1559,
 tblTargets[TargetID],
 tblTargets[TargetType],
 ""
)</f>
        <v>TECH</v>
      </c>
      <c r="E1559" s="49" t="s">
        <v>237</v>
      </c>
      <c r="F1559" s="49">
        <v>1.0</v>
      </c>
      <c r="G1559" s="49">
        <f t="array" ref="G1559">_xlfn.XLOOKUP(
 A1559,
 tblCost[RequirementID],
 tblCost[QuantityRequired],
 ""
)</f>
        <v>400</v>
      </c>
      <c r="H1559" s="49">
        <f t="array" ref="H1559">IF(
 OR(
  LEFT(B1559,15)="state.character",
  RIGHT(B1559,6)=".maxed"
 ),
 0,
 LET(
  sort,
   _xlfn.XLOOKUP(
    B1559,
    tblChecklist[TargetID],
    tblChecklist[PlayerSort],
    0
   ),
  IF(sort=0,500,sort)
 )
)</f>
        <v>500</v>
      </c>
      <c r="I1559" s="49" t="str">
        <f t="array" ref="I1559">_xlfn.XLOOKUP(
 B1559,
 tblTargetStatus[TargetID],
 tblTargetStatus[Status],
 ""
)</f>
        <v>BLOCKED</v>
      </c>
      <c r="J1559" s="45" t="b">
        <v>0</v>
      </c>
    </row>
    <row r="1560" ht="14.25" hidden="1" customHeight="1">
      <c r="A1560" s="49" t="s">
        <v>3071</v>
      </c>
      <c r="B1560" s="49" t="str">
        <f>IFERROR(__xludf.DUMMYFUNCTION("REGEXREPLACE(
 REGEXREPLACE(A1560,""^cost\."",""""),
 ""\.[^.]+\.[^.]+$"",
 """"
)"),"tech.dairy.big_data_farming")</f>
        <v>tech.dairy.big_data_farming</v>
      </c>
      <c r="C1560" s="49" t="str">
        <f t="array" ref="C1560">_xlfn.XLOOKUP(
 B1560,
 tblTargets[TargetID],
 tblTargets[DisplayName],
 ""
)</f>
        <v>Dairy - Big Data Farming</v>
      </c>
      <c r="D1560" s="49" t="str">
        <f t="array" ref="D1560">_xlfn.XLOOKUP(
 B1560,
 tblTargets[TargetID],
 tblTargets[TargetType],
 ""
)</f>
        <v>TECH</v>
      </c>
      <c r="E1560" s="49" t="s">
        <v>1055</v>
      </c>
      <c r="F1560" s="49">
        <v>1.0</v>
      </c>
      <c r="G1560" s="49">
        <f t="array" ref="G1560">_xlfn.XLOOKUP(
 A1560,
 tblCost[RequirementID],
 tblCost[QuantityRequired],
 ""
)</f>
        <v>32</v>
      </c>
      <c r="H1560" s="49">
        <f t="array" ref="H1560">IF(
 OR(
  LEFT(B1560,15)="state.character",
  RIGHT(B1560,6)=".maxed"
 ),
 0,
 LET(
  sort,
   _xlfn.XLOOKUP(
    B1560,
    tblChecklist[TargetID],
    tblChecklist[PlayerSort],
    0
   ),
  IF(sort=0,500,sort)
 )
)</f>
        <v>500</v>
      </c>
      <c r="I1560" s="49" t="str">
        <f t="array" ref="I1560">_xlfn.XLOOKUP(
 B1560,
 tblTargetStatus[TargetID],
 tblTargetStatus[Status],
 ""
)</f>
        <v>BLOCKED</v>
      </c>
      <c r="J1560" s="45" t="b">
        <v>0</v>
      </c>
    </row>
    <row r="1561" ht="14.25" hidden="1" customHeight="1">
      <c r="A1561" s="49" t="s">
        <v>3073</v>
      </c>
      <c r="B1561" s="49" t="str">
        <f>IFERROR(__xludf.DUMMYFUNCTION("REGEXREPLACE(
 REGEXREPLACE(A1561,""^cost\."",""""),
 ""\.[^.]+\.[^.]+$"",
 """"
)"),"tech.dairy.big_data_farming")</f>
        <v>tech.dairy.big_data_farming</v>
      </c>
      <c r="C1561" s="49" t="str">
        <f t="array" ref="C1561">_xlfn.XLOOKUP(
 B1561,
 tblTargets[TargetID],
 tblTargets[DisplayName],
 ""
)</f>
        <v>Dairy - Big Data Farming</v>
      </c>
      <c r="D1561" s="49" t="str">
        <f t="array" ref="D1561">_xlfn.XLOOKUP(
 B1561,
 tblTargets[TargetID],
 tblTargets[TargetType],
 ""
)</f>
        <v>TECH</v>
      </c>
      <c r="E1561" s="49" t="s">
        <v>119</v>
      </c>
      <c r="F1561" s="49">
        <v>1.0</v>
      </c>
      <c r="G1561" s="49">
        <f t="array" ref="G1561">_xlfn.XLOOKUP(
 A1561,
 tblCost[RequirementID],
 tblCost[QuantityRequired],
 ""
)</f>
        <v>1000</v>
      </c>
      <c r="H1561" s="49">
        <f t="array" ref="H1561">IF(
 OR(
  LEFT(B1561,15)="state.character",
  RIGHT(B1561,6)=".maxed"
 ),
 0,
 LET(
  sort,
   _xlfn.XLOOKUP(
    B1561,
    tblChecklist[TargetID],
    tblChecklist[PlayerSort],
    0
   ),
  IF(sort=0,500,sort)
 )
)</f>
        <v>500</v>
      </c>
      <c r="I1561" s="49" t="str">
        <f t="array" ref="I1561">_xlfn.XLOOKUP(
 B1561,
 tblTargetStatus[TargetID],
 tblTargetStatus[Status],
 ""
)</f>
        <v>BLOCKED</v>
      </c>
      <c r="J1561" s="45" t="b">
        <v>0</v>
      </c>
    </row>
    <row r="1562" ht="14.25" hidden="1" customHeight="1">
      <c r="A1562" s="49" t="s">
        <v>3075</v>
      </c>
      <c r="B1562" s="49" t="str">
        <f>IFERROR(__xludf.DUMMYFUNCTION("REGEXREPLACE(
 REGEXREPLACE(A1562,""^cost\."",""""),
 ""\.[^.]+\.[^.]+$"",
 """"
)"),"tech.dairy.big_data_farming")</f>
        <v>tech.dairy.big_data_farming</v>
      </c>
      <c r="C1562" s="49" t="str">
        <f t="array" ref="C1562">_xlfn.XLOOKUP(
 B1562,
 tblTargets[TargetID],
 tblTargets[DisplayName],
 ""
)</f>
        <v>Dairy - Big Data Farming</v>
      </c>
      <c r="D1562" s="49" t="str">
        <f t="array" ref="D1562">_xlfn.XLOOKUP(
 B1562,
 tblTargets[TargetID],
 tblTargets[TargetType],
 ""
)</f>
        <v>TECH</v>
      </c>
      <c r="E1562" s="49" t="s">
        <v>1078</v>
      </c>
      <c r="F1562" s="49">
        <v>1.0</v>
      </c>
      <c r="G1562" s="49">
        <f t="array" ref="G1562">_xlfn.XLOOKUP(
 A1562,
 tblCost[RequirementID],
 tblCost[QuantityRequired],
 ""
)</f>
        <v>20</v>
      </c>
      <c r="H1562" s="49">
        <f t="array" ref="H1562">IF(
 OR(
  LEFT(B1562,15)="state.character",
  RIGHT(B1562,6)=".maxed"
 ),
 0,
 LET(
  sort,
   _xlfn.XLOOKUP(
    B1562,
    tblChecklist[TargetID],
    tblChecklist[PlayerSort],
    0
   ),
  IF(sort=0,500,sort)
 )
)</f>
        <v>500</v>
      </c>
      <c r="I1562" s="49" t="str">
        <f t="array" ref="I1562">_xlfn.XLOOKUP(
 B1562,
 tblTargetStatus[TargetID],
 tblTargetStatus[Status],
 ""
)</f>
        <v>BLOCKED</v>
      </c>
      <c r="J1562" s="45" t="b">
        <v>0</v>
      </c>
    </row>
    <row r="1563" ht="14.25" hidden="1" customHeight="1">
      <c r="A1563" s="49" t="s">
        <v>3077</v>
      </c>
      <c r="B1563" s="49" t="str">
        <f>IFERROR(__xludf.DUMMYFUNCTION("REGEXREPLACE(
 REGEXREPLACE(A1563,""^cost\."",""""),
 ""\.[^.]+\.[^.]+$"",
 """"
)"),"tech.dairy.big_data_farming")</f>
        <v>tech.dairy.big_data_farming</v>
      </c>
      <c r="C1563" s="49" t="str">
        <f t="array" ref="C1563">_xlfn.XLOOKUP(
 B1563,
 tblTargets[TargetID],
 tblTargets[DisplayName],
 ""
)</f>
        <v>Dairy - Big Data Farming</v>
      </c>
      <c r="D1563" s="49" t="str">
        <f t="array" ref="D1563">_xlfn.XLOOKUP(
 B1563,
 tblTargets[TargetID],
 tblTargets[TargetType],
 ""
)</f>
        <v>TECH</v>
      </c>
      <c r="E1563" s="49" t="s">
        <v>533</v>
      </c>
      <c r="F1563" s="49">
        <v>1.0</v>
      </c>
      <c r="G1563" s="49">
        <f t="array" ref="G1563">_xlfn.XLOOKUP(
 A1563,
 tblCost[RequirementID],
 tblCost[QuantityRequired],
 ""
)</f>
        <v>20</v>
      </c>
      <c r="H1563" s="49">
        <f t="array" ref="H1563">IF(
 OR(
  LEFT(B1563,15)="state.character",
  RIGHT(B1563,6)=".maxed"
 ),
 0,
 LET(
  sort,
   _xlfn.XLOOKUP(
    B1563,
    tblChecklist[TargetID],
    tblChecklist[PlayerSort],
    0
   ),
  IF(sort=0,500,sort)
 )
)</f>
        <v>500</v>
      </c>
      <c r="I1563" s="49" t="str">
        <f t="array" ref="I1563">_xlfn.XLOOKUP(
 B1563,
 tblTargetStatus[TargetID],
 tblTargetStatus[Status],
 ""
)</f>
        <v>BLOCKED</v>
      </c>
      <c r="J1563" s="45" t="b">
        <v>0</v>
      </c>
    </row>
    <row r="1564" ht="14.25" hidden="1" customHeight="1">
      <c r="A1564" s="49" t="s">
        <v>3079</v>
      </c>
      <c r="B1564" s="49" t="str">
        <f>IFERROR(__xludf.DUMMYFUNCTION("REGEXREPLACE(
 REGEXREPLACE(A1564,""^cost\."",""""),
 ""\.[^.]+\.[^.]+$"",
 """"
)"),"tech.dairy.big_data_farming")</f>
        <v>tech.dairy.big_data_farming</v>
      </c>
      <c r="C1564" s="49" t="str">
        <f t="array" ref="C1564">_xlfn.XLOOKUP(
 B1564,
 tblTargets[TargetID],
 tblTargets[DisplayName],
 ""
)</f>
        <v>Dairy - Big Data Farming</v>
      </c>
      <c r="D1564" s="49" t="str">
        <f t="array" ref="D1564">_xlfn.XLOOKUP(
 B1564,
 tblTargets[TargetID],
 tblTargets[TargetType],
 ""
)</f>
        <v>TECH</v>
      </c>
      <c r="E1564" s="49" t="s">
        <v>423</v>
      </c>
      <c r="F1564" s="49">
        <v>1.0</v>
      </c>
      <c r="G1564" s="49">
        <f t="array" ref="G1564">_xlfn.XLOOKUP(
 A1564,
 tblCost[RequirementID],
 tblCost[QuantityRequired],
 ""
)</f>
        <v>40</v>
      </c>
      <c r="H1564" s="49">
        <f t="array" ref="H1564">IF(
 OR(
  LEFT(B1564,15)="state.character",
  RIGHT(B1564,6)=".maxed"
 ),
 0,
 LET(
  sort,
   _xlfn.XLOOKUP(
    B1564,
    tblChecklist[TargetID],
    tblChecklist[PlayerSort],
    0
   ),
  IF(sort=0,500,sort)
 )
)</f>
        <v>500</v>
      </c>
      <c r="I1564" s="49" t="str">
        <f t="array" ref="I1564">_xlfn.XLOOKUP(
 B1564,
 tblTargetStatus[TargetID],
 tblTargetStatus[Status],
 ""
)</f>
        <v>BLOCKED</v>
      </c>
      <c r="J1564" s="45" t="b">
        <v>0</v>
      </c>
    </row>
    <row r="1565" ht="14.25" hidden="1" customHeight="1">
      <c r="A1565" s="49" t="s">
        <v>3081</v>
      </c>
      <c r="B1565" s="49" t="str">
        <f>IFERROR(__xludf.DUMMYFUNCTION("REGEXREPLACE(
 REGEXREPLACE(A1565,""^cost\."",""""),
 ""\.[^.]+\.[^.]+$"",
 """"
)"),"tech.dairy.big_data_farming")</f>
        <v>tech.dairy.big_data_farming</v>
      </c>
      <c r="C1565" s="49" t="str">
        <f t="array" ref="C1565">_xlfn.XLOOKUP(
 B1565,
 tblTargets[TargetID],
 tblTargets[DisplayName],
 ""
)</f>
        <v>Dairy - Big Data Farming</v>
      </c>
      <c r="D1565" s="49" t="str">
        <f t="array" ref="D1565">_xlfn.XLOOKUP(
 B1565,
 tblTargets[TargetID],
 tblTargets[TargetType],
 ""
)</f>
        <v>TECH</v>
      </c>
      <c r="E1565" s="49" t="s">
        <v>1282</v>
      </c>
      <c r="F1565" s="49">
        <v>1.0</v>
      </c>
      <c r="G1565" s="49">
        <f t="array" ref="G1565">_xlfn.XLOOKUP(
 A1565,
 tblCost[RequirementID],
 tblCost[QuantityRequired],
 ""
)</f>
        <v>20</v>
      </c>
      <c r="H1565" s="49">
        <f t="array" ref="H1565">IF(
 OR(
  LEFT(B1565,15)="state.character",
  RIGHT(B1565,6)=".maxed"
 ),
 0,
 LET(
  sort,
   _xlfn.XLOOKUP(
    B1565,
    tblChecklist[TargetID],
    tblChecklist[PlayerSort],
    0
   ),
  IF(sort=0,500,sort)
 )
)</f>
        <v>500</v>
      </c>
      <c r="I1565" s="49" t="str">
        <f t="array" ref="I1565">_xlfn.XLOOKUP(
 B1565,
 tblTargetStatus[TargetID],
 tblTargetStatus[Status],
 ""
)</f>
        <v>BLOCKED</v>
      </c>
      <c r="J1565" s="45" t="b">
        <v>0</v>
      </c>
    </row>
    <row r="1566" ht="14.25" hidden="1" customHeight="1">
      <c r="A1566" s="49" t="s">
        <v>3083</v>
      </c>
      <c r="B1566" s="49" t="str">
        <f>IFERROR(__xludf.DUMMYFUNCTION("REGEXREPLACE(
 REGEXREPLACE(A1566,""^cost\."",""""),
 ""\.[^.]+\.[^.]+$"",
 """"
)"),"tech.dairy.big_data_farming")</f>
        <v>tech.dairy.big_data_farming</v>
      </c>
      <c r="C1566" s="49" t="str">
        <f t="array" ref="C1566">_xlfn.XLOOKUP(
 B1566,
 tblTargets[TargetID],
 tblTargets[DisplayName],
 ""
)</f>
        <v>Dairy - Big Data Farming</v>
      </c>
      <c r="D1566" s="49" t="str">
        <f t="array" ref="D1566">_xlfn.XLOOKUP(
 B1566,
 tblTargets[TargetID],
 tblTargets[TargetType],
 ""
)</f>
        <v>TECH</v>
      </c>
      <c r="E1566" s="49" t="s">
        <v>6</v>
      </c>
      <c r="F1566" s="49">
        <v>1.0</v>
      </c>
      <c r="G1566" s="49">
        <f t="array" ref="G1566">_xlfn.XLOOKUP(
 A1566,
 tblCost[RequirementID],
 tblCost[QuantityRequired],
 ""
)</f>
        <v>5</v>
      </c>
      <c r="H1566" s="49">
        <f t="array" ref="H1566">IF(
 OR(
  LEFT(B1566,15)="state.character",
  RIGHT(B1566,6)=".maxed"
 ),
 0,
 LET(
  sort,
   _xlfn.XLOOKUP(
    B1566,
    tblChecklist[TargetID],
    tblChecklist[PlayerSort],
    0
   ),
  IF(sort=0,500,sort)
 )
)</f>
        <v>500</v>
      </c>
      <c r="I1566" s="49" t="str">
        <f t="array" ref="I1566">_xlfn.XLOOKUP(
 B1566,
 tblTargetStatus[TargetID],
 tblTargetStatus[Status],
 ""
)</f>
        <v>BLOCKED</v>
      </c>
      <c r="J1566" s="45" t="b">
        <v>0</v>
      </c>
    </row>
    <row r="1567" ht="14.25" hidden="1" customHeight="1">
      <c r="A1567" s="49" t="s">
        <v>3085</v>
      </c>
      <c r="B1567" s="49" t="str">
        <f>IFERROR(__xludf.DUMMYFUNCTION("REGEXREPLACE(
 REGEXREPLACE(A1567,""^cost\."",""""),
 ""\.[^.]+\.[^.]+$"",
 """"
)"),"tech.dairy.big_data_farming")</f>
        <v>tech.dairy.big_data_farming</v>
      </c>
      <c r="C1567" s="49" t="str">
        <f t="array" ref="C1567">_xlfn.XLOOKUP(
 B1567,
 tblTargets[TargetID],
 tblTargets[DisplayName],
 ""
)</f>
        <v>Dairy - Big Data Farming</v>
      </c>
      <c r="D1567" s="49" t="str">
        <f t="array" ref="D1567">_xlfn.XLOOKUP(
 B1567,
 tblTargets[TargetID],
 tblTargets[TargetType],
 ""
)</f>
        <v>TECH</v>
      </c>
      <c r="E1567" s="49" t="s">
        <v>2786</v>
      </c>
      <c r="F1567" s="49">
        <v>1.0</v>
      </c>
      <c r="G1567" s="49">
        <f t="array" ref="G1567">_xlfn.XLOOKUP(
 A1567,
 tblCost[RequirementID],
 tblCost[QuantityRequired],
 ""
)</f>
        <v>20</v>
      </c>
      <c r="H1567" s="49">
        <f t="array" ref="H1567">IF(
 OR(
  LEFT(B1567,15)="state.character",
  RIGHT(B1567,6)=".maxed"
 ),
 0,
 LET(
  sort,
   _xlfn.XLOOKUP(
    B1567,
    tblChecklist[TargetID],
    tblChecklist[PlayerSort],
    0
   ),
  IF(sort=0,500,sort)
 )
)</f>
        <v>500</v>
      </c>
      <c r="I1567" s="49" t="str">
        <f t="array" ref="I1567">_xlfn.XLOOKUP(
 B1567,
 tblTargetStatus[TargetID],
 tblTargetStatus[Status],
 ""
)</f>
        <v>BLOCKED</v>
      </c>
      <c r="J1567" s="45" t="b">
        <v>0</v>
      </c>
    </row>
    <row r="1568" ht="14.25" hidden="1" customHeight="1">
      <c r="A1568" s="49" t="s">
        <v>3086</v>
      </c>
      <c r="B1568" s="49" t="str">
        <f>IFERROR(__xludf.DUMMYFUNCTION("REGEXREPLACE(
 REGEXREPLACE(A1568,""^cost\."",""""),
 ""\.[^.]+\.[^.]+$"",
 """"
)"),"tech.dairy.big_data_farming")</f>
        <v>tech.dairy.big_data_farming</v>
      </c>
      <c r="C1568" s="49" t="str">
        <f t="array" ref="C1568">_xlfn.XLOOKUP(
 B1568,
 tblTargets[TargetID],
 tblTargets[DisplayName],
 ""
)</f>
        <v>Dairy - Big Data Farming</v>
      </c>
      <c r="D1568" s="49" t="str">
        <f t="array" ref="D1568">_xlfn.XLOOKUP(
 B1568,
 tblTargets[TargetID],
 tblTargets[TargetType],
 ""
)</f>
        <v>TECH</v>
      </c>
      <c r="E1568" s="49" t="s">
        <v>2308</v>
      </c>
      <c r="F1568" s="49">
        <v>1.0</v>
      </c>
      <c r="G1568" s="49">
        <f t="array" ref="G1568">_xlfn.XLOOKUP(
 A1568,
 tblCost[RequirementID],
 tblCost[QuantityRequired],
 ""
)</f>
        <v>10</v>
      </c>
      <c r="H1568" s="49">
        <f t="array" ref="H1568">IF(
 OR(
  LEFT(B1568,15)="state.character",
  RIGHT(B1568,6)=".maxed"
 ),
 0,
 LET(
  sort,
   _xlfn.XLOOKUP(
    B1568,
    tblChecklist[TargetID],
    tblChecklist[PlayerSort],
    0
   ),
  IF(sort=0,500,sort)
 )
)</f>
        <v>500</v>
      </c>
      <c r="I1568" s="49" t="str">
        <f t="array" ref="I1568">_xlfn.XLOOKUP(
 B1568,
 tblTargetStatus[TargetID],
 tblTargetStatus[Status],
 ""
)</f>
        <v>BLOCKED</v>
      </c>
      <c r="J1568" s="45" t="b">
        <v>0</v>
      </c>
    </row>
    <row r="1569" ht="14.25" hidden="1" customHeight="1">
      <c r="A1569" s="49" t="s">
        <v>3056</v>
      </c>
      <c r="B1569" s="49" t="str">
        <f>IFERROR(__xludf.DUMMYFUNCTION("REGEXREPLACE(
 REGEXREPLACE(A1569,""^cost\."",""""),
 ""\.[^.]+\.[^.]+$"",
 """"
)"),"tech.dairy.classical_music_for_the_farm")</f>
        <v>tech.dairy.classical_music_for_the_farm</v>
      </c>
      <c r="C1569" s="49" t="str">
        <f t="array" ref="C1569">_xlfn.XLOOKUP(
 B1569,
 tblTargets[TargetID],
 tblTargets[DisplayName],
 ""
)</f>
        <v>Dairy - Classical Music For The Farm</v>
      </c>
      <c r="D1569" s="49" t="str">
        <f t="array" ref="D1569">_xlfn.XLOOKUP(
 B1569,
 tblTargets[TargetID],
 tblTargets[TargetType],
 ""
)</f>
        <v>TECH</v>
      </c>
      <c r="E1569" s="49" t="s">
        <v>1055</v>
      </c>
      <c r="F1569" s="49">
        <v>1.0</v>
      </c>
      <c r="G1569" s="49">
        <f t="array" ref="G1569">_xlfn.XLOOKUP(
 A1569,
 tblCost[RequirementID],
 tblCost[QuantityRequired],
 ""
)</f>
        <v>20</v>
      </c>
      <c r="H1569" s="49">
        <f t="array" ref="H1569">IF(
 OR(
  LEFT(B1569,15)="state.character",
  RIGHT(B1569,6)=".maxed"
 ),
 0,
 LET(
  sort,
   _xlfn.XLOOKUP(
    B1569,
    tblChecklist[TargetID],
    tblChecklist[PlayerSort],
    0
   ),
  IF(sort=0,500,sort)
 )
)</f>
        <v>500</v>
      </c>
      <c r="I1569" s="49" t="str">
        <f t="array" ref="I1569">_xlfn.XLOOKUP(
 B1569,
 tblTargetStatus[TargetID],
 tblTargetStatus[Status],
 ""
)</f>
        <v>BLOCKED</v>
      </c>
      <c r="J1569" s="45" t="b">
        <v>0</v>
      </c>
    </row>
    <row r="1570" ht="14.25" hidden="1" customHeight="1">
      <c r="A1570" s="49" t="s">
        <v>3058</v>
      </c>
      <c r="B1570" s="49" t="str">
        <f>IFERROR(__xludf.DUMMYFUNCTION("REGEXREPLACE(
 REGEXREPLACE(A1570,""^cost\."",""""),
 ""\.[^.]+\.[^.]+$"",
 """"
)"),"tech.dairy.classical_music_for_the_farm")</f>
        <v>tech.dairy.classical_music_for_the_farm</v>
      </c>
      <c r="C1570" s="49" t="str">
        <f t="array" ref="C1570">_xlfn.XLOOKUP(
 B1570,
 tblTargets[TargetID],
 tblTargets[DisplayName],
 ""
)</f>
        <v>Dairy - Classical Music For The Farm</v>
      </c>
      <c r="D1570" s="49" t="str">
        <f t="array" ref="D1570">_xlfn.XLOOKUP(
 B1570,
 tblTargets[TargetID],
 tblTargets[TargetType],
 ""
)</f>
        <v>TECH</v>
      </c>
      <c r="E1570" s="49" t="s">
        <v>119</v>
      </c>
      <c r="F1570" s="49">
        <v>1.0</v>
      </c>
      <c r="G1570" s="49">
        <f t="array" ref="G1570">_xlfn.XLOOKUP(
 A1570,
 tblCost[RequirementID],
 tblCost[QuantityRequired],
 ""
)</f>
        <v>500</v>
      </c>
      <c r="H1570" s="49">
        <f t="array" ref="H1570">IF(
 OR(
  LEFT(B1570,15)="state.character",
  RIGHT(B1570,6)=".maxed"
 ),
 0,
 LET(
  sort,
   _xlfn.XLOOKUP(
    B1570,
    tblChecklist[TargetID],
    tblChecklist[PlayerSort],
    0
   ),
  IF(sort=0,500,sort)
 )
)</f>
        <v>500</v>
      </c>
      <c r="I1570" s="49" t="str">
        <f t="array" ref="I1570">_xlfn.XLOOKUP(
 B1570,
 tblTargetStatus[TargetID],
 tblTargetStatus[Status],
 ""
)</f>
        <v>BLOCKED</v>
      </c>
      <c r="J1570" s="45" t="b">
        <v>0</v>
      </c>
    </row>
    <row r="1571" ht="14.25" hidden="1" customHeight="1">
      <c r="A1571" s="49" t="s">
        <v>3060</v>
      </c>
      <c r="B1571" s="49" t="str">
        <f>IFERROR(__xludf.DUMMYFUNCTION("REGEXREPLACE(
 REGEXREPLACE(A1571,""^cost\."",""""),
 ""\.[^.]+\.[^.]+$"",
 """"
)"),"tech.dairy.classical_music_for_the_farm")</f>
        <v>tech.dairy.classical_music_for_the_farm</v>
      </c>
      <c r="C1571" s="49" t="str">
        <f t="array" ref="C1571">_xlfn.XLOOKUP(
 B1571,
 tblTargets[TargetID],
 tblTargets[DisplayName],
 ""
)</f>
        <v>Dairy - Classical Music For The Farm</v>
      </c>
      <c r="D1571" s="49" t="str">
        <f t="array" ref="D1571">_xlfn.XLOOKUP(
 B1571,
 tblTargets[TargetID],
 tblTargets[TargetType],
 ""
)</f>
        <v>TECH</v>
      </c>
      <c r="E1571" s="49" t="s">
        <v>360</v>
      </c>
      <c r="F1571" s="49">
        <v>1.0</v>
      </c>
      <c r="G1571" s="49">
        <f t="array" ref="G1571">_xlfn.XLOOKUP(
 A1571,
 tblCost[RequirementID],
 tblCost[QuantityRequired],
 ""
)</f>
        <v>20</v>
      </c>
      <c r="H1571" s="49">
        <f t="array" ref="H1571">IF(
 OR(
  LEFT(B1571,15)="state.character",
  RIGHT(B1571,6)=".maxed"
 ),
 0,
 LET(
  sort,
   _xlfn.XLOOKUP(
    B1571,
    tblChecklist[TargetID],
    tblChecklist[PlayerSort],
    0
   ),
  IF(sort=0,500,sort)
 )
)</f>
        <v>500</v>
      </c>
      <c r="I1571" s="49" t="str">
        <f t="array" ref="I1571">_xlfn.XLOOKUP(
 B1571,
 tblTargetStatus[TargetID],
 tblTargetStatus[Status],
 ""
)</f>
        <v>BLOCKED</v>
      </c>
      <c r="J1571" s="45" t="b">
        <v>0</v>
      </c>
    </row>
    <row r="1572" ht="14.25" hidden="1" customHeight="1">
      <c r="A1572" s="49" t="s">
        <v>3062</v>
      </c>
      <c r="B1572" s="49" t="str">
        <f>IFERROR(__xludf.DUMMYFUNCTION("REGEXREPLACE(
 REGEXREPLACE(A1572,""^cost\."",""""),
 ""\.[^.]+\.[^.]+$"",
 """"
)"),"tech.dairy.classical_music_for_the_farm")</f>
        <v>tech.dairy.classical_music_for_the_farm</v>
      </c>
      <c r="C1572" s="49" t="str">
        <f t="array" ref="C1572">_xlfn.XLOOKUP(
 B1572,
 tblTargets[TargetID],
 tblTargets[DisplayName],
 ""
)</f>
        <v>Dairy - Classical Music For The Farm</v>
      </c>
      <c r="D1572" s="49" t="str">
        <f t="array" ref="D1572">_xlfn.XLOOKUP(
 B1572,
 tblTargets[TargetID],
 tblTargets[TargetType],
 ""
)</f>
        <v>TECH</v>
      </c>
      <c r="E1572" s="49" t="s">
        <v>2545</v>
      </c>
      <c r="F1572" s="49">
        <v>1.0</v>
      </c>
      <c r="G1572" s="49">
        <f t="array" ref="G1572">_xlfn.XLOOKUP(
 A1572,
 tblCost[RequirementID],
 tblCost[QuantityRequired],
 ""
)</f>
        <v>4</v>
      </c>
      <c r="H1572" s="49">
        <f t="array" ref="H1572">IF(
 OR(
  LEFT(B1572,15)="state.character",
  RIGHT(B1572,6)=".maxed"
 ),
 0,
 LET(
  sort,
   _xlfn.XLOOKUP(
    B1572,
    tblChecklist[TargetID],
    tblChecklist[PlayerSort],
    0
   ),
  IF(sort=0,500,sort)
 )
)</f>
        <v>500</v>
      </c>
      <c r="I1572" s="49" t="str">
        <f t="array" ref="I1572">_xlfn.XLOOKUP(
 B1572,
 tblTargetStatus[TargetID],
 tblTargetStatus[Status],
 ""
)</f>
        <v>BLOCKED</v>
      </c>
      <c r="J1572" s="45" t="b">
        <v>0</v>
      </c>
    </row>
    <row r="1573" ht="14.25" hidden="1" customHeight="1">
      <c r="A1573" s="49" t="s">
        <v>3064</v>
      </c>
      <c r="B1573" s="49" t="str">
        <f>IFERROR(__xludf.DUMMYFUNCTION("REGEXREPLACE(
 REGEXREPLACE(A1573,""^cost\."",""""),
 ""\.[^.]+\.[^.]+$"",
 """"
)"),"tech.dairy.classical_music_for_the_farm")</f>
        <v>tech.dairy.classical_music_for_the_farm</v>
      </c>
      <c r="C1573" s="49" t="str">
        <f t="array" ref="C1573">_xlfn.XLOOKUP(
 B1573,
 tblTargets[TargetID],
 tblTargets[DisplayName],
 ""
)</f>
        <v>Dairy - Classical Music For The Farm</v>
      </c>
      <c r="D1573" s="49" t="str">
        <f t="array" ref="D1573">_xlfn.XLOOKUP(
 B1573,
 tblTargets[TargetID],
 tblTargets[TargetType],
 ""
)</f>
        <v>TECH</v>
      </c>
      <c r="E1573" s="49" t="s">
        <v>1078</v>
      </c>
      <c r="F1573" s="49">
        <v>1.0</v>
      </c>
      <c r="G1573" s="49">
        <f t="array" ref="G1573">_xlfn.XLOOKUP(
 A1573,
 tblCost[RequirementID],
 tblCost[QuantityRequired],
 ""
)</f>
        <v>15</v>
      </c>
      <c r="H1573" s="49">
        <f t="array" ref="H1573">IF(
 OR(
  LEFT(B1573,15)="state.character",
  RIGHT(B1573,6)=".maxed"
 ),
 0,
 LET(
  sort,
   _xlfn.XLOOKUP(
    B1573,
    tblChecklist[TargetID],
    tblChecklist[PlayerSort],
    0
   ),
  IF(sort=0,500,sort)
 )
)</f>
        <v>500</v>
      </c>
      <c r="I1573" s="49" t="str">
        <f t="array" ref="I1573">_xlfn.XLOOKUP(
 B1573,
 tblTargetStatus[TargetID],
 tblTargetStatus[Status],
 ""
)</f>
        <v>BLOCKED</v>
      </c>
      <c r="J1573" s="45" t="b">
        <v>0</v>
      </c>
    </row>
    <row r="1574" ht="14.25" hidden="1" customHeight="1">
      <c r="A1574" s="49" t="s">
        <v>3066</v>
      </c>
      <c r="B1574" s="49" t="str">
        <f>IFERROR(__xludf.DUMMYFUNCTION("REGEXREPLACE(
 REGEXREPLACE(A1574,""^cost\."",""""),
 ""\.[^.]+\.[^.]+$"",
 """"
)"),"tech.dairy.classical_music_for_the_farm")</f>
        <v>tech.dairy.classical_music_for_the_farm</v>
      </c>
      <c r="C1574" s="49" t="str">
        <f t="array" ref="C1574">_xlfn.XLOOKUP(
 B1574,
 tblTargets[TargetID],
 tblTargets[DisplayName],
 ""
)</f>
        <v>Dairy - Classical Music For The Farm</v>
      </c>
      <c r="D1574" s="49" t="str">
        <f t="array" ref="D1574">_xlfn.XLOOKUP(
 B1574,
 tblTargets[TargetID],
 tblTargets[TargetType],
 ""
)</f>
        <v>TECH</v>
      </c>
      <c r="E1574" s="49" t="s">
        <v>533</v>
      </c>
      <c r="F1574" s="49">
        <v>1.0</v>
      </c>
      <c r="G1574" s="49">
        <f t="array" ref="G1574">_xlfn.XLOOKUP(
 A1574,
 tblCost[RequirementID],
 tblCost[QuantityRequired],
 ""
)</f>
        <v>20</v>
      </c>
      <c r="H1574" s="49">
        <f t="array" ref="H1574">IF(
 OR(
  LEFT(B1574,15)="state.character",
  RIGHT(B1574,6)=".maxed"
 ),
 0,
 LET(
  sort,
   _xlfn.XLOOKUP(
    B1574,
    tblChecklist[TargetID],
    tblChecklist[PlayerSort],
    0
   ),
  IF(sort=0,500,sort)
 )
)</f>
        <v>500</v>
      </c>
      <c r="I1574" s="49" t="str">
        <f t="array" ref="I1574">_xlfn.XLOOKUP(
 B1574,
 tblTargetStatus[TargetID],
 tblTargetStatus[Status],
 ""
)</f>
        <v>BLOCKED</v>
      </c>
      <c r="J1574" s="45" t="b">
        <v>0</v>
      </c>
    </row>
    <row r="1575" ht="14.25" hidden="1" customHeight="1">
      <c r="A1575" s="49" t="s">
        <v>3068</v>
      </c>
      <c r="B1575" s="49" t="str">
        <f>IFERROR(__xludf.DUMMYFUNCTION("REGEXREPLACE(
 REGEXREPLACE(A1575,""^cost\."",""""),
 ""\.[^.]+\.[^.]+$"",
 """"
)"),"tech.dairy.classical_music_for_the_farm")</f>
        <v>tech.dairy.classical_music_for_the_farm</v>
      </c>
      <c r="C1575" s="49" t="str">
        <f t="array" ref="C1575">_xlfn.XLOOKUP(
 B1575,
 tblTargets[TargetID],
 tblTargets[DisplayName],
 ""
)</f>
        <v>Dairy - Classical Music For The Farm</v>
      </c>
      <c r="D1575" s="49" t="str">
        <f t="array" ref="D1575">_xlfn.XLOOKUP(
 B1575,
 tblTargets[TargetID],
 tblTargets[TargetType],
 ""
)</f>
        <v>TECH</v>
      </c>
      <c r="E1575" s="49" t="s">
        <v>1282</v>
      </c>
      <c r="F1575" s="49">
        <v>1.0</v>
      </c>
      <c r="G1575" s="49">
        <f t="array" ref="G1575">_xlfn.XLOOKUP(
 A1575,
 tblCost[RequirementID],
 tblCost[QuantityRequired],
 ""
)</f>
        <v>20</v>
      </c>
      <c r="H1575" s="49">
        <f t="array" ref="H1575">IF(
 OR(
  LEFT(B1575,15)="state.character",
  RIGHT(B1575,6)=".maxed"
 ),
 0,
 LET(
  sort,
   _xlfn.XLOOKUP(
    B1575,
    tblChecklist[TargetID],
    tblChecklist[PlayerSort],
    0
   ),
  IF(sort=0,500,sort)
 )
)</f>
        <v>500</v>
      </c>
      <c r="I1575" s="49" t="str">
        <f t="array" ref="I1575">_xlfn.XLOOKUP(
 B1575,
 tblTargetStatus[TargetID],
 tblTargetStatus[Status],
 ""
)</f>
        <v>BLOCKED</v>
      </c>
      <c r="J1575" s="45" t="b">
        <v>0</v>
      </c>
    </row>
    <row r="1576" ht="14.25" hidden="1" customHeight="1">
      <c r="A1576" s="49" t="s">
        <v>3070</v>
      </c>
      <c r="B1576" s="49" t="str">
        <f>IFERROR(__xludf.DUMMYFUNCTION("REGEXREPLACE(
 REGEXREPLACE(A1576,""^cost\."",""""),
 ""\.[^.]+\.[^.]+$"",
 """"
)"),"tech.dairy.classical_music_for_the_farm")</f>
        <v>tech.dairy.classical_music_for_the_farm</v>
      </c>
      <c r="C1576" s="49" t="str">
        <f t="array" ref="C1576">_xlfn.XLOOKUP(
 B1576,
 tblTargets[TargetID],
 tblTargets[DisplayName],
 ""
)</f>
        <v>Dairy - Classical Music For The Farm</v>
      </c>
      <c r="D1576" s="49" t="str">
        <f t="array" ref="D1576">_xlfn.XLOOKUP(
 B1576,
 tblTargets[TargetID],
 tblTargets[TargetType],
 ""
)</f>
        <v>TECH</v>
      </c>
      <c r="E1576" s="49" t="s">
        <v>6</v>
      </c>
      <c r="F1576" s="49">
        <v>1.0</v>
      </c>
      <c r="G1576" s="49">
        <f t="array" ref="G1576">_xlfn.XLOOKUP(
 A1576,
 tblCost[RequirementID],
 tblCost[QuantityRequired],
 ""
)</f>
        <v>3</v>
      </c>
      <c r="H1576" s="49">
        <f t="array" ref="H1576">IF(
 OR(
  LEFT(B1576,15)="state.character",
  RIGHT(B1576,6)=".maxed"
 ),
 0,
 LET(
  sort,
   _xlfn.XLOOKUP(
    B1576,
    tblChecklist[TargetID],
    tblChecklist[PlayerSort],
    0
   ),
  IF(sort=0,500,sort)
 )
)</f>
        <v>500</v>
      </c>
      <c r="I1576" s="49" t="str">
        <f t="array" ref="I1576">_xlfn.XLOOKUP(
 B1576,
 tblTargetStatus[TargetID],
 tblTargetStatus[Status],
 ""
)</f>
        <v>BLOCKED</v>
      </c>
      <c r="J1576" s="45" t="b">
        <v>0</v>
      </c>
    </row>
    <row r="1577" ht="14.25" hidden="1" customHeight="1">
      <c r="A1577" s="49" t="s">
        <v>3088</v>
      </c>
      <c r="B1577" s="49" t="str">
        <f>IFERROR(__xludf.DUMMYFUNCTION("REGEXREPLACE(
 REGEXREPLACE(A1577,""^cost\."",""""),
 ""\.[^.]+\.[^.]+$"",
 """"
)"),"tech.dungeon.great_hall")</f>
        <v>tech.dungeon.great_hall</v>
      </c>
      <c r="C1577" s="49" t="str">
        <f t="array" ref="C1577">_xlfn.XLOOKUP(
 B1577,
 tblTargets[TargetID],
 tblTargets[DisplayName],
 ""
)</f>
        <v>Dungeon - Great Hall</v>
      </c>
      <c r="D1577" s="49" t="str">
        <f t="array" ref="D1577">_xlfn.XLOOKUP(
 B1577,
 tblTargets[TargetID],
 tblTargets[TargetType],
 ""
)</f>
        <v>TECH</v>
      </c>
      <c r="E1577" s="49" t="s">
        <v>119</v>
      </c>
      <c r="F1577" s="49">
        <v>1.0</v>
      </c>
      <c r="G1577" s="49">
        <f t="array" ref="G1577">_xlfn.XLOOKUP(
 A1577,
 tblCost[RequirementID],
 tblCost[QuantityRequired],
 ""
)</f>
        <v>300</v>
      </c>
      <c r="H1577" s="49">
        <f t="array" ref="H1577">IF(
 OR(
  LEFT(B1577,15)="state.character",
  RIGHT(B1577,6)=".maxed"
 ),
 0,
 LET(
  sort,
   _xlfn.XLOOKUP(
    B1577,
    tblChecklist[TargetID],
    tblChecklist[PlayerSort],
    0
   ),
  IF(sort=0,500,sort)
 )
)</f>
        <v>500</v>
      </c>
      <c r="I1577" s="49" t="str">
        <f t="array" ref="I1577">_xlfn.XLOOKUP(
 B1577,
 tblTargetStatus[TargetID],
 tblTargetStatus[Status],
 ""
)</f>
        <v>BLOCKED</v>
      </c>
      <c r="J1577" s="45" t="b">
        <v>0</v>
      </c>
    </row>
    <row r="1578" ht="14.25" hidden="1" customHeight="1">
      <c r="A1578" s="49" t="s">
        <v>3090</v>
      </c>
      <c r="B1578" s="49" t="str">
        <f>IFERROR(__xludf.DUMMYFUNCTION("REGEXREPLACE(
 REGEXREPLACE(A1578,""^cost\."",""""),
 ""\.[^.]+\.[^.]+$"",
 """"
)"),"tech.dungeon.great_hall")</f>
        <v>tech.dungeon.great_hall</v>
      </c>
      <c r="C1578" s="49" t="str">
        <f t="array" ref="C1578">_xlfn.XLOOKUP(
 B1578,
 tblTargets[TargetID],
 tblTargets[DisplayName],
 ""
)</f>
        <v>Dungeon - Great Hall</v>
      </c>
      <c r="D1578" s="49" t="str">
        <f t="array" ref="D1578">_xlfn.XLOOKUP(
 B1578,
 tblTargets[TargetID],
 tblTargets[TargetType],
 ""
)</f>
        <v>TECH</v>
      </c>
      <c r="E1578" s="49" t="s">
        <v>171</v>
      </c>
      <c r="F1578" s="49">
        <v>1.0</v>
      </c>
      <c r="G1578" s="49">
        <f t="array" ref="G1578">_xlfn.XLOOKUP(
 A1578,
 tblCost[RequirementID],
 tblCost[QuantityRequired],
 ""
)</f>
        <v>30</v>
      </c>
      <c r="H1578" s="49">
        <f t="array" ref="H1578">IF(
 OR(
  LEFT(B1578,15)="state.character",
  RIGHT(B1578,6)=".maxed"
 ),
 0,
 LET(
  sort,
   _xlfn.XLOOKUP(
    B1578,
    tblChecklist[TargetID],
    tblChecklist[PlayerSort],
    0
   ),
  IF(sort=0,500,sort)
 )
)</f>
        <v>500</v>
      </c>
      <c r="I1578" s="49" t="str">
        <f t="array" ref="I1578">_xlfn.XLOOKUP(
 B1578,
 tblTargetStatus[TargetID],
 tblTargetStatus[Status],
 ""
)</f>
        <v>BLOCKED</v>
      </c>
      <c r="J1578" s="45" t="b">
        <v>0</v>
      </c>
    </row>
    <row r="1579" ht="14.25" hidden="1" customHeight="1">
      <c r="A1579" s="49" t="s">
        <v>3091</v>
      </c>
      <c r="B1579" s="49" t="str">
        <f>IFERROR(__xludf.DUMMYFUNCTION("REGEXREPLACE(
 REGEXREPLACE(A1579,""^cost\."",""""),
 ""\.[^.]+\.[^.]+$"",
 """"
)"),"tech.dungeon.great_hall")</f>
        <v>tech.dungeon.great_hall</v>
      </c>
      <c r="C1579" s="49" t="str">
        <f t="array" ref="C1579">_xlfn.XLOOKUP(
 B1579,
 tblTargets[TargetID],
 tblTargets[DisplayName],
 ""
)</f>
        <v>Dungeon - Great Hall</v>
      </c>
      <c r="D1579" s="49" t="str">
        <f t="array" ref="D1579">_xlfn.XLOOKUP(
 B1579,
 tblTargets[TargetID],
 tblTargets[TargetType],
 ""
)</f>
        <v>TECH</v>
      </c>
      <c r="E1579" s="49" t="s">
        <v>392</v>
      </c>
      <c r="F1579" s="49">
        <v>1.0</v>
      </c>
      <c r="G1579" s="49">
        <f t="array" ref="G1579">_xlfn.XLOOKUP(
 A1579,
 tblCost[RequirementID],
 tblCost[QuantityRequired],
 ""
)</f>
        <v>100</v>
      </c>
      <c r="H1579" s="49">
        <f t="array" ref="H1579">IF(
 OR(
  LEFT(B1579,15)="state.character",
  RIGHT(B1579,6)=".maxed"
 ),
 0,
 LET(
  sort,
   _xlfn.XLOOKUP(
    B1579,
    tblChecklist[TargetID],
    tblChecklist[PlayerSort],
    0
   ),
  IF(sort=0,500,sort)
 )
)</f>
        <v>500</v>
      </c>
      <c r="I1579" s="49" t="str">
        <f t="array" ref="I1579">_xlfn.XLOOKUP(
 B1579,
 tblTargetStatus[TargetID],
 tblTargetStatus[Status],
 ""
)</f>
        <v>BLOCKED</v>
      </c>
      <c r="J1579" s="45" t="b">
        <v>0</v>
      </c>
    </row>
    <row r="1580" ht="14.25" hidden="1" customHeight="1">
      <c r="A1580" s="49" t="s">
        <v>3093</v>
      </c>
      <c r="B1580" s="49" t="str">
        <f>IFERROR(__xludf.DUMMYFUNCTION("REGEXREPLACE(
 REGEXREPLACE(A1580,""^cost\."",""""),
 ""\.[^.]+\.[^.]+$"",
 """"
)"),"tech.dungeon.great_hall")</f>
        <v>tech.dungeon.great_hall</v>
      </c>
      <c r="C1580" s="49" t="str">
        <f t="array" ref="C1580">_xlfn.XLOOKUP(
 B1580,
 tblTargets[TargetID],
 tblTargets[DisplayName],
 ""
)</f>
        <v>Dungeon - Great Hall</v>
      </c>
      <c r="D1580" s="49" t="str">
        <f t="array" ref="D1580">_xlfn.XLOOKUP(
 B1580,
 tblTargets[TargetID],
 tblTargets[TargetType],
 ""
)</f>
        <v>TECH</v>
      </c>
      <c r="E1580" s="49" t="s">
        <v>237</v>
      </c>
      <c r="F1580" s="49">
        <v>1.0</v>
      </c>
      <c r="G1580" s="49">
        <f t="array" ref="G1580">_xlfn.XLOOKUP(
 A1580,
 tblCost[RequirementID],
 tblCost[QuantityRequired],
 ""
)</f>
        <v>50</v>
      </c>
      <c r="H1580" s="49">
        <f t="array" ref="H1580">IF(
 OR(
  LEFT(B1580,15)="state.character",
  RIGHT(B1580,6)=".maxed"
 ),
 0,
 LET(
  sort,
   _xlfn.XLOOKUP(
    B1580,
    tblChecklist[TargetID],
    tblChecklist[PlayerSort],
    0
   ),
  IF(sort=0,500,sort)
 )
)</f>
        <v>500</v>
      </c>
      <c r="I1580" s="49" t="str">
        <f t="array" ref="I1580">_xlfn.XLOOKUP(
 B1580,
 tblTargetStatus[TargetID],
 tblTargetStatus[Status],
 ""
)</f>
        <v>BLOCKED</v>
      </c>
      <c r="J1580" s="45" t="b">
        <v>0</v>
      </c>
    </row>
    <row r="1581" ht="14.25" hidden="1" customHeight="1">
      <c r="A1581" s="49" t="s">
        <v>3095</v>
      </c>
      <c r="B1581" s="49" t="str">
        <f>IFERROR(__xludf.DUMMYFUNCTION("REGEXREPLACE(
 REGEXREPLACE(A1581,""^cost\."",""""),
 ""\.[^.]+\.[^.]+$"",
 """"
)"),"tech.dungeon.great_hall")</f>
        <v>tech.dungeon.great_hall</v>
      </c>
      <c r="C1581" s="49" t="str">
        <f t="array" ref="C1581">_xlfn.XLOOKUP(
 B1581,
 tblTargets[TargetID],
 tblTargets[DisplayName],
 ""
)</f>
        <v>Dungeon - Great Hall</v>
      </c>
      <c r="D1581" s="49" t="str">
        <f t="array" ref="D1581">_xlfn.XLOOKUP(
 B1581,
 tblTargets[TargetID],
 tblTargets[TargetType],
 ""
)</f>
        <v>TECH</v>
      </c>
      <c r="E1581" s="49" t="s">
        <v>244</v>
      </c>
      <c r="F1581" s="49">
        <v>1.0</v>
      </c>
      <c r="G1581" s="49">
        <f t="array" ref="G1581">_xlfn.XLOOKUP(
 A1581,
 tblCost[RequirementID],
 tblCost[QuantityRequired],
 ""
)</f>
        <v>200</v>
      </c>
      <c r="H1581" s="49">
        <f t="array" ref="H1581">IF(
 OR(
  LEFT(B1581,15)="state.character",
  RIGHT(B1581,6)=".maxed"
 ),
 0,
 LET(
  sort,
   _xlfn.XLOOKUP(
    B1581,
    tblChecklist[TargetID],
    tblChecklist[PlayerSort],
    0
   ),
  IF(sort=0,500,sort)
 )
)</f>
        <v>500</v>
      </c>
      <c r="I1581" s="49" t="str">
        <f t="array" ref="I1581">_xlfn.XLOOKUP(
 B1581,
 tblTargetStatus[TargetID],
 tblTargetStatus[Status],
 ""
)</f>
        <v>BLOCKED</v>
      </c>
      <c r="J1581" s="45" t="b">
        <v>0</v>
      </c>
    </row>
    <row r="1582" ht="14.25" hidden="1" customHeight="1">
      <c r="A1582" s="49" t="s">
        <v>3097</v>
      </c>
      <c r="B1582" s="49" t="str">
        <f>IFERROR(__xludf.DUMMYFUNCTION("REGEXREPLACE(
 REGEXREPLACE(A1582,""^cost\."",""""),
 ""\.[^.]+\.[^.]+$"",
 """"
)"),"tech.fermentory.pasteurization")</f>
        <v>tech.fermentory.pasteurization</v>
      </c>
      <c r="C1582" s="49" t="str">
        <f t="array" ref="C1582">_xlfn.XLOOKUP(
 B1582,
 tblTargets[TargetID],
 tblTargets[DisplayName],
 ""
)</f>
        <v>Fermentory - Pasteurization</v>
      </c>
      <c r="D1582" s="49" t="str">
        <f t="array" ref="D1582">_xlfn.XLOOKUP(
 B1582,
 tblTargets[TargetID],
 tblTargets[TargetType],
 ""
)</f>
        <v>TECH</v>
      </c>
      <c r="E1582" s="49" t="s">
        <v>3099</v>
      </c>
      <c r="F1582" s="49">
        <v>1.0</v>
      </c>
      <c r="G1582" s="49">
        <f t="array" ref="G1582">_xlfn.XLOOKUP(
 A1582,
 tblCost[RequirementID],
 tblCost[QuantityRequired],
 ""
)</f>
        <v>20</v>
      </c>
      <c r="H1582" s="49">
        <f t="array" ref="H1582">IF(
 OR(
  LEFT(B1582,15)="state.character",
  RIGHT(B1582,6)=".maxed"
 ),
 0,
 LET(
  sort,
   _xlfn.XLOOKUP(
    B1582,
    tblChecklist[TargetID],
    tblChecklist[PlayerSort],
    0
   ),
  IF(sort=0,500,sort)
 )
)</f>
        <v>500</v>
      </c>
      <c r="I1582" s="49" t="str">
        <f t="array" ref="I1582">_xlfn.XLOOKUP(
 B1582,
 tblTargetStatus[TargetID],
 tblTargetStatus[Status],
 ""
)</f>
        <v>BLOCKED</v>
      </c>
      <c r="J1582" s="45" t="b">
        <v>0</v>
      </c>
    </row>
    <row r="1583" ht="14.25" hidden="1" customHeight="1">
      <c r="A1583" s="49" t="s">
        <v>3101</v>
      </c>
      <c r="B1583" s="49" t="str">
        <f>IFERROR(__xludf.DUMMYFUNCTION("REGEXREPLACE(
 REGEXREPLACE(A1583,""^cost\."",""""),
 ""\.[^.]+\.[^.]+$"",
 """"
)"),"tech.fermentory.pasteurization")</f>
        <v>tech.fermentory.pasteurization</v>
      </c>
      <c r="C1583" s="49" t="str">
        <f t="array" ref="C1583">_xlfn.XLOOKUP(
 B1583,
 tblTargets[TargetID],
 tblTargets[DisplayName],
 ""
)</f>
        <v>Fermentory - Pasteurization</v>
      </c>
      <c r="D1583" s="49" t="str">
        <f t="array" ref="D1583">_xlfn.XLOOKUP(
 B1583,
 tblTargets[TargetID],
 tblTargets[TargetType],
 ""
)</f>
        <v>TECH</v>
      </c>
      <c r="E1583" s="49" t="s">
        <v>1055</v>
      </c>
      <c r="F1583" s="49">
        <v>1.0</v>
      </c>
      <c r="G1583" s="49">
        <f t="array" ref="G1583">_xlfn.XLOOKUP(
 A1583,
 tblCost[RequirementID],
 tblCost[QuantityRequired],
 ""
)</f>
        <v>40</v>
      </c>
      <c r="H1583" s="49">
        <f t="array" ref="H1583">IF(
 OR(
  LEFT(B1583,15)="state.character",
  RIGHT(B1583,6)=".maxed"
 ),
 0,
 LET(
  sort,
   _xlfn.XLOOKUP(
    B1583,
    tblChecklist[TargetID],
    tblChecklist[PlayerSort],
    0
   ),
  IF(sort=0,500,sort)
 )
)</f>
        <v>500</v>
      </c>
      <c r="I1583" s="49" t="str">
        <f t="array" ref="I1583">_xlfn.XLOOKUP(
 B1583,
 tblTargetStatus[TargetID],
 tblTargetStatus[Status],
 ""
)</f>
        <v>BLOCKED</v>
      </c>
      <c r="J1583" s="45" t="b">
        <v>0</v>
      </c>
    </row>
    <row r="1584" ht="14.25" hidden="1" customHeight="1">
      <c r="A1584" s="49" t="s">
        <v>3103</v>
      </c>
      <c r="B1584" s="49" t="str">
        <f>IFERROR(__xludf.DUMMYFUNCTION("REGEXREPLACE(
 REGEXREPLACE(A1584,""^cost\."",""""),
 ""\.[^.]+\.[^.]+$"",
 """"
)"),"tech.fermentory.pasteurization")</f>
        <v>tech.fermentory.pasteurization</v>
      </c>
      <c r="C1584" s="49" t="str">
        <f t="array" ref="C1584">_xlfn.XLOOKUP(
 B1584,
 tblTargets[TargetID],
 tblTargets[DisplayName],
 ""
)</f>
        <v>Fermentory - Pasteurization</v>
      </c>
      <c r="D1584" s="49" t="str">
        <f t="array" ref="D1584">_xlfn.XLOOKUP(
 B1584,
 tblTargets[TargetID],
 tblTargets[TargetType],
 ""
)</f>
        <v>TECH</v>
      </c>
      <c r="E1584" s="49" t="s">
        <v>2297</v>
      </c>
      <c r="F1584" s="49">
        <v>1.0</v>
      </c>
      <c r="G1584" s="49">
        <f t="array" ref="G1584">_xlfn.XLOOKUP(
 A1584,
 tblCost[RequirementID],
 tblCost[QuantityRequired],
 ""
)</f>
        <v>20</v>
      </c>
      <c r="H1584" s="49">
        <f t="array" ref="H1584">IF(
 OR(
  LEFT(B1584,15)="state.character",
  RIGHT(B1584,6)=".maxed"
 ),
 0,
 LET(
  sort,
   _xlfn.XLOOKUP(
    B1584,
    tblChecklist[TargetID],
    tblChecklist[PlayerSort],
    0
   ),
  IF(sort=0,500,sort)
 )
)</f>
        <v>500</v>
      </c>
      <c r="I1584" s="49" t="str">
        <f t="array" ref="I1584">_xlfn.XLOOKUP(
 B1584,
 tblTargetStatus[TargetID],
 tblTargetStatus[Status],
 ""
)</f>
        <v>BLOCKED</v>
      </c>
      <c r="J1584" s="45" t="b">
        <v>0</v>
      </c>
    </row>
    <row r="1585" ht="14.25" hidden="1" customHeight="1">
      <c r="A1585" s="49" t="s">
        <v>3105</v>
      </c>
      <c r="B1585" s="49" t="str">
        <f>IFERROR(__xludf.DUMMYFUNCTION("REGEXREPLACE(
 REGEXREPLACE(A1585,""^cost\."",""""),
 ""\.[^.]+\.[^.]+$"",
 """"
)"),"tech.fermentory.pasteurization")</f>
        <v>tech.fermentory.pasteurization</v>
      </c>
      <c r="C1585" s="49" t="str">
        <f t="array" ref="C1585">_xlfn.XLOOKUP(
 B1585,
 tblTargets[TargetID],
 tblTargets[DisplayName],
 ""
)</f>
        <v>Fermentory - Pasteurization</v>
      </c>
      <c r="D1585" s="49" t="str">
        <f t="array" ref="D1585">_xlfn.XLOOKUP(
 B1585,
 tblTargets[TargetID],
 tblTargets[TargetType],
 ""
)</f>
        <v>TECH</v>
      </c>
      <c r="E1585" s="49" t="s">
        <v>119</v>
      </c>
      <c r="F1585" s="49">
        <v>1.0</v>
      </c>
      <c r="G1585" s="49">
        <f t="array" ref="G1585">_xlfn.XLOOKUP(
 A1585,
 tblCost[RequirementID],
 tblCost[QuantityRequired],
 ""
)</f>
        <v>1000</v>
      </c>
      <c r="H1585" s="49">
        <f t="array" ref="H1585">IF(
 OR(
  LEFT(B1585,15)="state.character",
  RIGHT(B1585,6)=".maxed"
 ),
 0,
 LET(
  sort,
   _xlfn.XLOOKUP(
    B1585,
    tblChecklist[TargetID],
    tblChecklist[PlayerSort],
    0
   ),
  IF(sort=0,500,sort)
 )
)</f>
        <v>500</v>
      </c>
      <c r="I1585" s="49" t="str">
        <f t="array" ref="I1585">_xlfn.XLOOKUP(
 B1585,
 tblTargetStatus[TargetID],
 tblTargetStatus[Status],
 ""
)</f>
        <v>BLOCKED</v>
      </c>
      <c r="J1585" s="45" t="b">
        <v>0</v>
      </c>
    </row>
    <row r="1586" ht="14.25" hidden="1" customHeight="1">
      <c r="A1586" s="49" t="s">
        <v>3107</v>
      </c>
      <c r="B1586" s="49" t="str">
        <f>IFERROR(__xludf.DUMMYFUNCTION("REGEXREPLACE(
 REGEXREPLACE(A1586,""^cost\."",""""),
 ""\.[^.]+\.[^.]+$"",
 """"
)"),"tech.fermentory.pasteurization")</f>
        <v>tech.fermentory.pasteurization</v>
      </c>
      <c r="C1586" s="49" t="str">
        <f t="array" ref="C1586">_xlfn.XLOOKUP(
 B1586,
 tblTargets[TargetID],
 tblTargets[DisplayName],
 ""
)</f>
        <v>Fermentory - Pasteurization</v>
      </c>
      <c r="D1586" s="49" t="str">
        <f t="array" ref="D1586">_xlfn.XLOOKUP(
 B1586,
 tblTargets[TargetID],
 tblTargets[TargetType],
 ""
)</f>
        <v>TECH</v>
      </c>
      <c r="E1586" s="49" t="s">
        <v>527</v>
      </c>
      <c r="F1586" s="49">
        <v>1.0</v>
      </c>
      <c r="G1586" s="49">
        <f t="array" ref="G1586">_xlfn.XLOOKUP(
 A1586,
 tblCost[RequirementID],
 tblCost[QuantityRequired],
 ""
)</f>
        <v>10</v>
      </c>
      <c r="H1586" s="49">
        <f t="array" ref="H1586">IF(
 OR(
  LEFT(B1586,15)="state.character",
  RIGHT(B1586,6)=".maxed"
 ),
 0,
 LET(
  sort,
   _xlfn.XLOOKUP(
    B1586,
    tblChecklist[TargetID],
    tblChecklist[PlayerSort],
    0
   ),
  IF(sort=0,500,sort)
 )
)</f>
        <v>500</v>
      </c>
      <c r="I1586" s="49" t="str">
        <f t="array" ref="I1586">_xlfn.XLOOKUP(
 B1586,
 tblTargetStatus[TargetID],
 tblTargetStatus[Status],
 ""
)</f>
        <v>BLOCKED</v>
      </c>
      <c r="J1586" s="45" t="b">
        <v>0</v>
      </c>
    </row>
    <row r="1587" ht="14.25" hidden="1" customHeight="1">
      <c r="A1587" s="49" t="s">
        <v>3109</v>
      </c>
      <c r="B1587" s="49" t="str">
        <f>IFERROR(__xludf.DUMMYFUNCTION("REGEXREPLACE(
 REGEXREPLACE(A1587,""^cost\."",""""),
 ""\.[^.]+\.[^.]+$"",
 """"
)"),"tech.fermentory.pasteurization")</f>
        <v>tech.fermentory.pasteurization</v>
      </c>
      <c r="C1587" s="49" t="str">
        <f t="array" ref="C1587">_xlfn.XLOOKUP(
 B1587,
 tblTargets[TargetID],
 tblTargets[DisplayName],
 ""
)</f>
        <v>Fermentory - Pasteurization</v>
      </c>
      <c r="D1587" s="49" t="str">
        <f t="array" ref="D1587">_xlfn.XLOOKUP(
 B1587,
 tblTargets[TargetID],
 tblTargets[TargetType],
 ""
)</f>
        <v>TECH</v>
      </c>
      <c r="E1587" s="49" t="s">
        <v>360</v>
      </c>
      <c r="F1587" s="49">
        <v>1.0</v>
      </c>
      <c r="G1587" s="49">
        <f t="array" ref="G1587">_xlfn.XLOOKUP(
 A1587,
 tblCost[RequirementID],
 tblCost[QuantityRequired],
 ""
)</f>
        <v>30</v>
      </c>
      <c r="H1587" s="49">
        <f t="array" ref="H1587">IF(
 OR(
  LEFT(B1587,15)="state.character",
  RIGHT(B1587,6)=".maxed"
 ),
 0,
 LET(
  sort,
   _xlfn.XLOOKUP(
    B1587,
    tblChecklist[TargetID],
    tblChecklist[PlayerSort],
    0
   ),
  IF(sort=0,500,sort)
 )
)</f>
        <v>500</v>
      </c>
      <c r="I1587" s="49" t="str">
        <f t="array" ref="I1587">_xlfn.XLOOKUP(
 B1587,
 tblTargetStatus[TargetID],
 tblTargetStatus[Status],
 ""
)</f>
        <v>BLOCKED</v>
      </c>
      <c r="J1587" s="45" t="b">
        <v>0</v>
      </c>
    </row>
    <row r="1588" ht="14.25" hidden="1" customHeight="1">
      <c r="A1588" s="49" t="s">
        <v>3111</v>
      </c>
      <c r="B1588" s="49" t="str">
        <f>IFERROR(__xludf.DUMMYFUNCTION("REGEXREPLACE(
 REGEXREPLACE(A1588,""^cost\."",""""),
 ""\.[^.]+\.[^.]+$"",
 """"
)"),"tech.fermentory.pasteurization")</f>
        <v>tech.fermentory.pasteurization</v>
      </c>
      <c r="C1588" s="49" t="str">
        <f t="array" ref="C1588">_xlfn.XLOOKUP(
 B1588,
 tblTargets[TargetID],
 tblTargets[DisplayName],
 ""
)</f>
        <v>Fermentory - Pasteurization</v>
      </c>
      <c r="D1588" s="49" t="str">
        <f t="array" ref="D1588">_xlfn.XLOOKUP(
 B1588,
 tblTargets[TargetID],
 tblTargets[TargetType],
 ""
)</f>
        <v>TECH</v>
      </c>
      <c r="E1588" s="49" t="s">
        <v>6</v>
      </c>
      <c r="F1588" s="49">
        <v>1.0</v>
      </c>
      <c r="G1588" s="49">
        <f t="array" ref="G1588">_xlfn.XLOOKUP(
 A1588,
 tblCost[RequirementID],
 tblCost[QuantityRequired],
 ""
)</f>
        <v>10</v>
      </c>
      <c r="H1588" s="49">
        <f t="array" ref="H1588">IF(
 OR(
  LEFT(B1588,15)="state.character",
  RIGHT(B1588,6)=".maxed"
 ),
 0,
 LET(
  sort,
   _xlfn.XLOOKUP(
    B1588,
    tblChecklist[TargetID],
    tblChecklist[PlayerSort],
    0
   ),
  IF(sort=0,500,sort)
 )
)</f>
        <v>500</v>
      </c>
      <c r="I1588" s="49" t="str">
        <f t="array" ref="I1588">_xlfn.XLOOKUP(
 B1588,
 tblTargetStatus[TargetID],
 tblTargetStatus[Status],
 ""
)</f>
        <v>BLOCKED</v>
      </c>
      <c r="J1588" s="45" t="b">
        <v>0</v>
      </c>
    </row>
    <row r="1589" ht="14.25" hidden="1" customHeight="1">
      <c r="A1589" s="49" t="s">
        <v>3113</v>
      </c>
      <c r="B1589" s="49" t="str">
        <f>IFERROR(__xludf.DUMMYFUNCTION("REGEXREPLACE(
 REGEXREPLACE(A1589,""^cost\."",""""),
 ""\.[^.]+\.[^.]+$"",
 """"
)"),"tech.fermentory.pasteurization")</f>
        <v>tech.fermentory.pasteurization</v>
      </c>
      <c r="C1589" s="49" t="str">
        <f t="array" ref="C1589">_xlfn.XLOOKUP(
 B1589,
 tblTargets[TargetID],
 tblTargets[DisplayName],
 ""
)</f>
        <v>Fermentory - Pasteurization</v>
      </c>
      <c r="D1589" s="49" t="str">
        <f t="array" ref="D1589">_xlfn.XLOOKUP(
 B1589,
 tblTargets[TargetID],
 tblTargets[TargetType],
 ""
)</f>
        <v>TECH</v>
      </c>
      <c r="E1589" s="49" t="s">
        <v>392</v>
      </c>
      <c r="F1589" s="49">
        <v>1.0</v>
      </c>
      <c r="G1589" s="49">
        <f t="array" ref="G1589">_xlfn.XLOOKUP(
 A1589,
 tblCost[RequirementID],
 tblCost[QuantityRequired],
 ""
)</f>
        <v>200</v>
      </c>
      <c r="H1589" s="49">
        <f t="array" ref="H1589">IF(
 OR(
  LEFT(B1589,15)="state.character",
  RIGHT(B1589,6)=".maxed"
 ),
 0,
 LET(
  sort,
   _xlfn.XLOOKUP(
    B1589,
    tblChecklist[TargetID],
    tblChecklist[PlayerSort],
    0
   ),
  IF(sort=0,500,sort)
 )
)</f>
        <v>500</v>
      </c>
      <c r="I1589" s="49" t="str">
        <f t="array" ref="I1589">_xlfn.XLOOKUP(
 B1589,
 tblTargetStatus[TargetID],
 tblTargetStatus[Status],
 ""
)</f>
        <v>BLOCKED</v>
      </c>
      <c r="J1589" s="45" t="b">
        <v>0</v>
      </c>
    </row>
    <row r="1590" ht="14.25" hidden="1" customHeight="1">
      <c r="A1590" s="49" t="s">
        <v>3127</v>
      </c>
      <c r="B1590" s="49" t="str">
        <f>IFERROR(__xludf.DUMMYFUNCTION("REGEXREPLACE(
 REGEXREPLACE(A1590,""^cost\."",""""),
 ""\.[^.]+\.[^.]+$"",
 """"
)"),"tech.field.combine_harvester")</f>
        <v>tech.field.combine_harvester</v>
      </c>
      <c r="C1590" s="49" t="str">
        <f t="array" ref="C1590">_xlfn.XLOOKUP(
 B1590,
 tblTargets[TargetID],
 tblTargets[DisplayName],
 ""
)</f>
        <v>Field - Combine Harvester</v>
      </c>
      <c r="D1590" s="49" t="str">
        <f t="array" ref="D1590">_xlfn.XLOOKUP(
 B1590,
 tblTargets[TargetID],
 tblTargets[TargetType],
 ""
)</f>
        <v>TECH</v>
      </c>
      <c r="E1590" s="49" t="s">
        <v>1055</v>
      </c>
      <c r="F1590" s="49">
        <v>1.0</v>
      </c>
      <c r="G1590" s="49">
        <f t="array" ref="G1590">_xlfn.XLOOKUP(
 A1590,
 tblCost[RequirementID],
 tblCost[QuantityRequired],
 ""
)</f>
        <v>30</v>
      </c>
      <c r="H1590" s="49">
        <f t="array" ref="H1590">IF(
 OR(
  LEFT(B1590,15)="state.character",
  RIGHT(B1590,6)=".maxed"
 ),
 0,
 LET(
  sort,
   _xlfn.XLOOKUP(
    B1590,
    tblChecklist[TargetID],
    tblChecklist[PlayerSort],
    0
   ),
  IF(sort=0,500,sort)
 )
)</f>
        <v>500</v>
      </c>
      <c r="I1590" s="49" t="str">
        <f t="array" ref="I1590">_xlfn.XLOOKUP(
 B1590,
 tblTargetStatus[TargetID],
 tblTargetStatus[Status],
 ""
)</f>
        <v>BLOCKED</v>
      </c>
      <c r="J1590" s="45" t="b">
        <v>0</v>
      </c>
    </row>
    <row r="1591" ht="14.25" hidden="1" customHeight="1">
      <c r="A1591" s="49" t="s">
        <v>3129</v>
      </c>
      <c r="B1591" s="49" t="str">
        <f>IFERROR(__xludf.DUMMYFUNCTION("REGEXREPLACE(
 REGEXREPLACE(A1591,""^cost\."",""""),
 ""\.[^.]+\.[^.]+$"",
 """"
)"),"tech.field.combine_harvester")</f>
        <v>tech.field.combine_harvester</v>
      </c>
      <c r="C1591" s="49" t="str">
        <f t="array" ref="C1591">_xlfn.XLOOKUP(
 B1591,
 tblTargets[TargetID],
 tblTargets[DisplayName],
 ""
)</f>
        <v>Field - Combine Harvester</v>
      </c>
      <c r="D1591" s="49" t="str">
        <f t="array" ref="D1591">_xlfn.XLOOKUP(
 B1591,
 tblTargets[TargetID],
 tblTargets[TargetType],
 ""
)</f>
        <v>TECH</v>
      </c>
      <c r="E1591" s="49" t="s">
        <v>119</v>
      </c>
      <c r="F1591" s="49">
        <v>1.0</v>
      </c>
      <c r="G1591" s="49">
        <f t="array" ref="G1591">_xlfn.XLOOKUP(
 A1591,
 tblCost[RequirementID],
 tblCost[QuantityRequired],
 ""
)</f>
        <v>600</v>
      </c>
      <c r="H1591" s="49">
        <f t="array" ref="H1591">IF(
 OR(
  LEFT(B1591,15)="state.character",
  RIGHT(B1591,6)=".maxed"
 ),
 0,
 LET(
  sort,
   _xlfn.XLOOKUP(
    B1591,
    tblChecklist[TargetID],
    tblChecklist[PlayerSort],
    0
   ),
  IF(sort=0,500,sort)
 )
)</f>
        <v>500</v>
      </c>
      <c r="I1591" s="49" t="str">
        <f t="array" ref="I1591">_xlfn.XLOOKUP(
 B1591,
 tblTargetStatus[TargetID],
 tblTargetStatus[Status],
 ""
)</f>
        <v>BLOCKED</v>
      </c>
      <c r="J1591" s="45" t="b">
        <v>0</v>
      </c>
    </row>
    <row r="1592" ht="14.25" hidden="1" customHeight="1">
      <c r="A1592" s="49" t="s">
        <v>3131</v>
      </c>
      <c r="B1592" s="49" t="str">
        <f>IFERROR(__xludf.DUMMYFUNCTION("REGEXREPLACE(
 REGEXREPLACE(A1592,""^cost\."",""""),
 ""\.[^.]+\.[^.]+$"",
 """"
)"),"tech.field.combine_harvester")</f>
        <v>tech.field.combine_harvester</v>
      </c>
      <c r="C1592" s="49" t="str">
        <f t="array" ref="C1592">_xlfn.XLOOKUP(
 B1592,
 tblTargets[TargetID],
 tblTargets[DisplayName],
 ""
)</f>
        <v>Field - Combine Harvester</v>
      </c>
      <c r="D1592" s="49" t="str">
        <f t="array" ref="D1592">_xlfn.XLOOKUP(
 B1592,
 tblTargets[TargetID],
 tblTargets[TargetType],
 ""
)</f>
        <v>TECH</v>
      </c>
      <c r="E1592" s="49" t="s">
        <v>2964</v>
      </c>
      <c r="F1592" s="49">
        <v>1.0</v>
      </c>
      <c r="G1592" s="49">
        <f t="array" ref="G1592">_xlfn.XLOOKUP(
 A1592,
 tblCost[RequirementID],
 tblCost[QuantityRequired],
 ""
)</f>
        <v>60</v>
      </c>
      <c r="H1592" s="49">
        <f t="array" ref="H1592">IF(
 OR(
  LEFT(B1592,15)="state.character",
  RIGHT(B1592,6)=".maxed"
 ),
 0,
 LET(
  sort,
   _xlfn.XLOOKUP(
    B1592,
    tblChecklist[TargetID],
    tblChecklist[PlayerSort],
    0
   ),
  IF(sort=0,500,sort)
 )
)</f>
        <v>500</v>
      </c>
      <c r="I1592" s="49" t="str">
        <f t="array" ref="I1592">_xlfn.XLOOKUP(
 B1592,
 tblTargetStatus[TargetID],
 tblTargetStatus[Status],
 ""
)</f>
        <v>BLOCKED</v>
      </c>
      <c r="J1592" s="45" t="b">
        <v>0</v>
      </c>
    </row>
    <row r="1593" ht="14.25" hidden="1" customHeight="1">
      <c r="A1593" s="49" t="s">
        <v>3132</v>
      </c>
      <c r="B1593" s="49" t="str">
        <f>IFERROR(__xludf.DUMMYFUNCTION("REGEXREPLACE(
 REGEXREPLACE(A1593,""^cost\."",""""),
 ""\.[^.]+\.[^.]+$"",
 """"
)"),"tech.field.combine_harvester")</f>
        <v>tech.field.combine_harvester</v>
      </c>
      <c r="C1593" s="49" t="str">
        <f t="array" ref="C1593">_xlfn.XLOOKUP(
 B1593,
 tblTargets[TargetID],
 tblTargets[DisplayName],
 ""
)</f>
        <v>Field - Combine Harvester</v>
      </c>
      <c r="D1593" s="49" t="str">
        <f t="array" ref="D1593">_xlfn.XLOOKUP(
 B1593,
 tblTargets[TargetID],
 tblTargets[TargetType],
 ""
)</f>
        <v>TECH</v>
      </c>
      <c r="E1593" s="49" t="s">
        <v>1078</v>
      </c>
      <c r="F1593" s="49">
        <v>1.0</v>
      </c>
      <c r="G1593" s="49">
        <f t="array" ref="G1593">_xlfn.XLOOKUP(
 A1593,
 tblCost[RequirementID],
 tblCost[QuantityRequired],
 ""
)</f>
        <v>10</v>
      </c>
      <c r="H1593" s="49">
        <f t="array" ref="H1593">IF(
 OR(
  LEFT(B1593,15)="state.character",
  RIGHT(B1593,6)=".maxed"
 ),
 0,
 LET(
  sort,
   _xlfn.XLOOKUP(
    B1593,
    tblChecklist[TargetID],
    tblChecklist[PlayerSort],
    0
   ),
  IF(sort=0,500,sort)
 )
)</f>
        <v>500</v>
      </c>
      <c r="I1593" s="49" t="str">
        <f t="array" ref="I1593">_xlfn.XLOOKUP(
 B1593,
 tblTargetStatus[TargetID],
 tblTargetStatus[Status],
 ""
)</f>
        <v>BLOCKED</v>
      </c>
      <c r="J1593" s="45" t="b">
        <v>0</v>
      </c>
    </row>
    <row r="1594" ht="14.25" hidden="1" customHeight="1">
      <c r="A1594" s="49" t="s">
        <v>3134</v>
      </c>
      <c r="B1594" s="49" t="str">
        <f>IFERROR(__xludf.DUMMYFUNCTION("REGEXREPLACE(
 REGEXREPLACE(A1594,""^cost\."",""""),
 ""\.[^.]+\.[^.]+$"",
 """"
)"),"tech.field.combine_harvester")</f>
        <v>tech.field.combine_harvester</v>
      </c>
      <c r="C1594" s="49" t="str">
        <f t="array" ref="C1594">_xlfn.XLOOKUP(
 B1594,
 tblTargets[TargetID],
 tblTargets[DisplayName],
 ""
)</f>
        <v>Field - Combine Harvester</v>
      </c>
      <c r="D1594" s="49" t="str">
        <f t="array" ref="D1594">_xlfn.XLOOKUP(
 B1594,
 tblTargets[TargetID],
 tblTargets[TargetType],
 ""
)</f>
        <v>TECH</v>
      </c>
      <c r="E1594" s="49" t="s">
        <v>6</v>
      </c>
      <c r="F1594" s="49">
        <v>1.0</v>
      </c>
      <c r="G1594" s="49">
        <f t="array" ref="G1594">_xlfn.XLOOKUP(
 A1594,
 tblCost[RequirementID],
 tblCost[QuantityRequired],
 ""
)</f>
        <v>4</v>
      </c>
      <c r="H1594" s="49">
        <f t="array" ref="H1594">IF(
 OR(
  LEFT(B1594,15)="state.character",
  RIGHT(B1594,6)=".maxed"
 ),
 0,
 LET(
  sort,
   _xlfn.XLOOKUP(
    B1594,
    tblChecklist[TargetID],
    tblChecklist[PlayerSort],
    0
   ),
  IF(sort=0,500,sort)
 )
)</f>
        <v>500</v>
      </c>
      <c r="I1594" s="49" t="str">
        <f t="array" ref="I1594">_xlfn.XLOOKUP(
 B1594,
 tblTargetStatus[TargetID],
 tblTargetStatus[Status],
 ""
)</f>
        <v>BLOCKED</v>
      </c>
      <c r="J1594" s="45" t="b">
        <v>0</v>
      </c>
    </row>
    <row r="1595" ht="14.25" hidden="1" customHeight="1">
      <c r="A1595" s="49" t="s">
        <v>3136</v>
      </c>
      <c r="B1595" s="49" t="str">
        <f>IFERROR(__xludf.DUMMYFUNCTION("REGEXREPLACE(
 REGEXREPLACE(A1595,""^cost\."",""""),
 ""\.[^.]+\.[^.]+$"",
 """"
)"),"tech.field.combine_harvester")</f>
        <v>tech.field.combine_harvester</v>
      </c>
      <c r="C1595" s="49" t="str">
        <f t="array" ref="C1595">_xlfn.XLOOKUP(
 B1595,
 tblTargets[TargetID],
 tblTargets[DisplayName],
 ""
)</f>
        <v>Field - Combine Harvester</v>
      </c>
      <c r="D1595" s="49" t="str">
        <f t="array" ref="D1595">_xlfn.XLOOKUP(
 B1595,
 tblTargets[TargetID],
 tblTargets[TargetType],
 ""
)</f>
        <v>TECH</v>
      </c>
      <c r="E1595" s="49" t="s">
        <v>3138</v>
      </c>
      <c r="F1595" s="49">
        <v>1.0</v>
      </c>
      <c r="G1595" s="49">
        <f t="array" ref="G1595">_xlfn.XLOOKUP(
 A1595,
 tblCost[RequirementID],
 tblCost[QuantityRequired],
 ""
)</f>
        <v>10</v>
      </c>
      <c r="H1595" s="49">
        <f t="array" ref="H1595">IF(
 OR(
  LEFT(B1595,15)="state.character",
  RIGHT(B1595,6)=".maxed"
 ),
 0,
 LET(
  sort,
   _xlfn.XLOOKUP(
    B1595,
    tblChecklist[TargetID],
    tblChecklist[PlayerSort],
    0
   ),
  IF(sort=0,500,sort)
 )
)</f>
        <v>500</v>
      </c>
      <c r="I1595" s="49" t="str">
        <f t="array" ref="I1595">_xlfn.XLOOKUP(
 B1595,
 tblTargetStatus[TargetID],
 tblTargetStatus[Status],
 ""
)</f>
        <v>BLOCKED</v>
      </c>
      <c r="J1595" s="45" t="b">
        <v>0</v>
      </c>
    </row>
    <row r="1596" ht="14.25" hidden="1" customHeight="1">
      <c r="A1596" s="49" t="s">
        <v>3115</v>
      </c>
      <c r="B1596" s="49" t="str">
        <f>IFERROR(__xludf.DUMMYFUNCTION("REGEXREPLACE(
 REGEXREPLACE(A1596,""^cost\."",""""),
 ""\.[^.]+\.[^.]+$"",
 """"
)"),"tech.field.seed_drill")</f>
        <v>tech.field.seed_drill</v>
      </c>
      <c r="C1596" s="49" t="str">
        <f t="array" ref="C1596">_xlfn.XLOOKUP(
 B1596,
 tblTargets[TargetID],
 tblTargets[DisplayName],
 ""
)</f>
        <v>Field - Seed Drill</v>
      </c>
      <c r="D1596" s="49" t="str">
        <f t="array" ref="D1596">_xlfn.XLOOKUP(
 B1596,
 tblTargets[TargetID],
 tblTargets[TargetType],
 ""
)</f>
        <v>TECH</v>
      </c>
      <c r="E1596" s="49" t="s">
        <v>1055</v>
      </c>
      <c r="F1596" s="49">
        <v>1.0</v>
      </c>
      <c r="G1596" s="49">
        <f t="array" ref="G1596">_xlfn.XLOOKUP(
 A1596,
 tblCost[RequirementID],
 tblCost[QuantityRequired],
 ""
)</f>
        <v>10</v>
      </c>
      <c r="H1596" s="49">
        <f t="array" ref="H1596">IF(
 OR(
  LEFT(B1596,15)="state.character",
  RIGHT(B1596,6)=".maxed"
 ),
 0,
 LET(
  sort,
   _xlfn.XLOOKUP(
    B1596,
    tblChecklist[TargetID],
    tblChecklist[PlayerSort],
    0
   ),
  IF(sort=0,500,sort)
 )
)</f>
        <v>500</v>
      </c>
      <c r="I1596" s="49" t="str">
        <f t="array" ref="I1596">_xlfn.XLOOKUP(
 B1596,
 tblTargetStatus[TargetID],
 tblTargetStatus[Status],
 ""
)</f>
        <v>BLOCKED</v>
      </c>
      <c r="J1596" s="45" t="b">
        <v>0</v>
      </c>
    </row>
    <row r="1597" ht="14.25" hidden="1" customHeight="1">
      <c r="A1597" s="49" t="s">
        <v>3117</v>
      </c>
      <c r="B1597" s="49" t="str">
        <f>IFERROR(__xludf.DUMMYFUNCTION("REGEXREPLACE(
 REGEXREPLACE(A1597,""^cost\."",""""),
 ""\.[^.]+\.[^.]+$"",
 """"
)"),"tech.field.seed_drill")</f>
        <v>tech.field.seed_drill</v>
      </c>
      <c r="C1597" s="49" t="str">
        <f t="array" ref="C1597">_xlfn.XLOOKUP(
 B1597,
 tblTargets[TargetID],
 tblTargets[DisplayName],
 ""
)</f>
        <v>Field - Seed Drill</v>
      </c>
      <c r="D1597" s="49" t="str">
        <f t="array" ref="D1597">_xlfn.XLOOKUP(
 B1597,
 tblTargets[TargetID],
 tblTargets[TargetType],
 ""
)</f>
        <v>TECH</v>
      </c>
      <c r="E1597" s="49" t="s">
        <v>119</v>
      </c>
      <c r="F1597" s="49">
        <v>1.0</v>
      </c>
      <c r="G1597" s="49">
        <f t="array" ref="G1597">_xlfn.XLOOKUP(
 A1597,
 tblCost[RequirementID],
 tblCost[QuantityRequired],
 ""
)</f>
        <v>400</v>
      </c>
      <c r="H1597" s="49">
        <f t="array" ref="H1597">IF(
 OR(
  LEFT(B1597,15)="state.character",
  RIGHT(B1597,6)=".maxed"
 ),
 0,
 LET(
  sort,
   _xlfn.XLOOKUP(
    B1597,
    tblChecklist[TargetID],
    tblChecklist[PlayerSort],
    0
   ),
  IF(sort=0,500,sort)
 )
)</f>
        <v>500</v>
      </c>
      <c r="I1597" s="49" t="str">
        <f t="array" ref="I1597">_xlfn.XLOOKUP(
 B1597,
 tblTargetStatus[TargetID],
 tblTargetStatus[Status],
 ""
)</f>
        <v>BLOCKED</v>
      </c>
      <c r="J1597" s="45" t="b">
        <v>0</v>
      </c>
    </row>
    <row r="1598" ht="14.25" hidden="1" customHeight="1">
      <c r="A1598" s="49" t="s">
        <v>3119</v>
      </c>
      <c r="B1598" s="49" t="str">
        <f>IFERROR(__xludf.DUMMYFUNCTION("REGEXREPLACE(
 REGEXREPLACE(A1598,""^cost\."",""""),
 ""\.[^.]+\.[^.]+$"",
 """"
)"),"tech.field.seed_drill")</f>
        <v>tech.field.seed_drill</v>
      </c>
      <c r="C1598" s="49" t="str">
        <f t="array" ref="C1598">_xlfn.XLOOKUP(
 B1598,
 tblTargets[TargetID],
 tblTargets[DisplayName],
 ""
)</f>
        <v>Field - Seed Drill</v>
      </c>
      <c r="D1598" s="49" t="str">
        <f t="array" ref="D1598">_xlfn.XLOOKUP(
 B1598,
 tblTargets[TargetID],
 tblTargets[TargetType],
 ""
)</f>
        <v>TECH</v>
      </c>
      <c r="E1598" s="49" t="s">
        <v>2964</v>
      </c>
      <c r="F1598" s="49">
        <v>1.0</v>
      </c>
      <c r="G1598" s="49">
        <f t="array" ref="G1598">_xlfn.XLOOKUP(
 A1598,
 tblCost[RequirementID],
 tblCost[QuantityRequired],
 ""
)</f>
        <v>40</v>
      </c>
      <c r="H1598" s="49">
        <f t="array" ref="H1598">IF(
 OR(
  LEFT(B1598,15)="state.character",
  RIGHT(B1598,6)=".maxed"
 ),
 0,
 LET(
  sort,
   _xlfn.XLOOKUP(
    B1598,
    tblChecklist[TargetID],
    tblChecklist[PlayerSort],
    0
   ),
  IF(sort=0,500,sort)
 )
)</f>
        <v>500</v>
      </c>
      <c r="I1598" s="49" t="str">
        <f t="array" ref="I1598">_xlfn.XLOOKUP(
 B1598,
 tblTargetStatus[TargetID],
 tblTargetStatus[Status],
 ""
)</f>
        <v>BLOCKED</v>
      </c>
      <c r="J1598" s="45" t="b">
        <v>0</v>
      </c>
    </row>
    <row r="1599" ht="14.25" hidden="1" customHeight="1">
      <c r="A1599" s="49" t="s">
        <v>3121</v>
      </c>
      <c r="B1599" s="49" t="str">
        <f>IFERROR(__xludf.DUMMYFUNCTION("REGEXREPLACE(
 REGEXREPLACE(A1599,""^cost\."",""""),
 ""\.[^.]+\.[^.]+$"",
 """"
)"),"tech.field.seed_drill")</f>
        <v>tech.field.seed_drill</v>
      </c>
      <c r="C1599" s="49" t="str">
        <f t="array" ref="C1599">_xlfn.XLOOKUP(
 B1599,
 tblTargets[TargetID],
 tblTargets[DisplayName],
 ""
)</f>
        <v>Field - Seed Drill</v>
      </c>
      <c r="D1599" s="49" t="str">
        <f t="array" ref="D1599">_xlfn.XLOOKUP(
 B1599,
 tblTargets[TargetID],
 tblTargets[TargetType],
 ""
)</f>
        <v>TECH</v>
      </c>
      <c r="E1599" s="49" t="s">
        <v>1078</v>
      </c>
      <c r="F1599" s="49">
        <v>1.0</v>
      </c>
      <c r="G1599" s="49">
        <f t="array" ref="G1599">_xlfn.XLOOKUP(
 A1599,
 tblCost[RequirementID],
 tblCost[QuantityRequired],
 ""
)</f>
        <v>10</v>
      </c>
      <c r="H1599" s="49">
        <f t="array" ref="H1599">IF(
 OR(
  LEFT(B1599,15)="state.character",
  RIGHT(B1599,6)=".maxed"
 ),
 0,
 LET(
  sort,
   _xlfn.XLOOKUP(
    B1599,
    tblChecklist[TargetID],
    tblChecklist[PlayerSort],
    0
   ),
  IF(sort=0,500,sort)
 )
)</f>
        <v>500</v>
      </c>
      <c r="I1599" s="49" t="str">
        <f t="array" ref="I1599">_xlfn.XLOOKUP(
 B1599,
 tblTargetStatus[TargetID],
 tblTargetStatus[Status],
 ""
)</f>
        <v>BLOCKED</v>
      </c>
      <c r="J1599" s="45" t="b">
        <v>0</v>
      </c>
    </row>
    <row r="1600" ht="14.25" hidden="1" customHeight="1">
      <c r="A1600" s="49" t="s">
        <v>3123</v>
      </c>
      <c r="B1600" s="49" t="str">
        <f>IFERROR(__xludf.DUMMYFUNCTION("REGEXREPLACE(
 REGEXREPLACE(A1600,""^cost\."",""""),
 ""\.[^.]+\.[^.]+$"",
 """"
)"),"tech.field.seed_drill")</f>
        <v>tech.field.seed_drill</v>
      </c>
      <c r="C1600" s="49" t="str">
        <f t="array" ref="C1600">_xlfn.XLOOKUP(
 B1600,
 tblTargets[TargetID],
 tblTargets[DisplayName],
 ""
)</f>
        <v>Field - Seed Drill</v>
      </c>
      <c r="D1600" s="49" t="str">
        <f t="array" ref="D1600">_xlfn.XLOOKUP(
 B1600,
 tblTargets[TargetID],
 tblTargets[TargetType],
 ""
)</f>
        <v>TECH</v>
      </c>
      <c r="E1600" s="49" t="s">
        <v>2135</v>
      </c>
      <c r="F1600" s="49">
        <v>1.0</v>
      </c>
      <c r="G1600" s="49">
        <f t="array" ref="G1600">_xlfn.XLOOKUP(
 A1600,
 tblCost[RequirementID],
 tblCost[QuantityRequired],
 ""
)</f>
        <v>20</v>
      </c>
      <c r="H1600" s="49">
        <f t="array" ref="H1600">IF(
 OR(
  LEFT(B1600,15)="state.character",
  RIGHT(B1600,6)=".maxed"
 ),
 0,
 LET(
  sort,
   _xlfn.XLOOKUP(
    B1600,
    tblChecklist[TargetID],
    tblChecklist[PlayerSort],
    0
   ),
  IF(sort=0,500,sort)
 )
)</f>
        <v>500</v>
      </c>
      <c r="I1600" s="49" t="str">
        <f t="array" ref="I1600">_xlfn.XLOOKUP(
 B1600,
 tblTargetStatus[TargetID],
 tblTargetStatus[Status],
 ""
)</f>
        <v>BLOCKED</v>
      </c>
      <c r="J1600" s="45" t="b">
        <v>0</v>
      </c>
    </row>
    <row r="1601" ht="14.25" hidden="1" customHeight="1">
      <c r="A1601" s="49" t="s">
        <v>3125</v>
      </c>
      <c r="B1601" s="49" t="str">
        <f>IFERROR(__xludf.DUMMYFUNCTION("REGEXREPLACE(
 REGEXREPLACE(A1601,""^cost\."",""""),
 ""\.[^.]+\.[^.]+$"",
 """"
)"),"tech.field.seed_drill")</f>
        <v>tech.field.seed_drill</v>
      </c>
      <c r="C1601" s="49" t="str">
        <f t="array" ref="C1601">_xlfn.XLOOKUP(
 B1601,
 tblTargets[TargetID],
 tblTargets[DisplayName],
 ""
)</f>
        <v>Field - Seed Drill</v>
      </c>
      <c r="D1601" s="49" t="str">
        <f t="array" ref="D1601">_xlfn.XLOOKUP(
 B1601,
 tblTargets[TargetID],
 tblTargets[TargetType],
 ""
)</f>
        <v>TECH</v>
      </c>
      <c r="E1601" s="49" t="s">
        <v>6</v>
      </c>
      <c r="F1601" s="49">
        <v>1.0</v>
      </c>
      <c r="G1601" s="49">
        <f t="array" ref="G1601">_xlfn.XLOOKUP(
 A1601,
 tblCost[RequirementID],
 tblCost[QuantityRequired],
 ""
)</f>
        <v>2</v>
      </c>
      <c r="H1601" s="49">
        <f t="array" ref="H1601">IF(
 OR(
  LEFT(B1601,15)="state.character",
  RIGHT(B1601,6)=".maxed"
 ),
 0,
 LET(
  sort,
   _xlfn.XLOOKUP(
    B1601,
    tblChecklist[TargetID],
    tblChecklist[PlayerSort],
    0
   ),
  IF(sort=0,500,sort)
 )
)</f>
        <v>500</v>
      </c>
      <c r="I1601" s="49" t="str">
        <f t="array" ref="I1601">_xlfn.XLOOKUP(
 B1601,
 tblTargetStatus[TargetID],
 tblTargetStatus[Status],
 ""
)</f>
        <v>BLOCKED</v>
      </c>
      <c r="J1601" s="45" t="b">
        <v>0</v>
      </c>
    </row>
    <row r="1602" ht="14.25" hidden="1" customHeight="1">
      <c r="A1602" s="49" t="s">
        <v>3139</v>
      </c>
      <c r="B1602" s="49" t="str">
        <f>IFERROR(__xludf.DUMMYFUNCTION("REGEXREPLACE(
 REGEXREPLACE(A1602,""^cost\."",""""),
 ""\.[^.]+\.[^.]+$"",
 """"
)"),"tech.field.soybean")</f>
        <v>tech.field.soybean</v>
      </c>
      <c r="C1602" s="49" t="str">
        <f t="array" ref="C1602">_xlfn.XLOOKUP(
 B1602,
 tblTargets[TargetID],
 tblTargets[DisplayName],
 ""
)</f>
        <v>Field - Soybean</v>
      </c>
      <c r="D1602" s="49" t="str">
        <f t="array" ref="D1602">_xlfn.XLOOKUP(
 B1602,
 tblTargets[TargetID],
 tblTargets[TargetType],
 ""
)</f>
        <v>TECH</v>
      </c>
      <c r="E1602" s="49" t="s">
        <v>119</v>
      </c>
      <c r="F1602" s="49">
        <v>1.0</v>
      </c>
      <c r="G1602" s="49">
        <f t="array" ref="G1602">_xlfn.XLOOKUP(
 A1602,
 tblCost[RequirementID],
 tblCost[QuantityRequired],
 ""
)</f>
        <v>800</v>
      </c>
      <c r="H1602" s="49">
        <f t="array" ref="H1602">IF(
 OR(
  LEFT(B1602,15)="state.character",
  RIGHT(B1602,6)=".maxed"
 ),
 0,
 LET(
  sort,
   _xlfn.XLOOKUP(
    B1602,
    tblChecklist[TargetID],
    tblChecklist[PlayerSort],
    0
   ),
  IF(sort=0,500,sort)
 )
)</f>
        <v>500</v>
      </c>
      <c r="I1602" s="49" t="str">
        <f t="array" ref="I1602">_xlfn.XLOOKUP(
 B1602,
 tblTargetStatus[TargetID],
 tblTargetStatus[Status],
 ""
)</f>
        <v>BLOCKED</v>
      </c>
      <c r="J1602" s="45" t="b">
        <v>0</v>
      </c>
    </row>
    <row r="1603" ht="14.25" hidden="1" customHeight="1">
      <c r="A1603" s="49" t="s">
        <v>3141</v>
      </c>
      <c r="B1603" s="49" t="str">
        <f>IFERROR(__xludf.DUMMYFUNCTION("REGEXREPLACE(
 REGEXREPLACE(A1603,""^cost\."",""""),
 ""\.[^.]+\.[^.]+$"",
 """"
)"),"tech.field.soybean")</f>
        <v>tech.field.soybean</v>
      </c>
      <c r="C1603" s="49" t="str">
        <f t="array" ref="C1603">_xlfn.XLOOKUP(
 B1603,
 tblTargets[TargetID],
 tblTargets[DisplayName],
 ""
)</f>
        <v>Field - Soybean</v>
      </c>
      <c r="D1603" s="49" t="str">
        <f t="array" ref="D1603">_xlfn.XLOOKUP(
 B1603,
 tblTargets[TargetID],
 tblTargets[TargetType],
 ""
)</f>
        <v>TECH</v>
      </c>
      <c r="E1603" s="49" t="s">
        <v>3143</v>
      </c>
      <c r="F1603" s="49">
        <v>1.0</v>
      </c>
      <c r="G1603" s="49">
        <f t="array" ref="G1603">_xlfn.XLOOKUP(
 A1603,
 tblCost[RequirementID],
 tblCost[QuantityRequired],
 ""
)</f>
        <v>20</v>
      </c>
      <c r="H1603" s="49">
        <f t="array" ref="H1603">IF(
 OR(
  LEFT(B1603,15)="state.character",
  RIGHT(B1603,6)=".maxed"
 ),
 0,
 LET(
  sort,
   _xlfn.XLOOKUP(
    B1603,
    tblChecklist[TargetID],
    tblChecklist[PlayerSort],
    0
   ),
  IF(sort=0,500,sort)
 )
)</f>
        <v>500</v>
      </c>
      <c r="I1603" s="49" t="str">
        <f t="array" ref="I1603">_xlfn.XLOOKUP(
 B1603,
 tblTargetStatus[TargetID],
 tblTargetStatus[Status],
 ""
)</f>
        <v>BLOCKED</v>
      </c>
      <c r="J1603" s="45" t="b">
        <v>0</v>
      </c>
    </row>
    <row r="1604" ht="14.25" hidden="1" customHeight="1">
      <c r="A1604" s="49" t="s">
        <v>3144</v>
      </c>
      <c r="B1604" s="49" t="str">
        <f>IFERROR(__xludf.DUMMYFUNCTION("REGEXREPLACE(
 REGEXREPLACE(A1604,""^cost\."",""""),
 ""\.[^.]+\.[^.]+$"",
 """"
)"),"tech.field.soybean")</f>
        <v>tech.field.soybean</v>
      </c>
      <c r="C1604" s="49" t="str">
        <f t="array" ref="C1604">_xlfn.XLOOKUP(
 B1604,
 tblTargets[TargetID],
 tblTargets[DisplayName],
 ""
)</f>
        <v>Field - Soybean</v>
      </c>
      <c r="D1604" s="49" t="str">
        <f t="array" ref="D1604">_xlfn.XLOOKUP(
 B1604,
 tblTargets[TargetID],
 tblTargets[TargetType],
 ""
)</f>
        <v>TECH</v>
      </c>
      <c r="E1604" s="49" t="s">
        <v>3146</v>
      </c>
      <c r="F1604" s="49">
        <v>1.0</v>
      </c>
      <c r="G1604" s="49">
        <f t="array" ref="G1604">_xlfn.XLOOKUP(
 A1604,
 tblCost[RequirementID],
 tblCost[QuantityRequired],
 ""
)</f>
        <v>20</v>
      </c>
      <c r="H1604" s="49">
        <f t="array" ref="H1604">IF(
 OR(
  LEFT(B1604,15)="state.character",
  RIGHT(B1604,6)=".maxed"
 ),
 0,
 LET(
  sort,
   _xlfn.XLOOKUP(
    B1604,
    tblChecklist[TargetID],
    tblChecklist[PlayerSort],
    0
   ),
  IF(sort=0,500,sort)
 )
)</f>
        <v>500</v>
      </c>
      <c r="I1604" s="49" t="str">
        <f t="array" ref="I1604">_xlfn.XLOOKUP(
 B1604,
 tblTargetStatus[TargetID],
 tblTargetStatus[Status],
 ""
)</f>
        <v>BLOCKED</v>
      </c>
      <c r="J1604" s="45" t="b">
        <v>0</v>
      </c>
    </row>
    <row r="1605" ht="14.25" hidden="1" customHeight="1">
      <c r="A1605" s="49" t="s">
        <v>3147</v>
      </c>
      <c r="B1605" s="49" t="str">
        <f>IFERROR(__xludf.DUMMYFUNCTION("REGEXREPLACE(
 REGEXREPLACE(A1605,""^cost\."",""""),
 ""\.[^.]+\.[^.]+$"",
 """"
)"),"tech.field.soybean")</f>
        <v>tech.field.soybean</v>
      </c>
      <c r="C1605" s="49" t="str">
        <f t="array" ref="C1605">_xlfn.XLOOKUP(
 B1605,
 tblTargets[TargetID],
 tblTargets[DisplayName],
 ""
)</f>
        <v>Field - Soybean</v>
      </c>
      <c r="D1605" s="49" t="str">
        <f t="array" ref="D1605">_xlfn.XLOOKUP(
 B1605,
 tblTargets[TargetID],
 tblTargets[TargetType],
 ""
)</f>
        <v>TECH</v>
      </c>
      <c r="E1605" s="49" t="s">
        <v>132</v>
      </c>
      <c r="F1605" s="49">
        <v>1.0</v>
      </c>
      <c r="G1605" s="49">
        <f t="array" ref="G1605">_xlfn.XLOOKUP(
 A1605,
 tblCost[RequirementID],
 tblCost[QuantityRequired],
 ""
)</f>
        <v>20</v>
      </c>
      <c r="H1605" s="49">
        <f t="array" ref="H1605">IF(
 OR(
  LEFT(B1605,15)="state.character",
  RIGHT(B1605,6)=".maxed"
 ),
 0,
 LET(
  sort,
   _xlfn.XLOOKUP(
    B1605,
    tblChecklist[TargetID],
    tblChecklist[PlayerSort],
    0
   ),
  IF(sort=0,500,sort)
 )
)</f>
        <v>500</v>
      </c>
      <c r="I1605" s="49" t="str">
        <f t="array" ref="I1605">_xlfn.XLOOKUP(
 B1605,
 tblTargetStatus[TargetID],
 tblTargetStatus[Status],
 ""
)</f>
        <v>BLOCKED</v>
      </c>
      <c r="J1605" s="45" t="b">
        <v>0</v>
      </c>
    </row>
    <row r="1606" ht="14.25" hidden="1" customHeight="1">
      <c r="A1606" s="49" t="s">
        <v>3149</v>
      </c>
      <c r="B1606" s="49" t="str">
        <f>IFERROR(__xludf.DUMMYFUNCTION("REGEXREPLACE(
 REGEXREPLACE(A1606,""^cost\."",""""),
 ""\.[^.]+\.[^.]+$"",
 """"
)"),"tech.field.soybean")</f>
        <v>tech.field.soybean</v>
      </c>
      <c r="C1606" s="49" t="str">
        <f t="array" ref="C1606">_xlfn.XLOOKUP(
 B1606,
 tblTargets[TargetID],
 tblTargets[DisplayName],
 ""
)</f>
        <v>Field - Soybean</v>
      </c>
      <c r="D1606" s="49" t="str">
        <f t="array" ref="D1606">_xlfn.XLOOKUP(
 B1606,
 tblTargets[TargetID],
 tblTargets[TargetType],
 ""
)</f>
        <v>TECH</v>
      </c>
      <c r="E1606" s="49" t="s">
        <v>6</v>
      </c>
      <c r="F1606" s="49">
        <v>1.0</v>
      </c>
      <c r="G1606" s="49">
        <f t="array" ref="G1606">_xlfn.XLOOKUP(
 A1606,
 tblCost[RequirementID],
 tblCost[QuantityRequired],
 ""
)</f>
        <v>5</v>
      </c>
      <c r="H1606" s="49">
        <f t="array" ref="H1606">IF(
 OR(
  LEFT(B1606,15)="state.character",
  RIGHT(B1606,6)=".maxed"
 ),
 0,
 LET(
  sort,
   _xlfn.XLOOKUP(
    B1606,
    tblChecklist[TargetID],
    tblChecklist[PlayerSort],
    0
   ),
  IF(sort=0,500,sort)
 )
)</f>
        <v>500</v>
      </c>
      <c r="I1606" s="49" t="str">
        <f t="array" ref="I1606">_xlfn.XLOOKUP(
 B1606,
 tblTargetStatus[TargetID],
 tblTargetStatus[Status],
 ""
)</f>
        <v>BLOCKED</v>
      </c>
      <c r="J1606" s="45" t="b">
        <v>0</v>
      </c>
    </row>
    <row r="1607" ht="14.25" hidden="1" customHeight="1">
      <c r="A1607" s="49" t="s">
        <v>3151</v>
      </c>
      <c r="B1607" s="49" t="str">
        <f>IFERROR(__xludf.DUMMYFUNCTION("REGEXREPLACE(
 REGEXREPLACE(A1607,""^cost\."",""""),
 ""\.[^.]+\.[^.]+$"",
 """"
)"),"tech.field.soybean")</f>
        <v>tech.field.soybean</v>
      </c>
      <c r="C1607" s="49" t="str">
        <f t="array" ref="C1607">_xlfn.XLOOKUP(
 B1607,
 tblTargets[TargetID],
 tblTargets[DisplayName],
 ""
)</f>
        <v>Field - Soybean</v>
      </c>
      <c r="D1607" s="49" t="str">
        <f t="array" ref="D1607">_xlfn.XLOOKUP(
 B1607,
 tblTargets[TargetID],
 tblTargets[TargetType],
 ""
)</f>
        <v>TECH</v>
      </c>
      <c r="E1607" s="49" t="s">
        <v>392</v>
      </c>
      <c r="F1607" s="49">
        <v>1.0</v>
      </c>
      <c r="G1607" s="49">
        <f t="array" ref="G1607">_xlfn.XLOOKUP(
 A1607,
 tblCost[RequirementID],
 tblCost[QuantityRequired],
 ""
)</f>
        <v>200</v>
      </c>
      <c r="H1607" s="49">
        <f t="array" ref="H1607">IF(
 OR(
  LEFT(B1607,15)="state.character",
  RIGHT(B1607,6)=".maxed"
 ),
 0,
 LET(
  sort,
   _xlfn.XLOOKUP(
    B1607,
    tblChecklist[TargetID],
    tblChecklist[PlayerSort],
    0
   ),
  IF(sort=0,500,sort)
 )
)</f>
        <v>500</v>
      </c>
      <c r="I1607" s="49" t="str">
        <f t="array" ref="I1607">_xlfn.XLOOKUP(
 B1607,
 tblTargetStatus[TargetID],
 tblTargetStatus[Status],
 ""
)</f>
        <v>BLOCKED</v>
      </c>
      <c r="J1607" s="45" t="b">
        <v>0</v>
      </c>
    </row>
    <row r="1608" ht="14.25" hidden="1" customHeight="1">
      <c r="A1608" s="49" t="s">
        <v>3154</v>
      </c>
      <c r="B1608" s="49" t="str">
        <f>IFERROR(__xludf.DUMMYFUNCTION("REGEXREPLACE(
 REGEXREPLACE(A1608,""^cost\."",""""),
 ""\.[^.]+\.[^.]+$"",
 """"
)"),"tech.field.soybean")</f>
        <v>tech.field.soybean</v>
      </c>
      <c r="C1608" s="49" t="str">
        <f t="array" ref="C1608">_xlfn.XLOOKUP(
 B1608,
 tblTargets[TargetID],
 tblTargets[DisplayName],
 ""
)</f>
        <v>Field - Soybean</v>
      </c>
      <c r="D1608" s="49" t="str">
        <f t="array" ref="D1608">_xlfn.XLOOKUP(
 B1608,
 tblTargets[TargetID],
 tblTargets[TargetType],
 ""
)</f>
        <v>TECH</v>
      </c>
      <c r="E1608" s="49" t="s">
        <v>158</v>
      </c>
      <c r="F1608" s="49">
        <v>1.0</v>
      </c>
      <c r="G1608" s="49">
        <f t="array" ref="G1608">_xlfn.XLOOKUP(
 A1608,
 tblCost[RequirementID],
 tblCost[QuantityRequired],
 ""
)</f>
        <v>20</v>
      </c>
      <c r="H1608" s="49">
        <f t="array" ref="H1608">IF(
 OR(
  LEFT(B1608,15)="state.character",
  RIGHT(B1608,6)=".maxed"
 ),
 0,
 LET(
  sort,
   _xlfn.XLOOKUP(
    B1608,
    tblChecklist[TargetID],
    tblChecklist[PlayerSort],
    0
   ),
  IF(sort=0,500,sort)
 )
)</f>
        <v>500</v>
      </c>
      <c r="I1608" s="49" t="str">
        <f t="array" ref="I1608">_xlfn.XLOOKUP(
 B1608,
 tblTargetStatus[TargetID],
 tblTargetStatus[Status],
 ""
)</f>
        <v>BLOCKED</v>
      </c>
      <c r="J1608" s="45" t="b">
        <v>0</v>
      </c>
    </row>
    <row r="1609" ht="14.25" hidden="1" customHeight="1">
      <c r="A1609" s="49" t="s">
        <v>3156</v>
      </c>
      <c r="B1609" s="49" t="str">
        <f>IFERROR(__xludf.DUMMYFUNCTION("REGEXREPLACE(
 REGEXREPLACE(A1609,""^cost\."",""""),
 ""\.[^.]+\.[^.]+$"",
 """"
)"),"tech.field.soybean")</f>
        <v>tech.field.soybean</v>
      </c>
      <c r="C1609" s="49" t="str">
        <f t="array" ref="C1609">_xlfn.XLOOKUP(
 B1609,
 tblTargets[TargetID],
 tblTargets[DisplayName],
 ""
)</f>
        <v>Field - Soybean</v>
      </c>
      <c r="D1609" s="49" t="str">
        <f t="array" ref="D1609">_xlfn.XLOOKUP(
 B1609,
 tblTargets[TargetID],
 tblTargets[TargetType],
 ""
)</f>
        <v>TECH</v>
      </c>
      <c r="E1609" s="49" t="s">
        <v>244</v>
      </c>
      <c r="F1609" s="49">
        <v>1.0</v>
      </c>
      <c r="G1609" s="49">
        <f t="array" ref="G1609">_xlfn.XLOOKUP(
 A1609,
 tblCost[RequirementID],
 tblCost[QuantityRequired],
 ""
)</f>
        <v>500</v>
      </c>
      <c r="H1609" s="49">
        <f t="array" ref="H1609">IF(
 OR(
  LEFT(B1609,15)="state.character",
  RIGHT(B1609,6)=".maxed"
 ),
 0,
 LET(
  sort,
   _xlfn.XLOOKUP(
    B1609,
    tblChecklist[TargetID],
    tblChecklist[PlayerSort],
    0
   ),
  IF(sort=0,500,sort)
 )
)</f>
        <v>500</v>
      </c>
      <c r="I1609" s="49" t="str">
        <f t="array" ref="I1609">_xlfn.XLOOKUP(
 B1609,
 tblTargetStatus[TargetID],
 tblTargetStatus[Status],
 ""
)</f>
        <v>BLOCKED</v>
      </c>
      <c r="J1609" s="45" t="b">
        <v>0</v>
      </c>
    </row>
    <row r="1610" ht="14.25" hidden="1" customHeight="1">
      <c r="A1610" s="49" t="s">
        <v>3226</v>
      </c>
      <c r="B1610" s="49" t="str">
        <f>IFERROR(__xludf.DUMMYFUNCTION("REGEXREPLACE(
 REGEXREPLACE(A1610,""^cost\."",""""),
 ""\.[^.]+\.[^.]+$"",
 """"
)"),"tech.food_stall.conveyor_belt_sushi")</f>
        <v>tech.food_stall.conveyor_belt_sushi</v>
      </c>
      <c r="C1610" s="49" t="str">
        <f t="array" ref="C1610">_xlfn.XLOOKUP(
 B1610,
 tblTargets[TargetID],
 tblTargets[DisplayName],
 ""
)</f>
        <v>Food Stall - Conveyor Belt Sushi</v>
      </c>
      <c r="D1610" s="49" t="str">
        <f t="array" ref="D1610">_xlfn.XLOOKUP(
 B1610,
 tblTargets[TargetID],
 tblTargets[TargetType],
 ""
)</f>
        <v>TECH</v>
      </c>
      <c r="E1610" s="49" t="s">
        <v>1055</v>
      </c>
      <c r="F1610" s="49">
        <v>1.0</v>
      </c>
      <c r="G1610" s="49">
        <f t="array" ref="G1610">_xlfn.XLOOKUP(
 A1610,
 tblCost[RequirementID],
 tblCost[QuantityRequired],
 ""
)</f>
        <v>10</v>
      </c>
      <c r="H1610" s="49">
        <f t="array" ref="H1610">IF(
 OR(
  LEFT(B1610,15)="state.character",
  RIGHT(B1610,6)=".maxed"
 ),
 0,
 LET(
  sort,
   _xlfn.XLOOKUP(
    B1610,
    tblChecklist[TargetID],
    tblChecklist[PlayerSort],
    0
   ),
  IF(sort=0,500,sort)
 )
)</f>
        <v>500</v>
      </c>
      <c r="I1610" s="49" t="str">
        <f t="array" ref="I1610">_xlfn.XLOOKUP(
 B1610,
 tblTargetStatus[TargetID],
 tblTargetStatus[Status],
 ""
)</f>
        <v>BLOCKED</v>
      </c>
      <c r="J1610" s="45" t="b">
        <v>0</v>
      </c>
    </row>
    <row r="1611" ht="14.25" hidden="1" customHeight="1">
      <c r="A1611" s="49" t="s">
        <v>3228</v>
      </c>
      <c r="B1611" s="49" t="str">
        <f>IFERROR(__xludf.DUMMYFUNCTION("REGEXREPLACE(
 REGEXREPLACE(A1611,""^cost\."",""""),
 ""\.[^.]+\.[^.]+$"",
 """"
)"),"tech.food_stall.conveyor_belt_sushi")</f>
        <v>tech.food_stall.conveyor_belt_sushi</v>
      </c>
      <c r="C1611" s="49" t="str">
        <f t="array" ref="C1611">_xlfn.XLOOKUP(
 B1611,
 tblTargets[TargetID],
 tblTargets[DisplayName],
 ""
)</f>
        <v>Food Stall - Conveyor Belt Sushi</v>
      </c>
      <c r="D1611" s="49" t="str">
        <f t="array" ref="D1611">_xlfn.XLOOKUP(
 B1611,
 tblTargets[TargetID],
 tblTargets[TargetType],
 ""
)</f>
        <v>TECH</v>
      </c>
      <c r="E1611" s="49" t="s">
        <v>119</v>
      </c>
      <c r="F1611" s="49">
        <v>1.0</v>
      </c>
      <c r="G1611" s="49">
        <f t="array" ref="G1611">_xlfn.XLOOKUP(
 A1611,
 tblCost[RequirementID],
 tblCost[QuantityRequired],
 ""
)</f>
        <v>300</v>
      </c>
      <c r="H1611" s="49">
        <f t="array" ref="H1611">IF(
 OR(
  LEFT(B1611,15)="state.character",
  RIGHT(B1611,6)=".maxed"
 ),
 0,
 LET(
  sort,
   _xlfn.XLOOKUP(
    B1611,
    tblChecklist[TargetID],
    tblChecklist[PlayerSort],
    0
   ),
  IF(sort=0,500,sort)
 )
)</f>
        <v>500</v>
      </c>
      <c r="I1611" s="49" t="str">
        <f t="array" ref="I1611">_xlfn.XLOOKUP(
 B1611,
 tblTargetStatus[TargetID],
 tblTargetStatus[Status],
 ""
)</f>
        <v>BLOCKED</v>
      </c>
      <c r="J1611" s="45" t="b">
        <v>0</v>
      </c>
    </row>
    <row r="1612" ht="14.25" hidden="1" customHeight="1">
      <c r="A1612" s="49" t="s">
        <v>3230</v>
      </c>
      <c r="B1612" s="49" t="str">
        <f>IFERROR(__xludf.DUMMYFUNCTION("REGEXREPLACE(
 REGEXREPLACE(A1612,""^cost\."",""""),
 ""\.[^.]+\.[^.]+$"",
 """"
)"),"tech.food_stall.conveyor_belt_sushi")</f>
        <v>tech.food_stall.conveyor_belt_sushi</v>
      </c>
      <c r="C1612" s="49" t="str">
        <f t="array" ref="C1612">_xlfn.XLOOKUP(
 B1612,
 tblTargets[TargetID],
 tblTargets[DisplayName],
 ""
)</f>
        <v>Food Stall - Conveyor Belt Sushi</v>
      </c>
      <c r="D1612" s="49" t="str">
        <f t="array" ref="D1612">_xlfn.XLOOKUP(
 B1612,
 tblTargets[TargetID],
 tblTargets[TargetType],
 ""
)</f>
        <v>TECH</v>
      </c>
      <c r="E1612" s="49" t="s">
        <v>2964</v>
      </c>
      <c r="F1612" s="49">
        <v>1.0</v>
      </c>
      <c r="G1612" s="49">
        <f t="array" ref="G1612">_xlfn.XLOOKUP(
 A1612,
 tblCost[RequirementID],
 tblCost[QuantityRequired],
 ""
)</f>
        <v>40</v>
      </c>
      <c r="H1612" s="49">
        <f t="array" ref="H1612">IF(
 OR(
  LEFT(B1612,15)="state.character",
  RIGHT(B1612,6)=".maxed"
 ),
 0,
 LET(
  sort,
   _xlfn.XLOOKUP(
    B1612,
    tblChecklist[TargetID],
    tblChecklist[PlayerSort],
    0
   ),
  IF(sort=0,500,sort)
 )
)</f>
        <v>500</v>
      </c>
      <c r="I1612" s="49" t="str">
        <f t="array" ref="I1612">_xlfn.XLOOKUP(
 B1612,
 tblTargetStatus[TargetID],
 tblTargetStatus[Status],
 ""
)</f>
        <v>BLOCKED</v>
      </c>
      <c r="J1612" s="45" t="b">
        <v>0</v>
      </c>
    </row>
    <row r="1613" ht="14.25" hidden="1" customHeight="1">
      <c r="A1613" s="49" t="s">
        <v>3232</v>
      </c>
      <c r="B1613" s="49" t="str">
        <f>IFERROR(__xludf.DUMMYFUNCTION("REGEXREPLACE(
 REGEXREPLACE(A1613,""^cost\."",""""),
 ""\.[^.]+\.[^.]+$"",
 """"
)"),"tech.food_stall.conveyor_belt_sushi")</f>
        <v>tech.food_stall.conveyor_belt_sushi</v>
      </c>
      <c r="C1613" s="49" t="str">
        <f t="array" ref="C1613">_xlfn.XLOOKUP(
 B1613,
 tblTargets[TargetID],
 tblTargets[DisplayName],
 ""
)</f>
        <v>Food Stall - Conveyor Belt Sushi</v>
      </c>
      <c r="D1613" s="49" t="str">
        <f t="array" ref="D1613">_xlfn.XLOOKUP(
 B1613,
 tblTargets[TargetID],
 tblTargets[TargetType],
 ""
)</f>
        <v>TECH</v>
      </c>
      <c r="E1613" s="49" t="s">
        <v>1078</v>
      </c>
      <c r="F1613" s="49">
        <v>1.0</v>
      </c>
      <c r="G1613" s="49">
        <f t="array" ref="G1613">_xlfn.XLOOKUP(
 A1613,
 tblCost[RequirementID],
 tblCost[QuantityRequired],
 ""
)</f>
        <v>5</v>
      </c>
      <c r="H1613" s="49">
        <f t="array" ref="H1613">IF(
 OR(
  LEFT(B1613,15)="state.character",
  RIGHT(B1613,6)=".maxed"
 ),
 0,
 LET(
  sort,
   _xlfn.XLOOKUP(
    B1613,
    tblChecklist[TargetID],
    tblChecklist[PlayerSort],
    0
   ),
  IF(sort=0,500,sort)
 )
)</f>
        <v>500</v>
      </c>
      <c r="I1613" s="49" t="str">
        <f t="array" ref="I1613">_xlfn.XLOOKUP(
 B1613,
 tblTargetStatus[TargetID],
 tblTargetStatus[Status],
 ""
)</f>
        <v>BLOCKED</v>
      </c>
      <c r="J1613" s="45" t="b">
        <v>0</v>
      </c>
    </row>
    <row r="1614" ht="14.25" hidden="1" customHeight="1">
      <c r="A1614" s="49" t="s">
        <v>3234</v>
      </c>
      <c r="B1614" s="49" t="str">
        <f>IFERROR(__xludf.DUMMYFUNCTION("REGEXREPLACE(
 REGEXREPLACE(A1614,""^cost\."",""""),
 ""\.[^.]+\.[^.]+$"",
 """"
)"),"tech.food_stall.conveyor_belt_sushi")</f>
        <v>tech.food_stall.conveyor_belt_sushi</v>
      </c>
      <c r="C1614" s="49" t="str">
        <f t="array" ref="C1614">_xlfn.XLOOKUP(
 B1614,
 tblTargets[TargetID],
 tblTargets[DisplayName],
 ""
)</f>
        <v>Food Stall - Conveyor Belt Sushi</v>
      </c>
      <c r="D1614" s="49" t="str">
        <f t="array" ref="D1614">_xlfn.XLOOKUP(
 B1614,
 tblTargets[TargetID],
 tblTargets[TargetType],
 ""
)</f>
        <v>TECH</v>
      </c>
      <c r="E1614" s="49" t="s">
        <v>6</v>
      </c>
      <c r="F1614" s="49">
        <v>1.0</v>
      </c>
      <c r="G1614" s="49">
        <f t="array" ref="G1614">_xlfn.XLOOKUP(
 A1614,
 tblCost[RequirementID],
 tblCost[QuantityRequired],
 ""
)</f>
        <v>2</v>
      </c>
      <c r="H1614" s="49">
        <f t="array" ref="H1614">IF(
 OR(
  LEFT(B1614,15)="state.character",
  RIGHT(B1614,6)=".maxed"
 ),
 0,
 LET(
  sort,
   _xlfn.XLOOKUP(
    B1614,
    tblChecklist[TargetID],
    tblChecklist[PlayerSort],
    0
   ),
  IF(sort=0,500,sort)
 )
)</f>
        <v>500</v>
      </c>
      <c r="I1614" s="49" t="str">
        <f t="array" ref="I1614">_xlfn.XLOOKUP(
 B1614,
 tblTargetStatus[TargetID],
 tblTargetStatus[Status],
 ""
)</f>
        <v>BLOCKED</v>
      </c>
      <c r="J1614" s="45" t="b">
        <v>0</v>
      </c>
    </row>
    <row r="1615" ht="14.25" hidden="1" customHeight="1">
      <c r="A1615" s="49" t="s">
        <v>3236</v>
      </c>
      <c r="B1615" s="49" t="str">
        <f>IFERROR(__xludf.DUMMYFUNCTION("REGEXREPLACE(
 REGEXREPLACE(A1615,""^cost\."",""""),
 ""\.[^.]+\.[^.]+$"",
 """"
)"),"tech.food_stall.conveyor_belt_sushi")</f>
        <v>tech.food_stall.conveyor_belt_sushi</v>
      </c>
      <c r="C1615" s="49" t="str">
        <f t="array" ref="C1615">_xlfn.XLOOKUP(
 B1615,
 tblTargets[TargetID],
 tblTargets[DisplayName],
 ""
)</f>
        <v>Food Stall - Conveyor Belt Sushi</v>
      </c>
      <c r="D1615" s="49" t="str">
        <f t="array" ref="D1615">_xlfn.XLOOKUP(
 B1615,
 tblTargets[TargetID],
 tblTargets[TargetType],
 ""
)</f>
        <v>TECH</v>
      </c>
      <c r="E1615" s="49" t="s">
        <v>392</v>
      </c>
      <c r="F1615" s="49">
        <v>1.0</v>
      </c>
      <c r="G1615" s="49">
        <f t="array" ref="G1615">_xlfn.XLOOKUP(
 A1615,
 tblCost[RequirementID],
 tblCost[QuantityRequired],
 ""
)</f>
        <v>20</v>
      </c>
      <c r="H1615" s="49">
        <f t="array" ref="H1615">IF(
 OR(
  LEFT(B1615,15)="state.character",
  RIGHT(B1615,6)=".maxed"
 ),
 0,
 LET(
  sort,
   _xlfn.XLOOKUP(
    B1615,
    tblChecklist[TargetID],
    tblChecklist[PlayerSort],
    0
   ),
  IF(sort=0,500,sort)
 )
)</f>
        <v>500</v>
      </c>
      <c r="I1615" s="49" t="str">
        <f t="array" ref="I1615">_xlfn.XLOOKUP(
 B1615,
 tblTargetStatus[TargetID],
 tblTargetStatus[Status],
 ""
)</f>
        <v>BLOCKED</v>
      </c>
      <c r="J1615" s="45" t="b">
        <v>0</v>
      </c>
    </row>
    <row r="1616" ht="14.25" hidden="1" customHeight="1">
      <c r="A1616" s="49" t="s">
        <v>3215</v>
      </c>
      <c r="B1616" s="49" t="str">
        <f>IFERROR(__xludf.DUMMYFUNCTION("REGEXREPLACE(
 REGEXREPLACE(A1616,""^cost\."",""""),
 ""\.[^.]+\.[^.]+$"",
 """"
)"),"tech.food_stall.inarizushi")</f>
        <v>tech.food_stall.inarizushi</v>
      </c>
      <c r="C1616" s="49" t="str">
        <f t="array" ref="C1616">_xlfn.XLOOKUP(
 B1616,
 tblTargets[TargetID],
 tblTargets[DisplayName],
 ""
)</f>
        <v>Food Stall - Inarizushi</v>
      </c>
      <c r="D1616" s="49" t="str">
        <f t="array" ref="D1616">_xlfn.XLOOKUP(
 B1616,
 tblTargets[TargetID],
 tblTargets[TargetType],
 ""
)</f>
        <v>TECH</v>
      </c>
      <c r="E1616" s="49" t="s">
        <v>119</v>
      </c>
      <c r="F1616" s="49">
        <v>1.0</v>
      </c>
      <c r="G1616" s="49">
        <f t="array" ref="G1616">_xlfn.XLOOKUP(
 A1616,
 tblCost[RequirementID],
 tblCost[QuantityRequired],
 ""
)</f>
        <v>400</v>
      </c>
      <c r="H1616" s="49">
        <f t="array" ref="H1616">IF(
 OR(
  LEFT(B1616,15)="state.character",
  RIGHT(B1616,6)=".maxed"
 ),
 0,
 LET(
  sort,
   _xlfn.XLOOKUP(
    B1616,
    tblChecklist[TargetID],
    tblChecklist[PlayerSort],
    0
   ),
  IF(sort=0,500,sort)
 )
)</f>
        <v>500</v>
      </c>
      <c r="I1616" s="49" t="str">
        <f t="array" ref="I1616">_xlfn.XLOOKUP(
 B1616,
 tblTargetStatus[TargetID],
 tblTargetStatus[Status],
 ""
)</f>
        <v>BLOCKED</v>
      </c>
      <c r="J1616" s="45" t="b">
        <v>0</v>
      </c>
    </row>
    <row r="1617" ht="14.25" hidden="1" customHeight="1">
      <c r="A1617" s="49" t="s">
        <v>3217</v>
      </c>
      <c r="B1617" s="49" t="str">
        <f>IFERROR(__xludf.DUMMYFUNCTION("REGEXREPLACE(
 REGEXREPLACE(A1617,""^cost\."",""""),
 ""\.[^.]+\.[^.]+$"",
 """"
)"),"tech.food_stall.inarizushi")</f>
        <v>tech.food_stall.inarizushi</v>
      </c>
      <c r="C1617" s="49" t="str">
        <f t="array" ref="C1617">_xlfn.XLOOKUP(
 B1617,
 tblTargets[TargetID],
 tblTargets[DisplayName],
 ""
)</f>
        <v>Food Stall - Inarizushi</v>
      </c>
      <c r="D1617" s="49" t="str">
        <f t="array" ref="D1617">_xlfn.XLOOKUP(
 B1617,
 tblTargets[TargetID],
 tblTargets[TargetType],
 ""
)</f>
        <v>TECH</v>
      </c>
      <c r="E1617" s="49" t="s">
        <v>530</v>
      </c>
      <c r="F1617" s="49">
        <v>1.0</v>
      </c>
      <c r="G1617" s="49">
        <f t="array" ref="G1617">_xlfn.XLOOKUP(
 A1617,
 tblCost[RequirementID],
 tblCost[QuantityRequired],
 ""
)</f>
        <v>13</v>
      </c>
      <c r="H1617" s="49">
        <f t="array" ref="H1617">IF(
 OR(
  LEFT(B1617,15)="state.character",
  RIGHT(B1617,6)=".maxed"
 ),
 0,
 LET(
  sort,
   _xlfn.XLOOKUP(
    B1617,
    tblChecklist[TargetID],
    tblChecklist[PlayerSort],
    0
   ),
  IF(sort=0,500,sort)
 )
)</f>
        <v>500</v>
      </c>
      <c r="I1617" s="49" t="str">
        <f t="array" ref="I1617">_xlfn.XLOOKUP(
 B1617,
 tblTargetStatus[TargetID],
 tblTargetStatus[Status],
 ""
)</f>
        <v>BLOCKED</v>
      </c>
      <c r="J1617" s="45" t="b">
        <v>0</v>
      </c>
    </row>
    <row r="1618" ht="14.25" hidden="1" customHeight="1">
      <c r="A1618" s="49" t="s">
        <v>3219</v>
      </c>
      <c r="B1618" s="49" t="str">
        <f>IFERROR(__xludf.DUMMYFUNCTION("REGEXREPLACE(
 REGEXREPLACE(A1618,""^cost\."",""""),
 ""\.[^.]+\.[^.]+$"",
 """"
)"),"tech.food_stall.inarizushi")</f>
        <v>tech.food_stall.inarizushi</v>
      </c>
      <c r="C1618" s="49" t="str">
        <f t="array" ref="C1618">_xlfn.XLOOKUP(
 B1618,
 tblTargets[TargetID],
 tblTargets[DisplayName],
 ""
)</f>
        <v>Food Stall - Inarizushi</v>
      </c>
      <c r="D1618" s="49" t="str">
        <f t="array" ref="D1618">_xlfn.XLOOKUP(
 B1618,
 tblTargets[TargetID],
 tblTargets[TargetType],
 ""
)</f>
        <v>TECH</v>
      </c>
      <c r="E1618" s="49" t="s">
        <v>6</v>
      </c>
      <c r="F1618" s="49">
        <v>1.0</v>
      </c>
      <c r="G1618" s="49">
        <f t="array" ref="G1618">_xlfn.XLOOKUP(
 A1618,
 tblCost[RequirementID],
 tblCost[QuantityRequired],
 ""
)</f>
        <v>2</v>
      </c>
      <c r="H1618" s="49">
        <f t="array" ref="H1618">IF(
 OR(
  LEFT(B1618,15)="state.character",
  RIGHT(B1618,6)=".maxed"
 ),
 0,
 LET(
  sort,
   _xlfn.XLOOKUP(
    B1618,
    tblChecklist[TargetID],
    tblChecklist[PlayerSort],
    0
   ),
  IF(sort=0,500,sort)
 )
)</f>
        <v>500</v>
      </c>
      <c r="I1618" s="49" t="str">
        <f t="array" ref="I1618">_xlfn.XLOOKUP(
 B1618,
 tblTargetStatus[TargetID],
 tblTargetStatus[Status],
 ""
)</f>
        <v>BLOCKED</v>
      </c>
      <c r="J1618" s="45" t="b">
        <v>0</v>
      </c>
    </row>
    <row r="1619" ht="14.25" hidden="1" customHeight="1">
      <c r="A1619" s="49" t="s">
        <v>3221</v>
      </c>
      <c r="B1619" s="49" t="str">
        <f>IFERROR(__xludf.DUMMYFUNCTION("REGEXREPLACE(
 REGEXREPLACE(A1619,""^cost\."",""""),
 ""\.[^.]+\.[^.]+$"",
 """"
)"),"tech.food_stall.inarizushi")</f>
        <v>tech.food_stall.inarizushi</v>
      </c>
      <c r="C1619" s="49" t="str">
        <f t="array" ref="C1619">_xlfn.XLOOKUP(
 B1619,
 tblTargets[TargetID],
 tblTargets[DisplayName],
 ""
)</f>
        <v>Food Stall - Inarizushi</v>
      </c>
      <c r="D1619" s="49" t="str">
        <f t="array" ref="D1619">_xlfn.XLOOKUP(
 B1619,
 tblTargets[TargetID],
 tblTargets[TargetType],
 ""
)</f>
        <v>TECH</v>
      </c>
      <c r="E1619" s="49" t="s">
        <v>711</v>
      </c>
      <c r="F1619" s="49">
        <v>1.0</v>
      </c>
      <c r="G1619" s="49">
        <f t="array" ref="G1619">_xlfn.XLOOKUP(
 A1619,
 tblCost[RequirementID],
 tblCost[QuantityRequired],
 ""
)</f>
        <v>8</v>
      </c>
      <c r="H1619" s="49">
        <f t="array" ref="H1619">IF(
 OR(
  LEFT(B1619,15)="state.character",
  RIGHT(B1619,6)=".maxed"
 ),
 0,
 LET(
  sort,
   _xlfn.XLOOKUP(
    B1619,
    tblChecklist[TargetID],
    tblChecklist[PlayerSort],
    0
   ),
  IF(sort=0,500,sort)
 )
)</f>
        <v>500</v>
      </c>
      <c r="I1619" s="49" t="str">
        <f t="array" ref="I1619">_xlfn.XLOOKUP(
 B1619,
 tblTargetStatus[TargetID],
 tblTargetStatus[Status],
 ""
)</f>
        <v>BLOCKED</v>
      </c>
      <c r="J1619" s="45" t="b">
        <v>0</v>
      </c>
    </row>
    <row r="1620" ht="14.25" hidden="1" customHeight="1">
      <c r="A1620" s="49" t="s">
        <v>3223</v>
      </c>
      <c r="B1620" s="49" t="str">
        <f>IFERROR(__xludf.DUMMYFUNCTION("REGEXREPLACE(
 REGEXREPLACE(A1620,""^cost\."",""""),
 ""\.[^.]+\.[^.]+$"",
 """"
)"),"tech.food_stall.inarizushi")</f>
        <v>tech.food_stall.inarizushi</v>
      </c>
      <c r="C1620" s="49" t="str">
        <f t="array" ref="C1620">_xlfn.XLOOKUP(
 B1620,
 tblTargets[TargetID],
 tblTargets[DisplayName],
 ""
)</f>
        <v>Food Stall - Inarizushi</v>
      </c>
      <c r="D1620" s="49" t="str">
        <f t="array" ref="D1620">_xlfn.XLOOKUP(
 B1620,
 tblTargets[TargetID],
 tblTargets[TargetType],
 ""
)</f>
        <v>TECH</v>
      </c>
      <c r="E1620" s="49" t="s">
        <v>3225</v>
      </c>
      <c r="F1620" s="49">
        <v>1.0</v>
      </c>
      <c r="G1620" s="49">
        <f t="array" ref="G1620">_xlfn.XLOOKUP(
 A1620,
 tblCost[RequirementID],
 tblCost[QuantityRequired],
 ""
)</f>
        <v>10</v>
      </c>
      <c r="H1620" s="49">
        <f t="array" ref="H1620">IF(
 OR(
  LEFT(B1620,15)="state.character",
  RIGHT(B1620,6)=".maxed"
 ),
 0,
 LET(
  sort,
   _xlfn.XLOOKUP(
    B1620,
    tblChecklist[TargetID],
    tblChecklist[PlayerSort],
    0
   ),
  IF(sort=0,500,sort)
 )
)</f>
        <v>500</v>
      </c>
      <c r="I1620" s="49" t="str">
        <f t="array" ref="I1620">_xlfn.XLOOKUP(
 B1620,
 tblTargetStatus[TargetID],
 tblTargetStatus[Status],
 ""
)</f>
        <v>BLOCKED</v>
      </c>
      <c r="J1620" s="45" t="b">
        <v>0</v>
      </c>
    </row>
    <row r="1621" ht="14.25" hidden="1" customHeight="1">
      <c r="A1621" s="49" t="s">
        <v>3179</v>
      </c>
      <c r="B1621" s="49" t="str">
        <f>IFERROR(__xludf.DUMMYFUNCTION("REGEXREPLACE(
 REGEXREPLACE(A1621,""^cost\."",""""),
 ""\.[^.]+\.[^.]+$"",
 """"
)"),"tech.food_stall.jam")</f>
        <v>tech.food_stall.jam</v>
      </c>
      <c r="C1621" s="49" t="str">
        <f t="array" ref="C1621">_xlfn.XLOOKUP(
 B1621,
 tblTargets[TargetID],
 tblTargets[DisplayName],
 ""
)</f>
        <v>Food Stall - Jam</v>
      </c>
      <c r="D1621" s="49" t="str">
        <f t="array" ref="D1621">_xlfn.XLOOKUP(
 B1621,
 tblTargets[TargetID],
 tblTargets[TargetType],
 ""
)</f>
        <v>TECH</v>
      </c>
      <c r="E1621" s="49" t="s">
        <v>119</v>
      </c>
      <c r="F1621" s="49">
        <v>1.0</v>
      </c>
      <c r="G1621" s="49">
        <f t="array" ref="G1621">_xlfn.XLOOKUP(
 A1621,
 tblCost[RequirementID],
 tblCost[QuantityRequired],
 ""
)</f>
        <v>400</v>
      </c>
      <c r="H1621" s="49">
        <f t="array" ref="H1621">IF(
 OR(
  LEFT(B1621,15)="state.character",
  RIGHT(B1621,6)=".maxed"
 ),
 0,
 LET(
  sort,
   _xlfn.XLOOKUP(
    B1621,
    tblChecklist[TargetID],
    tblChecklist[PlayerSort],
    0
   ),
  IF(sort=0,500,sort)
 )
)</f>
        <v>500</v>
      </c>
      <c r="I1621" s="49" t="str">
        <f t="array" ref="I1621">_xlfn.XLOOKUP(
 B1621,
 tblTargetStatus[TargetID],
 tblTargetStatus[Status],
 ""
)</f>
        <v>BLOCKED</v>
      </c>
      <c r="J1621" s="45" t="b">
        <v>0</v>
      </c>
    </row>
    <row r="1622" ht="14.25" hidden="1" customHeight="1">
      <c r="A1622" s="49" t="s">
        <v>3181</v>
      </c>
      <c r="B1622" s="49" t="str">
        <f>IFERROR(__xludf.DUMMYFUNCTION("REGEXREPLACE(
 REGEXREPLACE(A1622,""^cost\."",""""),
 ""\.[^.]+\.[^.]+$"",
 """"
)"),"tech.food_stall.jam")</f>
        <v>tech.food_stall.jam</v>
      </c>
      <c r="C1622" s="49" t="str">
        <f t="array" ref="C1622">_xlfn.XLOOKUP(
 B1622,
 tblTargets[TargetID],
 tblTargets[DisplayName],
 ""
)</f>
        <v>Food Stall - Jam</v>
      </c>
      <c r="D1622" s="49" t="str">
        <f t="array" ref="D1622">_xlfn.XLOOKUP(
 B1622,
 tblTargets[TargetID],
 tblTargets[TargetType],
 ""
)</f>
        <v>TECH</v>
      </c>
      <c r="E1622" s="49" t="s">
        <v>360</v>
      </c>
      <c r="F1622" s="49">
        <v>1.0</v>
      </c>
      <c r="G1622" s="49">
        <f t="array" ref="G1622">_xlfn.XLOOKUP(
 A1622,
 tblCost[RequirementID],
 tblCost[QuantityRequired],
 ""
)</f>
        <v>5</v>
      </c>
      <c r="H1622" s="49">
        <f t="array" ref="H1622">IF(
 OR(
  LEFT(B1622,15)="state.character",
  RIGHT(B1622,6)=".maxed"
 ),
 0,
 LET(
  sort,
   _xlfn.XLOOKUP(
    B1622,
    tblChecklist[TargetID],
    tblChecklist[PlayerSort],
    0
   ),
  IF(sort=0,500,sort)
 )
)</f>
        <v>500</v>
      </c>
      <c r="I1622" s="49" t="str">
        <f t="array" ref="I1622">_xlfn.XLOOKUP(
 B1622,
 tblTargetStatus[TargetID],
 tblTargetStatus[Status],
 ""
)</f>
        <v>BLOCKED</v>
      </c>
      <c r="J1622" s="45" t="b">
        <v>0</v>
      </c>
    </row>
    <row r="1623" ht="14.25" hidden="1" customHeight="1">
      <c r="A1623" s="49" t="s">
        <v>3183</v>
      </c>
      <c r="B1623" s="49" t="str">
        <f>IFERROR(__xludf.DUMMYFUNCTION("REGEXREPLACE(
 REGEXREPLACE(A1623,""^cost\."",""""),
 ""\.[^.]+\.[^.]+$"",
 """"
)"),"tech.food_stall.jam")</f>
        <v>tech.food_stall.jam</v>
      </c>
      <c r="C1623" s="49" t="str">
        <f t="array" ref="C1623">_xlfn.XLOOKUP(
 B1623,
 tblTargets[TargetID],
 tblTargets[DisplayName],
 ""
)</f>
        <v>Food Stall - Jam</v>
      </c>
      <c r="D1623" s="49" t="str">
        <f t="array" ref="D1623">_xlfn.XLOOKUP(
 B1623,
 tblTargets[TargetID],
 tblTargets[TargetType],
 ""
)</f>
        <v>TECH</v>
      </c>
      <c r="E1623" s="49" t="s">
        <v>530</v>
      </c>
      <c r="F1623" s="49">
        <v>1.0</v>
      </c>
      <c r="G1623" s="49">
        <f t="array" ref="G1623">_xlfn.XLOOKUP(
 A1623,
 tblCost[RequirementID],
 tblCost[QuantityRequired],
 ""
)</f>
        <v>10</v>
      </c>
      <c r="H1623" s="49">
        <f t="array" ref="H1623">IF(
 OR(
  LEFT(B1623,15)="state.character",
  RIGHT(B1623,6)=".maxed"
 ),
 0,
 LET(
  sort,
   _xlfn.XLOOKUP(
    B1623,
    tblChecklist[TargetID],
    tblChecklist[PlayerSort],
    0
   ),
  IF(sort=0,500,sort)
 )
)</f>
        <v>500</v>
      </c>
      <c r="I1623" s="49" t="str">
        <f t="array" ref="I1623">_xlfn.XLOOKUP(
 B1623,
 tblTargetStatus[TargetID],
 tblTargetStatus[Status],
 ""
)</f>
        <v>BLOCKED</v>
      </c>
      <c r="J1623" s="45" t="b">
        <v>0</v>
      </c>
    </row>
    <row r="1624" ht="14.25" hidden="1" customHeight="1">
      <c r="A1624" s="49" t="s">
        <v>3185</v>
      </c>
      <c r="B1624" s="49" t="str">
        <f>IFERROR(__xludf.DUMMYFUNCTION("REGEXREPLACE(
 REGEXREPLACE(A1624,""^cost\."",""""),
 ""\.[^.]+\.[^.]+$"",
 """"
)"),"tech.food_stall.jam")</f>
        <v>tech.food_stall.jam</v>
      </c>
      <c r="C1624" s="49" t="str">
        <f t="array" ref="C1624">_xlfn.XLOOKUP(
 B1624,
 tblTargets[TargetID],
 tblTargets[DisplayName],
 ""
)</f>
        <v>Food Stall - Jam</v>
      </c>
      <c r="D1624" s="49" t="str">
        <f t="array" ref="D1624">_xlfn.XLOOKUP(
 B1624,
 tblTargets[TargetID],
 tblTargets[TargetType],
 ""
)</f>
        <v>TECH</v>
      </c>
      <c r="E1624" s="49" t="s">
        <v>6</v>
      </c>
      <c r="F1624" s="49">
        <v>1.0</v>
      </c>
      <c r="G1624" s="49">
        <f t="array" ref="G1624">_xlfn.XLOOKUP(
 A1624,
 tblCost[RequirementID],
 tblCost[QuantityRequired],
 ""
)</f>
        <v>2</v>
      </c>
      <c r="H1624" s="49">
        <f t="array" ref="H1624">IF(
 OR(
  LEFT(B1624,15)="state.character",
  RIGHT(B1624,6)=".maxed"
 ),
 0,
 LET(
  sort,
   _xlfn.XLOOKUP(
    B1624,
    tblChecklist[TargetID],
    tblChecklist[PlayerSort],
    0
   ),
  IF(sort=0,500,sort)
 )
)</f>
        <v>500</v>
      </c>
      <c r="I1624" s="49" t="str">
        <f t="array" ref="I1624">_xlfn.XLOOKUP(
 B1624,
 tblTargetStatus[TargetID],
 tblTargetStatus[Status],
 ""
)</f>
        <v>BLOCKED</v>
      </c>
      <c r="J1624" s="45" t="b">
        <v>0</v>
      </c>
    </row>
    <row r="1625" ht="14.25" hidden="1" customHeight="1">
      <c r="A1625" s="49" t="s">
        <v>3187</v>
      </c>
      <c r="B1625" s="49" t="str">
        <f>IFERROR(__xludf.DUMMYFUNCTION("REGEXREPLACE(
 REGEXREPLACE(A1625,""^cost\."",""""),
 ""\.[^.]+\.[^.]+$"",
 """"
)"),"tech.food_stall.jam")</f>
        <v>tech.food_stall.jam</v>
      </c>
      <c r="C1625" s="49" t="str">
        <f t="array" ref="C1625">_xlfn.XLOOKUP(
 B1625,
 tblTargets[TargetID],
 tblTargets[DisplayName],
 ""
)</f>
        <v>Food Stall - Jam</v>
      </c>
      <c r="D1625" s="49" t="str">
        <f t="array" ref="D1625">_xlfn.XLOOKUP(
 B1625,
 tblTargets[TargetID],
 tblTargets[TargetType],
 ""
)</f>
        <v>TECH</v>
      </c>
      <c r="E1625" s="49" t="s">
        <v>2490</v>
      </c>
      <c r="F1625" s="49">
        <v>1.0</v>
      </c>
      <c r="G1625" s="49">
        <f t="array" ref="G1625">_xlfn.XLOOKUP(
 A1625,
 tblCost[RequirementID],
 tblCost[QuantityRequired],
 ""
)</f>
        <v>20</v>
      </c>
      <c r="H1625" s="49">
        <f t="array" ref="H1625">IF(
 OR(
  LEFT(B1625,15)="state.character",
  RIGHT(B1625,6)=".maxed"
 ),
 0,
 LET(
  sort,
   _xlfn.XLOOKUP(
    B1625,
    tblChecklist[TargetID],
    tblChecklist[PlayerSort],
    0
   ),
  IF(sort=0,500,sort)
 )
)</f>
        <v>500</v>
      </c>
      <c r="I1625" s="49" t="str">
        <f t="array" ref="I1625">_xlfn.XLOOKUP(
 B1625,
 tblTargetStatus[TargetID],
 tblTargetStatus[Status],
 ""
)</f>
        <v>BLOCKED</v>
      </c>
      <c r="J1625" s="45" t="b">
        <v>0</v>
      </c>
    </row>
    <row r="1626" ht="14.25" hidden="1" customHeight="1">
      <c r="A1626" s="49" t="s">
        <v>3201</v>
      </c>
      <c r="B1626" s="49" t="str">
        <f>IFERROR(__xludf.DUMMYFUNCTION("REGEXREPLACE(
 REGEXREPLACE(A1626,""^cost\."",""""),
 ""\.[^.]+\.[^.]+$"",
 """"
)"),"tech.food_stall.mandra_cola")</f>
        <v>tech.food_stall.mandra_cola</v>
      </c>
      <c r="C1626" s="49" t="str">
        <f t="array" ref="C1626">_xlfn.XLOOKUP(
 B1626,
 tblTargets[TargetID],
 tblTargets[DisplayName],
 ""
)</f>
        <v>Food Stall - Mandra Cola</v>
      </c>
      <c r="D1626" s="49" t="str">
        <f t="array" ref="D1626">_xlfn.XLOOKUP(
 B1626,
 tblTargets[TargetID],
 tblTargets[TargetType],
 ""
)</f>
        <v>TECH</v>
      </c>
      <c r="E1626" s="49" t="s">
        <v>367</v>
      </c>
      <c r="F1626" s="49">
        <v>1.0</v>
      </c>
      <c r="G1626" s="49">
        <f t="array" ref="G1626">_xlfn.XLOOKUP(
 A1626,
 tblCost[RequirementID],
 tblCost[QuantityRequired],
 ""
)</f>
        <v>20</v>
      </c>
      <c r="H1626" s="49">
        <f t="array" ref="H1626">IF(
 OR(
  LEFT(B1626,15)="state.character",
  RIGHT(B1626,6)=".maxed"
 ),
 0,
 LET(
  sort,
   _xlfn.XLOOKUP(
    B1626,
    tblChecklist[TargetID],
    tblChecklist[PlayerSort],
    0
   ),
  IF(sort=0,500,sort)
 )
)</f>
        <v>500</v>
      </c>
      <c r="I1626" s="49" t="str">
        <f t="array" ref="I1626">_xlfn.XLOOKUP(
 B1626,
 tblTargetStatus[TargetID],
 tblTargetStatus[Status],
 ""
)</f>
        <v>BLOCKED</v>
      </c>
      <c r="J1626" s="45" t="b">
        <v>0</v>
      </c>
    </row>
    <row r="1627" ht="14.25" hidden="1" customHeight="1">
      <c r="A1627" s="49" t="s">
        <v>3203</v>
      </c>
      <c r="B1627" s="49" t="str">
        <f>IFERROR(__xludf.DUMMYFUNCTION("REGEXREPLACE(
 REGEXREPLACE(A1627,""^cost\."",""""),
 ""\.[^.]+\.[^.]+$"",
 """"
)"),"tech.food_stall.mandra_cola")</f>
        <v>tech.food_stall.mandra_cola</v>
      </c>
      <c r="C1627" s="49" t="str">
        <f t="array" ref="C1627">_xlfn.XLOOKUP(
 B1627,
 tblTargets[TargetID],
 tblTargets[DisplayName],
 ""
)</f>
        <v>Food Stall - Mandra Cola</v>
      </c>
      <c r="D1627" s="49" t="str">
        <f t="array" ref="D1627">_xlfn.XLOOKUP(
 B1627,
 tblTargets[TargetID],
 tblTargets[TargetType],
 ""
)</f>
        <v>TECH</v>
      </c>
      <c r="E1627" s="49" t="s">
        <v>1055</v>
      </c>
      <c r="F1627" s="49">
        <v>1.0</v>
      </c>
      <c r="G1627" s="49">
        <f t="array" ref="G1627">_xlfn.XLOOKUP(
 A1627,
 tblCost[RequirementID],
 tblCost[QuantityRequired],
 ""
)</f>
        <v>15</v>
      </c>
      <c r="H1627" s="49">
        <f t="array" ref="H1627">IF(
 OR(
  LEFT(B1627,15)="state.character",
  RIGHT(B1627,6)=".maxed"
 ),
 0,
 LET(
  sort,
   _xlfn.XLOOKUP(
    B1627,
    tblChecklist[TargetID],
    tblChecklist[PlayerSort],
    0
   ),
  IF(sort=0,500,sort)
 )
)</f>
        <v>500</v>
      </c>
      <c r="I1627" s="49" t="str">
        <f t="array" ref="I1627">_xlfn.XLOOKUP(
 B1627,
 tblTargetStatus[TargetID],
 tblTargetStatus[Status],
 ""
)</f>
        <v>BLOCKED</v>
      </c>
      <c r="J1627" s="45" t="b">
        <v>0</v>
      </c>
    </row>
    <row r="1628" ht="14.25" hidden="1" customHeight="1">
      <c r="A1628" s="49" t="s">
        <v>3205</v>
      </c>
      <c r="B1628" s="49" t="str">
        <f>IFERROR(__xludf.DUMMYFUNCTION("REGEXREPLACE(
 REGEXREPLACE(A1628,""^cost\."",""""),
 ""\.[^.]+\.[^.]+$"",
 """"
)"),"tech.food_stall.mandra_cola")</f>
        <v>tech.food_stall.mandra_cola</v>
      </c>
      <c r="C1628" s="49" t="str">
        <f t="array" ref="C1628">_xlfn.XLOOKUP(
 B1628,
 tblTargets[TargetID],
 tblTargets[DisplayName],
 ""
)</f>
        <v>Food Stall - Mandra Cola</v>
      </c>
      <c r="D1628" s="49" t="str">
        <f t="array" ref="D1628">_xlfn.XLOOKUP(
 B1628,
 tblTargets[TargetID],
 tblTargets[TargetType],
 ""
)</f>
        <v>TECH</v>
      </c>
      <c r="E1628" s="49" t="s">
        <v>119</v>
      </c>
      <c r="F1628" s="49">
        <v>1.0</v>
      </c>
      <c r="G1628" s="49">
        <f t="array" ref="G1628">_xlfn.XLOOKUP(
 A1628,
 tblCost[RequirementID],
 tblCost[QuantityRequired],
 ""
)</f>
        <v>400</v>
      </c>
      <c r="H1628" s="49">
        <f t="array" ref="H1628">IF(
 OR(
  LEFT(B1628,15)="state.character",
  RIGHT(B1628,6)=".maxed"
 ),
 0,
 LET(
  sort,
   _xlfn.XLOOKUP(
    B1628,
    tblChecklist[TargetID],
    tblChecklist[PlayerSort],
    0
   ),
  IF(sort=0,500,sort)
 )
)</f>
        <v>500</v>
      </c>
      <c r="I1628" s="49" t="str">
        <f t="array" ref="I1628">_xlfn.XLOOKUP(
 B1628,
 tblTargetStatus[TargetID],
 tblTargetStatus[Status],
 ""
)</f>
        <v>BLOCKED</v>
      </c>
      <c r="J1628" s="45" t="b">
        <v>0</v>
      </c>
    </row>
    <row r="1629" ht="14.25" hidden="1" customHeight="1">
      <c r="A1629" s="49" t="s">
        <v>3207</v>
      </c>
      <c r="B1629" s="49" t="str">
        <f>IFERROR(__xludf.DUMMYFUNCTION("REGEXREPLACE(
 REGEXREPLACE(A1629,""^cost\."",""""),
 ""\.[^.]+\.[^.]+$"",
 """"
)"),"tech.food_stall.mandra_cola")</f>
        <v>tech.food_stall.mandra_cola</v>
      </c>
      <c r="C1629" s="49" t="str">
        <f t="array" ref="C1629">_xlfn.XLOOKUP(
 B1629,
 tblTargets[TargetID],
 tblTargets[DisplayName],
 ""
)</f>
        <v>Food Stall - Mandra Cola</v>
      </c>
      <c r="D1629" s="49" t="str">
        <f t="array" ref="D1629">_xlfn.XLOOKUP(
 B1629,
 tblTargets[TargetID],
 tblTargets[TargetType],
 ""
)</f>
        <v>TECH</v>
      </c>
      <c r="E1629" s="49" t="s">
        <v>360</v>
      </c>
      <c r="F1629" s="49">
        <v>1.0</v>
      </c>
      <c r="G1629" s="49">
        <f t="array" ref="G1629">_xlfn.XLOOKUP(
 A1629,
 tblCost[RequirementID],
 tblCost[QuantityRequired],
 ""
)</f>
        <v>5</v>
      </c>
      <c r="H1629" s="49">
        <f t="array" ref="H1629">IF(
 OR(
  LEFT(B1629,15)="state.character",
  RIGHT(B1629,6)=".maxed"
 ),
 0,
 LET(
  sort,
   _xlfn.XLOOKUP(
    B1629,
    tblChecklist[TargetID],
    tblChecklist[PlayerSort],
    0
   ),
  IF(sort=0,500,sort)
 )
)</f>
        <v>500</v>
      </c>
      <c r="I1629" s="49" t="str">
        <f t="array" ref="I1629">_xlfn.XLOOKUP(
 B1629,
 tblTargetStatus[TargetID],
 tblTargetStatus[Status],
 ""
)</f>
        <v>BLOCKED</v>
      </c>
      <c r="J1629" s="45" t="b">
        <v>0</v>
      </c>
    </row>
    <row r="1630" ht="14.25" hidden="1" customHeight="1">
      <c r="A1630" s="49" t="s">
        <v>3210</v>
      </c>
      <c r="B1630" s="49" t="str">
        <f>IFERROR(__xludf.DUMMYFUNCTION("REGEXREPLACE(
 REGEXREPLACE(A1630,""^cost\."",""""),
 ""\.[^.]+\.[^.]+$"",
 """"
)"),"tech.food_stall.mandra_cola")</f>
        <v>tech.food_stall.mandra_cola</v>
      </c>
      <c r="C1630" s="49" t="str">
        <f t="array" ref="C1630">_xlfn.XLOOKUP(
 B1630,
 tblTargets[TargetID],
 tblTargets[DisplayName],
 ""
)</f>
        <v>Food Stall - Mandra Cola</v>
      </c>
      <c r="D1630" s="49" t="str">
        <f t="array" ref="D1630">_xlfn.XLOOKUP(
 B1630,
 tblTargets[TargetID],
 tblTargets[TargetType],
 ""
)</f>
        <v>TECH</v>
      </c>
      <c r="E1630" s="49" t="s">
        <v>2486</v>
      </c>
      <c r="F1630" s="49">
        <v>1.0</v>
      </c>
      <c r="G1630" s="49">
        <f t="array" ref="G1630">_xlfn.XLOOKUP(
 A1630,
 tblCost[RequirementID],
 tblCost[QuantityRequired],
 ""
)</f>
        <v>10</v>
      </c>
      <c r="H1630" s="49">
        <f t="array" ref="H1630">IF(
 OR(
  LEFT(B1630,15)="state.character",
  RIGHT(B1630,6)=".maxed"
 ),
 0,
 LET(
  sort,
   _xlfn.XLOOKUP(
    B1630,
    tblChecklist[TargetID],
    tblChecklist[PlayerSort],
    0
   ),
  IF(sort=0,500,sort)
 )
)</f>
        <v>500</v>
      </c>
      <c r="I1630" s="49" t="str">
        <f t="array" ref="I1630">_xlfn.XLOOKUP(
 B1630,
 tblTargetStatus[TargetID],
 tblTargetStatus[Status],
 ""
)</f>
        <v>BLOCKED</v>
      </c>
      <c r="J1630" s="45" t="b">
        <v>0</v>
      </c>
    </row>
    <row r="1631" ht="14.25" hidden="1" customHeight="1">
      <c r="A1631" s="49" t="s">
        <v>3211</v>
      </c>
      <c r="B1631" s="49" t="str">
        <f>IFERROR(__xludf.DUMMYFUNCTION("REGEXREPLACE(
 REGEXREPLACE(A1631,""^cost\."",""""),
 ""\.[^.]+\.[^.]+$"",
 """"
)"),"tech.food_stall.mandra_cola")</f>
        <v>tech.food_stall.mandra_cola</v>
      </c>
      <c r="C1631" s="49" t="str">
        <f t="array" ref="C1631">_xlfn.XLOOKUP(
 B1631,
 tblTargets[TargetID],
 tblTargets[DisplayName],
 ""
)</f>
        <v>Food Stall - Mandra Cola</v>
      </c>
      <c r="D1631" s="49" t="str">
        <f t="array" ref="D1631">_xlfn.XLOOKUP(
 B1631,
 tblTargets[TargetID],
 tblTargets[TargetType],
 ""
)</f>
        <v>TECH</v>
      </c>
      <c r="E1631" s="49" t="s">
        <v>2304</v>
      </c>
      <c r="F1631" s="49">
        <v>1.0</v>
      </c>
      <c r="G1631" s="49">
        <f t="array" ref="G1631">_xlfn.XLOOKUP(
 A1631,
 tblCost[RequirementID],
 tblCost[QuantityRequired],
 ""
)</f>
        <v>20</v>
      </c>
      <c r="H1631" s="49">
        <f t="array" ref="H1631">IF(
 OR(
  LEFT(B1631,15)="state.character",
  RIGHT(B1631,6)=".maxed"
 ),
 0,
 LET(
  sort,
   _xlfn.XLOOKUP(
    B1631,
    tblChecklist[TargetID],
    tblChecklist[PlayerSort],
    0
   ),
  IF(sort=0,500,sort)
 )
)</f>
        <v>500</v>
      </c>
      <c r="I1631" s="49" t="str">
        <f t="array" ref="I1631">_xlfn.XLOOKUP(
 B1631,
 tblTargetStatus[TargetID],
 tblTargetStatus[Status],
 ""
)</f>
        <v>BLOCKED</v>
      </c>
      <c r="J1631" s="45" t="b">
        <v>0</v>
      </c>
    </row>
    <row r="1632" ht="14.25" hidden="1" customHeight="1">
      <c r="A1632" s="49" t="s">
        <v>3213</v>
      </c>
      <c r="B1632" s="49" t="str">
        <f>IFERROR(__xludf.DUMMYFUNCTION("REGEXREPLACE(
 REGEXREPLACE(A1632,""^cost\."",""""),
 ""\.[^.]+\.[^.]+$"",
 """"
)"),"tech.food_stall.mandra_cola")</f>
        <v>tech.food_stall.mandra_cola</v>
      </c>
      <c r="C1632" s="49" t="str">
        <f t="array" ref="C1632">_xlfn.XLOOKUP(
 B1632,
 tblTargets[TargetID],
 tblTargets[DisplayName],
 ""
)</f>
        <v>Food Stall - Mandra Cola</v>
      </c>
      <c r="D1632" s="49" t="str">
        <f t="array" ref="D1632">_xlfn.XLOOKUP(
 B1632,
 tblTargets[TargetID],
 tblTargets[TargetType],
 ""
)</f>
        <v>TECH</v>
      </c>
      <c r="E1632" s="49" t="s">
        <v>6</v>
      </c>
      <c r="F1632" s="49">
        <v>1.0</v>
      </c>
      <c r="G1632" s="49">
        <f t="array" ref="G1632">_xlfn.XLOOKUP(
 A1632,
 tblCost[RequirementID],
 tblCost[QuantityRequired],
 ""
)</f>
        <v>2</v>
      </c>
      <c r="H1632" s="49">
        <f t="array" ref="H1632">IF(
 OR(
  LEFT(B1632,15)="state.character",
  RIGHT(B1632,6)=".maxed"
 ),
 0,
 LET(
  sort,
   _xlfn.XLOOKUP(
    B1632,
    tblChecklist[TargetID],
    tblChecklist[PlayerSort],
    0
   ),
  IF(sort=0,500,sort)
 )
)</f>
        <v>500</v>
      </c>
      <c r="I1632" s="49" t="str">
        <f t="array" ref="I1632">_xlfn.XLOOKUP(
 B1632,
 tblTargetStatus[TargetID],
 tblTargetStatus[Status],
 ""
)</f>
        <v>BLOCKED</v>
      </c>
      <c r="J1632" s="45" t="b">
        <v>0</v>
      </c>
    </row>
    <row r="1633" ht="14.25" hidden="1" customHeight="1">
      <c r="A1633" s="49" t="s">
        <v>3189</v>
      </c>
      <c r="B1633" s="49" t="str">
        <f>IFERROR(__xludf.DUMMYFUNCTION("REGEXREPLACE(
 REGEXREPLACE(A1633,""^cost\."",""""),
 ""\.[^.]+\.[^.]+$"",
 """"
)"),"tech.food_stall.mayonnaise")</f>
        <v>tech.food_stall.mayonnaise</v>
      </c>
      <c r="C1633" s="49" t="str">
        <f t="array" ref="C1633">_xlfn.XLOOKUP(
 B1633,
 tblTargets[TargetID],
 tblTargets[DisplayName],
 ""
)</f>
        <v>Food Stall - Mayonnaise</v>
      </c>
      <c r="D1633" s="49" t="str">
        <f t="array" ref="D1633">_xlfn.XLOOKUP(
 B1633,
 tblTargets[TargetID],
 tblTargets[TargetType],
 ""
)</f>
        <v>TECH</v>
      </c>
      <c r="E1633" s="49" t="s">
        <v>1055</v>
      </c>
      <c r="F1633" s="49">
        <v>1.0</v>
      </c>
      <c r="G1633" s="49">
        <f t="array" ref="G1633">_xlfn.XLOOKUP(
 A1633,
 tblCost[RequirementID],
 tblCost[QuantityRequired],
 ""
)</f>
        <v>15</v>
      </c>
      <c r="H1633" s="49">
        <f t="array" ref="H1633">IF(
 OR(
  LEFT(B1633,15)="state.character",
  RIGHT(B1633,6)=".maxed"
 ),
 0,
 LET(
  sort,
   _xlfn.XLOOKUP(
    B1633,
    tblChecklist[TargetID],
    tblChecklist[PlayerSort],
    0
   ),
  IF(sort=0,500,sort)
 )
)</f>
        <v>500</v>
      </c>
      <c r="I1633" s="49" t="str">
        <f t="array" ref="I1633">_xlfn.XLOOKUP(
 B1633,
 tblTargetStatus[TargetID],
 tblTargetStatus[Status],
 ""
)</f>
        <v>BLOCKED</v>
      </c>
      <c r="J1633" s="45" t="b">
        <v>0</v>
      </c>
    </row>
    <row r="1634" ht="14.25" hidden="1" customHeight="1">
      <c r="A1634" s="49" t="s">
        <v>3191</v>
      </c>
      <c r="B1634" s="49" t="str">
        <f>IFERROR(__xludf.DUMMYFUNCTION("REGEXREPLACE(
 REGEXREPLACE(A1634,""^cost\."",""""),
 ""\.[^.]+\.[^.]+$"",
 """"
)"),"tech.food_stall.mayonnaise")</f>
        <v>tech.food_stall.mayonnaise</v>
      </c>
      <c r="C1634" s="49" t="str">
        <f t="array" ref="C1634">_xlfn.XLOOKUP(
 B1634,
 tblTargets[TargetID],
 tblTargets[DisplayName],
 ""
)</f>
        <v>Food Stall - Mayonnaise</v>
      </c>
      <c r="D1634" s="49" t="str">
        <f t="array" ref="D1634">_xlfn.XLOOKUP(
 B1634,
 tblTargets[TargetID],
 tblTargets[TargetType],
 ""
)</f>
        <v>TECH</v>
      </c>
      <c r="E1634" s="49" t="s">
        <v>119</v>
      </c>
      <c r="F1634" s="49">
        <v>1.0</v>
      </c>
      <c r="G1634" s="49">
        <f t="array" ref="G1634">_xlfn.XLOOKUP(
 A1634,
 tblCost[RequirementID],
 tblCost[QuantityRequired],
 ""
)</f>
        <v>400</v>
      </c>
      <c r="H1634" s="49">
        <f t="array" ref="H1634">IF(
 OR(
  LEFT(B1634,15)="state.character",
  RIGHT(B1634,6)=".maxed"
 ),
 0,
 LET(
  sort,
   _xlfn.XLOOKUP(
    B1634,
    tblChecklist[TargetID],
    tblChecklist[PlayerSort],
    0
   ),
  IF(sort=0,500,sort)
 )
)</f>
        <v>500</v>
      </c>
      <c r="I1634" s="49" t="str">
        <f t="array" ref="I1634">_xlfn.XLOOKUP(
 B1634,
 tblTargetStatus[TargetID],
 tblTargetStatus[Status],
 ""
)</f>
        <v>BLOCKED</v>
      </c>
      <c r="J1634" s="45" t="b">
        <v>0</v>
      </c>
    </row>
    <row r="1635" ht="14.25" hidden="1" customHeight="1">
      <c r="A1635" s="49" t="s">
        <v>3193</v>
      </c>
      <c r="B1635" s="49" t="str">
        <f>IFERROR(__xludf.DUMMYFUNCTION("REGEXREPLACE(
 REGEXREPLACE(A1635,""^cost\."",""""),
 ""\.[^.]+\.[^.]+$"",
 """"
)"),"tech.food_stall.mayonnaise")</f>
        <v>tech.food_stall.mayonnaise</v>
      </c>
      <c r="C1635" s="49" t="str">
        <f t="array" ref="C1635">_xlfn.XLOOKUP(
 B1635,
 tblTargets[TargetID],
 tblTargets[DisplayName],
 ""
)</f>
        <v>Food Stall - Mayonnaise</v>
      </c>
      <c r="D1635" s="49" t="str">
        <f t="array" ref="D1635">_xlfn.XLOOKUP(
 B1635,
 tblTargets[TargetID],
 tblTargets[TargetType],
 ""
)</f>
        <v>TECH</v>
      </c>
      <c r="E1635" s="49" t="s">
        <v>452</v>
      </c>
      <c r="F1635" s="49">
        <v>1.0</v>
      </c>
      <c r="G1635" s="49">
        <f t="array" ref="G1635">_xlfn.XLOOKUP(
 A1635,
 tblCost[RequirementID],
 tblCost[QuantityRequired],
 ""
)</f>
        <v>25</v>
      </c>
      <c r="H1635" s="49">
        <f t="array" ref="H1635">IF(
 OR(
  LEFT(B1635,15)="state.character",
  RIGHT(B1635,6)=".maxed"
 ),
 0,
 LET(
  sort,
   _xlfn.XLOOKUP(
    B1635,
    tblChecklist[TargetID],
    tblChecklist[PlayerSort],
    0
   ),
  IF(sort=0,500,sort)
 )
)</f>
        <v>500</v>
      </c>
      <c r="I1635" s="49" t="str">
        <f t="array" ref="I1635">_xlfn.XLOOKUP(
 B1635,
 tblTargetStatus[TargetID],
 tblTargetStatus[Status],
 ""
)</f>
        <v>BLOCKED</v>
      </c>
      <c r="J1635" s="45" t="b">
        <v>0</v>
      </c>
    </row>
    <row r="1636" ht="14.25" hidden="1" customHeight="1">
      <c r="A1636" s="49" t="s">
        <v>3195</v>
      </c>
      <c r="B1636" s="49" t="str">
        <f>IFERROR(__xludf.DUMMYFUNCTION("REGEXREPLACE(
 REGEXREPLACE(A1636,""^cost\."",""""),
 ""\.[^.]+\.[^.]+$"",
 """"
)"),"tech.food_stall.mayonnaise")</f>
        <v>tech.food_stall.mayonnaise</v>
      </c>
      <c r="C1636" s="49" t="str">
        <f t="array" ref="C1636">_xlfn.XLOOKUP(
 B1636,
 tblTargets[TargetID],
 tblTargets[DisplayName],
 ""
)</f>
        <v>Food Stall - Mayonnaise</v>
      </c>
      <c r="D1636" s="49" t="str">
        <f t="array" ref="D1636">_xlfn.XLOOKUP(
 B1636,
 tblTargets[TargetID],
 tblTargets[TargetType],
 ""
)</f>
        <v>TECH</v>
      </c>
      <c r="E1636" s="49" t="s">
        <v>360</v>
      </c>
      <c r="F1636" s="49">
        <v>1.0</v>
      </c>
      <c r="G1636" s="49">
        <f t="array" ref="G1636">_xlfn.XLOOKUP(
 A1636,
 tblCost[RequirementID],
 tblCost[QuantityRequired],
 ""
)</f>
        <v>1</v>
      </c>
      <c r="H1636" s="49">
        <f t="array" ref="H1636">IF(
 OR(
  LEFT(B1636,15)="state.character",
  RIGHT(B1636,6)=".maxed"
 ),
 0,
 LET(
  sort,
   _xlfn.XLOOKUP(
    B1636,
    tblChecklist[TargetID],
    tblChecklist[PlayerSort],
    0
   ),
  IF(sort=0,500,sort)
 )
)</f>
        <v>500</v>
      </c>
      <c r="I1636" s="49" t="str">
        <f t="array" ref="I1636">_xlfn.XLOOKUP(
 B1636,
 tblTargetStatus[TargetID],
 tblTargetStatus[Status],
 ""
)</f>
        <v>BLOCKED</v>
      </c>
      <c r="J1636" s="45" t="b">
        <v>0</v>
      </c>
    </row>
    <row r="1637" ht="14.25" hidden="1" customHeight="1">
      <c r="A1637" s="49" t="s">
        <v>3197</v>
      </c>
      <c r="B1637" s="49" t="str">
        <f>IFERROR(__xludf.DUMMYFUNCTION("REGEXREPLACE(
 REGEXREPLACE(A1637,""^cost\."",""""),
 ""\.[^.]+\.[^.]+$"",
 """"
)"),"tech.food_stall.mayonnaise")</f>
        <v>tech.food_stall.mayonnaise</v>
      </c>
      <c r="C1637" s="49" t="str">
        <f t="array" ref="C1637">_xlfn.XLOOKUP(
 B1637,
 tblTargets[TargetID],
 tblTargets[DisplayName],
 ""
)</f>
        <v>Food Stall - Mayonnaise</v>
      </c>
      <c r="D1637" s="49" t="str">
        <f t="array" ref="D1637">_xlfn.XLOOKUP(
 B1637,
 tblTargets[TargetID],
 tblTargets[TargetType],
 ""
)</f>
        <v>TECH</v>
      </c>
      <c r="E1637" s="49" t="s">
        <v>588</v>
      </c>
      <c r="F1637" s="49">
        <v>1.0</v>
      </c>
      <c r="G1637" s="49">
        <f t="array" ref="G1637">_xlfn.XLOOKUP(
 A1637,
 tblCost[RequirementID],
 tblCost[QuantityRequired],
 ""
)</f>
        <v>10</v>
      </c>
      <c r="H1637" s="49">
        <f t="array" ref="H1637">IF(
 OR(
  LEFT(B1637,15)="state.character",
  RIGHT(B1637,6)=".maxed"
 ),
 0,
 LET(
  sort,
   _xlfn.XLOOKUP(
    B1637,
    tblChecklist[TargetID],
    tblChecklist[PlayerSort],
    0
   ),
  IF(sort=0,500,sort)
 )
)</f>
        <v>500</v>
      </c>
      <c r="I1637" s="49" t="str">
        <f t="array" ref="I1637">_xlfn.XLOOKUP(
 B1637,
 tblTargetStatus[TargetID],
 tblTargetStatus[Status],
 ""
)</f>
        <v>BLOCKED</v>
      </c>
      <c r="J1637" s="45" t="b">
        <v>0</v>
      </c>
    </row>
    <row r="1638" ht="14.25" hidden="1" customHeight="1">
      <c r="A1638" s="49" t="s">
        <v>3199</v>
      </c>
      <c r="B1638" s="49" t="str">
        <f>IFERROR(__xludf.DUMMYFUNCTION("REGEXREPLACE(
 REGEXREPLACE(A1638,""^cost\."",""""),
 ""\.[^.]+\.[^.]+$"",
 """"
)"),"tech.food_stall.mayonnaise")</f>
        <v>tech.food_stall.mayonnaise</v>
      </c>
      <c r="C1638" s="49" t="str">
        <f t="array" ref="C1638">_xlfn.XLOOKUP(
 B1638,
 tblTargets[TargetID],
 tblTargets[DisplayName],
 ""
)</f>
        <v>Food Stall - Mayonnaise</v>
      </c>
      <c r="D1638" s="49" t="str">
        <f t="array" ref="D1638">_xlfn.XLOOKUP(
 B1638,
 tblTargets[TargetID],
 tblTargets[TargetType],
 ""
)</f>
        <v>TECH</v>
      </c>
      <c r="E1638" s="49" t="s">
        <v>6</v>
      </c>
      <c r="F1638" s="49">
        <v>1.0</v>
      </c>
      <c r="G1638" s="49">
        <f t="array" ref="G1638">_xlfn.XLOOKUP(
 A1638,
 tblCost[RequirementID],
 tblCost[QuantityRequired],
 ""
)</f>
        <v>2</v>
      </c>
      <c r="H1638" s="49">
        <f t="array" ref="H1638">IF(
 OR(
  LEFT(B1638,15)="state.character",
  RIGHT(B1638,6)=".maxed"
 ),
 0,
 LET(
  sort,
   _xlfn.XLOOKUP(
    B1638,
    tblChecklist[TargetID],
    tblChecklist[PlayerSort],
    0
   ),
  IF(sort=0,500,sort)
 )
)</f>
        <v>500</v>
      </c>
      <c r="I1638" s="49" t="str">
        <f t="array" ref="I1638">_xlfn.XLOOKUP(
 B1638,
 tblTargetStatus[TargetID],
 tblTargetStatus[Status],
 ""
)</f>
        <v>BLOCKED</v>
      </c>
      <c r="J1638" s="45" t="b">
        <v>0</v>
      </c>
    </row>
    <row r="1639" ht="14.25" hidden="1" customHeight="1">
      <c r="A1639" s="49" t="s">
        <v>3237</v>
      </c>
      <c r="B1639" s="49" t="str">
        <f>IFERROR(__xludf.DUMMYFUNCTION("REGEXREPLACE(
 REGEXREPLACE(A1639,""^cost\."",""""),
 ""\.[^.]+\.[^.]+$"",
 """"
)"),"tech.food_stall.miso_soup")</f>
        <v>tech.food_stall.miso_soup</v>
      </c>
      <c r="C1639" s="49" t="str">
        <f t="array" ref="C1639">_xlfn.XLOOKUP(
 B1639,
 tblTargets[TargetID],
 tblTargets[DisplayName],
 ""
)</f>
        <v>Food Stall - Miso Soup</v>
      </c>
      <c r="D1639" s="49" t="str">
        <f t="array" ref="D1639">_xlfn.XLOOKUP(
 B1639,
 tblTargets[TargetID],
 tblTargets[TargetType],
 ""
)</f>
        <v>TECH</v>
      </c>
      <c r="E1639" s="49" t="s">
        <v>119</v>
      </c>
      <c r="F1639" s="49">
        <v>1.0</v>
      </c>
      <c r="G1639" s="49">
        <f t="array" ref="G1639">_xlfn.XLOOKUP(
 A1639,
 tblCost[RequirementID],
 tblCost[QuantityRequired],
 ""
)</f>
        <v>500</v>
      </c>
      <c r="H1639" s="49">
        <f t="array" ref="H1639">IF(
 OR(
  LEFT(B1639,15)="state.character",
  RIGHT(B1639,6)=".maxed"
 ),
 0,
 LET(
  sort,
   _xlfn.XLOOKUP(
    B1639,
    tblChecklist[TargetID],
    tblChecklist[PlayerSort],
    0
   ),
  IF(sort=0,500,sort)
 )
)</f>
        <v>500</v>
      </c>
      <c r="I1639" s="49" t="str">
        <f t="array" ref="I1639">_xlfn.XLOOKUP(
 B1639,
 tblTargetStatus[TargetID],
 tblTargetStatus[Status],
 ""
)</f>
        <v>BLOCKED</v>
      </c>
      <c r="J1639" s="45" t="b">
        <v>0</v>
      </c>
    </row>
    <row r="1640" ht="14.25" hidden="1" customHeight="1">
      <c r="A1640" s="49" t="s">
        <v>3239</v>
      </c>
      <c r="B1640" s="49" t="str">
        <f>IFERROR(__xludf.DUMMYFUNCTION("REGEXREPLACE(
 REGEXREPLACE(A1640,""^cost\."",""""),
 ""\.[^.]+\.[^.]+$"",
 """"
)"),"tech.food_stall.miso_soup")</f>
        <v>tech.food_stall.miso_soup</v>
      </c>
      <c r="C1640" s="49" t="str">
        <f t="array" ref="C1640">_xlfn.XLOOKUP(
 B1640,
 tblTargets[TargetID],
 tblTargets[DisplayName],
 ""
)</f>
        <v>Food Stall - Miso Soup</v>
      </c>
      <c r="D1640" s="49" t="str">
        <f t="array" ref="D1640">_xlfn.XLOOKUP(
 B1640,
 tblTargets[TargetID],
 tblTargets[TargetType],
 ""
)</f>
        <v>TECH</v>
      </c>
      <c r="E1640" s="49" t="s">
        <v>2964</v>
      </c>
      <c r="F1640" s="49">
        <v>1.0</v>
      </c>
      <c r="G1640" s="49">
        <f t="array" ref="G1640">_xlfn.XLOOKUP(
 A1640,
 tblCost[RequirementID],
 tblCost[QuantityRequired],
 ""
)</f>
        <v>20</v>
      </c>
      <c r="H1640" s="49">
        <f t="array" ref="H1640">IF(
 OR(
  LEFT(B1640,15)="state.character",
  RIGHT(B1640,6)=".maxed"
 ),
 0,
 LET(
  sort,
   _xlfn.XLOOKUP(
    B1640,
    tblChecklist[TargetID],
    tblChecklist[PlayerSort],
    0
   ),
  IF(sort=0,500,sort)
 )
)</f>
        <v>500</v>
      </c>
      <c r="I1640" s="49" t="str">
        <f t="array" ref="I1640">_xlfn.XLOOKUP(
 B1640,
 tblTargetStatus[TargetID],
 tblTargetStatus[Status],
 ""
)</f>
        <v>BLOCKED</v>
      </c>
      <c r="J1640" s="45" t="b">
        <v>0</v>
      </c>
    </row>
    <row r="1641" ht="14.25" hidden="1" customHeight="1">
      <c r="A1641" s="49" t="s">
        <v>3241</v>
      </c>
      <c r="B1641" s="49" t="str">
        <f>IFERROR(__xludf.DUMMYFUNCTION("REGEXREPLACE(
 REGEXREPLACE(A1641,""^cost\."",""""),
 ""\.[^.]+\.[^.]+$"",
 """"
)"),"tech.food_stall.miso_soup")</f>
        <v>tech.food_stall.miso_soup</v>
      </c>
      <c r="C1641" s="49" t="str">
        <f t="array" ref="C1641">_xlfn.XLOOKUP(
 B1641,
 tblTargets[TargetID],
 tblTargets[DisplayName],
 ""
)</f>
        <v>Food Stall - Miso Soup</v>
      </c>
      <c r="D1641" s="49" t="str">
        <f t="array" ref="D1641">_xlfn.XLOOKUP(
 B1641,
 tblTargets[TargetID],
 tblTargets[TargetType],
 ""
)</f>
        <v>TECH</v>
      </c>
      <c r="E1641" s="49" t="s">
        <v>530</v>
      </c>
      <c r="F1641" s="49">
        <v>1.0</v>
      </c>
      <c r="G1641" s="49">
        <f t="array" ref="G1641">_xlfn.XLOOKUP(
 A1641,
 tblCost[RequirementID],
 tblCost[QuantityRequired],
 ""
)</f>
        <v>10</v>
      </c>
      <c r="H1641" s="49">
        <f t="array" ref="H1641">IF(
 OR(
  LEFT(B1641,15)="state.character",
  RIGHT(B1641,6)=".maxed"
 ),
 0,
 LET(
  sort,
   _xlfn.XLOOKUP(
    B1641,
    tblChecklist[TargetID],
    tblChecklist[PlayerSort],
    0
   ),
  IF(sort=0,500,sort)
 )
)</f>
        <v>500</v>
      </c>
      <c r="I1641" s="49" t="str">
        <f t="array" ref="I1641">_xlfn.XLOOKUP(
 B1641,
 tblTargetStatus[TargetID],
 tblTargetStatus[Status],
 ""
)</f>
        <v>BLOCKED</v>
      </c>
      <c r="J1641" s="45" t="b">
        <v>0</v>
      </c>
    </row>
    <row r="1642" ht="14.25" hidden="1" customHeight="1">
      <c r="A1642" s="49" t="s">
        <v>3243</v>
      </c>
      <c r="B1642" s="49" t="str">
        <f>IFERROR(__xludf.DUMMYFUNCTION("REGEXREPLACE(
 REGEXREPLACE(A1642,""^cost\."",""""),
 ""\.[^.]+\.[^.]+$"",
 """"
)"),"tech.food_stall.miso_soup")</f>
        <v>tech.food_stall.miso_soup</v>
      </c>
      <c r="C1642" s="49" t="str">
        <f t="array" ref="C1642">_xlfn.XLOOKUP(
 B1642,
 tblTargets[TargetID],
 tblTargets[DisplayName],
 ""
)</f>
        <v>Food Stall - Miso Soup</v>
      </c>
      <c r="D1642" s="49" t="str">
        <f t="array" ref="D1642">_xlfn.XLOOKUP(
 B1642,
 tblTargets[TargetID],
 tblTargets[TargetType],
 ""
)</f>
        <v>TECH</v>
      </c>
      <c r="E1642" s="49" t="s">
        <v>3244</v>
      </c>
      <c r="F1642" s="49">
        <v>1.0</v>
      </c>
      <c r="G1642" s="49">
        <f t="array" ref="G1642">_xlfn.XLOOKUP(
 A1642,
 tblCost[RequirementID],
 tblCost[QuantityRequired],
 ""
)</f>
        <v>10</v>
      </c>
      <c r="H1642" s="49">
        <f t="array" ref="H1642">IF(
 OR(
  LEFT(B1642,15)="state.character",
  RIGHT(B1642,6)=".maxed"
 ),
 0,
 LET(
  sort,
   _xlfn.XLOOKUP(
    B1642,
    tblChecklist[TargetID],
    tblChecklist[PlayerSort],
    0
   ),
  IF(sort=0,500,sort)
 )
)</f>
        <v>500</v>
      </c>
      <c r="I1642" s="49" t="str">
        <f t="array" ref="I1642">_xlfn.XLOOKUP(
 B1642,
 tblTargetStatus[TargetID],
 tblTargetStatus[Status],
 ""
)</f>
        <v>BLOCKED</v>
      </c>
      <c r="J1642" s="45" t="b">
        <v>0</v>
      </c>
    </row>
    <row r="1643" ht="14.25" hidden="1" customHeight="1">
      <c r="A1643" s="49" t="s">
        <v>3246</v>
      </c>
      <c r="B1643" s="49" t="str">
        <f>IFERROR(__xludf.DUMMYFUNCTION("REGEXREPLACE(
 REGEXREPLACE(A1643,""^cost\."",""""),
 ""\.[^.]+\.[^.]+$"",
 """"
)"),"tech.food_stall.miso_soup")</f>
        <v>tech.food_stall.miso_soup</v>
      </c>
      <c r="C1643" s="49" t="str">
        <f t="array" ref="C1643">_xlfn.XLOOKUP(
 B1643,
 tblTargets[TargetID],
 tblTargets[DisplayName],
 ""
)</f>
        <v>Food Stall - Miso Soup</v>
      </c>
      <c r="D1643" s="49" t="str">
        <f t="array" ref="D1643">_xlfn.XLOOKUP(
 B1643,
 tblTargets[TargetID],
 tblTargets[TargetType],
 ""
)</f>
        <v>TECH</v>
      </c>
      <c r="E1643" s="49" t="s">
        <v>6</v>
      </c>
      <c r="F1643" s="49">
        <v>1.0</v>
      </c>
      <c r="G1643" s="49">
        <f t="array" ref="G1643">_xlfn.XLOOKUP(
 A1643,
 tblCost[RequirementID],
 tblCost[QuantityRequired],
 ""
)</f>
        <v>5</v>
      </c>
      <c r="H1643" s="49">
        <f t="array" ref="H1643">IF(
 OR(
  LEFT(B1643,15)="state.character",
  RIGHT(B1643,6)=".maxed"
 ),
 0,
 LET(
  sort,
   _xlfn.XLOOKUP(
    B1643,
    tblChecklist[TargetID],
    tblChecklist[PlayerSort],
    0
   ),
  IF(sort=0,500,sort)
 )
)</f>
        <v>500</v>
      </c>
      <c r="I1643" s="49" t="str">
        <f t="array" ref="I1643">_xlfn.XLOOKUP(
 B1643,
 tblTargetStatus[TargetID],
 tblTargetStatus[Status],
 ""
)</f>
        <v>BLOCKED</v>
      </c>
      <c r="J1643" s="45" t="b">
        <v>0</v>
      </c>
    </row>
    <row r="1644" ht="14.25" hidden="1" customHeight="1">
      <c r="A1644" s="49" t="s">
        <v>3248</v>
      </c>
      <c r="B1644" s="49" t="str">
        <f>IFERROR(__xludf.DUMMYFUNCTION("REGEXREPLACE(
 REGEXREPLACE(A1644,""^cost\."",""""),
 ""\.[^.]+\.[^.]+$"",
 """"
)"),"tech.food_stall.miso_soup")</f>
        <v>tech.food_stall.miso_soup</v>
      </c>
      <c r="C1644" s="49" t="str">
        <f t="array" ref="C1644">_xlfn.XLOOKUP(
 B1644,
 tblTargets[TargetID],
 tblTargets[DisplayName],
 ""
)</f>
        <v>Food Stall - Miso Soup</v>
      </c>
      <c r="D1644" s="49" t="str">
        <f t="array" ref="D1644">_xlfn.XLOOKUP(
 B1644,
 tblTargets[TargetID],
 tblTargets[TargetType],
 ""
)</f>
        <v>TECH</v>
      </c>
      <c r="E1644" s="49" t="s">
        <v>405</v>
      </c>
      <c r="F1644" s="49">
        <v>1.0</v>
      </c>
      <c r="G1644" s="49">
        <f t="array" ref="G1644">_xlfn.XLOOKUP(
 A1644,
 tblCost[RequirementID],
 tblCost[QuantityRequired],
 ""
)</f>
        <v>10</v>
      </c>
      <c r="H1644" s="49">
        <f t="array" ref="H1644">IF(
 OR(
  LEFT(B1644,15)="state.character",
  RIGHT(B1644,6)=".maxed"
 ),
 0,
 LET(
  sort,
   _xlfn.XLOOKUP(
    B1644,
    tblChecklist[TargetID],
    tblChecklist[PlayerSort],
    0
   ),
  IF(sort=0,500,sort)
 )
)</f>
        <v>500</v>
      </c>
      <c r="I1644" s="49" t="str">
        <f t="array" ref="I1644">_xlfn.XLOOKUP(
 B1644,
 tblTargetStatus[TargetID],
 tblTargetStatus[Status],
 ""
)</f>
        <v>BLOCKED</v>
      </c>
      <c r="J1644" s="45" t="b">
        <v>0</v>
      </c>
    </row>
    <row r="1645" ht="14.25" hidden="1" customHeight="1">
      <c r="A1645" s="49" t="s">
        <v>3250</v>
      </c>
      <c r="B1645" s="49" t="str">
        <f>IFERROR(__xludf.DUMMYFUNCTION("REGEXREPLACE(
 REGEXREPLACE(A1645,""^cost\."",""""),
 ""\.[^.]+\.[^.]+$"",
 """"
)"),"tech.food_stall.miso_soup")</f>
        <v>tech.food_stall.miso_soup</v>
      </c>
      <c r="C1645" s="49" t="str">
        <f t="array" ref="C1645">_xlfn.XLOOKUP(
 B1645,
 tblTargets[TargetID],
 tblTargets[DisplayName],
 ""
)</f>
        <v>Food Stall - Miso Soup</v>
      </c>
      <c r="D1645" s="49" t="str">
        <f t="array" ref="D1645">_xlfn.XLOOKUP(
 B1645,
 tblTargets[TargetID],
 tblTargets[TargetType],
 ""
)</f>
        <v>TECH</v>
      </c>
      <c r="E1645" s="49" t="s">
        <v>3225</v>
      </c>
      <c r="F1645" s="49">
        <v>1.0</v>
      </c>
      <c r="G1645" s="49">
        <f t="array" ref="G1645">_xlfn.XLOOKUP(
 A1645,
 tblCost[RequirementID],
 tblCost[QuantityRequired],
 ""
)</f>
        <v>10</v>
      </c>
      <c r="H1645" s="49">
        <f t="array" ref="H1645">IF(
 OR(
  LEFT(B1645,15)="state.character",
  RIGHT(B1645,6)=".maxed"
 ),
 0,
 LET(
  sort,
   _xlfn.XLOOKUP(
    B1645,
    tblChecklist[TargetID],
    tblChecklist[PlayerSort],
    0
   ),
  IF(sort=0,500,sort)
 )
)</f>
        <v>500</v>
      </c>
      <c r="I1645" s="49" t="str">
        <f t="array" ref="I1645">_xlfn.XLOOKUP(
 B1645,
 tblTargetStatus[TargetID],
 tblTargetStatus[Status],
 ""
)</f>
        <v>BLOCKED</v>
      </c>
      <c r="J1645" s="45" t="b">
        <v>0</v>
      </c>
    </row>
    <row r="1646" ht="14.25" hidden="1" customHeight="1">
      <c r="A1646" s="49" t="s">
        <v>3158</v>
      </c>
      <c r="B1646" s="49" t="str">
        <f>IFERROR(__xludf.DUMMYFUNCTION("REGEXREPLACE(
 REGEXREPLACE(A1646,""^cost\."",""""),
 ""\.[^.]+\.[^.]+$"",
 """"
)"),"tech.food_stall.quintessence_of_taste")</f>
        <v>tech.food_stall.quintessence_of_taste</v>
      </c>
      <c r="C1646" s="49" t="str">
        <f t="array" ref="C1646">_xlfn.XLOOKUP(
 B1646,
 tblTargets[TargetID],
 tblTargets[DisplayName],
 ""
)</f>
        <v>Food Stall - Quintessence Of Taste</v>
      </c>
      <c r="D1646" s="49" t="str">
        <f t="array" ref="D1646">_xlfn.XLOOKUP(
 B1646,
 tblTargets[TargetID],
 tblTargets[TargetType],
 ""
)</f>
        <v>TECH</v>
      </c>
      <c r="E1646" s="49" t="s">
        <v>367</v>
      </c>
      <c r="F1646" s="49">
        <v>1.0</v>
      </c>
      <c r="G1646" s="49">
        <f t="array" ref="G1646">_xlfn.XLOOKUP(
 A1646,
 tblCost[RequirementID],
 tblCost[QuantityRequired],
 ""
)</f>
        <v>10</v>
      </c>
      <c r="H1646" s="49">
        <f t="array" ref="H1646">IF(
 OR(
  LEFT(B1646,15)="state.character",
  RIGHT(B1646,6)=".maxed"
 ),
 0,
 LET(
  sort,
   _xlfn.XLOOKUP(
    B1646,
    tblChecklist[TargetID],
    tblChecklist[PlayerSort],
    0
   ),
  IF(sort=0,500,sort)
 )
)</f>
        <v>500</v>
      </c>
      <c r="I1646" s="49" t="str">
        <f t="array" ref="I1646">_xlfn.XLOOKUP(
 B1646,
 tblTargetStatus[TargetID],
 tblTargetStatus[Status],
 ""
)</f>
        <v>BLOCKED</v>
      </c>
      <c r="J1646" s="45" t="b">
        <v>0</v>
      </c>
    </row>
    <row r="1647" ht="14.25" hidden="1" customHeight="1">
      <c r="A1647" s="49" t="s">
        <v>3168</v>
      </c>
      <c r="B1647" s="49" t="str">
        <f>IFERROR(__xludf.DUMMYFUNCTION("REGEXREPLACE(
 REGEXREPLACE(A1647,""^cost\."",""""),
 ""\.[^.]+\.[^.]+$"",
 """"
)"),"tech.food_stall.quintessence_of_taste")</f>
        <v>tech.food_stall.quintessence_of_taste</v>
      </c>
      <c r="C1647" s="49" t="str">
        <f t="array" ref="C1647">_xlfn.XLOOKUP(
 B1647,
 tblTargets[TargetID],
 tblTargets[DisplayName],
 ""
)</f>
        <v>Food Stall - Quintessence Of Taste</v>
      </c>
      <c r="D1647" s="49" t="str">
        <f t="array" ref="D1647">_xlfn.XLOOKUP(
 B1647,
 tblTargets[TargetID],
 tblTargets[TargetType],
 ""
)</f>
        <v>TECH</v>
      </c>
      <c r="E1647" s="49" t="s">
        <v>1055</v>
      </c>
      <c r="F1647" s="49">
        <v>1.0</v>
      </c>
      <c r="G1647" s="49">
        <f t="array" ref="G1647">_xlfn.XLOOKUP(
 A1647,
 tblCost[RequirementID],
 tblCost[QuantityRequired],
 ""
)</f>
        <v>10</v>
      </c>
      <c r="H1647" s="49">
        <f t="array" ref="H1647">IF(
 OR(
  LEFT(B1647,15)="state.character",
  RIGHT(B1647,6)=".maxed"
 ),
 0,
 LET(
  sort,
   _xlfn.XLOOKUP(
    B1647,
    tblChecklist[TargetID],
    tblChecklist[PlayerSort],
    0
   ),
  IF(sort=0,500,sort)
 )
)</f>
        <v>500</v>
      </c>
      <c r="I1647" s="49" t="str">
        <f t="array" ref="I1647">_xlfn.XLOOKUP(
 B1647,
 tblTargetStatus[TargetID],
 tblTargetStatus[Status],
 ""
)</f>
        <v>BLOCKED</v>
      </c>
      <c r="J1647" s="45" t="b">
        <v>0</v>
      </c>
    </row>
    <row r="1648" ht="14.25" hidden="1" customHeight="1">
      <c r="A1648" s="49" t="s">
        <v>3171</v>
      </c>
      <c r="B1648" s="49" t="str">
        <f>IFERROR(__xludf.DUMMYFUNCTION("REGEXREPLACE(
 REGEXREPLACE(A1648,""^cost\."",""""),
 ""\.[^.]+\.[^.]+$"",
 """"
)"),"tech.food_stall.quintessence_of_taste")</f>
        <v>tech.food_stall.quintessence_of_taste</v>
      </c>
      <c r="C1648" s="49" t="str">
        <f t="array" ref="C1648">_xlfn.XLOOKUP(
 B1648,
 tblTargets[TargetID],
 tblTargets[DisplayName],
 ""
)</f>
        <v>Food Stall - Quintessence Of Taste</v>
      </c>
      <c r="D1648" s="49" t="str">
        <f t="array" ref="D1648">_xlfn.XLOOKUP(
 B1648,
 tblTargets[TargetID],
 tblTargets[TargetType],
 ""
)</f>
        <v>TECH</v>
      </c>
      <c r="E1648" s="49" t="s">
        <v>119</v>
      </c>
      <c r="F1648" s="49">
        <v>1.0</v>
      </c>
      <c r="G1648" s="49">
        <f t="array" ref="G1648">_xlfn.XLOOKUP(
 A1648,
 tblCost[RequirementID],
 tblCost[QuantityRequired],
 ""
)</f>
        <v>300</v>
      </c>
      <c r="H1648" s="49">
        <f t="array" ref="H1648">IF(
 OR(
  LEFT(B1648,15)="state.character",
  RIGHT(B1648,6)=".maxed"
 ),
 0,
 LET(
  sort,
   _xlfn.XLOOKUP(
    B1648,
    tblChecklist[TargetID],
    tblChecklist[PlayerSort],
    0
   ),
  IF(sort=0,500,sort)
 )
)</f>
        <v>500</v>
      </c>
      <c r="I1648" s="49" t="str">
        <f t="array" ref="I1648">_xlfn.XLOOKUP(
 B1648,
 tblTargetStatus[TargetID],
 tblTargetStatus[Status],
 ""
)</f>
        <v>BLOCKED</v>
      </c>
      <c r="J1648" s="45" t="b">
        <v>0</v>
      </c>
    </row>
    <row r="1649" ht="14.25" hidden="1" customHeight="1">
      <c r="A1649" s="49" t="s">
        <v>3173</v>
      </c>
      <c r="B1649" s="49" t="str">
        <f>IFERROR(__xludf.DUMMYFUNCTION("REGEXREPLACE(
 REGEXREPLACE(A1649,""^cost\."",""""),
 ""\.[^.]+\.[^.]+$"",
 """"
)"),"tech.food_stall.quintessence_of_taste")</f>
        <v>tech.food_stall.quintessence_of_taste</v>
      </c>
      <c r="C1649" s="49" t="str">
        <f t="array" ref="C1649">_xlfn.XLOOKUP(
 B1649,
 tblTargets[TargetID],
 tblTargets[DisplayName],
 ""
)</f>
        <v>Food Stall - Quintessence Of Taste</v>
      </c>
      <c r="D1649" s="49" t="str">
        <f t="array" ref="D1649">_xlfn.XLOOKUP(
 B1649,
 tblTargets[TargetID],
 tblTargets[TargetType],
 ""
)</f>
        <v>TECH</v>
      </c>
      <c r="E1649" s="49" t="s">
        <v>2486</v>
      </c>
      <c r="F1649" s="49">
        <v>1.0</v>
      </c>
      <c r="G1649" s="49">
        <f t="array" ref="G1649">_xlfn.XLOOKUP(
 A1649,
 tblCost[RequirementID],
 tblCost[QuantityRequired],
 ""
)</f>
        <v>10</v>
      </c>
      <c r="H1649" s="49">
        <f t="array" ref="H1649">IF(
 OR(
  LEFT(B1649,15)="state.character",
  RIGHT(B1649,6)=".maxed"
 ),
 0,
 LET(
  sort,
   _xlfn.XLOOKUP(
    B1649,
    tblChecklist[TargetID],
    tblChecklist[PlayerSort],
    0
   ),
  IF(sort=0,500,sort)
 )
)</f>
        <v>500</v>
      </c>
      <c r="I1649" s="49" t="str">
        <f t="array" ref="I1649">_xlfn.XLOOKUP(
 B1649,
 tblTargetStatus[TargetID],
 tblTargetStatus[Status],
 ""
)</f>
        <v>BLOCKED</v>
      </c>
      <c r="J1649" s="45" t="b">
        <v>0</v>
      </c>
    </row>
    <row r="1650" ht="14.25" hidden="1" customHeight="1">
      <c r="A1650" s="49" t="s">
        <v>3175</v>
      </c>
      <c r="B1650" s="49" t="str">
        <f>IFERROR(__xludf.DUMMYFUNCTION("REGEXREPLACE(
 REGEXREPLACE(A1650,""^cost\."",""""),
 ""\.[^.]+\.[^.]+$"",
 """"
)"),"tech.food_stall.quintessence_of_taste")</f>
        <v>tech.food_stall.quintessence_of_taste</v>
      </c>
      <c r="C1650" s="49" t="str">
        <f t="array" ref="C1650">_xlfn.XLOOKUP(
 B1650,
 tblTargets[TargetID],
 tblTargets[DisplayName],
 ""
)</f>
        <v>Food Stall - Quintessence Of Taste</v>
      </c>
      <c r="D1650" s="49" t="str">
        <f t="array" ref="D1650">_xlfn.XLOOKUP(
 B1650,
 tblTargets[TargetID],
 tblTargets[TargetType],
 ""
)</f>
        <v>TECH</v>
      </c>
      <c r="E1650" s="49" t="s">
        <v>6</v>
      </c>
      <c r="F1650" s="49">
        <v>1.0</v>
      </c>
      <c r="G1650" s="49">
        <f t="array" ref="G1650">_xlfn.XLOOKUP(
 A1650,
 tblCost[RequirementID],
 tblCost[QuantityRequired],
 ""
)</f>
        <v>1</v>
      </c>
      <c r="H1650" s="49">
        <f t="array" ref="H1650">IF(
 OR(
  LEFT(B1650,15)="state.character",
  RIGHT(B1650,6)=".maxed"
 ),
 0,
 LET(
  sort,
   _xlfn.XLOOKUP(
    B1650,
    tblChecklist[TargetID],
    tblChecklist[PlayerSort],
    0
   ),
  IF(sort=0,500,sort)
 )
)</f>
        <v>500</v>
      </c>
      <c r="I1650" s="49" t="str">
        <f t="array" ref="I1650">_xlfn.XLOOKUP(
 B1650,
 tblTargetStatus[TargetID],
 tblTargetStatus[Status],
 ""
)</f>
        <v>BLOCKED</v>
      </c>
      <c r="J1650" s="45" t="b">
        <v>0</v>
      </c>
    </row>
    <row r="1651" ht="14.25" hidden="1" customHeight="1">
      <c r="A1651" s="49" t="s">
        <v>3177</v>
      </c>
      <c r="B1651" s="49" t="str">
        <f>IFERROR(__xludf.DUMMYFUNCTION("REGEXREPLACE(
 REGEXREPLACE(A1651,""^cost\."",""""),
 ""\.[^.]+\.[^.]+$"",
 """"
)"),"tech.food_stall.quintessence_of_taste")</f>
        <v>tech.food_stall.quintessence_of_taste</v>
      </c>
      <c r="C1651" s="49" t="str">
        <f t="array" ref="C1651">_xlfn.XLOOKUP(
 B1651,
 tblTargets[TargetID],
 tblTargets[DisplayName],
 ""
)</f>
        <v>Food Stall - Quintessence Of Taste</v>
      </c>
      <c r="D1651" s="49" t="str">
        <f t="array" ref="D1651">_xlfn.XLOOKUP(
 B1651,
 tblTargets[TargetID],
 tblTargets[TargetType],
 ""
)</f>
        <v>TECH</v>
      </c>
      <c r="E1651" s="49" t="s">
        <v>443</v>
      </c>
      <c r="F1651" s="49">
        <v>1.0</v>
      </c>
      <c r="G1651" s="49">
        <f t="array" ref="G1651">_xlfn.XLOOKUP(
 A1651,
 tblCost[RequirementID],
 tblCost[QuantityRequired],
 ""
)</f>
        <v>1</v>
      </c>
      <c r="H1651" s="49">
        <f t="array" ref="H1651">IF(
 OR(
  LEFT(B1651,15)="state.character",
  RIGHT(B1651,6)=".maxed"
 ),
 0,
 LET(
  sort,
   _xlfn.XLOOKUP(
    B1651,
    tblChecklist[TargetID],
    tblChecklist[PlayerSort],
    0
   ),
  IF(sort=0,500,sort)
 )
)</f>
        <v>500</v>
      </c>
      <c r="I1651" s="49" t="str">
        <f t="array" ref="I1651">_xlfn.XLOOKUP(
 B1651,
 tblTargetStatus[TargetID],
 tblTargetStatus[Status],
 ""
)</f>
        <v>BLOCKED</v>
      </c>
      <c r="J1651" s="45" t="b">
        <v>0</v>
      </c>
    </row>
    <row r="1652" ht="14.25" hidden="1" customHeight="1">
      <c r="A1652" s="49" t="s">
        <v>3294</v>
      </c>
      <c r="B1652" s="49" t="str">
        <f>IFERROR(__xludf.DUMMYFUNCTION("REGEXREPLACE(
 REGEXREPLACE(A1652,""^cost\."",""""),
 ""\.[^.]+\.[^.]+$"",
 """"
)"),"tech.furnace.conveyor")</f>
        <v>tech.furnace.conveyor</v>
      </c>
      <c r="C1652" s="49" t="str">
        <f t="array" ref="C1652">_xlfn.XLOOKUP(
 B1652,
 tblTargets[TargetID],
 tblTargets[DisplayName],
 ""
)</f>
        <v>Furnace - Conveyor</v>
      </c>
      <c r="D1652" s="49" t="str">
        <f t="array" ref="D1652">_xlfn.XLOOKUP(
 B1652,
 tblTargets[TargetID],
 tblTargets[TargetType],
 ""
)</f>
        <v>TECH</v>
      </c>
      <c r="E1652" s="49" t="s">
        <v>1055</v>
      </c>
      <c r="F1652" s="49">
        <v>1.0</v>
      </c>
      <c r="G1652" s="49">
        <f t="array" ref="G1652">_xlfn.XLOOKUP(
 A1652,
 tblCost[RequirementID],
 tblCost[QuantityRequired],
 ""
)</f>
        <v>15</v>
      </c>
      <c r="H1652" s="49">
        <f t="array" ref="H1652">IF(
 OR(
  LEFT(B1652,15)="state.character",
  RIGHT(B1652,6)=".maxed"
 ),
 0,
 LET(
  sort,
   _xlfn.XLOOKUP(
    B1652,
    tblChecklist[TargetID],
    tblChecklist[PlayerSort],
    0
   ),
  IF(sort=0,500,sort)
 )
)</f>
        <v>500</v>
      </c>
      <c r="I1652" s="49" t="str">
        <f t="array" ref="I1652">_xlfn.XLOOKUP(
 B1652,
 tblTargetStatus[TargetID],
 tblTargetStatus[Status],
 ""
)</f>
        <v>BLOCKED</v>
      </c>
      <c r="J1652" s="45" t="b">
        <v>0</v>
      </c>
    </row>
    <row r="1653" ht="14.25" hidden="1" customHeight="1">
      <c r="A1653" s="49" t="s">
        <v>3296</v>
      </c>
      <c r="B1653" s="49" t="str">
        <f>IFERROR(__xludf.DUMMYFUNCTION("REGEXREPLACE(
 REGEXREPLACE(A1653,""^cost\."",""""),
 ""\.[^.]+\.[^.]+$"",
 """"
)"),"tech.furnace.conveyor")</f>
        <v>tech.furnace.conveyor</v>
      </c>
      <c r="C1653" s="49" t="str">
        <f t="array" ref="C1653">_xlfn.XLOOKUP(
 B1653,
 tblTargets[TargetID],
 tblTargets[DisplayName],
 ""
)</f>
        <v>Furnace - Conveyor</v>
      </c>
      <c r="D1653" s="49" t="str">
        <f t="array" ref="D1653">_xlfn.XLOOKUP(
 B1653,
 tblTargets[TargetID],
 tblTargets[TargetType],
 ""
)</f>
        <v>TECH</v>
      </c>
      <c r="E1653" s="49" t="s">
        <v>119</v>
      </c>
      <c r="F1653" s="49">
        <v>1.0</v>
      </c>
      <c r="G1653" s="49">
        <f t="array" ref="G1653">_xlfn.XLOOKUP(
 A1653,
 tblCost[RequirementID],
 tblCost[QuantityRequired],
 ""
)</f>
        <v>400</v>
      </c>
      <c r="H1653" s="49">
        <f t="array" ref="H1653">IF(
 OR(
  LEFT(B1653,15)="state.character",
  RIGHT(B1653,6)=".maxed"
 ),
 0,
 LET(
  sort,
   _xlfn.XLOOKUP(
    B1653,
    tblChecklist[TargetID],
    tblChecklist[PlayerSort],
    0
   ),
  IF(sort=0,500,sort)
 )
)</f>
        <v>500</v>
      </c>
      <c r="I1653" s="49" t="str">
        <f t="array" ref="I1653">_xlfn.XLOOKUP(
 B1653,
 tblTargetStatus[TargetID],
 tblTargetStatus[Status],
 ""
)</f>
        <v>BLOCKED</v>
      </c>
      <c r="J1653" s="45" t="b">
        <v>0</v>
      </c>
    </row>
    <row r="1654" ht="14.25" hidden="1" customHeight="1">
      <c r="A1654" s="49" t="s">
        <v>3298</v>
      </c>
      <c r="B1654" s="49" t="str">
        <f>IFERROR(__xludf.DUMMYFUNCTION("REGEXREPLACE(
 REGEXREPLACE(A1654,""^cost\."",""""),
 ""\.[^.]+\.[^.]+$"",
 """"
)"),"tech.furnace.conveyor")</f>
        <v>tech.furnace.conveyor</v>
      </c>
      <c r="C1654" s="49" t="str">
        <f t="array" ref="C1654">_xlfn.XLOOKUP(
 B1654,
 tblTargets[TargetID],
 tblTargets[DisplayName],
 ""
)</f>
        <v>Furnace - Conveyor</v>
      </c>
      <c r="D1654" s="49" t="str">
        <f t="array" ref="D1654">_xlfn.XLOOKUP(
 B1654,
 tblTargets[TargetID],
 tblTargets[TargetType],
 ""
)</f>
        <v>TECH</v>
      </c>
      <c r="E1654" s="49" t="s">
        <v>2964</v>
      </c>
      <c r="F1654" s="49">
        <v>1.0</v>
      </c>
      <c r="G1654" s="49">
        <f t="array" ref="G1654">_xlfn.XLOOKUP(
 A1654,
 tblCost[RequirementID],
 tblCost[QuantityRequired],
 ""
)</f>
        <v>40</v>
      </c>
      <c r="H1654" s="49">
        <f t="array" ref="H1654">IF(
 OR(
  LEFT(B1654,15)="state.character",
  RIGHT(B1654,6)=".maxed"
 ),
 0,
 LET(
  sort,
   _xlfn.XLOOKUP(
    B1654,
    tblChecklist[TargetID],
    tblChecklist[PlayerSort],
    0
   ),
  IF(sort=0,500,sort)
 )
)</f>
        <v>500</v>
      </c>
      <c r="I1654" s="49" t="str">
        <f t="array" ref="I1654">_xlfn.XLOOKUP(
 B1654,
 tblTargetStatus[TargetID],
 tblTargetStatus[Status],
 ""
)</f>
        <v>BLOCKED</v>
      </c>
      <c r="J1654" s="45" t="b">
        <v>0</v>
      </c>
    </row>
    <row r="1655" ht="14.25" hidden="1" customHeight="1">
      <c r="A1655" s="49" t="s">
        <v>3301</v>
      </c>
      <c r="B1655" s="49" t="str">
        <f>IFERROR(__xludf.DUMMYFUNCTION("REGEXREPLACE(
 REGEXREPLACE(A1655,""^cost\."",""""),
 ""\.[^.]+\.[^.]+$"",
 """"
)"),"tech.furnace.conveyor")</f>
        <v>tech.furnace.conveyor</v>
      </c>
      <c r="C1655" s="49" t="str">
        <f t="array" ref="C1655">_xlfn.XLOOKUP(
 B1655,
 tblTargets[TargetID],
 tblTargets[DisplayName],
 ""
)</f>
        <v>Furnace - Conveyor</v>
      </c>
      <c r="D1655" s="49" t="str">
        <f t="array" ref="D1655">_xlfn.XLOOKUP(
 B1655,
 tblTargets[TargetID],
 tblTargets[TargetType],
 ""
)</f>
        <v>TECH</v>
      </c>
      <c r="E1655" s="49" t="s">
        <v>1078</v>
      </c>
      <c r="F1655" s="49">
        <v>1.0</v>
      </c>
      <c r="G1655" s="49">
        <f t="array" ref="G1655">_xlfn.XLOOKUP(
 A1655,
 tblCost[RequirementID],
 tblCost[QuantityRequired],
 ""
)</f>
        <v>10</v>
      </c>
      <c r="H1655" s="49">
        <f t="array" ref="H1655">IF(
 OR(
  LEFT(B1655,15)="state.character",
  RIGHT(B1655,6)=".maxed"
 ),
 0,
 LET(
  sort,
   _xlfn.XLOOKUP(
    B1655,
    tblChecklist[TargetID],
    tblChecklist[PlayerSort],
    0
   ),
  IF(sort=0,500,sort)
 )
)</f>
        <v>500</v>
      </c>
      <c r="I1655" s="49" t="str">
        <f t="array" ref="I1655">_xlfn.XLOOKUP(
 B1655,
 tblTargetStatus[TargetID],
 tblTargetStatus[Status],
 ""
)</f>
        <v>BLOCKED</v>
      </c>
      <c r="J1655" s="45" t="b">
        <v>0</v>
      </c>
    </row>
    <row r="1656" ht="14.25" hidden="1" customHeight="1">
      <c r="A1656" s="49" t="s">
        <v>3302</v>
      </c>
      <c r="B1656" s="49" t="str">
        <f>IFERROR(__xludf.DUMMYFUNCTION("REGEXREPLACE(
 REGEXREPLACE(A1656,""^cost\."",""""),
 ""\.[^.]+\.[^.]+$"",
 """"
)"),"tech.furnace.conveyor")</f>
        <v>tech.furnace.conveyor</v>
      </c>
      <c r="C1656" s="49" t="str">
        <f t="array" ref="C1656">_xlfn.XLOOKUP(
 B1656,
 tblTargets[TargetID],
 tblTargets[DisplayName],
 ""
)</f>
        <v>Furnace - Conveyor</v>
      </c>
      <c r="D1656" s="49" t="str">
        <f t="array" ref="D1656">_xlfn.XLOOKUP(
 B1656,
 tblTargets[TargetID],
 tblTargets[TargetType],
 ""
)</f>
        <v>TECH</v>
      </c>
      <c r="E1656" s="49" t="s">
        <v>2135</v>
      </c>
      <c r="F1656" s="49">
        <v>1.0</v>
      </c>
      <c r="G1656" s="49">
        <f t="array" ref="G1656">_xlfn.XLOOKUP(
 A1656,
 tblCost[RequirementID],
 tblCost[QuantityRequired],
 ""
)</f>
        <v>20</v>
      </c>
      <c r="H1656" s="49">
        <f t="array" ref="H1656">IF(
 OR(
  LEFT(B1656,15)="state.character",
  RIGHT(B1656,6)=".maxed"
 ),
 0,
 LET(
  sort,
   _xlfn.XLOOKUP(
    B1656,
    tblChecklist[TargetID],
    tblChecklist[PlayerSort],
    0
   ),
  IF(sort=0,500,sort)
 )
)</f>
        <v>500</v>
      </c>
      <c r="I1656" s="49" t="str">
        <f t="array" ref="I1656">_xlfn.XLOOKUP(
 B1656,
 tblTargetStatus[TargetID],
 tblTargetStatus[Status],
 ""
)</f>
        <v>BLOCKED</v>
      </c>
      <c r="J1656" s="45" t="b">
        <v>0</v>
      </c>
    </row>
    <row r="1657" ht="14.25" hidden="1" customHeight="1">
      <c r="A1657" s="49" t="s">
        <v>3304</v>
      </c>
      <c r="B1657" s="49" t="str">
        <f>IFERROR(__xludf.DUMMYFUNCTION("REGEXREPLACE(
 REGEXREPLACE(A1657,""^cost\."",""""),
 ""\.[^.]+\.[^.]+$"",
 """"
)"),"tech.furnace.conveyor")</f>
        <v>tech.furnace.conveyor</v>
      </c>
      <c r="C1657" s="49" t="str">
        <f t="array" ref="C1657">_xlfn.XLOOKUP(
 B1657,
 tblTargets[TargetID],
 tblTargets[DisplayName],
 ""
)</f>
        <v>Furnace - Conveyor</v>
      </c>
      <c r="D1657" s="49" t="str">
        <f t="array" ref="D1657">_xlfn.XLOOKUP(
 B1657,
 tblTargets[TargetID],
 tblTargets[TargetType],
 ""
)</f>
        <v>TECH</v>
      </c>
      <c r="E1657" s="49" t="s">
        <v>6</v>
      </c>
      <c r="F1657" s="49">
        <v>1.0</v>
      </c>
      <c r="G1657" s="49">
        <f t="array" ref="G1657">_xlfn.XLOOKUP(
 A1657,
 tblCost[RequirementID],
 tblCost[QuantityRequired],
 ""
)</f>
        <v>2</v>
      </c>
      <c r="H1657" s="49">
        <f t="array" ref="H1657">IF(
 OR(
  LEFT(B1657,15)="state.character",
  RIGHT(B1657,6)=".maxed"
 ),
 0,
 LET(
  sort,
   _xlfn.XLOOKUP(
    B1657,
    tblChecklist[TargetID],
    tblChecklist[PlayerSort],
    0
   ),
  IF(sort=0,500,sort)
 )
)</f>
        <v>500</v>
      </c>
      <c r="I1657" s="49" t="str">
        <f t="array" ref="I1657">_xlfn.XLOOKUP(
 B1657,
 tblTargetStatus[TargetID],
 tblTargetStatus[Status],
 ""
)</f>
        <v>BLOCKED</v>
      </c>
      <c r="J1657" s="45" t="b">
        <v>0</v>
      </c>
    </row>
    <row r="1658" ht="14.25" hidden="1" customHeight="1">
      <c r="A1658" s="49" t="s">
        <v>3277</v>
      </c>
      <c r="B1658" s="49" t="str">
        <f>IFERROR(__xludf.DUMMYFUNCTION("REGEXREPLACE(
 REGEXREPLACE(A1658,""^cost\."",""""),
 ""\.[^.]+\.[^.]+$"",
 """"
)"),"tech.furnace.glass")</f>
        <v>tech.furnace.glass</v>
      </c>
      <c r="C1658" s="49" t="str">
        <f t="array" ref="C1658">_xlfn.XLOOKUP(
 B1658,
 tblTargets[TargetID],
 tblTargets[DisplayName],
 ""
)</f>
        <v>Furnace - Glass</v>
      </c>
      <c r="D1658" s="49" t="str">
        <f t="array" ref="D1658">_xlfn.XLOOKUP(
 B1658,
 tblTargets[TargetID],
 tblTargets[TargetType],
 ""
)</f>
        <v>TECH</v>
      </c>
      <c r="E1658" s="49" t="s">
        <v>1055</v>
      </c>
      <c r="F1658" s="49">
        <v>1.0</v>
      </c>
      <c r="G1658" s="49">
        <f t="array" ref="G1658">_xlfn.XLOOKUP(
 A1658,
 tblCost[RequirementID],
 tblCost[QuantityRequired],
 ""
)</f>
        <v>20</v>
      </c>
      <c r="H1658" s="49">
        <f t="array" ref="H1658">IF(
 OR(
  LEFT(B1658,15)="state.character",
  RIGHT(B1658,6)=".maxed"
 ),
 0,
 LET(
  sort,
   _xlfn.XLOOKUP(
    B1658,
    tblChecklist[TargetID],
    tblChecklist[PlayerSort],
    0
   ),
  IF(sort=0,500,sort)
 )
)</f>
        <v>500</v>
      </c>
      <c r="I1658" s="49" t="str">
        <f t="array" ref="I1658">_xlfn.XLOOKUP(
 B1658,
 tblTargetStatus[TargetID],
 tblTargetStatus[Status],
 ""
)</f>
        <v>BLOCKED</v>
      </c>
      <c r="J1658" s="45" t="b">
        <v>0</v>
      </c>
    </row>
    <row r="1659" ht="14.25" hidden="1" customHeight="1">
      <c r="A1659" s="49" t="s">
        <v>3280</v>
      </c>
      <c r="B1659" s="49" t="str">
        <f>IFERROR(__xludf.DUMMYFUNCTION("REGEXREPLACE(
 REGEXREPLACE(A1659,""^cost\."",""""),
 ""\.[^.]+\.[^.]+$"",
 """"
)"),"tech.furnace.glass")</f>
        <v>tech.furnace.glass</v>
      </c>
      <c r="C1659" s="49" t="str">
        <f t="array" ref="C1659">_xlfn.XLOOKUP(
 B1659,
 tblTargets[TargetID],
 tblTargets[DisplayName],
 ""
)</f>
        <v>Furnace - Glass</v>
      </c>
      <c r="D1659" s="49" t="str">
        <f t="array" ref="D1659">_xlfn.XLOOKUP(
 B1659,
 tblTargets[TargetID],
 tblTargets[TargetType],
 ""
)</f>
        <v>TECH</v>
      </c>
      <c r="E1659" s="49" t="s">
        <v>113</v>
      </c>
      <c r="F1659" s="49">
        <v>1.0</v>
      </c>
      <c r="G1659" s="49">
        <f t="array" ref="G1659">_xlfn.XLOOKUP(
 A1659,
 tblCost[RequirementID],
 tblCost[QuantityRequired],
 ""
)</f>
        <v>20</v>
      </c>
      <c r="H1659" s="49">
        <f t="array" ref="H1659">IF(
 OR(
  LEFT(B1659,15)="state.character",
  RIGHT(B1659,6)=".maxed"
 ),
 0,
 LET(
  sort,
   _xlfn.XLOOKUP(
    B1659,
    tblChecklist[TargetID],
    tblChecklist[PlayerSort],
    0
   ),
  IF(sort=0,500,sort)
 )
)</f>
        <v>500</v>
      </c>
      <c r="I1659" s="49" t="str">
        <f t="array" ref="I1659">_xlfn.XLOOKUP(
 B1659,
 tblTargetStatus[TargetID],
 tblTargetStatus[Status],
 ""
)</f>
        <v>BLOCKED</v>
      </c>
      <c r="J1659" s="45" t="b">
        <v>0</v>
      </c>
    </row>
    <row r="1660" ht="14.25" hidden="1" customHeight="1">
      <c r="A1660" s="49" t="s">
        <v>3283</v>
      </c>
      <c r="B1660" s="49" t="str">
        <f>IFERROR(__xludf.DUMMYFUNCTION("REGEXREPLACE(
 REGEXREPLACE(A1660,""^cost\."",""""),
 ""\.[^.]+\.[^.]+$"",
 """"
)"),"tech.furnace.glass")</f>
        <v>tech.furnace.glass</v>
      </c>
      <c r="C1660" s="49" t="str">
        <f t="array" ref="C1660">_xlfn.XLOOKUP(
 B1660,
 tblTargets[TargetID],
 tblTargets[DisplayName],
 ""
)</f>
        <v>Furnace - Glass</v>
      </c>
      <c r="D1660" s="49" t="str">
        <f t="array" ref="D1660">_xlfn.XLOOKUP(
 B1660,
 tblTargets[TargetID],
 tblTargets[TargetType],
 ""
)</f>
        <v>TECH</v>
      </c>
      <c r="E1660" s="49" t="s">
        <v>119</v>
      </c>
      <c r="F1660" s="49">
        <v>1.0</v>
      </c>
      <c r="G1660" s="49">
        <f t="array" ref="G1660">_xlfn.XLOOKUP(
 A1660,
 tblCost[RequirementID],
 tblCost[QuantityRequired],
 ""
)</f>
        <v>500</v>
      </c>
      <c r="H1660" s="49">
        <f t="array" ref="H1660">IF(
 OR(
  LEFT(B1660,15)="state.character",
  RIGHT(B1660,6)=".maxed"
 ),
 0,
 LET(
  sort,
   _xlfn.XLOOKUP(
    B1660,
    tblChecklist[TargetID],
    tblChecklist[PlayerSort],
    0
   ),
  IF(sort=0,500,sort)
 )
)</f>
        <v>500</v>
      </c>
      <c r="I1660" s="49" t="str">
        <f t="array" ref="I1660">_xlfn.XLOOKUP(
 B1660,
 tblTargetStatus[TargetID],
 tblTargetStatus[Status],
 ""
)</f>
        <v>BLOCKED</v>
      </c>
      <c r="J1660" s="45" t="b">
        <v>0</v>
      </c>
    </row>
    <row r="1661" ht="14.25" hidden="1" customHeight="1">
      <c r="A1661" s="49" t="s">
        <v>3285</v>
      </c>
      <c r="B1661" s="49" t="str">
        <f>IFERROR(__xludf.DUMMYFUNCTION("REGEXREPLACE(
 REGEXREPLACE(A1661,""^cost\."",""""),
 ""\.[^.]+\.[^.]+$"",
 """"
)"),"tech.furnace.glass")</f>
        <v>tech.furnace.glass</v>
      </c>
      <c r="C1661" s="49" t="str">
        <f t="array" ref="C1661">_xlfn.XLOOKUP(
 B1661,
 tblTargets[TargetID],
 tblTargets[DisplayName],
 ""
)</f>
        <v>Furnace - Glass</v>
      </c>
      <c r="D1661" s="49" t="str">
        <f t="array" ref="D1661">_xlfn.XLOOKUP(
 B1661,
 tblTargets[TargetID],
 tblTargets[TargetType],
 ""
)</f>
        <v>TECH</v>
      </c>
      <c r="E1661" s="49" t="s">
        <v>360</v>
      </c>
      <c r="F1661" s="49">
        <v>1.0</v>
      </c>
      <c r="G1661" s="49">
        <f t="array" ref="G1661">_xlfn.XLOOKUP(
 A1661,
 tblCost[RequirementID],
 tblCost[QuantityRequired],
 ""
)</f>
        <v>20</v>
      </c>
      <c r="H1661" s="49">
        <f t="array" ref="H1661">IF(
 OR(
  LEFT(B1661,15)="state.character",
  RIGHT(B1661,6)=".maxed"
 ),
 0,
 LET(
  sort,
   _xlfn.XLOOKUP(
    B1661,
    tblChecklist[TargetID],
    tblChecklist[PlayerSort],
    0
   ),
  IF(sort=0,500,sort)
 )
)</f>
        <v>500</v>
      </c>
      <c r="I1661" s="49" t="str">
        <f t="array" ref="I1661">_xlfn.XLOOKUP(
 B1661,
 tblTargetStatus[TargetID],
 tblTargetStatus[Status],
 ""
)</f>
        <v>BLOCKED</v>
      </c>
      <c r="J1661" s="45" t="b">
        <v>0</v>
      </c>
    </row>
    <row r="1662" ht="14.25" hidden="1" customHeight="1">
      <c r="A1662" s="49" t="s">
        <v>3287</v>
      </c>
      <c r="B1662" s="49" t="str">
        <f>IFERROR(__xludf.DUMMYFUNCTION("REGEXREPLACE(
 REGEXREPLACE(A1662,""^cost\."",""""),
 ""\.[^.]+\.[^.]+$"",
 """"
)"),"tech.furnace.glass")</f>
        <v>tech.furnace.glass</v>
      </c>
      <c r="C1662" s="49" t="str">
        <f t="array" ref="C1662">_xlfn.XLOOKUP(
 B1662,
 tblTargets[TargetID],
 tblTargets[DisplayName],
 ""
)</f>
        <v>Furnace - Glass</v>
      </c>
      <c r="D1662" s="49" t="str">
        <f t="array" ref="D1662">_xlfn.XLOOKUP(
 B1662,
 tblTargets[TargetID],
 tblTargets[TargetType],
 ""
)</f>
        <v>TECH</v>
      </c>
      <c r="E1662" s="49" t="s">
        <v>1078</v>
      </c>
      <c r="F1662" s="49">
        <v>1.0</v>
      </c>
      <c r="G1662" s="49">
        <f t="array" ref="G1662">_xlfn.XLOOKUP(
 A1662,
 tblCost[RequirementID],
 tblCost[QuantityRequired],
 ""
)</f>
        <v>5</v>
      </c>
      <c r="H1662" s="49">
        <f t="array" ref="H1662">IF(
 OR(
  LEFT(B1662,15)="state.character",
  RIGHT(B1662,6)=".maxed"
 ),
 0,
 LET(
  sort,
   _xlfn.XLOOKUP(
    B1662,
    tblChecklist[TargetID],
    tblChecklist[PlayerSort],
    0
   ),
  IF(sort=0,500,sort)
 )
)</f>
        <v>500</v>
      </c>
      <c r="I1662" s="49" t="str">
        <f t="array" ref="I1662">_xlfn.XLOOKUP(
 B1662,
 tblTargetStatus[TargetID],
 tblTargetStatus[Status],
 ""
)</f>
        <v>BLOCKED</v>
      </c>
      <c r="J1662" s="45" t="b">
        <v>0</v>
      </c>
    </row>
    <row r="1663" ht="14.25" hidden="1" customHeight="1">
      <c r="A1663" s="49" t="s">
        <v>3288</v>
      </c>
      <c r="B1663" s="49" t="str">
        <f>IFERROR(__xludf.DUMMYFUNCTION("REGEXREPLACE(
 REGEXREPLACE(A1663,""^cost\."",""""),
 ""\.[^.]+\.[^.]+$"",
 """"
)"),"tech.furnace.glass")</f>
        <v>tech.furnace.glass</v>
      </c>
      <c r="C1663" s="49" t="str">
        <f t="array" ref="C1663">_xlfn.XLOOKUP(
 B1663,
 tblTargets[TargetID],
 tblTargets[DisplayName],
 ""
)</f>
        <v>Furnace - Glass</v>
      </c>
      <c r="D1663" s="49" t="str">
        <f t="array" ref="D1663">_xlfn.XLOOKUP(
 B1663,
 tblTargets[TargetID],
 tblTargets[TargetType],
 ""
)</f>
        <v>TECH</v>
      </c>
      <c r="E1663" s="49" t="s">
        <v>1282</v>
      </c>
      <c r="F1663" s="49">
        <v>1.0</v>
      </c>
      <c r="G1663" s="49">
        <f t="array" ref="G1663">_xlfn.XLOOKUP(
 A1663,
 tblCost[RequirementID],
 tblCost[QuantityRequired],
 ""
)</f>
        <v>40</v>
      </c>
      <c r="H1663" s="49">
        <f t="array" ref="H1663">IF(
 OR(
  LEFT(B1663,15)="state.character",
  RIGHT(B1663,6)=".maxed"
 ),
 0,
 LET(
  sort,
   _xlfn.XLOOKUP(
    B1663,
    tblChecklist[TargetID],
    tblChecklist[PlayerSort],
    0
   ),
  IF(sort=0,500,sort)
 )
)</f>
        <v>500</v>
      </c>
      <c r="I1663" s="49" t="str">
        <f t="array" ref="I1663">_xlfn.XLOOKUP(
 B1663,
 tblTargetStatus[TargetID],
 tblTargetStatus[Status],
 ""
)</f>
        <v>BLOCKED</v>
      </c>
      <c r="J1663" s="45" t="b">
        <v>0</v>
      </c>
    </row>
    <row r="1664" ht="14.25" hidden="1" customHeight="1">
      <c r="A1664" s="49" t="s">
        <v>3291</v>
      </c>
      <c r="B1664" s="49" t="str">
        <f>IFERROR(__xludf.DUMMYFUNCTION("REGEXREPLACE(
 REGEXREPLACE(A1664,""^cost\."",""""),
 ""\.[^.]+\.[^.]+$"",
 """"
)"),"tech.furnace.glass")</f>
        <v>tech.furnace.glass</v>
      </c>
      <c r="C1664" s="49" t="str">
        <f t="array" ref="C1664">_xlfn.XLOOKUP(
 B1664,
 tblTargets[TargetID],
 tblTargets[DisplayName],
 ""
)</f>
        <v>Furnace - Glass</v>
      </c>
      <c r="D1664" s="49" t="str">
        <f t="array" ref="D1664">_xlfn.XLOOKUP(
 B1664,
 tblTargets[TargetID],
 tblTargets[TargetType],
 ""
)</f>
        <v>TECH</v>
      </c>
      <c r="E1664" s="49" t="s">
        <v>6</v>
      </c>
      <c r="F1664" s="49">
        <v>1.0</v>
      </c>
      <c r="G1664" s="49">
        <f t="array" ref="G1664">_xlfn.XLOOKUP(
 A1664,
 tblCost[RequirementID],
 tblCost[QuantityRequired],
 ""
)</f>
        <v>3</v>
      </c>
      <c r="H1664" s="49">
        <f t="array" ref="H1664">IF(
 OR(
  LEFT(B1664,15)="state.character",
  RIGHT(B1664,6)=".maxed"
 ),
 0,
 LET(
  sort,
   _xlfn.XLOOKUP(
    B1664,
    tblChecklist[TargetID],
    tblChecklist[PlayerSort],
    0
   ),
  IF(sort=0,500,sort)
 )
)</f>
        <v>500</v>
      </c>
      <c r="I1664" s="49" t="str">
        <f t="array" ref="I1664">_xlfn.XLOOKUP(
 B1664,
 tblTargetStatus[TargetID],
 tblTargetStatus[Status],
 ""
)</f>
        <v>BLOCKED</v>
      </c>
      <c r="J1664" s="45" t="b">
        <v>0</v>
      </c>
    </row>
    <row r="1665" ht="14.25" hidden="1" customHeight="1">
      <c r="A1665" s="49" t="s">
        <v>3253</v>
      </c>
      <c r="B1665" s="49" t="str">
        <f>IFERROR(__xludf.DUMMYFUNCTION("REGEXREPLACE(
 REGEXREPLACE(A1665,""^cost\."",""""),
 ""\.[^.]+\.[^.]+$"",
 """"
)"),"tech.furnace.meteoric_steel")</f>
        <v>tech.furnace.meteoric_steel</v>
      </c>
      <c r="C1665" s="49" t="str">
        <f t="array" ref="C1665">_xlfn.XLOOKUP(
 B1665,
 tblTargets[TargetID],
 tblTargets[DisplayName],
 ""
)</f>
        <v>Furnace - Meteoric Steel</v>
      </c>
      <c r="D1665" s="49" t="str">
        <f t="array" ref="D1665">_xlfn.XLOOKUP(
 B1665,
 tblTargets[TargetID],
 tblTargets[TargetType],
 ""
)</f>
        <v>TECH</v>
      </c>
      <c r="E1665" s="49" t="s">
        <v>1055</v>
      </c>
      <c r="F1665" s="49">
        <v>1.0</v>
      </c>
      <c r="G1665" s="49">
        <f t="array" ref="G1665">_xlfn.XLOOKUP(
 A1665,
 tblCost[RequirementID],
 tblCost[QuantityRequired],
 ""
)</f>
        <v>15</v>
      </c>
      <c r="H1665" s="49">
        <f t="array" ref="H1665">IF(
 OR(
  LEFT(B1665,15)="state.character",
  RIGHT(B1665,6)=".maxed"
 ),
 0,
 LET(
  sort,
   _xlfn.XLOOKUP(
    B1665,
    tblChecklist[TargetID],
    tblChecklist[PlayerSort],
    0
   ),
  IF(sort=0,500,sort)
 )
)</f>
        <v>500</v>
      </c>
      <c r="I1665" s="49" t="str">
        <f t="array" ref="I1665">_xlfn.XLOOKUP(
 B1665,
 tblTargetStatus[TargetID],
 tblTargetStatus[Status],
 ""
)</f>
        <v>BLOCKED</v>
      </c>
      <c r="J1665" s="45" t="b">
        <v>0</v>
      </c>
    </row>
    <row r="1666" ht="14.25" hidden="1" customHeight="1">
      <c r="A1666" s="49" t="s">
        <v>3255</v>
      </c>
      <c r="B1666" s="49" t="str">
        <f>IFERROR(__xludf.DUMMYFUNCTION("REGEXREPLACE(
 REGEXREPLACE(A1666,""^cost\."",""""),
 ""\.[^.]+\.[^.]+$"",
 """"
)"),"tech.furnace.meteoric_steel")</f>
        <v>tech.furnace.meteoric_steel</v>
      </c>
      <c r="C1666" s="49" t="str">
        <f t="array" ref="C1666">_xlfn.XLOOKUP(
 B1666,
 tblTargets[TargetID],
 tblTargets[DisplayName],
 ""
)</f>
        <v>Furnace - Meteoric Steel</v>
      </c>
      <c r="D1666" s="49" t="str">
        <f t="array" ref="D1666">_xlfn.XLOOKUP(
 B1666,
 tblTargets[TargetID],
 tblTargets[TargetType],
 ""
)</f>
        <v>TECH</v>
      </c>
      <c r="E1666" s="49" t="s">
        <v>119</v>
      </c>
      <c r="F1666" s="49">
        <v>1.0</v>
      </c>
      <c r="G1666" s="49">
        <f t="array" ref="G1666">_xlfn.XLOOKUP(
 A1666,
 tblCost[RequirementID],
 tblCost[QuantityRequired],
 ""
)</f>
        <v>1000</v>
      </c>
      <c r="H1666" s="49">
        <f t="array" ref="H1666">IF(
 OR(
  LEFT(B1666,15)="state.character",
  RIGHT(B1666,6)=".maxed"
 ),
 0,
 LET(
  sort,
   _xlfn.XLOOKUP(
    B1666,
    tblChecklist[TargetID],
    tblChecklist[PlayerSort],
    0
   ),
  IF(sort=0,500,sort)
 )
)</f>
        <v>500</v>
      </c>
      <c r="I1666" s="49" t="str">
        <f t="array" ref="I1666">_xlfn.XLOOKUP(
 B1666,
 tblTargetStatus[TargetID],
 tblTargetStatus[Status],
 ""
)</f>
        <v>BLOCKED</v>
      </c>
      <c r="J1666" s="45" t="b">
        <v>0</v>
      </c>
    </row>
    <row r="1667" ht="14.25" hidden="1" customHeight="1">
      <c r="A1667" s="49" t="s">
        <v>3258</v>
      </c>
      <c r="B1667" s="49" t="str">
        <f>IFERROR(__xludf.DUMMYFUNCTION("REGEXREPLACE(
 REGEXREPLACE(A1667,""^cost\."",""""),
 ""\.[^.]+\.[^.]+$"",
 """"
)"),"tech.furnace.meteoric_steel")</f>
        <v>tech.furnace.meteoric_steel</v>
      </c>
      <c r="C1667" s="49" t="str">
        <f t="array" ref="C1667">_xlfn.XLOOKUP(
 B1667,
 tblTargets[TargetID],
 tblTargets[DisplayName],
 ""
)</f>
        <v>Furnace - Meteoric Steel</v>
      </c>
      <c r="D1667" s="49" t="str">
        <f t="array" ref="D1667">_xlfn.XLOOKUP(
 B1667,
 tblTargets[TargetID],
 tblTargets[TargetType],
 ""
)</f>
        <v>TECH</v>
      </c>
      <c r="E1667" s="49" t="s">
        <v>126</v>
      </c>
      <c r="F1667" s="49">
        <v>1.0</v>
      </c>
      <c r="G1667" s="49">
        <f t="array" ref="G1667">_xlfn.XLOOKUP(
 A1667,
 tblCost[RequirementID],
 tblCost[QuantityRequired],
 ""
)</f>
        <v>50</v>
      </c>
      <c r="H1667" s="49">
        <f t="array" ref="H1667">IF(
 OR(
  LEFT(B1667,15)="state.character",
  RIGHT(B1667,6)=".maxed"
 ),
 0,
 LET(
  sort,
   _xlfn.XLOOKUP(
    B1667,
    tblChecklist[TargetID],
    tblChecklist[PlayerSort],
    0
   ),
  IF(sort=0,500,sort)
 )
)</f>
        <v>500</v>
      </c>
      <c r="I1667" s="49" t="str">
        <f t="array" ref="I1667">_xlfn.XLOOKUP(
 B1667,
 tblTargetStatus[TargetID],
 tblTargetStatus[Status],
 ""
)</f>
        <v>BLOCKED</v>
      </c>
      <c r="J1667" s="45" t="b">
        <v>0</v>
      </c>
    </row>
    <row r="1668" ht="14.25" hidden="1" customHeight="1">
      <c r="A1668" s="49" t="s">
        <v>3260</v>
      </c>
      <c r="B1668" s="49" t="str">
        <f>IFERROR(__xludf.DUMMYFUNCTION("REGEXREPLACE(
 REGEXREPLACE(A1668,""^cost\."",""""),
 ""\.[^.]+\.[^.]+$"",
 """"
)"),"tech.furnace.meteoric_steel")</f>
        <v>tech.furnace.meteoric_steel</v>
      </c>
      <c r="C1668" s="49" t="str">
        <f t="array" ref="C1668">_xlfn.XLOOKUP(
 B1668,
 tblTargets[TargetID],
 tblTargets[DisplayName],
 ""
)</f>
        <v>Furnace - Meteoric Steel</v>
      </c>
      <c r="D1668" s="49" t="str">
        <f t="array" ref="D1668">_xlfn.XLOOKUP(
 B1668,
 tblTargets[TargetID],
 tblTargets[TargetType],
 ""
)</f>
        <v>TECH</v>
      </c>
      <c r="E1668" s="49" t="s">
        <v>6</v>
      </c>
      <c r="F1668" s="49">
        <v>1.0</v>
      </c>
      <c r="G1668" s="49">
        <f t="array" ref="G1668">_xlfn.XLOOKUP(
 A1668,
 tblCost[RequirementID],
 tblCost[QuantityRequired],
 ""
)</f>
        <v>3</v>
      </c>
      <c r="H1668" s="49">
        <f t="array" ref="H1668">IF(
 OR(
  LEFT(B1668,15)="state.character",
  RIGHT(B1668,6)=".maxed"
 ),
 0,
 LET(
  sort,
   _xlfn.XLOOKUP(
    B1668,
    tblChecklist[TargetID],
    tblChecklist[PlayerSort],
    0
   ),
  IF(sort=0,500,sort)
 )
)</f>
        <v>500</v>
      </c>
      <c r="I1668" s="49" t="str">
        <f t="array" ref="I1668">_xlfn.XLOOKUP(
 B1668,
 tblTargetStatus[TargetID],
 tblTargetStatus[Status],
 ""
)</f>
        <v>BLOCKED</v>
      </c>
      <c r="J1668" s="45" t="b">
        <v>0</v>
      </c>
    </row>
    <row r="1669" ht="14.25" hidden="1" customHeight="1">
      <c r="A1669" s="49" t="s">
        <v>3263</v>
      </c>
      <c r="B1669" s="49" t="str">
        <f>IFERROR(__xludf.DUMMYFUNCTION("REGEXREPLACE(
 REGEXREPLACE(A1669,""^cost\."",""""),
 ""\.[^.]+\.[^.]+$"",
 """"
)"),"tech.furnace.titanium_parts")</f>
        <v>tech.furnace.titanium_parts</v>
      </c>
      <c r="C1669" s="49" t="str">
        <f t="array" ref="C1669">_xlfn.XLOOKUP(
 B1669,
 tblTargets[TargetID],
 tblTargets[DisplayName],
 ""
)</f>
        <v>Furnace - Titanium Parts</v>
      </c>
      <c r="D1669" s="49" t="str">
        <f t="array" ref="D1669">_xlfn.XLOOKUP(
 B1669,
 tblTargets[TargetID],
 tblTargets[TargetType],
 ""
)</f>
        <v>TECH</v>
      </c>
      <c r="E1669" s="49" t="s">
        <v>1055</v>
      </c>
      <c r="F1669" s="49">
        <v>1.0</v>
      </c>
      <c r="G1669" s="49">
        <f t="array" ref="G1669">_xlfn.XLOOKUP(
 A1669,
 tblCost[RequirementID],
 tblCost[QuantityRequired],
 ""
)</f>
        <v>20</v>
      </c>
      <c r="H1669" s="49">
        <f t="array" ref="H1669">IF(
 OR(
  LEFT(B1669,15)="state.character",
  RIGHT(B1669,6)=".maxed"
 ),
 0,
 LET(
  sort,
   _xlfn.XLOOKUP(
    B1669,
    tblChecklist[TargetID],
    tblChecklist[PlayerSort],
    0
   ),
  IF(sort=0,500,sort)
 )
)</f>
        <v>500</v>
      </c>
      <c r="I1669" s="49" t="str">
        <f t="array" ref="I1669">_xlfn.XLOOKUP(
 B1669,
 tblTargetStatus[TargetID],
 tblTargetStatus[Status],
 ""
)</f>
        <v>BLOCKED</v>
      </c>
      <c r="J1669" s="45" t="b">
        <v>0</v>
      </c>
    </row>
    <row r="1670" ht="14.25" hidden="1" customHeight="1">
      <c r="A1670" s="49" t="s">
        <v>3266</v>
      </c>
      <c r="B1670" s="49" t="str">
        <f>IFERROR(__xludf.DUMMYFUNCTION("REGEXREPLACE(
 REGEXREPLACE(A1670,""^cost\."",""""),
 ""\.[^.]+\.[^.]+$"",
 """"
)"),"tech.furnace.titanium_parts")</f>
        <v>tech.furnace.titanium_parts</v>
      </c>
      <c r="C1670" s="49" t="str">
        <f t="array" ref="C1670">_xlfn.XLOOKUP(
 B1670,
 tblTargets[TargetID],
 tblTargets[DisplayName],
 ""
)</f>
        <v>Furnace - Titanium Parts</v>
      </c>
      <c r="D1670" s="49" t="str">
        <f t="array" ref="D1670">_xlfn.XLOOKUP(
 B1670,
 tblTargets[TargetID],
 tblTargets[TargetType],
 ""
)</f>
        <v>TECH</v>
      </c>
      <c r="E1670" s="49" t="s">
        <v>119</v>
      </c>
      <c r="F1670" s="49">
        <v>1.0</v>
      </c>
      <c r="G1670" s="49">
        <f t="array" ref="G1670">_xlfn.XLOOKUP(
 A1670,
 tblCost[RequirementID],
 tblCost[QuantityRequired],
 ""
)</f>
        <v>500</v>
      </c>
      <c r="H1670" s="49">
        <f t="array" ref="H1670">IF(
 OR(
  LEFT(B1670,15)="state.character",
  RIGHT(B1670,6)=".maxed"
 ),
 0,
 LET(
  sort,
   _xlfn.XLOOKUP(
    B1670,
    tblChecklist[TargetID],
    tblChecklist[PlayerSort],
    0
   ),
  IF(sort=0,500,sort)
 )
)</f>
        <v>500</v>
      </c>
      <c r="I1670" s="49" t="str">
        <f t="array" ref="I1670">_xlfn.XLOOKUP(
 B1670,
 tblTargetStatus[TargetID],
 tblTargetStatus[Status],
 ""
)</f>
        <v>BLOCKED</v>
      </c>
      <c r="J1670" s="45" t="b">
        <v>0</v>
      </c>
    </row>
    <row r="1671" ht="14.25" hidden="1" customHeight="1">
      <c r="A1671" s="49" t="s">
        <v>3269</v>
      </c>
      <c r="B1671" s="49" t="str">
        <f>IFERROR(__xludf.DUMMYFUNCTION("REGEXREPLACE(
 REGEXREPLACE(A1671,""^cost\."",""""),
 ""\.[^.]+\.[^.]+$"",
 """"
)"),"tech.furnace.titanium_parts")</f>
        <v>tech.furnace.titanium_parts</v>
      </c>
      <c r="C1671" s="49" t="str">
        <f t="array" ref="C1671">_xlfn.XLOOKUP(
 B1671,
 tblTargets[TargetID],
 tblTargets[DisplayName],
 ""
)</f>
        <v>Furnace - Titanium Parts</v>
      </c>
      <c r="D1671" s="49" t="str">
        <f t="array" ref="D1671">_xlfn.XLOOKUP(
 B1671,
 tblTargets[TargetID],
 tblTargets[TargetType],
 ""
)</f>
        <v>TECH</v>
      </c>
      <c r="E1671" s="49" t="s">
        <v>1078</v>
      </c>
      <c r="F1671" s="49">
        <v>1.0</v>
      </c>
      <c r="G1671" s="49">
        <f t="array" ref="G1671">_xlfn.XLOOKUP(
 A1671,
 tblCost[RequirementID],
 tblCost[QuantityRequired],
 ""
)</f>
        <v>5</v>
      </c>
      <c r="H1671" s="49">
        <f t="array" ref="H1671">IF(
 OR(
  LEFT(B1671,15)="state.character",
  RIGHT(B1671,6)=".maxed"
 ),
 0,
 LET(
  sort,
   _xlfn.XLOOKUP(
    B1671,
    tblChecklist[TargetID],
    tblChecklist[PlayerSort],
    0
   ),
  IF(sort=0,500,sort)
 )
)</f>
        <v>500</v>
      </c>
      <c r="I1671" s="49" t="str">
        <f t="array" ref="I1671">_xlfn.XLOOKUP(
 B1671,
 tblTargetStatus[TargetID],
 tblTargetStatus[Status],
 ""
)</f>
        <v>BLOCKED</v>
      </c>
      <c r="J1671" s="45" t="b">
        <v>0</v>
      </c>
    </row>
    <row r="1672" ht="14.25" hidden="1" customHeight="1">
      <c r="A1672" s="49" t="s">
        <v>3271</v>
      </c>
      <c r="B1672" s="49" t="str">
        <f>IFERROR(__xludf.DUMMYFUNCTION("REGEXREPLACE(
 REGEXREPLACE(A1672,""^cost\."",""""),
 ""\.[^.]+\.[^.]+$"",
 """"
)"),"tech.furnace.titanium_parts")</f>
        <v>tech.furnace.titanium_parts</v>
      </c>
      <c r="C1672" s="49" t="str">
        <f t="array" ref="C1672">_xlfn.XLOOKUP(
 B1672,
 tblTargets[TargetID],
 tblTargets[DisplayName],
 ""
)</f>
        <v>Furnace - Titanium Parts</v>
      </c>
      <c r="D1672" s="49" t="str">
        <f t="array" ref="D1672">_xlfn.XLOOKUP(
 B1672,
 tblTargets[TargetID],
 tblTargets[TargetType],
 ""
)</f>
        <v>TECH</v>
      </c>
      <c r="E1672" s="49" t="s">
        <v>140</v>
      </c>
      <c r="F1672" s="49">
        <v>1.0</v>
      </c>
      <c r="G1672" s="49">
        <f t="array" ref="G1672">_xlfn.XLOOKUP(
 A1672,
 tblCost[RequirementID],
 tblCost[QuantityRequired],
 ""
)</f>
        <v>10</v>
      </c>
      <c r="H1672" s="49">
        <f t="array" ref="H1672">IF(
 OR(
  LEFT(B1672,15)="state.character",
  RIGHT(B1672,6)=".maxed"
 ),
 0,
 LET(
  sort,
   _xlfn.XLOOKUP(
    B1672,
    tblChecklist[TargetID],
    tblChecklist[PlayerSort],
    0
   ),
  IF(sort=0,500,sort)
 )
)</f>
        <v>500</v>
      </c>
      <c r="I1672" s="49" t="str">
        <f t="array" ref="I1672">_xlfn.XLOOKUP(
 B1672,
 tblTargetStatus[TargetID],
 tblTargetStatus[Status],
 ""
)</f>
        <v>BLOCKED</v>
      </c>
      <c r="J1672" s="45" t="b">
        <v>0</v>
      </c>
    </row>
    <row r="1673" ht="14.25" hidden="1" customHeight="1">
      <c r="A1673" s="49" t="s">
        <v>3274</v>
      </c>
      <c r="B1673" s="49" t="str">
        <f>IFERROR(__xludf.DUMMYFUNCTION("REGEXREPLACE(
 REGEXREPLACE(A1673,""^cost\."",""""),
 ""\.[^.]+\.[^.]+$"",
 """"
)"),"tech.furnace.titanium_parts")</f>
        <v>tech.furnace.titanium_parts</v>
      </c>
      <c r="C1673" s="49" t="str">
        <f t="array" ref="C1673">_xlfn.XLOOKUP(
 B1673,
 tblTargets[TargetID],
 tblTargets[DisplayName],
 ""
)</f>
        <v>Furnace - Titanium Parts</v>
      </c>
      <c r="D1673" s="49" t="str">
        <f t="array" ref="D1673">_xlfn.XLOOKUP(
 B1673,
 tblTargets[TargetID],
 tblTargets[TargetType],
 ""
)</f>
        <v>TECH</v>
      </c>
      <c r="E1673" s="49" t="s">
        <v>6</v>
      </c>
      <c r="F1673" s="49">
        <v>1.0</v>
      </c>
      <c r="G1673" s="49">
        <f t="array" ref="G1673">_xlfn.XLOOKUP(
 A1673,
 tblCost[RequirementID],
 tblCost[QuantityRequired],
 ""
)</f>
        <v>3</v>
      </c>
      <c r="H1673" s="49">
        <f t="array" ref="H1673">IF(
 OR(
  LEFT(B1673,15)="state.character",
  RIGHT(B1673,6)=".maxed"
 ),
 0,
 LET(
  sort,
   _xlfn.XLOOKUP(
    B1673,
    tblChecklist[TargetID],
    tblChecklist[PlayerSort],
    0
   ),
  IF(sort=0,500,sort)
 )
)</f>
        <v>500</v>
      </c>
      <c r="I1673" s="49" t="str">
        <f t="array" ref="I1673">_xlfn.XLOOKUP(
 B1673,
 tblTargetStatus[TargetID],
 tblTargetStatus[Status],
 ""
)</f>
        <v>BLOCKED</v>
      </c>
      <c r="J1673" s="45" t="b">
        <v>0</v>
      </c>
    </row>
    <row r="1674" ht="14.25" hidden="1" customHeight="1">
      <c r="A1674" s="49" t="s">
        <v>3276</v>
      </c>
      <c r="B1674" s="49" t="str">
        <f>IFERROR(__xludf.DUMMYFUNCTION("REGEXREPLACE(
 REGEXREPLACE(A1674,""^cost\."",""""),
 ""\.[^.]+\.[^.]+$"",
 """"
)"),"tech.furnace.titanium_parts")</f>
        <v>tech.furnace.titanium_parts</v>
      </c>
      <c r="C1674" s="49" t="str">
        <f t="array" ref="C1674">_xlfn.XLOOKUP(
 B1674,
 tblTargets[TargetID],
 tblTargets[DisplayName],
 ""
)</f>
        <v>Furnace - Titanium Parts</v>
      </c>
      <c r="D1674" s="49" t="str">
        <f t="array" ref="D1674">_xlfn.XLOOKUP(
 B1674,
 tblTargets[TargetID],
 tblTargets[TargetType],
 ""
)</f>
        <v>TECH</v>
      </c>
      <c r="E1674" s="49" t="s">
        <v>1489</v>
      </c>
      <c r="F1674" s="49">
        <v>1.0</v>
      </c>
      <c r="G1674" s="49">
        <f t="array" ref="G1674">_xlfn.XLOOKUP(
 A1674,
 tblCost[RequirementID],
 tblCost[QuantityRequired],
 ""
)</f>
        <v>10</v>
      </c>
      <c r="H1674" s="49">
        <f t="array" ref="H1674">IF(
 OR(
  LEFT(B1674,15)="state.character",
  RIGHT(B1674,6)=".maxed"
 ),
 0,
 LET(
  sort,
   _xlfn.XLOOKUP(
    B1674,
    tblChecklist[TargetID],
    tblChecklist[PlayerSort],
    0
   ),
  IF(sort=0,500,sort)
 )
)</f>
        <v>500</v>
      </c>
      <c r="I1674" s="49" t="str">
        <f t="array" ref="I1674">_xlfn.XLOOKUP(
 B1674,
 tblTargetStatus[TargetID],
 tblTargetStatus[Status],
 ""
)</f>
        <v>BLOCKED</v>
      </c>
      <c r="J1674" s="45" t="b">
        <v>0</v>
      </c>
    </row>
    <row r="1675" ht="14.25" hidden="1" customHeight="1">
      <c r="A1675" s="49" t="s">
        <v>3306</v>
      </c>
      <c r="B1675" s="49" t="str">
        <f>IFERROR(__xludf.DUMMYFUNCTION("REGEXREPLACE(
 REGEXREPLACE(A1675,""^cost\."",""""),
 ""\.[^.]+\.[^.]+$"",
 """"
)"),"tech.garden.sprinkler")</f>
        <v>tech.garden.sprinkler</v>
      </c>
      <c r="C1675" s="49" t="str">
        <f t="array" ref="C1675">_xlfn.XLOOKUP(
 B1675,
 tblTargets[TargetID],
 tblTargets[DisplayName],
 ""
)</f>
        <v>Garden - Sprinkler</v>
      </c>
      <c r="D1675" s="49" t="str">
        <f t="array" ref="D1675">_xlfn.XLOOKUP(
 B1675,
 tblTargets[TargetID],
 tblTargets[TargetType],
 ""
)</f>
        <v>TECH</v>
      </c>
      <c r="E1675" s="49" t="s">
        <v>1055</v>
      </c>
      <c r="F1675" s="49">
        <v>1.0</v>
      </c>
      <c r="G1675" s="49">
        <f t="array" ref="G1675">_xlfn.XLOOKUP(
 A1675,
 tblCost[RequirementID],
 tblCost[QuantityRequired],
 ""
)</f>
        <v>30</v>
      </c>
      <c r="H1675" s="49">
        <f t="array" ref="H1675">IF(
 OR(
  LEFT(B1675,15)="state.character",
  RIGHT(B1675,6)=".maxed"
 ),
 0,
 LET(
  sort,
   _xlfn.XLOOKUP(
    B1675,
    tblChecklist[TargetID],
    tblChecklist[PlayerSort],
    0
   ),
  IF(sort=0,500,sort)
 )
)</f>
        <v>500</v>
      </c>
      <c r="I1675" s="49" t="str">
        <f t="array" ref="I1675">_xlfn.XLOOKUP(
 B1675,
 tblTargetStatus[TargetID],
 tblTargetStatus[Status],
 ""
)</f>
        <v>BLOCKED</v>
      </c>
      <c r="J1675" s="45" t="b">
        <v>0</v>
      </c>
    </row>
    <row r="1676" ht="14.25" hidden="1" customHeight="1">
      <c r="A1676" s="49" t="s">
        <v>3308</v>
      </c>
      <c r="B1676" s="49" t="str">
        <f>IFERROR(__xludf.DUMMYFUNCTION("REGEXREPLACE(
 REGEXREPLACE(A1676,""^cost\."",""""),
 ""\.[^.]+\.[^.]+$"",
 """"
)"),"tech.garden.sprinkler")</f>
        <v>tech.garden.sprinkler</v>
      </c>
      <c r="C1676" s="49" t="str">
        <f t="array" ref="C1676">_xlfn.XLOOKUP(
 B1676,
 tblTargets[TargetID],
 tblTargets[DisplayName],
 ""
)</f>
        <v>Garden - Sprinkler</v>
      </c>
      <c r="D1676" s="49" t="str">
        <f t="array" ref="D1676">_xlfn.XLOOKUP(
 B1676,
 tblTargets[TargetID],
 tblTargets[TargetType],
 ""
)</f>
        <v>TECH</v>
      </c>
      <c r="E1676" s="49" t="s">
        <v>119</v>
      </c>
      <c r="F1676" s="49">
        <v>1.0</v>
      </c>
      <c r="G1676" s="49">
        <f t="array" ref="G1676">_xlfn.XLOOKUP(
 A1676,
 tblCost[RequirementID],
 tblCost[QuantityRequired],
 ""
)</f>
        <v>1500</v>
      </c>
      <c r="H1676" s="49">
        <f t="array" ref="H1676">IF(
 OR(
  LEFT(B1676,15)="state.character",
  RIGHT(B1676,6)=".maxed"
 ),
 0,
 LET(
  sort,
   _xlfn.XLOOKUP(
    B1676,
    tblChecklist[TargetID],
    tblChecklist[PlayerSort],
    0
   ),
  IF(sort=0,500,sort)
 )
)</f>
        <v>500</v>
      </c>
      <c r="I1676" s="49" t="str">
        <f t="array" ref="I1676">_xlfn.XLOOKUP(
 B1676,
 tblTargetStatus[TargetID],
 tblTargetStatus[Status],
 ""
)</f>
        <v>BLOCKED</v>
      </c>
      <c r="J1676" s="45" t="b">
        <v>0</v>
      </c>
    </row>
    <row r="1677" ht="14.25" hidden="1" customHeight="1">
      <c r="A1677" s="49" t="s">
        <v>3309</v>
      </c>
      <c r="B1677" s="49" t="str">
        <f>IFERROR(__xludf.DUMMYFUNCTION("REGEXREPLACE(
 REGEXREPLACE(A1677,""^cost\."",""""),
 ""\.[^.]+\.[^.]+$"",
 """"
)"),"tech.garden.sprinkler")</f>
        <v>tech.garden.sprinkler</v>
      </c>
      <c r="C1677" s="49" t="str">
        <f t="array" ref="C1677">_xlfn.XLOOKUP(
 B1677,
 tblTargets[TargetID],
 tblTargets[DisplayName],
 ""
)</f>
        <v>Garden - Sprinkler</v>
      </c>
      <c r="D1677" s="49" t="str">
        <f t="array" ref="D1677">_xlfn.XLOOKUP(
 B1677,
 tblTargets[TargetID],
 tblTargets[TargetType],
 ""
)</f>
        <v>TECH</v>
      </c>
      <c r="E1677" s="49" t="s">
        <v>126</v>
      </c>
      <c r="F1677" s="49">
        <v>1.0</v>
      </c>
      <c r="G1677" s="49">
        <f t="array" ref="G1677">_xlfn.XLOOKUP(
 A1677,
 tblCost[RequirementID],
 tblCost[QuantityRequired],
 ""
)</f>
        <v>50</v>
      </c>
      <c r="H1677" s="49">
        <f t="array" ref="H1677">IF(
 OR(
  LEFT(B1677,15)="state.character",
  RIGHT(B1677,6)=".maxed"
 ),
 0,
 LET(
  sort,
   _xlfn.XLOOKUP(
    B1677,
    tblChecklist[TargetID],
    tblChecklist[PlayerSort],
    0
   ),
  IF(sort=0,500,sort)
 )
)</f>
        <v>500</v>
      </c>
      <c r="I1677" s="49" t="str">
        <f t="array" ref="I1677">_xlfn.XLOOKUP(
 B1677,
 tblTargetStatus[TargetID],
 tblTargetStatus[Status],
 ""
)</f>
        <v>BLOCKED</v>
      </c>
      <c r="J1677" s="45" t="b">
        <v>0</v>
      </c>
    </row>
    <row r="1678" ht="14.25" hidden="1" customHeight="1">
      <c r="A1678" s="49" t="s">
        <v>3311</v>
      </c>
      <c r="B1678" s="49" t="str">
        <f>IFERROR(__xludf.DUMMYFUNCTION("REGEXREPLACE(
 REGEXREPLACE(A1678,""^cost\."",""""),
 ""\.[^.]+\.[^.]+$"",
 """"
)"),"tech.garden.sprinkler")</f>
        <v>tech.garden.sprinkler</v>
      </c>
      <c r="C1678" s="49" t="str">
        <f t="array" ref="C1678">_xlfn.XLOOKUP(
 B1678,
 tblTargets[TargetID],
 tblTargets[DisplayName],
 ""
)</f>
        <v>Garden - Sprinkler</v>
      </c>
      <c r="D1678" s="49" t="str">
        <f t="array" ref="D1678">_xlfn.XLOOKUP(
 B1678,
 tblTargets[TargetID],
 tblTargets[TargetType],
 ""
)</f>
        <v>TECH</v>
      </c>
      <c r="E1678" s="49" t="s">
        <v>6</v>
      </c>
      <c r="F1678" s="49">
        <v>1.0</v>
      </c>
      <c r="G1678" s="49">
        <f t="array" ref="G1678">_xlfn.XLOOKUP(
 A1678,
 tblCost[RequirementID],
 tblCost[QuantityRequired],
 ""
)</f>
        <v>6</v>
      </c>
      <c r="H1678" s="49">
        <f t="array" ref="H1678">IF(
 OR(
  LEFT(B1678,15)="state.character",
  RIGHT(B1678,6)=".maxed"
 ),
 0,
 LET(
  sort,
   _xlfn.XLOOKUP(
    B1678,
    tblChecklist[TargetID],
    tblChecklist[PlayerSort],
    0
   ),
  IF(sort=0,500,sort)
 )
)</f>
        <v>500</v>
      </c>
      <c r="I1678" s="49" t="str">
        <f t="array" ref="I1678">_xlfn.XLOOKUP(
 B1678,
 tblTargetStatus[TargetID],
 tblTargetStatus[Status],
 ""
)</f>
        <v>BLOCKED</v>
      </c>
      <c r="J1678" s="45" t="b">
        <v>0</v>
      </c>
    </row>
    <row r="1679" ht="14.25" hidden="1" customHeight="1">
      <c r="A1679" s="49" t="s">
        <v>3332</v>
      </c>
      <c r="B1679" s="49" t="str">
        <f>IFERROR(__xludf.DUMMYFUNCTION("REGEXREPLACE(
 REGEXREPLACE(A1679,""^cost\."",""""),
 ""\.[^.]+\.[^.]+$"",
 """"
)"),"tech.laboratory.digitization")</f>
        <v>tech.laboratory.digitization</v>
      </c>
      <c r="C1679" s="49" t="str">
        <f t="array" ref="C1679">_xlfn.XLOOKUP(
 B1679,
 tblTargets[TargetID],
 tblTargets[DisplayName],
 ""
)</f>
        <v>Laboratory - Digitization</v>
      </c>
      <c r="D1679" s="49" t="str">
        <f t="array" ref="D1679">_xlfn.XLOOKUP(
 B1679,
 tblTargets[TargetID],
 tblTargets[TargetType],
 ""
)</f>
        <v>TECH</v>
      </c>
      <c r="E1679" s="49" t="s">
        <v>1055</v>
      </c>
      <c r="F1679" s="49">
        <v>1.0</v>
      </c>
      <c r="G1679" s="49">
        <f t="array" ref="G1679">_xlfn.XLOOKUP(
 A1679,
 tblCost[RequirementID],
 tblCost[QuantityRequired],
 ""
)</f>
        <v>30</v>
      </c>
      <c r="H1679" s="49">
        <f t="array" ref="H1679">IF(
 OR(
  LEFT(B1679,15)="state.character",
  RIGHT(B1679,6)=".maxed"
 ),
 0,
 LET(
  sort,
   _xlfn.XLOOKUP(
    B1679,
    tblChecklist[TargetID],
    tblChecklist[PlayerSort],
    0
   ),
  IF(sort=0,500,sort)
 )
)</f>
        <v>500</v>
      </c>
      <c r="I1679" s="49" t="str">
        <f t="array" ref="I1679">_xlfn.XLOOKUP(
 B1679,
 tblTargetStatus[TargetID],
 tblTargetStatus[Status],
 ""
)</f>
        <v>BLOCKED</v>
      </c>
      <c r="J1679" s="45" t="b">
        <v>0</v>
      </c>
    </row>
    <row r="1680" ht="14.25" hidden="1" customHeight="1">
      <c r="A1680" s="49" t="s">
        <v>3334</v>
      </c>
      <c r="B1680" s="49" t="str">
        <f>IFERROR(__xludf.DUMMYFUNCTION("REGEXREPLACE(
 REGEXREPLACE(A1680,""^cost\."",""""),
 ""\.[^.]+\.[^.]+$"",
 """"
)"),"tech.laboratory.digitization")</f>
        <v>tech.laboratory.digitization</v>
      </c>
      <c r="C1680" s="49" t="str">
        <f t="array" ref="C1680">_xlfn.XLOOKUP(
 B1680,
 tblTargets[TargetID],
 tblTargets[DisplayName],
 ""
)</f>
        <v>Laboratory - Digitization</v>
      </c>
      <c r="D1680" s="49" t="str">
        <f t="array" ref="D1680">_xlfn.XLOOKUP(
 B1680,
 tblTargets[TargetID],
 tblTargets[TargetType],
 ""
)</f>
        <v>TECH</v>
      </c>
      <c r="E1680" s="49" t="s">
        <v>113</v>
      </c>
      <c r="F1680" s="49">
        <v>1.0</v>
      </c>
      <c r="G1680" s="49">
        <f t="array" ref="G1680">_xlfn.XLOOKUP(
 A1680,
 tblCost[RequirementID],
 tblCost[QuantityRequired],
 ""
)</f>
        <v>100</v>
      </c>
      <c r="H1680" s="49">
        <f t="array" ref="H1680">IF(
 OR(
  LEFT(B1680,15)="state.character",
  RIGHT(B1680,6)=".maxed"
 ),
 0,
 LET(
  sort,
   _xlfn.XLOOKUP(
    B1680,
    tblChecklist[TargetID],
    tblChecklist[PlayerSort],
    0
   ),
  IF(sort=0,500,sort)
 )
)</f>
        <v>500</v>
      </c>
      <c r="I1680" s="49" t="str">
        <f t="array" ref="I1680">_xlfn.XLOOKUP(
 B1680,
 tblTargetStatus[TargetID],
 tblTargetStatus[Status],
 ""
)</f>
        <v>BLOCKED</v>
      </c>
      <c r="J1680" s="45" t="b">
        <v>0</v>
      </c>
    </row>
    <row r="1681" ht="14.25" hidden="1" customHeight="1">
      <c r="A1681" s="49" t="s">
        <v>3336</v>
      </c>
      <c r="B1681" s="49" t="str">
        <f>IFERROR(__xludf.DUMMYFUNCTION("REGEXREPLACE(
 REGEXREPLACE(A1681,""^cost\."",""""),
 ""\.[^.]+\.[^.]+$"",
 """"
)"),"tech.laboratory.digitization")</f>
        <v>tech.laboratory.digitization</v>
      </c>
      <c r="C1681" s="49" t="str">
        <f t="array" ref="C1681">_xlfn.XLOOKUP(
 B1681,
 tblTargets[TargetID],
 tblTargets[DisplayName],
 ""
)</f>
        <v>Laboratory - Digitization</v>
      </c>
      <c r="D1681" s="49" t="str">
        <f t="array" ref="D1681">_xlfn.XLOOKUP(
 B1681,
 tblTargets[TargetID],
 tblTargets[TargetType],
 ""
)</f>
        <v>TECH</v>
      </c>
      <c r="E1681" s="49" t="s">
        <v>119</v>
      </c>
      <c r="F1681" s="49">
        <v>1.0</v>
      </c>
      <c r="G1681" s="49">
        <f t="array" ref="G1681">_xlfn.XLOOKUP(
 A1681,
 tblCost[RequirementID],
 tblCost[QuantityRequired],
 ""
)</f>
        <v>1000</v>
      </c>
      <c r="H1681" s="49">
        <f t="array" ref="H1681">IF(
 OR(
  LEFT(B1681,15)="state.character",
  RIGHT(B1681,6)=".maxed"
 ),
 0,
 LET(
  sort,
   _xlfn.XLOOKUP(
    B1681,
    tblChecklist[TargetID],
    tblChecklist[PlayerSort],
    0
   ),
  IF(sort=0,500,sort)
 )
)</f>
        <v>500</v>
      </c>
      <c r="I1681" s="49" t="str">
        <f t="array" ref="I1681">_xlfn.XLOOKUP(
 B1681,
 tblTargetStatus[TargetID],
 tblTargetStatus[Status],
 ""
)</f>
        <v>BLOCKED</v>
      </c>
      <c r="J1681" s="45" t="b">
        <v>0</v>
      </c>
    </row>
    <row r="1682" ht="14.25" hidden="1" customHeight="1">
      <c r="A1682" s="49" t="s">
        <v>3338</v>
      </c>
      <c r="B1682" s="49" t="str">
        <f>IFERROR(__xludf.DUMMYFUNCTION("REGEXREPLACE(
 REGEXREPLACE(A1682,""^cost\."",""""),
 ""\.[^.]+\.[^.]+$"",
 """"
)"),"tech.laboratory.digitization")</f>
        <v>tech.laboratory.digitization</v>
      </c>
      <c r="C1682" s="49" t="str">
        <f t="array" ref="C1682">_xlfn.XLOOKUP(
 B1682,
 tblTargets[TargetID],
 tblTargets[DisplayName],
 ""
)</f>
        <v>Laboratory - Digitization</v>
      </c>
      <c r="D1682" s="49" t="str">
        <f t="array" ref="D1682">_xlfn.XLOOKUP(
 B1682,
 tblTargets[TargetID],
 tblTargets[TargetType],
 ""
)</f>
        <v>TECH</v>
      </c>
      <c r="E1682" s="49" t="s">
        <v>1072</v>
      </c>
      <c r="F1682" s="49">
        <v>1.0</v>
      </c>
      <c r="G1682" s="49">
        <f t="array" ref="G1682">_xlfn.XLOOKUP(
 A1682,
 tblCost[RequirementID],
 tblCost[QuantityRequired],
 ""
)</f>
        <v>20</v>
      </c>
      <c r="H1682" s="49">
        <f t="array" ref="H1682">IF(
 OR(
  LEFT(B1682,15)="state.character",
  RIGHT(B1682,6)=".maxed"
 ),
 0,
 LET(
  sort,
   _xlfn.XLOOKUP(
    B1682,
    tblChecklist[TargetID],
    tblChecklist[PlayerSort],
    0
   ),
  IF(sort=0,500,sort)
 )
)</f>
        <v>500</v>
      </c>
      <c r="I1682" s="49" t="str">
        <f t="array" ref="I1682">_xlfn.XLOOKUP(
 B1682,
 tblTargetStatus[TargetID],
 tblTargetStatus[Status],
 ""
)</f>
        <v>BLOCKED</v>
      </c>
      <c r="J1682" s="45" t="b">
        <v>0</v>
      </c>
    </row>
    <row r="1683" ht="14.25" hidden="1" customHeight="1">
      <c r="A1683" s="49" t="s">
        <v>3340</v>
      </c>
      <c r="B1683" s="49" t="str">
        <f>IFERROR(__xludf.DUMMYFUNCTION("REGEXREPLACE(
 REGEXREPLACE(A1683,""^cost\."",""""),
 ""\.[^.]+\.[^.]+$"",
 """"
)"),"tech.laboratory.digitization")</f>
        <v>tech.laboratory.digitization</v>
      </c>
      <c r="C1683" s="49" t="str">
        <f t="array" ref="C1683">_xlfn.XLOOKUP(
 B1683,
 tblTargets[TargetID],
 tblTargets[DisplayName],
 ""
)</f>
        <v>Laboratory - Digitization</v>
      </c>
      <c r="D1683" s="49" t="str">
        <f t="array" ref="D1683">_xlfn.XLOOKUP(
 B1683,
 tblTargets[TargetID],
 tblTargets[TargetType],
 ""
)</f>
        <v>TECH</v>
      </c>
      <c r="E1683" s="49" t="s">
        <v>1078</v>
      </c>
      <c r="F1683" s="49">
        <v>1.0</v>
      </c>
      <c r="G1683" s="49">
        <f t="array" ref="G1683">_xlfn.XLOOKUP(
 A1683,
 tblCost[RequirementID],
 tblCost[QuantityRequired],
 ""
)</f>
        <v>30</v>
      </c>
      <c r="H1683" s="49">
        <f t="array" ref="H1683">IF(
 OR(
  LEFT(B1683,15)="state.character",
  RIGHT(B1683,6)=".maxed"
 ),
 0,
 LET(
  sort,
   _xlfn.XLOOKUP(
    B1683,
    tblChecklist[TargetID],
    tblChecklist[PlayerSort],
    0
   ),
  IF(sort=0,500,sort)
 )
)</f>
        <v>500</v>
      </c>
      <c r="I1683" s="49" t="str">
        <f t="array" ref="I1683">_xlfn.XLOOKUP(
 B1683,
 tblTargetStatus[TargetID],
 tblTargetStatus[Status],
 ""
)</f>
        <v>BLOCKED</v>
      </c>
      <c r="J1683" s="45" t="b">
        <v>0</v>
      </c>
    </row>
    <row r="1684" ht="14.25" hidden="1" customHeight="1">
      <c r="A1684" s="49" t="s">
        <v>3342</v>
      </c>
      <c r="B1684" s="49" t="str">
        <f>IFERROR(__xludf.DUMMYFUNCTION("REGEXREPLACE(
 REGEXREPLACE(A1684,""^cost\."",""""),
 ""\.[^.]+\.[^.]+$"",
 """"
)"),"tech.laboratory.digitization")</f>
        <v>tech.laboratory.digitization</v>
      </c>
      <c r="C1684" s="49" t="str">
        <f t="array" ref="C1684">_xlfn.XLOOKUP(
 B1684,
 tblTargets[TargetID],
 tblTargets[DisplayName],
 ""
)</f>
        <v>Laboratory - Digitization</v>
      </c>
      <c r="D1684" s="49" t="str">
        <f t="array" ref="D1684">_xlfn.XLOOKUP(
 B1684,
 tblTargets[TargetID],
 tblTargets[TargetType],
 ""
)</f>
        <v>TECH</v>
      </c>
      <c r="E1684" s="49" t="s">
        <v>1083</v>
      </c>
      <c r="F1684" s="49">
        <v>1.0</v>
      </c>
      <c r="G1684" s="49">
        <f t="array" ref="G1684">_xlfn.XLOOKUP(
 A1684,
 tblCost[RequirementID],
 tblCost[QuantityRequired],
 ""
)</f>
        <v>20</v>
      </c>
      <c r="H1684" s="49">
        <f t="array" ref="H1684">IF(
 OR(
  LEFT(B1684,15)="state.character",
  RIGHT(B1684,6)=".maxed"
 ),
 0,
 LET(
  sort,
   _xlfn.XLOOKUP(
    B1684,
    tblChecklist[TargetID],
    tblChecklist[PlayerSort],
    0
   ),
  IF(sort=0,500,sort)
 )
)</f>
        <v>500</v>
      </c>
      <c r="I1684" s="49" t="str">
        <f t="array" ref="I1684">_xlfn.XLOOKUP(
 B1684,
 tblTargetStatus[TargetID],
 tblTargetStatus[Status],
 ""
)</f>
        <v>BLOCKED</v>
      </c>
      <c r="J1684" s="45" t="b">
        <v>0</v>
      </c>
    </row>
    <row r="1685" ht="14.25" hidden="1" customHeight="1">
      <c r="A1685" s="49" t="s">
        <v>3344</v>
      </c>
      <c r="B1685" s="49" t="str">
        <f>IFERROR(__xludf.DUMMYFUNCTION("REGEXREPLACE(
 REGEXREPLACE(A1685,""^cost\."",""""),
 ""\.[^.]+\.[^.]+$"",
 """"
)"),"tech.laboratory.digitization")</f>
        <v>tech.laboratory.digitization</v>
      </c>
      <c r="C1685" s="49" t="str">
        <f t="array" ref="C1685">_xlfn.XLOOKUP(
 B1685,
 tblTargets[TargetID],
 tblTargets[DisplayName],
 ""
)</f>
        <v>Laboratory - Digitization</v>
      </c>
      <c r="D1685" s="49" t="str">
        <f t="array" ref="D1685">_xlfn.XLOOKUP(
 B1685,
 tblTargets[TargetID],
 tblTargets[TargetType],
 ""
)</f>
        <v>TECH</v>
      </c>
      <c r="E1685" s="49" t="s">
        <v>423</v>
      </c>
      <c r="F1685" s="49">
        <v>1.0</v>
      </c>
      <c r="G1685" s="49">
        <f t="array" ref="G1685">_xlfn.XLOOKUP(
 A1685,
 tblCost[RequirementID],
 tblCost[QuantityRequired],
 ""
)</f>
        <v>40</v>
      </c>
      <c r="H1685" s="49">
        <f t="array" ref="H1685">IF(
 OR(
  LEFT(B1685,15)="state.character",
  RIGHT(B1685,6)=".maxed"
 ),
 0,
 LET(
  sort,
   _xlfn.XLOOKUP(
    B1685,
    tblChecklist[TargetID],
    tblChecklist[PlayerSort],
    0
   ),
  IF(sort=0,500,sort)
 )
)</f>
        <v>500</v>
      </c>
      <c r="I1685" s="49" t="str">
        <f t="array" ref="I1685">_xlfn.XLOOKUP(
 B1685,
 tblTargetStatus[TargetID],
 tblTargetStatus[Status],
 ""
)</f>
        <v>BLOCKED</v>
      </c>
      <c r="J1685" s="45" t="b">
        <v>0</v>
      </c>
    </row>
    <row r="1686" ht="14.25" hidden="1" customHeight="1">
      <c r="A1686" s="49" t="s">
        <v>3346</v>
      </c>
      <c r="B1686" s="49" t="str">
        <f>IFERROR(__xludf.DUMMYFUNCTION("REGEXREPLACE(
 REGEXREPLACE(A1686,""^cost\."",""""),
 ""\.[^.]+\.[^.]+$"",
 """"
)"),"tech.laboratory.digitization")</f>
        <v>tech.laboratory.digitization</v>
      </c>
      <c r="C1686" s="49" t="str">
        <f t="array" ref="C1686">_xlfn.XLOOKUP(
 B1686,
 tblTargets[TargetID],
 tblTargets[DisplayName],
 ""
)</f>
        <v>Laboratory - Digitization</v>
      </c>
      <c r="D1686" s="49" t="str">
        <f t="array" ref="D1686">_xlfn.XLOOKUP(
 B1686,
 tblTargets[TargetID],
 tblTargets[TargetType],
 ""
)</f>
        <v>TECH</v>
      </c>
      <c r="E1686" s="49" t="s">
        <v>1282</v>
      </c>
      <c r="F1686" s="49">
        <v>1.0</v>
      </c>
      <c r="G1686" s="49">
        <f t="array" ref="G1686">_xlfn.XLOOKUP(
 A1686,
 tblCost[RequirementID],
 tblCost[QuantityRequired],
 ""
)</f>
        <v>20</v>
      </c>
      <c r="H1686" s="49">
        <f t="array" ref="H1686">IF(
 OR(
  LEFT(B1686,15)="state.character",
  RIGHT(B1686,6)=".maxed"
 ),
 0,
 LET(
  sort,
   _xlfn.XLOOKUP(
    B1686,
    tblChecklist[TargetID],
    tblChecklist[PlayerSort],
    0
   ),
  IF(sort=0,500,sort)
 )
)</f>
        <v>500</v>
      </c>
      <c r="I1686" s="49" t="str">
        <f t="array" ref="I1686">_xlfn.XLOOKUP(
 B1686,
 tblTargetStatus[TargetID],
 tblTargetStatus[Status],
 ""
)</f>
        <v>BLOCKED</v>
      </c>
      <c r="J1686" s="45" t="b">
        <v>0</v>
      </c>
    </row>
    <row r="1687" ht="14.25" hidden="1" customHeight="1">
      <c r="A1687" s="49" t="s">
        <v>3348</v>
      </c>
      <c r="B1687" s="49" t="str">
        <f>IFERROR(__xludf.DUMMYFUNCTION("REGEXREPLACE(
 REGEXREPLACE(A1687,""^cost\."",""""),
 ""\.[^.]+\.[^.]+$"",
 """"
)"),"tech.laboratory.digitization")</f>
        <v>tech.laboratory.digitization</v>
      </c>
      <c r="C1687" s="49" t="str">
        <f t="array" ref="C1687">_xlfn.XLOOKUP(
 B1687,
 tblTargets[TargetID],
 tblTargets[DisplayName],
 ""
)</f>
        <v>Laboratory - Digitization</v>
      </c>
      <c r="D1687" s="49" t="str">
        <f t="array" ref="D1687">_xlfn.XLOOKUP(
 B1687,
 tblTargets[TargetID],
 tblTargets[TargetType],
 ""
)</f>
        <v>TECH</v>
      </c>
      <c r="E1687" s="49" t="s">
        <v>6</v>
      </c>
      <c r="F1687" s="49">
        <v>1.0</v>
      </c>
      <c r="G1687" s="49">
        <f t="array" ref="G1687">_xlfn.XLOOKUP(
 A1687,
 tblCost[RequirementID],
 tblCost[QuantityRequired],
 ""
)</f>
        <v>5</v>
      </c>
      <c r="H1687" s="49">
        <f t="array" ref="H1687">IF(
 OR(
  LEFT(B1687,15)="state.character",
  RIGHT(B1687,6)=".maxed"
 ),
 0,
 LET(
  sort,
   _xlfn.XLOOKUP(
    B1687,
    tblChecklist[TargetID],
    tblChecklist[PlayerSort],
    0
   ),
  IF(sort=0,500,sort)
 )
)</f>
        <v>500</v>
      </c>
      <c r="I1687" s="49" t="str">
        <f t="array" ref="I1687">_xlfn.XLOOKUP(
 B1687,
 tblTargetStatus[TargetID],
 tblTargetStatus[Status],
 ""
)</f>
        <v>BLOCKED</v>
      </c>
      <c r="J1687" s="45" t="b">
        <v>0</v>
      </c>
    </row>
    <row r="1688" ht="14.25" hidden="1" customHeight="1">
      <c r="A1688" s="49" t="s">
        <v>3350</v>
      </c>
      <c r="B1688" s="49" t="str">
        <f>IFERROR(__xludf.DUMMYFUNCTION("REGEXREPLACE(
 REGEXREPLACE(A1688,""^cost\."",""""),
 ""\.[^.]+\.[^.]+$"",
 """"
)"),"tech.laboratory.experiments")</f>
        <v>tech.laboratory.experiments</v>
      </c>
      <c r="C1688" s="49" t="str">
        <f t="array" ref="C1688">_xlfn.XLOOKUP(
 B1688,
 tblTargets[TargetID],
 tblTargets[DisplayName],
 ""
)</f>
        <v>Laboratory - Experiments</v>
      </c>
      <c r="D1688" s="49" t="str">
        <f t="array" ref="D1688">_xlfn.XLOOKUP(
 B1688,
 tblTargets[TargetID],
 tblTargets[TargetType],
 ""
)</f>
        <v>TECH</v>
      </c>
      <c r="E1688" s="49" t="s">
        <v>1055</v>
      </c>
      <c r="F1688" s="49">
        <v>1.0</v>
      </c>
      <c r="G1688" s="49">
        <f t="array" ref="G1688">_xlfn.XLOOKUP(
 A1688,
 tblCost[RequirementID],
 tblCost[QuantityRequired],
 ""
)</f>
        <v>40</v>
      </c>
      <c r="H1688" s="49">
        <f t="array" ref="H1688">IF(
 OR(
  LEFT(B1688,15)="state.character",
  RIGHT(B1688,6)=".maxed"
 ),
 0,
 LET(
  sort,
   _xlfn.XLOOKUP(
    B1688,
    tblChecklist[TargetID],
    tblChecklist[PlayerSort],
    0
   ),
  IF(sort=0,500,sort)
 )
)</f>
        <v>500</v>
      </c>
      <c r="I1688" s="49" t="str">
        <f t="array" ref="I1688">_xlfn.XLOOKUP(
 B1688,
 tblTargetStatus[TargetID],
 tblTargetStatus[Status],
 ""
)</f>
        <v>BLOCKED</v>
      </c>
      <c r="J1688" s="45" t="b">
        <v>0</v>
      </c>
    </row>
    <row r="1689" ht="14.25" hidden="1" customHeight="1">
      <c r="A1689" s="49" t="s">
        <v>3352</v>
      </c>
      <c r="B1689" s="49" t="str">
        <f>IFERROR(__xludf.DUMMYFUNCTION("REGEXREPLACE(
 REGEXREPLACE(A1689,""^cost\."",""""),
 ""\.[^.]+\.[^.]+$"",
 """"
)"),"tech.laboratory.experiments")</f>
        <v>tech.laboratory.experiments</v>
      </c>
      <c r="C1689" s="49" t="str">
        <f t="array" ref="C1689">_xlfn.XLOOKUP(
 B1689,
 tblTargets[TargetID],
 tblTargets[DisplayName],
 ""
)</f>
        <v>Laboratory - Experiments</v>
      </c>
      <c r="D1689" s="49" t="str">
        <f t="array" ref="D1689">_xlfn.XLOOKUP(
 B1689,
 tblTargets[TargetID],
 tblTargets[TargetType],
 ""
)</f>
        <v>TECH</v>
      </c>
      <c r="E1689" s="49" t="s">
        <v>119</v>
      </c>
      <c r="F1689" s="49">
        <v>1.0</v>
      </c>
      <c r="G1689" s="49">
        <f t="array" ref="G1689">_xlfn.XLOOKUP(
 A1689,
 tblCost[RequirementID],
 tblCost[QuantityRequired],
 ""
)</f>
        <v>1000</v>
      </c>
      <c r="H1689" s="49">
        <f t="array" ref="H1689">IF(
 OR(
  LEFT(B1689,15)="state.character",
  RIGHT(B1689,6)=".maxed"
 ),
 0,
 LET(
  sort,
   _xlfn.XLOOKUP(
    B1689,
    tblChecklist[TargetID],
    tblChecklist[PlayerSort],
    0
   ),
  IF(sort=0,500,sort)
 )
)</f>
        <v>500</v>
      </c>
      <c r="I1689" s="49" t="str">
        <f t="array" ref="I1689">_xlfn.XLOOKUP(
 B1689,
 tblTargetStatus[TargetID],
 tblTargetStatus[Status],
 ""
)</f>
        <v>BLOCKED</v>
      </c>
      <c r="J1689" s="45" t="b">
        <v>0</v>
      </c>
    </row>
    <row r="1690" ht="14.25" hidden="1" customHeight="1">
      <c r="A1690" s="49" t="s">
        <v>3354</v>
      </c>
      <c r="B1690" s="49" t="str">
        <f>IFERROR(__xludf.DUMMYFUNCTION("REGEXREPLACE(
 REGEXREPLACE(A1690,""^cost\."",""""),
 ""\.[^.]+\.[^.]+$"",
 """"
)"),"tech.laboratory.experiments")</f>
        <v>tech.laboratory.experiments</v>
      </c>
      <c r="C1690" s="49" t="str">
        <f t="array" ref="C1690">_xlfn.XLOOKUP(
 B1690,
 tblTargets[TargetID],
 tblTargets[DisplayName],
 ""
)</f>
        <v>Laboratory - Experiments</v>
      </c>
      <c r="D1690" s="49" t="str">
        <f t="array" ref="D1690">_xlfn.XLOOKUP(
 B1690,
 tblTargets[TargetID],
 tblTargets[TargetType],
 ""
)</f>
        <v>TECH</v>
      </c>
      <c r="E1690" s="49" t="s">
        <v>2458</v>
      </c>
      <c r="F1690" s="49">
        <v>1.0</v>
      </c>
      <c r="G1690" s="49">
        <f t="array" ref="G1690">_xlfn.XLOOKUP(
 A1690,
 tblCost[RequirementID],
 tblCost[QuantityRequired],
 ""
)</f>
        <v>2</v>
      </c>
      <c r="H1690" s="49">
        <f t="array" ref="H1690">IF(
 OR(
  LEFT(B1690,15)="state.character",
  RIGHT(B1690,6)=".maxed"
 ),
 0,
 LET(
  sort,
   _xlfn.XLOOKUP(
    B1690,
    tblChecklist[TargetID],
    tblChecklist[PlayerSort],
    0
   ),
  IF(sort=0,500,sort)
 )
)</f>
        <v>500</v>
      </c>
      <c r="I1690" s="49" t="str">
        <f t="array" ref="I1690">_xlfn.XLOOKUP(
 B1690,
 tblTargetStatus[TargetID],
 tblTargetStatus[Status],
 ""
)</f>
        <v>BLOCKED</v>
      </c>
      <c r="J1690" s="45" t="b">
        <v>0</v>
      </c>
    </row>
    <row r="1691" ht="14.25" hidden="1" customHeight="1">
      <c r="A1691" s="49" t="s">
        <v>3356</v>
      </c>
      <c r="B1691" s="49" t="str">
        <f>IFERROR(__xludf.DUMMYFUNCTION("REGEXREPLACE(
 REGEXREPLACE(A1691,""^cost\."",""""),
 ""\.[^.]+\.[^.]+$"",
 """"
)"),"tech.laboratory.experiments")</f>
        <v>tech.laboratory.experiments</v>
      </c>
      <c r="C1691" s="49" t="str">
        <f t="array" ref="C1691">_xlfn.XLOOKUP(
 B1691,
 tblTargets[TargetID],
 tblTargets[DisplayName],
 ""
)</f>
        <v>Laboratory - Experiments</v>
      </c>
      <c r="D1691" s="49" t="str">
        <f t="array" ref="D1691">_xlfn.XLOOKUP(
 B1691,
 tblTargets[TargetID],
 tblTargets[TargetType],
 ""
)</f>
        <v>TECH</v>
      </c>
      <c r="E1691" s="49" t="s">
        <v>1072</v>
      </c>
      <c r="F1691" s="49">
        <v>1.0</v>
      </c>
      <c r="G1691" s="49">
        <f t="array" ref="G1691">_xlfn.XLOOKUP(
 A1691,
 tblCost[RequirementID],
 tblCost[QuantityRequired],
 ""
)</f>
        <v>30</v>
      </c>
      <c r="H1691" s="49">
        <f t="array" ref="H1691">IF(
 OR(
  LEFT(B1691,15)="state.character",
  RIGHT(B1691,6)=".maxed"
 ),
 0,
 LET(
  sort,
   _xlfn.XLOOKUP(
    B1691,
    tblChecklist[TargetID],
    tblChecklist[PlayerSort],
    0
   ),
  IF(sort=0,500,sort)
 )
)</f>
        <v>500</v>
      </c>
      <c r="I1691" s="49" t="str">
        <f t="array" ref="I1691">_xlfn.XLOOKUP(
 B1691,
 tblTargetStatus[TargetID],
 tblTargetStatus[Status],
 ""
)</f>
        <v>BLOCKED</v>
      </c>
      <c r="J1691" s="45" t="b">
        <v>0</v>
      </c>
    </row>
    <row r="1692" ht="14.25" hidden="1" customHeight="1">
      <c r="A1692" s="49" t="s">
        <v>3358</v>
      </c>
      <c r="B1692" s="49" t="str">
        <f>IFERROR(__xludf.DUMMYFUNCTION("REGEXREPLACE(
 REGEXREPLACE(A1692,""^cost\."",""""),
 ""\.[^.]+\.[^.]+$"",
 """"
)"),"tech.laboratory.experiments")</f>
        <v>tech.laboratory.experiments</v>
      </c>
      <c r="C1692" s="49" t="str">
        <f t="array" ref="C1692">_xlfn.XLOOKUP(
 B1692,
 tblTargets[TargetID],
 tblTargets[DisplayName],
 ""
)</f>
        <v>Laboratory - Experiments</v>
      </c>
      <c r="D1692" s="49" t="str">
        <f t="array" ref="D1692">_xlfn.XLOOKUP(
 B1692,
 tblTargets[TargetID],
 tblTargets[TargetType],
 ""
)</f>
        <v>TECH</v>
      </c>
      <c r="E1692" s="49" t="s">
        <v>1456</v>
      </c>
      <c r="F1692" s="49">
        <v>1.0</v>
      </c>
      <c r="G1692" s="49">
        <f t="array" ref="G1692">_xlfn.XLOOKUP(
 A1692,
 tblCost[RequirementID],
 tblCost[QuantityRequired],
 ""
)</f>
        <v>20</v>
      </c>
      <c r="H1692" s="49">
        <f t="array" ref="H1692">IF(
 OR(
  LEFT(B1692,15)="state.character",
  RIGHT(B1692,6)=".maxed"
 ),
 0,
 LET(
  sort,
   _xlfn.XLOOKUP(
    B1692,
    tblChecklist[TargetID],
    tblChecklist[PlayerSort],
    0
   ),
  IF(sort=0,500,sort)
 )
)</f>
        <v>500</v>
      </c>
      <c r="I1692" s="49" t="str">
        <f t="array" ref="I1692">_xlfn.XLOOKUP(
 B1692,
 tblTargetStatus[TargetID],
 tblTargetStatus[Status],
 ""
)</f>
        <v>BLOCKED</v>
      </c>
      <c r="J1692" s="45" t="b">
        <v>0</v>
      </c>
    </row>
    <row r="1693" ht="14.25" hidden="1" customHeight="1">
      <c r="A1693" s="49" t="s">
        <v>3360</v>
      </c>
      <c r="B1693" s="49" t="str">
        <f>IFERROR(__xludf.DUMMYFUNCTION("REGEXREPLACE(
 REGEXREPLACE(A1693,""^cost\."",""""),
 ""\.[^.]+\.[^.]+$"",
 """"
)"),"tech.laboratory.experiments")</f>
        <v>tech.laboratory.experiments</v>
      </c>
      <c r="C1693" s="49" t="str">
        <f t="array" ref="C1693">_xlfn.XLOOKUP(
 B1693,
 tblTargets[TargetID],
 tblTargets[DisplayName],
 ""
)</f>
        <v>Laboratory - Experiments</v>
      </c>
      <c r="D1693" s="49" t="str">
        <f t="array" ref="D1693">_xlfn.XLOOKUP(
 B1693,
 tblTargets[TargetID],
 tblTargets[TargetType],
 ""
)</f>
        <v>TECH</v>
      </c>
      <c r="E1693" s="49" t="s">
        <v>1083</v>
      </c>
      <c r="F1693" s="49">
        <v>1.0</v>
      </c>
      <c r="G1693" s="49">
        <f t="array" ref="G1693">_xlfn.XLOOKUP(
 A1693,
 tblCost[RequirementID],
 tblCost[QuantityRequired],
 ""
)</f>
        <v>30</v>
      </c>
      <c r="H1693" s="49">
        <f t="array" ref="H1693">IF(
 OR(
  LEFT(B1693,15)="state.character",
  RIGHT(B1693,6)=".maxed"
 ),
 0,
 LET(
  sort,
   _xlfn.XLOOKUP(
    B1693,
    tblChecklist[TargetID],
    tblChecklist[PlayerSort],
    0
   ),
  IF(sort=0,500,sort)
 )
)</f>
        <v>500</v>
      </c>
      <c r="I1693" s="49" t="str">
        <f t="array" ref="I1693">_xlfn.XLOOKUP(
 B1693,
 tblTargetStatus[TargetID],
 tblTargetStatus[Status],
 ""
)</f>
        <v>BLOCKED</v>
      </c>
      <c r="J1693" s="45" t="b">
        <v>0</v>
      </c>
    </row>
    <row r="1694" ht="14.25" hidden="1" customHeight="1">
      <c r="A1694" s="49" t="s">
        <v>3362</v>
      </c>
      <c r="B1694" s="49" t="str">
        <f>IFERROR(__xludf.DUMMYFUNCTION("REGEXREPLACE(
 REGEXREPLACE(A1694,""^cost\."",""""),
 ""\.[^.]+\.[^.]+$"",
 """"
)"),"tech.laboratory.experiments")</f>
        <v>tech.laboratory.experiments</v>
      </c>
      <c r="C1694" s="49" t="str">
        <f t="array" ref="C1694">_xlfn.XLOOKUP(
 B1694,
 tblTargets[TargetID],
 tblTargets[DisplayName],
 ""
)</f>
        <v>Laboratory - Experiments</v>
      </c>
      <c r="D1694" s="49" t="str">
        <f t="array" ref="D1694">_xlfn.XLOOKUP(
 B1694,
 tblTargets[TargetID],
 tblTargets[TargetType],
 ""
)</f>
        <v>TECH</v>
      </c>
      <c r="E1694" s="49" t="s">
        <v>6</v>
      </c>
      <c r="F1694" s="49">
        <v>1.0</v>
      </c>
      <c r="G1694" s="49">
        <f t="array" ref="G1694">_xlfn.XLOOKUP(
 A1694,
 tblCost[RequirementID],
 tblCost[QuantityRequired],
 ""
)</f>
        <v>5</v>
      </c>
      <c r="H1694" s="49">
        <f t="array" ref="H1694">IF(
 OR(
  LEFT(B1694,15)="state.character",
  RIGHT(B1694,6)=".maxed"
 ),
 0,
 LET(
  sort,
   _xlfn.XLOOKUP(
    B1694,
    tblChecklist[TargetID],
    tblChecklist[PlayerSort],
    0
   ),
  IF(sort=0,500,sort)
 )
)</f>
        <v>500</v>
      </c>
      <c r="I1694" s="49" t="str">
        <f t="array" ref="I1694">_xlfn.XLOOKUP(
 B1694,
 tblTargetStatus[TargetID],
 tblTargetStatus[Status],
 ""
)</f>
        <v>BLOCKED</v>
      </c>
      <c r="J1694" s="45" t="b">
        <v>0</v>
      </c>
    </row>
    <row r="1695" ht="14.25" hidden="1" customHeight="1">
      <c r="A1695" s="49" t="s">
        <v>3364</v>
      </c>
      <c r="B1695" s="49" t="str">
        <f>IFERROR(__xludf.DUMMYFUNCTION("REGEXREPLACE(
 REGEXREPLACE(A1695,""^cost\."",""""),
 ""\.[^.]+\.[^.]+$"",
 """"
)"),"tech.laboratory.experiments")</f>
        <v>tech.laboratory.experiments</v>
      </c>
      <c r="C1695" s="49" t="str">
        <f t="array" ref="C1695">_xlfn.XLOOKUP(
 B1695,
 tblTargets[TargetID],
 tblTargets[DisplayName],
 ""
)</f>
        <v>Laboratory - Experiments</v>
      </c>
      <c r="D1695" s="49" t="str">
        <f t="array" ref="D1695">_xlfn.XLOOKUP(
 B1695,
 tblTargets[TargetID],
 tblTargets[TargetType],
 ""
)</f>
        <v>TECH</v>
      </c>
      <c r="E1695" s="49" t="s">
        <v>2786</v>
      </c>
      <c r="F1695" s="49">
        <v>1.0</v>
      </c>
      <c r="G1695" s="49">
        <f t="array" ref="G1695">_xlfn.XLOOKUP(
 A1695,
 tblCost[RequirementID],
 tblCost[QuantityRequired],
 ""
)</f>
        <v>20</v>
      </c>
      <c r="H1695" s="49">
        <f t="array" ref="H1695">IF(
 OR(
  LEFT(B1695,15)="state.character",
  RIGHT(B1695,6)=".maxed"
 ),
 0,
 LET(
  sort,
   _xlfn.XLOOKUP(
    B1695,
    tblChecklist[TargetID],
    tblChecklist[PlayerSort],
    0
   ),
  IF(sort=0,500,sort)
 )
)</f>
        <v>500</v>
      </c>
      <c r="I1695" s="49" t="str">
        <f t="array" ref="I1695">_xlfn.XLOOKUP(
 B1695,
 tblTargetStatus[TargetID],
 tblTargetStatus[Status],
 ""
)</f>
        <v>BLOCKED</v>
      </c>
      <c r="J1695" s="45" t="b">
        <v>0</v>
      </c>
    </row>
    <row r="1696" ht="14.25" hidden="1" customHeight="1">
      <c r="A1696" s="49" t="s">
        <v>3366</v>
      </c>
      <c r="B1696" s="49" t="str">
        <f>IFERROR(__xludf.DUMMYFUNCTION("REGEXREPLACE(
 REGEXREPLACE(A1696,""^cost\."",""""),
 ""\.[^.]+\.[^.]+$"",
 """"
)"),"tech.laboratory.experiments")</f>
        <v>tech.laboratory.experiments</v>
      </c>
      <c r="C1696" s="49" t="str">
        <f t="array" ref="C1696">_xlfn.XLOOKUP(
 B1696,
 tblTargets[TargetID],
 tblTargets[DisplayName],
 ""
)</f>
        <v>Laboratory - Experiments</v>
      </c>
      <c r="D1696" s="49" t="str">
        <f t="array" ref="D1696">_xlfn.XLOOKUP(
 B1696,
 tblTargets[TargetID],
 tblTargets[TargetType],
 ""
)</f>
        <v>TECH</v>
      </c>
      <c r="E1696" s="49" t="s">
        <v>2308</v>
      </c>
      <c r="F1696" s="49">
        <v>1.0</v>
      </c>
      <c r="G1696" s="49">
        <f t="array" ref="G1696">_xlfn.XLOOKUP(
 A1696,
 tblCost[RequirementID],
 tblCost[QuantityRequired],
 ""
)</f>
        <v>10</v>
      </c>
      <c r="H1696" s="49">
        <f t="array" ref="H1696">IF(
 OR(
  LEFT(B1696,15)="state.character",
  RIGHT(B1696,6)=".maxed"
 ),
 0,
 LET(
  sort,
   _xlfn.XLOOKUP(
    B1696,
    tblChecklist[TargetID],
    tblChecklist[PlayerSort],
    0
   ),
  IF(sort=0,500,sort)
 )
)</f>
        <v>500</v>
      </c>
      <c r="I1696" s="49" t="str">
        <f t="array" ref="I1696">_xlfn.XLOOKUP(
 B1696,
 tblTargetStatus[TargetID],
 tblTargetStatus[Status],
 ""
)</f>
        <v>BLOCKED</v>
      </c>
      <c r="J1696" s="45" t="b">
        <v>0</v>
      </c>
    </row>
    <row r="1697" ht="14.25" hidden="1" customHeight="1">
      <c r="A1697" s="49" t="s">
        <v>3313</v>
      </c>
      <c r="B1697" s="49" t="str">
        <f>IFERROR(__xludf.DUMMYFUNCTION("REGEXREPLACE(
 REGEXREPLACE(A1697,""^cost\."",""""),
 ""\.[^.]+\.[^.]+$"",
 """"
)"),"tech.laboratory.research_and_development")</f>
        <v>tech.laboratory.research_and_development</v>
      </c>
      <c r="C1697" s="49" t="str">
        <f t="array" ref="C1697">_xlfn.XLOOKUP(
 B1697,
 tblTargets[TargetID],
 tblTargets[DisplayName],
 ""
)</f>
        <v>Laboratory - Research And Development</v>
      </c>
      <c r="D1697" s="49" t="str">
        <f t="array" ref="D1697">_xlfn.XLOOKUP(
 B1697,
 tblTargets[TargetID],
 tblTargets[TargetType],
 ""
)</f>
        <v>TECH</v>
      </c>
      <c r="E1697" s="49" t="s">
        <v>3099</v>
      </c>
      <c r="F1697" s="49">
        <v>1.0</v>
      </c>
      <c r="G1697" s="49">
        <f t="array" ref="G1697">_xlfn.XLOOKUP(
 A1697,
 tblCost[RequirementID],
 tblCost[QuantityRequired],
 ""
)</f>
        <v>20</v>
      </c>
      <c r="H1697" s="49">
        <f t="array" ref="H1697">IF(
 OR(
  LEFT(B1697,15)="state.character",
  RIGHT(B1697,6)=".maxed"
 ),
 0,
 LET(
  sort,
   _xlfn.XLOOKUP(
    B1697,
    tblChecklist[TargetID],
    tblChecklist[PlayerSort],
    0
   ),
  IF(sort=0,500,sort)
 )
)</f>
        <v>500</v>
      </c>
      <c r="I1697" s="49" t="str">
        <f t="array" ref="I1697">_xlfn.XLOOKUP(
 B1697,
 tblTargetStatus[TargetID],
 tblTargetStatus[Status],
 ""
)</f>
        <v>BLOCKED</v>
      </c>
      <c r="J1697" s="45" t="b">
        <v>0</v>
      </c>
    </row>
    <row r="1698" ht="14.25" hidden="1" customHeight="1">
      <c r="A1698" s="49" t="s">
        <v>3315</v>
      </c>
      <c r="B1698" s="49" t="str">
        <f>IFERROR(__xludf.DUMMYFUNCTION("REGEXREPLACE(
 REGEXREPLACE(A1698,""^cost\."",""""),
 ""\.[^.]+\.[^.]+$"",
 """"
)"),"tech.laboratory.research_and_development")</f>
        <v>tech.laboratory.research_and_development</v>
      </c>
      <c r="C1698" s="49" t="str">
        <f t="array" ref="C1698">_xlfn.XLOOKUP(
 B1698,
 tblTargets[TargetID],
 tblTargets[DisplayName],
 ""
)</f>
        <v>Laboratory - Research And Development</v>
      </c>
      <c r="D1698" s="49" t="str">
        <f t="array" ref="D1698">_xlfn.XLOOKUP(
 B1698,
 tblTargets[TargetID],
 tblTargets[TargetType],
 ""
)</f>
        <v>TECH</v>
      </c>
      <c r="E1698" s="49" t="s">
        <v>1055</v>
      </c>
      <c r="F1698" s="49">
        <v>1.0</v>
      </c>
      <c r="G1698" s="49">
        <f t="array" ref="G1698">_xlfn.XLOOKUP(
 A1698,
 tblCost[RequirementID],
 tblCost[QuantityRequired],
 ""
)</f>
        <v>30</v>
      </c>
      <c r="H1698" s="49">
        <f t="array" ref="H1698">IF(
 OR(
  LEFT(B1698,15)="state.character",
  RIGHT(B1698,6)=".maxed"
 ),
 0,
 LET(
  sort,
   _xlfn.XLOOKUP(
    B1698,
    tblChecklist[TargetID],
    tblChecklist[PlayerSort],
    0
   ),
  IF(sort=0,500,sort)
 )
)</f>
        <v>500</v>
      </c>
      <c r="I1698" s="49" t="str">
        <f t="array" ref="I1698">_xlfn.XLOOKUP(
 B1698,
 tblTargetStatus[TargetID],
 tblTargetStatus[Status],
 ""
)</f>
        <v>BLOCKED</v>
      </c>
      <c r="J1698" s="45" t="b">
        <v>0</v>
      </c>
    </row>
    <row r="1699" ht="14.25" hidden="1" customHeight="1">
      <c r="A1699" s="49" t="s">
        <v>3318</v>
      </c>
      <c r="B1699" s="49" t="str">
        <f>IFERROR(__xludf.DUMMYFUNCTION("REGEXREPLACE(
 REGEXREPLACE(A1699,""^cost\."",""""),
 ""\.[^.]+\.[^.]+$"",
 """"
)"),"tech.laboratory.research_and_development")</f>
        <v>tech.laboratory.research_and_development</v>
      </c>
      <c r="C1699" s="49" t="str">
        <f t="array" ref="C1699">_xlfn.XLOOKUP(
 B1699,
 tblTargets[TargetID],
 tblTargets[DisplayName],
 ""
)</f>
        <v>Laboratory - Research And Development</v>
      </c>
      <c r="D1699" s="49" t="str">
        <f t="array" ref="D1699">_xlfn.XLOOKUP(
 B1699,
 tblTargets[TargetID],
 tblTargets[TargetType],
 ""
)</f>
        <v>TECH</v>
      </c>
      <c r="E1699" s="49" t="s">
        <v>2297</v>
      </c>
      <c r="F1699" s="49">
        <v>1.0</v>
      </c>
      <c r="G1699" s="49">
        <f t="array" ref="G1699">_xlfn.XLOOKUP(
 A1699,
 tblCost[RequirementID],
 tblCost[QuantityRequired],
 ""
)</f>
        <v>20</v>
      </c>
      <c r="H1699" s="49">
        <f t="array" ref="H1699">IF(
 OR(
  LEFT(B1699,15)="state.character",
  RIGHT(B1699,6)=".maxed"
 ),
 0,
 LET(
  sort,
   _xlfn.XLOOKUP(
    B1699,
    tblChecklist[TargetID],
    tblChecklist[PlayerSort],
    0
   ),
  IF(sort=0,500,sort)
 )
)</f>
        <v>500</v>
      </c>
      <c r="I1699" s="49" t="str">
        <f t="array" ref="I1699">_xlfn.XLOOKUP(
 B1699,
 tblTargetStatus[TargetID],
 tblTargetStatus[Status],
 ""
)</f>
        <v>BLOCKED</v>
      </c>
      <c r="J1699" s="45" t="b">
        <v>0</v>
      </c>
    </row>
    <row r="1700" ht="14.25" hidden="1" customHeight="1">
      <c r="A1700" s="49" t="s">
        <v>3321</v>
      </c>
      <c r="B1700" s="49" t="str">
        <f>IFERROR(__xludf.DUMMYFUNCTION("REGEXREPLACE(
 REGEXREPLACE(A1700,""^cost\."",""""),
 ""\.[^.]+\.[^.]+$"",
 """"
)"),"tech.laboratory.research_and_development")</f>
        <v>tech.laboratory.research_and_development</v>
      </c>
      <c r="C1700" s="49" t="str">
        <f t="array" ref="C1700">_xlfn.XLOOKUP(
 B1700,
 tblTargets[TargetID],
 tblTargets[DisplayName],
 ""
)</f>
        <v>Laboratory - Research And Development</v>
      </c>
      <c r="D1700" s="49" t="str">
        <f t="array" ref="D1700">_xlfn.XLOOKUP(
 B1700,
 tblTargets[TargetID],
 tblTargets[TargetType],
 ""
)</f>
        <v>TECH</v>
      </c>
      <c r="E1700" s="49" t="s">
        <v>119</v>
      </c>
      <c r="F1700" s="49">
        <v>1.0</v>
      </c>
      <c r="G1700" s="49">
        <f t="array" ref="G1700">_xlfn.XLOOKUP(
 A1700,
 tblCost[RequirementID],
 tblCost[QuantityRequired],
 ""
)</f>
        <v>1000</v>
      </c>
      <c r="H1700" s="49">
        <f t="array" ref="H1700">IF(
 OR(
  LEFT(B1700,15)="state.character",
  RIGHT(B1700,6)=".maxed"
 ),
 0,
 LET(
  sort,
   _xlfn.XLOOKUP(
    B1700,
    tblChecklist[TargetID],
    tblChecklist[PlayerSort],
    0
   ),
  IF(sort=0,500,sort)
 )
)</f>
        <v>500</v>
      </c>
      <c r="I1700" s="49" t="str">
        <f t="array" ref="I1700">_xlfn.XLOOKUP(
 B1700,
 tblTargetStatus[TargetID],
 tblTargetStatus[Status],
 ""
)</f>
        <v>BLOCKED</v>
      </c>
      <c r="J1700" s="45" t="b">
        <v>0</v>
      </c>
    </row>
    <row r="1701" ht="14.25" hidden="1" customHeight="1">
      <c r="A1701" s="49" t="s">
        <v>3323</v>
      </c>
      <c r="B1701" s="49" t="str">
        <f>IFERROR(__xludf.DUMMYFUNCTION("REGEXREPLACE(
 REGEXREPLACE(A1701,""^cost\."",""""),
 ""\.[^.]+\.[^.]+$"",
 """"
)"),"tech.laboratory.research_and_development")</f>
        <v>tech.laboratory.research_and_development</v>
      </c>
      <c r="C1701" s="49" t="str">
        <f t="array" ref="C1701">_xlfn.XLOOKUP(
 B1701,
 tblTargets[TargetID],
 tblTargets[DisplayName],
 ""
)</f>
        <v>Laboratory - Research And Development</v>
      </c>
      <c r="D1701" s="49" t="str">
        <f t="array" ref="D1701">_xlfn.XLOOKUP(
 B1701,
 tblTargets[TargetID],
 tblTargets[TargetType],
 ""
)</f>
        <v>TECH</v>
      </c>
      <c r="E1701" s="49" t="s">
        <v>527</v>
      </c>
      <c r="F1701" s="49">
        <v>1.0</v>
      </c>
      <c r="G1701" s="49">
        <f t="array" ref="G1701">_xlfn.XLOOKUP(
 A1701,
 tblCost[RequirementID],
 tblCost[QuantityRequired],
 ""
)</f>
        <v>10</v>
      </c>
      <c r="H1701" s="49">
        <f t="array" ref="H1701">IF(
 OR(
  LEFT(B1701,15)="state.character",
  RIGHT(B1701,6)=".maxed"
 ),
 0,
 LET(
  sort,
   _xlfn.XLOOKUP(
    B1701,
    tblChecklist[TargetID],
    tblChecklist[PlayerSort],
    0
   ),
  IF(sort=0,500,sort)
 )
)</f>
        <v>500</v>
      </c>
      <c r="I1701" s="49" t="str">
        <f t="array" ref="I1701">_xlfn.XLOOKUP(
 B1701,
 tblTargetStatus[TargetID],
 tblTargetStatus[Status],
 ""
)</f>
        <v>BLOCKED</v>
      </c>
      <c r="J1701" s="45" t="b">
        <v>0</v>
      </c>
    </row>
    <row r="1702" ht="14.25" hidden="1" customHeight="1">
      <c r="A1702" s="49" t="s">
        <v>3325</v>
      </c>
      <c r="B1702" s="49" t="str">
        <f>IFERROR(__xludf.DUMMYFUNCTION("REGEXREPLACE(
 REGEXREPLACE(A1702,""^cost\."",""""),
 ""\.[^.]+\.[^.]+$"",
 """"
)"),"tech.laboratory.research_and_development")</f>
        <v>tech.laboratory.research_and_development</v>
      </c>
      <c r="C1702" s="49" t="str">
        <f t="array" ref="C1702">_xlfn.XLOOKUP(
 B1702,
 tblTargets[TargetID],
 tblTargets[DisplayName],
 ""
)</f>
        <v>Laboratory - Research And Development</v>
      </c>
      <c r="D1702" s="49" t="str">
        <f t="array" ref="D1702">_xlfn.XLOOKUP(
 B1702,
 tblTargets[TargetID],
 tblTargets[TargetType],
 ""
)</f>
        <v>TECH</v>
      </c>
      <c r="E1702" s="49" t="s">
        <v>1072</v>
      </c>
      <c r="F1702" s="49">
        <v>1.0</v>
      </c>
      <c r="G1702" s="49">
        <f t="array" ref="G1702">_xlfn.XLOOKUP(
 A1702,
 tblCost[RequirementID],
 tblCost[QuantityRequired],
 ""
)</f>
        <v>20</v>
      </c>
      <c r="H1702" s="49">
        <f t="array" ref="H1702">IF(
 OR(
  LEFT(B1702,15)="state.character",
  RIGHT(B1702,6)=".maxed"
 ),
 0,
 LET(
  sort,
   _xlfn.XLOOKUP(
    B1702,
    tblChecklist[TargetID],
    tblChecklist[PlayerSort],
    0
   ),
  IF(sort=0,500,sort)
 )
)</f>
        <v>500</v>
      </c>
      <c r="I1702" s="49" t="str">
        <f t="array" ref="I1702">_xlfn.XLOOKUP(
 B1702,
 tblTargetStatus[TargetID],
 tblTargetStatus[Status],
 ""
)</f>
        <v>BLOCKED</v>
      </c>
      <c r="J1702" s="45" t="b">
        <v>0</v>
      </c>
    </row>
    <row r="1703" ht="14.25" hidden="1" customHeight="1">
      <c r="A1703" s="49" t="s">
        <v>3327</v>
      </c>
      <c r="B1703" s="49" t="str">
        <f>IFERROR(__xludf.DUMMYFUNCTION("REGEXREPLACE(
 REGEXREPLACE(A1703,""^cost\."",""""),
 ""\.[^.]+\.[^.]+$"",
 """"
)"),"tech.laboratory.research_and_development")</f>
        <v>tech.laboratory.research_and_development</v>
      </c>
      <c r="C1703" s="49" t="str">
        <f t="array" ref="C1703">_xlfn.XLOOKUP(
 B1703,
 tblTargets[TargetID],
 tblTargets[DisplayName],
 ""
)</f>
        <v>Laboratory - Research And Development</v>
      </c>
      <c r="D1703" s="49" t="str">
        <f t="array" ref="D1703">_xlfn.XLOOKUP(
 B1703,
 tblTargets[TargetID],
 tblTargets[TargetType],
 ""
)</f>
        <v>TECH</v>
      </c>
      <c r="E1703" s="49" t="s">
        <v>1083</v>
      </c>
      <c r="F1703" s="49">
        <v>1.0</v>
      </c>
      <c r="G1703" s="49">
        <f t="array" ref="G1703">_xlfn.XLOOKUP(
 A1703,
 tblCost[RequirementID],
 tblCost[QuantityRequired],
 ""
)</f>
        <v>20</v>
      </c>
      <c r="H1703" s="49">
        <f t="array" ref="H1703">IF(
 OR(
  LEFT(B1703,15)="state.character",
  RIGHT(B1703,6)=".maxed"
 ),
 0,
 LET(
  sort,
   _xlfn.XLOOKUP(
    B1703,
    tblChecklist[TargetID],
    tblChecklist[PlayerSort],
    0
   ),
  IF(sort=0,500,sort)
 )
)</f>
        <v>500</v>
      </c>
      <c r="I1703" s="49" t="str">
        <f t="array" ref="I1703">_xlfn.XLOOKUP(
 B1703,
 tblTargetStatus[TargetID],
 tblTargetStatus[Status],
 ""
)</f>
        <v>BLOCKED</v>
      </c>
      <c r="J1703" s="45" t="b">
        <v>0</v>
      </c>
    </row>
    <row r="1704" ht="14.25" hidden="1" customHeight="1">
      <c r="A1704" s="49" t="s">
        <v>3329</v>
      </c>
      <c r="B1704" s="49" t="str">
        <f>IFERROR(__xludf.DUMMYFUNCTION("REGEXREPLACE(
 REGEXREPLACE(A1704,""^cost\."",""""),
 ""\.[^.]+\.[^.]+$"",
 """"
)"),"tech.laboratory.research_and_development")</f>
        <v>tech.laboratory.research_and_development</v>
      </c>
      <c r="C1704" s="49" t="str">
        <f t="array" ref="C1704">_xlfn.XLOOKUP(
 B1704,
 tblTargets[TargetID],
 tblTargets[DisplayName],
 ""
)</f>
        <v>Laboratory - Research And Development</v>
      </c>
      <c r="D1704" s="49" t="str">
        <f t="array" ref="D1704">_xlfn.XLOOKUP(
 B1704,
 tblTargets[TargetID],
 tblTargets[TargetType],
 ""
)</f>
        <v>TECH</v>
      </c>
      <c r="E1704" s="49" t="s">
        <v>140</v>
      </c>
      <c r="F1704" s="49">
        <v>1.0</v>
      </c>
      <c r="G1704" s="49">
        <f t="array" ref="G1704">_xlfn.XLOOKUP(
 A1704,
 tblCost[RequirementID],
 tblCost[QuantityRequired],
 ""
)</f>
        <v>20</v>
      </c>
      <c r="H1704" s="49">
        <f t="array" ref="H1704">IF(
 OR(
  LEFT(B1704,15)="state.character",
  RIGHT(B1704,6)=".maxed"
 ),
 0,
 LET(
  sort,
   _xlfn.XLOOKUP(
    B1704,
    tblChecklist[TargetID],
    tblChecklist[PlayerSort],
    0
   ),
  IF(sort=0,500,sort)
 )
)</f>
        <v>500</v>
      </c>
      <c r="I1704" s="49" t="str">
        <f t="array" ref="I1704">_xlfn.XLOOKUP(
 B1704,
 tblTargetStatus[TargetID],
 tblTargetStatus[Status],
 ""
)</f>
        <v>BLOCKED</v>
      </c>
      <c r="J1704" s="45" t="b">
        <v>0</v>
      </c>
    </row>
    <row r="1705" ht="14.25" hidden="1" customHeight="1">
      <c r="A1705" s="49" t="s">
        <v>3330</v>
      </c>
      <c r="B1705" s="49" t="str">
        <f>IFERROR(__xludf.DUMMYFUNCTION("REGEXREPLACE(
 REGEXREPLACE(A1705,""^cost\."",""""),
 ""\.[^.]+\.[^.]+$"",
 """"
)"),"tech.laboratory.research_and_development")</f>
        <v>tech.laboratory.research_and_development</v>
      </c>
      <c r="C1705" s="49" t="str">
        <f t="array" ref="C1705">_xlfn.XLOOKUP(
 B1705,
 tblTargets[TargetID],
 tblTargets[DisplayName],
 ""
)</f>
        <v>Laboratory - Research And Development</v>
      </c>
      <c r="D1705" s="49" t="str">
        <f t="array" ref="D1705">_xlfn.XLOOKUP(
 B1705,
 tblTargets[TargetID],
 tblTargets[TargetType],
 ""
)</f>
        <v>TECH</v>
      </c>
      <c r="E1705" s="49" t="s">
        <v>6</v>
      </c>
      <c r="F1705" s="49">
        <v>1.0</v>
      </c>
      <c r="G1705" s="49">
        <f t="array" ref="G1705">_xlfn.XLOOKUP(
 A1705,
 tblCost[RequirementID],
 tblCost[QuantityRequired],
 ""
)</f>
        <v>5</v>
      </c>
      <c r="H1705" s="49">
        <f t="array" ref="H1705">IF(
 OR(
  LEFT(B1705,15)="state.character",
  RIGHT(B1705,6)=".maxed"
 ),
 0,
 LET(
  sort,
   _xlfn.XLOOKUP(
    B1705,
    tblChecklist[TargetID],
    tblChecklist[PlayerSort],
    0
   ),
  IF(sort=0,500,sort)
 )
)</f>
        <v>500</v>
      </c>
      <c r="I1705" s="49" t="str">
        <f t="array" ref="I1705">_xlfn.XLOOKUP(
 B1705,
 tblTargetStatus[TargetID],
 tblTargetStatus[Status],
 ""
)</f>
        <v>BLOCKED</v>
      </c>
      <c r="J1705" s="45" t="b">
        <v>0</v>
      </c>
    </row>
    <row r="1706" ht="14.25" hidden="1" customHeight="1">
      <c r="A1706" s="49" t="s">
        <v>3376</v>
      </c>
      <c r="B1706" s="49" t="str">
        <f>IFERROR(__xludf.DUMMYFUNCTION("REGEXREPLACE(
 REGEXREPLACE(A1706,""^cost\."",""""),
 ""\.[^.]+\.[^.]+$"",
 """"
)"),"tech.outpost.arsenal_lvl_1")</f>
        <v>tech.outpost.arsenal_lvl_1</v>
      </c>
      <c r="C1706" s="49" t="str">
        <f t="array" ref="C1706">_xlfn.XLOOKUP(
 B1706,
 tblTargets[TargetID],
 tblTargets[DisplayName],
 ""
)</f>
        <v>Outpost - Arsenal Lvl 1</v>
      </c>
      <c r="D1706" s="49" t="str">
        <f t="array" ref="D1706">_xlfn.XLOOKUP(
 B1706,
 tblTargets[TargetID],
 tblTargets[TargetType],
 ""
)</f>
        <v>TECH</v>
      </c>
      <c r="E1706" s="49" t="s">
        <v>1055</v>
      </c>
      <c r="F1706" s="49">
        <v>1.0</v>
      </c>
      <c r="G1706" s="49">
        <f t="array" ref="G1706">_xlfn.XLOOKUP(
 A1706,
 tblCost[RequirementID],
 tblCost[QuantityRequired],
 ""
)</f>
        <v>40</v>
      </c>
      <c r="H1706" s="49">
        <f t="array" ref="H1706">IF(
 OR(
  LEFT(B1706,15)="state.character",
  RIGHT(B1706,6)=".maxed"
 ),
 0,
 LET(
  sort,
   _xlfn.XLOOKUP(
    B1706,
    tblChecklist[TargetID],
    tblChecklist[PlayerSort],
    0
   ),
  IF(sort=0,500,sort)
 )
)</f>
        <v>500</v>
      </c>
      <c r="I1706" s="49" t="str">
        <f t="array" ref="I1706">_xlfn.XLOOKUP(
 B1706,
 tblTargetStatus[TargetID],
 tblTargetStatus[Status],
 ""
)</f>
        <v>BLOCKED</v>
      </c>
      <c r="J1706" s="45" t="b">
        <v>0</v>
      </c>
    </row>
    <row r="1707" ht="14.25" hidden="1" customHeight="1">
      <c r="A1707" s="49" t="s">
        <v>3379</v>
      </c>
      <c r="B1707" s="49" t="str">
        <f>IFERROR(__xludf.DUMMYFUNCTION("REGEXREPLACE(
 REGEXREPLACE(A1707,""^cost\."",""""),
 ""\.[^.]+\.[^.]+$"",
 """"
)"),"tech.outpost.arsenal_lvl_1")</f>
        <v>tech.outpost.arsenal_lvl_1</v>
      </c>
      <c r="C1707" s="49" t="str">
        <f t="array" ref="C1707">_xlfn.XLOOKUP(
 B1707,
 tblTargets[TargetID],
 tblTargets[DisplayName],
 ""
)</f>
        <v>Outpost - Arsenal Lvl 1</v>
      </c>
      <c r="D1707" s="49" t="str">
        <f t="array" ref="D1707">_xlfn.XLOOKUP(
 B1707,
 tblTargets[TargetID],
 tblTargets[TargetType],
 ""
)</f>
        <v>TECH</v>
      </c>
      <c r="E1707" s="49" t="s">
        <v>119</v>
      </c>
      <c r="F1707" s="49">
        <v>1.0</v>
      </c>
      <c r="G1707" s="49">
        <f t="array" ref="G1707">_xlfn.XLOOKUP(
 A1707,
 tblCost[RequirementID],
 tblCost[QuantityRequired],
 ""
)</f>
        <v>1000</v>
      </c>
      <c r="H1707" s="49">
        <f t="array" ref="H1707">IF(
 OR(
  LEFT(B1707,15)="state.character",
  RIGHT(B1707,6)=".maxed"
 ),
 0,
 LET(
  sort,
   _xlfn.XLOOKUP(
    B1707,
    tblChecklist[TargetID],
    tblChecklist[PlayerSort],
    0
   ),
  IF(sort=0,500,sort)
 )
)</f>
        <v>500</v>
      </c>
      <c r="I1707" s="49" t="str">
        <f t="array" ref="I1707">_xlfn.XLOOKUP(
 B1707,
 tblTargetStatus[TargetID],
 tblTargetStatus[Status],
 ""
)</f>
        <v>BLOCKED</v>
      </c>
      <c r="J1707" s="45" t="b">
        <v>0</v>
      </c>
    </row>
    <row r="1708" ht="14.25" hidden="1" customHeight="1">
      <c r="A1708" s="49" t="s">
        <v>3381</v>
      </c>
      <c r="B1708" s="49" t="str">
        <f>IFERROR(__xludf.DUMMYFUNCTION("REGEXREPLACE(
 REGEXREPLACE(A1708,""^cost\."",""""),
 ""\.[^.]+\.[^.]+$"",
 """"
)"),"tech.outpost.arsenal_lvl_1")</f>
        <v>tech.outpost.arsenal_lvl_1</v>
      </c>
      <c r="C1708" s="49" t="str">
        <f t="array" ref="C1708">_xlfn.XLOOKUP(
 B1708,
 tblTargets[TargetID],
 tblTargets[DisplayName],
 ""
)</f>
        <v>Outpost - Arsenal Lvl 1</v>
      </c>
      <c r="D1708" s="49" t="str">
        <f t="array" ref="D1708">_xlfn.XLOOKUP(
 B1708,
 tblTargets[TargetID],
 tblTargets[TargetType],
 ""
)</f>
        <v>TECH</v>
      </c>
      <c r="E1708" s="49" t="s">
        <v>187</v>
      </c>
      <c r="F1708" s="49">
        <v>1.0</v>
      </c>
      <c r="G1708" s="49">
        <f t="array" ref="G1708">_xlfn.XLOOKUP(
 A1708,
 tblCost[RequirementID],
 tblCost[QuantityRequired],
 ""
)</f>
        <v>400</v>
      </c>
      <c r="H1708" s="49">
        <f t="array" ref="H1708">IF(
 OR(
  LEFT(B1708,15)="state.character",
  RIGHT(B1708,6)=".maxed"
 ),
 0,
 LET(
  sort,
   _xlfn.XLOOKUP(
    B1708,
    tblChecklist[TargetID],
    tblChecklist[PlayerSort],
    0
   ),
  IF(sort=0,500,sort)
 )
)</f>
        <v>500</v>
      </c>
      <c r="I1708" s="49" t="str">
        <f t="array" ref="I1708">_xlfn.XLOOKUP(
 B1708,
 tblTargetStatus[TargetID],
 tblTargetStatus[Status],
 ""
)</f>
        <v>BLOCKED</v>
      </c>
      <c r="J1708" s="45" t="b">
        <v>0</v>
      </c>
    </row>
    <row r="1709" ht="14.25" hidden="1" customHeight="1">
      <c r="A1709" s="49" t="s">
        <v>3383</v>
      </c>
      <c r="B1709" s="49" t="str">
        <f>IFERROR(__xludf.DUMMYFUNCTION("REGEXREPLACE(
 REGEXREPLACE(A1709,""^cost\."",""""),
 ""\.[^.]+\.[^.]+$"",
 """"
)"),"tech.outpost.arsenal_lvl_1")</f>
        <v>tech.outpost.arsenal_lvl_1</v>
      </c>
      <c r="C1709" s="49" t="str">
        <f t="array" ref="C1709">_xlfn.XLOOKUP(
 B1709,
 tblTargets[TargetID],
 tblTargets[DisplayName],
 ""
)</f>
        <v>Outpost - Arsenal Lvl 1</v>
      </c>
      <c r="D1709" s="49" t="str">
        <f t="array" ref="D1709">_xlfn.XLOOKUP(
 B1709,
 tblTargets[TargetID],
 tblTargets[TargetType],
 ""
)</f>
        <v>TECH</v>
      </c>
      <c r="E1709" s="49" t="s">
        <v>6</v>
      </c>
      <c r="F1709" s="49">
        <v>1.0</v>
      </c>
      <c r="G1709" s="49">
        <f t="array" ref="G1709">_xlfn.XLOOKUP(
 A1709,
 tblCost[RequirementID],
 tblCost[QuantityRequired],
 ""
)</f>
        <v>3</v>
      </c>
      <c r="H1709" s="49">
        <f t="array" ref="H1709">IF(
 OR(
  LEFT(B1709,15)="state.character",
  RIGHT(B1709,6)=".maxed"
 ),
 0,
 LET(
  sort,
   _xlfn.XLOOKUP(
    B1709,
    tblChecklist[TargetID],
    tblChecklist[PlayerSort],
    0
   ),
  IF(sort=0,500,sort)
 )
)</f>
        <v>500</v>
      </c>
      <c r="I1709" s="49" t="str">
        <f t="array" ref="I1709">_xlfn.XLOOKUP(
 B1709,
 tblTargetStatus[TargetID],
 tblTargetStatus[Status],
 ""
)</f>
        <v>BLOCKED</v>
      </c>
      <c r="J1709" s="45" t="b">
        <v>0</v>
      </c>
    </row>
    <row r="1710" ht="14.25" hidden="1" customHeight="1">
      <c r="A1710" s="49" t="s">
        <v>3385</v>
      </c>
      <c r="B1710" s="49" t="str">
        <f>IFERROR(__xludf.DUMMYFUNCTION("REGEXREPLACE(
 REGEXREPLACE(A1710,""^cost\."",""""),
 ""\.[^.]+\.[^.]+$"",
 """"
)"),"tech.outpost.arsenal_lvl_1")</f>
        <v>tech.outpost.arsenal_lvl_1</v>
      </c>
      <c r="C1710" s="49" t="str">
        <f t="array" ref="C1710">_xlfn.XLOOKUP(
 B1710,
 tblTargets[TargetID],
 tblTargets[DisplayName],
 ""
)</f>
        <v>Outpost - Arsenal Lvl 1</v>
      </c>
      <c r="D1710" s="49" t="str">
        <f t="array" ref="D1710">_xlfn.XLOOKUP(
 B1710,
 tblTargets[TargetID],
 tblTargets[TargetType],
 ""
)</f>
        <v>TECH</v>
      </c>
      <c r="E1710" s="49" t="s">
        <v>392</v>
      </c>
      <c r="F1710" s="49">
        <v>1.0</v>
      </c>
      <c r="G1710" s="49">
        <f t="array" ref="G1710">_xlfn.XLOOKUP(
 A1710,
 tblCost[RequirementID],
 tblCost[QuantityRequired],
 ""
)</f>
        <v>200</v>
      </c>
      <c r="H1710" s="49">
        <f t="array" ref="H1710">IF(
 OR(
  LEFT(B1710,15)="state.character",
  RIGHT(B1710,6)=".maxed"
 ),
 0,
 LET(
  sort,
   _xlfn.XLOOKUP(
    B1710,
    tblChecklist[TargetID],
    tblChecklist[PlayerSort],
    0
   ),
  IF(sort=0,500,sort)
 )
)</f>
        <v>500</v>
      </c>
      <c r="I1710" s="49" t="str">
        <f t="array" ref="I1710">_xlfn.XLOOKUP(
 B1710,
 tblTargetStatus[TargetID],
 tblTargetStatus[Status],
 ""
)</f>
        <v>BLOCKED</v>
      </c>
      <c r="J1710" s="45" t="b">
        <v>0</v>
      </c>
    </row>
    <row r="1711" ht="14.25" hidden="1" customHeight="1">
      <c r="A1711" s="49" t="s">
        <v>3387</v>
      </c>
      <c r="B1711" s="49" t="str">
        <f>IFERROR(__xludf.DUMMYFUNCTION("REGEXREPLACE(
 REGEXREPLACE(A1711,""^cost\."",""""),
 ""\.[^.]+\.[^.]+$"",
 """"
)"),"tech.outpost.arsenal_lvl_2")</f>
        <v>tech.outpost.arsenal_lvl_2</v>
      </c>
      <c r="C1711" s="49" t="str">
        <f t="array" ref="C1711">_xlfn.XLOOKUP(
 B1711,
 tblTargets[TargetID],
 tblTargets[DisplayName],
 ""
)</f>
        <v>Outpost - Arsenal Lvl 2</v>
      </c>
      <c r="D1711" s="49" t="str">
        <f t="array" ref="D1711">_xlfn.XLOOKUP(
 B1711,
 tblTargets[TargetID],
 tblTargets[TargetType],
 ""
)</f>
        <v>TECH</v>
      </c>
      <c r="E1711" s="49" t="s">
        <v>1055</v>
      </c>
      <c r="F1711" s="49">
        <v>1.0</v>
      </c>
      <c r="G1711" s="49">
        <f t="array" ref="G1711">_xlfn.XLOOKUP(
 A1711,
 tblCost[RequirementID],
 tblCost[QuantityRequired],
 ""
)</f>
        <v>60</v>
      </c>
      <c r="H1711" s="49">
        <f t="array" ref="H1711">IF(
 OR(
  LEFT(B1711,15)="state.character",
  RIGHT(B1711,6)=".maxed"
 ),
 0,
 LET(
  sort,
   _xlfn.XLOOKUP(
    B1711,
    tblChecklist[TargetID],
    tblChecklist[PlayerSort],
    0
   ),
  IF(sort=0,500,sort)
 )
)</f>
        <v>500</v>
      </c>
      <c r="I1711" s="49" t="str">
        <f t="array" ref="I1711">_xlfn.XLOOKUP(
 B1711,
 tblTargetStatus[TargetID],
 tblTargetStatus[Status],
 ""
)</f>
        <v>BLOCKED</v>
      </c>
      <c r="J1711" s="45" t="b">
        <v>0</v>
      </c>
    </row>
    <row r="1712" ht="14.25" hidden="1" customHeight="1">
      <c r="A1712" s="49" t="s">
        <v>3389</v>
      </c>
      <c r="B1712" s="49" t="str">
        <f>IFERROR(__xludf.DUMMYFUNCTION("REGEXREPLACE(
 REGEXREPLACE(A1712,""^cost\."",""""),
 ""\.[^.]+\.[^.]+$"",
 """"
)"),"tech.outpost.arsenal_lvl_2")</f>
        <v>tech.outpost.arsenal_lvl_2</v>
      </c>
      <c r="C1712" s="49" t="str">
        <f t="array" ref="C1712">_xlfn.XLOOKUP(
 B1712,
 tblTargets[TargetID],
 tblTargets[DisplayName],
 ""
)</f>
        <v>Outpost - Arsenal Lvl 2</v>
      </c>
      <c r="D1712" s="49" t="str">
        <f t="array" ref="D1712">_xlfn.XLOOKUP(
 B1712,
 tblTargets[TargetID],
 tblTargets[TargetType],
 ""
)</f>
        <v>TECH</v>
      </c>
      <c r="E1712" s="49" t="s">
        <v>119</v>
      </c>
      <c r="F1712" s="49">
        <v>1.0</v>
      </c>
      <c r="G1712" s="49">
        <f t="array" ref="G1712">_xlfn.XLOOKUP(
 A1712,
 tblCost[RequirementID],
 tblCost[QuantityRequired],
 ""
)</f>
        <v>1500</v>
      </c>
      <c r="H1712" s="49">
        <f t="array" ref="H1712">IF(
 OR(
  LEFT(B1712,15)="state.character",
  RIGHT(B1712,6)=".maxed"
 ),
 0,
 LET(
  sort,
   _xlfn.XLOOKUP(
    B1712,
    tblChecklist[TargetID],
    tblChecklist[PlayerSort],
    0
   ),
  IF(sort=0,500,sort)
 )
)</f>
        <v>500</v>
      </c>
      <c r="I1712" s="49" t="str">
        <f t="array" ref="I1712">_xlfn.XLOOKUP(
 B1712,
 tblTargetStatus[TargetID],
 tblTargetStatus[Status],
 ""
)</f>
        <v>BLOCKED</v>
      </c>
      <c r="J1712" s="45" t="b">
        <v>0</v>
      </c>
    </row>
    <row r="1713" ht="14.25" hidden="1" customHeight="1">
      <c r="A1713" s="49" t="s">
        <v>3391</v>
      </c>
      <c r="B1713" s="49" t="str">
        <f>IFERROR(__xludf.DUMMYFUNCTION("REGEXREPLACE(
 REGEXREPLACE(A1713,""^cost\."",""""),
 ""\.[^.]+\.[^.]+$"",
 """"
)"),"tech.outpost.arsenal_lvl_2")</f>
        <v>tech.outpost.arsenal_lvl_2</v>
      </c>
      <c r="C1713" s="49" t="str">
        <f t="array" ref="C1713">_xlfn.XLOOKUP(
 B1713,
 tblTargets[TargetID],
 tblTargets[DisplayName],
 ""
)</f>
        <v>Outpost - Arsenal Lvl 2</v>
      </c>
      <c r="D1713" s="49" t="str">
        <f t="array" ref="D1713">_xlfn.XLOOKUP(
 B1713,
 tblTargets[TargetID],
 tblTargets[TargetType],
 ""
)</f>
        <v>TECH</v>
      </c>
      <c r="E1713" s="49" t="s">
        <v>187</v>
      </c>
      <c r="F1713" s="49">
        <v>1.0</v>
      </c>
      <c r="G1713" s="49">
        <f t="array" ref="G1713">_xlfn.XLOOKUP(
 A1713,
 tblCost[RequirementID],
 tblCost[QuantityRequired],
 ""
)</f>
        <v>600</v>
      </c>
      <c r="H1713" s="49">
        <f t="array" ref="H1713">IF(
 OR(
  LEFT(B1713,15)="state.character",
  RIGHT(B1713,6)=".maxed"
 ),
 0,
 LET(
  sort,
   _xlfn.XLOOKUP(
    B1713,
    tblChecklist[TargetID],
    tblChecklist[PlayerSort],
    0
   ),
  IF(sort=0,500,sort)
 )
)</f>
        <v>500</v>
      </c>
      <c r="I1713" s="49" t="str">
        <f t="array" ref="I1713">_xlfn.XLOOKUP(
 B1713,
 tblTargetStatus[TargetID],
 tblTargetStatus[Status],
 ""
)</f>
        <v>BLOCKED</v>
      </c>
      <c r="J1713" s="45" t="b">
        <v>0</v>
      </c>
    </row>
    <row r="1714" ht="14.25" hidden="1" customHeight="1">
      <c r="A1714" s="49" t="s">
        <v>3393</v>
      </c>
      <c r="B1714" s="49" t="str">
        <f>IFERROR(__xludf.DUMMYFUNCTION("REGEXREPLACE(
 REGEXREPLACE(A1714,""^cost\."",""""),
 ""\.[^.]+\.[^.]+$"",
 """"
)"),"tech.outpost.arsenal_lvl_2")</f>
        <v>tech.outpost.arsenal_lvl_2</v>
      </c>
      <c r="C1714" s="49" t="str">
        <f t="array" ref="C1714">_xlfn.XLOOKUP(
 B1714,
 tblTargets[TargetID],
 tblTargets[DisplayName],
 ""
)</f>
        <v>Outpost - Arsenal Lvl 2</v>
      </c>
      <c r="D1714" s="49" t="str">
        <f t="array" ref="D1714">_xlfn.XLOOKUP(
 B1714,
 tblTargets[TargetID],
 tblTargets[TargetType],
 ""
)</f>
        <v>TECH</v>
      </c>
      <c r="E1714" s="49" t="s">
        <v>6</v>
      </c>
      <c r="F1714" s="49">
        <v>1.0</v>
      </c>
      <c r="G1714" s="49">
        <f t="array" ref="G1714">_xlfn.XLOOKUP(
 A1714,
 tblCost[RequirementID],
 tblCost[QuantityRequired],
 ""
)</f>
        <v>5</v>
      </c>
      <c r="H1714" s="49">
        <f t="array" ref="H1714">IF(
 OR(
  LEFT(B1714,15)="state.character",
  RIGHT(B1714,6)=".maxed"
 ),
 0,
 LET(
  sort,
   _xlfn.XLOOKUP(
    B1714,
    tblChecklist[TargetID],
    tblChecklist[PlayerSort],
    0
   ),
  IF(sort=0,500,sort)
 )
)</f>
        <v>500</v>
      </c>
      <c r="I1714" s="49" t="str">
        <f t="array" ref="I1714">_xlfn.XLOOKUP(
 B1714,
 tblTargetStatus[TargetID],
 tblTargetStatus[Status],
 ""
)</f>
        <v>BLOCKED</v>
      </c>
      <c r="J1714" s="45" t="b">
        <v>0</v>
      </c>
    </row>
    <row r="1715" ht="14.25" hidden="1" customHeight="1">
      <c r="A1715" s="49" t="s">
        <v>3395</v>
      </c>
      <c r="B1715" s="49" t="str">
        <f>IFERROR(__xludf.DUMMYFUNCTION("REGEXREPLACE(
 REGEXREPLACE(A1715,""^cost\."",""""),
 ""\.[^.]+\.[^.]+$"",
 """"
)"),"tech.outpost.arsenal_lvl_2")</f>
        <v>tech.outpost.arsenal_lvl_2</v>
      </c>
      <c r="C1715" s="49" t="str">
        <f t="array" ref="C1715">_xlfn.XLOOKUP(
 B1715,
 tblTargets[TargetID],
 tblTargets[DisplayName],
 ""
)</f>
        <v>Outpost - Arsenal Lvl 2</v>
      </c>
      <c r="D1715" s="49" t="str">
        <f t="array" ref="D1715">_xlfn.XLOOKUP(
 B1715,
 tblTargets[TargetID],
 tblTargets[TargetType],
 ""
)</f>
        <v>TECH</v>
      </c>
      <c r="E1715" s="49" t="s">
        <v>392</v>
      </c>
      <c r="F1715" s="49">
        <v>1.0</v>
      </c>
      <c r="G1715" s="49">
        <f t="array" ref="G1715">_xlfn.XLOOKUP(
 A1715,
 tblCost[RequirementID],
 tblCost[QuantityRequired],
 ""
)</f>
        <v>300</v>
      </c>
      <c r="H1715" s="49">
        <f t="array" ref="H1715">IF(
 OR(
  LEFT(B1715,15)="state.character",
  RIGHT(B1715,6)=".maxed"
 ),
 0,
 LET(
  sort,
   _xlfn.XLOOKUP(
    B1715,
    tblChecklist[TargetID],
    tblChecklist[PlayerSort],
    0
   ),
  IF(sort=0,500,sort)
 )
)</f>
        <v>500</v>
      </c>
      <c r="I1715" s="49" t="str">
        <f t="array" ref="I1715">_xlfn.XLOOKUP(
 B1715,
 tblTargetStatus[TargetID],
 tblTargetStatus[Status],
 ""
)</f>
        <v>BLOCKED</v>
      </c>
      <c r="J1715" s="45" t="b">
        <v>0</v>
      </c>
    </row>
    <row r="1716" ht="14.25" hidden="1" customHeight="1">
      <c r="A1716" s="49" t="s">
        <v>3409</v>
      </c>
      <c r="B1716" s="49" t="str">
        <f>IFERROR(__xludf.DUMMYFUNCTION("REGEXREPLACE(
 REGEXREPLACE(A1716,""^cost\."",""""),
 ""\.[^.]+\.[^.]+$"",
 """"
)"),"tech.outpost.futures_contracts")</f>
        <v>tech.outpost.futures_contracts</v>
      </c>
      <c r="C1716" s="49" t="str">
        <f t="array" ref="C1716">_xlfn.XLOOKUP(
 B1716,
 tblTargets[TargetID],
 tblTargets[DisplayName],
 ""
)</f>
        <v>Outpost - Futures Contracts</v>
      </c>
      <c r="D1716" s="49" t="str">
        <f t="array" ref="D1716">_xlfn.XLOOKUP(
 B1716,
 tblTargets[TargetID],
 tblTargets[TargetType],
 ""
)</f>
        <v>TECH</v>
      </c>
      <c r="E1716" s="49" t="s">
        <v>1055</v>
      </c>
      <c r="F1716" s="49">
        <v>1.0</v>
      </c>
      <c r="G1716" s="49">
        <f t="array" ref="G1716">_xlfn.XLOOKUP(
 A1716,
 tblCost[RequirementID],
 tblCost[QuantityRequired],
 ""
)</f>
        <v>40</v>
      </c>
      <c r="H1716" s="49">
        <f t="array" ref="H1716">IF(
 OR(
  LEFT(B1716,15)="state.character",
  RIGHT(B1716,6)=".maxed"
 ),
 0,
 LET(
  sort,
   _xlfn.XLOOKUP(
    B1716,
    tblChecklist[TargetID],
    tblChecklist[PlayerSort],
    0
   ),
  IF(sort=0,500,sort)
 )
)</f>
        <v>500</v>
      </c>
      <c r="I1716" s="49" t="str">
        <f t="array" ref="I1716">_xlfn.XLOOKUP(
 B1716,
 tblTargetStatus[TargetID],
 tblTargetStatus[Status],
 ""
)</f>
        <v>BLOCKED</v>
      </c>
      <c r="J1716" s="45" t="b">
        <v>0</v>
      </c>
    </row>
    <row r="1717" ht="14.25" hidden="1" customHeight="1">
      <c r="A1717" s="49" t="s">
        <v>3412</v>
      </c>
      <c r="B1717" s="49" t="str">
        <f>IFERROR(__xludf.DUMMYFUNCTION("REGEXREPLACE(
 REGEXREPLACE(A1717,""^cost\."",""""),
 ""\.[^.]+\.[^.]+$"",
 """"
)"),"tech.outpost.futures_contracts")</f>
        <v>tech.outpost.futures_contracts</v>
      </c>
      <c r="C1717" s="49" t="str">
        <f t="array" ref="C1717">_xlfn.XLOOKUP(
 B1717,
 tblTargets[TargetID],
 tblTargets[DisplayName],
 ""
)</f>
        <v>Outpost - Futures Contracts</v>
      </c>
      <c r="D1717" s="49" t="str">
        <f t="array" ref="D1717">_xlfn.XLOOKUP(
 B1717,
 tblTargets[TargetID],
 tblTargets[TargetType],
 ""
)</f>
        <v>TECH</v>
      </c>
      <c r="E1717" s="49" t="s">
        <v>119</v>
      </c>
      <c r="F1717" s="49">
        <v>1.0</v>
      </c>
      <c r="G1717" s="49">
        <f t="array" ref="G1717">_xlfn.XLOOKUP(
 A1717,
 tblCost[RequirementID],
 tblCost[QuantityRequired],
 ""
)</f>
        <v>1000</v>
      </c>
      <c r="H1717" s="49">
        <f t="array" ref="H1717">IF(
 OR(
  LEFT(B1717,15)="state.character",
  RIGHT(B1717,6)=".maxed"
 ),
 0,
 LET(
  sort,
   _xlfn.XLOOKUP(
    B1717,
    tblChecklist[TargetID],
    tblChecklist[PlayerSort],
    0
   ),
  IF(sort=0,500,sort)
 )
)</f>
        <v>500</v>
      </c>
      <c r="I1717" s="49" t="str">
        <f t="array" ref="I1717">_xlfn.XLOOKUP(
 B1717,
 tblTargetStatus[TargetID],
 tblTargetStatus[Status],
 ""
)</f>
        <v>BLOCKED</v>
      </c>
      <c r="J1717" s="45" t="b">
        <v>0</v>
      </c>
    </row>
    <row r="1718" ht="14.25" hidden="1" customHeight="1">
      <c r="A1718" s="49" t="s">
        <v>3414</v>
      </c>
      <c r="B1718" s="49" t="str">
        <f>IFERROR(__xludf.DUMMYFUNCTION("REGEXREPLACE(
 REGEXREPLACE(A1718,""^cost\."",""""),
 ""\.[^.]+\.[^.]+$"",
 """"
)"),"tech.outpost.futures_contracts")</f>
        <v>tech.outpost.futures_contracts</v>
      </c>
      <c r="C1718" s="49" t="str">
        <f t="array" ref="C1718">_xlfn.XLOOKUP(
 B1718,
 tblTargets[TargetID],
 tblTargets[DisplayName],
 ""
)</f>
        <v>Outpost - Futures Contracts</v>
      </c>
      <c r="D1718" s="49" t="str">
        <f t="array" ref="D1718">_xlfn.XLOOKUP(
 B1718,
 tblTargets[TargetID],
 tblTargets[TargetType],
 ""
)</f>
        <v>TECH</v>
      </c>
      <c r="E1718" s="49" t="s">
        <v>423</v>
      </c>
      <c r="F1718" s="49">
        <v>1.0</v>
      </c>
      <c r="G1718" s="49">
        <f t="array" ref="G1718">_xlfn.XLOOKUP(
 A1718,
 tblCost[RequirementID],
 tblCost[QuantityRequired],
 ""
)</f>
        <v>30</v>
      </c>
      <c r="H1718" s="49">
        <f t="array" ref="H1718">IF(
 OR(
  LEFT(B1718,15)="state.character",
  RIGHT(B1718,6)=".maxed"
 ),
 0,
 LET(
  sort,
   _xlfn.XLOOKUP(
    B1718,
    tblChecklist[TargetID],
    tblChecklist[PlayerSort],
    0
   ),
  IF(sort=0,500,sort)
 )
)</f>
        <v>500</v>
      </c>
      <c r="I1718" s="49" t="str">
        <f t="array" ref="I1718">_xlfn.XLOOKUP(
 B1718,
 tblTargetStatus[TargetID],
 tblTargetStatus[Status],
 ""
)</f>
        <v>BLOCKED</v>
      </c>
      <c r="J1718" s="45" t="b">
        <v>0</v>
      </c>
    </row>
    <row r="1719" ht="14.25" hidden="1" customHeight="1">
      <c r="A1719" s="49" t="s">
        <v>3416</v>
      </c>
      <c r="B1719" s="49" t="str">
        <f>IFERROR(__xludf.DUMMYFUNCTION("REGEXREPLACE(
 REGEXREPLACE(A1719,""^cost\."",""""),
 ""\.[^.]+\.[^.]+$"",
 """"
)"),"tech.outpost.futures_contracts")</f>
        <v>tech.outpost.futures_contracts</v>
      </c>
      <c r="C1719" s="49" t="str">
        <f t="array" ref="C1719">_xlfn.XLOOKUP(
 B1719,
 tblTargets[TargetID],
 tblTargets[DisplayName],
 ""
)</f>
        <v>Outpost - Futures Contracts</v>
      </c>
      <c r="D1719" s="49" t="str">
        <f t="array" ref="D1719">_xlfn.XLOOKUP(
 B1719,
 tblTargets[TargetID],
 tblTargets[TargetType],
 ""
)</f>
        <v>TECH</v>
      </c>
      <c r="E1719" s="49" t="s">
        <v>701</v>
      </c>
      <c r="F1719" s="49">
        <v>1.0</v>
      </c>
      <c r="G1719" s="49">
        <f t="array" ref="G1719">_xlfn.XLOOKUP(
 A1719,
 tblCost[RequirementID],
 tblCost[QuantityRequired],
 ""
)</f>
        <v>50</v>
      </c>
      <c r="H1719" s="49">
        <f t="array" ref="H1719">IF(
 OR(
  LEFT(B1719,15)="state.character",
  RIGHT(B1719,6)=".maxed"
 ),
 0,
 LET(
  sort,
   _xlfn.XLOOKUP(
    B1719,
    tblChecklist[TargetID],
    tblChecklist[PlayerSort],
    0
   ),
  IF(sort=0,500,sort)
 )
)</f>
        <v>500</v>
      </c>
      <c r="I1719" s="49" t="str">
        <f t="array" ref="I1719">_xlfn.XLOOKUP(
 B1719,
 tblTargetStatus[TargetID],
 tblTargetStatus[Status],
 ""
)</f>
        <v>BLOCKED</v>
      </c>
      <c r="J1719" s="45" t="b">
        <v>0</v>
      </c>
    </row>
    <row r="1720" ht="14.25" hidden="1" customHeight="1">
      <c r="A1720" s="49" t="s">
        <v>3418</v>
      </c>
      <c r="B1720" s="49" t="str">
        <f>IFERROR(__xludf.DUMMYFUNCTION("REGEXREPLACE(
 REGEXREPLACE(A1720,""^cost\."",""""),
 ""\.[^.]+\.[^.]+$"",
 """"
)"),"tech.outpost.futures_contracts")</f>
        <v>tech.outpost.futures_contracts</v>
      </c>
      <c r="C1720" s="49" t="str">
        <f t="array" ref="C1720">_xlfn.XLOOKUP(
 B1720,
 tblTargets[TargetID],
 tblTargets[DisplayName],
 ""
)</f>
        <v>Outpost - Futures Contracts</v>
      </c>
      <c r="D1720" s="49" t="str">
        <f t="array" ref="D1720">_xlfn.XLOOKUP(
 B1720,
 tblTargets[TargetID],
 tblTargets[TargetType],
 ""
)</f>
        <v>TECH</v>
      </c>
      <c r="E1720" s="49" t="s">
        <v>6</v>
      </c>
      <c r="F1720" s="49">
        <v>1.0</v>
      </c>
      <c r="G1720" s="49">
        <f t="array" ref="G1720">_xlfn.XLOOKUP(
 A1720,
 tblCost[RequirementID],
 tblCost[QuantityRequired],
 ""
)</f>
        <v>5</v>
      </c>
      <c r="H1720" s="49">
        <f t="array" ref="H1720">IF(
 OR(
  LEFT(B1720,15)="state.character",
  RIGHT(B1720,6)=".maxed"
 ),
 0,
 LET(
  sort,
   _xlfn.XLOOKUP(
    B1720,
    tblChecklist[TargetID],
    tblChecklist[PlayerSort],
    0
   ),
  IF(sort=0,500,sort)
 )
)</f>
        <v>500</v>
      </c>
      <c r="I1720" s="49" t="str">
        <f t="array" ref="I1720">_xlfn.XLOOKUP(
 B1720,
 tblTargetStatus[TargetID],
 tblTargetStatus[Status],
 ""
)</f>
        <v>BLOCKED</v>
      </c>
      <c r="J1720" s="45" t="b">
        <v>0</v>
      </c>
    </row>
    <row r="1721" ht="14.25" hidden="1" customHeight="1">
      <c r="A1721" s="49" t="s">
        <v>3420</v>
      </c>
      <c r="B1721" s="49" t="str">
        <f>IFERROR(__xludf.DUMMYFUNCTION("REGEXREPLACE(
 REGEXREPLACE(A1721,""^cost\."",""""),
 ""\.[^.]+\.[^.]+$"",
 """"
)"),"tech.outpost.futures_contracts")</f>
        <v>tech.outpost.futures_contracts</v>
      </c>
      <c r="C1721" s="49" t="str">
        <f t="array" ref="C1721">_xlfn.XLOOKUP(
 B1721,
 tblTargets[TargetID],
 tblTargets[DisplayName],
 ""
)</f>
        <v>Outpost - Futures Contracts</v>
      </c>
      <c r="D1721" s="49" t="str">
        <f t="array" ref="D1721">_xlfn.XLOOKUP(
 B1721,
 tblTargets[TargetID],
 tblTargets[TargetType],
 ""
)</f>
        <v>TECH</v>
      </c>
      <c r="E1721" s="49" t="s">
        <v>2719</v>
      </c>
      <c r="F1721" s="49">
        <v>1.0</v>
      </c>
      <c r="G1721" s="49">
        <f t="array" ref="G1721">_xlfn.XLOOKUP(
 A1721,
 tblCost[RequirementID],
 tblCost[QuantityRequired],
 ""
)</f>
        <v>10</v>
      </c>
      <c r="H1721" s="49">
        <f t="array" ref="H1721">IF(
 OR(
  LEFT(B1721,15)="state.character",
  RIGHT(B1721,6)=".maxed"
 ),
 0,
 LET(
  sort,
   _xlfn.XLOOKUP(
    B1721,
    tblChecklist[TargetID],
    tblChecklist[PlayerSort],
    0
   ),
  IF(sort=0,500,sort)
 )
)</f>
        <v>500</v>
      </c>
      <c r="I1721" s="49" t="str">
        <f t="array" ref="I1721">_xlfn.XLOOKUP(
 B1721,
 tblTargetStatus[TargetID],
 tblTargetStatus[Status],
 ""
)</f>
        <v>BLOCKED</v>
      </c>
      <c r="J1721" s="45" t="b">
        <v>0</v>
      </c>
    </row>
    <row r="1722" ht="14.25" hidden="1" customHeight="1">
      <c r="A1722" s="49" t="s">
        <v>3397</v>
      </c>
      <c r="B1722" s="49" t="str">
        <f>IFERROR(__xludf.DUMMYFUNCTION("REGEXREPLACE(
 REGEXREPLACE(A1722,""^cost\."",""""),
 ""\.[^.]+\.[^.]+$"",
 """"
)"),"tech.outpost.optional_contracts")</f>
        <v>tech.outpost.optional_contracts</v>
      </c>
      <c r="C1722" s="49" t="str">
        <f t="array" ref="C1722">_xlfn.XLOOKUP(
 B1722,
 tblTargets[TargetID],
 tblTargets[DisplayName],
 ""
)</f>
        <v>Outpost - Optional Contracts</v>
      </c>
      <c r="D1722" s="49" t="str">
        <f t="array" ref="D1722">_xlfn.XLOOKUP(
 B1722,
 tblTargets[TargetID],
 tblTargets[TargetType],
 ""
)</f>
        <v>TECH</v>
      </c>
      <c r="E1722" s="49" t="s">
        <v>119</v>
      </c>
      <c r="F1722" s="49">
        <v>1.0</v>
      </c>
      <c r="G1722" s="49">
        <f t="array" ref="G1722">_xlfn.XLOOKUP(
 A1722,
 tblCost[RequirementID],
 tblCost[QuantityRequired],
 ""
)</f>
        <v>1000</v>
      </c>
      <c r="H1722" s="49">
        <f t="array" ref="H1722">IF(
 OR(
  LEFT(B1722,15)="state.character",
  RIGHT(B1722,6)=".maxed"
 ),
 0,
 LET(
  sort,
   _xlfn.XLOOKUP(
    B1722,
    tblChecklist[TargetID],
    tblChecklist[PlayerSort],
    0
   ),
  IF(sort=0,500,sort)
 )
)</f>
        <v>500</v>
      </c>
      <c r="I1722" s="49" t="str">
        <f t="array" ref="I1722">_xlfn.XLOOKUP(
 B1722,
 tblTargetStatus[TargetID],
 tblTargetStatus[Status],
 ""
)</f>
        <v>BLOCKED</v>
      </c>
      <c r="J1722" s="45" t="b">
        <v>0</v>
      </c>
    </row>
    <row r="1723" ht="14.25" hidden="1" customHeight="1">
      <c r="A1723" s="49" t="s">
        <v>3399</v>
      </c>
      <c r="B1723" s="49" t="str">
        <f>IFERROR(__xludf.DUMMYFUNCTION("REGEXREPLACE(
 REGEXREPLACE(A1723,""^cost\."",""""),
 ""\.[^.]+\.[^.]+$"",
 """"
)"),"tech.outpost.optional_contracts")</f>
        <v>tech.outpost.optional_contracts</v>
      </c>
      <c r="C1723" s="49" t="str">
        <f t="array" ref="C1723">_xlfn.XLOOKUP(
 B1723,
 tblTargets[TargetID],
 tblTargets[DisplayName],
 ""
)</f>
        <v>Outpost - Optional Contracts</v>
      </c>
      <c r="D1723" s="49" t="str">
        <f t="array" ref="D1723">_xlfn.XLOOKUP(
 B1723,
 tblTargets[TargetID],
 tblTargets[TargetType],
 ""
)</f>
        <v>TECH</v>
      </c>
      <c r="E1723" s="49" t="s">
        <v>588</v>
      </c>
      <c r="F1723" s="49">
        <v>1.0</v>
      </c>
      <c r="G1723" s="49">
        <f t="array" ref="G1723">_xlfn.XLOOKUP(
 A1723,
 tblCost[RequirementID],
 tblCost[QuantityRequired],
 ""
)</f>
        <v>25</v>
      </c>
      <c r="H1723" s="49">
        <f t="array" ref="H1723">IF(
 OR(
  LEFT(B1723,15)="state.character",
  RIGHT(B1723,6)=".maxed"
 ),
 0,
 LET(
  sort,
   _xlfn.XLOOKUP(
    B1723,
    tblChecklist[TargetID],
    tblChecklist[PlayerSort],
    0
   ),
  IF(sort=0,500,sort)
 )
)</f>
        <v>500</v>
      </c>
      <c r="I1723" s="49" t="str">
        <f t="array" ref="I1723">_xlfn.XLOOKUP(
 B1723,
 tblTargetStatus[TargetID],
 tblTargetStatus[Status],
 ""
)</f>
        <v>BLOCKED</v>
      </c>
      <c r="J1723" s="45" t="b">
        <v>0</v>
      </c>
    </row>
    <row r="1724" ht="14.25" hidden="1" customHeight="1">
      <c r="A1724" s="49" t="s">
        <v>3401</v>
      </c>
      <c r="B1724" s="49" t="str">
        <f>IFERROR(__xludf.DUMMYFUNCTION("REGEXREPLACE(
 REGEXREPLACE(A1724,""^cost\."",""""),
 ""\.[^.]+\.[^.]+$"",
 """"
)"),"tech.outpost.optional_contracts")</f>
        <v>tech.outpost.optional_contracts</v>
      </c>
      <c r="C1724" s="49" t="str">
        <f t="array" ref="C1724">_xlfn.XLOOKUP(
 B1724,
 tblTargets[TargetID],
 tblTargets[DisplayName],
 ""
)</f>
        <v>Outpost - Optional Contracts</v>
      </c>
      <c r="D1724" s="49" t="str">
        <f t="array" ref="D1724">_xlfn.XLOOKUP(
 B1724,
 tblTargets[TargetID],
 tblTargets[TargetType],
 ""
)</f>
        <v>TECH</v>
      </c>
      <c r="E1724" s="49" t="s">
        <v>132</v>
      </c>
      <c r="F1724" s="49">
        <v>1.0</v>
      </c>
      <c r="G1724" s="49">
        <f t="array" ref="G1724">_xlfn.XLOOKUP(
 A1724,
 tblCost[RequirementID],
 tblCost[QuantityRequired],
 ""
)</f>
        <v>40</v>
      </c>
      <c r="H1724" s="49">
        <f t="array" ref="H1724">IF(
 OR(
  LEFT(B1724,15)="state.character",
  RIGHT(B1724,6)=".maxed"
 ),
 0,
 LET(
  sort,
   _xlfn.XLOOKUP(
    B1724,
    tblChecklist[TargetID],
    tblChecklist[PlayerSort],
    0
   ),
  IF(sort=0,500,sort)
 )
)</f>
        <v>500</v>
      </c>
      <c r="I1724" s="49" t="str">
        <f t="array" ref="I1724">_xlfn.XLOOKUP(
 B1724,
 tblTargetStatus[TargetID],
 tblTargetStatus[Status],
 ""
)</f>
        <v>BLOCKED</v>
      </c>
      <c r="J1724" s="45" t="b">
        <v>0</v>
      </c>
    </row>
    <row r="1725" ht="14.25" hidden="1" customHeight="1">
      <c r="A1725" s="49" t="s">
        <v>3403</v>
      </c>
      <c r="B1725" s="49" t="str">
        <f>IFERROR(__xludf.DUMMYFUNCTION("REGEXREPLACE(
 REGEXREPLACE(A1725,""^cost\."",""""),
 ""\.[^.]+\.[^.]+$"",
 """"
)"),"tech.outpost.optional_contracts")</f>
        <v>tech.outpost.optional_contracts</v>
      </c>
      <c r="C1725" s="49" t="str">
        <f t="array" ref="C1725">_xlfn.XLOOKUP(
 B1725,
 tblTargets[TargetID],
 tblTargets[DisplayName],
 ""
)</f>
        <v>Outpost - Optional Contracts</v>
      </c>
      <c r="D1725" s="49" t="str">
        <f t="array" ref="D1725">_xlfn.XLOOKUP(
 B1725,
 tblTargets[TargetID],
 tblTargets[TargetType],
 ""
)</f>
        <v>TECH</v>
      </c>
      <c r="E1725" s="49" t="s">
        <v>423</v>
      </c>
      <c r="F1725" s="49">
        <v>1.0</v>
      </c>
      <c r="G1725" s="49">
        <f t="array" ref="G1725">_xlfn.XLOOKUP(
 A1725,
 tblCost[RequirementID],
 tblCost[QuantityRequired],
 ""
)</f>
        <v>20</v>
      </c>
      <c r="H1725" s="49">
        <f t="array" ref="H1725">IF(
 OR(
  LEFT(B1725,15)="state.character",
  RIGHT(B1725,6)=".maxed"
 ),
 0,
 LET(
  sort,
   _xlfn.XLOOKUP(
    B1725,
    tblChecklist[TargetID],
    tblChecklist[PlayerSort],
    0
   ),
  IF(sort=0,500,sort)
 )
)</f>
        <v>500</v>
      </c>
      <c r="I1725" s="49" t="str">
        <f t="array" ref="I1725">_xlfn.XLOOKUP(
 B1725,
 tblTargetStatus[TargetID],
 tblTargetStatus[Status],
 ""
)</f>
        <v>BLOCKED</v>
      </c>
      <c r="J1725" s="45" t="b">
        <v>0</v>
      </c>
    </row>
    <row r="1726" ht="14.25" hidden="1" customHeight="1">
      <c r="A1726" s="49" t="s">
        <v>3406</v>
      </c>
      <c r="B1726" s="49" t="str">
        <f>IFERROR(__xludf.DUMMYFUNCTION("REGEXREPLACE(
 REGEXREPLACE(A1726,""^cost\."",""""),
 ""\.[^.]+\.[^.]+$"",
 """"
)"),"tech.outpost.optional_contracts")</f>
        <v>tech.outpost.optional_contracts</v>
      </c>
      <c r="C1726" s="49" t="str">
        <f t="array" ref="C1726">_xlfn.XLOOKUP(
 B1726,
 tblTargets[TargetID],
 tblTargets[DisplayName],
 ""
)</f>
        <v>Outpost - Optional Contracts</v>
      </c>
      <c r="D1726" s="49" t="str">
        <f t="array" ref="D1726">_xlfn.XLOOKUP(
 B1726,
 tblTargets[TargetID],
 tblTargets[TargetType],
 ""
)</f>
        <v>TECH</v>
      </c>
      <c r="E1726" s="49" t="s">
        <v>6</v>
      </c>
      <c r="F1726" s="49">
        <v>1.0</v>
      </c>
      <c r="G1726" s="49">
        <f t="array" ref="G1726">_xlfn.XLOOKUP(
 A1726,
 tblCost[RequirementID],
 tblCost[QuantityRequired],
 ""
)</f>
        <v>3</v>
      </c>
      <c r="H1726" s="49">
        <f t="array" ref="H1726">IF(
 OR(
  LEFT(B1726,15)="state.character",
  RIGHT(B1726,6)=".maxed"
 ),
 0,
 LET(
  sort,
   _xlfn.XLOOKUP(
    B1726,
    tblChecklist[TargetID],
    tblChecklist[PlayerSort],
    0
   ),
  IF(sort=0,500,sort)
 )
)</f>
        <v>500</v>
      </c>
      <c r="I1726" s="49" t="str">
        <f t="array" ref="I1726">_xlfn.XLOOKUP(
 B1726,
 tblTargetStatus[TargetID],
 tblTargetStatus[Status],
 ""
)</f>
        <v>BLOCKED</v>
      </c>
      <c r="J1726" s="45" t="b">
        <v>0</v>
      </c>
    </row>
    <row r="1727" ht="14.25" hidden="1" customHeight="1">
      <c r="A1727" s="49" t="s">
        <v>3369</v>
      </c>
      <c r="B1727" s="49" t="str">
        <f>IFERROR(__xludf.DUMMYFUNCTION("REGEXREPLACE(
 REGEXREPLACE(A1727,""^cost\."",""""),
 ""\.[^.]+\.[^.]+$"",
 """"
)"),"tech.outpost.sayonara_tax")</f>
        <v>tech.outpost.sayonara_tax</v>
      </c>
      <c r="C1727" s="49" t="str">
        <f t="array" ref="C1727">_xlfn.XLOOKUP(
 B1727,
 tblTargets[TargetID],
 tblTargets[DisplayName],
 ""
)</f>
        <v>Outpost - Sayonara Tax</v>
      </c>
      <c r="D1727" s="49" t="str">
        <f t="array" ref="D1727">_xlfn.XLOOKUP(
 B1727,
 tblTargets[TargetID],
 tblTargets[TargetType],
 ""
)</f>
        <v>TECH</v>
      </c>
      <c r="E1727" s="49" t="s">
        <v>1055</v>
      </c>
      <c r="F1727" s="49">
        <v>1.0</v>
      </c>
      <c r="G1727" s="49">
        <f t="array" ref="G1727">_xlfn.XLOOKUP(
 A1727,
 tblCost[RequirementID],
 tblCost[QuantityRequired],
 ""
)</f>
        <v>30</v>
      </c>
      <c r="H1727" s="49">
        <f t="array" ref="H1727">IF(
 OR(
  LEFT(B1727,15)="state.character",
  RIGHT(B1727,6)=".maxed"
 ),
 0,
 LET(
  sort,
   _xlfn.XLOOKUP(
    B1727,
    tblChecklist[TargetID],
    tblChecklist[PlayerSort],
    0
   ),
  IF(sort=0,500,sort)
 )
)</f>
        <v>500</v>
      </c>
      <c r="I1727" s="49" t="str">
        <f t="array" ref="I1727">_xlfn.XLOOKUP(
 B1727,
 tblTargetStatus[TargetID],
 tblTargetStatus[Status],
 ""
)</f>
        <v>BLOCKED</v>
      </c>
      <c r="J1727" s="45" t="b">
        <v>0</v>
      </c>
    </row>
    <row r="1728" ht="14.25" hidden="1" customHeight="1">
      <c r="A1728" s="49" t="s">
        <v>3371</v>
      </c>
      <c r="B1728" s="49" t="str">
        <f>IFERROR(__xludf.DUMMYFUNCTION("REGEXREPLACE(
 REGEXREPLACE(A1728,""^cost\."",""""),
 ""\.[^.]+\.[^.]+$"",
 """"
)"),"tech.outpost.sayonara_tax")</f>
        <v>tech.outpost.sayonara_tax</v>
      </c>
      <c r="C1728" s="49" t="str">
        <f t="array" ref="C1728">_xlfn.XLOOKUP(
 B1728,
 tblTargets[TargetID],
 tblTargets[DisplayName],
 ""
)</f>
        <v>Outpost - Sayonara Tax</v>
      </c>
      <c r="D1728" s="49" t="str">
        <f t="array" ref="D1728">_xlfn.XLOOKUP(
 B1728,
 tblTargets[TargetID],
 tblTargets[TargetType],
 ""
)</f>
        <v>TECH</v>
      </c>
      <c r="E1728" s="49" t="s">
        <v>119</v>
      </c>
      <c r="F1728" s="49">
        <v>1.0</v>
      </c>
      <c r="G1728" s="49">
        <f t="array" ref="G1728">_xlfn.XLOOKUP(
 A1728,
 tblCost[RequirementID],
 tblCost[QuantityRequired],
 ""
)</f>
        <v>400</v>
      </c>
      <c r="H1728" s="49">
        <f t="array" ref="H1728">IF(
 OR(
  LEFT(B1728,15)="state.character",
  RIGHT(B1728,6)=".maxed"
 ),
 0,
 LET(
  sort,
   _xlfn.XLOOKUP(
    B1728,
    tblChecklist[TargetID],
    tblChecklist[PlayerSort],
    0
   ),
  IF(sort=0,500,sort)
 )
)</f>
        <v>500</v>
      </c>
      <c r="I1728" s="49" t="str">
        <f t="array" ref="I1728">_xlfn.XLOOKUP(
 B1728,
 tblTargetStatus[TargetID],
 tblTargetStatus[Status],
 ""
)</f>
        <v>BLOCKED</v>
      </c>
      <c r="J1728" s="45" t="b">
        <v>0</v>
      </c>
    </row>
    <row r="1729" ht="14.25" hidden="1" customHeight="1">
      <c r="A1729" s="49" t="s">
        <v>3372</v>
      </c>
      <c r="B1729" s="49" t="str">
        <f>IFERROR(__xludf.DUMMYFUNCTION("REGEXREPLACE(
 REGEXREPLACE(A1729,""^cost\."",""""),
 ""\.[^.]+\.[^.]+$"",
 """"
)"),"tech.outpost.sayonara_tax")</f>
        <v>tech.outpost.sayonara_tax</v>
      </c>
      <c r="C1729" s="49" t="str">
        <f t="array" ref="C1729">_xlfn.XLOOKUP(
 B1729,
 tblTargets[TargetID],
 tblTargets[DisplayName],
 ""
)</f>
        <v>Outpost - Sayonara Tax</v>
      </c>
      <c r="D1729" s="49" t="str">
        <f t="array" ref="D1729">_xlfn.XLOOKUP(
 B1729,
 tblTargets[TargetID],
 tblTargets[TargetType],
 ""
)</f>
        <v>TECH</v>
      </c>
      <c r="E1729" s="49" t="s">
        <v>423</v>
      </c>
      <c r="F1729" s="49">
        <v>1.0</v>
      </c>
      <c r="G1729" s="49">
        <f t="array" ref="G1729">_xlfn.XLOOKUP(
 A1729,
 tblCost[RequirementID],
 tblCost[QuantityRequired],
 ""
)</f>
        <v>20</v>
      </c>
      <c r="H1729" s="49">
        <f t="array" ref="H1729">IF(
 OR(
  LEFT(B1729,15)="state.character",
  RIGHT(B1729,6)=".maxed"
 ),
 0,
 LET(
  sort,
   _xlfn.XLOOKUP(
    B1729,
    tblChecklist[TargetID],
    tblChecklist[PlayerSort],
    0
   ),
  IF(sort=0,500,sort)
 )
)</f>
        <v>500</v>
      </c>
      <c r="I1729" s="49" t="str">
        <f t="array" ref="I1729">_xlfn.XLOOKUP(
 B1729,
 tblTargetStatus[TargetID],
 tblTargetStatus[Status],
 ""
)</f>
        <v>BLOCKED</v>
      </c>
      <c r="J1729" s="45" t="b">
        <v>0</v>
      </c>
    </row>
    <row r="1730" ht="14.25" hidden="1" customHeight="1">
      <c r="A1730" s="49" t="s">
        <v>3374</v>
      </c>
      <c r="B1730" s="49" t="str">
        <f>IFERROR(__xludf.DUMMYFUNCTION("REGEXREPLACE(
 REGEXREPLACE(A1730,""^cost\."",""""),
 ""\.[^.]+\.[^.]+$"",
 """"
)"),"tech.outpost.sayonara_tax")</f>
        <v>tech.outpost.sayonara_tax</v>
      </c>
      <c r="C1730" s="49" t="str">
        <f t="array" ref="C1730">_xlfn.XLOOKUP(
 B1730,
 tblTargets[TargetID],
 tblTargets[DisplayName],
 ""
)</f>
        <v>Outpost - Sayonara Tax</v>
      </c>
      <c r="D1730" s="49" t="str">
        <f t="array" ref="D1730">_xlfn.XLOOKUP(
 B1730,
 tblTargets[TargetID],
 tblTargets[TargetType],
 ""
)</f>
        <v>TECH</v>
      </c>
      <c r="E1730" s="49" t="s">
        <v>6</v>
      </c>
      <c r="F1730" s="49">
        <v>1.0</v>
      </c>
      <c r="G1730" s="49">
        <f t="array" ref="G1730">_xlfn.XLOOKUP(
 A1730,
 tblCost[RequirementID],
 tblCost[QuantityRequired],
 ""
)</f>
        <v>2</v>
      </c>
      <c r="H1730" s="49">
        <f t="array" ref="H1730">IF(
 OR(
  LEFT(B1730,15)="state.character",
  RIGHT(B1730,6)=".maxed"
 ),
 0,
 LET(
  sort,
   _xlfn.XLOOKUP(
    B1730,
    tblChecklist[TargetID],
    tblChecklist[PlayerSort],
    0
   ),
  IF(sort=0,500,sort)
 )
)</f>
        <v>500</v>
      </c>
      <c r="I1730" s="49" t="str">
        <f t="array" ref="I1730">_xlfn.XLOOKUP(
 B1730,
 tblTargetStatus[TargetID],
 tblTargetStatus[Status],
 ""
)</f>
        <v>BLOCKED</v>
      </c>
      <c r="J1730" s="45" t="b">
        <v>0</v>
      </c>
    </row>
    <row r="1731" ht="14.25" hidden="1" customHeight="1">
      <c r="A1731" s="49" t="s">
        <v>3422</v>
      </c>
      <c r="B1731" s="49" t="str">
        <f>IFERROR(__xludf.DUMMYFUNCTION("REGEXREPLACE(
 REGEXREPLACE(A1731,""^cost\."",""""),
 ""\.[^.]+\.[^.]+$"",
 """"
)"),"tech.outpost.tax_return_on_floppy_disk")</f>
        <v>tech.outpost.tax_return_on_floppy_disk</v>
      </c>
      <c r="C1731" s="49" t="str">
        <f t="array" ref="C1731">_xlfn.XLOOKUP(
 B1731,
 tblTargets[TargetID],
 tblTargets[DisplayName],
 ""
)</f>
        <v>Outpost - Tax Return On Floppy Disk</v>
      </c>
      <c r="D1731" s="49" t="str">
        <f t="array" ref="D1731">_xlfn.XLOOKUP(
 B1731,
 tblTargets[TargetID],
 tblTargets[TargetType],
 ""
)</f>
        <v>TECH</v>
      </c>
      <c r="E1731" s="49" t="s">
        <v>1055</v>
      </c>
      <c r="F1731" s="49">
        <v>1.0</v>
      </c>
      <c r="G1731" s="49">
        <f t="array" ref="G1731">_xlfn.XLOOKUP(
 A1731,
 tblCost[RequirementID],
 tblCost[QuantityRequired],
 ""
)</f>
        <v>30</v>
      </c>
      <c r="H1731" s="49">
        <f t="array" ref="H1731">IF(
 OR(
  LEFT(B1731,15)="state.character",
  RIGHT(B1731,6)=".maxed"
 ),
 0,
 LET(
  sort,
   _xlfn.XLOOKUP(
    B1731,
    tblChecklist[TargetID],
    tblChecklist[PlayerSort],
    0
   ),
  IF(sort=0,500,sort)
 )
)</f>
        <v>500</v>
      </c>
      <c r="I1731" s="49" t="str">
        <f t="array" ref="I1731">_xlfn.XLOOKUP(
 B1731,
 tblTargetStatus[TargetID],
 tblTargetStatus[Status],
 ""
)</f>
        <v>BLOCKED</v>
      </c>
      <c r="J1731" s="45" t="b">
        <v>0</v>
      </c>
    </row>
    <row r="1732" ht="14.25" hidden="1" customHeight="1">
      <c r="A1732" s="49" t="s">
        <v>3424</v>
      </c>
      <c r="B1732" s="49" t="str">
        <f>IFERROR(__xludf.DUMMYFUNCTION("REGEXREPLACE(
 REGEXREPLACE(A1732,""^cost\."",""""),
 ""\.[^.]+\.[^.]+$"",
 """"
)"),"tech.outpost.tax_return_on_floppy_disk")</f>
        <v>tech.outpost.tax_return_on_floppy_disk</v>
      </c>
      <c r="C1732" s="49" t="str">
        <f t="array" ref="C1732">_xlfn.XLOOKUP(
 B1732,
 tblTargets[TargetID],
 tblTargets[DisplayName],
 ""
)</f>
        <v>Outpost - Tax Return On Floppy Disk</v>
      </c>
      <c r="D1732" s="49" t="str">
        <f t="array" ref="D1732">_xlfn.XLOOKUP(
 B1732,
 tblTargets[TargetID],
 tblTargets[TargetType],
 ""
)</f>
        <v>TECH</v>
      </c>
      <c r="E1732" s="49" t="s">
        <v>119</v>
      </c>
      <c r="F1732" s="49">
        <v>1.0</v>
      </c>
      <c r="G1732" s="49">
        <f t="array" ref="G1732">_xlfn.XLOOKUP(
 A1732,
 tblCost[RequirementID],
 tblCost[QuantityRequired],
 ""
)</f>
        <v>400</v>
      </c>
      <c r="H1732" s="49">
        <f t="array" ref="H1732">IF(
 OR(
  LEFT(B1732,15)="state.character",
  RIGHT(B1732,6)=".maxed"
 ),
 0,
 LET(
  sort,
   _xlfn.XLOOKUP(
    B1732,
    tblChecklist[TargetID],
    tblChecklist[PlayerSort],
    0
   ),
  IF(sort=0,500,sort)
 )
)</f>
        <v>500</v>
      </c>
      <c r="I1732" s="49" t="str">
        <f t="array" ref="I1732">_xlfn.XLOOKUP(
 B1732,
 tblTargetStatus[TargetID],
 tblTargetStatus[Status],
 ""
)</f>
        <v>BLOCKED</v>
      </c>
      <c r="J1732" s="45" t="b">
        <v>0</v>
      </c>
    </row>
    <row r="1733" ht="14.25" hidden="1" customHeight="1">
      <c r="A1733" s="49" t="s">
        <v>3425</v>
      </c>
      <c r="B1733" s="49" t="str">
        <f>IFERROR(__xludf.DUMMYFUNCTION("REGEXREPLACE(
 REGEXREPLACE(A1733,""^cost\."",""""),
 ""\.[^.]+\.[^.]+$"",
 """"
)"),"tech.outpost.tax_return_on_floppy_disk")</f>
        <v>tech.outpost.tax_return_on_floppy_disk</v>
      </c>
      <c r="C1733" s="49" t="str">
        <f t="array" ref="C1733">_xlfn.XLOOKUP(
 B1733,
 tblTargets[TargetID],
 tblTargets[DisplayName],
 ""
)</f>
        <v>Outpost - Tax Return On Floppy Disk</v>
      </c>
      <c r="D1733" s="49" t="str">
        <f t="array" ref="D1733">_xlfn.XLOOKUP(
 B1733,
 tblTargets[TargetID],
 tblTargets[TargetType],
 ""
)</f>
        <v>TECH</v>
      </c>
      <c r="E1733" s="49" t="s">
        <v>1072</v>
      </c>
      <c r="F1733" s="49">
        <v>1.0</v>
      </c>
      <c r="G1733" s="49">
        <f t="array" ref="G1733">_xlfn.XLOOKUP(
 A1733,
 tblCost[RequirementID],
 tblCost[QuantityRequired],
 ""
)</f>
        <v>40</v>
      </c>
      <c r="H1733" s="49">
        <f t="array" ref="H1733">IF(
 OR(
  LEFT(B1733,15)="state.character",
  RIGHT(B1733,6)=".maxed"
 ),
 0,
 LET(
  sort,
   _xlfn.XLOOKUP(
    B1733,
    tblChecklist[TargetID],
    tblChecklist[PlayerSort],
    0
   ),
  IF(sort=0,500,sort)
 )
)</f>
        <v>500</v>
      </c>
      <c r="I1733" s="49" t="str">
        <f t="array" ref="I1733">_xlfn.XLOOKUP(
 B1733,
 tblTargetStatus[TargetID],
 tblTargetStatus[Status],
 ""
)</f>
        <v>BLOCKED</v>
      </c>
      <c r="J1733" s="45" t="b">
        <v>0</v>
      </c>
    </row>
    <row r="1734" ht="14.25" hidden="1" customHeight="1">
      <c r="A1734" s="49" t="s">
        <v>3428</v>
      </c>
      <c r="B1734" s="49" t="str">
        <f>IFERROR(__xludf.DUMMYFUNCTION("REGEXREPLACE(
 REGEXREPLACE(A1734,""^cost\."",""""),
 ""\.[^.]+\.[^.]+$"",
 """"
)"),"tech.outpost.tax_return_on_floppy_disk")</f>
        <v>tech.outpost.tax_return_on_floppy_disk</v>
      </c>
      <c r="C1734" s="49" t="str">
        <f t="array" ref="C1734">_xlfn.XLOOKUP(
 B1734,
 tblTargets[TargetID],
 tblTargets[DisplayName],
 ""
)</f>
        <v>Outpost - Tax Return On Floppy Disk</v>
      </c>
      <c r="D1734" s="49" t="str">
        <f t="array" ref="D1734">_xlfn.XLOOKUP(
 B1734,
 tblTargets[TargetID],
 tblTargets[TargetType],
 ""
)</f>
        <v>TECH</v>
      </c>
      <c r="E1734" s="49" t="s">
        <v>1083</v>
      </c>
      <c r="F1734" s="49">
        <v>1.0</v>
      </c>
      <c r="G1734" s="49">
        <f t="array" ref="G1734">_xlfn.XLOOKUP(
 A1734,
 tblCost[RequirementID],
 tblCost[QuantityRequired],
 ""
)</f>
        <v>30</v>
      </c>
      <c r="H1734" s="49">
        <f t="array" ref="H1734">IF(
 OR(
  LEFT(B1734,15)="state.character",
  RIGHT(B1734,6)=".maxed"
 ),
 0,
 LET(
  sort,
   _xlfn.XLOOKUP(
    B1734,
    tblChecklist[TargetID],
    tblChecklist[PlayerSort],
    0
   ),
  IF(sort=0,500,sort)
 )
)</f>
        <v>500</v>
      </c>
      <c r="I1734" s="49" t="str">
        <f t="array" ref="I1734">_xlfn.XLOOKUP(
 B1734,
 tblTargetStatus[TargetID],
 tblTargetStatus[Status],
 ""
)</f>
        <v>BLOCKED</v>
      </c>
      <c r="J1734" s="45" t="b">
        <v>0</v>
      </c>
    </row>
    <row r="1735" ht="14.25" hidden="1" customHeight="1">
      <c r="A1735" s="49" t="s">
        <v>3430</v>
      </c>
      <c r="B1735" s="49" t="str">
        <f>IFERROR(__xludf.DUMMYFUNCTION("REGEXREPLACE(
 REGEXREPLACE(A1735,""^cost\."",""""),
 ""\.[^.]+\.[^.]+$"",
 """"
)"),"tech.outpost.tax_return_on_floppy_disk")</f>
        <v>tech.outpost.tax_return_on_floppy_disk</v>
      </c>
      <c r="C1735" s="49" t="str">
        <f t="array" ref="C1735">_xlfn.XLOOKUP(
 B1735,
 tblTargets[TargetID],
 tblTargets[DisplayName],
 ""
)</f>
        <v>Outpost - Tax Return On Floppy Disk</v>
      </c>
      <c r="D1735" s="49" t="str">
        <f t="array" ref="D1735">_xlfn.XLOOKUP(
 B1735,
 tblTargets[TargetID],
 tblTargets[TargetType],
 ""
)</f>
        <v>TECH</v>
      </c>
      <c r="E1735" s="49" t="s">
        <v>6</v>
      </c>
      <c r="F1735" s="49">
        <v>1.0</v>
      </c>
      <c r="G1735" s="49">
        <f t="array" ref="G1735">_xlfn.XLOOKUP(
 A1735,
 tblCost[RequirementID],
 tblCost[QuantityRequired],
 ""
)</f>
        <v>3</v>
      </c>
      <c r="H1735" s="49">
        <f t="array" ref="H1735">IF(
 OR(
  LEFT(B1735,15)="state.character",
  RIGHT(B1735,6)=".maxed"
 ),
 0,
 LET(
  sort,
   _xlfn.XLOOKUP(
    B1735,
    tblChecklist[TargetID],
    tblChecklist[PlayerSort],
    0
   ),
  IF(sort=0,500,sort)
 )
)</f>
        <v>500</v>
      </c>
      <c r="I1735" s="49" t="str">
        <f t="array" ref="I1735">_xlfn.XLOOKUP(
 B1735,
 tblTargetStatus[TargetID],
 tblTargetStatus[Status],
 ""
)</f>
        <v>BLOCKED</v>
      </c>
      <c r="J1735" s="45" t="b">
        <v>0</v>
      </c>
    </row>
    <row r="1736" ht="14.25" hidden="1" customHeight="1">
      <c r="A1736" s="49" t="s">
        <v>3432</v>
      </c>
      <c r="B1736" s="49" t="str">
        <f>IFERROR(__xludf.DUMMYFUNCTION("REGEXREPLACE(
 REGEXREPLACE(A1736,""^cost\."",""""),
 ""\.[^.]+\.[^.]+$"",
 """"
)"),"tech.outpost.tax_return_on_floppy_disk")</f>
        <v>tech.outpost.tax_return_on_floppy_disk</v>
      </c>
      <c r="C1736" s="49" t="str">
        <f t="array" ref="C1736">_xlfn.XLOOKUP(
 B1736,
 tblTargets[TargetID],
 tblTargets[DisplayName],
 ""
)</f>
        <v>Outpost - Tax Return On Floppy Disk</v>
      </c>
      <c r="D1736" s="49" t="str">
        <f t="array" ref="D1736">_xlfn.XLOOKUP(
 B1736,
 tblTargets[TargetID],
 tblTargets[TargetType],
 ""
)</f>
        <v>TECH</v>
      </c>
      <c r="E1736" s="49" t="s">
        <v>392</v>
      </c>
      <c r="F1736" s="49">
        <v>1.0</v>
      </c>
      <c r="G1736" s="49">
        <f t="array" ref="G1736">_xlfn.XLOOKUP(
 A1736,
 tblCost[RequirementID],
 tblCost[QuantityRequired],
 ""
)</f>
        <v>200</v>
      </c>
      <c r="H1736" s="49">
        <f t="array" ref="H1736">IF(
 OR(
  LEFT(B1736,15)="state.character",
  RIGHT(B1736,6)=".maxed"
 ),
 0,
 LET(
  sort,
   _xlfn.XLOOKUP(
    B1736,
    tblChecklist[TargetID],
    tblChecklist[PlayerSort],
    0
   ),
  IF(sort=0,500,sort)
 )
)</f>
        <v>500</v>
      </c>
      <c r="I1736" s="49" t="str">
        <f t="array" ref="I1736">_xlfn.XLOOKUP(
 B1736,
 tblTargetStatus[TargetID],
 tblTargetStatus[Status],
 ""
)</f>
        <v>BLOCKED</v>
      </c>
      <c r="J1736" s="45" t="b">
        <v>0</v>
      </c>
    </row>
    <row r="1737" ht="14.25" hidden="1" customHeight="1">
      <c r="A1737" s="49" t="s">
        <v>3433</v>
      </c>
      <c r="B1737" s="49" t="str">
        <f>IFERROR(__xludf.DUMMYFUNCTION("REGEXREPLACE(
 REGEXREPLACE(A1737,""^cost\."",""""),
 ""\.[^.]+\.[^.]+$"",
 """"
)"),"tech.rock_garden.rake")</f>
        <v>tech.rock_garden.rake</v>
      </c>
      <c r="C1737" s="49" t="str">
        <f t="array" ref="C1737">_xlfn.XLOOKUP(
 B1737,
 tblTargets[TargetID],
 tblTargets[DisplayName],
 ""
)</f>
        <v>Rock Garden - Rake</v>
      </c>
      <c r="D1737" s="49" t="str">
        <f t="array" ref="D1737">_xlfn.XLOOKUP(
 B1737,
 tblTargets[TargetID],
 tblTargets[TargetType],
 ""
)</f>
        <v>TECH</v>
      </c>
      <c r="E1737" s="49" t="s">
        <v>1055</v>
      </c>
      <c r="F1737" s="49">
        <v>1.0</v>
      </c>
      <c r="G1737" s="49">
        <f t="array" ref="G1737">_xlfn.XLOOKUP(
 A1737,
 tblCost[RequirementID],
 tblCost[QuantityRequired],
 ""
)</f>
        <v>30</v>
      </c>
      <c r="H1737" s="49">
        <f t="array" ref="H1737">IF(
 OR(
  LEFT(B1737,15)="state.character",
  RIGHT(B1737,6)=".maxed"
 ),
 0,
 LET(
  sort,
   _xlfn.XLOOKUP(
    B1737,
    tblChecklist[TargetID],
    tblChecklist[PlayerSort],
    0
   ),
  IF(sort=0,500,sort)
 )
)</f>
        <v>500</v>
      </c>
      <c r="I1737" s="49" t="str">
        <f t="array" ref="I1737">_xlfn.XLOOKUP(
 B1737,
 tblTargetStatus[TargetID],
 tblTargetStatus[Status],
 ""
)</f>
        <v>BLOCKED</v>
      </c>
      <c r="J1737" s="45" t="b">
        <v>0</v>
      </c>
    </row>
    <row r="1738" ht="14.25" hidden="1" customHeight="1">
      <c r="A1738" s="49" t="s">
        <v>3434</v>
      </c>
      <c r="B1738" s="49" t="str">
        <f>IFERROR(__xludf.DUMMYFUNCTION("REGEXREPLACE(
 REGEXREPLACE(A1738,""^cost\."",""""),
 ""\.[^.]+\.[^.]+$"",
 """"
)"),"tech.rock_garden.rake")</f>
        <v>tech.rock_garden.rake</v>
      </c>
      <c r="C1738" s="49" t="str">
        <f t="array" ref="C1738">_xlfn.XLOOKUP(
 B1738,
 tblTargets[TargetID],
 tblTargets[DisplayName],
 ""
)</f>
        <v>Rock Garden - Rake</v>
      </c>
      <c r="D1738" s="49" t="str">
        <f t="array" ref="D1738">_xlfn.XLOOKUP(
 B1738,
 tblTargets[TargetID],
 tblTargets[TargetType],
 ""
)</f>
        <v>TECH</v>
      </c>
      <c r="E1738" s="49" t="s">
        <v>119</v>
      </c>
      <c r="F1738" s="49">
        <v>1.0</v>
      </c>
      <c r="G1738" s="49">
        <f t="array" ref="G1738">_xlfn.XLOOKUP(
 A1738,
 tblCost[RequirementID],
 tblCost[QuantityRequired],
 ""
)</f>
        <v>1500</v>
      </c>
      <c r="H1738" s="49">
        <f t="array" ref="H1738">IF(
 OR(
  LEFT(B1738,15)="state.character",
  RIGHT(B1738,6)=".maxed"
 ),
 0,
 LET(
  sort,
   _xlfn.XLOOKUP(
    B1738,
    tblChecklist[TargetID],
    tblChecklist[PlayerSort],
    0
   ),
  IF(sort=0,500,sort)
 )
)</f>
        <v>500</v>
      </c>
      <c r="I1738" s="49" t="str">
        <f t="array" ref="I1738">_xlfn.XLOOKUP(
 B1738,
 tblTargetStatus[TargetID],
 tblTargetStatus[Status],
 ""
)</f>
        <v>BLOCKED</v>
      </c>
      <c r="J1738" s="45" t="b">
        <v>0</v>
      </c>
    </row>
    <row r="1739" ht="14.25" hidden="1" customHeight="1">
      <c r="A1739" s="49" t="s">
        <v>3435</v>
      </c>
      <c r="B1739" s="49" t="str">
        <f>IFERROR(__xludf.DUMMYFUNCTION("REGEXREPLACE(
 REGEXREPLACE(A1739,""^cost\."",""""),
 ""\.[^.]+\.[^.]+$"",
 """"
)"),"tech.rock_garden.rake")</f>
        <v>tech.rock_garden.rake</v>
      </c>
      <c r="C1739" s="49" t="str">
        <f t="array" ref="C1739">_xlfn.XLOOKUP(
 B1739,
 tblTargets[TargetID],
 tblTargets[DisplayName],
 ""
)</f>
        <v>Rock Garden - Rake</v>
      </c>
      <c r="D1739" s="49" t="str">
        <f t="array" ref="D1739">_xlfn.XLOOKUP(
 B1739,
 tblTargets[TargetID],
 tblTargets[TargetType],
 ""
)</f>
        <v>TECH</v>
      </c>
      <c r="E1739" s="49" t="s">
        <v>126</v>
      </c>
      <c r="F1739" s="49">
        <v>1.0</v>
      </c>
      <c r="G1739" s="49">
        <f t="array" ref="G1739">_xlfn.XLOOKUP(
 A1739,
 tblCost[RequirementID],
 tblCost[QuantityRequired],
 ""
)</f>
        <v>50</v>
      </c>
      <c r="H1739" s="49">
        <f t="array" ref="H1739">IF(
 OR(
  LEFT(B1739,15)="state.character",
  RIGHT(B1739,6)=".maxed"
 ),
 0,
 LET(
  sort,
   _xlfn.XLOOKUP(
    B1739,
    tblChecklist[TargetID],
    tblChecklist[PlayerSort],
    0
   ),
  IF(sort=0,500,sort)
 )
)</f>
        <v>500</v>
      </c>
      <c r="I1739" s="49" t="str">
        <f t="array" ref="I1739">_xlfn.XLOOKUP(
 B1739,
 tblTargetStatus[TargetID],
 tblTargetStatus[Status],
 ""
)</f>
        <v>BLOCKED</v>
      </c>
      <c r="J1739" s="45" t="b">
        <v>0</v>
      </c>
    </row>
    <row r="1740" ht="14.25" hidden="1" customHeight="1">
      <c r="A1740" s="49" t="s">
        <v>3436</v>
      </c>
      <c r="B1740" s="49" t="str">
        <f>IFERROR(__xludf.DUMMYFUNCTION("REGEXREPLACE(
 REGEXREPLACE(A1740,""^cost\."",""""),
 ""\.[^.]+\.[^.]+$"",
 """"
)"),"tech.rock_garden.rake")</f>
        <v>tech.rock_garden.rake</v>
      </c>
      <c r="C1740" s="49" t="str">
        <f t="array" ref="C1740">_xlfn.XLOOKUP(
 B1740,
 tblTargets[TargetID],
 tblTargets[DisplayName],
 ""
)</f>
        <v>Rock Garden - Rake</v>
      </c>
      <c r="D1740" s="49" t="str">
        <f t="array" ref="D1740">_xlfn.XLOOKUP(
 B1740,
 tblTargets[TargetID],
 tblTargets[TargetType],
 ""
)</f>
        <v>TECH</v>
      </c>
      <c r="E1740" s="49" t="s">
        <v>6</v>
      </c>
      <c r="F1740" s="49">
        <v>1.0</v>
      </c>
      <c r="G1740" s="49">
        <f t="array" ref="G1740">_xlfn.XLOOKUP(
 A1740,
 tblCost[RequirementID],
 tblCost[QuantityRequired],
 ""
)</f>
        <v>6</v>
      </c>
      <c r="H1740" s="49">
        <f t="array" ref="H1740">IF(
 OR(
  LEFT(B1740,15)="state.character",
  RIGHT(B1740,6)=".maxed"
 ),
 0,
 LET(
  sort,
   _xlfn.XLOOKUP(
    B1740,
    tblChecklist[TargetID],
    tblChecklist[PlayerSort],
    0
   ),
  IF(sort=0,500,sort)
 )
)</f>
        <v>500</v>
      </c>
      <c r="I1740" s="49" t="str">
        <f t="array" ref="I1740">_xlfn.XLOOKUP(
 B1740,
 tblTargetStatus[TargetID],
 tblTargetStatus[Status],
 ""
)</f>
        <v>BLOCKED</v>
      </c>
      <c r="J1740" s="45" t="b">
        <v>0</v>
      </c>
    </row>
    <row r="1741" ht="14.25" hidden="1" customHeight="1">
      <c r="A1741" s="49" t="s">
        <v>3442</v>
      </c>
      <c r="B1741" s="49" t="str">
        <f>IFERROR(__xludf.DUMMYFUNCTION("REGEXREPLACE(
 REGEXREPLACE(A1741,""^cost\."",""""),
 ""\.[^.]+\.[^.]+$"",
 """"
)"),"tech.shop.glass_recycling")</f>
        <v>tech.shop.glass_recycling</v>
      </c>
      <c r="C1741" s="49" t="str">
        <f t="array" ref="C1741">_xlfn.XLOOKUP(
 B1741,
 tblTargets[TargetID],
 tblTargets[DisplayName],
 ""
)</f>
        <v>Shop - Glass Recycling</v>
      </c>
      <c r="D1741" s="49" t="str">
        <f t="array" ref="D1741">_xlfn.XLOOKUP(
 B1741,
 tblTargets[TargetID],
 tblTargets[TargetType],
 ""
)</f>
        <v>TECH</v>
      </c>
      <c r="E1741" s="49" t="s">
        <v>1055</v>
      </c>
      <c r="F1741" s="49">
        <v>1.0</v>
      </c>
      <c r="G1741" s="49">
        <f t="array" ref="G1741">_xlfn.XLOOKUP(
 A1741,
 tblCost[RequirementID],
 tblCost[QuantityRequired],
 ""
)</f>
        <v>20</v>
      </c>
      <c r="H1741" s="49">
        <f t="array" ref="H1741">IF(
 OR(
  LEFT(B1741,15)="state.character",
  RIGHT(B1741,6)=".maxed"
 ),
 0,
 LET(
  sort,
   _xlfn.XLOOKUP(
    B1741,
    tblChecklist[TargetID],
    tblChecklist[PlayerSort],
    0
   ),
  IF(sort=0,500,sort)
 )
)</f>
        <v>500</v>
      </c>
      <c r="I1741" s="49" t="str">
        <f t="array" ref="I1741">_xlfn.XLOOKUP(
 B1741,
 tblTargetStatus[TargetID],
 tblTargetStatus[Status],
 ""
)</f>
        <v>BLOCKED</v>
      </c>
      <c r="J1741" s="45" t="b">
        <v>0</v>
      </c>
    </row>
    <row r="1742" ht="14.25" hidden="1" customHeight="1">
      <c r="A1742" s="49" t="s">
        <v>3443</v>
      </c>
      <c r="B1742" s="49" t="str">
        <f>IFERROR(__xludf.DUMMYFUNCTION("REGEXREPLACE(
 REGEXREPLACE(A1742,""^cost\."",""""),
 ""\.[^.]+\.[^.]+$"",
 """"
)"),"tech.shop.glass_recycling")</f>
        <v>tech.shop.glass_recycling</v>
      </c>
      <c r="C1742" s="49" t="str">
        <f t="array" ref="C1742">_xlfn.XLOOKUP(
 B1742,
 tblTargets[TargetID],
 tblTargets[DisplayName],
 ""
)</f>
        <v>Shop - Glass Recycling</v>
      </c>
      <c r="D1742" s="49" t="str">
        <f t="array" ref="D1742">_xlfn.XLOOKUP(
 B1742,
 tblTargets[TargetID],
 tblTargets[TargetType],
 ""
)</f>
        <v>TECH</v>
      </c>
      <c r="E1742" s="49" t="s">
        <v>113</v>
      </c>
      <c r="F1742" s="49">
        <v>1.0</v>
      </c>
      <c r="G1742" s="49">
        <f t="array" ref="G1742">_xlfn.XLOOKUP(
 A1742,
 tblCost[RequirementID],
 tblCost[QuantityRequired],
 ""
)</f>
        <v>40</v>
      </c>
      <c r="H1742" s="49">
        <f t="array" ref="H1742">IF(
 OR(
  LEFT(B1742,15)="state.character",
  RIGHT(B1742,6)=".maxed"
 ),
 0,
 LET(
  sort,
   _xlfn.XLOOKUP(
    B1742,
    tblChecklist[TargetID],
    tblChecklist[PlayerSort],
    0
   ),
  IF(sort=0,500,sort)
 )
)</f>
        <v>500</v>
      </c>
      <c r="I1742" s="49" t="str">
        <f t="array" ref="I1742">_xlfn.XLOOKUP(
 B1742,
 tblTargetStatus[TargetID],
 tblTargetStatus[Status],
 ""
)</f>
        <v>BLOCKED</v>
      </c>
      <c r="J1742" s="45" t="b">
        <v>0</v>
      </c>
    </row>
    <row r="1743" ht="14.25" hidden="1" customHeight="1">
      <c r="A1743" s="49" t="s">
        <v>3444</v>
      </c>
      <c r="B1743" s="49" t="str">
        <f>IFERROR(__xludf.DUMMYFUNCTION("REGEXREPLACE(
 REGEXREPLACE(A1743,""^cost\."",""""),
 ""\.[^.]+\.[^.]+$"",
 """"
)"),"tech.shop.glass_recycling")</f>
        <v>tech.shop.glass_recycling</v>
      </c>
      <c r="C1743" s="49" t="str">
        <f t="array" ref="C1743">_xlfn.XLOOKUP(
 B1743,
 tblTargets[TargetID],
 tblTargets[DisplayName],
 ""
)</f>
        <v>Shop - Glass Recycling</v>
      </c>
      <c r="D1743" s="49" t="str">
        <f t="array" ref="D1743">_xlfn.XLOOKUP(
 B1743,
 tblTargets[TargetID],
 tblTargets[TargetType],
 ""
)</f>
        <v>TECH</v>
      </c>
      <c r="E1743" s="49" t="s">
        <v>119</v>
      </c>
      <c r="F1743" s="49">
        <v>1.0</v>
      </c>
      <c r="G1743" s="49">
        <f t="array" ref="G1743">_xlfn.XLOOKUP(
 A1743,
 tblCost[RequirementID],
 tblCost[QuantityRequired],
 ""
)</f>
        <v>500</v>
      </c>
      <c r="H1743" s="49">
        <f t="array" ref="H1743">IF(
 OR(
  LEFT(B1743,15)="state.character",
  RIGHT(B1743,6)=".maxed"
 ),
 0,
 LET(
  sort,
   _xlfn.XLOOKUP(
    B1743,
    tblChecklist[TargetID],
    tblChecklist[PlayerSort],
    0
   ),
  IF(sort=0,500,sort)
 )
)</f>
        <v>500</v>
      </c>
      <c r="I1743" s="49" t="str">
        <f t="array" ref="I1743">_xlfn.XLOOKUP(
 B1743,
 tblTargetStatus[TargetID],
 tblTargetStatus[Status],
 ""
)</f>
        <v>BLOCKED</v>
      </c>
      <c r="J1743" s="45" t="b">
        <v>0</v>
      </c>
    </row>
    <row r="1744" ht="14.25" hidden="1" customHeight="1">
      <c r="A1744" s="49" t="s">
        <v>3445</v>
      </c>
      <c r="B1744" s="49" t="str">
        <f>IFERROR(__xludf.DUMMYFUNCTION("REGEXREPLACE(
 REGEXREPLACE(A1744,""^cost\."",""""),
 ""\.[^.]+\.[^.]+$"",
 """"
)"),"tech.shop.glass_recycling")</f>
        <v>tech.shop.glass_recycling</v>
      </c>
      <c r="C1744" s="49" t="str">
        <f t="array" ref="C1744">_xlfn.XLOOKUP(
 B1744,
 tblTargets[TargetID],
 tblTargets[DisplayName],
 ""
)</f>
        <v>Shop - Glass Recycling</v>
      </c>
      <c r="D1744" s="49" t="str">
        <f t="array" ref="D1744">_xlfn.XLOOKUP(
 B1744,
 tblTargets[TargetID],
 tblTargets[TargetType],
 ""
)</f>
        <v>TECH</v>
      </c>
      <c r="E1744" s="49" t="s">
        <v>360</v>
      </c>
      <c r="F1744" s="49">
        <v>1.0</v>
      </c>
      <c r="G1744" s="49">
        <f t="array" ref="G1744">_xlfn.XLOOKUP(
 A1744,
 tblCost[RequirementID],
 tblCost[QuantityRequired],
 ""
)</f>
        <v>25</v>
      </c>
      <c r="H1744" s="49">
        <f t="array" ref="H1744">IF(
 OR(
  LEFT(B1744,15)="state.character",
  RIGHT(B1744,6)=".maxed"
 ),
 0,
 LET(
  sort,
   _xlfn.XLOOKUP(
    B1744,
    tblChecklist[TargetID],
    tblChecklist[PlayerSort],
    0
   ),
  IF(sort=0,500,sort)
 )
)</f>
        <v>500</v>
      </c>
      <c r="I1744" s="49" t="str">
        <f t="array" ref="I1744">_xlfn.XLOOKUP(
 B1744,
 tblTargetStatus[TargetID],
 tblTargetStatus[Status],
 ""
)</f>
        <v>BLOCKED</v>
      </c>
      <c r="J1744" s="45" t="b">
        <v>0</v>
      </c>
    </row>
    <row r="1745" ht="14.25" hidden="1" customHeight="1">
      <c r="A1745" s="49" t="s">
        <v>3446</v>
      </c>
      <c r="B1745" s="49" t="str">
        <f>IFERROR(__xludf.DUMMYFUNCTION("REGEXREPLACE(
 REGEXREPLACE(A1745,""^cost\."",""""),
 ""\.[^.]+\.[^.]+$"",
 """"
)"),"tech.shop.glass_recycling")</f>
        <v>tech.shop.glass_recycling</v>
      </c>
      <c r="C1745" s="49" t="str">
        <f t="array" ref="C1745">_xlfn.XLOOKUP(
 B1745,
 tblTargets[TargetID],
 tblTargets[DisplayName],
 ""
)</f>
        <v>Shop - Glass Recycling</v>
      </c>
      <c r="D1745" s="49" t="str">
        <f t="array" ref="D1745">_xlfn.XLOOKUP(
 B1745,
 tblTargets[TargetID],
 tblTargets[TargetType],
 ""
)</f>
        <v>TECH</v>
      </c>
      <c r="E1745" s="49" t="s">
        <v>187</v>
      </c>
      <c r="F1745" s="49">
        <v>1.0</v>
      </c>
      <c r="G1745" s="49">
        <f t="array" ref="G1745">_xlfn.XLOOKUP(
 A1745,
 tblCost[RequirementID],
 tblCost[QuantityRequired],
 ""
)</f>
        <v>100</v>
      </c>
      <c r="H1745" s="49">
        <f t="array" ref="H1745">IF(
 OR(
  LEFT(B1745,15)="state.character",
  RIGHT(B1745,6)=".maxed"
 ),
 0,
 LET(
  sort,
   _xlfn.XLOOKUP(
    B1745,
    tblChecklist[TargetID],
    tblChecklist[PlayerSort],
    0
   ),
  IF(sort=0,500,sort)
 )
)</f>
        <v>500</v>
      </c>
      <c r="I1745" s="49" t="str">
        <f t="array" ref="I1745">_xlfn.XLOOKUP(
 B1745,
 tblTargetStatus[TargetID],
 tblTargetStatus[Status],
 ""
)</f>
        <v>BLOCKED</v>
      </c>
      <c r="J1745" s="45" t="b">
        <v>0</v>
      </c>
    </row>
    <row r="1746" ht="14.25" hidden="1" customHeight="1">
      <c r="A1746" s="49" t="s">
        <v>3447</v>
      </c>
      <c r="B1746" s="49" t="str">
        <f>IFERROR(__xludf.DUMMYFUNCTION("REGEXREPLACE(
 REGEXREPLACE(A1746,""^cost\."",""""),
 ""\.[^.]+\.[^.]+$"",
 """"
)"),"tech.shop.glass_recycling")</f>
        <v>tech.shop.glass_recycling</v>
      </c>
      <c r="C1746" s="49" t="str">
        <f t="array" ref="C1746">_xlfn.XLOOKUP(
 B1746,
 tblTargets[TargetID],
 tblTargets[DisplayName],
 ""
)</f>
        <v>Shop - Glass Recycling</v>
      </c>
      <c r="D1746" s="49" t="str">
        <f t="array" ref="D1746">_xlfn.XLOOKUP(
 B1746,
 tblTargets[TargetID],
 tblTargets[TargetType],
 ""
)</f>
        <v>TECH</v>
      </c>
      <c r="E1746" s="49" t="s">
        <v>6</v>
      </c>
      <c r="F1746" s="49">
        <v>1.0</v>
      </c>
      <c r="G1746" s="49">
        <f t="array" ref="G1746">_xlfn.XLOOKUP(
 A1746,
 tblCost[RequirementID],
 tblCost[QuantityRequired],
 ""
)</f>
        <v>5</v>
      </c>
      <c r="H1746" s="49">
        <f t="array" ref="H1746">IF(
 OR(
  LEFT(B1746,15)="state.character",
  RIGHT(B1746,6)=".maxed"
 ),
 0,
 LET(
  sort,
   _xlfn.XLOOKUP(
    B1746,
    tblChecklist[TargetID],
    tblChecklist[PlayerSort],
    0
   ),
  IF(sort=0,500,sort)
 )
)</f>
        <v>500</v>
      </c>
      <c r="I1746" s="49" t="str">
        <f t="array" ref="I1746">_xlfn.XLOOKUP(
 B1746,
 tblTargetStatus[TargetID],
 tblTargetStatus[Status],
 ""
)</f>
        <v>BLOCKED</v>
      </c>
      <c r="J1746" s="45" t="b">
        <v>0</v>
      </c>
    </row>
    <row r="1747" ht="14.25" hidden="1" customHeight="1">
      <c r="A1747" s="49" t="s">
        <v>3437</v>
      </c>
      <c r="B1747" s="49" t="str">
        <f>IFERROR(__xludf.DUMMYFUNCTION("REGEXREPLACE(
 REGEXREPLACE(A1747,""^cost\."",""""),
 ""\.[^.]+\.[^.]+$"",
 """"
)"),"tech.shop.pre_orders")</f>
        <v>tech.shop.pre_orders</v>
      </c>
      <c r="C1747" s="49" t="str">
        <f t="array" ref="C1747">_xlfn.XLOOKUP(
 B1747,
 tblTargets[TargetID],
 tblTargets[DisplayName],
 ""
)</f>
        <v>Shop - Pre Orders</v>
      </c>
      <c r="D1747" s="49" t="str">
        <f t="array" ref="D1747">_xlfn.XLOOKUP(
 B1747,
 tblTargets[TargetID],
 tblTargets[TargetType],
 ""
)</f>
        <v>TECH</v>
      </c>
      <c r="E1747" s="49" t="s">
        <v>367</v>
      </c>
      <c r="F1747" s="49">
        <v>1.0</v>
      </c>
      <c r="G1747" s="49">
        <f t="array" ref="G1747">_xlfn.XLOOKUP(
 A1747,
 tblCost[RequirementID],
 tblCost[QuantityRequired],
 ""
)</f>
        <v>20</v>
      </c>
      <c r="H1747" s="49">
        <f t="array" ref="H1747">IF(
 OR(
  LEFT(B1747,15)="state.character",
  RIGHT(B1747,6)=".maxed"
 ),
 0,
 LET(
  sort,
   _xlfn.XLOOKUP(
    B1747,
    tblChecklist[TargetID],
    tblChecklist[PlayerSort],
    0
   ),
  IF(sort=0,500,sort)
 )
)</f>
        <v>800</v>
      </c>
      <c r="I1747" s="49" t="str">
        <f t="array" ref="I1747">_xlfn.XLOOKUP(
 B1747,
 tblTargetStatus[TargetID],
 tblTargetStatus[Status],
 ""
)</f>
        <v>BLOCKED</v>
      </c>
      <c r="J1747" s="45" t="b">
        <v>0</v>
      </c>
    </row>
    <row r="1748" ht="14.25" hidden="1" customHeight="1">
      <c r="A1748" s="49" t="s">
        <v>3438</v>
      </c>
      <c r="B1748" s="49" t="str">
        <f>IFERROR(__xludf.DUMMYFUNCTION("REGEXREPLACE(
 REGEXREPLACE(A1748,""^cost\."",""""),
 ""\.[^.]+\.[^.]+$"",
 """"
)"),"tech.shop.pre_orders")</f>
        <v>tech.shop.pre_orders</v>
      </c>
      <c r="C1748" s="49" t="str">
        <f t="array" ref="C1748">_xlfn.XLOOKUP(
 B1748,
 tblTargets[TargetID],
 tblTargets[DisplayName],
 ""
)</f>
        <v>Shop - Pre Orders</v>
      </c>
      <c r="D1748" s="49" t="str">
        <f t="array" ref="D1748">_xlfn.XLOOKUP(
 B1748,
 tblTargets[TargetID],
 tblTargets[TargetType],
 ""
)</f>
        <v>TECH</v>
      </c>
      <c r="E1748" s="49" t="s">
        <v>1055</v>
      </c>
      <c r="F1748" s="49">
        <v>1.0</v>
      </c>
      <c r="G1748" s="49">
        <f t="array" ref="G1748">_xlfn.XLOOKUP(
 A1748,
 tblCost[RequirementID],
 tblCost[QuantityRequired],
 ""
)</f>
        <v>30</v>
      </c>
      <c r="H1748" s="49">
        <f t="array" ref="H1748">IF(
 OR(
  LEFT(B1748,15)="state.character",
  RIGHT(B1748,6)=".maxed"
 ),
 0,
 LET(
  sort,
   _xlfn.XLOOKUP(
    B1748,
    tblChecklist[TargetID],
    tblChecklist[PlayerSort],
    0
   ),
  IF(sort=0,500,sort)
 )
)</f>
        <v>800</v>
      </c>
      <c r="I1748" s="49" t="str">
        <f t="array" ref="I1748">_xlfn.XLOOKUP(
 B1748,
 tblTargetStatus[TargetID],
 tblTargetStatus[Status],
 ""
)</f>
        <v>BLOCKED</v>
      </c>
      <c r="J1748" s="45" t="b">
        <v>0</v>
      </c>
    </row>
    <row r="1749" ht="14.25" hidden="1" customHeight="1">
      <c r="A1749" s="49" t="s">
        <v>3439</v>
      </c>
      <c r="B1749" s="49" t="str">
        <f>IFERROR(__xludf.DUMMYFUNCTION("REGEXREPLACE(
 REGEXREPLACE(A1749,""^cost\."",""""),
 ""\.[^.]+\.[^.]+$"",
 """"
)"),"tech.shop.pre_orders")</f>
        <v>tech.shop.pre_orders</v>
      </c>
      <c r="C1749" s="49" t="str">
        <f t="array" ref="C1749">_xlfn.XLOOKUP(
 B1749,
 tblTargets[TargetID],
 tblTargets[DisplayName],
 ""
)</f>
        <v>Shop - Pre Orders</v>
      </c>
      <c r="D1749" s="49" t="str">
        <f t="array" ref="D1749">_xlfn.XLOOKUP(
 B1749,
 tblTargets[TargetID],
 tblTargets[TargetType],
 ""
)</f>
        <v>TECH</v>
      </c>
      <c r="E1749" s="49" t="s">
        <v>119</v>
      </c>
      <c r="F1749" s="49">
        <v>1.0</v>
      </c>
      <c r="G1749" s="49">
        <f t="array" ref="G1749">_xlfn.XLOOKUP(
 A1749,
 tblCost[RequirementID],
 tblCost[QuantityRequired],
 ""
)</f>
        <v>300</v>
      </c>
      <c r="H1749" s="49">
        <f t="array" ref="H1749">IF(
 OR(
  LEFT(B1749,15)="state.character",
  RIGHT(B1749,6)=".maxed"
 ),
 0,
 LET(
  sort,
   _xlfn.XLOOKUP(
    B1749,
    tblChecklist[TargetID],
    tblChecklist[PlayerSort],
    0
   ),
  IF(sort=0,500,sort)
 )
)</f>
        <v>800</v>
      </c>
      <c r="I1749" s="49" t="str">
        <f t="array" ref="I1749">_xlfn.XLOOKUP(
 B1749,
 tblTargetStatus[TargetID],
 tblTargetStatus[Status],
 ""
)</f>
        <v>BLOCKED</v>
      </c>
      <c r="J1749" s="45" t="b">
        <v>0</v>
      </c>
    </row>
    <row r="1750" ht="14.25" hidden="1" customHeight="1">
      <c r="A1750" s="49" t="s">
        <v>3440</v>
      </c>
      <c r="B1750" s="49" t="str">
        <f>IFERROR(__xludf.DUMMYFUNCTION("REGEXREPLACE(
 REGEXREPLACE(A1750,""^cost\."",""""),
 ""\.[^.]+\.[^.]+$"",
 """"
)"),"tech.shop.pre_orders")</f>
        <v>tech.shop.pre_orders</v>
      </c>
      <c r="C1750" s="49" t="str">
        <f t="array" ref="C1750">_xlfn.XLOOKUP(
 B1750,
 tblTargets[TargetID],
 tblTargets[DisplayName],
 ""
)</f>
        <v>Shop - Pre Orders</v>
      </c>
      <c r="D1750" s="49" t="str">
        <f t="array" ref="D1750">_xlfn.XLOOKUP(
 B1750,
 tblTargets[TargetID],
 tblTargets[TargetType],
 ""
)</f>
        <v>TECH</v>
      </c>
      <c r="E1750" s="49" t="s">
        <v>423</v>
      </c>
      <c r="F1750" s="49">
        <v>1.0</v>
      </c>
      <c r="G1750" s="49">
        <f t="array" ref="G1750">_xlfn.XLOOKUP(
 A1750,
 tblCost[RequirementID],
 tblCost[QuantityRequired],
 ""
)</f>
        <v>30</v>
      </c>
      <c r="H1750" s="49">
        <f t="array" ref="H1750">IF(
 OR(
  LEFT(B1750,15)="state.character",
  RIGHT(B1750,6)=".maxed"
 ),
 0,
 LET(
  sort,
   _xlfn.XLOOKUP(
    B1750,
    tblChecklist[TargetID],
    tblChecklist[PlayerSort],
    0
   ),
  IF(sort=0,500,sort)
 )
)</f>
        <v>800</v>
      </c>
      <c r="I1750" s="49" t="str">
        <f t="array" ref="I1750">_xlfn.XLOOKUP(
 B1750,
 tblTargetStatus[TargetID],
 tblTargetStatus[Status],
 ""
)</f>
        <v>BLOCKED</v>
      </c>
      <c r="J1750" s="45" t="b">
        <v>0</v>
      </c>
    </row>
    <row r="1751" ht="14.25" hidden="1" customHeight="1">
      <c r="A1751" s="49" t="s">
        <v>3441</v>
      </c>
      <c r="B1751" s="49" t="str">
        <f>IFERROR(__xludf.DUMMYFUNCTION("REGEXREPLACE(
 REGEXREPLACE(A1751,""^cost\."",""""),
 ""\.[^.]+\.[^.]+$"",
 """"
)"),"tech.shop.pre_orders")</f>
        <v>tech.shop.pre_orders</v>
      </c>
      <c r="C1751" s="49" t="str">
        <f t="array" ref="C1751">_xlfn.XLOOKUP(
 B1751,
 tblTargets[TargetID],
 tblTargets[DisplayName],
 ""
)</f>
        <v>Shop - Pre Orders</v>
      </c>
      <c r="D1751" s="49" t="str">
        <f t="array" ref="D1751">_xlfn.XLOOKUP(
 B1751,
 tblTargets[TargetID],
 tblTargets[TargetType],
 ""
)</f>
        <v>TECH</v>
      </c>
      <c r="E1751" s="49" t="s">
        <v>6</v>
      </c>
      <c r="F1751" s="49">
        <v>1.0</v>
      </c>
      <c r="G1751" s="49">
        <f t="array" ref="G1751">_xlfn.XLOOKUP(
 A1751,
 tblCost[RequirementID],
 tblCost[QuantityRequired],
 ""
)</f>
        <v>1</v>
      </c>
      <c r="H1751" s="49">
        <f t="array" ref="H1751">IF(
 OR(
  LEFT(B1751,15)="state.character",
  RIGHT(B1751,6)=".maxed"
 ),
 0,
 LET(
  sort,
   _xlfn.XLOOKUP(
    B1751,
    tblChecklist[TargetID],
    tblChecklist[PlayerSort],
    0
   ),
  IF(sort=0,500,sort)
 )
)</f>
        <v>800</v>
      </c>
      <c r="I1751" s="49" t="str">
        <f t="array" ref="I1751">_xlfn.XLOOKUP(
 B1751,
 tblTargetStatus[TargetID],
 tblTargetStatus[Status],
 ""
)</f>
        <v>BLOCKED</v>
      </c>
      <c r="J1751" s="45" t="b">
        <v>0</v>
      </c>
    </row>
    <row r="1752" ht="14.25" hidden="1" customHeight="1">
      <c r="A1752" s="49" t="s">
        <v>3490</v>
      </c>
      <c r="B1752" s="49" t="str">
        <f>IFERROR(__xludf.DUMMYFUNCTION("REGEXREPLACE(
 REGEXREPLACE(A1752,""^cost\."",""""),
 ""\.[^.]+\.[^.]+$"",
 """"
)"),"tech.smithy.gears")</f>
        <v>tech.smithy.gears</v>
      </c>
      <c r="C1752" s="49" t="str">
        <f t="array" ref="C1752">_xlfn.XLOOKUP(
 B1752,
 tblTargets[TargetID],
 tblTargets[DisplayName],
 ""
)</f>
        <v>Smithy - Gears</v>
      </c>
      <c r="D1752" s="49" t="str">
        <f t="array" ref="D1752">_xlfn.XLOOKUP(
 B1752,
 tblTargets[TargetID],
 tblTargets[TargetType],
 ""
)</f>
        <v>TECH</v>
      </c>
      <c r="E1752" s="49" t="s">
        <v>1055</v>
      </c>
      <c r="F1752" s="49">
        <v>1.0</v>
      </c>
      <c r="G1752" s="49">
        <f t="array" ref="G1752">_xlfn.XLOOKUP(
 A1752,
 tblCost[RequirementID],
 tblCost[QuantityRequired],
 ""
)</f>
        <v>30</v>
      </c>
      <c r="H1752" s="49">
        <f t="array" ref="H1752">IF(
 OR(
  LEFT(B1752,15)="state.character",
  RIGHT(B1752,6)=".maxed"
 ),
 0,
 LET(
  sort,
   _xlfn.XLOOKUP(
    B1752,
    tblChecklist[TargetID],
    tblChecklist[PlayerSort],
    0
   ),
  IF(sort=0,500,sort)
 )
)</f>
        <v>500</v>
      </c>
      <c r="I1752" s="49" t="str">
        <f t="array" ref="I1752">_xlfn.XLOOKUP(
 B1752,
 tblTargetStatus[TargetID],
 tblTargetStatus[Status],
 ""
)</f>
        <v>BLOCKED</v>
      </c>
      <c r="J1752" s="45" t="b">
        <v>0</v>
      </c>
    </row>
    <row r="1753" ht="14.25" hidden="1" customHeight="1">
      <c r="A1753" s="49" t="s">
        <v>3491</v>
      </c>
      <c r="B1753" s="49" t="str">
        <f>IFERROR(__xludf.DUMMYFUNCTION("REGEXREPLACE(
 REGEXREPLACE(A1753,""^cost\."",""""),
 ""\.[^.]+\.[^.]+$"",
 """"
)"),"tech.smithy.gears")</f>
        <v>tech.smithy.gears</v>
      </c>
      <c r="C1753" s="49" t="str">
        <f t="array" ref="C1753">_xlfn.XLOOKUP(
 B1753,
 tblTargets[TargetID],
 tblTargets[DisplayName],
 ""
)</f>
        <v>Smithy - Gears</v>
      </c>
      <c r="D1753" s="49" t="str">
        <f t="array" ref="D1753">_xlfn.XLOOKUP(
 B1753,
 tblTargets[TargetID],
 tblTargets[TargetType],
 ""
)</f>
        <v>TECH</v>
      </c>
      <c r="E1753" s="49" t="s">
        <v>119</v>
      </c>
      <c r="F1753" s="49">
        <v>1.0</v>
      </c>
      <c r="G1753" s="49">
        <f t="array" ref="G1753">_xlfn.XLOOKUP(
 A1753,
 tblCost[RequirementID],
 tblCost[QuantityRequired],
 ""
)</f>
        <v>1000</v>
      </c>
      <c r="H1753" s="49">
        <f t="array" ref="H1753">IF(
 OR(
  LEFT(B1753,15)="state.character",
  RIGHT(B1753,6)=".maxed"
 ),
 0,
 LET(
  sort,
   _xlfn.XLOOKUP(
    B1753,
    tblChecklist[TargetID],
    tblChecklist[PlayerSort],
    0
   ),
  IF(sort=0,500,sort)
 )
)</f>
        <v>500</v>
      </c>
      <c r="I1753" s="49" t="str">
        <f t="array" ref="I1753">_xlfn.XLOOKUP(
 B1753,
 tblTargetStatus[TargetID],
 tblTargetStatus[Status],
 ""
)</f>
        <v>BLOCKED</v>
      </c>
      <c r="J1753" s="45" t="b">
        <v>0</v>
      </c>
    </row>
    <row r="1754" ht="14.25" hidden="1" customHeight="1">
      <c r="A1754" s="49" t="s">
        <v>3492</v>
      </c>
      <c r="B1754" s="49" t="str">
        <f>IFERROR(__xludf.DUMMYFUNCTION("REGEXREPLACE(
 REGEXREPLACE(A1754,""^cost\."",""""),
 ""\.[^.]+\.[^.]+$"",
 """"
)"),"tech.smithy.gears")</f>
        <v>tech.smithy.gears</v>
      </c>
      <c r="C1754" s="49" t="str">
        <f t="array" ref="C1754">_xlfn.XLOOKUP(
 B1754,
 tblTargets[TargetID],
 tblTargets[DisplayName],
 ""
)</f>
        <v>Smithy - Gears</v>
      </c>
      <c r="D1754" s="49" t="str">
        <f t="array" ref="D1754">_xlfn.XLOOKUP(
 B1754,
 tblTargets[TargetID],
 tblTargets[TargetType],
 ""
)</f>
        <v>TECH</v>
      </c>
      <c r="E1754" s="49" t="s">
        <v>179</v>
      </c>
      <c r="F1754" s="49">
        <v>1.0</v>
      </c>
      <c r="G1754" s="49">
        <f t="array" ref="G1754">_xlfn.XLOOKUP(
 A1754,
 tblCost[RequirementID],
 tblCost[QuantityRequired],
 ""
)</f>
        <v>30</v>
      </c>
      <c r="H1754" s="49">
        <f t="array" ref="H1754">IF(
 OR(
  LEFT(B1754,15)="state.character",
  RIGHT(B1754,6)=".maxed"
 ),
 0,
 LET(
  sort,
   _xlfn.XLOOKUP(
    B1754,
    tblChecklist[TargetID],
    tblChecklist[PlayerSort],
    0
   ),
  IF(sort=0,500,sort)
 )
)</f>
        <v>500</v>
      </c>
      <c r="I1754" s="49" t="str">
        <f t="array" ref="I1754">_xlfn.XLOOKUP(
 B1754,
 tblTargetStatus[TargetID],
 tblTargetStatus[Status],
 ""
)</f>
        <v>BLOCKED</v>
      </c>
      <c r="J1754" s="45" t="b">
        <v>0</v>
      </c>
    </row>
    <row r="1755" ht="14.25" hidden="1" customHeight="1">
      <c r="A1755" s="49" t="s">
        <v>3493</v>
      </c>
      <c r="B1755" s="49" t="str">
        <f>IFERROR(__xludf.DUMMYFUNCTION("REGEXREPLACE(
 REGEXREPLACE(A1755,""^cost\."",""""),
 ""\.[^.]+\.[^.]+$"",
 """"
)"),"tech.smithy.gears")</f>
        <v>tech.smithy.gears</v>
      </c>
      <c r="C1755" s="49" t="str">
        <f t="array" ref="C1755">_xlfn.XLOOKUP(
 B1755,
 tblTargets[TargetID],
 tblTargets[DisplayName],
 ""
)</f>
        <v>Smithy - Gears</v>
      </c>
      <c r="D1755" s="49" t="str">
        <f t="array" ref="D1755">_xlfn.XLOOKUP(
 B1755,
 tblTargets[TargetID],
 tblTargets[TargetType],
 ""
)</f>
        <v>TECH</v>
      </c>
      <c r="E1755" s="49" t="s">
        <v>126</v>
      </c>
      <c r="F1755" s="49">
        <v>1.0</v>
      </c>
      <c r="G1755" s="49">
        <f t="array" ref="G1755">_xlfn.XLOOKUP(
 A1755,
 tblCost[RequirementID],
 tblCost[QuantityRequired],
 ""
)</f>
        <v>20</v>
      </c>
      <c r="H1755" s="49">
        <f t="array" ref="H1755">IF(
 OR(
  LEFT(B1755,15)="state.character",
  RIGHT(B1755,6)=".maxed"
 ),
 0,
 LET(
  sort,
   _xlfn.XLOOKUP(
    B1755,
    tblChecklist[TargetID],
    tblChecklist[PlayerSort],
    0
   ),
  IF(sort=0,500,sort)
 )
)</f>
        <v>500</v>
      </c>
      <c r="I1755" s="49" t="str">
        <f t="array" ref="I1755">_xlfn.XLOOKUP(
 B1755,
 tblTargetStatus[TargetID],
 tblTargetStatus[Status],
 ""
)</f>
        <v>BLOCKED</v>
      </c>
      <c r="J1755" s="45" t="b">
        <v>0</v>
      </c>
    </row>
    <row r="1756" ht="14.25" hidden="1" customHeight="1">
      <c r="A1756" s="49" t="s">
        <v>3494</v>
      </c>
      <c r="B1756" s="49" t="str">
        <f>IFERROR(__xludf.DUMMYFUNCTION("REGEXREPLACE(
 REGEXREPLACE(A1756,""^cost\."",""""),
 ""\.[^.]+\.[^.]+$"",
 """"
)"),"tech.smithy.gears")</f>
        <v>tech.smithy.gears</v>
      </c>
      <c r="C1756" s="49" t="str">
        <f t="array" ref="C1756">_xlfn.XLOOKUP(
 B1756,
 tblTargets[TargetID],
 tblTargets[DisplayName],
 ""
)</f>
        <v>Smithy - Gears</v>
      </c>
      <c r="D1756" s="49" t="str">
        <f t="array" ref="D1756">_xlfn.XLOOKUP(
 B1756,
 tblTargets[TargetID],
 tblTargets[TargetType],
 ""
)</f>
        <v>TECH</v>
      </c>
      <c r="E1756" s="49" t="s">
        <v>6</v>
      </c>
      <c r="F1756" s="49">
        <v>1.0</v>
      </c>
      <c r="G1756" s="49">
        <f t="array" ref="G1756">_xlfn.XLOOKUP(
 A1756,
 tblCost[RequirementID],
 tblCost[QuantityRequired],
 ""
)</f>
        <v>5</v>
      </c>
      <c r="H1756" s="49">
        <f t="array" ref="H1756">IF(
 OR(
  LEFT(B1756,15)="state.character",
  RIGHT(B1756,6)=".maxed"
 ),
 0,
 LET(
  sort,
   _xlfn.XLOOKUP(
    B1756,
    tblChecklist[TargetID],
    tblChecklist[PlayerSort],
    0
   ),
  IF(sort=0,500,sort)
 )
)</f>
        <v>500</v>
      </c>
      <c r="I1756" s="49" t="str">
        <f t="array" ref="I1756">_xlfn.XLOOKUP(
 B1756,
 tblTargetStatus[TargetID],
 tblTargetStatus[Status],
 ""
)</f>
        <v>BLOCKED</v>
      </c>
      <c r="J1756" s="45" t="b">
        <v>0</v>
      </c>
    </row>
    <row r="1757" ht="14.25" hidden="1" customHeight="1">
      <c r="A1757" s="49" t="s">
        <v>3452</v>
      </c>
      <c r="B1757" s="49" t="str">
        <f>IFERROR(__xludf.DUMMYFUNCTION("REGEXREPLACE(
 REGEXREPLACE(A1757,""^cost\."",""""),
 ""\.[^.]+\.[^.]+$"",
 """"
)"),"tech.smithy.sword_for_a_hero_lvl_1")</f>
        <v>tech.smithy.sword_for_a_hero_lvl_1</v>
      </c>
      <c r="C1757" s="49" t="str">
        <f t="array" ref="C1757">_xlfn.XLOOKUP(
 B1757,
 tblTargets[TargetID],
 tblTargets[DisplayName],
 ""
)</f>
        <v>Smithy - Sword For A Hero Lvl 1</v>
      </c>
      <c r="D1757" s="49" t="str">
        <f t="array" ref="D1757">_xlfn.XLOOKUP(
 B1757,
 tblTargets[TargetID],
 tblTargets[TargetType],
 ""
)</f>
        <v>TECH</v>
      </c>
      <c r="E1757" s="49" t="s">
        <v>283</v>
      </c>
      <c r="F1757" s="49">
        <v>1.0</v>
      </c>
      <c r="G1757" s="49">
        <f t="array" ref="G1757">_xlfn.XLOOKUP(
 A1757,
 tblCost[RequirementID],
 tblCost[QuantityRequired],
 ""
)</f>
        <v>50</v>
      </c>
      <c r="H1757" s="49">
        <f t="array" ref="H1757">IF(
 OR(
  LEFT(B1757,15)="state.character",
  RIGHT(B1757,6)=".maxed"
 ),
 0,
 LET(
  sort,
   _xlfn.XLOOKUP(
    B1757,
    tblChecklist[TargetID],
    tblChecklist[PlayerSort],
    0
   ),
  IF(sort=0,500,sort)
 )
)</f>
        <v>500</v>
      </c>
      <c r="I1757" s="49" t="str">
        <f t="array" ref="I1757">_xlfn.XLOOKUP(
 B1757,
 tblTargetStatus[TargetID],
 tblTargetStatus[Status],
 ""
)</f>
        <v>BLOCKED</v>
      </c>
      <c r="J1757" s="45" t="b">
        <v>0</v>
      </c>
    </row>
    <row r="1758" ht="14.25" hidden="1" customHeight="1">
      <c r="A1758" s="49" t="s">
        <v>3453</v>
      </c>
      <c r="B1758" s="49" t="str">
        <f>IFERROR(__xludf.DUMMYFUNCTION("REGEXREPLACE(
 REGEXREPLACE(A1758,""^cost\."",""""),
 ""\.[^.]+\.[^.]+$"",
 """"
)"),"tech.smithy.sword_for_a_hero_lvl_1")</f>
        <v>tech.smithy.sword_for_a_hero_lvl_1</v>
      </c>
      <c r="C1758" s="49" t="str">
        <f t="array" ref="C1758">_xlfn.XLOOKUP(
 B1758,
 tblTargets[TargetID],
 tblTargets[DisplayName],
 ""
)</f>
        <v>Smithy - Sword For A Hero Lvl 1</v>
      </c>
      <c r="D1758" s="49" t="str">
        <f t="array" ref="D1758">_xlfn.XLOOKUP(
 B1758,
 tblTargets[TargetID],
 tblTargets[TargetType],
 ""
)</f>
        <v>TECH</v>
      </c>
      <c r="E1758" s="49" t="s">
        <v>119</v>
      </c>
      <c r="F1758" s="49">
        <v>1.0</v>
      </c>
      <c r="G1758" s="49">
        <f t="array" ref="G1758">_xlfn.XLOOKUP(
 A1758,
 tblCost[RequirementID],
 tblCost[QuantityRequired],
 ""
)</f>
        <v>300</v>
      </c>
      <c r="H1758" s="49">
        <f t="array" ref="H1758">IF(
 OR(
  LEFT(B1758,15)="state.character",
  RIGHT(B1758,6)=".maxed"
 ),
 0,
 LET(
  sort,
   _xlfn.XLOOKUP(
    B1758,
    tblChecklist[TargetID],
    tblChecklist[PlayerSort],
    0
   ),
  IF(sort=0,500,sort)
 )
)</f>
        <v>500</v>
      </c>
      <c r="I1758" s="49" t="str">
        <f t="array" ref="I1758">_xlfn.XLOOKUP(
 B1758,
 tblTargetStatus[TargetID],
 tblTargetStatus[Status],
 ""
)</f>
        <v>BLOCKED</v>
      </c>
      <c r="J1758" s="45" t="b">
        <v>0</v>
      </c>
    </row>
    <row r="1759" ht="14.25" hidden="1" customHeight="1">
      <c r="A1759" s="49" t="s">
        <v>3454</v>
      </c>
      <c r="B1759" s="49" t="str">
        <f>IFERROR(__xludf.DUMMYFUNCTION("REGEXREPLACE(
 REGEXREPLACE(A1759,""^cost\."",""""),
 ""\.[^.]+\.[^.]+$"",
 """"
)"),"tech.smithy.sword_for_a_hero_lvl_1")</f>
        <v>tech.smithy.sword_for_a_hero_lvl_1</v>
      </c>
      <c r="C1759" s="49" t="str">
        <f t="array" ref="C1759">_xlfn.XLOOKUP(
 B1759,
 tblTargets[TargetID],
 tblTargets[DisplayName],
 ""
)</f>
        <v>Smithy - Sword For A Hero Lvl 1</v>
      </c>
      <c r="D1759" s="49" t="str">
        <f t="array" ref="D1759">_xlfn.XLOOKUP(
 B1759,
 tblTargets[TargetID],
 tblTargets[TargetType],
 ""
)</f>
        <v>TECH</v>
      </c>
      <c r="E1759" s="49" t="s">
        <v>126</v>
      </c>
      <c r="F1759" s="49">
        <v>1.0</v>
      </c>
      <c r="G1759" s="49">
        <f t="array" ref="G1759">_xlfn.XLOOKUP(
 A1759,
 tblCost[RequirementID],
 tblCost[QuantityRequired],
 ""
)</f>
        <v>40</v>
      </c>
      <c r="H1759" s="49">
        <f t="array" ref="H1759">IF(
 OR(
  LEFT(B1759,15)="state.character",
  RIGHT(B1759,6)=".maxed"
 ),
 0,
 LET(
  sort,
   _xlfn.XLOOKUP(
    B1759,
    tblChecklist[TargetID],
    tblChecklist[PlayerSort],
    0
   ),
  IF(sort=0,500,sort)
 )
)</f>
        <v>500</v>
      </c>
      <c r="I1759" s="49" t="str">
        <f t="array" ref="I1759">_xlfn.XLOOKUP(
 B1759,
 tblTargetStatus[TargetID],
 tblTargetStatus[Status],
 ""
)</f>
        <v>BLOCKED</v>
      </c>
      <c r="J1759" s="45" t="b">
        <v>0</v>
      </c>
    </row>
    <row r="1760" ht="14.25" hidden="1" customHeight="1">
      <c r="A1760" s="49" t="s">
        <v>3455</v>
      </c>
      <c r="B1760" s="49" t="str">
        <f>IFERROR(__xludf.DUMMYFUNCTION("REGEXREPLACE(
 REGEXREPLACE(A1760,""^cost\."",""""),
 ""\.[^.]+\.[^.]+$"",
 """"
)"),"tech.smithy.sword_for_a_hero_lvl_1")</f>
        <v>tech.smithy.sword_for_a_hero_lvl_1</v>
      </c>
      <c r="C1760" s="49" t="str">
        <f t="array" ref="C1760">_xlfn.XLOOKUP(
 B1760,
 tblTargets[TargetID],
 tblTargets[DisplayName],
 ""
)</f>
        <v>Smithy - Sword For A Hero Lvl 1</v>
      </c>
      <c r="D1760" s="49" t="str">
        <f t="array" ref="D1760">_xlfn.XLOOKUP(
 B1760,
 tblTargets[TargetID],
 tblTargets[TargetType],
 ""
)</f>
        <v>TECH</v>
      </c>
      <c r="E1760" s="49" t="s">
        <v>132</v>
      </c>
      <c r="F1760" s="49">
        <v>1.0</v>
      </c>
      <c r="G1760" s="49">
        <f t="array" ref="G1760">_xlfn.XLOOKUP(
 A1760,
 tblCost[RequirementID],
 tblCost[QuantityRequired],
 ""
)</f>
        <v>20</v>
      </c>
      <c r="H1760" s="49">
        <f t="array" ref="H1760">IF(
 OR(
  LEFT(B1760,15)="state.character",
  RIGHT(B1760,6)=".maxed"
 ),
 0,
 LET(
  sort,
   _xlfn.XLOOKUP(
    B1760,
    tblChecklist[TargetID],
    tblChecklist[PlayerSort],
    0
   ),
  IF(sort=0,500,sort)
 )
)</f>
        <v>500</v>
      </c>
      <c r="I1760" s="49" t="str">
        <f t="array" ref="I1760">_xlfn.XLOOKUP(
 B1760,
 tblTargetStatus[TargetID],
 tblTargetStatus[Status],
 ""
)</f>
        <v>BLOCKED</v>
      </c>
      <c r="J1760" s="45" t="b">
        <v>0</v>
      </c>
    </row>
    <row r="1761" ht="14.25" hidden="1" customHeight="1">
      <c r="A1761" s="49" t="s">
        <v>3456</v>
      </c>
      <c r="B1761" s="49" t="str">
        <f>IFERROR(__xludf.DUMMYFUNCTION("REGEXREPLACE(
 REGEXREPLACE(A1761,""^cost\."",""""),
 ""\.[^.]+\.[^.]+$"",
 """"
)"),"tech.smithy.sword_for_a_hero_lvl_1")</f>
        <v>tech.smithy.sword_for_a_hero_lvl_1</v>
      </c>
      <c r="C1761" s="49" t="str">
        <f t="array" ref="C1761">_xlfn.XLOOKUP(
 B1761,
 tblTargets[TargetID],
 tblTargets[DisplayName],
 ""
)</f>
        <v>Smithy - Sword For A Hero Lvl 1</v>
      </c>
      <c r="D1761" s="49" t="str">
        <f t="array" ref="D1761">_xlfn.XLOOKUP(
 B1761,
 tblTargets[TargetID],
 tblTargets[TargetType],
 ""
)</f>
        <v>TECH</v>
      </c>
      <c r="E1761" s="49" t="s">
        <v>6</v>
      </c>
      <c r="F1761" s="49">
        <v>1.0</v>
      </c>
      <c r="G1761" s="49">
        <f t="array" ref="G1761">_xlfn.XLOOKUP(
 A1761,
 tblCost[RequirementID],
 tblCost[QuantityRequired],
 ""
)</f>
        <v>2</v>
      </c>
      <c r="H1761" s="49">
        <f t="array" ref="H1761">IF(
 OR(
  LEFT(B1761,15)="state.character",
  RIGHT(B1761,6)=".maxed"
 ),
 0,
 LET(
  sort,
   _xlfn.XLOOKUP(
    B1761,
    tblChecklist[TargetID],
    tblChecklist[PlayerSort],
    0
   ),
  IF(sort=0,500,sort)
 )
)</f>
        <v>500</v>
      </c>
      <c r="I1761" s="49" t="str">
        <f t="array" ref="I1761">_xlfn.XLOOKUP(
 B1761,
 tblTargetStatus[TargetID],
 tblTargetStatus[Status],
 ""
)</f>
        <v>BLOCKED</v>
      </c>
      <c r="J1761" s="45" t="b">
        <v>0</v>
      </c>
    </row>
    <row r="1762" ht="14.25" hidden="1" customHeight="1">
      <c r="A1762" s="49" t="s">
        <v>3457</v>
      </c>
      <c r="B1762" s="49" t="str">
        <f>IFERROR(__xludf.DUMMYFUNCTION("REGEXREPLACE(
 REGEXREPLACE(A1762,""^cost\."",""""),
 ""\.[^.]+\.[^.]+$"",
 """"
)"),"tech.smithy.sword_for_a_hero_lvl_1")</f>
        <v>tech.smithy.sword_for_a_hero_lvl_1</v>
      </c>
      <c r="C1762" s="49" t="str">
        <f t="array" ref="C1762">_xlfn.XLOOKUP(
 B1762,
 tblTargets[TargetID],
 tblTargets[DisplayName],
 ""
)</f>
        <v>Smithy - Sword For A Hero Lvl 1</v>
      </c>
      <c r="D1762" s="49" t="str">
        <f t="array" ref="D1762">_xlfn.XLOOKUP(
 B1762,
 tblTargets[TargetID],
 tblTargets[TargetType],
 ""
)</f>
        <v>TECH</v>
      </c>
      <c r="E1762" s="49" t="s">
        <v>392</v>
      </c>
      <c r="F1762" s="49">
        <v>1.0</v>
      </c>
      <c r="G1762" s="49">
        <f t="array" ref="G1762">_xlfn.XLOOKUP(
 A1762,
 tblCost[RequirementID],
 tblCost[QuantityRequired],
 ""
)</f>
        <v>50</v>
      </c>
      <c r="H1762" s="49">
        <f t="array" ref="H1762">IF(
 OR(
  LEFT(B1762,15)="state.character",
  RIGHT(B1762,6)=".maxed"
 ),
 0,
 LET(
  sort,
   _xlfn.XLOOKUP(
    B1762,
    tblChecklist[TargetID],
    tblChecklist[PlayerSort],
    0
   ),
  IF(sort=0,500,sort)
 )
)</f>
        <v>500</v>
      </c>
      <c r="I1762" s="49" t="str">
        <f t="array" ref="I1762">_xlfn.XLOOKUP(
 B1762,
 tblTargetStatus[TargetID],
 tblTargetStatus[Status],
 ""
)</f>
        <v>BLOCKED</v>
      </c>
      <c r="J1762" s="45" t="b">
        <v>0</v>
      </c>
    </row>
    <row r="1763" ht="14.25" hidden="1" customHeight="1">
      <c r="A1763" s="49" t="s">
        <v>3458</v>
      </c>
      <c r="B1763" s="49" t="str">
        <f>IFERROR(__xludf.DUMMYFUNCTION("REGEXREPLACE(
 REGEXREPLACE(A1763,""^cost\."",""""),
 ""\.[^.]+\.[^.]+$"",
 """"
)"),"tech.smithy.sword_for_a_hero_lvl_2")</f>
        <v>tech.smithy.sword_for_a_hero_lvl_2</v>
      </c>
      <c r="C1763" s="49" t="str">
        <f t="array" ref="C1763">_xlfn.XLOOKUP(
 B1763,
 tblTargets[TargetID],
 tblTargets[DisplayName],
 ""
)</f>
        <v>Smithy - Sword For A Hero Lvl 2</v>
      </c>
      <c r="D1763" s="49" t="str">
        <f t="array" ref="D1763">_xlfn.XLOOKUP(
 B1763,
 tblTargets[TargetID],
 tblTargets[TargetType],
 ""
)</f>
        <v>TECH</v>
      </c>
      <c r="E1763" s="49" t="s">
        <v>1055</v>
      </c>
      <c r="F1763" s="49">
        <v>1.0</v>
      </c>
      <c r="G1763" s="49">
        <f t="array" ref="G1763">_xlfn.XLOOKUP(
 A1763,
 tblCost[RequirementID],
 tblCost[QuantityRequired],
 ""
)</f>
        <v>15</v>
      </c>
      <c r="H1763" s="49">
        <f t="array" ref="H1763">IF(
 OR(
  LEFT(B1763,15)="state.character",
  RIGHT(B1763,6)=".maxed"
 ),
 0,
 LET(
  sort,
   _xlfn.XLOOKUP(
    B1763,
    tblChecklist[TargetID],
    tblChecklist[PlayerSort],
    0
   ),
  IF(sort=0,500,sort)
 )
)</f>
        <v>500</v>
      </c>
      <c r="I1763" s="49" t="str">
        <f t="array" ref="I1763">_xlfn.XLOOKUP(
 B1763,
 tblTargetStatus[TargetID],
 tblTargetStatus[Status],
 ""
)</f>
        <v>BLOCKED</v>
      </c>
      <c r="J1763" s="45" t="b">
        <v>0</v>
      </c>
    </row>
    <row r="1764" ht="14.25" hidden="1" customHeight="1">
      <c r="A1764" s="49" t="s">
        <v>3459</v>
      </c>
      <c r="B1764" s="49" t="str">
        <f>IFERROR(__xludf.DUMMYFUNCTION("REGEXREPLACE(
 REGEXREPLACE(A1764,""^cost\."",""""),
 ""\.[^.]+\.[^.]+$"",
 """"
)"),"tech.smithy.sword_for_a_hero_lvl_2")</f>
        <v>tech.smithy.sword_for_a_hero_lvl_2</v>
      </c>
      <c r="C1764" s="49" t="str">
        <f t="array" ref="C1764">_xlfn.XLOOKUP(
 B1764,
 tblTargets[TargetID],
 tblTargets[DisplayName],
 ""
)</f>
        <v>Smithy - Sword For A Hero Lvl 2</v>
      </c>
      <c r="D1764" s="49" t="str">
        <f t="array" ref="D1764">_xlfn.XLOOKUP(
 B1764,
 tblTargets[TargetID],
 tblTargets[TargetType],
 ""
)</f>
        <v>TECH</v>
      </c>
      <c r="E1764" s="49" t="s">
        <v>283</v>
      </c>
      <c r="F1764" s="49">
        <v>1.0</v>
      </c>
      <c r="G1764" s="49">
        <f t="array" ref="G1764">_xlfn.XLOOKUP(
 A1764,
 tblCost[RequirementID],
 tblCost[QuantityRequired],
 ""
)</f>
        <v>100</v>
      </c>
      <c r="H1764" s="49">
        <f t="array" ref="H1764">IF(
 OR(
  LEFT(B1764,15)="state.character",
  RIGHT(B1764,6)=".maxed"
 ),
 0,
 LET(
  sort,
   _xlfn.XLOOKUP(
    B1764,
    tblChecklist[TargetID],
    tblChecklist[PlayerSort],
    0
   ),
  IF(sort=0,500,sort)
 )
)</f>
        <v>500</v>
      </c>
      <c r="I1764" s="49" t="str">
        <f t="array" ref="I1764">_xlfn.XLOOKUP(
 B1764,
 tblTargetStatus[TargetID],
 tblTargetStatus[Status],
 ""
)</f>
        <v>BLOCKED</v>
      </c>
      <c r="J1764" s="45" t="b">
        <v>0</v>
      </c>
    </row>
    <row r="1765" ht="14.25" hidden="1" customHeight="1">
      <c r="A1765" s="49" t="s">
        <v>3460</v>
      </c>
      <c r="B1765" s="49" t="str">
        <f>IFERROR(__xludf.DUMMYFUNCTION("REGEXREPLACE(
 REGEXREPLACE(A1765,""^cost\."",""""),
 ""\.[^.]+\.[^.]+$"",
 """"
)"),"tech.smithy.sword_for_a_hero_lvl_2")</f>
        <v>tech.smithy.sword_for_a_hero_lvl_2</v>
      </c>
      <c r="C1765" s="49" t="str">
        <f t="array" ref="C1765">_xlfn.XLOOKUP(
 B1765,
 tblTargets[TargetID],
 tblTargets[DisplayName],
 ""
)</f>
        <v>Smithy - Sword For A Hero Lvl 2</v>
      </c>
      <c r="D1765" s="49" t="str">
        <f t="array" ref="D1765">_xlfn.XLOOKUP(
 B1765,
 tblTargets[TargetID],
 tblTargets[TargetType],
 ""
)</f>
        <v>TECH</v>
      </c>
      <c r="E1765" s="49" t="s">
        <v>119</v>
      </c>
      <c r="F1765" s="49">
        <v>1.0</v>
      </c>
      <c r="G1765" s="49">
        <f t="array" ref="G1765">_xlfn.XLOOKUP(
 A1765,
 tblCost[RequirementID],
 tblCost[QuantityRequired],
 ""
)</f>
        <v>500</v>
      </c>
      <c r="H1765" s="49">
        <f t="array" ref="H1765">IF(
 OR(
  LEFT(B1765,15)="state.character",
  RIGHT(B1765,6)=".maxed"
 ),
 0,
 LET(
  sort,
   _xlfn.XLOOKUP(
    B1765,
    tblChecklist[TargetID],
    tblChecklist[PlayerSort],
    0
   ),
  IF(sort=0,500,sort)
 )
)</f>
        <v>500</v>
      </c>
      <c r="I1765" s="49" t="str">
        <f t="array" ref="I1765">_xlfn.XLOOKUP(
 B1765,
 tblTargetStatus[TargetID],
 tblTargetStatus[Status],
 ""
)</f>
        <v>BLOCKED</v>
      </c>
      <c r="J1765" s="45" t="b">
        <v>0</v>
      </c>
    </row>
    <row r="1766" ht="14.25" hidden="1" customHeight="1">
      <c r="A1766" s="49" t="s">
        <v>3461</v>
      </c>
      <c r="B1766" s="49" t="str">
        <f>IFERROR(__xludf.DUMMYFUNCTION("REGEXREPLACE(
 REGEXREPLACE(A1766,""^cost\."",""""),
 ""\.[^.]+\.[^.]+$"",
 """"
)"),"tech.smithy.sword_for_a_hero_lvl_2")</f>
        <v>tech.smithy.sword_for_a_hero_lvl_2</v>
      </c>
      <c r="C1766" s="49" t="str">
        <f t="array" ref="C1766">_xlfn.XLOOKUP(
 B1766,
 tblTargets[TargetID],
 tblTargets[DisplayName],
 ""
)</f>
        <v>Smithy - Sword For A Hero Lvl 2</v>
      </c>
      <c r="D1766" s="49" t="str">
        <f t="array" ref="D1766">_xlfn.XLOOKUP(
 B1766,
 tblTargets[TargetID],
 tblTargets[TargetType],
 ""
)</f>
        <v>TECH</v>
      </c>
      <c r="E1766" s="49" t="s">
        <v>2135</v>
      </c>
      <c r="F1766" s="49">
        <v>1.0</v>
      </c>
      <c r="G1766" s="49">
        <f t="array" ref="G1766">_xlfn.XLOOKUP(
 A1766,
 tblCost[RequirementID],
 tblCost[QuantityRequired],
 ""
)</f>
        <v>40</v>
      </c>
      <c r="H1766" s="49">
        <f t="array" ref="H1766">IF(
 OR(
  LEFT(B1766,15)="state.character",
  RIGHT(B1766,6)=".maxed"
 ),
 0,
 LET(
  sort,
   _xlfn.XLOOKUP(
    B1766,
    tblChecklist[TargetID],
    tblChecklist[PlayerSort],
    0
   ),
  IF(sort=0,500,sort)
 )
)</f>
        <v>500</v>
      </c>
      <c r="I1766" s="49" t="str">
        <f t="array" ref="I1766">_xlfn.XLOOKUP(
 B1766,
 tblTargetStatus[TargetID],
 tblTargetStatus[Status],
 ""
)</f>
        <v>BLOCKED</v>
      </c>
      <c r="J1766" s="45" t="b">
        <v>0</v>
      </c>
    </row>
    <row r="1767" ht="14.25" hidden="1" customHeight="1">
      <c r="A1767" s="49" t="s">
        <v>3462</v>
      </c>
      <c r="B1767" s="49" t="str">
        <f>IFERROR(__xludf.DUMMYFUNCTION("REGEXREPLACE(
 REGEXREPLACE(A1767,""^cost\."",""""),
 ""\.[^.]+\.[^.]+$"",
 """"
)"),"tech.smithy.sword_for_a_hero_lvl_2")</f>
        <v>tech.smithy.sword_for_a_hero_lvl_2</v>
      </c>
      <c r="C1767" s="49" t="str">
        <f t="array" ref="C1767">_xlfn.XLOOKUP(
 B1767,
 tblTargets[TargetID],
 tblTargets[DisplayName],
 ""
)</f>
        <v>Smithy - Sword For A Hero Lvl 2</v>
      </c>
      <c r="D1767" s="49" t="str">
        <f t="array" ref="D1767">_xlfn.XLOOKUP(
 B1767,
 tblTargets[TargetID],
 tblTargets[TargetType],
 ""
)</f>
        <v>TECH</v>
      </c>
      <c r="E1767" s="49" t="s">
        <v>6</v>
      </c>
      <c r="F1767" s="49">
        <v>1.0</v>
      </c>
      <c r="G1767" s="49">
        <f t="array" ref="G1767">_xlfn.XLOOKUP(
 A1767,
 tblCost[RequirementID],
 tblCost[QuantityRequired],
 ""
)</f>
        <v>3</v>
      </c>
      <c r="H1767" s="49">
        <f t="array" ref="H1767">IF(
 OR(
  LEFT(B1767,15)="state.character",
  RIGHT(B1767,6)=".maxed"
 ),
 0,
 LET(
  sort,
   _xlfn.XLOOKUP(
    B1767,
    tblChecklist[TargetID],
    tblChecklist[PlayerSort],
    0
   ),
  IF(sort=0,500,sort)
 )
)</f>
        <v>500</v>
      </c>
      <c r="I1767" s="49" t="str">
        <f t="array" ref="I1767">_xlfn.XLOOKUP(
 B1767,
 tblTargetStatus[TargetID],
 tblTargetStatus[Status],
 ""
)</f>
        <v>BLOCKED</v>
      </c>
      <c r="J1767" s="45" t="b">
        <v>0</v>
      </c>
    </row>
    <row r="1768" ht="14.25" hidden="1" customHeight="1">
      <c r="A1768" s="49" t="s">
        <v>3463</v>
      </c>
      <c r="B1768" s="49" t="str">
        <f>IFERROR(__xludf.DUMMYFUNCTION("REGEXREPLACE(
 REGEXREPLACE(A1768,""^cost\."",""""),
 ""\.[^.]+\.[^.]+$"",
 """"
)"),"tech.smithy.sword_for_a_hero_lvl_2")</f>
        <v>tech.smithy.sword_for_a_hero_lvl_2</v>
      </c>
      <c r="C1768" s="49" t="str">
        <f t="array" ref="C1768">_xlfn.XLOOKUP(
 B1768,
 tblTargets[TargetID],
 tblTargets[DisplayName],
 ""
)</f>
        <v>Smithy - Sword For A Hero Lvl 2</v>
      </c>
      <c r="D1768" s="49" t="str">
        <f t="array" ref="D1768">_xlfn.XLOOKUP(
 B1768,
 tblTargets[TargetID],
 tblTargets[TargetType],
 ""
)</f>
        <v>TECH</v>
      </c>
      <c r="E1768" s="49" t="s">
        <v>392</v>
      </c>
      <c r="F1768" s="49">
        <v>1.0</v>
      </c>
      <c r="G1768" s="49">
        <f t="array" ref="G1768">_xlfn.XLOOKUP(
 A1768,
 tblCost[RequirementID],
 tblCost[QuantityRequired],
 ""
)</f>
        <v>100</v>
      </c>
      <c r="H1768" s="49">
        <f t="array" ref="H1768">IF(
 OR(
  LEFT(B1768,15)="state.character",
  RIGHT(B1768,6)=".maxed"
 ),
 0,
 LET(
  sort,
   _xlfn.XLOOKUP(
    B1768,
    tblChecklist[TargetID],
    tblChecklist[PlayerSort],
    0
   ),
  IF(sort=0,500,sort)
 )
)</f>
        <v>500</v>
      </c>
      <c r="I1768" s="49" t="str">
        <f t="array" ref="I1768">_xlfn.XLOOKUP(
 B1768,
 tblTargetStatus[TargetID],
 tblTargetStatus[Status],
 ""
)</f>
        <v>BLOCKED</v>
      </c>
      <c r="J1768" s="45" t="b">
        <v>0</v>
      </c>
    </row>
    <row r="1769" ht="14.25" hidden="1" customHeight="1">
      <c r="A1769" s="49" t="s">
        <v>3464</v>
      </c>
      <c r="B1769" s="49" t="str">
        <f>IFERROR(__xludf.DUMMYFUNCTION("REGEXREPLACE(
 REGEXREPLACE(A1769,""^cost\."",""""),
 ""\.[^.]+\.[^.]+$"",
 """"
)"),"tech.smithy.sword_for_a_hero_lvl_3")</f>
        <v>tech.smithy.sword_for_a_hero_lvl_3</v>
      </c>
      <c r="C1769" s="49" t="str">
        <f t="array" ref="C1769">_xlfn.XLOOKUP(
 B1769,
 tblTargets[TargetID],
 tblTargets[DisplayName],
 ""
)</f>
        <v>Smithy - Sword For A Hero Lvl 3</v>
      </c>
      <c r="D1769" s="49" t="str">
        <f t="array" ref="D1769">_xlfn.XLOOKUP(
 B1769,
 tblTargets[TargetID],
 tblTargets[TargetType],
 ""
)</f>
        <v>TECH</v>
      </c>
      <c r="E1769" s="49" t="s">
        <v>1055</v>
      </c>
      <c r="F1769" s="49">
        <v>1.0</v>
      </c>
      <c r="G1769" s="49">
        <f t="array" ref="G1769">_xlfn.XLOOKUP(
 A1769,
 tblCost[RequirementID],
 tblCost[QuantityRequired],
 ""
)</f>
        <v>20</v>
      </c>
      <c r="H1769" s="49">
        <f t="array" ref="H1769">IF(
 OR(
  LEFT(B1769,15)="state.character",
  RIGHT(B1769,6)=".maxed"
 ),
 0,
 LET(
  sort,
   _xlfn.XLOOKUP(
    B1769,
    tblChecklist[TargetID],
    tblChecklist[PlayerSort],
    0
   ),
  IF(sort=0,500,sort)
 )
)</f>
        <v>500</v>
      </c>
      <c r="I1769" s="49" t="str">
        <f t="array" ref="I1769">_xlfn.XLOOKUP(
 B1769,
 tblTargetStatus[TargetID],
 tblTargetStatus[Status],
 ""
)</f>
        <v>BLOCKED</v>
      </c>
      <c r="J1769" s="45" t="b">
        <v>0</v>
      </c>
    </row>
    <row r="1770" ht="14.25" hidden="1" customHeight="1">
      <c r="A1770" s="49" t="s">
        <v>3465</v>
      </c>
      <c r="B1770" s="49" t="str">
        <f>IFERROR(__xludf.DUMMYFUNCTION("REGEXREPLACE(
 REGEXREPLACE(A1770,""^cost\."",""""),
 ""\.[^.]+\.[^.]+$"",
 """"
)"),"tech.smithy.sword_for_a_hero_lvl_3")</f>
        <v>tech.smithy.sword_for_a_hero_lvl_3</v>
      </c>
      <c r="C1770" s="49" t="str">
        <f t="array" ref="C1770">_xlfn.XLOOKUP(
 B1770,
 tblTargets[TargetID],
 tblTargets[DisplayName],
 ""
)</f>
        <v>Smithy - Sword For A Hero Lvl 3</v>
      </c>
      <c r="D1770" s="49" t="str">
        <f t="array" ref="D1770">_xlfn.XLOOKUP(
 B1770,
 tblTargets[TargetID],
 tblTargets[TargetType],
 ""
)</f>
        <v>TECH</v>
      </c>
      <c r="E1770" s="49" t="s">
        <v>283</v>
      </c>
      <c r="F1770" s="49">
        <v>1.0</v>
      </c>
      <c r="G1770" s="49">
        <f t="array" ref="G1770">_xlfn.XLOOKUP(
 A1770,
 tblCost[RequirementID],
 tblCost[QuantityRequired],
 ""
)</f>
        <v>200</v>
      </c>
      <c r="H1770" s="49">
        <f t="array" ref="H1770">IF(
 OR(
  LEFT(B1770,15)="state.character",
  RIGHT(B1770,6)=".maxed"
 ),
 0,
 LET(
  sort,
   _xlfn.XLOOKUP(
    B1770,
    tblChecklist[TargetID],
    tblChecklist[PlayerSort],
    0
   ),
  IF(sort=0,500,sort)
 )
)</f>
        <v>500</v>
      </c>
      <c r="I1770" s="49" t="str">
        <f t="array" ref="I1770">_xlfn.XLOOKUP(
 B1770,
 tblTargetStatus[TargetID],
 tblTargetStatus[Status],
 ""
)</f>
        <v>BLOCKED</v>
      </c>
      <c r="J1770" s="45" t="b">
        <v>0</v>
      </c>
    </row>
    <row r="1771" ht="14.25" hidden="1" customHeight="1">
      <c r="A1771" s="49" t="s">
        <v>3466</v>
      </c>
      <c r="B1771" s="49" t="str">
        <f>IFERROR(__xludf.DUMMYFUNCTION("REGEXREPLACE(
 REGEXREPLACE(A1771,""^cost\."",""""),
 ""\.[^.]+\.[^.]+$"",
 """"
)"),"tech.smithy.sword_for_a_hero_lvl_3")</f>
        <v>tech.smithy.sword_for_a_hero_lvl_3</v>
      </c>
      <c r="C1771" s="49" t="str">
        <f t="array" ref="C1771">_xlfn.XLOOKUP(
 B1771,
 tblTargets[TargetID],
 tblTargets[DisplayName],
 ""
)</f>
        <v>Smithy - Sword For A Hero Lvl 3</v>
      </c>
      <c r="D1771" s="49" t="str">
        <f t="array" ref="D1771">_xlfn.XLOOKUP(
 B1771,
 tblTargets[TargetID],
 tblTargets[TargetType],
 ""
)</f>
        <v>TECH</v>
      </c>
      <c r="E1771" s="49" t="s">
        <v>119</v>
      </c>
      <c r="F1771" s="49">
        <v>1.0</v>
      </c>
      <c r="G1771" s="49">
        <f t="array" ref="G1771">_xlfn.XLOOKUP(
 A1771,
 tblCost[RequirementID],
 tblCost[QuantityRequired],
 ""
)</f>
        <v>1000</v>
      </c>
      <c r="H1771" s="49">
        <f t="array" ref="H1771">IF(
 OR(
  LEFT(B1771,15)="state.character",
  RIGHT(B1771,6)=".maxed"
 ),
 0,
 LET(
  sort,
   _xlfn.XLOOKUP(
    B1771,
    tblChecklist[TargetID],
    tblChecklist[PlayerSort],
    0
   ),
  IF(sort=0,500,sort)
 )
)</f>
        <v>500</v>
      </c>
      <c r="I1771" s="49" t="str">
        <f t="array" ref="I1771">_xlfn.XLOOKUP(
 B1771,
 tblTargetStatus[TargetID],
 tblTargetStatus[Status],
 ""
)</f>
        <v>BLOCKED</v>
      </c>
      <c r="J1771" s="45" t="b">
        <v>0</v>
      </c>
    </row>
    <row r="1772" ht="14.25" hidden="1" customHeight="1">
      <c r="A1772" s="49" t="s">
        <v>3467</v>
      </c>
      <c r="B1772" s="49" t="str">
        <f>IFERROR(__xludf.DUMMYFUNCTION("REGEXREPLACE(
 REGEXREPLACE(A1772,""^cost\."",""""),
 ""\.[^.]+\.[^.]+$"",
 """"
)"),"tech.smithy.sword_for_a_hero_lvl_3")</f>
        <v>tech.smithy.sword_for_a_hero_lvl_3</v>
      </c>
      <c r="C1772" s="49" t="str">
        <f t="array" ref="C1772">_xlfn.XLOOKUP(
 B1772,
 tblTargets[TargetID],
 tblTargets[DisplayName],
 ""
)</f>
        <v>Smithy - Sword For A Hero Lvl 3</v>
      </c>
      <c r="D1772" s="49" t="str">
        <f t="array" ref="D1772">_xlfn.XLOOKUP(
 B1772,
 tblTargets[TargetID],
 tblTargets[TargetType],
 ""
)</f>
        <v>TECH</v>
      </c>
      <c r="E1772" s="49" t="s">
        <v>2135</v>
      </c>
      <c r="F1772" s="49">
        <v>1.0</v>
      </c>
      <c r="G1772" s="49">
        <f t="array" ref="G1772">_xlfn.XLOOKUP(
 A1772,
 tblCost[RequirementID],
 tblCost[QuantityRequired],
 ""
)</f>
        <v>60</v>
      </c>
      <c r="H1772" s="49">
        <f t="array" ref="H1772">IF(
 OR(
  LEFT(B1772,15)="state.character",
  RIGHT(B1772,6)=".maxed"
 ),
 0,
 LET(
  sort,
   _xlfn.XLOOKUP(
    B1772,
    tblChecklist[TargetID],
    tblChecklist[PlayerSort],
    0
   ),
  IF(sort=0,500,sort)
 )
)</f>
        <v>500</v>
      </c>
      <c r="I1772" s="49" t="str">
        <f t="array" ref="I1772">_xlfn.XLOOKUP(
 B1772,
 tblTargetStatus[TargetID],
 tblTargetStatus[Status],
 ""
)</f>
        <v>BLOCKED</v>
      </c>
      <c r="J1772" s="45" t="b">
        <v>0</v>
      </c>
    </row>
    <row r="1773" ht="14.25" hidden="1" customHeight="1">
      <c r="A1773" s="49" t="s">
        <v>3468</v>
      </c>
      <c r="B1773" s="49" t="str">
        <f>IFERROR(__xludf.DUMMYFUNCTION("REGEXREPLACE(
 REGEXREPLACE(A1773,""^cost\."",""""),
 ""\.[^.]+\.[^.]+$"",
 """"
)"),"tech.smithy.sword_for_a_hero_lvl_3")</f>
        <v>tech.smithy.sword_for_a_hero_lvl_3</v>
      </c>
      <c r="C1773" s="49" t="str">
        <f t="array" ref="C1773">_xlfn.XLOOKUP(
 B1773,
 tblTargets[TargetID],
 tblTargets[DisplayName],
 ""
)</f>
        <v>Smithy - Sword For A Hero Lvl 3</v>
      </c>
      <c r="D1773" s="49" t="str">
        <f t="array" ref="D1773">_xlfn.XLOOKUP(
 B1773,
 tblTargets[TargetID],
 tblTargets[TargetType],
 ""
)</f>
        <v>TECH</v>
      </c>
      <c r="E1773" s="49" t="s">
        <v>6</v>
      </c>
      <c r="F1773" s="49">
        <v>1.0</v>
      </c>
      <c r="G1773" s="49">
        <f t="array" ref="G1773">_xlfn.XLOOKUP(
 A1773,
 tblCost[RequirementID],
 tblCost[QuantityRequired],
 ""
)</f>
        <v>5</v>
      </c>
      <c r="H1773" s="49">
        <f t="array" ref="H1773">IF(
 OR(
  LEFT(B1773,15)="state.character",
  RIGHT(B1773,6)=".maxed"
 ),
 0,
 LET(
  sort,
   _xlfn.XLOOKUP(
    B1773,
    tblChecklist[TargetID],
    tblChecklist[PlayerSort],
    0
   ),
  IF(sort=0,500,sort)
 )
)</f>
        <v>500</v>
      </c>
      <c r="I1773" s="49" t="str">
        <f t="array" ref="I1773">_xlfn.XLOOKUP(
 B1773,
 tblTargetStatus[TargetID],
 tblTargetStatus[Status],
 ""
)</f>
        <v>BLOCKED</v>
      </c>
      <c r="J1773" s="45" t="b">
        <v>0</v>
      </c>
    </row>
    <row r="1774" ht="14.25" hidden="1" customHeight="1">
      <c r="A1774" s="49" t="s">
        <v>3469</v>
      </c>
      <c r="B1774" s="49" t="str">
        <f>IFERROR(__xludf.DUMMYFUNCTION("REGEXREPLACE(
 REGEXREPLACE(A1774,""^cost\."",""""),
 ""\.[^.]+\.[^.]+$"",
 """"
)"),"tech.smithy.sword_for_a_hero_lvl_3")</f>
        <v>tech.smithy.sword_for_a_hero_lvl_3</v>
      </c>
      <c r="C1774" s="49" t="str">
        <f t="array" ref="C1774">_xlfn.XLOOKUP(
 B1774,
 tblTargets[TargetID],
 tblTargets[DisplayName],
 ""
)</f>
        <v>Smithy - Sword For A Hero Lvl 3</v>
      </c>
      <c r="D1774" s="49" t="str">
        <f t="array" ref="D1774">_xlfn.XLOOKUP(
 B1774,
 tblTargets[TargetID],
 tblTargets[TargetType],
 ""
)</f>
        <v>TECH</v>
      </c>
      <c r="E1774" s="49" t="s">
        <v>392</v>
      </c>
      <c r="F1774" s="49">
        <v>1.0</v>
      </c>
      <c r="G1774" s="49">
        <f t="array" ref="G1774">_xlfn.XLOOKUP(
 A1774,
 tblCost[RequirementID],
 tblCost[QuantityRequired],
 ""
)</f>
        <v>200</v>
      </c>
      <c r="H1774" s="49">
        <f t="array" ref="H1774">IF(
 OR(
  LEFT(B1774,15)="state.character",
  RIGHT(B1774,6)=".maxed"
 ),
 0,
 LET(
  sort,
   _xlfn.XLOOKUP(
    B1774,
    tblChecklist[TargetID],
    tblChecklist[PlayerSort],
    0
   ),
  IF(sort=0,500,sort)
 )
)</f>
        <v>500</v>
      </c>
      <c r="I1774" s="49" t="str">
        <f t="array" ref="I1774">_xlfn.XLOOKUP(
 B1774,
 tblTargetStatus[TargetID],
 tblTargetStatus[Status],
 ""
)</f>
        <v>BLOCKED</v>
      </c>
      <c r="J1774" s="45" t="b">
        <v>0</v>
      </c>
    </row>
    <row r="1775" ht="14.25" hidden="1" customHeight="1">
      <c r="A1775" s="49" t="s">
        <v>3470</v>
      </c>
      <c r="B1775" s="49" t="str">
        <f>IFERROR(__xludf.DUMMYFUNCTION("REGEXREPLACE(
 REGEXREPLACE(A1775,""^cost\."",""""),
 ""\.[^.]+\.[^.]+$"",
 """"
)"),"tech.smithy.sword_for_a_hero_lvl_4")</f>
        <v>tech.smithy.sword_for_a_hero_lvl_4</v>
      </c>
      <c r="C1775" s="49" t="str">
        <f t="array" ref="C1775">_xlfn.XLOOKUP(
 B1775,
 tblTargets[TargetID],
 tblTargets[DisplayName],
 ""
)</f>
        <v>Smithy - Sword For A Hero Lvl 4</v>
      </c>
      <c r="D1775" s="49" t="str">
        <f t="array" ref="D1775">_xlfn.XLOOKUP(
 B1775,
 tblTargets[TargetID],
 tblTargets[TargetType],
 ""
)</f>
        <v>TECH</v>
      </c>
      <c r="E1775" s="49" t="s">
        <v>1055</v>
      </c>
      <c r="F1775" s="49">
        <v>1.0</v>
      </c>
      <c r="G1775" s="49">
        <f t="array" ref="G1775">_xlfn.XLOOKUP(
 A1775,
 tblCost[RequirementID],
 tblCost[QuantityRequired],
 ""
)</f>
        <v>40</v>
      </c>
      <c r="H1775" s="49">
        <f t="array" ref="H1775">IF(
 OR(
  LEFT(B1775,15)="state.character",
  RIGHT(B1775,6)=".maxed"
 ),
 0,
 LET(
  sort,
   _xlfn.XLOOKUP(
    B1775,
    tblChecklist[TargetID],
    tblChecklist[PlayerSort],
    0
   ),
  IF(sort=0,500,sort)
 )
)</f>
        <v>500</v>
      </c>
      <c r="I1775" s="49" t="str">
        <f t="array" ref="I1775">_xlfn.XLOOKUP(
 B1775,
 tblTargetStatus[TargetID],
 tblTargetStatus[Status],
 ""
)</f>
        <v>BLOCKED</v>
      </c>
      <c r="J1775" s="45" t="b">
        <v>0</v>
      </c>
    </row>
    <row r="1776" ht="14.25" hidden="1" customHeight="1">
      <c r="A1776" s="49" t="s">
        <v>3471</v>
      </c>
      <c r="B1776" s="49" t="str">
        <f>IFERROR(__xludf.DUMMYFUNCTION("REGEXREPLACE(
 REGEXREPLACE(A1776,""^cost\."",""""),
 ""\.[^.]+\.[^.]+$"",
 """"
)"),"tech.smithy.sword_for_a_hero_lvl_4")</f>
        <v>tech.smithy.sword_for_a_hero_lvl_4</v>
      </c>
      <c r="C1776" s="49" t="str">
        <f t="array" ref="C1776">_xlfn.XLOOKUP(
 B1776,
 tblTargets[TargetID],
 tblTargets[DisplayName],
 ""
)</f>
        <v>Smithy - Sword For A Hero Lvl 4</v>
      </c>
      <c r="D1776" s="49" t="str">
        <f t="array" ref="D1776">_xlfn.XLOOKUP(
 B1776,
 tblTargets[TargetID],
 tblTargets[TargetType],
 ""
)</f>
        <v>TECH</v>
      </c>
      <c r="E1776" s="49" t="s">
        <v>119</v>
      </c>
      <c r="F1776" s="49">
        <v>1.0</v>
      </c>
      <c r="G1776" s="49">
        <f t="array" ref="G1776">_xlfn.XLOOKUP(
 A1776,
 tblCost[RequirementID],
 tblCost[QuantityRequired],
 ""
)</f>
        <v>1000</v>
      </c>
      <c r="H1776" s="49">
        <f t="array" ref="H1776">IF(
 OR(
  LEFT(B1776,15)="state.character",
  RIGHT(B1776,6)=".maxed"
 ),
 0,
 LET(
  sort,
   _xlfn.XLOOKUP(
    B1776,
    tblChecklist[TargetID],
    tblChecklist[PlayerSort],
    0
   ),
  IF(sort=0,500,sort)
 )
)</f>
        <v>500</v>
      </c>
      <c r="I1776" s="49" t="str">
        <f t="array" ref="I1776">_xlfn.XLOOKUP(
 B1776,
 tblTargetStatus[TargetID],
 tblTargetStatus[Status],
 ""
)</f>
        <v>BLOCKED</v>
      </c>
      <c r="J1776" s="45" t="b">
        <v>0</v>
      </c>
    </row>
    <row r="1777" ht="14.25" hidden="1" customHeight="1">
      <c r="A1777" s="49" t="s">
        <v>3472</v>
      </c>
      <c r="B1777" s="49" t="str">
        <f>IFERROR(__xludf.DUMMYFUNCTION("REGEXREPLACE(
 REGEXREPLACE(A1777,""^cost\."",""""),
 ""\.[^.]+\.[^.]+$"",
 """"
)"),"tech.smithy.sword_for_a_hero_lvl_4")</f>
        <v>tech.smithy.sword_for_a_hero_lvl_4</v>
      </c>
      <c r="C1777" s="49" t="str">
        <f t="array" ref="C1777">_xlfn.XLOOKUP(
 B1777,
 tblTargets[TargetID],
 tblTargets[DisplayName],
 ""
)</f>
        <v>Smithy - Sword For A Hero Lvl 4</v>
      </c>
      <c r="D1777" s="49" t="str">
        <f t="array" ref="D1777">_xlfn.XLOOKUP(
 B1777,
 tblTargets[TargetID],
 tblTargets[TargetType],
 ""
)</f>
        <v>TECH</v>
      </c>
      <c r="E1777" s="49" t="s">
        <v>179</v>
      </c>
      <c r="F1777" s="49">
        <v>1.0</v>
      </c>
      <c r="G1777" s="49">
        <f t="array" ref="G1777">_xlfn.XLOOKUP(
 A1777,
 tblCost[RequirementID],
 tblCost[QuantityRequired],
 ""
)</f>
        <v>20</v>
      </c>
      <c r="H1777" s="49">
        <f t="array" ref="H1777">IF(
 OR(
  LEFT(B1777,15)="state.character",
  RIGHT(B1777,6)=".maxed"
 ),
 0,
 LET(
  sort,
   _xlfn.XLOOKUP(
    B1777,
    tblChecklist[TargetID],
    tblChecklist[PlayerSort],
    0
   ),
  IF(sort=0,500,sort)
 )
)</f>
        <v>500</v>
      </c>
      <c r="I1777" s="49" t="str">
        <f t="array" ref="I1777">_xlfn.XLOOKUP(
 B1777,
 tblTargetStatus[TargetID],
 tblTargetStatus[Status],
 ""
)</f>
        <v>BLOCKED</v>
      </c>
      <c r="J1777" s="45" t="b">
        <v>0</v>
      </c>
    </row>
    <row r="1778" ht="14.25" hidden="1" customHeight="1">
      <c r="A1778" s="49" t="s">
        <v>3473</v>
      </c>
      <c r="B1778" s="49" t="str">
        <f>IFERROR(__xludf.DUMMYFUNCTION("REGEXREPLACE(
 REGEXREPLACE(A1778,""^cost\."",""""),
 ""\.[^.]+\.[^.]+$"",
 """"
)"),"tech.smithy.sword_for_a_hero_lvl_4")</f>
        <v>tech.smithy.sword_for_a_hero_lvl_4</v>
      </c>
      <c r="C1778" s="49" t="str">
        <f t="array" ref="C1778">_xlfn.XLOOKUP(
 B1778,
 tblTargets[TargetID],
 tblTargets[DisplayName],
 ""
)</f>
        <v>Smithy - Sword For A Hero Lvl 4</v>
      </c>
      <c r="D1778" s="49" t="str">
        <f t="array" ref="D1778">_xlfn.XLOOKUP(
 B1778,
 tblTargets[TargetID],
 tblTargets[TargetType],
 ""
)</f>
        <v>TECH</v>
      </c>
      <c r="E1778" s="49" t="s">
        <v>1078</v>
      </c>
      <c r="F1778" s="49">
        <v>1.0</v>
      </c>
      <c r="G1778" s="49">
        <f t="array" ref="G1778">_xlfn.XLOOKUP(
 A1778,
 tblCost[RequirementID],
 tblCost[QuantityRequired],
 ""
)</f>
        <v>20</v>
      </c>
      <c r="H1778" s="49">
        <f t="array" ref="H1778">IF(
 OR(
  LEFT(B1778,15)="state.character",
  RIGHT(B1778,6)=".maxed"
 ),
 0,
 LET(
  sort,
   _xlfn.XLOOKUP(
    B1778,
    tblChecklist[TargetID],
    tblChecklist[PlayerSort],
    0
   ),
  IF(sort=0,500,sort)
 )
)</f>
        <v>500</v>
      </c>
      <c r="I1778" s="49" t="str">
        <f t="array" ref="I1778">_xlfn.XLOOKUP(
 B1778,
 tblTargetStatus[TargetID],
 tblTargetStatus[Status],
 ""
)</f>
        <v>BLOCKED</v>
      </c>
      <c r="J1778" s="45" t="b">
        <v>0</v>
      </c>
    </row>
    <row r="1779" ht="14.25" hidden="1" customHeight="1">
      <c r="A1779" s="49" t="s">
        <v>3474</v>
      </c>
      <c r="B1779" s="49" t="str">
        <f>IFERROR(__xludf.DUMMYFUNCTION("REGEXREPLACE(
 REGEXREPLACE(A1779,""^cost\."",""""),
 ""\.[^.]+\.[^.]+$"",
 """"
)"),"tech.smithy.sword_for_a_hero_lvl_4")</f>
        <v>tech.smithy.sword_for_a_hero_lvl_4</v>
      </c>
      <c r="C1779" s="49" t="str">
        <f t="array" ref="C1779">_xlfn.XLOOKUP(
 B1779,
 tblTargets[TargetID],
 tblTargets[DisplayName],
 ""
)</f>
        <v>Smithy - Sword For A Hero Lvl 4</v>
      </c>
      <c r="D1779" s="49" t="str">
        <f t="array" ref="D1779">_xlfn.XLOOKUP(
 B1779,
 tblTargets[TargetID],
 tblTargets[TargetType],
 ""
)</f>
        <v>TECH</v>
      </c>
      <c r="E1779" s="49" t="s">
        <v>6</v>
      </c>
      <c r="F1779" s="49">
        <v>1.0</v>
      </c>
      <c r="G1779" s="49">
        <f t="array" ref="G1779">_xlfn.XLOOKUP(
 A1779,
 tblCost[RequirementID],
 tblCost[QuantityRequired],
 ""
)</f>
        <v>5</v>
      </c>
      <c r="H1779" s="49">
        <f t="array" ref="H1779">IF(
 OR(
  LEFT(B1779,15)="state.character",
  RIGHT(B1779,6)=".maxed"
 ),
 0,
 LET(
  sort,
   _xlfn.XLOOKUP(
    B1779,
    tblChecklist[TargetID],
    tblChecklist[PlayerSort],
    0
   ),
  IF(sort=0,500,sort)
 )
)</f>
        <v>500</v>
      </c>
      <c r="I1779" s="49" t="str">
        <f t="array" ref="I1779">_xlfn.XLOOKUP(
 B1779,
 tblTargetStatus[TargetID],
 tblTargetStatus[Status],
 ""
)</f>
        <v>BLOCKED</v>
      </c>
      <c r="J1779" s="45" t="b">
        <v>0</v>
      </c>
    </row>
    <row r="1780" ht="14.25" hidden="1" customHeight="1">
      <c r="A1780" s="49" t="s">
        <v>3475</v>
      </c>
      <c r="B1780" s="49" t="str">
        <f>IFERROR(__xludf.DUMMYFUNCTION("REGEXREPLACE(
 REGEXREPLACE(A1780,""^cost\."",""""),
 ""\.[^.]+\.[^.]+$"",
 """"
)"),"tech.smithy.sword_for_a_hero_lvl_4")</f>
        <v>tech.smithy.sword_for_a_hero_lvl_4</v>
      </c>
      <c r="C1780" s="49" t="str">
        <f t="array" ref="C1780">_xlfn.XLOOKUP(
 B1780,
 tblTargets[TargetID],
 tblTargets[DisplayName],
 ""
)</f>
        <v>Smithy - Sword For A Hero Lvl 4</v>
      </c>
      <c r="D1780" s="49" t="str">
        <f t="array" ref="D1780">_xlfn.XLOOKUP(
 B1780,
 tblTargets[TargetID],
 tblTargets[TargetType],
 ""
)</f>
        <v>TECH</v>
      </c>
      <c r="E1780" s="49" t="s">
        <v>2368</v>
      </c>
      <c r="F1780" s="49">
        <v>1.0</v>
      </c>
      <c r="G1780" s="49">
        <f t="array" ref="G1780">_xlfn.XLOOKUP(
 A1780,
 tblCost[RequirementID],
 tblCost[QuantityRequired],
 ""
)</f>
        <v>3</v>
      </c>
      <c r="H1780" s="49">
        <f t="array" ref="H1780">IF(
 OR(
  LEFT(B1780,15)="state.character",
  RIGHT(B1780,6)=".maxed"
 ),
 0,
 LET(
  sort,
   _xlfn.XLOOKUP(
    B1780,
    tblChecklist[TargetID],
    tblChecklist[PlayerSort],
    0
   ),
  IF(sort=0,500,sort)
 )
)</f>
        <v>500</v>
      </c>
      <c r="I1780" s="49" t="str">
        <f t="array" ref="I1780">_xlfn.XLOOKUP(
 B1780,
 tblTargetStatus[TargetID],
 tblTargetStatus[Status],
 ""
)</f>
        <v>BLOCKED</v>
      </c>
      <c r="J1780" s="45" t="b">
        <v>0</v>
      </c>
    </row>
    <row r="1781" ht="14.25" hidden="1" customHeight="1">
      <c r="A1781" s="49" t="s">
        <v>3476</v>
      </c>
      <c r="B1781" s="49" t="str">
        <f>IFERROR(__xludf.DUMMYFUNCTION("REGEXREPLACE(
 REGEXREPLACE(A1781,""^cost\."",""""),
 ""\.[^.]+\.[^.]+$"",
 """"
)"),"tech.smithy.sword_for_a_hero_lvl_4+")</f>
        <v>tech.smithy.sword_for_a_hero_lvl_4+</v>
      </c>
      <c r="C1781" s="49" t="str">
        <f t="array" ref="C1781">_xlfn.XLOOKUP(
 B1781,
 tblTargets[TargetID],
 tblTargets[DisplayName],
 ""
)</f>
        <v>Smithy - Sword For A Hero Lvl 4+</v>
      </c>
      <c r="D1781" s="49" t="str">
        <f t="array" ref="D1781">_xlfn.XLOOKUP(
 B1781,
 tblTargets[TargetID],
 tblTargets[TargetType],
 ""
)</f>
        <v>TECH</v>
      </c>
      <c r="E1781" s="49" t="s">
        <v>520</v>
      </c>
      <c r="F1781" s="49">
        <v>1.0</v>
      </c>
      <c r="G1781" s="49">
        <f t="array" ref="G1781">_xlfn.XLOOKUP(
 A1781,
 tblCost[RequirementID],
 tblCost[QuantityRequired],
 ""
)</f>
        <v>20</v>
      </c>
      <c r="H1781" s="49">
        <f t="array" ref="H1781">IF(
 OR(
  LEFT(B1781,15)="state.character",
  RIGHT(B1781,6)=".maxed"
 ),
 0,
 LET(
  sort,
   _xlfn.XLOOKUP(
    B1781,
    tblChecklist[TargetID],
    tblChecklist[PlayerSort],
    0
   ),
  IF(sort=0,500,sort)
 )
)</f>
        <v>500</v>
      </c>
      <c r="I1781" s="49" t="str">
        <f t="array" ref="I1781">_xlfn.XLOOKUP(
 B1781,
 tblTargetStatus[TargetID],
 tblTargetStatus[Status],
 ""
)</f>
        <v>BLOCKED</v>
      </c>
      <c r="J1781" s="45" t="b">
        <v>0</v>
      </c>
    </row>
    <row r="1782" ht="14.25" hidden="1" customHeight="1">
      <c r="A1782" s="49" t="s">
        <v>3477</v>
      </c>
      <c r="B1782" s="49" t="str">
        <f>IFERROR(__xludf.DUMMYFUNCTION("REGEXREPLACE(
 REGEXREPLACE(A1782,""^cost\."",""""),
 ""\.[^.]+\.[^.]+$"",
 """"
)"),"tech.smithy.sword_for_a_hero_lvl_4+")</f>
        <v>tech.smithy.sword_for_a_hero_lvl_4+</v>
      </c>
      <c r="C1782" s="49" t="str">
        <f t="array" ref="C1782">_xlfn.XLOOKUP(
 B1782,
 tblTargets[TargetID],
 tblTargets[DisplayName],
 ""
)</f>
        <v>Smithy - Sword For A Hero Lvl 4+</v>
      </c>
      <c r="D1782" s="49" t="str">
        <f t="array" ref="D1782">_xlfn.XLOOKUP(
 B1782,
 tblTargets[TargetID],
 tblTargets[TargetType],
 ""
)</f>
        <v>TECH</v>
      </c>
      <c r="E1782" s="49" t="s">
        <v>1497</v>
      </c>
      <c r="F1782" s="49">
        <v>1.0</v>
      </c>
      <c r="G1782" s="49">
        <f t="array" ref="G1782">_xlfn.XLOOKUP(
 A1782,
 tblCost[RequirementID],
 tblCost[QuantityRequired],
 ""
)</f>
        <v>25</v>
      </c>
      <c r="H1782" s="49">
        <f t="array" ref="H1782">IF(
 OR(
  LEFT(B1782,15)="state.character",
  RIGHT(B1782,6)=".maxed"
 ),
 0,
 LET(
  sort,
   _xlfn.XLOOKUP(
    B1782,
    tblChecklist[TargetID],
    tblChecklist[PlayerSort],
    0
   ),
  IF(sort=0,500,sort)
 )
)</f>
        <v>500</v>
      </c>
      <c r="I1782" s="49" t="str">
        <f t="array" ref="I1782">_xlfn.XLOOKUP(
 B1782,
 tblTargetStatus[TargetID],
 tblTargetStatus[Status],
 ""
)</f>
        <v>BLOCKED</v>
      </c>
      <c r="J1782" s="45" t="b">
        <v>0</v>
      </c>
    </row>
    <row r="1783" ht="14.25" hidden="1" customHeight="1">
      <c r="A1783" s="49" t="s">
        <v>3478</v>
      </c>
      <c r="B1783" s="49" t="str">
        <f>IFERROR(__xludf.DUMMYFUNCTION("REGEXREPLACE(
 REGEXREPLACE(A1783,""^cost\."",""""),
 ""\.[^.]+\.[^.]+$"",
 """"
)"),"tech.smithy.sword_for_a_hero_lvl_4+")</f>
        <v>tech.smithy.sword_for_a_hero_lvl_4+</v>
      </c>
      <c r="C1783" s="49" t="str">
        <f t="array" ref="C1783">_xlfn.XLOOKUP(
 B1783,
 tblTargets[TargetID],
 tblTargets[DisplayName],
 ""
)</f>
        <v>Smithy - Sword For A Hero Lvl 4+</v>
      </c>
      <c r="D1783" s="49" t="str">
        <f t="array" ref="D1783">_xlfn.XLOOKUP(
 B1783,
 tblTargets[TargetID],
 tblTargets[TargetType],
 ""
)</f>
        <v>TECH</v>
      </c>
      <c r="E1783" s="49" t="s">
        <v>119</v>
      </c>
      <c r="F1783" s="49">
        <v>1.0</v>
      </c>
      <c r="G1783" s="49">
        <f t="array" ref="G1783">_xlfn.XLOOKUP(
 A1783,
 tblCost[RequirementID],
 tblCost[QuantityRequired],
 ""
)</f>
        <v>1000</v>
      </c>
      <c r="H1783" s="49">
        <f t="array" ref="H1783">IF(
 OR(
  LEFT(B1783,15)="state.character",
  RIGHT(B1783,6)=".maxed"
 ),
 0,
 LET(
  sort,
   _xlfn.XLOOKUP(
    B1783,
    tblChecklist[TargetID],
    tblChecklist[PlayerSort],
    0
   ),
  IF(sort=0,500,sort)
 )
)</f>
        <v>500</v>
      </c>
      <c r="I1783" s="49" t="str">
        <f t="array" ref="I1783">_xlfn.XLOOKUP(
 B1783,
 tblTargetStatus[TargetID],
 tblTargetStatus[Status],
 ""
)</f>
        <v>BLOCKED</v>
      </c>
      <c r="J1783" s="45" t="b">
        <v>0</v>
      </c>
    </row>
    <row r="1784" ht="14.25" hidden="1" customHeight="1">
      <c r="A1784" s="49" t="s">
        <v>3479</v>
      </c>
      <c r="B1784" s="49" t="str">
        <f>IFERROR(__xludf.DUMMYFUNCTION("REGEXREPLACE(
 REGEXREPLACE(A1784,""^cost\."",""""),
 ""\.[^.]+\.[^.]+$"",
 """"
)"),"tech.smithy.sword_for_a_hero_lvl_4+")</f>
        <v>tech.smithy.sword_for_a_hero_lvl_4+</v>
      </c>
      <c r="C1784" s="49" t="str">
        <f t="array" ref="C1784">_xlfn.XLOOKUP(
 B1784,
 tblTargets[TargetID],
 tblTargets[DisplayName],
 ""
)</f>
        <v>Smithy - Sword For A Hero Lvl 4+</v>
      </c>
      <c r="D1784" s="49" t="str">
        <f t="array" ref="D1784">_xlfn.XLOOKUP(
 B1784,
 tblTargets[TargetID],
 tblTargets[TargetType],
 ""
)</f>
        <v>TECH</v>
      </c>
      <c r="E1784" s="49" t="s">
        <v>530</v>
      </c>
      <c r="F1784" s="49">
        <v>1.0</v>
      </c>
      <c r="G1784" s="49">
        <f t="array" ref="G1784">_xlfn.XLOOKUP(
 A1784,
 tblCost[RequirementID],
 tblCost[QuantityRequired],
 ""
)</f>
        <v>10</v>
      </c>
      <c r="H1784" s="49">
        <f t="array" ref="H1784">IF(
 OR(
  LEFT(B1784,15)="state.character",
  RIGHT(B1784,6)=".maxed"
 ),
 0,
 LET(
  sort,
   _xlfn.XLOOKUP(
    B1784,
    tblChecklist[TargetID],
    tblChecklist[PlayerSort],
    0
   ),
  IF(sort=0,500,sort)
 )
)</f>
        <v>500</v>
      </c>
      <c r="I1784" s="49" t="str">
        <f t="array" ref="I1784">_xlfn.XLOOKUP(
 B1784,
 tblTargetStatus[TargetID],
 tblTargetStatus[Status],
 ""
)</f>
        <v>BLOCKED</v>
      </c>
      <c r="J1784" s="45" t="b">
        <v>0</v>
      </c>
    </row>
    <row r="1785" ht="14.25" hidden="1" customHeight="1">
      <c r="A1785" s="49" t="s">
        <v>3480</v>
      </c>
      <c r="B1785" s="49" t="str">
        <f>IFERROR(__xludf.DUMMYFUNCTION("REGEXREPLACE(
 REGEXREPLACE(A1785,""^cost\."",""""),
 ""\.[^.]+\.[^.]+$"",
 """"
)"),"tech.smithy.sword_for_a_hero_lvl_4+")</f>
        <v>tech.smithy.sword_for_a_hero_lvl_4+</v>
      </c>
      <c r="C1785" s="49" t="str">
        <f t="array" ref="C1785">_xlfn.XLOOKUP(
 B1785,
 tblTargets[TargetID],
 tblTargets[DisplayName],
 ""
)</f>
        <v>Smithy - Sword For A Hero Lvl 4+</v>
      </c>
      <c r="D1785" s="49" t="str">
        <f t="array" ref="D1785">_xlfn.XLOOKUP(
 B1785,
 tblTargets[TargetID],
 tblTargets[TargetType],
 ""
)</f>
        <v>TECH</v>
      </c>
      <c r="E1785" s="49" t="s">
        <v>1456</v>
      </c>
      <c r="F1785" s="49">
        <v>1.0</v>
      </c>
      <c r="G1785" s="49">
        <f t="array" ref="G1785">_xlfn.XLOOKUP(
 A1785,
 tblCost[RequirementID],
 tblCost[QuantityRequired],
 ""
)</f>
        <v>10</v>
      </c>
      <c r="H1785" s="49">
        <f t="array" ref="H1785">IF(
 OR(
  LEFT(B1785,15)="state.character",
  RIGHT(B1785,6)=".maxed"
 ),
 0,
 LET(
  sort,
   _xlfn.XLOOKUP(
    B1785,
    tblChecklist[TargetID],
    tblChecklist[PlayerSort],
    0
   ),
  IF(sort=0,500,sort)
 )
)</f>
        <v>500</v>
      </c>
      <c r="I1785" s="49" t="str">
        <f t="array" ref="I1785">_xlfn.XLOOKUP(
 B1785,
 tblTargetStatus[TargetID],
 tblTargetStatus[Status],
 ""
)</f>
        <v>BLOCKED</v>
      </c>
      <c r="J1785" s="45" t="b">
        <v>0</v>
      </c>
    </row>
    <row r="1786" ht="14.25" hidden="1" customHeight="1">
      <c r="A1786" s="49" t="s">
        <v>3481</v>
      </c>
      <c r="B1786" s="49" t="str">
        <f>IFERROR(__xludf.DUMMYFUNCTION("REGEXREPLACE(
 REGEXREPLACE(A1786,""^cost\."",""""),
 ""\.[^.]+\.[^.]+$"",
 """"
)"),"tech.smithy.sword_for_a_hero_lvl_4+")</f>
        <v>tech.smithy.sword_for_a_hero_lvl_4+</v>
      </c>
      <c r="C1786" s="49" t="str">
        <f t="array" ref="C1786">_xlfn.XLOOKUP(
 B1786,
 tblTargets[TargetID],
 tblTargets[DisplayName],
 ""
)</f>
        <v>Smithy - Sword For A Hero Lvl 4+</v>
      </c>
      <c r="D1786" s="49" t="str">
        <f t="array" ref="D1786">_xlfn.XLOOKUP(
 B1786,
 tblTargets[TargetID],
 tblTargets[TargetType],
 ""
)</f>
        <v>TECH</v>
      </c>
      <c r="E1786" s="49" t="s">
        <v>1282</v>
      </c>
      <c r="F1786" s="49">
        <v>1.0</v>
      </c>
      <c r="G1786" s="49">
        <f t="array" ref="G1786">_xlfn.XLOOKUP(
 A1786,
 tblCost[RequirementID],
 tblCost[QuantityRequired],
 ""
)</f>
        <v>10</v>
      </c>
      <c r="H1786" s="49">
        <f t="array" ref="H1786">IF(
 OR(
  LEFT(B1786,15)="state.character",
  RIGHT(B1786,6)=".maxed"
 ),
 0,
 LET(
  sort,
   _xlfn.XLOOKUP(
    B1786,
    tblChecklist[TargetID],
    tblChecklist[PlayerSort],
    0
   ),
  IF(sort=0,500,sort)
 )
)</f>
        <v>500</v>
      </c>
      <c r="I1786" s="49" t="str">
        <f t="array" ref="I1786">_xlfn.XLOOKUP(
 B1786,
 tblTargetStatus[TargetID],
 tblTargetStatus[Status],
 ""
)</f>
        <v>BLOCKED</v>
      </c>
      <c r="J1786" s="45" t="b">
        <v>0</v>
      </c>
    </row>
    <row r="1787" ht="14.25" hidden="1" customHeight="1">
      <c r="A1787" s="49" t="s">
        <v>3482</v>
      </c>
      <c r="B1787" s="49" t="str">
        <f>IFERROR(__xludf.DUMMYFUNCTION("REGEXREPLACE(
 REGEXREPLACE(A1787,""^cost\."",""""),
 ""\.[^.]+\.[^.]+$"",
 """"
)"),"tech.smithy.sword_for_a_hero_lvl_4+")</f>
        <v>tech.smithy.sword_for_a_hero_lvl_4+</v>
      </c>
      <c r="C1787" s="49" t="str">
        <f t="array" ref="C1787">_xlfn.XLOOKUP(
 B1787,
 tblTargets[TargetID],
 tblTargets[DisplayName],
 ""
)</f>
        <v>Smithy - Sword For A Hero Lvl 4+</v>
      </c>
      <c r="D1787" s="49" t="str">
        <f t="array" ref="D1787">_xlfn.XLOOKUP(
 B1787,
 tblTargets[TargetID],
 tblTargets[TargetType],
 ""
)</f>
        <v>TECH</v>
      </c>
      <c r="E1787" s="49" t="s">
        <v>3043</v>
      </c>
      <c r="F1787" s="49">
        <v>1.0</v>
      </c>
      <c r="G1787" s="49">
        <f t="array" ref="G1787">_xlfn.XLOOKUP(
 A1787,
 tblCost[RequirementID],
 tblCost[QuantityRequired],
 ""
)</f>
        <v>1</v>
      </c>
      <c r="H1787" s="49">
        <f t="array" ref="H1787">IF(
 OR(
  LEFT(B1787,15)="state.character",
  RIGHT(B1787,6)=".maxed"
 ),
 0,
 LET(
  sort,
   _xlfn.XLOOKUP(
    B1787,
    tblChecklist[TargetID],
    tblChecklist[PlayerSort],
    0
   ),
  IF(sort=0,500,sort)
 )
)</f>
        <v>500</v>
      </c>
      <c r="I1787" s="49" t="str">
        <f t="array" ref="I1787">_xlfn.XLOOKUP(
 B1787,
 tblTargetStatus[TargetID],
 tblTargetStatus[Status],
 ""
)</f>
        <v>BLOCKED</v>
      </c>
      <c r="J1787" s="45" t="b">
        <v>0</v>
      </c>
    </row>
    <row r="1788" ht="14.25" hidden="1" customHeight="1">
      <c r="A1788" s="49" t="s">
        <v>3483</v>
      </c>
      <c r="B1788" s="49" t="str">
        <f>IFERROR(__xludf.DUMMYFUNCTION("REGEXREPLACE(
 REGEXREPLACE(A1788,""^cost\."",""""),
 ""\.[^.]+\.[^.]+$"",
 """"
)"),"tech.smithy.sword_for_a_hero_lvl_4+")</f>
        <v>tech.smithy.sword_for_a_hero_lvl_4+</v>
      </c>
      <c r="C1788" s="49" t="str">
        <f t="array" ref="C1788">_xlfn.XLOOKUP(
 B1788,
 tblTargets[TargetID],
 tblTargets[DisplayName],
 ""
)</f>
        <v>Smithy - Sword For A Hero Lvl 4+</v>
      </c>
      <c r="D1788" s="49" t="str">
        <f t="array" ref="D1788">_xlfn.XLOOKUP(
 B1788,
 tblTargets[TargetID],
 tblTargets[TargetType],
 ""
)</f>
        <v>TECH</v>
      </c>
      <c r="E1788" s="49" t="s">
        <v>6</v>
      </c>
      <c r="F1788" s="49">
        <v>1.0</v>
      </c>
      <c r="G1788" s="49">
        <f t="array" ref="G1788">_xlfn.XLOOKUP(
 A1788,
 tblCost[RequirementID],
 tblCost[QuantityRequired],
 ""
)</f>
        <v>5</v>
      </c>
      <c r="H1788" s="49">
        <f t="array" ref="H1788">IF(
 OR(
  LEFT(B1788,15)="state.character",
  RIGHT(B1788,6)=".maxed"
 ),
 0,
 LET(
  sort,
   _xlfn.XLOOKUP(
    B1788,
    tblChecklist[TargetID],
    tblChecklist[PlayerSort],
    0
   ),
  IF(sort=0,500,sort)
 )
)</f>
        <v>500</v>
      </c>
      <c r="I1788" s="49" t="str">
        <f t="array" ref="I1788">_xlfn.XLOOKUP(
 B1788,
 tblTargetStatus[TargetID],
 tblTargetStatus[Status],
 ""
)</f>
        <v>BLOCKED</v>
      </c>
      <c r="J1788" s="45" t="b">
        <v>0</v>
      </c>
    </row>
    <row r="1789" ht="14.25" hidden="1" customHeight="1">
      <c r="A1789" s="49" t="s">
        <v>3484</v>
      </c>
      <c r="B1789" s="49" t="str">
        <f>IFERROR(__xludf.DUMMYFUNCTION("REGEXREPLACE(
 REGEXREPLACE(A1789,""^cost\."",""""),
 ""\.[^.]+\.[^.]+$"",
 """"
)"),"tech.smithy.sword_for_a_hero_lvl_4+")</f>
        <v>tech.smithy.sword_for_a_hero_lvl_4+</v>
      </c>
      <c r="C1789" s="49" t="str">
        <f t="array" ref="C1789">_xlfn.XLOOKUP(
 B1789,
 tblTargets[TargetID],
 tblTargets[DisplayName],
 ""
)</f>
        <v>Smithy - Sword For A Hero Lvl 4+</v>
      </c>
      <c r="D1789" s="49" t="str">
        <f t="array" ref="D1789">_xlfn.XLOOKUP(
 B1789,
 tblTargets[TargetID],
 tblTargets[TargetType],
 ""
)</f>
        <v>TECH</v>
      </c>
      <c r="E1789" s="49" t="s">
        <v>2370</v>
      </c>
      <c r="F1789" s="49">
        <v>1.0</v>
      </c>
      <c r="G1789" s="49">
        <f t="array" ref="G1789">_xlfn.XLOOKUP(
 A1789,
 tblCost[RequirementID],
 tblCost[QuantityRequired],
 ""
)</f>
        <v>1</v>
      </c>
      <c r="H1789" s="49">
        <f t="array" ref="H1789">IF(
 OR(
  LEFT(B1789,15)="state.character",
  RIGHT(B1789,6)=".maxed"
 ),
 0,
 LET(
  sort,
   _xlfn.XLOOKUP(
    B1789,
    tblChecklist[TargetID],
    tblChecklist[PlayerSort],
    0
   ),
  IF(sort=0,500,sort)
 )
)</f>
        <v>500</v>
      </c>
      <c r="I1789" s="49" t="str">
        <f t="array" ref="I1789">_xlfn.XLOOKUP(
 B1789,
 tblTargetStatus[TargetID],
 tblTargetStatus[Status],
 ""
)</f>
        <v>BLOCKED</v>
      </c>
      <c r="J1789" s="45" t="b">
        <v>0</v>
      </c>
    </row>
    <row r="1790" ht="14.25" hidden="1" customHeight="1">
      <c r="A1790" s="49" t="s">
        <v>3448</v>
      </c>
      <c r="B1790" s="49" t="str">
        <f>IFERROR(__xludf.DUMMYFUNCTION("REGEXREPLACE(
 REGEXREPLACE(A1790,""^cost\."",""""),
 ""\.[^.]+\.[^.]+$"",
 """"
)"),"tech.smithy.throwing_knife")</f>
        <v>tech.smithy.throwing_knife</v>
      </c>
      <c r="C1790" s="49" t="str">
        <f t="array" ref="C1790">_xlfn.XLOOKUP(
 B1790,
 tblTargets[TargetID],
 tblTargets[DisplayName],
 ""
)</f>
        <v>Smithy - Throwing Knife</v>
      </c>
      <c r="D1790" s="49" t="str">
        <f t="array" ref="D1790">_xlfn.XLOOKUP(
 B1790,
 tblTargets[TargetID],
 tblTargets[TargetType],
 ""
)</f>
        <v>TECH</v>
      </c>
      <c r="E1790" s="49" t="s">
        <v>119</v>
      </c>
      <c r="F1790" s="49">
        <v>1.0</v>
      </c>
      <c r="G1790" s="49">
        <f t="array" ref="G1790">_xlfn.XLOOKUP(
 A1790,
 tblCost[RequirementID],
 tblCost[QuantityRequired],
 ""
)</f>
        <v>300</v>
      </c>
      <c r="H1790" s="49">
        <f t="array" ref="H1790">IF(
 OR(
  LEFT(B1790,15)="state.character",
  RIGHT(B1790,6)=".maxed"
 ),
 0,
 LET(
  sort,
   _xlfn.XLOOKUP(
    B1790,
    tblChecklist[TargetID],
    tblChecklist[PlayerSort],
    0
   ),
  IF(sort=0,500,sort)
 )
)</f>
        <v>500</v>
      </c>
      <c r="I1790" s="49" t="str">
        <f t="array" ref="I1790">_xlfn.XLOOKUP(
 B1790,
 tblTargetStatus[TargetID],
 tblTargetStatus[Status],
 ""
)</f>
        <v>BLOCKED</v>
      </c>
      <c r="J1790" s="45" t="b">
        <v>0</v>
      </c>
    </row>
    <row r="1791" ht="14.25" hidden="1" customHeight="1">
      <c r="A1791" s="49" t="s">
        <v>3449</v>
      </c>
      <c r="B1791" s="49" t="str">
        <f>IFERROR(__xludf.DUMMYFUNCTION("REGEXREPLACE(
 REGEXREPLACE(A1791,""^cost\."",""""),
 ""\.[^.]+\.[^.]+$"",
 """"
)"),"tech.smithy.throwing_knife")</f>
        <v>tech.smithy.throwing_knife</v>
      </c>
      <c r="C1791" s="49" t="str">
        <f t="array" ref="C1791">_xlfn.XLOOKUP(
 B1791,
 tblTargets[TargetID],
 tblTargets[DisplayName],
 ""
)</f>
        <v>Smithy - Throwing Knife</v>
      </c>
      <c r="D1791" s="49" t="str">
        <f t="array" ref="D1791">_xlfn.XLOOKUP(
 B1791,
 tblTargets[TargetID],
 tblTargets[TargetType],
 ""
)</f>
        <v>TECH</v>
      </c>
      <c r="E1791" s="49" t="s">
        <v>126</v>
      </c>
      <c r="F1791" s="49">
        <v>1.0</v>
      </c>
      <c r="G1791" s="49">
        <f t="array" ref="G1791">_xlfn.XLOOKUP(
 A1791,
 tblCost[RequirementID],
 tblCost[QuantityRequired],
 ""
)</f>
        <v>30</v>
      </c>
      <c r="H1791" s="49">
        <f t="array" ref="H1791">IF(
 OR(
  LEFT(B1791,15)="state.character",
  RIGHT(B1791,6)=".maxed"
 ),
 0,
 LET(
  sort,
   _xlfn.XLOOKUP(
    B1791,
    tblChecklist[TargetID],
    tblChecklist[PlayerSort],
    0
   ),
  IF(sort=0,500,sort)
 )
)</f>
        <v>500</v>
      </c>
      <c r="I1791" s="49" t="str">
        <f t="array" ref="I1791">_xlfn.XLOOKUP(
 B1791,
 tblTargetStatus[TargetID],
 tblTargetStatus[Status],
 ""
)</f>
        <v>BLOCKED</v>
      </c>
      <c r="J1791" s="45" t="b">
        <v>0</v>
      </c>
    </row>
    <row r="1792" ht="14.25" hidden="1" customHeight="1">
      <c r="A1792" s="49" t="s">
        <v>3450</v>
      </c>
      <c r="B1792" s="49" t="str">
        <f>IFERROR(__xludf.DUMMYFUNCTION("REGEXREPLACE(
 REGEXREPLACE(A1792,""^cost\."",""""),
 ""\.[^.]+\.[^.]+$"",
 """"
)"),"tech.smithy.throwing_knife")</f>
        <v>tech.smithy.throwing_knife</v>
      </c>
      <c r="C1792" s="49" t="str">
        <f t="array" ref="C1792">_xlfn.XLOOKUP(
 B1792,
 tblTargets[TargetID],
 tblTargets[DisplayName],
 ""
)</f>
        <v>Smithy - Throwing Knife</v>
      </c>
      <c r="D1792" s="49" t="str">
        <f t="array" ref="D1792">_xlfn.XLOOKUP(
 B1792,
 tblTargets[TargetID],
 tblTargets[TargetType],
 ""
)</f>
        <v>TECH</v>
      </c>
      <c r="E1792" s="49" t="s">
        <v>132</v>
      </c>
      <c r="F1792" s="49">
        <v>1.0</v>
      </c>
      <c r="G1792" s="49">
        <f t="array" ref="G1792">_xlfn.XLOOKUP(
 A1792,
 tblCost[RequirementID],
 tblCost[QuantityRequired],
 ""
)</f>
        <v>15</v>
      </c>
      <c r="H1792" s="49">
        <f t="array" ref="H1792">IF(
 OR(
  LEFT(B1792,15)="state.character",
  RIGHT(B1792,6)=".maxed"
 ),
 0,
 LET(
  sort,
   _xlfn.XLOOKUP(
    B1792,
    tblChecklist[TargetID],
    tblChecklist[PlayerSort],
    0
   ),
  IF(sort=0,500,sort)
 )
)</f>
        <v>500</v>
      </c>
      <c r="I1792" s="49" t="str">
        <f t="array" ref="I1792">_xlfn.XLOOKUP(
 B1792,
 tblTargetStatus[TargetID],
 tblTargetStatus[Status],
 ""
)</f>
        <v>BLOCKED</v>
      </c>
      <c r="J1792" s="45" t="b">
        <v>0</v>
      </c>
    </row>
    <row r="1793" ht="14.25" hidden="1" customHeight="1">
      <c r="A1793" s="49" t="s">
        <v>3451</v>
      </c>
      <c r="B1793" s="49" t="str">
        <f>IFERROR(__xludf.DUMMYFUNCTION("REGEXREPLACE(
 REGEXREPLACE(A1793,""^cost\."",""""),
 ""\.[^.]+\.[^.]+$"",
 """"
)"),"tech.smithy.throwing_knife")</f>
        <v>tech.smithy.throwing_knife</v>
      </c>
      <c r="C1793" s="49" t="str">
        <f t="array" ref="C1793">_xlfn.XLOOKUP(
 B1793,
 tblTargets[TargetID],
 tblTargets[DisplayName],
 ""
)</f>
        <v>Smithy - Throwing Knife</v>
      </c>
      <c r="D1793" s="49" t="str">
        <f t="array" ref="D1793">_xlfn.XLOOKUP(
 B1793,
 tblTargets[TargetID],
 tblTargets[TargetType],
 ""
)</f>
        <v>TECH</v>
      </c>
      <c r="E1793" s="49" t="s">
        <v>6</v>
      </c>
      <c r="F1793" s="49">
        <v>1.0</v>
      </c>
      <c r="G1793" s="49">
        <f t="array" ref="G1793">_xlfn.XLOOKUP(
 A1793,
 tblCost[RequirementID],
 tblCost[QuantityRequired],
 ""
)</f>
        <v>2</v>
      </c>
      <c r="H1793" s="49">
        <f t="array" ref="H1793">IF(
 OR(
  LEFT(B1793,15)="state.character",
  RIGHT(B1793,6)=".maxed"
 ),
 0,
 LET(
  sort,
   _xlfn.XLOOKUP(
    B1793,
    tblChecklist[TargetID],
    tblChecklist[PlayerSort],
    0
   ),
  IF(sort=0,500,sort)
 )
)</f>
        <v>500</v>
      </c>
      <c r="I1793" s="49" t="str">
        <f t="array" ref="I1793">_xlfn.XLOOKUP(
 B1793,
 tblTargetStatus[TargetID],
 tblTargetStatus[Status],
 ""
)</f>
        <v>BLOCKED</v>
      </c>
      <c r="J1793" s="45" t="b">
        <v>0</v>
      </c>
    </row>
    <row r="1794" ht="14.25" hidden="1" customHeight="1">
      <c r="A1794" s="49" t="s">
        <v>3495</v>
      </c>
      <c r="B1794" s="49" t="str">
        <f>IFERROR(__xludf.DUMMYFUNCTION("REGEXREPLACE(
 REGEXREPLACE(A1794,""^cost\."",""""),
 ""\.[^.]+\.[^.]+$"",
 """"
)"),"tech.smithy.treasure")</f>
        <v>tech.smithy.treasure</v>
      </c>
      <c r="C1794" s="49" t="str">
        <f t="array" ref="C1794">_xlfn.XLOOKUP(
 B1794,
 tblTargets[TargetID],
 tblTargets[DisplayName],
 ""
)</f>
        <v>Smithy - Treasure</v>
      </c>
      <c r="D1794" s="49" t="str">
        <f t="array" ref="D1794">_xlfn.XLOOKUP(
 B1794,
 tblTargets[TargetID],
 tblTargets[TargetType],
 ""
)</f>
        <v>TECH</v>
      </c>
      <c r="E1794" s="49" t="s">
        <v>1497</v>
      </c>
      <c r="F1794" s="49">
        <v>1.0</v>
      </c>
      <c r="G1794" s="49">
        <f t="array" ref="G1794">_xlfn.XLOOKUP(
 A1794,
 tblCost[RequirementID],
 tblCost[QuantityRequired],
 ""
)</f>
        <v>30</v>
      </c>
      <c r="H1794" s="49">
        <f t="array" ref="H1794">IF(
 OR(
  LEFT(B1794,15)="state.character",
  RIGHT(B1794,6)=".maxed"
 ),
 0,
 LET(
  sort,
   _xlfn.XLOOKUP(
    B1794,
    tblChecklist[TargetID],
    tblChecklist[PlayerSort],
    0
   ),
  IF(sort=0,500,sort)
 )
)</f>
        <v>500</v>
      </c>
      <c r="I1794" s="49" t="str">
        <f t="array" ref="I1794">_xlfn.XLOOKUP(
 B1794,
 tblTargetStatus[TargetID],
 tblTargetStatus[Status],
 ""
)</f>
        <v>BLOCKED</v>
      </c>
      <c r="J1794" s="45" t="b">
        <v>0</v>
      </c>
    </row>
    <row r="1795" ht="14.25" hidden="1" customHeight="1">
      <c r="A1795" s="49" t="s">
        <v>3496</v>
      </c>
      <c r="B1795" s="49" t="str">
        <f>IFERROR(__xludf.DUMMYFUNCTION("REGEXREPLACE(
 REGEXREPLACE(A1795,""^cost\."",""""),
 ""\.[^.]+\.[^.]+$"",
 """"
)"),"tech.smithy.treasure")</f>
        <v>tech.smithy.treasure</v>
      </c>
      <c r="C1795" s="49" t="str">
        <f t="array" ref="C1795">_xlfn.XLOOKUP(
 B1795,
 tblTargets[TargetID],
 tblTargets[DisplayName],
 ""
)</f>
        <v>Smithy - Treasure</v>
      </c>
      <c r="D1795" s="49" t="str">
        <f t="array" ref="D1795">_xlfn.XLOOKUP(
 B1795,
 tblTargets[TargetID],
 tblTargets[TargetType],
 ""
)</f>
        <v>TECH</v>
      </c>
      <c r="E1795" s="49" t="s">
        <v>119</v>
      </c>
      <c r="F1795" s="49">
        <v>1.0</v>
      </c>
      <c r="G1795" s="49">
        <f t="array" ref="G1795">_xlfn.XLOOKUP(
 A1795,
 tblCost[RequirementID],
 tblCost[QuantityRequired],
 ""
)</f>
        <v>500</v>
      </c>
      <c r="H1795" s="49">
        <f t="array" ref="H1795">IF(
 OR(
  LEFT(B1795,15)="state.character",
  RIGHT(B1795,6)=".maxed"
 ),
 0,
 LET(
  sort,
   _xlfn.XLOOKUP(
    B1795,
    tblChecklist[TargetID],
    tblChecklist[PlayerSort],
    0
   ),
  IF(sort=0,500,sort)
 )
)</f>
        <v>500</v>
      </c>
      <c r="I1795" s="49" t="str">
        <f t="array" ref="I1795">_xlfn.XLOOKUP(
 B1795,
 tblTargetStatus[TargetID],
 tblTargetStatus[Status],
 ""
)</f>
        <v>BLOCKED</v>
      </c>
      <c r="J1795" s="45" t="b">
        <v>0</v>
      </c>
    </row>
    <row r="1796" ht="14.25" hidden="1" customHeight="1">
      <c r="A1796" s="49" t="s">
        <v>3497</v>
      </c>
      <c r="B1796" s="49" t="str">
        <f>IFERROR(__xludf.DUMMYFUNCTION("REGEXREPLACE(
 REGEXREPLACE(A1796,""^cost\."",""""),
 ""\.[^.]+\.[^.]+$"",
 """"
)"),"tech.smithy.treasure")</f>
        <v>tech.smithy.treasure</v>
      </c>
      <c r="C1796" s="49" t="str">
        <f t="array" ref="C1796">_xlfn.XLOOKUP(
 B1796,
 tblTargets[TargetID],
 tblTargets[DisplayName],
 ""
)</f>
        <v>Smithy - Treasure</v>
      </c>
      <c r="D1796" s="49" t="str">
        <f t="array" ref="D1796">_xlfn.XLOOKUP(
 B1796,
 tblTargets[TargetID],
 tblTargets[TargetType],
 ""
)</f>
        <v>TECH</v>
      </c>
      <c r="E1796" s="49" t="s">
        <v>1583</v>
      </c>
      <c r="F1796" s="49">
        <v>1.0</v>
      </c>
      <c r="G1796" s="49">
        <f t="array" ref="G1796">_xlfn.XLOOKUP(
 A1796,
 tblCost[RequirementID],
 tblCost[QuantityRequired],
 ""
)</f>
        <v>20</v>
      </c>
      <c r="H1796" s="49">
        <f t="array" ref="H1796">IF(
 OR(
  LEFT(B1796,15)="state.character",
  RIGHT(B1796,6)=".maxed"
 ),
 0,
 LET(
  sort,
   _xlfn.XLOOKUP(
    B1796,
    tblChecklist[TargetID],
    tblChecklist[PlayerSort],
    0
   ),
  IF(sort=0,500,sort)
 )
)</f>
        <v>500</v>
      </c>
      <c r="I1796" s="49" t="str">
        <f t="array" ref="I1796">_xlfn.XLOOKUP(
 B1796,
 tblTargetStatus[TargetID],
 tblTargetStatus[Status],
 ""
)</f>
        <v>BLOCKED</v>
      </c>
      <c r="J1796" s="45" t="b">
        <v>0</v>
      </c>
    </row>
    <row r="1797" ht="14.25" hidden="1" customHeight="1">
      <c r="A1797" s="49" t="s">
        <v>3498</v>
      </c>
      <c r="B1797" s="49" t="str">
        <f>IFERROR(__xludf.DUMMYFUNCTION("REGEXREPLACE(
 REGEXREPLACE(A1797,""^cost\."",""""),
 ""\.[^.]+\.[^.]+$"",
 """"
)"),"tech.smithy.treasure")</f>
        <v>tech.smithy.treasure</v>
      </c>
      <c r="C1797" s="49" t="str">
        <f t="array" ref="C1797">_xlfn.XLOOKUP(
 B1797,
 tblTargets[TargetID],
 tblTargets[DisplayName],
 ""
)</f>
        <v>Smithy - Treasure</v>
      </c>
      <c r="D1797" s="49" t="str">
        <f t="array" ref="D1797">_xlfn.XLOOKUP(
 B1797,
 tblTargets[TargetID],
 tblTargets[TargetType],
 ""
)</f>
        <v>TECH</v>
      </c>
      <c r="E1797" s="49" t="s">
        <v>530</v>
      </c>
      <c r="F1797" s="49">
        <v>1.0</v>
      </c>
      <c r="G1797" s="49">
        <f t="array" ref="G1797">_xlfn.XLOOKUP(
 A1797,
 tblCost[RequirementID],
 tblCost[QuantityRequired],
 ""
)</f>
        <v>10</v>
      </c>
      <c r="H1797" s="49">
        <f t="array" ref="H1797">IF(
 OR(
  LEFT(B1797,15)="state.character",
  RIGHT(B1797,6)=".maxed"
 ),
 0,
 LET(
  sort,
   _xlfn.XLOOKUP(
    B1797,
    tblChecklist[TargetID],
    tblChecklist[PlayerSort],
    0
   ),
  IF(sort=0,500,sort)
 )
)</f>
        <v>500</v>
      </c>
      <c r="I1797" s="49" t="str">
        <f t="array" ref="I1797">_xlfn.XLOOKUP(
 B1797,
 tblTargetStatus[TargetID],
 tblTargetStatus[Status],
 ""
)</f>
        <v>BLOCKED</v>
      </c>
      <c r="J1797" s="45" t="b">
        <v>0</v>
      </c>
    </row>
    <row r="1798" ht="14.25" hidden="1" customHeight="1">
      <c r="A1798" s="49" t="s">
        <v>3499</v>
      </c>
      <c r="B1798" s="49" t="str">
        <f>IFERROR(__xludf.DUMMYFUNCTION("REGEXREPLACE(
 REGEXREPLACE(A1798,""^cost\."",""""),
 ""\.[^.]+\.[^.]+$"",
 """"
)"),"tech.smithy.treasure")</f>
        <v>tech.smithy.treasure</v>
      </c>
      <c r="C1798" s="49" t="str">
        <f t="array" ref="C1798">_xlfn.XLOOKUP(
 B1798,
 tblTargets[TargetID],
 tblTargets[DisplayName],
 ""
)</f>
        <v>Smithy - Treasure</v>
      </c>
      <c r="D1798" s="49" t="str">
        <f t="array" ref="D1798">_xlfn.XLOOKUP(
 B1798,
 tblTargets[TargetID],
 tblTargets[TargetType],
 ""
)</f>
        <v>TECH</v>
      </c>
      <c r="E1798" s="49" t="s">
        <v>412</v>
      </c>
      <c r="F1798" s="49">
        <v>1.0</v>
      </c>
      <c r="G1798" s="49">
        <f t="array" ref="G1798">_xlfn.XLOOKUP(
 A1798,
 tblCost[RequirementID],
 tblCost[QuantityRequired],
 ""
)</f>
        <v>10</v>
      </c>
      <c r="H1798" s="49">
        <f t="array" ref="H1798">IF(
 OR(
  LEFT(B1798,15)="state.character",
  RIGHT(B1798,6)=".maxed"
 ),
 0,
 LET(
  sort,
   _xlfn.XLOOKUP(
    B1798,
    tblChecklist[TargetID],
    tblChecklist[PlayerSort],
    0
   ),
  IF(sort=0,500,sort)
 )
)</f>
        <v>500</v>
      </c>
      <c r="I1798" s="49" t="str">
        <f t="array" ref="I1798">_xlfn.XLOOKUP(
 B1798,
 tblTargetStatus[TargetID],
 tblTargetStatus[Status],
 ""
)</f>
        <v>BLOCKED</v>
      </c>
      <c r="J1798" s="45" t="b">
        <v>0</v>
      </c>
    </row>
    <row r="1799" ht="14.25" hidden="1" customHeight="1">
      <c r="A1799" s="49" t="s">
        <v>3500</v>
      </c>
      <c r="B1799" s="49" t="str">
        <f>IFERROR(__xludf.DUMMYFUNCTION("REGEXREPLACE(
 REGEXREPLACE(A1799,""^cost\."",""""),
 ""\.[^.]+\.[^.]+$"",
 """"
)"),"tech.smithy.treasure")</f>
        <v>tech.smithy.treasure</v>
      </c>
      <c r="C1799" s="49" t="str">
        <f t="array" ref="C1799">_xlfn.XLOOKUP(
 B1799,
 tblTargets[TargetID],
 tblTargets[DisplayName],
 ""
)</f>
        <v>Smithy - Treasure</v>
      </c>
      <c r="D1799" s="49" t="str">
        <f t="array" ref="D1799">_xlfn.XLOOKUP(
 B1799,
 tblTargets[TargetID],
 tblTargets[TargetType],
 ""
)</f>
        <v>TECH</v>
      </c>
      <c r="E1799" s="49" t="s">
        <v>1456</v>
      </c>
      <c r="F1799" s="49">
        <v>1.0</v>
      </c>
      <c r="G1799" s="49">
        <f t="array" ref="G1799">_xlfn.XLOOKUP(
 A1799,
 tblCost[RequirementID],
 tblCost[QuantityRequired],
 ""
)</f>
        <v>10</v>
      </c>
      <c r="H1799" s="49">
        <f t="array" ref="H1799">IF(
 OR(
  LEFT(B1799,15)="state.character",
  RIGHT(B1799,6)=".maxed"
 ),
 0,
 LET(
  sort,
   _xlfn.XLOOKUP(
    B1799,
    tblChecklist[TargetID],
    tblChecklist[PlayerSort],
    0
   ),
  IF(sort=0,500,sort)
 )
)</f>
        <v>500</v>
      </c>
      <c r="I1799" s="49" t="str">
        <f t="array" ref="I1799">_xlfn.XLOOKUP(
 B1799,
 tblTargetStatus[TargetID],
 tblTargetStatus[Status],
 ""
)</f>
        <v>BLOCKED</v>
      </c>
      <c r="J1799" s="45" t="b">
        <v>0</v>
      </c>
    </row>
    <row r="1800" ht="14.25" hidden="1" customHeight="1">
      <c r="A1800" s="49" t="s">
        <v>3501</v>
      </c>
      <c r="B1800" s="49" t="str">
        <f>IFERROR(__xludf.DUMMYFUNCTION("REGEXREPLACE(
 REGEXREPLACE(A1800,""^cost\."",""""),
 ""\.[^.]+\.[^.]+$"",
 """"
)"),"tech.smithy.treasure")</f>
        <v>tech.smithy.treasure</v>
      </c>
      <c r="C1800" s="49" t="str">
        <f t="array" ref="C1800">_xlfn.XLOOKUP(
 B1800,
 tblTargets[TargetID],
 tblTargets[DisplayName],
 ""
)</f>
        <v>Smithy - Treasure</v>
      </c>
      <c r="D1800" s="49" t="str">
        <f t="array" ref="D1800">_xlfn.XLOOKUP(
 B1800,
 tblTargets[TargetID],
 tblTargets[TargetType],
 ""
)</f>
        <v>TECH</v>
      </c>
      <c r="E1800" s="49" t="s">
        <v>1606</v>
      </c>
      <c r="F1800" s="49">
        <v>1.0</v>
      </c>
      <c r="G1800" s="49">
        <f t="array" ref="G1800">_xlfn.XLOOKUP(
 A1800,
 tblCost[RequirementID],
 tblCost[QuantityRequired],
 ""
)</f>
        <v>20</v>
      </c>
      <c r="H1800" s="49">
        <f t="array" ref="H1800">IF(
 OR(
  LEFT(B1800,15)="state.character",
  RIGHT(B1800,6)=".maxed"
 ),
 0,
 LET(
  sort,
   _xlfn.XLOOKUP(
    B1800,
    tblChecklist[TargetID],
    tblChecklist[PlayerSort],
    0
   ),
  IF(sort=0,500,sort)
 )
)</f>
        <v>500</v>
      </c>
      <c r="I1800" s="49" t="str">
        <f t="array" ref="I1800">_xlfn.XLOOKUP(
 B1800,
 tblTargetStatus[TargetID],
 tblTargetStatus[Status],
 ""
)</f>
        <v>BLOCKED</v>
      </c>
      <c r="J1800" s="45" t="b">
        <v>0</v>
      </c>
    </row>
    <row r="1801" ht="14.25" hidden="1" customHeight="1">
      <c r="A1801" s="49" t="s">
        <v>3502</v>
      </c>
      <c r="B1801" s="49" t="str">
        <f>IFERROR(__xludf.DUMMYFUNCTION("REGEXREPLACE(
 REGEXREPLACE(A1801,""^cost\."",""""),
 ""\.[^.]+\.[^.]+$"",
 """"
)"),"tech.smithy.treasure")</f>
        <v>tech.smithy.treasure</v>
      </c>
      <c r="C1801" s="49" t="str">
        <f t="array" ref="C1801">_xlfn.XLOOKUP(
 B1801,
 tblTargets[TargetID],
 tblTargets[DisplayName],
 ""
)</f>
        <v>Smithy - Treasure</v>
      </c>
      <c r="D1801" s="49" t="str">
        <f t="array" ref="D1801">_xlfn.XLOOKUP(
 B1801,
 tblTargets[TargetID],
 tblTargets[TargetType],
 ""
)</f>
        <v>TECH</v>
      </c>
      <c r="E1801" s="49" t="s">
        <v>6</v>
      </c>
      <c r="F1801" s="49">
        <v>1.0</v>
      </c>
      <c r="G1801" s="49">
        <f t="array" ref="G1801">_xlfn.XLOOKUP(
 A1801,
 tblCost[RequirementID],
 tblCost[QuantityRequired],
 ""
)</f>
        <v>3</v>
      </c>
      <c r="H1801" s="49">
        <f t="array" ref="H1801">IF(
 OR(
  LEFT(B1801,15)="state.character",
  RIGHT(B1801,6)=".maxed"
 ),
 0,
 LET(
  sort,
   _xlfn.XLOOKUP(
    B1801,
    tblChecklist[TargetID],
    tblChecklist[PlayerSort],
    0
   ),
  IF(sort=0,500,sort)
 )
)</f>
        <v>500</v>
      </c>
      <c r="I1801" s="49" t="str">
        <f t="array" ref="I1801">_xlfn.XLOOKUP(
 B1801,
 tblTargetStatus[TargetID],
 tblTargetStatus[Status],
 ""
)</f>
        <v>BLOCKED</v>
      </c>
      <c r="J1801" s="45" t="b">
        <v>0</v>
      </c>
    </row>
    <row r="1802" ht="14.25" hidden="1" customHeight="1">
      <c r="A1802" s="49" t="s">
        <v>3503</v>
      </c>
      <c r="B1802" s="49" t="str">
        <f>IFERROR(__xludf.DUMMYFUNCTION("REGEXREPLACE(
 REGEXREPLACE(A1802,""^cost\."",""""),
 ""\.[^.]+\.[^.]+$"",
 """"
)"),"tech.smithy.treasure")</f>
        <v>tech.smithy.treasure</v>
      </c>
      <c r="C1802" s="49" t="str">
        <f t="array" ref="C1802">_xlfn.XLOOKUP(
 B1802,
 tblTargets[TargetID],
 tblTargets[DisplayName],
 ""
)</f>
        <v>Smithy - Treasure</v>
      </c>
      <c r="D1802" s="49" t="str">
        <f t="array" ref="D1802">_xlfn.XLOOKUP(
 B1802,
 tblTargets[TargetID],
 tblTargets[TargetType],
 ""
)</f>
        <v>TECH</v>
      </c>
      <c r="E1802" s="49" t="s">
        <v>2308</v>
      </c>
      <c r="F1802" s="49">
        <v>1.0</v>
      </c>
      <c r="G1802" s="49">
        <f t="array" ref="G1802">_xlfn.XLOOKUP(
 A1802,
 tblCost[RequirementID],
 tblCost[QuantityRequired],
 ""
)</f>
        <v>15</v>
      </c>
      <c r="H1802" s="49">
        <f t="array" ref="H1802">IF(
 OR(
  LEFT(B1802,15)="state.character",
  RIGHT(B1802,6)=".maxed"
 ),
 0,
 LET(
  sort,
   _xlfn.XLOOKUP(
    B1802,
    tblChecklist[TargetID],
    tblChecklist[PlayerSort],
    0
   ),
  IF(sort=0,500,sort)
 )
)</f>
        <v>500</v>
      </c>
      <c r="I1802" s="49" t="str">
        <f t="array" ref="I1802">_xlfn.XLOOKUP(
 B1802,
 tblTargetStatus[TargetID],
 tblTargetStatus[Status],
 ""
)</f>
        <v>BLOCKED</v>
      </c>
      <c r="J1802" s="45" t="b">
        <v>0</v>
      </c>
    </row>
    <row r="1803" ht="14.25" hidden="1" customHeight="1">
      <c r="A1803" s="49" t="s">
        <v>3485</v>
      </c>
      <c r="B1803" s="49" t="str">
        <f>IFERROR(__xludf.DUMMYFUNCTION("REGEXREPLACE(
 REGEXREPLACE(A1803,""^cost\."",""""),
 ""\.[^.]+\.[^.]+$"",
 """"
)"),"tech.smithy.weapon_grease")</f>
        <v>tech.smithy.weapon_grease</v>
      </c>
      <c r="C1803" s="49" t="str">
        <f t="array" ref="C1803">_xlfn.XLOOKUP(
 B1803,
 tblTargets[TargetID],
 tblTargets[DisplayName],
 ""
)</f>
        <v>Smithy - Weapon Grease</v>
      </c>
      <c r="D1803" s="49" t="str">
        <f t="array" ref="D1803">_xlfn.XLOOKUP(
 B1803,
 tblTargets[TargetID],
 tblTargets[TargetType],
 ""
)</f>
        <v>TECH</v>
      </c>
      <c r="E1803" s="49" t="s">
        <v>1055</v>
      </c>
      <c r="F1803" s="49">
        <v>1.0</v>
      </c>
      <c r="G1803" s="49">
        <f t="array" ref="G1803">_xlfn.XLOOKUP(
 A1803,
 tblCost[RequirementID],
 tblCost[QuantityRequired],
 ""
)</f>
        <v>15</v>
      </c>
      <c r="H1803" s="49">
        <f t="array" ref="H1803">IF(
 OR(
  LEFT(B1803,15)="state.character",
  RIGHT(B1803,6)=".maxed"
 ),
 0,
 LET(
  sort,
   _xlfn.XLOOKUP(
    B1803,
    tblChecklist[TargetID],
    tblChecklist[PlayerSort],
    0
   ),
  IF(sort=0,500,sort)
 )
)</f>
        <v>500</v>
      </c>
      <c r="I1803" s="49" t="str">
        <f t="array" ref="I1803">_xlfn.XLOOKUP(
 B1803,
 tblTargetStatus[TargetID],
 tblTargetStatus[Status],
 ""
)</f>
        <v>BLOCKED</v>
      </c>
      <c r="J1803" s="45" t="b">
        <v>0</v>
      </c>
    </row>
    <row r="1804" ht="14.25" hidden="1" customHeight="1">
      <c r="A1804" s="49" t="s">
        <v>3486</v>
      </c>
      <c r="B1804" s="49" t="str">
        <f>IFERROR(__xludf.DUMMYFUNCTION("REGEXREPLACE(
 REGEXREPLACE(A1804,""^cost\."",""""),
 ""\.[^.]+\.[^.]+$"",
 """"
)"),"tech.smithy.weapon_grease")</f>
        <v>tech.smithy.weapon_grease</v>
      </c>
      <c r="C1804" s="49" t="str">
        <f t="array" ref="C1804">_xlfn.XLOOKUP(
 B1804,
 tblTargets[TargetID],
 tblTargets[DisplayName],
 ""
)</f>
        <v>Smithy - Weapon Grease</v>
      </c>
      <c r="D1804" s="49" t="str">
        <f t="array" ref="D1804">_xlfn.XLOOKUP(
 B1804,
 tblTargets[TargetID],
 tblTargets[TargetType],
 ""
)</f>
        <v>TECH</v>
      </c>
      <c r="E1804" s="49" t="s">
        <v>119</v>
      </c>
      <c r="F1804" s="49">
        <v>1.0</v>
      </c>
      <c r="G1804" s="49">
        <f t="array" ref="G1804">_xlfn.XLOOKUP(
 A1804,
 tblCost[RequirementID],
 tblCost[QuantityRequired],
 ""
)</f>
        <v>500</v>
      </c>
      <c r="H1804" s="49">
        <f t="array" ref="H1804">IF(
 OR(
  LEFT(B1804,15)="state.character",
  RIGHT(B1804,6)=".maxed"
 ),
 0,
 LET(
  sort,
   _xlfn.XLOOKUP(
    B1804,
    tblChecklist[TargetID],
    tblChecklist[PlayerSort],
    0
   ),
  IF(sort=0,500,sort)
 )
)</f>
        <v>500</v>
      </c>
      <c r="I1804" s="49" t="str">
        <f t="array" ref="I1804">_xlfn.XLOOKUP(
 B1804,
 tblTargetStatus[TargetID],
 tblTargetStatus[Status],
 ""
)</f>
        <v>BLOCKED</v>
      </c>
      <c r="J1804" s="45" t="b">
        <v>0</v>
      </c>
    </row>
    <row r="1805" ht="14.25" hidden="1" customHeight="1">
      <c r="A1805" s="49" t="s">
        <v>3487</v>
      </c>
      <c r="B1805" s="49" t="str">
        <f>IFERROR(__xludf.DUMMYFUNCTION("REGEXREPLACE(
 REGEXREPLACE(A1805,""^cost\."",""""),
 ""\.[^.]+\.[^.]+$"",
 """"
)"),"tech.smithy.weapon_grease")</f>
        <v>tech.smithy.weapon_grease</v>
      </c>
      <c r="C1805" s="49" t="str">
        <f t="array" ref="C1805">_xlfn.XLOOKUP(
 B1805,
 tblTargets[TargetID],
 tblTargets[DisplayName],
 ""
)</f>
        <v>Smithy - Weapon Grease</v>
      </c>
      <c r="D1805" s="49" t="str">
        <f t="array" ref="D1805">_xlfn.XLOOKUP(
 B1805,
 tblTargets[TargetID],
 tblTargets[TargetType],
 ""
)</f>
        <v>TECH</v>
      </c>
      <c r="E1805" s="49" t="s">
        <v>588</v>
      </c>
      <c r="F1805" s="49">
        <v>1.0</v>
      </c>
      <c r="G1805" s="49">
        <f t="array" ref="G1805">_xlfn.XLOOKUP(
 A1805,
 tblCost[RequirementID],
 tblCost[QuantityRequired],
 ""
)</f>
        <v>10</v>
      </c>
      <c r="H1805" s="49">
        <f t="array" ref="H1805">IF(
 OR(
  LEFT(B1805,15)="state.character",
  RIGHT(B1805,6)=".maxed"
 ),
 0,
 LET(
  sort,
   _xlfn.XLOOKUP(
    B1805,
    tblChecklist[TargetID],
    tblChecklist[PlayerSort],
    0
   ),
  IF(sort=0,500,sort)
 )
)</f>
        <v>500</v>
      </c>
      <c r="I1805" s="49" t="str">
        <f t="array" ref="I1805">_xlfn.XLOOKUP(
 B1805,
 tblTargetStatus[TargetID],
 tblTargetStatus[Status],
 ""
)</f>
        <v>BLOCKED</v>
      </c>
      <c r="J1805" s="45" t="b">
        <v>0</v>
      </c>
    </row>
    <row r="1806" ht="14.25" hidden="1" customHeight="1">
      <c r="A1806" s="49" t="s">
        <v>3488</v>
      </c>
      <c r="B1806" s="49" t="str">
        <f>IFERROR(__xludf.DUMMYFUNCTION("REGEXREPLACE(
 REGEXREPLACE(A1806,""^cost\."",""""),
 ""\.[^.]+\.[^.]+$"",
 """"
)"),"tech.smithy.weapon_grease")</f>
        <v>tech.smithy.weapon_grease</v>
      </c>
      <c r="C1806" s="49" t="str">
        <f t="array" ref="C1806">_xlfn.XLOOKUP(
 B1806,
 tblTargets[TargetID],
 tblTargets[DisplayName],
 ""
)</f>
        <v>Smithy - Weapon Grease</v>
      </c>
      <c r="D1806" s="49" t="str">
        <f t="array" ref="D1806">_xlfn.XLOOKUP(
 B1806,
 tblTargets[TargetID],
 tblTargets[TargetType],
 ""
)</f>
        <v>TECH</v>
      </c>
      <c r="E1806" s="49" t="s">
        <v>140</v>
      </c>
      <c r="F1806" s="49">
        <v>1.0</v>
      </c>
      <c r="G1806" s="49">
        <f t="array" ref="G1806">_xlfn.XLOOKUP(
 A1806,
 tblCost[RequirementID],
 tblCost[QuantityRequired],
 ""
)</f>
        <v>15</v>
      </c>
      <c r="H1806" s="49">
        <f t="array" ref="H1806">IF(
 OR(
  LEFT(B1806,15)="state.character",
  RIGHT(B1806,6)=".maxed"
 ),
 0,
 LET(
  sort,
   _xlfn.XLOOKUP(
    B1806,
    tblChecklist[TargetID],
    tblChecklist[PlayerSort],
    0
   ),
  IF(sort=0,500,sort)
 )
)</f>
        <v>500</v>
      </c>
      <c r="I1806" s="49" t="str">
        <f t="array" ref="I1806">_xlfn.XLOOKUP(
 B1806,
 tblTargetStatus[TargetID],
 tblTargetStatus[Status],
 ""
)</f>
        <v>BLOCKED</v>
      </c>
      <c r="J1806" s="45" t="b">
        <v>0</v>
      </c>
    </row>
    <row r="1807" ht="14.25" hidden="1" customHeight="1">
      <c r="A1807" s="49" t="s">
        <v>3489</v>
      </c>
      <c r="B1807" s="49" t="str">
        <f>IFERROR(__xludf.DUMMYFUNCTION("REGEXREPLACE(
 REGEXREPLACE(A1807,""^cost\."",""""),
 ""\.[^.]+\.[^.]+$"",
 """"
)"),"tech.smithy.weapon_grease")</f>
        <v>tech.smithy.weapon_grease</v>
      </c>
      <c r="C1807" s="49" t="str">
        <f t="array" ref="C1807">_xlfn.XLOOKUP(
 B1807,
 tblTargets[TargetID],
 tblTargets[DisplayName],
 ""
)</f>
        <v>Smithy - Weapon Grease</v>
      </c>
      <c r="D1807" s="49" t="str">
        <f t="array" ref="D1807">_xlfn.XLOOKUP(
 B1807,
 tblTargets[TargetID],
 tblTargets[TargetType],
 ""
)</f>
        <v>TECH</v>
      </c>
      <c r="E1807" s="49" t="s">
        <v>6</v>
      </c>
      <c r="F1807" s="49">
        <v>1.0</v>
      </c>
      <c r="G1807" s="49">
        <f t="array" ref="G1807">_xlfn.XLOOKUP(
 A1807,
 tblCost[RequirementID],
 tblCost[QuantityRequired],
 ""
)</f>
        <v>2</v>
      </c>
      <c r="H1807" s="49">
        <f t="array" ref="H1807">IF(
 OR(
  LEFT(B1807,15)="state.character",
  RIGHT(B1807,6)=".maxed"
 ),
 0,
 LET(
  sort,
   _xlfn.XLOOKUP(
    B1807,
    tblChecklist[TargetID],
    tblChecklist[PlayerSort],
    0
   ),
  IF(sort=0,500,sort)
 )
)</f>
        <v>500</v>
      </c>
      <c r="I1807" s="49" t="str">
        <f t="array" ref="I1807">_xlfn.XLOOKUP(
 B1807,
 tblTargetStatus[TargetID],
 tblTargetStatus[Status],
 ""
)</f>
        <v>BLOCKED</v>
      </c>
      <c r="J1807" s="45" t="b">
        <v>0</v>
      </c>
    </row>
    <row r="1808" ht="14.25" hidden="1" customHeight="1">
      <c r="A1808" s="49" t="s">
        <v>3504</v>
      </c>
      <c r="B1808" s="49" t="str">
        <f>IFERROR(__xludf.DUMMYFUNCTION("REGEXREPLACE(
 REGEXREPLACE(A1808,""^cost\."",""""),
 ""\.[^.]+\.[^.]+$"",
 """"
)"),"tech.tailor.ariadnes_thread")</f>
        <v>tech.tailor.ariadnes_thread</v>
      </c>
      <c r="C1808" s="49" t="str">
        <f t="array" ref="C1808">_xlfn.XLOOKUP(
 B1808,
 tblTargets[TargetID],
 tblTargets[DisplayName],
 ""
)</f>
        <v>Tailor - Ariadnes Thread</v>
      </c>
      <c r="D1808" s="49" t="str">
        <f t="array" ref="D1808">_xlfn.XLOOKUP(
 B1808,
 tblTargets[TargetID],
 tblTargets[TargetType],
 ""
)</f>
        <v>TECH</v>
      </c>
      <c r="E1808" s="49" t="s">
        <v>119</v>
      </c>
      <c r="F1808" s="49">
        <v>1.0</v>
      </c>
      <c r="G1808" s="49">
        <f t="array" ref="G1808">_xlfn.XLOOKUP(
 A1808,
 tblCost[RequirementID],
 tblCost[QuantityRequired],
 ""
)</f>
        <v>300</v>
      </c>
      <c r="H1808" s="49">
        <f t="array" ref="H1808">IF(
 OR(
  LEFT(B1808,15)="state.character",
  RIGHT(B1808,6)=".maxed"
 ),
 0,
 LET(
  sort,
   _xlfn.XLOOKUP(
    B1808,
    tblChecklist[TargetID],
    tblChecklist[PlayerSort],
    0
   ),
  IF(sort=0,500,sort)
 )
)</f>
        <v>500</v>
      </c>
      <c r="I1808" s="49" t="str">
        <f t="array" ref="I1808">_xlfn.XLOOKUP(
 B1808,
 tblTargetStatus[TargetID],
 tblTargetStatus[Status],
 ""
)</f>
        <v>BLOCKED</v>
      </c>
      <c r="J1808" s="45" t="b">
        <v>0</v>
      </c>
    </row>
    <row r="1809" ht="14.25" hidden="1" customHeight="1">
      <c r="A1809" s="49" t="s">
        <v>3505</v>
      </c>
      <c r="B1809" s="49" t="str">
        <f>IFERROR(__xludf.DUMMYFUNCTION("REGEXREPLACE(
 REGEXREPLACE(A1809,""^cost\."",""""),
 ""\.[^.]+\.[^.]+$"",
 """"
)"),"tech.tailor.ariadnes_thread")</f>
        <v>tech.tailor.ariadnes_thread</v>
      </c>
      <c r="C1809" s="49" t="str">
        <f t="array" ref="C1809">_xlfn.XLOOKUP(
 B1809,
 tblTargets[TargetID],
 tblTargets[DisplayName],
 ""
)</f>
        <v>Tailor - Ariadnes Thread</v>
      </c>
      <c r="D1809" s="49" t="str">
        <f t="array" ref="D1809">_xlfn.XLOOKUP(
 B1809,
 tblTargets[TargetID],
 tblTargets[TargetType],
 ""
)</f>
        <v>TECH</v>
      </c>
      <c r="E1809" s="49" t="s">
        <v>2964</v>
      </c>
      <c r="F1809" s="49">
        <v>1.0</v>
      </c>
      <c r="G1809" s="49">
        <f t="array" ref="G1809">_xlfn.XLOOKUP(
 A1809,
 tblCost[RequirementID],
 tblCost[QuantityRequired],
 ""
)</f>
        <v>20</v>
      </c>
      <c r="H1809" s="49">
        <f t="array" ref="H1809">IF(
 OR(
  LEFT(B1809,15)="state.character",
  RIGHT(B1809,6)=".maxed"
 ),
 0,
 LET(
  sort,
   _xlfn.XLOOKUP(
    B1809,
    tblChecklist[TargetID],
    tblChecklist[PlayerSort],
    0
   ),
  IF(sort=0,500,sort)
 )
)</f>
        <v>500</v>
      </c>
      <c r="I1809" s="49" t="str">
        <f t="array" ref="I1809">_xlfn.XLOOKUP(
 B1809,
 tblTargetStatus[TargetID],
 tblTargetStatus[Status],
 ""
)</f>
        <v>BLOCKED</v>
      </c>
      <c r="J1809" s="45" t="b">
        <v>0</v>
      </c>
    </row>
    <row r="1810" ht="14.25" hidden="1" customHeight="1">
      <c r="A1810" s="49" t="s">
        <v>3506</v>
      </c>
      <c r="B1810" s="49" t="str">
        <f>IFERROR(__xludf.DUMMYFUNCTION("REGEXREPLACE(
 REGEXREPLACE(A1810,""^cost\."",""""),
 ""\.[^.]+\.[^.]+$"",
 """"
)"),"tech.tailor.ariadnes_thread")</f>
        <v>tech.tailor.ariadnes_thread</v>
      </c>
      <c r="C1810" s="49" t="str">
        <f t="array" ref="C1810">_xlfn.XLOOKUP(
 B1810,
 tblTargets[TargetID],
 tblTargets[DisplayName],
 ""
)</f>
        <v>Tailor - Ariadnes Thread</v>
      </c>
      <c r="D1810" s="49" t="str">
        <f t="array" ref="D1810">_xlfn.XLOOKUP(
 B1810,
 tblTargets[TargetID],
 tblTargets[TargetType],
 ""
)</f>
        <v>TECH</v>
      </c>
      <c r="E1810" s="49" t="s">
        <v>132</v>
      </c>
      <c r="F1810" s="49">
        <v>1.0</v>
      </c>
      <c r="G1810" s="49">
        <f t="array" ref="G1810">_xlfn.XLOOKUP(
 A1810,
 tblCost[RequirementID],
 tblCost[QuantityRequired],
 ""
)</f>
        <v>10</v>
      </c>
      <c r="H1810" s="49">
        <f t="array" ref="H1810">IF(
 OR(
  LEFT(B1810,15)="state.character",
  RIGHT(B1810,6)=".maxed"
 ),
 0,
 LET(
  sort,
   _xlfn.XLOOKUP(
    B1810,
    tblChecklist[TargetID],
    tblChecklist[PlayerSort],
    0
   ),
  IF(sort=0,500,sort)
 )
)</f>
        <v>500</v>
      </c>
      <c r="I1810" s="49" t="str">
        <f t="array" ref="I1810">_xlfn.XLOOKUP(
 B1810,
 tblTargetStatus[TargetID],
 tblTargetStatus[Status],
 ""
)</f>
        <v>BLOCKED</v>
      </c>
      <c r="J1810" s="45" t="b">
        <v>0</v>
      </c>
    </row>
    <row r="1811" ht="14.25" hidden="1" customHeight="1">
      <c r="A1811" s="49" t="s">
        <v>3507</v>
      </c>
      <c r="B1811" s="49" t="str">
        <f>IFERROR(__xludf.DUMMYFUNCTION("REGEXREPLACE(
 REGEXREPLACE(A1811,""^cost\."",""""),
 ""\.[^.]+\.[^.]+$"",
 """"
)"),"tech.tailor.ariadnes_thread")</f>
        <v>tech.tailor.ariadnes_thread</v>
      </c>
      <c r="C1811" s="49" t="str">
        <f t="array" ref="C1811">_xlfn.XLOOKUP(
 B1811,
 tblTargets[TargetID],
 tblTargets[DisplayName],
 ""
)</f>
        <v>Tailor - Ariadnes Thread</v>
      </c>
      <c r="D1811" s="49" t="str">
        <f t="array" ref="D1811">_xlfn.XLOOKUP(
 B1811,
 tblTargets[TargetID],
 tblTargets[TargetType],
 ""
)</f>
        <v>TECH</v>
      </c>
      <c r="E1811" s="49" t="s">
        <v>2997</v>
      </c>
      <c r="F1811" s="49">
        <v>1.0</v>
      </c>
      <c r="G1811" s="49">
        <f t="array" ref="G1811">_xlfn.XLOOKUP(
 A1811,
 tblCost[RequirementID],
 tblCost[QuantityRequired],
 ""
)</f>
        <v>1</v>
      </c>
      <c r="H1811" s="49">
        <f t="array" ref="H1811">IF(
 OR(
  LEFT(B1811,15)="state.character",
  RIGHT(B1811,6)=".maxed"
 ),
 0,
 LET(
  sort,
   _xlfn.XLOOKUP(
    B1811,
    tblChecklist[TargetID],
    tblChecklist[PlayerSort],
    0
   ),
  IF(sort=0,500,sort)
 )
)</f>
        <v>500</v>
      </c>
      <c r="I1811" s="49" t="str">
        <f t="array" ref="I1811">_xlfn.XLOOKUP(
 B1811,
 tblTargetStatus[TargetID],
 tblTargetStatus[Status],
 ""
)</f>
        <v>BLOCKED</v>
      </c>
      <c r="J1811" s="45" t="b">
        <v>0</v>
      </c>
    </row>
    <row r="1812" ht="14.25" hidden="1" customHeight="1">
      <c r="A1812" s="49" t="s">
        <v>3508</v>
      </c>
      <c r="B1812" s="49" t="str">
        <f>IFERROR(__xludf.DUMMYFUNCTION("REGEXREPLACE(
 REGEXREPLACE(A1812,""^cost\."",""""),
 ""\.[^.]+\.[^.]+$"",
 """"
)"),"tech.tailor.ariadnes_thread")</f>
        <v>tech.tailor.ariadnes_thread</v>
      </c>
      <c r="C1812" s="49" t="str">
        <f t="array" ref="C1812">_xlfn.XLOOKUP(
 B1812,
 tblTargets[TargetID],
 tblTargets[DisplayName],
 ""
)</f>
        <v>Tailor - Ariadnes Thread</v>
      </c>
      <c r="D1812" s="49" t="str">
        <f t="array" ref="D1812">_xlfn.XLOOKUP(
 B1812,
 tblTargets[TargetID],
 tblTargets[TargetType],
 ""
)</f>
        <v>TECH</v>
      </c>
      <c r="E1812" s="49" t="s">
        <v>6</v>
      </c>
      <c r="F1812" s="49">
        <v>1.0</v>
      </c>
      <c r="G1812" s="49">
        <f t="array" ref="G1812">_xlfn.XLOOKUP(
 A1812,
 tblCost[RequirementID],
 tblCost[QuantityRequired],
 ""
)</f>
        <v>2</v>
      </c>
      <c r="H1812" s="49">
        <f t="array" ref="H1812">IF(
 OR(
  LEFT(B1812,15)="state.character",
  RIGHT(B1812,6)=".maxed"
 ),
 0,
 LET(
  sort,
   _xlfn.XLOOKUP(
    B1812,
    tblChecklist[TargetID],
    tblChecklist[PlayerSort],
    0
   ),
  IF(sort=0,500,sort)
 )
)</f>
        <v>500</v>
      </c>
      <c r="I1812" s="49" t="str">
        <f t="array" ref="I1812">_xlfn.XLOOKUP(
 B1812,
 tblTargetStatus[TargetID],
 tblTargetStatus[Status],
 ""
)</f>
        <v>BLOCKED</v>
      </c>
      <c r="J1812" s="45" t="b">
        <v>0</v>
      </c>
    </row>
    <row r="1813" ht="14.25" hidden="1" customHeight="1">
      <c r="A1813" s="49" t="s">
        <v>3509</v>
      </c>
      <c r="B1813" s="49" t="str">
        <f>IFERROR(__xludf.DUMMYFUNCTION("REGEXREPLACE(
 REGEXREPLACE(A1813,""^cost\."",""""),
 ""\.[^.]+\.[^.]+$"",
 """"
)"),"tech.tailor.ariadnes_thread")</f>
        <v>tech.tailor.ariadnes_thread</v>
      </c>
      <c r="C1813" s="49" t="str">
        <f t="array" ref="C1813">_xlfn.XLOOKUP(
 B1813,
 tblTargets[TargetID],
 tblTargets[DisplayName],
 ""
)</f>
        <v>Tailor - Ariadnes Thread</v>
      </c>
      <c r="D1813" s="49" t="str">
        <f t="array" ref="D1813">_xlfn.XLOOKUP(
 B1813,
 tblTargets[TargetID],
 tblTargets[TargetType],
 ""
)</f>
        <v>TECH</v>
      </c>
      <c r="E1813" s="49" t="s">
        <v>158</v>
      </c>
      <c r="F1813" s="49">
        <v>1.0</v>
      </c>
      <c r="G1813" s="49">
        <f t="array" ref="G1813">_xlfn.XLOOKUP(
 A1813,
 tblCost[RequirementID],
 tblCost[QuantityRequired],
 ""
)</f>
        <v>10</v>
      </c>
      <c r="H1813" s="49">
        <f t="array" ref="H1813">IF(
 OR(
  LEFT(B1813,15)="state.character",
  RIGHT(B1813,6)=".maxed"
 ),
 0,
 LET(
  sort,
   _xlfn.XLOOKUP(
    B1813,
    tblChecklist[TargetID],
    tblChecklist[PlayerSort],
    0
   ),
  IF(sort=0,500,sort)
 )
)</f>
        <v>500</v>
      </c>
      <c r="I1813" s="49" t="str">
        <f t="array" ref="I1813">_xlfn.XLOOKUP(
 B1813,
 tblTargetStatus[TargetID],
 tblTargetStatus[Status],
 ""
)</f>
        <v>BLOCKED</v>
      </c>
      <c r="J1813" s="45" t="b">
        <v>0</v>
      </c>
    </row>
    <row r="1814" ht="14.25" hidden="1" customHeight="1">
      <c r="A1814" s="49" t="s">
        <v>3522</v>
      </c>
      <c r="B1814" s="49" t="str">
        <f>IFERROR(__xludf.DUMMYFUNCTION("REGEXREPLACE(
 REGEXREPLACE(A1814,""^cost\."",""""),
 ""\.[^.]+\.[^.]+$"",
 """"
)"),"tech.tailor.armor_for_a_hero_lvl_1")</f>
        <v>tech.tailor.armor_for_a_hero_lvl_1</v>
      </c>
      <c r="C1814" s="49" t="str">
        <f t="array" ref="C1814">_xlfn.XLOOKUP(
 B1814,
 tblTargets[TargetID],
 tblTargets[DisplayName],
 ""
)</f>
        <v>Tailor - Armor For A Hero Lvl 1</v>
      </c>
      <c r="D1814" s="49" t="str">
        <f t="array" ref="D1814">_xlfn.XLOOKUP(
 B1814,
 tblTargets[TargetID],
 tblTargets[TargetType],
 ""
)</f>
        <v>TECH</v>
      </c>
      <c r="E1814" s="49" t="s">
        <v>119</v>
      </c>
      <c r="F1814" s="49">
        <v>1.0</v>
      </c>
      <c r="G1814" s="49">
        <f t="array" ref="G1814">_xlfn.XLOOKUP(
 A1814,
 tblCost[RequirementID],
 tblCost[QuantityRequired],
 ""
)</f>
        <v>500</v>
      </c>
      <c r="H1814" s="49">
        <f t="array" ref="H1814">IF(
 OR(
  LEFT(B1814,15)="state.character",
  RIGHT(B1814,6)=".maxed"
 ),
 0,
 LET(
  sort,
   _xlfn.XLOOKUP(
    B1814,
    tblChecklist[TargetID],
    tblChecklist[PlayerSort],
    0
   ),
  IF(sort=0,500,sort)
 )
)</f>
        <v>500</v>
      </c>
      <c r="I1814" s="49" t="str">
        <f t="array" ref="I1814">_xlfn.XLOOKUP(
 B1814,
 tblTargetStatus[TargetID],
 tblTargetStatus[Status],
 ""
)</f>
        <v>BLOCKED</v>
      </c>
      <c r="J1814" s="45" t="b">
        <v>0</v>
      </c>
    </row>
    <row r="1815" ht="14.25" hidden="1" customHeight="1">
      <c r="A1815" s="49" t="s">
        <v>3523</v>
      </c>
      <c r="B1815" s="49" t="str">
        <f>IFERROR(__xludf.DUMMYFUNCTION("REGEXREPLACE(
 REGEXREPLACE(A1815,""^cost\."",""""),
 ""\.[^.]+\.[^.]+$"",
 """"
)"),"tech.tailor.armor_for_a_hero_lvl_1")</f>
        <v>tech.tailor.armor_for_a_hero_lvl_1</v>
      </c>
      <c r="C1815" s="49" t="str">
        <f t="array" ref="C1815">_xlfn.XLOOKUP(
 B1815,
 tblTargets[TargetID],
 tblTargets[DisplayName],
 ""
)</f>
        <v>Tailor - Armor For A Hero Lvl 1</v>
      </c>
      <c r="D1815" s="49" t="str">
        <f t="array" ref="D1815">_xlfn.XLOOKUP(
 B1815,
 tblTargets[TargetID],
 tblTargets[TargetType],
 ""
)</f>
        <v>TECH</v>
      </c>
      <c r="E1815" s="49" t="s">
        <v>126</v>
      </c>
      <c r="F1815" s="49">
        <v>1.0</v>
      </c>
      <c r="G1815" s="49">
        <f t="array" ref="G1815">_xlfn.XLOOKUP(
 A1815,
 tblCost[RequirementID],
 tblCost[QuantityRequired],
 ""
)</f>
        <v>50</v>
      </c>
      <c r="H1815" s="49">
        <f t="array" ref="H1815">IF(
 OR(
  LEFT(B1815,15)="state.character",
  RIGHT(B1815,6)=".maxed"
 ),
 0,
 LET(
  sort,
   _xlfn.XLOOKUP(
    B1815,
    tblChecklist[TargetID],
    tblChecklist[PlayerSort],
    0
   ),
  IF(sort=0,500,sort)
 )
)</f>
        <v>500</v>
      </c>
      <c r="I1815" s="49" t="str">
        <f t="array" ref="I1815">_xlfn.XLOOKUP(
 B1815,
 tblTargetStatus[TargetID],
 tblTargetStatus[Status],
 ""
)</f>
        <v>BLOCKED</v>
      </c>
      <c r="J1815" s="45" t="b">
        <v>0</v>
      </c>
    </row>
    <row r="1816" ht="14.25" hidden="1" customHeight="1">
      <c r="A1816" s="49" t="s">
        <v>3526</v>
      </c>
      <c r="B1816" s="49" t="str">
        <f>IFERROR(__xludf.DUMMYFUNCTION("REGEXREPLACE(
 REGEXREPLACE(A1816,""^cost\."",""""),
 ""\.[^.]+\.[^.]+$"",
 """"
)"),"tech.tailor.armor_for_a_hero_lvl_1")</f>
        <v>tech.tailor.armor_for_a_hero_lvl_1</v>
      </c>
      <c r="C1816" s="49" t="str">
        <f t="array" ref="C1816">_xlfn.XLOOKUP(
 B1816,
 tblTargets[TargetID],
 tblTargets[DisplayName],
 ""
)</f>
        <v>Tailor - Armor For A Hero Lvl 1</v>
      </c>
      <c r="D1816" s="49" t="str">
        <f t="array" ref="D1816">_xlfn.XLOOKUP(
 B1816,
 tblTargets[TargetID],
 tblTargets[TargetType],
 ""
)</f>
        <v>TECH</v>
      </c>
      <c r="E1816" s="49" t="s">
        <v>132</v>
      </c>
      <c r="F1816" s="49">
        <v>1.0</v>
      </c>
      <c r="G1816" s="49">
        <f t="array" ref="G1816">_xlfn.XLOOKUP(
 A1816,
 tblCost[RequirementID],
 tblCost[QuantityRequired],
 ""
)</f>
        <v>30</v>
      </c>
      <c r="H1816" s="49">
        <f t="array" ref="H1816">IF(
 OR(
  LEFT(B1816,15)="state.character",
  RIGHT(B1816,6)=".maxed"
 ),
 0,
 LET(
  sort,
   _xlfn.XLOOKUP(
    B1816,
    tblChecklist[TargetID],
    tblChecklist[PlayerSort],
    0
   ),
  IF(sort=0,500,sort)
 )
)</f>
        <v>500</v>
      </c>
      <c r="I1816" s="49" t="str">
        <f t="array" ref="I1816">_xlfn.XLOOKUP(
 B1816,
 tblTargetStatus[TargetID],
 tblTargetStatus[Status],
 ""
)</f>
        <v>BLOCKED</v>
      </c>
      <c r="J1816" s="45" t="b">
        <v>0</v>
      </c>
    </row>
    <row r="1817" ht="14.25" hidden="1" customHeight="1">
      <c r="A1817" s="49" t="s">
        <v>3530</v>
      </c>
      <c r="B1817" s="49" t="str">
        <f>IFERROR(__xludf.DUMMYFUNCTION("REGEXREPLACE(
 REGEXREPLACE(A1817,""^cost\."",""""),
 ""\.[^.]+\.[^.]+$"",
 """"
)"),"tech.tailor.armor_for_a_hero_lvl_1")</f>
        <v>tech.tailor.armor_for_a_hero_lvl_1</v>
      </c>
      <c r="C1817" s="49" t="str">
        <f t="array" ref="C1817">_xlfn.XLOOKUP(
 B1817,
 tblTargets[TargetID],
 tblTargets[DisplayName],
 ""
)</f>
        <v>Tailor - Armor For A Hero Lvl 1</v>
      </c>
      <c r="D1817" s="49" t="str">
        <f t="array" ref="D1817">_xlfn.XLOOKUP(
 B1817,
 tblTargets[TargetID],
 tblTargets[TargetType],
 ""
)</f>
        <v>TECH</v>
      </c>
      <c r="E1817" s="49" t="s">
        <v>6</v>
      </c>
      <c r="F1817" s="49">
        <v>1.0</v>
      </c>
      <c r="G1817" s="49">
        <f t="array" ref="G1817">_xlfn.XLOOKUP(
 A1817,
 tblCost[RequirementID],
 tblCost[QuantityRequired],
 ""
)</f>
        <v>3</v>
      </c>
      <c r="H1817" s="49">
        <f t="array" ref="H1817">IF(
 OR(
  LEFT(B1817,15)="state.character",
  RIGHT(B1817,6)=".maxed"
 ),
 0,
 LET(
  sort,
   _xlfn.XLOOKUP(
    B1817,
    tblChecklist[TargetID],
    tblChecklist[PlayerSort],
    0
   ),
  IF(sort=0,500,sort)
 )
)</f>
        <v>500</v>
      </c>
      <c r="I1817" s="49" t="str">
        <f t="array" ref="I1817">_xlfn.XLOOKUP(
 B1817,
 tblTargetStatus[TargetID],
 tblTargetStatus[Status],
 ""
)</f>
        <v>BLOCKED</v>
      </c>
      <c r="J1817" s="45" t="b">
        <v>0</v>
      </c>
    </row>
    <row r="1818" ht="14.25" hidden="1" customHeight="1">
      <c r="A1818" s="49" t="s">
        <v>3535</v>
      </c>
      <c r="B1818" s="49" t="str">
        <f>IFERROR(__xludf.DUMMYFUNCTION("REGEXREPLACE(
 REGEXREPLACE(A1818,""^cost\."",""""),
 ""\.[^.]+\.[^.]+$"",
 """"
)"),"tech.tailor.armor_for_a_hero_lvl_1")</f>
        <v>tech.tailor.armor_for_a_hero_lvl_1</v>
      </c>
      <c r="C1818" s="49" t="str">
        <f t="array" ref="C1818">_xlfn.XLOOKUP(
 B1818,
 tblTargets[TargetID],
 tblTargets[DisplayName],
 ""
)</f>
        <v>Tailor - Armor For A Hero Lvl 1</v>
      </c>
      <c r="D1818" s="49" t="str">
        <f t="array" ref="D1818">_xlfn.XLOOKUP(
 B1818,
 tblTargets[TargetID],
 tblTargets[TargetType],
 ""
)</f>
        <v>TECH</v>
      </c>
      <c r="E1818" s="49" t="s">
        <v>152</v>
      </c>
      <c r="F1818" s="49">
        <v>1.0</v>
      </c>
      <c r="G1818" s="49">
        <f t="array" ref="G1818">_xlfn.XLOOKUP(
 A1818,
 tblCost[RequirementID],
 tblCost[QuantityRequired],
 ""
)</f>
        <v>10</v>
      </c>
      <c r="H1818" s="49">
        <f t="array" ref="H1818">IF(
 OR(
  LEFT(B1818,15)="state.character",
  RIGHT(B1818,6)=".maxed"
 ),
 0,
 LET(
  sort,
   _xlfn.XLOOKUP(
    B1818,
    tblChecklist[TargetID],
    tblChecklist[PlayerSort],
    0
   ),
  IF(sort=0,500,sort)
 )
)</f>
        <v>500</v>
      </c>
      <c r="I1818" s="49" t="str">
        <f t="array" ref="I1818">_xlfn.XLOOKUP(
 B1818,
 tblTargetStatus[TargetID],
 tblTargetStatus[Status],
 ""
)</f>
        <v>BLOCKED</v>
      </c>
      <c r="J1818" s="45" t="b">
        <v>0</v>
      </c>
    </row>
    <row r="1819" ht="14.25" hidden="1" customHeight="1">
      <c r="A1819" s="49" t="s">
        <v>3539</v>
      </c>
      <c r="B1819" s="49" t="str">
        <f>IFERROR(__xludf.DUMMYFUNCTION("REGEXREPLACE(
 REGEXREPLACE(A1819,""^cost\."",""""),
 ""\.[^.]+\.[^.]+$"",
 """"
)"),"tech.tailor.armor_for_a_hero_lvl_1")</f>
        <v>tech.tailor.armor_for_a_hero_lvl_1</v>
      </c>
      <c r="C1819" s="49" t="str">
        <f t="array" ref="C1819">_xlfn.XLOOKUP(
 B1819,
 tblTargets[TargetID],
 tblTargets[DisplayName],
 ""
)</f>
        <v>Tailor - Armor For A Hero Lvl 1</v>
      </c>
      <c r="D1819" s="49" t="str">
        <f t="array" ref="D1819">_xlfn.XLOOKUP(
 B1819,
 tblTargets[TargetID],
 tblTargets[TargetType],
 ""
)</f>
        <v>TECH</v>
      </c>
      <c r="E1819" s="49" t="s">
        <v>158</v>
      </c>
      <c r="F1819" s="49">
        <v>1.0</v>
      </c>
      <c r="G1819" s="49">
        <f t="array" ref="G1819">_xlfn.XLOOKUP(
 A1819,
 tblCost[RequirementID],
 tblCost[QuantityRequired],
 ""
)</f>
        <v>5</v>
      </c>
      <c r="H1819" s="49">
        <f t="array" ref="H1819">IF(
 OR(
  LEFT(B1819,15)="state.character",
  RIGHT(B1819,6)=".maxed"
 ),
 0,
 LET(
  sort,
   _xlfn.XLOOKUP(
    B1819,
    tblChecklist[TargetID],
    tblChecklist[PlayerSort],
    0
   ),
  IF(sort=0,500,sort)
 )
)</f>
        <v>500</v>
      </c>
      <c r="I1819" s="49" t="str">
        <f t="array" ref="I1819">_xlfn.XLOOKUP(
 B1819,
 tblTargetStatus[TargetID],
 tblTargetStatus[Status],
 ""
)</f>
        <v>BLOCKED</v>
      </c>
      <c r="J1819" s="45" t="b">
        <v>0</v>
      </c>
    </row>
    <row r="1820" ht="14.25" hidden="1" customHeight="1">
      <c r="A1820" s="49" t="s">
        <v>3543</v>
      </c>
      <c r="B1820" s="49" t="str">
        <f>IFERROR(__xludf.DUMMYFUNCTION("REGEXREPLACE(
 REGEXREPLACE(A1820,""^cost\."",""""),
 ""\.[^.]+\.[^.]+$"",
 """"
)"),"tech.tailor.armor_for_a_hero_lvl_2")</f>
        <v>tech.tailor.armor_for_a_hero_lvl_2</v>
      </c>
      <c r="C1820" s="49" t="str">
        <f t="array" ref="C1820">_xlfn.XLOOKUP(
 B1820,
 tblTargets[TargetID],
 tblTargets[DisplayName],
 ""
)</f>
        <v>Tailor - Armor For A Hero Lvl 2</v>
      </c>
      <c r="D1820" s="49" t="str">
        <f t="array" ref="D1820">_xlfn.XLOOKUP(
 B1820,
 tblTargets[TargetID],
 tblTargets[TargetType],
 ""
)</f>
        <v>TECH</v>
      </c>
      <c r="E1820" s="49" t="s">
        <v>1055</v>
      </c>
      <c r="F1820" s="49">
        <v>1.0</v>
      </c>
      <c r="G1820" s="49">
        <f t="array" ref="G1820">_xlfn.XLOOKUP(
 A1820,
 tblCost[RequirementID],
 tblCost[QuantityRequired],
 ""
)</f>
        <v>20</v>
      </c>
      <c r="H1820" s="49">
        <f t="array" ref="H1820">IF(
 OR(
  LEFT(B1820,15)="state.character",
  RIGHT(B1820,6)=".maxed"
 ),
 0,
 LET(
  sort,
   _xlfn.XLOOKUP(
    B1820,
    tblChecklist[TargetID],
    tblChecklist[PlayerSort],
    0
   ),
  IF(sort=0,500,sort)
 )
)</f>
        <v>500</v>
      </c>
      <c r="I1820" s="49" t="str">
        <f t="array" ref="I1820">_xlfn.XLOOKUP(
 B1820,
 tblTargetStatus[TargetID],
 tblTargetStatus[Status],
 ""
)</f>
        <v>BLOCKED</v>
      </c>
      <c r="J1820" s="45" t="b">
        <v>0</v>
      </c>
    </row>
    <row r="1821" ht="14.25" hidden="1" customHeight="1">
      <c r="A1821" s="49" t="s">
        <v>3547</v>
      </c>
      <c r="B1821" s="49" t="str">
        <f>IFERROR(__xludf.DUMMYFUNCTION("REGEXREPLACE(
 REGEXREPLACE(A1821,""^cost\."",""""),
 ""\.[^.]+\.[^.]+$"",
 """"
)"),"tech.tailor.armor_for_a_hero_lvl_2")</f>
        <v>tech.tailor.armor_for_a_hero_lvl_2</v>
      </c>
      <c r="C1821" s="49" t="str">
        <f t="array" ref="C1821">_xlfn.XLOOKUP(
 B1821,
 tblTargets[TargetID],
 tblTargets[DisplayName],
 ""
)</f>
        <v>Tailor - Armor For A Hero Lvl 2</v>
      </c>
      <c r="D1821" s="49" t="str">
        <f t="array" ref="D1821">_xlfn.XLOOKUP(
 B1821,
 tblTargets[TargetID],
 tblTargets[TargetType],
 ""
)</f>
        <v>TECH</v>
      </c>
      <c r="E1821" s="49" t="s">
        <v>119</v>
      </c>
      <c r="F1821" s="49">
        <v>1.0</v>
      </c>
      <c r="G1821" s="49">
        <f t="array" ref="G1821">_xlfn.XLOOKUP(
 A1821,
 tblCost[RequirementID],
 tblCost[QuantityRequired],
 ""
)</f>
        <v>1000</v>
      </c>
      <c r="H1821" s="49">
        <f t="array" ref="H1821">IF(
 OR(
  LEFT(B1821,15)="state.character",
  RIGHT(B1821,6)=".maxed"
 ),
 0,
 LET(
  sort,
   _xlfn.XLOOKUP(
    B1821,
    tblChecklist[TargetID],
    tblChecklist[PlayerSort],
    0
   ),
  IF(sort=0,500,sort)
 )
)</f>
        <v>500</v>
      </c>
      <c r="I1821" s="49" t="str">
        <f t="array" ref="I1821">_xlfn.XLOOKUP(
 B1821,
 tblTargetStatus[TargetID],
 tblTargetStatus[Status],
 ""
)</f>
        <v>BLOCKED</v>
      </c>
      <c r="J1821" s="45" t="b">
        <v>0</v>
      </c>
    </row>
    <row r="1822" ht="14.25" hidden="1" customHeight="1">
      <c r="A1822" s="49" t="s">
        <v>3551</v>
      </c>
      <c r="B1822" s="49" t="str">
        <f>IFERROR(__xludf.DUMMYFUNCTION("REGEXREPLACE(
 REGEXREPLACE(A1822,""^cost\."",""""),
 ""\.[^.]+\.[^.]+$"",
 """"
)"),"tech.tailor.armor_for_a_hero_lvl_2")</f>
        <v>tech.tailor.armor_for_a_hero_lvl_2</v>
      </c>
      <c r="C1822" s="49" t="str">
        <f t="array" ref="C1822">_xlfn.XLOOKUP(
 B1822,
 tblTargets[TargetID],
 tblTargets[DisplayName],
 ""
)</f>
        <v>Tailor - Armor For A Hero Lvl 2</v>
      </c>
      <c r="D1822" s="49" t="str">
        <f t="array" ref="D1822">_xlfn.XLOOKUP(
 B1822,
 tblTargets[TargetID],
 tblTargets[TargetType],
 ""
)</f>
        <v>TECH</v>
      </c>
      <c r="E1822" s="49" t="s">
        <v>2135</v>
      </c>
      <c r="F1822" s="49">
        <v>1.0</v>
      </c>
      <c r="G1822" s="49">
        <f t="array" ref="G1822">_xlfn.XLOOKUP(
 A1822,
 tblCost[RequirementID],
 tblCost[QuantityRequired],
 ""
)</f>
        <v>50</v>
      </c>
      <c r="H1822" s="49">
        <f t="array" ref="H1822">IF(
 OR(
  LEFT(B1822,15)="state.character",
  RIGHT(B1822,6)=".maxed"
 ),
 0,
 LET(
  sort,
   _xlfn.XLOOKUP(
    B1822,
    tblChecklist[TargetID],
    tblChecklist[PlayerSort],
    0
   ),
  IF(sort=0,500,sort)
 )
)</f>
        <v>500</v>
      </c>
      <c r="I1822" s="49" t="str">
        <f t="array" ref="I1822">_xlfn.XLOOKUP(
 B1822,
 tblTargetStatus[TargetID],
 tblTargetStatus[Status],
 ""
)</f>
        <v>BLOCKED</v>
      </c>
      <c r="J1822" s="45" t="b">
        <v>0</v>
      </c>
    </row>
    <row r="1823" ht="14.25" hidden="1" customHeight="1">
      <c r="A1823" s="49" t="s">
        <v>3557</v>
      </c>
      <c r="B1823" s="49" t="str">
        <f>IFERROR(__xludf.DUMMYFUNCTION("REGEXREPLACE(
 REGEXREPLACE(A1823,""^cost\."",""""),
 ""\.[^.]+\.[^.]+$"",
 """"
)"),"tech.tailor.armor_for_a_hero_lvl_2")</f>
        <v>tech.tailor.armor_for_a_hero_lvl_2</v>
      </c>
      <c r="C1823" s="49" t="str">
        <f t="array" ref="C1823">_xlfn.XLOOKUP(
 B1823,
 tblTargets[TargetID],
 tblTargets[DisplayName],
 ""
)</f>
        <v>Tailor - Armor For A Hero Lvl 2</v>
      </c>
      <c r="D1823" s="49" t="str">
        <f t="array" ref="D1823">_xlfn.XLOOKUP(
 B1823,
 tblTargets[TargetID],
 tblTargets[TargetType],
 ""
)</f>
        <v>TECH</v>
      </c>
      <c r="E1823" s="49" t="s">
        <v>6</v>
      </c>
      <c r="F1823" s="49">
        <v>1.0</v>
      </c>
      <c r="G1823" s="49">
        <f t="array" ref="G1823">_xlfn.XLOOKUP(
 A1823,
 tblCost[RequirementID],
 tblCost[QuantityRequired],
 ""
)</f>
        <v>5</v>
      </c>
      <c r="H1823" s="49">
        <f t="array" ref="H1823">IF(
 OR(
  LEFT(B1823,15)="state.character",
  RIGHT(B1823,6)=".maxed"
 ),
 0,
 LET(
  sort,
   _xlfn.XLOOKUP(
    B1823,
    tblChecklist[TargetID],
    tblChecklist[PlayerSort],
    0
   ),
  IF(sort=0,500,sort)
 )
)</f>
        <v>500</v>
      </c>
      <c r="I1823" s="49" t="str">
        <f t="array" ref="I1823">_xlfn.XLOOKUP(
 B1823,
 tblTargetStatus[TargetID],
 tblTargetStatus[Status],
 ""
)</f>
        <v>BLOCKED</v>
      </c>
      <c r="J1823" s="45" t="b">
        <v>0</v>
      </c>
    </row>
    <row r="1824" ht="14.25" hidden="1" customHeight="1">
      <c r="A1824" s="49" t="s">
        <v>3561</v>
      </c>
      <c r="B1824" s="49" t="str">
        <f>IFERROR(__xludf.DUMMYFUNCTION("REGEXREPLACE(
 REGEXREPLACE(A1824,""^cost\."",""""),
 ""\.[^.]+\.[^.]+$"",
 """"
)"),"tech.tailor.armor_for_a_hero_lvl_2")</f>
        <v>tech.tailor.armor_for_a_hero_lvl_2</v>
      </c>
      <c r="C1824" s="49" t="str">
        <f t="array" ref="C1824">_xlfn.XLOOKUP(
 B1824,
 tblTargets[TargetID],
 tblTargets[DisplayName],
 ""
)</f>
        <v>Tailor - Armor For A Hero Lvl 2</v>
      </c>
      <c r="D1824" s="49" t="str">
        <f t="array" ref="D1824">_xlfn.XLOOKUP(
 B1824,
 tblTargets[TargetID],
 tblTargets[TargetType],
 ""
)</f>
        <v>TECH</v>
      </c>
      <c r="E1824" s="49" t="s">
        <v>152</v>
      </c>
      <c r="F1824" s="49">
        <v>1.0</v>
      </c>
      <c r="G1824" s="49">
        <f t="array" ref="G1824">_xlfn.XLOOKUP(
 A1824,
 tblCost[RequirementID],
 tblCost[QuantityRequired],
 ""
)</f>
        <v>20</v>
      </c>
      <c r="H1824" s="49">
        <f t="array" ref="H1824">IF(
 OR(
  LEFT(B1824,15)="state.character",
  RIGHT(B1824,6)=".maxed"
 ),
 0,
 LET(
  sort,
   _xlfn.XLOOKUP(
    B1824,
    tblChecklist[TargetID],
    tblChecklist[PlayerSort],
    0
   ),
  IF(sort=0,500,sort)
 )
)</f>
        <v>500</v>
      </c>
      <c r="I1824" s="49" t="str">
        <f t="array" ref="I1824">_xlfn.XLOOKUP(
 B1824,
 tblTargetStatus[TargetID],
 tblTargetStatus[Status],
 ""
)</f>
        <v>BLOCKED</v>
      </c>
      <c r="J1824" s="45" t="b">
        <v>0</v>
      </c>
    </row>
    <row r="1825" ht="14.25" hidden="1" customHeight="1">
      <c r="A1825" s="49" t="s">
        <v>3567</v>
      </c>
      <c r="B1825" s="49" t="str">
        <f>IFERROR(__xludf.DUMMYFUNCTION("REGEXREPLACE(
 REGEXREPLACE(A1825,""^cost\."",""""),
 ""\.[^.]+\.[^.]+$"",
 """"
)"),"tech.tailor.armor_for_a_hero_lvl_2")</f>
        <v>tech.tailor.armor_for_a_hero_lvl_2</v>
      </c>
      <c r="C1825" s="49" t="str">
        <f t="array" ref="C1825">_xlfn.XLOOKUP(
 B1825,
 tblTargets[TargetID],
 tblTargets[DisplayName],
 ""
)</f>
        <v>Tailor - Armor For A Hero Lvl 2</v>
      </c>
      <c r="D1825" s="49" t="str">
        <f t="array" ref="D1825">_xlfn.XLOOKUP(
 B1825,
 tblTargets[TargetID],
 tblTargets[TargetType],
 ""
)</f>
        <v>TECH</v>
      </c>
      <c r="E1825" s="49" t="s">
        <v>158</v>
      </c>
      <c r="F1825" s="49">
        <v>1.0</v>
      </c>
      <c r="G1825" s="49">
        <f t="array" ref="G1825">_xlfn.XLOOKUP(
 A1825,
 tblCost[RequirementID],
 tblCost[QuantityRequired],
 ""
)</f>
        <v>10</v>
      </c>
      <c r="H1825" s="49">
        <f t="array" ref="H1825">IF(
 OR(
  LEFT(B1825,15)="state.character",
  RIGHT(B1825,6)=".maxed"
 ),
 0,
 LET(
  sort,
   _xlfn.XLOOKUP(
    B1825,
    tblChecklist[TargetID],
    tblChecklist[PlayerSort],
    0
   ),
  IF(sort=0,500,sort)
 )
)</f>
        <v>500</v>
      </c>
      <c r="I1825" s="49" t="str">
        <f t="array" ref="I1825">_xlfn.XLOOKUP(
 B1825,
 tblTargetStatus[TargetID],
 tblTargetStatus[Status],
 ""
)</f>
        <v>BLOCKED</v>
      </c>
      <c r="J1825" s="45" t="b">
        <v>0</v>
      </c>
    </row>
    <row r="1826" ht="14.25" hidden="1" customHeight="1">
      <c r="A1826" s="49" t="s">
        <v>3572</v>
      </c>
      <c r="B1826" s="49" t="str">
        <f>IFERROR(__xludf.DUMMYFUNCTION("REGEXREPLACE(
 REGEXREPLACE(A1826,""^cost\."",""""),
 ""\.[^.]+\.[^.]+$"",
 """"
)"),"tech.tailor.armor_for_a_hero_lvl_3")</f>
        <v>tech.tailor.armor_for_a_hero_lvl_3</v>
      </c>
      <c r="C1826" s="49" t="str">
        <f t="array" ref="C1826">_xlfn.XLOOKUP(
 B1826,
 tblTargets[TargetID],
 tblTargets[DisplayName],
 ""
)</f>
        <v>Tailor - Armor For A Hero Lvl 3</v>
      </c>
      <c r="D1826" s="49" t="str">
        <f t="array" ref="D1826">_xlfn.XLOOKUP(
 B1826,
 tblTargets[TargetID],
 tblTargets[TargetType],
 ""
)</f>
        <v>TECH</v>
      </c>
      <c r="E1826" s="49" t="s">
        <v>1055</v>
      </c>
      <c r="F1826" s="49">
        <v>1.0</v>
      </c>
      <c r="G1826" s="49">
        <f t="array" ref="G1826">_xlfn.XLOOKUP(
 A1826,
 tblCost[RequirementID],
 tblCost[QuantityRequired],
 ""
)</f>
        <v>30</v>
      </c>
      <c r="H1826" s="49">
        <f t="array" ref="H1826">IF(
 OR(
  LEFT(B1826,15)="state.character",
  RIGHT(B1826,6)=".maxed"
 ),
 0,
 LET(
  sort,
   _xlfn.XLOOKUP(
    B1826,
    tblChecklist[TargetID],
    tblChecklist[PlayerSort],
    0
   ),
  IF(sort=0,500,sort)
 )
)</f>
        <v>500</v>
      </c>
      <c r="I1826" s="49" t="str">
        <f t="array" ref="I1826">_xlfn.XLOOKUP(
 B1826,
 tblTargetStatus[TargetID],
 tblTargetStatus[Status],
 ""
)</f>
        <v>BLOCKED</v>
      </c>
      <c r="J1826" s="45" t="b">
        <v>0</v>
      </c>
    </row>
    <row r="1827" ht="14.25" hidden="1" customHeight="1">
      <c r="A1827" s="49" t="s">
        <v>3576</v>
      </c>
      <c r="B1827" s="49" t="str">
        <f>IFERROR(__xludf.DUMMYFUNCTION("REGEXREPLACE(
 REGEXREPLACE(A1827,""^cost\."",""""),
 ""\.[^.]+\.[^.]+$"",
 """"
)"),"tech.tailor.armor_for_a_hero_lvl_3")</f>
        <v>tech.tailor.armor_for_a_hero_lvl_3</v>
      </c>
      <c r="C1827" s="49" t="str">
        <f t="array" ref="C1827">_xlfn.XLOOKUP(
 B1827,
 tblTargets[TargetID],
 tblTargets[DisplayName],
 ""
)</f>
        <v>Tailor - Armor For A Hero Lvl 3</v>
      </c>
      <c r="D1827" s="49" t="str">
        <f t="array" ref="D1827">_xlfn.XLOOKUP(
 B1827,
 tblTargets[TargetID],
 tblTargets[TargetType],
 ""
)</f>
        <v>TECH</v>
      </c>
      <c r="E1827" s="49" t="s">
        <v>119</v>
      </c>
      <c r="F1827" s="49">
        <v>1.0</v>
      </c>
      <c r="G1827" s="49">
        <f t="array" ref="G1827">_xlfn.XLOOKUP(
 A1827,
 tblCost[RequirementID],
 tblCost[QuantityRequired],
 ""
)</f>
        <v>1500</v>
      </c>
      <c r="H1827" s="49">
        <f t="array" ref="H1827">IF(
 OR(
  LEFT(B1827,15)="state.character",
  RIGHT(B1827,6)=".maxed"
 ),
 0,
 LET(
  sort,
   _xlfn.XLOOKUP(
    B1827,
    tblChecklist[TargetID],
    tblChecklist[PlayerSort],
    0
   ),
  IF(sort=0,500,sort)
 )
)</f>
        <v>500</v>
      </c>
      <c r="I1827" s="49" t="str">
        <f t="array" ref="I1827">_xlfn.XLOOKUP(
 B1827,
 tblTargetStatus[TargetID],
 tblTargetStatus[Status],
 ""
)</f>
        <v>BLOCKED</v>
      </c>
      <c r="J1827" s="45" t="b">
        <v>0</v>
      </c>
    </row>
    <row r="1828" ht="14.25" hidden="1" customHeight="1">
      <c r="A1828" s="49" t="s">
        <v>3580</v>
      </c>
      <c r="B1828" s="49" t="str">
        <f>IFERROR(__xludf.DUMMYFUNCTION("REGEXREPLACE(
 REGEXREPLACE(A1828,""^cost\."",""""),
 ""\.[^.]+\.[^.]+$"",
 """"
)"),"tech.tailor.armor_for_a_hero_lvl_3")</f>
        <v>tech.tailor.armor_for_a_hero_lvl_3</v>
      </c>
      <c r="C1828" s="49" t="str">
        <f t="array" ref="C1828">_xlfn.XLOOKUP(
 B1828,
 tblTargets[TargetID],
 tblTargets[DisplayName],
 ""
)</f>
        <v>Tailor - Armor For A Hero Lvl 3</v>
      </c>
      <c r="D1828" s="49" t="str">
        <f t="array" ref="D1828">_xlfn.XLOOKUP(
 B1828,
 tblTargets[TargetID],
 tblTargets[TargetType],
 ""
)</f>
        <v>TECH</v>
      </c>
      <c r="E1828" s="49" t="s">
        <v>2135</v>
      </c>
      <c r="F1828" s="49">
        <v>1.0</v>
      </c>
      <c r="G1828" s="49">
        <f t="array" ref="G1828">_xlfn.XLOOKUP(
 A1828,
 tblCost[RequirementID],
 tblCost[QuantityRequired],
 ""
)</f>
        <v>75</v>
      </c>
      <c r="H1828" s="49">
        <f t="array" ref="H1828">IF(
 OR(
  LEFT(B1828,15)="state.character",
  RIGHT(B1828,6)=".maxed"
 ),
 0,
 LET(
  sort,
   _xlfn.XLOOKUP(
    B1828,
    tblChecklist[TargetID],
    tblChecklist[PlayerSort],
    0
   ),
  IF(sort=0,500,sort)
 )
)</f>
        <v>500</v>
      </c>
      <c r="I1828" s="49" t="str">
        <f t="array" ref="I1828">_xlfn.XLOOKUP(
 B1828,
 tblTargetStatus[TargetID],
 tblTargetStatus[Status],
 ""
)</f>
        <v>BLOCKED</v>
      </c>
      <c r="J1828" s="45" t="b">
        <v>0</v>
      </c>
    </row>
    <row r="1829" ht="14.25" hidden="1" customHeight="1">
      <c r="A1829" s="49" t="s">
        <v>3585</v>
      </c>
      <c r="B1829" s="49" t="str">
        <f>IFERROR(__xludf.DUMMYFUNCTION("REGEXREPLACE(
 REGEXREPLACE(A1829,""^cost\."",""""),
 ""\.[^.]+\.[^.]+$"",
 """"
)"),"tech.tailor.armor_for_a_hero_lvl_3")</f>
        <v>tech.tailor.armor_for_a_hero_lvl_3</v>
      </c>
      <c r="C1829" s="49" t="str">
        <f t="array" ref="C1829">_xlfn.XLOOKUP(
 B1829,
 tblTargets[TargetID],
 tblTargets[DisplayName],
 ""
)</f>
        <v>Tailor - Armor For A Hero Lvl 3</v>
      </c>
      <c r="D1829" s="49" t="str">
        <f t="array" ref="D1829">_xlfn.XLOOKUP(
 B1829,
 tblTargets[TargetID],
 tblTargets[TargetType],
 ""
)</f>
        <v>TECH</v>
      </c>
      <c r="E1829" s="49" t="s">
        <v>6</v>
      </c>
      <c r="F1829" s="49">
        <v>1.0</v>
      </c>
      <c r="G1829" s="49">
        <f t="array" ref="G1829">_xlfn.XLOOKUP(
 A1829,
 tblCost[RequirementID],
 tblCost[QuantityRequired],
 ""
)</f>
        <v>7</v>
      </c>
      <c r="H1829" s="49">
        <f t="array" ref="H1829">IF(
 OR(
  LEFT(B1829,15)="state.character",
  RIGHT(B1829,6)=".maxed"
 ),
 0,
 LET(
  sort,
   _xlfn.XLOOKUP(
    B1829,
    tblChecklist[TargetID],
    tblChecklist[PlayerSort],
    0
   ),
  IF(sort=0,500,sort)
 )
)</f>
        <v>500</v>
      </c>
      <c r="I1829" s="49" t="str">
        <f t="array" ref="I1829">_xlfn.XLOOKUP(
 B1829,
 tblTargetStatus[TargetID],
 tblTargetStatus[Status],
 ""
)</f>
        <v>BLOCKED</v>
      </c>
      <c r="J1829" s="45" t="b">
        <v>0</v>
      </c>
    </row>
    <row r="1830" ht="14.25" hidden="1" customHeight="1">
      <c r="A1830" s="49" t="s">
        <v>3589</v>
      </c>
      <c r="B1830" s="49" t="str">
        <f>IFERROR(__xludf.DUMMYFUNCTION("REGEXREPLACE(
 REGEXREPLACE(A1830,""^cost\."",""""),
 ""\.[^.]+\.[^.]+$"",
 """"
)"),"tech.tailor.armor_for_a_hero_lvl_3")</f>
        <v>tech.tailor.armor_for_a_hero_lvl_3</v>
      </c>
      <c r="C1830" s="49" t="str">
        <f t="array" ref="C1830">_xlfn.XLOOKUP(
 B1830,
 tblTargets[TargetID],
 tblTargets[DisplayName],
 ""
)</f>
        <v>Tailor - Armor For A Hero Lvl 3</v>
      </c>
      <c r="D1830" s="49" t="str">
        <f t="array" ref="D1830">_xlfn.XLOOKUP(
 B1830,
 tblTargets[TargetID],
 tblTargets[TargetType],
 ""
)</f>
        <v>TECH</v>
      </c>
      <c r="E1830" s="49" t="s">
        <v>152</v>
      </c>
      <c r="F1830" s="49">
        <v>1.0</v>
      </c>
      <c r="G1830" s="49">
        <f t="array" ref="G1830">_xlfn.XLOOKUP(
 A1830,
 tblCost[RequirementID],
 tblCost[QuantityRequired],
 ""
)</f>
        <v>30</v>
      </c>
      <c r="H1830" s="49">
        <f t="array" ref="H1830">IF(
 OR(
  LEFT(B1830,15)="state.character",
  RIGHT(B1830,6)=".maxed"
 ),
 0,
 LET(
  sort,
   _xlfn.XLOOKUP(
    B1830,
    tblChecklist[TargetID],
    tblChecklist[PlayerSort],
    0
   ),
  IF(sort=0,500,sort)
 )
)</f>
        <v>500</v>
      </c>
      <c r="I1830" s="49" t="str">
        <f t="array" ref="I1830">_xlfn.XLOOKUP(
 B1830,
 tblTargetStatus[TargetID],
 tblTargetStatus[Status],
 ""
)</f>
        <v>BLOCKED</v>
      </c>
      <c r="J1830" s="45" t="b">
        <v>0</v>
      </c>
    </row>
    <row r="1831" ht="14.25" hidden="1" customHeight="1">
      <c r="A1831" s="49" t="s">
        <v>3593</v>
      </c>
      <c r="B1831" s="49" t="str">
        <f>IFERROR(__xludf.DUMMYFUNCTION("REGEXREPLACE(
 REGEXREPLACE(A1831,""^cost\."",""""),
 ""\.[^.]+\.[^.]+$"",
 """"
)"),"tech.tailor.armor_for_a_hero_lvl_3")</f>
        <v>tech.tailor.armor_for_a_hero_lvl_3</v>
      </c>
      <c r="C1831" s="49" t="str">
        <f t="array" ref="C1831">_xlfn.XLOOKUP(
 B1831,
 tblTargets[TargetID],
 tblTargets[DisplayName],
 ""
)</f>
        <v>Tailor - Armor For A Hero Lvl 3</v>
      </c>
      <c r="D1831" s="49" t="str">
        <f t="array" ref="D1831">_xlfn.XLOOKUP(
 B1831,
 tblTargets[TargetID],
 tblTargets[TargetType],
 ""
)</f>
        <v>TECH</v>
      </c>
      <c r="E1831" s="49" t="s">
        <v>158</v>
      </c>
      <c r="F1831" s="49">
        <v>1.0</v>
      </c>
      <c r="G1831" s="49">
        <f t="array" ref="G1831">_xlfn.XLOOKUP(
 A1831,
 tblCost[RequirementID],
 tblCost[QuantityRequired],
 ""
)</f>
        <v>15</v>
      </c>
      <c r="H1831" s="49">
        <f t="array" ref="H1831">IF(
 OR(
  LEFT(B1831,15)="state.character",
  RIGHT(B1831,6)=".maxed"
 ),
 0,
 LET(
  sort,
   _xlfn.XLOOKUP(
    B1831,
    tblChecklist[TargetID],
    tblChecklist[PlayerSort],
    0
   ),
  IF(sort=0,500,sort)
 )
)</f>
        <v>500</v>
      </c>
      <c r="I1831" s="49" t="str">
        <f t="array" ref="I1831">_xlfn.XLOOKUP(
 B1831,
 tblTargetStatus[TargetID],
 tblTargetStatus[Status],
 ""
)</f>
        <v>BLOCKED</v>
      </c>
      <c r="J1831" s="45" t="b">
        <v>0</v>
      </c>
    </row>
    <row r="1832" ht="14.25" hidden="1" customHeight="1">
      <c r="A1832" s="49" t="s">
        <v>3598</v>
      </c>
      <c r="B1832" s="49" t="str">
        <f>IFERROR(__xludf.DUMMYFUNCTION("REGEXREPLACE(
 REGEXREPLACE(A1832,""^cost\."",""""),
 ""\.[^.]+\.[^.]+$"",
 """"
)"),"tech.tailor.armor_for_a_hero_lvl_4")</f>
        <v>tech.tailor.armor_for_a_hero_lvl_4</v>
      </c>
      <c r="C1832" s="49" t="str">
        <f t="array" ref="C1832">_xlfn.XLOOKUP(
 B1832,
 tblTargets[TargetID],
 tblTargets[DisplayName],
 ""
)</f>
        <v>Tailor - Armor For A Hero Lvl 4</v>
      </c>
      <c r="D1832" s="49" t="str">
        <f t="array" ref="D1832">_xlfn.XLOOKUP(
 B1832,
 tblTargets[TargetID],
 tblTargets[TargetType],
 ""
)</f>
        <v>TECH</v>
      </c>
      <c r="E1832" s="49" t="s">
        <v>1055</v>
      </c>
      <c r="F1832" s="49">
        <v>1.0</v>
      </c>
      <c r="G1832" s="49">
        <f t="array" ref="G1832">_xlfn.XLOOKUP(
 A1832,
 tblCost[RequirementID],
 tblCost[QuantityRequired],
 ""
)</f>
        <v>30</v>
      </c>
      <c r="H1832" s="49">
        <f t="array" ref="H1832">IF(
 OR(
  LEFT(B1832,15)="state.character",
  RIGHT(B1832,6)=".maxed"
 ),
 0,
 LET(
  sort,
   _xlfn.XLOOKUP(
    B1832,
    tblChecklist[TargetID],
    tblChecklist[PlayerSort],
    0
   ),
  IF(sort=0,500,sort)
 )
)</f>
        <v>500</v>
      </c>
      <c r="I1832" s="49" t="str">
        <f t="array" ref="I1832">_xlfn.XLOOKUP(
 B1832,
 tblTargetStatus[TargetID],
 tblTargetStatus[Status],
 ""
)</f>
        <v>BLOCKED</v>
      </c>
      <c r="J1832" s="45" t="b">
        <v>0</v>
      </c>
    </row>
    <row r="1833" ht="14.25" hidden="1" customHeight="1">
      <c r="A1833" s="49" t="s">
        <v>3602</v>
      </c>
      <c r="B1833" s="49" t="str">
        <f>IFERROR(__xludf.DUMMYFUNCTION("REGEXREPLACE(
 REGEXREPLACE(A1833,""^cost\."",""""),
 ""\.[^.]+\.[^.]+$"",
 """"
)"),"tech.tailor.armor_for_a_hero_lvl_4")</f>
        <v>tech.tailor.armor_for_a_hero_lvl_4</v>
      </c>
      <c r="C1833" s="49" t="str">
        <f t="array" ref="C1833">_xlfn.XLOOKUP(
 B1833,
 tblTargets[TargetID],
 tblTargets[DisplayName],
 ""
)</f>
        <v>Tailor - Armor For A Hero Lvl 4</v>
      </c>
      <c r="D1833" s="49" t="str">
        <f t="array" ref="D1833">_xlfn.XLOOKUP(
 B1833,
 tblTargets[TargetID],
 tblTargets[TargetType],
 ""
)</f>
        <v>TECH</v>
      </c>
      <c r="E1833" s="49" t="s">
        <v>119</v>
      </c>
      <c r="F1833" s="49">
        <v>1.0</v>
      </c>
      <c r="G1833" s="49">
        <f t="array" ref="G1833">_xlfn.XLOOKUP(
 A1833,
 tblCost[RequirementID],
 tblCost[QuantityRequired],
 ""
)</f>
        <v>500</v>
      </c>
      <c r="H1833" s="49">
        <f t="array" ref="H1833">IF(
 OR(
  LEFT(B1833,15)="state.character",
  RIGHT(B1833,6)=".maxed"
 ),
 0,
 LET(
  sort,
   _xlfn.XLOOKUP(
    B1833,
    tblChecklist[TargetID],
    tblChecklist[PlayerSort],
    0
   ),
  IF(sort=0,500,sort)
 )
)</f>
        <v>500</v>
      </c>
      <c r="I1833" s="49" t="str">
        <f t="array" ref="I1833">_xlfn.XLOOKUP(
 B1833,
 tblTargetStatus[TargetID],
 tblTargetStatus[Status],
 ""
)</f>
        <v>BLOCKED</v>
      </c>
      <c r="J1833" s="45" t="b">
        <v>0</v>
      </c>
    </row>
    <row r="1834" ht="14.25" hidden="1" customHeight="1">
      <c r="A1834" s="49" t="s">
        <v>3606</v>
      </c>
      <c r="B1834" s="49" t="str">
        <f>IFERROR(__xludf.DUMMYFUNCTION("REGEXREPLACE(
 REGEXREPLACE(A1834,""^cost\."",""""),
 ""\.[^.]+\.[^.]+$"",
 """"
)"),"tech.tailor.armor_for_a_hero_lvl_4")</f>
        <v>tech.tailor.armor_for_a_hero_lvl_4</v>
      </c>
      <c r="C1834" s="49" t="str">
        <f t="array" ref="C1834">_xlfn.XLOOKUP(
 B1834,
 tblTargets[TargetID],
 tblTargets[DisplayName],
 ""
)</f>
        <v>Tailor - Armor For A Hero Lvl 4</v>
      </c>
      <c r="D1834" s="49" t="str">
        <f t="array" ref="D1834">_xlfn.XLOOKUP(
 B1834,
 tblTargets[TargetID],
 tblTargets[TargetType],
 ""
)</f>
        <v>TECH</v>
      </c>
      <c r="E1834" s="49" t="s">
        <v>530</v>
      </c>
      <c r="F1834" s="49">
        <v>1.0</v>
      </c>
      <c r="G1834" s="49">
        <f t="array" ref="G1834">_xlfn.XLOOKUP(
 A1834,
 tblCost[RequirementID],
 tblCost[QuantityRequired],
 ""
)</f>
        <v>20</v>
      </c>
      <c r="H1834" s="49">
        <f t="array" ref="H1834">IF(
 OR(
  LEFT(B1834,15)="state.character",
  RIGHT(B1834,6)=".maxed"
 ),
 0,
 LET(
  sort,
   _xlfn.XLOOKUP(
    B1834,
    tblChecklist[TargetID],
    tblChecklist[PlayerSort],
    0
   ),
  IF(sort=0,500,sort)
 )
)</f>
        <v>500</v>
      </c>
      <c r="I1834" s="49" t="str">
        <f t="array" ref="I1834">_xlfn.XLOOKUP(
 B1834,
 tblTargetStatus[TargetID],
 tblTargetStatus[Status],
 ""
)</f>
        <v>BLOCKED</v>
      </c>
      <c r="J1834" s="45" t="b">
        <v>0</v>
      </c>
    </row>
    <row r="1835" ht="14.25" hidden="1" customHeight="1">
      <c r="A1835" s="49" t="s">
        <v>3610</v>
      </c>
      <c r="B1835" s="49" t="str">
        <f>IFERROR(__xludf.DUMMYFUNCTION("REGEXREPLACE(
 REGEXREPLACE(A1835,""^cost\."",""""),
 ""\.[^.]+\.[^.]+$"",
 """"
)"),"tech.tailor.armor_for_a_hero_lvl_4")</f>
        <v>tech.tailor.armor_for_a_hero_lvl_4</v>
      </c>
      <c r="C1835" s="49" t="str">
        <f t="array" ref="C1835">_xlfn.XLOOKUP(
 B1835,
 tblTargets[TargetID],
 tblTargets[DisplayName],
 ""
)</f>
        <v>Tailor - Armor For A Hero Lvl 4</v>
      </c>
      <c r="D1835" s="49" t="str">
        <f t="array" ref="D1835">_xlfn.XLOOKUP(
 B1835,
 tblTargets[TargetID],
 tblTargets[TargetType],
 ""
)</f>
        <v>TECH</v>
      </c>
      <c r="E1835" s="49" t="s">
        <v>1078</v>
      </c>
      <c r="F1835" s="49">
        <v>1.0</v>
      </c>
      <c r="G1835" s="49">
        <f t="array" ref="G1835">_xlfn.XLOOKUP(
 A1835,
 tblCost[RequirementID],
 tblCost[QuantityRequired],
 ""
)</f>
        <v>5</v>
      </c>
      <c r="H1835" s="49">
        <f t="array" ref="H1835">IF(
 OR(
  LEFT(B1835,15)="state.character",
  RIGHT(B1835,6)=".maxed"
 ),
 0,
 LET(
  sort,
   _xlfn.XLOOKUP(
    B1835,
    tblChecklist[TargetID],
    tblChecklist[PlayerSort],
    0
   ),
  IF(sort=0,500,sort)
 )
)</f>
        <v>500</v>
      </c>
      <c r="I1835" s="49" t="str">
        <f t="array" ref="I1835">_xlfn.XLOOKUP(
 B1835,
 tblTargetStatus[TargetID],
 tblTargetStatus[Status],
 ""
)</f>
        <v>BLOCKED</v>
      </c>
      <c r="J1835" s="45" t="b">
        <v>0</v>
      </c>
    </row>
    <row r="1836" ht="14.25" hidden="1" customHeight="1">
      <c r="A1836" s="49" t="s">
        <v>3615</v>
      </c>
      <c r="B1836" s="49" t="str">
        <f>IFERROR(__xludf.DUMMYFUNCTION("REGEXREPLACE(
 REGEXREPLACE(A1836,""^cost\."",""""),
 ""\.[^.]+\.[^.]+$"",
 """"
)"),"tech.tailor.armor_for_a_hero_lvl_4")</f>
        <v>tech.tailor.armor_for_a_hero_lvl_4</v>
      </c>
      <c r="C1836" s="49" t="str">
        <f t="array" ref="C1836">_xlfn.XLOOKUP(
 B1836,
 tblTargets[TargetID],
 tblTargets[DisplayName],
 ""
)</f>
        <v>Tailor - Armor For A Hero Lvl 4</v>
      </c>
      <c r="D1836" s="49" t="str">
        <f t="array" ref="D1836">_xlfn.XLOOKUP(
 B1836,
 tblTargets[TargetID],
 tblTargets[TargetType],
 ""
)</f>
        <v>TECH</v>
      </c>
      <c r="E1836" s="49" t="s">
        <v>6</v>
      </c>
      <c r="F1836" s="49">
        <v>1.0</v>
      </c>
      <c r="G1836" s="49">
        <f t="array" ref="G1836">_xlfn.XLOOKUP(
 A1836,
 tblCost[RequirementID],
 tblCost[QuantityRequired],
 ""
)</f>
        <v>3</v>
      </c>
      <c r="H1836" s="49">
        <f t="array" ref="H1836">IF(
 OR(
  LEFT(B1836,15)="state.character",
  RIGHT(B1836,6)=".maxed"
 ),
 0,
 LET(
  sort,
   _xlfn.XLOOKUP(
    B1836,
    tblChecklist[TargetID],
    tblChecklist[PlayerSort],
    0
   ),
  IF(sort=0,500,sort)
 )
)</f>
        <v>500</v>
      </c>
      <c r="I1836" s="49" t="str">
        <f t="array" ref="I1836">_xlfn.XLOOKUP(
 B1836,
 tblTargetStatus[TargetID],
 tblTargetStatus[Status],
 ""
)</f>
        <v>BLOCKED</v>
      </c>
      <c r="J1836" s="45" t="b">
        <v>0</v>
      </c>
    </row>
    <row r="1837" ht="14.25" hidden="1" customHeight="1">
      <c r="A1837" s="49" t="s">
        <v>3618</v>
      </c>
      <c r="B1837" s="49" t="str">
        <f>IFERROR(__xludf.DUMMYFUNCTION("REGEXREPLACE(
 REGEXREPLACE(A1837,""^cost\."",""""),
 ""\.[^.]+\.[^.]+$"",
 """"
)"),"tech.tailor.armor_for_a_hero_lvl_4")</f>
        <v>tech.tailor.armor_for_a_hero_lvl_4</v>
      </c>
      <c r="C1837" s="49" t="str">
        <f t="array" ref="C1837">_xlfn.XLOOKUP(
 B1837,
 tblTargets[TargetID],
 tblTargets[DisplayName],
 ""
)</f>
        <v>Tailor - Armor For A Hero Lvl 4</v>
      </c>
      <c r="D1837" s="49" t="str">
        <f t="array" ref="D1837">_xlfn.XLOOKUP(
 B1837,
 tblTargets[TargetID],
 tblTargets[TargetType],
 ""
)</f>
        <v>TECH</v>
      </c>
      <c r="E1837" s="49" t="s">
        <v>2786</v>
      </c>
      <c r="F1837" s="49">
        <v>1.0</v>
      </c>
      <c r="G1837" s="49">
        <f t="array" ref="G1837">_xlfn.XLOOKUP(
 A1837,
 tblCost[RequirementID],
 tblCost[QuantityRequired],
 ""
)</f>
        <v>20</v>
      </c>
      <c r="H1837" s="49">
        <f t="array" ref="H1837">IF(
 OR(
  LEFT(B1837,15)="state.character",
  RIGHT(B1837,6)=".maxed"
 ),
 0,
 LET(
  sort,
   _xlfn.XLOOKUP(
    B1837,
    tblChecklist[TargetID],
    tblChecklist[PlayerSort],
    0
   ),
  IF(sort=0,500,sort)
 )
)</f>
        <v>500</v>
      </c>
      <c r="I1837" s="49" t="str">
        <f t="array" ref="I1837">_xlfn.XLOOKUP(
 B1837,
 tblTargetStatus[TargetID],
 tblTargetStatus[Status],
 ""
)</f>
        <v>BLOCKED</v>
      </c>
      <c r="J1837" s="45" t="b">
        <v>0</v>
      </c>
    </row>
    <row r="1838" ht="14.25" hidden="1" customHeight="1">
      <c r="A1838" s="49" t="s">
        <v>3622</v>
      </c>
      <c r="B1838" s="49" t="str">
        <f>IFERROR(__xludf.DUMMYFUNCTION("REGEXREPLACE(
 REGEXREPLACE(A1838,""^cost\."",""""),
 ""\.[^.]+\.[^.]+$"",
 """"
)"),"tech.tailor.armor_for_a_hero_lvl_4")</f>
        <v>tech.tailor.armor_for_a_hero_lvl_4</v>
      </c>
      <c r="C1838" s="49" t="str">
        <f t="array" ref="C1838">_xlfn.XLOOKUP(
 B1838,
 tblTargets[TargetID],
 tblTargets[DisplayName],
 ""
)</f>
        <v>Tailor - Armor For A Hero Lvl 4</v>
      </c>
      <c r="D1838" s="49" t="str">
        <f t="array" ref="D1838">_xlfn.XLOOKUP(
 B1838,
 tblTargets[TargetID],
 tblTargets[TargetType],
 ""
)</f>
        <v>TECH</v>
      </c>
      <c r="E1838" s="49" t="s">
        <v>3153</v>
      </c>
      <c r="F1838" s="49">
        <v>1.0</v>
      </c>
      <c r="G1838" s="49">
        <f t="array" ref="G1838">_xlfn.XLOOKUP(
 A1838,
 tblCost[RequirementID],
 tblCost[QuantityRequired],
 ""
)</f>
        <v>6</v>
      </c>
      <c r="H1838" s="49">
        <f t="array" ref="H1838">IF(
 OR(
  LEFT(B1838,15)="state.character",
  RIGHT(B1838,6)=".maxed"
 ),
 0,
 LET(
  sort,
   _xlfn.XLOOKUP(
    B1838,
    tblChecklist[TargetID],
    tblChecklist[PlayerSort],
    0
   ),
  IF(sort=0,500,sort)
 )
)</f>
        <v>500</v>
      </c>
      <c r="I1838" s="49" t="str">
        <f t="array" ref="I1838">_xlfn.XLOOKUP(
 B1838,
 tblTargetStatus[TargetID],
 tblTargetStatus[Status],
 ""
)</f>
        <v>BLOCKED</v>
      </c>
      <c r="J1838" s="45" t="b">
        <v>0</v>
      </c>
    </row>
    <row r="1839" ht="14.25" customHeight="1">
      <c r="A1839" s="114" t="s">
        <v>3626</v>
      </c>
      <c r="B1839" s="49" t="str">
        <f>IFERROR(__xludf.DUMMYFUNCTION("REGEXREPLACE(
 REGEXREPLACE(A1839,""^cost\."",""""),
 ""\.[^.]+\.[^.]+$"",
 """"
)"),"tech.tailor.armor_for_a_hero_lvl_4+")</f>
        <v>tech.tailor.armor_for_a_hero_lvl_4+</v>
      </c>
      <c r="C1839" s="49" t="str">
        <f t="array" ref="C1839">_xlfn.XLOOKUP(
 B1839,
 tblTargets[TargetID],
 tblTargets[DisplayName],
 ""
)</f>
        <v>Tailor - Armor For A Hero Lvl 4+</v>
      </c>
      <c r="D1839" s="49" t="str">
        <f t="array" ref="D1839">_xlfn.XLOOKUP(
 B1839,
 tblTargets[TargetID],
 tblTargets[TargetType],
 ""
)</f>
        <v>TECH</v>
      </c>
      <c r="E1839" s="114" t="s">
        <v>1230</v>
      </c>
      <c r="F1839" s="114">
        <v>1.0</v>
      </c>
      <c r="G1839" s="49">
        <f t="array" ref="G1839">_xlfn.XLOOKUP(
 A1839,
 tblCost[RequirementID],
 tblCost[QuantityRequired],
 ""
)</f>
        <v>1</v>
      </c>
      <c r="H1839" s="49">
        <f t="array" ref="H1839">IF(
 OR(
  LEFT(B1839,15)="state.character",
  RIGHT(B1839,6)=".maxed"
 ),
 0,
 LET(
  sort,
   _xlfn.XLOOKUP(
    B1839,
    tblChecklist[TargetID],
    tblChecklist[PlayerSort],
    0
   ),
  IF(sort=0,500,sort)
 )
)</f>
        <v>500</v>
      </c>
      <c r="I1839" s="49" t="str">
        <f t="array" ref="I1839">_xlfn.XLOOKUP(
 B1839,
 tblTargetStatus[TargetID],
 tblTargetStatus[Status],
 ""
)</f>
        <v>BLOCKED</v>
      </c>
      <c r="J1839" s="45" t="b">
        <v>0</v>
      </c>
    </row>
    <row r="1840" ht="14.25" hidden="1" customHeight="1">
      <c r="A1840" s="49" t="s">
        <v>4646</v>
      </c>
      <c r="B1840" s="49" t="str">
        <f>IFERROR(__xludf.DUMMYFUNCTION("REGEXREPLACE(
 REGEXREPLACE(A1840,""^cost\."",""""),
 ""\.[^.]+\.[^.]+$"",
 """"
)"),"tech.tailor.armor_for_a_hero_lvl_4+")</f>
        <v>tech.tailor.armor_for_a_hero_lvl_4+</v>
      </c>
      <c r="C1840" s="49" t="str">
        <f t="array" ref="C1840">_xlfn.XLOOKUP(
 B1840,
 tblTargets[TargetID],
 tblTargets[DisplayName],
 ""
)</f>
        <v>Tailor - Armor For A Hero Lvl 4+</v>
      </c>
      <c r="D1840" s="49" t="str">
        <f t="array" ref="D1840">_xlfn.XLOOKUP(
 B1840,
 tblTargets[TargetID],
 tblTargets[TargetType],
 ""
)</f>
        <v>TECH</v>
      </c>
      <c r="E1840" s="49" t="s">
        <v>2354</v>
      </c>
      <c r="F1840" s="49">
        <v>1.0</v>
      </c>
      <c r="G1840" s="49">
        <f t="array" ref="G1840">_xlfn.XLOOKUP(
 A1840,
 tblCost[RequirementID],
 tblCost[QuantityRequired],
 ""
)</f>
        <v>1</v>
      </c>
      <c r="H1840" s="49">
        <f t="array" ref="H1840">IF(
 OR(
  LEFT(B1840,15)="state.character",
  RIGHT(B1840,6)=".maxed"
 ),
 0,
 LET(
  sort,
   _xlfn.XLOOKUP(
    B1840,
    tblChecklist[TargetID],
    tblChecklist[PlayerSort],
    0
   ),
  IF(sort=0,500,sort)
 )
)</f>
        <v>500</v>
      </c>
      <c r="I1840" s="49" t="str">
        <f t="array" ref="I1840">_xlfn.XLOOKUP(
 B1840,
 tblTargetStatus[TargetID],
 tblTargetStatus[Status],
 ""
)</f>
        <v>BLOCKED</v>
      </c>
      <c r="J1840" s="45" t="b">
        <v>0</v>
      </c>
    </row>
    <row r="1841" ht="14.25" hidden="1" customHeight="1">
      <c r="A1841" s="49" t="s">
        <v>3630</v>
      </c>
      <c r="B1841" s="49" t="str">
        <f>IFERROR(__xludf.DUMMYFUNCTION("REGEXREPLACE(
 REGEXREPLACE(A1841,""^cost\."",""""),
 ""\.[^.]+\.[^.]+$"",
 """"
)"),"tech.tailor.armor_for_a_hero_lvl_4+")</f>
        <v>tech.tailor.armor_for_a_hero_lvl_4+</v>
      </c>
      <c r="C1841" s="49" t="str">
        <f t="array" ref="C1841">_xlfn.XLOOKUP(
 B1841,
 tblTargets[TargetID],
 tblTargets[DisplayName],
 ""
)</f>
        <v>Tailor - Armor For A Hero Lvl 4+</v>
      </c>
      <c r="D1841" s="49" t="str">
        <f t="array" ref="D1841">_xlfn.XLOOKUP(
 B1841,
 tblTargets[TargetID],
 tblTargets[TargetType],
 ""
)</f>
        <v>TECH</v>
      </c>
      <c r="E1841" s="49" t="s">
        <v>1055</v>
      </c>
      <c r="F1841" s="49">
        <v>1.0</v>
      </c>
      <c r="G1841" s="49">
        <f t="array" ref="G1841">_xlfn.XLOOKUP(
 A1841,
 tblCost[RequirementID],
 tblCost[QuantityRequired],
 ""
)</f>
        <v>20</v>
      </c>
      <c r="H1841" s="49">
        <f t="array" ref="H1841">IF(
 OR(
  LEFT(B1841,15)="state.character",
  RIGHT(B1841,6)=".maxed"
 ),
 0,
 LET(
  sort,
   _xlfn.XLOOKUP(
    B1841,
    tblChecklist[TargetID],
    tblChecklist[PlayerSort],
    0
   ),
  IF(sort=0,500,sort)
 )
)</f>
        <v>500</v>
      </c>
      <c r="I1841" s="49" t="str">
        <f t="array" ref="I1841">_xlfn.XLOOKUP(
 B1841,
 tblTargetStatus[TargetID],
 tblTargetStatus[Status],
 ""
)</f>
        <v>BLOCKED</v>
      </c>
      <c r="J1841" s="45" t="b">
        <v>0</v>
      </c>
    </row>
    <row r="1842" ht="14.25" hidden="1" customHeight="1">
      <c r="A1842" s="49" t="s">
        <v>3634</v>
      </c>
      <c r="B1842" s="49" t="str">
        <f>IFERROR(__xludf.DUMMYFUNCTION("REGEXREPLACE(
 REGEXREPLACE(A1842,""^cost\."",""""),
 ""\.[^.]+\.[^.]+$"",
 """"
)"),"tech.tailor.armor_for_a_hero_lvl_4+")</f>
        <v>tech.tailor.armor_for_a_hero_lvl_4+</v>
      </c>
      <c r="C1842" s="49" t="str">
        <f t="array" ref="C1842">_xlfn.XLOOKUP(
 B1842,
 tblTargets[TargetID],
 tblTargets[DisplayName],
 ""
)</f>
        <v>Tailor - Armor For A Hero Lvl 4+</v>
      </c>
      <c r="D1842" s="49" t="str">
        <f t="array" ref="D1842">_xlfn.XLOOKUP(
 B1842,
 tblTargets[TargetID],
 tblTargets[TargetType],
 ""
)</f>
        <v>TECH</v>
      </c>
      <c r="E1842" s="49" t="s">
        <v>119</v>
      </c>
      <c r="F1842" s="49">
        <v>1.0</v>
      </c>
      <c r="G1842" s="49">
        <f t="array" ref="G1842">_xlfn.XLOOKUP(
 A1842,
 tblCost[RequirementID],
 tblCost[QuantityRequired],
 ""
)</f>
        <v>1000</v>
      </c>
      <c r="H1842" s="49">
        <f t="array" ref="H1842">IF(
 OR(
  LEFT(B1842,15)="state.character",
  RIGHT(B1842,6)=".maxed"
 ),
 0,
 LET(
  sort,
   _xlfn.XLOOKUP(
    B1842,
    tblChecklist[TargetID],
    tblChecklist[PlayerSort],
    0
   ),
  IF(sort=0,500,sort)
 )
)</f>
        <v>500</v>
      </c>
      <c r="I1842" s="49" t="str">
        <f t="array" ref="I1842">_xlfn.XLOOKUP(
 B1842,
 tblTargetStatus[TargetID],
 tblTargetStatus[Status],
 ""
)</f>
        <v>BLOCKED</v>
      </c>
      <c r="J1842" s="45" t="b">
        <v>0</v>
      </c>
    </row>
    <row r="1843" ht="14.25" hidden="1" customHeight="1">
      <c r="A1843" s="49" t="s">
        <v>3638</v>
      </c>
      <c r="B1843" s="49" t="str">
        <f>IFERROR(__xludf.DUMMYFUNCTION("REGEXREPLACE(
 REGEXREPLACE(A1843,""^cost\."",""""),
 ""\.[^.]+\.[^.]+$"",
 """"
)"),"tech.tailor.armor_for_a_hero_lvl_4+")</f>
        <v>tech.tailor.armor_for_a_hero_lvl_4+</v>
      </c>
      <c r="C1843" s="49" t="str">
        <f t="array" ref="C1843">_xlfn.XLOOKUP(
 B1843,
 tblTargets[TargetID],
 tblTargets[DisplayName],
 ""
)</f>
        <v>Tailor - Armor For A Hero Lvl 4+</v>
      </c>
      <c r="D1843" s="49" t="str">
        <f t="array" ref="D1843">_xlfn.XLOOKUP(
 B1843,
 tblTargets[TargetID],
 tblTargets[TargetType],
 ""
)</f>
        <v>TECH</v>
      </c>
      <c r="E1843" s="49" t="s">
        <v>530</v>
      </c>
      <c r="F1843" s="49">
        <v>1.0</v>
      </c>
      <c r="G1843" s="49">
        <f t="array" ref="G1843">_xlfn.XLOOKUP(
 A1843,
 tblCost[RequirementID],
 tblCost[QuantityRequired],
 ""
)</f>
        <v>10</v>
      </c>
      <c r="H1843" s="49">
        <f t="array" ref="H1843">IF(
 OR(
  LEFT(B1843,15)="state.character",
  RIGHT(B1843,6)=".maxed"
 ),
 0,
 LET(
  sort,
   _xlfn.XLOOKUP(
    B1843,
    tblChecklist[TargetID],
    tblChecklist[PlayerSort],
    0
   ),
  IF(sort=0,500,sort)
 )
)</f>
        <v>500</v>
      </c>
      <c r="I1843" s="49" t="str">
        <f t="array" ref="I1843">_xlfn.XLOOKUP(
 B1843,
 tblTargetStatus[TargetID],
 tblTargetStatus[Status],
 ""
)</f>
        <v>BLOCKED</v>
      </c>
      <c r="J1843" s="45" t="b">
        <v>0</v>
      </c>
    </row>
    <row r="1844" ht="14.25" hidden="1" customHeight="1">
      <c r="A1844" s="49" t="s">
        <v>3642</v>
      </c>
      <c r="B1844" s="49" t="str">
        <f>IFERROR(__xludf.DUMMYFUNCTION("REGEXREPLACE(
 REGEXREPLACE(A1844,""^cost\."",""""),
 ""\.[^.]+\.[^.]+$"",
 """"
)"),"tech.tailor.armor_for_a_hero_lvl_4+")</f>
        <v>tech.tailor.armor_for_a_hero_lvl_4+</v>
      </c>
      <c r="C1844" s="49" t="str">
        <f t="array" ref="C1844">_xlfn.XLOOKUP(
 B1844,
 tblTargets[TargetID],
 tblTargets[DisplayName],
 ""
)</f>
        <v>Tailor - Armor For A Hero Lvl 4+</v>
      </c>
      <c r="D1844" s="49" t="str">
        <f t="array" ref="D1844">_xlfn.XLOOKUP(
 B1844,
 tblTargets[TargetID],
 tblTargets[TargetType],
 ""
)</f>
        <v>TECH</v>
      </c>
      <c r="E1844" s="49" t="s">
        <v>1282</v>
      </c>
      <c r="F1844" s="49">
        <v>1.0</v>
      </c>
      <c r="G1844" s="49">
        <f t="array" ref="G1844">_xlfn.XLOOKUP(
 A1844,
 tblCost[RequirementID],
 tblCost[QuantityRequired],
 ""
)</f>
        <v>10</v>
      </c>
      <c r="H1844" s="49">
        <f t="array" ref="H1844">IF(
 OR(
  LEFT(B1844,15)="state.character",
  RIGHT(B1844,6)=".maxed"
 ),
 0,
 LET(
  sort,
   _xlfn.XLOOKUP(
    B1844,
    tblChecklist[TargetID],
    tblChecklist[PlayerSort],
    0
   ),
  IF(sort=0,500,sort)
 )
)</f>
        <v>500</v>
      </c>
      <c r="I1844" s="49" t="str">
        <f t="array" ref="I1844">_xlfn.XLOOKUP(
 B1844,
 tblTargetStatus[TargetID],
 tblTargetStatus[Status],
 ""
)</f>
        <v>BLOCKED</v>
      </c>
      <c r="J1844" s="45" t="b">
        <v>0</v>
      </c>
    </row>
    <row r="1845" ht="14.25" hidden="1" customHeight="1">
      <c r="A1845" s="49" t="s">
        <v>3647</v>
      </c>
      <c r="B1845" s="49" t="str">
        <f>IFERROR(__xludf.DUMMYFUNCTION("REGEXREPLACE(
 REGEXREPLACE(A1845,""^cost\."",""""),
 ""\.[^.]+\.[^.]+$"",
 """"
)"),"tech.tailor.armor_for_a_hero_lvl_4+")</f>
        <v>tech.tailor.armor_for_a_hero_lvl_4+</v>
      </c>
      <c r="C1845" s="49" t="str">
        <f t="array" ref="C1845">_xlfn.XLOOKUP(
 B1845,
 tblTargets[TargetID],
 tblTargets[DisplayName],
 ""
)</f>
        <v>Tailor - Armor For A Hero Lvl 4+</v>
      </c>
      <c r="D1845" s="49" t="str">
        <f t="array" ref="D1845">_xlfn.XLOOKUP(
 B1845,
 tblTargets[TargetID],
 tblTargets[TargetType],
 ""
)</f>
        <v>TECH</v>
      </c>
      <c r="E1845" s="49" t="s">
        <v>1606</v>
      </c>
      <c r="F1845" s="49">
        <v>1.0</v>
      </c>
      <c r="G1845" s="49">
        <f t="array" ref="G1845">_xlfn.XLOOKUP(
 A1845,
 tblCost[RequirementID],
 tblCost[QuantityRequired],
 ""
)</f>
        <v>25</v>
      </c>
      <c r="H1845" s="49">
        <f t="array" ref="H1845">IF(
 OR(
  LEFT(B1845,15)="state.character",
  RIGHT(B1845,6)=".maxed"
 ),
 0,
 LET(
  sort,
   _xlfn.XLOOKUP(
    B1845,
    tblChecklist[TargetID],
    tblChecklist[PlayerSort],
    0
   ),
  IF(sort=0,500,sort)
 )
)</f>
        <v>500</v>
      </c>
      <c r="I1845" s="49" t="str">
        <f t="array" ref="I1845">_xlfn.XLOOKUP(
 B1845,
 tblTargetStatus[TargetID],
 tblTargetStatus[Status],
 ""
)</f>
        <v>BLOCKED</v>
      </c>
      <c r="J1845" s="45" t="b">
        <v>0</v>
      </c>
    </row>
    <row r="1846" ht="14.25" hidden="1" customHeight="1">
      <c r="A1846" s="49" t="s">
        <v>3651</v>
      </c>
      <c r="B1846" s="49" t="str">
        <f>IFERROR(__xludf.DUMMYFUNCTION("REGEXREPLACE(
 REGEXREPLACE(A1846,""^cost\."",""""),
 ""\.[^.]+\.[^.]+$"",
 """"
)"),"tech.tailor.armor_for_a_hero_lvl_4+")</f>
        <v>tech.tailor.armor_for_a_hero_lvl_4+</v>
      </c>
      <c r="C1846" s="49" t="str">
        <f t="array" ref="C1846">_xlfn.XLOOKUP(
 B1846,
 tblTargets[TargetID],
 tblTargets[DisplayName],
 ""
)</f>
        <v>Tailor - Armor For A Hero Lvl 4+</v>
      </c>
      <c r="D1846" s="49" t="str">
        <f t="array" ref="D1846">_xlfn.XLOOKUP(
 B1846,
 tblTargets[TargetID],
 tblTargets[TargetType],
 ""
)</f>
        <v>TECH</v>
      </c>
      <c r="E1846" s="49" t="s">
        <v>3043</v>
      </c>
      <c r="F1846" s="49">
        <v>1.0</v>
      </c>
      <c r="G1846" s="49">
        <f t="array" ref="G1846">_xlfn.XLOOKUP(
 A1846,
 tblCost[RequirementID],
 tblCost[QuantityRequired],
 ""
)</f>
        <v>1</v>
      </c>
      <c r="H1846" s="49">
        <f t="array" ref="H1846">IF(
 OR(
  LEFT(B1846,15)="state.character",
  RIGHT(B1846,6)=".maxed"
 ),
 0,
 LET(
  sort,
   _xlfn.XLOOKUP(
    B1846,
    tblChecklist[TargetID],
    tblChecklist[PlayerSort],
    0
   ),
  IF(sort=0,500,sort)
 )
)</f>
        <v>500</v>
      </c>
      <c r="I1846" s="49" t="str">
        <f t="array" ref="I1846">_xlfn.XLOOKUP(
 B1846,
 tblTargetStatus[TargetID],
 tblTargetStatus[Status],
 ""
)</f>
        <v>BLOCKED</v>
      </c>
      <c r="J1846" s="45" t="b">
        <v>0</v>
      </c>
    </row>
    <row r="1847" ht="14.25" hidden="1" customHeight="1">
      <c r="A1847" s="49" t="s">
        <v>3655</v>
      </c>
      <c r="B1847" s="49" t="str">
        <f>IFERROR(__xludf.DUMMYFUNCTION("REGEXREPLACE(
 REGEXREPLACE(A1847,""^cost\."",""""),
 ""\.[^.]+\.[^.]+$"",
 """"
)"),"tech.tailor.armor_for_a_hero_lvl_4+")</f>
        <v>tech.tailor.armor_for_a_hero_lvl_4+</v>
      </c>
      <c r="C1847" s="49" t="str">
        <f t="array" ref="C1847">_xlfn.XLOOKUP(
 B1847,
 tblTargets[TargetID],
 tblTargets[DisplayName],
 ""
)</f>
        <v>Tailor - Armor For A Hero Lvl 4+</v>
      </c>
      <c r="D1847" s="49" t="str">
        <f t="array" ref="D1847">_xlfn.XLOOKUP(
 B1847,
 tblTargets[TargetID],
 tblTargets[TargetType],
 ""
)</f>
        <v>TECH</v>
      </c>
      <c r="E1847" s="49" t="s">
        <v>6</v>
      </c>
      <c r="F1847" s="49">
        <v>1.0</v>
      </c>
      <c r="G1847" s="49">
        <f t="array" ref="G1847">_xlfn.XLOOKUP(
 A1847,
 tblCost[RequirementID],
 tblCost[QuantityRequired],
 ""
)</f>
        <v>5</v>
      </c>
      <c r="H1847" s="49">
        <f t="array" ref="H1847">IF(
 OR(
  LEFT(B1847,15)="state.character",
  RIGHT(B1847,6)=".maxed"
 ),
 0,
 LET(
  sort,
   _xlfn.XLOOKUP(
    B1847,
    tblChecklist[TargetID],
    tblChecklist[PlayerSort],
    0
   ),
  IF(sort=0,500,sort)
 )
)</f>
        <v>500</v>
      </c>
      <c r="I1847" s="49" t="str">
        <f t="array" ref="I1847">_xlfn.XLOOKUP(
 B1847,
 tblTargetStatus[TargetID],
 tblTargetStatus[Status],
 ""
)</f>
        <v>BLOCKED</v>
      </c>
      <c r="J1847" s="45" t="b">
        <v>0</v>
      </c>
    </row>
    <row r="1848" ht="14.25" hidden="1" customHeight="1">
      <c r="A1848" s="49" t="s">
        <v>3658</v>
      </c>
      <c r="B1848" s="49" t="str">
        <f>IFERROR(__xludf.DUMMYFUNCTION("REGEXREPLACE(
 REGEXREPLACE(A1848,""^cost\."",""""),
 ""\.[^.]+\.[^.]+$"",
 """"
)"),"tech.tailor.armor_for_a_hero_lvl_4+")</f>
        <v>tech.tailor.armor_for_a_hero_lvl_4+</v>
      </c>
      <c r="C1848" s="49" t="str">
        <f t="array" ref="C1848">_xlfn.XLOOKUP(
 B1848,
 tblTargets[TargetID],
 tblTargets[DisplayName],
 ""
)</f>
        <v>Tailor - Armor For A Hero Lvl 4+</v>
      </c>
      <c r="D1848" s="49" t="str">
        <f t="array" ref="D1848">_xlfn.XLOOKUP(
 B1848,
 tblTargets[TargetID],
 tblTargets[TargetType],
 ""
)</f>
        <v>TECH</v>
      </c>
      <c r="E1848" s="49" t="s">
        <v>2786</v>
      </c>
      <c r="F1848" s="49">
        <v>1.0</v>
      </c>
      <c r="G1848" s="49">
        <f t="array" ref="G1848">_xlfn.XLOOKUP(
 A1848,
 tblCost[RequirementID],
 tblCost[QuantityRequired],
 ""
)</f>
        <v>20</v>
      </c>
      <c r="H1848" s="49">
        <f t="array" ref="H1848">IF(
 OR(
  LEFT(B1848,15)="state.character",
  RIGHT(B1848,6)=".maxed"
 ),
 0,
 LET(
  sort,
   _xlfn.XLOOKUP(
    B1848,
    tblChecklist[TargetID],
    tblChecklist[PlayerSort],
    0
   ),
  IF(sort=0,500,sort)
 )
)</f>
        <v>500</v>
      </c>
      <c r="I1848" s="49" t="str">
        <f t="array" ref="I1848">_xlfn.XLOOKUP(
 B1848,
 tblTargetStatus[TargetID],
 tblTargetStatus[Status],
 ""
)</f>
        <v>BLOCKED</v>
      </c>
      <c r="J1848" s="45" t="b">
        <v>0</v>
      </c>
    </row>
    <row r="1849" ht="14.25" hidden="1" customHeight="1">
      <c r="A1849" s="49" t="s">
        <v>3510</v>
      </c>
      <c r="B1849" s="49" t="str">
        <f>IFERROR(__xludf.DUMMYFUNCTION("REGEXREPLACE(
 REGEXREPLACE(A1849,""^cost\."",""""),
 ""\.[^.]+\.[^.]+$"",
 """"
)"),"tech.tailor.bedroll")</f>
        <v>tech.tailor.bedroll</v>
      </c>
      <c r="C1849" s="49" t="str">
        <f t="array" ref="C1849">_xlfn.XLOOKUP(
 B1849,
 tblTargets[TargetID],
 tblTargets[DisplayName],
 ""
)</f>
        <v>Tailor - Bedroll</v>
      </c>
      <c r="D1849" s="49" t="str">
        <f t="array" ref="D1849">_xlfn.XLOOKUP(
 B1849,
 tblTargets[TargetID],
 tblTargets[TargetType],
 ""
)</f>
        <v>TECH</v>
      </c>
      <c r="E1849" s="49" t="s">
        <v>1055</v>
      </c>
      <c r="F1849" s="49">
        <v>1.0</v>
      </c>
      <c r="G1849" s="49">
        <f t="array" ref="G1849">_xlfn.XLOOKUP(
 A1849,
 tblCost[RequirementID],
 tblCost[QuantityRequired],
 ""
)</f>
        <v>10</v>
      </c>
      <c r="H1849" s="49">
        <f t="array" ref="H1849">IF(
 OR(
  LEFT(B1849,15)="state.character",
  RIGHT(B1849,6)=".maxed"
 ),
 0,
 LET(
  sort,
   _xlfn.XLOOKUP(
    B1849,
    tblChecklist[TargetID],
    tblChecklist[PlayerSort],
    0
   ),
  IF(sort=0,500,sort)
 )
)</f>
        <v>500</v>
      </c>
      <c r="I1849" s="49" t="str">
        <f t="array" ref="I1849">_xlfn.XLOOKUP(
 B1849,
 tblTargetStatus[TargetID],
 tblTargetStatus[Status],
 ""
)</f>
        <v>BLOCKED</v>
      </c>
      <c r="J1849" s="45" t="b">
        <v>0</v>
      </c>
    </row>
    <row r="1850" ht="14.25" hidden="1" customHeight="1">
      <c r="A1850" s="49" t="s">
        <v>3511</v>
      </c>
      <c r="B1850" s="49" t="str">
        <f>IFERROR(__xludf.DUMMYFUNCTION("REGEXREPLACE(
 REGEXREPLACE(A1850,""^cost\."",""""),
 ""\.[^.]+\.[^.]+$"",
 """"
)"),"tech.tailor.bedroll")</f>
        <v>tech.tailor.bedroll</v>
      </c>
      <c r="C1850" s="49" t="str">
        <f t="array" ref="C1850">_xlfn.XLOOKUP(
 B1850,
 tblTargets[TargetID],
 tblTargets[DisplayName],
 ""
)</f>
        <v>Tailor - Bedroll</v>
      </c>
      <c r="D1850" s="49" t="str">
        <f t="array" ref="D1850">_xlfn.XLOOKUP(
 B1850,
 tblTargets[TargetID],
 tblTargets[TargetType],
 ""
)</f>
        <v>TECH</v>
      </c>
      <c r="E1850" s="49" t="s">
        <v>119</v>
      </c>
      <c r="F1850" s="49">
        <v>1.0</v>
      </c>
      <c r="G1850" s="49">
        <f t="array" ref="G1850">_xlfn.XLOOKUP(
 A1850,
 tblCost[RequirementID],
 tblCost[QuantityRequired],
 ""
)</f>
        <v>300</v>
      </c>
      <c r="H1850" s="49">
        <f t="array" ref="H1850">IF(
 OR(
  LEFT(B1850,15)="state.character",
  RIGHT(B1850,6)=".maxed"
 ),
 0,
 LET(
  sort,
   _xlfn.XLOOKUP(
    B1850,
    tblChecklist[TargetID],
    tblChecklist[PlayerSort],
    0
   ),
  IF(sort=0,500,sort)
 )
)</f>
        <v>500</v>
      </c>
      <c r="I1850" s="49" t="str">
        <f t="array" ref="I1850">_xlfn.XLOOKUP(
 B1850,
 tblTargetStatus[TargetID],
 tblTargetStatus[Status],
 ""
)</f>
        <v>BLOCKED</v>
      </c>
      <c r="J1850" s="45" t="b">
        <v>0</v>
      </c>
    </row>
    <row r="1851" ht="14.25" hidden="1" customHeight="1">
      <c r="A1851" s="49" t="s">
        <v>3512</v>
      </c>
      <c r="B1851" s="49" t="str">
        <f>IFERROR(__xludf.DUMMYFUNCTION("REGEXREPLACE(
 REGEXREPLACE(A1851,""^cost\."",""""),
 ""\.[^.]+\.[^.]+$"",
 """"
)"),"tech.tailor.bedroll")</f>
        <v>tech.tailor.bedroll</v>
      </c>
      <c r="C1851" s="49" t="str">
        <f t="array" ref="C1851">_xlfn.XLOOKUP(
 B1851,
 tblTargets[TargetID],
 tblTargets[DisplayName],
 ""
)</f>
        <v>Tailor - Bedroll</v>
      </c>
      <c r="D1851" s="49" t="str">
        <f t="array" ref="D1851">_xlfn.XLOOKUP(
 B1851,
 tblTargets[TargetID],
 tblTargets[TargetType],
 ""
)</f>
        <v>TECH</v>
      </c>
      <c r="E1851" s="49" t="s">
        <v>140</v>
      </c>
      <c r="F1851" s="49">
        <v>1.0</v>
      </c>
      <c r="G1851" s="49">
        <f t="array" ref="G1851">_xlfn.XLOOKUP(
 A1851,
 tblCost[RequirementID],
 tblCost[QuantityRequired],
 ""
)</f>
        <v>5</v>
      </c>
      <c r="H1851" s="49">
        <f t="array" ref="H1851">IF(
 OR(
  LEFT(B1851,15)="state.character",
  RIGHT(B1851,6)=".maxed"
 ),
 0,
 LET(
  sort,
   _xlfn.XLOOKUP(
    B1851,
    tblChecklist[TargetID],
    tblChecklist[PlayerSort],
    0
   ),
  IF(sort=0,500,sort)
 )
)</f>
        <v>500</v>
      </c>
      <c r="I1851" s="49" t="str">
        <f t="array" ref="I1851">_xlfn.XLOOKUP(
 B1851,
 tblTargetStatus[TargetID],
 tblTargetStatus[Status],
 ""
)</f>
        <v>BLOCKED</v>
      </c>
      <c r="J1851" s="45" t="b">
        <v>0</v>
      </c>
    </row>
    <row r="1852" ht="14.25" hidden="1" customHeight="1">
      <c r="A1852" s="49" t="s">
        <v>3513</v>
      </c>
      <c r="B1852" s="49" t="str">
        <f>IFERROR(__xludf.DUMMYFUNCTION("REGEXREPLACE(
 REGEXREPLACE(A1852,""^cost\."",""""),
 ""\.[^.]+\.[^.]+$"",
 """"
)"),"tech.tailor.bedroll")</f>
        <v>tech.tailor.bedroll</v>
      </c>
      <c r="C1852" s="49" t="str">
        <f t="array" ref="C1852">_xlfn.XLOOKUP(
 B1852,
 tblTargets[TargetID],
 tblTargets[DisplayName],
 ""
)</f>
        <v>Tailor - Bedroll</v>
      </c>
      <c r="D1852" s="49" t="str">
        <f t="array" ref="D1852">_xlfn.XLOOKUP(
 B1852,
 tblTargets[TargetID],
 tblTargets[TargetType],
 ""
)</f>
        <v>TECH</v>
      </c>
      <c r="E1852" s="49" t="s">
        <v>6</v>
      </c>
      <c r="F1852" s="49">
        <v>1.0</v>
      </c>
      <c r="G1852" s="49">
        <f t="array" ref="G1852">_xlfn.XLOOKUP(
 A1852,
 tblCost[RequirementID],
 tblCost[QuantityRequired],
 ""
)</f>
        <v>2</v>
      </c>
      <c r="H1852" s="49">
        <f t="array" ref="H1852">IF(
 OR(
  LEFT(B1852,15)="state.character",
  RIGHT(B1852,6)=".maxed"
 ),
 0,
 LET(
  sort,
   _xlfn.XLOOKUP(
    B1852,
    tblChecklist[TargetID],
    tblChecklist[PlayerSort],
    0
   ),
  IF(sort=0,500,sort)
 )
)</f>
        <v>500</v>
      </c>
      <c r="I1852" s="49" t="str">
        <f t="array" ref="I1852">_xlfn.XLOOKUP(
 B1852,
 tblTargetStatus[TargetID],
 tblTargetStatus[Status],
 ""
)</f>
        <v>BLOCKED</v>
      </c>
      <c r="J1852" s="45" t="b">
        <v>0</v>
      </c>
    </row>
    <row r="1853" ht="14.25" hidden="1" customHeight="1">
      <c r="A1853" s="49" t="s">
        <v>3514</v>
      </c>
      <c r="B1853" s="49" t="str">
        <f>IFERROR(__xludf.DUMMYFUNCTION("REGEXREPLACE(
 REGEXREPLACE(A1853,""^cost\."",""""),
 ""\.[^.]+\.[^.]+$"",
 """"
)"),"tech.tailor.bedroll")</f>
        <v>tech.tailor.bedroll</v>
      </c>
      <c r="C1853" s="49" t="str">
        <f t="array" ref="C1853">_xlfn.XLOOKUP(
 B1853,
 tblTargets[TargetID],
 tblTargets[DisplayName],
 ""
)</f>
        <v>Tailor - Bedroll</v>
      </c>
      <c r="D1853" s="49" t="str">
        <f t="array" ref="D1853">_xlfn.XLOOKUP(
 B1853,
 tblTargets[TargetID],
 tblTargets[TargetType],
 ""
)</f>
        <v>TECH</v>
      </c>
      <c r="E1853" s="49" t="s">
        <v>152</v>
      </c>
      <c r="F1853" s="49">
        <v>1.0</v>
      </c>
      <c r="G1853" s="49">
        <f t="array" ref="G1853">_xlfn.XLOOKUP(
 A1853,
 tblCost[RequirementID],
 tblCost[QuantityRequired],
 ""
)</f>
        <v>15</v>
      </c>
      <c r="H1853" s="49">
        <f t="array" ref="H1853">IF(
 OR(
  LEFT(B1853,15)="state.character",
  RIGHT(B1853,6)=".maxed"
 ),
 0,
 LET(
  sort,
   _xlfn.XLOOKUP(
    B1853,
    tblChecklist[TargetID],
    tblChecklist[PlayerSort],
    0
   ),
  IF(sort=0,500,sort)
 )
)</f>
        <v>500</v>
      </c>
      <c r="I1853" s="49" t="str">
        <f t="array" ref="I1853">_xlfn.XLOOKUP(
 B1853,
 tblTargetStatus[TargetID],
 tblTargetStatus[Status],
 ""
)</f>
        <v>BLOCKED</v>
      </c>
      <c r="J1853" s="45" t="b">
        <v>0</v>
      </c>
    </row>
    <row r="1854" ht="14.25" hidden="1" customHeight="1">
      <c r="A1854" s="49" t="s">
        <v>3515</v>
      </c>
      <c r="B1854" s="49" t="str">
        <f>IFERROR(__xludf.DUMMYFUNCTION("REGEXREPLACE(
 REGEXREPLACE(A1854,""^cost\."",""""),
 ""\.[^.]+\.[^.]+$"",
 """"
)"),"tech.tailor.bedroll")</f>
        <v>tech.tailor.bedroll</v>
      </c>
      <c r="C1854" s="49" t="str">
        <f t="array" ref="C1854">_xlfn.XLOOKUP(
 B1854,
 tblTargets[TargetID],
 tblTargets[DisplayName],
 ""
)</f>
        <v>Tailor - Bedroll</v>
      </c>
      <c r="D1854" s="49" t="str">
        <f t="array" ref="D1854">_xlfn.XLOOKUP(
 B1854,
 tblTargets[TargetID],
 tblTargets[TargetType],
 ""
)</f>
        <v>TECH</v>
      </c>
      <c r="E1854" s="49" t="s">
        <v>158</v>
      </c>
      <c r="F1854" s="49">
        <v>1.0</v>
      </c>
      <c r="G1854" s="49">
        <f t="array" ref="G1854">_xlfn.XLOOKUP(
 A1854,
 tblCost[RequirementID],
 tblCost[QuantityRequired],
 ""
)</f>
        <v>20</v>
      </c>
      <c r="H1854" s="49">
        <f t="array" ref="H1854">IF(
 OR(
  LEFT(B1854,15)="state.character",
  RIGHT(B1854,6)=".maxed"
 ),
 0,
 LET(
  sort,
   _xlfn.XLOOKUP(
    B1854,
    tblChecklist[TargetID],
    tblChecklist[PlayerSort],
    0
   ),
  IF(sort=0,500,sort)
 )
)</f>
        <v>500</v>
      </c>
      <c r="I1854" s="49" t="str">
        <f t="array" ref="I1854">_xlfn.XLOOKUP(
 B1854,
 tblTargetStatus[TargetID],
 tblTargetStatus[Status],
 ""
)</f>
        <v>BLOCKED</v>
      </c>
      <c r="J1854" s="45" t="b">
        <v>0</v>
      </c>
    </row>
    <row r="1855" ht="14.25" hidden="1" customHeight="1">
      <c r="A1855" s="49" t="s">
        <v>3698</v>
      </c>
      <c r="B1855" s="49" t="str">
        <f>IFERROR(__xludf.DUMMYFUNCTION("REGEXREPLACE(
 REGEXREPLACE(A1855,""^cost\."",""""),
 ""\.[^.]+\.[^.]+$"",
 """"
)"),"tech.tailor.colored_threads")</f>
        <v>tech.tailor.colored_threads</v>
      </c>
      <c r="C1855" s="49" t="str">
        <f t="array" ref="C1855">_xlfn.XLOOKUP(
 B1855,
 tblTargets[TargetID],
 tblTargets[DisplayName],
 ""
)</f>
        <v>Tailor - Colored Threads</v>
      </c>
      <c r="D1855" s="49" t="str">
        <f t="array" ref="D1855">_xlfn.XLOOKUP(
 B1855,
 tblTargets[TargetID],
 tblTargets[TargetType],
 ""
)</f>
        <v>TECH</v>
      </c>
      <c r="E1855" s="49" t="s">
        <v>2514</v>
      </c>
      <c r="F1855" s="49">
        <v>1.0</v>
      </c>
      <c r="G1855" s="49">
        <f t="array" ref="G1855">_xlfn.XLOOKUP(
 A1855,
 tblCost[RequirementID],
 tblCost[QuantityRequired],
 ""
)</f>
        <v>10</v>
      </c>
      <c r="H1855" s="49">
        <f t="array" ref="H1855">IF(
 OR(
  LEFT(B1855,15)="state.character",
  RIGHT(B1855,6)=".maxed"
 ),
 0,
 LET(
  sort,
   _xlfn.XLOOKUP(
    B1855,
    tblChecklist[TargetID],
    tblChecklist[PlayerSort],
    0
   ),
  IF(sort=0,500,sort)
 )
)</f>
        <v>500</v>
      </c>
      <c r="I1855" s="49" t="str">
        <f t="array" ref="I1855">_xlfn.XLOOKUP(
 B1855,
 tblTargetStatus[TargetID],
 tblTargetStatus[Status],
 ""
)</f>
        <v>BLOCKED</v>
      </c>
      <c r="J1855" s="45" t="b">
        <v>0</v>
      </c>
    </row>
    <row r="1856" ht="14.25" hidden="1" customHeight="1">
      <c r="A1856" s="49" t="s">
        <v>3702</v>
      </c>
      <c r="B1856" s="49" t="str">
        <f>IFERROR(__xludf.DUMMYFUNCTION("REGEXREPLACE(
 REGEXREPLACE(A1856,""^cost\."",""""),
 ""\.[^.]+\.[^.]+$"",
 """"
)"),"tech.tailor.colored_threads")</f>
        <v>tech.tailor.colored_threads</v>
      </c>
      <c r="C1856" s="49" t="str">
        <f t="array" ref="C1856">_xlfn.XLOOKUP(
 B1856,
 tblTargets[TargetID],
 tblTargets[DisplayName],
 ""
)</f>
        <v>Tailor - Colored Threads</v>
      </c>
      <c r="D1856" s="49" t="str">
        <f t="array" ref="D1856">_xlfn.XLOOKUP(
 B1856,
 tblTargets[TargetID],
 tblTargets[TargetType],
 ""
)</f>
        <v>TECH</v>
      </c>
      <c r="E1856" s="49" t="s">
        <v>119</v>
      </c>
      <c r="F1856" s="49">
        <v>1.0</v>
      </c>
      <c r="G1856" s="49">
        <f t="array" ref="G1856">_xlfn.XLOOKUP(
 A1856,
 tblCost[RequirementID],
 tblCost[QuantityRequired],
 ""
)</f>
        <v>300</v>
      </c>
      <c r="H1856" s="49">
        <f t="array" ref="H1856">IF(
 OR(
  LEFT(B1856,15)="state.character",
  RIGHT(B1856,6)=".maxed"
 ),
 0,
 LET(
  sort,
   _xlfn.XLOOKUP(
    B1856,
    tblChecklist[TargetID],
    tblChecklist[PlayerSort],
    0
   ),
  IF(sort=0,500,sort)
 )
)</f>
        <v>500</v>
      </c>
      <c r="I1856" s="49" t="str">
        <f t="array" ref="I1856">_xlfn.XLOOKUP(
 B1856,
 tblTargetStatus[TargetID],
 tblTargetStatus[Status],
 ""
)</f>
        <v>BLOCKED</v>
      </c>
      <c r="J1856" s="45" t="b">
        <v>0</v>
      </c>
    </row>
    <row r="1857" ht="14.25" hidden="1" customHeight="1">
      <c r="A1857" s="49" t="s">
        <v>3706</v>
      </c>
      <c r="B1857" s="49" t="str">
        <f>IFERROR(__xludf.DUMMYFUNCTION("REGEXREPLACE(
 REGEXREPLACE(A1857,""^cost\."",""""),
 ""\.[^.]+\.[^.]+$"",
 """"
)"),"tech.tailor.colored_threads")</f>
        <v>tech.tailor.colored_threads</v>
      </c>
      <c r="C1857" s="49" t="str">
        <f t="array" ref="C1857">_xlfn.XLOOKUP(
 B1857,
 tblTargets[TargetID],
 tblTargets[DisplayName],
 ""
)</f>
        <v>Tailor - Colored Threads</v>
      </c>
      <c r="D1857" s="49" t="str">
        <f t="array" ref="D1857">_xlfn.XLOOKUP(
 B1857,
 tblTargets[TargetID],
 tblTargets[TargetType],
 ""
)</f>
        <v>TECH</v>
      </c>
      <c r="E1857" s="49" t="s">
        <v>530</v>
      </c>
      <c r="F1857" s="49">
        <v>1.0</v>
      </c>
      <c r="G1857" s="49">
        <f t="array" ref="G1857">_xlfn.XLOOKUP(
 A1857,
 tblCost[RequirementID],
 tblCost[QuantityRequired],
 ""
)</f>
        <v>5</v>
      </c>
      <c r="H1857" s="49">
        <f t="array" ref="H1857">IF(
 OR(
  LEFT(B1857,15)="state.character",
  RIGHT(B1857,6)=".maxed"
 ),
 0,
 LET(
  sort,
   _xlfn.XLOOKUP(
    B1857,
    tblChecklist[TargetID],
    tblChecklist[PlayerSort],
    0
   ),
  IF(sort=0,500,sort)
 )
)</f>
        <v>500</v>
      </c>
      <c r="I1857" s="49" t="str">
        <f t="array" ref="I1857">_xlfn.XLOOKUP(
 B1857,
 tblTargetStatus[TargetID],
 tblTargetStatus[Status],
 ""
)</f>
        <v>BLOCKED</v>
      </c>
      <c r="J1857" s="45" t="b">
        <v>0</v>
      </c>
    </row>
    <row r="1858" ht="14.25" hidden="1" customHeight="1">
      <c r="A1858" s="49" t="s">
        <v>3709</v>
      </c>
      <c r="B1858" s="49" t="str">
        <f>IFERROR(__xludf.DUMMYFUNCTION("REGEXREPLACE(
 REGEXREPLACE(A1858,""^cost\."",""""),
 ""\.[^.]+\.[^.]+$"",
 """"
)"),"tech.tailor.colored_threads")</f>
        <v>tech.tailor.colored_threads</v>
      </c>
      <c r="C1858" s="49" t="str">
        <f t="array" ref="C1858">_xlfn.XLOOKUP(
 B1858,
 tblTargets[TargetID],
 tblTargets[DisplayName],
 ""
)</f>
        <v>Tailor - Colored Threads</v>
      </c>
      <c r="D1858" s="49" t="str">
        <f t="array" ref="D1858">_xlfn.XLOOKUP(
 B1858,
 tblTargets[TargetID],
 tblTargets[TargetType],
 ""
)</f>
        <v>TECH</v>
      </c>
      <c r="E1858" s="49" t="s">
        <v>508</v>
      </c>
      <c r="F1858" s="49">
        <v>1.0</v>
      </c>
      <c r="G1858" s="49">
        <f t="array" ref="G1858">_xlfn.XLOOKUP(
 A1858,
 tblCost[RequirementID],
 tblCost[QuantityRequired],
 ""
)</f>
        <v>10</v>
      </c>
      <c r="H1858" s="49">
        <f t="array" ref="H1858">IF(
 OR(
  LEFT(B1858,15)="state.character",
  RIGHT(B1858,6)=".maxed"
 ),
 0,
 LET(
  sort,
   _xlfn.XLOOKUP(
    B1858,
    tblChecklist[TargetID],
    tblChecklist[PlayerSort],
    0
   ),
  IF(sort=0,500,sort)
 )
)</f>
        <v>500</v>
      </c>
      <c r="I1858" s="49" t="str">
        <f t="array" ref="I1858">_xlfn.XLOOKUP(
 B1858,
 tblTargetStatus[TargetID],
 tblTargetStatus[Status],
 ""
)</f>
        <v>BLOCKED</v>
      </c>
      <c r="J1858" s="45" t="b">
        <v>0</v>
      </c>
    </row>
    <row r="1859" ht="14.25" hidden="1" customHeight="1">
      <c r="A1859" s="49" t="s">
        <v>3712</v>
      </c>
      <c r="B1859" s="49" t="str">
        <f>IFERROR(__xludf.DUMMYFUNCTION("REGEXREPLACE(
 REGEXREPLACE(A1859,""^cost\."",""""),
 ""\.[^.]+\.[^.]+$"",
 """"
)"),"tech.tailor.colored_threads")</f>
        <v>tech.tailor.colored_threads</v>
      </c>
      <c r="C1859" s="49" t="str">
        <f t="array" ref="C1859">_xlfn.XLOOKUP(
 B1859,
 tblTargets[TargetID],
 tblTargets[DisplayName],
 ""
)</f>
        <v>Tailor - Colored Threads</v>
      </c>
      <c r="D1859" s="49" t="str">
        <f t="array" ref="D1859">_xlfn.XLOOKUP(
 B1859,
 tblTargets[TargetID],
 tblTargets[TargetType],
 ""
)</f>
        <v>TECH</v>
      </c>
      <c r="E1859" s="49" t="s">
        <v>140</v>
      </c>
      <c r="F1859" s="49">
        <v>1.0</v>
      </c>
      <c r="G1859" s="49">
        <f t="array" ref="G1859">_xlfn.XLOOKUP(
 A1859,
 tblCost[RequirementID],
 tblCost[QuantityRequired],
 ""
)</f>
        <v>10</v>
      </c>
      <c r="H1859" s="49">
        <f t="array" ref="H1859">IF(
 OR(
  LEFT(B1859,15)="state.character",
  RIGHT(B1859,6)=".maxed"
 ),
 0,
 LET(
  sort,
   _xlfn.XLOOKUP(
    B1859,
    tblChecklist[TargetID],
    tblChecklist[PlayerSort],
    0
   ),
  IF(sort=0,500,sort)
 )
)</f>
        <v>500</v>
      </c>
      <c r="I1859" s="49" t="str">
        <f t="array" ref="I1859">_xlfn.XLOOKUP(
 B1859,
 tblTargetStatus[TargetID],
 tblTargetStatus[Status],
 ""
)</f>
        <v>BLOCKED</v>
      </c>
      <c r="J1859" s="45" t="b">
        <v>0</v>
      </c>
    </row>
    <row r="1860" ht="14.25" hidden="1" customHeight="1">
      <c r="A1860" s="49" t="s">
        <v>3715</v>
      </c>
      <c r="B1860" s="49" t="str">
        <f>IFERROR(__xludf.DUMMYFUNCTION("REGEXREPLACE(
 REGEXREPLACE(A1860,""^cost\."",""""),
 ""\.[^.]+\.[^.]+$"",
 """"
)"),"tech.tailor.colored_threads")</f>
        <v>tech.tailor.colored_threads</v>
      </c>
      <c r="C1860" s="49" t="str">
        <f t="array" ref="C1860">_xlfn.XLOOKUP(
 B1860,
 tblTargets[TargetID],
 tblTargets[DisplayName],
 ""
)</f>
        <v>Tailor - Colored Threads</v>
      </c>
      <c r="D1860" s="49" t="str">
        <f t="array" ref="D1860">_xlfn.XLOOKUP(
 B1860,
 tblTargets[TargetID],
 tblTargets[TargetType],
 ""
)</f>
        <v>TECH</v>
      </c>
      <c r="E1860" s="49" t="s">
        <v>6</v>
      </c>
      <c r="F1860" s="49">
        <v>1.0</v>
      </c>
      <c r="G1860" s="49">
        <f t="array" ref="G1860">_xlfn.XLOOKUP(
 A1860,
 tblCost[RequirementID],
 tblCost[QuantityRequired],
 ""
)</f>
        <v>2</v>
      </c>
      <c r="H1860" s="49">
        <f t="array" ref="H1860">IF(
 OR(
  LEFT(B1860,15)="state.character",
  RIGHT(B1860,6)=".maxed"
 ),
 0,
 LET(
  sort,
   _xlfn.XLOOKUP(
    B1860,
    tblChecklist[TargetID],
    tblChecklist[PlayerSort],
    0
   ),
  IF(sort=0,500,sort)
 )
)</f>
        <v>500</v>
      </c>
      <c r="I1860" s="49" t="str">
        <f t="array" ref="I1860">_xlfn.XLOOKUP(
 B1860,
 tblTargetStatus[TargetID],
 tblTargetStatus[Status],
 ""
)</f>
        <v>BLOCKED</v>
      </c>
      <c r="J1860" s="45" t="b">
        <v>0</v>
      </c>
    </row>
    <row r="1861" ht="14.25" hidden="1" customHeight="1">
      <c r="A1861" s="49" t="s">
        <v>3719</v>
      </c>
      <c r="B1861" s="49" t="str">
        <f>IFERROR(__xludf.DUMMYFUNCTION("REGEXREPLACE(
 REGEXREPLACE(A1861,""^cost\."",""""),
 ""\.[^.]+\.[^.]+$"",
 """"
)"),"tech.tailor.colored_threads")</f>
        <v>tech.tailor.colored_threads</v>
      </c>
      <c r="C1861" s="49" t="str">
        <f t="array" ref="C1861">_xlfn.XLOOKUP(
 B1861,
 tblTargets[TargetID],
 tblTargets[DisplayName],
 ""
)</f>
        <v>Tailor - Colored Threads</v>
      </c>
      <c r="D1861" s="49" t="str">
        <f t="array" ref="D1861">_xlfn.XLOOKUP(
 B1861,
 tblTargets[TargetID],
 tblTargets[TargetType],
 ""
)</f>
        <v>TECH</v>
      </c>
      <c r="E1861" s="49" t="s">
        <v>158</v>
      </c>
      <c r="F1861" s="49">
        <v>1.0</v>
      </c>
      <c r="G1861" s="49">
        <f t="array" ref="G1861">_xlfn.XLOOKUP(
 A1861,
 tblCost[RequirementID],
 tblCost[QuantityRequired],
 ""
)</f>
        <v>10</v>
      </c>
      <c r="H1861" s="49">
        <f t="array" ref="H1861">IF(
 OR(
  LEFT(B1861,15)="state.character",
  RIGHT(B1861,6)=".maxed"
 ),
 0,
 LET(
  sort,
   _xlfn.XLOOKUP(
    B1861,
    tblChecklist[TargetID],
    tblChecklist[PlayerSort],
    0
   ),
  IF(sort=0,500,sort)
 )
)</f>
        <v>500</v>
      </c>
      <c r="I1861" s="49" t="str">
        <f t="array" ref="I1861">_xlfn.XLOOKUP(
 B1861,
 tblTargetStatus[TargetID],
 tblTargetStatus[Status],
 ""
)</f>
        <v>BLOCKED</v>
      </c>
      <c r="J1861" s="45" t="b">
        <v>0</v>
      </c>
    </row>
    <row r="1862" ht="14.25" hidden="1" customHeight="1">
      <c r="A1862" s="49" t="s">
        <v>3516</v>
      </c>
      <c r="B1862" s="49" t="str">
        <f>IFERROR(__xludf.DUMMYFUNCTION("REGEXREPLACE(
 REGEXREPLACE(A1862,""^cost\."",""""),
 ""\.[^.]+\.[^.]+$"",
 """"
)"),"tech.tailor.salamander_velour")</f>
        <v>tech.tailor.salamander_velour</v>
      </c>
      <c r="C1862" s="49" t="str">
        <f t="array" ref="C1862">_xlfn.XLOOKUP(
 B1862,
 tblTargets[TargetID],
 tblTargets[DisplayName],
 ""
)</f>
        <v>Tailor - Salamander Velour</v>
      </c>
      <c r="D1862" s="49" t="str">
        <f t="array" ref="D1862">_xlfn.XLOOKUP(
 B1862,
 tblTargets[TargetID],
 tblTargets[TargetType],
 ""
)</f>
        <v>TECH</v>
      </c>
      <c r="E1862" s="49" t="s">
        <v>119</v>
      </c>
      <c r="F1862" s="49">
        <v>1.0</v>
      </c>
      <c r="G1862" s="49">
        <f t="array" ref="G1862">_xlfn.XLOOKUP(
 A1862,
 tblCost[RequirementID],
 tblCost[QuantityRequired],
 ""
)</f>
        <v>400</v>
      </c>
      <c r="H1862" s="49">
        <f t="array" ref="H1862">IF(
 OR(
  LEFT(B1862,15)="state.character",
  RIGHT(B1862,6)=".maxed"
 ),
 0,
 LET(
  sort,
   _xlfn.XLOOKUP(
    B1862,
    tblChecklist[TargetID],
    tblChecklist[PlayerSort],
    0
   ),
  IF(sort=0,500,sort)
 )
)</f>
        <v>500</v>
      </c>
      <c r="I1862" s="49" t="str">
        <f t="array" ref="I1862">_xlfn.XLOOKUP(
 B1862,
 tblTargetStatus[TargetID],
 tblTargetStatus[Status],
 ""
)</f>
        <v>BLOCKED</v>
      </c>
      <c r="J1862" s="45" t="b">
        <v>0</v>
      </c>
    </row>
    <row r="1863" ht="14.25" hidden="1" customHeight="1">
      <c r="A1863" s="49" t="s">
        <v>3517</v>
      </c>
      <c r="B1863" s="49" t="str">
        <f>IFERROR(__xludf.DUMMYFUNCTION("REGEXREPLACE(
 REGEXREPLACE(A1863,""^cost\."",""""),
 ""\.[^.]+\.[^.]+$"",
 """"
)"),"tech.tailor.salamander_velour")</f>
        <v>tech.tailor.salamander_velour</v>
      </c>
      <c r="C1863" s="49" t="str">
        <f t="array" ref="C1863">_xlfn.XLOOKUP(
 B1863,
 tblTargets[TargetID],
 tblTargets[DisplayName],
 ""
)</f>
        <v>Tailor - Salamander Velour</v>
      </c>
      <c r="D1863" s="49" t="str">
        <f t="array" ref="D1863">_xlfn.XLOOKUP(
 B1863,
 tblTargets[TargetID],
 tblTargets[TargetType],
 ""
)</f>
        <v>TECH</v>
      </c>
      <c r="E1863" s="49" t="s">
        <v>2339</v>
      </c>
      <c r="F1863" s="49">
        <v>1.0</v>
      </c>
      <c r="G1863" s="49">
        <f t="array" ref="G1863">_xlfn.XLOOKUP(
 A1863,
 tblCost[RequirementID],
 tblCost[QuantityRequired],
 ""
)</f>
        <v>10</v>
      </c>
      <c r="H1863" s="49">
        <f t="array" ref="H1863">IF(
 OR(
  LEFT(B1863,15)="state.character",
  RIGHT(B1863,6)=".maxed"
 ),
 0,
 LET(
  sort,
   _xlfn.XLOOKUP(
    B1863,
    tblChecklist[TargetID],
    tblChecklist[PlayerSort],
    0
   ),
  IF(sort=0,500,sort)
 )
)</f>
        <v>500</v>
      </c>
      <c r="I1863" s="49" t="str">
        <f t="array" ref="I1863">_xlfn.XLOOKUP(
 B1863,
 tblTargetStatus[TargetID],
 tblTargetStatus[Status],
 ""
)</f>
        <v>BLOCKED</v>
      </c>
      <c r="J1863" s="45" t="b">
        <v>0</v>
      </c>
    </row>
    <row r="1864" ht="14.25" hidden="1" customHeight="1">
      <c r="A1864" s="49" t="s">
        <v>3518</v>
      </c>
      <c r="B1864" s="49" t="str">
        <f>IFERROR(__xludf.DUMMYFUNCTION("REGEXREPLACE(
 REGEXREPLACE(A1864,""^cost\."",""""),
 ""\.[^.]+\.[^.]+$"",
 """"
)"),"tech.tailor.salamander_velour")</f>
        <v>tech.tailor.salamander_velour</v>
      </c>
      <c r="C1864" s="49" t="str">
        <f t="array" ref="C1864">_xlfn.XLOOKUP(
 B1864,
 tblTargets[TargetID],
 tblTargets[DisplayName],
 ""
)</f>
        <v>Tailor - Salamander Velour</v>
      </c>
      <c r="D1864" s="49" t="str">
        <f t="array" ref="D1864">_xlfn.XLOOKUP(
 B1864,
 tblTargets[TargetID],
 tblTargets[TargetType],
 ""
)</f>
        <v>TECH</v>
      </c>
      <c r="E1864" s="49" t="s">
        <v>530</v>
      </c>
      <c r="F1864" s="49">
        <v>1.0</v>
      </c>
      <c r="G1864" s="49">
        <f t="array" ref="G1864">_xlfn.XLOOKUP(
 A1864,
 tblCost[RequirementID],
 tblCost[QuantityRequired],
 ""
)</f>
        <v>15</v>
      </c>
      <c r="H1864" s="49">
        <f t="array" ref="H1864">IF(
 OR(
  LEFT(B1864,15)="state.character",
  RIGHT(B1864,6)=".maxed"
 ),
 0,
 LET(
  sort,
   _xlfn.XLOOKUP(
    B1864,
    tblChecklist[TargetID],
    tblChecklist[PlayerSort],
    0
   ),
  IF(sort=0,500,sort)
 )
)</f>
        <v>500</v>
      </c>
      <c r="I1864" s="49" t="str">
        <f t="array" ref="I1864">_xlfn.XLOOKUP(
 B1864,
 tblTargetStatus[TargetID],
 tblTargetStatus[Status],
 ""
)</f>
        <v>BLOCKED</v>
      </c>
      <c r="J1864" s="45" t="b">
        <v>0</v>
      </c>
    </row>
    <row r="1865" ht="14.25" hidden="1" customHeight="1">
      <c r="A1865" s="49" t="s">
        <v>3519</v>
      </c>
      <c r="B1865" s="49" t="str">
        <f>IFERROR(__xludf.DUMMYFUNCTION("REGEXREPLACE(
 REGEXREPLACE(A1865,""^cost\."",""""),
 ""\.[^.]+\.[^.]+$"",
 """"
)"),"tech.tailor.salamander_velour")</f>
        <v>tech.tailor.salamander_velour</v>
      </c>
      <c r="C1865" s="49" t="str">
        <f t="array" ref="C1865">_xlfn.XLOOKUP(
 B1865,
 tblTargets[TargetID],
 tblTargets[DisplayName],
 ""
)</f>
        <v>Tailor - Salamander Velour</v>
      </c>
      <c r="D1865" s="49" t="str">
        <f t="array" ref="D1865">_xlfn.XLOOKUP(
 B1865,
 tblTargets[TargetID],
 tblTargets[TargetType],
 ""
)</f>
        <v>TECH</v>
      </c>
      <c r="E1865" s="49" t="s">
        <v>2302</v>
      </c>
      <c r="F1865" s="49">
        <v>1.0</v>
      </c>
      <c r="G1865" s="49">
        <f t="array" ref="G1865">_xlfn.XLOOKUP(
 A1865,
 tblCost[RequirementID],
 tblCost[QuantityRequired],
 ""
)</f>
        <v>6</v>
      </c>
      <c r="H1865" s="49">
        <f t="array" ref="H1865">IF(
 OR(
  LEFT(B1865,15)="state.character",
  RIGHT(B1865,6)=".maxed"
 ),
 0,
 LET(
  sort,
   _xlfn.XLOOKUP(
    B1865,
    tblChecklist[TargetID],
    tblChecklist[PlayerSort],
    0
   ),
  IF(sort=0,500,sort)
 )
)</f>
        <v>500</v>
      </c>
      <c r="I1865" s="49" t="str">
        <f t="array" ref="I1865">_xlfn.XLOOKUP(
 B1865,
 tblTargetStatus[TargetID],
 tblTargetStatus[Status],
 ""
)</f>
        <v>BLOCKED</v>
      </c>
      <c r="J1865" s="45" t="b">
        <v>0</v>
      </c>
    </row>
    <row r="1866" ht="14.25" hidden="1" customHeight="1">
      <c r="A1866" s="49" t="s">
        <v>3520</v>
      </c>
      <c r="B1866" s="49" t="str">
        <f>IFERROR(__xludf.DUMMYFUNCTION("REGEXREPLACE(
 REGEXREPLACE(A1866,""^cost\."",""""),
 ""\.[^.]+\.[^.]+$"",
 """"
)"),"tech.tailor.salamander_velour")</f>
        <v>tech.tailor.salamander_velour</v>
      </c>
      <c r="C1866" s="49" t="str">
        <f t="array" ref="C1866">_xlfn.XLOOKUP(
 B1866,
 tblTargets[TargetID],
 tblTargets[DisplayName],
 ""
)</f>
        <v>Tailor - Salamander Velour</v>
      </c>
      <c r="D1866" s="49" t="str">
        <f t="array" ref="D1866">_xlfn.XLOOKUP(
 B1866,
 tblTargets[TargetID],
 tblTargets[TargetType],
 ""
)</f>
        <v>TECH</v>
      </c>
      <c r="E1866" s="49" t="s">
        <v>1456</v>
      </c>
      <c r="F1866" s="49">
        <v>1.0</v>
      </c>
      <c r="G1866" s="49">
        <f t="array" ref="G1866">_xlfn.XLOOKUP(
 A1866,
 tblCost[RequirementID],
 tblCost[QuantityRequired],
 ""
)</f>
        <v>15</v>
      </c>
      <c r="H1866" s="49">
        <f t="array" ref="H1866">IF(
 OR(
  LEFT(B1866,15)="state.character",
  RIGHT(B1866,6)=".maxed"
 ),
 0,
 LET(
  sort,
   _xlfn.XLOOKUP(
    B1866,
    tblChecklist[TargetID],
    tblChecklist[PlayerSort],
    0
   ),
  IF(sort=0,500,sort)
 )
)</f>
        <v>500</v>
      </c>
      <c r="I1866" s="49" t="str">
        <f t="array" ref="I1866">_xlfn.XLOOKUP(
 B1866,
 tblTargetStatus[TargetID],
 tblTargetStatus[Status],
 ""
)</f>
        <v>BLOCKED</v>
      </c>
      <c r="J1866" s="45" t="b">
        <v>0</v>
      </c>
    </row>
    <row r="1867" ht="14.25" hidden="1" customHeight="1">
      <c r="A1867" s="49" t="s">
        <v>3521</v>
      </c>
      <c r="B1867" s="49" t="str">
        <f>IFERROR(__xludf.DUMMYFUNCTION("REGEXREPLACE(
 REGEXREPLACE(A1867,""^cost\."",""""),
 ""\.[^.]+\.[^.]+$"",
 """"
)"),"tech.tailor.salamander_velour")</f>
        <v>tech.tailor.salamander_velour</v>
      </c>
      <c r="C1867" s="49" t="str">
        <f t="array" ref="C1867">_xlfn.XLOOKUP(
 B1867,
 tblTargets[TargetID],
 tblTargets[DisplayName],
 ""
)</f>
        <v>Tailor - Salamander Velour</v>
      </c>
      <c r="D1867" s="49" t="str">
        <f t="array" ref="D1867">_xlfn.XLOOKUP(
 B1867,
 tblTargets[TargetID],
 tblTargets[TargetType],
 ""
)</f>
        <v>TECH</v>
      </c>
      <c r="E1867" s="49" t="s">
        <v>6</v>
      </c>
      <c r="F1867" s="49">
        <v>1.0</v>
      </c>
      <c r="G1867" s="49">
        <f t="array" ref="G1867">_xlfn.XLOOKUP(
 A1867,
 tblCost[RequirementID],
 tblCost[QuantityRequired],
 ""
)</f>
        <v>3</v>
      </c>
      <c r="H1867" s="49">
        <f t="array" ref="H1867">IF(
 OR(
  LEFT(B1867,15)="state.character",
  RIGHT(B1867,6)=".maxed"
 ),
 0,
 LET(
  sort,
   _xlfn.XLOOKUP(
    B1867,
    tblChecklist[TargetID],
    tblChecklist[PlayerSort],
    0
   ),
  IF(sort=0,500,sort)
 )
)</f>
        <v>500</v>
      </c>
      <c r="I1867" s="49" t="str">
        <f t="array" ref="I1867">_xlfn.XLOOKUP(
 B1867,
 tblTargetStatus[TargetID],
 tblTargetStatus[Status],
 ""
)</f>
        <v>BLOCKED</v>
      </c>
      <c r="J1867" s="45" t="b">
        <v>0</v>
      </c>
    </row>
    <row r="1868" ht="14.25" hidden="1" customHeight="1">
      <c r="A1868" s="49" t="s">
        <v>3681</v>
      </c>
      <c r="B1868" s="49" t="str">
        <f>IFERROR(__xludf.DUMMYFUNCTION("REGEXREPLACE(
 REGEXREPLACE(A1868,""^cost\."",""""),
 ""\.[^.]+\.[^.]+$"",
 """"
)"),"tech.tailor.strong_rivets")</f>
        <v>tech.tailor.strong_rivets</v>
      </c>
      <c r="C1868" s="49" t="str">
        <f t="array" ref="C1868">_xlfn.XLOOKUP(
 B1868,
 tblTargets[TargetID],
 tblTargets[DisplayName],
 ""
)</f>
        <v>Tailor - Strong Rivets</v>
      </c>
      <c r="D1868" s="49" t="str">
        <f t="array" ref="D1868">_xlfn.XLOOKUP(
 B1868,
 tblTargets[TargetID],
 tblTargets[TargetType],
 ""
)</f>
        <v>TECH</v>
      </c>
      <c r="E1868" s="49" t="s">
        <v>1055</v>
      </c>
      <c r="F1868" s="49">
        <v>1.0</v>
      </c>
      <c r="G1868" s="49">
        <f t="array" ref="G1868">_xlfn.XLOOKUP(
 A1868,
 tblCost[RequirementID],
 tblCost[QuantityRequired],
 ""
)</f>
        <v>20</v>
      </c>
      <c r="H1868" s="49">
        <f t="array" ref="H1868">IF(
 OR(
  LEFT(B1868,15)="state.character",
  RIGHT(B1868,6)=".maxed"
 ),
 0,
 LET(
  sort,
   _xlfn.XLOOKUP(
    B1868,
    tblChecklist[TargetID],
    tblChecklist[PlayerSort],
    0
   ),
  IF(sort=0,500,sort)
 )
)</f>
        <v>500</v>
      </c>
      <c r="I1868" s="49" t="str">
        <f t="array" ref="I1868">_xlfn.XLOOKUP(
 B1868,
 tblTargetStatus[TargetID],
 tblTargetStatus[Status],
 ""
)</f>
        <v>BLOCKED</v>
      </c>
      <c r="J1868" s="45" t="b">
        <v>0</v>
      </c>
    </row>
    <row r="1869" ht="14.25" hidden="1" customHeight="1">
      <c r="A1869" s="49" t="s">
        <v>3684</v>
      </c>
      <c r="B1869" s="49" t="str">
        <f>IFERROR(__xludf.DUMMYFUNCTION("REGEXREPLACE(
 REGEXREPLACE(A1869,""^cost\."",""""),
 ""\.[^.]+\.[^.]+$"",
 """"
)"),"tech.tailor.strong_rivets")</f>
        <v>tech.tailor.strong_rivets</v>
      </c>
      <c r="C1869" s="49" t="str">
        <f t="array" ref="C1869">_xlfn.XLOOKUP(
 B1869,
 tblTargets[TargetID],
 tblTargets[DisplayName],
 ""
)</f>
        <v>Tailor - Strong Rivets</v>
      </c>
      <c r="D1869" s="49" t="str">
        <f t="array" ref="D1869">_xlfn.XLOOKUP(
 B1869,
 tblTargets[TargetID],
 tblTargets[TargetType],
 ""
)</f>
        <v>TECH</v>
      </c>
      <c r="E1869" s="49" t="s">
        <v>119</v>
      </c>
      <c r="F1869" s="49">
        <v>1.0</v>
      </c>
      <c r="G1869" s="49">
        <f t="array" ref="G1869">_xlfn.XLOOKUP(
 A1869,
 tblCost[RequirementID],
 tblCost[QuantityRequired],
 ""
)</f>
        <v>500</v>
      </c>
      <c r="H1869" s="49">
        <f t="array" ref="H1869">IF(
 OR(
  LEFT(B1869,15)="state.character",
  RIGHT(B1869,6)=".maxed"
 ),
 0,
 LET(
  sort,
   _xlfn.XLOOKUP(
    B1869,
    tblChecklist[TargetID],
    tblChecklist[PlayerSort],
    0
   ),
  IF(sort=0,500,sort)
 )
)</f>
        <v>500</v>
      </c>
      <c r="I1869" s="49" t="str">
        <f t="array" ref="I1869">_xlfn.XLOOKUP(
 B1869,
 tblTargetStatus[TargetID],
 tblTargetStatus[Status],
 ""
)</f>
        <v>BLOCKED</v>
      </c>
      <c r="J1869" s="45" t="b">
        <v>0</v>
      </c>
    </row>
    <row r="1870" ht="14.25" hidden="1" customHeight="1">
      <c r="A1870" s="49" t="s">
        <v>3688</v>
      </c>
      <c r="B1870" s="49" t="str">
        <f>IFERROR(__xludf.DUMMYFUNCTION("REGEXREPLACE(
 REGEXREPLACE(A1870,""^cost\."",""""),
 ""\.[^.]+\.[^.]+$"",
 """"
)"),"tech.tailor.strong_rivets")</f>
        <v>tech.tailor.strong_rivets</v>
      </c>
      <c r="C1870" s="49" t="str">
        <f t="array" ref="C1870">_xlfn.XLOOKUP(
 B1870,
 tblTargets[TargetID],
 tblTargets[DisplayName],
 ""
)</f>
        <v>Tailor - Strong Rivets</v>
      </c>
      <c r="D1870" s="49" t="str">
        <f t="array" ref="D1870">_xlfn.XLOOKUP(
 B1870,
 tblTargets[TargetID],
 tblTargets[TargetType],
 ""
)</f>
        <v>TECH</v>
      </c>
      <c r="E1870" s="49" t="s">
        <v>126</v>
      </c>
      <c r="F1870" s="49">
        <v>1.0</v>
      </c>
      <c r="G1870" s="49">
        <f t="array" ref="G1870">_xlfn.XLOOKUP(
 A1870,
 tblCost[RequirementID],
 tblCost[QuantityRequired],
 ""
)</f>
        <v>30</v>
      </c>
      <c r="H1870" s="49">
        <f t="array" ref="H1870">IF(
 OR(
  LEFT(B1870,15)="state.character",
  RIGHT(B1870,6)=".maxed"
 ),
 0,
 LET(
  sort,
   _xlfn.XLOOKUP(
    B1870,
    tblChecklist[TargetID],
    tblChecklist[PlayerSort],
    0
   ),
  IF(sort=0,500,sort)
 )
)</f>
        <v>500</v>
      </c>
      <c r="I1870" s="49" t="str">
        <f t="array" ref="I1870">_xlfn.XLOOKUP(
 B1870,
 tblTargetStatus[TargetID],
 tblTargetStatus[Status],
 ""
)</f>
        <v>BLOCKED</v>
      </c>
      <c r="J1870" s="45" t="b">
        <v>0</v>
      </c>
    </row>
    <row r="1871" ht="14.25" hidden="1" customHeight="1">
      <c r="A1871" s="49" t="s">
        <v>3691</v>
      </c>
      <c r="B1871" s="49" t="str">
        <f>IFERROR(__xludf.DUMMYFUNCTION("REGEXREPLACE(
 REGEXREPLACE(A1871,""^cost\."",""""),
 ""\.[^.]+\.[^.]+$"",
 """"
)"),"tech.tailor.strong_rivets")</f>
        <v>tech.tailor.strong_rivets</v>
      </c>
      <c r="C1871" s="49" t="str">
        <f t="array" ref="C1871">_xlfn.XLOOKUP(
 B1871,
 tblTargets[TargetID],
 tblTargets[DisplayName],
 ""
)</f>
        <v>Tailor - Strong Rivets</v>
      </c>
      <c r="D1871" s="49" t="str">
        <f t="array" ref="D1871">_xlfn.XLOOKUP(
 B1871,
 tblTargets[TargetID],
 tblTargets[TargetType],
 ""
)</f>
        <v>TECH</v>
      </c>
      <c r="E1871" s="49" t="s">
        <v>6</v>
      </c>
      <c r="F1871" s="49">
        <v>1.0</v>
      </c>
      <c r="G1871" s="49">
        <f t="array" ref="G1871">_xlfn.XLOOKUP(
 A1871,
 tblCost[RequirementID],
 tblCost[QuantityRequired],
 ""
)</f>
        <v>2</v>
      </c>
      <c r="H1871" s="49">
        <f t="array" ref="H1871">IF(
 OR(
  LEFT(B1871,15)="state.character",
  RIGHT(B1871,6)=".maxed"
 ),
 0,
 LET(
  sort,
   _xlfn.XLOOKUP(
    B1871,
    tblChecklist[TargetID],
    tblChecklist[PlayerSort],
    0
   ),
  IF(sort=0,500,sort)
 )
)</f>
        <v>500</v>
      </c>
      <c r="I1871" s="49" t="str">
        <f t="array" ref="I1871">_xlfn.XLOOKUP(
 B1871,
 tblTargetStatus[TargetID],
 tblTargetStatus[Status],
 ""
)</f>
        <v>BLOCKED</v>
      </c>
      <c r="J1871" s="45" t="b">
        <v>0</v>
      </c>
    </row>
    <row r="1872" ht="14.25" hidden="1" customHeight="1">
      <c r="A1872" s="49" t="s">
        <v>3694</v>
      </c>
      <c r="B1872" s="49" t="str">
        <f>IFERROR(__xludf.DUMMYFUNCTION("REGEXREPLACE(
 REGEXREPLACE(A1872,""^cost\."",""""),
 ""\.[^.]+\.[^.]+$"",
 """"
)"),"tech.tailor.strong_rivets")</f>
        <v>tech.tailor.strong_rivets</v>
      </c>
      <c r="C1872" s="49" t="str">
        <f t="array" ref="C1872">_xlfn.XLOOKUP(
 B1872,
 tblTargets[TargetID],
 tblTargets[DisplayName],
 ""
)</f>
        <v>Tailor - Strong Rivets</v>
      </c>
      <c r="D1872" s="49" t="str">
        <f t="array" ref="D1872">_xlfn.XLOOKUP(
 B1872,
 tblTargets[TargetID],
 tblTargets[TargetType],
 ""
)</f>
        <v>TECH</v>
      </c>
      <c r="E1872" s="49" t="s">
        <v>158</v>
      </c>
      <c r="F1872" s="49">
        <v>1.0</v>
      </c>
      <c r="G1872" s="49">
        <f t="array" ref="G1872">_xlfn.XLOOKUP(
 A1872,
 tblCost[RequirementID],
 tblCost[QuantityRequired],
 ""
)</f>
        <v>10</v>
      </c>
      <c r="H1872" s="49">
        <f t="array" ref="H1872">IF(
 OR(
  LEFT(B1872,15)="state.character",
  RIGHT(B1872,6)=".maxed"
 ),
 0,
 LET(
  sort,
   _xlfn.XLOOKUP(
    B1872,
    tblChecklist[TargetID],
    tblChecklist[PlayerSort],
    0
   ),
  IF(sort=0,500,sort)
 )
)</f>
        <v>500</v>
      </c>
      <c r="I1872" s="49" t="str">
        <f t="array" ref="I1872">_xlfn.XLOOKUP(
 B1872,
 tblTargetStatus[TargetID],
 tblTargetStatus[Status],
 ""
)</f>
        <v>BLOCKED</v>
      </c>
      <c r="J1872" s="45" t="b">
        <v>0</v>
      </c>
    </row>
    <row r="1873" ht="14.25" hidden="1" customHeight="1">
      <c r="A1873" s="49" t="s">
        <v>3662</v>
      </c>
      <c r="B1873" s="49" t="str">
        <f>IFERROR(__xludf.DUMMYFUNCTION("REGEXREPLACE(
 REGEXREPLACE(A1873,""^cost\."",""""),
 ""\.[^.]+\.[^.]+$"",
 """"
)"),"tech.tailor.strong_stitch")</f>
        <v>tech.tailor.strong_stitch</v>
      </c>
      <c r="C1873" s="49" t="str">
        <f t="array" ref="C1873">_xlfn.XLOOKUP(
 B1873,
 tblTargets[TargetID],
 tblTargets[DisplayName],
 ""
)</f>
        <v>Tailor - Strong Stitch</v>
      </c>
      <c r="D1873" s="49" t="str">
        <f t="array" ref="D1873">_xlfn.XLOOKUP(
 B1873,
 tblTargets[TargetID],
 tblTargets[TargetType],
 ""
)</f>
        <v>TECH</v>
      </c>
      <c r="E1873" s="49" t="s">
        <v>1055</v>
      </c>
      <c r="F1873" s="49">
        <v>1.0</v>
      </c>
      <c r="G1873" s="49">
        <f t="array" ref="G1873">_xlfn.XLOOKUP(
 A1873,
 tblCost[RequirementID],
 tblCost[QuantityRequired],
 ""
)</f>
        <v>10</v>
      </c>
      <c r="H1873" s="49">
        <f t="array" ref="H1873">IF(
 OR(
  LEFT(B1873,15)="state.character",
  RIGHT(B1873,6)=".maxed"
 ),
 0,
 LET(
  sort,
   _xlfn.XLOOKUP(
    B1873,
    tblChecklist[TargetID],
    tblChecklist[PlayerSort],
    0
   ),
  IF(sort=0,500,sort)
 )
)</f>
        <v>999</v>
      </c>
      <c r="I1873" s="49" t="str">
        <f t="array" ref="I1873">_xlfn.XLOOKUP(
 B1873,
 tblTargetStatus[TargetID],
 tblTargetStatus[Status],
 ""
)</f>
        <v>BLOCKED</v>
      </c>
      <c r="J1873" s="45" t="b">
        <v>0</v>
      </c>
    </row>
    <row r="1874" ht="14.25" hidden="1" customHeight="1">
      <c r="A1874" s="49" t="s">
        <v>3666</v>
      </c>
      <c r="B1874" s="49" t="str">
        <f>IFERROR(__xludf.DUMMYFUNCTION("REGEXREPLACE(
 REGEXREPLACE(A1874,""^cost\."",""""),
 ""\.[^.]+\.[^.]+$"",
 """"
)"),"tech.tailor.strong_stitch")</f>
        <v>tech.tailor.strong_stitch</v>
      </c>
      <c r="C1874" s="49" t="str">
        <f t="array" ref="C1874">_xlfn.XLOOKUP(
 B1874,
 tblTargets[TargetID],
 tblTargets[DisplayName],
 ""
)</f>
        <v>Tailor - Strong Stitch</v>
      </c>
      <c r="D1874" s="49" t="str">
        <f t="array" ref="D1874">_xlfn.XLOOKUP(
 B1874,
 tblTargets[TargetID],
 tblTargets[TargetType],
 ""
)</f>
        <v>TECH</v>
      </c>
      <c r="E1874" s="49" t="s">
        <v>119</v>
      </c>
      <c r="F1874" s="49">
        <v>1.0</v>
      </c>
      <c r="G1874" s="49">
        <f t="array" ref="G1874">_xlfn.XLOOKUP(
 A1874,
 tblCost[RequirementID],
 tblCost[QuantityRequired],
 ""
)</f>
        <v>300</v>
      </c>
      <c r="H1874" s="49">
        <f t="array" ref="H1874">IF(
 OR(
  LEFT(B1874,15)="state.character",
  RIGHT(B1874,6)=".maxed"
 ),
 0,
 LET(
  sort,
   _xlfn.XLOOKUP(
    B1874,
    tblChecklist[TargetID],
    tblChecklist[PlayerSort],
    0
   ),
  IF(sort=0,500,sort)
 )
)</f>
        <v>999</v>
      </c>
      <c r="I1874" s="49" t="str">
        <f t="array" ref="I1874">_xlfn.XLOOKUP(
 B1874,
 tblTargetStatus[TargetID],
 tblTargetStatus[Status],
 ""
)</f>
        <v>BLOCKED</v>
      </c>
      <c r="J1874" s="45" t="b">
        <v>0</v>
      </c>
    </row>
    <row r="1875" ht="14.25" hidden="1" customHeight="1">
      <c r="A1875" s="49" t="s">
        <v>3669</v>
      </c>
      <c r="B1875" s="49" t="str">
        <f>IFERROR(__xludf.DUMMYFUNCTION("REGEXREPLACE(
 REGEXREPLACE(A1875,""^cost\."",""""),
 ""\.[^.]+\.[^.]+$"",
 """"
)"),"tech.tailor.strong_stitch")</f>
        <v>tech.tailor.strong_stitch</v>
      </c>
      <c r="C1875" s="49" t="str">
        <f t="array" ref="C1875">_xlfn.XLOOKUP(
 B1875,
 tblTargets[TargetID],
 tblTargets[DisplayName],
 ""
)</f>
        <v>Tailor - Strong Stitch</v>
      </c>
      <c r="D1875" s="49" t="str">
        <f t="array" ref="D1875">_xlfn.XLOOKUP(
 B1875,
 tblTargets[TargetID],
 tblTargets[TargetType],
 ""
)</f>
        <v>TECH</v>
      </c>
      <c r="E1875" s="49" t="s">
        <v>6</v>
      </c>
      <c r="F1875" s="49">
        <v>1.0</v>
      </c>
      <c r="G1875" s="49">
        <f t="array" ref="G1875">_xlfn.XLOOKUP(
 A1875,
 tblCost[RequirementID],
 tblCost[QuantityRequired],
 ""
)</f>
        <v>1</v>
      </c>
      <c r="H1875" s="49">
        <f t="array" ref="H1875">IF(
 OR(
  LEFT(B1875,15)="state.character",
  RIGHT(B1875,6)=".maxed"
 ),
 0,
 LET(
  sort,
   _xlfn.XLOOKUP(
    B1875,
    tblChecklist[TargetID],
    tblChecklist[PlayerSort],
    0
   ),
  IF(sort=0,500,sort)
 )
)</f>
        <v>999</v>
      </c>
      <c r="I1875" s="49" t="str">
        <f t="array" ref="I1875">_xlfn.XLOOKUP(
 B1875,
 tblTargetStatus[TargetID],
 tblTargetStatus[Status],
 ""
)</f>
        <v>BLOCKED</v>
      </c>
      <c r="J1875" s="45" t="b">
        <v>0</v>
      </c>
    </row>
    <row r="1876" ht="14.25" hidden="1" customHeight="1">
      <c r="A1876" s="49" t="s">
        <v>3673</v>
      </c>
      <c r="B1876" s="49" t="str">
        <f>IFERROR(__xludf.DUMMYFUNCTION("REGEXREPLACE(
 REGEXREPLACE(A1876,""^cost\."",""""),
 ""\.[^.]+\.[^.]+$"",
 """"
)"),"tech.tailor.strong_stitch")</f>
        <v>tech.tailor.strong_stitch</v>
      </c>
      <c r="C1876" s="49" t="str">
        <f t="array" ref="C1876">_xlfn.XLOOKUP(
 B1876,
 tblTargets[TargetID],
 tblTargets[DisplayName],
 ""
)</f>
        <v>Tailor - Strong Stitch</v>
      </c>
      <c r="D1876" s="49" t="str">
        <f t="array" ref="D1876">_xlfn.XLOOKUP(
 B1876,
 tblTargets[TargetID],
 tblTargets[TargetType],
 ""
)</f>
        <v>TECH</v>
      </c>
      <c r="E1876" s="49" t="s">
        <v>152</v>
      </c>
      <c r="F1876" s="49">
        <v>1.0</v>
      </c>
      <c r="G1876" s="49">
        <f t="array" ref="G1876">_xlfn.XLOOKUP(
 A1876,
 tblCost[RequirementID],
 tblCost[QuantityRequired],
 ""
)</f>
        <v>10</v>
      </c>
      <c r="H1876" s="49">
        <f t="array" ref="H1876">IF(
 OR(
  LEFT(B1876,15)="state.character",
  RIGHT(B1876,6)=".maxed"
 ),
 0,
 LET(
  sort,
   _xlfn.XLOOKUP(
    B1876,
    tblChecklist[TargetID],
    tblChecklist[PlayerSort],
    0
   ),
  IF(sort=0,500,sort)
 )
)</f>
        <v>999</v>
      </c>
      <c r="I1876" s="49" t="str">
        <f t="array" ref="I1876">_xlfn.XLOOKUP(
 B1876,
 tblTargetStatus[TargetID],
 tblTargetStatus[Status],
 ""
)</f>
        <v>BLOCKED</v>
      </c>
      <c r="J1876" s="45" t="b">
        <v>0</v>
      </c>
    </row>
    <row r="1877" ht="14.25" hidden="1" customHeight="1">
      <c r="A1877" s="49" t="s">
        <v>3676</v>
      </c>
      <c r="B1877" s="49" t="str">
        <f>IFERROR(__xludf.DUMMYFUNCTION("REGEXREPLACE(
 REGEXREPLACE(A1877,""^cost\."",""""),
 ""\.[^.]+\.[^.]+$"",
 """"
)"),"tech.tailor.strong_stitch")</f>
        <v>tech.tailor.strong_stitch</v>
      </c>
      <c r="C1877" s="49" t="str">
        <f t="array" ref="C1877">_xlfn.XLOOKUP(
 B1877,
 tblTargets[TargetID],
 tblTargets[DisplayName],
 ""
)</f>
        <v>Tailor - Strong Stitch</v>
      </c>
      <c r="D1877" s="49" t="str">
        <f t="array" ref="D1877">_xlfn.XLOOKUP(
 B1877,
 tblTargets[TargetID],
 tblTargets[TargetType],
 ""
)</f>
        <v>TECH</v>
      </c>
      <c r="E1877" s="49" t="s">
        <v>158</v>
      </c>
      <c r="F1877" s="49">
        <v>1.0</v>
      </c>
      <c r="G1877" s="49">
        <f t="array" ref="G1877">_xlfn.XLOOKUP(
 A1877,
 tblCost[RequirementID],
 tblCost[QuantityRequired],
 ""
)</f>
        <v>10</v>
      </c>
      <c r="H1877" s="49">
        <f t="array" ref="H1877">IF(
 OR(
  LEFT(B1877,15)="state.character",
  RIGHT(B1877,6)=".maxed"
 ),
 0,
 LET(
  sort,
   _xlfn.XLOOKUP(
    B1877,
    tblChecklist[TargetID],
    tblChecklist[PlayerSort],
    0
   ),
  IF(sort=0,500,sort)
 )
)</f>
        <v>999</v>
      </c>
      <c r="I1877" s="49" t="str">
        <f t="array" ref="I1877">_xlfn.XLOOKUP(
 B1877,
 tblTargetStatus[TargetID],
 tblTargetStatus[Status],
 ""
)</f>
        <v>BLOCKED</v>
      </c>
      <c r="J1877" s="45" t="b">
        <v>0</v>
      </c>
    </row>
    <row r="1878" ht="14.25" hidden="1" customHeight="1">
      <c r="A1878" s="49" t="s">
        <v>3763</v>
      </c>
      <c r="B1878" s="49" t="str">
        <f>IFERROR(__xludf.DUMMYFUNCTION("REGEXREPLACE(
 REGEXREPLACE(A1878,""^cost\."",""""),
 ""\.[^.]+\.[^.]+$"",
 """"
)"),"tech.train.automatic_lubricator")</f>
        <v>tech.train.automatic_lubricator</v>
      </c>
      <c r="C1878" s="49" t="str">
        <f t="array" ref="C1878">_xlfn.XLOOKUP(
 B1878,
 tblTargets[TargetID],
 tblTargets[DisplayName],
 ""
)</f>
        <v>Train - Automatic Lubricator</v>
      </c>
      <c r="D1878" s="49" t="str">
        <f t="array" ref="D1878">_xlfn.XLOOKUP(
 B1878,
 tblTargets[TargetID],
 tblTargets[TargetType],
 ""
)</f>
        <v>TECH</v>
      </c>
      <c r="E1878" s="49" t="s">
        <v>1055</v>
      </c>
      <c r="F1878" s="49">
        <v>1.0</v>
      </c>
      <c r="G1878" s="49">
        <f t="array" ref="G1878">_xlfn.XLOOKUP(
 A1878,
 tblCost[RequirementID],
 tblCost[QuantityRequired],
 ""
)</f>
        <v>30</v>
      </c>
      <c r="H1878" s="49">
        <f t="array" ref="H1878">IF(
 OR(
  LEFT(B1878,15)="state.character",
  RIGHT(B1878,6)=".maxed"
 ),
 0,
 LET(
  sort,
   _xlfn.XLOOKUP(
    B1878,
    tblChecklist[TargetID],
    tblChecklist[PlayerSort],
    0
   ),
  IF(sort=0,500,sort)
 )
)</f>
        <v>500</v>
      </c>
      <c r="I1878" s="49" t="str">
        <f t="array" ref="I1878">_xlfn.XLOOKUP(
 B1878,
 tblTargetStatus[TargetID],
 tblTargetStatus[Status],
 ""
)</f>
        <v>BLOCKED</v>
      </c>
      <c r="J1878" s="45" t="b">
        <v>0</v>
      </c>
    </row>
    <row r="1879" ht="14.25" hidden="1" customHeight="1">
      <c r="A1879" s="49" t="s">
        <v>3766</v>
      </c>
      <c r="B1879" s="49" t="str">
        <f>IFERROR(__xludf.DUMMYFUNCTION("REGEXREPLACE(
 REGEXREPLACE(A1879,""^cost\."",""""),
 ""\.[^.]+\.[^.]+$"",
 """"
)"),"tech.train.automatic_lubricator")</f>
        <v>tech.train.automatic_lubricator</v>
      </c>
      <c r="C1879" s="49" t="str">
        <f t="array" ref="C1879">_xlfn.XLOOKUP(
 B1879,
 tblTargets[TargetID],
 tblTargets[DisplayName],
 ""
)</f>
        <v>Train - Automatic Lubricator</v>
      </c>
      <c r="D1879" s="49" t="str">
        <f t="array" ref="D1879">_xlfn.XLOOKUP(
 B1879,
 tblTargets[TargetID],
 tblTargets[TargetType],
 ""
)</f>
        <v>TECH</v>
      </c>
      <c r="E1879" s="49" t="s">
        <v>119</v>
      </c>
      <c r="F1879" s="49">
        <v>1.0</v>
      </c>
      <c r="G1879" s="49">
        <f t="array" ref="G1879">_xlfn.XLOOKUP(
 A1879,
 tblCost[RequirementID],
 tblCost[QuantityRequired],
 ""
)</f>
        <v>1500</v>
      </c>
      <c r="H1879" s="49">
        <f t="array" ref="H1879">IF(
 OR(
  LEFT(B1879,15)="state.character",
  RIGHT(B1879,6)=".maxed"
 ),
 0,
 LET(
  sort,
   _xlfn.XLOOKUP(
    B1879,
    tblChecklist[TargetID],
    tblChecklist[PlayerSort],
    0
   ),
  IF(sort=0,500,sort)
 )
)</f>
        <v>500</v>
      </c>
      <c r="I1879" s="49" t="str">
        <f t="array" ref="I1879">_xlfn.XLOOKUP(
 B1879,
 tblTargetStatus[TargetID],
 tblTargetStatus[Status],
 ""
)</f>
        <v>BLOCKED</v>
      </c>
      <c r="J1879" s="45" t="b">
        <v>0</v>
      </c>
    </row>
    <row r="1880" ht="14.25" hidden="1" customHeight="1">
      <c r="A1880" s="49" t="s">
        <v>3770</v>
      </c>
      <c r="B1880" s="49" t="str">
        <f>IFERROR(__xludf.DUMMYFUNCTION("REGEXREPLACE(
 REGEXREPLACE(A1880,""^cost\."",""""),
 ""\.[^.]+\.[^.]+$"",
 """"
)"),"tech.train.automatic_lubricator")</f>
        <v>tech.train.automatic_lubricator</v>
      </c>
      <c r="C1880" s="49" t="str">
        <f t="array" ref="C1880">_xlfn.XLOOKUP(
 B1880,
 tblTargets[TargetID],
 tblTargets[DisplayName],
 ""
)</f>
        <v>Train - Automatic Lubricator</v>
      </c>
      <c r="D1880" s="49" t="str">
        <f t="array" ref="D1880">_xlfn.XLOOKUP(
 B1880,
 tblTargets[TargetID],
 tblTargets[TargetType],
 ""
)</f>
        <v>TECH</v>
      </c>
      <c r="E1880" s="49" t="s">
        <v>1078</v>
      </c>
      <c r="F1880" s="49">
        <v>1.0</v>
      </c>
      <c r="G1880" s="49">
        <f t="array" ref="G1880">_xlfn.XLOOKUP(
 A1880,
 tblCost[RequirementID],
 tblCost[QuantityRequired],
 ""
)</f>
        <v>30</v>
      </c>
      <c r="H1880" s="49">
        <f t="array" ref="H1880">IF(
 OR(
  LEFT(B1880,15)="state.character",
  RIGHT(B1880,6)=".maxed"
 ),
 0,
 LET(
  sort,
   _xlfn.XLOOKUP(
    B1880,
    tblChecklist[TargetID],
    tblChecklist[PlayerSort],
    0
   ),
  IF(sort=0,500,sort)
 )
)</f>
        <v>500</v>
      </c>
      <c r="I1880" s="49" t="str">
        <f t="array" ref="I1880">_xlfn.XLOOKUP(
 B1880,
 tblTargetStatus[TargetID],
 tblTargetStatus[Status],
 ""
)</f>
        <v>BLOCKED</v>
      </c>
      <c r="J1880" s="45" t="b">
        <v>0</v>
      </c>
    </row>
    <row r="1881" ht="14.25" hidden="1" customHeight="1">
      <c r="A1881" s="49" t="s">
        <v>3774</v>
      </c>
      <c r="B1881" s="49" t="str">
        <f>IFERROR(__xludf.DUMMYFUNCTION("REGEXREPLACE(
 REGEXREPLACE(A1881,""^cost\."",""""),
 ""\.[^.]+\.[^.]+$"",
 """"
)"),"tech.train.automatic_lubricator")</f>
        <v>tech.train.automatic_lubricator</v>
      </c>
      <c r="C1881" s="49" t="str">
        <f t="array" ref="C1881">_xlfn.XLOOKUP(
 B1881,
 tblTargets[TargetID],
 tblTargets[DisplayName],
 ""
)</f>
        <v>Train - Automatic Lubricator</v>
      </c>
      <c r="D1881" s="49" t="str">
        <f t="array" ref="D1881">_xlfn.XLOOKUP(
 B1881,
 tblTargets[TargetID],
 tblTargets[TargetType],
 ""
)</f>
        <v>TECH</v>
      </c>
      <c r="E1881" s="49" t="s">
        <v>588</v>
      </c>
      <c r="F1881" s="49">
        <v>1.0</v>
      </c>
      <c r="G1881" s="49">
        <f t="array" ref="G1881">_xlfn.XLOOKUP(
 A1881,
 tblCost[RequirementID],
 tblCost[QuantityRequired],
 ""
)</f>
        <v>50</v>
      </c>
      <c r="H1881" s="49">
        <f t="array" ref="H1881">IF(
 OR(
  LEFT(B1881,15)="state.character",
  RIGHT(B1881,6)=".maxed"
 ),
 0,
 LET(
  sort,
   _xlfn.XLOOKUP(
    B1881,
    tblChecklist[TargetID],
    tblChecklist[PlayerSort],
    0
   ),
  IF(sort=0,500,sort)
 )
)</f>
        <v>500</v>
      </c>
      <c r="I1881" s="49" t="str">
        <f t="array" ref="I1881">_xlfn.XLOOKUP(
 B1881,
 tblTargetStatus[TargetID],
 tblTargetStatus[Status],
 ""
)</f>
        <v>BLOCKED</v>
      </c>
      <c r="J1881" s="45" t="b">
        <v>0</v>
      </c>
    </row>
    <row r="1882" ht="14.25" hidden="1" customHeight="1">
      <c r="A1882" s="49" t="s">
        <v>3777</v>
      </c>
      <c r="B1882" s="49" t="str">
        <f>IFERROR(__xludf.DUMMYFUNCTION("REGEXREPLACE(
 REGEXREPLACE(A1882,""^cost\."",""""),
 ""\.[^.]+\.[^.]+$"",
 """"
)"),"tech.train.automatic_lubricator")</f>
        <v>tech.train.automatic_lubricator</v>
      </c>
      <c r="C1882" s="49" t="str">
        <f t="array" ref="C1882">_xlfn.XLOOKUP(
 B1882,
 tblTargets[TargetID],
 tblTargets[DisplayName],
 ""
)</f>
        <v>Train - Automatic Lubricator</v>
      </c>
      <c r="D1882" s="49" t="str">
        <f t="array" ref="D1882">_xlfn.XLOOKUP(
 B1882,
 tblTargets[TargetID],
 tblTargets[TargetType],
 ""
)</f>
        <v>TECH</v>
      </c>
      <c r="E1882" s="49" t="s">
        <v>6</v>
      </c>
      <c r="F1882" s="49">
        <v>1.0</v>
      </c>
      <c r="G1882" s="49">
        <f t="array" ref="G1882">_xlfn.XLOOKUP(
 A1882,
 tblCost[RequirementID],
 tblCost[QuantityRequired],
 ""
)</f>
        <v>4</v>
      </c>
      <c r="H1882" s="49">
        <f t="array" ref="H1882">IF(
 OR(
  LEFT(B1882,15)="state.character",
  RIGHT(B1882,6)=".maxed"
 ),
 0,
 LET(
  sort,
   _xlfn.XLOOKUP(
    B1882,
    tblChecklist[TargetID],
    tblChecklist[PlayerSort],
    0
   ),
  IF(sort=0,500,sort)
 )
)</f>
        <v>500</v>
      </c>
      <c r="I1882" s="49" t="str">
        <f t="array" ref="I1882">_xlfn.XLOOKUP(
 B1882,
 tblTargetStatus[TargetID],
 tblTargetStatus[Status],
 ""
)</f>
        <v>BLOCKED</v>
      </c>
      <c r="J1882" s="45" t="b">
        <v>0</v>
      </c>
    </row>
    <row r="1883" ht="14.25" hidden="1" customHeight="1">
      <c r="A1883" s="49" t="s">
        <v>3723</v>
      </c>
      <c r="B1883" s="49" t="str">
        <f>IFERROR(__xludf.DUMMYFUNCTION("REGEXREPLACE(
 REGEXREPLACE(A1883,""^cost\."",""""),
 ""\.[^.]+\.[^.]+$"",
 """"
)"),"tech.train.compound_engine")</f>
        <v>tech.train.compound_engine</v>
      </c>
      <c r="C1883" s="49" t="str">
        <f t="array" ref="C1883">_xlfn.XLOOKUP(
 B1883,
 tblTargets[TargetID],
 tblTargets[DisplayName],
 ""
)</f>
        <v>Train - Compound Engine</v>
      </c>
      <c r="D1883" s="49" t="str">
        <f t="array" ref="D1883">_xlfn.XLOOKUP(
 B1883,
 tblTargets[TargetID],
 tblTargets[TargetType],
 ""
)</f>
        <v>TECH</v>
      </c>
      <c r="E1883" s="49" t="s">
        <v>1055</v>
      </c>
      <c r="F1883" s="49">
        <v>1.0</v>
      </c>
      <c r="G1883" s="49">
        <f t="array" ref="G1883">_xlfn.XLOOKUP(
 A1883,
 tblCost[RequirementID],
 tblCost[QuantityRequired],
 ""
)</f>
        <v>30</v>
      </c>
      <c r="H1883" s="49">
        <f t="array" ref="H1883">IF(
 OR(
  LEFT(B1883,15)="state.character",
  RIGHT(B1883,6)=".maxed"
 ),
 0,
 LET(
  sort,
   _xlfn.XLOOKUP(
    B1883,
    tblChecklist[TargetID],
    tblChecklist[PlayerSort],
    0
   ),
  IF(sort=0,500,sort)
 )
)</f>
        <v>500</v>
      </c>
      <c r="I1883" s="49" t="str">
        <f t="array" ref="I1883">_xlfn.XLOOKUP(
 B1883,
 tblTargetStatus[TargetID],
 tblTargetStatus[Status],
 ""
)</f>
        <v>BLOCKED</v>
      </c>
      <c r="J1883" s="45" t="b">
        <v>0</v>
      </c>
    </row>
    <row r="1884" ht="14.25" hidden="1" customHeight="1">
      <c r="A1884" s="49" t="s">
        <v>3727</v>
      </c>
      <c r="B1884" s="49" t="str">
        <f>IFERROR(__xludf.DUMMYFUNCTION("REGEXREPLACE(
 REGEXREPLACE(A1884,""^cost\."",""""),
 ""\.[^.]+\.[^.]+$"",
 """"
)"),"tech.train.compound_engine")</f>
        <v>tech.train.compound_engine</v>
      </c>
      <c r="C1884" s="49" t="str">
        <f t="array" ref="C1884">_xlfn.XLOOKUP(
 B1884,
 tblTargets[TargetID],
 tblTargets[DisplayName],
 ""
)</f>
        <v>Train - Compound Engine</v>
      </c>
      <c r="D1884" s="49" t="str">
        <f t="array" ref="D1884">_xlfn.XLOOKUP(
 B1884,
 tblTargets[TargetID],
 tblTargets[TargetType],
 ""
)</f>
        <v>TECH</v>
      </c>
      <c r="E1884" s="49" t="s">
        <v>119</v>
      </c>
      <c r="F1884" s="49">
        <v>1.0</v>
      </c>
      <c r="G1884" s="49">
        <f t="array" ref="G1884">_xlfn.XLOOKUP(
 A1884,
 tblCost[RequirementID],
 tblCost[QuantityRequired],
 ""
)</f>
        <v>1500</v>
      </c>
      <c r="H1884" s="49">
        <f t="array" ref="H1884">IF(
 OR(
  LEFT(B1884,15)="state.character",
  RIGHT(B1884,6)=".maxed"
 ),
 0,
 LET(
  sort,
   _xlfn.XLOOKUP(
    B1884,
    tblChecklist[TargetID],
    tblChecklist[PlayerSort],
    0
   ),
  IF(sort=0,500,sort)
 )
)</f>
        <v>500</v>
      </c>
      <c r="I1884" s="49" t="str">
        <f t="array" ref="I1884">_xlfn.XLOOKUP(
 B1884,
 tblTargetStatus[TargetID],
 tblTargetStatus[Status],
 ""
)</f>
        <v>BLOCKED</v>
      </c>
      <c r="J1884" s="45" t="b">
        <v>0</v>
      </c>
    </row>
    <row r="1885" ht="14.25" hidden="1" customHeight="1">
      <c r="A1885" s="49" t="s">
        <v>3732</v>
      </c>
      <c r="B1885" s="49" t="str">
        <f>IFERROR(__xludf.DUMMYFUNCTION("REGEXREPLACE(
 REGEXREPLACE(A1885,""^cost\."",""""),
 ""\.[^.]+\.[^.]+$"",
 """"
)"),"tech.train.compound_engine")</f>
        <v>tech.train.compound_engine</v>
      </c>
      <c r="C1885" s="49" t="str">
        <f t="array" ref="C1885">_xlfn.XLOOKUP(
 B1885,
 tblTargets[TargetID],
 tblTargets[DisplayName],
 ""
)</f>
        <v>Train - Compound Engine</v>
      </c>
      <c r="D1885" s="49" t="str">
        <f t="array" ref="D1885">_xlfn.XLOOKUP(
 B1885,
 tblTargets[TargetID],
 tblTargets[TargetType],
 ""
)</f>
        <v>TECH</v>
      </c>
      <c r="E1885" s="49" t="s">
        <v>179</v>
      </c>
      <c r="F1885" s="49">
        <v>1.0</v>
      </c>
      <c r="G1885" s="49">
        <f t="array" ref="G1885">_xlfn.XLOOKUP(
 A1885,
 tblCost[RequirementID],
 tblCost[QuantityRequired],
 ""
)</f>
        <v>50</v>
      </c>
      <c r="H1885" s="49">
        <f t="array" ref="H1885">IF(
 OR(
  LEFT(B1885,15)="state.character",
  RIGHT(B1885,6)=".maxed"
 ),
 0,
 LET(
  sort,
   _xlfn.XLOOKUP(
    B1885,
    tblChecklist[TargetID],
    tblChecklist[PlayerSort],
    0
   ),
  IF(sort=0,500,sort)
 )
)</f>
        <v>500</v>
      </c>
      <c r="I1885" s="49" t="str">
        <f t="array" ref="I1885">_xlfn.XLOOKUP(
 B1885,
 tblTargetStatus[TargetID],
 tblTargetStatus[Status],
 ""
)</f>
        <v>BLOCKED</v>
      </c>
      <c r="J1885" s="45" t="b">
        <v>0</v>
      </c>
    </row>
    <row r="1886" ht="14.25" hidden="1" customHeight="1">
      <c r="A1886" s="49" t="s">
        <v>3736</v>
      </c>
      <c r="B1886" s="49" t="str">
        <f>IFERROR(__xludf.DUMMYFUNCTION("REGEXREPLACE(
 REGEXREPLACE(A1886,""^cost\."",""""),
 ""\.[^.]+\.[^.]+$"",
 """"
)"),"tech.train.compound_engine")</f>
        <v>tech.train.compound_engine</v>
      </c>
      <c r="C1886" s="49" t="str">
        <f t="array" ref="C1886">_xlfn.XLOOKUP(
 B1886,
 tblTargets[TargetID],
 tblTargets[DisplayName],
 ""
)</f>
        <v>Train - Compound Engine</v>
      </c>
      <c r="D1886" s="49" t="str">
        <f t="array" ref="D1886">_xlfn.XLOOKUP(
 B1886,
 tblTargets[TargetID],
 tblTargets[TargetType],
 ""
)</f>
        <v>TECH</v>
      </c>
      <c r="E1886" s="49" t="s">
        <v>1078</v>
      </c>
      <c r="F1886" s="49">
        <v>1.0</v>
      </c>
      <c r="G1886" s="49">
        <f t="array" ref="G1886">_xlfn.XLOOKUP(
 A1886,
 tblCost[RequirementID],
 tblCost[QuantityRequired],
 ""
)</f>
        <v>30</v>
      </c>
      <c r="H1886" s="49">
        <f t="array" ref="H1886">IF(
 OR(
  LEFT(B1886,15)="state.character",
  RIGHT(B1886,6)=".maxed"
 ),
 0,
 LET(
  sort,
   _xlfn.XLOOKUP(
    B1886,
    tblChecklist[TargetID],
    tblChecklist[PlayerSort],
    0
   ),
  IF(sort=0,500,sort)
 )
)</f>
        <v>500</v>
      </c>
      <c r="I1886" s="49" t="str">
        <f t="array" ref="I1886">_xlfn.XLOOKUP(
 B1886,
 tblTargetStatus[TargetID],
 tblTargetStatus[Status],
 ""
)</f>
        <v>BLOCKED</v>
      </c>
      <c r="J1886" s="45" t="b">
        <v>0</v>
      </c>
    </row>
    <row r="1887" ht="14.25" hidden="1" customHeight="1">
      <c r="A1887" s="49" t="s">
        <v>3739</v>
      </c>
      <c r="B1887" s="49" t="str">
        <f>IFERROR(__xludf.DUMMYFUNCTION("REGEXREPLACE(
 REGEXREPLACE(A1887,""^cost\."",""""),
 ""\.[^.]+\.[^.]+$"",
 """"
)"),"tech.train.compound_engine")</f>
        <v>tech.train.compound_engine</v>
      </c>
      <c r="C1887" s="49" t="str">
        <f t="array" ref="C1887">_xlfn.XLOOKUP(
 B1887,
 tblTargets[TargetID],
 tblTargets[DisplayName],
 ""
)</f>
        <v>Train - Compound Engine</v>
      </c>
      <c r="D1887" s="49" t="str">
        <f t="array" ref="D1887">_xlfn.XLOOKUP(
 B1887,
 tblTargets[TargetID],
 tblTargets[TargetType],
 ""
)</f>
        <v>TECH</v>
      </c>
      <c r="E1887" s="49" t="s">
        <v>6</v>
      </c>
      <c r="F1887" s="49">
        <v>1.0</v>
      </c>
      <c r="G1887" s="49">
        <f t="array" ref="G1887">_xlfn.XLOOKUP(
 A1887,
 tblCost[RequirementID],
 tblCost[QuantityRequired],
 ""
)</f>
        <v>4</v>
      </c>
      <c r="H1887" s="49">
        <f t="array" ref="H1887">IF(
 OR(
  LEFT(B1887,15)="state.character",
  RIGHT(B1887,6)=".maxed"
 ),
 0,
 LET(
  sort,
   _xlfn.XLOOKUP(
    B1887,
    tblChecklist[TargetID],
    tblChecklist[PlayerSort],
    0
   ),
  IF(sort=0,500,sort)
 )
)</f>
        <v>500</v>
      </c>
      <c r="I1887" s="49" t="str">
        <f t="array" ref="I1887">_xlfn.XLOOKUP(
 B1887,
 tblTargetStatus[TargetID],
 tblTargetStatus[Status],
 ""
)</f>
        <v>BLOCKED</v>
      </c>
      <c r="J1887" s="45" t="b">
        <v>0</v>
      </c>
    </row>
    <row r="1888" ht="14.25" hidden="1" customHeight="1">
      <c r="A1888" s="49" t="s">
        <v>3802</v>
      </c>
      <c r="B1888" s="49" t="str">
        <f>IFERROR(__xludf.DUMMYFUNCTION("REGEXREPLACE(
 REGEXREPLACE(A1888,""^cost\."",""""),
 ""\.[^.]+\.[^.]+$"",
 """"
)"),"tech.train.onboard_computer")</f>
        <v>tech.train.onboard_computer</v>
      </c>
      <c r="C1888" s="49" t="str">
        <f t="array" ref="C1888">_xlfn.XLOOKUP(
 B1888,
 tblTargets[TargetID],
 tblTargets[DisplayName],
 ""
)</f>
        <v>Train - Onboard Computer</v>
      </c>
      <c r="D1888" s="49" t="str">
        <f t="array" ref="D1888">_xlfn.XLOOKUP(
 B1888,
 tblTargets[TargetID],
 tblTargets[TargetType],
 ""
)</f>
        <v>TECH</v>
      </c>
      <c r="E1888" s="49" t="s">
        <v>1230</v>
      </c>
      <c r="F1888" s="49">
        <v>1.0</v>
      </c>
      <c r="G1888" s="49">
        <f t="array" ref="G1888">_xlfn.XLOOKUP(
 A1888,
 tblCost[RequirementID],
 tblCost[QuantityRequired],
 ""
)</f>
        <v>20</v>
      </c>
      <c r="H1888" s="49">
        <f t="array" ref="H1888">IF(
 OR(
  LEFT(B1888,15)="state.character",
  RIGHT(B1888,6)=".maxed"
 ),
 0,
 LET(
  sort,
   _xlfn.XLOOKUP(
    B1888,
    tblChecklist[TargetID],
    tblChecklist[PlayerSort],
    0
   ),
  IF(sort=0,500,sort)
 )
)</f>
        <v>500</v>
      </c>
      <c r="I1888" s="49" t="str">
        <f t="array" ref="I1888">_xlfn.XLOOKUP(
 B1888,
 tblTargetStatus[TargetID],
 tblTargetStatus[Status],
 ""
)</f>
        <v>BLOCKED</v>
      </c>
      <c r="J1888" s="45" t="b">
        <v>0</v>
      </c>
    </row>
    <row r="1889" ht="14.25" hidden="1" customHeight="1">
      <c r="A1889" s="49" t="s">
        <v>3806</v>
      </c>
      <c r="B1889" s="49" t="str">
        <f>IFERROR(__xludf.DUMMYFUNCTION("REGEXREPLACE(
 REGEXREPLACE(A1889,""^cost\."",""""),
 ""\.[^.]+\.[^.]+$"",
 """"
)"),"tech.train.onboard_computer")</f>
        <v>tech.train.onboard_computer</v>
      </c>
      <c r="C1889" s="49" t="str">
        <f t="array" ref="C1889">_xlfn.XLOOKUP(
 B1889,
 tblTargets[TargetID],
 tblTargets[DisplayName],
 ""
)</f>
        <v>Train - Onboard Computer</v>
      </c>
      <c r="D1889" s="49" t="str">
        <f t="array" ref="D1889">_xlfn.XLOOKUP(
 B1889,
 tblTargets[TargetID],
 tblTargets[TargetType],
 ""
)</f>
        <v>TECH</v>
      </c>
      <c r="E1889" s="49" t="s">
        <v>1055</v>
      </c>
      <c r="F1889" s="49">
        <v>1.0</v>
      </c>
      <c r="G1889" s="49">
        <f t="array" ref="G1889">_xlfn.XLOOKUP(
 A1889,
 tblCost[RequirementID],
 tblCost[QuantityRequired],
 ""
)</f>
        <v>40</v>
      </c>
      <c r="H1889" s="49">
        <f t="array" ref="H1889">IF(
 OR(
  LEFT(B1889,15)="state.character",
  RIGHT(B1889,6)=".maxed"
 ),
 0,
 LET(
  sort,
   _xlfn.XLOOKUP(
    B1889,
    tblChecklist[TargetID],
    tblChecklist[PlayerSort],
    0
   ),
  IF(sort=0,500,sort)
 )
)</f>
        <v>500</v>
      </c>
      <c r="I1889" s="49" t="str">
        <f t="array" ref="I1889">_xlfn.XLOOKUP(
 B1889,
 tblTargetStatus[TargetID],
 tblTargetStatus[Status],
 ""
)</f>
        <v>BLOCKED</v>
      </c>
      <c r="J1889" s="45" t="b">
        <v>0</v>
      </c>
    </row>
    <row r="1890" ht="14.25" hidden="1" customHeight="1">
      <c r="A1890" s="49" t="s">
        <v>3809</v>
      </c>
      <c r="B1890" s="49" t="str">
        <f>IFERROR(__xludf.DUMMYFUNCTION("REGEXREPLACE(
 REGEXREPLACE(A1890,""^cost\."",""""),
 ""\.[^.]+\.[^.]+$"",
 """"
)"),"tech.train.onboard_computer")</f>
        <v>tech.train.onboard_computer</v>
      </c>
      <c r="C1890" s="49" t="str">
        <f t="array" ref="C1890">_xlfn.XLOOKUP(
 B1890,
 tblTargets[TargetID],
 tblTargets[DisplayName],
 ""
)</f>
        <v>Train - Onboard Computer</v>
      </c>
      <c r="D1890" s="49" t="str">
        <f t="array" ref="D1890">_xlfn.XLOOKUP(
 B1890,
 tblTargets[TargetID],
 tblTargets[TargetType],
 ""
)</f>
        <v>TECH</v>
      </c>
      <c r="E1890" s="49" t="s">
        <v>119</v>
      </c>
      <c r="F1890" s="49">
        <v>1.0</v>
      </c>
      <c r="G1890" s="49">
        <f t="array" ref="G1890">_xlfn.XLOOKUP(
 A1890,
 tblCost[RequirementID],
 tblCost[QuantityRequired],
 ""
)</f>
        <v>1500</v>
      </c>
      <c r="H1890" s="49">
        <f t="array" ref="H1890">IF(
 OR(
  LEFT(B1890,15)="state.character",
  RIGHT(B1890,6)=".maxed"
 ),
 0,
 LET(
  sort,
   _xlfn.XLOOKUP(
    B1890,
    tblChecklist[TargetID],
    tblChecklist[PlayerSort],
    0
   ),
  IF(sort=0,500,sort)
 )
)</f>
        <v>500</v>
      </c>
      <c r="I1890" s="49" t="str">
        <f t="array" ref="I1890">_xlfn.XLOOKUP(
 B1890,
 tblTargetStatus[TargetID],
 tblTargetStatus[Status],
 ""
)</f>
        <v>BLOCKED</v>
      </c>
      <c r="J1890" s="45" t="b">
        <v>0</v>
      </c>
    </row>
    <row r="1891" ht="14.25" hidden="1" customHeight="1">
      <c r="A1891" s="49" t="s">
        <v>3812</v>
      </c>
      <c r="B1891" s="49" t="str">
        <f>IFERROR(__xludf.DUMMYFUNCTION("REGEXREPLACE(
 REGEXREPLACE(A1891,""^cost\."",""""),
 ""\.[^.]+\.[^.]+$"",
 """"
)"),"tech.train.onboard_computer")</f>
        <v>tech.train.onboard_computer</v>
      </c>
      <c r="C1891" s="49" t="str">
        <f t="array" ref="C1891">_xlfn.XLOOKUP(
 B1891,
 tblTargets[TargetID],
 tblTargets[DisplayName],
 ""
)</f>
        <v>Train - Onboard Computer</v>
      </c>
      <c r="D1891" s="49" t="str">
        <f t="array" ref="D1891">_xlfn.XLOOKUP(
 B1891,
 tblTargets[TargetID],
 tblTargets[TargetType],
 ""
)</f>
        <v>TECH</v>
      </c>
      <c r="E1891" s="49" t="s">
        <v>1072</v>
      </c>
      <c r="F1891" s="49">
        <v>1.0</v>
      </c>
      <c r="G1891" s="49">
        <f t="array" ref="G1891">_xlfn.XLOOKUP(
 A1891,
 tblCost[RequirementID],
 tblCost[QuantityRequired],
 ""
)</f>
        <v>40</v>
      </c>
      <c r="H1891" s="49">
        <f t="array" ref="H1891">IF(
 OR(
  LEFT(B1891,15)="state.character",
  RIGHT(B1891,6)=".maxed"
 ),
 0,
 LET(
  sort,
   _xlfn.XLOOKUP(
    B1891,
    tblChecklist[TargetID],
    tblChecklist[PlayerSort],
    0
   ),
  IF(sort=0,500,sort)
 )
)</f>
        <v>500</v>
      </c>
      <c r="I1891" s="49" t="str">
        <f t="array" ref="I1891">_xlfn.XLOOKUP(
 B1891,
 tblTargetStatus[TargetID],
 tblTargetStatus[Status],
 ""
)</f>
        <v>BLOCKED</v>
      </c>
      <c r="J1891" s="45" t="b">
        <v>0</v>
      </c>
    </row>
    <row r="1892" ht="14.25" hidden="1" customHeight="1">
      <c r="A1892" s="49" t="s">
        <v>3814</v>
      </c>
      <c r="B1892" s="49" t="str">
        <f>IFERROR(__xludf.DUMMYFUNCTION("REGEXREPLACE(
 REGEXREPLACE(A1892,""^cost\."",""""),
 ""\.[^.]+\.[^.]+$"",
 """"
)"),"tech.train.onboard_computer")</f>
        <v>tech.train.onboard_computer</v>
      </c>
      <c r="C1892" s="49" t="str">
        <f t="array" ref="C1892">_xlfn.XLOOKUP(
 B1892,
 tblTargets[TargetID],
 tblTargets[DisplayName],
 ""
)</f>
        <v>Train - Onboard Computer</v>
      </c>
      <c r="D1892" s="49" t="str">
        <f t="array" ref="D1892">_xlfn.XLOOKUP(
 B1892,
 tblTargets[TargetID],
 tblTargets[TargetType],
 ""
)</f>
        <v>TECH</v>
      </c>
      <c r="E1892" s="49" t="s">
        <v>1078</v>
      </c>
      <c r="F1892" s="49">
        <v>1.0</v>
      </c>
      <c r="G1892" s="49">
        <f t="array" ref="G1892">_xlfn.XLOOKUP(
 A1892,
 tblCost[RequirementID],
 tblCost[QuantityRequired],
 ""
)</f>
        <v>30</v>
      </c>
      <c r="H1892" s="49">
        <f t="array" ref="H1892">IF(
 OR(
  LEFT(B1892,15)="state.character",
  RIGHT(B1892,6)=".maxed"
 ),
 0,
 LET(
  sort,
   _xlfn.XLOOKUP(
    B1892,
    tblChecklist[TargetID],
    tblChecklist[PlayerSort],
    0
   ),
  IF(sort=0,500,sort)
 )
)</f>
        <v>500</v>
      </c>
      <c r="I1892" s="49" t="str">
        <f t="array" ref="I1892">_xlfn.XLOOKUP(
 B1892,
 tblTargetStatus[TargetID],
 tblTargetStatus[Status],
 ""
)</f>
        <v>BLOCKED</v>
      </c>
      <c r="J1892" s="45" t="b">
        <v>0</v>
      </c>
    </row>
    <row r="1893" ht="14.25" hidden="1" customHeight="1">
      <c r="A1893" s="49" t="s">
        <v>3817</v>
      </c>
      <c r="B1893" s="49" t="str">
        <f>IFERROR(__xludf.DUMMYFUNCTION("REGEXREPLACE(
 REGEXREPLACE(A1893,""^cost\."",""""),
 ""\.[^.]+\.[^.]+$"",
 """"
)"),"tech.train.onboard_computer")</f>
        <v>tech.train.onboard_computer</v>
      </c>
      <c r="C1893" s="49" t="str">
        <f t="array" ref="C1893">_xlfn.XLOOKUP(
 B1893,
 tblTargets[TargetID],
 tblTargets[DisplayName],
 ""
)</f>
        <v>Train - Onboard Computer</v>
      </c>
      <c r="D1893" s="49" t="str">
        <f t="array" ref="D1893">_xlfn.XLOOKUP(
 B1893,
 tblTargets[TargetID],
 tblTargets[TargetType],
 ""
)</f>
        <v>TECH</v>
      </c>
      <c r="E1893" s="49" t="s">
        <v>1456</v>
      </c>
      <c r="F1893" s="49">
        <v>1.0</v>
      </c>
      <c r="G1893" s="49">
        <f t="array" ref="G1893">_xlfn.XLOOKUP(
 A1893,
 tblCost[RequirementID],
 tblCost[QuantityRequired],
 ""
)</f>
        <v>20</v>
      </c>
      <c r="H1893" s="49">
        <f t="array" ref="H1893">IF(
 OR(
  LEFT(B1893,15)="state.character",
  RIGHT(B1893,6)=".maxed"
 ),
 0,
 LET(
  sort,
   _xlfn.XLOOKUP(
    B1893,
    tblChecklist[TargetID],
    tblChecklist[PlayerSort],
    0
   ),
  IF(sort=0,500,sort)
 )
)</f>
        <v>500</v>
      </c>
      <c r="I1893" s="49" t="str">
        <f t="array" ref="I1893">_xlfn.XLOOKUP(
 B1893,
 tblTargetStatus[TargetID],
 tblTargetStatus[Status],
 ""
)</f>
        <v>BLOCKED</v>
      </c>
      <c r="J1893" s="45" t="b">
        <v>0</v>
      </c>
    </row>
    <row r="1894" ht="14.25" hidden="1" customHeight="1">
      <c r="A1894" s="49" t="s">
        <v>3819</v>
      </c>
      <c r="B1894" s="49" t="str">
        <f>IFERROR(__xludf.DUMMYFUNCTION("REGEXREPLACE(
 REGEXREPLACE(A1894,""^cost\."",""""),
 ""\.[^.]+\.[^.]+$"",
 """"
)"),"tech.train.onboard_computer")</f>
        <v>tech.train.onboard_computer</v>
      </c>
      <c r="C1894" s="49" t="str">
        <f t="array" ref="C1894">_xlfn.XLOOKUP(
 B1894,
 tblTargets[TargetID],
 tblTargets[DisplayName],
 ""
)</f>
        <v>Train - Onboard Computer</v>
      </c>
      <c r="D1894" s="49" t="str">
        <f t="array" ref="D1894">_xlfn.XLOOKUP(
 B1894,
 tblTargets[TargetID],
 tblTargets[TargetType],
 ""
)</f>
        <v>TECH</v>
      </c>
      <c r="E1894" s="49" t="s">
        <v>1083</v>
      </c>
      <c r="F1894" s="49">
        <v>1.0</v>
      </c>
      <c r="G1894" s="49">
        <f t="array" ref="G1894">_xlfn.XLOOKUP(
 A1894,
 tblCost[RequirementID],
 tblCost[QuantityRequired],
 ""
)</f>
        <v>40</v>
      </c>
      <c r="H1894" s="49">
        <f t="array" ref="H1894">IF(
 OR(
  LEFT(B1894,15)="state.character",
  RIGHT(B1894,6)=".maxed"
 ),
 0,
 LET(
  sort,
   _xlfn.XLOOKUP(
    B1894,
    tblChecklist[TargetID],
    tblChecklist[PlayerSort],
    0
   ),
  IF(sort=0,500,sort)
 )
)</f>
        <v>500</v>
      </c>
      <c r="I1894" s="49" t="str">
        <f t="array" ref="I1894">_xlfn.XLOOKUP(
 B1894,
 tblTargetStatus[TargetID],
 tblTargetStatus[Status],
 ""
)</f>
        <v>BLOCKED</v>
      </c>
      <c r="J1894" s="45" t="b">
        <v>0</v>
      </c>
    </row>
    <row r="1895" ht="14.25" hidden="1" customHeight="1">
      <c r="A1895" s="49" t="s">
        <v>3821</v>
      </c>
      <c r="B1895" s="49" t="str">
        <f>IFERROR(__xludf.DUMMYFUNCTION("REGEXREPLACE(
 REGEXREPLACE(A1895,""^cost\."",""""),
 ""\.[^.]+\.[^.]+$"",
 """"
)"),"tech.train.onboard_computer")</f>
        <v>tech.train.onboard_computer</v>
      </c>
      <c r="C1895" s="49" t="str">
        <f t="array" ref="C1895">_xlfn.XLOOKUP(
 B1895,
 tblTargets[TargetID],
 tblTargets[DisplayName],
 ""
)</f>
        <v>Train - Onboard Computer</v>
      </c>
      <c r="D1895" s="49" t="str">
        <f t="array" ref="D1895">_xlfn.XLOOKUP(
 B1895,
 tblTargets[TargetID],
 tblTargets[TargetType],
 ""
)</f>
        <v>TECH</v>
      </c>
      <c r="E1895" s="49" t="s">
        <v>6</v>
      </c>
      <c r="F1895" s="49">
        <v>1.0</v>
      </c>
      <c r="G1895" s="49">
        <f t="array" ref="G1895">_xlfn.XLOOKUP(
 A1895,
 tblCost[RequirementID],
 tblCost[QuantityRequired],
 ""
)</f>
        <v>5</v>
      </c>
      <c r="H1895" s="49">
        <f t="array" ref="H1895">IF(
 OR(
  LEFT(B1895,15)="state.character",
  RIGHT(B1895,6)=".maxed"
 ),
 0,
 LET(
  sort,
   _xlfn.XLOOKUP(
    B1895,
    tblChecklist[TargetID],
    tblChecklist[PlayerSort],
    0
   ),
  IF(sort=0,500,sort)
 )
)</f>
        <v>500</v>
      </c>
      <c r="I1895" s="49" t="str">
        <f t="array" ref="I1895">_xlfn.XLOOKUP(
 B1895,
 tblTargetStatus[TargetID],
 tblTargetStatus[Status],
 ""
)</f>
        <v>BLOCKED</v>
      </c>
      <c r="J1895" s="45" t="b">
        <v>0</v>
      </c>
    </row>
    <row r="1896" ht="14.25" hidden="1" customHeight="1">
      <c r="A1896" s="49" t="s">
        <v>3825</v>
      </c>
      <c r="B1896" s="49" t="str">
        <f>IFERROR(__xludf.DUMMYFUNCTION("REGEXREPLACE(
 REGEXREPLACE(A1896,""^cost\."",""""),
 ""\.[^.]+\.[^.]+$"",
 """"
)"),"tech.train.onboard_computer")</f>
        <v>tech.train.onboard_computer</v>
      </c>
      <c r="C1896" s="49" t="str">
        <f t="array" ref="C1896">_xlfn.XLOOKUP(
 B1896,
 tblTargets[TargetID],
 tblTargets[DisplayName],
 ""
)</f>
        <v>Train - Onboard Computer</v>
      </c>
      <c r="D1896" s="49" t="str">
        <f t="array" ref="D1896">_xlfn.XLOOKUP(
 B1896,
 tblTargets[TargetID],
 tblTargets[TargetType],
 ""
)</f>
        <v>TECH</v>
      </c>
      <c r="E1896" s="49" t="s">
        <v>392</v>
      </c>
      <c r="F1896" s="49">
        <v>1.0</v>
      </c>
      <c r="G1896" s="49">
        <f t="array" ref="G1896">_xlfn.XLOOKUP(
 A1896,
 tblCost[RequirementID],
 tblCost[QuantityRequired],
 ""
)</f>
        <v>200</v>
      </c>
      <c r="H1896" s="49">
        <f t="array" ref="H1896">IF(
 OR(
  LEFT(B1896,15)="state.character",
  RIGHT(B1896,6)=".maxed"
 ),
 0,
 LET(
  sort,
   _xlfn.XLOOKUP(
    B1896,
    tblChecklist[TargetID],
    tblChecklist[PlayerSort],
    0
   ),
  IF(sort=0,500,sort)
 )
)</f>
        <v>500</v>
      </c>
      <c r="I1896" s="49" t="str">
        <f t="array" ref="I1896">_xlfn.XLOOKUP(
 B1896,
 tblTargetStatus[TargetID],
 tblTargetStatus[Status],
 ""
)</f>
        <v>BLOCKED</v>
      </c>
      <c r="J1896" s="45" t="b">
        <v>0</v>
      </c>
    </row>
    <row r="1897" ht="14.25" hidden="1" customHeight="1">
      <c r="A1897" s="49" t="s">
        <v>3743</v>
      </c>
      <c r="B1897" s="49" t="str">
        <f>IFERROR(__xludf.DUMMYFUNCTION("REGEXREPLACE(
 REGEXREPLACE(A1897,""^cost\."",""""),
 ""\.[^.]+\.[^.]+$"",
 """"
)"),"tech.train.superheater")</f>
        <v>tech.train.superheater</v>
      </c>
      <c r="C1897" s="49" t="str">
        <f t="array" ref="C1897">_xlfn.XLOOKUP(
 B1897,
 tblTargets[TargetID],
 tblTargets[DisplayName],
 ""
)</f>
        <v>Train - Superheater</v>
      </c>
      <c r="D1897" s="49" t="str">
        <f t="array" ref="D1897">_xlfn.XLOOKUP(
 B1897,
 tblTargets[TargetID],
 tblTargets[TargetType],
 ""
)</f>
        <v>TECH</v>
      </c>
      <c r="E1897" s="49" t="s">
        <v>1055</v>
      </c>
      <c r="F1897" s="49">
        <v>1.0</v>
      </c>
      <c r="G1897" s="49">
        <f t="array" ref="G1897">_xlfn.XLOOKUP(
 A1897,
 tblCost[RequirementID],
 tblCost[QuantityRequired],
 ""
)</f>
        <v>30</v>
      </c>
      <c r="H1897" s="49">
        <f t="array" ref="H1897">IF(
 OR(
  LEFT(B1897,15)="state.character",
  RIGHT(B1897,6)=".maxed"
 ),
 0,
 LET(
  sort,
   _xlfn.XLOOKUP(
    B1897,
    tblChecklist[TargetID],
    tblChecklist[PlayerSort],
    0
   ),
  IF(sort=0,500,sort)
 )
)</f>
        <v>500</v>
      </c>
      <c r="I1897" s="49" t="str">
        <f t="array" ref="I1897">_xlfn.XLOOKUP(
 B1897,
 tblTargetStatus[TargetID],
 tblTargetStatus[Status],
 ""
)</f>
        <v>BLOCKED</v>
      </c>
      <c r="J1897" s="45" t="b">
        <v>0</v>
      </c>
    </row>
    <row r="1898" ht="14.25" hidden="1" customHeight="1">
      <c r="A1898" s="49" t="s">
        <v>3745</v>
      </c>
      <c r="B1898" s="49" t="str">
        <f>IFERROR(__xludf.DUMMYFUNCTION("REGEXREPLACE(
 REGEXREPLACE(A1898,""^cost\."",""""),
 ""\.[^.]+\.[^.]+$"",
 """"
)"),"tech.train.superheater")</f>
        <v>tech.train.superheater</v>
      </c>
      <c r="C1898" s="49" t="str">
        <f t="array" ref="C1898">_xlfn.XLOOKUP(
 B1898,
 tblTargets[TargetID],
 tblTargets[DisplayName],
 ""
)</f>
        <v>Train - Superheater</v>
      </c>
      <c r="D1898" s="49" t="str">
        <f t="array" ref="D1898">_xlfn.XLOOKUP(
 B1898,
 tblTargets[TargetID],
 tblTargets[TargetType],
 ""
)</f>
        <v>TECH</v>
      </c>
      <c r="E1898" s="49" t="s">
        <v>2297</v>
      </c>
      <c r="F1898" s="49">
        <v>1.0</v>
      </c>
      <c r="G1898" s="49">
        <f t="array" ref="G1898">_xlfn.XLOOKUP(
 A1898,
 tblCost[RequirementID],
 tblCost[QuantityRequired],
 ""
)</f>
        <v>30</v>
      </c>
      <c r="H1898" s="49">
        <f t="array" ref="H1898">IF(
 OR(
  LEFT(B1898,15)="state.character",
  RIGHT(B1898,6)=".maxed"
 ),
 0,
 LET(
  sort,
   _xlfn.XLOOKUP(
    B1898,
    tblChecklist[TargetID],
    tblChecklist[PlayerSort],
    0
   ),
  IF(sort=0,500,sort)
 )
)</f>
        <v>500</v>
      </c>
      <c r="I1898" s="49" t="str">
        <f t="array" ref="I1898">_xlfn.XLOOKUP(
 B1898,
 tblTargetStatus[TargetID],
 tblTargetStatus[Status],
 ""
)</f>
        <v>BLOCKED</v>
      </c>
      <c r="J1898" s="45" t="b">
        <v>0</v>
      </c>
    </row>
    <row r="1899" ht="14.25" hidden="1" customHeight="1">
      <c r="A1899" s="49" t="s">
        <v>3749</v>
      </c>
      <c r="B1899" s="49" t="str">
        <f>IFERROR(__xludf.DUMMYFUNCTION("REGEXREPLACE(
 REGEXREPLACE(A1899,""^cost\."",""""),
 ""\.[^.]+\.[^.]+$"",
 """"
)"),"tech.train.superheater")</f>
        <v>tech.train.superheater</v>
      </c>
      <c r="C1899" s="49" t="str">
        <f t="array" ref="C1899">_xlfn.XLOOKUP(
 B1899,
 tblTargets[TargetID],
 tblTargets[DisplayName],
 ""
)</f>
        <v>Train - Superheater</v>
      </c>
      <c r="D1899" s="49" t="str">
        <f t="array" ref="D1899">_xlfn.XLOOKUP(
 B1899,
 tblTargets[TargetID],
 tblTargets[TargetType],
 ""
)</f>
        <v>TECH</v>
      </c>
      <c r="E1899" s="49" t="s">
        <v>119</v>
      </c>
      <c r="F1899" s="49">
        <v>1.0</v>
      </c>
      <c r="G1899" s="49">
        <f t="array" ref="G1899">_xlfn.XLOOKUP(
 A1899,
 tblCost[RequirementID],
 tblCost[QuantityRequired],
 ""
)</f>
        <v>1500</v>
      </c>
      <c r="H1899" s="49">
        <f t="array" ref="H1899">IF(
 OR(
  LEFT(B1899,15)="state.character",
  RIGHT(B1899,6)=".maxed"
 ),
 0,
 LET(
  sort,
   _xlfn.XLOOKUP(
    B1899,
    tblChecklist[TargetID],
    tblChecklist[PlayerSort],
    0
   ),
  IF(sort=0,500,sort)
 )
)</f>
        <v>500</v>
      </c>
      <c r="I1899" s="49" t="str">
        <f t="array" ref="I1899">_xlfn.XLOOKUP(
 B1899,
 tblTargetStatus[TargetID],
 tblTargetStatus[Status],
 ""
)</f>
        <v>BLOCKED</v>
      </c>
      <c r="J1899" s="45" t="b">
        <v>0</v>
      </c>
    </row>
    <row r="1900" ht="14.25" hidden="1" customHeight="1">
      <c r="A1900" s="49" t="s">
        <v>3753</v>
      </c>
      <c r="B1900" s="49" t="str">
        <f>IFERROR(__xludf.DUMMYFUNCTION("REGEXREPLACE(
 REGEXREPLACE(A1900,""^cost\."",""""),
 ""\.[^.]+\.[^.]+$"",
 """"
)"),"tech.train.superheater")</f>
        <v>tech.train.superheater</v>
      </c>
      <c r="C1900" s="49" t="str">
        <f t="array" ref="C1900">_xlfn.XLOOKUP(
 B1900,
 tblTargets[TargetID],
 tblTargets[DisplayName],
 ""
)</f>
        <v>Train - Superheater</v>
      </c>
      <c r="D1900" s="49" t="str">
        <f t="array" ref="D1900">_xlfn.XLOOKUP(
 B1900,
 tblTargets[TargetID],
 tblTargets[TargetType],
 ""
)</f>
        <v>TECH</v>
      </c>
      <c r="E1900" s="49" t="s">
        <v>1078</v>
      </c>
      <c r="F1900" s="49">
        <v>1.0</v>
      </c>
      <c r="G1900" s="49">
        <f t="array" ref="G1900">_xlfn.XLOOKUP(
 A1900,
 tblCost[RequirementID],
 tblCost[QuantityRequired],
 ""
)</f>
        <v>30</v>
      </c>
      <c r="H1900" s="49">
        <f t="array" ref="H1900">IF(
 OR(
  LEFT(B1900,15)="state.character",
  RIGHT(B1900,6)=".maxed"
 ),
 0,
 LET(
  sort,
   _xlfn.XLOOKUP(
    B1900,
    tblChecklist[TargetID],
    tblChecklist[PlayerSort],
    0
   ),
  IF(sort=0,500,sort)
 )
)</f>
        <v>500</v>
      </c>
      <c r="I1900" s="49" t="str">
        <f t="array" ref="I1900">_xlfn.XLOOKUP(
 B1900,
 tblTargetStatus[TargetID],
 tblTargetStatus[Status],
 ""
)</f>
        <v>BLOCKED</v>
      </c>
      <c r="J1900" s="45" t="b">
        <v>0</v>
      </c>
    </row>
    <row r="1901" ht="14.25" hidden="1" customHeight="1">
      <c r="A1901" s="49" t="s">
        <v>3756</v>
      </c>
      <c r="B1901" s="49" t="str">
        <f>IFERROR(__xludf.DUMMYFUNCTION("REGEXREPLACE(
 REGEXREPLACE(A1901,""^cost\."",""""),
 ""\.[^.]+\.[^.]+$"",
 """"
)"),"tech.train.superheater")</f>
        <v>tech.train.superheater</v>
      </c>
      <c r="C1901" s="49" t="str">
        <f t="array" ref="C1901">_xlfn.XLOOKUP(
 B1901,
 tblTargets[TargetID],
 tblTargets[DisplayName],
 ""
)</f>
        <v>Train - Superheater</v>
      </c>
      <c r="D1901" s="49" t="str">
        <f t="array" ref="D1901">_xlfn.XLOOKUP(
 B1901,
 tblTargets[TargetID],
 tblTargets[TargetType],
 ""
)</f>
        <v>TECH</v>
      </c>
      <c r="E1901" s="49" t="s">
        <v>6</v>
      </c>
      <c r="F1901" s="49">
        <v>1.0</v>
      </c>
      <c r="G1901" s="49">
        <f t="array" ref="G1901">_xlfn.XLOOKUP(
 A1901,
 tblCost[RequirementID],
 tblCost[QuantityRequired],
 ""
)</f>
        <v>4</v>
      </c>
      <c r="H1901" s="49">
        <f t="array" ref="H1901">IF(
 OR(
  LEFT(B1901,15)="state.character",
  RIGHT(B1901,6)=".maxed"
 ),
 0,
 LET(
  sort,
   _xlfn.XLOOKUP(
    B1901,
    tblChecklist[TargetID],
    tblChecklist[PlayerSort],
    0
   ),
  IF(sort=0,500,sort)
 )
)</f>
        <v>500</v>
      </c>
      <c r="I1901" s="49" t="str">
        <f t="array" ref="I1901">_xlfn.XLOOKUP(
 B1901,
 tblTargetStatus[TargetID],
 tblTargetStatus[Status],
 ""
)</f>
        <v>BLOCKED</v>
      </c>
      <c r="J1901" s="45" t="b">
        <v>0</v>
      </c>
    </row>
    <row r="1902" ht="14.25" hidden="1" customHeight="1">
      <c r="A1902" s="49" t="s">
        <v>3760</v>
      </c>
      <c r="B1902" s="49" t="str">
        <f>IFERROR(__xludf.DUMMYFUNCTION("REGEXREPLACE(
 REGEXREPLACE(A1902,""^cost\."",""""),
 ""\.[^.]+\.[^.]+$"",
 """"
)"),"tech.train.superheater")</f>
        <v>tech.train.superheater</v>
      </c>
      <c r="C1902" s="49" t="str">
        <f t="array" ref="C1902">_xlfn.XLOOKUP(
 B1902,
 tblTargets[TargetID],
 tblTargets[DisplayName],
 ""
)</f>
        <v>Train - Superheater</v>
      </c>
      <c r="D1902" s="49" t="str">
        <f t="array" ref="D1902">_xlfn.XLOOKUP(
 B1902,
 tblTargets[TargetID],
 tblTargets[TargetType],
 ""
)</f>
        <v>TECH</v>
      </c>
      <c r="E1902" s="49" t="s">
        <v>392</v>
      </c>
      <c r="F1902" s="49">
        <v>1.0</v>
      </c>
      <c r="G1902" s="49">
        <f t="array" ref="G1902">_xlfn.XLOOKUP(
 A1902,
 tblCost[RequirementID],
 tblCost[QuantityRequired],
 ""
)</f>
        <v>500</v>
      </c>
      <c r="H1902" s="49">
        <f t="array" ref="H1902">IF(
 OR(
  LEFT(B1902,15)="state.character",
  RIGHT(B1902,6)=".maxed"
 ),
 0,
 LET(
  sort,
   _xlfn.XLOOKUP(
    B1902,
    tblChecklist[TargetID],
    tblChecklist[PlayerSort],
    0
   ),
  IF(sort=0,500,sort)
 )
)</f>
        <v>500</v>
      </c>
      <c r="I1902" s="49" t="str">
        <f t="array" ref="I1902">_xlfn.XLOOKUP(
 B1902,
 tblTargetStatus[TargetID],
 tblTargetStatus[Status],
 ""
)</f>
        <v>BLOCKED</v>
      </c>
      <c r="J1902" s="45" t="b">
        <v>0</v>
      </c>
    </row>
    <row r="1903" ht="14.25" hidden="1" customHeight="1">
      <c r="A1903" s="49" t="s">
        <v>3780</v>
      </c>
      <c r="B1903" s="49" t="str">
        <f>IFERROR(__xludf.DUMMYFUNCTION("REGEXREPLACE(
 REGEXREPLACE(A1903,""^cost\."",""""),
 ""\.[^.]+\.[^.]+$"",
 """"
)"),"tech.train.titanium_components")</f>
        <v>tech.train.titanium_components</v>
      </c>
      <c r="C1903" s="49" t="str">
        <f t="array" ref="C1903">_xlfn.XLOOKUP(
 B1903,
 tblTargets[TargetID],
 tblTargets[DisplayName],
 ""
)</f>
        <v>Train - Titanium Components</v>
      </c>
      <c r="D1903" s="49" t="str">
        <f t="array" ref="D1903">_xlfn.XLOOKUP(
 B1903,
 tblTargets[TargetID],
 tblTargets[TargetType],
 ""
)</f>
        <v>TECH</v>
      </c>
      <c r="E1903" s="49" t="s">
        <v>1230</v>
      </c>
      <c r="F1903" s="49">
        <v>1.0</v>
      </c>
      <c r="G1903" s="49">
        <f t="array" ref="G1903">_xlfn.XLOOKUP(
 A1903,
 tblCost[RequirementID],
 tblCost[QuantityRequired],
 ""
)</f>
        <v>10</v>
      </c>
      <c r="H1903" s="49">
        <f t="array" ref="H1903">IF(
 OR(
  LEFT(B1903,15)="state.character",
  RIGHT(B1903,6)=".maxed"
 ),
 0,
 LET(
  sort,
   _xlfn.XLOOKUP(
    B1903,
    tblChecklist[TargetID],
    tblChecklist[PlayerSort],
    0
   ),
  IF(sort=0,500,sort)
 )
)</f>
        <v>500</v>
      </c>
      <c r="I1903" s="49" t="str">
        <f t="array" ref="I1903">_xlfn.XLOOKUP(
 B1903,
 tblTargetStatus[TargetID],
 tblTargetStatus[Status],
 ""
)</f>
        <v>BLOCKED</v>
      </c>
      <c r="J1903" s="45" t="b">
        <v>0</v>
      </c>
    </row>
    <row r="1904" ht="14.25" hidden="1" customHeight="1">
      <c r="A1904" s="49" t="s">
        <v>3784</v>
      </c>
      <c r="B1904" s="49" t="str">
        <f>IFERROR(__xludf.DUMMYFUNCTION("REGEXREPLACE(
 REGEXREPLACE(A1904,""^cost\."",""""),
 ""\.[^.]+\.[^.]+$"",
 """"
)"),"tech.train.titanium_components")</f>
        <v>tech.train.titanium_components</v>
      </c>
      <c r="C1904" s="49" t="str">
        <f t="array" ref="C1904">_xlfn.XLOOKUP(
 B1904,
 tblTargets[TargetID],
 tblTargets[DisplayName],
 ""
)</f>
        <v>Train - Titanium Components</v>
      </c>
      <c r="D1904" s="49" t="str">
        <f t="array" ref="D1904">_xlfn.XLOOKUP(
 B1904,
 tblTargets[TargetID],
 tblTargets[TargetType],
 ""
)</f>
        <v>TECH</v>
      </c>
      <c r="E1904" s="49" t="s">
        <v>1055</v>
      </c>
      <c r="F1904" s="49">
        <v>1.0</v>
      </c>
      <c r="G1904" s="49">
        <f t="array" ref="G1904">_xlfn.XLOOKUP(
 A1904,
 tblCost[RequirementID],
 tblCost[QuantityRequired],
 ""
)</f>
        <v>30</v>
      </c>
      <c r="H1904" s="49">
        <f t="array" ref="H1904">IF(
 OR(
  LEFT(B1904,15)="state.character",
  RIGHT(B1904,6)=".maxed"
 ),
 0,
 LET(
  sort,
   _xlfn.XLOOKUP(
    B1904,
    tblChecklist[TargetID],
    tblChecklist[PlayerSort],
    0
   ),
  IF(sort=0,500,sort)
 )
)</f>
        <v>500</v>
      </c>
      <c r="I1904" s="49" t="str">
        <f t="array" ref="I1904">_xlfn.XLOOKUP(
 B1904,
 tblTargetStatus[TargetID],
 tblTargetStatus[Status],
 ""
)</f>
        <v>BLOCKED</v>
      </c>
      <c r="J1904" s="45" t="b">
        <v>0</v>
      </c>
    </row>
    <row r="1905" ht="14.25" hidden="1" customHeight="1">
      <c r="A1905" s="49" t="s">
        <v>3788</v>
      </c>
      <c r="B1905" s="49" t="str">
        <f>IFERROR(__xludf.DUMMYFUNCTION("REGEXREPLACE(
 REGEXREPLACE(A1905,""^cost\."",""""),
 ""\.[^.]+\.[^.]+$"",
 """"
)"),"tech.train.titanium_components")</f>
        <v>tech.train.titanium_components</v>
      </c>
      <c r="C1905" s="49" t="str">
        <f t="array" ref="C1905">_xlfn.XLOOKUP(
 B1905,
 tblTargets[TargetID],
 tblTargets[DisplayName],
 ""
)</f>
        <v>Train - Titanium Components</v>
      </c>
      <c r="D1905" s="49" t="str">
        <f t="array" ref="D1905">_xlfn.XLOOKUP(
 B1905,
 tblTargets[TargetID],
 tblTargets[TargetType],
 ""
)</f>
        <v>TECH</v>
      </c>
      <c r="E1905" s="49" t="s">
        <v>119</v>
      </c>
      <c r="F1905" s="49">
        <v>1.0</v>
      </c>
      <c r="G1905" s="49">
        <f t="array" ref="G1905">_xlfn.XLOOKUP(
 A1905,
 tblCost[RequirementID],
 tblCost[QuantityRequired],
 ""
)</f>
        <v>1500</v>
      </c>
      <c r="H1905" s="49">
        <f t="array" ref="H1905">IF(
 OR(
  LEFT(B1905,15)="state.character",
  RIGHT(B1905,6)=".maxed"
 ),
 0,
 LET(
  sort,
   _xlfn.XLOOKUP(
    B1905,
    tblChecklist[TargetID],
    tblChecklist[PlayerSort],
    0
   ),
  IF(sort=0,500,sort)
 )
)</f>
        <v>500</v>
      </c>
      <c r="I1905" s="49" t="str">
        <f t="array" ref="I1905">_xlfn.XLOOKUP(
 B1905,
 tblTargetStatus[TargetID],
 tblTargetStatus[Status],
 ""
)</f>
        <v>BLOCKED</v>
      </c>
      <c r="J1905" s="45" t="b">
        <v>0</v>
      </c>
    </row>
    <row r="1906" ht="14.25" hidden="1" customHeight="1">
      <c r="A1906" s="49" t="s">
        <v>3791</v>
      </c>
      <c r="B1906" s="49" t="str">
        <f>IFERROR(__xludf.DUMMYFUNCTION("REGEXREPLACE(
 REGEXREPLACE(A1906,""^cost\."",""""),
 ""\.[^.]+\.[^.]+$"",
 """"
)"),"tech.train.titanium_components")</f>
        <v>tech.train.titanium_components</v>
      </c>
      <c r="C1906" s="49" t="str">
        <f t="array" ref="C1906">_xlfn.XLOOKUP(
 B1906,
 tblTargets[TargetID],
 tblTargets[DisplayName],
 ""
)</f>
        <v>Train - Titanium Components</v>
      </c>
      <c r="D1906" s="49" t="str">
        <f t="array" ref="D1906">_xlfn.XLOOKUP(
 B1906,
 tblTargets[TargetID],
 tblTargets[TargetType],
 ""
)</f>
        <v>TECH</v>
      </c>
      <c r="E1906" s="49" t="s">
        <v>140</v>
      </c>
      <c r="F1906" s="49">
        <v>1.0</v>
      </c>
      <c r="G1906" s="49">
        <f t="array" ref="G1906">_xlfn.XLOOKUP(
 A1906,
 tblCost[RequirementID],
 tblCost[QuantityRequired],
 ""
)</f>
        <v>20</v>
      </c>
      <c r="H1906" s="49">
        <f t="array" ref="H1906">IF(
 OR(
  LEFT(B1906,15)="state.character",
  RIGHT(B1906,6)=".maxed"
 ),
 0,
 LET(
  sort,
   _xlfn.XLOOKUP(
    B1906,
    tblChecklist[TargetID],
    tblChecklist[PlayerSort],
    0
   ),
  IF(sort=0,500,sort)
 )
)</f>
        <v>500</v>
      </c>
      <c r="I1906" s="49" t="str">
        <f t="array" ref="I1906">_xlfn.XLOOKUP(
 B1906,
 tblTargetStatus[TargetID],
 tblTargetStatus[Status],
 ""
)</f>
        <v>BLOCKED</v>
      </c>
      <c r="J1906" s="45" t="b">
        <v>0</v>
      </c>
    </row>
    <row r="1907" ht="14.25" hidden="1" customHeight="1">
      <c r="A1907" s="49" t="s">
        <v>3795</v>
      </c>
      <c r="B1907" s="49" t="str">
        <f>IFERROR(__xludf.DUMMYFUNCTION("REGEXREPLACE(
 REGEXREPLACE(A1907,""^cost\."",""""),
 ""\.[^.]+\.[^.]+$"",
 """"
)"),"tech.train.titanium_components")</f>
        <v>tech.train.titanium_components</v>
      </c>
      <c r="C1907" s="49" t="str">
        <f t="array" ref="C1907">_xlfn.XLOOKUP(
 B1907,
 tblTargets[TargetID],
 tblTargets[DisplayName],
 ""
)</f>
        <v>Train - Titanium Components</v>
      </c>
      <c r="D1907" s="49" t="str">
        <f t="array" ref="D1907">_xlfn.XLOOKUP(
 B1907,
 tblTargets[TargetID],
 tblTargets[TargetType],
 ""
)</f>
        <v>TECH</v>
      </c>
      <c r="E1907" s="49" t="s">
        <v>6</v>
      </c>
      <c r="F1907" s="49">
        <v>1.0</v>
      </c>
      <c r="G1907" s="49">
        <f t="array" ref="G1907">_xlfn.XLOOKUP(
 A1907,
 tblCost[RequirementID],
 tblCost[QuantityRequired],
 ""
)</f>
        <v>5</v>
      </c>
      <c r="H1907" s="49">
        <f t="array" ref="H1907">IF(
 OR(
  LEFT(B1907,15)="state.character",
  RIGHT(B1907,6)=".maxed"
 ),
 0,
 LET(
  sort,
   _xlfn.XLOOKUP(
    B1907,
    tblChecklist[TargetID],
    tblChecklist[PlayerSort],
    0
   ),
  IF(sort=0,500,sort)
 )
)</f>
        <v>500</v>
      </c>
      <c r="I1907" s="49" t="str">
        <f t="array" ref="I1907">_xlfn.XLOOKUP(
 B1907,
 tblTargetStatus[TargetID],
 tblTargetStatus[Status],
 ""
)</f>
        <v>BLOCKED</v>
      </c>
      <c r="J1907" s="45" t="b">
        <v>0</v>
      </c>
    </row>
    <row r="1908" ht="14.25" hidden="1" customHeight="1">
      <c r="A1908" s="49" t="s">
        <v>3799</v>
      </c>
      <c r="B1908" s="49" t="str">
        <f>IFERROR(__xludf.DUMMYFUNCTION("REGEXREPLACE(
 REGEXREPLACE(A1908,""^cost\."",""""),
 ""\.[^.]+\.[^.]+$"",
 """"
)"),"tech.train.titanium_components")</f>
        <v>tech.train.titanium_components</v>
      </c>
      <c r="C1908" s="49" t="str">
        <f t="array" ref="C1908">_xlfn.XLOOKUP(
 B1908,
 tblTargets[TargetID],
 tblTargets[DisplayName],
 ""
)</f>
        <v>Train - Titanium Components</v>
      </c>
      <c r="D1908" s="49" t="str">
        <f t="array" ref="D1908">_xlfn.XLOOKUP(
 B1908,
 tblTargets[TargetID],
 tblTargets[TargetType],
 ""
)</f>
        <v>TECH</v>
      </c>
      <c r="E1908" s="49" t="s">
        <v>2786</v>
      </c>
      <c r="F1908" s="49">
        <v>1.0</v>
      </c>
      <c r="G1908" s="49">
        <f t="array" ref="G1908">_xlfn.XLOOKUP(
 A1908,
 tblCost[RequirementID],
 tblCost[QuantityRequired],
 ""
)</f>
        <v>30</v>
      </c>
      <c r="H1908" s="49">
        <f t="array" ref="H1908">IF(
 OR(
  LEFT(B1908,15)="state.character",
  RIGHT(B1908,6)=".maxed"
 ),
 0,
 LET(
  sort,
   _xlfn.XLOOKUP(
    B1908,
    tblChecklist[TargetID],
    tblChecklist[PlayerSort],
    0
   ),
  IF(sort=0,500,sort)
 )
)</f>
        <v>500</v>
      </c>
      <c r="I1908" s="49" t="str">
        <f t="array" ref="I1908">_xlfn.XLOOKUP(
 B1908,
 tblTargetStatus[TargetID],
 tblTargetStatus[Status],
 ""
)</f>
        <v>BLOCKED</v>
      </c>
      <c r="J1908" s="45" t="b">
        <v>0</v>
      </c>
    </row>
    <row r="1909" ht="14.25" hidden="1" customHeight="1">
      <c r="A1909" s="49" t="s">
        <v>3830</v>
      </c>
      <c r="B1909" s="49" t="str">
        <f>IFERROR(__xludf.DUMMYFUNCTION("REGEXREPLACE(
 REGEXREPLACE(A1909,""^cost\."",""""),
 ""\.[^.]+\.[^.]+$"",
 """"
)"),"tech.warehouse.stackable_racks_lvl_1")</f>
        <v>tech.warehouse.stackable_racks_lvl_1</v>
      </c>
      <c r="C1909" s="49" t="str">
        <f t="array" ref="C1909">_xlfn.XLOOKUP(
 B1909,
 tblTargets[TargetID],
 tblTargets[DisplayName],
 ""
)</f>
        <v>Warehouse - Stackable Racks Lvl 1</v>
      </c>
      <c r="D1909" s="49" t="str">
        <f t="array" ref="D1909">_xlfn.XLOOKUP(
 B1909,
 tblTargets[TargetID],
 tblTargets[TargetType],
 ""
)</f>
        <v>TECH</v>
      </c>
      <c r="E1909" s="49" t="s">
        <v>1055</v>
      </c>
      <c r="F1909" s="49">
        <v>1.0</v>
      </c>
      <c r="G1909" s="49">
        <f t="array" ref="G1909">_xlfn.XLOOKUP(
 A1909,
 tblCost[RequirementID],
 tblCost[QuantityRequired],
 ""
)</f>
        <v>30</v>
      </c>
      <c r="H1909" s="49">
        <f t="array" ref="H1909">IF(
 OR(
  LEFT(B1909,15)="state.character",
  RIGHT(B1909,6)=".maxed"
 ),
 0,
 LET(
  sort,
   _xlfn.XLOOKUP(
    B1909,
    tblChecklist[TargetID],
    tblChecklist[PlayerSort],
    0
   ),
  IF(sort=0,500,sort)
 )
)</f>
        <v>500</v>
      </c>
      <c r="I1909" s="49" t="str">
        <f t="array" ref="I1909">_xlfn.XLOOKUP(
 B1909,
 tblTargetStatus[TargetID],
 tblTargetStatus[Status],
 ""
)</f>
        <v>BLOCKED</v>
      </c>
      <c r="J1909" s="45" t="b">
        <v>0</v>
      </c>
    </row>
    <row r="1910" ht="14.25" hidden="1" customHeight="1">
      <c r="A1910" s="49" t="s">
        <v>3834</v>
      </c>
      <c r="B1910" s="49" t="str">
        <f>IFERROR(__xludf.DUMMYFUNCTION("REGEXREPLACE(
 REGEXREPLACE(A1910,""^cost\."",""""),
 ""\.[^.]+\.[^.]+$"",
 """"
)"),"tech.warehouse.stackable_racks_lvl_1")</f>
        <v>tech.warehouse.stackable_racks_lvl_1</v>
      </c>
      <c r="C1910" s="49" t="str">
        <f t="array" ref="C1910">_xlfn.XLOOKUP(
 B1910,
 tblTargets[TargetID],
 tblTargets[DisplayName],
 ""
)</f>
        <v>Warehouse - Stackable Racks Lvl 1</v>
      </c>
      <c r="D1910" s="49" t="str">
        <f t="array" ref="D1910">_xlfn.XLOOKUP(
 B1910,
 tblTargets[TargetID],
 tblTargets[TargetType],
 ""
)</f>
        <v>TECH</v>
      </c>
      <c r="E1910" s="49" t="s">
        <v>119</v>
      </c>
      <c r="F1910" s="49">
        <v>1.0</v>
      </c>
      <c r="G1910" s="49">
        <f t="array" ref="G1910">_xlfn.XLOOKUP(
 A1910,
 tblCost[RequirementID],
 tblCost[QuantityRequired],
 ""
)</f>
        <v>300</v>
      </c>
      <c r="H1910" s="49">
        <f t="array" ref="H1910">IF(
 OR(
  LEFT(B1910,15)="state.character",
  RIGHT(B1910,6)=".maxed"
 ),
 0,
 LET(
  sort,
   _xlfn.XLOOKUP(
    B1910,
    tblChecklist[TargetID],
    tblChecklist[PlayerSort],
    0
   ),
  IF(sort=0,500,sort)
 )
)</f>
        <v>500</v>
      </c>
      <c r="I1910" s="49" t="str">
        <f t="array" ref="I1910">_xlfn.XLOOKUP(
 B1910,
 tblTargetStatus[TargetID],
 tblTargetStatus[Status],
 ""
)</f>
        <v>BLOCKED</v>
      </c>
      <c r="J1910" s="45" t="b">
        <v>0</v>
      </c>
    </row>
    <row r="1911" ht="14.25" hidden="1" customHeight="1">
      <c r="A1911" s="49" t="s">
        <v>3839</v>
      </c>
      <c r="B1911" s="49" t="str">
        <f>IFERROR(__xludf.DUMMYFUNCTION("REGEXREPLACE(
 REGEXREPLACE(A1911,""^cost\."",""""),
 ""\.[^.]+\.[^.]+$"",
 """"
)"),"tech.warehouse.stackable_racks_lvl_1")</f>
        <v>tech.warehouse.stackable_racks_lvl_1</v>
      </c>
      <c r="C1911" s="49" t="str">
        <f t="array" ref="C1911">_xlfn.XLOOKUP(
 B1911,
 tblTargets[TargetID],
 tblTargets[DisplayName],
 ""
)</f>
        <v>Warehouse - Stackable Racks Lvl 1</v>
      </c>
      <c r="D1911" s="49" t="str">
        <f t="array" ref="D1911">_xlfn.XLOOKUP(
 B1911,
 tblTargets[TargetID],
 tblTargets[TargetType],
 ""
)</f>
        <v>TECH</v>
      </c>
      <c r="E1911" s="49" t="s">
        <v>187</v>
      </c>
      <c r="F1911" s="49">
        <v>1.0</v>
      </c>
      <c r="G1911" s="49">
        <f t="array" ref="G1911">_xlfn.XLOOKUP(
 A1911,
 tblCost[RequirementID],
 tblCost[QuantityRequired],
 ""
)</f>
        <v>200</v>
      </c>
      <c r="H1911" s="49">
        <f t="array" ref="H1911">IF(
 OR(
  LEFT(B1911,15)="state.character",
  RIGHT(B1911,6)=".maxed"
 ),
 0,
 LET(
  sort,
   _xlfn.XLOOKUP(
    B1911,
    tblChecklist[TargetID],
    tblChecklist[PlayerSort],
    0
   ),
  IF(sort=0,500,sort)
 )
)</f>
        <v>500</v>
      </c>
      <c r="I1911" s="49" t="str">
        <f t="array" ref="I1911">_xlfn.XLOOKUP(
 B1911,
 tblTargetStatus[TargetID],
 tblTargetStatus[Status],
 ""
)</f>
        <v>BLOCKED</v>
      </c>
      <c r="J1911" s="45" t="b">
        <v>0</v>
      </c>
    </row>
    <row r="1912" ht="14.25" hidden="1" customHeight="1">
      <c r="A1912" s="49" t="s">
        <v>3843</v>
      </c>
      <c r="B1912" s="49" t="str">
        <f>IFERROR(__xludf.DUMMYFUNCTION("REGEXREPLACE(
 REGEXREPLACE(A1912,""^cost\."",""""),
 ""\.[^.]+\.[^.]+$"",
 """"
)"),"tech.warehouse.stackable_racks_lvl_1")</f>
        <v>tech.warehouse.stackable_racks_lvl_1</v>
      </c>
      <c r="C1912" s="49" t="str">
        <f t="array" ref="C1912">_xlfn.XLOOKUP(
 B1912,
 tblTargets[TargetID],
 tblTargets[DisplayName],
 ""
)</f>
        <v>Warehouse - Stackable Racks Lvl 1</v>
      </c>
      <c r="D1912" s="49" t="str">
        <f t="array" ref="D1912">_xlfn.XLOOKUP(
 B1912,
 tblTargets[TargetID],
 tblTargets[TargetType],
 ""
)</f>
        <v>TECH</v>
      </c>
      <c r="E1912" s="49" t="s">
        <v>6</v>
      </c>
      <c r="F1912" s="49">
        <v>1.0</v>
      </c>
      <c r="G1912" s="49">
        <f t="array" ref="G1912">_xlfn.XLOOKUP(
 A1912,
 tblCost[RequirementID],
 tblCost[QuantityRequired],
 ""
)</f>
        <v>1</v>
      </c>
      <c r="H1912" s="49">
        <f t="array" ref="H1912">IF(
 OR(
  LEFT(B1912,15)="state.character",
  RIGHT(B1912,6)=".maxed"
 ),
 0,
 LET(
  sort,
   _xlfn.XLOOKUP(
    B1912,
    tblChecklist[TargetID],
    tblChecklist[PlayerSort],
    0
   ),
  IF(sort=0,500,sort)
 )
)</f>
        <v>500</v>
      </c>
      <c r="I1912" s="49" t="str">
        <f t="array" ref="I1912">_xlfn.XLOOKUP(
 B1912,
 tblTargetStatus[TargetID],
 tblTargetStatus[Status],
 ""
)</f>
        <v>BLOCKED</v>
      </c>
      <c r="J1912" s="45" t="b">
        <v>0</v>
      </c>
    </row>
    <row r="1913" ht="14.25" hidden="1" customHeight="1">
      <c r="A1913" s="49" t="s">
        <v>3847</v>
      </c>
      <c r="B1913" s="49" t="str">
        <f>IFERROR(__xludf.DUMMYFUNCTION("REGEXREPLACE(
 REGEXREPLACE(A1913,""^cost\."",""""),
 ""\.[^.]+\.[^.]+$"",
 """"
)"),"tech.warehouse.stackable_racks_lvl_1")</f>
        <v>tech.warehouse.stackable_racks_lvl_1</v>
      </c>
      <c r="C1913" s="49" t="str">
        <f t="array" ref="C1913">_xlfn.XLOOKUP(
 B1913,
 tblTargets[TargetID],
 tblTargets[DisplayName],
 ""
)</f>
        <v>Warehouse - Stackable Racks Lvl 1</v>
      </c>
      <c r="D1913" s="49" t="str">
        <f t="array" ref="D1913">_xlfn.XLOOKUP(
 B1913,
 tblTargets[TargetID],
 tblTargets[TargetType],
 ""
)</f>
        <v>TECH</v>
      </c>
      <c r="E1913" s="49" t="s">
        <v>392</v>
      </c>
      <c r="F1913" s="49">
        <v>1.0</v>
      </c>
      <c r="G1913" s="49">
        <f t="array" ref="G1913">_xlfn.XLOOKUP(
 A1913,
 tblCost[RequirementID],
 tblCost[QuantityRequired],
 ""
)</f>
        <v>50</v>
      </c>
      <c r="H1913" s="49">
        <f t="array" ref="H1913">IF(
 OR(
  LEFT(B1913,15)="state.character",
  RIGHT(B1913,6)=".maxed"
 ),
 0,
 LET(
  sort,
   _xlfn.XLOOKUP(
    B1913,
    tblChecklist[TargetID],
    tblChecklist[PlayerSort],
    0
   ),
  IF(sort=0,500,sort)
 )
)</f>
        <v>500</v>
      </c>
      <c r="I1913" s="49" t="str">
        <f t="array" ref="I1913">_xlfn.XLOOKUP(
 B1913,
 tblTargetStatus[TargetID],
 tblTargetStatus[Status],
 ""
)</f>
        <v>BLOCKED</v>
      </c>
      <c r="J1913" s="45" t="b">
        <v>0</v>
      </c>
    </row>
    <row r="1914" ht="14.25" hidden="1" customHeight="1">
      <c r="A1914" s="49" t="s">
        <v>3851</v>
      </c>
      <c r="B1914" s="49" t="str">
        <f>IFERROR(__xludf.DUMMYFUNCTION("REGEXREPLACE(
 REGEXREPLACE(A1914,""^cost\."",""""),
 ""\.[^.]+\.[^.]+$"",
 """"
)"),"tech.warehouse.stackable_racks_lvl_2")</f>
        <v>tech.warehouse.stackable_racks_lvl_2</v>
      </c>
      <c r="C1914" s="49" t="str">
        <f t="array" ref="C1914">_xlfn.XLOOKUP(
 B1914,
 tblTargets[TargetID],
 tblTargets[DisplayName],
 ""
)</f>
        <v>Warehouse - Stackable Racks Lvl 2</v>
      </c>
      <c r="D1914" s="49" t="str">
        <f t="array" ref="D1914">_xlfn.XLOOKUP(
 B1914,
 tblTargets[TargetID],
 tblTargets[TargetType],
 ""
)</f>
        <v>TECH</v>
      </c>
      <c r="E1914" s="49" t="s">
        <v>1055</v>
      </c>
      <c r="F1914" s="49">
        <v>1.0</v>
      </c>
      <c r="G1914" s="49">
        <f t="array" ref="G1914">_xlfn.XLOOKUP(
 A1914,
 tblCost[RequirementID],
 tblCost[QuantityRequired],
 ""
)</f>
        <v>30</v>
      </c>
      <c r="H1914" s="49">
        <f t="array" ref="H1914">IF(
 OR(
  LEFT(B1914,15)="state.character",
  RIGHT(B1914,6)=".maxed"
 ),
 0,
 LET(
  sort,
   _xlfn.XLOOKUP(
    B1914,
    tblChecklist[TargetID],
    tblChecklist[PlayerSort],
    0
   ),
  IF(sort=0,500,sort)
 )
)</f>
        <v>500</v>
      </c>
      <c r="I1914" s="49" t="str">
        <f t="array" ref="I1914">_xlfn.XLOOKUP(
 B1914,
 tblTargetStatus[TargetID],
 tblTargetStatus[Status],
 ""
)</f>
        <v>BLOCKED</v>
      </c>
      <c r="J1914" s="45" t="b">
        <v>0</v>
      </c>
    </row>
    <row r="1915" ht="14.25" hidden="1" customHeight="1">
      <c r="A1915" s="49" t="s">
        <v>3855</v>
      </c>
      <c r="B1915" s="49" t="str">
        <f>IFERROR(__xludf.DUMMYFUNCTION("REGEXREPLACE(
 REGEXREPLACE(A1915,""^cost\."",""""),
 ""\.[^.]+\.[^.]+$"",
 """"
)"),"tech.warehouse.stackable_racks_lvl_2")</f>
        <v>tech.warehouse.stackable_racks_lvl_2</v>
      </c>
      <c r="C1915" s="49" t="str">
        <f t="array" ref="C1915">_xlfn.XLOOKUP(
 B1915,
 tblTargets[TargetID],
 tblTargets[DisplayName],
 ""
)</f>
        <v>Warehouse - Stackable Racks Lvl 2</v>
      </c>
      <c r="D1915" s="49" t="str">
        <f t="array" ref="D1915">_xlfn.XLOOKUP(
 B1915,
 tblTargets[TargetID],
 tblTargets[TargetType],
 ""
)</f>
        <v>TECH</v>
      </c>
      <c r="E1915" s="49" t="s">
        <v>119</v>
      </c>
      <c r="F1915" s="49">
        <v>1.0</v>
      </c>
      <c r="G1915" s="49">
        <f t="array" ref="G1915">_xlfn.XLOOKUP(
 A1915,
 tblCost[RequirementID],
 tblCost[QuantityRequired],
 ""
)</f>
        <v>400</v>
      </c>
      <c r="H1915" s="49">
        <f t="array" ref="H1915">IF(
 OR(
  LEFT(B1915,15)="state.character",
  RIGHT(B1915,6)=".maxed"
 ),
 0,
 LET(
  sort,
   _xlfn.XLOOKUP(
    B1915,
    tblChecklist[TargetID],
    tblChecklist[PlayerSort],
    0
   ),
  IF(sort=0,500,sort)
 )
)</f>
        <v>500</v>
      </c>
      <c r="I1915" s="49" t="str">
        <f t="array" ref="I1915">_xlfn.XLOOKUP(
 B1915,
 tblTargetStatus[TargetID],
 tblTargetStatus[Status],
 ""
)</f>
        <v>BLOCKED</v>
      </c>
      <c r="J1915" s="45" t="b">
        <v>0</v>
      </c>
    </row>
    <row r="1916" ht="14.25" hidden="1" customHeight="1">
      <c r="A1916" s="49" t="s">
        <v>3859</v>
      </c>
      <c r="B1916" s="49" t="str">
        <f>IFERROR(__xludf.DUMMYFUNCTION("REGEXREPLACE(
 REGEXREPLACE(A1916,""^cost\."",""""),
 ""\.[^.]+\.[^.]+$"",
 """"
)"),"tech.warehouse.stackable_racks_lvl_2")</f>
        <v>tech.warehouse.stackable_racks_lvl_2</v>
      </c>
      <c r="C1916" s="49" t="str">
        <f t="array" ref="C1916">_xlfn.XLOOKUP(
 B1916,
 tblTargets[TargetID],
 tblTargets[DisplayName],
 ""
)</f>
        <v>Warehouse - Stackable Racks Lvl 2</v>
      </c>
      <c r="D1916" s="49" t="str">
        <f t="array" ref="D1916">_xlfn.XLOOKUP(
 B1916,
 tblTargets[TargetID],
 tblTargets[TargetType],
 ""
)</f>
        <v>TECH</v>
      </c>
      <c r="E1916" s="49" t="s">
        <v>187</v>
      </c>
      <c r="F1916" s="49">
        <v>1.0</v>
      </c>
      <c r="G1916" s="49">
        <f t="array" ref="G1916">_xlfn.XLOOKUP(
 A1916,
 tblCost[RequirementID],
 tblCost[QuantityRequired],
 ""
)</f>
        <v>300</v>
      </c>
      <c r="H1916" s="49">
        <f t="array" ref="H1916">IF(
 OR(
  LEFT(B1916,15)="state.character",
  RIGHT(B1916,6)=".maxed"
 ),
 0,
 LET(
  sort,
   _xlfn.XLOOKUP(
    B1916,
    tblChecklist[TargetID],
    tblChecklist[PlayerSort],
    0
   ),
  IF(sort=0,500,sort)
 )
)</f>
        <v>500</v>
      </c>
      <c r="I1916" s="49" t="str">
        <f t="array" ref="I1916">_xlfn.XLOOKUP(
 B1916,
 tblTargetStatus[TargetID],
 tblTargetStatus[Status],
 ""
)</f>
        <v>BLOCKED</v>
      </c>
      <c r="J1916" s="45" t="b">
        <v>0</v>
      </c>
    </row>
    <row r="1917" ht="14.25" hidden="1" customHeight="1">
      <c r="A1917" s="49" t="s">
        <v>3863</v>
      </c>
      <c r="B1917" s="49" t="str">
        <f>IFERROR(__xludf.DUMMYFUNCTION("REGEXREPLACE(
 REGEXREPLACE(A1917,""^cost\."",""""),
 ""\.[^.]+\.[^.]+$"",
 """"
)"),"tech.warehouse.stackable_racks_lvl_2")</f>
        <v>tech.warehouse.stackable_racks_lvl_2</v>
      </c>
      <c r="C1917" s="49" t="str">
        <f t="array" ref="C1917">_xlfn.XLOOKUP(
 B1917,
 tblTargets[TargetID],
 tblTargets[DisplayName],
 ""
)</f>
        <v>Warehouse - Stackable Racks Lvl 2</v>
      </c>
      <c r="D1917" s="49" t="str">
        <f t="array" ref="D1917">_xlfn.XLOOKUP(
 B1917,
 tblTargets[TargetID],
 tblTargets[TargetType],
 ""
)</f>
        <v>TECH</v>
      </c>
      <c r="E1917" s="49" t="s">
        <v>6</v>
      </c>
      <c r="F1917" s="49">
        <v>1.0</v>
      </c>
      <c r="G1917" s="49">
        <f t="array" ref="G1917">_xlfn.XLOOKUP(
 A1917,
 tblCost[RequirementID],
 tblCost[QuantityRequired],
 ""
)</f>
        <v>2</v>
      </c>
      <c r="H1917" s="49">
        <f t="array" ref="H1917">IF(
 OR(
  LEFT(B1917,15)="state.character",
  RIGHT(B1917,6)=".maxed"
 ),
 0,
 LET(
  sort,
   _xlfn.XLOOKUP(
    B1917,
    tblChecklist[TargetID],
    tblChecklist[PlayerSort],
    0
   ),
  IF(sort=0,500,sort)
 )
)</f>
        <v>500</v>
      </c>
      <c r="I1917" s="49" t="str">
        <f t="array" ref="I1917">_xlfn.XLOOKUP(
 B1917,
 tblTargetStatus[TargetID],
 tblTargetStatus[Status],
 ""
)</f>
        <v>BLOCKED</v>
      </c>
      <c r="J1917" s="45" t="b">
        <v>0</v>
      </c>
    </row>
    <row r="1918" ht="14.25" hidden="1" customHeight="1">
      <c r="A1918" s="49" t="s">
        <v>3867</v>
      </c>
      <c r="B1918" s="49" t="str">
        <f>IFERROR(__xludf.DUMMYFUNCTION("REGEXREPLACE(
 REGEXREPLACE(A1918,""^cost\."",""""),
 ""\.[^.]+\.[^.]+$"",
 """"
)"),"tech.warehouse.stackable_racks_lvl_2")</f>
        <v>tech.warehouse.stackable_racks_lvl_2</v>
      </c>
      <c r="C1918" s="49" t="str">
        <f t="array" ref="C1918">_xlfn.XLOOKUP(
 B1918,
 tblTargets[TargetID],
 tblTargets[DisplayName],
 ""
)</f>
        <v>Warehouse - Stackable Racks Lvl 2</v>
      </c>
      <c r="D1918" s="49" t="str">
        <f t="array" ref="D1918">_xlfn.XLOOKUP(
 B1918,
 tblTargets[TargetID],
 tblTargets[TargetType],
 ""
)</f>
        <v>TECH</v>
      </c>
      <c r="E1918" s="49" t="s">
        <v>392</v>
      </c>
      <c r="F1918" s="49">
        <v>1.0</v>
      </c>
      <c r="G1918" s="49">
        <f t="array" ref="G1918">_xlfn.XLOOKUP(
 A1918,
 tblCost[RequirementID],
 tblCost[QuantityRequired],
 ""
)</f>
        <v>60</v>
      </c>
      <c r="H1918" s="49">
        <f t="array" ref="H1918">IF(
 OR(
  LEFT(B1918,15)="state.character",
  RIGHT(B1918,6)=".maxed"
 ),
 0,
 LET(
  sort,
   _xlfn.XLOOKUP(
    B1918,
    tblChecklist[TargetID],
    tblChecklist[PlayerSort],
    0
   ),
  IF(sort=0,500,sort)
 )
)</f>
        <v>500</v>
      </c>
      <c r="I1918" s="49" t="str">
        <f t="array" ref="I1918">_xlfn.XLOOKUP(
 B1918,
 tblTargetStatus[TargetID],
 tblTargetStatus[Status],
 ""
)</f>
        <v>BLOCKED</v>
      </c>
      <c r="J1918" s="45" t="b">
        <v>0</v>
      </c>
    </row>
    <row r="1919" ht="14.25" hidden="1" customHeight="1">
      <c r="A1919" s="49" t="s">
        <v>3870</v>
      </c>
      <c r="B1919" s="49" t="str">
        <f>IFERROR(__xludf.DUMMYFUNCTION("REGEXREPLACE(
 REGEXREPLACE(A1919,""^cost\."",""""),
 ""\.[^.]+\.[^.]+$"",
 """"
)"),"tech.warehouse.stackable_racks_lvl_3")</f>
        <v>tech.warehouse.stackable_racks_lvl_3</v>
      </c>
      <c r="C1919" s="49" t="str">
        <f t="array" ref="C1919">_xlfn.XLOOKUP(
 B1919,
 tblTargets[TargetID],
 tblTargets[DisplayName],
 ""
)</f>
        <v>Warehouse - Stackable Racks Lvl 3</v>
      </c>
      <c r="D1919" s="49" t="str">
        <f t="array" ref="D1919">_xlfn.XLOOKUP(
 B1919,
 tblTargets[TargetID],
 tblTargets[TargetType],
 ""
)</f>
        <v>TECH</v>
      </c>
      <c r="E1919" s="49" t="s">
        <v>1055</v>
      </c>
      <c r="F1919" s="49">
        <v>1.0</v>
      </c>
      <c r="G1919" s="49">
        <f t="array" ref="G1919">_xlfn.XLOOKUP(
 A1919,
 tblCost[RequirementID],
 tblCost[QuantityRequired],
 ""
)</f>
        <v>30</v>
      </c>
      <c r="H1919" s="49">
        <f t="array" ref="H1919">IF(
 OR(
  LEFT(B1919,15)="state.character",
  RIGHT(B1919,6)=".maxed"
 ),
 0,
 LET(
  sort,
   _xlfn.XLOOKUP(
    B1919,
    tblChecklist[TargetID],
    tblChecklist[PlayerSort],
    0
   ),
  IF(sort=0,500,sort)
 )
)</f>
        <v>500</v>
      </c>
      <c r="I1919" s="49" t="str">
        <f t="array" ref="I1919">_xlfn.XLOOKUP(
 B1919,
 tblTargetStatus[TargetID],
 tblTargetStatus[Status],
 ""
)</f>
        <v>BLOCKED</v>
      </c>
      <c r="J1919" s="45" t="b">
        <v>0</v>
      </c>
    </row>
    <row r="1920" ht="14.25" hidden="1" customHeight="1">
      <c r="A1920" s="49" t="s">
        <v>3875</v>
      </c>
      <c r="B1920" s="49" t="str">
        <f>IFERROR(__xludf.DUMMYFUNCTION("REGEXREPLACE(
 REGEXREPLACE(A1920,""^cost\."",""""),
 ""\.[^.]+\.[^.]+$"",
 """"
)"),"tech.warehouse.stackable_racks_lvl_3")</f>
        <v>tech.warehouse.stackable_racks_lvl_3</v>
      </c>
      <c r="C1920" s="49" t="str">
        <f t="array" ref="C1920">_xlfn.XLOOKUP(
 B1920,
 tblTargets[TargetID],
 tblTargets[DisplayName],
 ""
)</f>
        <v>Warehouse - Stackable Racks Lvl 3</v>
      </c>
      <c r="D1920" s="49" t="str">
        <f t="array" ref="D1920">_xlfn.XLOOKUP(
 B1920,
 tblTargets[TargetID],
 tblTargets[TargetType],
 ""
)</f>
        <v>TECH</v>
      </c>
      <c r="E1920" s="49" t="s">
        <v>119</v>
      </c>
      <c r="F1920" s="49">
        <v>1.0</v>
      </c>
      <c r="G1920" s="49">
        <f t="array" ref="G1920">_xlfn.XLOOKUP(
 A1920,
 tblCost[RequirementID],
 tblCost[QuantityRequired],
 ""
)</f>
        <v>500</v>
      </c>
      <c r="H1920" s="49">
        <f t="array" ref="H1920">IF(
 OR(
  LEFT(B1920,15)="state.character",
  RIGHT(B1920,6)=".maxed"
 ),
 0,
 LET(
  sort,
   _xlfn.XLOOKUP(
    B1920,
    tblChecklist[TargetID],
    tblChecklist[PlayerSort],
    0
   ),
  IF(sort=0,500,sort)
 )
)</f>
        <v>500</v>
      </c>
      <c r="I1920" s="49" t="str">
        <f t="array" ref="I1920">_xlfn.XLOOKUP(
 B1920,
 tblTargetStatus[TargetID],
 tblTargetStatus[Status],
 ""
)</f>
        <v>BLOCKED</v>
      </c>
      <c r="J1920" s="45" t="b">
        <v>0</v>
      </c>
    </row>
    <row r="1921" ht="14.25" hidden="1" customHeight="1">
      <c r="A1921" s="49" t="s">
        <v>3878</v>
      </c>
      <c r="B1921" s="49" t="str">
        <f>IFERROR(__xludf.DUMMYFUNCTION("REGEXREPLACE(
 REGEXREPLACE(A1921,""^cost\."",""""),
 ""\.[^.]+\.[^.]+$"",
 """"
)"),"tech.warehouse.stackable_racks_lvl_3")</f>
        <v>tech.warehouse.stackable_racks_lvl_3</v>
      </c>
      <c r="C1921" s="49" t="str">
        <f t="array" ref="C1921">_xlfn.XLOOKUP(
 B1921,
 tblTargets[TargetID],
 tblTargets[DisplayName],
 ""
)</f>
        <v>Warehouse - Stackable Racks Lvl 3</v>
      </c>
      <c r="D1921" s="49" t="str">
        <f t="array" ref="D1921">_xlfn.XLOOKUP(
 B1921,
 tblTargets[TargetID],
 tblTargets[TargetType],
 ""
)</f>
        <v>TECH</v>
      </c>
      <c r="E1921" s="49" t="s">
        <v>187</v>
      </c>
      <c r="F1921" s="49">
        <v>1.0</v>
      </c>
      <c r="G1921" s="49">
        <f t="array" ref="G1921">_xlfn.XLOOKUP(
 A1921,
 tblCost[RequirementID],
 tblCost[QuantityRequired],
 ""
)</f>
        <v>400</v>
      </c>
      <c r="H1921" s="49">
        <f t="array" ref="H1921">IF(
 OR(
  LEFT(B1921,15)="state.character",
  RIGHT(B1921,6)=".maxed"
 ),
 0,
 LET(
  sort,
   _xlfn.XLOOKUP(
    B1921,
    tblChecklist[TargetID],
    tblChecklist[PlayerSort],
    0
   ),
  IF(sort=0,500,sort)
 )
)</f>
        <v>500</v>
      </c>
      <c r="I1921" s="49" t="str">
        <f t="array" ref="I1921">_xlfn.XLOOKUP(
 B1921,
 tblTargetStatus[TargetID],
 tblTargetStatus[Status],
 ""
)</f>
        <v>BLOCKED</v>
      </c>
      <c r="J1921" s="45" t="b">
        <v>0</v>
      </c>
    </row>
    <row r="1922" ht="14.25" hidden="1" customHeight="1">
      <c r="A1922" s="49" t="s">
        <v>3882</v>
      </c>
      <c r="B1922" s="49" t="str">
        <f>IFERROR(__xludf.DUMMYFUNCTION("REGEXREPLACE(
 REGEXREPLACE(A1922,""^cost\."",""""),
 ""\.[^.]+\.[^.]+$"",
 """"
)"),"tech.warehouse.stackable_racks_lvl_3")</f>
        <v>tech.warehouse.stackable_racks_lvl_3</v>
      </c>
      <c r="C1922" s="49" t="str">
        <f t="array" ref="C1922">_xlfn.XLOOKUP(
 B1922,
 tblTargets[TargetID],
 tblTargets[DisplayName],
 ""
)</f>
        <v>Warehouse - Stackable Racks Lvl 3</v>
      </c>
      <c r="D1922" s="49" t="str">
        <f t="array" ref="D1922">_xlfn.XLOOKUP(
 B1922,
 tblTargets[TargetID],
 tblTargets[TargetType],
 ""
)</f>
        <v>TECH</v>
      </c>
      <c r="E1922" s="49" t="s">
        <v>6</v>
      </c>
      <c r="F1922" s="49">
        <v>1.0</v>
      </c>
      <c r="G1922" s="49">
        <f t="array" ref="G1922">_xlfn.XLOOKUP(
 A1922,
 tblCost[RequirementID],
 tblCost[QuantityRequired],
 ""
)</f>
        <v>3</v>
      </c>
      <c r="H1922" s="49">
        <f t="array" ref="H1922">IF(
 OR(
  LEFT(B1922,15)="state.character",
  RIGHT(B1922,6)=".maxed"
 ),
 0,
 LET(
  sort,
   _xlfn.XLOOKUP(
    B1922,
    tblChecklist[TargetID],
    tblChecklist[PlayerSort],
    0
   ),
  IF(sort=0,500,sort)
 )
)</f>
        <v>500</v>
      </c>
      <c r="I1922" s="49" t="str">
        <f t="array" ref="I1922">_xlfn.XLOOKUP(
 B1922,
 tblTargetStatus[TargetID],
 tblTargetStatus[Status],
 ""
)</f>
        <v>BLOCKED</v>
      </c>
      <c r="J1922" s="45" t="b">
        <v>0</v>
      </c>
    </row>
    <row r="1923" ht="14.25" hidden="1" customHeight="1">
      <c r="A1923" s="49" t="s">
        <v>3886</v>
      </c>
      <c r="B1923" s="49" t="str">
        <f>IFERROR(__xludf.DUMMYFUNCTION("REGEXREPLACE(
 REGEXREPLACE(A1923,""^cost\."",""""),
 ""\.[^.]+\.[^.]+$"",
 """"
)"),"tech.warehouse.stackable_racks_lvl_3")</f>
        <v>tech.warehouse.stackable_racks_lvl_3</v>
      </c>
      <c r="C1923" s="49" t="str">
        <f t="array" ref="C1923">_xlfn.XLOOKUP(
 B1923,
 tblTargets[TargetID],
 tblTargets[DisplayName],
 ""
)</f>
        <v>Warehouse - Stackable Racks Lvl 3</v>
      </c>
      <c r="D1923" s="49" t="str">
        <f t="array" ref="D1923">_xlfn.XLOOKUP(
 B1923,
 tblTargets[TargetID],
 tblTargets[TargetType],
 ""
)</f>
        <v>TECH</v>
      </c>
      <c r="E1923" s="49" t="s">
        <v>392</v>
      </c>
      <c r="F1923" s="49">
        <v>1.0</v>
      </c>
      <c r="G1923" s="49">
        <f t="array" ref="G1923">_xlfn.XLOOKUP(
 A1923,
 tblCost[RequirementID],
 tblCost[QuantityRequired],
 ""
)</f>
        <v>70</v>
      </c>
      <c r="H1923" s="49">
        <f t="array" ref="H1923">IF(
 OR(
  LEFT(B1923,15)="state.character",
  RIGHT(B1923,6)=".maxed"
 ),
 0,
 LET(
  sort,
   _xlfn.XLOOKUP(
    B1923,
    tblChecklist[TargetID],
    tblChecklist[PlayerSort],
    0
   ),
  IF(sort=0,500,sort)
 )
)</f>
        <v>500</v>
      </c>
      <c r="I1923" s="49" t="str">
        <f t="array" ref="I1923">_xlfn.XLOOKUP(
 B1923,
 tblTargetStatus[TargetID],
 tblTargetStatus[Status],
 ""
)</f>
        <v>BLOCKED</v>
      </c>
      <c r="J1923" s="45" t="b">
        <v>0</v>
      </c>
    </row>
    <row r="1924" ht="14.25" hidden="1" customHeight="1">
      <c r="A1924" s="49" t="s">
        <v>4227</v>
      </c>
      <c r="B1924" s="49" t="str">
        <f>IFERROR(__xludf.DUMMYFUNCTION("REGEXREPLACE(
 REGEXREPLACE(A1924,""^cost\."",""""),
 ""\.[^.]+\.[^.]+$"",
 """"
)"),"tech.windmill.bone_meal")</f>
        <v>tech.windmill.bone_meal</v>
      </c>
      <c r="C1924" s="49" t="str">
        <f t="array" ref="C1924">_xlfn.XLOOKUP(
 B1924,
 tblTargets[TargetID],
 tblTargets[DisplayName],
 ""
)</f>
        <v>Windmill -  Bone Meal</v>
      </c>
      <c r="D1924" s="49" t="str">
        <f t="array" ref="D1924">_xlfn.XLOOKUP(
 B1924,
 tblTargets[TargetID],
 tblTargets[TargetType],
 ""
)</f>
        <v>TECH</v>
      </c>
      <c r="E1924" s="49" t="s">
        <v>4228</v>
      </c>
      <c r="F1924" s="49">
        <v>1.0</v>
      </c>
      <c r="G1924" s="49">
        <f t="array" ref="G1924">_xlfn.XLOOKUP(
 A1924,
 tblCost[RequirementID],
 tblCost[QuantityRequired],
 ""
)</f>
        <v>15</v>
      </c>
      <c r="H1924" s="49">
        <f t="array" ref="H1924">IF(
 OR(
  LEFT(B1924,15)="state.character",
  RIGHT(B1924,6)=".maxed"
 ),
 0,
 LET(
  sort,
   _xlfn.XLOOKUP(
    B1924,
    tblChecklist[TargetID],
    tblChecklist[PlayerSort],
    0
   ),
  IF(sort=0,500,sort)
 )
)</f>
        <v>500</v>
      </c>
      <c r="I1924" s="49" t="str">
        <f t="array" ref="I1924">_xlfn.XLOOKUP(
 B1924,
 tblTargetStatus[TargetID],
 tblTargetStatus[Status],
 ""
)</f>
        <v>BLOCKED</v>
      </c>
      <c r="J1924" s="45" t="b">
        <v>0</v>
      </c>
    </row>
    <row r="1925" ht="14.25" hidden="1" customHeight="1">
      <c r="A1925" s="49" t="s">
        <v>4218</v>
      </c>
      <c r="B1925" s="49" t="str">
        <f>IFERROR(__xludf.DUMMYFUNCTION("REGEXREPLACE(
 REGEXREPLACE(A1925,""^cost\."",""""),
 ""\.[^.]+\.[^.]+$"",
 """"
)"),"tech.windmill.bone_meal")</f>
        <v>tech.windmill.bone_meal</v>
      </c>
      <c r="C1925" s="49" t="str">
        <f t="array" ref="C1925">_xlfn.XLOOKUP(
 B1925,
 tblTargets[TargetID],
 tblTargets[DisplayName],
 ""
)</f>
        <v>Windmill -  Bone Meal</v>
      </c>
      <c r="D1925" s="49" t="str">
        <f t="array" ref="D1925">_xlfn.XLOOKUP(
 B1925,
 tblTargets[TargetID],
 tblTargets[TargetType],
 ""
)</f>
        <v>TECH</v>
      </c>
      <c r="E1925" s="49" t="s">
        <v>2318</v>
      </c>
      <c r="F1925" s="49">
        <v>1.0</v>
      </c>
      <c r="G1925" s="49">
        <f t="array" ref="G1925">_xlfn.XLOOKUP(
 A1925,
 tblCost[RequirementID],
 tblCost[QuantityRequired],
 ""
)</f>
        <v>40</v>
      </c>
      <c r="H1925" s="49">
        <f t="array" ref="H1925">IF(
 OR(
  LEFT(B1925,15)="state.character",
  RIGHT(B1925,6)=".maxed"
 ),
 0,
 LET(
  sort,
   _xlfn.XLOOKUP(
    B1925,
    tblChecklist[TargetID],
    tblChecklist[PlayerSort],
    0
   ),
  IF(sort=0,500,sort)
 )
)</f>
        <v>500</v>
      </c>
      <c r="I1925" s="49" t="str">
        <f t="array" ref="I1925">_xlfn.XLOOKUP(
 B1925,
 tblTargetStatus[TargetID],
 tblTargetStatus[Status],
 ""
)</f>
        <v>BLOCKED</v>
      </c>
      <c r="J1925" s="45" t="b">
        <v>0</v>
      </c>
    </row>
    <row r="1926" ht="14.25" hidden="1" customHeight="1">
      <c r="A1926" s="49" t="s">
        <v>4204</v>
      </c>
      <c r="B1926" s="49" t="str">
        <f>IFERROR(__xludf.DUMMYFUNCTION("REGEXREPLACE(
 REGEXREPLACE(A1926,""^cost\."",""""),
 ""\.[^.]+\.[^.]+$"",
 """"
)"),"tech.windmill.bone_meal")</f>
        <v>tech.windmill.bone_meal</v>
      </c>
      <c r="C1926" s="49" t="str">
        <f t="array" ref="C1926">_xlfn.XLOOKUP(
 B1926,
 tblTargets[TargetID],
 tblTargets[DisplayName],
 ""
)</f>
        <v>Windmill -  Bone Meal</v>
      </c>
      <c r="D1926" s="49" t="str">
        <f t="array" ref="D1926">_xlfn.XLOOKUP(
 B1926,
 tblTargets[TargetID],
 tblTargets[TargetType],
 ""
)</f>
        <v>TECH</v>
      </c>
      <c r="E1926" s="49" t="s">
        <v>119</v>
      </c>
      <c r="F1926" s="49">
        <v>1.0</v>
      </c>
      <c r="G1926" s="49">
        <f t="array" ref="G1926">_xlfn.XLOOKUP(
 A1926,
 tblCost[RequirementID],
 tblCost[QuantityRequired],
 ""
)</f>
        <v>400</v>
      </c>
      <c r="H1926" s="49">
        <f t="array" ref="H1926">IF(
 OR(
  LEFT(B1926,15)="state.character",
  RIGHT(B1926,6)=".maxed"
 ),
 0,
 LET(
  sort,
   _xlfn.XLOOKUP(
    B1926,
    tblChecklist[TargetID],
    tblChecklist[PlayerSort],
    0
   ),
  IF(sort=0,500,sort)
 )
)</f>
        <v>500</v>
      </c>
      <c r="I1926" s="49" t="str">
        <f t="array" ref="I1926">_xlfn.XLOOKUP(
 B1926,
 tblTargetStatus[TargetID],
 tblTargetStatus[Status],
 ""
)</f>
        <v>BLOCKED</v>
      </c>
      <c r="J1926" s="45" t="b">
        <v>0</v>
      </c>
    </row>
    <row r="1927" ht="14.25" hidden="1" customHeight="1">
      <c r="A1927" s="49" t="s">
        <v>4222</v>
      </c>
      <c r="B1927" s="49" t="str">
        <f>IFERROR(__xludf.DUMMYFUNCTION("REGEXREPLACE(
 REGEXREPLACE(A1927,""^cost\."",""""),
 ""\.[^.]+\.[^.]+$"",
 """"
)"),"tech.windmill.bone_meal")</f>
        <v>tech.windmill.bone_meal</v>
      </c>
      <c r="C1927" s="49" t="str">
        <f t="array" ref="C1927">_xlfn.XLOOKUP(
 B1927,
 tblTargets[TargetID],
 tblTargets[DisplayName],
 ""
)</f>
        <v>Windmill -  Bone Meal</v>
      </c>
      <c r="D1927" s="49" t="str">
        <f t="array" ref="D1927">_xlfn.XLOOKUP(
 B1927,
 tblTargets[TargetID],
 tblTargets[TargetType],
 ""
)</f>
        <v>TECH</v>
      </c>
      <c r="E1927" s="49" t="s">
        <v>4224</v>
      </c>
      <c r="F1927" s="49">
        <v>1.0</v>
      </c>
      <c r="G1927" s="49">
        <f t="array" ref="G1927">_xlfn.XLOOKUP(
 A1927,
 tblCost[RequirementID],
 tblCost[QuantityRequired],
 ""
)</f>
        <v>20</v>
      </c>
      <c r="H1927" s="49">
        <f t="array" ref="H1927">IF(
 OR(
  LEFT(B1927,15)="state.character",
  RIGHT(B1927,6)=".maxed"
 ),
 0,
 LET(
  sort,
   _xlfn.XLOOKUP(
    B1927,
    tblChecklist[TargetID],
    tblChecklist[PlayerSort],
    0
   ),
  IF(sort=0,500,sort)
 )
)</f>
        <v>500</v>
      </c>
      <c r="I1927" s="49" t="str">
        <f t="array" ref="I1927">_xlfn.XLOOKUP(
 B1927,
 tblTargetStatus[TargetID],
 tblTargetStatus[Status],
 ""
)</f>
        <v>BLOCKED</v>
      </c>
      <c r="J1927" s="45" t="b">
        <v>0</v>
      </c>
    </row>
    <row r="1928" ht="14.25" hidden="1" customHeight="1">
      <c r="A1928" s="49" t="s">
        <v>4213</v>
      </c>
      <c r="B1928" s="49" t="str">
        <f>IFERROR(__xludf.DUMMYFUNCTION("REGEXREPLACE(
 REGEXREPLACE(A1928,""^cost\."",""""),
 ""\.[^.]+\.[^.]+$"",
 """"
)"),"tech.windmill.bone_meal")</f>
        <v>tech.windmill.bone_meal</v>
      </c>
      <c r="C1928" s="49" t="str">
        <f t="array" ref="C1928">_xlfn.XLOOKUP(
 B1928,
 tblTargets[TargetID],
 tblTargets[DisplayName],
 ""
)</f>
        <v>Windmill -  Bone Meal</v>
      </c>
      <c r="D1928" s="49" t="str">
        <f t="array" ref="D1928">_xlfn.XLOOKUP(
 B1928,
 tblTargets[TargetID],
 tblTargets[TargetType],
 ""
)</f>
        <v>TECH</v>
      </c>
      <c r="E1928" s="49" t="s">
        <v>4214</v>
      </c>
      <c r="F1928" s="49">
        <v>1.0</v>
      </c>
      <c r="G1928" s="49">
        <f t="array" ref="G1928">_xlfn.XLOOKUP(
 A1928,
 tblCost[RequirementID],
 tblCost[QuantityRequired],
 ""
)</f>
        <v>20</v>
      </c>
      <c r="H1928" s="49">
        <f t="array" ref="H1928">IF(
 OR(
  LEFT(B1928,15)="state.character",
  RIGHT(B1928,6)=".maxed"
 ),
 0,
 LET(
  sort,
   _xlfn.XLOOKUP(
    B1928,
    tblChecklist[TargetID],
    tblChecklist[PlayerSort],
    0
   ),
  IF(sort=0,500,sort)
 )
)</f>
        <v>500</v>
      </c>
      <c r="I1928" s="49" t="str">
        <f t="array" ref="I1928">_xlfn.XLOOKUP(
 B1928,
 tblTargetStatus[TargetID],
 tblTargetStatus[Status],
 ""
)</f>
        <v>BLOCKED</v>
      </c>
      <c r="J1928" s="45" t="b">
        <v>0</v>
      </c>
    </row>
    <row r="1929" ht="14.25" hidden="1" customHeight="1">
      <c r="A1929" s="49" t="s">
        <v>4202</v>
      </c>
      <c r="B1929" s="49" t="str">
        <f>IFERROR(__xludf.DUMMYFUNCTION("REGEXREPLACE(
 REGEXREPLACE(A1929,""^cost\."",""""),
 ""\.[^.]+\.[^.]+$"",
 """"
)"),"tech.windmill.bone_meal")</f>
        <v>tech.windmill.bone_meal</v>
      </c>
      <c r="C1929" s="49" t="str">
        <f t="array" ref="C1929">_xlfn.XLOOKUP(
 B1929,
 tblTargets[TargetID],
 tblTargets[DisplayName],
 ""
)</f>
        <v>Windmill -  Bone Meal</v>
      </c>
      <c r="D1929" s="49" t="str">
        <f t="array" ref="D1929">_xlfn.XLOOKUP(
 B1929,
 tblTargets[TargetID],
 tblTargets[TargetType],
 ""
)</f>
        <v>TECH</v>
      </c>
      <c r="E1929" s="49" t="s">
        <v>6</v>
      </c>
      <c r="F1929" s="49">
        <v>1.0</v>
      </c>
      <c r="G1929" s="49">
        <f t="array" ref="G1929">_xlfn.XLOOKUP(
 A1929,
 tblCost[RequirementID],
 tblCost[QuantityRequired],
 ""
)</f>
        <v>2</v>
      </c>
      <c r="H1929" s="49">
        <f t="array" ref="H1929">IF(
 OR(
  LEFT(B1929,15)="state.character",
  RIGHT(B1929,6)=".maxed"
 ),
 0,
 LET(
  sort,
   _xlfn.XLOOKUP(
    B1929,
    tblChecklist[TargetID],
    tblChecklist[PlayerSort],
    0
   ),
  IF(sort=0,500,sort)
 )
)</f>
        <v>500</v>
      </c>
      <c r="I1929" s="49" t="str">
        <f t="array" ref="I1929">_xlfn.XLOOKUP(
 B1929,
 tblTargetStatus[TargetID],
 tblTargetStatus[Status],
 ""
)</f>
        <v>BLOCKED</v>
      </c>
      <c r="J1929" s="45" t="b">
        <v>0</v>
      </c>
    </row>
    <row r="1930" ht="14.25" hidden="1" customHeight="1">
      <c r="A1930" s="49" t="s">
        <v>4209</v>
      </c>
      <c r="B1930" s="49" t="str">
        <f>IFERROR(__xludf.DUMMYFUNCTION("REGEXREPLACE(
 REGEXREPLACE(A1930,""^cost\."",""""),
 ""\.[^.]+\.[^.]+$"",
 """"
)"),"tech.windmill.bone_meal")</f>
        <v>tech.windmill.bone_meal</v>
      </c>
      <c r="C1930" s="49" t="str">
        <f t="array" ref="C1930">_xlfn.XLOOKUP(
 B1930,
 tblTargets[TargetID],
 tblTargets[DisplayName],
 ""
)</f>
        <v>Windmill -  Bone Meal</v>
      </c>
      <c r="D1930" s="49" t="str">
        <f t="array" ref="D1930">_xlfn.XLOOKUP(
 B1930,
 tblTargets[TargetID],
 tblTargets[TargetType],
 ""
)</f>
        <v>TECH</v>
      </c>
      <c r="E1930" s="49" t="s">
        <v>237</v>
      </c>
      <c r="F1930" s="49">
        <v>1.0</v>
      </c>
      <c r="G1930" s="49">
        <f t="array" ref="G1930">_xlfn.XLOOKUP(
 A1930,
 tblCost[RequirementID],
 tblCost[QuantityRequired],
 ""
)</f>
        <v>100</v>
      </c>
      <c r="H1930" s="49">
        <f t="array" ref="H1930">IF(
 OR(
  LEFT(B1930,15)="state.character",
  RIGHT(B1930,6)=".maxed"
 ),
 0,
 LET(
  sort,
   _xlfn.XLOOKUP(
    B1930,
    tblChecklist[TargetID],
    tblChecklist[PlayerSort],
    0
   ),
  IF(sort=0,500,sort)
 )
)</f>
        <v>500</v>
      </c>
      <c r="I1930" s="49" t="str">
        <f t="array" ref="I1930">_xlfn.XLOOKUP(
 B1930,
 tblTargetStatus[TargetID],
 tblTargetStatus[Status],
 ""
)</f>
        <v>BLOCKED</v>
      </c>
      <c r="J1930" s="45" t="b">
        <v>0</v>
      </c>
    </row>
    <row r="1931" ht="14.25" hidden="1" customHeight="1">
      <c r="A1931" s="49" t="s">
        <v>4120</v>
      </c>
      <c r="B1931" s="49" t="str">
        <f>IFERROR(__xludf.DUMMYFUNCTION("REGEXREPLACE(
 REGEXREPLACE(A1931,""^cost\."",""""),
 ""\.[^.]+\.[^.]+$"",
 """"
)"),"tech.workshop.conveyor_lvl_1")</f>
        <v>tech.workshop.conveyor_lvl_1</v>
      </c>
      <c r="C1931" s="49" t="str">
        <f t="array" ref="C1931">_xlfn.XLOOKUP(
 B1931,
 tblTargets[TargetID],
 tblTargets[DisplayName],
 ""
)</f>
        <v>Workshop - Conveyor Lvl 1</v>
      </c>
      <c r="D1931" s="49" t="str">
        <f t="array" ref="D1931">_xlfn.XLOOKUP(
 B1931,
 tblTargets[TargetID],
 tblTargets[TargetType],
 ""
)</f>
        <v>TECH</v>
      </c>
      <c r="E1931" s="49" t="s">
        <v>1055</v>
      </c>
      <c r="F1931" s="49">
        <v>1.0</v>
      </c>
      <c r="G1931" s="49">
        <f t="array" ref="G1931">_xlfn.XLOOKUP(
 A1931,
 tblCost[RequirementID],
 tblCost[QuantityRequired],
 ""
)</f>
        <v>20</v>
      </c>
      <c r="H1931" s="49">
        <f t="array" ref="H1931">IF(
 OR(
  LEFT(B1931,15)="state.character",
  RIGHT(B1931,6)=".maxed"
 ),
 0,
 LET(
  sort,
   _xlfn.XLOOKUP(
    B1931,
    tblChecklist[TargetID],
    tblChecklist[PlayerSort],
    0
   ),
  IF(sort=0,500,sort)
 )
)</f>
        <v>40</v>
      </c>
      <c r="I1931" s="49" t="str">
        <f t="array" ref="I1931">_xlfn.XLOOKUP(
 B1931,
 tblTargetStatus[TargetID],
 tblTargetStatus[Status],
 ""
)</f>
        <v>BLOCKED</v>
      </c>
      <c r="J1931" s="45" t="b">
        <v>0</v>
      </c>
    </row>
    <row r="1932" ht="14.25" hidden="1" customHeight="1">
      <c r="A1932" s="49" t="s">
        <v>4127</v>
      </c>
      <c r="B1932" s="49" t="str">
        <f>IFERROR(__xludf.DUMMYFUNCTION("REGEXREPLACE(
 REGEXREPLACE(A1932,""^cost\."",""""),
 ""\.[^.]+\.[^.]+$"",
 """"
)"),"tech.workshop.conveyor_lvl_1")</f>
        <v>tech.workshop.conveyor_lvl_1</v>
      </c>
      <c r="C1932" s="49" t="str">
        <f t="array" ref="C1932">_xlfn.XLOOKUP(
 B1932,
 tblTargets[TargetID],
 tblTargets[DisplayName],
 ""
)</f>
        <v>Workshop - Conveyor Lvl 1</v>
      </c>
      <c r="D1932" s="49" t="str">
        <f t="array" ref="D1932">_xlfn.XLOOKUP(
 B1932,
 tblTargets[TargetID],
 tblTargets[TargetType],
 ""
)</f>
        <v>TECH</v>
      </c>
      <c r="E1932" s="49" t="s">
        <v>119</v>
      </c>
      <c r="F1932" s="49">
        <v>1.0</v>
      </c>
      <c r="G1932" s="49">
        <f t="array" ref="G1932">_xlfn.XLOOKUP(
 A1932,
 tblCost[RequirementID],
 tblCost[QuantityRequired],
 ""
)</f>
        <v>1000</v>
      </c>
      <c r="H1932" s="49">
        <f t="array" ref="H1932">IF(
 OR(
  LEFT(B1932,15)="state.character",
  RIGHT(B1932,6)=".maxed"
 ),
 0,
 LET(
  sort,
   _xlfn.XLOOKUP(
    B1932,
    tblChecklist[TargetID],
    tblChecklist[PlayerSort],
    0
   ),
  IF(sort=0,500,sort)
 )
)</f>
        <v>40</v>
      </c>
      <c r="I1932" s="49" t="str">
        <f t="array" ref="I1932">_xlfn.XLOOKUP(
 B1932,
 tblTargetStatus[TargetID],
 tblTargetStatus[Status],
 ""
)</f>
        <v>BLOCKED</v>
      </c>
      <c r="J1932" s="45" t="b">
        <v>0</v>
      </c>
    </row>
    <row r="1933" ht="14.25" hidden="1" customHeight="1">
      <c r="A1933" s="49" t="s">
        <v>4131</v>
      </c>
      <c r="B1933" s="49" t="str">
        <f>IFERROR(__xludf.DUMMYFUNCTION("REGEXREPLACE(
 REGEXREPLACE(A1933,""^cost\."",""""),
 ""\.[^.]+\.[^.]+$"",
 """"
)"),"tech.workshop.conveyor_lvl_1")</f>
        <v>tech.workshop.conveyor_lvl_1</v>
      </c>
      <c r="C1933" s="49" t="str">
        <f t="array" ref="C1933">_xlfn.XLOOKUP(
 B1933,
 tblTargets[TargetID],
 tblTargets[DisplayName],
 ""
)</f>
        <v>Workshop - Conveyor Lvl 1</v>
      </c>
      <c r="D1933" s="49" t="str">
        <f t="array" ref="D1933">_xlfn.XLOOKUP(
 B1933,
 tblTargets[TargetID],
 tblTargets[TargetType],
 ""
)</f>
        <v>TECH</v>
      </c>
      <c r="E1933" s="49" t="s">
        <v>2964</v>
      </c>
      <c r="F1933" s="49">
        <v>1.0</v>
      </c>
      <c r="G1933" s="49">
        <f t="array" ref="G1933">_xlfn.XLOOKUP(
 A1933,
 tblCost[RequirementID],
 tblCost[QuantityRequired],
 ""
)</f>
        <v>50</v>
      </c>
      <c r="H1933" s="49">
        <f t="array" ref="H1933">IF(
 OR(
  LEFT(B1933,15)="state.character",
  RIGHT(B1933,6)=".maxed"
 ),
 0,
 LET(
  sort,
   _xlfn.XLOOKUP(
    B1933,
    tblChecklist[TargetID],
    tblChecklist[PlayerSort],
    0
   ),
  IF(sort=0,500,sort)
 )
)</f>
        <v>40</v>
      </c>
      <c r="I1933" s="49" t="str">
        <f t="array" ref="I1933">_xlfn.XLOOKUP(
 B1933,
 tblTargetStatus[TargetID],
 tblTargetStatus[Status],
 ""
)</f>
        <v>BLOCKED</v>
      </c>
      <c r="J1933" s="45" t="b">
        <v>0</v>
      </c>
    </row>
    <row r="1934" ht="14.25" hidden="1" customHeight="1">
      <c r="A1934" s="49" t="s">
        <v>4135</v>
      </c>
      <c r="B1934" s="49" t="str">
        <f>IFERROR(__xludf.DUMMYFUNCTION("REGEXREPLACE(
 REGEXREPLACE(A1934,""^cost\."",""""),
 ""\.[^.]+\.[^.]+$"",
 """"
)"),"tech.workshop.conveyor_lvl_1")</f>
        <v>tech.workshop.conveyor_lvl_1</v>
      </c>
      <c r="C1934" s="49" t="str">
        <f t="array" ref="C1934">_xlfn.XLOOKUP(
 B1934,
 tblTargets[TargetID],
 tblTargets[DisplayName],
 ""
)</f>
        <v>Workshop - Conveyor Lvl 1</v>
      </c>
      <c r="D1934" s="49" t="str">
        <f t="array" ref="D1934">_xlfn.XLOOKUP(
 B1934,
 tblTargets[TargetID],
 tblTargets[TargetType],
 ""
)</f>
        <v>TECH</v>
      </c>
      <c r="E1934" s="49" t="s">
        <v>1078</v>
      </c>
      <c r="F1934" s="49">
        <v>1.0</v>
      </c>
      <c r="G1934" s="49">
        <f t="array" ref="G1934">_xlfn.XLOOKUP(
 A1934,
 tblCost[RequirementID],
 tblCost[QuantityRequired],
 ""
)</f>
        <v>10</v>
      </c>
      <c r="H1934" s="49">
        <f t="array" ref="H1934">IF(
 OR(
  LEFT(B1934,15)="state.character",
  RIGHT(B1934,6)=".maxed"
 ),
 0,
 LET(
  sort,
   _xlfn.XLOOKUP(
    B1934,
    tblChecklist[TargetID],
    tblChecklist[PlayerSort],
    0
   ),
  IF(sort=0,500,sort)
 )
)</f>
        <v>40</v>
      </c>
      <c r="I1934" s="49" t="str">
        <f t="array" ref="I1934">_xlfn.XLOOKUP(
 B1934,
 tblTargetStatus[TargetID],
 tblTargetStatus[Status],
 ""
)</f>
        <v>BLOCKED</v>
      </c>
      <c r="J1934" s="45" t="b">
        <v>0</v>
      </c>
    </row>
    <row r="1935" ht="14.25" hidden="1" customHeight="1">
      <c r="A1935" s="49" t="s">
        <v>4139</v>
      </c>
      <c r="B1935" s="49" t="str">
        <f>IFERROR(__xludf.DUMMYFUNCTION("REGEXREPLACE(
 REGEXREPLACE(A1935,""^cost\."",""""),
 ""\.[^.]+\.[^.]+$"",
 """"
)"),"tech.workshop.conveyor_lvl_1")</f>
        <v>tech.workshop.conveyor_lvl_1</v>
      </c>
      <c r="C1935" s="49" t="str">
        <f t="array" ref="C1935">_xlfn.XLOOKUP(
 B1935,
 tblTargets[TargetID],
 tblTargets[DisplayName],
 ""
)</f>
        <v>Workshop - Conveyor Lvl 1</v>
      </c>
      <c r="D1935" s="49" t="str">
        <f t="array" ref="D1935">_xlfn.XLOOKUP(
 B1935,
 tblTargets[TargetID],
 tblTargets[TargetType],
 ""
)</f>
        <v>TECH</v>
      </c>
      <c r="E1935" s="49" t="s">
        <v>2135</v>
      </c>
      <c r="F1935" s="49">
        <v>1.0</v>
      </c>
      <c r="G1935" s="49">
        <f t="array" ref="G1935">_xlfn.XLOOKUP(
 A1935,
 tblCost[RequirementID],
 tblCost[QuantityRequired],
 ""
)</f>
        <v>20</v>
      </c>
      <c r="H1935" s="49">
        <f t="array" ref="H1935">IF(
 OR(
  LEFT(B1935,15)="state.character",
  RIGHT(B1935,6)=".maxed"
 ),
 0,
 LET(
  sort,
   _xlfn.XLOOKUP(
    B1935,
    tblChecklist[TargetID],
    tblChecklist[PlayerSort],
    0
   ),
  IF(sort=0,500,sort)
 )
)</f>
        <v>40</v>
      </c>
      <c r="I1935" s="49" t="str">
        <f t="array" ref="I1935">_xlfn.XLOOKUP(
 B1935,
 tblTargetStatus[TargetID],
 tblTargetStatus[Status],
 ""
)</f>
        <v>BLOCKED</v>
      </c>
      <c r="J1935" s="45" t="b">
        <v>0</v>
      </c>
    </row>
    <row r="1936" ht="14.25" hidden="1" customHeight="1">
      <c r="A1936" s="49" t="s">
        <v>4142</v>
      </c>
      <c r="B1936" s="49" t="str">
        <f>IFERROR(__xludf.DUMMYFUNCTION("REGEXREPLACE(
 REGEXREPLACE(A1936,""^cost\."",""""),
 ""\.[^.]+\.[^.]+$"",
 """"
)"),"tech.workshop.conveyor_lvl_1")</f>
        <v>tech.workshop.conveyor_lvl_1</v>
      </c>
      <c r="C1936" s="49" t="str">
        <f t="array" ref="C1936">_xlfn.XLOOKUP(
 B1936,
 tblTargets[TargetID],
 tblTargets[DisplayName],
 ""
)</f>
        <v>Workshop - Conveyor Lvl 1</v>
      </c>
      <c r="D1936" s="49" t="str">
        <f t="array" ref="D1936">_xlfn.XLOOKUP(
 B1936,
 tblTargets[TargetID],
 tblTargets[TargetType],
 ""
)</f>
        <v>TECH</v>
      </c>
      <c r="E1936" s="49" t="s">
        <v>6</v>
      </c>
      <c r="F1936" s="49">
        <v>1.0</v>
      </c>
      <c r="G1936" s="49">
        <f t="array" ref="G1936">_xlfn.XLOOKUP(
 A1936,
 tblCost[RequirementID],
 tblCost[QuantityRequired],
 ""
)</f>
        <v>3</v>
      </c>
      <c r="H1936" s="49">
        <f t="array" ref="H1936">IF(
 OR(
  LEFT(B1936,15)="state.character",
  RIGHT(B1936,6)=".maxed"
 ),
 0,
 LET(
  sort,
   _xlfn.XLOOKUP(
    B1936,
    tblChecklist[TargetID],
    tblChecklist[PlayerSort],
    0
   ),
  IF(sort=0,500,sort)
 )
)</f>
        <v>40</v>
      </c>
      <c r="I1936" s="49" t="str">
        <f t="array" ref="I1936">_xlfn.XLOOKUP(
 B1936,
 tblTargetStatus[TargetID],
 tblTargetStatus[Status],
 ""
)</f>
        <v>BLOCKED</v>
      </c>
      <c r="J1936" s="45" t="b">
        <v>0</v>
      </c>
    </row>
    <row r="1937" ht="14.25" hidden="1" customHeight="1">
      <c r="A1937" s="49" t="s">
        <v>4147</v>
      </c>
      <c r="B1937" s="49" t="str">
        <f>IFERROR(__xludf.DUMMYFUNCTION("REGEXREPLACE(
 REGEXREPLACE(A1937,""^cost\."",""""),
 ""\.[^.]+\.[^.]+$"",
 """"
)"),"tech.workshop.conveyor_lvl_2")</f>
        <v>tech.workshop.conveyor_lvl_2</v>
      </c>
      <c r="C1937" s="49" t="str">
        <f t="array" ref="C1937">_xlfn.XLOOKUP(
 B1937,
 tblTargets[TargetID],
 tblTargets[DisplayName],
 ""
)</f>
        <v>Workshop - Conveyor Lvl 2</v>
      </c>
      <c r="D1937" s="49" t="str">
        <f t="array" ref="D1937">_xlfn.XLOOKUP(
 B1937,
 tblTargets[TargetID],
 tblTargets[TargetType],
 ""
)</f>
        <v>TECH</v>
      </c>
      <c r="E1937" s="49" t="s">
        <v>1055</v>
      </c>
      <c r="F1937" s="49">
        <v>1.0</v>
      </c>
      <c r="G1937" s="49">
        <f t="array" ref="G1937">_xlfn.XLOOKUP(
 A1937,
 tblCost[RequirementID],
 tblCost[QuantityRequired],
 ""
)</f>
        <v>30</v>
      </c>
      <c r="H1937" s="49">
        <f t="array" ref="H1937">IF(
 OR(
  LEFT(B1937,15)="state.character",
  RIGHT(B1937,6)=".maxed"
 ),
 0,
 LET(
  sort,
   _xlfn.XLOOKUP(
    B1937,
    tblChecklist[TargetID],
    tblChecklist[PlayerSort],
    0
   ),
  IF(sort=0,500,sort)
 )
)</f>
        <v>500</v>
      </c>
      <c r="I1937" s="49" t="str">
        <f t="array" ref="I1937">_xlfn.XLOOKUP(
 B1937,
 tblTargetStatus[TargetID],
 tblTargetStatus[Status],
 ""
)</f>
        <v>BLOCKED</v>
      </c>
      <c r="J1937" s="45" t="b">
        <v>0</v>
      </c>
    </row>
    <row r="1938" ht="14.25" hidden="1" customHeight="1">
      <c r="A1938" s="49" t="s">
        <v>4151</v>
      </c>
      <c r="B1938" s="49" t="str">
        <f>IFERROR(__xludf.DUMMYFUNCTION("REGEXREPLACE(
 REGEXREPLACE(A1938,""^cost\."",""""),
 ""\.[^.]+\.[^.]+$"",
 """"
)"),"tech.workshop.conveyor_lvl_2")</f>
        <v>tech.workshop.conveyor_lvl_2</v>
      </c>
      <c r="C1938" s="49" t="str">
        <f t="array" ref="C1938">_xlfn.XLOOKUP(
 B1938,
 tblTargets[TargetID],
 tblTargets[DisplayName],
 ""
)</f>
        <v>Workshop - Conveyor Lvl 2</v>
      </c>
      <c r="D1938" s="49" t="str">
        <f t="array" ref="D1938">_xlfn.XLOOKUP(
 B1938,
 tblTargets[TargetID],
 tblTargets[TargetType],
 ""
)</f>
        <v>TECH</v>
      </c>
      <c r="E1938" s="49" t="s">
        <v>119</v>
      </c>
      <c r="F1938" s="49">
        <v>1.0</v>
      </c>
      <c r="G1938" s="49">
        <f t="array" ref="G1938">_xlfn.XLOOKUP(
 A1938,
 tblCost[RequirementID],
 tblCost[QuantityRequired],
 ""
)</f>
        <v>1500</v>
      </c>
      <c r="H1938" s="49">
        <f t="array" ref="H1938">IF(
 OR(
  LEFT(B1938,15)="state.character",
  RIGHT(B1938,6)=".maxed"
 ),
 0,
 LET(
  sort,
   _xlfn.XLOOKUP(
    B1938,
    tblChecklist[TargetID],
    tblChecklist[PlayerSort],
    0
   ),
  IF(sort=0,500,sort)
 )
)</f>
        <v>500</v>
      </c>
      <c r="I1938" s="49" t="str">
        <f t="array" ref="I1938">_xlfn.XLOOKUP(
 B1938,
 tblTargetStatus[TargetID],
 tblTargetStatus[Status],
 ""
)</f>
        <v>BLOCKED</v>
      </c>
      <c r="J1938" s="45" t="b">
        <v>0</v>
      </c>
    </row>
    <row r="1939" ht="14.25" hidden="1" customHeight="1">
      <c r="A1939" s="49" t="s">
        <v>4155</v>
      </c>
      <c r="B1939" s="49" t="str">
        <f>IFERROR(__xludf.DUMMYFUNCTION("REGEXREPLACE(
 REGEXREPLACE(A1939,""^cost\."",""""),
 ""\.[^.]+\.[^.]+$"",
 """"
)"),"tech.workshop.conveyor_lvl_2")</f>
        <v>tech.workshop.conveyor_lvl_2</v>
      </c>
      <c r="C1939" s="49" t="str">
        <f t="array" ref="C1939">_xlfn.XLOOKUP(
 B1939,
 tblTargets[TargetID],
 tblTargets[DisplayName],
 ""
)</f>
        <v>Workshop - Conveyor Lvl 2</v>
      </c>
      <c r="D1939" s="49" t="str">
        <f t="array" ref="D1939">_xlfn.XLOOKUP(
 B1939,
 tblTargets[TargetID],
 tblTargets[TargetType],
 ""
)</f>
        <v>TECH</v>
      </c>
      <c r="E1939" s="49" t="s">
        <v>2964</v>
      </c>
      <c r="F1939" s="49">
        <v>1.0</v>
      </c>
      <c r="G1939" s="49">
        <f t="array" ref="G1939">_xlfn.XLOOKUP(
 A1939,
 tblCost[RequirementID],
 tblCost[QuantityRequired],
 ""
)</f>
        <v>75</v>
      </c>
      <c r="H1939" s="49">
        <f t="array" ref="H1939">IF(
 OR(
  LEFT(B1939,15)="state.character",
  RIGHT(B1939,6)=".maxed"
 ),
 0,
 LET(
  sort,
   _xlfn.XLOOKUP(
    B1939,
    tblChecklist[TargetID],
    tblChecklist[PlayerSort],
    0
   ),
  IF(sort=0,500,sort)
 )
)</f>
        <v>500</v>
      </c>
      <c r="I1939" s="49" t="str">
        <f t="array" ref="I1939">_xlfn.XLOOKUP(
 B1939,
 tblTargetStatus[TargetID],
 tblTargetStatus[Status],
 ""
)</f>
        <v>BLOCKED</v>
      </c>
      <c r="J1939" s="45" t="b">
        <v>0</v>
      </c>
    </row>
    <row r="1940" ht="14.25" hidden="1" customHeight="1">
      <c r="A1940" s="49" t="s">
        <v>4165</v>
      </c>
      <c r="B1940" s="49" t="str">
        <f>IFERROR(__xludf.DUMMYFUNCTION("REGEXREPLACE(
 REGEXREPLACE(A1940,""^cost\."",""""),
 ""\.[^.]+\.[^.]+$"",
 """"
)"),"tech.workshop.conveyor_lvl_2")</f>
        <v>tech.workshop.conveyor_lvl_2</v>
      </c>
      <c r="C1940" s="49" t="str">
        <f t="array" ref="C1940">_xlfn.XLOOKUP(
 B1940,
 tblTargets[TargetID],
 tblTargets[DisplayName],
 ""
)</f>
        <v>Workshop - Conveyor Lvl 2</v>
      </c>
      <c r="D1940" s="49" t="str">
        <f t="array" ref="D1940">_xlfn.XLOOKUP(
 B1940,
 tblTargets[TargetID],
 tblTargets[TargetType],
 ""
)</f>
        <v>TECH</v>
      </c>
      <c r="E1940" s="49" t="s">
        <v>1078</v>
      </c>
      <c r="F1940" s="49">
        <v>1.0</v>
      </c>
      <c r="G1940" s="49">
        <f t="array" ref="G1940">_xlfn.XLOOKUP(
 A1940,
 tblCost[RequirementID],
 tblCost[QuantityRequired],
 ""
)</f>
        <v>15</v>
      </c>
      <c r="H1940" s="49">
        <f t="array" ref="H1940">IF(
 OR(
  LEFT(B1940,15)="state.character",
  RIGHT(B1940,6)=".maxed"
 ),
 0,
 LET(
  sort,
   _xlfn.XLOOKUP(
    B1940,
    tblChecklist[TargetID],
    tblChecklist[PlayerSort],
    0
   ),
  IF(sort=0,500,sort)
 )
)</f>
        <v>500</v>
      </c>
      <c r="I1940" s="49" t="str">
        <f t="array" ref="I1940">_xlfn.XLOOKUP(
 B1940,
 tblTargetStatus[TargetID],
 tblTargetStatus[Status],
 ""
)</f>
        <v>BLOCKED</v>
      </c>
      <c r="J1940" s="45" t="b">
        <v>0</v>
      </c>
    </row>
    <row r="1941" ht="14.25" hidden="1" customHeight="1">
      <c r="A1941" s="49" t="s">
        <v>4169</v>
      </c>
      <c r="B1941" s="49" t="str">
        <f>IFERROR(__xludf.DUMMYFUNCTION("REGEXREPLACE(
 REGEXREPLACE(A1941,""^cost\."",""""),
 ""\.[^.]+\.[^.]+$"",
 """"
)"),"tech.workshop.conveyor_lvl_2")</f>
        <v>tech.workshop.conveyor_lvl_2</v>
      </c>
      <c r="C1941" s="49" t="str">
        <f t="array" ref="C1941">_xlfn.XLOOKUP(
 B1941,
 tblTargets[TargetID],
 tblTargets[DisplayName],
 ""
)</f>
        <v>Workshop - Conveyor Lvl 2</v>
      </c>
      <c r="D1941" s="49" t="str">
        <f t="array" ref="D1941">_xlfn.XLOOKUP(
 B1941,
 tblTargets[TargetID],
 tblTargets[TargetType],
 ""
)</f>
        <v>TECH</v>
      </c>
      <c r="E1941" s="49" t="s">
        <v>2135</v>
      </c>
      <c r="F1941" s="49">
        <v>1.0</v>
      </c>
      <c r="G1941" s="49">
        <f t="array" ref="G1941">_xlfn.XLOOKUP(
 A1941,
 tblCost[RequirementID],
 tblCost[QuantityRequired],
 ""
)</f>
        <v>30</v>
      </c>
      <c r="H1941" s="49">
        <f t="array" ref="H1941">IF(
 OR(
  LEFT(B1941,15)="state.character",
  RIGHT(B1941,6)=".maxed"
 ),
 0,
 LET(
  sort,
   _xlfn.XLOOKUP(
    B1941,
    tblChecklist[TargetID],
    tblChecklist[PlayerSort],
    0
   ),
  IF(sort=0,500,sort)
 )
)</f>
        <v>500</v>
      </c>
      <c r="I1941" s="49" t="str">
        <f t="array" ref="I1941">_xlfn.XLOOKUP(
 B1941,
 tblTargetStatus[TargetID],
 tblTargetStatus[Status],
 ""
)</f>
        <v>BLOCKED</v>
      </c>
      <c r="J1941" s="45" t="b">
        <v>0</v>
      </c>
    </row>
    <row r="1942" ht="14.25" hidden="1" customHeight="1">
      <c r="A1942" s="49" t="s">
        <v>4174</v>
      </c>
      <c r="B1942" s="49" t="str">
        <f>IFERROR(__xludf.DUMMYFUNCTION("REGEXREPLACE(
 REGEXREPLACE(A1942,""^cost\."",""""),
 ""\.[^.]+\.[^.]+$"",
 """"
)"),"tech.workshop.conveyor_lvl_2")</f>
        <v>tech.workshop.conveyor_lvl_2</v>
      </c>
      <c r="C1942" s="49" t="str">
        <f t="array" ref="C1942">_xlfn.XLOOKUP(
 B1942,
 tblTargets[TargetID],
 tblTargets[DisplayName],
 ""
)</f>
        <v>Workshop - Conveyor Lvl 2</v>
      </c>
      <c r="D1942" s="49" t="str">
        <f t="array" ref="D1942">_xlfn.XLOOKUP(
 B1942,
 tblTargets[TargetID],
 tblTargets[TargetType],
 ""
)</f>
        <v>TECH</v>
      </c>
      <c r="E1942" s="49" t="s">
        <v>6</v>
      </c>
      <c r="F1942" s="49">
        <v>1.0</v>
      </c>
      <c r="G1942" s="49">
        <f t="array" ref="G1942">_xlfn.XLOOKUP(
 A1942,
 tblCost[RequirementID],
 tblCost[QuantityRequired],
 ""
)</f>
        <v>5</v>
      </c>
      <c r="H1942" s="49">
        <f t="array" ref="H1942">IF(
 OR(
  LEFT(B1942,15)="state.character",
  RIGHT(B1942,6)=".maxed"
 ),
 0,
 LET(
  sort,
   _xlfn.XLOOKUP(
    B1942,
    tblChecklist[TargetID],
    tblChecklist[PlayerSort],
    0
   ),
  IF(sort=0,500,sort)
 )
)</f>
        <v>500</v>
      </c>
      <c r="I1942" s="49" t="str">
        <f t="array" ref="I1942">_xlfn.XLOOKUP(
 B1942,
 tblTargetStatus[TargetID],
 tblTargetStatus[Status],
 ""
)</f>
        <v>BLOCKED</v>
      </c>
      <c r="J1942" s="45" t="b">
        <v>0</v>
      </c>
    </row>
    <row r="1943" ht="14.25" hidden="1" customHeight="1">
      <c r="A1943" s="49" t="s">
        <v>4064</v>
      </c>
      <c r="B1943" s="49" t="str">
        <f>IFERROR(__xludf.DUMMYFUNCTION("REGEXREPLACE(
 REGEXREPLACE(A1943,""^cost\."",""""),
 ""\.[^.]+\.[^.]+$"",
 """"
)"),"tech.workshop.explosive_mechanical_spider")</f>
        <v>tech.workshop.explosive_mechanical_spider</v>
      </c>
      <c r="C1943" s="49" t="str">
        <f t="array" ref="C1943">_xlfn.XLOOKUP(
 B1943,
 tblTargets[TargetID],
 tblTargets[DisplayName],
 ""
)</f>
        <v>Workshop - Explosive Mechanical Spider</v>
      </c>
      <c r="D1943" s="49" t="str">
        <f t="array" ref="D1943">_xlfn.XLOOKUP(
 B1943,
 tblTargets[TargetID],
 tblTargets[TargetType],
 ""
)</f>
        <v>TECH</v>
      </c>
      <c r="E1943" s="49" t="s">
        <v>1055</v>
      </c>
      <c r="F1943" s="49">
        <v>1.0</v>
      </c>
      <c r="G1943" s="49">
        <f t="array" ref="G1943">_xlfn.XLOOKUP(
 A1943,
 tblCost[RequirementID],
 tblCost[QuantityRequired],
 ""
)</f>
        <v>15</v>
      </c>
      <c r="H1943" s="49">
        <f t="array" ref="H1943">IF(
 OR(
  LEFT(B1943,15)="state.character",
  RIGHT(B1943,6)=".maxed"
 ),
 0,
 LET(
  sort,
   _xlfn.XLOOKUP(
    B1943,
    tblChecklist[TargetID],
    tblChecklist[PlayerSort],
    0
   ),
  IF(sort=0,500,sort)
 )
)</f>
        <v>500</v>
      </c>
      <c r="I1943" s="49" t="str">
        <f t="array" ref="I1943">_xlfn.XLOOKUP(
 B1943,
 tblTargetStatus[TargetID],
 tblTargetStatus[Status],
 ""
)</f>
        <v>BLOCKED</v>
      </c>
      <c r="J1943" s="45" t="b">
        <v>0</v>
      </c>
    </row>
    <row r="1944" ht="14.25" hidden="1" customHeight="1">
      <c r="A1944" s="49" t="s">
        <v>4071</v>
      </c>
      <c r="B1944" s="49" t="str">
        <f>IFERROR(__xludf.DUMMYFUNCTION("REGEXREPLACE(
 REGEXREPLACE(A1944,""^cost\."",""""),
 ""\.[^.]+\.[^.]+$"",
 """"
)"),"tech.workshop.explosive_mechanical_spider")</f>
        <v>tech.workshop.explosive_mechanical_spider</v>
      </c>
      <c r="C1944" s="49" t="str">
        <f t="array" ref="C1944">_xlfn.XLOOKUP(
 B1944,
 tblTargets[TargetID],
 tblTargets[DisplayName],
 ""
)</f>
        <v>Workshop - Explosive Mechanical Spider</v>
      </c>
      <c r="D1944" s="49" t="str">
        <f t="array" ref="D1944">_xlfn.XLOOKUP(
 B1944,
 tblTargets[TargetID],
 tblTargets[TargetType],
 ""
)</f>
        <v>TECH</v>
      </c>
      <c r="E1944" s="49" t="s">
        <v>119</v>
      </c>
      <c r="F1944" s="49">
        <v>1.0</v>
      </c>
      <c r="G1944" s="49">
        <f t="array" ref="G1944">_xlfn.XLOOKUP(
 A1944,
 tblCost[RequirementID],
 tblCost[QuantityRequired],
 ""
)</f>
        <v>400</v>
      </c>
      <c r="H1944" s="49">
        <f t="array" ref="H1944">IF(
 OR(
  LEFT(B1944,15)="state.character",
  RIGHT(B1944,6)=".maxed"
 ),
 0,
 LET(
  sort,
   _xlfn.XLOOKUP(
    B1944,
    tblChecklist[TargetID],
    tblChecklist[PlayerSort],
    0
   ),
  IF(sort=0,500,sort)
 )
)</f>
        <v>500</v>
      </c>
      <c r="I1944" s="49" t="str">
        <f t="array" ref="I1944">_xlfn.XLOOKUP(
 B1944,
 tblTargetStatus[TargetID],
 tblTargetStatus[Status],
 ""
)</f>
        <v>BLOCKED</v>
      </c>
      <c r="J1944" s="45" t="b">
        <v>0</v>
      </c>
    </row>
    <row r="1945" ht="14.25" hidden="1" customHeight="1">
      <c r="A1945" s="49" t="s">
        <v>4076</v>
      </c>
      <c r="B1945" s="49" t="str">
        <f>IFERROR(__xludf.DUMMYFUNCTION("REGEXREPLACE(
 REGEXREPLACE(A1945,""^cost\."",""""),
 ""\.[^.]+\.[^.]+$"",
 """"
)"),"tech.workshop.explosive_mechanical_spider")</f>
        <v>tech.workshop.explosive_mechanical_spider</v>
      </c>
      <c r="C1945" s="49" t="str">
        <f t="array" ref="C1945">_xlfn.XLOOKUP(
 B1945,
 tblTargets[TargetID],
 tblTargets[DisplayName],
 ""
)</f>
        <v>Workshop - Explosive Mechanical Spider</v>
      </c>
      <c r="D1945" s="49" t="str">
        <f t="array" ref="D1945">_xlfn.XLOOKUP(
 B1945,
 tblTargets[TargetID],
 tblTargets[TargetType],
 ""
)</f>
        <v>TECH</v>
      </c>
      <c r="E1945" s="49" t="s">
        <v>4078</v>
      </c>
      <c r="F1945" s="49">
        <v>1.0</v>
      </c>
      <c r="G1945" s="49">
        <f t="array" ref="G1945">_xlfn.XLOOKUP(
 A1945,
 tblCost[RequirementID],
 tblCost[QuantityRequired],
 ""
)</f>
        <v>20</v>
      </c>
      <c r="H1945" s="49">
        <f t="array" ref="H1945">IF(
 OR(
  LEFT(B1945,15)="state.character",
  RIGHT(B1945,6)=".maxed"
 ),
 0,
 LET(
  sort,
   _xlfn.XLOOKUP(
    B1945,
    tblChecklist[TargetID],
    tblChecklist[PlayerSort],
    0
   ),
  IF(sort=0,500,sort)
 )
)</f>
        <v>500</v>
      </c>
      <c r="I1945" s="49" t="str">
        <f t="array" ref="I1945">_xlfn.XLOOKUP(
 B1945,
 tblTargetStatus[TargetID],
 tblTargetStatus[Status],
 ""
)</f>
        <v>BLOCKED</v>
      </c>
      <c r="J1945" s="45" t="b">
        <v>0</v>
      </c>
    </row>
    <row r="1946" ht="14.25" hidden="1" customHeight="1">
      <c r="A1946" s="49" t="s">
        <v>4079</v>
      </c>
      <c r="B1946" s="49" t="str">
        <f>IFERROR(__xludf.DUMMYFUNCTION("REGEXREPLACE(
 REGEXREPLACE(A1946,""^cost\."",""""),
 ""\.[^.]+\.[^.]+$"",
 """"
)"),"tech.workshop.explosive_mechanical_spider")</f>
        <v>tech.workshop.explosive_mechanical_spider</v>
      </c>
      <c r="C1946" s="49" t="str">
        <f t="array" ref="C1946">_xlfn.XLOOKUP(
 B1946,
 tblTargets[TargetID],
 tblTargets[DisplayName],
 ""
)</f>
        <v>Workshop - Explosive Mechanical Spider</v>
      </c>
      <c r="D1946" s="49" t="str">
        <f t="array" ref="D1946">_xlfn.XLOOKUP(
 B1946,
 tblTargets[TargetID],
 tblTargets[TargetType],
 ""
)</f>
        <v>TECH</v>
      </c>
      <c r="E1946" s="49" t="s">
        <v>1078</v>
      </c>
      <c r="F1946" s="49">
        <v>1.0</v>
      </c>
      <c r="G1946" s="49">
        <f t="array" ref="G1946">_xlfn.XLOOKUP(
 A1946,
 tblCost[RequirementID],
 tblCost[QuantityRequired],
 ""
)</f>
        <v>10</v>
      </c>
      <c r="H1946" s="49">
        <f t="array" ref="H1946">IF(
 OR(
  LEFT(B1946,15)="state.character",
  RIGHT(B1946,6)=".maxed"
 ),
 0,
 LET(
  sort,
   _xlfn.XLOOKUP(
    B1946,
    tblChecklist[TargetID],
    tblChecklist[PlayerSort],
    0
   ),
  IF(sort=0,500,sort)
 )
)</f>
        <v>500</v>
      </c>
      <c r="I1946" s="49" t="str">
        <f t="array" ref="I1946">_xlfn.XLOOKUP(
 B1946,
 tblTargetStatus[TargetID],
 tblTargetStatus[Status],
 ""
)</f>
        <v>BLOCKED</v>
      </c>
      <c r="J1946" s="45" t="b">
        <v>0</v>
      </c>
    </row>
    <row r="1947" ht="14.25" hidden="1" customHeight="1">
      <c r="A1947" s="49" t="s">
        <v>4082</v>
      </c>
      <c r="B1947" s="49" t="str">
        <f>IFERROR(__xludf.DUMMYFUNCTION("REGEXREPLACE(
 REGEXREPLACE(A1947,""^cost\."",""""),
 ""\.[^.]+\.[^.]+$"",
 """"
)"),"tech.workshop.explosive_mechanical_spider")</f>
        <v>tech.workshop.explosive_mechanical_spider</v>
      </c>
      <c r="C1947" s="49" t="str">
        <f t="array" ref="C1947">_xlfn.XLOOKUP(
 B1947,
 tblTargets[TargetID],
 tblTargets[DisplayName],
 ""
)</f>
        <v>Workshop - Explosive Mechanical Spider</v>
      </c>
      <c r="D1947" s="49" t="str">
        <f t="array" ref="D1947">_xlfn.XLOOKUP(
 B1947,
 tblTargets[TargetID],
 tblTargets[TargetType],
 ""
)</f>
        <v>TECH</v>
      </c>
      <c r="E1947" s="49" t="s">
        <v>602</v>
      </c>
      <c r="F1947" s="49">
        <v>1.0</v>
      </c>
      <c r="G1947" s="49">
        <f t="array" ref="G1947">_xlfn.XLOOKUP(
 A1947,
 tblCost[RequirementID],
 tblCost[QuantityRequired],
 ""
)</f>
        <v>3</v>
      </c>
      <c r="H1947" s="49">
        <f t="array" ref="H1947">IF(
 OR(
  LEFT(B1947,15)="state.character",
  RIGHT(B1947,6)=".maxed"
 ),
 0,
 LET(
  sort,
   _xlfn.XLOOKUP(
    B1947,
    tblChecklist[TargetID],
    tblChecklist[PlayerSort],
    0
   ),
  IF(sort=0,500,sort)
 )
)</f>
        <v>500</v>
      </c>
      <c r="I1947" s="49" t="str">
        <f t="array" ref="I1947">_xlfn.XLOOKUP(
 B1947,
 tblTargetStatus[TargetID],
 tblTargetStatus[Status],
 ""
)</f>
        <v>BLOCKED</v>
      </c>
      <c r="J1947" s="45" t="b">
        <v>0</v>
      </c>
    </row>
    <row r="1948" ht="14.25" hidden="1" customHeight="1">
      <c r="A1948" s="49" t="s">
        <v>4085</v>
      </c>
      <c r="B1948" s="49" t="str">
        <f>IFERROR(__xludf.DUMMYFUNCTION("REGEXREPLACE(
 REGEXREPLACE(A1948,""^cost\."",""""),
 ""\.[^.]+\.[^.]+$"",
 """"
)"),"tech.workshop.explosive_mechanical_spider")</f>
        <v>tech.workshop.explosive_mechanical_spider</v>
      </c>
      <c r="C1948" s="49" t="str">
        <f t="array" ref="C1948">_xlfn.XLOOKUP(
 B1948,
 tblTargets[TargetID],
 tblTargets[DisplayName],
 ""
)</f>
        <v>Workshop - Explosive Mechanical Spider</v>
      </c>
      <c r="D1948" s="49" t="str">
        <f t="array" ref="D1948">_xlfn.XLOOKUP(
 B1948,
 tblTargets[TargetID],
 tblTargets[TargetType],
 ""
)</f>
        <v>TECH</v>
      </c>
      <c r="E1948" s="49" t="s">
        <v>6</v>
      </c>
      <c r="F1948" s="49">
        <v>1.0</v>
      </c>
      <c r="G1948" s="49">
        <f t="array" ref="G1948">_xlfn.XLOOKUP(
 A1948,
 tblCost[RequirementID],
 tblCost[QuantityRequired],
 ""
)</f>
        <v>2</v>
      </c>
      <c r="H1948" s="49">
        <f t="array" ref="H1948">IF(
 OR(
  LEFT(B1948,15)="state.character",
  RIGHT(B1948,6)=".maxed"
 ),
 0,
 LET(
  sort,
   _xlfn.XLOOKUP(
    B1948,
    tblChecklist[TargetID],
    tblChecklist[PlayerSort],
    0
   ),
  IF(sort=0,500,sort)
 )
)</f>
        <v>500</v>
      </c>
      <c r="I1948" s="49" t="str">
        <f t="array" ref="I1948">_xlfn.XLOOKUP(
 B1948,
 tblTargetStatus[TargetID],
 tblTargetStatus[Status],
 ""
)</f>
        <v>BLOCKED</v>
      </c>
      <c r="J1948" s="45" t="b">
        <v>0</v>
      </c>
    </row>
    <row r="1949" ht="14.25" hidden="1" customHeight="1">
      <c r="A1949" s="49" t="s">
        <v>4047</v>
      </c>
      <c r="B1949" s="49" t="str">
        <f>IFERROR(__xludf.DUMMYFUNCTION("REGEXREPLACE(
 REGEXREPLACE(A1949,""^cost\."",""""),
 ""\.[^.]+\.[^.]+$"",
 """"
)"),"tech.workshop.mechanical_spider")</f>
        <v>tech.workshop.mechanical_spider</v>
      </c>
      <c r="C1949" s="49" t="str">
        <f t="array" ref="C1949">_xlfn.XLOOKUP(
 B1949,
 tblTargets[TargetID],
 tblTargets[DisplayName],
 ""
)</f>
        <v>Workshop - Mechanical Spider</v>
      </c>
      <c r="D1949" s="49" t="str">
        <f t="array" ref="D1949">_xlfn.XLOOKUP(
 B1949,
 tblTargets[TargetID],
 tblTargets[TargetType],
 ""
)</f>
        <v>TECH</v>
      </c>
      <c r="E1949" s="49" t="s">
        <v>1055</v>
      </c>
      <c r="F1949" s="49">
        <v>1.0</v>
      </c>
      <c r="G1949" s="49">
        <f t="array" ref="G1949">_xlfn.XLOOKUP(
 A1949,
 tblCost[RequirementID],
 tblCost[QuantityRequired],
 ""
)</f>
        <v>30</v>
      </c>
      <c r="H1949" s="49">
        <f t="array" ref="H1949">IF(
 OR(
  LEFT(B1949,15)="state.character",
  RIGHT(B1949,6)=".maxed"
 ),
 0,
 LET(
  sort,
   _xlfn.XLOOKUP(
    B1949,
    tblChecklist[TargetID],
    tblChecklist[PlayerSort],
    0
   ),
  IF(sort=0,500,sort)
 )
)</f>
        <v>500</v>
      </c>
      <c r="I1949" s="49" t="str">
        <f t="array" ref="I1949">_xlfn.XLOOKUP(
 B1949,
 tblTargetStatus[TargetID],
 tblTargetStatus[Status],
 ""
)</f>
        <v>BLOCKED</v>
      </c>
      <c r="J1949" s="45" t="b">
        <v>0</v>
      </c>
    </row>
    <row r="1950" ht="14.25" hidden="1" customHeight="1">
      <c r="A1950" s="49" t="s">
        <v>4051</v>
      </c>
      <c r="B1950" s="49" t="str">
        <f>IFERROR(__xludf.DUMMYFUNCTION("REGEXREPLACE(
 REGEXREPLACE(A1950,""^cost\."",""""),
 ""\.[^.]+\.[^.]+$"",
 """"
)"),"tech.workshop.mechanical_spider")</f>
        <v>tech.workshop.mechanical_spider</v>
      </c>
      <c r="C1950" s="49" t="str">
        <f t="array" ref="C1950">_xlfn.XLOOKUP(
 B1950,
 tblTargets[TargetID],
 tblTargets[DisplayName],
 ""
)</f>
        <v>Workshop - Mechanical Spider</v>
      </c>
      <c r="D1950" s="49" t="str">
        <f t="array" ref="D1950">_xlfn.XLOOKUP(
 B1950,
 tblTargets[TargetID],
 tblTargets[TargetType],
 ""
)</f>
        <v>TECH</v>
      </c>
      <c r="E1950" s="49" t="s">
        <v>119</v>
      </c>
      <c r="F1950" s="49">
        <v>1.0</v>
      </c>
      <c r="G1950" s="49">
        <f t="array" ref="G1950">_xlfn.XLOOKUP(
 A1950,
 tblCost[RequirementID],
 tblCost[QuantityRequired],
 ""
)</f>
        <v>1000</v>
      </c>
      <c r="H1950" s="49">
        <f t="array" ref="H1950">IF(
 OR(
  LEFT(B1950,15)="state.character",
  RIGHT(B1950,6)=".maxed"
 ),
 0,
 LET(
  sort,
   _xlfn.XLOOKUP(
    B1950,
    tblChecklist[TargetID],
    tblChecklist[PlayerSort],
    0
   ),
  IF(sort=0,500,sort)
 )
)</f>
        <v>500</v>
      </c>
      <c r="I1950" s="49" t="str">
        <f t="array" ref="I1950">_xlfn.XLOOKUP(
 B1950,
 tblTargetStatus[TargetID],
 tblTargetStatus[Status],
 ""
)</f>
        <v>BLOCKED</v>
      </c>
      <c r="J1950" s="45" t="b">
        <v>0</v>
      </c>
    </row>
    <row r="1951" ht="14.25" hidden="1" customHeight="1">
      <c r="A1951" s="49" t="s">
        <v>4053</v>
      </c>
      <c r="B1951" s="49" t="str">
        <f>IFERROR(__xludf.DUMMYFUNCTION("REGEXREPLACE(
 REGEXREPLACE(A1951,""^cost\."",""""),
 ""\.[^.]+\.[^.]+$"",
 """"
)"),"tech.workshop.mechanical_spider")</f>
        <v>tech.workshop.mechanical_spider</v>
      </c>
      <c r="C1951" s="49" t="str">
        <f t="array" ref="C1951">_xlfn.XLOOKUP(
 B1951,
 tblTargets[TargetID],
 tblTargets[DisplayName],
 ""
)</f>
        <v>Workshop - Mechanical Spider</v>
      </c>
      <c r="D1951" s="49" t="str">
        <f t="array" ref="D1951">_xlfn.XLOOKUP(
 B1951,
 tblTargets[TargetID],
 tblTargets[TargetType],
 ""
)</f>
        <v>TECH</v>
      </c>
      <c r="E1951" s="49" t="s">
        <v>1078</v>
      </c>
      <c r="F1951" s="49">
        <v>1.0</v>
      </c>
      <c r="G1951" s="49">
        <f t="array" ref="G1951">_xlfn.XLOOKUP(
 A1951,
 tblCost[RequirementID],
 tblCost[QuantityRequired],
 ""
)</f>
        <v>15</v>
      </c>
      <c r="H1951" s="49">
        <f t="array" ref="H1951">IF(
 OR(
  LEFT(B1951,15)="state.character",
  RIGHT(B1951,6)=".maxed"
 ),
 0,
 LET(
  sort,
   _xlfn.XLOOKUP(
    B1951,
    tblChecklist[TargetID],
    tblChecklist[PlayerSort],
    0
   ),
  IF(sort=0,500,sort)
 )
)</f>
        <v>500</v>
      </c>
      <c r="I1951" s="49" t="str">
        <f t="array" ref="I1951">_xlfn.XLOOKUP(
 B1951,
 tblTargetStatus[TargetID],
 tblTargetStatus[Status],
 ""
)</f>
        <v>BLOCKED</v>
      </c>
      <c r="J1951" s="45" t="b">
        <v>0</v>
      </c>
    </row>
    <row r="1952" ht="14.25" hidden="1" customHeight="1">
      <c r="A1952" s="49" t="s">
        <v>4056</v>
      </c>
      <c r="B1952" s="49" t="str">
        <f>IFERROR(__xludf.DUMMYFUNCTION("REGEXREPLACE(
 REGEXREPLACE(A1952,""^cost\."",""""),
 ""\.[^.]+\.[^.]+$"",
 """"
)"),"tech.workshop.mechanical_spider")</f>
        <v>tech.workshop.mechanical_spider</v>
      </c>
      <c r="C1952" s="49" t="str">
        <f t="array" ref="C1952">_xlfn.XLOOKUP(
 B1952,
 tblTargets[TargetID],
 tblTargets[DisplayName],
 ""
)</f>
        <v>Workshop - Mechanical Spider</v>
      </c>
      <c r="D1952" s="49" t="str">
        <f t="array" ref="D1952">_xlfn.XLOOKUP(
 B1952,
 tblTargets[TargetID],
 tblTargets[TargetType],
 ""
)</f>
        <v>TECH</v>
      </c>
      <c r="E1952" s="49" t="s">
        <v>2135</v>
      </c>
      <c r="F1952" s="49">
        <v>1.0</v>
      </c>
      <c r="G1952" s="49">
        <f t="array" ref="G1952">_xlfn.XLOOKUP(
 A1952,
 tblCost[RequirementID],
 tblCost[QuantityRequired],
 ""
)</f>
        <v>20</v>
      </c>
      <c r="H1952" s="49">
        <f t="array" ref="H1952">IF(
 OR(
  LEFT(B1952,15)="state.character",
  RIGHT(B1952,6)=".maxed"
 ),
 0,
 LET(
  sort,
   _xlfn.XLOOKUP(
    B1952,
    tblChecklist[TargetID],
    tblChecklist[PlayerSort],
    0
   ),
  IF(sort=0,500,sort)
 )
)</f>
        <v>500</v>
      </c>
      <c r="I1952" s="49" t="str">
        <f t="array" ref="I1952">_xlfn.XLOOKUP(
 B1952,
 tblTargetStatus[TargetID],
 tblTargetStatus[Status],
 ""
)</f>
        <v>BLOCKED</v>
      </c>
      <c r="J1952" s="45" t="b">
        <v>0</v>
      </c>
    </row>
    <row r="1953" ht="14.25" hidden="1" customHeight="1">
      <c r="A1953" s="49" t="s">
        <v>4060</v>
      </c>
      <c r="B1953" s="49" t="str">
        <f>IFERROR(__xludf.DUMMYFUNCTION("REGEXREPLACE(
 REGEXREPLACE(A1953,""^cost\."",""""),
 ""\.[^.]+\.[^.]+$"",
 """"
)"),"tech.workshop.mechanical_spider")</f>
        <v>tech.workshop.mechanical_spider</v>
      </c>
      <c r="C1953" s="49" t="str">
        <f t="array" ref="C1953">_xlfn.XLOOKUP(
 B1953,
 tblTargets[TargetID],
 tblTargets[DisplayName],
 ""
)</f>
        <v>Workshop - Mechanical Spider</v>
      </c>
      <c r="D1953" s="49" t="str">
        <f t="array" ref="D1953">_xlfn.XLOOKUP(
 B1953,
 tblTargets[TargetID],
 tblTargets[TargetType],
 ""
)</f>
        <v>TECH</v>
      </c>
      <c r="E1953" s="49" t="s">
        <v>6</v>
      </c>
      <c r="F1953" s="49">
        <v>1.0</v>
      </c>
      <c r="G1953" s="49">
        <f t="array" ref="G1953">_xlfn.XLOOKUP(
 A1953,
 tblCost[RequirementID],
 tblCost[QuantityRequired],
 ""
)</f>
        <v>5</v>
      </c>
      <c r="H1953" s="49">
        <f t="array" ref="H1953">IF(
 OR(
  LEFT(B1953,15)="state.character",
  RIGHT(B1953,6)=".maxed"
 ),
 0,
 LET(
  sort,
   _xlfn.XLOOKUP(
    B1953,
    tblChecklist[TargetID],
    tblChecklist[PlayerSort],
    0
   ),
  IF(sort=0,500,sort)
 )
)</f>
        <v>500</v>
      </c>
      <c r="I1953" s="49" t="str">
        <f t="array" ref="I1953">_xlfn.XLOOKUP(
 B1953,
 tblTargetStatus[TargetID],
 tblTargetStatus[Status],
 ""
)</f>
        <v>BLOCKED</v>
      </c>
      <c r="J1953" s="45" t="b">
        <v>0</v>
      </c>
    </row>
    <row r="1954" ht="14.25" hidden="1" customHeight="1">
      <c r="A1954" s="49" t="s">
        <v>4028</v>
      </c>
      <c r="B1954" s="49" t="str">
        <f>IFERROR(__xludf.DUMMYFUNCTION("REGEXREPLACE(
 REGEXREPLACE(A1954,""^cost\."",""""),
 ""\.[^.]+\.[^.]+$"",
 """"
)"),"tech.workshop.mechanism")</f>
        <v>tech.workshop.mechanism</v>
      </c>
      <c r="C1954" s="49" t="str">
        <f t="array" ref="C1954">_xlfn.XLOOKUP(
 B1954,
 tblTargets[TargetID],
 tblTargets[DisplayName],
 ""
)</f>
        <v>Workshop - Mechanism</v>
      </c>
      <c r="D1954" s="49" t="str">
        <f t="array" ref="D1954">_xlfn.XLOOKUP(
 B1954,
 tblTargets[TargetID],
 tblTargets[TargetType],
 ""
)</f>
        <v>TECH</v>
      </c>
      <c r="E1954" s="49" t="s">
        <v>1055</v>
      </c>
      <c r="F1954" s="49">
        <v>1.0</v>
      </c>
      <c r="G1954" s="49">
        <f t="array" ref="G1954">_xlfn.XLOOKUP(
 A1954,
 tblCost[RequirementID],
 tblCost[QuantityRequired],
 ""
)</f>
        <v>30</v>
      </c>
      <c r="H1954" s="49">
        <f t="array" ref="H1954">IF(
 OR(
  LEFT(B1954,15)="state.character",
  RIGHT(B1954,6)=".maxed"
 ),
 0,
 LET(
  sort,
   _xlfn.XLOOKUP(
    B1954,
    tblChecklist[TargetID],
    tblChecklist[PlayerSort],
    0
   ),
  IF(sort=0,500,sort)
 )
)</f>
        <v>500</v>
      </c>
      <c r="I1954" s="49" t="str">
        <f t="array" ref="I1954">_xlfn.XLOOKUP(
 B1954,
 tblTargetStatus[TargetID],
 tblTargetStatus[Status],
 ""
)</f>
        <v>BLOCKED</v>
      </c>
      <c r="J1954" s="45" t="b">
        <v>0</v>
      </c>
    </row>
    <row r="1955" ht="14.25" hidden="1" customHeight="1">
      <c r="A1955" s="49" t="s">
        <v>4032</v>
      </c>
      <c r="B1955" s="49" t="str">
        <f>IFERROR(__xludf.DUMMYFUNCTION("REGEXREPLACE(
 REGEXREPLACE(A1955,""^cost\."",""""),
 ""\.[^.]+\.[^.]+$"",
 """"
)"),"tech.workshop.mechanism")</f>
        <v>tech.workshop.mechanism</v>
      </c>
      <c r="C1955" s="49" t="str">
        <f t="array" ref="C1955">_xlfn.XLOOKUP(
 B1955,
 tblTargets[TargetID],
 tblTargets[DisplayName],
 ""
)</f>
        <v>Workshop - Mechanism</v>
      </c>
      <c r="D1955" s="49" t="str">
        <f t="array" ref="D1955">_xlfn.XLOOKUP(
 B1955,
 tblTargets[TargetID],
 tblTargets[TargetType],
 ""
)</f>
        <v>TECH</v>
      </c>
      <c r="E1955" s="49" t="s">
        <v>119</v>
      </c>
      <c r="F1955" s="49">
        <v>1.0</v>
      </c>
      <c r="G1955" s="49">
        <f t="array" ref="G1955">_xlfn.XLOOKUP(
 A1955,
 tblCost[RequirementID],
 tblCost[QuantityRequired],
 ""
)</f>
        <v>700</v>
      </c>
      <c r="H1955" s="49">
        <f t="array" ref="H1955">IF(
 OR(
  LEFT(B1955,15)="state.character",
  RIGHT(B1955,6)=".maxed"
 ),
 0,
 LET(
  sort,
   _xlfn.XLOOKUP(
    B1955,
    tblChecklist[TargetID],
    tblChecklist[PlayerSort],
    0
   ),
  IF(sort=0,500,sort)
 )
)</f>
        <v>500</v>
      </c>
      <c r="I1955" s="49" t="str">
        <f t="array" ref="I1955">_xlfn.XLOOKUP(
 B1955,
 tblTargetStatus[TargetID],
 tblTargetStatus[Status],
 ""
)</f>
        <v>BLOCKED</v>
      </c>
      <c r="J1955" s="45" t="b">
        <v>0</v>
      </c>
    </row>
    <row r="1956" ht="14.25" hidden="1" customHeight="1">
      <c r="A1956" s="49" t="s">
        <v>4037</v>
      </c>
      <c r="B1956" s="49" t="str">
        <f>IFERROR(__xludf.DUMMYFUNCTION("REGEXREPLACE(
 REGEXREPLACE(A1956,""^cost\."",""""),
 ""\.[^.]+\.[^.]+$"",
 """"
)"),"tech.workshop.mechanism")</f>
        <v>tech.workshop.mechanism</v>
      </c>
      <c r="C1956" s="49" t="str">
        <f t="array" ref="C1956">_xlfn.XLOOKUP(
 B1956,
 tblTargets[TargetID],
 tblTargets[DisplayName],
 ""
)</f>
        <v>Workshop - Mechanism</v>
      </c>
      <c r="D1956" s="49" t="str">
        <f t="array" ref="D1956">_xlfn.XLOOKUP(
 B1956,
 tblTargets[TargetID],
 tblTargets[TargetType],
 ""
)</f>
        <v>TECH</v>
      </c>
      <c r="E1956" s="49" t="s">
        <v>179</v>
      </c>
      <c r="F1956" s="49">
        <v>1.0</v>
      </c>
      <c r="G1956" s="49">
        <f t="array" ref="G1956">_xlfn.XLOOKUP(
 A1956,
 tblCost[RequirementID],
 tblCost[QuantityRequired],
 ""
)</f>
        <v>30</v>
      </c>
      <c r="H1956" s="49">
        <f t="array" ref="H1956">IF(
 OR(
  LEFT(B1956,15)="state.character",
  RIGHT(B1956,6)=".maxed"
 ),
 0,
 LET(
  sort,
   _xlfn.XLOOKUP(
    B1956,
    tblChecklist[TargetID],
    tblChecklist[PlayerSort],
    0
   ),
  IF(sort=0,500,sort)
 )
)</f>
        <v>500</v>
      </c>
      <c r="I1956" s="49" t="str">
        <f t="array" ref="I1956">_xlfn.XLOOKUP(
 B1956,
 tblTargetStatus[TargetID],
 tblTargetStatus[Status],
 ""
)</f>
        <v>BLOCKED</v>
      </c>
      <c r="J1956" s="45" t="b">
        <v>0</v>
      </c>
    </row>
    <row r="1957" ht="14.25" hidden="1" customHeight="1">
      <c r="A1957" s="49" t="s">
        <v>4039</v>
      </c>
      <c r="B1957" s="49" t="str">
        <f>IFERROR(__xludf.DUMMYFUNCTION("REGEXREPLACE(
 REGEXREPLACE(A1957,""^cost\."",""""),
 ""\.[^.]+\.[^.]+$"",
 """"
)"),"tech.workshop.mechanism")</f>
        <v>tech.workshop.mechanism</v>
      </c>
      <c r="C1957" s="49" t="str">
        <f t="array" ref="C1957">_xlfn.XLOOKUP(
 B1957,
 tblTargets[TargetID],
 tblTargets[DisplayName],
 ""
)</f>
        <v>Workshop - Mechanism</v>
      </c>
      <c r="D1957" s="49" t="str">
        <f t="array" ref="D1957">_xlfn.XLOOKUP(
 B1957,
 tblTargets[TargetID],
 tblTargets[TargetType],
 ""
)</f>
        <v>TECH</v>
      </c>
      <c r="E1957" s="49" t="s">
        <v>2135</v>
      </c>
      <c r="F1957" s="49">
        <v>1.0</v>
      </c>
      <c r="G1957" s="49">
        <f t="array" ref="G1957">_xlfn.XLOOKUP(
 A1957,
 tblCost[RequirementID],
 tblCost[QuantityRequired],
 ""
)</f>
        <v>10</v>
      </c>
      <c r="H1957" s="49">
        <f t="array" ref="H1957">IF(
 OR(
  LEFT(B1957,15)="state.character",
  RIGHT(B1957,6)=".maxed"
 ),
 0,
 LET(
  sort,
   _xlfn.XLOOKUP(
    B1957,
    tblChecklist[TargetID],
    tblChecklist[PlayerSort],
    0
   ),
  IF(sort=0,500,sort)
 )
)</f>
        <v>500</v>
      </c>
      <c r="I1957" s="49" t="str">
        <f t="array" ref="I1957">_xlfn.XLOOKUP(
 B1957,
 tblTargetStatus[TargetID],
 tblTargetStatus[Status],
 ""
)</f>
        <v>BLOCKED</v>
      </c>
      <c r="J1957" s="45" t="b">
        <v>0</v>
      </c>
    </row>
    <row r="1958" ht="14.25" hidden="1" customHeight="1">
      <c r="A1958" s="49" t="s">
        <v>4043</v>
      </c>
      <c r="B1958" s="49" t="str">
        <f>IFERROR(__xludf.DUMMYFUNCTION("REGEXREPLACE(
 REGEXREPLACE(A1958,""^cost\."",""""),
 ""\.[^.]+\.[^.]+$"",
 """"
)"),"tech.workshop.mechanism")</f>
        <v>tech.workshop.mechanism</v>
      </c>
      <c r="C1958" s="49" t="str">
        <f t="array" ref="C1958">_xlfn.XLOOKUP(
 B1958,
 tblTargets[TargetID],
 tblTargets[DisplayName],
 ""
)</f>
        <v>Workshop - Mechanism</v>
      </c>
      <c r="D1958" s="49" t="str">
        <f t="array" ref="D1958">_xlfn.XLOOKUP(
 B1958,
 tblTargets[TargetID],
 tblTargets[TargetType],
 ""
)</f>
        <v>TECH</v>
      </c>
      <c r="E1958" s="49" t="s">
        <v>6</v>
      </c>
      <c r="F1958" s="49">
        <v>1.0</v>
      </c>
      <c r="G1958" s="49">
        <f t="array" ref="G1958">_xlfn.XLOOKUP(
 A1958,
 tblCost[RequirementID],
 tblCost[QuantityRequired],
 ""
)</f>
        <v>3</v>
      </c>
      <c r="H1958" s="49">
        <f t="array" ref="H1958">IF(
 OR(
  LEFT(B1958,15)="state.character",
  RIGHT(B1958,6)=".maxed"
 ),
 0,
 LET(
  sort,
   _xlfn.XLOOKUP(
    B1958,
    tblChecklist[TargetID],
    tblChecklist[PlayerSort],
    0
   ),
  IF(sort=0,500,sort)
 )
)</f>
        <v>500</v>
      </c>
      <c r="I1958" s="49" t="str">
        <f t="array" ref="I1958">_xlfn.XLOOKUP(
 B1958,
 tblTargetStatus[TargetID],
 tblTargetStatus[Status],
 ""
)</f>
        <v>BLOCKED</v>
      </c>
      <c r="J1958" s="45" t="b">
        <v>0</v>
      </c>
    </row>
    <row r="1959" ht="14.25" hidden="1" customHeight="1">
      <c r="A1959" s="49" t="s">
        <v>3913</v>
      </c>
      <c r="B1959" s="49" t="str">
        <f>IFERROR(__xludf.DUMMYFUNCTION("REGEXREPLACE(
 REGEXREPLACE(A1959,""^cost\."",""""),
 ""\.[^.]+\.[^.]+$"",
 """"
)"),"tech.workshop.shield_for_a_hero_lvl_1")</f>
        <v>tech.workshop.shield_for_a_hero_lvl_1</v>
      </c>
      <c r="C1959" s="49" t="str">
        <f t="array" ref="C1959">_xlfn.XLOOKUP(
 B1959,
 tblTargets[TargetID],
 tblTargets[DisplayName],
 ""
)</f>
        <v>Workshop - Shield For A Hero Lvl 1</v>
      </c>
      <c r="D1959" s="49" t="str">
        <f t="array" ref="D1959">_xlfn.XLOOKUP(
 B1959,
 tblTargets[TargetID],
 tblTargets[TargetType],
 ""
)</f>
        <v>TECH</v>
      </c>
      <c r="E1959" s="49" t="s">
        <v>278</v>
      </c>
      <c r="F1959" s="49">
        <v>1.0</v>
      </c>
      <c r="G1959" s="49">
        <f t="array" ref="G1959">_xlfn.XLOOKUP(
 A1959,
 tblCost[RequirementID],
 tblCost[QuantityRequired],
 ""
)</f>
        <v>50</v>
      </c>
      <c r="H1959" s="49">
        <f t="array" ref="H1959">IF(
 OR(
  LEFT(B1959,15)="state.character",
  RIGHT(B1959,6)=".maxed"
 ),
 0,
 LET(
  sort,
   _xlfn.XLOOKUP(
    B1959,
    tblChecklist[TargetID],
    tblChecklist[PlayerSort],
    0
   ),
  IF(sort=0,500,sort)
 )
)</f>
        <v>500</v>
      </c>
      <c r="I1959" s="49" t="str">
        <f t="array" ref="I1959">_xlfn.XLOOKUP(
 B1959,
 tblTargetStatus[TargetID],
 tblTargetStatus[Status],
 ""
)</f>
        <v>BLOCKED</v>
      </c>
      <c r="J1959" s="45" t="b">
        <v>0</v>
      </c>
    </row>
    <row r="1960" ht="14.25" hidden="1" customHeight="1">
      <c r="A1960" s="49" t="s">
        <v>3917</v>
      </c>
      <c r="B1960" s="49" t="str">
        <f>IFERROR(__xludf.DUMMYFUNCTION("REGEXREPLACE(
 REGEXREPLACE(A1960,""^cost\."",""""),
 ""\.[^.]+\.[^.]+$"",
 """"
)"),"tech.workshop.shield_for_a_hero_lvl_1")</f>
        <v>tech.workshop.shield_for_a_hero_lvl_1</v>
      </c>
      <c r="C1960" s="49" t="str">
        <f t="array" ref="C1960">_xlfn.XLOOKUP(
 B1960,
 tblTargets[TargetID],
 tblTargets[DisplayName],
 ""
)</f>
        <v>Workshop - Shield For A Hero Lvl 1</v>
      </c>
      <c r="D1960" s="49" t="str">
        <f t="array" ref="D1960">_xlfn.XLOOKUP(
 B1960,
 tblTargets[TargetID],
 tblTargets[TargetType],
 ""
)</f>
        <v>TECH</v>
      </c>
      <c r="E1960" s="49" t="s">
        <v>119</v>
      </c>
      <c r="F1960" s="49">
        <v>1.0</v>
      </c>
      <c r="G1960" s="49">
        <f t="array" ref="G1960">_xlfn.XLOOKUP(
 A1960,
 tblCost[RequirementID],
 tblCost[QuantityRequired],
 ""
)</f>
        <v>300</v>
      </c>
      <c r="H1960" s="49">
        <f t="array" ref="H1960">IF(
 OR(
  LEFT(B1960,15)="state.character",
  RIGHT(B1960,6)=".maxed"
 ),
 0,
 LET(
  sort,
   _xlfn.XLOOKUP(
    B1960,
    tblChecklist[TargetID],
    tblChecklist[PlayerSort],
    0
   ),
  IF(sort=0,500,sort)
 )
)</f>
        <v>500</v>
      </c>
      <c r="I1960" s="49" t="str">
        <f t="array" ref="I1960">_xlfn.XLOOKUP(
 B1960,
 tblTargetStatus[TargetID],
 tblTargetStatus[Status],
 ""
)</f>
        <v>BLOCKED</v>
      </c>
      <c r="J1960" s="45" t="b">
        <v>0</v>
      </c>
    </row>
    <row r="1961" ht="14.25" hidden="1" customHeight="1">
      <c r="A1961" s="49" t="s">
        <v>3921</v>
      </c>
      <c r="B1961" s="49" t="str">
        <f>IFERROR(__xludf.DUMMYFUNCTION("REGEXREPLACE(
 REGEXREPLACE(A1961,""^cost\."",""""),
 ""\.[^.]+\.[^.]+$"",
 """"
)"),"tech.workshop.shield_for_a_hero_lvl_1")</f>
        <v>tech.workshop.shield_for_a_hero_lvl_1</v>
      </c>
      <c r="C1961" s="49" t="str">
        <f t="array" ref="C1961">_xlfn.XLOOKUP(
 B1961,
 tblTargets[TargetID],
 tblTargets[DisplayName],
 ""
)</f>
        <v>Workshop - Shield For A Hero Lvl 1</v>
      </c>
      <c r="D1961" s="49" t="str">
        <f t="array" ref="D1961">_xlfn.XLOOKUP(
 B1961,
 tblTargets[TargetID],
 tblTargets[TargetType],
 ""
)</f>
        <v>TECH</v>
      </c>
      <c r="E1961" s="49" t="s">
        <v>126</v>
      </c>
      <c r="F1961" s="49">
        <v>1.0</v>
      </c>
      <c r="G1961" s="49">
        <f t="array" ref="G1961">_xlfn.XLOOKUP(
 A1961,
 tblCost[RequirementID],
 tblCost[QuantityRequired],
 ""
)</f>
        <v>40</v>
      </c>
      <c r="H1961" s="49">
        <f t="array" ref="H1961">IF(
 OR(
  LEFT(B1961,15)="state.character",
  RIGHT(B1961,6)=".maxed"
 ),
 0,
 LET(
  sort,
   _xlfn.XLOOKUP(
    B1961,
    tblChecklist[TargetID],
    tblChecklist[PlayerSort],
    0
   ),
  IF(sort=0,500,sort)
 )
)</f>
        <v>500</v>
      </c>
      <c r="I1961" s="49" t="str">
        <f t="array" ref="I1961">_xlfn.XLOOKUP(
 B1961,
 tblTargetStatus[TargetID],
 tblTargetStatus[Status],
 ""
)</f>
        <v>BLOCKED</v>
      </c>
      <c r="J1961" s="45" t="b">
        <v>0</v>
      </c>
    </row>
    <row r="1962" ht="14.25" hidden="1" customHeight="1">
      <c r="A1962" s="49" t="s">
        <v>3925</v>
      </c>
      <c r="B1962" s="49" t="str">
        <f>IFERROR(__xludf.DUMMYFUNCTION("REGEXREPLACE(
 REGEXREPLACE(A1962,""^cost\."",""""),
 ""\.[^.]+\.[^.]+$"",
 """"
)"),"tech.workshop.shield_for_a_hero_lvl_1")</f>
        <v>tech.workshop.shield_for_a_hero_lvl_1</v>
      </c>
      <c r="C1962" s="49" t="str">
        <f t="array" ref="C1962">_xlfn.XLOOKUP(
 B1962,
 tblTargets[TargetID],
 tblTargets[DisplayName],
 ""
)</f>
        <v>Workshop - Shield For A Hero Lvl 1</v>
      </c>
      <c r="D1962" s="49" t="str">
        <f t="array" ref="D1962">_xlfn.XLOOKUP(
 B1962,
 tblTargets[TargetID],
 tblTargets[TargetType],
 ""
)</f>
        <v>TECH</v>
      </c>
      <c r="E1962" s="49" t="s">
        <v>132</v>
      </c>
      <c r="F1962" s="49">
        <v>1.0</v>
      </c>
      <c r="G1962" s="49">
        <f t="array" ref="G1962">_xlfn.XLOOKUP(
 A1962,
 tblCost[RequirementID],
 tblCost[QuantityRequired],
 ""
)</f>
        <v>20</v>
      </c>
      <c r="H1962" s="49">
        <f t="array" ref="H1962">IF(
 OR(
  LEFT(B1962,15)="state.character",
  RIGHT(B1962,6)=".maxed"
 ),
 0,
 LET(
  sort,
   _xlfn.XLOOKUP(
    B1962,
    tblChecklist[TargetID],
    tblChecklist[PlayerSort],
    0
   ),
  IF(sort=0,500,sort)
 )
)</f>
        <v>500</v>
      </c>
      <c r="I1962" s="49" t="str">
        <f t="array" ref="I1962">_xlfn.XLOOKUP(
 B1962,
 tblTargetStatus[TargetID],
 tblTargetStatus[Status],
 ""
)</f>
        <v>BLOCKED</v>
      </c>
      <c r="J1962" s="45" t="b">
        <v>0</v>
      </c>
    </row>
    <row r="1963" ht="14.25" hidden="1" customHeight="1">
      <c r="A1963" s="49" t="s">
        <v>3929</v>
      </c>
      <c r="B1963" s="49" t="str">
        <f>IFERROR(__xludf.DUMMYFUNCTION("REGEXREPLACE(
 REGEXREPLACE(A1963,""^cost\."",""""),
 ""\.[^.]+\.[^.]+$"",
 """"
)"),"tech.workshop.shield_for_a_hero_lvl_1")</f>
        <v>tech.workshop.shield_for_a_hero_lvl_1</v>
      </c>
      <c r="C1963" s="49" t="str">
        <f t="array" ref="C1963">_xlfn.XLOOKUP(
 B1963,
 tblTargets[TargetID],
 tblTargets[DisplayName],
 ""
)</f>
        <v>Workshop - Shield For A Hero Lvl 1</v>
      </c>
      <c r="D1963" s="49" t="str">
        <f t="array" ref="D1963">_xlfn.XLOOKUP(
 B1963,
 tblTargets[TargetID],
 tblTargets[TargetType],
 ""
)</f>
        <v>TECH</v>
      </c>
      <c r="E1963" s="49" t="s">
        <v>6</v>
      </c>
      <c r="F1963" s="49">
        <v>1.0</v>
      </c>
      <c r="G1963" s="49">
        <f t="array" ref="G1963">_xlfn.XLOOKUP(
 A1963,
 tblCost[RequirementID],
 tblCost[QuantityRequired],
 ""
)</f>
        <v>2</v>
      </c>
      <c r="H1963" s="49">
        <f t="array" ref="H1963">IF(
 OR(
  LEFT(B1963,15)="state.character",
  RIGHT(B1963,6)=".maxed"
 ),
 0,
 LET(
  sort,
   _xlfn.XLOOKUP(
    B1963,
    tblChecklist[TargetID],
    tblChecklist[PlayerSort],
    0
   ),
  IF(sort=0,500,sort)
 )
)</f>
        <v>500</v>
      </c>
      <c r="I1963" s="49" t="str">
        <f t="array" ref="I1963">_xlfn.XLOOKUP(
 B1963,
 tblTargetStatus[TargetID],
 tblTargetStatus[Status],
 ""
)</f>
        <v>BLOCKED</v>
      </c>
      <c r="J1963" s="45" t="b">
        <v>0</v>
      </c>
    </row>
    <row r="1964" ht="14.25" hidden="1" customHeight="1">
      <c r="A1964" s="49" t="s">
        <v>3934</v>
      </c>
      <c r="B1964" s="49" t="str">
        <f>IFERROR(__xludf.DUMMYFUNCTION("REGEXREPLACE(
 REGEXREPLACE(A1964,""^cost\."",""""),
 ""\.[^.]+\.[^.]+$"",
 """"
)"),"tech.workshop.shield_for_a_hero_lvl_2")</f>
        <v>tech.workshop.shield_for_a_hero_lvl_2</v>
      </c>
      <c r="C1964" s="49" t="str">
        <f t="array" ref="C1964">_xlfn.XLOOKUP(
 B1964,
 tblTargets[TargetID],
 tblTargets[DisplayName],
 ""
)</f>
        <v>Workshop - Shield For A Hero Lvl 2</v>
      </c>
      <c r="D1964" s="49" t="str">
        <f t="array" ref="D1964">_xlfn.XLOOKUP(
 B1964,
 tblTargets[TargetID],
 tblTargets[TargetType],
 ""
)</f>
        <v>TECH</v>
      </c>
      <c r="E1964" s="49" t="s">
        <v>1055</v>
      </c>
      <c r="F1964" s="49">
        <v>1.0</v>
      </c>
      <c r="G1964" s="49">
        <f t="array" ref="G1964">_xlfn.XLOOKUP(
 A1964,
 tblCost[RequirementID],
 tblCost[QuantityRequired],
 ""
)</f>
        <v>15</v>
      </c>
      <c r="H1964" s="49">
        <f t="array" ref="H1964">IF(
 OR(
  LEFT(B1964,15)="state.character",
  RIGHT(B1964,6)=".maxed"
 ),
 0,
 LET(
  sort,
   _xlfn.XLOOKUP(
    B1964,
    tblChecklist[TargetID],
    tblChecklist[PlayerSort],
    0
   ),
  IF(sort=0,500,sort)
 )
)</f>
        <v>500</v>
      </c>
      <c r="I1964" s="49" t="str">
        <f t="array" ref="I1964">_xlfn.XLOOKUP(
 B1964,
 tblTargetStatus[TargetID],
 tblTargetStatus[Status],
 ""
)</f>
        <v>BLOCKED</v>
      </c>
      <c r="J1964" s="45" t="b">
        <v>0</v>
      </c>
    </row>
    <row r="1965" ht="14.25" hidden="1" customHeight="1">
      <c r="A1965" s="49" t="s">
        <v>3938</v>
      </c>
      <c r="B1965" s="49" t="str">
        <f>IFERROR(__xludf.DUMMYFUNCTION("REGEXREPLACE(
 REGEXREPLACE(A1965,""^cost\."",""""),
 ""\.[^.]+\.[^.]+$"",
 """"
)"),"tech.workshop.shield_for_a_hero_lvl_2")</f>
        <v>tech.workshop.shield_for_a_hero_lvl_2</v>
      </c>
      <c r="C1965" s="49" t="str">
        <f t="array" ref="C1965">_xlfn.XLOOKUP(
 B1965,
 tblTargets[TargetID],
 tblTargets[DisplayName],
 ""
)</f>
        <v>Workshop - Shield For A Hero Lvl 2</v>
      </c>
      <c r="D1965" s="49" t="str">
        <f t="array" ref="D1965">_xlfn.XLOOKUP(
 B1965,
 tblTargets[TargetID],
 tblTargets[TargetType],
 ""
)</f>
        <v>TECH</v>
      </c>
      <c r="E1965" s="49" t="s">
        <v>119</v>
      </c>
      <c r="F1965" s="49">
        <v>1.0</v>
      </c>
      <c r="G1965" s="49">
        <f t="array" ref="G1965">_xlfn.XLOOKUP(
 A1965,
 tblCost[RequirementID],
 tblCost[QuantityRequired],
 ""
)</f>
        <v>500</v>
      </c>
      <c r="H1965" s="49">
        <f t="array" ref="H1965">IF(
 OR(
  LEFT(B1965,15)="state.character",
  RIGHT(B1965,6)=".maxed"
 ),
 0,
 LET(
  sort,
   _xlfn.XLOOKUP(
    B1965,
    tblChecklist[TargetID],
    tblChecklist[PlayerSort],
    0
   ),
  IF(sort=0,500,sort)
 )
)</f>
        <v>500</v>
      </c>
      <c r="I1965" s="49" t="str">
        <f t="array" ref="I1965">_xlfn.XLOOKUP(
 B1965,
 tblTargetStatus[TargetID],
 tblTargetStatus[Status],
 ""
)</f>
        <v>BLOCKED</v>
      </c>
      <c r="J1965" s="45" t="b">
        <v>0</v>
      </c>
    </row>
    <row r="1966" ht="14.25" hidden="1" customHeight="1">
      <c r="A1966" s="49" t="s">
        <v>3942</v>
      </c>
      <c r="B1966" s="49" t="str">
        <f>IFERROR(__xludf.DUMMYFUNCTION("REGEXREPLACE(
 REGEXREPLACE(A1966,""^cost\."",""""),
 ""\.[^.]+\.[^.]+$"",
 """"
)"),"tech.workshop.shield_for_a_hero_lvl_2")</f>
        <v>tech.workshop.shield_for_a_hero_lvl_2</v>
      </c>
      <c r="C1966" s="49" t="str">
        <f t="array" ref="C1966">_xlfn.XLOOKUP(
 B1966,
 tblTargets[TargetID],
 tblTargets[DisplayName],
 ""
)</f>
        <v>Workshop - Shield For A Hero Lvl 2</v>
      </c>
      <c r="D1966" s="49" t="str">
        <f t="array" ref="D1966">_xlfn.XLOOKUP(
 B1966,
 tblTargets[TargetID],
 tblTargets[TargetType],
 ""
)</f>
        <v>TECH</v>
      </c>
      <c r="E1966" s="49" t="s">
        <v>2135</v>
      </c>
      <c r="F1966" s="49">
        <v>1.0</v>
      </c>
      <c r="G1966" s="49">
        <f t="array" ref="G1966">_xlfn.XLOOKUP(
 A1966,
 tblCost[RequirementID],
 tblCost[QuantityRequired],
 ""
)</f>
        <v>40</v>
      </c>
      <c r="H1966" s="49">
        <f t="array" ref="H1966">IF(
 OR(
  LEFT(B1966,15)="state.character",
  RIGHT(B1966,6)=".maxed"
 ),
 0,
 LET(
  sort,
   _xlfn.XLOOKUP(
    B1966,
    tblChecklist[TargetID],
    tblChecklist[PlayerSort],
    0
   ),
  IF(sort=0,500,sort)
 )
)</f>
        <v>500</v>
      </c>
      <c r="I1966" s="49" t="str">
        <f t="array" ref="I1966">_xlfn.XLOOKUP(
 B1966,
 tblTargetStatus[TargetID],
 tblTargetStatus[Status],
 ""
)</f>
        <v>BLOCKED</v>
      </c>
      <c r="J1966" s="45" t="b">
        <v>0</v>
      </c>
    </row>
    <row r="1967" ht="14.25" hidden="1" customHeight="1">
      <c r="A1967" s="49" t="s">
        <v>3944</v>
      </c>
      <c r="B1967" s="49" t="str">
        <f>IFERROR(__xludf.DUMMYFUNCTION("REGEXREPLACE(
 REGEXREPLACE(A1967,""^cost\."",""""),
 ""\.[^.]+\.[^.]+$"",
 """"
)"),"tech.workshop.shield_for_a_hero_lvl_2")</f>
        <v>tech.workshop.shield_for_a_hero_lvl_2</v>
      </c>
      <c r="C1967" s="49" t="str">
        <f t="array" ref="C1967">_xlfn.XLOOKUP(
 B1967,
 tblTargets[TargetID],
 tblTargets[DisplayName],
 ""
)</f>
        <v>Workshop - Shield For A Hero Lvl 2</v>
      </c>
      <c r="D1967" s="49" t="str">
        <f t="array" ref="D1967">_xlfn.XLOOKUP(
 B1967,
 tblTargets[TargetID],
 tblTargets[TargetType],
 ""
)</f>
        <v>TECH</v>
      </c>
      <c r="E1967" s="49" t="s">
        <v>187</v>
      </c>
      <c r="F1967" s="49">
        <v>1.0</v>
      </c>
      <c r="G1967" s="49">
        <f t="array" ref="G1967">_xlfn.XLOOKUP(
 A1967,
 tblCost[RequirementID],
 tblCost[QuantityRequired],
 ""
)</f>
        <v>100</v>
      </c>
      <c r="H1967" s="49">
        <f t="array" ref="H1967">IF(
 OR(
  LEFT(B1967,15)="state.character",
  RIGHT(B1967,6)=".maxed"
 ),
 0,
 LET(
  sort,
   _xlfn.XLOOKUP(
    B1967,
    tblChecklist[TargetID],
    tblChecklist[PlayerSort],
    0
   ),
  IF(sort=0,500,sort)
 )
)</f>
        <v>500</v>
      </c>
      <c r="I1967" s="49" t="str">
        <f t="array" ref="I1967">_xlfn.XLOOKUP(
 B1967,
 tblTargetStatus[TargetID],
 tblTargetStatus[Status],
 ""
)</f>
        <v>BLOCKED</v>
      </c>
      <c r="J1967" s="45" t="b">
        <v>0</v>
      </c>
    </row>
    <row r="1968" ht="14.25" hidden="1" customHeight="1">
      <c r="A1968" s="49" t="s">
        <v>3945</v>
      </c>
      <c r="B1968" s="49" t="str">
        <f>IFERROR(__xludf.DUMMYFUNCTION("REGEXREPLACE(
 REGEXREPLACE(A1968,""^cost\."",""""),
 ""\.[^.]+\.[^.]+$"",
 """"
)"),"tech.workshop.shield_for_a_hero_lvl_2")</f>
        <v>tech.workshop.shield_for_a_hero_lvl_2</v>
      </c>
      <c r="C1968" s="49" t="str">
        <f t="array" ref="C1968">_xlfn.XLOOKUP(
 B1968,
 tblTargets[TargetID],
 tblTargets[DisplayName],
 ""
)</f>
        <v>Workshop - Shield For A Hero Lvl 2</v>
      </c>
      <c r="D1968" s="49" t="str">
        <f t="array" ref="D1968">_xlfn.XLOOKUP(
 B1968,
 tblTargets[TargetID],
 tblTargets[TargetType],
 ""
)</f>
        <v>TECH</v>
      </c>
      <c r="E1968" s="49" t="s">
        <v>6</v>
      </c>
      <c r="F1968" s="49">
        <v>1.0</v>
      </c>
      <c r="G1968" s="49">
        <f t="array" ref="G1968">_xlfn.XLOOKUP(
 A1968,
 tblCost[RequirementID],
 tblCost[QuantityRequired],
 ""
)</f>
        <v>3</v>
      </c>
      <c r="H1968" s="49">
        <f t="array" ref="H1968">IF(
 OR(
  LEFT(B1968,15)="state.character",
  RIGHT(B1968,6)=".maxed"
 ),
 0,
 LET(
  sort,
   _xlfn.XLOOKUP(
    B1968,
    tblChecklist[TargetID],
    tblChecklist[PlayerSort],
    0
   ),
  IF(sort=0,500,sort)
 )
)</f>
        <v>500</v>
      </c>
      <c r="I1968" s="49" t="str">
        <f t="array" ref="I1968">_xlfn.XLOOKUP(
 B1968,
 tblTargetStatus[TargetID],
 tblTargetStatus[Status],
 ""
)</f>
        <v>BLOCKED</v>
      </c>
      <c r="J1968" s="45" t="b">
        <v>0</v>
      </c>
    </row>
    <row r="1969" ht="14.25" hidden="1" customHeight="1">
      <c r="A1969" s="49" t="s">
        <v>3946</v>
      </c>
      <c r="B1969" s="49" t="str">
        <f>IFERROR(__xludf.DUMMYFUNCTION("REGEXREPLACE(
 REGEXREPLACE(A1969,""^cost\."",""""),
 ""\.[^.]+\.[^.]+$"",
 """"
)"),"tech.workshop.shield_for_a_hero_lvl_3")</f>
        <v>tech.workshop.shield_for_a_hero_lvl_3</v>
      </c>
      <c r="C1969" s="49" t="str">
        <f t="array" ref="C1969">_xlfn.XLOOKUP(
 B1969,
 tblTargets[TargetID],
 tblTargets[DisplayName],
 ""
)</f>
        <v>Workshop - Shield For A Hero Lvl 3</v>
      </c>
      <c r="D1969" s="49" t="str">
        <f t="array" ref="D1969">_xlfn.XLOOKUP(
 B1969,
 tblTargets[TargetID],
 tblTargets[TargetType],
 ""
)</f>
        <v>TECH</v>
      </c>
      <c r="E1969" s="49" t="s">
        <v>1055</v>
      </c>
      <c r="F1969" s="49">
        <v>1.0</v>
      </c>
      <c r="G1969" s="49">
        <f t="array" ref="G1969">_xlfn.XLOOKUP(
 A1969,
 tblCost[RequirementID],
 tblCost[QuantityRequired],
 ""
)</f>
        <v>20</v>
      </c>
      <c r="H1969" s="49">
        <f t="array" ref="H1969">IF(
 OR(
  LEFT(B1969,15)="state.character",
  RIGHT(B1969,6)=".maxed"
 ),
 0,
 LET(
  sort,
   _xlfn.XLOOKUP(
    B1969,
    tblChecklist[TargetID],
    tblChecklist[PlayerSort],
    0
   ),
  IF(sort=0,500,sort)
 )
)</f>
        <v>500</v>
      </c>
      <c r="I1969" s="49" t="str">
        <f t="array" ref="I1969">_xlfn.XLOOKUP(
 B1969,
 tblTargetStatus[TargetID],
 tblTargetStatus[Status],
 ""
)</f>
        <v>BLOCKED</v>
      </c>
      <c r="J1969" s="45" t="b">
        <v>0</v>
      </c>
    </row>
    <row r="1970" ht="14.25" hidden="1" customHeight="1">
      <c r="A1970" s="49" t="s">
        <v>3947</v>
      </c>
      <c r="B1970" s="49" t="str">
        <f>IFERROR(__xludf.DUMMYFUNCTION("REGEXREPLACE(
 REGEXREPLACE(A1970,""^cost\."",""""),
 ""\.[^.]+\.[^.]+$"",
 """"
)"),"tech.workshop.shield_for_a_hero_lvl_3")</f>
        <v>tech.workshop.shield_for_a_hero_lvl_3</v>
      </c>
      <c r="C1970" s="49" t="str">
        <f t="array" ref="C1970">_xlfn.XLOOKUP(
 B1970,
 tblTargets[TargetID],
 tblTargets[DisplayName],
 ""
)</f>
        <v>Workshop - Shield For A Hero Lvl 3</v>
      </c>
      <c r="D1970" s="49" t="str">
        <f t="array" ref="D1970">_xlfn.XLOOKUP(
 B1970,
 tblTargets[TargetID],
 tblTargets[TargetType],
 ""
)</f>
        <v>TECH</v>
      </c>
      <c r="E1970" s="49" t="s">
        <v>119</v>
      </c>
      <c r="F1970" s="49">
        <v>1.0</v>
      </c>
      <c r="G1970" s="49">
        <f t="array" ref="G1970">_xlfn.XLOOKUP(
 A1970,
 tblCost[RequirementID],
 tblCost[QuantityRequired],
 ""
)</f>
        <v>1000</v>
      </c>
      <c r="H1970" s="49">
        <f t="array" ref="H1970">IF(
 OR(
  LEFT(B1970,15)="state.character",
  RIGHT(B1970,6)=".maxed"
 ),
 0,
 LET(
  sort,
   _xlfn.XLOOKUP(
    B1970,
    tblChecklist[TargetID],
    tblChecklist[PlayerSort],
    0
   ),
  IF(sort=0,500,sort)
 )
)</f>
        <v>500</v>
      </c>
      <c r="I1970" s="49" t="str">
        <f t="array" ref="I1970">_xlfn.XLOOKUP(
 B1970,
 tblTargetStatus[TargetID],
 tblTargetStatus[Status],
 ""
)</f>
        <v>BLOCKED</v>
      </c>
      <c r="J1970" s="45" t="b">
        <v>0</v>
      </c>
    </row>
    <row r="1971" ht="14.25" hidden="1" customHeight="1">
      <c r="A1971" s="49" t="s">
        <v>3948</v>
      </c>
      <c r="B1971" s="49" t="str">
        <f>IFERROR(__xludf.DUMMYFUNCTION("REGEXREPLACE(
 REGEXREPLACE(A1971,""^cost\."",""""),
 ""\.[^.]+\.[^.]+$"",
 """"
)"),"tech.workshop.shield_for_a_hero_lvl_3")</f>
        <v>tech.workshop.shield_for_a_hero_lvl_3</v>
      </c>
      <c r="C1971" s="49" t="str">
        <f t="array" ref="C1971">_xlfn.XLOOKUP(
 B1971,
 tblTargets[TargetID],
 tblTargets[DisplayName],
 ""
)</f>
        <v>Workshop - Shield For A Hero Lvl 3</v>
      </c>
      <c r="D1971" s="49" t="str">
        <f t="array" ref="D1971">_xlfn.XLOOKUP(
 B1971,
 tblTargets[TargetID],
 tblTargets[TargetType],
 ""
)</f>
        <v>TECH</v>
      </c>
      <c r="E1971" s="49" t="s">
        <v>2135</v>
      </c>
      <c r="F1971" s="49">
        <v>1.0</v>
      </c>
      <c r="G1971" s="49">
        <f t="array" ref="G1971">_xlfn.XLOOKUP(
 A1971,
 tblCost[RequirementID],
 tblCost[QuantityRequired],
 ""
)</f>
        <v>60</v>
      </c>
      <c r="H1971" s="49">
        <f t="array" ref="H1971">IF(
 OR(
  LEFT(B1971,15)="state.character",
  RIGHT(B1971,6)=".maxed"
 ),
 0,
 LET(
  sort,
   _xlfn.XLOOKUP(
    B1971,
    tblChecklist[TargetID],
    tblChecklist[PlayerSort],
    0
   ),
  IF(sort=0,500,sort)
 )
)</f>
        <v>500</v>
      </c>
      <c r="I1971" s="49" t="str">
        <f t="array" ref="I1971">_xlfn.XLOOKUP(
 B1971,
 tblTargetStatus[TargetID],
 tblTargetStatus[Status],
 ""
)</f>
        <v>BLOCKED</v>
      </c>
      <c r="J1971" s="45" t="b">
        <v>0</v>
      </c>
    </row>
    <row r="1972" ht="14.25" hidden="1" customHeight="1">
      <c r="A1972" s="49" t="s">
        <v>3949</v>
      </c>
      <c r="B1972" s="49" t="str">
        <f>IFERROR(__xludf.DUMMYFUNCTION("REGEXREPLACE(
 REGEXREPLACE(A1972,""^cost\."",""""),
 ""\.[^.]+\.[^.]+$"",
 """"
)"),"tech.workshop.shield_for_a_hero_lvl_3")</f>
        <v>tech.workshop.shield_for_a_hero_lvl_3</v>
      </c>
      <c r="C1972" s="49" t="str">
        <f t="array" ref="C1972">_xlfn.XLOOKUP(
 B1972,
 tblTargets[TargetID],
 tblTargets[DisplayName],
 ""
)</f>
        <v>Workshop - Shield For A Hero Lvl 3</v>
      </c>
      <c r="D1972" s="49" t="str">
        <f t="array" ref="D1972">_xlfn.XLOOKUP(
 B1972,
 tblTargets[TargetID],
 tblTargets[TargetType],
 ""
)</f>
        <v>TECH</v>
      </c>
      <c r="E1972" s="49" t="s">
        <v>187</v>
      </c>
      <c r="F1972" s="49">
        <v>1.0</v>
      </c>
      <c r="G1972" s="49">
        <f t="array" ref="G1972">_xlfn.XLOOKUP(
 A1972,
 tblCost[RequirementID],
 tblCost[QuantityRequired],
 ""
)</f>
        <v>200</v>
      </c>
      <c r="H1972" s="49">
        <f t="array" ref="H1972">IF(
 OR(
  LEFT(B1972,15)="state.character",
  RIGHT(B1972,6)=".maxed"
 ),
 0,
 LET(
  sort,
   _xlfn.XLOOKUP(
    B1972,
    tblChecklist[TargetID],
    tblChecklist[PlayerSort],
    0
   ),
  IF(sort=0,500,sort)
 )
)</f>
        <v>500</v>
      </c>
      <c r="I1972" s="49" t="str">
        <f t="array" ref="I1972">_xlfn.XLOOKUP(
 B1972,
 tblTargetStatus[TargetID],
 tblTargetStatus[Status],
 ""
)</f>
        <v>BLOCKED</v>
      </c>
      <c r="J1972" s="45" t="b">
        <v>0</v>
      </c>
    </row>
    <row r="1973" ht="14.25" hidden="1" customHeight="1">
      <c r="A1973" s="49" t="s">
        <v>3958</v>
      </c>
      <c r="B1973" s="49" t="str">
        <f>IFERROR(__xludf.DUMMYFUNCTION("REGEXREPLACE(
 REGEXREPLACE(A1973,""^cost\."",""""),
 ""\.[^.]+\.[^.]+$"",
 """"
)"),"tech.workshop.shield_for_a_hero_lvl_3")</f>
        <v>tech.workshop.shield_for_a_hero_lvl_3</v>
      </c>
      <c r="C1973" s="49" t="str">
        <f t="array" ref="C1973">_xlfn.XLOOKUP(
 B1973,
 tblTargets[TargetID],
 tblTargets[DisplayName],
 ""
)</f>
        <v>Workshop - Shield For A Hero Lvl 3</v>
      </c>
      <c r="D1973" s="49" t="str">
        <f t="array" ref="D1973">_xlfn.XLOOKUP(
 B1973,
 tblTargets[TargetID],
 tblTargets[TargetType],
 ""
)</f>
        <v>TECH</v>
      </c>
      <c r="E1973" s="49" t="s">
        <v>6</v>
      </c>
      <c r="F1973" s="49">
        <v>1.0</v>
      </c>
      <c r="G1973" s="49">
        <f t="array" ref="G1973">_xlfn.XLOOKUP(
 A1973,
 tblCost[RequirementID],
 tblCost[QuantityRequired],
 ""
)</f>
        <v>5</v>
      </c>
      <c r="H1973" s="49">
        <f t="array" ref="H1973">IF(
 OR(
  LEFT(B1973,15)="state.character",
  RIGHT(B1973,6)=".maxed"
 ),
 0,
 LET(
  sort,
   _xlfn.XLOOKUP(
    B1973,
    tblChecklist[TargetID],
    tblChecklist[PlayerSort],
    0
   ),
  IF(sort=0,500,sort)
 )
)</f>
        <v>500</v>
      </c>
      <c r="I1973" s="49" t="str">
        <f t="array" ref="I1973">_xlfn.XLOOKUP(
 B1973,
 tblTargetStatus[TargetID],
 tblTargetStatus[Status],
 ""
)</f>
        <v>BLOCKED</v>
      </c>
      <c r="J1973" s="45" t="b">
        <v>0</v>
      </c>
    </row>
    <row r="1974" ht="14.25" hidden="1" customHeight="1">
      <c r="A1974" s="49" t="s">
        <v>3963</v>
      </c>
      <c r="B1974" s="49" t="str">
        <f>IFERROR(__xludf.DUMMYFUNCTION("REGEXREPLACE(
 REGEXREPLACE(A1974,""^cost\."",""""),
 ""\.[^.]+\.[^.]+$"",
 """"
)"),"tech.workshop.shield_for_a_hero_lvl_4")</f>
        <v>tech.workshop.shield_for_a_hero_lvl_4</v>
      </c>
      <c r="C1974" s="49" t="str">
        <f t="array" ref="C1974">_xlfn.XLOOKUP(
 B1974,
 tblTargets[TargetID],
 tblTargets[DisplayName],
 ""
)</f>
        <v>Workshop - Shield For A Hero Lvl 4</v>
      </c>
      <c r="D1974" s="49" t="str">
        <f t="array" ref="D1974">_xlfn.XLOOKUP(
 B1974,
 tblTargets[TargetID],
 tblTargets[TargetType],
 ""
)</f>
        <v>TECH</v>
      </c>
      <c r="E1974" s="49" t="s">
        <v>1055</v>
      </c>
      <c r="F1974" s="49">
        <v>1.0</v>
      </c>
      <c r="G1974" s="49">
        <f t="array" ref="G1974">_xlfn.XLOOKUP(
 A1974,
 tblCost[RequirementID],
 tblCost[QuantityRequired],
 ""
)</f>
        <v>25</v>
      </c>
      <c r="H1974" s="49">
        <f t="array" ref="H1974">IF(
 OR(
  LEFT(B1974,15)="state.character",
  RIGHT(B1974,6)=".maxed"
 ),
 0,
 LET(
  sort,
   _xlfn.XLOOKUP(
    B1974,
    tblChecklist[TargetID],
    tblChecklist[PlayerSort],
    0
   ),
  IF(sort=0,500,sort)
 )
)</f>
        <v>500</v>
      </c>
      <c r="I1974" s="49" t="str">
        <f t="array" ref="I1974">_xlfn.XLOOKUP(
 B1974,
 tblTargetStatus[TargetID],
 tblTargetStatus[Status],
 ""
)</f>
        <v>BLOCKED</v>
      </c>
      <c r="J1974" s="45" t="b">
        <v>0</v>
      </c>
    </row>
    <row r="1975" ht="14.25" hidden="1" customHeight="1">
      <c r="A1975" s="49" t="s">
        <v>3964</v>
      </c>
      <c r="B1975" s="49" t="str">
        <f>IFERROR(__xludf.DUMMYFUNCTION("REGEXREPLACE(
 REGEXREPLACE(A1975,""^cost\."",""""),
 ""\.[^.]+\.[^.]+$"",
 """"
)"),"tech.workshop.shield_for_a_hero_lvl_4")</f>
        <v>tech.workshop.shield_for_a_hero_lvl_4</v>
      </c>
      <c r="C1975" s="49" t="str">
        <f t="array" ref="C1975">_xlfn.XLOOKUP(
 B1975,
 tblTargets[TargetID],
 tblTargets[DisplayName],
 ""
)</f>
        <v>Workshop - Shield For A Hero Lvl 4</v>
      </c>
      <c r="D1975" s="49" t="str">
        <f t="array" ref="D1975">_xlfn.XLOOKUP(
 B1975,
 tblTargets[TargetID],
 tblTargets[TargetType],
 ""
)</f>
        <v>TECH</v>
      </c>
      <c r="E1975" s="49" t="s">
        <v>2297</v>
      </c>
      <c r="F1975" s="49">
        <v>1.0</v>
      </c>
      <c r="G1975" s="49">
        <f t="array" ref="G1975">_xlfn.XLOOKUP(
 A1975,
 tblCost[RequirementID],
 tblCost[QuantityRequired],
 ""
)</f>
        <v>10</v>
      </c>
      <c r="H1975" s="49">
        <f t="array" ref="H1975">IF(
 OR(
  LEFT(B1975,15)="state.character",
  RIGHT(B1975,6)=".maxed"
 ),
 0,
 LET(
  sort,
   _xlfn.XLOOKUP(
    B1975,
    tblChecklist[TargetID],
    tblChecklist[PlayerSort],
    0
   ),
  IF(sort=0,500,sort)
 )
)</f>
        <v>500</v>
      </c>
      <c r="I1975" s="49" t="str">
        <f t="array" ref="I1975">_xlfn.XLOOKUP(
 B1975,
 tblTargetStatus[TargetID],
 tblTargetStatus[Status],
 ""
)</f>
        <v>BLOCKED</v>
      </c>
      <c r="J1975" s="45" t="b">
        <v>0</v>
      </c>
    </row>
    <row r="1976" ht="14.25" hidden="1" customHeight="1">
      <c r="A1976" s="49" t="s">
        <v>3965</v>
      </c>
      <c r="B1976" s="49" t="str">
        <f>IFERROR(__xludf.DUMMYFUNCTION("REGEXREPLACE(
 REGEXREPLACE(A1976,""^cost\."",""""),
 ""\.[^.]+\.[^.]+$"",
 """"
)"),"tech.workshop.shield_for_a_hero_lvl_4")</f>
        <v>tech.workshop.shield_for_a_hero_lvl_4</v>
      </c>
      <c r="C1976" s="49" t="str">
        <f t="array" ref="C1976">_xlfn.XLOOKUP(
 B1976,
 tblTargets[TargetID],
 tblTargets[DisplayName],
 ""
)</f>
        <v>Workshop - Shield For A Hero Lvl 4</v>
      </c>
      <c r="D1976" s="49" t="str">
        <f t="array" ref="D1976">_xlfn.XLOOKUP(
 B1976,
 tblTargets[TargetID],
 tblTargets[TargetType],
 ""
)</f>
        <v>TECH</v>
      </c>
      <c r="E1976" s="49" t="s">
        <v>113</v>
      </c>
      <c r="F1976" s="49">
        <v>1.0</v>
      </c>
      <c r="G1976" s="49">
        <f t="array" ref="G1976">_xlfn.XLOOKUP(
 A1976,
 tblCost[RequirementID],
 tblCost[QuantityRequired],
 ""
)</f>
        <v>30</v>
      </c>
      <c r="H1976" s="49">
        <f t="array" ref="H1976">IF(
 OR(
  LEFT(B1976,15)="state.character",
  RIGHT(B1976,6)=".maxed"
 ),
 0,
 LET(
  sort,
   _xlfn.XLOOKUP(
    B1976,
    tblChecklist[TargetID],
    tblChecklist[PlayerSort],
    0
   ),
  IF(sort=0,500,sort)
 )
)</f>
        <v>500</v>
      </c>
      <c r="I1976" s="49" t="str">
        <f t="array" ref="I1976">_xlfn.XLOOKUP(
 B1976,
 tblTargetStatus[TargetID],
 tblTargetStatus[Status],
 ""
)</f>
        <v>BLOCKED</v>
      </c>
      <c r="J1976" s="45" t="b">
        <v>0</v>
      </c>
    </row>
    <row r="1977" ht="14.25" hidden="1" customHeight="1">
      <c r="A1977" s="49" t="s">
        <v>3969</v>
      </c>
      <c r="B1977" s="49" t="str">
        <f>IFERROR(__xludf.DUMMYFUNCTION("REGEXREPLACE(
 REGEXREPLACE(A1977,""^cost\."",""""),
 ""\.[^.]+\.[^.]+$"",
 """"
)"),"tech.workshop.shield_for_a_hero_lvl_4")</f>
        <v>tech.workshop.shield_for_a_hero_lvl_4</v>
      </c>
      <c r="C1977" s="49" t="str">
        <f t="array" ref="C1977">_xlfn.XLOOKUP(
 B1977,
 tblTargets[TargetID],
 tblTargets[DisplayName],
 ""
)</f>
        <v>Workshop - Shield For A Hero Lvl 4</v>
      </c>
      <c r="D1977" s="49" t="str">
        <f t="array" ref="D1977">_xlfn.XLOOKUP(
 B1977,
 tblTargets[TargetID],
 tblTargets[TargetType],
 ""
)</f>
        <v>TECH</v>
      </c>
      <c r="E1977" s="49" t="s">
        <v>119</v>
      </c>
      <c r="F1977" s="49">
        <v>1.0</v>
      </c>
      <c r="G1977" s="49">
        <f t="array" ref="G1977">_xlfn.XLOOKUP(
 A1977,
 tblCost[RequirementID],
 tblCost[QuantityRequired],
 ""
)</f>
        <v>1000</v>
      </c>
      <c r="H1977" s="49">
        <f t="array" ref="H1977">IF(
 OR(
  LEFT(B1977,15)="state.character",
  RIGHT(B1977,6)=".maxed"
 ),
 0,
 LET(
  sort,
   _xlfn.XLOOKUP(
    B1977,
    tblChecklist[TargetID],
    tblChecklist[PlayerSort],
    0
   ),
  IF(sort=0,500,sort)
 )
)</f>
        <v>500</v>
      </c>
      <c r="I1977" s="49" t="str">
        <f t="array" ref="I1977">_xlfn.XLOOKUP(
 B1977,
 tblTargetStatus[TargetID],
 tblTargetStatus[Status],
 ""
)</f>
        <v>BLOCKED</v>
      </c>
      <c r="J1977" s="45" t="b">
        <v>0</v>
      </c>
    </row>
    <row r="1978" ht="14.25" hidden="1" customHeight="1">
      <c r="A1978" s="49" t="s">
        <v>3972</v>
      </c>
      <c r="B1978" s="49" t="str">
        <f>IFERROR(__xludf.DUMMYFUNCTION("REGEXREPLACE(
 REGEXREPLACE(A1978,""^cost\."",""""),
 ""\.[^.]+\.[^.]+$"",
 """"
)"),"tech.workshop.shield_for_a_hero_lvl_4")</f>
        <v>tech.workshop.shield_for_a_hero_lvl_4</v>
      </c>
      <c r="C1978" s="49" t="str">
        <f t="array" ref="C1978">_xlfn.XLOOKUP(
 B1978,
 tblTargets[TargetID],
 tblTargets[DisplayName],
 ""
)</f>
        <v>Workshop - Shield For A Hero Lvl 4</v>
      </c>
      <c r="D1978" s="49" t="str">
        <f t="array" ref="D1978">_xlfn.XLOOKUP(
 B1978,
 tblTargets[TargetID],
 tblTargets[TargetType],
 ""
)</f>
        <v>TECH</v>
      </c>
      <c r="E1978" s="49" t="s">
        <v>1078</v>
      </c>
      <c r="F1978" s="49">
        <v>1.0</v>
      </c>
      <c r="G1978" s="49">
        <f t="array" ref="G1978">_xlfn.XLOOKUP(
 A1978,
 tblCost[RequirementID],
 tblCost[QuantityRequired],
 ""
)</f>
        <v>15</v>
      </c>
      <c r="H1978" s="49">
        <f t="array" ref="H1978">IF(
 OR(
  LEFT(B1978,15)="state.character",
  RIGHT(B1978,6)=".maxed"
 ),
 0,
 LET(
  sort,
   _xlfn.XLOOKUP(
    B1978,
    tblChecklist[TargetID],
    tblChecklist[PlayerSort],
    0
   ),
  IF(sort=0,500,sort)
 )
)</f>
        <v>500</v>
      </c>
      <c r="I1978" s="49" t="str">
        <f t="array" ref="I1978">_xlfn.XLOOKUP(
 B1978,
 tblTargetStatus[TargetID],
 tblTargetStatus[Status],
 ""
)</f>
        <v>BLOCKED</v>
      </c>
      <c r="J1978" s="45" t="b">
        <v>0</v>
      </c>
    </row>
    <row r="1979" ht="14.25" hidden="1" customHeight="1">
      <c r="A1979" s="49" t="s">
        <v>3978</v>
      </c>
      <c r="B1979" s="49" t="str">
        <f>IFERROR(__xludf.DUMMYFUNCTION("REGEXREPLACE(
 REGEXREPLACE(A1979,""^cost\."",""""),
 ""\.[^.]+\.[^.]+$"",
 """"
)"),"tech.workshop.shield_for_a_hero_lvl_4")</f>
        <v>tech.workshop.shield_for_a_hero_lvl_4</v>
      </c>
      <c r="C1979" s="49" t="str">
        <f t="array" ref="C1979">_xlfn.XLOOKUP(
 B1979,
 tblTargets[TargetID],
 tblTargets[DisplayName],
 ""
)</f>
        <v>Workshop - Shield For A Hero Lvl 4</v>
      </c>
      <c r="D1979" s="49" t="str">
        <f t="array" ref="D1979">_xlfn.XLOOKUP(
 B1979,
 tblTargets[TargetID],
 tblTargets[TargetType],
 ""
)</f>
        <v>TECH</v>
      </c>
      <c r="E1979" s="49" t="s">
        <v>6</v>
      </c>
      <c r="F1979" s="49">
        <v>1.0</v>
      </c>
      <c r="G1979" s="49">
        <f t="array" ref="G1979">_xlfn.XLOOKUP(
 A1979,
 tblCost[RequirementID],
 tblCost[QuantityRequired],
 ""
)</f>
        <v>5</v>
      </c>
      <c r="H1979" s="49">
        <f t="array" ref="H1979">IF(
 OR(
  LEFT(B1979,15)="state.character",
  RIGHT(B1979,6)=".maxed"
 ),
 0,
 LET(
  sort,
   _xlfn.XLOOKUP(
    B1979,
    tblChecklist[TargetID],
    tblChecklist[PlayerSort],
    0
   ),
  IF(sort=0,500,sort)
 )
)</f>
        <v>500</v>
      </c>
      <c r="I1979" s="49" t="str">
        <f t="array" ref="I1979">_xlfn.XLOOKUP(
 B1979,
 tblTargetStatus[TargetID],
 tblTargetStatus[Status],
 ""
)</f>
        <v>BLOCKED</v>
      </c>
      <c r="J1979" s="45" t="b">
        <v>0</v>
      </c>
    </row>
    <row r="1980" ht="14.25" hidden="1" customHeight="1">
      <c r="A1980" s="49" t="s">
        <v>3981</v>
      </c>
      <c r="B1980" s="49" t="str">
        <f>IFERROR(__xludf.DUMMYFUNCTION("REGEXREPLACE(
 REGEXREPLACE(A1980,""^cost\."",""""),
 ""\.[^.]+\.[^.]+$"",
 """"
)"),"tech.workshop.shield_for_a_hero_lvl_4")</f>
        <v>tech.workshop.shield_for_a_hero_lvl_4</v>
      </c>
      <c r="C1980" s="49" t="str">
        <f t="array" ref="C1980">_xlfn.XLOOKUP(
 B1980,
 tblTargets[TargetID],
 tblTargets[DisplayName],
 ""
)</f>
        <v>Workshop - Shield For A Hero Lvl 4</v>
      </c>
      <c r="D1980" s="49" t="str">
        <f t="array" ref="D1980">_xlfn.XLOOKUP(
 B1980,
 tblTargets[TargetID],
 tblTargets[TargetType],
 ""
)</f>
        <v>TECH</v>
      </c>
      <c r="E1980" s="49" t="s">
        <v>2360</v>
      </c>
      <c r="F1980" s="49">
        <v>1.0</v>
      </c>
      <c r="G1980" s="49">
        <f t="array" ref="G1980">_xlfn.XLOOKUP(
 A1980,
 tblCost[RequirementID],
 tblCost[QuantityRequired],
 ""
)</f>
        <v>3</v>
      </c>
      <c r="H1980" s="49">
        <f t="array" ref="H1980">IF(
 OR(
  LEFT(B1980,15)="state.character",
  RIGHT(B1980,6)=".maxed"
 ),
 0,
 LET(
  sort,
   _xlfn.XLOOKUP(
    B1980,
    tblChecklist[TargetID],
    tblChecklist[PlayerSort],
    0
   ),
  IF(sort=0,500,sort)
 )
)</f>
        <v>500</v>
      </c>
      <c r="I1980" s="49" t="str">
        <f t="array" ref="I1980">_xlfn.XLOOKUP(
 B1980,
 tblTargetStatus[TargetID],
 tblTargetStatus[Status],
 ""
)</f>
        <v>BLOCKED</v>
      </c>
      <c r="J1980" s="45" t="b">
        <v>0</v>
      </c>
    </row>
    <row r="1981" ht="14.25" hidden="1" customHeight="1">
      <c r="A1981" s="49" t="s">
        <v>3985</v>
      </c>
      <c r="B1981" s="49" t="str">
        <f>IFERROR(__xludf.DUMMYFUNCTION("REGEXREPLACE(
 REGEXREPLACE(A1981,""^cost\."",""""),
 ""\.[^.]+\.[^.]+$"",
 """"
)"),"tech.workshop.shield_for_a_hero_lvl_4+")</f>
        <v>tech.workshop.shield_for_a_hero_lvl_4+</v>
      </c>
      <c r="C1981" s="49" t="str">
        <f t="array" ref="C1981">_xlfn.XLOOKUP(
 B1981,
 tblTargets[TargetID],
 tblTargets[DisplayName],
 ""
)</f>
        <v>Workshop - Shield For A Hero Lvl 4+</v>
      </c>
      <c r="D1981" s="49" t="str">
        <f t="array" ref="D1981">_xlfn.XLOOKUP(
 B1981,
 tblTargets[TargetID],
 tblTargets[TargetType],
 ""
)</f>
        <v>TECH</v>
      </c>
      <c r="E1981" s="49" t="s">
        <v>1230</v>
      </c>
      <c r="F1981" s="49">
        <v>1.0</v>
      </c>
      <c r="G1981" s="49">
        <f t="array" ref="G1981">_xlfn.XLOOKUP(
 A1981,
 tblCost[RequirementID],
 tblCost[QuantityRequired],
 ""
)</f>
        <v>20</v>
      </c>
      <c r="H1981" s="49">
        <f t="array" ref="H1981">IF(
 OR(
  LEFT(B1981,15)="state.character",
  RIGHT(B1981,6)=".maxed"
 ),
 0,
 LET(
  sort,
   _xlfn.XLOOKUP(
    B1981,
    tblChecklist[TargetID],
    tblChecklist[PlayerSort],
    0
   ),
  IF(sort=0,500,sort)
 )
)</f>
        <v>500</v>
      </c>
      <c r="I1981" s="49" t="str">
        <f t="array" ref="I1981">_xlfn.XLOOKUP(
 B1981,
 tblTargetStatus[TargetID],
 tblTargetStatus[Status],
 ""
)</f>
        <v>BLOCKED</v>
      </c>
      <c r="J1981" s="45" t="b">
        <v>0</v>
      </c>
    </row>
    <row r="1982" ht="14.25" hidden="1" customHeight="1">
      <c r="A1982" s="49" t="s">
        <v>3988</v>
      </c>
      <c r="B1982" s="49" t="str">
        <f>IFERROR(__xludf.DUMMYFUNCTION("REGEXREPLACE(
 REGEXREPLACE(A1982,""^cost\."",""""),
 ""\.[^.]+\.[^.]+$"",
 """"
)"),"tech.workshop.shield_for_a_hero_lvl_4+")</f>
        <v>tech.workshop.shield_for_a_hero_lvl_4+</v>
      </c>
      <c r="C1982" s="49" t="str">
        <f t="array" ref="C1982">_xlfn.XLOOKUP(
 B1982,
 tblTargets[TargetID],
 tblTargets[DisplayName],
 ""
)</f>
        <v>Workshop - Shield For A Hero Lvl 4+</v>
      </c>
      <c r="D1982" s="49" t="str">
        <f t="array" ref="D1982">_xlfn.XLOOKUP(
 B1982,
 tblTargets[TargetID],
 tblTargets[TargetType],
 ""
)</f>
        <v>TECH</v>
      </c>
      <c r="E1982" s="49" t="s">
        <v>2297</v>
      </c>
      <c r="F1982" s="49">
        <v>1.0</v>
      </c>
      <c r="G1982" s="49">
        <f t="array" ref="G1982">_xlfn.XLOOKUP(
 A1982,
 tblCost[RequirementID],
 tblCost[QuantityRequired],
 ""
)</f>
        <v>20</v>
      </c>
      <c r="H1982" s="49">
        <f t="array" ref="H1982">IF(
 OR(
  LEFT(B1982,15)="state.character",
  RIGHT(B1982,6)=".maxed"
 ),
 0,
 LET(
  sort,
   _xlfn.XLOOKUP(
    B1982,
    tblChecklist[TargetID],
    tblChecklist[PlayerSort],
    0
   ),
  IF(sort=0,500,sort)
 )
)</f>
        <v>500</v>
      </c>
      <c r="I1982" s="49" t="str">
        <f t="array" ref="I1982">_xlfn.XLOOKUP(
 B1982,
 tblTargetStatus[TargetID],
 tblTargetStatus[Status],
 ""
)</f>
        <v>BLOCKED</v>
      </c>
      <c r="J1982" s="45" t="b">
        <v>0</v>
      </c>
    </row>
    <row r="1983" ht="14.25" hidden="1" customHeight="1">
      <c r="A1983" s="49" t="s">
        <v>3991</v>
      </c>
      <c r="B1983" s="49" t="str">
        <f>IFERROR(__xludf.DUMMYFUNCTION("REGEXREPLACE(
 REGEXREPLACE(A1983,""^cost\."",""""),
 ""\.[^.]+\.[^.]+$"",
 """"
)"),"tech.workshop.shield_for_a_hero_lvl_4+")</f>
        <v>tech.workshop.shield_for_a_hero_lvl_4+</v>
      </c>
      <c r="C1983" s="49" t="str">
        <f t="array" ref="C1983">_xlfn.XLOOKUP(
 B1983,
 tblTargets[TargetID],
 tblTargets[DisplayName],
 ""
)</f>
        <v>Workshop - Shield For A Hero Lvl 4+</v>
      </c>
      <c r="D1983" s="49" t="str">
        <f t="array" ref="D1983">_xlfn.XLOOKUP(
 B1983,
 tblTargets[TargetID],
 tblTargets[TargetType],
 ""
)</f>
        <v>TECH</v>
      </c>
      <c r="E1983" s="49" t="s">
        <v>119</v>
      </c>
      <c r="F1983" s="49">
        <v>1.0</v>
      </c>
      <c r="G1983" s="49">
        <f t="array" ref="G1983">_xlfn.XLOOKUP(
 A1983,
 tblCost[RequirementID],
 tblCost[QuantityRequired],
 ""
)</f>
        <v>1000</v>
      </c>
      <c r="H1983" s="49">
        <f t="array" ref="H1983">IF(
 OR(
  LEFT(B1983,15)="state.character",
  RIGHT(B1983,6)=".maxed"
 ),
 0,
 LET(
  sort,
   _xlfn.XLOOKUP(
    B1983,
    tblChecklist[TargetID],
    tblChecklist[PlayerSort],
    0
   ),
  IF(sort=0,500,sort)
 )
)</f>
        <v>500</v>
      </c>
      <c r="I1983" s="49" t="str">
        <f t="array" ref="I1983">_xlfn.XLOOKUP(
 B1983,
 tblTargetStatus[TargetID],
 tblTargetStatus[Status],
 ""
)</f>
        <v>BLOCKED</v>
      </c>
      <c r="J1983" s="45" t="b">
        <v>0</v>
      </c>
    </row>
    <row r="1984" ht="14.25" hidden="1" customHeight="1">
      <c r="A1984" s="49" t="s">
        <v>3994</v>
      </c>
      <c r="B1984" s="49" t="str">
        <f>IFERROR(__xludf.DUMMYFUNCTION("REGEXREPLACE(
 REGEXREPLACE(A1984,""^cost\."",""""),
 ""\.[^.]+\.[^.]+$"",
 """"
)"),"tech.workshop.shield_for_a_hero_lvl_4+")</f>
        <v>tech.workshop.shield_for_a_hero_lvl_4+</v>
      </c>
      <c r="C1984" s="49" t="str">
        <f t="array" ref="C1984">_xlfn.XLOOKUP(
 B1984,
 tblTargets[TargetID],
 tblTargets[DisplayName],
 ""
)</f>
        <v>Workshop - Shield For A Hero Lvl 4+</v>
      </c>
      <c r="D1984" s="49" t="str">
        <f t="array" ref="D1984">_xlfn.XLOOKUP(
 B1984,
 tblTargets[TargetID],
 tblTargets[TargetType],
 ""
)</f>
        <v>TECH</v>
      </c>
      <c r="E1984" s="49" t="s">
        <v>1583</v>
      </c>
      <c r="F1984" s="49">
        <v>1.0</v>
      </c>
      <c r="G1984" s="49">
        <f t="array" ref="G1984">_xlfn.XLOOKUP(
 A1984,
 tblCost[RequirementID],
 tblCost[QuantityRequired],
 ""
)</f>
        <v>25</v>
      </c>
      <c r="H1984" s="49">
        <f t="array" ref="H1984">IF(
 OR(
  LEFT(B1984,15)="state.character",
  RIGHT(B1984,6)=".maxed"
 ),
 0,
 LET(
  sort,
   _xlfn.XLOOKUP(
    B1984,
    tblChecklist[TargetID],
    tblChecklist[PlayerSort],
    0
   ),
  IF(sort=0,500,sort)
 )
)</f>
        <v>500</v>
      </c>
      <c r="I1984" s="49" t="str">
        <f t="array" ref="I1984">_xlfn.XLOOKUP(
 B1984,
 tblTargetStatus[TargetID],
 tblTargetStatus[Status],
 ""
)</f>
        <v>BLOCKED</v>
      </c>
      <c r="J1984" s="45" t="b">
        <v>0</v>
      </c>
    </row>
    <row r="1985" ht="14.25" hidden="1" customHeight="1">
      <c r="A1985" s="49" t="s">
        <v>3997</v>
      </c>
      <c r="B1985" s="49" t="str">
        <f>IFERROR(__xludf.DUMMYFUNCTION("REGEXREPLACE(
 REGEXREPLACE(A1985,""^cost\."",""""),
 ""\.[^.]+\.[^.]+$"",
 """"
)"),"tech.workshop.shield_for_a_hero_lvl_4+")</f>
        <v>tech.workshop.shield_for_a_hero_lvl_4+</v>
      </c>
      <c r="C1985" s="49" t="str">
        <f t="array" ref="C1985">_xlfn.XLOOKUP(
 B1985,
 tblTargets[TargetID],
 tblTargets[DisplayName],
 ""
)</f>
        <v>Workshop - Shield For A Hero Lvl 4+</v>
      </c>
      <c r="D1985" s="49" t="str">
        <f t="array" ref="D1985">_xlfn.XLOOKUP(
 B1985,
 tblTargets[TargetID],
 tblTargets[TargetType],
 ""
)</f>
        <v>TECH</v>
      </c>
      <c r="E1985" s="49" t="s">
        <v>530</v>
      </c>
      <c r="F1985" s="49">
        <v>1.0</v>
      </c>
      <c r="G1985" s="49">
        <f t="array" ref="G1985">_xlfn.XLOOKUP(
 A1985,
 tblCost[RequirementID],
 tblCost[QuantityRequired],
 ""
)</f>
        <v>10</v>
      </c>
      <c r="H1985" s="49">
        <f t="array" ref="H1985">IF(
 OR(
  LEFT(B1985,15)="state.character",
  RIGHT(B1985,6)=".maxed"
 ),
 0,
 LET(
  sort,
   _xlfn.XLOOKUP(
    B1985,
    tblChecklist[TargetID],
    tblChecklist[PlayerSort],
    0
   ),
  IF(sort=0,500,sort)
 )
)</f>
        <v>500</v>
      </c>
      <c r="I1985" s="49" t="str">
        <f t="array" ref="I1985">_xlfn.XLOOKUP(
 B1985,
 tblTargetStatus[TargetID],
 tblTargetStatus[Status],
 ""
)</f>
        <v>BLOCKED</v>
      </c>
      <c r="J1985" s="45" t="b">
        <v>0</v>
      </c>
    </row>
    <row r="1986" ht="14.25" hidden="1" customHeight="1">
      <c r="A1986" s="49" t="s">
        <v>4000</v>
      </c>
      <c r="B1986" s="49" t="str">
        <f>IFERROR(__xludf.DUMMYFUNCTION("REGEXREPLACE(
 REGEXREPLACE(A1986,""^cost\."",""""),
 ""\.[^.]+\.[^.]+$"",
 """"
)"),"tech.workshop.shield_for_a_hero_lvl_4+")</f>
        <v>tech.workshop.shield_for_a_hero_lvl_4+</v>
      </c>
      <c r="C1986" s="49" t="str">
        <f t="array" ref="C1986">_xlfn.XLOOKUP(
 B1986,
 tblTargets[TargetID],
 tblTargets[DisplayName],
 ""
)</f>
        <v>Workshop - Shield For A Hero Lvl 4+</v>
      </c>
      <c r="D1986" s="49" t="str">
        <f t="array" ref="D1986">_xlfn.XLOOKUP(
 B1986,
 tblTargets[TargetID],
 tblTargets[TargetType],
 ""
)</f>
        <v>TECH</v>
      </c>
      <c r="E1986" s="49" t="s">
        <v>1282</v>
      </c>
      <c r="F1986" s="49">
        <v>1.0</v>
      </c>
      <c r="G1986" s="49">
        <f t="array" ref="G1986">_xlfn.XLOOKUP(
 A1986,
 tblCost[RequirementID],
 tblCost[QuantityRequired],
 ""
)</f>
        <v>10</v>
      </c>
      <c r="H1986" s="49">
        <f t="array" ref="H1986">IF(
 OR(
  LEFT(B1986,15)="state.character",
  RIGHT(B1986,6)=".maxed"
 ),
 0,
 LET(
  sort,
   _xlfn.XLOOKUP(
    B1986,
    tblChecklist[TargetID],
    tblChecklist[PlayerSort],
    0
   ),
  IF(sort=0,500,sort)
 )
)</f>
        <v>500</v>
      </c>
      <c r="I1986" s="49" t="str">
        <f t="array" ref="I1986">_xlfn.XLOOKUP(
 B1986,
 tblTargetStatus[TargetID],
 tblTargetStatus[Status],
 ""
)</f>
        <v>BLOCKED</v>
      </c>
      <c r="J1986" s="45" t="b">
        <v>0</v>
      </c>
    </row>
    <row r="1987" ht="14.25" hidden="1" customHeight="1">
      <c r="A1987" s="49" t="s">
        <v>4002</v>
      </c>
      <c r="B1987" s="49" t="str">
        <f>IFERROR(__xludf.DUMMYFUNCTION("REGEXREPLACE(
 REGEXREPLACE(A1987,""^cost\."",""""),
 ""\.[^.]+\.[^.]+$"",
 """"
)"),"tech.workshop.shield_for_a_hero_lvl_4+")</f>
        <v>tech.workshop.shield_for_a_hero_lvl_4+</v>
      </c>
      <c r="C1987" s="49" t="str">
        <f t="array" ref="C1987">_xlfn.XLOOKUP(
 B1987,
 tblTargets[TargetID],
 tblTargets[DisplayName],
 ""
)</f>
        <v>Workshop - Shield For A Hero Lvl 4+</v>
      </c>
      <c r="D1987" s="49" t="str">
        <f t="array" ref="D1987">_xlfn.XLOOKUP(
 B1987,
 tblTargets[TargetID],
 tblTargets[TargetType],
 ""
)</f>
        <v>TECH</v>
      </c>
      <c r="E1987" s="49" t="s">
        <v>3043</v>
      </c>
      <c r="F1987" s="49">
        <v>1.0</v>
      </c>
      <c r="G1987" s="49">
        <f t="array" ref="G1987">_xlfn.XLOOKUP(
 A1987,
 tblCost[RequirementID],
 tblCost[QuantityRequired],
 ""
)</f>
        <v>1</v>
      </c>
      <c r="H1987" s="49">
        <f t="array" ref="H1987">IF(
 OR(
  LEFT(B1987,15)="state.character",
  RIGHT(B1987,6)=".maxed"
 ),
 0,
 LET(
  sort,
   _xlfn.XLOOKUP(
    B1987,
    tblChecklist[TargetID],
    tblChecklist[PlayerSort],
    0
   ),
  IF(sort=0,500,sort)
 )
)</f>
        <v>500</v>
      </c>
      <c r="I1987" s="49" t="str">
        <f t="array" ref="I1987">_xlfn.XLOOKUP(
 B1987,
 tblTargetStatus[TargetID],
 tblTargetStatus[Status],
 ""
)</f>
        <v>BLOCKED</v>
      </c>
      <c r="J1987" s="45" t="b">
        <v>0</v>
      </c>
    </row>
    <row r="1988" ht="14.25" hidden="1" customHeight="1">
      <c r="A1988" s="49" t="s">
        <v>4007</v>
      </c>
      <c r="B1988" s="49" t="str">
        <f>IFERROR(__xludf.DUMMYFUNCTION("REGEXREPLACE(
 REGEXREPLACE(A1988,""^cost\."",""""),
 ""\.[^.]+\.[^.]+$"",
 """"
)"),"tech.workshop.shield_for_a_hero_lvl_4+")</f>
        <v>tech.workshop.shield_for_a_hero_lvl_4+</v>
      </c>
      <c r="C1988" s="49" t="str">
        <f t="array" ref="C1988">_xlfn.XLOOKUP(
 B1988,
 tblTargets[TargetID],
 tblTargets[DisplayName],
 ""
)</f>
        <v>Workshop - Shield For A Hero Lvl 4+</v>
      </c>
      <c r="D1988" s="49" t="str">
        <f t="array" ref="D1988">_xlfn.XLOOKUP(
 B1988,
 tblTargets[TargetID],
 tblTargets[TargetType],
 ""
)</f>
        <v>TECH</v>
      </c>
      <c r="E1988" s="49" t="s">
        <v>6</v>
      </c>
      <c r="F1988" s="49">
        <v>1.0</v>
      </c>
      <c r="G1988" s="49">
        <f t="array" ref="G1988">_xlfn.XLOOKUP(
 A1988,
 tblCost[RequirementID],
 tblCost[QuantityRequired],
 ""
)</f>
        <v>5</v>
      </c>
      <c r="H1988" s="49">
        <f t="array" ref="H1988">IF(
 OR(
  LEFT(B1988,15)="state.character",
  RIGHT(B1988,6)=".maxed"
 ),
 0,
 LET(
  sort,
   _xlfn.XLOOKUP(
    B1988,
    tblChecklist[TargetID],
    tblChecklist[PlayerSort],
    0
   ),
  IF(sort=0,500,sort)
 )
)</f>
        <v>500</v>
      </c>
      <c r="I1988" s="49" t="str">
        <f t="array" ref="I1988">_xlfn.XLOOKUP(
 B1988,
 tblTargetStatus[TargetID],
 tblTargetStatus[Status],
 ""
)</f>
        <v>BLOCKED</v>
      </c>
      <c r="J1988" s="45" t="b">
        <v>0</v>
      </c>
    </row>
    <row r="1989" ht="14.25" hidden="1" customHeight="1">
      <c r="A1989" s="49" t="s">
        <v>4010</v>
      </c>
      <c r="B1989" s="49" t="str">
        <f>IFERROR(__xludf.DUMMYFUNCTION("REGEXREPLACE(
 REGEXREPLACE(A1989,""^cost\."",""""),
 ""\.[^.]+\.[^.]+$"",
 """"
)"),"tech.workshop.shield_for_a_hero_lvl_4+")</f>
        <v>tech.workshop.shield_for_a_hero_lvl_4+</v>
      </c>
      <c r="C1989" s="49" t="str">
        <f t="array" ref="C1989">_xlfn.XLOOKUP(
 B1989,
 tblTargets[TargetID],
 tblTargets[DisplayName],
 ""
)</f>
        <v>Workshop - Shield For A Hero Lvl 4+</v>
      </c>
      <c r="D1989" s="49" t="str">
        <f t="array" ref="D1989">_xlfn.XLOOKUP(
 B1989,
 tblTargets[TargetID],
 tblTargets[TargetType],
 ""
)</f>
        <v>TECH</v>
      </c>
      <c r="E1989" s="49" t="s">
        <v>2362</v>
      </c>
      <c r="F1989" s="49">
        <v>1.0</v>
      </c>
      <c r="G1989" s="49">
        <f t="array" ref="G1989">_xlfn.XLOOKUP(
 A1989,
 tblCost[RequirementID],
 tblCost[QuantityRequired],
 ""
)</f>
        <v>1</v>
      </c>
      <c r="H1989" s="49">
        <f t="array" ref="H1989">IF(
 OR(
  LEFT(B1989,15)="state.character",
  RIGHT(B1989,6)=".maxed"
 ),
 0,
 LET(
  sort,
   _xlfn.XLOOKUP(
    B1989,
    tblChecklist[TargetID],
    tblChecklist[PlayerSort],
    0
   ),
  IF(sort=0,500,sort)
 )
)</f>
        <v>500</v>
      </c>
      <c r="I1989" s="49" t="str">
        <f t="array" ref="I1989">_xlfn.XLOOKUP(
 B1989,
 tblTargetStatus[TargetID],
 tblTargetStatus[Status],
 ""
)</f>
        <v>BLOCKED</v>
      </c>
      <c r="J1989" s="45" t="b">
        <v>0</v>
      </c>
    </row>
    <row r="1990" ht="14.25" hidden="1" customHeight="1">
      <c r="A1990" s="49" t="s">
        <v>4088</v>
      </c>
      <c r="B1990" s="49" t="str">
        <f>IFERROR(__xludf.DUMMYFUNCTION("REGEXREPLACE(
 REGEXREPLACE(A1990,""^cost\."",""""),
 ""\.[^.]+\.[^.]+$"",
 """"
)"),"tech.workshop.steamobile")</f>
        <v>tech.workshop.steamobile</v>
      </c>
      <c r="C1990" s="49" t="str">
        <f t="array" ref="C1990">_xlfn.XLOOKUP(
 B1990,
 tblTargets[TargetID],
 tblTargets[DisplayName],
 ""
)</f>
        <v>Workshop - Steamobile</v>
      </c>
      <c r="D1990" s="49" t="str">
        <f t="array" ref="D1990">_xlfn.XLOOKUP(
 B1990,
 tblTargets[TargetID],
 tblTargets[TargetType],
 ""
)</f>
        <v>TECH</v>
      </c>
      <c r="E1990" s="49" t="s">
        <v>1055</v>
      </c>
      <c r="F1990" s="49">
        <v>1.0</v>
      </c>
      <c r="G1990" s="49">
        <f t="array" ref="G1990">_xlfn.XLOOKUP(
 A1990,
 tblCost[RequirementID],
 tblCost[QuantityRequired],
 ""
)</f>
        <v>30</v>
      </c>
      <c r="H1990" s="49">
        <f t="array" ref="H1990">IF(
 OR(
  LEFT(B1990,15)="state.character",
  RIGHT(B1990,6)=".maxed"
 ),
 0,
 LET(
  sort,
   _xlfn.XLOOKUP(
    B1990,
    tblChecklist[TargetID],
    tblChecklist[PlayerSort],
    0
   ),
  IF(sort=0,500,sort)
 )
)</f>
        <v>500</v>
      </c>
      <c r="I1990" s="49" t="str">
        <f t="array" ref="I1990">_xlfn.XLOOKUP(
 B1990,
 tblTargetStatus[TargetID],
 tblTargetStatus[Status],
 ""
)</f>
        <v>BLOCKED</v>
      </c>
      <c r="J1990" s="45" t="b">
        <v>0</v>
      </c>
    </row>
    <row r="1991" ht="14.25" hidden="1" customHeight="1">
      <c r="A1991" s="49" t="s">
        <v>4091</v>
      </c>
      <c r="B1991" s="49" t="str">
        <f>IFERROR(__xludf.DUMMYFUNCTION("REGEXREPLACE(
 REGEXREPLACE(A1991,""^cost\."",""""),
 ""\.[^.]+\.[^.]+$"",
 """"
)"),"tech.workshop.steamobile")</f>
        <v>tech.workshop.steamobile</v>
      </c>
      <c r="C1991" s="49" t="str">
        <f t="array" ref="C1991">_xlfn.XLOOKUP(
 B1991,
 tblTargets[TargetID],
 tblTargets[DisplayName],
 ""
)</f>
        <v>Workshop - Steamobile</v>
      </c>
      <c r="D1991" s="49" t="str">
        <f t="array" ref="D1991">_xlfn.XLOOKUP(
 B1991,
 tblTargets[TargetID],
 tblTargets[TargetType],
 ""
)</f>
        <v>TECH</v>
      </c>
      <c r="E1991" s="49" t="s">
        <v>119</v>
      </c>
      <c r="F1991" s="49">
        <v>1.0</v>
      </c>
      <c r="G1991" s="49">
        <f t="array" ref="G1991">_xlfn.XLOOKUP(
 A1991,
 tblCost[RequirementID],
 tblCost[QuantityRequired],
 ""
)</f>
        <v>1500</v>
      </c>
      <c r="H1991" s="49">
        <f t="array" ref="H1991">IF(
 OR(
  LEFT(B1991,15)="state.character",
  RIGHT(B1991,6)=".maxed"
 ),
 0,
 LET(
  sort,
   _xlfn.XLOOKUP(
    B1991,
    tblChecklist[TargetID],
    tblChecklist[PlayerSort],
    0
   ),
  IF(sort=0,500,sort)
 )
)</f>
        <v>500</v>
      </c>
      <c r="I1991" s="49" t="str">
        <f t="array" ref="I1991">_xlfn.XLOOKUP(
 B1991,
 tblTargetStatus[TargetID],
 tblTargetStatus[Status],
 ""
)</f>
        <v>BLOCKED</v>
      </c>
      <c r="J1991" s="45" t="b">
        <v>0</v>
      </c>
    </row>
    <row r="1992" ht="14.25" hidden="1" customHeight="1">
      <c r="A1992" s="49" t="s">
        <v>4094</v>
      </c>
      <c r="B1992" s="49" t="str">
        <f>IFERROR(__xludf.DUMMYFUNCTION("REGEXREPLACE(
 REGEXREPLACE(A1992,""^cost\."",""""),
 ""\.[^.]+\.[^.]+$"",
 """"
)"),"tech.workshop.steamobile")</f>
        <v>tech.workshop.steamobile</v>
      </c>
      <c r="C1992" s="49" t="str">
        <f t="array" ref="C1992">_xlfn.XLOOKUP(
 B1992,
 tblTargets[TargetID],
 tblTargets[DisplayName],
 ""
)</f>
        <v>Workshop - Steamobile</v>
      </c>
      <c r="D1992" s="49" t="str">
        <f t="array" ref="D1992">_xlfn.XLOOKUP(
 B1992,
 tblTargets[TargetID],
 tblTargets[TargetType],
 ""
)</f>
        <v>TECH</v>
      </c>
      <c r="E1992" s="49" t="s">
        <v>1078</v>
      </c>
      <c r="F1992" s="49">
        <v>1.0</v>
      </c>
      <c r="G1992" s="49">
        <f t="array" ref="G1992">_xlfn.XLOOKUP(
 A1992,
 tblCost[RequirementID],
 tblCost[QuantityRequired],
 ""
)</f>
        <v>15</v>
      </c>
      <c r="H1992" s="49">
        <f t="array" ref="H1992">IF(
 OR(
  LEFT(B1992,15)="state.character",
  RIGHT(B1992,6)=".maxed"
 ),
 0,
 LET(
  sort,
   _xlfn.XLOOKUP(
    B1992,
    tblChecklist[TargetID],
    tblChecklist[PlayerSort],
    0
   ),
  IF(sort=0,500,sort)
 )
)</f>
        <v>500</v>
      </c>
      <c r="I1992" s="49" t="str">
        <f t="array" ref="I1992">_xlfn.XLOOKUP(
 B1992,
 tblTargetStatus[TargetID],
 tblTargetStatus[Status],
 ""
)</f>
        <v>BLOCKED</v>
      </c>
      <c r="J1992" s="45" t="b">
        <v>0</v>
      </c>
    </row>
    <row r="1993" ht="14.25" hidden="1" customHeight="1">
      <c r="A1993" s="49" t="s">
        <v>4096</v>
      </c>
      <c r="B1993" s="49" t="str">
        <f>IFERROR(__xludf.DUMMYFUNCTION("REGEXREPLACE(
 REGEXREPLACE(A1993,""^cost\."",""""),
 ""\.[^.]+\.[^.]+$"",
 """"
)"),"tech.workshop.steamobile")</f>
        <v>tech.workshop.steamobile</v>
      </c>
      <c r="C1993" s="49" t="str">
        <f t="array" ref="C1993">_xlfn.XLOOKUP(
 B1993,
 tblTargets[TargetID],
 tblTargets[DisplayName],
 ""
)</f>
        <v>Workshop - Steamobile</v>
      </c>
      <c r="D1993" s="49" t="str">
        <f t="array" ref="D1993">_xlfn.XLOOKUP(
 B1993,
 tblTargets[TargetID],
 tblTargets[TargetType],
 ""
)</f>
        <v>TECH</v>
      </c>
      <c r="E1993" s="49" t="s">
        <v>2135</v>
      </c>
      <c r="F1993" s="49">
        <v>1.0</v>
      </c>
      <c r="G1993" s="49">
        <f t="array" ref="G1993">_xlfn.XLOOKUP(
 A1993,
 tblCost[RequirementID],
 tblCost[QuantityRequired],
 ""
)</f>
        <v>30</v>
      </c>
      <c r="H1993" s="49">
        <f t="array" ref="H1993">IF(
 OR(
  LEFT(B1993,15)="state.character",
  RIGHT(B1993,6)=".maxed"
 ),
 0,
 LET(
  sort,
   _xlfn.XLOOKUP(
    B1993,
    tblChecklist[TargetID],
    tblChecklist[PlayerSort],
    0
   ),
  IF(sort=0,500,sort)
 )
)</f>
        <v>500</v>
      </c>
      <c r="I1993" s="49" t="str">
        <f t="array" ref="I1993">_xlfn.XLOOKUP(
 B1993,
 tblTargetStatus[TargetID],
 tblTargetStatus[Status],
 ""
)</f>
        <v>BLOCKED</v>
      </c>
      <c r="J1993" s="45" t="b">
        <v>0</v>
      </c>
    </row>
    <row r="1994" ht="14.25" hidden="1" customHeight="1">
      <c r="A1994" s="49" t="s">
        <v>4098</v>
      </c>
      <c r="B1994" s="49" t="str">
        <f>IFERROR(__xludf.DUMMYFUNCTION("REGEXREPLACE(
 REGEXREPLACE(A1994,""^cost\."",""""),
 ""\.[^.]+\.[^.]+$"",
 """"
)"),"tech.workshop.steamobile")</f>
        <v>tech.workshop.steamobile</v>
      </c>
      <c r="C1994" s="49" t="str">
        <f t="array" ref="C1994">_xlfn.XLOOKUP(
 B1994,
 tblTargets[TargetID],
 tblTargets[DisplayName],
 ""
)</f>
        <v>Workshop - Steamobile</v>
      </c>
      <c r="D1994" s="49" t="str">
        <f t="array" ref="D1994">_xlfn.XLOOKUP(
 B1994,
 tblTargets[TargetID],
 tblTargets[TargetType],
 ""
)</f>
        <v>TECH</v>
      </c>
      <c r="E1994" s="49" t="s">
        <v>6</v>
      </c>
      <c r="F1994" s="49">
        <v>1.0</v>
      </c>
      <c r="G1994" s="49">
        <f t="array" ref="G1994">_xlfn.XLOOKUP(
 A1994,
 tblCost[RequirementID],
 tblCost[QuantityRequired],
 ""
)</f>
        <v>7</v>
      </c>
      <c r="H1994" s="49">
        <f t="array" ref="H1994">IF(
 OR(
  LEFT(B1994,15)="state.character",
  RIGHT(B1994,6)=".maxed"
 ),
 0,
 LET(
  sort,
   _xlfn.XLOOKUP(
    B1994,
    tblChecklist[TargetID],
    tblChecklist[PlayerSort],
    0
   ),
  IF(sort=0,500,sort)
 )
)</f>
        <v>500</v>
      </c>
      <c r="I1994" s="49" t="str">
        <f t="array" ref="I1994">_xlfn.XLOOKUP(
 B1994,
 tblTargetStatus[TargetID],
 tblTargetStatus[Status],
 ""
)</f>
        <v>BLOCKED</v>
      </c>
      <c r="J1994" s="45" t="b">
        <v>0</v>
      </c>
    </row>
    <row r="1995" ht="14.25" hidden="1" customHeight="1">
      <c r="A1995" s="49" t="s">
        <v>4014</v>
      </c>
      <c r="B1995" s="49" t="str">
        <f>IFERROR(__xludf.DUMMYFUNCTION("REGEXREPLACE(
 REGEXREPLACE(A1995,""^cost\."",""""),
 ""\.[^.]+\.[^.]+$"",
 """"
)"),"tech.workshop.strong_glue")</f>
        <v>tech.workshop.strong_glue</v>
      </c>
      <c r="C1995" s="49" t="str">
        <f t="array" ref="C1995">_xlfn.XLOOKUP(
 B1995,
 tblTargets[TargetID],
 tblTargets[DisplayName],
 ""
)</f>
        <v>Workshop - Strong Glue</v>
      </c>
      <c r="D1995" s="49" t="str">
        <f t="array" ref="D1995">_xlfn.XLOOKUP(
 B1995,
 tblTargets[TargetID],
 tblTargets[TargetType],
 ""
)</f>
        <v>TECH</v>
      </c>
      <c r="E1995" s="49" t="s">
        <v>1055</v>
      </c>
      <c r="F1995" s="49">
        <v>1.0</v>
      </c>
      <c r="G1995" s="49">
        <f t="array" ref="G1995">_xlfn.XLOOKUP(
 A1995,
 tblCost[RequirementID],
 tblCost[QuantityRequired],
 ""
)</f>
        <v>15</v>
      </c>
      <c r="H1995" s="49">
        <f t="array" ref="H1995">IF(
 OR(
  LEFT(B1995,15)="state.character",
  RIGHT(B1995,6)=".maxed"
 ),
 0,
 LET(
  sort,
   _xlfn.XLOOKUP(
    B1995,
    tblChecklist[TargetID],
    tblChecklist[PlayerSort],
    0
   ),
  IF(sort=0,500,sort)
 )
)</f>
        <v>500</v>
      </c>
      <c r="I1995" s="49" t="str">
        <f t="array" ref="I1995">_xlfn.XLOOKUP(
 B1995,
 tblTargetStatus[TargetID],
 tblTargetStatus[Status],
 ""
)</f>
        <v>BLOCKED</v>
      </c>
      <c r="J1995" s="45" t="b">
        <v>0</v>
      </c>
    </row>
    <row r="1996" ht="14.25" hidden="1" customHeight="1">
      <c r="A1996" s="49" t="s">
        <v>4018</v>
      </c>
      <c r="B1996" s="49" t="str">
        <f>IFERROR(__xludf.DUMMYFUNCTION("REGEXREPLACE(
 REGEXREPLACE(A1996,""^cost\."",""""),
 ""\.[^.]+\.[^.]+$"",
 """"
)"),"tech.workshop.strong_glue")</f>
        <v>tech.workshop.strong_glue</v>
      </c>
      <c r="C1996" s="49" t="str">
        <f t="array" ref="C1996">_xlfn.XLOOKUP(
 B1996,
 tblTargets[TargetID],
 tblTargets[DisplayName],
 ""
)</f>
        <v>Workshop - Strong Glue</v>
      </c>
      <c r="D1996" s="49" t="str">
        <f t="array" ref="D1996">_xlfn.XLOOKUP(
 B1996,
 tblTargets[TargetID],
 tblTargets[TargetType],
 ""
)</f>
        <v>TECH</v>
      </c>
      <c r="E1996" s="49" t="s">
        <v>119</v>
      </c>
      <c r="F1996" s="49">
        <v>1.0</v>
      </c>
      <c r="G1996" s="49">
        <f t="array" ref="G1996">_xlfn.XLOOKUP(
 A1996,
 tblCost[RequirementID],
 tblCost[QuantityRequired],
 ""
)</f>
        <v>500</v>
      </c>
      <c r="H1996" s="49">
        <f t="array" ref="H1996">IF(
 OR(
  LEFT(B1996,15)="state.character",
  RIGHT(B1996,6)=".maxed"
 ),
 0,
 LET(
  sort,
   _xlfn.XLOOKUP(
    B1996,
    tblChecklist[TargetID],
    tblChecklist[PlayerSort],
    0
   ),
  IF(sort=0,500,sort)
 )
)</f>
        <v>500</v>
      </c>
      <c r="I1996" s="49" t="str">
        <f t="array" ref="I1996">_xlfn.XLOOKUP(
 B1996,
 tblTargetStatus[TargetID],
 tblTargetStatus[Status],
 ""
)</f>
        <v>BLOCKED</v>
      </c>
      <c r="J1996" s="45" t="b">
        <v>0</v>
      </c>
    </row>
    <row r="1997" ht="14.25" hidden="1" customHeight="1">
      <c r="A1997" s="49" t="s">
        <v>4021</v>
      </c>
      <c r="B1997" s="49" t="str">
        <f>IFERROR(__xludf.DUMMYFUNCTION("REGEXREPLACE(
 REGEXREPLACE(A1997,""^cost\."",""""),
 ""\.[^.]+\.[^.]+$"",
 """"
)"),"tech.workshop.strong_glue")</f>
        <v>tech.workshop.strong_glue</v>
      </c>
      <c r="C1997" s="49" t="str">
        <f t="array" ref="C1997">_xlfn.XLOOKUP(
 B1997,
 tblTargets[TargetID],
 tblTargets[DisplayName],
 ""
)</f>
        <v>Workshop - Strong Glue</v>
      </c>
      <c r="D1997" s="49" t="str">
        <f t="array" ref="D1997">_xlfn.XLOOKUP(
 B1997,
 tblTargets[TargetID],
 tblTargets[TargetType],
 ""
)</f>
        <v>TECH</v>
      </c>
      <c r="E1997" s="49" t="s">
        <v>2486</v>
      </c>
      <c r="F1997" s="49">
        <v>1.0</v>
      </c>
      <c r="G1997" s="49">
        <f t="array" ref="G1997">_xlfn.XLOOKUP(
 A1997,
 tblCost[RequirementID],
 tblCost[QuantityRequired],
 ""
)</f>
        <v>10</v>
      </c>
      <c r="H1997" s="49">
        <f t="array" ref="H1997">IF(
 OR(
  LEFT(B1997,15)="state.character",
  RIGHT(B1997,6)=".maxed"
 ),
 0,
 LET(
  sort,
   _xlfn.XLOOKUP(
    B1997,
    tblChecklist[TargetID],
    tblChecklist[PlayerSort],
    0
   ),
  IF(sort=0,500,sort)
 )
)</f>
        <v>500</v>
      </c>
      <c r="I1997" s="49" t="str">
        <f t="array" ref="I1997">_xlfn.XLOOKUP(
 B1997,
 tblTargetStatus[TargetID],
 tblTargetStatus[Status],
 ""
)</f>
        <v>BLOCKED</v>
      </c>
      <c r="J1997" s="45" t="b">
        <v>0</v>
      </c>
    </row>
    <row r="1998" ht="14.25" hidden="1" customHeight="1">
      <c r="A1998" s="49" t="s">
        <v>4022</v>
      </c>
      <c r="B1998" s="49" t="str">
        <f>IFERROR(__xludf.DUMMYFUNCTION("REGEXREPLACE(
 REGEXREPLACE(A1998,""^cost\."",""""),
 ""\.[^.]+\.[^.]+$"",
 """"
)"),"tech.workshop.strong_glue")</f>
        <v>tech.workshop.strong_glue</v>
      </c>
      <c r="C1998" s="49" t="str">
        <f t="array" ref="C1998">_xlfn.XLOOKUP(
 B1998,
 tblTargets[TargetID],
 tblTargets[DisplayName],
 ""
)</f>
        <v>Workshop - Strong Glue</v>
      </c>
      <c r="D1998" s="49" t="str">
        <f t="array" ref="D1998">_xlfn.XLOOKUP(
 B1998,
 tblTargets[TargetID],
 tblTargets[TargetType],
 ""
)</f>
        <v>TECH</v>
      </c>
      <c r="E1998" s="49" t="s">
        <v>140</v>
      </c>
      <c r="F1998" s="49">
        <v>1.0</v>
      </c>
      <c r="G1998" s="49">
        <f t="array" ref="G1998">_xlfn.XLOOKUP(
 A1998,
 tblCost[RequirementID],
 tblCost[QuantityRequired],
 ""
)</f>
        <v>15</v>
      </c>
      <c r="H1998" s="49">
        <f t="array" ref="H1998">IF(
 OR(
  LEFT(B1998,15)="state.character",
  RIGHT(B1998,6)=".maxed"
 ),
 0,
 LET(
  sort,
   _xlfn.XLOOKUP(
    B1998,
    tblChecklist[TargetID],
    tblChecklist[PlayerSort],
    0
   ),
  IF(sort=0,500,sort)
 )
)</f>
        <v>500</v>
      </c>
      <c r="I1998" s="49" t="str">
        <f t="array" ref="I1998">_xlfn.XLOOKUP(
 B1998,
 tblTargetStatus[TargetID],
 tblTargetStatus[Status],
 ""
)</f>
        <v>BLOCKED</v>
      </c>
      <c r="J1998" s="45" t="b">
        <v>0</v>
      </c>
    </row>
    <row r="1999" ht="14.25" hidden="1" customHeight="1">
      <c r="A1999" s="49" t="s">
        <v>4026</v>
      </c>
      <c r="B1999" s="49" t="str">
        <f>IFERROR(__xludf.DUMMYFUNCTION("REGEXREPLACE(
 REGEXREPLACE(A1999,""^cost\."",""""),
 ""\.[^.]+\.[^.]+$"",
 """"
)"),"tech.workshop.strong_glue")</f>
        <v>tech.workshop.strong_glue</v>
      </c>
      <c r="C1999" s="49" t="str">
        <f t="array" ref="C1999">_xlfn.XLOOKUP(
 B1999,
 tblTargets[TargetID],
 tblTargets[DisplayName],
 ""
)</f>
        <v>Workshop - Strong Glue</v>
      </c>
      <c r="D1999" s="49" t="str">
        <f t="array" ref="D1999">_xlfn.XLOOKUP(
 B1999,
 tblTargets[TargetID],
 tblTargets[TargetType],
 ""
)</f>
        <v>TECH</v>
      </c>
      <c r="E1999" s="49" t="s">
        <v>6</v>
      </c>
      <c r="F1999" s="49">
        <v>1.0</v>
      </c>
      <c r="G1999" s="49">
        <f t="array" ref="G1999">_xlfn.XLOOKUP(
 A1999,
 tblCost[RequirementID],
 tblCost[QuantityRequired],
 ""
)</f>
        <v>2</v>
      </c>
      <c r="H1999" s="49">
        <f t="array" ref="H1999">IF(
 OR(
  LEFT(B1999,15)="state.character",
  RIGHT(B1999,6)=".maxed"
 ),
 0,
 LET(
  sort,
   _xlfn.XLOOKUP(
    B1999,
    tblChecklist[TargetID],
    tblChecklist[PlayerSort],
    0
   ),
  IF(sort=0,500,sort)
 )
)</f>
        <v>500</v>
      </c>
      <c r="I1999" s="49" t="str">
        <f t="array" ref="I1999">_xlfn.XLOOKUP(
 B1999,
 tblTargetStatus[TargetID],
 tblTargetStatus[Status],
 ""
)</f>
        <v>BLOCKED</v>
      </c>
      <c r="J1999" s="45" t="b">
        <v>0</v>
      </c>
    </row>
    <row r="2000" ht="14.25" hidden="1" customHeight="1">
      <c r="A2000" s="49" t="s">
        <v>3890</v>
      </c>
      <c r="B2000" s="49" t="str">
        <f>IFERROR(__xludf.DUMMYFUNCTION("REGEXREPLACE(
 REGEXREPLACE(A2000,""^cost\."",""""),
 ""\.[^.]+\.[^.]+$"",
 """"
)"),"tech.workshop.throwing_net")</f>
        <v>tech.workshop.throwing_net</v>
      </c>
      <c r="C2000" s="49" t="str">
        <f t="array" ref="C2000">_xlfn.XLOOKUP(
 B2000,
 tblTargets[TargetID],
 tblTargets[DisplayName],
 ""
)</f>
        <v>Workshop - Throwing Net</v>
      </c>
      <c r="D2000" s="49" t="str">
        <f t="array" ref="D2000">_xlfn.XLOOKUP(
 B2000,
 tblTargets[TargetID],
 tblTargets[TargetType],
 ""
)</f>
        <v>TECH</v>
      </c>
      <c r="E2000" s="49" t="s">
        <v>278</v>
      </c>
      <c r="F2000" s="49">
        <v>1.0</v>
      </c>
      <c r="G2000" s="49">
        <f t="array" ref="G2000">_xlfn.XLOOKUP(
 A2000,
 tblCost[RequirementID],
 tblCost[QuantityRequired],
 ""
)</f>
        <v>40</v>
      </c>
      <c r="H2000" s="49">
        <f t="array" ref="H2000">IF(
 OR(
  LEFT(B2000,15)="state.character",
  RIGHT(B2000,6)=".maxed"
 ),
 0,
 LET(
  sort,
   _xlfn.XLOOKUP(
    B2000,
    tblChecklist[TargetID],
    tblChecklist[PlayerSort],
    0
   ),
  IF(sort=0,500,sort)
 )
)</f>
        <v>500</v>
      </c>
      <c r="I2000" s="49" t="str">
        <f t="array" ref="I2000">_xlfn.XLOOKUP(
 B2000,
 tblTargetStatus[TargetID],
 tblTargetStatus[Status],
 ""
)</f>
        <v>BLOCKED</v>
      </c>
      <c r="J2000" s="45" t="b">
        <v>0</v>
      </c>
    </row>
    <row r="2001" ht="14.25" hidden="1" customHeight="1">
      <c r="A2001" s="49" t="s">
        <v>3894</v>
      </c>
      <c r="B2001" s="49" t="str">
        <f>IFERROR(__xludf.DUMMYFUNCTION("REGEXREPLACE(
 REGEXREPLACE(A2001,""^cost\."",""""),
 ""\.[^.]+\.[^.]+$"",
 """"
)"),"tech.workshop.throwing_net")</f>
        <v>tech.workshop.throwing_net</v>
      </c>
      <c r="C2001" s="49" t="str">
        <f t="array" ref="C2001">_xlfn.XLOOKUP(
 B2001,
 tblTargets[TargetID],
 tblTargets[DisplayName],
 ""
)</f>
        <v>Workshop - Throwing Net</v>
      </c>
      <c r="D2001" s="49" t="str">
        <f t="array" ref="D2001">_xlfn.XLOOKUP(
 B2001,
 tblTargets[TargetID],
 tblTargets[TargetType],
 ""
)</f>
        <v>TECH</v>
      </c>
      <c r="E2001" s="49" t="s">
        <v>119</v>
      </c>
      <c r="F2001" s="49">
        <v>1.0</v>
      </c>
      <c r="G2001" s="49">
        <f t="array" ref="G2001">_xlfn.XLOOKUP(
 A2001,
 tblCost[RequirementID],
 tblCost[QuantityRequired],
 ""
)</f>
        <v>300</v>
      </c>
      <c r="H2001" s="49">
        <f t="array" ref="H2001">IF(
 OR(
  LEFT(B2001,15)="state.character",
  RIGHT(B2001,6)=".maxed"
 ),
 0,
 LET(
  sort,
   _xlfn.XLOOKUP(
    B2001,
    tblChecklist[TargetID],
    tblChecklist[PlayerSort],
    0
   ),
  IF(sort=0,500,sort)
 )
)</f>
        <v>500</v>
      </c>
      <c r="I2001" s="49" t="str">
        <f t="array" ref="I2001">_xlfn.XLOOKUP(
 B2001,
 tblTargetStatus[TargetID],
 tblTargetStatus[Status],
 ""
)</f>
        <v>BLOCKED</v>
      </c>
      <c r="J2001" s="45" t="b">
        <v>0</v>
      </c>
    </row>
    <row r="2002" ht="14.25" hidden="1" customHeight="1">
      <c r="A2002" s="49" t="s">
        <v>3898</v>
      </c>
      <c r="B2002" s="49" t="str">
        <f>IFERROR(__xludf.DUMMYFUNCTION("REGEXREPLACE(
 REGEXREPLACE(A2002,""^cost\."",""""),
 ""\.[^.]+\.[^.]+$"",
 """"
)"),"tech.workshop.throwing_net")</f>
        <v>tech.workshop.throwing_net</v>
      </c>
      <c r="C2002" s="49" t="str">
        <f t="array" ref="C2002">_xlfn.XLOOKUP(
 B2002,
 tblTargets[TargetID],
 tblTargets[DisplayName],
 ""
)</f>
        <v>Workshop - Throwing Net</v>
      </c>
      <c r="D2002" s="49" t="str">
        <f t="array" ref="D2002">_xlfn.XLOOKUP(
 B2002,
 tblTargets[TargetID],
 tblTargets[TargetType],
 ""
)</f>
        <v>TECH</v>
      </c>
      <c r="E2002" s="49" t="s">
        <v>132</v>
      </c>
      <c r="F2002" s="49">
        <v>1.0</v>
      </c>
      <c r="G2002" s="49">
        <f t="array" ref="G2002">_xlfn.XLOOKUP(
 A2002,
 tblCost[RequirementID],
 tblCost[QuantityRequired],
 ""
)</f>
        <v>10</v>
      </c>
      <c r="H2002" s="49">
        <f t="array" ref="H2002">IF(
 OR(
  LEFT(B2002,15)="state.character",
  RIGHT(B2002,6)=".maxed"
 ),
 0,
 LET(
  sort,
   _xlfn.XLOOKUP(
    B2002,
    tblChecklist[TargetID],
    tblChecklist[PlayerSort],
    0
   ),
  IF(sort=0,500,sort)
 )
)</f>
        <v>500</v>
      </c>
      <c r="I2002" s="49" t="str">
        <f t="array" ref="I2002">_xlfn.XLOOKUP(
 B2002,
 tblTargetStatus[TargetID],
 tblTargetStatus[Status],
 ""
)</f>
        <v>BLOCKED</v>
      </c>
      <c r="J2002" s="45" t="b">
        <v>0</v>
      </c>
    </row>
    <row r="2003" ht="14.25" hidden="1" customHeight="1">
      <c r="A2003" s="49" t="s">
        <v>3902</v>
      </c>
      <c r="B2003" s="49" t="str">
        <f>IFERROR(__xludf.DUMMYFUNCTION("REGEXREPLACE(
 REGEXREPLACE(A2003,""^cost\."",""""),
 ""\.[^.]+\.[^.]+$"",
 """"
)"),"tech.workshop.throwing_net")</f>
        <v>tech.workshop.throwing_net</v>
      </c>
      <c r="C2003" s="49" t="str">
        <f t="array" ref="C2003">_xlfn.XLOOKUP(
 B2003,
 tblTargets[TargetID],
 tblTargets[DisplayName],
 ""
)</f>
        <v>Workshop - Throwing Net</v>
      </c>
      <c r="D2003" s="49" t="str">
        <f t="array" ref="D2003">_xlfn.XLOOKUP(
 B2003,
 tblTargets[TargetID],
 tblTargets[TargetType],
 ""
)</f>
        <v>TECH</v>
      </c>
      <c r="E2003" s="49" t="s">
        <v>6</v>
      </c>
      <c r="F2003" s="49">
        <v>1.0</v>
      </c>
      <c r="G2003" s="49">
        <f t="array" ref="G2003">_xlfn.XLOOKUP(
 A2003,
 tblCost[RequirementID],
 tblCost[QuantityRequired],
 ""
)</f>
        <v>2</v>
      </c>
      <c r="H2003" s="49">
        <f t="array" ref="H2003">IF(
 OR(
  LEFT(B2003,15)="state.character",
  RIGHT(B2003,6)=".maxed"
 ),
 0,
 LET(
  sort,
   _xlfn.XLOOKUP(
    B2003,
    tblChecklist[TargetID],
    tblChecklist[PlayerSort],
    0
   ),
  IF(sort=0,500,sort)
 )
)</f>
        <v>500</v>
      </c>
      <c r="I2003" s="49" t="str">
        <f t="array" ref="I2003">_xlfn.XLOOKUP(
 B2003,
 tblTargetStatus[TargetID],
 tblTargetStatus[Status],
 ""
)</f>
        <v>BLOCKED</v>
      </c>
      <c r="J2003" s="45" t="b">
        <v>0</v>
      </c>
    </row>
    <row r="2004" ht="14.25" hidden="1" customHeight="1">
      <c r="A2004" s="49" t="s">
        <v>3906</v>
      </c>
      <c r="B2004" s="49" t="str">
        <f>IFERROR(__xludf.DUMMYFUNCTION("REGEXREPLACE(
 REGEXREPLACE(A2004,""^cost\."",""""),
 ""\.[^.]+\.[^.]+$"",
 """"
)"),"tech.workshop.throwing_net")</f>
        <v>tech.workshop.throwing_net</v>
      </c>
      <c r="C2004" s="49" t="str">
        <f t="array" ref="C2004">_xlfn.XLOOKUP(
 B2004,
 tblTargets[TargetID],
 tblTargets[DisplayName],
 ""
)</f>
        <v>Workshop - Throwing Net</v>
      </c>
      <c r="D2004" s="49" t="str">
        <f t="array" ref="D2004">_xlfn.XLOOKUP(
 B2004,
 tblTargets[TargetID],
 tblTargets[TargetType],
 ""
)</f>
        <v>TECH</v>
      </c>
      <c r="E2004" s="49" t="s">
        <v>237</v>
      </c>
      <c r="F2004" s="49">
        <v>1.0</v>
      </c>
      <c r="G2004" s="49">
        <f t="array" ref="G2004">_xlfn.XLOOKUP(
 A2004,
 tblCost[RequirementID],
 tblCost[QuantityRequired],
 ""
)</f>
        <v>10</v>
      </c>
      <c r="H2004" s="49">
        <f t="array" ref="H2004">IF(
 OR(
  LEFT(B2004,15)="state.character",
  RIGHT(B2004,6)=".maxed"
 ),
 0,
 LET(
  sort,
   _xlfn.XLOOKUP(
    B2004,
    tblChecklist[TargetID],
    tblChecklist[PlayerSort],
    0
   ),
  IF(sort=0,500,sort)
 )
)</f>
        <v>500</v>
      </c>
      <c r="I2004" s="49" t="str">
        <f t="array" ref="I2004">_xlfn.XLOOKUP(
 B2004,
 tblTargetStatus[TargetID],
 tblTargetStatus[Status],
 ""
)</f>
        <v>BLOCKED</v>
      </c>
      <c r="J2004" s="45" t="b">
        <v>0</v>
      </c>
    </row>
    <row r="2005" ht="14.25" hidden="1" customHeight="1">
      <c r="A2005" s="49" t="s">
        <v>3909</v>
      </c>
      <c r="B2005" s="49" t="str">
        <f>IFERROR(__xludf.DUMMYFUNCTION("REGEXREPLACE(
 REGEXREPLACE(A2005,""^cost\."",""""),
 ""\.[^.]+\.[^.]+$"",
 """"
)"),"tech.workshop.throwing_net")</f>
        <v>tech.workshop.throwing_net</v>
      </c>
      <c r="C2005" s="49" t="str">
        <f t="array" ref="C2005">_xlfn.XLOOKUP(
 B2005,
 tblTargets[TargetID],
 tblTargets[DisplayName],
 ""
)</f>
        <v>Workshop - Throwing Net</v>
      </c>
      <c r="D2005" s="49" t="str">
        <f t="array" ref="D2005">_xlfn.XLOOKUP(
 B2005,
 tblTargets[TargetID],
 tblTargets[TargetType],
 ""
)</f>
        <v>TECH</v>
      </c>
      <c r="E2005" s="49" t="s">
        <v>158</v>
      </c>
      <c r="F2005" s="49">
        <v>1.0</v>
      </c>
      <c r="G2005" s="49">
        <f t="array" ref="G2005">_xlfn.XLOOKUP(
 A2005,
 tblCost[RequirementID],
 tblCost[QuantityRequired],
 ""
)</f>
        <v>10</v>
      </c>
      <c r="H2005" s="49">
        <f t="array" ref="H2005">IF(
 OR(
  LEFT(B2005,15)="state.character",
  RIGHT(B2005,6)=".maxed"
 ),
 0,
 LET(
  sort,
   _xlfn.XLOOKUP(
    B2005,
    tblChecklist[TargetID],
    tblChecklist[PlayerSort],
    0
   ),
  IF(sort=0,500,sort)
 )
)</f>
        <v>500</v>
      </c>
      <c r="I2005" s="49" t="str">
        <f t="array" ref="I2005">_xlfn.XLOOKUP(
 B2005,
 tblTargetStatus[TargetID],
 tblTargetStatus[Status],
 ""
)</f>
        <v>BLOCKED</v>
      </c>
      <c r="J2005" s="45" t="b">
        <v>0</v>
      </c>
    </row>
    <row r="2006" ht="14.25" hidden="1" customHeight="1">
      <c r="A2006" s="49" t="s">
        <v>4101</v>
      </c>
      <c r="B2006" s="49" t="str">
        <f>IFERROR(__xludf.DUMMYFUNCTION("REGEXREPLACE(
 REGEXREPLACE(A2006,""^cost\."",""""),
 ""\.[^.]+\.[^.]+$"",
 """"
)"),"tech.workshop.zen_fountain")</f>
        <v>tech.workshop.zen_fountain</v>
      </c>
      <c r="C2006" s="49" t="str">
        <f t="array" ref="C2006">_xlfn.XLOOKUP(
 B2006,
 tblTargets[TargetID],
 tblTargets[DisplayName],
 ""
)</f>
        <v>Workshop - Zen Fountain</v>
      </c>
      <c r="D2006" s="49" t="str">
        <f t="array" ref="D2006">_xlfn.XLOOKUP(
 B2006,
 tblTargets[TargetID],
 tblTargets[TargetType],
 ""
)</f>
        <v>TECH</v>
      </c>
      <c r="E2006" s="49" t="s">
        <v>520</v>
      </c>
      <c r="F2006" s="49">
        <v>1.0</v>
      </c>
      <c r="G2006" s="49">
        <f t="array" ref="G2006">_xlfn.XLOOKUP(
 A2006,
 tblCost[RequirementID],
 tblCost[QuantityRequired],
 ""
)</f>
        <v>30</v>
      </c>
      <c r="H2006" s="49">
        <f t="array" ref="H2006">IF(
 OR(
  LEFT(B2006,15)="state.character",
  RIGHT(B2006,6)=".maxed"
 ),
 0,
 LET(
  sort,
   _xlfn.XLOOKUP(
    B2006,
    tblChecklist[TargetID],
    tblChecklist[PlayerSort],
    0
   ),
  IF(sort=0,500,sort)
 )
)</f>
        <v>500</v>
      </c>
      <c r="I2006" s="49" t="str">
        <f t="array" ref="I2006">_xlfn.XLOOKUP(
 B2006,
 tblTargetStatus[TargetID],
 tblTargetStatus[Status],
 ""
)</f>
        <v>BLOCKED</v>
      </c>
      <c r="J2006" s="45" t="b">
        <v>0</v>
      </c>
    </row>
    <row r="2007" ht="14.25" hidden="1" customHeight="1">
      <c r="A2007" s="49" t="s">
        <v>4105</v>
      </c>
      <c r="B2007" s="49" t="str">
        <f>IFERROR(__xludf.DUMMYFUNCTION("REGEXREPLACE(
 REGEXREPLACE(A2007,""^cost\."",""""),
 ""\.[^.]+\.[^.]+$"",
 """"
)"),"tech.workshop.zen_fountain")</f>
        <v>tech.workshop.zen_fountain</v>
      </c>
      <c r="C2007" s="49" t="str">
        <f t="array" ref="C2007">_xlfn.XLOOKUP(
 B2007,
 tblTargets[TargetID],
 tblTargets[DisplayName],
 ""
)</f>
        <v>Workshop - Zen Fountain</v>
      </c>
      <c r="D2007" s="49" t="str">
        <f t="array" ref="D2007">_xlfn.XLOOKUP(
 B2007,
 tblTargets[TargetID],
 tblTargets[TargetType],
 ""
)</f>
        <v>TECH</v>
      </c>
      <c r="E2007" s="49" t="s">
        <v>119</v>
      </c>
      <c r="F2007" s="49">
        <v>1.0</v>
      </c>
      <c r="G2007" s="49">
        <f t="array" ref="G2007">_xlfn.XLOOKUP(
 A2007,
 tblCost[RequirementID],
 tblCost[QuantityRequired],
 ""
)</f>
        <v>1000</v>
      </c>
      <c r="H2007" s="49">
        <f t="array" ref="H2007">IF(
 OR(
  LEFT(B2007,15)="state.character",
  RIGHT(B2007,6)=".maxed"
 ),
 0,
 LET(
  sort,
   _xlfn.XLOOKUP(
    B2007,
    tblChecklist[TargetID],
    tblChecklist[PlayerSort],
    0
   ),
  IF(sort=0,500,sort)
 )
)</f>
        <v>500</v>
      </c>
      <c r="I2007" s="49" t="str">
        <f t="array" ref="I2007">_xlfn.XLOOKUP(
 B2007,
 tblTargetStatus[TargetID],
 tblTargetStatus[Status],
 ""
)</f>
        <v>BLOCKED</v>
      </c>
      <c r="J2007" s="45" t="b">
        <v>0</v>
      </c>
    </row>
    <row r="2008" ht="14.25" hidden="1" customHeight="1">
      <c r="A2008" s="49" t="s">
        <v>4106</v>
      </c>
      <c r="B2008" s="49" t="str">
        <f>IFERROR(__xludf.DUMMYFUNCTION("REGEXREPLACE(
 REGEXREPLACE(A2008,""^cost\."",""""),
 ""\.[^.]+\.[^.]+$"",
 """"
)"),"tech.workshop.zen_fountain")</f>
        <v>tech.workshop.zen_fountain</v>
      </c>
      <c r="C2008" s="49" t="str">
        <f t="array" ref="C2008">_xlfn.XLOOKUP(
 B2008,
 tblTargets[TargetID],
 tblTargets[DisplayName],
 ""
)</f>
        <v>Workshop - Zen Fountain</v>
      </c>
      <c r="D2008" s="49" t="str">
        <f t="array" ref="D2008">_xlfn.XLOOKUP(
 B2008,
 tblTargets[TargetID],
 tblTargets[TargetType],
 ""
)</f>
        <v>TECH</v>
      </c>
      <c r="E2008" s="49" t="s">
        <v>530</v>
      </c>
      <c r="F2008" s="49">
        <v>1.0</v>
      </c>
      <c r="G2008" s="49">
        <f t="array" ref="G2008">_xlfn.XLOOKUP(
 A2008,
 tblCost[RequirementID],
 tblCost[QuantityRequired],
 ""
)</f>
        <v>10</v>
      </c>
      <c r="H2008" s="49">
        <f t="array" ref="H2008">IF(
 OR(
  LEFT(B2008,15)="state.character",
  RIGHT(B2008,6)=".maxed"
 ),
 0,
 LET(
  sort,
   _xlfn.XLOOKUP(
    B2008,
    tblChecklist[TargetID],
    tblChecklist[PlayerSort],
    0
   ),
  IF(sort=0,500,sort)
 )
)</f>
        <v>500</v>
      </c>
      <c r="I2008" s="49" t="str">
        <f t="array" ref="I2008">_xlfn.XLOOKUP(
 B2008,
 tblTargetStatus[TargetID],
 tblTargetStatus[Status],
 ""
)</f>
        <v>BLOCKED</v>
      </c>
      <c r="J2008" s="45" t="b">
        <v>0</v>
      </c>
    </row>
    <row r="2009" ht="14.25" hidden="1" customHeight="1">
      <c r="A2009" s="49" t="s">
        <v>4109</v>
      </c>
      <c r="B2009" s="49" t="str">
        <f>IFERROR(__xludf.DUMMYFUNCTION("REGEXREPLACE(
 REGEXREPLACE(A2009,""^cost\."",""""),
 ""\.[^.]+\.[^.]+$"",
 """"
)"),"tech.workshop.zen_fountain")</f>
        <v>tech.workshop.zen_fountain</v>
      </c>
      <c r="C2009" s="49" t="str">
        <f t="array" ref="C2009">_xlfn.XLOOKUP(
 B2009,
 tblTargets[TargetID],
 tblTargets[DisplayName],
 ""
)</f>
        <v>Workshop - Zen Fountain</v>
      </c>
      <c r="D2009" s="49" t="str">
        <f t="array" ref="D2009">_xlfn.XLOOKUP(
 B2009,
 tblTargets[TargetID],
 tblTargets[TargetType],
 ""
)</f>
        <v>TECH</v>
      </c>
      <c r="E2009" s="49" t="s">
        <v>6</v>
      </c>
      <c r="F2009" s="49">
        <v>1.0</v>
      </c>
      <c r="G2009" s="49">
        <f t="array" ref="G2009">_xlfn.XLOOKUP(
 A2009,
 tblCost[RequirementID],
 tblCost[QuantityRequired],
 ""
)</f>
        <v>5</v>
      </c>
      <c r="H2009" s="49">
        <f t="array" ref="H2009">IF(
 OR(
  LEFT(B2009,15)="state.character",
  RIGHT(B2009,6)=".maxed"
 ),
 0,
 LET(
  sort,
   _xlfn.XLOOKUP(
    B2009,
    tblChecklist[TargetID],
    tblChecklist[PlayerSort],
    0
   ),
  IF(sort=0,500,sort)
 )
)</f>
        <v>500</v>
      </c>
      <c r="I2009" s="49" t="str">
        <f t="array" ref="I2009">_xlfn.XLOOKUP(
 B2009,
 tblTargetStatus[TargetID],
 tblTargetStatus[Status],
 ""
)</f>
        <v>BLOCKED</v>
      </c>
      <c r="J2009" s="45" t="b">
        <v>0</v>
      </c>
    </row>
    <row r="2010" ht="14.25" hidden="1" customHeight="1">
      <c r="A2010" s="49" t="s">
        <v>4113</v>
      </c>
      <c r="B2010" s="49" t="str">
        <f>IFERROR(__xludf.DUMMYFUNCTION("REGEXREPLACE(
 REGEXREPLACE(A2010,""^cost\."",""""),
 ""\.[^.]+\.[^.]+$"",
 """"
)"),"tech.workshop.zen_fountain")</f>
        <v>tech.workshop.zen_fountain</v>
      </c>
      <c r="C2010" s="49" t="str">
        <f t="array" ref="C2010">_xlfn.XLOOKUP(
 B2010,
 tblTargets[TargetID],
 tblTargets[DisplayName],
 ""
)</f>
        <v>Workshop - Zen Fountain</v>
      </c>
      <c r="D2010" s="49" t="str">
        <f t="array" ref="D2010">_xlfn.XLOOKUP(
 B2010,
 tblTargets[TargetID],
 tblTargets[TargetType],
 ""
)</f>
        <v>TECH</v>
      </c>
      <c r="E2010" s="49" t="s">
        <v>237</v>
      </c>
      <c r="F2010" s="49">
        <v>1.0</v>
      </c>
      <c r="G2010" s="49">
        <f t="array" ref="G2010">_xlfn.XLOOKUP(
 A2010,
 tblCost[RequirementID],
 tblCost[QuantityRequired],
 ""
)</f>
        <v>100</v>
      </c>
      <c r="H2010" s="49">
        <f t="array" ref="H2010">IF(
 OR(
  LEFT(B2010,15)="state.character",
  RIGHT(B2010,6)=".maxed"
 ),
 0,
 LET(
  sort,
   _xlfn.XLOOKUP(
    B2010,
    tblChecklist[TargetID],
    tblChecklist[PlayerSort],
    0
   ),
  IF(sort=0,500,sort)
 )
)</f>
        <v>500</v>
      </c>
      <c r="I2010" s="49" t="str">
        <f t="array" ref="I2010">_xlfn.XLOOKUP(
 B2010,
 tblTargetStatus[TargetID],
 tblTargetStatus[Status],
 ""
)</f>
        <v>BLOCKED</v>
      </c>
      <c r="J2010" s="45" t="b">
        <v>0</v>
      </c>
    </row>
    <row r="2011" ht="14.25" hidden="1" customHeight="1">
      <c r="A2011" s="49" t="s">
        <v>4115</v>
      </c>
      <c r="B2011" s="49" t="str">
        <f>IFERROR(__xludf.DUMMYFUNCTION("REGEXREPLACE(
 REGEXREPLACE(A2011,""^cost\."",""""),
 ""\.[^.]+\.[^.]+$"",
 """"
)"),"tech.workshop.zen_fountain")</f>
        <v>tech.workshop.zen_fountain</v>
      </c>
      <c r="C2011" s="49" t="str">
        <f t="array" ref="C2011">_xlfn.XLOOKUP(
 B2011,
 tblTargets[TargetID],
 tblTargets[DisplayName],
 ""
)</f>
        <v>Workshop - Zen Fountain</v>
      </c>
      <c r="D2011" s="49" t="str">
        <f t="array" ref="D2011">_xlfn.XLOOKUP(
 B2011,
 tblTargets[TargetID],
 tblTargets[TargetType],
 ""
)</f>
        <v>TECH</v>
      </c>
      <c r="E2011" s="49" t="s">
        <v>158</v>
      </c>
      <c r="F2011" s="49">
        <v>1.0</v>
      </c>
      <c r="G2011" s="49">
        <f t="array" ref="G2011">_xlfn.XLOOKUP(
 A2011,
 tblCost[RequirementID],
 tblCost[QuantityRequired],
 ""
)</f>
        <v>20</v>
      </c>
      <c r="H2011" s="49">
        <f t="array" ref="H2011">IF(
 OR(
  LEFT(B2011,15)="state.character",
  RIGHT(B2011,6)=".maxed"
 ),
 0,
 LET(
  sort,
   _xlfn.XLOOKUP(
    B2011,
    tblChecklist[TargetID],
    tblChecklist[PlayerSort],
    0
   ),
  IF(sort=0,500,sort)
 )
)</f>
        <v>500</v>
      </c>
      <c r="I2011" s="49" t="str">
        <f t="array" ref="I2011">_xlfn.XLOOKUP(
 B2011,
 tblTargetStatus[TargetID],
 tblTargetStatus[Status],
 ""
)</f>
        <v>BLOCKED</v>
      </c>
      <c r="J2011" s="45" t="b">
        <v>0</v>
      </c>
    </row>
  </sheetData>
  <customSheetViews>
    <customSheetView guid="{9614F490-DA9B-4B51-BBC9-0B37DEEB0630}" filter="1" showAutoFilter="1">
      <autoFilter ref="$A$1:$J$2011"/>
    </customSheetView>
    <customSheetView guid="{142766E8-E83C-4F25-8A84-73E404EE2373}" filter="1" showAutoFilter="1">
      <autoFilter ref="$A$1:$J$2011">
        <filterColumn colId="8">
          <filters>
            <filter val="READY"/>
          </filters>
        </filterColumn>
        <filterColumn colId="0">
          <filters>
            <filter val="cost.tech.tailor.armor_for_a_hero_lvl_4+.armor4.1"/>
            <filter val="cost.tech.tailor.armor_for_a_hero_lvl_4+.apy.1"/>
          </filters>
        </filterColumn>
      </autoFilter>
    </customSheetView>
  </customSheetViews>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sheetViews>
  <sheetFormatPr customHeight="1" defaultColWidth="12.63" defaultRowHeight="15.0"/>
  <cols>
    <col customWidth="1" min="1" max="1" width="12.5"/>
    <col customWidth="1" min="2" max="2" width="25.13"/>
    <col customWidth="1" min="3" max="3" width="22.13"/>
    <col customWidth="1" min="4" max="4" width="4.63"/>
    <col customWidth="1" min="5" max="5" width="4.13"/>
    <col customWidth="1" min="6" max="6" width="6.75"/>
    <col customWidth="1" min="7" max="7" width="17.13"/>
    <col customWidth="1" min="8" max="8" width="19.88"/>
    <col customWidth="1" min="9" max="9" width="12.5"/>
    <col customWidth="1" min="10" max="10" width="15.88"/>
    <col customWidth="1" min="11" max="26" width="12.5"/>
  </cols>
  <sheetData>
    <row r="1" ht="15.75" customHeight="1">
      <c r="A1" s="35"/>
      <c r="B1" s="36" t="s">
        <v>48</v>
      </c>
      <c r="C1" s="37"/>
      <c r="D1" s="38"/>
      <c r="E1" s="38"/>
      <c r="F1" s="38"/>
      <c r="G1" s="38"/>
      <c r="H1" s="38"/>
      <c r="I1" s="38"/>
      <c r="J1" s="38"/>
      <c r="K1" s="38"/>
      <c r="L1" s="35"/>
      <c r="M1" s="35"/>
      <c r="N1" s="35"/>
      <c r="O1" s="35"/>
      <c r="P1" s="35"/>
      <c r="Q1" s="35"/>
      <c r="R1" s="35"/>
      <c r="S1" s="35"/>
      <c r="T1" s="35"/>
      <c r="U1" s="35"/>
      <c r="V1" s="35"/>
      <c r="W1" s="35"/>
      <c r="X1" s="35"/>
      <c r="Y1" s="35"/>
      <c r="Z1" s="35"/>
    </row>
    <row r="2" ht="15.75" customHeight="1">
      <c r="A2" s="39" t="s">
        <v>49</v>
      </c>
      <c r="B2" s="40" t="s">
        <v>50</v>
      </c>
      <c r="C2" s="40" t="s">
        <v>51</v>
      </c>
      <c r="D2" s="41"/>
      <c r="E2" s="41"/>
      <c r="F2" s="42" t="s">
        <v>49</v>
      </c>
      <c r="G2" s="43" t="s">
        <v>52</v>
      </c>
      <c r="H2" s="43" t="s">
        <v>53</v>
      </c>
      <c r="I2" s="42" t="s">
        <v>54</v>
      </c>
      <c r="J2" s="43" t="s">
        <v>55</v>
      </c>
      <c r="K2" s="43" t="s">
        <v>56</v>
      </c>
      <c r="L2" s="35"/>
      <c r="M2" s="35"/>
      <c r="N2" s="35"/>
      <c r="O2" s="35"/>
      <c r="P2" s="35"/>
      <c r="Q2" s="35"/>
      <c r="R2" s="35"/>
      <c r="S2" s="35"/>
      <c r="T2" s="35"/>
      <c r="U2" s="35"/>
      <c r="V2" s="35"/>
      <c r="W2" s="35"/>
      <c r="X2" s="35"/>
      <c r="Y2" s="35"/>
      <c r="Z2" s="35"/>
    </row>
    <row r="3" ht="15.75" customHeight="1">
      <c r="A3" s="44">
        <v>1.0</v>
      </c>
      <c r="B3" s="47" t="str">
        <f t="array" ref="B3">_xlfn.XLOOKUP(
 A3,
 tblwikirecommended[Order],
 tblwikirecommended[Passive ID],
 ""
)</f>
        <v>building.guild@2</v>
      </c>
      <c r="C3" s="47" t="str">
        <f t="array" ref="C3">_xlfn.XLOOKUP(
 A3,
 tblwikirecommended[Order],
 tblwikirecommended[Active ID],
 ""
)</f>
        <v>building.guild@2</v>
      </c>
      <c r="D3" s="35"/>
      <c r="E3" s="35"/>
      <c r="F3" s="44">
        <v>1.0</v>
      </c>
      <c r="G3" s="44" t="s">
        <v>57</v>
      </c>
      <c r="H3" s="48" t="str">
        <f>IFERROR(__xludf.DUMMYFUNCTION("LET(
 txt,TRIM(SUBSTITUTE(G3,CHAR(160),""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)"),"building.guild@2")</f>
        <v>building.guild@2</v>
      </c>
      <c r="I3" s="44" t="str">
        <f>IFERROR(__xludf.DUMMYFUNCTION("LET(
 txt,TRIM(SUBSTITUTE(J3,CHAR(160),""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)"),"building.guild@2")</f>
        <v>building.guild@2</v>
      </c>
      <c r="J3" s="44" t="s">
        <v>57</v>
      </c>
      <c r="K3" s="44" t="s">
        <v>59</v>
      </c>
      <c r="L3" s="35"/>
      <c r="M3" s="35"/>
      <c r="N3" s="35"/>
      <c r="O3" s="35"/>
      <c r="P3" s="35"/>
      <c r="Q3" s="35"/>
      <c r="R3" s="35"/>
      <c r="S3" s="35"/>
      <c r="T3" s="35"/>
      <c r="U3" s="35"/>
      <c r="V3" s="35"/>
      <c r="W3" s="35"/>
      <c r="X3" s="35"/>
      <c r="Y3" s="35"/>
      <c r="Z3" s="35"/>
    </row>
    <row r="4" ht="15.75" customHeight="1">
      <c r="A4" s="44">
        <v>2.0</v>
      </c>
      <c r="B4" s="47" t="str">
        <f t="array" ref="B4">_xlfn.XLOOKUP(
 A4,
 tblwikirecommended[Order],
 tblwikirecommended[Passive ID],
 ""
)</f>
        <v>building.warehouse@1</v>
      </c>
      <c r="C4" s="47" t="str">
        <f t="array" ref="C4">_xlfn.XLOOKUP(
 A4,
 tblwikirecommended[Order],
 tblwikirecommended[Active ID],
 ""
)</f>
        <v>building.warehouse@1</v>
      </c>
      <c r="D4" s="35"/>
      <c r="E4" s="35"/>
      <c r="F4" s="44">
        <f t="shared" ref="F4:F104" si="1">1+F3</f>
        <v>2</v>
      </c>
      <c r="G4" s="44" t="s">
        <v>60</v>
      </c>
      <c r="H4" s="48" t="str">
        <f>IFERROR(__xludf.DUMMYFUNCTION("LET(
 txt,TRIM(SUBSTITUTE(G4,CHAR(160),""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)"),"building.warehouse@1")</f>
        <v>building.warehouse@1</v>
      </c>
      <c r="I4" s="44" t="str">
        <f>IFERROR(__xludf.DUMMYFUNCTION("LET(
 txt,TRIM(SUBSTITUTE(J4,CHAR(160),""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)"),"building.warehouse@1")</f>
        <v>building.warehouse@1</v>
      </c>
      <c r="J4" s="44" t="s">
        <v>60</v>
      </c>
      <c r="K4" s="44" t="s">
        <v>61</v>
      </c>
      <c r="L4" s="35"/>
      <c r="M4" s="35"/>
      <c r="N4" s="35"/>
      <c r="O4" s="35"/>
      <c r="P4" s="35"/>
      <c r="Q4" s="35"/>
      <c r="R4" s="35"/>
      <c r="S4" s="35"/>
      <c r="T4" s="35"/>
      <c r="U4" s="35"/>
      <c r="V4" s="35"/>
      <c r="W4" s="35"/>
      <c r="X4" s="35"/>
      <c r="Y4" s="35"/>
      <c r="Z4" s="35"/>
    </row>
    <row r="5" ht="15.75" customHeight="1">
      <c r="A5" s="44">
        <v>3.0</v>
      </c>
      <c r="B5" s="47" t="str">
        <f t="array" ref="B5">_xlfn.XLOOKUP(
 A5,
 tblwikirecommended[Order],
 tblwikirecommended[Passive ID],
 ""
)</f>
        <v>building.shop@1</v>
      </c>
      <c r="C5" s="47" t="str">
        <f t="array" ref="C5">_xlfn.XLOOKUP(
 A5,
 tblwikirecommended[Order],
 tblwikirecommended[Active ID],
 ""
)</f>
        <v>building.shop@1</v>
      </c>
      <c r="D5" s="35"/>
      <c r="E5" s="35"/>
      <c r="F5" s="44">
        <f t="shared" si="1"/>
        <v>3</v>
      </c>
      <c r="G5" s="44" t="s">
        <v>63</v>
      </c>
      <c r="H5" s="48" t="str">
        <f>IFERROR(__xludf.DUMMYFUNCTION("LET(
 txt,TRIM(SUBSTITUTE(G5,CHAR(160),""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)"),"building.shop@1")</f>
        <v>building.shop@1</v>
      </c>
      <c r="I5" s="44" t="str">
        <f>IFERROR(__xludf.DUMMYFUNCTION("LET(
 txt,TRIM(SUBSTITUTE(J5,CHAR(160),""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)"),"building.shop@1")</f>
        <v>building.shop@1</v>
      </c>
      <c r="J5" s="44" t="s">
        <v>63</v>
      </c>
      <c r="K5" s="44" t="s">
        <v>64</v>
      </c>
      <c r="L5" s="35"/>
      <c r="M5" s="35"/>
      <c r="N5" s="35"/>
      <c r="O5" s="35"/>
      <c r="P5" s="35"/>
      <c r="Q5" s="35"/>
      <c r="R5" s="35"/>
      <c r="S5" s="35"/>
      <c r="T5" s="35"/>
      <c r="U5" s="35"/>
      <c r="V5" s="35"/>
      <c r="W5" s="35"/>
      <c r="X5" s="35"/>
      <c r="Y5" s="35"/>
      <c r="Z5" s="35"/>
    </row>
    <row r="6" ht="15.75" customHeight="1">
      <c r="A6" s="44">
        <v>4.0</v>
      </c>
      <c r="B6" s="47" t="str">
        <f t="array" ref="B6">_xlfn.XLOOKUP(
 A6,
 tblwikirecommended[Order],
 tblwikirecommended[Passive ID],
 ""
)</f>
        <v>building.alchemists_hut@1</v>
      </c>
      <c r="C6" s="47" t="str">
        <f t="array" ref="C6">_xlfn.XLOOKUP(
 A6,
 tblwikirecommended[Order],
 tblwikirecommended[Active ID],
 ""
)</f>
        <v>building.alchemists_hut@1</v>
      </c>
      <c r="D6" s="35"/>
      <c r="E6" s="35"/>
      <c r="F6" s="44">
        <f t="shared" si="1"/>
        <v>4</v>
      </c>
      <c r="G6" s="44" t="s">
        <v>66</v>
      </c>
      <c r="H6" s="48" t="str">
        <f>IFERROR(__xludf.DUMMYFUNCTION("LET(
 txt,TRIM(SUBSTITUTE(G6,CHAR(160),""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)"),"building.alchemists_hut@1")</f>
        <v>building.alchemists_hut@1</v>
      </c>
      <c r="I6" s="44" t="str">
        <f>IFERROR(__xludf.DUMMYFUNCTION("LET(
 txt,TRIM(SUBSTITUTE(J6,CHAR(160),""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)"),"building.alchemists_hut@1")</f>
        <v>building.alchemists_hut@1</v>
      </c>
      <c r="J6" s="44" t="s">
        <v>66</v>
      </c>
      <c r="K6" s="44" t="s">
        <v>67</v>
      </c>
      <c r="L6" s="35"/>
      <c r="M6" s="35"/>
      <c r="N6" s="35"/>
      <c r="O6" s="35"/>
      <c r="P6" s="35"/>
      <c r="Q6" s="35"/>
      <c r="R6" s="35"/>
      <c r="S6" s="35"/>
      <c r="T6" s="35"/>
      <c r="U6" s="35"/>
      <c r="V6" s="35"/>
      <c r="W6" s="35"/>
      <c r="X6" s="35"/>
      <c r="Y6" s="35"/>
      <c r="Z6" s="35"/>
    </row>
    <row r="7" ht="15.75" customHeight="1">
      <c r="A7" s="44">
        <v>5.0</v>
      </c>
      <c r="B7" s="47" t="str">
        <f t="array" ref="B7">_xlfn.XLOOKUP(
 A7,
 tblwikirecommended[Order],
 tblwikirecommended[Passive ID],
 ""
)</f>
        <v>building.alchemists_hut@2</v>
      </c>
      <c r="C7" s="47" t="str">
        <f t="array" ref="C7">_xlfn.XLOOKUP(
 A7,
 tblwikirecommended[Order],
 tblwikirecommended[Active ID],
 ""
)</f>
        <v>building.alchemists_hut@2</v>
      </c>
      <c r="D7" s="35"/>
      <c r="E7" s="35"/>
      <c r="F7" s="44">
        <f t="shared" si="1"/>
        <v>5</v>
      </c>
      <c r="G7" s="44" t="s">
        <v>69</v>
      </c>
      <c r="H7" s="48" t="str">
        <f>IFERROR(__xludf.DUMMYFUNCTION("LET(
 txt,TRIM(SUBSTITUTE(G7,CHAR(160),""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)"),"building.alchemists_hut@2")</f>
        <v>building.alchemists_hut@2</v>
      </c>
      <c r="I7" s="44" t="str">
        <f>IFERROR(__xludf.DUMMYFUNCTION("LET(
 txt,TRIM(SUBSTITUTE(J7,CHAR(160),""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)"),"building.alchemists_hut@2")</f>
        <v>building.alchemists_hut@2</v>
      </c>
      <c r="J7" s="44" t="s">
        <v>69</v>
      </c>
      <c r="K7" s="44" t="s">
        <v>70</v>
      </c>
      <c r="L7" s="35"/>
      <c r="M7" s="35"/>
      <c r="N7" s="35"/>
      <c r="O7" s="35"/>
      <c r="P7" s="35"/>
      <c r="Q7" s="35"/>
      <c r="R7" s="35"/>
      <c r="S7" s="35"/>
      <c r="T7" s="35"/>
      <c r="U7" s="35"/>
      <c r="V7" s="35"/>
      <c r="W7" s="35"/>
      <c r="X7" s="35"/>
      <c r="Y7" s="35"/>
      <c r="Z7" s="35"/>
    </row>
    <row r="8" ht="15.75" customHeight="1">
      <c r="A8" s="44">
        <v>6.0</v>
      </c>
      <c r="B8" s="47" t="str">
        <f t="array" ref="B8">_xlfn.XLOOKUP(
 A8,
 tblwikirecommended[Order],
 tblwikirecommended[Passive ID],
 ""
)</f>
        <v>building.field@1</v>
      </c>
      <c r="C8" s="47" t="str">
        <f t="array" ref="C8">_xlfn.XLOOKUP(
 A8,
 tblwikirecommended[Order],
 tblwikirecommended[Active ID],
 ""
)</f>
        <v>building.field@1</v>
      </c>
      <c r="D8" s="35"/>
      <c r="E8" s="35"/>
      <c r="F8" s="44">
        <f t="shared" si="1"/>
        <v>6</v>
      </c>
      <c r="G8" s="44" t="s">
        <v>72</v>
      </c>
      <c r="H8" s="48" t="str">
        <f>IFERROR(__xludf.DUMMYFUNCTION("LET(
 txt,TRIM(SUBSTITUTE(G8,CHAR(160),""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)"),"building.field@1")</f>
        <v>building.field@1</v>
      </c>
      <c r="I8" s="44" t="str">
        <f>IFERROR(__xludf.DUMMYFUNCTION("LET(
 txt,TRIM(SUBSTITUTE(J8,CHAR(160),""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)"),"building.field@1")</f>
        <v>building.field@1</v>
      </c>
      <c r="J8" s="44" t="s">
        <v>72</v>
      </c>
      <c r="K8" s="44" t="s">
        <v>73</v>
      </c>
      <c r="L8" s="35"/>
      <c r="M8" s="35"/>
      <c r="N8" s="35"/>
      <c r="O8" s="35"/>
      <c r="P8" s="35"/>
      <c r="Q8" s="35"/>
      <c r="R8" s="35"/>
      <c r="S8" s="35"/>
      <c r="T8" s="35"/>
      <c r="U8" s="35"/>
      <c r="V8" s="35"/>
      <c r="W8" s="35"/>
      <c r="X8" s="35"/>
      <c r="Y8" s="35"/>
      <c r="Z8" s="35"/>
    </row>
    <row r="9" ht="15.75" customHeight="1">
      <c r="A9" s="44">
        <v>7.0</v>
      </c>
      <c r="B9" s="47" t="str">
        <f t="array" ref="B9">_xlfn.XLOOKUP(
 A9,
 tblwikirecommended[Order],
 tblwikirecommended[Passive ID],
 ""
)</f>
        <v>building.rock_garden@1</v>
      </c>
      <c r="C9" s="47" t="str">
        <f t="array" ref="C9">_xlfn.XLOOKUP(
 A9,
 tblwikirecommended[Order],
 tblwikirecommended[Active ID],
 ""
)</f>
        <v>building.food_stall@1</v>
      </c>
      <c r="D9" s="35"/>
      <c r="E9" s="35"/>
      <c r="F9" s="44">
        <f t="shared" si="1"/>
        <v>7</v>
      </c>
      <c r="G9" s="44" t="s">
        <v>74</v>
      </c>
      <c r="H9" s="48" t="str">
        <f>IFERROR(__xludf.DUMMYFUNCTION("LET(
 txt,TRIM(SUBSTITUTE(G9,CHAR(160),""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)"),"building.rock_garden@1")</f>
        <v>building.rock_garden@1</v>
      </c>
      <c r="I9" s="44" t="str">
        <f>IFERROR(__xludf.DUMMYFUNCTION("LET(
 txt,TRIM(SUBSTITUTE(J9,CHAR(160),"" "")),
 buildingName,LOWER(TRIM(REGEXEXTRACT(txt,""(?i)^(.*?)\s*lvl\.""))),
 level,VALUE(REGEXEXTRACT(txt,""(?i)lvl\.\s*(\d+)"")),
 normalized,
  SUBSTITUTE(
   SUBSTITUTE(
    SUBSTITUTE(buildingName,""'"",""""),
"&amp;"    ""’"",""""
   ),
   "" "",""_""
  ),
 buildingKey,
  SWITCH(
   normalized,
   ""chicken_coop"",""chicken"",
   ""food_stall"",""food_stall"",
   ""dairy_farm"",""dairy"",
   ""lumber_mill"",""lumber"",
   ""train_station"",""station"",
   ""coffee_bo"&amp;"nsai"",""bonsai"",
   normalized
  ),
 ""building.""&amp;buildingKey&amp;""@""&amp;level
)"),"building.food_stall@1")</f>
        <v>building.food_stall@1</v>
      </c>
      <c r="J9" s="44" t="s">
        <v>75</v>
      </c>
      <c r="K9" s="44" t="s">
        <v>76</v>
      </c>
      <c r="L9" s="35"/>
      <c r="M9" s="35"/>
      <c r="N9" s="35"/>
      <c r="O9" s="35"/>
      <c r="P9" s="35"/>
      <c r="Q9" s="35"/>
      <c r="R9" s="35"/>
      <c r="S9" s="35"/>
      <c r="T9" s="35"/>
      <c r="U9" s="35"/>
      <c r="V9" s="35"/>
      <c r="W9" s="35"/>
      <c r="X9" s="35"/>
      <c r="Y9" s="35"/>
      <c r="Z9" s="35"/>
    </row>
    <row r="10" ht="15.75" customHeight="1">
      <c r="A10" s="44">
        <v>8.0</v>
      </c>
      <c r="B10" s="47" t="str">
        <f t="array" ref="B10">_xlfn.XLOOKUP(
 A10,
 tblwikirecommended[Order],
 tblwikirecommended[Passive ID],
 ""
)</f>
        <v>building.rock_garden@2</v>
      </c>
      <c r="C10" s="47" t="str">
        <f t="array" ref="C10">_xlfn.XLOOKUP(
 A10,
 tblwikirecommended[Order],
 tblwikirecommended[Active ID],
 ""
)</f>
        <v>building.field@2</v>
      </c>
      <c r="D10" s="35"/>
      <c r="E10" s="35"/>
      <c r="F10" s="44">
        <f t="shared" si="1"/>
        <v>8</v>
      </c>
      <c r="G10" s="44" t="s">
        <v>78</v>
      </c>
      <c r="H10" s="48" t="str">
        <f>IFERROR(__xludf.DUMMYFUNCTION("LET(
 txt,TRIM(SUBSTITUTE(G10,CHAR(160),""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)"),"building.rock_garden@2")</f>
        <v>building.rock_garden@2</v>
      </c>
      <c r="I10" s="44" t="str">
        <f>IFERROR(__xludf.DUMMYFUNCTION("LET(
 txt,TRIM(SUBSTITUTE(J10,CHAR(160),""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)"),"building.field@2")</f>
        <v>building.field@2</v>
      </c>
      <c r="J10" s="44" t="s">
        <v>79</v>
      </c>
      <c r="K10" s="44" t="s">
        <v>80</v>
      </c>
      <c r="L10" s="35"/>
      <c r="M10" s="35"/>
      <c r="N10" s="35"/>
      <c r="O10" s="35"/>
      <c r="P10" s="35"/>
      <c r="Q10" s="35"/>
      <c r="R10" s="35"/>
      <c r="S10" s="35"/>
      <c r="T10" s="35"/>
      <c r="U10" s="35"/>
      <c r="V10" s="35"/>
      <c r="W10" s="35"/>
      <c r="X10" s="35"/>
      <c r="Y10" s="35"/>
      <c r="Z10" s="35"/>
    </row>
    <row r="11" ht="15.75" customHeight="1">
      <c r="A11" s="44">
        <v>9.0</v>
      </c>
      <c r="B11" s="47" t="str">
        <f t="array" ref="B11">_xlfn.XLOOKUP(
 A11,
 tblwikirecommended[Order],
 tblwikirecommended[Passive ID],
 ""
)</f>
        <v>building.garden@1</v>
      </c>
      <c r="C11" s="47" t="str">
        <f t="array" ref="C11">_xlfn.XLOOKUP(
 A11,
 tblwikirecommended[Order],
 tblwikirecommended[Active ID],
 ""
)</f>
        <v>building.windmill@1</v>
      </c>
      <c r="D11" s="35"/>
      <c r="E11" s="35"/>
      <c r="F11" s="44">
        <f t="shared" si="1"/>
        <v>9</v>
      </c>
      <c r="G11" s="44" t="s">
        <v>82</v>
      </c>
      <c r="H11" s="48" t="str">
        <f>IFERROR(__xludf.DUMMYFUNCTION("LET(
 txt,TRIM(SUBSTITUTE(G11,CHAR(160),""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)"),"building.garden@1")</f>
        <v>building.garden@1</v>
      </c>
      <c r="I11" s="44" t="str">
        <f>IFERROR(__xludf.DUMMYFUNCTION("LET(
 txt,TRIM(SUBSTITUTE(J11,CHAR(160),""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)"),"building.windmill@1")</f>
        <v>building.windmill@1</v>
      </c>
      <c r="J11" s="44" t="s">
        <v>83</v>
      </c>
      <c r="K11" s="44" t="s">
        <v>84</v>
      </c>
      <c r="L11" s="35"/>
      <c r="M11" s="35"/>
      <c r="N11" s="35"/>
      <c r="O11" s="35"/>
      <c r="P11" s="35"/>
      <c r="Q11" s="35"/>
      <c r="R11" s="35"/>
      <c r="S11" s="35"/>
      <c r="T11" s="35"/>
      <c r="U11" s="35"/>
      <c r="V11" s="35"/>
      <c r="W11" s="35"/>
      <c r="X11" s="35"/>
      <c r="Y11" s="35"/>
      <c r="Z11" s="35"/>
    </row>
    <row r="12" ht="15.75" customHeight="1">
      <c r="A12" s="44">
        <v>10.0</v>
      </c>
      <c r="B12" s="47" t="str">
        <f t="array" ref="B12">_xlfn.XLOOKUP(
 A12,
 tblwikirecommended[Order],
 tblwikirecommended[Passive ID],
 ""
)</f>
        <v>building.garden@2</v>
      </c>
      <c r="C12" s="47" t="str">
        <f t="array" ref="C12">_xlfn.XLOOKUP(
 A12,
 tblwikirecommended[Order],
 tblwikirecommended[Active ID],
 ""
)</f>
        <v>building.furnace@1</v>
      </c>
      <c r="D12" s="35"/>
      <c r="E12" s="35"/>
      <c r="F12" s="44">
        <f t="shared" si="1"/>
        <v>10</v>
      </c>
      <c r="G12" s="44" t="s">
        <v>86</v>
      </c>
      <c r="H12" s="48" t="str">
        <f>IFERROR(__xludf.DUMMYFUNCTION("LET(
 txt,TRIM(SUBSTITUTE(G12,CHAR(160),""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)"),"building.garden@2")</f>
        <v>building.garden@2</v>
      </c>
      <c r="I12" s="44" t="str">
        <f>IFERROR(__xludf.DUMMYFUNCTION("LET(
 txt,TRIM(SUBSTITUTE(J12,CHAR(160),""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)"),"building.furnace@1")</f>
        <v>building.furnace@1</v>
      </c>
      <c r="J12" s="44" t="s">
        <v>87</v>
      </c>
      <c r="K12" s="44" t="s">
        <v>88</v>
      </c>
      <c r="L12" s="35"/>
      <c r="M12" s="35"/>
      <c r="N12" s="35"/>
      <c r="O12" s="35"/>
      <c r="P12" s="35"/>
      <c r="Q12" s="35"/>
      <c r="R12" s="35"/>
      <c r="S12" s="35"/>
      <c r="T12" s="35"/>
      <c r="U12" s="35"/>
      <c r="V12" s="35"/>
      <c r="W12" s="35"/>
      <c r="X12" s="35"/>
      <c r="Y12" s="35"/>
      <c r="Z12" s="35"/>
    </row>
    <row r="13" ht="15.75" customHeight="1">
      <c r="A13" s="44">
        <v>11.0</v>
      </c>
      <c r="B13" s="47" t="str">
        <f t="array" ref="B13">_xlfn.XLOOKUP(
 A13,
 tblwikirecommended[Order],
 tblwikirecommended[Passive ID],
 ""
)</f>
        <v>building.lumber@1</v>
      </c>
      <c r="C13" s="47" t="str">
        <f t="array" ref="C13">_xlfn.XLOOKUP(
 A13,
 tblwikirecommended[Order],
 tblwikirecommended[Active ID],
 ""
)</f>
        <v>building.furnace@2</v>
      </c>
      <c r="D13" s="35"/>
      <c r="E13" s="35"/>
      <c r="F13" s="44">
        <f t="shared" si="1"/>
        <v>11</v>
      </c>
      <c r="G13" s="44" t="s">
        <v>89</v>
      </c>
      <c r="H13" s="48" t="str">
        <f>IFERROR(__xludf.DUMMYFUNCTION("LET(
 txt,TRIM(SUBSTITUTE(G13,CHAR(160),""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)"),"building.lumber@1")</f>
        <v>building.lumber@1</v>
      </c>
      <c r="I13" s="44" t="str">
        <f>IFERROR(__xludf.DUMMYFUNCTION("LET(
 txt,TRIM(SUBSTITUTE(J13,CHAR(160),""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)"),"building.furnace@2")</f>
        <v>building.furnace@2</v>
      </c>
      <c r="J13" s="44" t="s">
        <v>91</v>
      </c>
      <c r="K13" s="44" t="s">
        <v>92</v>
      </c>
      <c r="L13" s="35"/>
      <c r="M13" s="35"/>
      <c r="N13" s="35"/>
      <c r="O13" s="35"/>
      <c r="P13" s="35"/>
      <c r="Q13" s="35"/>
      <c r="R13" s="35"/>
      <c r="S13" s="35"/>
      <c r="T13" s="35"/>
      <c r="U13" s="35"/>
      <c r="V13" s="35"/>
      <c r="W13" s="35"/>
      <c r="X13" s="35"/>
      <c r="Y13" s="35"/>
      <c r="Z13" s="35"/>
    </row>
    <row r="14" ht="15.75" customHeight="1">
      <c r="A14" s="44">
        <v>12.0</v>
      </c>
      <c r="B14" s="47" t="str">
        <f t="array" ref="B14">_xlfn.XLOOKUP(
 A14,
 tblwikirecommended[Order],
 tblwikirecommended[Passive ID],
 ""
)</f>
        <v>building.lumber@2</v>
      </c>
      <c r="C14" s="47" t="str">
        <f t="array" ref="C14">_xlfn.XLOOKUP(
 A14,
 tblwikirecommended[Order],
 tblwikirecommended[Active ID],
 ""
)</f>
        <v>building.dungeon@1</v>
      </c>
      <c r="D14" s="35"/>
      <c r="E14" s="35"/>
      <c r="F14" s="44">
        <f t="shared" si="1"/>
        <v>12</v>
      </c>
      <c r="G14" s="44" t="s">
        <v>93</v>
      </c>
      <c r="H14" s="48" t="str">
        <f>IFERROR(__xludf.DUMMYFUNCTION("LET(
 txt,TRIM(SUBSTITUTE(G14,CHAR(160),""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)"),"building.lumber@2")</f>
        <v>building.lumber@2</v>
      </c>
      <c r="I14" s="44" t="str">
        <f>IFERROR(__xludf.DUMMYFUNCTION("LET(
 txt,TRIM(SUBSTITUTE(J14,CHAR(160),""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)"),"building.dungeon@1")</f>
        <v>building.dungeon@1</v>
      </c>
      <c r="J14" s="44" t="s">
        <v>94</v>
      </c>
      <c r="K14" s="44" t="s">
        <v>95</v>
      </c>
      <c r="L14" s="35"/>
      <c r="M14" s="35"/>
      <c r="N14" s="35"/>
      <c r="O14" s="35"/>
      <c r="P14" s="35"/>
      <c r="Q14" s="35"/>
      <c r="R14" s="35"/>
      <c r="S14" s="35"/>
      <c r="T14" s="35"/>
      <c r="U14" s="35"/>
      <c r="V14" s="35"/>
      <c r="W14" s="35"/>
      <c r="X14" s="35"/>
      <c r="Y14" s="35"/>
      <c r="Z14" s="35"/>
    </row>
    <row r="15" ht="15.75" customHeight="1">
      <c r="A15" s="44">
        <v>13.0</v>
      </c>
      <c r="B15" s="47" t="str">
        <f t="array" ref="B15">_xlfn.XLOOKUP(
 A15,
 tblwikirecommended[Order],
 tblwikirecommended[Passive ID],
 ""
)</f>
        <v>building.guild@3</v>
      </c>
      <c r="C15" s="47" t="str">
        <f t="array" ref="C15">_xlfn.XLOOKUP(
 A15,
 tblwikirecommended[Order],
 tblwikirecommended[Active ID],
 ""
)</f>
        <v>building.lumber@1</v>
      </c>
      <c r="D15" s="35"/>
      <c r="E15" s="35"/>
      <c r="F15" s="44">
        <f t="shared" si="1"/>
        <v>13</v>
      </c>
      <c r="G15" s="44" t="s">
        <v>97</v>
      </c>
      <c r="H15" s="48" t="str">
        <f>IFERROR(__xludf.DUMMYFUNCTION("LET(
 txt,TRIM(SUBSTITUTE(G15,CHAR(160),""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)"),"building.guild@3")</f>
        <v>building.guild@3</v>
      </c>
      <c r="I15" s="44" t="str">
        <f>IFERROR(__xludf.DUMMYFUNCTION("LET(
 txt,TRIM(SUBSTITUTE(J15,CHAR(160),""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)"),"building.lumber@1")</f>
        <v>building.lumber@1</v>
      </c>
      <c r="J15" s="44" t="s">
        <v>89</v>
      </c>
      <c r="K15" s="44" t="s">
        <v>98</v>
      </c>
      <c r="L15" s="35"/>
      <c r="M15" s="35"/>
      <c r="N15" s="35"/>
      <c r="O15" s="35"/>
      <c r="P15" s="35"/>
      <c r="Q15" s="35"/>
      <c r="R15" s="35"/>
      <c r="S15" s="35"/>
      <c r="T15" s="35"/>
      <c r="U15" s="35"/>
      <c r="V15" s="35"/>
      <c r="W15" s="35"/>
      <c r="X15" s="35"/>
      <c r="Y15" s="35"/>
      <c r="Z15" s="35"/>
    </row>
    <row r="16" ht="15.75" customHeight="1">
      <c r="A16" s="44">
        <v>14.0</v>
      </c>
      <c r="B16" s="47" t="str">
        <f t="array" ref="B16">_xlfn.XLOOKUP(
 A16,
 tblwikirecommended[Order],
 tblwikirecommended[Passive ID],
 ""
)</f>
        <v>building.rock_garden@3</v>
      </c>
      <c r="C16" s="47" t="str">
        <f t="array" ref="C16">_xlfn.XLOOKUP(
 A16,
 tblwikirecommended[Order],
 tblwikirecommended[Active ID],
 ""
)</f>
        <v>building.lumber@2</v>
      </c>
      <c r="D16" s="35"/>
      <c r="E16" s="35"/>
      <c r="F16" s="44">
        <f t="shared" si="1"/>
        <v>14</v>
      </c>
      <c r="G16" s="44" t="s">
        <v>100</v>
      </c>
      <c r="H16" s="48" t="str">
        <f>IFERROR(__xludf.DUMMYFUNCTION("LET(
 txt,TRIM(SUBSTITUTE(G16,CHAR(160),""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)"),"building.rock_garden@3")</f>
        <v>building.rock_garden@3</v>
      </c>
      <c r="I16" s="44" t="str">
        <f>IFERROR(__xludf.DUMMYFUNCTION("LET(
 txt,TRIM(SUBSTITUTE(J16,CHAR(160),""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)"),"building.lumber@2")</f>
        <v>building.lumber@2</v>
      </c>
      <c r="J16" s="44" t="s">
        <v>93</v>
      </c>
      <c r="K16" s="44" t="s">
        <v>105</v>
      </c>
      <c r="L16" s="35"/>
      <c r="M16" s="35"/>
      <c r="N16" s="35"/>
      <c r="O16" s="35"/>
      <c r="P16" s="35"/>
      <c r="Q16" s="35"/>
      <c r="R16" s="35"/>
      <c r="S16" s="35"/>
      <c r="T16" s="35"/>
      <c r="U16" s="35"/>
      <c r="V16" s="35"/>
      <c r="W16" s="35"/>
      <c r="X16" s="35"/>
      <c r="Y16" s="35"/>
      <c r="Z16" s="35"/>
    </row>
    <row r="17" ht="15.75" customHeight="1">
      <c r="A17" s="44">
        <v>15.0</v>
      </c>
      <c r="B17" s="47" t="str">
        <f t="array" ref="B17">_xlfn.XLOOKUP(
 A17,
 tblwikirecommended[Order],
 tblwikirecommended[Passive ID],
 ""
)</f>
        <v>building.garden@3</v>
      </c>
      <c r="C17" s="47" t="str">
        <f t="array" ref="C17">_xlfn.XLOOKUP(
 A17,
 tblwikirecommended[Order],
 tblwikirecommended[Active ID],
 ""
)</f>
        <v>building.windmill@2</v>
      </c>
      <c r="D17" s="35"/>
      <c r="E17" s="35"/>
      <c r="F17" s="44">
        <f t="shared" si="1"/>
        <v>15</v>
      </c>
      <c r="G17" s="44" t="s">
        <v>109</v>
      </c>
      <c r="H17" s="48" t="str">
        <f>IFERROR(__xludf.DUMMYFUNCTION("LET(
 txt,TRIM(SUBSTITUTE(G17,CHAR(160),""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)"),"building.garden@3")</f>
        <v>building.garden@3</v>
      </c>
      <c r="I17" s="44" t="str">
        <f>IFERROR(__xludf.DUMMYFUNCTION("LET(
 txt,TRIM(SUBSTITUTE(J17,CHAR(160),""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)"),"building.windmill@2")</f>
        <v>building.windmill@2</v>
      </c>
      <c r="J17" s="44" t="s">
        <v>110</v>
      </c>
      <c r="K17" s="44" t="s">
        <v>111</v>
      </c>
      <c r="L17" s="35"/>
      <c r="M17" s="35"/>
      <c r="N17" s="35"/>
      <c r="O17" s="35"/>
      <c r="P17" s="35"/>
      <c r="Q17" s="35"/>
      <c r="R17" s="35"/>
      <c r="S17" s="35"/>
      <c r="T17" s="35"/>
      <c r="U17" s="35"/>
      <c r="V17" s="35"/>
      <c r="W17" s="35"/>
      <c r="X17" s="35"/>
      <c r="Y17" s="35"/>
      <c r="Z17" s="35"/>
    </row>
    <row r="18" ht="15.75" customHeight="1">
      <c r="A18" s="44">
        <v>16.0</v>
      </c>
      <c r="B18" s="47" t="str">
        <f t="array" ref="B18">_xlfn.XLOOKUP(
 A18,
 tblwikirecommended[Order],
 tblwikirecommended[Passive ID],
 ""
)</f>
        <v>building.food_stall@1</v>
      </c>
      <c r="C18" s="47" t="str">
        <f t="array" ref="C18">_xlfn.XLOOKUP(
 A18,
 tblwikirecommended[Order],
 tblwikirecommended[Active ID],
 ""
)</f>
        <v>building.dungeon@2</v>
      </c>
      <c r="D18" s="35"/>
      <c r="E18" s="35"/>
      <c r="F18" s="44">
        <f t="shared" si="1"/>
        <v>16</v>
      </c>
      <c r="G18" s="44" t="s">
        <v>75</v>
      </c>
      <c r="H18" s="48" t="str">
        <f>IFERROR(__xludf.DUMMYFUNCTION("LET(
 txt,TRIM(SUBSTITUTE(G18,CHAR(160),""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)"),"building.food_stall@1")</f>
        <v>building.food_stall@1</v>
      </c>
      <c r="I18" s="44" t="str">
        <f>IFERROR(__xludf.DUMMYFUNCTION("LET(
 txt,TRIM(SUBSTITUTE(J18,CHAR(160),""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)"),"building.dungeon@2")</f>
        <v>building.dungeon@2</v>
      </c>
      <c r="J18" s="44" t="s">
        <v>114</v>
      </c>
      <c r="K18" s="44" t="s">
        <v>115</v>
      </c>
      <c r="L18" s="35"/>
      <c r="M18" s="35"/>
      <c r="N18" s="35"/>
      <c r="O18" s="35"/>
      <c r="P18" s="35"/>
      <c r="Q18" s="35"/>
      <c r="R18" s="35"/>
      <c r="S18" s="35"/>
      <c r="T18" s="35"/>
      <c r="U18" s="35"/>
      <c r="V18" s="35"/>
      <c r="W18" s="35"/>
      <c r="X18" s="35"/>
      <c r="Y18" s="35"/>
      <c r="Z18" s="35"/>
    </row>
    <row r="19" ht="15.75" customHeight="1">
      <c r="A19" s="44">
        <v>17.0</v>
      </c>
      <c r="B19" s="47" t="str">
        <f t="array" ref="B19">_xlfn.XLOOKUP(
 A19,
 tblwikirecommended[Order],
 tblwikirecommended[Passive ID],
 ""
)</f>
        <v>building.field@2</v>
      </c>
      <c r="C19" s="47" t="str">
        <f t="array" ref="C19">_xlfn.XLOOKUP(
 A19,
 tblwikirecommended[Order],
 tblwikirecommended[Active ID],
 ""
)</f>
        <v>building.guild@3</v>
      </c>
      <c r="D19" s="35"/>
      <c r="E19" s="35"/>
      <c r="F19" s="44">
        <f t="shared" si="1"/>
        <v>17</v>
      </c>
      <c r="G19" s="44" t="s">
        <v>79</v>
      </c>
      <c r="H19" s="48" t="str">
        <f>IFERROR(__xludf.DUMMYFUNCTION("LET(
 txt,TRIM(SUBSTITUTE(G19,CHAR(160),""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)"),"building.field@2")</f>
        <v>building.field@2</v>
      </c>
      <c r="I19" s="44" t="str">
        <f>IFERROR(__xludf.DUMMYFUNCTION("LET(
 txt,TRIM(SUBSTITUTE(J19,CHAR(160),""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)"),"building.guild@3")</f>
        <v>building.guild@3</v>
      </c>
      <c r="J19" s="44" t="s">
        <v>97</v>
      </c>
      <c r="K19" s="44" t="s">
        <v>118</v>
      </c>
      <c r="L19" s="35"/>
      <c r="M19" s="35"/>
      <c r="N19" s="35"/>
      <c r="O19" s="35"/>
      <c r="P19" s="35"/>
      <c r="Q19" s="35"/>
      <c r="R19" s="35"/>
      <c r="S19" s="35"/>
      <c r="T19" s="35"/>
      <c r="U19" s="35"/>
      <c r="V19" s="35"/>
      <c r="W19" s="35"/>
      <c r="X19" s="35"/>
      <c r="Y19" s="35"/>
      <c r="Z19" s="35"/>
    </row>
    <row r="20" ht="15.75" customHeight="1">
      <c r="A20" s="44">
        <v>18.0</v>
      </c>
      <c r="B20" s="47" t="str">
        <f t="array" ref="B20">_xlfn.XLOOKUP(
 A20,
 tblwikirecommended[Order],
 tblwikirecommended[Passive ID],
 ""
)</f>
        <v>building.windmill@1</v>
      </c>
      <c r="C20" s="47" t="str">
        <f t="array" ref="C20">_xlfn.XLOOKUP(
 A20,
 tblwikirecommended[Order],
 tblwikirecommended[Active ID],
 ""
)</f>
        <v>building.lumber@3</v>
      </c>
      <c r="D20" s="35"/>
      <c r="E20" s="35"/>
      <c r="F20" s="44">
        <f t="shared" si="1"/>
        <v>18</v>
      </c>
      <c r="G20" s="44" t="s">
        <v>83</v>
      </c>
      <c r="H20" s="48" t="str">
        <f>IFERROR(__xludf.DUMMYFUNCTION("LET(
 txt,TRIM(SUBSTITUTE(G20,CHAR(160),""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)"),"building.windmill@1")</f>
        <v>building.windmill@1</v>
      </c>
      <c r="I20" s="44" t="str">
        <f>IFERROR(__xludf.DUMMYFUNCTION("LET(
 txt,TRIM(SUBSTITUTE(J20,CHAR(160),""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)"),"building.lumber@3")</f>
        <v>building.lumber@3</v>
      </c>
      <c r="J20" s="44" t="s">
        <v>120</v>
      </c>
      <c r="K20" s="44" t="s">
        <v>121</v>
      </c>
      <c r="L20" s="35"/>
      <c r="M20" s="35"/>
      <c r="N20" s="35"/>
      <c r="O20" s="35"/>
      <c r="P20" s="35"/>
      <c r="Q20" s="35"/>
      <c r="R20" s="35"/>
      <c r="S20" s="35"/>
      <c r="T20" s="35"/>
      <c r="U20" s="35"/>
      <c r="V20" s="35"/>
      <c r="W20" s="35"/>
      <c r="X20" s="35"/>
      <c r="Y20" s="35"/>
      <c r="Z20" s="35"/>
    </row>
    <row r="21" ht="15.75" customHeight="1">
      <c r="A21" s="44">
        <v>19.0</v>
      </c>
      <c r="B21" s="47" t="str">
        <f t="array" ref="B21">_xlfn.XLOOKUP(
 A21,
 tblwikirecommended[Order],
 tblwikirecommended[Passive ID],
 ""
)</f>
        <v>building.furnace@1</v>
      </c>
      <c r="C21" s="47" t="str">
        <f t="array" ref="C21">_xlfn.XLOOKUP(
 A21,
 tblwikirecommended[Order],
 tblwikirecommended[Active ID],
 ""
)</f>
        <v>building.pier@1</v>
      </c>
      <c r="D21" s="35"/>
      <c r="E21" s="35"/>
      <c r="F21" s="44">
        <f t="shared" si="1"/>
        <v>19</v>
      </c>
      <c r="G21" s="44" t="s">
        <v>87</v>
      </c>
      <c r="H21" s="48" t="str">
        <f>IFERROR(__xludf.DUMMYFUNCTION("LET(
 txt,TRIM(SUBSTITUTE(G21,CHAR(160),""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)"),"building.furnace@1")</f>
        <v>building.furnace@1</v>
      </c>
      <c r="I21" s="44" t="str">
        <f>IFERROR(__xludf.DUMMYFUNCTION("LET(
 txt,TRIM(SUBSTITUTE(J21,CHAR(160),""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)"),"building.pier@1")</f>
        <v>building.pier@1</v>
      </c>
      <c r="J21" s="44" t="s">
        <v>124</v>
      </c>
      <c r="K21" s="44" t="s">
        <v>125</v>
      </c>
      <c r="L21" s="35"/>
      <c r="M21" s="35"/>
      <c r="N21" s="35"/>
      <c r="O21" s="35"/>
      <c r="P21" s="35"/>
      <c r="Q21" s="35"/>
      <c r="R21" s="35"/>
      <c r="S21" s="35"/>
      <c r="T21" s="35"/>
      <c r="U21" s="35"/>
      <c r="V21" s="35"/>
      <c r="W21" s="35"/>
      <c r="X21" s="35"/>
      <c r="Y21" s="35"/>
      <c r="Z21" s="35"/>
    </row>
    <row r="22" ht="15.75" customHeight="1">
      <c r="A22" s="44">
        <v>20.0</v>
      </c>
      <c r="B22" s="47" t="str">
        <f t="array" ref="B22">_xlfn.XLOOKUP(
 A22,
 tblwikirecommended[Order],
 tblwikirecommended[Passive ID],
 ""
)</f>
        <v>building.furnace@2</v>
      </c>
      <c r="C22" s="47" t="str">
        <f t="array" ref="C22">_xlfn.XLOOKUP(
 A22,
 tblwikirecommended[Order],
 tblwikirecommended[Active ID],
 ""
)</f>
        <v>building.ship@1</v>
      </c>
      <c r="D22" s="35"/>
      <c r="E22" s="35"/>
      <c r="F22" s="44">
        <f t="shared" si="1"/>
        <v>20</v>
      </c>
      <c r="G22" s="44" t="s">
        <v>91</v>
      </c>
      <c r="H22" s="48" t="str">
        <f>IFERROR(__xludf.DUMMYFUNCTION("LET(
 txt,TRIM(SUBSTITUTE(G22,CHAR(160),""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)"),"building.furnace@2")</f>
        <v>building.furnace@2</v>
      </c>
      <c r="I22" s="44" t="str">
        <f>IFERROR(__xludf.DUMMYFUNCTION("LET(
 txt,TRIM(SUBSTITUTE(J22,CHAR(160),""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)"),"building.ship@1")</f>
        <v>building.ship@1</v>
      </c>
      <c r="J22" s="44" t="s">
        <v>128</v>
      </c>
      <c r="K22" s="44" t="s">
        <v>129</v>
      </c>
      <c r="L22" s="35"/>
      <c r="M22" s="35"/>
      <c r="N22" s="35"/>
      <c r="O22" s="35"/>
      <c r="P22" s="35"/>
      <c r="Q22" s="35"/>
      <c r="R22" s="35"/>
      <c r="S22" s="35"/>
      <c r="T22" s="35"/>
      <c r="U22" s="35"/>
      <c r="V22" s="35"/>
      <c r="W22" s="35"/>
      <c r="X22" s="35"/>
      <c r="Y22" s="35"/>
      <c r="Z22" s="35"/>
    </row>
    <row r="23" ht="15.75" customHeight="1">
      <c r="A23" s="44">
        <v>21.0</v>
      </c>
      <c r="B23" s="47" t="str">
        <f t="array" ref="B23">_xlfn.XLOOKUP(
 A23,
 tblwikirecommended[Order],
 tblwikirecommended[Passive ID],
 ""
)</f>
        <v>building.dungeon@1</v>
      </c>
      <c r="C23" s="47" t="str">
        <f t="array" ref="C23">_xlfn.XLOOKUP(
 A23,
 tblwikirecommended[Order],
 tblwikirecommended[Active ID],
 ""
)</f>
        <v>building.ship@2</v>
      </c>
      <c r="D23" s="35"/>
      <c r="E23" s="35"/>
      <c r="F23" s="44">
        <f t="shared" si="1"/>
        <v>21</v>
      </c>
      <c r="G23" s="44" t="s">
        <v>94</v>
      </c>
      <c r="H23" s="48" t="str">
        <f>IFERROR(__xludf.DUMMYFUNCTION("LET(
 txt,TRIM(SUBSTITUTE(G23,CHAR(160),""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)"),"building.dungeon@1")</f>
        <v>building.dungeon@1</v>
      </c>
      <c r="I23" s="44" t="str">
        <f>IFERROR(__xludf.DUMMYFUNCTION("LET(
 txt,TRIM(SUBSTITUTE(J23,CHAR(160),""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)"),"building.ship@2")</f>
        <v>building.ship@2</v>
      </c>
      <c r="J23" s="44" t="s">
        <v>133</v>
      </c>
      <c r="K23" s="44" t="s">
        <v>134</v>
      </c>
      <c r="L23" s="35"/>
      <c r="M23" s="35"/>
      <c r="N23" s="35"/>
      <c r="O23" s="35"/>
      <c r="P23" s="35"/>
      <c r="Q23" s="35"/>
      <c r="R23" s="35"/>
      <c r="S23" s="35"/>
      <c r="T23" s="35"/>
      <c r="U23" s="35"/>
      <c r="V23" s="35"/>
      <c r="W23" s="35"/>
      <c r="X23" s="35"/>
      <c r="Y23" s="35"/>
      <c r="Z23" s="35"/>
    </row>
    <row r="24" ht="15.75" customHeight="1">
      <c r="A24" s="44">
        <v>22.0</v>
      </c>
      <c r="B24" s="47" t="str">
        <f t="array" ref="B24">_xlfn.XLOOKUP(
 A24,
 tblwikirecommended[Order],
 tblwikirecommended[Passive ID],
 ""
)</f>
        <v>building.chicken@1</v>
      </c>
      <c r="C24" s="47" t="str">
        <f t="array" ref="C24">_xlfn.XLOOKUP(
 A24,
 tblwikirecommended[Order],
 tblwikirecommended[Active ID],
 ""
)</f>
        <v>building.ship@3</v>
      </c>
      <c r="D24" s="35"/>
      <c r="E24" s="35"/>
      <c r="F24" s="44">
        <f t="shared" si="1"/>
        <v>22</v>
      </c>
      <c r="G24" s="44" t="s">
        <v>135</v>
      </c>
      <c r="H24" s="48" t="str">
        <f>IFERROR(__xludf.DUMMYFUNCTION("LET(
 txt,TRIM(SUBSTITUTE(G24,CHAR(160),""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)"),"building.chicken@1")</f>
        <v>building.chicken@1</v>
      </c>
      <c r="I24" s="44" t="str">
        <f>IFERROR(__xludf.DUMMYFUNCTION("LET(
 txt,TRIM(SUBSTITUTE(J24,CHAR(160),""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)"),"building.ship@3")</f>
        <v>building.ship@3</v>
      </c>
      <c r="J24" s="44" t="s">
        <v>137</v>
      </c>
      <c r="K24" s="44" t="s">
        <v>139</v>
      </c>
      <c r="L24" s="35"/>
      <c r="M24" s="35"/>
      <c r="N24" s="35"/>
      <c r="O24" s="35"/>
      <c r="P24" s="35"/>
      <c r="Q24" s="35"/>
      <c r="R24" s="35"/>
      <c r="S24" s="35"/>
      <c r="T24" s="35"/>
      <c r="U24" s="35"/>
      <c r="V24" s="35"/>
      <c r="W24" s="35"/>
      <c r="X24" s="35"/>
      <c r="Y24" s="35"/>
      <c r="Z24" s="35"/>
    </row>
    <row r="25" ht="15.75" customHeight="1">
      <c r="A25" s="44">
        <v>23.0</v>
      </c>
      <c r="B25" s="47" t="str">
        <f t="array" ref="B25">_xlfn.XLOOKUP(
 A25,
 tblwikirecommended[Order],
 tblwikirecommended[Passive ID],
 ""
)</f>
        <v>building.chicken@2</v>
      </c>
      <c r="C25" s="47" t="str">
        <f t="array" ref="C25">_xlfn.XLOOKUP(
 A25,
 tblwikirecommended[Order],
 tblwikirecommended[Active ID],
 ""
)</f>
        <v>building.guild@4</v>
      </c>
      <c r="D25" s="35"/>
      <c r="E25" s="35"/>
      <c r="F25" s="44">
        <f t="shared" si="1"/>
        <v>23</v>
      </c>
      <c r="G25" s="44" t="s">
        <v>141</v>
      </c>
      <c r="H25" s="48" t="str">
        <f>IFERROR(__xludf.DUMMYFUNCTION("LET(
 txt,TRIM(SUBSTITUTE(G25,CHAR(160),""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)"),"building.chicken@2")</f>
        <v>building.chicken@2</v>
      </c>
      <c r="I25" s="44" t="str">
        <f>IFERROR(__xludf.DUMMYFUNCTION("LET(
 txt,TRIM(SUBSTITUTE(J25,CHAR(160),""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)"),"building.guild@4")</f>
        <v>building.guild@4</v>
      </c>
      <c r="J25" s="44" t="s">
        <v>142</v>
      </c>
      <c r="K25" s="44" t="s">
        <v>143</v>
      </c>
      <c r="L25" s="35"/>
      <c r="M25" s="35"/>
      <c r="N25" s="35"/>
      <c r="O25" s="35"/>
      <c r="P25" s="35"/>
      <c r="Q25" s="35"/>
      <c r="R25" s="35"/>
      <c r="S25" s="35"/>
      <c r="T25" s="35"/>
      <c r="U25" s="35"/>
      <c r="V25" s="35"/>
      <c r="W25" s="35"/>
      <c r="X25" s="35"/>
      <c r="Y25" s="35"/>
      <c r="Z25" s="35"/>
    </row>
    <row r="26" ht="15.75" customHeight="1">
      <c r="A26" s="44">
        <v>24.0</v>
      </c>
      <c r="B26" s="47" t="str">
        <f t="array" ref="B26">_xlfn.XLOOKUP(
 A26,
 tblwikirecommended[Order],
 tblwikirecommended[Passive ID],
 ""
)</f>
        <v>building.lumber@3</v>
      </c>
      <c r="C26" s="47" t="str">
        <f t="array" ref="C26">_xlfn.XLOOKUP(
 A26,
 tblwikirecommended[Order],
 tblwikirecommended[Active ID],
 ""
)</f>
        <v>building.ship@4</v>
      </c>
      <c r="D26" s="35"/>
      <c r="E26" s="35"/>
      <c r="F26" s="44">
        <f t="shared" si="1"/>
        <v>24</v>
      </c>
      <c r="G26" s="44" t="s">
        <v>120</v>
      </c>
      <c r="H26" s="48" t="str">
        <f>IFERROR(__xludf.DUMMYFUNCTION("LET(
 txt,TRIM(SUBSTITUTE(G26,CHAR(160),""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)"),"building.lumber@3")</f>
        <v>building.lumber@3</v>
      </c>
      <c r="I26" s="44" t="str">
        <f>IFERROR(__xludf.DUMMYFUNCTION("LET(
 txt,TRIM(SUBSTITUTE(J26,CHAR(160),""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)"),"building.ship@4")</f>
        <v>building.ship@4</v>
      </c>
      <c r="J26" s="44" t="s">
        <v>146</v>
      </c>
      <c r="K26" s="44" t="s">
        <v>147</v>
      </c>
      <c r="L26" s="35"/>
      <c r="M26" s="35"/>
      <c r="N26" s="35"/>
      <c r="O26" s="35"/>
      <c r="P26" s="35"/>
      <c r="Q26" s="35"/>
      <c r="R26" s="35"/>
      <c r="S26" s="35"/>
      <c r="T26" s="35"/>
      <c r="U26" s="35"/>
      <c r="V26" s="35"/>
      <c r="W26" s="35"/>
      <c r="X26" s="35"/>
      <c r="Y26" s="35"/>
      <c r="Z26" s="35"/>
    </row>
    <row r="27" ht="15.75" customHeight="1">
      <c r="A27" s="44">
        <v>25.0</v>
      </c>
      <c r="B27" s="47" t="str">
        <f t="array" ref="B27">_xlfn.XLOOKUP(
 A27,
 tblwikirecommended[Order],
 tblwikirecommended[Passive ID],
 ""
)</f>
        <v>building.pier@1</v>
      </c>
      <c r="C27" s="47" t="str">
        <f t="array" ref="C27">_xlfn.XLOOKUP(
 A27,
 tblwikirecommended[Order],
 tblwikirecommended[Active ID],
 ""
)</f>
        <v>building.food_stall@2</v>
      </c>
      <c r="D27" s="35"/>
      <c r="E27" s="35"/>
      <c r="F27" s="44">
        <f t="shared" si="1"/>
        <v>25</v>
      </c>
      <c r="G27" s="44" t="s">
        <v>124</v>
      </c>
      <c r="H27" s="48" t="str">
        <f>IFERROR(__xludf.DUMMYFUNCTION("LET(
 txt,TRIM(SUBSTITUTE(G27,CHAR(160),""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)"),"building.pier@1")</f>
        <v>building.pier@1</v>
      </c>
      <c r="I27" s="44" t="str">
        <f>IFERROR(__xludf.DUMMYFUNCTION("LET(
 txt,TRIM(SUBSTITUTE(J27,CHAR(160),""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)"),"building.food_stall@2")</f>
        <v>building.food_stall@2</v>
      </c>
      <c r="J27" s="44" t="s">
        <v>148</v>
      </c>
      <c r="K27" s="44" t="s">
        <v>149</v>
      </c>
      <c r="L27" s="35"/>
      <c r="M27" s="35"/>
      <c r="N27" s="35"/>
      <c r="O27" s="35"/>
      <c r="P27" s="35"/>
      <c r="Q27" s="35"/>
      <c r="R27" s="35"/>
      <c r="S27" s="35"/>
      <c r="T27" s="35"/>
      <c r="U27" s="35"/>
      <c r="V27" s="35"/>
      <c r="W27" s="35"/>
      <c r="X27" s="35"/>
      <c r="Y27" s="35"/>
      <c r="Z27" s="35"/>
    </row>
    <row r="28" ht="15.75" customHeight="1">
      <c r="A28" s="44">
        <v>26.0</v>
      </c>
      <c r="B28" s="47" t="str">
        <f t="array" ref="B28">_xlfn.XLOOKUP(
 A28,
 tblwikirecommended[Order],
 tblwikirecommended[Passive ID],
 ""
)</f>
        <v>building.ship@1</v>
      </c>
      <c r="C28" s="47" t="str">
        <f t="array" ref="C28">_xlfn.XLOOKUP(
 A28,
 tblwikirecommended[Order],
 tblwikirecommended[Active ID],
 ""
)</f>
        <v>building.food_stall@3</v>
      </c>
      <c r="D28" s="35"/>
      <c r="E28" s="35"/>
      <c r="F28" s="44">
        <f t="shared" si="1"/>
        <v>26</v>
      </c>
      <c r="G28" s="44" t="s">
        <v>128</v>
      </c>
      <c r="H28" s="48" t="str">
        <f>IFERROR(__xludf.DUMMYFUNCTION("LET(
 txt,TRIM(SUBSTITUTE(G28,CHAR(160),""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)"),"building.ship@1")</f>
        <v>building.ship@1</v>
      </c>
      <c r="I28" s="44" t="str">
        <f>IFERROR(__xludf.DUMMYFUNCTION("LET(
 txt,TRIM(SUBSTITUTE(J28,CHAR(160),""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)"),"building.food_stall@3")</f>
        <v>building.food_stall@3</v>
      </c>
      <c r="J28" s="44" t="s">
        <v>153</v>
      </c>
      <c r="K28" s="44" t="s">
        <v>154</v>
      </c>
      <c r="L28" s="35"/>
      <c r="M28" s="35"/>
      <c r="N28" s="35"/>
      <c r="O28" s="35"/>
      <c r="P28" s="35"/>
      <c r="Q28" s="35"/>
      <c r="R28" s="35"/>
      <c r="S28" s="35"/>
      <c r="T28" s="35"/>
      <c r="U28" s="35"/>
      <c r="V28" s="35"/>
      <c r="W28" s="35"/>
      <c r="X28" s="35"/>
      <c r="Y28" s="35"/>
      <c r="Z28" s="35"/>
    </row>
    <row r="29" ht="15.75" customHeight="1">
      <c r="A29" s="44">
        <v>27.0</v>
      </c>
      <c r="B29" s="47" t="str">
        <f t="array" ref="B29">_xlfn.XLOOKUP(
 A29,
 tblwikirecommended[Order],
 tblwikirecommended[Passive ID],
 ""
)</f>
        <v>building.ship@2</v>
      </c>
      <c r="C29" s="47" t="str">
        <f t="array" ref="C29">_xlfn.XLOOKUP(
 A29,
 tblwikirecommended[Order],
 tblwikirecommended[Active ID],
 ""
)</f>
        <v>building.bridge@1</v>
      </c>
      <c r="D29" s="35"/>
      <c r="E29" s="35"/>
      <c r="F29" s="44">
        <f t="shared" si="1"/>
        <v>27</v>
      </c>
      <c r="G29" s="44" t="s">
        <v>133</v>
      </c>
      <c r="H29" s="48" t="str">
        <f>IFERROR(__xludf.DUMMYFUNCTION("LET(
 txt,TRIM(SUBSTITUTE(G29,CHAR(160),""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)"),"building.ship@2")</f>
        <v>building.ship@2</v>
      </c>
      <c r="I29" s="44" t="str">
        <f>IFERROR(__xludf.DUMMYFUNCTION("LET(
 txt,TRIM(SUBSTITUTE(J29,CHAR(160),""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)"),"building.bridge@1")</f>
        <v>building.bridge@1</v>
      </c>
      <c r="J29" s="44" t="s">
        <v>156</v>
      </c>
      <c r="K29" s="44" t="s">
        <v>157</v>
      </c>
      <c r="L29" s="35"/>
      <c r="M29" s="35"/>
      <c r="N29" s="35"/>
      <c r="O29" s="35"/>
      <c r="P29" s="35"/>
      <c r="Q29" s="35"/>
      <c r="R29" s="35"/>
      <c r="S29" s="35"/>
      <c r="T29" s="35"/>
      <c r="U29" s="35"/>
      <c r="V29" s="35"/>
      <c r="W29" s="35"/>
      <c r="X29" s="35"/>
      <c r="Y29" s="35"/>
      <c r="Z29" s="35"/>
    </row>
    <row r="30" ht="15.75" customHeight="1">
      <c r="A30" s="44">
        <v>28.0</v>
      </c>
      <c r="B30" s="47" t="str">
        <f t="array" ref="B30">_xlfn.XLOOKUP(
 A30,
 tblwikirecommended[Order],
 tblwikirecommended[Passive ID],
 ""
)</f>
        <v>building.ship@3</v>
      </c>
      <c r="C30" s="47" t="str">
        <f t="array" ref="C30">_xlfn.XLOOKUP(
 A30,
 tblwikirecommended[Order],
 tblwikirecommended[Active ID],
 ""
)</f>
        <v>building.outpost@1</v>
      </c>
      <c r="D30" s="35"/>
      <c r="E30" s="35"/>
      <c r="F30" s="44">
        <f t="shared" si="1"/>
        <v>28</v>
      </c>
      <c r="G30" s="44" t="s">
        <v>137</v>
      </c>
      <c r="H30" s="48" t="str">
        <f>IFERROR(__xludf.DUMMYFUNCTION("LET(
 txt,TRIM(SUBSTITUTE(G30,CHAR(160),""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)"),"building.ship@3")</f>
        <v>building.ship@3</v>
      </c>
      <c r="I30" s="44" t="str">
        <f>IFERROR(__xludf.DUMMYFUNCTION("LET(
 txt,TRIM(SUBSTITUTE(J30,CHAR(160),""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)"),"building.outpost@1")</f>
        <v>building.outpost@1</v>
      </c>
      <c r="J30" s="44" t="s">
        <v>160</v>
      </c>
      <c r="K30" s="44" t="s">
        <v>161</v>
      </c>
      <c r="L30" s="35"/>
      <c r="M30" s="35"/>
      <c r="N30" s="35"/>
      <c r="O30" s="35"/>
      <c r="P30" s="35"/>
      <c r="Q30" s="35"/>
      <c r="R30" s="35"/>
      <c r="S30" s="35"/>
      <c r="T30" s="35"/>
      <c r="U30" s="35"/>
      <c r="V30" s="35"/>
      <c r="W30" s="35"/>
      <c r="X30" s="35"/>
      <c r="Y30" s="35"/>
      <c r="Z30" s="35"/>
    </row>
    <row r="31" ht="15.75" customHeight="1">
      <c r="A31" s="44">
        <v>29.0</v>
      </c>
      <c r="B31" s="47" t="str">
        <f t="array" ref="B31">_xlfn.XLOOKUP(
 A31,
 tblwikirecommended[Order],
 tblwikirecommended[Passive ID],
 ""
)</f>
        <v>building.guild@4</v>
      </c>
      <c r="C31" s="47" t="str">
        <f t="array" ref="C31">_xlfn.XLOOKUP(
 A31,
 tblwikirecommended[Order],
 tblwikirecommended[Active ID],
 ""
)</f>
        <v>building.guild@5</v>
      </c>
      <c r="D31" s="35"/>
      <c r="E31" s="35"/>
      <c r="F31" s="44">
        <f t="shared" si="1"/>
        <v>29</v>
      </c>
      <c r="G31" s="44" t="s">
        <v>142</v>
      </c>
      <c r="H31" s="48" t="str">
        <f>IFERROR(__xludf.DUMMYFUNCTION("LET(
 txt,TRIM(SUBSTITUTE(G31,CHAR(160),""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)"),"building.guild@4")</f>
        <v>building.guild@4</v>
      </c>
      <c r="I31" s="44" t="str">
        <f>IFERROR(__xludf.DUMMYFUNCTION("LET(
 txt,TRIM(SUBSTITUTE(J31,CHAR(160),""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)"),"building.guild@5")</f>
        <v>building.guild@5</v>
      </c>
      <c r="J31" s="44" t="s">
        <v>163</v>
      </c>
      <c r="K31" s="44" t="s">
        <v>164</v>
      </c>
      <c r="L31" s="35"/>
      <c r="M31" s="35"/>
      <c r="N31" s="35"/>
      <c r="O31" s="35"/>
      <c r="P31" s="35"/>
      <c r="Q31" s="35"/>
      <c r="R31" s="35"/>
      <c r="S31" s="35"/>
      <c r="T31" s="35"/>
      <c r="U31" s="35"/>
      <c r="V31" s="35"/>
      <c r="W31" s="35"/>
      <c r="X31" s="35"/>
      <c r="Y31" s="35"/>
      <c r="Z31" s="35"/>
    </row>
    <row r="32" ht="15.75" customHeight="1">
      <c r="A32" s="44">
        <v>30.0</v>
      </c>
      <c r="B32" s="47" t="str">
        <f t="array" ref="B32">_xlfn.XLOOKUP(
 A32,
 tblwikirecommended[Order],
 tblwikirecommended[Passive ID],
 ""
)</f>
        <v>building.guild@5</v>
      </c>
      <c r="C32" s="47" t="str">
        <f t="array" ref="C32">_xlfn.XLOOKUP(
 A32,
 tblwikirecommended[Order],
 tblwikirecommended[Active ID],
 ""
)</f>
        <v>building.workshop@1</v>
      </c>
      <c r="D32" s="35"/>
      <c r="E32" s="35"/>
      <c r="F32" s="44">
        <f t="shared" si="1"/>
        <v>30</v>
      </c>
      <c r="G32" s="44" t="s">
        <v>163</v>
      </c>
      <c r="H32" s="48" t="str">
        <f>IFERROR(__xludf.DUMMYFUNCTION("LET(
 txt,TRIM(SUBSTITUTE(G32,CHAR(160),""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)"),"building.guild@5")</f>
        <v>building.guild@5</v>
      </c>
      <c r="I32" s="44" t="str">
        <f>IFERROR(__xludf.DUMMYFUNCTION("LET(
 txt,TRIM(SUBSTITUTE(J32,CHAR(160),""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)"),"building.workshop@1")</f>
        <v>building.workshop@1</v>
      </c>
      <c r="J32" s="44" t="s">
        <v>166</v>
      </c>
      <c r="K32" s="44" t="s">
        <v>167</v>
      </c>
      <c r="L32" s="35"/>
      <c r="M32" s="35"/>
      <c r="N32" s="35"/>
      <c r="O32" s="35"/>
      <c r="P32" s="35"/>
      <c r="Q32" s="35"/>
      <c r="R32" s="35"/>
      <c r="S32" s="35"/>
      <c r="T32" s="35"/>
      <c r="U32" s="35"/>
      <c r="V32" s="35"/>
      <c r="W32" s="35"/>
      <c r="X32" s="35"/>
      <c r="Y32" s="35"/>
      <c r="Z32" s="35"/>
    </row>
    <row r="33" ht="15.75" customHeight="1">
      <c r="A33" s="44">
        <v>31.0</v>
      </c>
      <c r="B33" s="47" t="str">
        <f t="array" ref="B33">_xlfn.XLOOKUP(
 A33,
 tblwikirecommended[Order],
 tblwikirecommended[Passive ID],
 ""
)</f>
        <v>building.dungeon@2</v>
      </c>
      <c r="C33" s="47" t="str">
        <f t="array" ref="C33">_xlfn.XLOOKUP(
 A33,
 tblwikirecommended[Order],
 tblwikirecommended[Active ID],
 ""
)</f>
        <v>building.workshop@2</v>
      </c>
      <c r="D33" s="35"/>
      <c r="E33" s="35"/>
      <c r="F33" s="44">
        <f t="shared" si="1"/>
        <v>31</v>
      </c>
      <c r="G33" s="44" t="s">
        <v>114</v>
      </c>
      <c r="H33" s="48" t="str">
        <f>IFERROR(__xludf.DUMMYFUNCTION("LET(
 txt,TRIM(SUBSTITUTE(G33,CHAR(160),""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)"),"building.dungeon@2")</f>
        <v>building.dungeon@2</v>
      </c>
      <c r="I33" s="44" t="str">
        <f>IFERROR(__xludf.DUMMYFUNCTION("LET(
 txt,TRIM(SUBSTITUTE(J33,CHAR(160),""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)"),"building.workshop@2")</f>
        <v>building.workshop@2</v>
      </c>
      <c r="J33" s="44" t="s">
        <v>169</v>
      </c>
      <c r="K33" s="44" t="s">
        <v>170</v>
      </c>
      <c r="L33" s="35"/>
      <c r="M33" s="35"/>
      <c r="N33" s="35"/>
      <c r="O33" s="35"/>
      <c r="P33" s="35"/>
      <c r="Q33" s="35"/>
      <c r="R33" s="35"/>
      <c r="S33" s="35"/>
      <c r="T33" s="35"/>
      <c r="U33" s="35"/>
      <c r="V33" s="35"/>
      <c r="W33" s="35"/>
      <c r="X33" s="35"/>
      <c r="Y33" s="35"/>
      <c r="Z33" s="35"/>
    </row>
    <row r="34" ht="15.75" customHeight="1">
      <c r="A34" s="44">
        <v>32.0</v>
      </c>
      <c r="B34" s="47" t="str">
        <f t="array" ref="B34">_xlfn.XLOOKUP(
 A34,
 tblwikirecommended[Order],
 tblwikirecommended[Passive ID],
 ""
)</f>
        <v>building.windmill@2</v>
      </c>
      <c r="C34" s="47" t="str">
        <f t="array" ref="C34">_xlfn.XLOOKUP(
 A34,
 tblwikirecommended[Order],
 tblwikirecommended[Active ID],
 ""
)</f>
        <v>building.workshop@3</v>
      </c>
      <c r="D34" s="35"/>
      <c r="E34" s="35"/>
      <c r="F34" s="44">
        <f t="shared" si="1"/>
        <v>32</v>
      </c>
      <c r="G34" s="44" t="s">
        <v>110</v>
      </c>
      <c r="H34" s="48" t="str">
        <f>IFERROR(__xludf.DUMMYFUNCTION("LET(
 txt,TRIM(SUBSTITUTE(G34,CHAR(160),""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)"),"building.windmill@2")</f>
        <v>building.windmill@2</v>
      </c>
      <c r="I34" s="44" t="str">
        <f>IFERROR(__xludf.DUMMYFUNCTION("LET(
 txt,TRIM(SUBSTITUTE(J34,CHAR(160),""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)"),"building.workshop@3")</f>
        <v>building.workshop@3</v>
      </c>
      <c r="J34" s="44" t="s">
        <v>173</v>
      </c>
      <c r="K34" s="44" t="s">
        <v>174</v>
      </c>
      <c r="L34" s="35"/>
      <c r="M34" s="35"/>
      <c r="N34" s="35"/>
      <c r="O34" s="35"/>
      <c r="P34" s="35"/>
      <c r="Q34" s="35"/>
      <c r="R34" s="35"/>
      <c r="S34" s="35"/>
      <c r="T34" s="35"/>
      <c r="U34" s="35"/>
      <c r="V34" s="35"/>
      <c r="W34" s="35"/>
      <c r="X34" s="35"/>
      <c r="Y34" s="35"/>
      <c r="Z34" s="35"/>
    </row>
    <row r="35" ht="15.75" customHeight="1">
      <c r="A35" s="44">
        <v>33.0</v>
      </c>
      <c r="B35" s="47" t="str">
        <f t="array" ref="B35">_xlfn.XLOOKUP(
 A35,
 tblwikirecommended[Order],
 tblwikirecommended[Passive ID],
 ""
)</f>
        <v>building.food_stall@2</v>
      </c>
      <c r="C35" s="47" t="str">
        <f t="array" ref="C35">_xlfn.XLOOKUP(
 A35,
 tblwikirecommended[Order],
 tblwikirecommended[Active ID],
 ""
)</f>
        <v>building.workshop@4</v>
      </c>
      <c r="D35" s="35"/>
      <c r="E35" s="35"/>
      <c r="F35" s="44">
        <f t="shared" si="1"/>
        <v>33</v>
      </c>
      <c r="G35" s="44" t="s">
        <v>148</v>
      </c>
      <c r="H35" s="48" t="str">
        <f>IFERROR(__xludf.DUMMYFUNCTION("LET(
 txt,TRIM(SUBSTITUTE(G35,CHAR(160),""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)"),"building.food_stall@2")</f>
        <v>building.food_stall@2</v>
      </c>
      <c r="I35" s="44" t="str">
        <f>IFERROR(__xludf.DUMMYFUNCTION("LET(
 txt,TRIM(SUBSTITUTE(J35,CHAR(160),""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)"),"building.workshop@4")</f>
        <v>building.workshop@4</v>
      </c>
      <c r="J35" s="44" t="s">
        <v>176</v>
      </c>
      <c r="K35" s="44" t="s">
        <v>178</v>
      </c>
      <c r="L35" s="35"/>
      <c r="M35" s="35"/>
      <c r="N35" s="35"/>
      <c r="O35" s="35"/>
      <c r="P35" s="35"/>
      <c r="Q35" s="35"/>
      <c r="R35" s="35"/>
      <c r="S35" s="35"/>
      <c r="T35" s="35"/>
      <c r="U35" s="35"/>
      <c r="V35" s="35"/>
      <c r="W35" s="35"/>
      <c r="X35" s="35"/>
      <c r="Y35" s="35"/>
      <c r="Z35" s="35"/>
    </row>
    <row r="36" ht="15.75" customHeight="1">
      <c r="A36" s="44">
        <v>34.0</v>
      </c>
      <c r="B36" s="47" t="str">
        <f t="array" ref="B36">_xlfn.XLOOKUP(
 A36,
 tblwikirecommended[Order],
 tblwikirecommended[Passive ID],
 ""
)</f>
        <v>building.food_stall@3</v>
      </c>
      <c r="C36" s="47" t="str">
        <f t="array" ref="C36">_xlfn.XLOOKUP(
 A36,
 tblwikirecommended[Order],
 tblwikirecommended[Active ID],
 ""
)</f>
        <v>building.workshop@5</v>
      </c>
      <c r="D36" s="35"/>
      <c r="E36" s="35"/>
      <c r="F36" s="44">
        <f t="shared" si="1"/>
        <v>34</v>
      </c>
      <c r="G36" s="44" t="s">
        <v>153</v>
      </c>
      <c r="H36" s="48" t="str">
        <f>IFERROR(__xludf.DUMMYFUNCTION("LET(
 txt,TRIM(SUBSTITUTE(G36,CHAR(160),""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)"),"building.food_stall@3")</f>
        <v>building.food_stall@3</v>
      </c>
      <c r="I36" s="44" t="str">
        <f>IFERROR(__xludf.DUMMYFUNCTION("LET(
 txt,TRIM(SUBSTITUTE(J36,CHAR(160),""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)"),"building.workshop@5")</f>
        <v>building.workshop@5</v>
      </c>
      <c r="J36" s="44" t="s">
        <v>180</v>
      </c>
      <c r="K36" s="44" t="s">
        <v>181</v>
      </c>
      <c r="L36" s="35"/>
      <c r="M36" s="35"/>
      <c r="N36" s="35"/>
      <c r="O36" s="35"/>
      <c r="P36" s="35"/>
      <c r="Q36" s="35"/>
      <c r="R36" s="35"/>
      <c r="S36" s="35"/>
      <c r="T36" s="35"/>
      <c r="U36" s="35"/>
      <c r="V36" s="35"/>
      <c r="W36" s="35"/>
      <c r="X36" s="35"/>
      <c r="Y36" s="35"/>
      <c r="Z36" s="35"/>
    </row>
    <row r="37" ht="15.75" customHeight="1">
      <c r="A37" s="44">
        <v>35.0</v>
      </c>
      <c r="B37" s="47" t="str">
        <f t="array" ref="B37">_xlfn.XLOOKUP(
 A37,
 tblwikirecommended[Order],
 tblwikirecommended[Passive ID],
 ""
)</f>
        <v>building.bridge@1</v>
      </c>
      <c r="C37" s="47" t="str">
        <f t="array" ref="C37">_xlfn.XLOOKUP(
 A37,
 tblwikirecommended[Order],
 tblwikirecommended[Active ID],
 ""
)</f>
        <v>building.outpost@2</v>
      </c>
      <c r="D37" s="35"/>
      <c r="E37" s="35"/>
      <c r="F37" s="44">
        <f t="shared" si="1"/>
        <v>35</v>
      </c>
      <c r="G37" s="44" t="s">
        <v>156</v>
      </c>
      <c r="H37" s="48" t="str">
        <f>IFERROR(__xludf.DUMMYFUNCTION("LET(
 txt,TRIM(SUBSTITUTE(G37,CHAR(160),""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)"),"building.bridge@1")</f>
        <v>building.bridge@1</v>
      </c>
      <c r="I37" s="44" t="str">
        <f>IFERROR(__xludf.DUMMYFUNCTION("LET(
 txt,TRIM(SUBSTITUTE(J37,CHAR(160),""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)"),"building.outpost@2")</f>
        <v>building.outpost@2</v>
      </c>
      <c r="J37" s="44" t="s">
        <v>183</v>
      </c>
      <c r="K37" s="44" t="s">
        <v>184</v>
      </c>
      <c r="L37" s="35"/>
      <c r="M37" s="35"/>
      <c r="N37" s="35"/>
      <c r="O37" s="35"/>
      <c r="P37" s="35"/>
      <c r="Q37" s="35"/>
      <c r="R37" s="35"/>
      <c r="S37" s="35"/>
      <c r="T37" s="35"/>
      <c r="U37" s="35"/>
      <c r="V37" s="35"/>
      <c r="W37" s="35"/>
      <c r="X37" s="35"/>
      <c r="Y37" s="35"/>
      <c r="Z37" s="35"/>
    </row>
    <row r="38" ht="15.75" customHeight="1">
      <c r="A38" s="44">
        <v>36.0</v>
      </c>
      <c r="B38" s="47" t="str">
        <f t="array" ref="B38">_xlfn.XLOOKUP(
 A38,
 tblwikirecommended[Order],
 tblwikirecommended[Passive ID],
 ""
)</f>
        <v>building.outpost@1</v>
      </c>
      <c r="C38" s="47" t="str">
        <f t="array" ref="C38">_xlfn.XLOOKUP(
 A38,
 tblwikirecommended[Order],
 tblwikirecommended[Active ID],
 ""
)</f>
        <v>building.caravan@1</v>
      </c>
      <c r="D38" s="35"/>
      <c r="E38" s="35"/>
      <c r="F38" s="44">
        <f t="shared" si="1"/>
        <v>36</v>
      </c>
      <c r="G38" s="26" t="s">
        <v>160</v>
      </c>
      <c r="H38" s="48" t="str">
        <f>IFERROR(__xludf.DUMMYFUNCTION("LET(
 txt,TRIM(SUBSTITUTE(G38,CHAR(160),""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)"),"building.outpost@1")</f>
        <v>building.outpost@1</v>
      </c>
      <c r="I38" s="44" t="str">
        <f>IFERROR(__xludf.DUMMYFUNCTION("LET(
 txt,TRIM(SUBSTITUTE(J38,CHAR(160),""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)"),"building.caravan@1")</f>
        <v>building.caravan@1</v>
      </c>
      <c r="J38" s="44" t="s">
        <v>189</v>
      </c>
      <c r="K38" s="44" t="s">
        <v>190</v>
      </c>
      <c r="L38" s="35"/>
      <c r="M38" s="35"/>
      <c r="N38" s="35"/>
      <c r="O38" s="35"/>
      <c r="P38" s="35"/>
      <c r="Q38" s="35"/>
      <c r="R38" s="35"/>
      <c r="S38" s="35"/>
      <c r="T38" s="35"/>
      <c r="U38" s="35"/>
      <c r="V38" s="35"/>
      <c r="W38" s="35"/>
      <c r="X38" s="35"/>
      <c r="Y38" s="35"/>
      <c r="Z38" s="35"/>
    </row>
    <row r="39" ht="15.75" customHeight="1">
      <c r="A39" s="44">
        <v>37.0</v>
      </c>
      <c r="B39" s="47" t="str">
        <f t="array" ref="B39">_xlfn.XLOOKUP(
 A39,
 tblwikirecommended[Order],
 tblwikirecommended[Passive ID],
 ""
)</f>
        <v>building.bonsai@1</v>
      </c>
      <c r="C39" s="47" t="str">
        <f t="array" ref="C39">_xlfn.XLOOKUP(
 A39,
 tblwikirecommended[Order],
 tblwikirecommended[Active ID],
 ""
)</f>
        <v>building.caravan@2</v>
      </c>
      <c r="D39" s="35"/>
      <c r="E39" s="35"/>
      <c r="F39" s="44">
        <f t="shared" si="1"/>
        <v>37</v>
      </c>
      <c r="G39" s="26" t="s">
        <v>191</v>
      </c>
      <c r="H39" s="48" t="str">
        <f>IFERROR(__xludf.DUMMYFUNCTION("LET(
 txt,TRIM(SUBSTITUTE(G39,CHAR(160),""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)"),"building.bonsai@1")</f>
        <v>building.bonsai@1</v>
      </c>
      <c r="I39" s="44" t="str">
        <f>IFERROR(__xludf.DUMMYFUNCTION("LET(
 txt,TRIM(SUBSTITUTE(J39,CHAR(160),""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)"),"building.caravan@2")</f>
        <v>building.caravan@2</v>
      </c>
      <c r="J39" s="44" t="s">
        <v>192</v>
      </c>
      <c r="K39" s="44" t="s">
        <v>193</v>
      </c>
      <c r="L39" s="35"/>
      <c r="M39" s="35"/>
      <c r="N39" s="35"/>
      <c r="O39" s="35"/>
      <c r="P39" s="35"/>
      <c r="Q39" s="35"/>
      <c r="R39" s="35"/>
      <c r="S39" s="35"/>
      <c r="T39" s="35"/>
      <c r="U39" s="35"/>
      <c r="V39" s="35"/>
      <c r="W39" s="35"/>
      <c r="X39" s="35"/>
      <c r="Y39" s="35"/>
      <c r="Z39" s="35"/>
    </row>
    <row r="40" ht="15.75" customHeight="1">
      <c r="A40" s="44">
        <v>38.0</v>
      </c>
      <c r="B40" s="47" t="str">
        <f t="array" ref="B40">_xlfn.XLOOKUP(
 A40,
 tblwikirecommended[Order],
 tblwikirecommended[Passive ID],
 ""
)</f>
        <v>building.bonsai@2</v>
      </c>
      <c r="C40" s="47" t="str">
        <f t="array" ref="C40">_xlfn.XLOOKUP(
 A40,
 tblwikirecommended[Order],
 tblwikirecommended[Active ID],
 ""
)</f>
        <v>building.caravan@3</v>
      </c>
      <c r="D40" s="35"/>
      <c r="E40" s="35"/>
      <c r="F40" s="44">
        <f t="shared" si="1"/>
        <v>38</v>
      </c>
      <c r="G40" s="26" t="s">
        <v>196</v>
      </c>
      <c r="H40" s="48" t="str">
        <f>IFERROR(__xludf.DUMMYFUNCTION("LET(
 txt,TRIM(SUBSTITUTE(G40,CHAR(160),""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)"),"building.bonsai@2")</f>
        <v>building.bonsai@2</v>
      </c>
      <c r="I40" s="44" t="str">
        <f>IFERROR(__xludf.DUMMYFUNCTION("LET(
 txt,TRIM(SUBSTITUTE(J40,CHAR(160),""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)"),"building.caravan@3")</f>
        <v>building.caravan@3</v>
      </c>
      <c r="J40" s="44" t="s">
        <v>197</v>
      </c>
      <c r="K40" s="44" t="s">
        <v>193</v>
      </c>
      <c r="L40" s="35"/>
      <c r="M40" s="35"/>
      <c r="N40" s="35"/>
      <c r="O40" s="35"/>
      <c r="P40" s="35"/>
      <c r="Q40" s="35"/>
      <c r="R40" s="35"/>
      <c r="S40" s="35"/>
      <c r="T40" s="35"/>
      <c r="U40" s="35"/>
      <c r="V40" s="35"/>
      <c r="W40" s="35"/>
      <c r="X40" s="35"/>
      <c r="Y40" s="35"/>
      <c r="Z40" s="35"/>
    </row>
    <row r="41" ht="15.75" customHeight="1">
      <c r="A41" s="44">
        <v>39.0</v>
      </c>
      <c r="B41" s="47" t="str">
        <f t="array" ref="B41">_xlfn.XLOOKUP(
 A41,
 tblwikirecommended[Order],
 tblwikirecommended[Passive ID],
 ""
)</f>
        <v>building.onsen@1</v>
      </c>
      <c r="C41" s="47" t="str">
        <f t="array" ref="C41">_xlfn.XLOOKUP(
 A41,
 tblwikirecommended[Order],
 tblwikirecommended[Active ID],
 ""
)</f>
        <v>building.caravan@4</v>
      </c>
      <c r="D41" s="35"/>
      <c r="E41" s="35"/>
      <c r="F41" s="44">
        <f t="shared" si="1"/>
        <v>39</v>
      </c>
      <c r="G41" s="26" t="s">
        <v>198</v>
      </c>
      <c r="H41" s="48" t="str">
        <f>IFERROR(__xludf.DUMMYFUNCTION("LET(
 txt,TRIM(SUBSTITUTE(G41,CHAR(160),""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)"),"building.onsen@1")</f>
        <v>building.onsen@1</v>
      </c>
      <c r="I41" s="44" t="str">
        <f>IFERROR(__xludf.DUMMYFUNCTION("LET(
 txt,TRIM(SUBSTITUTE(J41,CHAR(160),""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)"),"building.caravan@4")</f>
        <v>building.caravan@4</v>
      </c>
      <c r="J41" s="44" t="s">
        <v>200</v>
      </c>
      <c r="K41" s="44" t="s">
        <v>193</v>
      </c>
      <c r="L41" s="35"/>
      <c r="M41" s="35"/>
      <c r="N41" s="35"/>
      <c r="O41" s="35"/>
      <c r="P41" s="35"/>
      <c r="Q41" s="35"/>
      <c r="R41" s="35"/>
      <c r="S41" s="35"/>
      <c r="T41" s="35"/>
      <c r="U41" s="35"/>
      <c r="V41" s="35"/>
      <c r="W41" s="35"/>
      <c r="X41" s="35"/>
      <c r="Y41" s="35"/>
      <c r="Z41" s="35"/>
    </row>
    <row r="42" ht="15.75" customHeight="1">
      <c r="A42" s="44">
        <v>40.0</v>
      </c>
      <c r="B42" s="47" t="str">
        <f t="array" ref="B42">_xlfn.XLOOKUP(
 A42,
 tblwikirecommended[Order],
 tblwikirecommended[Passive ID],
 ""
)</f>
        <v>building.onsen@2</v>
      </c>
      <c r="C42" s="47" t="str">
        <f t="array" ref="C42">_xlfn.XLOOKUP(
 A42,
 tblwikirecommended[Order],
 tblwikirecommended[Active ID],
 ""
)</f>
        <v>building.smithy@1</v>
      </c>
      <c r="D42" s="35"/>
      <c r="E42" s="35"/>
      <c r="F42" s="44">
        <f t="shared" si="1"/>
        <v>40</v>
      </c>
      <c r="G42" s="26" t="s">
        <v>201</v>
      </c>
      <c r="H42" s="48" t="str">
        <f>IFERROR(__xludf.DUMMYFUNCTION("LET(
 txt,TRIM(SUBSTITUTE(G42,CHAR(160),""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)"),"building.onsen@2")</f>
        <v>building.onsen@2</v>
      </c>
      <c r="I42" s="44" t="str">
        <f>IFERROR(__xludf.DUMMYFUNCTION("LET(
 txt,TRIM(SUBSTITUTE(J42,CHAR(160),""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)"),"building.smithy@1")</f>
        <v>building.smithy@1</v>
      </c>
      <c r="J42" s="44" t="s">
        <v>203</v>
      </c>
      <c r="K42" s="44" t="s">
        <v>204</v>
      </c>
      <c r="L42" s="35"/>
      <c r="M42" s="35"/>
      <c r="N42" s="35"/>
      <c r="O42" s="35"/>
      <c r="P42" s="35"/>
      <c r="Q42" s="35"/>
      <c r="R42" s="35"/>
      <c r="S42" s="35"/>
      <c r="T42" s="35"/>
      <c r="U42" s="35"/>
      <c r="V42" s="35"/>
      <c r="W42" s="35"/>
      <c r="X42" s="35"/>
      <c r="Y42" s="35"/>
      <c r="Z42" s="35"/>
    </row>
    <row r="43" ht="15.75" customHeight="1">
      <c r="A43" s="44">
        <v>41.0</v>
      </c>
      <c r="B43" s="47" t="str">
        <f t="array" ref="B43">_xlfn.XLOOKUP(
 A43,
 tblwikirecommended[Order],
 tblwikirecommended[Passive ID],
 ""
)</f>
        <v>building.workshop@1</v>
      </c>
      <c r="C43" s="47" t="str">
        <f t="array" ref="C43">_xlfn.XLOOKUP(
 A43,
 tblwikirecommended[Order],
 tblwikirecommended[Active ID],
 ""
)</f>
        <v>building.smithy@2</v>
      </c>
      <c r="D43" s="35"/>
      <c r="E43" s="35"/>
      <c r="F43" s="44">
        <f t="shared" si="1"/>
        <v>41</v>
      </c>
      <c r="G43" s="26" t="s">
        <v>166</v>
      </c>
      <c r="H43" s="48" t="str">
        <f>IFERROR(__xludf.DUMMYFUNCTION("LET(
 txt,TRIM(SUBSTITUTE(G43,CHAR(160),""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)"),"building.workshop@1")</f>
        <v>building.workshop@1</v>
      </c>
      <c r="I43" s="44" t="str">
        <f>IFERROR(__xludf.DUMMYFUNCTION("LET(
 txt,TRIM(SUBSTITUTE(J43,CHAR(160),""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)"),"building.smithy@2")</f>
        <v>building.smithy@2</v>
      </c>
      <c r="J43" s="44" t="s">
        <v>206</v>
      </c>
      <c r="K43" s="44" t="s">
        <v>207</v>
      </c>
      <c r="L43" s="35"/>
      <c r="M43" s="35"/>
      <c r="N43" s="35"/>
      <c r="O43" s="35"/>
      <c r="P43" s="35"/>
      <c r="Q43" s="35"/>
      <c r="R43" s="35"/>
      <c r="S43" s="35"/>
      <c r="T43" s="35"/>
      <c r="U43" s="35"/>
      <c r="V43" s="35"/>
      <c r="W43" s="35"/>
      <c r="X43" s="35"/>
      <c r="Y43" s="35"/>
      <c r="Z43" s="35"/>
    </row>
    <row r="44" ht="15.75" customHeight="1">
      <c r="A44" s="44">
        <v>42.0</v>
      </c>
      <c r="B44" s="47" t="str">
        <f t="array" ref="B44">_xlfn.XLOOKUP(
 A44,
 tblwikirecommended[Order],
 tblwikirecommended[Passive ID],
 ""
)</f>
        <v>building.workshop@2</v>
      </c>
      <c r="C44" s="47" t="str">
        <f t="array" ref="C44">_xlfn.XLOOKUP(
 A44,
 tblwikirecommended[Order],
 tblwikirecommended[Active ID],
 ""
)</f>
        <v>building.smithy@3</v>
      </c>
      <c r="D44" s="35"/>
      <c r="E44" s="35"/>
      <c r="F44" s="44">
        <f t="shared" si="1"/>
        <v>42</v>
      </c>
      <c r="G44" s="26" t="s">
        <v>169</v>
      </c>
      <c r="H44" s="48" t="str">
        <f>IFERROR(__xludf.DUMMYFUNCTION("LET(
 txt,TRIM(SUBSTITUTE(G44,CHAR(160),""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)"),"building.workshop@2")</f>
        <v>building.workshop@2</v>
      </c>
      <c r="I44" s="44" t="str">
        <f>IFERROR(__xludf.DUMMYFUNCTION("LET(
 txt,TRIM(SUBSTITUTE(J44,CHAR(160),""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)"),"building.smithy@3")</f>
        <v>building.smithy@3</v>
      </c>
      <c r="J44" s="44" t="s">
        <v>209</v>
      </c>
      <c r="K44" s="44" t="s">
        <v>210</v>
      </c>
      <c r="L44" s="35"/>
      <c r="M44" s="35"/>
      <c r="N44" s="35"/>
      <c r="O44" s="35"/>
      <c r="P44" s="35"/>
      <c r="Q44" s="35"/>
      <c r="R44" s="35"/>
      <c r="S44" s="35"/>
      <c r="T44" s="35"/>
      <c r="U44" s="35"/>
      <c r="V44" s="35"/>
      <c r="W44" s="35"/>
      <c r="X44" s="35"/>
      <c r="Y44" s="35"/>
      <c r="Z44" s="35"/>
    </row>
    <row r="45" ht="15.75" customHeight="1">
      <c r="A45" s="44">
        <v>43.0</v>
      </c>
      <c r="B45" s="47" t="str">
        <f t="array" ref="B45">_xlfn.XLOOKUP(
 A45,
 tblwikirecommended[Order],
 tblwikirecommended[Passive ID],
 ""
)</f>
        <v>building.workshop@3</v>
      </c>
      <c r="C45" s="47" t="str">
        <f t="array" ref="C45">_xlfn.XLOOKUP(
 A45,
 tblwikirecommended[Order],
 tblwikirecommended[Active ID],
 ""
)</f>
        <v>building.dungeon@3</v>
      </c>
      <c r="D45" s="35"/>
      <c r="E45" s="35"/>
      <c r="F45" s="44">
        <f t="shared" si="1"/>
        <v>43</v>
      </c>
      <c r="G45" s="26" t="s">
        <v>173</v>
      </c>
      <c r="H45" s="48" t="str">
        <f>IFERROR(__xludf.DUMMYFUNCTION("LET(
 txt,TRIM(SUBSTITUTE(G45,CHAR(160),""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)"),"building.workshop@3")</f>
        <v>building.workshop@3</v>
      </c>
      <c r="I45" s="44" t="str">
        <f>IFERROR(__xludf.DUMMYFUNCTION("LET(
 txt,TRIM(SUBSTITUTE(J45,CHAR(160),""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)"),"building.dungeon@3")</f>
        <v>building.dungeon@3</v>
      </c>
      <c r="J45" s="44" t="s">
        <v>212</v>
      </c>
      <c r="K45" s="44" t="s">
        <v>213</v>
      </c>
      <c r="L45" s="35"/>
      <c r="M45" s="35"/>
      <c r="N45" s="35"/>
      <c r="O45" s="35"/>
      <c r="P45" s="35"/>
      <c r="Q45" s="35"/>
      <c r="R45" s="35"/>
      <c r="S45" s="35"/>
      <c r="T45" s="35"/>
      <c r="U45" s="35"/>
      <c r="V45" s="35"/>
      <c r="W45" s="35"/>
      <c r="X45" s="35"/>
      <c r="Y45" s="35"/>
      <c r="Z45" s="35"/>
    </row>
    <row r="46" ht="15.75" customHeight="1">
      <c r="A46" s="44">
        <v>44.0</v>
      </c>
      <c r="B46" s="47" t="str">
        <f t="array" ref="B46">_xlfn.XLOOKUP(
 A46,
 tblwikirecommended[Order],
 tblwikirecommended[Passive ID],
 ""
)</f>
        <v>building.workshop@4</v>
      </c>
      <c r="C46" s="47" t="str">
        <f t="array" ref="C46">_xlfn.XLOOKUP(
 A46,
 tblwikirecommended[Order],
 tblwikirecommended[Active ID],
 ""
)</f>
        <v>building.airship@1</v>
      </c>
      <c r="D46" s="35"/>
      <c r="E46" s="35"/>
      <c r="F46" s="44">
        <f t="shared" si="1"/>
        <v>44</v>
      </c>
      <c r="G46" s="26" t="s">
        <v>176</v>
      </c>
      <c r="H46" s="48" t="str">
        <f>IFERROR(__xludf.DUMMYFUNCTION("LET(
 txt,TRIM(SUBSTITUTE(G46,CHAR(160),""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)"),"building.workshop@4")</f>
        <v>building.workshop@4</v>
      </c>
      <c r="I46" s="44" t="str">
        <f>IFERROR(__xludf.DUMMYFUNCTION("LET(
 txt,TRIM(SUBSTITUTE(J46,CHAR(160),""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)"),"building.airship@1")</f>
        <v>building.airship@1</v>
      </c>
      <c r="J46" s="44" t="s">
        <v>215</v>
      </c>
      <c r="K46" s="44" t="s">
        <v>216</v>
      </c>
      <c r="L46" s="35"/>
      <c r="M46" s="35"/>
      <c r="N46" s="35"/>
      <c r="O46" s="35"/>
      <c r="P46" s="35"/>
      <c r="Q46" s="35"/>
      <c r="R46" s="35"/>
      <c r="S46" s="35"/>
      <c r="T46" s="35"/>
      <c r="U46" s="35"/>
      <c r="V46" s="35"/>
      <c r="W46" s="35"/>
      <c r="X46" s="35"/>
      <c r="Y46" s="35"/>
      <c r="Z46" s="35"/>
    </row>
    <row r="47" ht="15.75" customHeight="1">
      <c r="A47" s="44">
        <v>45.0</v>
      </c>
      <c r="B47" s="47" t="str">
        <f t="array" ref="B47">_xlfn.XLOOKUP(
 A47,
 tblwikirecommended[Order],
 tblwikirecommended[Passive ID],
 ""
)</f>
        <v>building.workshop@5</v>
      </c>
      <c r="C47" s="47" t="str">
        <f t="array" ref="C47">_xlfn.XLOOKUP(
 A47,
 tblwikirecommended[Order],
 tblwikirecommended[Active ID],
 ""
)</f>
        <v>building.airship@2</v>
      </c>
      <c r="D47" s="35"/>
      <c r="E47" s="35"/>
      <c r="F47" s="44">
        <f t="shared" si="1"/>
        <v>45</v>
      </c>
      <c r="G47" s="26" t="s">
        <v>180</v>
      </c>
      <c r="H47" s="48" t="str">
        <f>IFERROR(__xludf.DUMMYFUNCTION("LET(
 txt,TRIM(SUBSTITUTE(G47,CHAR(160),""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)"),"building.workshop@5")</f>
        <v>building.workshop@5</v>
      </c>
      <c r="I47" s="44" t="str">
        <f>IFERROR(__xludf.DUMMYFUNCTION("LET(
 txt,TRIM(SUBSTITUTE(J47,CHAR(160),""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)"),"building.airship@2")</f>
        <v>building.airship@2</v>
      </c>
      <c r="J47" s="44" t="s">
        <v>217</v>
      </c>
      <c r="K47" s="44" t="s">
        <v>193</v>
      </c>
      <c r="L47" s="35"/>
      <c r="M47" s="35"/>
      <c r="N47" s="35"/>
      <c r="O47" s="35"/>
      <c r="P47" s="35"/>
      <c r="Q47" s="35"/>
      <c r="R47" s="35"/>
      <c r="S47" s="35"/>
      <c r="T47" s="35"/>
      <c r="U47" s="35"/>
      <c r="V47" s="35"/>
      <c r="W47" s="35"/>
      <c r="X47" s="35"/>
      <c r="Y47" s="35"/>
      <c r="Z47" s="35"/>
    </row>
    <row r="48" ht="15.75" customHeight="1">
      <c r="A48" s="44">
        <v>46.0</v>
      </c>
      <c r="B48" s="47" t="str">
        <f t="array" ref="B48">_xlfn.XLOOKUP(
 A48,
 tblwikirecommended[Order],
 tblwikirecommended[Passive ID],
 ""
)</f>
        <v>building.outpost@2</v>
      </c>
      <c r="C48" s="47" t="str">
        <f t="array" ref="C48">_xlfn.XLOOKUP(
 A48,
 tblwikirecommended[Order],
 tblwikirecommended[Active ID],
 ""
)</f>
        <v>building.furnace@3</v>
      </c>
      <c r="D48" s="35"/>
      <c r="E48" s="35"/>
      <c r="F48" s="44">
        <f t="shared" si="1"/>
        <v>46</v>
      </c>
      <c r="G48" s="26" t="s">
        <v>183</v>
      </c>
      <c r="H48" s="48" t="str">
        <f>IFERROR(__xludf.DUMMYFUNCTION("LET(
 txt,TRIM(SUBSTITUTE(G48,CHAR(160),""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)"),"building.outpost@2")</f>
        <v>building.outpost@2</v>
      </c>
      <c r="I48" s="44" t="str">
        <f>IFERROR(__xludf.DUMMYFUNCTION("LET(
 txt,TRIM(SUBSTITUTE(J48,CHAR(160),""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)"),"building.furnace@3")</f>
        <v>building.furnace@3</v>
      </c>
      <c r="J48" s="44" t="s">
        <v>220</v>
      </c>
      <c r="K48" s="44" t="s">
        <v>221</v>
      </c>
      <c r="L48" s="35"/>
      <c r="M48" s="35"/>
      <c r="N48" s="35"/>
      <c r="O48" s="35"/>
      <c r="P48" s="35"/>
      <c r="Q48" s="35"/>
      <c r="R48" s="35"/>
      <c r="S48" s="35"/>
      <c r="T48" s="35"/>
      <c r="U48" s="35"/>
      <c r="V48" s="35"/>
      <c r="W48" s="35"/>
      <c r="X48" s="35"/>
      <c r="Y48" s="35"/>
      <c r="Z48" s="35"/>
    </row>
    <row r="49" ht="15.75" customHeight="1">
      <c r="A49" s="44">
        <v>47.0</v>
      </c>
      <c r="B49" s="47" t="str">
        <f t="array" ref="B49">_xlfn.XLOOKUP(
 A49,
 tblwikirecommended[Order],
 tblwikirecommended[Passive ID],
 ""
)</f>
        <v>building.caravan@1</v>
      </c>
      <c r="C49" s="47" t="str">
        <f t="array" ref="C49">_xlfn.XLOOKUP(
 A49,
 tblwikirecommended[Order],
 tblwikirecommended[Active ID],
 ""
)</f>
        <v>building.tailor@1</v>
      </c>
      <c r="D49" s="35"/>
      <c r="E49" s="35"/>
      <c r="F49" s="44">
        <f t="shared" si="1"/>
        <v>47</v>
      </c>
      <c r="G49" s="26" t="s">
        <v>189</v>
      </c>
      <c r="H49" s="48" t="str">
        <f>IFERROR(__xludf.DUMMYFUNCTION("LET(
 txt,TRIM(SUBSTITUTE(G49,CHAR(160),""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)"),"building.caravan@1")</f>
        <v>building.caravan@1</v>
      </c>
      <c r="I49" s="44" t="str">
        <f>IFERROR(__xludf.DUMMYFUNCTION("LET(
 txt,TRIM(SUBSTITUTE(J49,CHAR(160),""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)"),"building.tailor@1")</f>
        <v>building.tailor@1</v>
      </c>
      <c r="J49" s="44" t="s">
        <v>222</v>
      </c>
      <c r="K49" s="44" t="s">
        <v>223</v>
      </c>
      <c r="L49" s="35"/>
      <c r="M49" s="35"/>
      <c r="N49" s="35"/>
      <c r="O49" s="35"/>
      <c r="P49" s="35"/>
      <c r="Q49" s="35"/>
      <c r="R49" s="35"/>
      <c r="S49" s="35"/>
      <c r="T49" s="35"/>
      <c r="U49" s="35"/>
      <c r="V49" s="35"/>
      <c r="W49" s="35"/>
      <c r="X49" s="35"/>
      <c r="Y49" s="35"/>
      <c r="Z49" s="35"/>
    </row>
    <row r="50" ht="15.75" customHeight="1">
      <c r="A50" s="44">
        <v>48.0</v>
      </c>
      <c r="B50" s="47" t="str">
        <f t="array" ref="B50">_xlfn.XLOOKUP(
 A50,
 tblwikirecommended[Order],
 tblwikirecommended[Passive ID],
 ""
)</f>
        <v>building.caravan@2</v>
      </c>
      <c r="C50" s="47" t="str">
        <f t="array" ref="C50">_xlfn.XLOOKUP(
 A50,
 tblwikirecommended[Order],
 tblwikirecommended[Active ID],
 ""
)</f>
        <v>building.tailor@2</v>
      </c>
      <c r="D50" s="35"/>
      <c r="E50" s="35"/>
      <c r="F50" s="44">
        <f t="shared" si="1"/>
        <v>48</v>
      </c>
      <c r="G50" s="26" t="s">
        <v>192</v>
      </c>
      <c r="H50" s="48" t="str">
        <f>IFERROR(__xludf.DUMMYFUNCTION("LET(
 txt,TRIM(SUBSTITUTE(G50,CHAR(160),""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)"),"building.caravan@2")</f>
        <v>building.caravan@2</v>
      </c>
      <c r="I50" s="44" t="str">
        <f>IFERROR(__xludf.DUMMYFUNCTION("LET(
 txt,TRIM(SUBSTITUTE(J50,CHAR(160),""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)"),"building.tailor@2")</f>
        <v>building.tailor@2</v>
      </c>
      <c r="J50" s="44" t="s">
        <v>226</v>
      </c>
      <c r="K50" s="44" t="s">
        <v>227</v>
      </c>
      <c r="L50" s="35"/>
      <c r="M50" s="35"/>
      <c r="N50" s="35"/>
      <c r="O50" s="35"/>
      <c r="P50" s="35"/>
      <c r="Q50" s="35"/>
      <c r="R50" s="35"/>
      <c r="S50" s="35"/>
      <c r="T50" s="35"/>
      <c r="U50" s="35"/>
      <c r="V50" s="35"/>
      <c r="W50" s="35"/>
      <c r="X50" s="35"/>
      <c r="Y50" s="35"/>
      <c r="Z50" s="35"/>
    </row>
    <row r="51" ht="15.75" customHeight="1">
      <c r="A51" s="44">
        <v>49.0</v>
      </c>
      <c r="B51" s="47" t="str">
        <f t="array" ref="B51">_xlfn.XLOOKUP(
 A51,
 tblwikirecommended[Order],
 tblwikirecommended[Passive ID],
 ""
)</f>
        <v>building.caravan@3</v>
      </c>
      <c r="C51" s="47" t="str">
        <f t="array" ref="C51">_xlfn.XLOOKUP(
 A51,
 tblwikirecommended[Order],
 tblwikirecommended[Active ID],
 ""
)</f>
        <v>building.tailor@3</v>
      </c>
      <c r="D51" s="35"/>
      <c r="E51" s="35"/>
      <c r="F51" s="44">
        <f t="shared" si="1"/>
        <v>49</v>
      </c>
      <c r="G51" s="26" t="s">
        <v>197</v>
      </c>
      <c r="H51" s="48" t="str">
        <f>IFERROR(__xludf.DUMMYFUNCTION("LET(
 txt,TRIM(SUBSTITUTE(G51,CHAR(160),""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)"),"building.caravan@3")</f>
        <v>building.caravan@3</v>
      </c>
      <c r="I51" s="44" t="str">
        <f>IFERROR(__xludf.DUMMYFUNCTION("LET(
 txt,TRIM(SUBSTITUTE(J51,CHAR(160),""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)"),"building.tailor@3")</f>
        <v>building.tailor@3</v>
      </c>
      <c r="J51" s="44" t="s">
        <v>228</v>
      </c>
      <c r="K51" s="44" t="s">
        <v>229</v>
      </c>
      <c r="L51" s="35"/>
      <c r="M51" s="35"/>
      <c r="N51" s="35"/>
      <c r="O51" s="35"/>
      <c r="P51" s="35"/>
      <c r="Q51" s="35"/>
      <c r="R51" s="35"/>
      <c r="S51" s="35"/>
      <c r="T51" s="35"/>
      <c r="U51" s="35"/>
      <c r="V51" s="35"/>
      <c r="W51" s="35"/>
      <c r="X51" s="35"/>
      <c r="Y51" s="35"/>
      <c r="Z51" s="35"/>
    </row>
    <row r="52" ht="15.75" customHeight="1">
      <c r="A52" s="44">
        <v>50.0</v>
      </c>
      <c r="B52" s="47" t="str">
        <f t="array" ref="B52">_xlfn.XLOOKUP(
 A52,
 tblwikirecommended[Order],
 tblwikirecommended[Passive ID],
 ""
)</f>
        <v>building.smithy@1</v>
      </c>
      <c r="C52" s="47" t="str">
        <f t="array" ref="C52">_xlfn.XLOOKUP(
 A52,
 tblwikirecommended[Order],
 tblwikirecommended[Active ID],
 ""
)</f>
        <v>building.outpost@3</v>
      </c>
      <c r="D52" s="35"/>
      <c r="E52" s="35"/>
      <c r="F52" s="44">
        <f t="shared" si="1"/>
        <v>50</v>
      </c>
      <c r="G52" s="26" t="s">
        <v>203</v>
      </c>
      <c r="H52" s="48" t="str">
        <f>IFERROR(__xludf.DUMMYFUNCTION("LET(
 txt,TRIM(SUBSTITUTE(G52,CHAR(160),""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)"),"building.smithy@1")</f>
        <v>building.smithy@1</v>
      </c>
      <c r="I52" s="44" t="str">
        <f>IFERROR(__xludf.DUMMYFUNCTION("LET(
 txt,TRIM(SUBSTITUTE(J52,CHAR(160),""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)"),"building.outpost@3")</f>
        <v>building.outpost@3</v>
      </c>
      <c r="J52" s="44" t="s">
        <v>231</v>
      </c>
      <c r="K52" s="44" t="s">
        <v>232</v>
      </c>
      <c r="L52" s="35"/>
      <c r="M52" s="35"/>
      <c r="N52" s="35"/>
      <c r="O52" s="35"/>
      <c r="P52" s="35"/>
      <c r="Q52" s="35"/>
      <c r="R52" s="35"/>
      <c r="S52" s="35"/>
      <c r="T52" s="35"/>
      <c r="U52" s="35"/>
      <c r="V52" s="35"/>
      <c r="W52" s="35"/>
      <c r="X52" s="35"/>
      <c r="Y52" s="35"/>
      <c r="Z52" s="35"/>
    </row>
    <row r="53" ht="15.75" customHeight="1">
      <c r="A53" s="44">
        <v>51.0</v>
      </c>
      <c r="B53" s="47" t="str">
        <f t="array" ref="B53">_xlfn.XLOOKUP(
 A53,
 tblwikirecommended[Order],
 tblwikirecommended[Passive ID],
 ""
)</f>
        <v>building.smithy@2</v>
      </c>
      <c r="C53" s="47" t="str">
        <f t="array" ref="C53">_xlfn.XLOOKUP(
 A53,
 tblwikirecommended[Order],
 tblwikirecommended[Active ID],
 ""
)</f>
        <v>building.alchemists_hut@3</v>
      </c>
      <c r="D53" s="35"/>
      <c r="E53" s="35"/>
      <c r="F53" s="44">
        <f t="shared" si="1"/>
        <v>51</v>
      </c>
      <c r="G53" s="26" t="s">
        <v>206</v>
      </c>
      <c r="H53" s="48" t="str">
        <f>IFERROR(__xludf.DUMMYFUNCTION("LET(
 txt,TRIM(SUBSTITUTE(G53,CHAR(160),""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)"),"building.smithy@2")</f>
        <v>building.smithy@2</v>
      </c>
      <c r="I53" s="44" t="str">
        <f>IFERROR(__xludf.DUMMYFUNCTION("LET(
 txt,TRIM(SUBSTITUTE(J53,CHAR(160),""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)"),"building.alchemists_hut@3")</f>
        <v>building.alchemists_hut@3</v>
      </c>
      <c r="J53" s="44" t="s">
        <v>235</v>
      </c>
      <c r="K53" s="44" t="s">
        <v>236</v>
      </c>
      <c r="L53" s="35"/>
      <c r="M53" s="35"/>
      <c r="N53" s="35"/>
      <c r="O53" s="35"/>
      <c r="P53" s="35"/>
      <c r="Q53" s="35"/>
      <c r="R53" s="35"/>
      <c r="S53" s="35"/>
      <c r="T53" s="35"/>
      <c r="U53" s="35"/>
      <c r="V53" s="35"/>
      <c r="W53" s="35"/>
      <c r="X53" s="35"/>
      <c r="Y53" s="35"/>
      <c r="Z53" s="35"/>
    </row>
    <row r="54" ht="15.75" customHeight="1">
      <c r="A54" s="44">
        <v>52.0</v>
      </c>
      <c r="B54" s="47" t="str">
        <f t="array" ref="B54">_xlfn.XLOOKUP(
 A54,
 tblwikirecommended[Order],
 tblwikirecommended[Passive ID],
 ""
)</f>
        <v>building.smithy@3</v>
      </c>
      <c r="C54" s="47" t="str">
        <f t="array" ref="C54">_xlfn.XLOOKUP(
 A54,
 tblwikirecommended[Order],
 tblwikirecommended[Active ID],
 ""
)</f>
        <v>building.alchemists_hut@4</v>
      </c>
      <c r="D54" s="35"/>
      <c r="E54" s="35"/>
      <c r="F54" s="44">
        <f t="shared" si="1"/>
        <v>52</v>
      </c>
      <c r="G54" s="26" t="s">
        <v>209</v>
      </c>
      <c r="H54" s="48" t="str">
        <f>IFERROR(__xludf.DUMMYFUNCTION("LET(
 txt,TRIM(SUBSTITUTE(G54,CHAR(160),""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)"),"building.smithy@3")</f>
        <v>building.smithy@3</v>
      </c>
      <c r="I54" s="44" t="str">
        <f>IFERROR(__xludf.DUMMYFUNCTION("LET(
 txt,TRIM(SUBSTITUTE(J54,CHAR(160),""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)"),"building.alchemists_hut@4")</f>
        <v>building.alchemists_hut@4</v>
      </c>
      <c r="J54" s="44" t="s">
        <v>238</v>
      </c>
      <c r="K54" s="44"/>
      <c r="L54" s="35"/>
      <c r="M54" s="35"/>
      <c r="N54" s="35"/>
      <c r="O54" s="35"/>
      <c r="P54" s="35"/>
      <c r="Q54" s="35"/>
      <c r="R54" s="35"/>
      <c r="S54" s="35"/>
      <c r="T54" s="35"/>
      <c r="U54" s="35"/>
      <c r="V54" s="35"/>
      <c r="W54" s="35"/>
      <c r="X54" s="35"/>
      <c r="Y54" s="35"/>
      <c r="Z54" s="35"/>
    </row>
    <row r="55" ht="15.75" customHeight="1">
      <c r="A55" s="44">
        <v>53.0</v>
      </c>
      <c r="B55" s="47" t="str">
        <f t="array" ref="B55">_xlfn.XLOOKUP(
 A55,
 tblwikirecommended[Order],
 tblwikirecommended[Passive ID],
 ""
)</f>
        <v>building.dungeon@3</v>
      </c>
      <c r="C55" s="47" t="str">
        <f t="array" ref="C55">_xlfn.XLOOKUP(
 A55,
 tblwikirecommended[Order],
 tblwikirecommended[Active ID],
 ""
)</f>
        <v>building.alchemists_hut@5</v>
      </c>
      <c r="D55" s="35"/>
      <c r="E55" s="35"/>
      <c r="F55" s="44">
        <f t="shared" si="1"/>
        <v>53</v>
      </c>
      <c r="G55" s="26" t="s">
        <v>212</v>
      </c>
      <c r="H55" s="48" t="str">
        <f>IFERROR(__xludf.DUMMYFUNCTION("LET(
 txt,TRIM(SUBSTITUTE(G55,CHAR(160),""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)"),"building.dungeon@3")</f>
        <v>building.dungeon@3</v>
      </c>
      <c r="I55" s="44" t="str">
        <f>IFERROR(__xludf.DUMMYFUNCTION("LET(
 txt,TRIM(SUBSTITUTE(J55,CHAR(160),""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)"),"building.alchemists_hut@5")</f>
        <v>building.alchemists_hut@5</v>
      </c>
      <c r="J55" s="44" t="s">
        <v>240</v>
      </c>
      <c r="K55" s="44"/>
      <c r="L55" s="35"/>
      <c r="M55" s="35"/>
      <c r="N55" s="35"/>
      <c r="O55" s="35"/>
      <c r="P55" s="35"/>
      <c r="Q55" s="35"/>
      <c r="R55" s="35"/>
      <c r="S55" s="35"/>
      <c r="T55" s="35"/>
      <c r="U55" s="35"/>
      <c r="V55" s="35"/>
      <c r="W55" s="35"/>
      <c r="X55" s="35"/>
      <c r="Y55" s="35"/>
      <c r="Z55" s="35"/>
    </row>
    <row r="56" ht="15.75" customHeight="1">
      <c r="A56" s="44">
        <v>54.0</v>
      </c>
      <c r="B56" s="47" t="str">
        <f t="array" ref="B56">_xlfn.XLOOKUP(
 A56,
 tblwikirecommended[Order],
 tblwikirecommended[Passive ID],
 ""
)</f>
        <v>building.airship@1</v>
      </c>
      <c r="C56" s="47" t="str">
        <f t="array" ref="C56">_xlfn.XLOOKUP(
 A56,
 tblwikirecommended[Order],
 tblwikirecommended[Active ID],
 ""
)</f>
        <v>building.alchemists_hut@6</v>
      </c>
      <c r="D56" s="35"/>
      <c r="E56" s="35"/>
      <c r="F56" s="44">
        <f t="shared" si="1"/>
        <v>54</v>
      </c>
      <c r="G56" s="26" t="s">
        <v>215</v>
      </c>
      <c r="H56" s="48" t="str">
        <f>IFERROR(__xludf.DUMMYFUNCTION("LET(
 txt,TRIM(SUBSTITUTE(G56,CHAR(160),""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)"),"building.airship@1")</f>
        <v>building.airship@1</v>
      </c>
      <c r="I56" s="44" t="str">
        <f>IFERROR(__xludf.DUMMYFUNCTION("LET(
 txt,TRIM(SUBSTITUTE(J56,CHAR(160),""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)"),"building.alchemists_hut@6")</f>
        <v>building.alchemists_hut@6</v>
      </c>
      <c r="J56" s="44" t="s">
        <v>242</v>
      </c>
      <c r="K56" s="44"/>
      <c r="L56" s="35"/>
      <c r="M56" s="35"/>
      <c r="N56" s="35"/>
      <c r="O56" s="35"/>
      <c r="P56" s="35"/>
      <c r="Q56" s="35"/>
      <c r="R56" s="35"/>
      <c r="S56" s="35"/>
      <c r="T56" s="35"/>
      <c r="U56" s="35"/>
      <c r="V56" s="35"/>
      <c r="W56" s="35"/>
      <c r="X56" s="35"/>
      <c r="Y56" s="35"/>
      <c r="Z56" s="35"/>
    </row>
    <row r="57" ht="15.75" customHeight="1">
      <c r="A57" s="44">
        <v>55.0</v>
      </c>
      <c r="B57" s="47" t="str">
        <f t="array" ref="B57">_xlfn.XLOOKUP(
 A57,
 tblwikirecommended[Order],
 tblwikirecommended[Passive ID],
 ""
)</f>
        <v>building.ship@4</v>
      </c>
      <c r="C57" s="47" t="str">
        <f t="array" ref="C57">_xlfn.XLOOKUP(
 A57,
 tblwikirecommended[Order],
 tblwikirecommended[Active ID],
 ""
)</f>
        <v>building.chicken@1</v>
      </c>
      <c r="D57" s="35"/>
      <c r="E57" s="35"/>
      <c r="F57" s="44">
        <f t="shared" si="1"/>
        <v>55</v>
      </c>
      <c r="G57" s="26" t="s">
        <v>146</v>
      </c>
      <c r="H57" s="48" t="str">
        <f>IFERROR(__xludf.DUMMYFUNCTION("LET(
 txt,TRIM(SUBSTITUTE(G57,CHAR(160),""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)"),"building.ship@4")</f>
        <v>building.ship@4</v>
      </c>
      <c r="I57" s="44" t="str">
        <f>IFERROR(__xludf.DUMMYFUNCTION("LET(
 txt,TRIM(SUBSTITUTE(J57,CHAR(160),""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)"),"building.chicken@1")</f>
        <v>building.chicken@1</v>
      </c>
      <c r="J57" s="44" t="s">
        <v>135</v>
      </c>
      <c r="K57" s="44" t="s">
        <v>245</v>
      </c>
      <c r="L57" s="35"/>
      <c r="M57" s="35"/>
      <c r="N57" s="35"/>
      <c r="O57" s="35"/>
      <c r="P57" s="35"/>
      <c r="Q57" s="35"/>
      <c r="R57" s="35"/>
      <c r="S57" s="35"/>
      <c r="T57" s="35"/>
      <c r="U57" s="35"/>
      <c r="V57" s="35"/>
      <c r="W57" s="35"/>
      <c r="X57" s="35"/>
      <c r="Y57" s="35"/>
      <c r="Z57" s="35"/>
    </row>
    <row r="58" ht="15.75" customHeight="1">
      <c r="A58" s="44">
        <v>56.0</v>
      </c>
      <c r="B58" s="47" t="str">
        <f t="array" ref="B58">_xlfn.XLOOKUP(
 A58,
 tblwikirecommended[Order],
 tblwikirecommended[Passive ID],
 ""
)</f>
        <v>building.furnace@3</v>
      </c>
      <c r="C58" s="47" t="str">
        <f t="array" ref="C58">_xlfn.XLOOKUP(
 A58,
 tblwikirecommended[Order],
 tblwikirecommended[Active ID],
 ""
)</f>
        <v>building.chicken@2</v>
      </c>
      <c r="D58" s="35"/>
      <c r="E58" s="35"/>
      <c r="F58" s="44">
        <f t="shared" si="1"/>
        <v>56</v>
      </c>
      <c r="G58" s="26" t="s">
        <v>220</v>
      </c>
      <c r="H58" s="48" t="str">
        <f>IFERROR(__xludf.DUMMYFUNCTION("LET(
 txt,TRIM(SUBSTITUTE(G58,CHAR(160),""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)"),"building.furnace@3")</f>
        <v>building.furnace@3</v>
      </c>
      <c r="I58" s="44" t="str">
        <f>IFERROR(__xludf.DUMMYFUNCTION("LET(
 txt,TRIM(SUBSTITUTE(J58,CHAR(160),""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)"),"building.chicken@2")</f>
        <v>building.chicken@2</v>
      </c>
      <c r="J58" s="44" t="s">
        <v>141</v>
      </c>
      <c r="K58" s="44" t="s">
        <v>247</v>
      </c>
      <c r="L58" s="35"/>
      <c r="M58" s="35"/>
      <c r="N58" s="35"/>
      <c r="O58" s="35"/>
      <c r="P58" s="35"/>
      <c r="Q58" s="35"/>
      <c r="R58" s="35"/>
      <c r="S58" s="35"/>
      <c r="T58" s="35"/>
      <c r="U58" s="35"/>
      <c r="V58" s="35"/>
      <c r="W58" s="35"/>
      <c r="X58" s="35"/>
      <c r="Y58" s="35"/>
      <c r="Z58" s="35"/>
    </row>
    <row r="59" ht="15.75" customHeight="1">
      <c r="A59" s="44">
        <v>57.0</v>
      </c>
      <c r="B59" s="47" t="str">
        <f t="array" ref="B59">_xlfn.XLOOKUP(
 A59,
 tblwikirecommended[Order],
 tblwikirecommended[Passive ID],
 ""
)</f>
        <v>building.tailor@1</v>
      </c>
      <c r="C59" s="47" t="str">
        <f t="array" ref="C59">_xlfn.XLOOKUP(
 A59,
 tblwikirecommended[Order],
 tblwikirecommended[Active ID],
 ""
)</f>
        <v>building.pagoda@1</v>
      </c>
      <c r="D59" s="35"/>
      <c r="E59" s="35"/>
      <c r="F59" s="44">
        <f t="shared" si="1"/>
        <v>57</v>
      </c>
      <c r="G59" s="26" t="s">
        <v>222</v>
      </c>
      <c r="H59" s="48" t="str">
        <f>IFERROR(__xludf.DUMMYFUNCTION("LET(
 txt,TRIM(SUBSTITUTE(G59,CHAR(160),""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)"),"building.tailor@1")</f>
        <v>building.tailor@1</v>
      </c>
      <c r="I59" s="44" t="str">
        <f>IFERROR(__xludf.DUMMYFUNCTION("LET(
 txt,TRIM(SUBSTITUTE(J59,CHAR(160),""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)"),"building.pagoda@1")</f>
        <v>building.pagoda@1</v>
      </c>
      <c r="J59" s="44" t="s">
        <v>249</v>
      </c>
      <c r="K59" s="44" t="s">
        <v>250</v>
      </c>
      <c r="L59" s="35"/>
      <c r="M59" s="35"/>
      <c r="N59" s="35"/>
      <c r="O59" s="35"/>
      <c r="P59" s="35"/>
      <c r="Q59" s="35"/>
      <c r="R59" s="35"/>
      <c r="S59" s="35"/>
      <c r="T59" s="35"/>
      <c r="U59" s="35"/>
      <c r="V59" s="35"/>
      <c r="W59" s="35"/>
      <c r="X59" s="35"/>
      <c r="Y59" s="35"/>
      <c r="Z59" s="35"/>
    </row>
    <row r="60" ht="15.75" customHeight="1">
      <c r="A60" s="44">
        <v>58.0</v>
      </c>
      <c r="B60" s="47" t="str">
        <f t="array" ref="B60">_xlfn.XLOOKUP(
 A60,
 tblwikirecommended[Order],
 tblwikirecommended[Passive ID],
 ""
)</f>
        <v>building.tailor@2</v>
      </c>
      <c r="C60" s="47" t="str">
        <f t="array" ref="C60">_xlfn.XLOOKUP(
 A60,
 tblwikirecommended[Order],
 tblwikirecommended[Active ID],
 ""
)</f>
        <v>building.pagoda@2</v>
      </c>
      <c r="D60" s="35"/>
      <c r="E60" s="35"/>
      <c r="F60" s="44">
        <f t="shared" si="1"/>
        <v>58</v>
      </c>
      <c r="G60" s="26" t="s">
        <v>226</v>
      </c>
      <c r="H60" s="48" t="str">
        <f>IFERROR(__xludf.DUMMYFUNCTION("LET(
 txt,TRIM(SUBSTITUTE(G60,CHAR(160),""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)"),"building.tailor@2")</f>
        <v>building.tailor@2</v>
      </c>
      <c r="I60" s="44" t="str">
        <f>IFERROR(__xludf.DUMMYFUNCTION("LET(
 txt,TRIM(SUBSTITUTE(J60,CHAR(160),""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)"),"building.pagoda@2")</f>
        <v>building.pagoda@2</v>
      </c>
      <c r="J60" s="44" t="s">
        <v>252</v>
      </c>
      <c r="K60" s="44"/>
      <c r="L60" s="35"/>
      <c r="M60" s="35"/>
      <c r="N60" s="35"/>
      <c r="O60" s="35"/>
      <c r="P60" s="35"/>
      <c r="Q60" s="35"/>
      <c r="R60" s="35"/>
      <c r="S60" s="35"/>
      <c r="T60" s="35"/>
      <c r="U60" s="35"/>
      <c r="V60" s="35"/>
      <c r="W60" s="35"/>
      <c r="X60" s="35"/>
      <c r="Y60" s="35"/>
      <c r="Z60" s="35"/>
    </row>
    <row r="61" ht="15.75" customHeight="1">
      <c r="A61" s="44">
        <v>59.0</v>
      </c>
      <c r="B61" s="47" t="str">
        <f t="array" ref="B61">_xlfn.XLOOKUP(
 A61,
 tblwikirecommended[Order],
 tblwikirecommended[Passive ID],
 ""
)</f>
        <v>building.caravan@4</v>
      </c>
      <c r="C61" s="47" t="str">
        <f t="array" ref="C61">_xlfn.XLOOKUP(
 A61,
 tblwikirecommended[Order],
 tblwikirecommended[Active ID],
 ""
)</f>
        <v>building.pagoda@3</v>
      </c>
      <c r="D61" s="35"/>
      <c r="E61" s="35"/>
      <c r="F61" s="44">
        <f t="shared" si="1"/>
        <v>59</v>
      </c>
      <c r="G61" s="26" t="s">
        <v>200</v>
      </c>
      <c r="H61" s="48" t="str">
        <f>IFERROR(__xludf.DUMMYFUNCTION("LET(
 txt,TRIM(SUBSTITUTE(G61,CHAR(160),""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)"),"building.caravan@4")</f>
        <v>building.caravan@4</v>
      </c>
      <c r="I61" s="44" t="str">
        <f>IFERROR(__xludf.DUMMYFUNCTION("LET(
 txt,TRIM(SUBSTITUTE(J61,CHAR(160),""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)"),"building.pagoda@3")</f>
        <v>building.pagoda@3</v>
      </c>
      <c r="J61" s="44" t="s">
        <v>253</v>
      </c>
      <c r="K61" s="44"/>
      <c r="L61" s="35"/>
      <c r="M61" s="35"/>
      <c r="N61" s="35"/>
      <c r="O61" s="35"/>
      <c r="P61" s="35"/>
      <c r="Q61" s="35"/>
      <c r="R61" s="35"/>
      <c r="S61" s="35"/>
      <c r="T61" s="35"/>
      <c r="U61" s="35"/>
      <c r="V61" s="35"/>
      <c r="W61" s="35"/>
      <c r="X61" s="35"/>
      <c r="Y61" s="35"/>
      <c r="Z61" s="35"/>
    </row>
    <row r="62" ht="15.75" customHeight="1">
      <c r="A62" s="44">
        <v>60.0</v>
      </c>
      <c r="B62" s="47" t="str">
        <f t="array" ref="B62">_xlfn.XLOOKUP(
 A62,
 tblwikirecommended[Order],
 tblwikirecommended[Passive ID],
 ""
)</f>
        <v>building.tailor@3</v>
      </c>
      <c r="C62" s="47" t="str">
        <f t="array" ref="C62">_xlfn.XLOOKUP(
 A62,
 tblwikirecommended[Order],
 tblwikirecommended[Active ID],
 ""
)</f>
        <v>building.pagoda@4</v>
      </c>
      <c r="D62" s="35"/>
      <c r="E62" s="35"/>
      <c r="F62" s="44">
        <f t="shared" si="1"/>
        <v>60</v>
      </c>
      <c r="G62" s="26" t="s">
        <v>228</v>
      </c>
      <c r="H62" s="48" t="str">
        <f>IFERROR(__xludf.DUMMYFUNCTION("LET(
 txt,TRIM(SUBSTITUTE(G62,CHAR(160),""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)"),"building.tailor@3")</f>
        <v>building.tailor@3</v>
      </c>
      <c r="I62" s="44" t="str">
        <f>IFERROR(__xludf.DUMMYFUNCTION("LET(
 txt,TRIM(SUBSTITUTE(J62,CHAR(160),""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)"),"building.pagoda@4")</f>
        <v>building.pagoda@4</v>
      </c>
      <c r="J62" s="44" t="s">
        <v>256</v>
      </c>
      <c r="K62" s="44"/>
      <c r="L62" s="35"/>
      <c r="M62" s="35"/>
      <c r="N62" s="35"/>
      <c r="O62" s="35"/>
      <c r="P62" s="35"/>
      <c r="Q62" s="35"/>
      <c r="R62" s="35"/>
      <c r="S62" s="35"/>
      <c r="T62" s="35"/>
      <c r="U62" s="35"/>
      <c r="V62" s="35"/>
      <c r="W62" s="35"/>
      <c r="X62" s="35"/>
      <c r="Y62" s="35"/>
      <c r="Z62" s="35"/>
    </row>
    <row r="63" ht="15.75" customHeight="1">
      <c r="A63" s="44">
        <v>61.0</v>
      </c>
      <c r="B63" s="47" t="str">
        <f t="array" ref="B63">_xlfn.XLOOKUP(
 A63,
 tblwikirecommended[Order],
 tblwikirecommended[Passive ID],
 ""
)</f>
        <v>building.outpost@3</v>
      </c>
      <c r="C63" s="47" t="str">
        <f t="array" ref="C63">_xlfn.XLOOKUP(
 A63,
 tblwikirecommended[Order],
 tblwikirecommended[Active ID],
 ""
)</f>
        <v>building.pagoda@5</v>
      </c>
      <c r="D63" s="35"/>
      <c r="E63" s="35"/>
      <c r="F63" s="44">
        <f t="shared" si="1"/>
        <v>61</v>
      </c>
      <c r="G63" s="26" t="s">
        <v>231</v>
      </c>
      <c r="H63" s="48" t="str">
        <f>IFERROR(__xludf.DUMMYFUNCTION("LET(
 txt,TRIM(SUBSTITUTE(G63,CHAR(160),""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)"),"building.outpost@3")</f>
        <v>building.outpost@3</v>
      </c>
      <c r="I63" s="44" t="str">
        <f>IFERROR(__xludf.DUMMYFUNCTION("LET(
 txt,TRIM(SUBSTITUTE(J63,CHAR(160),""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)"),"building.pagoda@5")</f>
        <v>building.pagoda@5</v>
      </c>
      <c r="J63" s="44" t="s">
        <v>257</v>
      </c>
      <c r="K63" s="44"/>
      <c r="L63" s="35"/>
      <c r="M63" s="35"/>
      <c r="N63" s="35"/>
      <c r="O63" s="35"/>
      <c r="P63" s="35"/>
      <c r="Q63" s="35"/>
      <c r="R63" s="35"/>
      <c r="S63" s="35"/>
      <c r="T63" s="35"/>
      <c r="U63" s="35"/>
      <c r="V63" s="35"/>
      <c r="W63" s="35"/>
      <c r="X63" s="35"/>
      <c r="Y63" s="35"/>
      <c r="Z63" s="35"/>
    </row>
    <row r="64" ht="15.75" customHeight="1">
      <c r="A64" s="44">
        <v>62.0</v>
      </c>
      <c r="B64" s="47" t="str">
        <f t="array" ref="B64">_xlfn.XLOOKUP(
 A64,
 tblwikirecommended[Order],
 tblwikirecommended[Passive ID],
 ""
)</f>
        <v>building.alchemists_hut@3</v>
      </c>
      <c r="C64" s="47" t="str">
        <f t="array" ref="C64">_xlfn.XLOOKUP(
 A64,
 tblwikirecommended[Order],
 tblwikirecommended[Active ID],
 ""
)</f>
        <v>building.pagoda@6</v>
      </c>
      <c r="D64" s="35"/>
      <c r="E64" s="35"/>
      <c r="F64" s="44">
        <f t="shared" si="1"/>
        <v>62</v>
      </c>
      <c r="G64" s="26" t="s">
        <v>235</v>
      </c>
      <c r="H64" s="48" t="str">
        <f>IFERROR(__xludf.DUMMYFUNCTION("LET(
 txt,TRIM(SUBSTITUTE(G64,CHAR(160),""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)"),"building.alchemists_hut@3")</f>
        <v>building.alchemists_hut@3</v>
      </c>
      <c r="I64" s="44" t="str">
        <f>IFERROR(__xludf.DUMMYFUNCTION("LET(
 txt,TRIM(SUBSTITUTE(J64,CHAR(160),""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)"),"building.pagoda@6")</f>
        <v>building.pagoda@6</v>
      </c>
      <c r="J64" s="44" t="s">
        <v>260</v>
      </c>
      <c r="K64" s="44"/>
      <c r="L64" s="35"/>
      <c r="M64" s="35"/>
      <c r="N64" s="35"/>
      <c r="O64" s="35"/>
      <c r="P64" s="35"/>
      <c r="Q64" s="35"/>
      <c r="R64" s="35"/>
      <c r="S64" s="35"/>
      <c r="T64" s="35"/>
      <c r="U64" s="35"/>
      <c r="V64" s="35"/>
      <c r="W64" s="35"/>
      <c r="X64" s="35"/>
      <c r="Y64" s="35"/>
      <c r="Z64" s="35"/>
    </row>
    <row r="65" ht="15.75" customHeight="1">
      <c r="A65" s="44">
        <v>63.0</v>
      </c>
      <c r="B65" s="47" t="str">
        <f t="array" ref="B65">_xlfn.XLOOKUP(
 A65,
 tblwikirecommended[Order],
 tblwikirecommended[Passive ID],
 ""
)</f>
        <v>building.alchemists_hut@4</v>
      </c>
      <c r="C65" s="47" t="str">
        <f t="array" ref="C65">_xlfn.XLOOKUP(
 A65,
 tblwikirecommended[Order],
 tblwikirecommended[Active ID],
 ""
)</f>
        <v>building.pagoda@7</v>
      </c>
      <c r="D65" s="35"/>
      <c r="E65" s="35"/>
      <c r="F65" s="44">
        <f t="shared" si="1"/>
        <v>63</v>
      </c>
      <c r="G65" s="26" t="s">
        <v>238</v>
      </c>
      <c r="H65" s="48" t="str">
        <f>IFERROR(__xludf.DUMMYFUNCTION("LET(
 txt,TRIM(SUBSTITUTE(G65,CHAR(160),""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)"),"building.alchemists_hut@4")</f>
        <v>building.alchemists_hut@4</v>
      </c>
      <c r="I65" s="44" t="str">
        <f>IFERROR(__xludf.DUMMYFUNCTION("LET(
 txt,TRIM(SUBSTITUTE(J65,CHAR(160),""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)"),"building.pagoda@7")</f>
        <v>building.pagoda@7</v>
      </c>
      <c r="J65" s="44" t="s">
        <v>261</v>
      </c>
      <c r="K65" s="44"/>
      <c r="L65" s="35"/>
      <c r="M65" s="35"/>
      <c r="N65" s="35"/>
      <c r="O65" s="35"/>
      <c r="P65" s="35"/>
      <c r="Q65" s="35"/>
      <c r="R65" s="35"/>
      <c r="S65" s="35"/>
      <c r="T65" s="35"/>
      <c r="U65" s="35"/>
      <c r="V65" s="35"/>
      <c r="W65" s="35"/>
      <c r="X65" s="35"/>
      <c r="Y65" s="35"/>
      <c r="Z65" s="35"/>
    </row>
    <row r="66" ht="15.75" customHeight="1">
      <c r="A66" s="44">
        <v>64.0</v>
      </c>
      <c r="B66" s="47" t="str">
        <f t="array" ref="B66">_xlfn.XLOOKUP(
 A66,
 tblwikirecommended[Order],
 tblwikirecommended[Passive ID],
 ""
)</f>
        <v>building.alchemists_hut@5</v>
      </c>
      <c r="C66" s="47" t="str">
        <f t="array" ref="C66">_xlfn.XLOOKUP(
 A66,
 tblwikirecommended[Order],
 tblwikirecommended[Active ID],
 ""
)</f>
        <v>building.dungeon@4</v>
      </c>
      <c r="D66" s="35"/>
      <c r="E66" s="35"/>
      <c r="F66" s="44">
        <f t="shared" si="1"/>
        <v>64</v>
      </c>
      <c r="G66" s="26" t="s">
        <v>240</v>
      </c>
      <c r="H66" s="48" t="str">
        <f>IFERROR(__xludf.DUMMYFUNCTION("LET(
 txt,TRIM(SUBSTITUTE(G66,CHAR(160),""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)"),"building.alchemists_hut@5")</f>
        <v>building.alchemists_hut@5</v>
      </c>
      <c r="I66" s="44" t="str">
        <f>IFERROR(__xludf.DUMMYFUNCTION("LET(
 txt,TRIM(SUBSTITUTE(J66,CHAR(160),""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)"),"building.dungeon@4")</f>
        <v>building.dungeon@4</v>
      </c>
      <c r="J66" s="44" t="s">
        <v>264</v>
      </c>
      <c r="K66" s="44" t="s">
        <v>265</v>
      </c>
      <c r="L66" s="35"/>
      <c r="M66" s="35"/>
      <c r="N66" s="35"/>
      <c r="O66" s="35"/>
      <c r="P66" s="35"/>
      <c r="Q66" s="35"/>
      <c r="R66" s="35"/>
      <c r="S66" s="35"/>
      <c r="T66" s="35"/>
      <c r="U66" s="35"/>
      <c r="V66" s="35"/>
      <c r="W66" s="35"/>
      <c r="X66" s="35"/>
      <c r="Y66" s="35"/>
      <c r="Z66" s="35"/>
    </row>
    <row r="67" ht="15.75" customHeight="1">
      <c r="A67" s="44">
        <v>65.0</v>
      </c>
      <c r="B67" s="47" t="str">
        <f t="array" ref="B67">_xlfn.XLOOKUP(
 A67,
 tblwikirecommended[Order],
 tblwikirecommended[Passive ID],
 ""
)</f>
        <v>building.alchemists_hut@6</v>
      </c>
      <c r="C67" s="47" t="str">
        <f t="array" ref="C67">_xlfn.XLOOKUP(
 A67,
 tblwikirecommended[Order],
 tblwikirecommended[Active ID],
 ""
)</f>
        <v>building.dungeon@5</v>
      </c>
      <c r="D67" s="35"/>
      <c r="E67" s="35"/>
      <c r="F67" s="44">
        <f t="shared" si="1"/>
        <v>65</v>
      </c>
      <c r="G67" s="26" t="s">
        <v>242</v>
      </c>
      <c r="H67" s="48" t="str">
        <f>IFERROR(__xludf.DUMMYFUNCTION("LET(
 txt,TRIM(SUBSTITUTE(G67,CHAR(160),""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)"),"building.alchemists_hut@6")</f>
        <v>building.alchemists_hut@6</v>
      </c>
      <c r="I67" s="44" t="str">
        <f>IFERROR(__xludf.DUMMYFUNCTION("LET(
 txt,TRIM(SUBSTITUTE(J67,CHAR(160),""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)"),"building.dungeon@5")</f>
        <v>building.dungeon@5</v>
      </c>
      <c r="J67" s="44" t="s">
        <v>266</v>
      </c>
      <c r="K67" s="44" t="s">
        <v>267</v>
      </c>
      <c r="L67" s="35"/>
      <c r="M67" s="35"/>
      <c r="N67" s="35"/>
      <c r="O67" s="35"/>
      <c r="P67" s="35"/>
      <c r="Q67" s="35"/>
      <c r="R67" s="35"/>
      <c r="S67" s="35"/>
      <c r="T67" s="35"/>
      <c r="U67" s="35"/>
      <c r="V67" s="35"/>
      <c r="W67" s="35"/>
      <c r="X67" s="35"/>
      <c r="Y67" s="35"/>
      <c r="Z67" s="35"/>
    </row>
    <row r="68" ht="15.75" customHeight="1">
      <c r="A68" s="44">
        <v>66.0</v>
      </c>
      <c r="B68" s="47" t="str">
        <f t="array" ref="B68">_xlfn.XLOOKUP(
 A68,
 tblwikirecommended[Order],
 tblwikirecommended[Passive ID],
 ""
)</f>
        <v>building.airship@2</v>
      </c>
      <c r="C68" s="47" t="str">
        <f t="array" ref="C68">_xlfn.XLOOKUP(
 A68,
 tblwikirecommended[Order],
 tblwikirecommended[Active ID],
 ""
)</f>
        <v>building.laboratory@1</v>
      </c>
      <c r="D68" s="35"/>
      <c r="E68" s="35"/>
      <c r="F68" s="44">
        <f t="shared" si="1"/>
        <v>66</v>
      </c>
      <c r="G68" s="26" t="s">
        <v>217</v>
      </c>
      <c r="H68" s="48" t="str">
        <f>IFERROR(__xludf.DUMMYFUNCTION("LET(
 txt,TRIM(SUBSTITUTE(G68,CHAR(160),""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)"),"building.airship@2")</f>
        <v>building.airship@2</v>
      </c>
      <c r="I68" s="44" t="str">
        <f>IFERROR(__xludf.DUMMYFUNCTION("LET(
 txt,TRIM(SUBSTITUTE(J68,CHAR(160),""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)"),"building.laboratory@1")</f>
        <v>building.laboratory@1</v>
      </c>
      <c r="J68" s="44" t="s">
        <v>270</v>
      </c>
      <c r="K68" s="44" t="s">
        <v>271</v>
      </c>
      <c r="L68" s="35"/>
      <c r="M68" s="35"/>
      <c r="N68" s="35"/>
      <c r="O68" s="35"/>
      <c r="P68" s="35"/>
      <c r="Q68" s="35"/>
      <c r="R68" s="35"/>
      <c r="S68" s="35"/>
      <c r="T68" s="35"/>
      <c r="U68" s="35"/>
      <c r="V68" s="35"/>
      <c r="W68" s="35"/>
      <c r="X68" s="35"/>
      <c r="Y68" s="35"/>
      <c r="Z68" s="35"/>
    </row>
    <row r="69" ht="15.75" customHeight="1">
      <c r="A69" s="44">
        <v>67.0</v>
      </c>
      <c r="B69" s="47" t="str">
        <f t="array" ref="B69">_xlfn.XLOOKUP(
 A69,
 tblwikirecommended[Order],
 tblwikirecommended[Passive ID],
 ""
)</f>
        <v>building.dungeon@4</v>
      </c>
      <c r="C69" s="47" t="str">
        <f t="array" ref="C69">_xlfn.XLOOKUP(
 A69,
 tblwikirecommended[Order],
 tblwikirecommended[Active ID],
 ""
)</f>
        <v>building.laboratory@2</v>
      </c>
      <c r="D69" s="35"/>
      <c r="E69" s="35"/>
      <c r="F69" s="44">
        <f t="shared" si="1"/>
        <v>67</v>
      </c>
      <c r="G69" s="26" t="s">
        <v>264</v>
      </c>
      <c r="H69" s="48" t="str">
        <f>IFERROR(__xludf.DUMMYFUNCTION("LET(
 txt,TRIM(SUBSTITUTE(G69,CHAR(160),""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)"),"building.dungeon@4")</f>
        <v>building.dungeon@4</v>
      </c>
      <c r="I69" s="44" t="str">
        <f>IFERROR(__xludf.DUMMYFUNCTION("LET(
 txt,TRIM(SUBSTITUTE(J69,CHAR(160),""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)"),"building.laboratory@2")</f>
        <v>building.laboratory@2</v>
      </c>
      <c r="J69" s="44" t="s">
        <v>272</v>
      </c>
      <c r="K69" s="44" t="s">
        <v>273</v>
      </c>
      <c r="L69" s="35"/>
      <c r="M69" s="35"/>
      <c r="N69" s="35"/>
      <c r="O69" s="35"/>
      <c r="P69" s="35"/>
      <c r="Q69" s="35"/>
      <c r="R69" s="35"/>
      <c r="S69" s="35"/>
      <c r="T69" s="35"/>
      <c r="U69" s="35"/>
      <c r="V69" s="35"/>
      <c r="W69" s="35"/>
      <c r="X69" s="35"/>
      <c r="Y69" s="35"/>
      <c r="Z69" s="35"/>
    </row>
    <row r="70" ht="15.75" customHeight="1">
      <c r="A70" s="44">
        <v>68.0</v>
      </c>
      <c r="B70" s="47" t="str">
        <f t="array" ref="B70">_xlfn.XLOOKUP(
 A70,
 tblwikirecommended[Order],
 tblwikirecommended[Passive ID],
 ""
)</f>
        <v>building.dungeon@5</v>
      </c>
      <c r="C70" s="47" t="str">
        <f t="array" ref="C70">_xlfn.XLOOKUP(
 A70,
 tblwikirecommended[Order],
 tblwikirecommended[Active ID],
 ""
)</f>
        <v>building.laboratory@3</v>
      </c>
      <c r="D70" s="35"/>
      <c r="E70" s="35"/>
      <c r="F70" s="44">
        <f t="shared" si="1"/>
        <v>68</v>
      </c>
      <c r="G70" s="26" t="s">
        <v>266</v>
      </c>
      <c r="H70" s="48" t="str">
        <f>IFERROR(__xludf.DUMMYFUNCTION("LET(
 txt,TRIM(SUBSTITUTE(G70,CHAR(160),""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)"),"building.dungeon@5")</f>
        <v>building.dungeon@5</v>
      </c>
      <c r="I70" s="44" t="str">
        <f>IFERROR(__xludf.DUMMYFUNCTION("LET(
 txt,TRIM(SUBSTITUTE(J70,CHAR(160),""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)"),"building.laboratory@3")</f>
        <v>building.laboratory@3</v>
      </c>
      <c r="J70" s="44" t="s">
        <v>276</v>
      </c>
      <c r="K70" s="44" t="s">
        <v>277</v>
      </c>
      <c r="L70" s="35"/>
      <c r="M70" s="35"/>
      <c r="N70" s="35"/>
      <c r="O70" s="35"/>
      <c r="P70" s="35"/>
      <c r="Q70" s="35"/>
      <c r="R70" s="35"/>
      <c r="S70" s="35"/>
      <c r="T70" s="35"/>
      <c r="U70" s="35"/>
      <c r="V70" s="35"/>
      <c r="W70" s="35"/>
      <c r="X70" s="35"/>
      <c r="Y70" s="35"/>
      <c r="Z70" s="35"/>
    </row>
    <row r="71" ht="15.75" customHeight="1">
      <c r="A71" s="44">
        <v>69.0</v>
      </c>
      <c r="B71" s="47" t="str">
        <f t="array" ref="B71">_xlfn.XLOOKUP(
 A71,
 tblwikirecommended[Order],
 tblwikirecommended[Passive ID],
 ""
)</f>
        <v>building.pagoda@1</v>
      </c>
      <c r="C71" s="47" t="str">
        <f t="array" ref="C71">_xlfn.XLOOKUP(
 A71,
 tblwikirecommended[Order],
 tblwikirecommended[Active ID],
 ""
)</f>
        <v>building.station@1</v>
      </c>
      <c r="D71" s="35"/>
      <c r="E71" s="35"/>
      <c r="F71" s="44">
        <f t="shared" si="1"/>
        <v>69</v>
      </c>
      <c r="G71" s="26" t="s">
        <v>249</v>
      </c>
      <c r="H71" s="48" t="str">
        <f>IFERROR(__xludf.DUMMYFUNCTION("LET(
 txt,TRIM(SUBSTITUTE(G71,CHAR(160),""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)"),"building.pagoda@1")</f>
        <v>building.pagoda@1</v>
      </c>
      <c r="I71" s="44" t="str">
        <f>IFERROR(__xludf.DUMMYFUNCTION("LET(
 txt,TRIM(SUBSTITUTE(J71,CHAR(160),""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)"),"building.station@1")</f>
        <v>building.station@1</v>
      </c>
      <c r="J71" s="44" t="s">
        <v>279</v>
      </c>
      <c r="K71" s="44" t="s">
        <v>280</v>
      </c>
      <c r="L71" s="35"/>
      <c r="M71" s="35"/>
      <c r="N71" s="35"/>
      <c r="O71" s="35"/>
      <c r="P71" s="35"/>
      <c r="Q71" s="35"/>
      <c r="R71" s="35"/>
      <c r="S71" s="35"/>
      <c r="T71" s="35"/>
      <c r="U71" s="35"/>
      <c r="V71" s="35"/>
      <c r="W71" s="35"/>
      <c r="X71" s="35"/>
      <c r="Y71" s="35"/>
      <c r="Z71" s="35"/>
    </row>
    <row r="72" ht="15.75" customHeight="1">
      <c r="A72" s="44">
        <v>70.0</v>
      </c>
      <c r="B72" s="47" t="str">
        <f t="array" ref="B72">_xlfn.XLOOKUP(
 A72,
 tblwikirecommended[Order],
 tblwikirecommended[Passive ID],
 ""
)</f>
        <v>building.pagoda@2</v>
      </c>
      <c r="C72" s="47" t="str">
        <f t="array" ref="C72">_xlfn.XLOOKUP(
 A72,
 tblwikirecommended[Order],
 tblwikirecommended[Active ID],
 ""
)</f>
        <v>building.train@1</v>
      </c>
      <c r="D72" s="35"/>
      <c r="E72" s="35"/>
      <c r="F72" s="44">
        <f t="shared" si="1"/>
        <v>70</v>
      </c>
      <c r="G72" s="26" t="s">
        <v>252</v>
      </c>
      <c r="H72" s="48" t="str">
        <f>IFERROR(__xludf.DUMMYFUNCTION("LET(
 txt,TRIM(SUBSTITUTE(G72,CHAR(160),""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)"),"building.pagoda@2")</f>
        <v>building.pagoda@2</v>
      </c>
      <c r="I72" s="44" t="str">
        <f>IFERROR(__xludf.DUMMYFUNCTION("LET(
 txt,TRIM(SUBSTITUTE(J72,CHAR(160),""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)"),"building.train@1")</f>
        <v>building.train@1</v>
      </c>
      <c r="J72" s="44" t="s">
        <v>284</v>
      </c>
      <c r="K72" s="44" t="s">
        <v>285</v>
      </c>
      <c r="L72" s="35"/>
      <c r="M72" s="35"/>
      <c r="N72" s="35"/>
      <c r="O72" s="35"/>
      <c r="P72" s="35"/>
      <c r="Q72" s="35"/>
      <c r="R72" s="35"/>
      <c r="S72" s="35"/>
      <c r="T72" s="35"/>
      <c r="U72" s="35"/>
      <c r="V72" s="35"/>
      <c r="W72" s="35"/>
      <c r="X72" s="35"/>
      <c r="Y72" s="35"/>
      <c r="Z72" s="35"/>
    </row>
    <row r="73" ht="15.75" customHeight="1">
      <c r="A73" s="44">
        <v>71.0</v>
      </c>
      <c r="B73" s="47" t="str">
        <f t="array" ref="B73">_xlfn.XLOOKUP(
 A73,
 tblwikirecommended[Order],
 tblwikirecommended[Passive ID],
 ""
)</f>
        <v>building.pagoda@3</v>
      </c>
      <c r="C73" s="47" t="str">
        <f t="array" ref="C73">_xlfn.XLOOKUP(
 A73,
 tblwikirecommended[Order],
 tblwikirecommended[Active ID],
 ""
)</f>
        <v>building.train@2</v>
      </c>
      <c r="D73" s="35"/>
      <c r="E73" s="35"/>
      <c r="F73" s="44">
        <f t="shared" si="1"/>
        <v>71</v>
      </c>
      <c r="G73" s="26" t="s">
        <v>253</v>
      </c>
      <c r="H73" s="48" t="str">
        <f>IFERROR(__xludf.DUMMYFUNCTION("LET(
 txt,TRIM(SUBSTITUTE(G73,CHAR(160),""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)"),"building.pagoda@3")</f>
        <v>building.pagoda@3</v>
      </c>
      <c r="I73" s="44" t="str">
        <f>IFERROR(__xludf.DUMMYFUNCTION("LET(
 txt,TRIM(SUBSTITUTE(J73,CHAR(160),""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)"),"building.train@2")</f>
        <v>building.train@2</v>
      </c>
      <c r="J73" s="44" t="s">
        <v>286</v>
      </c>
      <c r="K73" s="44" t="s">
        <v>287</v>
      </c>
      <c r="L73" s="35"/>
      <c r="M73" s="35"/>
      <c r="N73" s="35"/>
      <c r="O73" s="35"/>
      <c r="P73" s="35"/>
      <c r="Q73" s="35"/>
      <c r="R73" s="35"/>
      <c r="S73" s="35"/>
      <c r="T73" s="35"/>
      <c r="U73" s="35"/>
      <c r="V73" s="35"/>
      <c r="W73" s="35"/>
      <c r="X73" s="35"/>
      <c r="Y73" s="35"/>
      <c r="Z73" s="35"/>
    </row>
    <row r="74" ht="15.75" customHeight="1">
      <c r="A74" s="44">
        <v>72.0</v>
      </c>
      <c r="B74" s="47" t="str">
        <f t="array" ref="B74">_xlfn.XLOOKUP(
 A74,
 tblwikirecommended[Order],
 tblwikirecommended[Passive ID],
 ""
)</f>
        <v>building.pagoda@4</v>
      </c>
      <c r="C74" s="47" t="str">
        <f t="array" ref="C74">_xlfn.XLOOKUP(
 A74,
 tblwikirecommended[Order],
 tblwikirecommended[Active ID],
 ""
)</f>
        <v>building.fermentory@1</v>
      </c>
      <c r="D74" s="35"/>
      <c r="E74" s="35"/>
      <c r="F74" s="44">
        <f t="shared" si="1"/>
        <v>72</v>
      </c>
      <c r="G74" s="26" t="s">
        <v>256</v>
      </c>
      <c r="H74" s="48" t="str">
        <f>IFERROR(__xludf.DUMMYFUNCTION("LET(
 txt,TRIM(SUBSTITUTE(G74,CHAR(160),""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)"),"building.pagoda@4")</f>
        <v>building.pagoda@4</v>
      </c>
      <c r="I74" s="44" t="str">
        <f>IFERROR(__xludf.DUMMYFUNCTION("LET(
 txt,TRIM(SUBSTITUTE(J74,CHAR(160),""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)"),"building.fermentory@1")</f>
        <v>building.fermentory@1</v>
      </c>
      <c r="J74" s="44" t="s">
        <v>289</v>
      </c>
      <c r="K74" s="44" t="s">
        <v>290</v>
      </c>
      <c r="L74" s="35"/>
      <c r="M74" s="35"/>
      <c r="N74" s="35"/>
      <c r="O74" s="35"/>
      <c r="P74" s="35"/>
      <c r="Q74" s="35"/>
      <c r="R74" s="35"/>
      <c r="S74" s="35"/>
      <c r="T74" s="35"/>
      <c r="U74" s="35"/>
      <c r="V74" s="35"/>
      <c r="W74" s="35"/>
      <c r="X74" s="35"/>
      <c r="Y74" s="35"/>
      <c r="Z74" s="35"/>
    </row>
    <row r="75" ht="15.75" customHeight="1">
      <c r="A75" s="44">
        <v>73.0</v>
      </c>
      <c r="B75" s="47" t="str">
        <f t="array" ref="B75">_xlfn.XLOOKUP(
 A75,
 tblwikirecommended[Order],
 tblwikirecommended[Passive ID],
 ""
)</f>
        <v>building.pagoda@5</v>
      </c>
      <c r="C75" s="47" t="str">
        <f t="array" ref="C75">_xlfn.XLOOKUP(
 A75,
 tblwikirecommended[Order],
 tblwikirecommended[Active ID],
 ""
)</f>
        <v>building.fermentory@2</v>
      </c>
      <c r="D75" s="35"/>
      <c r="E75" s="35"/>
      <c r="F75" s="44">
        <f t="shared" si="1"/>
        <v>73</v>
      </c>
      <c r="G75" s="26" t="s">
        <v>257</v>
      </c>
      <c r="H75" s="48" t="str">
        <f>IFERROR(__xludf.DUMMYFUNCTION("LET(
 txt,TRIM(SUBSTITUTE(G75,CHAR(160),""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)"),"building.pagoda@5")</f>
        <v>building.pagoda@5</v>
      </c>
      <c r="I75" s="44" t="str">
        <f>IFERROR(__xludf.DUMMYFUNCTION("LET(
 txt,TRIM(SUBSTITUTE(J75,CHAR(160),""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)"),"building.fermentory@2")</f>
        <v>building.fermentory@2</v>
      </c>
      <c r="J75" s="44" t="s">
        <v>292</v>
      </c>
      <c r="K75" s="44"/>
      <c r="L75" s="35"/>
      <c r="M75" s="35"/>
      <c r="N75" s="35"/>
      <c r="O75" s="35"/>
      <c r="P75" s="35"/>
      <c r="Q75" s="35"/>
      <c r="R75" s="35"/>
      <c r="S75" s="35"/>
      <c r="T75" s="35"/>
      <c r="U75" s="35"/>
      <c r="V75" s="35"/>
      <c r="W75" s="35"/>
      <c r="X75" s="35"/>
      <c r="Y75" s="35"/>
      <c r="Z75" s="35"/>
    </row>
    <row r="76" ht="15.75" customHeight="1">
      <c r="A76" s="44">
        <v>74.0</v>
      </c>
      <c r="B76" s="47" t="str">
        <f t="array" ref="B76">_xlfn.XLOOKUP(
 A76,
 tblwikirecommended[Order],
 tblwikirecommended[Passive ID],
 ""
)</f>
        <v>building.pagoda@6</v>
      </c>
      <c r="C76" s="47" t="str">
        <f t="array" ref="C76">_xlfn.XLOOKUP(
 A76,
 tblwikirecommended[Order],
 tblwikirecommended[Active ID],
 ""
)</f>
        <v>building.fermentory@3</v>
      </c>
      <c r="D76" s="35"/>
      <c r="E76" s="35"/>
      <c r="F76" s="44">
        <f t="shared" si="1"/>
        <v>74</v>
      </c>
      <c r="G76" s="26" t="s">
        <v>260</v>
      </c>
      <c r="H76" s="48" t="str">
        <f>IFERROR(__xludf.DUMMYFUNCTION("LET(
 txt,TRIM(SUBSTITUTE(G76,CHAR(160),""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)"),"building.pagoda@6")</f>
        <v>building.pagoda@6</v>
      </c>
      <c r="I76" s="44" t="str">
        <f>IFERROR(__xludf.DUMMYFUNCTION("LET(
 txt,TRIM(SUBSTITUTE(J76,CHAR(160),""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)"),"building.fermentory@3")</f>
        <v>building.fermentory@3</v>
      </c>
      <c r="J76" s="44" t="s">
        <v>294</v>
      </c>
      <c r="K76" s="44"/>
      <c r="L76" s="35"/>
      <c r="M76" s="35"/>
      <c r="N76" s="35"/>
      <c r="O76" s="35"/>
      <c r="P76" s="35"/>
      <c r="Q76" s="35"/>
      <c r="R76" s="35"/>
      <c r="S76" s="35"/>
      <c r="T76" s="35"/>
      <c r="U76" s="35"/>
      <c r="V76" s="35"/>
      <c r="W76" s="35"/>
      <c r="X76" s="35"/>
      <c r="Y76" s="35"/>
      <c r="Z76" s="35"/>
    </row>
    <row r="77" ht="15.75" customHeight="1">
      <c r="A77" s="44">
        <v>75.0</v>
      </c>
      <c r="B77" s="47" t="str">
        <f t="array" ref="B77">_xlfn.XLOOKUP(
 A77,
 tblwikirecommended[Order],
 tblwikirecommended[Passive ID],
 ""
)</f>
        <v>building.pagoda@7</v>
      </c>
      <c r="C77" s="47" t="str">
        <f t="array" ref="C77">_xlfn.XLOOKUP(
 A77,
 tblwikirecommended[Order],
 tblwikirecommended[Active ID],
 ""
)</f>
        <v>building.laboratory@4</v>
      </c>
      <c r="D77" s="35"/>
      <c r="E77" s="35"/>
      <c r="F77" s="44">
        <f t="shared" si="1"/>
        <v>75</v>
      </c>
      <c r="G77" s="26" t="s">
        <v>261</v>
      </c>
      <c r="H77" s="48" t="str">
        <f>IFERROR(__xludf.DUMMYFUNCTION("LET(
 txt,TRIM(SUBSTITUTE(G77,CHAR(160),""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)"),"building.pagoda@7")</f>
        <v>building.pagoda@7</v>
      </c>
      <c r="I77" s="44" t="str">
        <f>IFERROR(__xludf.DUMMYFUNCTION("LET(
 txt,TRIM(SUBSTITUTE(J77,CHAR(160),""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)"),"building.laboratory@4")</f>
        <v>building.laboratory@4</v>
      </c>
      <c r="J77" s="44" t="s">
        <v>296</v>
      </c>
      <c r="K77" s="44" t="s">
        <v>297</v>
      </c>
      <c r="L77" s="35"/>
      <c r="M77" s="35"/>
      <c r="N77" s="35"/>
      <c r="O77" s="35"/>
      <c r="P77" s="35"/>
      <c r="Q77" s="35"/>
      <c r="R77" s="35"/>
      <c r="S77" s="35"/>
      <c r="T77" s="35"/>
      <c r="U77" s="35"/>
      <c r="V77" s="35"/>
      <c r="W77" s="35"/>
      <c r="X77" s="35"/>
      <c r="Y77" s="35"/>
      <c r="Z77" s="35"/>
    </row>
    <row r="78" ht="15.75" customHeight="1">
      <c r="A78" s="44">
        <v>76.0</v>
      </c>
      <c r="B78" s="47" t="str">
        <f t="array" ref="B78">_xlfn.XLOOKUP(
 A78,
 tblwikirecommended[Order],
 tblwikirecommended[Passive ID],
 ""
)</f>
        <v>building.laboratory@1</v>
      </c>
      <c r="C78" s="47" t="str">
        <f t="array" ref="C78">_xlfn.XLOOKUP(
 A78,
 tblwikirecommended[Order],
 tblwikirecommended[Active ID],
 ""
)</f>
        <v>building.laboratory@5</v>
      </c>
      <c r="D78" s="35"/>
      <c r="E78" s="35"/>
      <c r="F78" s="44">
        <f t="shared" si="1"/>
        <v>76</v>
      </c>
      <c r="G78" s="26" t="s">
        <v>270</v>
      </c>
      <c r="H78" s="48" t="str">
        <f>IFERROR(__xludf.DUMMYFUNCTION("LET(
 txt,TRIM(SUBSTITUTE(G78,CHAR(160),""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)"),"building.laboratory@1")</f>
        <v>building.laboratory@1</v>
      </c>
      <c r="I78" s="44" t="str">
        <f>IFERROR(__xludf.DUMMYFUNCTION("LET(
 txt,TRIM(SUBSTITUTE(J78,CHAR(160),""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)"),"building.laboratory@5")</f>
        <v>building.laboratory@5</v>
      </c>
      <c r="J78" s="44" t="s">
        <v>299</v>
      </c>
      <c r="K78" s="44" t="s">
        <v>300</v>
      </c>
      <c r="L78" s="35"/>
      <c r="M78" s="35"/>
      <c r="N78" s="35"/>
      <c r="O78" s="35"/>
      <c r="P78" s="35"/>
      <c r="Q78" s="35"/>
      <c r="R78" s="35"/>
      <c r="S78" s="35"/>
      <c r="T78" s="35"/>
      <c r="U78" s="35"/>
      <c r="V78" s="35"/>
      <c r="W78" s="35"/>
      <c r="X78" s="35"/>
      <c r="Y78" s="35"/>
      <c r="Z78" s="35"/>
    </row>
    <row r="79" ht="15.75" customHeight="1">
      <c r="A79" s="44">
        <v>77.0</v>
      </c>
      <c r="B79" s="47" t="str">
        <f t="array" ref="B79">_xlfn.XLOOKUP(
 A79,
 tblwikirecommended[Order],
 tblwikirecommended[Passive ID],
 ""
)</f>
        <v>building.laboratory@2</v>
      </c>
      <c r="C79" s="47" t="str">
        <f t="array" ref="C79">_xlfn.XLOOKUP(
 A79,
 tblwikirecommended[Order],
 tblwikirecommended[Active ID],
 ""
)</f>
        <v>building.dairy@1</v>
      </c>
      <c r="D79" s="35"/>
      <c r="E79" s="35"/>
      <c r="F79" s="44">
        <f t="shared" si="1"/>
        <v>77</v>
      </c>
      <c r="G79" s="26" t="s">
        <v>272</v>
      </c>
      <c r="H79" s="48" t="str">
        <f>IFERROR(__xludf.DUMMYFUNCTION("LET(
 txt,TRIM(SUBSTITUTE(G79,CHAR(160),""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)"),"building.laboratory@2")</f>
        <v>building.laboratory@2</v>
      </c>
      <c r="I79" s="44" t="str">
        <f>IFERROR(__xludf.DUMMYFUNCTION("LET(
 txt,TRIM(SUBSTITUTE(J79,CHAR(160),""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)"),"building.dairy@1")</f>
        <v>building.dairy@1</v>
      </c>
      <c r="J79" s="44" t="s">
        <v>303</v>
      </c>
      <c r="K79" s="44" t="s">
        <v>304</v>
      </c>
      <c r="L79" s="35"/>
      <c r="M79" s="35"/>
      <c r="N79" s="35"/>
      <c r="O79" s="35"/>
      <c r="P79" s="35"/>
      <c r="Q79" s="35"/>
      <c r="R79" s="35"/>
      <c r="S79" s="35"/>
      <c r="T79" s="35"/>
      <c r="U79" s="35"/>
      <c r="V79" s="35"/>
      <c r="W79" s="35"/>
      <c r="X79" s="35"/>
      <c r="Y79" s="35"/>
      <c r="Z79" s="35"/>
    </row>
    <row r="80" ht="15.75" customHeight="1">
      <c r="A80" s="44">
        <v>78.0</v>
      </c>
      <c r="B80" s="47" t="str">
        <f t="array" ref="B80">_xlfn.XLOOKUP(
 A80,
 tblwikirecommended[Order],
 tblwikirecommended[Passive ID],
 ""
)</f>
        <v>building.laboratory@3</v>
      </c>
      <c r="C80" s="47" t="str">
        <f t="array" ref="C80">_xlfn.XLOOKUP(
 A80,
 tblwikirecommended[Order],
 tblwikirecommended[Active ID],
 ""
)</f>
        <v>building.dairy@2</v>
      </c>
      <c r="D80" s="35"/>
      <c r="E80" s="35"/>
      <c r="F80" s="44">
        <f t="shared" si="1"/>
        <v>78</v>
      </c>
      <c r="G80" s="26" t="s">
        <v>276</v>
      </c>
      <c r="H80" s="48" t="str">
        <f>IFERROR(__xludf.DUMMYFUNCTION("LET(
 txt,TRIM(SUBSTITUTE(G80,CHAR(160),""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)"),"building.laboratory@3")</f>
        <v>building.laboratory@3</v>
      </c>
      <c r="I80" s="44" t="str">
        <f>IFERROR(__xludf.DUMMYFUNCTION("LET(
 txt,TRIM(SUBSTITUTE(J80,CHAR(160),""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)"),"building.dairy@2")</f>
        <v>building.dairy@2</v>
      </c>
      <c r="J80" s="44" t="s">
        <v>305</v>
      </c>
      <c r="K80" s="44" t="s">
        <v>306</v>
      </c>
      <c r="L80" s="35"/>
      <c r="M80" s="35"/>
      <c r="N80" s="35"/>
      <c r="O80" s="35"/>
      <c r="P80" s="35"/>
      <c r="Q80" s="35"/>
      <c r="R80" s="35"/>
      <c r="S80" s="35"/>
      <c r="T80" s="35"/>
      <c r="U80" s="35"/>
      <c r="V80" s="35"/>
      <c r="W80" s="35"/>
      <c r="X80" s="35"/>
      <c r="Y80" s="35"/>
      <c r="Z80" s="35"/>
    </row>
    <row r="81" ht="15.75" customHeight="1">
      <c r="A81" s="44">
        <v>79.0</v>
      </c>
      <c r="B81" s="47" t="str">
        <f t="array" ref="B81">_xlfn.XLOOKUP(
 A81,
 tblwikirecommended[Order],
 tblwikirecommended[Passive ID],
 ""
)</f>
        <v>building.station@1</v>
      </c>
      <c r="C81" s="47" t="str">
        <f t="array" ref="C81">_xlfn.XLOOKUP(
 A81,
 tblwikirecommended[Order],
 tblwikirecommended[Active ID],
 ""
)</f>
        <v>building.fermentory@4</v>
      </c>
      <c r="D81" s="35"/>
      <c r="E81" s="35"/>
      <c r="F81" s="44">
        <f t="shared" si="1"/>
        <v>79</v>
      </c>
      <c r="G81" s="26" t="s">
        <v>279</v>
      </c>
      <c r="H81" s="48" t="str">
        <f>IFERROR(__xludf.DUMMYFUNCTION("LET(
 txt,TRIM(SUBSTITUTE(G81,CHAR(160),""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)"),"building.station@1")</f>
        <v>building.station@1</v>
      </c>
      <c r="I81" s="44" t="str">
        <f>IFERROR(__xludf.DUMMYFUNCTION("LET(
 txt,TRIM(SUBSTITUTE(J81,CHAR(160),""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)"),"building.fermentory@4")</f>
        <v>building.fermentory@4</v>
      </c>
      <c r="J81" s="44" t="s">
        <v>308</v>
      </c>
      <c r="K81" s="44" t="s">
        <v>309</v>
      </c>
      <c r="L81" s="35"/>
      <c r="M81" s="35"/>
      <c r="N81" s="35"/>
      <c r="O81" s="35"/>
      <c r="P81" s="35"/>
      <c r="Q81" s="35"/>
      <c r="R81" s="35"/>
      <c r="S81" s="35"/>
      <c r="T81" s="35"/>
      <c r="U81" s="35"/>
      <c r="V81" s="35"/>
      <c r="W81" s="35"/>
      <c r="X81" s="35"/>
      <c r="Y81" s="35"/>
      <c r="Z81" s="35"/>
    </row>
    <row r="82" ht="15.75" customHeight="1">
      <c r="A82" s="44">
        <v>80.0</v>
      </c>
      <c r="B82" s="47" t="str">
        <f t="array" ref="B82">_xlfn.XLOOKUP(
 A82,
 tblwikirecommended[Order],
 tblwikirecommended[Passive ID],
 ""
)</f>
        <v>building.train@1</v>
      </c>
      <c r="C82" s="47" t="str">
        <f t="array" ref="C82">_xlfn.XLOOKUP(
 A82,
 tblwikirecommended[Order],
 tblwikirecommended[Active ID],
 ""
)</f>
        <v>building.fermentory@5</v>
      </c>
      <c r="D82" s="35"/>
      <c r="E82" s="35"/>
      <c r="F82" s="44">
        <f t="shared" si="1"/>
        <v>80</v>
      </c>
      <c r="G82" s="26" t="s">
        <v>284</v>
      </c>
      <c r="H82" s="48" t="str">
        <f>IFERROR(__xludf.DUMMYFUNCTION("LET(
 txt,TRIM(SUBSTITUTE(G82,CHAR(160),""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)"),"building.train@1")</f>
        <v>building.train@1</v>
      </c>
      <c r="I82" s="44" t="str">
        <f>IFERROR(__xludf.DUMMYFUNCTION("LET(
 txt,TRIM(SUBSTITUTE(J82,CHAR(160),""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)"),"building.fermentory@5")</f>
        <v>building.fermentory@5</v>
      </c>
      <c r="J82" s="44" t="s">
        <v>311</v>
      </c>
      <c r="K82" s="44"/>
      <c r="L82" s="35"/>
      <c r="M82" s="35"/>
      <c r="N82" s="35"/>
      <c r="O82" s="35"/>
      <c r="P82" s="35"/>
      <c r="Q82" s="35"/>
      <c r="R82" s="35"/>
      <c r="S82" s="35"/>
      <c r="T82" s="35"/>
      <c r="U82" s="35"/>
      <c r="V82" s="35"/>
      <c r="W82" s="35"/>
      <c r="X82" s="35"/>
      <c r="Y82" s="35"/>
      <c r="Z82" s="35"/>
    </row>
    <row r="83" ht="15.75" customHeight="1">
      <c r="A83" s="44">
        <v>81.0</v>
      </c>
      <c r="B83" s="47" t="str">
        <f t="array" ref="B83">_xlfn.XLOOKUP(
 A83,
 tblwikirecommended[Order],
 tblwikirecommended[Passive ID],
 ""
)</f>
        <v>building.train@2</v>
      </c>
      <c r="C83" s="47" t="str">
        <f t="array" ref="C83">_xlfn.XLOOKUP(
 A83,
 tblwikirecommended[Order],
 tblwikirecommended[Active ID],
 ""
)</f>
        <v>building.fermentory@6</v>
      </c>
      <c r="D83" s="35"/>
      <c r="E83" s="35"/>
      <c r="F83" s="44">
        <f t="shared" si="1"/>
        <v>81</v>
      </c>
      <c r="G83" s="26" t="s">
        <v>286</v>
      </c>
      <c r="H83" s="48" t="str">
        <f>IFERROR(__xludf.DUMMYFUNCTION("LET(
 txt,TRIM(SUBSTITUTE(G83,CHAR(160),""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)"),"building.train@2")</f>
        <v>building.train@2</v>
      </c>
      <c r="I83" s="44" t="str">
        <f>IFERROR(__xludf.DUMMYFUNCTION("LET(
 txt,TRIM(SUBSTITUTE(J83,CHAR(160),""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)"),"building.fermentory@6")</f>
        <v>building.fermentory@6</v>
      </c>
      <c r="J83" s="44" t="s">
        <v>313</v>
      </c>
      <c r="K83" s="44"/>
      <c r="L83" s="35"/>
      <c r="M83" s="35"/>
      <c r="N83" s="35"/>
      <c r="O83" s="35"/>
      <c r="P83" s="35"/>
      <c r="Q83" s="35"/>
      <c r="R83" s="35"/>
      <c r="S83" s="35"/>
      <c r="T83" s="35"/>
      <c r="U83" s="35"/>
      <c r="V83" s="35"/>
      <c r="W83" s="35"/>
      <c r="X83" s="35"/>
      <c r="Y83" s="35"/>
      <c r="Z83" s="35"/>
    </row>
    <row r="84" ht="15.75" customHeight="1">
      <c r="A84" s="44">
        <v>82.0</v>
      </c>
      <c r="B84" s="47" t="str">
        <f t="array" ref="B84">_xlfn.XLOOKUP(
 A84,
 tblwikirecommended[Order],
 tblwikirecommended[Passive ID],
 ""
)</f>
        <v>building.fermentory@1</v>
      </c>
      <c r="C84" s="47" t="str">
        <f t="array" ref="C84">_xlfn.XLOOKUP(
 A84,
 tblwikirecommended[Order],
 tblwikirecommended[Active ID],
 ""
)</f>
        <v>#N/A</v>
      </c>
      <c r="D84" s="35"/>
      <c r="E84" s="35"/>
      <c r="F84" s="44">
        <f t="shared" si="1"/>
        <v>82</v>
      </c>
      <c r="G84" s="26" t="s">
        <v>289</v>
      </c>
      <c r="H84" s="48" t="str">
        <f>IFERROR(__xludf.DUMMYFUNCTION("LET(
 txt,TRIM(SUBSTITUTE(G84,CHAR(160),""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)"),"building.fermentory@1")</f>
        <v>building.fermentory@1</v>
      </c>
      <c r="I84" s="44" t="str">
        <f>IFERROR(__xludf.DUMMYFUNCTION("LET(
 txt,TRIM(SUBSTITUTE(J84,CHAR(160),""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)"),"#N/A")</f>
        <v>#N/A</v>
      </c>
      <c r="J84" s="44" t="s">
        <v>315</v>
      </c>
      <c r="K84" s="44"/>
      <c r="L84" s="35"/>
      <c r="M84" s="35"/>
      <c r="N84" s="35"/>
      <c r="O84" s="35"/>
      <c r="P84" s="35"/>
      <c r="Q84" s="35"/>
      <c r="R84" s="35"/>
      <c r="S84" s="35"/>
      <c r="T84" s="35"/>
      <c r="U84" s="35"/>
      <c r="V84" s="35"/>
      <c r="W84" s="35"/>
      <c r="X84" s="35"/>
      <c r="Y84" s="35"/>
      <c r="Z84" s="35"/>
    </row>
    <row r="85" ht="15.75" customHeight="1">
      <c r="A85" s="44">
        <v>83.0</v>
      </c>
      <c r="B85" s="47" t="str">
        <f t="array" ref="B85">_xlfn.XLOOKUP(
 A85,
 tblwikirecommended[Order],
 tblwikirecommended[Passive ID],
 ""
)</f>
        <v>building.fermentory@2</v>
      </c>
      <c r="C85" s="47" t="str">
        <f t="array" ref="C85">_xlfn.XLOOKUP(
 A85,
 tblwikirecommended[Order],
 tblwikirecommended[Active ID],
 ""
)</f>
        <v>building.rock_garden@1</v>
      </c>
      <c r="D85" s="35"/>
      <c r="E85" s="35"/>
      <c r="F85" s="44">
        <f t="shared" si="1"/>
        <v>83</v>
      </c>
      <c r="G85" s="26" t="s">
        <v>292</v>
      </c>
      <c r="H85" s="48" t="str">
        <f>IFERROR(__xludf.DUMMYFUNCTION("LET(
 txt,TRIM(SUBSTITUTE(G85,CHAR(160),""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)"),"building.fermentory@2")</f>
        <v>building.fermentory@2</v>
      </c>
      <c r="I85" s="44" t="str">
        <f>IFERROR(__xludf.DUMMYFUNCTION("LET(
 txt,TRIM(SUBSTITUTE(J85,CHAR(160),""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)"),"building.rock_garden@1")</f>
        <v>building.rock_garden@1</v>
      </c>
      <c r="J85" s="44" t="s">
        <v>74</v>
      </c>
      <c r="K85" s="44" t="s">
        <v>317</v>
      </c>
      <c r="L85" s="35"/>
      <c r="M85" s="35"/>
      <c r="N85" s="35"/>
      <c r="O85" s="35"/>
      <c r="P85" s="35"/>
      <c r="Q85" s="35"/>
      <c r="R85" s="35"/>
      <c r="S85" s="35"/>
      <c r="T85" s="35"/>
      <c r="U85" s="35"/>
      <c r="V85" s="35"/>
      <c r="W85" s="35"/>
      <c r="X85" s="35"/>
      <c r="Y85" s="35"/>
      <c r="Z85" s="35"/>
    </row>
    <row r="86" ht="15.75" customHeight="1">
      <c r="A86" s="44">
        <v>84.0</v>
      </c>
      <c r="B86" s="47" t="str">
        <f t="array" ref="B86">_xlfn.XLOOKUP(
 A86,
 tblwikirecommended[Order],
 tblwikirecommended[Passive ID],
 ""
)</f>
        <v>building.fermentory@3</v>
      </c>
      <c r="C86" s="47" t="str">
        <f t="array" ref="C86">_xlfn.XLOOKUP(
 A86,
 tblwikirecommended[Order],
 tblwikirecommended[Active ID],
 ""
)</f>
        <v>building.rock_garden@2</v>
      </c>
      <c r="D86" s="35"/>
      <c r="E86" s="35"/>
      <c r="F86" s="44">
        <f t="shared" si="1"/>
        <v>84</v>
      </c>
      <c r="G86" s="26" t="s">
        <v>294</v>
      </c>
      <c r="H86" s="48" t="str">
        <f>IFERROR(__xludf.DUMMYFUNCTION("LET(
 txt,TRIM(SUBSTITUTE(G86,CHAR(160),""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)"),"building.fermentory@3")</f>
        <v>building.fermentory@3</v>
      </c>
      <c r="I86" s="44" t="str">
        <f>IFERROR(__xludf.DUMMYFUNCTION("LET(
 txt,TRIM(SUBSTITUTE(J86,CHAR(160),""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)"),"building.rock_garden@2")</f>
        <v>building.rock_garden@2</v>
      </c>
      <c r="J86" s="44" t="s">
        <v>78</v>
      </c>
      <c r="K86" s="44"/>
      <c r="L86" s="35"/>
      <c r="M86" s="35"/>
      <c r="N86" s="35"/>
      <c r="O86" s="35"/>
      <c r="P86" s="35"/>
      <c r="Q86" s="35"/>
      <c r="R86" s="35"/>
      <c r="S86" s="35"/>
      <c r="T86" s="35"/>
      <c r="U86" s="35"/>
      <c r="V86" s="35"/>
      <c r="W86" s="35"/>
      <c r="X86" s="35"/>
      <c r="Y86" s="35"/>
      <c r="Z86" s="35"/>
    </row>
    <row r="87" ht="15.75" customHeight="1">
      <c r="A87" s="44">
        <v>85.0</v>
      </c>
      <c r="B87" s="47" t="str">
        <f t="array" ref="B87">_xlfn.XLOOKUP(
 A87,
 tblwikirecommended[Order],
 tblwikirecommended[Passive ID],
 ""
)</f>
        <v>building.laboratory@4</v>
      </c>
      <c r="C87" s="47" t="str">
        <f t="array" ref="C87">_xlfn.XLOOKUP(
 A87,
 tblwikirecommended[Order],
 tblwikirecommended[Active ID],
 ""
)</f>
        <v>building.rock_garden@3</v>
      </c>
      <c r="D87" s="35"/>
      <c r="E87" s="35"/>
      <c r="F87" s="44">
        <f t="shared" si="1"/>
        <v>85</v>
      </c>
      <c r="G87" s="26" t="s">
        <v>296</v>
      </c>
      <c r="H87" s="48" t="str">
        <f>IFERROR(__xludf.DUMMYFUNCTION("LET(
 txt,TRIM(SUBSTITUTE(G87,CHAR(160),""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)"),"building.laboratory@4")</f>
        <v>building.laboratory@4</v>
      </c>
      <c r="I87" s="44" t="str">
        <f>IFERROR(__xludf.DUMMYFUNCTION("LET(
 txt,TRIM(SUBSTITUTE(J87,CHAR(160),""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)"),"building.rock_garden@3")</f>
        <v>building.rock_garden@3</v>
      </c>
      <c r="J87" s="44" t="s">
        <v>100</v>
      </c>
      <c r="K87" s="44"/>
      <c r="L87" s="35"/>
      <c r="M87" s="35"/>
      <c r="N87" s="35"/>
      <c r="O87" s="35"/>
      <c r="P87" s="35"/>
      <c r="Q87" s="35"/>
      <c r="R87" s="35"/>
      <c r="S87" s="35"/>
      <c r="T87" s="35"/>
      <c r="U87" s="35"/>
      <c r="V87" s="35"/>
      <c r="W87" s="35"/>
      <c r="X87" s="35"/>
      <c r="Y87" s="35"/>
      <c r="Z87" s="35"/>
    </row>
    <row r="88" ht="15.75" customHeight="1">
      <c r="A88" s="44">
        <v>86.0</v>
      </c>
      <c r="B88" s="47" t="str">
        <f t="array" ref="B88">_xlfn.XLOOKUP(
 A88,
 tblwikirecommended[Order],
 tblwikirecommended[Passive ID],
 ""
)</f>
        <v>building.laboratory@5</v>
      </c>
      <c r="C88" s="47" t="str">
        <f t="array" ref="C88">_xlfn.XLOOKUP(
 A88,
 tblwikirecommended[Order],
 tblwikirecommended[Active ID],
 ""
)</f>
        <v>building.garden@1</v>
      </c>
      <c r="D88" s="35"/>
      <c r="E88" s="35"/>
      <c r="F88" s="44">
        <f t="shared" si="1"/>
        <v>86</v>
      </c>
      <c r="G88" s="26" t="s">
        <v>299</v>
      </c>
      <c r="H88" s="48" t="str">
        <f>IFERROR(__xludf.DUMMYFUNCTION("LET(
 txt,TRIM(SUBSTITUTE(G88,CHAR(160),""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)"),"building.laboratory@5")</f>
        <v>building.laboratory@5</v>
      </c>
      <c r="I88" s="44" t="str">
        <f>IFERROR(__xludf.DUMMYFUNCTION("LET(
 txt,TRIM(SUBSTITUTE(J88,CHAR(160),""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)"),"building.garden@1")</f>
        <v>building.garden@1</v>
      </c>
      <c r="J88" s="44" t="s">
        <v>82</v>
      </c>
      <c r="K88" s="44" t="s">
        <v>323</v>
      </c>
      <c r="L88" s="35"/>
      <c r="M88" s="35"/>
      <c r="N88" s="35"/>
      <c r="O88" s="35"/>
      <c r="P88" s="35"/>
      <c r="Q88" s="35"/>
      <c r="R88" s="35"/>
      <c r="S88" s="35"/>
      <c r="T88" s="35"/>
      <c r="U88" s="35"/>
      <c r="V88" s="35"/>
      <c r="W88" s="35"/>
      <c r="X88" s="35"/>
      <c r="Y88" s="35"/>
      <c r="Z88" s="35"/>
    </row>
    <row r="89" ht="15.75" customHeight="1">
      <c r="A89" s="44">
        <v>87.0</v>
      </c>
      <c r="B89" s="47" t="str">
        <f t="array" ref="B89">_xlfn.XLOOKUP(
 A89,
 tblwikirecommended[Order],
 tblwikirecommended[Passive ID],
 ""
)</f>
        <v>building.dairy@1</v>
      </c>
      <c r="C89" s="47" t="str">
        <f t="array" ref="C89">_xlfn.XLOOKUP(
 A89,
 tblwikirecommended[Order],
 tblwikirecommended[Active ID],
 ""
)</f>
        <v>building.garden@2</v>
      </c>
      <c r="D89" s="35"/>
      <c r="E89" s="35"/>
      <c r="F89" s="44">
        <f t="shared" si="1"/>
        <v>87</v>
      </c>
      <c r="G89" s="26" t="s">
        <v>303</v>
      </c>
      <c r="H89" s="48" t="str">
        <f>IFERROR(__xludf.DUMMYFUNCTION("LET(
 txt,TRIM(SUBSTITUTE(G89,CHAR(160),""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)"),"building.dairy@1")</f>
        <v>building.dairy@1</v>
      </c>
      <c r="I89" s="44" t="str">
        <f>IFERROR(__xludf.DUMMYFUNCTION("LET(
 txt,TRIM(SUBSTITUTE(J89,CHAR(160),""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)"),"building.garden@2")</f>
        <v>building.garden@2</v>
      </c>
      <c r="J89" s="44" t="s">
        <v>86</v>
      </c>
      <c r="K89" s="44"/>
      <c r="L89" s="35"/>
      <c r="M89" s="35"/>
      <c r="N89" s="35"/>
      <c r="O89" s="35"/>
      <c r="P89" s="35"/>
      <c r="Q89" s="35"/>
      <c r="R89" s="35"/>
      <c r="S89" s="35"/>
      <c r="T89" s="35"/>
      <c r="U89" s="35"/>
      <c r="V89" s="35"/>
      <c r="W89" s="35"/>
      <c r="X89" s="35"/>
      <c r="Y89" s="35"/>
      <c r="Z89" s="35"/>
    </row>
    <row r="90" ht="15.75" customHeight="1">
      <c r="A90" s="44">
        <v>88.0</v>
      </c>
      <c r="B90" s="47" t="str">
        <f t="array" ref="B90">_xlfn.XLOOKUP(
 A90,
 tblwikirecommended[Order],
 tblwikirecommended[Passive ID],
 ""
)</f>
        <v>building.dairy@2</v>
      </c>
      <c r="C90" s="47" t="str">
        <f t="array" ref="C90">_xlfn.XLOOKUP(
 A90,
 tblwikirecommended[Order],
 tblwikirecommended[Active ID],
 ""
)</f>
        <v>building.garden@3</v>
      </c>
      <c r="D90" s="35"/>
      <c r="E90" s="35"/>
      <c r="F90" s="44">
        <f t="shared" si="1"/>
        <v>88</v>
      </c>
      <c r="G90" s="26" t="s">
        <v>305</v>
      </c>
      <c r="H90" s="48" t="str">
        <f>IFERROR(__xludf.DUMMYFUNCTION("LET(
 txt,TRIM(SUBSTITUTE(G90,CHAR(160),""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)"),"building.dairy@2")</f>
        <v>building.dairy@2</v>
      </c>
      <c r="I90" s="44" t="str">
        <f>IFERROR(__xludf.DUMMYFUNCTION("LET(
 txt,TRIM(SUBSTITUTE(J90,CHAR(160),""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)"),"building.garden@3")</f>
        <v>building.garden@3</v>
      </c>
      <c r="J90" s="44" t="s">
        <v>109</v>
      </c>
      <c r="K90" s="44"/>
      <c r="L90" s="35"/>
      <c r="M90" s="35"/>
      <c r="N90" s="35"/>
      <c r="O90" s="35"/>
      <c r="P90" s="35"/>
      <c r="Q90" s="35"/>
      <c r="R90" s="35"/>
      <c r="S90" s="35"/>
      <c r="T90" s="35"/>
      <c r="U90" s="35"/>
      <c r="V90" s="35"/>
      <c r="W90" s="35"/>
      <c r="X90" s="35"/>
      <c r="Y90" s="35"/>
      <c r="Z90" s="35"/>
    </row>
    <row r="91" ht="15.75" customHeight="1">
      <c r="A91" s="44">
        <v>89.0</v>
      </c>
      <c r="B91" s="47" t="str">
        <f t="array" ref="B91">_xlfn.XLOOKUP(
 A91,
 tblwikirecommended[Order],
 tblwikirecommended[Passive ID],
 ""
)</f>
        <v>building.fermentory@4</v>
      </c>
      <c r="C91" s="47" t="str">
        <f t="array" ref="C91">_xlfn.XLOOKUP(
 A91,
 tblwikirecommended[Order],
 tblwikirecommended[Active ID],
 ""
)</f>
        <v>building.bonsai@1</v>
      </c>
      <c r="D91" s="35"/>
      <c r="E91" s="35"/>
      <c r="F91" s="44">
        <f t="shared" si="1"/>
        <v>89</v>
      </c>
      <c r="G91" s="26" t="s">
        <v>308</v>
      </c>
      <c r="H91" s="48" t="str">
        <f>IFERROR(__xludf.DUMMYFUNCTION("LET(
 txt,TRIM(SUBSTITUTE(G91,CHAR(160),""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)"),"building.fermentory@4")</f>
        <v>building.fermentory@4</v>
      </c>
      <c r="I91" s="44" t="str">
        <f>IFERROR(__xludf.DUMMYFUNCTION("LET(
 txt,TRIM(SUBSTITUTE(J91,CHAR(160),""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)"),"building.bonsai@1")</f>
        <v>building.bonsai@1</v>
      </c>
      <c r="J91" s="44" t="s">
        <v>191</v>
      </c>
      <c r="K91" s="44" t="s">
        <v>326</v>
      </c>
      <c r="L91" s="35"/>
      <c r="M91" s="35"/>
      <c r="N91" s="35"/>
      <c r="O91" s="35"/>
      <c r="P91" s="35"/>
      <c r="Q91" s="35"/>
      <c r="R91" s="35"/>
      <c r="S91" s="35"/>
      <c r="T91" s="35"/>
      <c r="U91" s="35"/>
      <c r="V91" s="35"/>
      <c r="W91" s="35"/>
      <c r="X91" s="35"/>
      <c r="Y91" s="35"/>
      <c r="Z91" s="35"/>
    </row>
    <row r="92" ht="15.75" customHeight="1">
      <c r="A92" s="44">
        <v>90.0</v>
      </c>
      <c r="B92" s="47" t="str">
        <f t="array" ref="B92">_xlfn.XLOOKUP(
 A92,
 tblwikirecommended[Order],
 tblwikirecommended[Passive ID],
 ""
)</f>
        <v>building.fermentory@5</v>
      </c>
      <c r="C92" s="47" t="str">
        <f t="array" ref="C92">_xlfn.XLOOKUP(
 A92,
 tblwikirecommended[Order],
 tblwikirecommended[Active ID],
 ""
)</f>
        <v>building.bonsai@2</v>
      </c>
      <c r="D92" s="35"/>
      <c r="E92" s="35"/>
      <c r="F92" s="44">
        <f t="shared" si="1"/>
        <v>90</v>
      </c>
      <c r="G92" s="26" t="s">
        <v>311</v>
      </c>
      <c r="H92" s="48" t="str">
        <f>IFERROR(__xludf.DUMMYFUNCTION("LET(
 txt,TRIM(SUBSTITUTE(G92,CHAR(160),""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)"),"building.fermentory@5")</f>
        <v>building.fermentory@5</v>
      </c>
      <c r="I92" s="44" t="str">
        <f>IFERROR(__xludf.DUMMYFUNCTION("LET(
 txt,TRIM(SUBSTITUTE(J92,CHAR(160),""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)"),"building.bonsai@2")</f>
        <v>building.bonsai@2</v>
      </c>
      <c r="J92" s="44" t="s">
        <v>196</v>
      </c>
      <c r="K92" s="44"/>
      <c r="L92" s="35"/>
      <c r="M92" s="35"/>
      <c r="N92" s="35"/>
      <c r="O92" s="35"/>
      <c r="P92" s="35"/>
      <c r="Q92" s="35"/>
      <c r="R92" s="35"/>
      <c r="S92" s="35"/>
      <c r="T92" s="35"/>
      <c r="U92" s="35"/>
      <c r="V92" s="35"/>
      <c r="W92" s="35"/>
      <c r="X92" s="35"/>
      <c r="Y92" s="35"/>
      <c r="Z92" s="35"/>
    </row>
    <row r="93" ht="15.75" customHeight="1">
      <c r="A93" s="44">
        <v>91.0</v>
      </c>
      <c r="B93" s="47" t="str">
        <f t="array" ref="B93">_xlfn.XLOOKUP(
 A93,
 tblwikirecommended[Order],
 tblwikirecommended[Passive ID],
 ""
)</f>
        <v>building.fermentory@6</v>
      </c>
      <c r="C93" s="47" t="str">
        <f t="array" ref="C93">_xlfn.XLOOKUP(
 A93,
 tblwikirecommended[Order],
 tblwikirecommended[Active ID],
 ""
)</f>
        <v>building.onsen@1</v>
      </c>
      <c r="D93" s="35"/>
      <c r="E93" s="35"/>
      <c r="F93" s="44">
        <f t="shared" si="1"/>
        <v>91</v>
      </c>
      <c r="G93" s="26" t="s">
        <v>313</v>
      </c>
      <c r="H93" s="48" t="str">
        <f>IFERROR(__xludf.DUMMYFUNCTION("LET(
 txt,TRIM(SUBSTITUTE(G93,CHAR(160),""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)"),"building.fermentory@6")</f>
        <v>building.fermentory@6</v>
      </c>
      <c r="I93" s="44" t="str">
        <f>IFERROR(__xludf.DUMMYFUNCTION("LET(
 txt,TRIM(SUBSTITUTE(J93,CHAR(160),""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)"),"building.onsen@1")</f>
        <v>building.onsen@1</v>
      </c>
      <c r="J93" s="44" t="s">
        <v>198</v>
      </c>
      <c r="K93" s="44" t="s">
        <v>329</v>
      </c>
      <c r="L93" s="35"/>
      <c r="M93" s="35"/>
      <c r="N93" s="35"/>
      <c r="O93" s="35"/>
      <c r="P93" s="35"/>
      <c r="Q93" s="35"/>
      <c r="R93" s="35"/>
      <c r="S93" s="35"/>
      <c r="T93" s="35"/>
      <c r="U93" s="35"/>
      <c r="V93" s="35"/>
      <c r="W93" s="35"/>
      <c r="X93" s="35"/>
      <c r="Y93" s="35"/>
      <c r="Z93" s="35"/>
    </row>
    <row r="94" ht="15.75" customHeight="1">
      <c r="A94" s="44">
        <v>92.0</v>
      </c>
      <c r="B94" s="47" t="str">
        <f t="array" ref="B94">_xlfn.XLOOKUP(
 A94,
 tblwikirecommended[Order],
 tblwikirecommended[Passive ID],
 ""
)</f>
        <v>#N/A</v>
      </c>
      <c r="C94" s="47" t="str">
        <f t="array" ref="C94">_xlfn.XLOOKUP(
 A94,
 tblwikirecommended[Order],
 tblwikirecommended[Active ID],
 ""
)</f>
        <v>building.onsen@2</v>
      </c>
      <c r="D94" s="35"/>
      <c r="E94" s="35"/>
      <c r="F94" s="44">
        <f t="shared" si="1"/>
        <v>92</v>
      </c>
      <c r="G94" s="26" t="s">
        <v>330</v>
      </c>
      <c r="H94" s="48" t="str">
        <f>IFERROR(__xludf.DUMMYFUNCTION("LET(
 txt,TRIM(SUBSTITUTE(G94,CHAR(160),""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)"),"#N/A")</f>
        <v>#N/A</v>
      </c>
      <c r="I94" s="44" t="str">
        <f>IFERROR(__xludf.DUMMYFUNCTION("LET(
 txt,TRIM(SUBSTITUTE(J94,CHAR(160),""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)"),"building.onsen@2")</f>
        <v>building.onsen@2</v>
      </c>
      <c r="J94" s="44" t="s">
        <v>201</v>
      </c>
      <c r="K94" s="44" t="s">
        <v>331</v>
      </c>
      <c r="L94" s="35"/>
      <c r="M94" s="35"/>
      <c r="N94" s="35"/>
      <c r="O94" s="35"/>
      <c r="P94" s="35"/>
      <c r="Q94" s="35"/>
      <c r="R94" s="35"/>
      <c r="S94" s="35"/>
      <c r="T94" s="35"/>
      <c r="U94" s="35"/>
      <c r="V94" s="35"/>
      <c r="W94" s="35"/>
      <c r="X94" s="35"/>
      <c r="Y94" s="35"/>
      <c r="Z94" s="35"/>
    </row>
    <row r="95" ht="15.75" customHeight="1">
      <c r="A95" s="44">
        <v>93.0</v>
      </c>
      <c r="B95" s="47" t="str">
        <f t="array" ref="B95">_xlfn.XLOOKUP(
 A95,
 tblwikirecommended[Order],
 tblwikirecommended[Passive ID],
 ""
)</f>
        <v>building.warehouse@2</v>
      </c>
      <c r="C95" s="47" t="str">
        <f t="array" ref="C95">_xlfn.XLOOKUP(
 A95,
 tblwikirecommended[Order],
 tblwikirecommended[Active ID],
 ""
)</f>
        <v>#N/A</v>
      </c>
      <c r="D95" s="35"/>
      <c r="E95" s="35"/>
      <c r="F95" s="44">
        <f t="shared" si="1"/>
        <v>93</v>
      </c>
      <c r="G95" s="26" t="s">
        <v>334</v>
      </c>
      <c r="H95" s="48" t="str">
        <f>IFERROR(__xludf.DUMMYFUNCTION("LET(
 txt,TRIM(SUBSTITUTE(G95,CHAR(160),""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)"),"building.warehouse@2")</f>
        <v>building.warehouse@2</v>
      </c>
      <c r="I95" s="44" t="str">
        <f>IFERROR(__xludf.DUMMYFUNCTION("LET(
 txt,TRIM(SUBSTITUTE(J95,CHAR(160),""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)"),"#N/A")</f>
        <v>#N/A</v>
      </c>
      <c r="J95" s="44" t="s">
        <v>330</v>
      </c>
      <c r="K95" s="44"/>
      <c r="L95" s="35"/>
      <c r="M95" s="35"/>
      <c r="N95" s="35"/>
      <c r="O95" s="35"/>
      <c r="P95" s="35"/>
      <c r="Q95" s="35"/>
      <c r="R95" s="35"/>
      <c r="S95" s="35"/>
      <c r="T95" s="35"/>
      <c r="U95" s="35"/>
      <c r="V95" s="35"/>
      <c r="W95" s="35"/>
      <c r="X95" s="35"/>
      <c r="Y95" s="35"/>
      <c r="Z95" s="35"/>
    </row>
    <row r="96" ht="15.75" customHeight="1">
      <c r="A96" s="44">
        <v>94.0</v>
      </c>
      <c r="B96" s="47" t="str">
        <f t="array" ref="B96">_xlfn.XLOOKUP(
 A96,
 tblwikirecommended[Order],
 tblwikirecommended[Passive ID],
 ""
)</f>
        <v>building.warehouse@3</v>
      </c>
      <c r="C96" s="47" t="str">
        <f t="array" ref="C96">_xlfn.XLOOKUP(
 A96,
 tblwikirecommended[Order],
 tblwikirecommended[Active ID],
 ""
)</f>
        <v>building.warehouse@2</v>
      </c>
      <c r="D96" s="35"/>
      <c r="E96" s="35"/>
      <c r="F96" s="44">
        <f t="shared" si="1"/>
        <v>94</v>
      </c>
      <c r="G96" s="26" t="s">
        <v>336</v>
      </c>
      <c r="H96" s="48" t="str">
        <f>IFERROR(__xludf.DUMMYFUNCTION("LET(
 txt,TRIM(SUBSTITUTE(G96,CHAR(160),""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)"),"building.warehouse@3")</f>
        <v>building.warehouse@3</v>
      </c>
      <c r="I96" s="44" t="str">
        <f>IFERROR(__xludf.DUMMYFUNCTION("LET(
 txt,TRIM(SUBSTITUTE(J96,CHAR(160),""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)"),"building.warehouse@2")</f>
        <v>building.warehouse@2</v>
      </c>
      <c r="J96" s="44" t="s">
        <v>334</v>
      </c>
      <c r="K96" s="44" t="s">
        <v>337</v>
      </c>
      <c r="L96" s="35"/>
      <c r="M96" s="35"/>
      <c r="N96" s="35"/>
      <c r="O96" s="35"/>
      <c r="P96" s="35"/>
      <c r="Q96" s="35"/>
      <c r="R96" s="35"/>
      <c r="S96" s="35"/>
      <c r="T96" s="35"/>
      <c r="U96" s="35"/>
      <c r="V96" s="35"/>
      <c r="W96" s="35"/>
      <c r="X96" s="35"/>
      <c r="Y96" s="35"/>
      <c r="Z96" s="35"/>
    </row>
    <row r="97" ht="15.75" customHeight="1">
      <c r="A97" s="44">
        <v>95.0</v>
      </c>
      <c r="B97" s="47" t="str">
        <f t="array" ref="B97">_xlfn.XLOOKUP(
 A97,
 tblwikirecommended[Order],
 tblwikirecommended[Passive ID],
 ""
)</f>
        <v>building.warehouse@4</v>
      </c>
      <c r="C97" s="47" t="str">
        <f t="array" ref="C97">_xlfn.XLOOKUP(
 A97,
 tblwikirecommended[Order],
 tblwikirecommended[Active ID],
 ""
)</f>
        <v>building.warehouse@3</v>
      </c>
      <c r="D97" s="35"/>
      <c r="E97" s="35"/>
      <c r="F97" s="44">
        <f t="shared" si="1"/>
        <v>95</v>
      </c>
      <c r="G97" s="26" t="s">
        <v>339</v>
      </c>
      <c r="H97" s="48" t="str">
        <f>IFERROR(__xludf.DUMMYFUNCTION("LET(
 txt,TRIM(SUBSTITUTE(G97,CHAR(160),""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)"),"building.warehouse@4")</f>
        <v>building.warehouse@4</v>
      </c>
      <c r="I97" s="44" t="str">
        <f>IFERROR(__xludf.DUMMYFUNCTION("LET(
 txt,TRIM(SUBSTITUTE(J97,CHAR(160),""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)"),"building.warehouse@3")</f>
        <v>building.warehouse@3</v>
      </c>
      <c r="J97" s="44" t="s">
        <v>336</v>
      </c>
      <c r="K97" s="44" t="s">
        <v>340</v>
      </c>
      <c r="L97" s="35"/>
      <c r="M97" s="35"/>
      <c r="N97" s="35"/>
      <c r="O97" s="35"/>
      <c r="P97" s="35"/>
      <c r="Q97" s="35"/>
      <c r="R97" s="35"/>
      <c r="S97" s="35"/>
      <c r="T97" s="35"/>
      <c r="U97" s="35"/>
      <c r="V97" s="35"/>
      <c r="W97" s="35"/>
      <c r="X97" s="35"/>
      <c r="Y97" s="35"/>
      <c r="Z97" s="35"/>
    </row>
    <row r="98" ht="15.75" customHeight="1">
      <c r="A98" s="44">
        <v>96.0</v>
      </c>
      <c r="B98" s="47" t="str">
        <f t="array" ref="B98">_xlfn.XLOOKUP(
 A98,
 tblwikirecommended[Order],
 tblwikirecommended[Passive ID],
 ""
)</f>
        <v>building.warehouse@5</v>
      </c>
      <c r="C98" s="47" t="str">
        <f t="array" ref="C98">_xlfn.XLOOKUP(
 A98,
 tblwikirecommended[Order],
 tblwikirecommended[Active ID],
 ""
)</f>
        <v>building.warehouse@4</v>
      </c>
      <c r="D98" s="35"/>
      <c r="E98" s="35"/>
      <c r="F98" s="44">
        <f t="shared" si="1"/>
        <v>96</v>
      </c>
      <c r="G98" s="26" t="s">
        <v>342</v>
      </c>
      <c r="H98" s="48" t="str">
        <f>IFERROR(__xludf.DUMMYFUNCTION("LET(
 txt,TRIM(SUBSTITUTE(G98,CHAR(160),""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)"),"building.warehouse@5")</f>
        <v>building.warehouse@5</v>
      </c>
      <c r="I98" s="44" t="str">
        <f>IFERROR(__xludf.DUMMYFUNCTION("LET(
 txt,TRIM(SUBSTITUTE(J98,CHAR(160),""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)"),"building.warehouse@4")</f>
        <v>building.warehouse@4</v>
      </c>
      <c r="J98" s="44" t="s">
        <v>339</v>
      </c>
      <c r="K98" s="44" t="s">
        <v>343</v>
      </c>
      <c r="L98" s="35"/>
      <c r="M98" s="35"/>
      <c r="N98" s="35"/>
      <c r="O98" s="35"/>
      <c r="P98" s="35"/>
      <c r="Q98" s="35"/>
      <c r="R98" s="35"/>
      <c r="S98" s="35"/>
      <c r="T98" s="35"/>
      <c r="U98" s="35"/>
      <c r="V98" s="35"/>
      <c r="W98" s="35"/>
      <c r="X98" s="35"/>
      <c r="Y98" s="35"/>
      <c r="Z98" s="35"/>
    </row>
    <row r="99" ht="15.75" customHeight="1">
      <c r="A99" s="44">
        <v>97.0</v>
      </c>
      <c r="B99" s="47" t="str">
        <f t="array" ref="B99">_xlfn.XLOOKUP(
 A99,
 tblwikirecommended[Order],
 tblwikirecommended[Passive ID],
 ""
)</f>
        <v>building.warehouse@6</v>
      </c>
      <c r="C99" s="47" t="str">
        <f t="array" ref="C99">_xlfn.XLOOKUP(
 A99,
 tblwikirecommended[Order],
 tblwikirecommended[Active ID],
 ""
)</f>
        <v>building.warehouse@5</v>
      </c>
      <c r="D99" s="35"/>
      <c r="E99" s="35"/>
      <c r="F99" s="44">
        <f t="shared" si="1"/>
        <v>97</v>
      </c>
      <c r="G99" s="26" t="s">
        <v>345</v>
      </c>
      <c r="H99" s="48" t="str">
        <f>IFERROR(__xludf.DUMMYFUNCTION("LET(
 txt,TRIM(SUBSTITUTE(G99,CHAR(160),""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)"),"building.warehouse@6")</f>
        <v>building.warehouse@6</v>
      </c>
      <c r="I99" s="44" t="str">
        <f>IFERROR(__xludf.DUMMYFUNCTION("LET(
 txt,TRIM(SUBSTITUTE(J99,CHAR(160),""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""coffee_b"&amp;"onsai"",""bonsai"",
   normalized
  ),
 ""building.""&amp;buildingKey&amp;""@""&amp;level
)"),"building.warehouse@5")</f>
        <v>building.warehouse@5</v>
      </c>
      <c r="J99" s="44" t="s">
        <v>342</v>
      </c>
      <c r="K99" s="44"/>
      <c r="L99" s="35"/>
      <c r="M99" s="35"/>
      <c r="N99" s="35"/>
      <c r="O99" s="35"/>
      <c r="P99" s="35"/>
      <c r="Q99" s="35"/>
      <c r="R99" s="35"/>
      <c r="S99" s="35"/>
      <c r="T99" s="35"/>
      <c r="U99" s="35"/>
      <c r="V99" s="35"/>
      <c r="W99" s="35"/>
      <c r="X99" s="35"/>
      <c r="Y99" s="35"/>
      <c r="Z99" s="35"/>
    </row>
    <row r="100" ht="15.75" customHeight="1">
      <c r="A100" s="44">
        <v>98.0</v>
      </c>
      <c r="B100" s="47" t="str">
        <f t="array" ref="B100">_xlfn.XLOOKUP(
 A100,
 tblwikirecommended[Order],
 tblwikirecommended[Passive ID],
 ""
)</f>
        <v>building.warehouse@7</v>
      </c>
      <c r="C100" s="47" t="str">
        <f t="array" ref="C100">_xlfn.XLOOKUP(
 A100,
 tblwikirecommended[Order],
 tblwikirecommended[Active ID],
 ""
)</f>
        <v>building.warehouse@6</v>
      </c>
      <c r="D100" s="35"/>
      <c r="E100" s="35"/>
      <c r="F100" s="44">
        <f t="shared" si="1"/>
        <v>98</v>
      </c>
      <c r="G100" s="26" t="s">
        <v>347</v>
      </c>
      <c r="H100" s="48" t="str">
        <f>IFERROR(__xludf.DUMMYFUNCTION("LET(
 txt,TRIM(SUBSTITUTE(G100,CHAR(160),""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)"),"building.warehouse@7")</f>
        <v>building.warehouse@7</v>
      </c>
      <c r="I100" s="44" t="str">
        <f>IFERROR(__xludf.DUMMYFUNCTION("LET(
 txt,TRIM(SUBSTITUTE(J100,CHAR(160),""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)"),"building.warehouse@6")</f>
        <v>building.warehouse@6</v>
      </c>
      <c r="J100" s="44" t="s">
        <v>345</v>
      </c>
      <c r="K100" s="44"/>
      <c r="L100" s="35"/>
      <c r="M100" s="35"/>
      <c r="N100" s="35"/>
      <c r="O100" s="35"/>
      <c r="P100" s="35"/>
      <c r="Q100" s="35"/>
      <c r="R100" s="35"/>
      <c r="S100" s="35"/>
      <c r="T100" s="35"/>
      <c r="U100" s="35"/>
      <c r="V100" s="35"/>
      <c r="W100" s="35"/>
      <c r="X100" s="35"/>
      <c r="Y100" s="35"/>
      <c r="Z100" s="35"/>
    </row>
    <row r="101" ht="15.75" customHeight="1">
      <c r="A101" s="44">
        <v>99.0</v>
      </c>
      <c r="B101" s="47" t="str">
        <f t="array" ref="B101">_xlfn.XLOOKUP(
 A101,
 tblwikirecommended[Order],
 tblwikirecommended[Passive ID],
 ""
)</f>
        <v>building.shop@2</v>
      </c>
      <c r="C101" s="47" t="str">
        <f t="array" ref="C101">_xlfn.XLOOKUP(
 A101,
 tblwikirecommended[Order],
 tblwikirecommended[Active ID],
 ""
)</f>
        <v>building.warehouse@7</v>
      </c>
      <c r="D101" s="35"/>
      <c r="E101" s="35"/>
      <c r="F101" s="44">
        <f t="shared" si="1"/>
        <v>99</v>
      </c>
      <c r="G101" s="26" t="s">
        <v>349</v>
      </c>
      <c r="H101" s="48" t="str">
        <f>IFERROR(__xludf.DUMMYFUNCTION("LET(
 txt,TRIM(SUBSTITUTE(G101,CHAR(160),""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)"),"building.shop@2")</f>
        <v>building.shop@2</v>
      </c>
      <c r="I101" s="44" t="str">
        <f>IFERROR(__xludf.DUMMYFUNCTION("LET(
 txt,TRIM(SUBSTITUTE(J101,CHAR(160),""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)"),"building.warehouse@7")</f>
        <v>building.warehouse@7</v>
      </c>
      <c r="J101" s="44" t="s">
        <v>347</v>
      </c>
      <c r="K101" s="44"/>
      <c r="L101" s="35"/>
      <c r="M101" s="35"/>
      <c r="N101" s="35"/>
      <c r="O101" s="35"/>
      <c r="P101" s="35"/>
      <c r="Q101" s="35"/>
      <c r="R101" s="35"/>
      <c r="S101" s="35"/>
      <c r="T101" s="35"/>
      <c r="U101" s="35"/>
      <c r="V101" s="35"/>
      <c r="W101" s="35"/>
      <c r="X101" s="35"/>
      <c r="Y101" s="35"/>
      <c r="Z101" s="35"/>
    </row>
    <row r="102" ht="15.75" customHeight="1">
      <c r="A102" s="44">
        <v>100.0</v>
      </c>
      <c r="B102" s="47" t="str">
        <f t="array" ref="B102">_xlfn.XLOOKUP(
 A102,
 tblwikirecommended[Order],
 tblwikirecommended[Passive ID],
 ""
)</f>
        <v>building.shop@3</v>
      </c>
      <c r="C102" s="47" t="str">
        <f t="array" ref="C102">_xlfn.XLOOKUP(
 A102,
 tblwikirecommended[Order],
 tblwikirecommended[Active ID],
 ""
)</f>
        <v>building.shop@2</v>
      </c>
      <c r="D102" s="35"/>
      <c r="E102" s="35"/>
      <c r="F102" s="44">
        <f t="shared" si="1"/>
        <v>100</v>
      </c>
      <c r="G102" s="26" t="s">
        <v>351</v>
      </c>
      <c r="H102" s="48" t="str">
        <f>IFERROR(__xludf.DUMMYFUNCTION("LET(
 txt,TRIM(SUBSTITUTE(G102,CHAR(160),""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)"),"building.shop@3")</f>
        <v>building.shop@3</v>
      </c>
      <c r="I102" s="44" t="str">
        <f>IFERROR(__xludf.DUMMYFUNCTION("LET(
 txt,TRIM(SUBSTITUTE(J102,CHAR(160),""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)"),"building.shop@2")</f>
        <v>building.shop@2</v>
      </c>
      <c r="J102" s="44" t="s">
        <v>349</v>
      </c>
      <c r="K102" s="44" t="s">
        <v>352</v>
      </c>
      <c r="L102" s="35"/>
      <c r="M102" s="35"/>
      <c r="N102" s="35"/>
      <c r="O102" s="35"/>
      <c r="P102" s="35"/>
      <c r="Q102" s="35"/>
      <c r="R102" s="35"/>
      <c r="S102" s="35"/>
      <c r="T102" s="35"/>
      <c r="U102" s="35"/>
      <c r="V102" s="35"/>
      <c r="W102" s="35"/>
      <c r="X102" s="35"/>
      <c r="Y102" s="35"/>
      <c r="Z102" s="35"/>
    </row>
    <row r="103" ht="15.75" customHeight="1">
      <c r="A103" s="44">
        <v>101.0</v>
      </c>
      <c r="B103" s="47" t="str">
        <f t="array" ref="B103">_xlfn.XLOOKUP(
 A103,
 tblwikirecommended[Order],
 tblwikirecommended[Passive ID],
 ""
)</f>
        <v>building.gong@1</v>
      </c>
      <c r="C103" s="47" t="str">
        <f t="array" ref="C103">_xlfn.XLOOKUP(
 A103,
 tblwikirecommended[Order],
 tblwikirecommended[Active ID],
 ""
)</f>
        <v>building.shop@3</v>
      </c>
      <c r="D103" s="35"/>
      <c r="E103" s="35"/>
      <c r="F103" s="44">
        <f t="shared" si="1"/>
        <v>101</v>
      </c>
      <c r="G103" s="26" t="s">
        <v>353</v>
      </c>
      <c r="H103" s="48" t="str">
        <f>IFERROR(__xludf.DUMMYFUNCTION("LET(
 txt,TRIM(SUBSTITUTE(G103,CHAR(160),""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)"),"building.gong@1")</f>
        <v>building.gong@1</v>
      </c>
      <c r="I103" s="44" t="str">
        <f>IFERROR(__xludf.DUMMYFUNCTION("LET(
 txt,TRIM(SUBSTITUTE(J103,CHAR(160),""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)"),"building.shop@3")</f>
        <v>building.shop@3</v>
      </c>
      <c r="J103" s="44" t="s">
        <v>351</v>
      </c>
      <c r="K103" s="44" t="s">
        <v>356</v>
      </c>
      <c r="L103" s="35"/>
      <c r="M103" s="35"/>
      <c r="N103" s="35"/>
      <c r="O103" s="35"/>
      <c r="P103" s="35"/>
      <c r="Q103" s="35"/>
      <c r="R103" s="35"/>
      <c r="S103" s="35"/>
      <c r="T103" s="35"/>
      <c r="U103" s="35"/>
      <c r="V103" s="35"/>
      <c r="W103" s="35"/>
      <c r="X103" s="35"/>
      <c r="Y103" s="35"/>
      <c r="Z103" s="35"/>
    </row>
    <row r="104" ht="15.75" customHeight="1">
      <c r="A104" s="44">
        <v>102.0</v>
      </c>
      <c r="B104" s="47" t="str">
        <f t="array" ref="B104">_xlfn.XLOOKUP(
 A104,
 tblwikirecommended[Order],
 tblwikirecommended[Passive ID],
 ""
)</f>
        <v>#N/A</v>
      </c>
      <c r="C104" s="47" t="str">
        <f t="array" ref="C104">_xlfn.XLOOKUP(
 A104,
 tblwikirecommended[Order],
 tblwikirecommended[Active ID],
 ""
)</f>
        <v>building.gong@1</v>
      </c>
      <c r="D104" s="35"/>
      <c r="E104" s="35"/>
      <c r="F104" s="44">
        <f t="shared" si="1"/>
        <v>102</v>
      </c>
      <c r="H104" s="48" t="str">
        <f>IFERROR(__xludf.DUMMYFUNCTION("LET(
 txt,TRIM(SUBSTITUTE(G104,CHAR(160),""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)"),"#N/A")</f>
        <v>#N/A</v>
      </c>
      <c r="I104" s="44" t="str">
        <f>IFERROR(__xludf.DUMMYFUNCTION("LET(
 txt,TRIM(SUBSTITUTE(J104,CHAR(160),"" "")),
 buildingName,LOWER(TRIM(REGEXEXTRACT(txt,""(?i)^(.*?)\s*lvl\.""))),
 level,VALUE(REGEXEXTRACT(txt,""(?i)lvl\.\s*(\d+)"")),
 normalized,
  SUBSTITUTE(
   SUBSTITUTE(
    SUBSTITUTE(buildingName,""'"","""")"&amp;",
    ""’"",""""
   ),
   "" "",""_""
  ),
 buildingKey,
  SWITCH(
   normalized,
   ""chicken_coop"",""chicken"",
   ""food_stall"",""food_stall"",
   ""dairy_farm"",""dairy"",
   ""lumber_mill"",""lumber"",
   ""train_station"",""station"",
   ""coffee_"&amp;"bonsai"",""bonsai"",
   normalized
  ),
 ""building.""&amp;buildingKey&amp;""@""&amp;level
)"),"building.gong@1")</f>
        <v>building.gong@1</v>
      </c>
      <c r="J104" s="44" t="s">
        <v>353</v>
      </c>
      <c r="K104" s="44" t="s">
        <v>357</v>
      </c>
      <c r="L104" s="35"/>
      <c r="M104" s="35"/>
      <c r="N104" s="35"/>
      <c r="O104" s="35"/>
      <c r="P104" s="35"/>
      <c r="Q104" s="35"/>
      <c r="R104" s="35"/>
      <c r="S104" s="35"/>
      <c r="T104" s="35"/>
      <c r="U104" s="35"/>
      <c r="V104" s="35"/>
      <c r="W104" s="35"/>
      <c r="X104" s="35"/>
      <c r="Y104" s="35"/>
      <c r="Z104" s="35"/>
    </row>
    <row r="105" ht="15.75" customHeight="1">
      <c r="A105" s="35"/>
      <c r="B105" s="51"/>
      <c r="C105" s="51"/>
      <c r="D105" s="35"/>
      <c r="E105" s="35"/>
      <c r="F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customSheetViews>
    <customSheetView guid="{C2508133-DE9D-40E2-BB4C-79E70C2CC168}" filter="1" showAutoFilter="1">
      <autoFilter ref="$A$2:$C$104"/>
    </customSheetView>
    <customSheetView guid="{61BF85AF-CB63-4D4D-92AA-1319DD2F284D}" filter="1" showAutoFilter="1">
      <autoFilter ref="$F$2:$K$104"/>
    </customSheetView>
  </customSheetViews>
  <conditionalFormatting sqref="B1:C1000">
    <cfRule type="expression" dxfId="10" priority="1">
      <formula>COUNTIFS( INDIRECT("tblTargetStatus[TargetID]"),B1, INDIRECT("tblTargetStatus[Status]"),"COMPLETED" )&gt;0</formula>
    </cfRule>
  </conditionalFormatting>
  <printOptions/>
  <pageMargins bottom="0.75" footer="0.0" header="0.0" left="0.7" right="0.7" top="0.75"/>
  <pageSetup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sheetViews>
  <sheetFormatPr customHeight="1" defaultColWidth="12.63" defaultRowHeight="15.0"/>
  <cols>
    <col customWidth="1" min="1" max="1" width="37.25"/>
    <col customWidth="1" hidden="1" min="2" max="2" width="31.13"/>
    <col customWidth="1" min="3" max="3" width="9.5"/>
    <col customWidth="1" min="4" max="4" width="33.25"/>
    <col customWidth="1" min="5" max="5" width="10.5"/>
    <col customWidth="1" min="6" max="6" width="34.25"/>
    <col customWidth="1" min="7" max="7" width="19.25"/>
    <col customWidth="1" min="8" max="8" width="38.13"/>
    <col customWidth="1" min="9" max="9" width="21.0"/>
    <col customWidth="1" min="10" max="10" width="17.88"/>
    <col customWidth="1" min="11" max="11" width="8.75"/>
    <col customWidth="1" min="12" max="12" width="15.38"/>
    <col customWidth="1" min="13" max="13" width="23.25"/>
    <col customWidth="1" min="14" max="14" width="25.13"/>
    <col customWidth="1" min="15" max="15" width="21.88"/>
    <col customWidth="1" min="16" max="16" width="11.0"/>
    <col customWidth="1" min="17" max="17" width="22.13"/>
    <col customWidth="1" min="18" max="18" width="15.13"/>
    <col customWidth="1" min="19" max="19" width="1.88"/>
    <col customWidth="1" min="20" max="20" width="42.13"/>
    <col customWidth="1" min="21" max="21" width="8.75"/>
    <col customWidth="1" min="22" max="22" width="1.88"/>
    <col customWidth="1" min="23" max="23" width="22.13"/>
    <col customWidth="1" min="24" max="24" width="17.5"/>
    <col customWidth="1" min="25" max="25" width="11.0"/>
    <col customWidth="1" min="26" max="29" width="8.63"/>
  </cols>
  <sheetData>
    <row r="1" ht="14.25" customHeight="1">
      <c r="A1" s="6" t="s">
        <v>464</v>
      </c>
      <c r="B1" s="52" t="s">
        <v>465</v>
      </c>
      <c r="C1" s="53" t="s">
        <v>466</v>
      </c>
      <c r="D1" s="54" t="s">
        <v>467</v>
      </c>
      <c r="E1" s="55" t="s">
        <v>41</v>
      </c>
      <c r="F1" s="54" t="s">
        <v>468</v>
      </c>
      <c r="G1" s="56" t="s">
        <v>469</v>
      </c>
      <c r="H1" s="57" t="s">
        <v>470</v>
      </c>
      <c r="I1" s="57" t="s">
        <v>471</v>
      </c>
      <c r="J1" s="57" t="s">
        <v>472</v>
      </c>
    </row>
    <row r="2" ht="37.5" customHeight="1">
      <c r="A2" s="58" t="s">
        <v>47</v>
      </c>
      <c r="B2" s="18" t="str">
        <f t="array" ref="B2:B1000">IF(
  D2:D1000="",
  "",
  $A$2
 )</f>
        <v>building.airship@1</v>
      </c>
      <c r="C2" s="34">
        <f t="shared" ref="C2:D2" si="1">IFERROR(Q2,"")</f>
        <v>0</v>
      </c>
      <c r="D2" s="59" t="str">
        <f t="shared" si="1"/>
        <v>building.bridge@1</v>
      </c>
      <c r="E2" s="19" t="str">
        <f t="array" ref="E2">IF(
 D2="",
 "",
 _xlfn.XLOOKUP(
  D2,
  tblTargetStatus[TargetID],
  tblTargetStatus[TargetType],
  ""
 )
)</f>
        <v>BUILDING</v>
      </c>
      <c r="F2" s="59" t="str">
        <f t="array" ref="F2">IF(
 D2="",
 "",
 _xlfn.XLOOKUP(
  D2,
  tblTargetStatus[TargetID],
  tblTargetStatus[DisplayName],
  D2
 )
)</f>
        <v>Bridge Lv 1</v>
      </c>
      <c r="G2" s="19" t="str">
        <f t="array" ref="G2">IF(
 D2="",
 "",
 _xlfn.XLOOKUP(
  D2,
  tblTargetStatus[TargetID],
  tblTargetStatus[Status],
  ""
 )
)</f>
        <v>BLOCKED</v>
      </c>
      <c r="H2" s="6" t="str">
        <f>IFERROR(__xludf.DUMMYFUNCTION("LET(
 root,$A$2,
 ids,
  IFERROR(
   UNIQUE(
    FILTER(
     CHOOSECOLS(AllDependencies,1),
     CHOOSECOLS(AllDependencies,2)=root
    )
   ),
   """"
  ),
 names,
  MAP(
   ids,
   LAMBDA(id,
    IF(
     id="""",
     """",
     XLOOKUP(
      id,
 "&amp;"     tblTargetStatus[TargetID],
      tblTargetStatus[DisplayName],
      id
     )
    )
   )
  ),
 statuses,
  MAP(
   ids,
   LAMBDA(id,
    IF(
     id="""",
     """",
     XLOOKUP(
      id,
      tblTargetStatus[TargetID],
      tblTargetStatus[St"&amp;"atus],
      """"
     )
    )
   )
  ),
 IF(
  ids="""",
  {""None"","""",""""},
  HSTACK(ids,names,statuses)
 )
)"),"building.airship@2")</f>
        <v>building.airship@2</v>
      </c>
      <c r="I2" s="6" t="str">
        <f>IFERROR(__xludf.DUMMYFUNCTION("""COMPUTED_VALUE"""),"Airship Lv 2")</f>
        <v>Airship Lv 2</v>
      </c>
      <c r="J2" s="6" t="str">
        <f>IFERROR(__xludf.DUMMYFUNCTION("""COMPUTED_VALUE"""),"BLOCKED")</f>
        <v>BLOCKED</v>
      </c>
      <c r="M2" s="18" t="str">
        <f>IFERROR(__xludf.DUMMYFUNCTION("IFERROR(
 UNIQUE(
  FILTER(
   CHOOSECOLS(AllDependencies,2),
   CHOOSECOLS(AllDependencies,1)=$A$2
  )
 ),
 """"
)"),"building.bridge@1")</f>
        <v>building.bridge@1</v>
      </c>
      <c r="N2" s="18" t="str">
        <f>IFERROR(__xludf.DUMMYFUNCTION("IFERROR(
 UNIQUE(
  FILTER(
   CHOOSECOLS(AllDependencies,2),
   MAP(
    CHOOSECOLS(AllDependencies,1),
    LAMBDA(t,COUNTIF($M$2:$M1000,t)&gt;0)
   )
  )
 ),
 """"
)"),"state.character_level@30")</f>
        <v>state.character_level@30</v>
      </c>
      <c r="O2" s="18" t="str">
        <f>IFERROR(__xludf.DUMMYFUNCTION("IFERROR(
 UNIQUE(
  FILTER(
   CHOOSECOLS(AllDependencies,2),
   MAP(
    CHOOSECOLS(AllDependencies,1),
    LAMBDA(t,COUNTIF($N$2:$N1000,t)&gt;0)
   )
  )
 ),
 """"
)"),"")</f>
        <v/>
      </c>
      <c r="Q2" s="18">
        <f>IFERROR(__xludf.DUMMYFUNCTION("LET(
 m,IFERROR(FILTER($M$2:$M1000,$M$2:$M1000&lt;&gt;""""),""""),
 n,IFERROR(FILTER($N$2:$N1000,$N$2:$N1000&lt;&gt;""""),""""),
 o,IFERROR(FILTER($O$2:$O1000,$O$2:$O1000&lt;&gt;""""),""""),
 combined,
  VSTACK(
   HSTACK(SEQUENCE(ROWS(m),1,0,0),m),
   HSTACK(SEQUENCE(ROWS"&amp;"(n),1,1,0),n),
   HSTACK(SEQUENCE(ROWS(o),1,2,0),o)
  ),
 IFERROR(
  FILTER(
   combined,
   CHOOSECOLS(combined,2)&lt;&gt;""""
  ),
  """"
 )
)"),0.0)</f>
        <v>0</v>
      </c>
      <c r="R2" s="18" t="str">
        <f>IFERROR(__xludf.DUMMYFUNCTION("""COMPUTED_VALUE"""),"building.bridge@1")</f>
        <v>building.bridge@1</v>
      </c>
    </row>
    <row r="3" ht="14.25" customHeight="1">
      <c r="A3" s="6" t="str">
        <f t="array" ref="A3">_xlfn.XLOOKUP(
 A2,
 tblTargetStatus[TargetID],
 tblTargetStatus[Status],
 ""
)</f>
        <v>BLOCKED</v>
      </c>
      <c r="B3" s="18" t="s">
        <v>47</v>
      </c>
      <c r="C3" s="34">
        <f t="shared" ref="C3:D3" si="2">IFERROR(Q3,"")</f>
        <v>0</v>
      </c>
      <c r="D3" s="59" t="str">
        <f t="shared" si="2"/>
        <v>state.character_level@40</v>
      </c>
      <c r="E3" s="19" t="str">
        <f t="array" ref="E3">IF(
 D3="",
 "",
 _xlfn.XLOOKUP(
  D3,
  tblTargetStatus[TargetID],
  tblTargetStatus[TargetType],
  ""
 )
)</f>
        <v>STATE</v>
      </c>
      <c r="F3" s="59" t="str">
        <f t="array" ref="F3">IF(
 D3="",
 "",
 _xlfn.XLOOKUP(
  D3,
  tblTargetStatus[TargetID],
  tblTargetStatus[DisplayName],
  D3
 )
)</f>
        <v>Character Level@40</v>
      </c>
      <c r="G3" s="19" t="str">
        <f t="array" ref="G3">IF(
 D3="",
 "",
 _xlfn.XLOOKUP(
  D3,
  tblTargetStatus[TargetID],
  tblTargetStatus[Status],
  ""
 )
)</f>
        <v>READY</v>
      </c>
      <c r="H3" s="6" t="str">
        <f>IFERROR(__xludf.DUMMYFUNCTION("""COMPUTED_VALUE"""),"craftifact.astrolabe")</f>
        <v>craftifact.astrolabe</v>
      </c>
      <c r="I3" s="6" t="str">
        <f>IFERROR(__xludf.DUMMYFUNCTION("""COMPUTED_VALUE"""),"Astrolabe")</f>
        <v>Astrolabe</v>
      </c>
      <c r="J3" s="6" t="str">
        <f>IFERROR(__xludf.DUMMYFUNCTION("""COMPUTED_VALUE"""),"BLOCKED")</f>
        <v>BLOCKED</v>
      </c>
      <c r="M3" s="18" t="str">
        <f>IFERROR(__xludf.DUMMYFUNCTION("""COMPUTED_VALUE"""),"state.character_level@40")</f>
        <v>state.character_level@40</v>
      </c>
      <c r="Q3" s="18">
        <f>IFERROR(__xludf.DUMMYFUNCTION("""COMPUTED_VALUE"""),0.0)</f>
        <v>0</v>
      </c>
      <c r="R3" s="18" t="str">
        <f>IFERROR(__xludf.DUMMYFUNCTION("""COMPUTED_VALUE"""),"state.character_level@40")</f>
        <v>state.character_level@40</v>
      </c>
    </row>
    <row r="4" ht="14.25" customHeight="1">
      <c r="A4" s="6"/>
      <c r="B4" s="18" t="s">
        <v>47</v>
      </c>
      <c r="C4" s="34">
        <f t="shared" ref="C4:D4" si="3">IFERROR(Q4,"")</f>
        <v>1</v>
      </c>
      <c r="D4" s="59" t="str">
        <f t="shared" si="3"/>
        <v>state.character_level@30</v>
      </c>
      <c r="E4" s="19" t="str">
        <f t="array" ref="E4">IF(
 D4="",
 "",
 _xlfn.XLOOKUP(
  D4,
  tblTargetStatus[TargetID],
  tblTargetStatus[TargetType],
  ""
 )
)</f>
        <v>STATE</v>
      </c>
      <c r="F4" s="59" t="str">
        <f t="array" ref="F4">IF(
 D4="",
 "",
 _xlfn.XLOOKUP(
  D4,
  tblTargetStatus[TargetID],
  tblTargetStatus[DisplayName],
  D4
 )
)</f>
        <v>Character Level@30</v>
      </c>
      <c r="G4" s="19" t="str">
        <f t="array" ref="G4">IF(
 D4="",
 "",
 _xlfn.XLOOKUP(
  D4,
  tblTargetStatus[TargetID],
  tblTargetStatus[Status],
  ""
 )
)</f>
        <v>READY</v>
      </c>
      <c r="H4" s="6" t="str">
        <f>IFERROR(__xludf.DUMMYFUNCTION("""COMPUTED_VALUE"""),"craftifact.cinema_projector")</f>
        <v>craftifact.cinema_projector</v>
      </c>
      <c r="I4" s="6" t="str">
        <f>IFERROR(__xludf.DUMMYFUNCTION("""COMPUTED_VALUE"""),"Cinema Projector")</f>
        <v>Cinema Projector</v>
      </c>
      <c r="J4" s="6" t="str">
        <f>IFERROR(__xludf.DUMMYFUNCTION("""COMPUTED_VALUE"""),"BLOCKED")</f>
        <v>BLOCKED</v>
      </c>
      <c r="Q4" s="18">
        <f>IFERROR(__xludf.DUMMYFUNCTION("""COMPUTED_VALUE"""),1.0)</f>
        <v>1</v>
      </c>
      <c r="R4" s="18" t="str">
        <f>IFERROR(__xludf.DUMMYFUNCTION("""COMPUTED_VALUE"""),"state.character_level@30")</f>
        <v>state.character_level@30</v>
      </c>
    </row>
    <row r="5" ht="14.25" customHeight="1">
      <c r="A5" s="6"/>
      <c r="B5" s="18" t="s">
        <v>186</v>
      </c>
      <c r="C5" s="34" t="str">
        <f t="shared" ref="C5:D5" si="4">IFERROR(Q5,"")</f>
        <v/>
      </c>
      <c r="D5" s="59" t="str">
        <f t="shared" si="4"/>
        <v/>
      </c>
      <c r="E5" s="19" t="str">
        <f t="array" ref="E5">IF(
 D5="",
 "",
 _xlfn.XLOOKUP(
  D5,
  tblTargetStatus[TargetID],
  tblTargetStatus[TargetType],
  ""
 )
)</f>
        <v/>
      </c>
      <c r="F5" s="59" t="str">
        <f t="array" ref="F5">IF(
 D5="",
 "",
 _xlfn.XLOOKUP(
  D5,
  tblTargetStatus[TargetID],
  tblTargetStatus[DisplayName],
  D5
 )
)</f>
        <v/>
      </c>
      <c r="G5" s="19" t="str">
        <f t="array" ref="G5">IF(
 D5="",
 "",
 _xlfn.XLOOKUP(
  D5,
  tblTargetStatus[TargetID],
  tblTargetStatus[Status],
  ""
 )
)</f>
        <v/>
      </c>
      <c r="H5" s="6" t="str">
        <f>IFERROR(__xludf.DUMMYFUNCTION("""COMPUTED_VALUE"""),"craftifact.dagger")</f>
        <v>craftifact.dagger</v>
      </c>
      <c r="I5" s="6" t="str">
        <f>IFERROR(__xludf.DUMMYFUNCTION("""COMPUTED_VALUE"""),"Dagger")</f>
        <v>Dagger</v>
      </c>
      <c r="J5" s="6" t="str">
        <f>IFERROR(__xludf.DUMMYFUNCTION("""COMPUTED_VALUE"""),"BLOCKED")</f>
        <v>BLOCKED</v>
      </c>
    </row>
    <row r="6" ht="14.25" customHeight="1">
      <c r="A6" s="6"/>
      <c r="B6" s="18" t="s">
        <v>186</v>
      </c>
      <c r="C6" s="34" t="str">
        <f t="shared" ref="C6:D6" si="5">IFERROR(Q6,"")</f>
        <v/>
      </c>
      <c r="D6" s="59" t="str">
        <f t="shared" si="5"/>
        <v/>
      </c>
      <c r="E6" s="19" t="str">
        <f t="array" ref="E6">IF(
 D6="",
 "",
 _xlfn.XLOOKUP(
  D6,
  tblTargetStatus[TargetID],
  tblTargetStatus[TargetType],
  ""
 )
)</f>
        <v/>
      </c>
      <c r="F6" s="59" t="str">
        <f t="array" ref="F6">IF(
 D6="",
 "",
 _xlfn.XLOOKUP(
  D6,
  tblTargetStatus[TargetID],
  tblTargetStatus[DisplayName],
  D6
 )
)</f>
        <v/>
      </c>
      <c r="G6" s="19" t="str">
        <f t="array" ref="G6">IF(
 D6="",
 "",
 _xlfn.XLOOKUP(
  D6,
  tblTargetStatus[TargetID],
  tblTargetStatus[Status],
  ""
 )
)</f>
        <v/>
      </c>
      <c r="H6" s="6" t="str">
        <f>IFERROR(__xludf.DUMMYFUNCTION("""COMPUTED_VALUE"""),"craftifact.helmet")</f>
        <v>craftifact.helmet</v>
      </c>
      <c r="I6" s="6" t="str">
        <f>IFERROR(__xludf.DUMMYFUNCTION("""COMPUTED_VALUE"""),"Helmet")</f>
        <v>Helmet</v>
      </c>
      <c r="J6" s="6" t="str">
        <f>IFERROR(__xludf.DUMMYFUNCTION("""COMPUTED_VALUE"""),"BLOCKED")</f>
        <v>BLOCKED</v>
      </c>
    </row>
    <row r="7" ht="14.25" customHeight="1">
      <c r="A7" s="6"/>
      <c r="B7" s="18" t="s">
        <v>186</v>
      </c>
      <c r="C7" s="34" t="str">
        <f t="shared" ref="C7:D7" si="6">IFERROR(Q7,"")</f>
        <v/>
      </c>
      <c r="D7" s="59" t="str">
        <f t="shared" si="6"/>
        <v/>
      </c>
      <c r="E7" s="19" t="str">
        <f t="array" ref="E7">IF(
 D7="",
 "",
 _xlfn.XLOOKUP(
  D7,
  tblTargetStatus[TargetID],
  tblTargetStatus[TargetType],
  ""
 )
)</f>
        <v/>
      </c>
      <c r="F7" s="59" t="str">
        <f t="array" ref="F7">IF(
 D7="",
 "",
 _xlfn.XLOOKUP(
  D7,
  tblTargetStatus[TargetID],
  tblTargetStatus[DisplayName],
  D7
 )
)</f>
        <v/>
      </c>
      <c r="G7" s="19" t="str">
        <f t="array" ref="G7">IF(
 D7="",
 "",
 _xlfn.XLOOKUP(
  D7,
  tblTargetStatus[TargetID],
  tblTargetStatus[Status],
  ""
 )
)</f>
        <v/>
      </c>
      <c r="H7" s="6" t="str">
        <f>IFERROR(__xludf.DUMMYFUNCTION("""COMPUTED_VALUE"""),"craftifact.safe")</f>
        <v>craftifact.safe</v>
      </c>
      <c r="I7" s="6" t="str">
        <f>IFERROR(__xludf.DUMMYFUNCTION("""COMPUTED_VALUE"""),"Safe")</f>
        <v>Safe</v>
      </c>
      <c r="J7" s="6" t="str">
        <f>IFERROR(__xludf.DUMMYFUNCTION("""COMPUTED_VALUE"""),"BLOCKED")</f>
        <v>BLOCKED</v>
      </c>
    </row>
    <row r="8" ht="14.25" customHeight="1">
      <c r="A8" s="6"/>
      <c r="B8" s="18" t="s">
        <v>186</v>
      </c>
      <c r="C8" s="34" t="str">
        <f t="shared" ref="C8:D8" si="7">IFERROR(Q8,"")</f>
        <v/>
      </c>
      <c r="D8" s="59" t="str">
        <f t="shared" si="7"/>
        <v/>
      </c>
      <c r="E8" s="19" t="str">
        <f t="array" ref="E8">IF(
 D8="",
 "",
 _xlfn.XLOOKUP(
  D8,
  tblTargetStatus[TargetID],
  tblTargetStatus[TargetType],
  ""
 )
)</f>
        <v/>
      </c>
      <c r="F8" s="59" t="str">
        <f t="array" ref="F8">IF(
 D8="",
 "",
 _xlfn.XLOOKUP(
  D8,
  tblTargetStatus[TargetID],
  tblTargetStatus[DisplayName],
  D8
 )
)</f>
        <v/>
      </c>
      <c r="G8" s="19" t="str">
        <f t="array" ref="G8">IF(
 D8="",
 "",
 _xlfn.XLOOKUP(
  D8,
  tblTargetStatus[TargetID],
  tblTargetStatus[Status],
  ""
 )
)</f>
        <v/>
      </c>
      <c r="H8" s="6" t="str">
        <f>IFERROR(__xludf.DUMMYFUNCTION("""COMPUTED_VALUE"""),"craftifact.telescope")</f>
        <v>craftifact.telescope</v>
      </c>
      <c r="I8" s="6" t="str">
        <f>IFERROR(__xludf.DUMMYFUNCTION("""COMPUTED_VALUE"""),"Telescope")</f>
        <v>Telescope</v>
      </c>
      <c r="J8" s="6" t="str">
        <f>IFERROR(__xludf.DUMMYFUNCTION("""COMPUTED_VALUE"""),"BLOCKED")</f>
        <v>BLOCKED</v>
      </c>
    </row>
    <row r="9" ht="14.25" customHeight="1">
      <c r="A9" s="6"/>
      <c r="B9" s="18" t="s">
        <v>186</v>
      </c>
      <c r="C9" s="34" t="str">
        <f t="shared" ref="C9:D9" si="8">IFERROR(Q9,"")</f>
        <v/>
      </c>
      <c r="D9" s="59" t="str">
        <f t="shared" si="8"/>
        <v/>
      </c>
      <c r="E9" s="19" t="str">
        <f t="array" ref="E9">IF(
 D9="",
 "",
 _xlfn.XLOOKUP(
  D9,
  tblTargetStatus[TargetID],
  tblTargetStatus[TargetType],
  ""
 )
)</f>
        <v/>
      </c>
      <c r="F9" s="59" t="str">
        <f t="array" ref="F9">IF(
 D9="",
 "",
 _xlfn.XLOOKUP(
  D9,
  tblTargetStatus[TargetID],
  tblTargetStatus[DisplayName],
  D9
 )
)</f>
        <v/>
      </c>
      <c r="G9" s="19" t="str">
        <f t="array" ref="G9">IF(
 D9="",
 "",
 _xlfn.XLOOKUP(
  D9,
  tblTargetStatus[TargetID],
  tblTargetStatus[Status],
  ""
 )
)</f>
        <v/>
      </c>
      <c r="H9" s="6" t="str">
        <f>IFERROR(__xludf.DUMMYFUNCTION("""COMPUTED_VALUE"""),"craftifact.tetrachloroaurate")</f>
        <v>craftifact.tetrachloroaurate</v>
      </c>
      <c r="I9" s="6" t="str">
        <f>IFERROR(__xludf.DUMMYFUNCTION("""COMPUTED_VALUE"""),"Tetrachloroaurate")</f>
        <v>Tetrachloroaurate</v>
      </c>
      <c r="J9" s="6" t="str">
        <f>IFERROR(__xludf.DUMMYFUNCTION("""COMPUTED_VALUE"""),"BLOCKED")</f>
        <v>BLOCKED</v>
      </c>
    </row>
    <row r="10" ht="14.25" customHeight="1">
      <c r="A10" s="6"/>
      <c r="B10" s="18" t="s">
        <v>186</v>
      </c>
      <c r="C10" s="34" t="str">
        <f t="shared" ref="C10:D10" si="9">IFERROR(Q10,"")</f>
        <v/>
      </c>
      <c r="D10" s="59" t="str">
        <f t="shared" si="9"/>
        <v/>
      </c>
      <c r="E10" s="19" t="str">
        <f t="array" ref="E10">IF(
 D10="",
 "",
 _xlfn.XLOOKUP(
  D10,
  tblTargetStatus[TargetID],
  tblTargetStatus[TargetType],
  ""
 )
)</f>
        <v/>
      </c>
      <c r="F10" s="59" t="str">
        <f t="array" ref="F10">IF(
 D10="",
 "",
 _xlfn.XLOOKUP(
  D10,
  tblTargetStatus[TargetID],
  tblTargetStatus[DisplayName],
  D10
 )
)</f>
        <v/>
      </c>
      <c r="G10" s="19" t="str">
        <f t="array" ref="G10">IF(
 D10="",
 "",
 _xlfn.XLOOKUP(
  D10,
  tblTargetStatus[TargetID],
  tblTargetStatus[Status],
  ""
 )
)</f>
        <v/>
      </c>
      <c r="H10" s="6" t="str">
        <f>IFERROR(__xludf.DUMMYFUNCTION("""COMPUTED_VALUE"""),"quest.festival_returns.accepted")</f>
        <v>quest.festival_returns.accepted</v>
      </c>
      <c r="I10" s="6" t="str">
        <f>IFERROR(__xludf.DUMMYFUNCTION("""COMPUTED_VALUE"""),"Festival Returns Accepted")</f>
        <v>Festival Returns Accepted</v>
      </c>
      <c r="J10" s="6" t="str">
        <f>IFERROR(__xludf.DUMMYFUNCTION("""COMPUTED_VALUE"""),"BLOCKED")</f>
        <v>BLOCKED</v>
      </c>
    </row>
    <row r="11" ht="14.25" customHeight="1">
      <c r="A11" s="6"/>
      <c r="B11" s="18" t="s">
        <v>186</v>
      </c>
      <c r="C11" s="34" t="str">
        <f t="shared" ref="C11:D11" si="10">IFERROR(Q11,"")</f>
        <v/>
      </c>
      <c r="D11" s="59" t="str">
        <f t="shared" si="10"/>
        <v/>
      </c>
      <c r="E11" s="19" t="str">
        <f t="array" ref="E11">IF(
 D11="",
 "",
 _xlfn.XLOOKUP(
  D11,
  tblTargetStatus[TargetID],
  tblTargetStatus[TargetType],
  ""
 )
)</f>
        <v/>
      </c>
      <c r="F11" s="59" t="str">
        <f t="array" ref="F11">IF(
 D11="",
 "",
 _xlfn.XLOOKUP(
  D11,
  tblTargetStatus[TargetID],
  tblTargetStatus[DisplayName],
  D11
 )
)</f>
        <v/>
      </c>
      <c r="G11" s="19" t="str">
        <f t="array" ref="G11">IF(
 D11="",
 "",
 _xlfn.XLOOKUP(
  D11,
  tblTargetStatus[TargetID],
  tblTargetStatus[Status],
  ""
 )
)</f>
        <v/>
      </c>
      <c r="H11" s="6" t="str">
        <f>IFERROR(__xludf.DUMMYFUNCTION("""COMPUTED_VALUE"""),"quest.quest_for_knowledge_chapter_5.accepted")</f>
        <v>quest.quest_for_knowledge_chapter_5.accepted</v>
      </c>
      <c r="I11" s="6" t="str">
        <f>IFERROR(__xludf.DUMMYFUNCTION("""COMPUTED_VALUE"""),"Quest for Knowledge Chapter 5 Accepted")</f>
        <v>Quest for Knowledge Chapter 5 Accepted</v>
      </c>
      <c r="J11" s="6" t="str">
        <f>IFERROR(__xludf.DUMMYFUNCTION("""COMPUTED_VALUE"""),"BLOCKED")</f>
        <v>BLOCKED</v>
      </c>
    </row>
    <row r="12" ht="14.25" customHeight="1">
      <c r="A12" s="6"/>
      <c r="B12" s="18" t="s">
        <v>186</v>
      </c>
      <c r="C12" s="34" t="str">
        <f t="shared" ref="C12:D12" si="11">IFERROR(Q12,"")</f>
        <v/>
      </c>
      <c r="D12" s="59" t="str">
        <f t="shared" si="11"/>
        <v/>
      </c>
      <c r="E12" s="19" t="str">
        <f t="array" ref="E12">IF(
 D12="",
 "",
 _xlfn.XLOOKUP(
  D12,
  tblTargetStatus[TargetID],
  tblTargetStatus[TargetType],
  ""
 )
)</f>
        <v/>
      </c>
      <c r="F12" s="59" t="str">
        <f t="array" ref="F12">IF(
 D12="",
 "",
 _xlfn.XLOOKUP(
  D12,
  tblTargetStatus[TargetID],
  tblTargetStatus[DisplayName],
  D12
 )
)</f>
        <v/>
      </c>
      <c r="G12" s="19" t="str">
        <f t="array" ref="G12">IF(
 D12="",
 "",
 _xlfn.XLOOKUP(
  D12,
  tblTargetStatus[TargetID],
  tblTargetStatus[Status],
  ""
 )
)</f>
        <v/>
      </c>
      <c r="H12" s="6"/>
      <c r="I12" s="6"/>
      <c r="J12" s="6"/>
    </row>
    <row r="13" ht="14.25" customHeight="1">
      <c r="A13" s="6"/>
      <c r="B13" s="18" t="s">
        <v>186</v>
      </c>
      <c r="C13" s="34" t="str">
        <f t="shared" ref="C13:D13" si="12">IFERROR(Q13,"")</f>
        <v/>
      </c>
      <c r="D13" s="59" t="str">
        <f t="shared" si="12"/>
        <v/>
      </c>
      <c r="E13" s="19" t="str">
        <f t="array" ref="E13">IF(
 D13="",
 "",
 _xlfn.XLOOKUP(
  D13,
  tblTargetStatus[TargetID],
  tblTargetStatus[TargetType],
  ""
 )
)</f>
        <v/>
      </c>
      <c r="F13" s="59" t="str">
        <f t="array" ref="F13">IF(
 D13="",
 "",
 _xlfn.XLOOKUP(
  D13,
  tblTargetStatus[TargetID],
  tblTargetStatus[DisplayName],
  D13
 )
)</f>
        <v/>
      </c>
      <c r="G13" s="19" t="str">
        <f t="array" ref="G13">IF(
 D13="",
 "",
 _xlfn.XLOOKUP(
  D13,
  tblTargetStatus[TargetID],
  tblTargetStatus[Status],
  ""
 )
)</f>
        <v/>
      </c>
      <c r="H13" s="6"/>
      <c r="I13" s="6"/>
      <c r="J13" s="6"/>
    </row>
    <row r="14" ht="14.25" customHeight="1">
      <c r="A14" s="6"/>
      <c r="B14" s="18" t="s">
        <v>186</v>
      </c>
      <c r="C14" s="34" t="str">
        <f t="shared" ref="C14:D14" si="13">IFERROR(Q14,"")</f>
        <v/>
      </c>
      <c r="D14" s="59" t="str">
        <f t="shared" si="13"/>
        <v/>
      </c>
      <c r="E14" s="19" t="str">
        <f t="array" ref="E14">IF(
 D14="",
 "",
 _xlfn.XLOOKUP(
  D14,
  tblTargetStatus[TargetID],
  tblTargetStatus[TargetType],
  ""
 )
)</f>
        <v/>
      </c>
      <c r="F14" s="59" t="str">
        <f t="array" ref="F14">IF(
 D14="",
 "",
 _xlfn.XLOOKUP(
  D14,
  tblTargetStatus[TargetID],
  tblTargetStatus[DisplayName],
  D14
 )
)</f>
        <v/>
      </c>
      <c r="G14" s="19" t="str">
        <f t="array" ref="G14">IF(
 D14="",
 "",
 _xlfn.XLOOKUP(
  D14,
  tblTargetStatus[TargetID],
  tblTargetStatus[Status],
  ""
 )
)</f>
        <v/>
      </c>
      <c r="H14" s="6"/>
      <c r="I14" s="6"/>
      <c r="J14" s="6"/>
    </row>
    <row r="15" ht="14.25" customHeight="1">
      <c r="A15" s="6"/>
      <c r="B15" s="18" t="s">
        <v>186</v>
      </c>
      <c r="C15" s="34" t="str">
        <f t="shared" ref="C15:D15" si="14">IFERROR(Q15,"")</f>
        <v/>
      </c>
      <c r="D15" s="59" t="str">
        <f t="shared" si="14"/>
        <v/>
      </c>
      <c r="E15" s="19" t="str">
        <f t="array" ref="E15">IF(
 D15="",
 "",
 _xlfn.XLOOKUP(
  D15,
  tblTargetStatus[TargetID],
  tblTargetStatus[TargetType],
  ""
 )
)</f>
        <v/>
      </c>
      <c r="F15" s="59" t="str">
        <f t="array" ref="F15">IF(
 D15="",
 "",
 _xlfn.XLOOKUP(
  D15,
  tblTargetStatus[TargetID],
  tblTargetStatus[DisplayName],
  D15
 )
)</f>
        <v/>
      </c>
      <c r="G15" s="19" t="str">
        <f t="array" ref="G15">IF(
 D15="",
 "",
 _xlfn.XLOOKUP(
  D15,
  tblTargetStatus[TargetID],
  tblTargetStatus[Status],
  ""
 )
)</f>
        <v/>
      </c>
      <c r="H15" s="6"/>
      <c r="I15" s="6"/>
      <c r="J15" s="6"/>
    </row>
    <row r="16" ht="14.25" customHeight="1">
      <c r="A16" s="6"/>
      <c r="B16" s="18" t="s">
        <v>186</v>
      </c>
      <c r="C16" s="34" t="str">
        <f t="shared" ref="C16:D16" si="15">IFERROR(Q16,"")</f>
        <v/>
      </c>
      <c r="D16" s="59" t="str">
        <f t="shared" si="15"/>
        <v/>
      </c>
      <c r="E16" s="19" t="str">
        <f t="array" ref="E16">IF(
 D16="",
 "",
 _xlfn.XLOOKUP(
  D16,
  tblTargetStatus[TargetID],
  tblTargetStatus[TargetType],
  ""
 )
)</f>
        <v/>
      </c>
      <c r="F16" s="59" t="str">
        <f t="array" ref="F16">IF(
 D16="",
 "",
 _xlfn.XLOOKUP(
  D16,
  tblTargetStatus[TargetID],
  tblTargetStatus[DisplayName],
  D16
 )
)</f>
        <v/>
      </c>
      <c r="G16" s="19" t="str">
        <f t="array" ref="G16">IF(
 D16="",
 "",
 _xlfn.XLOOKUP(
  D16,
  tblTargetStatus[TargetID],
  tblTargetStatus[Status],
  ""
 )
)</f>
        <v/>
      </c>
      <c r="H16" s="6"/>
      <c r="I16" s="6"/>
      <c r="J16" s="6"/>
    </row>
    <row r="17" ht="14.25" customHeight="1">
      <c r="A17" s="6"/>
      <c r="B17" s="18" t="s">
        <v>186</v>
      </c>
      <c r="C17" s="34" t="str">
        <f t="shared" ref="C17:D17" si="16">IFERROR(Q17,"")</f>
        <v/>
      </c>
      <c r="D17" s="59" t="str">
        <f t="shared" si="16"/>
        <v/>
      </c>
      <c r="E17" s="19" t="str">
        <f t="array" ref="E17">IF(
 D17="",
 "",
 _xlfn.XLOOKUP(
  D17,
  tblTargetStatus[TargetID],
  tblTargetStatus[TargetType],
  ""
 )
)</f>
        <v/>
      </c>
      <c r="F17" s="59" t="str">
        <f t="array" ref="F17">IF(
 D17="",
 "",
 _xlfn.XLOOKUP(
  D17,
  tblTargetStatus[TargetID],
  tblTargetStatus[DisplayName],
  D17
 )
)</f>
        <v/>
      </c>
      <c r="G17" s="19" t="str">
        <f t="array" ref="G17">IF(
 D17="",
 "",
 _xlfn.XLOOKUP(
  D17,
  tblTargetStatus[TargetID],
  tblTargetStatus[Status],
  ""
 )
)</f>
        <v/>
      </c>
      <c r="H17" s="6"/>
      <c r="I17" s="6"/>
      <c r="J17" s="6"/>
    </row>
    <row r="18" ht="14.25" customHeight="1">
      <c r="A18" s="6"/>
      <c r="B18" s="18" t="s">
        <v>186</v>
      </c>
      <c r="C18" s="34"/>
      <c r="D18" s="59"/>
      <c r="E18" s="19"/>
      <c r="F18" s="59"/>
      <c r="G18" s="19"/>
      <c r="H18" s="6"/>
      <c r="I18" s="6"/>
      <c r="J18" s="6"/>
    </row>
    <row r="19" ht="14.25" customHeight="1">
      <c r="A19" s="6"/>
      <c r="B19" s="18" t="s">
        <v>186</v>
      </c>
      <c r="C19" s="34"/>
      <c r="D19" s="59"/>
      <c r="E19" s="19"/>
      <c r="F19" s="59"/>
      <c r="G19" s="19"/>
      <c r="H19" s="6"/>
      <c r="I19" s="6"/>
      <c r="J19" s="6"/>
    </row>
    <row r="20" ht="14.25" customHeight="1">
      <c r="A20" s="6"/>
      <c r="B20" s="18" t="s">
        <v>186</v>
      </c>
      <c r="C20" s="34"/>
      <c r="D20" s="59"/>
      <c r="E20" s="19"/>
      <c r="F20" s="59"/>
      <c r="G20" s="19"/>
      <c r="H20" s="6"/>
      <c r="I20" s="6"/>
      <c r="J20" s="6"/>
    </row>
    <row r="21" ht="14.25" customHeight="1">
      <c r="A21" s="6"/>
      <c r="B21" s="18" t="s">
        <v>186</v>
      </c>
      <c r="C21" s="34"/>
      <c r="D21" s="59"/>
      <c r="E21" s="19"/>
      <c r="F21" s="59"/>
      <c r="G21" s="19"/>
      <c r="H21" s="6"/>
      <c r="I21" s="6"/>
      <c r="J21" s="6"/>
    </row>
    <row r="22" ht="14.25" customHeight="1">
      <c r="A22" s="6"/>
      <c r="B22" s="18" t="s">
        <v>186</v>
      </c>
      <c r="C22" s="34"/>
      <c r="D22" s="59"/>
      <c r="E22" s="19"/>
      <c r="F22" s="59"/>
      <c r="G22" s="19"/>
      <c r="H22" s="6"/>
      <c r="I22" s="6"/>
      <c r="J22" s="6"/>
    </row>
    <row r="23" ht="14.25" customHeight="1">
      <c r="A23" s="6"/>
      <c r="B23" s="18" t="s">
        <v>186</v>
      </c>
      <c r="C23" s="34"/>
      <c r="D23" s="59"/>
      <c r="E23" s="19"/>
      <c r="F23" s="59"/>
      <c r="G23" s="19"/>
      <c r="H23" s="6"/>
      <c r="I23" s="6"/>
      <c r="J23" s="6"/>
    </row>
    <row r="24" ht="14.25" customHeight="1">
      <c r="A24" s="6"/>
      <c r="B24" s="18" t="s">
        <v>186</v>
      </c>
      <c r="C24" s="34"/>
      <c r="D24" s="59"/>
      <c r="E24" s="19"/>
      <c r="F24" s="59"/>
      <c r="G24" s="19"/>
      <c r="H24" s="6"/>
      <c r="I24" s="6"/>
      <c r="J24" s="6"/>
    </row>
    <row r="25" ht="14.25" customHeight="1">
      <c r="A25" s="6"/>
      <c r="B25" s="18" t="s">
        <v>186</v>
      </c>
      <c r="C25" s="34"/>
      <c r="D25" s="59"/>
      <c r="E25" s="19"/>
      <c r="F25" s="59"/>
      <c r="G25" s="19"/>
      <c r="H25" s="6"/>
      <c r="I25" s="6"/>
      <c r="J25" s="6"/>
    </row>
    <row r="26" ht="14.25" customHeight="1">
      <c r="A26" s="6"/>
      <c r="B26" s="18" t="s">
        <v>186</v>
      </c>
      <c r="C26" s="34"/>
      <c r="D26" s="59"/>
      <c r="E26" s="19"/>
      <c r="F26" s="59"/>
      <c r="G26" s="19"/>
      <c r="H26" s="6"/>
      <c r="I26" s="6"/>
      <c r="J26" s="6"/>
    </row>
    <row r="27" ht="14.25" customHeight="1">
      <c r="A27" s="6"/>
      <c r="B27" s="18" t="s">
        <v>186</v>
      </c>
      <c r="C27" s="34"/>
      <c r="D27" s="59"/>
      <c r="E27" s="19"/>
      <c r="F27" s="59"/>
      <c r="G27" s="19"/>
      <c r="H27" s="6"/>
      <c r="I27" s="6"/>
      <c r="J27" s="6"/>
    </row>
    <row r="28" ht="14.25" customHeight="1">
      <c r="A28" s="6"/>
      <c r="B28" s="18" t="s">
        <v>186</v>
      </c>
      <c r="C28" s="34"/>
      <c r="D28" s="59"/>
      <c r="E28" s="19"/>
      <c r="F28" s="59"/>
      <c r="G28" s="19"/>
      <c r="H28" s="6"/>
      <c r="I28" s="6"/>
      <c r="J28" s="6"/>
    </row>
    <row r="29" ht="14.25" customHeight="1">
      <c r="A29" s="6"/>
      <c r="B29" s="18" t="s">
        <v>186</v>
      </c>
      <c r="C29" s="34"/>
      <c r="D29" s="59"/>
      <c r="E29" s="19"/>
      <c r="F29" s="59"/>
      <c r="G29" s="19"/>
      <c r="H29" s="6"/>
      <c r="I29" s="6"/>
      <c r="J29" s="6"/>
    </row>
    <row r="30" ht="14.25" customHeight="1">
      <c r="A30" s="6"/>
      <c r="B30" s="18" t="s">
        <v>186</v>
      </c>
      <c r="C30" s="34"/>
      <c r="D30" s="59"/>
      <c r="E30" s="19"/>
      <c r="F30" s="59"/>
      <c r="G30" s="19"/>
      <c r="H30" s="6"/>
      <c r="I30" s="6"/>
      <c r="J30" s="6"/>
    </row>
    <row r="31" ht="14.25" customHeight="1">
      <c r="A31" s="6"/>
      <c r="B31" s="18" t="s">
        <v>186</v>
      </c>
      <c r="C31" s="34"/>
      <c r="D31" s="59"/>
      <c r="E31" s="19"/>
      <c r="F31" s="59"/>
      <c r="G31" s="19"/>
      <c r="H31" s="6"/>
      <c r="I31" s="6"/>
      <c r="J31" s="6"/>
    </row>
    <row r="32" ht="14.25" customHeight="1">
      <c r="A32" s="6"/>
      <c r="B32" s="18" t="s">
        <v>186</v>
      </c>
      <c r="C32" s="34"/>
      <c r="D32" s="59"/>
      <c r="E32" s="19"/>
      <c r="F32" s="59"/>
      <c r="G32" s="19"/>
      <c r="H32" s="6"/>
      <c r="I32" s="6"/>
      <c r="J32" s="6"/>
    </row>
    <row r="33" ht="14.25" customHeight="1">
      <c r="A33" s="6"/>
      <c r="B33" s="18" t="s">
        <v>186</v>
      </c>
      <c r="C33" s="34"/>
      <c r="D33" s="59"/>
      <c r="E33" s="19"/>
      <c r="F33" s="59"/>
      <c r="G33" s="19"/>
      <c r="H33" s="6"/>
      <c r="I33" s="6"/>
      <c r="J33" s="6"/>
    </row>
    <row r="34" ht="14.25" customHeight="1">
      <c r="A34" s="6"/>
      <c r="B34" s="18" t="s">
        <v>186</v>
      </c>
      <c r="C34" s="34"/>
      <c r="D34" s="59"/>
      <c r="E34" s="19"/>
      <c r="F34" s="59"/>
      <c r="G34" s="19"/>
      <c r="H34" s="6"/>
      <c r="I34" s="6"/>
      <c r="J34" s="6"/>
    </row>
    <row r="35" ht="14.25" customHeight="1">
      <c r="A35" s="6"/>
      <c r="B35" s="18" t="s">
        <v>186</v>
      </c>
      <c r="C35" s="34"/>
      <c r="D35" s="59"/>
      <c r="E35" s="19"/>
      <c r="F35" s="59"/>
      <c r="G35" s="19"/>
      <c r="H35" s="6"/>
      <c r="I35" s="6"/>
      <c r="J35" s="6"/>
    </row>
    <row r="36" ht="14.25" customHeight="1">
      <c r="A36" s="6"/>
      <c r="B36" s="18" t="s">
        <v>186</v>
      </c>
      <c r="C36" s="34"/>
      <c r="D36" s="59"/>
      <c r="E36" s="19"/>
      <c r="F36" s="59"/>
      <c r="G36" s="19"/>
      <c r="H36" s="6"/>
      <c r="I36" s="6"/>
      <c r="J36" s="6"/>
    </row>
    <row r="37" ht="14.25" customHeight="1">
      <c r="A37" s="6"/>
      <c r="B37" s="18" t="s">
        <v>186</v>
      </c>
      <c r="C37" s="34"/>
      <c r="D37" s="59"/>
      <c r="E37" s="19"/>
      <c r="F37" s="59"/>
      <c r="G37" s="19"/>
      <c r="H37" s="6"/>
      <c r="I37" s="6"/>
      <c r="J37" s="6"/>
    </row>
    <row r="38" ht="14.25" customHeight="1">
      <c r="A38" s="6"/>
      <c r="B38" s="18" t="s">
        <v>186</v>
      </c>
      <c r="C38" s="34"/>
      <c r="D38" s="59"/>
      <c r="E38" s="19"/>
      <c r="F38" s="59"/>
      <c r="G38" s="19"/>
      <c r="H38" s="6"/>
      <c r="I38" s="6"/>
      <c r="J38" s="6"/>
    </row>
    <row r="39" ht="14.25" customHeight="1">
      <c r="A39" s="6"/>
      <c r="B39" s="18" t="s">
        <v>186</v>
      </c>
      <c r="C39" s="34"/>
      <c r="D39" s="59"/>
      <c r="E39" s="19"/>
      <c r="F39" s="59"/>
      <c r="G39" s="19"/>
      <c r="H39" s="6"/>
      <c r="I39" s="6"/>
      <c r="J39" s="6"/>
    </row>
    <row r="40" ht="14.25" customHeight="1">
      <c r="A40" s="6"/>
      <c r="B40" s="18" t="s">
        <v>186</v>
      </c>
      <c r="C40" s="34"/>
      <c r="D40" s="59"/>
      <c r="E40" s="19"/>
      <c r="F40" s="59"/>
      <c r="G40" s="19"/>
      <c r="H40" s="6"/>
      <c r="I40" s="6"/>
      <c r="J40" s="6"/>
    </row>
    <row r="41" ht="14.25" customHeight="1">
      <c r="A41" s="6"/>
      <c r="B41" s="18" t="s">
        <v>186</v>
      </c>
      <c r="C41" s="34"/>
      <c r="D41" s="59"/>
      <c r="E41" s="19"/>
      <c r="F41" s="59"/>
      <c r="G41" s="19"/>
      <c r="H41" s="6"/>
      <c r="I41" s="6"/>
      <c r="J41" s="6"/>
    </row>
    <row r="42" ht="14.25" customHeight="1">
      <c r="A42" s="6"/>
      <c r="B42" s="18" t="s">
        <v>186</v>
      </c>
      <c r="C42" s="34"/>
      <c r="D42" s="59"/>
      <c r="E42" s="19"/>
      <c r="F42" s="59"/>
      <c r="G42" s="19"/>
      <c r="H42" s="6"/>
      <c r="I42" s="6"/>
      <c r="J42" s="6"/>
    </row>
    <row r="43" ht="14.25" customHeight="1">
      <c r="A43" s="6"/>
      <c r="B43" s="18" t="s">
        <v>186</v>
      </c>
      <c r="C43" s="34"/>
      <c r="D43" s="59"/>
      <c r="E43" s="19"/>
      <c r="F43" s="59"/>
      <c r="G43" s="19"/>
      <c r="H43" s="6"/>
      <c r="I43" s="6"/>
      <c r="J43" s="6"/>
    </row>
    <row r="44" ht="14.25" customHeight="1">
      <c r="A44" s="6"/>
      <c r="B44" s="18" t="s">
        <v>186</v>
      </c>
      <c r="C44" s="34"/>
      <c r="D44" s="59"/>
      <c r="E44" s="19"/>
      <c r="F44" s="59"/>
      <c r="G44" s="19"/>
      <c r="H44" s="6"/>
      <c r="I44" s="6"/>
      <c r="J44" s="6"/>
    </row>
    <row r="45" ht="14.25" customHeight="1">
      <c r="A45" s="6"/>
      <c r="B45" s="18" t="s">
        <v>186</v>
      </c>
      <c r="C45" s="34"/>
      <c r="D45" s="59"/>
      <c r="E45" s="19"/>
      <c r="F45" s="59"/>
      <c r="G45" s="19"/>
      <c r="H45" s="6"/>
      <c r="I45" s="6"/>
      <c r="J45" s="6"/>
    </row>
    <row r="46" ht="14.25" customHeight="1">
      <c r="A46" s="6"/>
      <c r="B46" s="18" t="s">
        <v>186</v>
      </c>
      <c r="C46" s="34"/>
      <c r="D46" s="59"/>
      <c r="E46" s="19"/>
      <c r="F46" s="59"/>
      <c r="G46" s="19"/>
      <c r="H46" s="6"/>
      <c r="I46" s="6"/>
      <c r="J46" s="6"/>
    </row>
    <row r="47" ht="14.25" customHeight="1">
      <c r="A47" s="6"/>
      <c r="B47" s="18" t="s">
        <v>186</v>
      </c>
      <c r="C47" s="34"/>
      <c r="D47" s="59"/>
      <c r="E47" s="19"/>
      <c r="F47" s="59"/>
      <c r="G47" s="19"/>
      <c r="H47" s="6"/>
      <c r="I47" s="6"/>
      <c r="J47" s="6"/>
    </row>
    <row r="48" ht="14.25" customHeight="1">
      <c r="A48" s="6"/>
      <c r="B48" s="18" t="s">
        <v>186</v>
      </c>
      <c r="C48" s="34"/>
      <c r="D48" s="59"/>
      <c r="E48" s="19"/>
      <c r="F48" s="59"/>
      <c r="G48" s="19"/>
      <c r="H48" s="6"/>
      <c r="I48" s="6"/>
      <c r="J48" s="6"/>
    </row>
    <row r="49" ht="14.25" customHeight="1">
      <c r="A49" s="6"/>
      <c r="B49" s="18" t="s">
        <v>186</v>
      </c>
      <c r="C49" s="34"/>
      <c r="D49" s="59"/>
      <c r="E49" s="19"/>
      <c r="F49" s="59"/>
      <c r="G49" s="19"/>
      <c r="H49" s="6"/>
      <c r="I49" s="6"/>
      <c r="J49" s="6"/>
    </row>
    <row r="50" ht="14.25" customHeight="1">
      <c r="A50" s="6"/>
      <c r="B50" s="18" t="s">
        <v>186</v>
      </c>
      <c r="C50" s="34"/>
      <c r="D50" s="59"/>
      <c r="E50" s="19"/>
      <c r="F50" s="59"/>
      <c r="G50" s="19"/>
      <c r="H50" s="6"/>
      <c r="I50" s="6"/>
      <c r="J50" s="6"/>
    </row>
    <row r="51" ht="14.25" customHeight="1">
      <c r="A51" s="6"/>
      <c r="B51" s="18" t="s">
        <v>186</v>
      </c>
      <c r="C51" s="34"/>
      <c r="D51" s="59"/>
      <c r="E51" s="19"/>
      <c r="F51" s="59"/>
      <c r="G51" s="19"/>
      <c r="H51" s="6"/>
      <c r="I51" s="6"/>
      <c r="J51" s="6"/>
    </row>
    <row r="52" ht="14.25" customHeight="1">
      <c r="A52" s="6"/>
      <c r="B52" s="18" t="s">
        <v>186</v>
      </c>
      <c r="C52" s="34"/>
      <c r="D52" s="59"/>
      <c r="E52" s="19"/>
      <c r="F52" s="59"/>
      <c r="G52" s="19"/>
      <c r="H52" s="6"/>
      <c r="I52" s="6"/>
      <c r="J52" s="6"/>
    </row>
    <row r="53" ht="14.25" customHeight="1">
      <c r="A53" s="6"/>
      <c r="B53" s="18" t="s">
        <v>186</v>
      </c>
      <c r="C53" s="34"/>
      <c r="D53" s="59"/>
      <c r="E53" s="19"/>
      <c r="F53" s="59"/>
      <c r="G53" s="19"/>
      <c r="H53" s="6"/>
      <c r="I53" s="6"/>
      <c r="J53" s="6"/>
    </row>
    <row r="54" ht="14.25" customHeight="1">
      <c r="A54" s="6"/>
      <c r="B54" s="18" t="s">
        <v>186</v>
      </c>
      <c r="C54" s="34"/>
      <c r="D54" s="59"/>
      <c r="E54" s="19"/>
      <c r="F54" s="59"/>
      <c r="G54" s="19"/>
      <c r="H54" s="6"/>
      <c r="I54" s="6"/>
      <c r="J54" s="6"/>
    </row>
    <row r="55" ht="14.25" customHeight="1">
      <c r="A55" s="6"/>
      <c r="B55" s="18" t="s">
        <v>186</v>
      </c>
      <c r="C55" s="34"/>
      <c r="D55" s="59"/>
      <c r="E55" s="19"/>
      <c r="F55" s="59"/>
      <c r="G55" s="19"/>
      <c r="H55" s="6"/>
      <c r="I55" s="6"/>
      <c r="J55" s="6"/>
    </row>
    <row r="56" ht="14.25" customHeight="1">
      <c r="A56" s="6"/>
      <c r="B56" s="18" t="s">
        <v>186</v>
      </c>
      <c r="C56" s="34"/>
      <c r="D56" s="59"/>
      <c r="E56" s="19"/>
      <c r="F56" s="59"/>
      <c r="G56" s="19"/>
      <c r="H56" s="6"/>
      <c r="I56" s="6"/>
      <c r="J56" s="6"/>
    </row>
    <row r="57" ht="14.25" customHeight="1">
      <c r="A57" s="6"/>
      <c r="B57" s="18" t="s">
        <v>186</v>
      </c>
      <c r="C57" s="34"/>
      <c r="D57" s="59"/>
      <c r="E57" s="19"/>
      <c r="F57" s="59"/>
      <c r="G57" s="19"/>
      <c r="H57" s="6"/>
      <c r="I57" s="6"/>
      <c r="J57" s="6"/>
    </row>
    <row r="58" ht="14.25" customHeight="1">
      <c r="A58" s="6"/>
      <c r="B58" s="18" t="s">
        <v>186</v>
      </c>
      <c r="C58" s="34"/>
      <c r="D58" s="59"/>
      <c r="E58" s="19"/>
      <c r="F58" s="59"/>
      <c r="G58" s="19"/>
      <c r="H58" s="6"/>
      <c r="I58" s="6"/>
      <c r="J58" s="6"/>
    </row>
    <row r="59" ht="14.25" customHeight="1">
      <c r="A59" s="6"/>
      <c r="B59" s="18" t="s">
        <v>186</v>
      </c>
      <c r="C59" s="34"/>
      <c r="D59" s="59"/>
      <c r="E59" s="19"/>
      <c r="F59" s="59"/>
      <c r="G59" s="19"/>
      <c r="H59" s="6"/>
      <c r="I59" s="6"/>
      <c r="J59" s="6"/>
    </row>
    <row r="60" ht="14.25" customHeight="1">
      <c r="A60" s="6"/>
      <c r="B60" s="18" t="s">
        <v>186</v>
      </c>
      <c r="C60" s="34"/>
      <c r="D60" s="59"/>
      <c r="E60" s="19"/>
      <c r="F60" s="59"/>
      <c r="G60" s="19"/>
      <c r="H60" s="6"/>
      <c r="I60" s="6"/>
      <c r="J60" s="6"/>
    </row>
    <row r="61" ht="14.25" customHeight="1">
      <c r="A61" s="6"/>
      <c r="B61" s="18" t="s">
        <v>186</v>
      </c>
      <c r="C61" s="34"/>
      <c r="D61" s="59"/>
      <c r="E61" s="19"/>
      <c r="F61" s="59"/>
      <c r="G61" s="19"/>
      <c r="H61" s="6"/>
      <c r="I61" s="6"/>
      <c r="J61" s="6"/>
    </row>
    <row r="62" ht="14.25" customHeight="1">
      <c r="A62" s="6"/>
      <c r="B62" s="18" t="s">
        <v>186</v>
      </c>
      <c r="C62" s="34"/>
      <c r="D62" s="59"/>
      <c r="E62" s="19"/>
      <c r="F62" s="59"/>
      <c r="G62" s="19"/>
      <c r="H62" s="6"/>
      <c r="I62" s="6"/>
      <c r="J62" s="6"/>
    </row>
    <row r="63" ht="14.25" customHeight="1">
      <c r="A63" s="6"/>
      <c r="B63" s="18" t="s">
        <v>186</v>
      </c>
      <c r="C63" s="34"/>
      <c r="D63" s="59"/>
      <c r="E63" s="19"/>
      <c r="F63" s="59"/>
      <c r="G63" s="19"/>
      <c r="H63" s="6"/>
      <c r="I63" s="6"/>
      <c r="J63" s="6"/>
    </row>
    <row r="64" ht="14.25" customHeight="1">
      <c r="A64" s="6"/>
      <c r="B64" s="18" t="s">
        <v>186</v>
      </c>
      <c r="C64" s="34"/>
      <c r="D64" s="59"/>
      <c r="E64" s="19"/>
      <c r="F64" s="59"/>
      <c r="G64" s="19"/>
      <c r="H64" s="6"/>
      <c r="I64" s="6"/>
      <c r="J64" s="6"/>
    </row>
    <row r="65" ht="14.25" customHeight="1">
      <c r="A65" s="6"/>
      <c r="B65" s="18" t="s">
        <v>186</v>
      </c>
      <c r="C65" s="34"/>
      <c r="D65" s="59"/>
      <c r="E65" s="19"/>
      <c r="F65" s="59"/>
      <c r="G65" s="19"/>
      <c r="H65" s="6"/>
      <c r="I65" s="6"/>
      <c r="J65" s="6"/>
    </row>
    <row r="66" ht="14.25" customHeight="1">
      <c r="A66" s="6"/>
      <c r="B66" s="18" t="s">
        <v>186</v>
      </c>
      <c r="C66" s="34"/>
      <c r="D66" s="59"/>
      <c r="E66" s="19"/>
      <c r="F66" s="59"/>
      <c r="G66" s="19"/>
      <c r="H66" s="6"/>
      <c r="I66" s="6"/>
      <c r="J66" s="6"/>
    </row>
    <row r="67" ht="14.25" customHeight="1">
      <c r="A67" s="6"/>
      <c r="B67" s="18" t="s">
        <v>186</v>
      </c>
      <c r="C67" s="34"/>
      <c r="D67" s="59"/>
      <c r="E67" s="19"/>
      <c r="F67" s="59"/>
      <c r="G67" s="19"/>
      <c r="H67" s="6"/>
      <c r="I67" s="6"/>
      <c r="J67" s="6"/>
    </row>
    <row r="68" ht="14.25" customHeight="1">
      <c r="A68" s="6"/>
      <c r="B68" s="18" t="s">
        <v>186</v>
      </c>
      <c r="C68" s="34"/>
      <c r="D68" s="59"/>
      <c r="E68" s="19"/>
      <c r="F68" s="59"/>
      <c r="G68" s="19"/>
      <c r="H68" s="6"/>
      <c r="I68" s="6"/>
      <c r="J68" s="6"/>
    </row>
    <row r="69" ht="14.25" customHeight="1">
      <c r="A69" s="6"/>
      <c r="B69" s="18" t="s">
        <v>186</v>
      </c>
      <c r="C69" s="34"/>
      <c r="D69" s="59"/>
      <c r="E69" s="19"/>
      <c r="F69" s="59"/>
      <c r="G69" s="19"/>
      <c r="H69" s="6"/>
      <c r="I69" s="6"/>
      <c r="J69" s="6"/>
    </row>
    <row r="70" ht="14.25" customHeight="1">
      <c r="A70" s="6"/>
      <c r="B70" s="18" t="s">
        <v>186</v>
      </c>
      <c r="C70" s="34"/>
      <c r="D70" s="59"/>
      <c r="E70" s="19"/>
      <c r="F70" s="59"/>
      <c r="G70" s="19"/>
      <c r="H70" s="6"/>
      <c r="I70" s="6"/>
      <c r="J70" s="6"/>
    </row>
    <row r="71" ht="14.25" customHeight="1">
      <c r="A71" s="6"/>
      <c r="B71" s="18" t="s">
        <v>186</v>
      </c>
      <c r="C71" s="34"/>
      <c r="D71" s="59"/>
      <c r="E71" s="19"/>
      <c r="F71" s="59"/>
      <c r="G71" s="19"/>
      <c r="H71" s="6"/>
      <c r="I71" s="6"/>
      <c r="J71" s="6"/>
    </row>
    <row r="72" ht="14.25" customHeight="1">
      <c r="A72" s="6"/>
      <c r="B72" s="18" t="s">
        <v>186</v>
      </c>
      <c r="C72" s="34"/>
      <c r="D72" s="59"/>
      <c r="E72" s="19"/>
      <c r="F72" s="59"/>
      <c r="G72" s="19"/>
      <c r="H72" s="6"/>
      <c r="I72" s="6"/>
      <c r="J72" s="6"/>
    </row>
    <row r="73" ht="14.25" customHeight="1">
      <c r="A73" s="6"/>
      <c r="B73" s="18" t="s">
        <v>186</v>
      </c>
      <c r="C73" s="34"/>
      <c r="D73" s="59"/>
      <c r="E73" s="19"/>
      <c r="F73" s="59"/>
      <c r="G73" s="19"/>
      <c r="H73" s="6"/>
      <c r="I73" s="6"/>
      <c r="J73" s="6"/>
    </row>
    <row r="74" ht="14.25" customHeight="1">
      <c r="A74" s="6"/>
      <c r="B74" s="18" t="s">
        <v>186</v>
      </c>
      <c r="C74" s="34"/>
      <c r="D74" s="59"/>
      <c r="E74" s="19"/>
      <c r="F74" s="59"/>
      <c r="G74" s="19"/>
      <c r="H74" s="6"/>
      <c r="I74" s="6"/>
      <c r="J74" s="6"/>
    </row>
    <row r="75" ht="14.25" customHeight="1">
      <c r="A75" s="6"/>
      <c r="B75" s="18" t="s">
        <v>186</v>
      </c>
      <c r="C75" s="34"/>
      <c r="D75" s="59"/>
      <c r="E75" s="19"/>
      <c r="F75" s="59"/>
      <c r="G75" s="19"/>
      <c r="H75" s="6"/>
      <c r="I75" s="6"/>
      <c r="J75" s="6"/>
    </row>
    <row r="76" ht="14.25" customHeight="1">
      <c r="A76" s="6"/>
      <c r="B76" s="18" t="s">
        <v>186</v>
      </c>
      <c r="C76" s="34"/>
      <c r="D76" s="59"/>
      <c r="E76" s="19"/>
      <c r="F76" s="59"/>
      <c r="G76" s="19"/>
      <c r="H76" s="6"/>
      <c r="I76" s="6"/>
      <c r="J76" s="6"/>
    </row>
    <row r="77" ht="14.25" customHeight="1">
      <c r="A77" s="6"/>
      <c r="B77" s="18" t="s">
        <v>186</v>
      </c>
      <c r="C77" s="34"/>
      <c r="D77" s="59"/>
      <c r="E77" s="19"/>
      <c r="F77" s="59"/>
      <c r="G77" s="19"/>
      <c r="H77" s="6"/>
      <c r="I77" s="6"/>
      <c r="J77" s="6"/>
    </row>
    <row r="78" ht="14.25" customHeight="1">
      <c r="A78" s="6"/>
      <c r="B78" s="18" t="s">
        <v>186</v>
      </c>
      <c r="C78" s="34"/>
      <c r="D78" s="59"/>
      <c r="E78" s="19"/>
      <c r="F78" s="59"/>
      <c r="G78" s="19"/>
      <c r="H78" s="6"/>
      <c r="I78" s="6"/>
      <c r="J78" s="6"/>
    </row>
    <row r="79" ht="14.25" customHeight="1">
      <c r="A79" s="6"/>
      <c r="B79" s="18" t="s">
        <v>186</v>
      </c>
      <c r="C79" s="34"/>
      <c r="D79" s="59"/>
      <c r="E79" s="19"/>
      <c r="F79" s="59"/>
      <c r="G79" s="19"/>
      <c r="H79" s="6"/>
      <c r="I79" s="6"/>
      <c r="J79" s="6"/>
    </row>
    <row r="80" ht="14.25" customHeight="1">
      <c r="A80" s="6"/>
      <c r="B80" s="18" t="s">
        <v>186</v>
      </c>
      <c r="C80" s="34"/>
      <c r="D80" s="59"/>
      <c r="E80" s="19"/>
      <c r="F80" s="59"/>
      <c r="G80" s="19"/>
      <c r="H80" s="6"/>
      <c r="I80" s="6"/>
      <c r="J80" s="6"/>
    </row>
    <row r="81" ht="14.25" customHeight="1">
      <c r="A81" s="6"/>
      <c r="B81" s="18" t="s">
        <v>186</v>
      </c>
      <c r="C81" s="34"/>
      <c r="D81" s="59"/>
      <c r="E81" s="19"/>
      <c r="F81" s="59"/>
      <c r="G81" s="19"/>
      <c r="H81" s="6"/>
      <c r="I81" s="6"/>
      <c r="J81" s="6"/>
    </row>
    <row r="82" ht="14.25" customHeight="1">
      <c r="A82" s="6"/>
      <c r="B82" s="18" t="s">
        <v>186</v>
      </c>
      <c r="C82" s="34"/>
      <c r="D82" s="59"/>
      <c r="E82" s="19"/>
      <c r="F82" s="59"/>
      <c r="G82" s="19"/>
      <c r="H82" s="6"/>
      <c r="I82" s="6"/>
      <c r="J82" s="6"/>
    </row>
    <row r="83" ht="14.25" customHeight="1">
      <c r="A83" s="6"/>
      <c r="B83" s="18" t="s">
        <v>186</v>
      </c>
      <c r="C83" s="34"/>
      <c r="D83" s="59"/>
      <c r="E83" s="19"/>
      <c r="F83" s="59"/>
      <c r="G83" s="19"/>
      <c r="H83" s="6"/>
      <c r="I83" s="6"/>
      <c r="J83" s="6"/>
    </row>
    <row r="84" ht="14.25" customHeight="1">
      <c r="A84" s="6"/>
      <c r="B84" s="18" t="s">
        <v>186</v>
      </c>
      <c r="C84" s="34"/>
      <c r="D84" s="59"/>
      <c r="E84" s="19"/>
      <c r="F84" s="59"/>
      <c r="G84" s="19"/>
      <c r="H84" s="6"/>
      <c r="I84" s="6"/>
      <c r="J84" s="6"/>
    </row>
    <row r="85" ht="14.25" customHeight="1">
      <c r="A85" s="6"/>
      <c r="B85" s="18" t="s">
        <v>186</v>
      </c>
      <c r="C85" s="34"/>
      <c r="D85" s="59"/>
      <c r="E85" s="19"/>
      <c r="F85" s="59"/>
      <c r="G85" s="19"/>
      <c r="H85" s="6"/>
      <c r="I85" s="6"/>
      <c r="J85" s="6"/>
    </row>
    <row r="86" ht="14.25" customHeight="1">
      <c r="A86" s="6"/>
      <c r="B86" s="18" t="s">
        <v>186</v>
      </c>
      <c r="C86" s="34"/>
      <c r="D86" s="59"/>
      <c r="E86" s="19"/>
      <c r="F86" s="59"/>
      <c r="G86" s="19"/>
      <c r="H86" s="6"/>
      <c r="I86" s="6"/>
      <c r="J86" s="6"/>
    </row>
    <row r="87" ht="14.25" customHeight="1">
      <c r="A87" s="6"/>
      <c r="B87" s="18" t="s">
        <v>186</v>
      </c>
      <c r="C87" s="34"/>
      <c r="D87" s="59"/>
      <c r="E87" s="19"/>
      <c r="F87" s="59"/>
      <c r="G87" s="19"/>
      <c r="H87" s="6"/>
      <c r="I87" s="6"/>
      <c r="J87" s="6"/>
    </row>
    <row r="88" ht="14.25" customHeight="1">
      <c r="A88" s="6"/>
      <c r="B88" s="18" t="s">
        <v>186</v>
      </c>
      <c r="C88" s="34"/>
      <c r="D88" s="59"/>
      <c r="E88" s="19"/>
      <c r="F88" s="59"/>
      <c r="G88" s="19"/>
      <c r="H88" s="6"/>
      <c r="I88" s="6"/>
      <c r="J88" s="6"/>
    </row>
    <row r="89" ht="14.25" customHeight="1">
      <c r="A89" s="6"/>
      <c r="B89" s="18" t="s">
        <v>186</v>
      </c>
      <c r="C89" s="34"/>
      <c r="D89" s="59"/>
      <c r="E89" s="19"/>
      <c r="F89" s="59"/>
      <c r="G89" s="19"/>
      <c r="H89" s="6"/>
      <c r="I89" s="6"/>
      <c r="J89" s="6"/>
    </row>
    <row r="90" ht="14.25" customHeight="1">
      <c r="A90" s="6"/>
      <c r="B90" s="18" t="s">
        <v>186</v>
      </c>
      <c r="C90" s="34"/>
      <c r="D90" s="59"/>
      <c r="E90" s="19"/>
      <c r="F90" s="59"/>
      <c r="G90" s="19"/>
      <c r="H90" s="6"/>
      <c r="I90" s="6"/>
      <c r="J90" s="6"/>
    </row>
    <row r="91" ht="14.25" customHeight="1">
      <c r="A91" s="6"/>
      <c r="B91" s="18" t="s">
        <v>186</v>
      </c>
      <c r="C91" s="34"/>
      <c r="D91" s="59"/>
      <c r="E91" s="19"/>
      <c r="F91" s="59"/>
      <c r="G91" s="19"/>
      <c r="H91" s="6"/>
      <c r="I91" s="6"/>
      <c r="J91" s="6"/>
    </row>
    <row r="92" ht="14.25" customHeight="1">
      <c r="A92" s="6"/>
      <c r="B92" s="18" t="s">
        <v>186</v>
      </c>
      <c r="C92" s="34"/>
      <c r="D92" s="59"/>
      <c r="E92" s="19"/>
      <c r="F92" s="59"/>
      <c r="G92" s="19"/>
      <c r="H92" s="6"/>
      <c r="I92" s="6"/>
      <c r="J92" s="6"/>
    </row>
    <row r="93" ht="14.25" customHeight="1">
      <c r="A93" s="6"/>
      <c r="B93" s="18" t="s">
        <v>186</v>
      </c>
      <c r="C93" s="34"/>
      <c r="D93" s="59"/>
      <c r="E93" s="19"/>
      <c r="F93" s="59"/>
      <c r="G93" s="19"/>
      <c r="H93" s="6"/>
      <c r="I93" s="6"/>
      <c r="J93" s="6"/>
    </row>
    <row r="94" ht="14.25" customHeight="1">
      <c r="A94" s="6"/>
      <c r="B94" s="18" t="s">
        <v>186</v>
      </c>
      <c r="C94" s="34"/>
      <c r="D94" s="59"/>
      <c r="E94" s="19"/>
      <c r="F94" s="59"/>
      <c r="G94" s="19"/>
      <c r="H94" s="6"/>
      <c r="I94" s="6"/>
      <c r="J94" s="6"/>
    </row>
    <row r="95" ht="14.25" customHeight="1">
      <c r="A95" s="6"/>
      <c r="B95" s="18" t="s">
        <v>186</v>
      </c>
      <c r="C95" s="34"/>
      <c r="D95" s="59"/>
      <c r="E95" s="19"/>
      <c r="F95" s="59"/>
      <c r="G95" s="19"/>
      <c r="H95" s="6"/>
      <c r="I95" s="6"/>
      <c r="J95" s="6"/>
    </row>
    <row r="96" ht="14.25" customHeight="1">
      <c r="A96" s="6"/>
      <c r="B96" s="18" t="s">
        <v>186</v>
      </c>
      <c r="C96" s="34"/>
      <c r="D96" s="59"/>
      <c r="E96" s="19"/>
      <c r="F96" s="59"/>
      <c r="G96" s="19"/>
      <c r="H96" s="6"/>
      <c r="I96" s="6"/>
      <c r="J96" s="6"/>
    </row>
    <row r="97" ht="14.25" customHeight="1">
      <c r="A97" s="6"/>
      <c r="B97" s="18" t="s">
        <v>186</v>
      </c>
      <c r="C97" s="34"/>
      <c r="D97" s="59"/>
      <c r="E97" s="19"/>
      <c r="F97" s="59"/>
      <c r="G97" s="19"/>
      <c r="H97" s="6"/>
      <c r="I97" s="6"/>
      <c r="J97" s="6"/>
    </row>
    <row r="98" ht="14.25" customHeight="1">
      <c r="A98" s="6"/>
      <c r="B98" s="18" t="s">
        <v>186</v>
      </c>
      <c r="C98" s="34"/>
      <c r="D98" s="59"/>
      <c r="E98" s="19"/>
      <c r="F98" s="59"/>
      <c r="G98" s="19"/>
      <c r="H98" s="6"/>
      <c r="I98" s="6"/>
      <c r="J98" s="6"/>
    </row>
    <row r="99" ht="14.25" customHeight="1">
      <c r="A99" s="6"/>
      <c r="B99" s="18" t="s">
        <v>186</v>
      </c>
      <c r="C99" s="34"/>
      <c r="D99" s="59"/>
      <c r="E99" s="19"/>
      <c r="F99" s="59"/>
      <c r="G99" s="19"/>
      <c r="H99" s="6"/>
      <c r="I99" s="6"/>
      <c r="J99" s="6"/>
    </row>
    <row r="100" ht="14.25" customHeight="1">
      <c r="A100" s="6"/>
      <c r="B100" s="18" t="s">
        <v>186</v>
      </c>
      <c r="C100" s="34"/>
      <c r="D100" s="59"/>
      <c r="E100" s="19"/>
      <c r="F100" s="59"/>
      <c r="G100" s="19"/>
      <c r="H100" s="6"/>
      <c r="I100" s="6"/>
      <c r="J100" s="6"/>
    </row>
    <row r="101" ht="14.25" customHeight="1">
      <c r="A101" s="6"/>
      <c r="B101" s="18" t="s">
        <v>186</v>
      </c>
      <c r="C101" s="34"/>
      <c r="D101" s="59"/>
      <c r="E101" s="19"/>
      <c r="F101" s="59"/>
      <c r="G101" s="19"/>
      <c r="H101" s="6"/>
      <c r="I101" s="6"/>
      <c r="J101" s="6"/>
    </row>
    <row r="102" ht="14.25" customHeight="1">
      <c r="A102" s="6"/>
      <c r="B102" s="18" t="s">
        <v>186</v>
      </c>
      <c r="C102" s="34"/>
      <c r="D102" s="59"/>
      <c r="E102" s="19"/>
      <c r="F102" s="59"/>
      <c r="G102" s="19"/>
      <c r="H102" s="6"/>
      <c r="I102" s="6"/>
      <c r="J102" s="6"/>
    </row>
    <row r="103" ht="14.25" customHeight="1">
      <c r="A103" s="6"/>
      <c r="B103" s="18" t="s">
        <v>186</v>
      </c>
      <c r="C103" s="34"/>
      <c r="D103" s="59"/>
      <c r="E103" s="19"/>
      <c r="F103" s="59"/>
      <c r="G103" s="19"/>
      <c r="H103" s="6"/>
      <c r="I103" s="6"/>
      <c r="J103" s="6"/>
    </row>
    <row r="104" ht="14.25" customHeight="1">
      <c r="A104" s="6"/>
      <c r="B104" s="18" t="s">
        <v>186</v>
      </c>
      <c r="C104" s="34"/>
      <c r="D104" s="59"/>
      <c r="E104" s="19"/>
      <c r="F104" s="59"/>
      <c r="G104" s="19"/>
      <c r="H104" s="6"/>
      <c r="I104" s="6"/>
      <c r="J104" s="6"/>
    </row>
    <row r="105" ht="14.25" customHeight="1">
      <c r="A105" s="6"/>
      <c r="B105" s="18" t="s">
        <v>186</v>
      </c>
      <c r="C105" s="34"/>
      <c r="D105" s="59"/>
      <c r="E105" s="19"/>
      <c r="F105" s="59"/>
      <c r="G105" s="19"/>
      <c r="H105" s="6"/>
      <c r="I105" s="6"/>
      <c r="J105" s="6"/>
    </row>
    <row r="106" ht="14.25" customHeight="1">
      <c r="A106" s="6"/>
      <c r="B106" s="18" t="s">
        <v>186</v>
      </c>
      <c r="C106" s="34"/>
      <c r="D106" s="59"/>
      <c r="E106" s="19"/>
      <c r="F106" s="59"/>
      <c r="G106" s="19"/>
      <c r="H106" s="6"/>
      <c r="I106" s="6"/>
      <c r="J106" s="6"/>
    </row>
    <row r="107" ht="14.25" customHeight="1">
      <c r="A107" s="6"/>
      <c r="B107" s="18" t="s">
        <v>186</v>
      </c>
      <c r="C107" s="34"/>
      <c r="D107" s="59"/>
      <c r="E107" s="19"/>
      <c r="F107" s="59"/>
      <c r="G107" s="19"/>
      <c r="H107" s="6"/>
      <c r="I107" s="6"/>
      <c r="J107" s="6"/>
    </row>
    <row r="108" ht="14.25" customHeight="1">
      <c r="A108" s="6"/>
      <c r="B108" s="18" t="s">
        <v>186</v>
      </c>
      <c r="C108" s="34"/>
      <c r="D108" s="59"/>
      <c r="E108" s="19"/>
      <c r="F108" s="59"/>
      <c r="G108" s="19"/>
      <c r="H108" s="6"/>
      <c r="I108" s="6"/>
      <c r="J108" s="6"/>
    </row>
    <row r="109" ht="14.25" customHeight="1">
      <c r="A109" s="6"/>
      <c r="B109" s="18" t="s">
        <v>186</v>
      </c>
      <c r="C109" s="34"/>
      <c r="D109" s="59"/>
      <c r="E109" s="19"/>
      <c r="F109" s="59"/>
      <c r="G109" s="19"/>
      <c r="H109" s="6"/>
      <c r="I109" s="6"/>
      <c r="J109" s="6"/>
    </row>
    <row r="110" ht="14.25" customHeight="1">
      <c r="A110" s="6"/>
      <c r="B110" s="18" t="s">
        <v>186</v>
      </c>
      <c r="C110" s="34"/>
      <c r="D110" s="59"/>
      <c r="E110" s="19"/>
      <c r="F110" s="59"/>
      <c r="G110" s="19"/>
      <c r="H110" s="6"/>
      <c r="I110" s="6"/>
      <c r="J110" s="6"/>
    </row>
    <row r="111" ht="14.25" customHeight="1">
      <c r="A111" s="6"/>
      <c r="B111" s="18" t="s">
        <v>186</v>
      </c>
      <c r="C111" s="34"/>
      <c r="D111" s="59"/>
      <c r="E111" s="19"/>
      <c r="F111" s="59"/>
      <c r="G111" s="19"/>
      <c r="H111" s="6"/>
      <c r="I111" s="6"/>
      <c r="J111" s="6"/>
    </row>
    <row r="112" ht="14.25" customHeight="1">
      <c r="A112" s="6"/>
      <c r="B112" s="18" t="s">
        <v>186</v>
      </c>
      <c r="C112" s="34"/>
      <c r="D112" s="59"/>
      <c r="E112" s="19"/>
      <c r="F112" s="59"/>
      <c r="G112" s="19"/>
      <c r="H112" s="6"/>
      <c r="I112" s="6"/>
      <c r="J112" s="6"/>
    </row>
    <row r="113" ht="14.25" customHeight="1">
      <c r="A113" s="6"/>
      <c r="B113" s="18" t="s">
        <v>186</v>
      </c>
      <c r="C113" s="34"/>
      <c r="D113" s="59"/>
      <c r="E113" s="19"/>
      <c r="F113" s="59"/>
      <c r="G113" s="19"/>
      <c r="H113" s="6"/>
      <c r="I113" s="6"/>
      <c r="J113" s="6"/>
    </row>
    <row r="114" ht="14.25" customHeight="1">
      <c r="A114" s="6"/>
      <c r="B114" s="18" t="s">
        <v>186</v>
      </c>
      <c r="C114" s="34"/>
      <c r="D114" s="59"/>
      <c r="E114" s="19"/>
      <c r="F114" s="59"/>
      <c r="G114" s="19"/>
      <c r="H114" s="6"/>
      <c r="I114" s="6"/>
      <c r="J114" s="6"/>
    </row>
    <row r="115" ht="14.25" customHeight="1">
      <c r="A115" s="6"/>
      <c r="B115" s="18" t="s">
        <v>186</v>
      </c>
      <c r="C115" s="34"/>
      <c r="D115" s="59"/>
      <c r="E115" s="19"/>
      <c r="F115" s="59"/>
      <c r="G115" s="19"/>
      <c r="H115" s="6"/>
      <c r="I115" s="6"/>
      <c r="J115" s="6"/>
    </row>
    <row r="116" ht="14.25" customHeight="1">
      <c r="A116" s="6"/>
      <c r="B116" s="18" t="s">
        <v>186</v>
      </c>
      <c r="C116" s="34"/>
      <c r="D116" s="59"/>
      <c r="E116" s="19"/>
      <c r="F116" s="59"/>
      <c r="G116" s="19"/>
      <c r="H116" s="6"/>
      <c r="I116" s="6"/>
      <c r="J116" s="6"/>
    </row>
    <row r="117" ht="14.25" customHeight="1">
      <c r="A117" s="6"/>
      <c r="B117" s="18" t="s">
        <v>186</v>
      </c>
      <c r="C117" s="34"/>
      <c r="D117" s="59"/>
      <c r="E117" s="19"/>
      <c r="F117" s="59"/>
      <c r="G117" s="19"/>
      <c r="H117" s="6"/>
      <c r="I117" s="6"/>
      <c r="J117" s="6"/>
    </row>
    <row r="118" ht="14.25" customHeight="1">
      <c r="A118" s="6"/>
      <c r="B118" s="18" t="s">
        <v>186</v>
      </c>
      <c r="C118" s="34"/>
      <c r="D118" s="59"/>
      <c r="E118" s="19"/>
      <c r="F118" s="59"/>
      <c r="G118" s="19"/>
      <c r="H118" s="6"/>
      <c r="I118" s="6"/>
      <c r="J118" s="6"/>
    </row>
    <row r="119" ht="14.25" customHeight="1">
      <c r="A119" s="6"/>
      <c r="B119" s="18" t="s">
        <v>186</v>
      </c>
      <c r="C119" s="34"/>
      <c r="D119" s="59"/>
      <c r="E119" s="19"/>
      <c r="F119" s="59"/>
      <c r="G119" s="19"/>
      <c r="H119" s="6"/>
      <c r="I119" s="6"/>
      <c r="J119" s="6"/>
    </row>
    <row r="120" ht="14.25" customHeight="1">
      <c r="A120" s="6"/>
      <c r="B120" s="18" t="s">
        <v>186</v>
      </c>
      <c r="C120" s="34"/>
      <c r="D120" s="59"/>
      <c r="E120" s="19"/>
      <c r="F120" s="59"/>
      <c r="G120" s="19"/>
      <c r="H120" s="6"/>
      <c r="I120" s="6"/>
      <c r="J120" s="6"/>
    </row>
    <row r="121" ht="14.25" customHeight="1">
      <c r="A121" s="6"/>
      <c r="B121" s="18" t="s">
        <v>186</v>
      </c>
      <c r="C121" s="34"/>
      <c r="D121" s="59"/>
      <c r="E121" s="19"/>
      <c r="F121" s="59"/>
      <c r="G121" s="19"/>
      <c r="H121" s="6"/>
      <c r="I121" s="6"/>
      <c r="J121" s="6"/>
    </row>
    <row r="122" ht="14.25" customHeight="1">
      <c r="A122" s="6"/>
      <c r="B122" s="18" t="s">
        <v>186</v>
      </c>
      <c r="C122" s="34"/>
      <c r="D122" s="59"/>
      <c r="E122" s="19"/>
      <c r="F122" s="59"/>
      <c r="G122" s="19"/>
      <c r="H122" s="6"/>
      <c r="I122" s="6"/>
      <c r="J122" s="6"/>
    </row>
    <row r="123" ht="14.25" customHeight="1">
      <c r="A123" s="6"/>
      <c r="B123" s="18" t="s">
        <v>186</v>
      </c>
      <c r="C123" s="34"/>
      <c r="D123" s="59"/>
      <c r="E123" s="19"/>
      <c r="F123" s="59"/>
      <c r="G123" s="19"/>
      <c r="H123" s="6"/>
      <c r="I123" s="6"/>
      <c r="J123" s="6"/>
    </row>
    <row r="124" ht="14.25" customHeight="1">
      <c r="A124" s="6"/>
      <c r="B124" s="18" t="s">
        <v>186</v>
      </c>
      <c r="C124" s="34"/>
      <c r="D124" s="59"/>
      <c r="E124" s="19"/>
      <c r="F124" s="59"/>
      <c r="G124" s="19"/>
      <c r="H124" s="6"/>
      <c r="I124" s="6"/>
      <c r="J124" s="6"/>
    </row>
    <row r="125" ht="14.25" customHeight="1">
      <c r="A125" s="6"/>
      <c r="B125" s="18" t="s">
        <v>186</v>
      </c>
      <c r="C125" s="34"/>
      <c r="D125" s="59"/>
      <c r="E125" s="19"/>
      <c r="F125" s="59"/>
      <c r="G125" s="19"/>
      <c r="H125" s="6"/>
      <c r="I125" s="6"/>
      <c r="J125" s="6"/>
    </row>
    <row r="126" ht="14.25" customHeight="1">
      <c r="A126" s="6"/>
      <c r="B126" s="18" t="s">
        <v>186</v>
      </c>
      <c r="C126" s="34"/>
      <c r="D126" s="59"/>
      <c r="E126" s="19"/>
      <c r="F126" s="59"/>
      <c r="G126" s="19"/>
      <c r="H126" s="6"/>
      <c r="I126" s="6"/>
      <c r="J126" s="6"/>
    </row>
    <row r="127" ht="14.25" customHeight="1">
      <c r="A127" s="6"/>
      <c r="B127" s="18" t="s">
        <v>186</v>
      </c>
      <c r="C127" s="34"/>
      <c r="D127" s="59"/>
      <c r="E127" s="19"/>
      <c r="F127" s="59"/>
      <c r="G127" s="19"/>
      <c r="H127" s="6"/>
      <c r="I127" s="6"/>
      <c r="J127" s="6"/>
    </row>
    <row r="128" ht="14.25" customHeight="1">
      <c r="A128" s="6"/>
      <c r="B128" s="18" t="s">
        <v>186</v>
      </c>
      <c r="C128" s="34"/>
      <c r="D128" s="59"/>
      <c r="E128" s="19"/>
      <c r="F128" s="59"/>
      <c r="G128" s="19"/>
      <c r="H128" s="6"/>
      <c r="I128" s="6"/>
      <c r="J128" s="6"/>
    </row>
    <row r="129" ht="14.25" customHeight="1">
      <c r="A129" s="6"/>
      <c r="B129" s="18" t="s">
        <v>186</v>
      </c>
      <c r="C129" s="34"/>
      <c r="D129" s="59"/>
      <c r="E129" s="19"/>
      <c r="F129" s="59"/>
      <c r="G129" s="19"/>
      <c r="H129" s="6"/>
      <c r="I129" s="6"/>
      <c r="J129" s="6"/>
    </row>
    <row r="130" ht="14.25" customHeight="1">
      <c r="A130" s="6"/>
      <c r="B130" s="18" t="s">
        <v>186</v>
      </c>
      <c r="C130" s="34"/>
      <c r="D130" s="59"/>
      <c r="E130" s="19"/>
      <c r="F130" s="59"/>
      <c r="G130" s="19"/>
      <c r="H130" s="6"/>
      <c r="I130" s="6"/>
      <c r="J130" s="6"/>
    </row>
    <row r="131" ht="14.25" customHeight="1">
      <c r="A131" s="6"/>
      <c r="B131" s="18" t="s">
        <v>186</v>
      </c>
      <c r="C131" s="34"/>
      <c r="D131" s="59"/>
      <c r="E131" s="19"/>
      <c r="F131" s="59"/>
      <c r="G131" s="19"/>
      <c r="H131" s="6"/>
      <c r="I131" s="6"/>
      <c r="J131" s="6"/>
    </row>
    <row r="132" ht="14.25" customHeight="1">
      <c r="A132" s="6"/>
      <c r="B132" s="18" t="s">
        <v>186</v>
      </c>
      <c r="C132" s="34"/>
      <c r="D132" s="59"/>
      <c r="E132" s="19"/>
      <c r="F132" s="59"/>
      <c r="G132" s="19"/>
      <c r="H132" s="6"/>
      <c r="I132" s="6"/>
      <c r="J132" s="6"/>
    </row>
    <row r="133" ht="14.25" customHeight="1">
      <c r="A133" s="6"/>
      <c r="B133" s="18" t="s">
        <v>186</v>
      </c>
      <c r="C133" s="34"/>
      <c r="D133" s="59"/>
      <c r="E133" s="19"/>
      <c r="F133" s="59"/>
      <c r="G133" s="19"/>
      <c r="H133" s="6"/>
      <c r="I133" s="6"/>
      <c r="J133" s="6"/>
    </row>
    <row r="134" ht="14.25" customHeight="1">
      <c r="A134" s="6"/>
      <c r="B134" s="18" t="s">
        <v>186</v>
      </c>
      <c r="C134" s="34"/>
      <c r="D134" s="59"/>
      <c r="E134" s="19"/>
      <c r="F134" s="59"/>
      <c r="G134" s="19"/>
      <c r="H134" s="6"/>
      <c r="I134" s="6"/>
      <c r="J134" s="6"/>
    </row>
    <row r="135" ht="14.25" customHeight="1">
      <c r="A135" s="6"/>
      <c r="B135" s="18" t="s">
        <v>186</v>
      </c>
      <c r="C135" s="34"/>
      <c r="D135" s="59"/>
      <c r="E135" s="19"/>
      <c r="F135" s="59"/>
      <c r="G135" s="19"/>
      <c r="H135" s="6"/>
      <c r="I135" s="6"/>
      <c r="J135" s="6"/>
    </row>
    <row r="136" ht="14.25" customHeight="1">
      <c r="A136" s="6"/>
      <c r="B136" s="18" t="s">
        <v>186</v>
      </c>
      <c r="C136" s="34"/>
      <c r="D136" s="59"/>
      <c r="E136" s="19"/>
      <c r="F136" s="59"/>
      <c r="G136" s="19"/>
      <c r="H136" s="6"/>
      <c r="I136" s="6"/>
      <c r="J136" s="6"/>
    </row>
    <row r="137" ht="14.25" customHeight="1">
      <c r="A137" s="6"/>
      <c r="B137" s="18" t="s">
        <v>186</v>
      </c>
      <c r="C137" s="34"/>
      <c r="D137" s="59"/>
      <c r="E137" s="19"/>
      <c r="F137" s="59"/>
      <c r="G137" s="19"/>
      <c r="H137" s="6"/>
      <c r="I137" s="6"/>
      <c r="J137" s="6"/>
    </row>
    <row r="138" ht="14.25" customHeight="1">
      <c r="A138" s="6"/>
      <c r="B138" s="18" t="s">
        <v>186</v>
      </c>
      <c r="C138" s="34"/>
      <c r="D138" s="59"/>
      <c r="E138" s="19"/>
      <c r="F138" s="59"/>
      <c r="G138" s="19"/>
      <c r="H138" s="6"/>
      <c r="I138" s="6"/>
      <c r="J138" s="6"/>
    </row>
    <row r="139" ht="14.25" customHeight="1">
      <c r="A139" s="6"/>
      <c r="B139" s="18" t="s">
        <v>186</v>
      </c>
      <c r="C139" s="34"/>
      <c r="D139" s="59"/>
      <c r="E139" s="19"/>
      <c r="F139" s="59"/>
      <c r="G139" s="19"/>
      <c r="H139" s="6"/>
      <c r="I139" s="6"/>
      <c r="J139" s="6"/>
    </row>
    <row r="140" ht="14.25" customHeight="1">
      <c r="A140" s="6"/>
      <c r="B140" s="18" t="s">
        <v>186</v>
      </c>
      <c r="C140" s="34"/>
      <c r="D140" s="59"/>
      <c r="E140" s="19"/>
      <c r="F140" s="59"/>
      <c r="G140" s="19"/>
      <c r="H140" s="6"/>
      <c r="I140" s="6"/>
      <c r="J140" s="6"/>
    </row>
    <row r="141" ht="14.25" customHeight="1">
      <c r="A141" s="6"/>
      <c r="B141" s="18" t="s">
        <v>186</v>
      </c>
      <c r="C141" s="34"/>
      <c r="D141" s="59"/>
      <c r="E141" s="19"/>
      <c r="F141" s="59"/>
      <c r="G141" s="19"/>
      <c r="H141" s="6"/>
      <c r="I141" s="6"/>
      <c r="J141" s="6"/>
    </row>
    <row r="142" ht="14.25" customHeight="1">
      <c r="A142" s="6"/>
      <c r="B142" s="18" t="s">
        <v>186</v>
      </c>
      <c r="C142" s="34"/>
      <c r="D142" s="59"/>
      <c r="E142" s="19"/>
      <c r="F142" s="59"/>
      <c r="G142" s="19"/>
      <c r="H142" s="6"/>
      <c r="I142" s="6"/>
      <c r="J142" s="6"/>
    </row>
    <row r="143" ht="14.25" customHeight="1">
      <c r="A143" s="6"/>
      <c r="B143" s="18" t="s">
        <v>186</v>
      </c>
      <c r="C143" s="34"/>
      <c r="D143" s="59"/>
      <c r="E143" s="19"/>
      <c r="F143" s="59"/>
      <c r="G143" s="19"/>
      <c r="H143" s="6"/>
      <c r="I143" s="6"/>
      <c r="J143" s="6"/>
    </row>
    <row r="144" ht="14.25" customHeight="1">
      <c r="A144" s="6"/>
      <c r="B144" s="18" t="s">
        <v>186</v>
      </c>
      <c r="C144" s="34"/>
      <c r="D144" s="59"/>
      <c r="E144" s="19"/>
      <c r="F144" s="59"/>
      <c r="G144" s="19"/>
      <c r="H144" s="6"/>
      <c r="I144" s="6"/>
      <c r="J144" s="6"/>
    </row>
    <row r="145" ht="14.25" customHeight="1">
      <c r="A145" s="6"/>
      <c r="B145" s="18" t="s">
        <v>186</v>
      </c>
      <c r="C145" s="34"/>
      <c r="D145" s="59"/>
      <c r="E145" s="19"/>
      <c r="F145" s="59"/>
      <c r="G145" s="19"/>
      <c r="H145" s="6"/>
      <c r="I145" s="6"/>
      <c r="J145" s="6"/>
    </row>
    <row r="146" ht="14.25" customHeight="1">
      <c r="A146" s="6"/>
      <c r="B146" s="18" t="s">
        <v>186</v>
      </c>
      <c r="C146" s="34"/>
      <c r="D146" s="59"/>
      <c r="E146" s="19"/>
      <c r="F146" s="59"/>
      <c r="G146" s="19"/>
      <c r="H146" s="6"/>
      <c r="I146" s="6"/>
      <c r="J146" s="6"/>
    </row>
    <row r="147" ht="14.25" customHeight="1">
      <c r="A147" s="6"/>
      <c r="B147" s="18" t="s">
        <v>186</v>
      </c>
      <c r="C147" s="34"/>
      <c r="D147" s="59"/>
      <c r="E147" s="19"/>
      <c r="F147" s="59"/>
      <c r="G147" s="19"/>
      <c r="H147" s="6"/>
      <c r="I147" s="6"/>
      <c r="J147" s="6"/>
    </row>
    <row r="148" ht="14.25" customHeight="1">
      <c r="A148" s="6"/>
      <c r="B148" s="18" t="s">
        <v>186</v>
      </c>
      <c r="C148" s="34"/>
      <c r="D148" s="59"/>
      <c r="E148" s="19"/>
      <c r="F148" s="59"/>
      <c r="G148" s="19"/>
      <c r="H148" s="6"/>
      <c r="I148" s="6"/>
      <c r="J148" s="6"/>
    </row>
    <row r="149" ht="14.25" customHeight="1">
      <c r="A149" s="6"/>
      <c r="B149" s="18" t="s">
        <v>186</v>
      </c>
      <c r="C149" s="34"/>
      <c r="D149" s="59"/>
      <c r="E149" s="19"/>
      <c r="F149" s="59"/>
      <c r="G149" s="19"/>
      <c r="H149" s="6"/>
      <c r="I149" s="6"/>
      <c r="J149" s="6"/>
    </row>
    <row r="150" ht="14.25" customHeight="1">
      <c r="A150" s="6"/>
      <c r="B150" s="18" t="s">
        <v>186</v>
      </c>
      <c r="C150" s="34"/>
      <c r="D150" s="59"/>
      <c r="E150" s="19"/>
      <c r="F150" s="59"/>
      <c r="G150" s="19"/>
      <c r="H150" s="6"/>
      <c r="I150" s="6"/>
      <c r="J150" s="6"/>
    </row>
    <row r="151" ht="14.25" customHeight="1">
      <c r="A151" s="6"/>
      <c r="B151" s="18" t="s">
        <v>186</v>
      </c>
      <c r="C151" s="34"/>
      <c r="D151" s="59"/>
      <c r="E151" s="19"/>
      <c r="F151" s="59"/>
      <c r="G151" s="19"/>
      <c r="H151" s="6"/>
      <c r="I151" s="6"/>
      <c r="J151" s="6"/>
    </row>
    <row r="152" ht="14.25" customHeight="1">
      <c r="A152" s="6"/>
      <c r="B152" s="18" t="s">
        <v>186</v>
      </c>
      <c r="C152" s="34"/>
      <c r="D152" s="59"/>
      <c r="E152" s="19"/>
      <c r="F152" s="59"/>
      <c r="G152" s="19"/>
      <c r="H152" s="6"/>
      <c r="I152" s="6"/>
      <c r="J152" s="6"/>
    </row>
    <row r="153" ht="14.25" customHeight="1">
      <c r="A153" s="6"/>
      <c r="B153" s="18" t="s">
        <v>186</v>
      </c>
      <c r="C153" s="34"/>
      <c r="D153" s="59"/>
      <c r="E153" s="19"/>
      <c r="F153" s="59"/>
      <c r="G153" s="19"/>
      <c r="H153" s="6"/>
      <c r="I153" s="6"/>
      <c r="J153" s="6"/>
    </row>
    <row r="154" ht="14.25" customHeight="1">
      <c r="A154" s="6"/>
      <c r="B154" s="18" t="s">
        <v>186</v>
      </c>
      <c r="C154" s="34"/>
      <c r="D154" s="59"/>
      <c r="E154" s="19"/>
      <c r="F154" s="59"/>
      <c r="G154" s="19"/>
      <c r="H154" s="6"/>
      <c r="I154" s="6"/>
      <c r="J154" s="6"/>
    </row>
    <row r="155" ht="14.25" customHeight="1">
      <c r="A155" s="6"/>
      <c r="B155" s="18" t="s">
        <v>186</v>
      </c>
      <c r="C155" s="34"/>
      <c r="D155" s="59"/>
      <c r="E155" s="19"/>
      <c r="F155" s="59"/>
      <c r="G155" s="19"/>
      <c r="H155" s="6"/>
      <c r="I155" s="6"/>
      <c r="J155" s="6"/>
    </row>
    <row r="156" ht="14.25" customHeight="1">
      <c r="A156" s="6"/>
      <c r="B156" s="18" t="s">
        <v>186</v>
      </c>
      <c r="C156" s="34"/>
      <c r="D156" s="59"/>
      <c r="E156" s="19"/>
      <c r="F156" s="59"/>
      <c r="G156" s="19"/>
      <c r="H156" s="6"/>
      <c r="I156" s="6"/>
      <c r="J156" s="6"/>
    </row>
    <row r="157" ht="14.25" customHeight="1">
      <c r="A157" s="6"/>
      <c r="B157" s="18" t="s">
        <v>186</v>
      </c>
      <c r="C157" s="34"/>
      <c r="D157" s="59"/>
      <c r="E157" s="19"/>
      <c r="F157" s="59"/>
      <c r="G157" s="19"/>
      <c r="H157" s="6"/>
      <c r="I157" s="6"/>
      <c r="J157" s="6"/>
    </row>
    <row r="158" ht="14.25" customHeight="1">
      <c r="A158" s="6"/>
      <c r="B158" s="18" t="s">
        <v>186</v>
      </c>
      <c r="C158" s="34"/>
      <c r="D158" s="59"/>
      <c r="E158" s="19"/>
      <c r="F158" s="59"/>
      <c r="G158" s="19"/>
      <c r="H158" s="6"/>
      <c r="I158" s="6"/>
      <c r="J158" s="6"/>
    </row>
    <row r="159" ht="14.25" customHeight="1">
      <c r="A159" s="6"/>
      <c r="B159" s="18" t="s">
        <v>186</v>
      </c>
      <c r="C159" s="34"/>
      <c r="D159" s="59"/>
      <c r="E159" s="19"/>
      <c r="F159" s="59"/>
      <c r="G159" s="19"/>
      <c r="H159" s="6"/>
      <c r="I159" s="6"/>
      <c r="J159" s="6"/>
    </row>
    <row r="160" ht="14.25" customHeight="1">
      <c r="A160" s="6"/>
      <c r="B160" s="18" t="s">
        <v>186</v>
      </c>
      <c r="C160" s="34"/>
      <c r="D160" s="59"/>
      <c r="E160" s="19"/>
      <c r="F160" s="59"/>
      <c r="G160" s="19"/>
      <c r="H160" s="6"/>
      <c r="I160" s="6"/>
      <c r="J160" s="6"/>
    </row>
    <row r="161" ht="14.25" customHeight="1">
      <c r="A161" s="6"/>
      <c r="B161" s="18" t="s">
        <v>186</v>
      </c>
      <c r="C161" s="34"/>
      <c r="D161" s="59"/>
      <c r="E161" s="19"/>
      <c r="F161" s="59"/>
      <c r="G161" s="19"/>
      <c r="H161" s="6"/>
      <c r="I161" s="6"/>
      <c r="J161" s="6"/>
    </row>
    <row r="162" ht="14.25" customHeight="1">
      <c r="A162" s="6"/>
      <c r="B162" s="18" t="s">
        <v>186</v>
      </c>
      <c r="C162" s="34"/>
      <c r="D162" s="59"/>
      <c r="E162" s="19"/>
      <c r="F162" s="59"/>
      <c r="G162" s="19"/>
      <c r="H162" s="6"/>
      <c r="I162" s="6"/>
      <c r="J162" s="6"/>
    </row>
    <row r="163" ht="14.25" customHeight="1">
      <c r="A163" s="6"/>
      <c r="B163" s="18" t="s">
        <v>186</v>
      </c>
      <c r="C163" s="34"/>
      <c r="D163" s="59"/>
      <c r="E163" s="19"/>
      <c r="F163" s="59"/>
      <c r="G163" s="19"/>
      <c r="H163" s="6"/>
      <c r="I163" s="6"/>
      <c r="J163" s="6"/>
    </row>
    <row r="164" ht="14.25" customHeight="1">
      <c r="A164" s="6"/>
      <c r="B164" s="18" t="s">
        <v>186</v>
      </c>
      <c r="C164" s="34"/>
      <c r="D164" s="59"/>
      <c r="E164" s="19"/>
      <c r="F164" s="59"/>
      <c r="G164" s="19"/>
      <c r="H164" s="6"/>
      <c r="I164" s="6"/>
      <c r="J164" s="6"/>
    </row>
    <row r="165" ht="14.25" customHeight="1">
      <c r="A165" s="6"/>
      <c r="B165" s="18" t="s">
        <v>186</v>
      </c>
      <c r="C165" s="34"/>
      <c r="D165" s="59"/>
      <c r="E165" s="19"/>
      <c r="F165" s="59"/>
      <c r="G165" s="19"/>
      <c r="H165" s="6"/>
      <c r="I165" s="6"/>
      <c r="J165" s="6"/>
    </row>
    <row r="166" ht="14.25" customHeight="1">
      <c r="A166" s="6"/>
      <c r="B166" s="18" t="s">
        <v>186</v>
      </c>
      <c r="C166" s="34"/>
      <c r="D166" s="59"/>
      <c r="E166" s="19"/>
      <c r="F166" s="59"/>
      <c r="G166" s="19"/>
      <c r="H166" s="6"/>
      <c r="I166" s="6"/>
      <c r="J166" s="6"/>
    </row>
    <row r="167" ht="14.25" customHeight="1">
      <c r="A167" s="6"/>
      <c r="B167" s="18" t="s">
        <v>186</v>
      </c>
      <c r="C167" s="34"/>
      <c r="D167" s="59"/>
      <c r="E167" s="19"/>
      <c r="F167" s="59"/>
      <c r="G167" s="19"/>
      <c r="H167" s="6"/>
      <c r="I167" s="6"/>
      <c r="J167" s="6"/>
    </row>
    <row r="168" ht="14.25" customHeight="1">
      <c r="A168" s="6"/>
      <c r="B168" s="18" t="s">
        <v>186</v>
      </c>
      <c r="C168" s="34"/>
      <c r="D168" s="59"/>
      <c r="E168" s="19"/>
      <c r="F168" s="59"/>
      <c r="G168" s="19"/>
      <c r="H168" s="6"/>
      <c r="I168" s="6"/>
      <c r="J168" s="6"/>
    </row>
    <row r="169" ht="14.25" customHeight="1">
      <c r="A169" s="6"/>
      <c r="B169" s="18" t="s">
        <v>186</v>
      </c>
      <c r="C169" s="34"/>
      <c r="D169" s="59"/>
      <c r="E169" s="19"/>
      <c r="F169" s="59"/>
      <c r="G169" s="19"/>
      <c r="H169" s="6"/>
      <c r="I169" s="6"/>
      <c r="J169" s="6"/>
    </row>
    <row r="170" ht="14.25" customHeight="1">
      <c r="A170" s="6"/>
      <c r="B170" s="18" t="s">
        <v>186</v>
      </c>
      <c r="C170" s="34"/>
      <c r="D170" s="59"/>
      <c r="E170" s="19"/>
      <c r="F170" s="59"/>
      <c r="G170" s="19"/>
      <c r="H170" s="6"/>
      <c r="I170" s="6"/>
      <c r="J170" s="6"/>
    </row>
    <row r="171" ht="14.25" customHeight="1">
      <c r="A171" s="6"/>
      <c r="B171" s="18" t="s">
        <v>186</v>
      </c>
      <c r="C171" s="34"/>
      <c r="D171" s="59"/>
      <c r="E171" s="19"/>
      <c r="F171" s="59"/>
      <c r="G171" s="19"/>
      <c r="H171" s="6"/>
      <c r="I171" s="6"/>
      <c r="J171" s="6"/>
    </row>
    <row r="172" ht="14.25" customHeight="1">
      <c r="A172" s="6"/>
      <c r="B172" s="18" t="s">
        <v>186</v>
      </c>
      <c r="C172" s="34"/>
      <c r="D172" s="59"/>
      <c r="E172" s="19"/>
      <c r="F172" s="59"/>
      <c r="G172" s="19"/>
      <c r="H172" s="6"/>
      <c r="I172" s="6"/>
      <c r="J172" s="6"/>
    </row>
    <row r="173" ht="14.25" customHeight="1">
      <c r="A173" s="6"/>
      <c r="B173" s="18" t="s">
        <v>186</v>
      </c>
      <c r="C173" s="34"/>
      <c r="D173" s="59"/>
      <c r="E173" s="19"/>
      <c r="F173" s="59"/>
      <c r="G173" s="19"/>
      <c r="H173" s="6"/>
      <c r="I173" s="6"/>
      <c r="J173" s="6"/>
    </row>
    <row r="174" ht="14.25" customHeight="1">
      <c r="A174" s="6"/>
      <c r="B174" s="18" t="s">
        <v>186</v>
      </c>
      <c r="C174" s="34"/>
      <c r="D174" s="59"/>
      <c r="E174" s="19"/>
      <c r="F174" s="59"/>
      <c r="G174" s="19"/>
      <c r="H174" s="6"/>
      <c r="I174" s="6"/>
      <c r="J174" s="6"/>
    </row>
    <row r="175" ht="14.25" customHeight="1">
      <c r="A175" s="6"/>
      <c r="B175" s="18" t="s">
        <v>186</v>
      </c>
      <c r="C175" s="34"/>
      <c r="D175" s="59"/>
      <c r="E175" s="19"/>
      <c r="F175" s="59"/>
      <c r="G175" s="19"/>
      <c r="H175" s="6"/>
      <c r="I175" s="6"/>
      <c r="J175" s="6"/>
    </row>
    <row r="176" ht="14.25" customHeight="1">
      <c r="A176" s="6"/>
      <c r="B176" s="18" t="s">
        <v>186</v>
      </c>
      <c r="C176" s="34"/>
      <c r="D176" s="59"/>
      <c r="E176" s="19"/>
      <c r="F176" s="59"/>
      <c r="G176" s="19"/>
      <c r="H176" s="6"/>
      <c r="I176" s="6"/>
      <c r="J176" s="6"/>
    </row>
    <row r="177" ht="14.25" customHeight="1">
      <c r="A177" s="6"/>
      <c r="B177" s="18" t="s">
        <v>186</v>
      </c>
      <c r="C177" s="34"/>
      <c r="D177" s="59"/>
      <c r="E177" s="19"/>
      <c r="F177" s="59"/>
      <c r="G177" s="19"/>
      <c r="H177" s="6"/>
      <c r="I177" s="6"/>
      <c r="J177" s="6"/>
    </row>
    <row r="178" ht="14.25" customHeight="1">
      <c r="A178" s="6"/>
      <c r="B178" s="18" t="s">
        <v>186</v>
      </c>
      <c r="C178" s="34"/>
      <c r="D178" s="59"/>
      <c r="E178" s="19"/>
      <c r="F178" s="59"/>
      <c r="G178" s="19"/>
      <c r="H178" s="6"/>
      <c r="I178" s="6"/>
      <c r="J178" s="6"/>
    </row>
    <row r="179" ht="14.25" customHeight="1">
      <c r="A179" s="6"/>
      <c r="B179" s="18" t="s">
        <v>186</v>
      </c>
      <c r="C179" s="34"/>
      <c r="D179" s="59"/>
      <c r="E179" s="19"/>
      <c r="F179" s="59"/>
      <c r="G179" s="19"/>
      <c r="H179" s="6"/>
      <c r="I179" s="6"/>
      <c r="J179" s="6"/>
    </row>
    <row r="180" ht="14.25" customHeight="1">
      <c r="A180" s="6"/>
      <c r="B180" s="18" t="s">
        <v>186</v>
      </c>
      <c r="C180" s="34"/>
      <c r="D180" s="59"/>
      <c r="E180" s="19"/>
      <c r="F180" s="59"/>
      <c r="G180" s="19"/>
      <c r="H180" s="6"/>
      <c r="I180" s="6"/>
      <c r="J180" s="6"/>
    </row>
    <row r="181" ht="14.25" customHeight="1">
      <c r="A181" s="6"/>
      <c r="B181" s="18" t="s">
        <v>186</v>
      </c>
      <c r="C181" s="34"/>
      <c r="D181" s="59"/>
      <c r="E181" s="19"/>
      <c r="F181" s="59"/>
      <c r="G181" s="19"/>
      <c r="H181" s="6"/>
      <c r="I181" s="6"/>
      <c r="J181" s="6"/>
    </row>
    <row r="182" ht="14.25" customHeight="1">
      <c r="A182" s="6"/>
      <c r="B182" s="18" t="s">
        <v>186</v>
      </c>
      <c r="C182" s="34"/>
      <c r="D182" s="59"/>
      <c r="E182" s="19"/>
      <c r="F182" s="59"/>
      <c r="G182" s="19"/>
      <c r="H182" s="6"/>
      <c r="I182" s="6"/>
      <c r="J182" s="6"/>
    </row>
    <row r="183" ht="14.25" customHeight="1">
      <c r="A183" s="6"/>
      <c r="B183" s="18" t="s">
        <v>186</v>
      </c>
      <c r="C183" s="34"/>
      <c r="D183" s="59"/>
      <c r="E183" s="19"/>
      <c r="F183" s="59"/>
      <c r="G183" s="19"/>
      <c r="H183" s="6"/>
      <c r="I183" s="6"/>
      <c r="J183" s="6"/>
    </row>
    <row r="184" ht="14.25" customHeight="1">
      <c r="A184" s="6"/>
      <c r="B184" s="18" t="s">
        <v>186</v>
      </c>
      <c r="C184" s="34"/>
      <c r="D184" s="59"/>
      <c r="E184" s="19"/>
      <c r="F184" s="59"/>
      <c r="G184" s="19"/>
      <c r="H184" s="6"/>
      <c r="I184" s="6"/>
      <c r="J184" s="6"/>
    </row>
    <row r="185" ht="14.25" customHeight="1">
      <c r="A185" s="6"/>
      <c r="B185" s="18" t="s">
        <v>186</v>
      </c>
      <c r="C185" s="34"/>
      <c r="D185" s="59"/>
      <c r="E185" s="19"/>
      <c r="F185" s="59"/>
      <c r="G185" s="19"/>
      <c r="H185" s="6"/>
      <c r="I185" s="6"/>
      <c r="J185" s="6"/>
    </row>
    <row r="186" ht="14.25" customHeight="1">
      <c r="A186" s="6"/>
      <c r="B186" s="18" t="s">
        <v>186</v>
      </c>
      <c r="C186" s="34"/>
      <c r="D186" s="59"/>
      <c r="E186" s="19"/>
      <c r="F186" s="59"/>
      <c r="G186" s="19"/>
      <c r="H186" s="6"/>
      <c r="I186" s="6"/>
      <c r="J186" s="6"/>
    </row>
    <row r="187" ht="14.25" customHeight="1">
      <c r="A187" s="6"/>
      <c r="B187" s="18" t="s">
        <v>186</v>
      </c>
      <c r="C187" s="34"/>
      <c r="D187" s="59"/>
      <c r="E187" s="19"/>
      <c r="F187" s="59"/>
      <c r="G187" s="19"/>
      <c r="H187" s="6"/>
      <c r="I187" s="6"/>
      <c r="J187" s="6"/>
    </row>
    <row r="188" ht="14.25" customHeight="1">
      <c r="A188" s="6"/>
      <c r="B188" s="18" t="s">
        <v>186</v>
      </c>
      <c r="C188" s="34"/>
      <c r="D188" s="59"/>
      <c r="E188" s="19"/>
      <c r="F188" s="59"/>
      <c r="G188" s="19"/>
      <c r="H188" s="6"/>
      <c r="I188" s="6"/>
      <c r="J188" s="6"/>
    </row>
    <row r="189" ht="14.25" customHeight="1">
      <c r="A189" s="6"/>
      <c r="B189" s="18" t="s">
        <v>186</v>
      </c>
      <c r="C189" s="34"/>
      <c r="D189" s="59"/>
      <c r="E189" s="19"/>
      <c r="F189" s="59"/>
      <c r="G189" s="19"/>
      <c r="H189" s="6"/>
      <c r="I189" s="6"/>
      <c r="J189" s="6"/>
    </row>
    <row r="190" ht="14.25" customHeight="1">
      <c r="A190" s="6"/>
      <c r="B190" s="18" t="s">
        <v>186</v>
      </c>
      <c r="C190" s="34"/>
      <c r="D190" s="59"/>
      <c r="E190" s="19"/>
      <c r="F190" s="59"/>
      <c r="G190" s="19"/>
      <c r="H190" s="6"/>
      <c r="I190" s="6"/>
      <c r="J190" s="6"/>
    </row>
    <row r="191" ht="14.25" customHeight="1">
      <c r="A191" s="6"/>
      <c r="B191" s="18" t="s">
        <v>186</v>
      </c>
      <c r="C191" s="34"/>
      <c r="D191" s="59"/>
      <c r="E191" s="19"/>
      <c r="F191" s="59"/>
      <c r="G191" s="19"/>
      <c r="H191" s="6"/>
      <c r="I191" s="6"/>
      <c r="J191" s="6"/>
    </row>
    <row r="192" ht="14.25" customHeight="1">
      <c r="A192" s="6"/>
      <c r="B192" s="18" t="s">
        <v>186</v>
      </c>
      <c r="C192" s="34"/>
      <c r="D192" s="59"/>
      <c r="E192" s="19"/>
      <c r="F192" s="59"/>
      <c r="G192" s="19"/>
      <c r="H192" s="6"/>
      <c r="I192" s="6"/>
      <c r="J192" s="6"/>
    </row>
    <row r="193" ht="14.25" customHeight="1">
      <c r="A193" s="6"/>
      <c r="B193" s="18" t="s">
        <v>186</v>
      </c>
      <c r="C193" s="34"/>
      <c r="D193" s="59"/>
      <c r="E193" s="19"/>
      <c r="F193" s="59"/>
      <c r="G193" s="19"/>
      <c r="H193" s="6"/>
      <c r="I193" s="6"/>
      <c r="J193" s="6"/>
    </row>
    <row r="194" ht="14.25" customHeight="1">
      <c r="A194" s="6"/>
      <c r="B194" s="18" t="s">
        <v>186</v>
      </c>
      <c r="C194" s="34"/>
      <c r="D194" s="59"/>
      <c r="E194" s="19"/>
      <c r="F194" s="59"/>
      <c r="G194" s="19"/>
      <c r="H194" s="6"/>
      <c r="I194" s="6"/>
      <c r="J194" s="6"/>
    </row>
    <row r="195" ht="14.25" customHeight="1">
      <c r="A195" s="6"/>
      <c r="B195" s="18" t="s">
        <v>186</v>
      </c>
      <c r="C195" s="34"/>
      <c r="D195" s="59"/>
      <c r="E195" s="19"/>
      <c r="F195" s="59"/>
      <c r="G195" s="19"/>
      <c r="H195" s="6"/>
      <c r="I195" s="6"/>
      <c r="J195" s="6"/>
    </row>
    <row r="196" ht="14.25" customHeight="1">
      <c r="A196" s="6"/>
      <c r="B196" s="18" t="s">
        <v>186</v>
      </c>
      <c r="C196" s="34"/>
      <c r="D196" s="59"/>
      <c r="E196" s="19"/>
      <c r="F196" s="59"/>
      <c r="G196" s="19"/>
      <c r="H196" s="6"/>
      <c r="I196" s="6"/>
      <c r="J196" s="6"/>
    </row>
    <row r="197" ht="14.25" customHeight="1">
      <c r="A197" s="6"/>
      <c r="B197" s="18" t="s">
        <v>186</v>
      </c>
      <c r="C197" s="34"/>
      <c r="D197" s="59"/>
      <c r="E197" s="19"/>
      <c r="F197" s="59"/>
      <c r="G197" s="19"/>
      <c r="H197" s="6"/>
      <c r="I197" s="6"/>
      <c r="J197" s="6"/>
    </row>
    <row r="198" ht="14.25" customHeight="1">
      <c r="A198" s="6"/>
      <c r="B198" s="18" t="s">
        <v>186</v>
      </c>
      <c r="C198" s="34"/>
      <c r="D198" s="59"/>
      <c r="E198" s="19"/>
      <c r="F198" s="59"/>
      <c r="G198" s="19"/>
      <c r="H198" s="6"/>
      <c r="I198" s="6"/>
      <c r="J198" s="6"/>
    </row>
    <row r="199" ht="14.25" customHeight="1">
      <c r="A199" s="6"/>
      <c r="B199" s="18" t="s">
        <v>186</v>
      </c>
      <c r="C199" s="34"/>
      <c r="D199" s="59"/>
      <c r="E199" s="19"/>
      <c r="F199" s="59"/>
      <c r="G199" s="19"/>
      <c r="H199" s="6"/>
      <c r="I199" s="6"/>
      <c r="J199" s="6"/>
    </row>
    <row r="200" ht="14.25" customHeight="1">
      <c r="A200" s="6"/>
      <c r="B200" s="18" t="s">
        <v>186</v>
      </c>
      <c r="C200" s="34"/>
      <c r="D200" s="59"/>
      <c r="E200" s="19"/>
      <c r="F200" s="59"/>
      <c r="G200" s="19"/>
      <c r="H200" s="6"/>
      <c r="I200" s="6"/>
      <c r="J200" s="6"/>
    </row>
    <row r="201" ht="14.25" customHeight="1">
      <c r="A201" s="6"/>
      <c r="B201" s="18" t="s">
        <v>186</v>
      </c>
      <c r="C201" s="34"/>
      <c r="D201" s="59"/>
      <c r="E201" s="19"/>
      <c r="F201" s="59"/>
      <c r="G201" s="19"/>
      <c r="H201" s="6"/>
      <c r="I201" s="6"/>
      <c r="J201" s="6"/>
    </row>
    <row r="202" ht="14.25" customHeight="1">
      <c r="A202" s="6"/>
      <c r="B202" s="18" t="s">
        <v>186</v>
      </c>
      <c r="C202" s="34"/>
      <c r="D202" s="59"/>
      <c r="E202" s="19"/>
      <c r="F202" s="59"/>
      <c r="G202" s="19"/>
      <c r="H202" s="6"/>
      <c r="I202" s="6"/>
      <c r="J202" s="6"/>
    </row>
    <row r="203" ht="14.25" customHeight="1">
      <c r="A203" s="6"/>
      <c r="B203" s="18" t="s">
        <v>186</v>
      </c>
      <c r="C203" s="34"/>
      <c r="D203" s="59"/>
      <c r="E203" s="19"/>
      <c r="F203" s="59"/>
      <c r="G203" s="19"/>
      <c r="H203" s="6"/>
      <c r="I203" s="6"/>
      <c r="J203" s="6"/>
    </row>
    <row r="204" ht="14.25" customHeight="1">
      <c r="A204" s="6"/>
      <c r="B204" s="18" t="s">
        <v>186</v>
      </c>
      <c r="C204" s="34"/>
      <c r="D204" s="59"/>
      <c r="E204" s="19"/>
      <c r="F204" s="59"/>
      <c r="G204" s="19"/>
      <c r="H204" s="6"/>
      <c r="I204" s="6"/>
      <c r="J204" s="6"/>
    </row>
    <row r="205" ht="14.25" customHeight="1">
      <c r="A205" s="6"/>
      <c r="B205" s="18" t="s">
        <v>186</v>
      </c>
      <c r="C205" s="34"/>
      <c r="D205" s="59"/>
      <c r="E205" s="19"/>
      <c r="F205" s="59"/>
      <c r="G205" s="19"/>
      <c r="H205" s="6"/>
      <c r="I205" s="6"/>
      <c r="J205" s="6"/>
    </row>
    <row r="206" ht="14.25" customHeight="1">
      <c r="A206" s="6"/>
      <c r="B206" s="18" t="s">
        <v>186</v>
      </c>
      <c r="C206" s="34"/>
      <c r="D206" s="59"/>
      <c r="E206" s="19"/>
      <c r="F206" s="59"/>
      <c r="G206" s="19"/>
      <c r="H206" s="6"/>
      <c r="I206" s="6"/>
      <c r="J206" s="6"/>
    </row>
    <row r="207" ht="14.25" customHeight="1">
      <c r="A207" s="6"/>
      <c r="B207" s="18" t="s">
        <v>186</v>
      </c>
      <c r="C207" s="34"/>
      <c r="D207" s="59"/>
      <c r="E207" s="19"/>
      <c r="F207" s="59"/>
      <c r="G207" s="19"/>
      <c r="H207" s="6"/>
      <c r="I207" s="6"/>
      <c r="J207" s="6"/>
    </row>
    <row r="208" ht="14.25" customHeight="1">
      <c r="A208" s="6"/>
      <c r="B208" s="18" t="s">
        <v>186</v>
      </c>
      <c r="C208" s="34"/>
      <c r="D208" s="59"/>
      <c r="E208" s="19"/>
      <c r="F208" s="59"/>
      <c r="G208" s="19"/>
      <c r="H208" s="6"/>
      <c r="I208" s="6"/>
      <c r="J208" s="6"/>
    </row>
    <row r="209" ht="14.25" customHeight="1">
      <c r="A209" s="6"/>
      <c r="B209" s="18" t="s">
        <v>186</v>
      </c>
      <c r="C209" s="34"/>
      <c r="D209" s="59"/>
      <c r="E209" s="19"/>
      <c r="F209" s="59"/>
      <c r="G209" s="19"/>
      <c r="H209" s="6"/>
      <c r="I209" s="6"/>
      <c r="J209" s="6"/>
    </row>
    <row r="210" ht="14.25" customHeight="1">
      <c r="A210" s="6"/>
      <c r="B210" s="18" t="s">
        <v>186</v>
      </c>
      <c r="C210" s="34"/>
      <c r="D210" s="59"/>
      <c r="E210" s="19"/>
      <c r="F210" s="59"/>
      <c r="G210" s="19"/>
      <c r="H210" s="6"/>
      <c r="I210" s="6"/>
      <c r="J210" s="6"/>
    </row>
    <row r="211" ht="14.25" customHeight="1">
      <c r="A211" s="6"/>
      <c r="B211" s="18" t="s">
        <v>186</v>
      </c>
      <c r="C211" s="34"/>
      <c r="D211" s="59"/>
      <c r="E211" s="19"/>
      <c r="F211" s="59"/>
      <c r="G211" s="19"/>
      <c r="H211" s="6"/>
      <c r="I211" s="6"/>
      <c r="J211" s="6"/>
    </row>
    <row r="212" ht="14.25" customHeight="1">
      <c r="A212" s="6"/>
      <c r="B212" s="18" t="s">
        <v>186</v>
      </c>
      <c r="C212" s="34"/>
      <c r="D212" s="59"/>
      <c r="E212" s="19"/>
      <c r="F212" s="59"/>
      <c r="G212" s="19"/>
      <c r="H212" s="6"/>
      <c r="I212" s="6"/>
      <c r="J212" s="6"/>
    </row>
    <row r="213" ht="14.25" customHeight="1">
      <c r="A213" s="6"/>
      <c r="B213" s="18" t="s">
        <v>186</v>
      </c>
      <c r="C213" s="34"/>
      <c r="D213" s="59"/>
      <c r="E213" s="19"/>
      <c r="F213" s="59"/>
      <c r="G213" s="19"/>
      <c r="H213" s="6"/>
      <c r="I213" s="6"/>
      <c r="J213" s="6"/>
    </row>
    <row r="214" ht="14.25" customHeight="1">
      <c r="A214" s="6"/>
      <c r="B214" s="18" t="s">
        <v>186</v>
      </c>
      <c r="C214" s="34"/>
      <c r="D214" s="59"/>
      <c r="E214" s="19"/>
      <c r="F214" s="59"/>
      <c r="G214" s="19"/>
      <c r="H214" s="6"/>
      <c r="I214" s="6"/>
      <c r="J214" s="6"/>
    </row>
    <row r="215" ht="14.25" customHeight="1">
      <c r="A215" s="6"/>
      <c r="B215" s="18" t="s">
        <v>186</v>
      </c>
      <c r="C215" s="34"/>
      <c r="D215" s="59"/>
      <c r="E215" s="19"/>
      <c r="F215" s="59"/>
      <c r="G215" s="19"/>
      <c r="H215" s="6"/>
      <c r="I215" s="6"/>
      <c r="J215" s="6"/>
    </row>
    <row r="216" ht="14.25" customHeight="1">
      <c r="A216" s="6"/>
      <c r="B216" s="18" t="s">
        <v>186</v>
      </c>
      <c r="C216" s="34"/>
      <c r="D216" s="59"/>
      <c r="E216" s="19"/>
      <c r="F216" s="59"/>
      <c r="G216" s="19"/>
      <c r="H216" s="6"/>
      <c r="I216" s="6"/>
      <c r="J216" s="6"/>
    </row>
    <row r="217" ht="14.25" customHeight="1">
      <c r="A217" s="6"/>
      <c r="B217" s="18" t="s">
        <v>186</v>
      </c>
      <c r="C217" s="34"/>
      <c r="D217" s="59"/>
      <c r="E217" s="19"/>
      <c r="F217" s="59"/>
      <c r="G217" s="19"/>
      <c r="H217" s="6"/>
      <c r="I217" s="6"/>
      <c r="J217" s="6"/>
    </row>
    <row r="218" ht="14.25" customHeight="1">
      <c r="A218" s="6"/>
      <c r="B218" s="18" t="s">
        <v>186</v>
      </c>
      <c r="C218" s="34"/>
      <c r="D218" s="59"/>
      <c r="E218" s="19"/>
      <c r="F218" s="59"/>
      <c r="G218" s="19"/>
      <c r="H218" s="6"/>
      <c r="I218" s="6"/>
      <c r="J218" s="6"/>
    </row>
    <row r="219" ht="14.25" customHeight="1">
      <c r="A219" s="6"/>
      <c r="B219" s="18" t="s">
        <v>186</v>
      </c>
      <c r="C219" s="34"/>
      <c r="D219" s="59"/>
      <c r="E219" s="19"/>
      <c r="F219" s="59"/>
      <c r="G219" s="19"/>
      <c r="H219" s="6"/>
      <c r="I219" s="6"/>
      <c r="J219" s="6"/>
    </row>
    <row r="220" ht="14.25" customHeight="1">
      <c r="A220" s="6"/>
      <c r="B220" s="18" t="s">
        <v>186</v>
      </c>
      <c r="C220" s="34"/>
      <c r="D220" s="59"/>
      <c r="E220" s="19"/>
      <c r="F220" s="59"/>
      <c r="G220" s="19"/>
      <c r="H220" s="6"/>
      <c r="I220" s="6"/>
      <c r="J220" s="6"/>
    </row>
    <row r="221" ht="14.25" customHeight="1">
      <c r="A221" s="6"/>
      <c r="B221" s="18" t="s">
        <v>186</v>
      </c>
      <c r="C221" s="34"/>
      <c r="D221" s="59"/>
      <c r="E221" s="19"/>
      <c r="F221" s="59"/>
      <c r="G221" s="19"/>
      <c r="H221" s="6"/>
      <c r="I221" s="6"/>
      <c r="J221" s="6"/>
    </row>
    <row r="222" ht="14.25" customHeight="1">
      <c r="A222" s="6"/>
      <c r="B222" s="18" t="s">
        <v>186</v>
      </c>
      <c r="C222" s="34"/>
      <c r="D222" s="59"/>
      <c r="E222" s="19"/>
      <c r="F222" s="59"/>
      <c r="G222" s="19"/>
      <c r="H222" s="6"/>
      <c r="I222" s="6"/>
      <c r="J222" s="6"/>
    </row>
    <row r="223" ht="14.25" customHeight="1">
      <c r="A223" s="6"/>
      <c r="B223" s="18" t="s">
        <v>186</v>
      </c>
      <c r="C223" s="34"/>
      <c r="D223" s="59"/>
      <c r="E223" s="19"/>
      <c r="F223" s="59"/>
      <c r="G223" s="19"/>
      <c r="H223" s="6"/>
      <c r="I223" s="6"/>
      <c r="J223" s="6"/>
    </row>
    <row r="224" ht="14.25" customHeight="1">
      <c r="A224" s="6"/>
      <c r="B224" s="18" t="s">
        <v>186</v>
      </c>
      <c r="C224" s="34"/>
      <c r="D224" s="59"/>
      <c r="E224" s="19"/>
      <c r="F224" s="59"/>
      <c r="G224" s="19"/>
      <c r="H224" s="6"/>
      <c r="I224" s="6"/>
      <c r="J224" s="6"/>
    </row>
    <row r="225" ht="14.25" customHeight="1">
      <c r="A225" s="6"/>
      <c r="B225" s="18" t="s">
        <v>186</v>
      </c>
      <c r="C225" s="34"/>
      <c r="D225" s="59"/>
      <c r="E225" s="19"/>
      <c r="F225" s="59"/>
      <c r="G225" s="19"/>
      <c r="H225" s="6"/>
      <c r="I225" s="6"/>
      <c r="J225" s="6"/>
    </row>
    <row r="226" ht="14.25" customHeight="1">
      <c r="A226" s="6"/>
      <c r="B226" s="18" t="s">
        <v>186</v>
      </c>
      <c r="C226" s="34"/>
      <c r="D226" s="59"/>
      <c r="E226" s="19"/>
      <c r="F226" s="59"/>
      <c r="G226" s="19"/>
      <c r="H226" s="6"/>
      <c r="I226" s="6"/>
      <c r="J226" s="6"/>
    </row>
    <row r="227" ht="14.25" customHeight="1">
      <c r="A227" s="6"/>
      <c r="B227" s="18" t="s">
        <v>186</v>
      </c>
      <c r="C227" s="34"/>
      <c r="D227" s="59"/>
      <c r="E227" s="19"/>
      <c r="F227" s="59"/>
      <c r="G227" s="19"/>
      <c r="H227" s="6"/>
      <c r="I227" s="6"/>
      <c r="J227" s="6"/>
    </row>
    <row r="228" ht="14.25" customHeight="1">
      <c r="A228" s="6"/>
      <c r="B228" s="18" t="s">
        <v>186</v>
      </c>
      <c r="C228" s="34"/>
      <c r="D228" s="59"/>
      <c r="E228" s="19"/>
      <c r="F228" s="59"/>
      <c r="G228" s="19"/>
      <c r="H228" s="6"/>
      <c r="I228" s="6"/>
      <c r="J228" s="6"/>
    </row>
    <row r="229" ht="14.25" customHeight="1">
      <c r="A229" s="6"/>
      <c r="B229" s="18" t="s">
        <v>186</v>
      </c>
      <c r="C229" s="34"/>
      <c r="D229" s="59"/>
      <c r="E229" s="19"/>
      <c r="F229" s="59"/>
      <c r="G229" s="19"/>
      <c r="H229" s="6"/>
      <c r="I229" s="6"/>
      <c r="J229" s="6"/>
    </row>
    <row r="230" ht="14.25" customHeight="1">
      <c r="A230" s="6"/>
      <c r="B230" s="18" t="s">
        <v>186</v>
      </c>
      <c r="C230" s="34"/>
      <c r="D230" s="59"/>
      <c r="E230" s="19"/>
      <c r="F230" s="59"/>
      <c r="G230" s="19"/>
      <c r="H230" s="6"/>
      <c r="I230" s="6"/>
      <c r="J230" s="6"/>
    </row>
    <row r="231" ht="14.25" customHeight="1">
      <c r="A231" s="6"/>
      <c r="B231" s="18" t="s">
        <v>186</v>
      </c>
      <c r="C231" s="34"/>
      <c r="D231" s="59"/>
      <c r="E231" s="19"/>
      <c r="F231" s="59"/>
      <c r="G231" s="19"/>
      <c r="H231" s="6"/>
      <c r="I231" s="6"/>
      <c r="J231" s="6"/>
    </row>
    <row r="232" ht="14.25" customHeight="1">
      <c r="A232" s="6"/>
      <c r="B232" s="18" t="s">
        <v>186</v>
      </c>
      <c r="C232" s="34"/>
      <c r="D232" s="59"/>
      <c r="E232" s="19"/>
      <c r="F232" s="59"/>
      <c r="G232" s="19"/>
      <c r="H232" s="6"/>
      <c r="I232" s="6"/>
      <c r="J232" s="6"/>
    </row>
    <row r="233" ht="14.25" customHeight="1">
      <c r="A233" s="6"/>
      <c r="B233" s="18" t="s">
        <v>186</v>
      </c>
      <c r="C233" s="34"/>
      <c r="D233" s="59"/>
      <c r="E233" s="19"/>
      <c r="F233" s="59"/>
      <c r="G233" s="19"/>
      <c r="H233" s="6"/>
      <c r="I233" s="6"/>
      <c r="J233" s="6"/>
    </row>
    <row r="234" ht="14.25" customHeight="1">
      <c r="A234" s="6"/>
      <c r="B234" s="18" t="s">
        <v>186</v>
      </c>
      <c r="C234" s="34"/>
      <c r="D234" s="59"/>
      <c r="E234" s="19"/>
      <c r="F234" s="59"/>
      <c r="G234" s="19"/>
      <c r="H234" s="6"/>
      <c r="I234" s="6"/>
      <c r="J234" s="6"/>
    </row>
    <row r="235" ht="14.25" customHeight="1">
      <c r="A235" s="6"/>
      <c r="B235" s="18" t="s">
        <v>186</v>
      </c>
      <c r="C235" s="34"/>
      <c r="D235" s="59"/>
      <c r="E235" s="19"/>
      <c r="F235" s="59"/>
      <c r="G235" s="19"/>
      <c r="H235" s="6"/>
      <c r="I235" s="6"/>
      <c r="J235" s="6"/>
    </row>
    <row r="236" ht="14.25" customHeight="1">
      <c r="A236" s="6"/>
      <c r="B236" s="18" t="s">
        <v>186</v>
      </c>
      <c r="C236" s="34"/>
      <c r="D236" s="59"/>
      <c r="E236" s="19"/>
      <c r="F236" s="59"/>
      <c r="G236" s="19"/>
      <c r="H236" s="6"/>
      <c r="I236" s="6"/>
      <c r="J236" s="6"/>
    </row>
    <row r="237" ht="14.25" customHeight="1">
      <c r="A237" s="6"/>
      <c r="B237" s="18" t="s">
        <v>186</v>
      </c>
      <c r="C237" s="34"/>
      <c r="D237" s="59"/>
      <c r="E237" s="19"/>
      <c r="F237" s="59"/>
      <c r="G237" s="19"/>
      <c r="H237" s="6"/>
      <c r="I237" s="6"/>
      <c r="J237" s="6"/>
    </row>
    <row r="238" ht="14.25" customHeight="1">
      <c r="A238" s="6"/>
      <c r="B238" s="18" t="s">
        <v>186</v>
      </c>
      <c r="C238" s="34"/>
      <c r="D238" s="59"/>
      <c r="E238" s="19"/>
      <c r="F238" s="59"/>
      <c r="G238" s="19"/>
      <c r="H238" s="6"/>
      <c r="I238" s="6"/>
      <c r="J238" s="6"/>
    </row>
    <row r="239" ht="14.25" customHeight="1">
      <c r="A239" s="6"/>
      <c r="B239" s="18" t="s">
        <v>186</v>
      </c>
      <c r="C239" s="34"/>
      <c r="D239" s="59"/>
      <c r="E239" s="19"/>
      <c r="F239" s="59"/>
      <c r="G239" s="19"/>
      <c r="H239" s="6"/>
      <c r="I239" s="6"/>
      <c r="J239" s="6"/>
    </row>
    <row r="240" ht="14.25" customHeight="1">
      <c r="A240" s="6"/>
      <c r="B240" s="18" t="s">
        <v>186</v>
      </c>
      <c r="C240" s="34"/>
      <c r="D240" s="59"/>
      <c r="E240" s="19"/>
      <c r="F240" s="59"/>
      <c r="G240" s="19"/>
      <c r="H240" s="6"/>
      <c r="I240" s="6"/>
      <c r="J240" s="6"/>
    </row>
    <row r="241" ht="14.25" customHeight="1">
      <c r="A241" s="6"/>
      <c r="B241" s="18" t="s">
        <v>186</v>
      </c>
      <c r="C241" s="34"/>
      <c r="D241" s="59"/>
      <c r="E241" s="19"/>
      <c r="F241" s="59"/>
      <c r="G241" s="19"/>
      <c r="H241" s="6"/>
      <c r="I241" s="6"/>
      <c r="J241" s="6"/>
    </row>
    <row r="242" ht="14.25" customHeight="1">
      <c r="A242" s="6"/>
      <c r="B242" s="18" t="s">
        <v>186</v>
      </c>
      <c r="C242" s="34"/>
      <c r="D242" s="59"/>
      <c r="E242" s="19"/>
      <c r="F242" s="59"/>
      <c r="G242" s="19"/>
      <c r="H242" s="6"/>
      <c r="I242" s="6"/>
      <c r="J242" s="6"/>
    </row>
    <row r="243" ht="14.25" customHeight="1">
      <c r="A243" s="6"/>
      <c r="B243" s="18" t="s">
        <v>186</v>
      </c>
      <c r="C243" s="34"/>
      <c r="D243" s="59"/>
      <c r="E243" s="19"/>
      <c r="F243" s="59"/>
      <c r="G243" s="19"/>
      <c r="H243" s="6"/>
      <c r="I243" s="6"/>
      <c r="J243" s="6"/>
    </row>
    <row r="244" ht="14.25" customHeight="1">
      <c r="A244" s="6"/>
      <c r="B244" s="18" t="s">
        <v>186</v>
      </c>
      <c r="C244" s="34"/>
      <c r="D244" s="59"/>
      <c r="E244" s="19"/>
      <c r="F244" s="59"/>
      <c r="G244" s="19"/>
      <c r="H244" s="6"/>
      <c r="I244" s="6"/>
      <c r="J244" s="6"/>
    </row>
    <row r="245" ht="14.25" customHeight="1">
      <c r="A245" s="6"/>
      <c r="B245" s="18" t="s">
        <v>186</v>
      </c>
      <c r="C245" s="34"/>
      <c r="D245" s="59"/>
      <c r="E245" s="19"/>
      <c r="F245" s="59"/>
      <c r="G245" s="19"/>
      <c r="H245" s="6"/>
      <c r="I245" s="6"/>
      <c r="J245" s="6"/>
    </row>
    <row r="246" ht="14.25" customHeight="1">
      <c r="A246" s="6"/>
      <c r="B246" s="18" t="s">
        <v>186</v>
      </c>
      <c r="C246" s="34"/>
      <c r="D246" s="59"/>
      <c r="E246" s="19"/>
      <c r="F246" s="59"/>
      <c r="G246" s="19"/>
      <c r="H246" s="6"/>
      <c r="I246" s="6"/>
      <c r="J246" s="6"/>
    </row>
    <row r="247" ht="14.25" customHeight="1">
      <c r="A247" s="6"/>
      <c r="B247" s="18" t="s">
        <v>186</v>
      </c>
      <c r="C247" s="34"/>
      <c r="D247" s="59"/>
      <c r="E247" s="19"/>
      <c r="F247" s="59"/>
      <c r="G247" s="19"/>
      <c r="H247" s="6"/>
      <c r="I247" s="6"/>
      <c r="J247" s="6"/>
    </row>
    <row r="248" ht="14.25" customHeight="1">
      <c r="A248" s="6"/>
      <c r="B248" s="18" t="s">
        <v>186</v>
      </c>
      <c r="C248" s="34"/>
      <c r="D248" s="59"/>
      <c r="E248" s="19"/>
      <c r="F248" s="59"/>
      <c r="G248" s="19"/>
      <c r="H248" s="6"/>
      <c r="I248" s="6"/>
      <c r="J248" s="6"/>
    </row>
    <row r="249" ht="14.25" customHeight="1">
      <c r="A249" s="6"/>
      <c r="B249" s="18" t="s">
        <v>186</v>
      </c>
      <c r="C249" s="34"/>
      <c r="D249" s="59"/>
      <c r="E249" s="19"/>
      <c r="F249" s="59"/>
      <c r="G249" s="19"/>
      <c r="H249" s="6"/>
      <c r="I249" s="6"/>
      <c r="J249" s="6"/>
    </row>
    <row r="250" ht="14.25" customHeight="1">
      <c r="A250" s="6"/>
      <c r="B250" s="18" t="s">
        <v>186</v>
      </c>
      <c r="C250" s="34"/>
      <c r="D250" s="59"/>
      <c r="E250" s="19"/>
      <c r="F250" s="59"/>
      <c r="G250" s="19"/>
      <c r="H250" s="6"/>
      <c r="I250" s="6"/>
      <c r="J250" s="6"/>
    </row>
    <row r="251" ht="14.25" customHeight="1">
      <c r="A251" s="6"/>
      <c r="B251" s="18" t="s">
        <v>186</v>
      </c>
      <c r="C251" s="34"/>
      <c r="D251" s="59"/>
      <c r="E251" s="19"/>
      <c r="F251" s="59"/>
      <c r="G251" s="19"/>
      <c r="H251" s="6"/>
      <c r="I251" s="6"/>
      <c r="J251" s="6"/>
    </row>
    <row r="252" ht="14.25" customHeight="1">
      <c r="A252" s="6"/>
      <c r="B252" s="18" t="s">
        <v>186</v>
      </c>
      <c r="C252" s="34"/>
      <c r="D252" s="59"/>
      <c r="E252" s="19"/>
      <c r="F252" s="59"/>
      <c r="G252" s="19"/>
      <c r="H252" s="6"/>
      <c r="I252" s="6"/>
      <c r="J252" s="6"/>
    </row>
    <row r="253" ht="14.25" customHeight="1">
      <c r="A253" s="6"/>
      <c r="B253" s="18" t="s">
        <v>186</v>
      </c>
      <c r="C253" s="34"/>
      <c r="D253" s="59"/>
      <c r="E253" s="19"/>
      <c r="F253" s="59"/>
      <c r="G253" s="19"/>
      <c r="H253" s="6"/>
      <c r="I253" s="6"/>
      <c r="J253" s="6"/>
    </row>
    <row r="254" ht="14.25" customHeight="1">
      <c r="A254" s="6"/>
      <c r="B254" s="18" t="s">
        <v>186</v>
      </c>
      <c r="C254" s="34"/>
      <c r="D254" s="59"/>
      <c r="E254" s="19"/>
      <c r="F254" s="59"/>
      <c r="G254" s="19"/>
      <c r="H254" s="6"/>
      <c r="I254" s="6"/>
      <c r="J254" s="6"/>
    </row>
    <row r="255" ht="14.25" customHeight="1">
      <c r="A255" s="6"/>
      <c r="B255" s="18" t="s">
        <v>186</v>
      </c>
      <c r="C255" s="34"/>
      <c r="D255" s="59"/>
      <c r="E255" s="19"/>
      <c r="F255" s="59"/>
      <c r="G255" s="19"/>
      <c r="H255" s="6"/>
      <c r="I255" s="6"/>
      <c r="J255" s="6"/>
    </row>
    <row r="256" ht="14.25" customHeight="1">
      <c r="A256" s="6"/>
      <c r="B256" s="18" t="s">
        <v>186</v>
      </c>
      <c r="C256" s="34"/>
      <c r="D256" s="59"/>
      <c r="E256" s="19"/>
      <c r="F256" s="59"/>
      <c r="G256" s="19"/>
      <c r="H256" s="6"/>
      <c r="I256" s="6"/>
      <c r="J256" s="6"/>
    </row>
    <row r="257" ht="14.25" customHeight="1">
      <c r="A257" s="6"/>
      <c r="B257" s="18" t="s">
        <v>186</v>
      </c>
      <c r="C257" s="34"/>
      <c r="D257" s="59"/>
      <c r="E257" s="19"/>
      <c r="F257" s="59"/>
      <c r="G257" s="19"/>
      <c r="H257" s="6"/>
      <c r="I257" s="6"/>
      <c r="J257" s="6"/>
    </row>
    <row r="258" ht="14.25" customHeight="1">
      <c r="A258" s="6"/>
      <c r="B258" s="18" t="s">
        <v>186</v>
      </c>
      <c r="C258" s="34"/>
      <c r="D258" s="59"/>
      <c r="E258" s="19"/>
      <c r="F258" s="59"/>
      <c r="G258" s="19"/>
      <c r="H258" s="6"/>
      <c r="I258" s="6"/>
      <c r="J258" s="6"/>
    </row>
    <row r="259" ht="14.25" customHeight="1">
      <c r="A259" s="6"/>
      <c r="B259" s="18" t="s">
        <v>186</v>
      </c>
      <c r="C259" s="34"/>
      <c r="D259" s="59"/>
      <c r="E259" s="19"/>
      <c r="F259" s="59"/>
      <c r="G259" s="19"/>
      <c r="H259" s="6"/>
      <c r="I259" s="6"/>
      <c r="J259" s="6"/>
    </row>
    <row r="260" ht="14.25" customHeight="1">
      <c r="A260" s="6"/>
      <c r="B260" s="18" t="s">
        <v>186</v>
      </c>
      <c r="C260" s="34"/>
      <c r="D260" s="59"/>
      <c r="E260" s="19"/>
      <c r="F260" s="59"/>
      <c r="G260" s="19"/>
      <c r="H260" s="6"/>
      <c r="I260" s="6"/>
      <c r="J260" s="6"/>
    </row>
    <row r="261" ht="14.25" customHeight="1">
      <c r="A261" s="6"/>
      <c r="B261" s="18" t="s">
        <v>186</v>
      </c>
      <c r="C261" s="34"/>
      <c r="D261" s="59"/>
      <c r="E261" s="19"/>
      <c r="F261" s="59"/>
      <c r="G261" s="19"/>
      <c r="H261" s="6"/>
      <c r="I261" s="6"/>
      <c r="J261" s="6"/>
    </row>
    <row r="262" ht="14.25" customHeight="1">
      <c r="A262" s="6"/>
      <c r="B262" s="18" t="s">
        <v>186</v>
      </c>
      <c r="C262" s="34"/>
      <c r="D262" s="59"/>
      <c r="E262" s="19"/>
      <c r="F262" s="59"/>
      <c r="G262" s="19"/>
      <c r="H262" s="6"/>
      <c r="I262" s="6"/>
      <c r="J262" s="6"/>
    </row>
    <row r="263" ht="14.25" customHeight="1">
      <c r="A263" s="6"/>
      <c r="B263" s="18" t="s">
        <v>186</v>
      </c>
      <c r="C263" s="34"/>
      <c r="D263" s="59"/>
      <c r="E263" s="19"/>
      <c r="F263" s="59"/>
      <c r="G263" s="19"/>
      <c r="H263" s="6"/>
      <c r="I263" s="6"/>
      <c r="J263" s="6"/>
    </row>
    <row r="264" ht="14.25" customHeight="1">
      <c r="A264" s="6"/>
      <c r="B264" s="18" t="s">
        <v>186</v>
      </c>
      <c r="C264" s="34"/>
      <c r="D264" s="59"/>
      <c r="E264" s="19"/>
      <c r="F264" s="59"/>
      <c r="G264" s="19"/>
      <c r="H264" s="6"/>
      <c r="I264" s="6"/>
      <c r="J264" s="6"/>
    </row>
    <row r="265" ht="14.25" customHeight="1">
      <c r="A265" s="6"/>
      <c r="B265" s="18" t="s">
        <v>186</v>
      </c>
      <c r="C265" s="34"/>
      <c r="D265" s="59"/>
      <c r="E265" s="19"/>
      <c r="F265" s="59"/>
      <c r="G265" s="19"/>
      <c r="H265" s="6"/>
      <c r="I265" s="6"/>
      <c r="J265" s="6"/>
    </row>
    <row r="266" ht="14.25" customHeight="1">
      <c r="A266" s="6"/>
      <c r="B266" s="18" t="s">
        <v>186</v>
      </c>
      <c r="C266" s="34"/>
      <c r="D266" s="59"/>
      <c r="E266" s="19"/>
      <c r="F266" s="59"/>
      <c r="G266" s="19"/>
      <c r="H266" s="6"/>
      <c r="I266" s="6"/>
      <c r="J266" s="6"/>
    </row>
    <row r="267" ht="14.25" customHeight="1">
      <c r="A267" s="6"/>
      <c r="B267" s="18" t="s">
        <v>186</v>
      </c>
      <c r="C267" s="34"/>
      <c r="D267" s="59"/>
      <c r="E267" s="19"/>
      <c r="F267" s="59"/>
      <c r="G267" s="19"/>
      <c r="H267" s="6"/>
      <c r="I267" s="6"/>
      <c r="J267" s="6"/>
    </row>
    <row r="268" ht="14.25" customHeight="1">
      <c r="A268" s="6"/>
      <c r="B268" s="18" t="s">
        <v>186</v>
      </c>
      <c r="C268" s="34"/>
      <c r="D268" s="59"/>
      <c r="E268" s="19"/>
      <c r="F268" s="59"/>
      <c r="G268" s="19"/>
      <c r="H268" s="6"/>
      <c r="I268" s="6"/>
      <c r="J268" s="6"/>
    </row>
    <row r="269" ht="14.25" customHeight="1">
      <c r="A269" s="6"/>
      <c r="B269" s="18" t="s">
        <v>186</v>
      </c>
      <c r="C269" s="34"/>
      <c r="D269" s="59"/>
      <c r="E269" s="19"/>
      <c r="F269" s="59"/>
      <c r="G269" s="19"/>
      <c r="H269" s="6"/>
      <c r="I269" s="6"/>
      <c r="J269" s="6"/>
    </row>
    <row r="270" ht="14.25" customHeight="1">
      <c r="A270" s="6"/>
      <c r="B270" s="18" t="s">
        <v>186</v>
      </c>
      <c r="C270" s="34"/>
      <c r="D270" s="59"/>
      <c r="E270" s="19"/>
      <c r="F270" s="59"/>
      <c r="G270" s="19"/>
      <c r="H270" s="6"/>
      <c r="I270" s="6"/>
      <c r="J270" s="6"/>
    </row>
    <row r="271" ht="14.25" customHeight="1">
      <c r="A271" s="6"/>
      <c r="B271" s="18" t="s">
        <v>186</v>
      </c>
      <c r="C271" s="34"/>
      <c r="D271" s="59"/>
      <c r="E271" s="19"/>
      <c r="F271" s="59"/>
      <c r="G271" s="19"/>
      <c r="H271" s="6"/>
      <c r="I271" s="6"/>
      <c r="J271" s="6"/>
    </row>
    <row r="272" ht="14.25" customHeight="1">
      <c r="A272" s="6"/>
      <c r="B272" s="18" t="s">
        <v>186</v>
      </c>
      <c r="C272" s="34"/>
      <c r="D272" s="59"/>
      <c r="E272" s="19"/>
      <c r="F272" s="59"/>
      <c r="G272" s="19"/>
      <c r="H272" s="6"/>
      <c r="I272" s="6"/>
      <c r="J272" s="6"/>
    </row>
    <row r="273" ht="14.25" customHeight="1">
      <c r="A273" s="6"/>
      <c r="B273" s="18" t="s">
        <v>186</v>
      </c>
      <c r="C273" s="34"/>
      <c r="D273" s="59"/>
      <c r="E273" s="19"/>
      <c r="F273" s="59"/>
      <c r="G273" s="19"/>
      <c r="H273" s="6"/>
      <c r="I273" s="6"/>
      <c r="J273" s="6"/>
    </row>
    <row r="274" ht="14.25" customHeight="1">
      <c r="A274" s="6"/>
      <c r="B274" s="18" t="s">
        <v>186</v>
      </c>
      <c r="C274" s="34"/>
      <c r="D274" s="59"/>
      <c r="E274" s="19"/>
      <c r="F274" s="59"/>
      <c r="G274" s="19"/>
      <c r="H274" s="6"/>
      <c r="I274" s="6"/>
      <c r="J274" s="6"/>
    </row>
    <row r="275" ht="14.25" customHeight="1">
      <c r="A275" s="6"/>
      <c r="B275" s="18" t="s">
        <v>186</v>
      </c>
      <c r="C275" s="34"/>
      <c r="D275" s="59"/>
      <c r="E275" s="19"/>
      <c r="F275" s="59"/>
      <c r="G275" s="19"/>
      <c r="H275" s="6"/>
      <c r="I275" s="6"/>
      <c r="J275" s="6"/>
    </row>
    <row r="276" ht="14.25" customHeight="1">
      <c r="A276" s="6"/>
      <c r="B276" s="18" t="s">
        <v>186</v>
      </c>
      <c r="C276" s="34"/>
      <c r="D276" s="59"/>
      <c r="E276" s="19"/>
      <c r="F276" s="59"/>
      <c r="G276" s="19"/>
      <c r="H276" s="6"/>
      <c r="I276" s="6"/>
      <c r="J276" s="6"/>
    </row>
    <row r="277" ht="14.25" customHeight="1">
      <c r="A277" s="6"/>
      <c r="B277" s="18" t="s">
        <v>186</v>
      </c>
      <c r="C277" s="34"/>
      <c r="D277" s="59"/>
      <c r="E277" s="19"/>
      <c r="F277" s="59"/>
      <c r="G277" s="19"/>
      <c r="H277" s="6"/>
      <c r="I277" s="6"/>
      <c r="J277" s="6"/>
    </row>
    <row r="278" ht="14.25" customHeight="1">
      <c r="A278" s="6"/>
      <c r="B278" s="18" t="s">
        <v>186</v>
      </c>
      <c r="C278" s="34"/>
      <c r="D278" s="59"/>
      <c r="E278" s="19"/>
      <c r="F278" s="59"/>
      <c r="G278" s="19"/>
      <c r="H278" s="6"/>
      <c r="I278" s="6"/>
      <c r="J278" s="6"/>
    </row>
    <row r="279" ht="14.25" customHeight="1">
      <c r="A279" s="6"/>
      <c r="B279" s="18" t="s">
        <v>186</v>
      </c>
      <c r="C279" s="34"/>
      <c r="D279" s="59"/>
      <c r="E279" s="19"/>
      <c r="F279" s="59"/>
      <c r="G279" s="19"/>
      <c r="H279" s="6"/>
      <c r="I279" s="6"/>
      <c r="J279" s="6"/>
    </row>
    <row r="280" ht="14.25" customHeight="1">
      <c r="A280" s="6"/>
      <c r="B280" s="18" t="s">
        <v>186</v>
      </c>
      <c r="C280" s="34"/>
      <c r="D280" s="59"/>
      <c r="E280" s="19"/>
      <c r="F280" s="59"/>
      <c r="G280" s="19"/>
      <c r="H280" s="6"/>
      <c r="I280" s="6"/>
      <c r="J280" s="6"/>
    </row>
    <row r="281" ht="14.25" customHeight="1">
      <c r="A281" s="6"/>
      <c r="B281" s="18" t="s">
        <v>186</v>
      </c>
      <c r="C281" s="34"/>
      <c r="D281" s="59"/>
      <c r="E281" s="19"/>
      <c r="F281" s="59"/>
      <c r="G281" s="19"/>
      <c r="H281" s="6"/>
      <c r="I281" s="6"/>
      <c r="J281" s="6"/>
    </row>
    <row r="282" ht="14.25" customHeight="1">
      <c r="A282" s="6"/>
      <c r="B282" s="18" t="s">
        <v>186</v>
      </c>
      <c r="C282" s="34"/>
      <c r="D282" s="59"/>
      <c r="E282" s="19"/>
      <c r="F282" s="59"/>
      <c r="G282" s="19"/>
      <c r="H282" s="6"/>
      <c r="I282" s="6"/>
      <c r="J282" s="6"/>
    </row>
    <row r="283" ht="14.25" customHeight="1">
      <c r="A283" s="6"/>
      <c r="B283" s="18" t="s">
        <v>186</v>
      </c>
      <c r="C283" s="34"/>
      <c r="D283" s="59"/>
      <c r="E283" s="19"/>
      <c r="F283" s="59"/>
      <c r="G283" s="19"/>
      <c r="H283" s="6"/>
      <c r="I283" s="6"/>
      <c r="J283" s="6"/>
    </row>
    <row r="284" ht="14.25" customHeight="1">
      <c r="A284" s="6"/>
      <c r="B284" s="18" t="s">
        <v>186</v>
      </c>
      <c r="C284" s="34"/>
      <c r="D284" s="59"/>
      <c r="E284" s="19"/>
      <c r="F284" s="59"/>
      <c r="G284" s="19"/>
      <c r="H284" s="6"/>
      <c r="I284" s="6"/>
      <c r="J284" s="6"/>
    </row>
    <row r="285" ht="14.25" customHeight="1">
      <c r="A285" s="6"/>
      <c r="B285" s="18" t="s">
        <v>186</v>
      </c>
      <c r="C285" s="34"/>
      <c r="D285" s="59"/>
      <c r="E285" s="19"/>
      <c r="F285" s="59"/>
      <c r="G285" s="19"/>
      <c r="H285" s="6"/>
      <c r="I285" s="6"/>
      <c r="J285" s="6"/>
    </row>
    <row r="286" ht="14.25" customHeight="1">
      <c r="A286" s="6"/>
      <c r="B286" s="18" t="s">
        <v>186</v>
      </c>
      <c r="C286" s="34"/>
      <c r="D286" s="59"/>
      <c r="E286" s="19"/>
      <c r="F286" s="59"/>
      <c r="G286" s="19"/>
      <c r="H286" s="6"/>
      <c r="I286" s="6"/>
      <c r="J286" s="6"/>
    </row>
    <row r="287" ht="14.25" customHeight="1">
      <c r="A287" s="6"/>
      <c r="B287" s="18" t="s">
        <v>186</v>
      </c>
      <c r="C287" s="34"/>
      <c r="D287" s="59"/>
      <c r="E287" s="19"/>
      <c r="F287" s="59"/>
      <c r="G287" s="19"/>
      <c r="H287" s="6"/>
      <c r="I287" s="6"/>
      <c r="J287" s="6"/>
    </row>
    <row r="288" ht="14.25" customHeight="1">
      <c r="A288" s="6"/>
      <c r="B288" s="18" t="s">
        <v>186</v>
      </c>
      <c r="C288" s="34"/>
      <c r="D288" s="59"/>
      <c r="E288" s="19"/>
      <c r="F288" s="59"/>
      <c r="G288" s="19"/>
      <c r="H288" s="6"/>
      <c r="I288" s="6"/>
      <c r="J288" s="6"/>
    </row>
    <row r="289" ht="14.25" customHeight="1">
      <c r="A289" s="6"/>
      <c r="B289" s="18" t="s">
        <v>186</v>
      </c>
      <c r="C289" s="34"/>
      <c r="D289" s="59"/>
      <c r="E289" s="19"/>
      <c r="F289" s="59"/>
      <c r="G289" s="19"/>
      <c r="H289" s="6"/>
      <c r="I289" s="6"/>
      <c r="J289" s="6"/>
    </row>
    <row r="290" ht="14.25" customHeight="1">
      <c r="A290" s="6"/>
      <c r="B290" s="18" t="s">
        <v>186</v>
      </c>
      <c r="C290" s="34"/>
      <c r="D290" s="59"/>
      <c r="E290" s="19"/>
      <c r="F290" s="59"/>
      <c r="G290" s="19"/>
      <c r="H290" s="6"/>
      <c r="I290" s="6"/>
      <c r="J290" s="6"/>
    </row>
    <row r="291" ht="14.25" customHeight="1">
      <c r="A291" s="6"/>
      <c r="B291" s="18" t="s">
        <v>186</v>
      </c>
      <c r="C291" s="34"/>
      <c r="D291" s="59"/>
      <c r="E291" s="19"/>
      <c r="F291" s="59"/>
      <c r="G291" s="19"/>
      <c r="H291" s="6"/>
      <c r="I291" s="6"/>
      <c r="J291" s="6"/>
    </row>
    <row r="292" ht="14.25" customHeight="1">
      <c r="A292" s="6"/>
      <c r="B292" s="18" t="s">
        <v>186</v>
      </c>
      <c r="C292" s="34"/>
      <c r="D292" s="59"/>
      <c r="E292" s="19"/>
      <c r="F292" s="59"/>
      <c r="G292" s="19"/>
      <c r="H292" s="6"/>
      <c r="I292" s="6"/>
      <c r="J292" s="6"/>
    </row>
    <row r="293" ht="14.25" customHeight="1">
      <c r="A293" s="6"/>
      <c r="B293" s="18" t="s">
        <v>186</v>
      </c>
      <c r="C293" s="34"/>
      <c r="D293" s="59"/>
      <c r="E293" s="19"/>
      <c r="F293" s="59"/>
      <c r="G293" s="19"/>
      <c r="H293" s="6"/>
      <c r="I293" s="6"/>
      <c r="J293" s="6"/>
    </row>
    <row r="294" ht="14.25" customHeight="1">
      <c r="A294" s="6"/>
      <c r="B294" s="18" t="s">
        <v>186</v>
      </c>
      <c r="C294" s="34"/>
      <c r="D294" s="59"/>
      <c r="E294" s="19"/>
      <c r="F294" s="59"/>
      <c r="G294" s="19"/>
      <c r="H294" s="6"/>
      <c r="I294" s="6"/>
      <c r="J294" s="6"/>
    </row>
    <row r="295" ht="14.25" customHeight="1">
      <c r="A295" s="6"/>
      <c r="B295" s="18" t="s">
        <v>186</v>
      </c>
      <c r="C295" s="34"/>
      <c r="D295" s="59"/>
      <c r="E295" s="19"/>
      <c r="F295" s="59"/>
      <c r="G295" s="19"/>
      <c r="H295" s="6"/>
      <c r="I295" s="6"/>
      <c r="J295" s="6"/>
    </row>
    <row r="296" ht="14.25" customHeight="1">
      <c r="A296" s="6"/>
      <c r="B296" s="18" t="s">
        <v>186</v>
      </c>
      <c r="C296" s="34"/>
      <c r="D296" s="59"/>
      <c r="E296" s="19"/>
      <c r="F296" s="59"/>
      <c r="G296" s="19"/>
      <c r="H296" s="6"/>
      <c r="I296" s="6"/>
      <c r="J296" s="6"/>
    </row>
    <row r="297" ht="14.25" customHeight="1">
      <c r="A297" s="6"/>
      <c r="B297" s="18" t="s">
        <v>186</v>
      </c>
      <c r="C297" s="34"/>
      <c r="D297" s="59"/>
      <c r="E297" s="19"/>
      <c r="F297" s="59"/>
      <c r="G297" s="19"/>
      <c r="H297" s="6"/>
      <c r="I297" s="6"/>
      <c r="J297" s="6"/>
    </row>
    <row r="298" ht="14.25" customHeight="1">
      <c r="A298" s="6"/>
      <c r="B298" s="18" t="s">
        <v>186</v>
      </c>
      <c r="C298" s="34"/>
      <c r="D298" s="59"/>
      <c r="E298" s="19"/>
      <c r="F298" s="59"/>
      <c r="G298" s="19"/>
      <c r="H298" s="6"/>
      <c r="I298" s="6"/>
      <c r="J298" s="6"/>
    </row>
    <row r="299" ht="14.25" customHeight="1">
      <c r="A299" s="6"/>
      <c r="B299" s="18" t="s">
        <v>186</v>
      </c>
      <c r="C299" s="34"/>
      <c r="D299" s="59"/>
      <c r="E299" s="19"/>
      <c r="F299" s="59"/>
      <c r="G299" s="19"/>
      <c r="H299" s="6"/>
      <c r="I299" s="6"/>
      <c r="J299" s="6"/>
    </row>
    <row r="300" ht="14.25" customHeight="1">
      <c r="A300" s="6"/>
      <c r="B300" s="18" t="s">
        <v>186</v>
      </c>
      <c r="C300" s="34"/>
      <c r="D300" s="59"/>
      <c r="E300" s="19"/>
      <c r="F300" s="59"/>
      <c r="G300" s="19"/>
      <c r="H300" s="6"/>
      <c r="I300" s="6"/>
      <c r="J300" s="6"/>
    </row>
    <row r="301" ht="14.25" customHeight="1">
      <c r="A301" s="6"/>
      <c r="B301" s="18" t="s">
        <v>186</v>
      </c>
      <c r="C301" s="34"/>
      <c r="D301" s="59"/>
      <c r="E301" s="19"/>
      <c r="F301" s="59"/>
      <c r="G301" s="19"/>
      <c r="H301" s="6"/>
      <c r="I301" s="6"/>
      <c r="J301" s="6"/>
    </row>
    <row r="302" ht="14.25" customHeight="1">
      <c r="A302" s="6"/>
      <c r="B302" s="18" t="s">
        <v>186</v>
      </c>
      <c r="C302" s="34"/>
      <c r="D302" s="59"/>
      <c r="E302" s="19"/>
      <c r="F302" s="59"/>
      <c r="G302" s="19"/>
      <c r="H302" s="6"/>
      <c r="I302" s="6"/>
      <c r="J302" s="6"/>
    </row>
    <row r="303" ht="14.25" customHeight="1">
      <c r="A303" s="6"/>
      <c r="B303" s="18" t="s">
        <v>186</v>
      </c>
      <c r="C303" s="34"/>
      <c r="D303" s="59"/>
      <c r="E303" s="19"/>
      <c r="F303" s="59"/>
      <c r="G303" s="19"/>
      <c r="H303" s="6"/>
      <c r="I303" s="6"/>
      <c r="J303" s="6"/>
    </row>
    <row r="304" ht="14.25" customHeight="1">
      <c r="A304" s="6"/>
      <c r="B304" s="18" t="s">
        <v>186</v>
      </c>
      <c r="C304" s="34"/>
      <c r="D304" s="59"/>
      <c r="E304" s="19"/>
      <c r="F304" s="59"/>
      <c r="G304" s="19"/>
      <c r="H304" s="6"/>
      <c r="I304" s="6"/>
      <c r="J304" s="6"/>
    </row>
    <row r="305" ht="14.25" customHeight="1">
      <c r="A305" s="6"/>
      <c r="B305" s="18" t="s">
        <v>186</v>
      </c>
      <c r="C305" s="34"/>
      <c r="D305" s="59"/>
      <c r="E305" s="19"/>
      <c r="F305" s="59"/>
      <c r="G305" s="19"/>
      <c r="H305" s="6"/>
      <c r="I305" s="6"/>
      <c r="J305" s="6"/>
    </row>
    <row r="306" ht="14.25" customHeight="1">
      <c r="A306" s="6"/>
      <c r="B306" s="18" t="s">
        <v>186</v>
      </c>
      <c r="C306" s="34"/>
      <c r="D306" s="59"/>
      <c r="E306" s="19"/>
      <c r="F306" s="59"/>
      <c r="G306" s="19"/>
      <c r="H306" s="6"/>
      <c r="I306" s="6"/>
      <c r="J306" s="6"/>
    </row>
    <row r="307" ht="14.25" customHeight="1">
      <c r="A307" s="6"/>
      <c r="B307" s="18" t="s">
        <v>186</v>
      </c>
      <c r="C307" s="34"/>
      <c r="D307" s="59"/>
      <c r="E307" s="19"/>
      <c r="F307" s="59"/>
      <c r="G307" s="19"/>
      <c r="H307" s="6"/>
      <c r="I307" s="6"/>
      <c r="J307" s="6"/>
    </row>
    <row r="308" ht="14.25" customHeight="1">
      <c r="A308" s="6"/>
      <c r="B308" s="18" t="s">
        <v>186</v>
      </c>
      <c r="C308" s="34"/>
      <c r="D308" s="59"/>
      <c r="E308" s="19"/>
      <c r="F308" s="59"/>
      <c r="G308" s="19"/>
      <c r="H308" s="6"/>
      <c r="I308" s="6"/>
      <c r="J308" s="6"/>
    </row>
    <row r="309" ht="14.25" customHeight="1">
      <c r="A309" s="6"/>
      <c r="B309" s="18" t="s">
        <v>186</v>
      </c>
      <c r="C309" s="34"/>
      <c r="D309" s="59"/>
      <c r="E309" s="19"/>
      <c r="F309" s="59"/>
      <c r="G309" s="19"/>
      <c r="H309" s="6"/>
      <c r="I309" s="6"/>
      <c r="J309" s="6"/>
    </row>
    <row r="310" ht="14.25" customHeight="1">
      <c r="A310" s="6"/>
      <c r="B310" s="18" t="s">
        <v>186</v>
      </c>
      <c r="C310" s="34"/>
      <c r="D310" s="59"/>
      <c r="E310" s="19"/>
      <c r="F310" s="59"/>
      <c r="G310" s="19"/>
      <c r="H310" s="6"/>
      <c r="I310" s="6"/>
      <c r="J310" s="6"/>
    </row>
    <row r="311" ht="14.25" customHeight="1">
      <c r="A311" s="6"/>
      <c r="B311" s="18" t="s">
        <v>186</v>
      </c>
      <c r="C311" s="34"/>
      <c r="D311" s="59"/>
      <c r="E311" s="19"/>
      <c r="F311" s="59"/>
      <c r="G311" s="19"/>
      <c r="H311" s="6"/>
      <c r="I311" s="6"/>
      <c r="J311" s="6"/>
    </row>
    <row r="312" ht="14.25" customHeight="1">
      <c r="A312" s="6"/>
      <c r="B312" s="18" t="s">
        <v>186</v>
      </c>
      <c r="C312" s="34"/>
      <c r="D312" s="59"/>
      <c r="E312" s="19"/>
      <c r="F312" s="59"/>
      <c r="G312" s="19"/>
      <c r="H312" s="6"/>
      <c r="I312" s="6"/>
      <c r="J312" s="6"/>
    </row>
    <row r="313" ht="14.25" customHeight="1">
      <c r="A313" s="6"/>
      <c r="B313" s="18" t="s">
        <v>186</v>
      </c>
      <c r="C313" s="34"/>
      <c r="D313" s="59"/>
      <c r="E313" s="19"/>
      <c r="F313" s="59"/>
      <c r="G313" s="19"/>
      <c r="H313" s="6"/>
      <c r="I313" s="6"/>
      <c r="J313" s="6"/>
    </row>
    <row r="314" ht="14.25" customHeight="1">
      <c r="A314" s="6"/>
      <c r="B314" s="18" t="s">
        <v>186</v>
      </c>
      <c r="C314" s="34"/>
      <c r="D314" s="59"/>
      <c r="E314" s="19"/>
      <c r="F314" s="59"/>
      <c r="G314" s="19"/>
      <c r="H314" s="6"/>
      <c r="I314" s="6"/>
      <c r="J314" s="6"/>
    </row>
    <row r="315" ht="14.25" customHeight="1">
      <c r="A315" s="6"/>
      <c r="B315" s="18" t="s">
        <v>186</v>
      </c>
      <c r="C315" s="34"/>
      <c r="D315" s="59"/>
      <c r="E315" s="19"/>
      <c r="F315" s="59"/>
      <c r="G315" s="19"/>
      <c r="H315" s="6"/>
      <c r="I315" s="6"/>
      <c r="J315" s="6"/>
    </row>
    <row r="316" ht="14.25" customHeight="1">
      <c r="A316" s="6"/>
      <c r="B316" s="18" t="s">
        <v>186</v>
      </c>
      <c r="C316" s="34"/>
      <c r="D316" s="59"/>
      <c r="E316" s="19"/>
      <c r="F316" s="59"/>
      <c r="G316" s="19"/>
      <c r="H316" s="6"/>
      <c r="I316" s="6"/>
      <c r="J316" s="6"/>
    </row>
    <row r="317" ht="14.25" customHeight="1">
      <c r="A317" s="6"/>
      <c r="B317" s="18" t="s">
        <v>186</v>
      </c>
      <c r="C317" s="34"/>
      <c r="D317" s="59"/>
      <c r="E317" s="19"/>
      <c r="F317" s="59"/>
      <c r="G317" s="19"/>
      <c r="H317" s="6"/>
      <c r="I317" s="6"/>
      <c r="J317" s="6"/>
    </row>
    <row r="318" ht="14.25" customHeight="1">
      <c r="A318" s="6"/>
      <c r="B318" s="18" t="s">
        <v>186</v>
      </c>
      <c r="C318" s="34"/>
      <c r="D318" s="59"/>
      <c r="E318" s="19"/>
      <c r="F318" s="59"/>
      <c r="G318" s="19"/>
      <c r="H318" s="6"/>
      <c r="I318" s="6"/>
      <c r="J318" s="6"/>
    </row>
    <row r="319" ht="14.25" customHeight="1">
      <c r="A319" s="6"/>
      <c r="B319" s="18" t="s">
        <v>186</v>
      </c>
      <c r="C319" s="34"/>
      <c r="D319" s="59"/>
      <c r="E319" s="19"/>
      <c r="F319" s="59"/>
      <c r="G319" s="19"/>
      <c r="H319" s="6"/>
      <c r="I319" s="6"/>
      <c r="J319" s="6"/>
    </row>
    <row r="320" ht="14.25" customHeight="1">
      <c r="A320" s="6"/>
      <c r="B320" s="18" t="s">
        <v>186</v>
      </c>
      <c r="C320" s="34"/>
      <c r="D320" s="59"/>
      <c r="E320" s="19"/>
      <c r="F320" s="59"/>
      <c r="G320" s="19"/>
      <c r="H320" s="6"/>
      <c r="I320" s="6"/>
      <c r="J320" s="6"/>
    </row>
    <row r="321" ht="14.25" customHeight="1">
      <c r="A321" s="6"/>
      <c r="B321" s="18" t="s">
        <v>186</v>
      </c>
      <c r="C321" s="34"/>
      <c r="D321" s="59"/>
      <c r="E321" s="19"/>
      <c r="F321" s="59"/>
      <c r="G321" s="19"/>
      <c r="H321" s="6"/>
      <c r="I321" s="6"/>
      <c r="J321" s="6"/>
    </row>
    <row r="322" ht="14.25" customHeight="1">
      <c r="A322" s="6"/>
      <c r="B322" s="18" t="s">
        <v>186</v>
      </c>
      <c r="C322" s="34"/>
      <c r="D322" s="59"/>
      <c r="E322" s="19"/>
      <c r="F322" s="59"/>
      <c r="G322" s="19"/>
      <c r="H322" s="6"/>
      <c r="I322" s="6"/>
      <c r="J322" s="6"/>
    </row>
    <row r="323" ht="14.25" customHeight="1">
      <c r="A323" s="6"/>
      <c r="B323" s="18" t="s">
        <v>186</v>
      </c>
      <c r="C323" s="34"/>
      <c r="D323" s="59"/>
      <c r="E323" s="19"/>
      <c r="F323" s="59"/>
      <c r="G323" s="19"/>
      <c r="H323" s="6"/>
      <c r="I323" s="6"/>
      <c r="J323" s="6"/>
    </row>
    <row r="324" ht="14.25" customHeight="1">
      <c r="A324" s="6"/>
      <c r="B324" s="18" t="s">
        <v>186</v>
      </c>
      <c r="C324" s="34"/>
      <c r="D324" s="59"/>
      <c r="E324" s="19"/>
      <c r="F324" s="59"/>
      <c r="G324" s="19"/>
      <c r="H324" s="6"/>
      <c r="I324" s="6"/>
      <c r="J324" s="6"/>
    </row>
    <row r="325" ht="14.25" customHeight="1">
      <c r="A325" s="6"/>
      <c r="B325" s="18" t="s">
        <v>186</v>
      </c>
      <c r="C325" s="34"/>
      <c r="D325" s="59"/>
      <c r="E325" s="19"/>
      <c r="F325" s="59"/>
      <c r="G325" s="19"/>
      <c r="H325" s="6"/>
      <c r="I325" s="6"/>
      <c r="J325" s="6"/>
    </row>
    <row r="326" ht="14.25" customHeight="1">
      <c r="A326" s="6"/>
      <c r="B326" s="18" t="s">
        <v>186</v>
      </c>
      <c r="C326" s="34"/>
      <c r="D326" s="59"/>
      <c r="E326" s="19"/>
      <c r="F326" s="59"/>
      <c r="G326" s="19"/>
      <c r="H326" s="6"/>
      <c r="I326" s="6"/>
      <c r="J326" s="6"/>
    </row>
    <row r="327" ht="14.25" customHeight="1">
      <c r="A327" s="6"/>
      <c r="B327" s="18" t="s">
        <v>186</v>
      </c>
      <c r="C327" s="34"/>
      <c r="D327" s="59"/>
      <c r="E327" s="19"/>
      <c r="F327" s="59"/>
      <c r="G327" s="19"/>
      <c r="H327" s="6"/>
      <c r="I327" s="6"/>
      <c r="J327" s="6"/>
    </row>
    <row r="328" ht="14.25" customHeight="1">
      <c r="A328" s="6"/>
      <c r="B328" s="18" t="s">
        <v>186</v>
      </c>
      <c r="C328" s="34"/>
      <c r="D328" s="59"/>
      <c r="E328" s="19"/>
      <c r="F328" s="59"/>
      <c r="G328" s="19"/>
      <c r="H328" s="6"/>
      <c r="I328" s="6"/>
      <c r="J328" s="6"/>
    </row>
    <row r="329" ht="14.25" customHeight="1">
      <c r="A329" s="6"/>
      <c r="B329" s="18" t="s">
        <v>186</v>
      </c>
      <c r="C329" s="34"/>
      <c r="D329" s="59"/>
      <c r="E329" s="19"/>
      <c r="F329" s="59"/>
      <c r="G329" s="19"/>
      <c r="H329" s="6"/>
      <c r="I329" s="6"/>
      <c r="J329" s="6"/>
    </row>
    <row r="330" ht="14.25" customHeight="1">
      <c r="A330" s="6"/>
      <c r="B330" s="18" t="s">
        <v>186</v>
      </c>
      <c r="C330" s="34"/>
      <c r="D330" s="59"/>
      <c r="E330" s="19"/>
      <c r="F330" s="59"/>
      <c r="G330" s="19"/>
      <c r="H330" s="6"/>
      <c r="I330" s="6"/>
      <c r="J330" s="6"/>
    </row>
    <row r="331" ht="14.25" customHeight="1">
      <c r="A331" s="6"/>
      <c r="B331" s="18" t="s">
        <v>186</v>
      </c>
      <c r="C331" s="34"/>
      <c r="D331" s="59"/>
      <c r="E331" s="19"/>
      <c r="F331" s="59"/>
      <c r="G331" s="19"/>
      <c r="H331" s="6"/>
      <c r="I331" s="6"/>
      <c r="J331" s="6"/>
    </row>
    <row r="332" ht="14.25" customHeight="1">
      <c r="A332" s="6"/>
      <c r="B332" s="18" t="s">
        <v>186</v>
      </c>
      <c r="C332" s="34"/>
      <c r="D332" s="59"/>
      <c r="E332" s="19"/>
      <c r="F332" s="59"/>
      <c r="G332" s="19"/>
      <c r="H332" s="6"/>
      <c r="I332" s="6"/>
      <c r="J332" s="6"/>
    </row>
    <row r="333" ht="14.25" customHeight="1">
      <c r="A333" s="6"/>
      <c r="B333" s="18" t="s">
        <v>186</v>
      </c>
      <c r="C333" s="34"/>
      <c r="D333" s="59"/>
      <c r="E333" s="19"/>
      <c r="F333" s="59"/>
      <c r="G333" s="19"/>
      <c r="H333" s="6"/>
      <c r="I333" s="6"/>
      <c r="J333" s="6"/>
    </row>
    <row r="334" ht="14.25" customHeight="1">
      <c r="A334" s="6"/>
      <c r="B334" s="18" t="s">
        <v>186</v>
      </c>
      <c r="C334" s="34"/>
      <c r="D334" s="59"/>
      <c r="E334" s="19"/>
      <c r="F334" s="59"/>
      <c r="G334" s="19"/>
      <c r="H334" s="6"/>
      <c r="I334" s="6"/>
      <c r="J334" s="6"/>
    </row>
    <row r="335" ht="14.25" customHeight="1">
      <c r="A335" s="6"/>
      <c r="B335" s="18" t="s">
        <v>186</v>
      </c>
      <c r="C335" s="34"/>
      <c r="D335" s="59"/>
      <c r="E335" s="19"/>
      <c r="F335" s="59"/>
      <c r="G335" s="19"/>
      <c r="H335" s="6"/>
      <c r="I335" s="6"/>
      <c r="J335" s="6"/>
    </row>
    <row r="336" ht="14.25" customHeight="1">
      <c r="A336" s="6"/>
      <c r="B336" s="18" t="s">
        <v>186</v>
      </c>
      <c r="C336" s="34"/>
      <c r="D336" s="59"/>
      <c r="E336" s="19"/>
      <c r="F336" s="59"/>
      <c r="G336" s="19"/>
      <c r="H336" s="6"/>
      <c r="I336" s="6"/>
      <c r="J336" s="6"/>
    </row>
    <row r="337" ht="14.25" customHeight="1">
      <c r="A337" s="6"/>
      <c r="B337" s="18" t="s">
        <v>186</v>
      </c>
      <c r="C337" s="34"/>
      <c r="D337" s="59"/>
      <c r="E337" s="19"/>
      <c r="F337" s="59"/>
      <c r="G337" s="19"/>
      <c r="H337" s="6"/>
      <c r="I337" s="6"/>
      <c r="J337" s="6"/>
    </row>
    <row r="338" ht="14.25" customHeight="1">
      <c r="A338" s="6"/>
      <c r="B338" s="18" t="s">
        <v>186</v>
      </c>
      <c r="C338" s="34"/>
      <c r="D338" s="59"/>
      <c r="E338" s="19"/>
      <c r="F338" s="59"/>
      <c r="G338" s="19"/>
      <c r="H338" s="6"/>
      <c r="I338" s="6"/>
      <c r="J338" s="6"/>
    </row>
    <row r="339" ht="14.25" customHeight="1">
      <c r="A339" s="6"/>
      <c r="B339" s="18" t="s">
        <v>186</v>
      </c>
      <c r="C339" s="34"/>
      <c r="D339" s="59"/>
      <c r="E339" s="19"/>
      <c r="F339" s="59"/>
      <c r="G339" s="19"/>
      <c r="H339" s="6"/>
      <c r="I339" s="6"/>
      <c r="J339" s="6"/>
    </row>
    <row r="340" ht="14.25" customHeight="1">
      <c r="A340" s="6"/>
      <c r="B340" s="18" t="s">
        <v>186</v>
      </c>
      <c r="C340" s="34"/>
      <c r="D340" s="59"/>
      <c r="E340" s="19"/>
      <c r="F340" s="59"/>
      <c r="G340" s="19"/>
      <c r="H340" s="6"/>
      <c r="I340" s="6"/>
      <c r="J340" s="6"/>
    </row>
    <row r="341" ht="14.25" customHeight="1">
      <c r="A341" s="6"/>
      <c r="B341" s="18" t="s">
        <v>186</v>
      </c>
      <c r="C341" s="34"/>
      <c r="D341" s="59"/>
      <c r="E341" s="19"/>
      <c r="F341" s="59"/>
      <c r="G341" s="19"/>
      <c r="H341" s="6"/>
      <c r="I341" s="6"/>
      <c r="J341" s="6"/>
    </row>
    <row r="342" ht="14.25" customHeight="1">
      <c r="A342" s="6"/>
      <c r="B342" s="18" t="s">
        <v>186</v>
      </c>
      <c r="C342" s="34"/>
      <c r="D342" s="59"/>
      <c r="E342" s="19"/>
      <c r="F342" s="59"/>
      <c r="G342" s="19"/>
      <c r="H342" s="6"/>
      <c r="I342" s="6"/>
      <c r="J342" s="6"/>
    </row>
    <row r="343" ht="14.25" customHeight="1">
      <c r="A343" s="6"/>
      <c r="B343" s="18" t="s">
        <v>186</v>
      </c>
      <c r="C343" s="34"/>
      <c r="D343" s="59"/>
      <c r="E343" s="19"/>
      <c r="F343" s="59"/>
      <c r="G343" s="19"/>
      <c r="H343" s="6"/>
      <c r="I343" s="6"/>
      <c r="J343" s="6"/>
    </row>
    <row r="344" ht="14.25" customHeight="1">
      <c r="A344" s="6"/>
      <c r="B344" s="18" t="s">
        <v>186</v>
      </c>
      <c r="C344" s="34"/>
      <c r="D344" s="59"/>
      <c r="E344" s="19"/>
      <c r="F344" s="59"/>
      <c r="G344" s="19"/>
      <c r="H344" s="6"/>
      <c r="I344" s="6"/>
      <c r="J344" s="6"/>
    </row>
    <row r="345" ht="14.25" customHeight="1">
      <c r="A345" s="6"/>
      <c r="B345" s="18" t="s">
        <v>186</v>
      </c>
      <c r="C345" s="34"/>
      <c r="D345" s="59"/>
      <c r="E345" s="19"/>
      <c r="F345" s="59"/>
      <c r="G345" s="19"/>
      <c r="H345" s="6"/>
      <c r="I345" s="6"/>
      <c r="J345" s="6"/>
    </row>
    <row r="346" ht="14.25" customHeight="1">
      <c r="A346" s="6"/>
      <c r="B346" s="18" t="s">
        <v>186</v>
      </c>
      <c r="C346" s="34"/>
      <c r="D346" s="59"/>
      <c r="E346" s="19"/>
      <c r="F346" s="59"/>
      <c r="G346" s="19"/>
      <c r="H346" s="6"/>
      <c r="I346" s="6"/>
      <c r="J346" s="6"/>
    </row>
    <row r="347" ht="14.25" customHeight="1">
      <c r="A347" s="6"/>
      <c r="B347" s="18" t="s">
        <v>186</v>
      </c>
      <c r="C347" s="34"/>
      <c r="D347" s="59"/>
      <c r="E347" s="19"/>
      <c r="F347" s="59"/>
      <c r="G347" s="19"/>
      <c r="H347" s="6"/>
      <c r="I347" s="6"/>
      <c r="J347" s="6"/>
    </row>
    <row r="348" ht="14.25" customHeight="1">
      <c r="A348" s="6"/>
      <c r="B348" s="18" t="s">
        <v>186</v>
      </c>
      <c r="C348" s="34"/>
      <c r="D348" s="59"/>
      <c r="E348" s="19"/>
      <c r="F348" s="59"/>
      <c r="G348" s="19"/>
      <c r="H348" s="6"/>
      <c r="I348" s="6"/>
      <c r="J348" s="6"/>
    </row>
    <row r="349" ht="14.25" customHeight="1">
      <c r="A349" s="6"/>
      <c r="B349" s="18" t="s">
        <v>186</v>
      </c>
      <c r="C349" s="34"/>
      <c r="D349" s="59"/>
      <c r="E349" s="19"/>
      <c r="F349" s="59"/>
      <c r="G349" s="19"/>
      <c r="H349" s="6"/>
      <c r="I349" s="6"/>
      <c r="J349" s="6"/>
    </row>
    <row r="350" ht="14.25" customHeight="1">
      <c r="A350" s="6"/>
      <c r="B350" s="18" t="s">
        <v>186</v>
      </c>
      <c r="C350" s="34"/>
      <c r="D350" s="59"/>
      <c r="E350" s="19"/>
      <c r="F350" s="59"/>
      <c r="G350" s="19"/>
      <c r="H350" s="6"/>
      <c r="I350" s="6"/>
      <c r="J350" s="6"/>
    </row>
    <row r="351" ht="14.25" customHeight="1">
      <c r="A351" s="6"/>
      <c r="B351" s="18" t="s">
        <v>186</v>
      </c>
      <c r="C351" s="34"/>
      <c r="D351" s="59"/>
      <c r="E351" s="19"/>
      <c r="F351" s="59"/>
      <c r="G351" s="19"/>
      <c r="H351" s="6"/>
      <c r="I351" s="6"/>
      <c r="J351" s="6"/>
    </row>
    <row r="352" ht="14.25" customHeight="1">
      <c r="A352" s="6"/>
      <c r="B352" s="18" t="s">
        <v>186</v>
      </c>
      <c r="C352" s="34"/>
      <c r="D352" s="59"/>
      <c r="E352" s="19"/>
      <c r="F352" s="59"/>
      <c r="G352" s="19"/>
      <c r="H352" s="6"/>
      <c r="I352" s="6"/>
      <c r="J352" s="6"/>
    </row>
    <row r="353" ht="14.25" customHeight="1">
      <c r="A353" s="6"/>
      <c r="B353" s="18" t="s">
        <v>186</v>
      </c>
      <c r="C353" s="34"/>
      <c r="D353" s="59"/>
      <c r="E353" s="19"/>
      <c r="F353" s="59"/>
      <c r="G353" s="19"/>
      <c r="H353" s="6"/>
      <c r="I353" s="6"/>
      <c r="J353" s="6"/>
    </row>
    <row r="354" ht="14.25" customHeight="1">
      <c r="A354" s="6"/>
      <c r="B354" s="18" t="s">
        <v>186</v>
      </c>
      <c r="C354" s="34"/>
      <c r="D354" s="59"/>
      <c r="E354" s="19"/>
      <c r="F354" s="59"/>
      <c r="G354" s="19"/>
      <c r="H354" s="6"/>
      <c r="I354" s="6"/>
      <c r="J354" s="6"/>
    </row>
    <row r="355" ht="14.25" customHeight="1">
      <c r="A355" s="6"/>
      <c r="B355" s="18" t="s">
        <v>186</v>
      </c>
      <c r="C355" s="34"/>
      <c r="D355" s="59"/>
      <c r="E355" s="19"/>
      <c r="F355" s="59"/>
      <c r="G355" s="19"/>
      <c r="H355" s="6"/>
      <c r="I355" s="6"/>
      <c r="J355" s="6"/>
    </row>
    <row r="356" ht="14.25" customHeight="1">
      <c r="A356" s="6"/>
      <c r="B356" s="18" t="s">
        <v>186</v>
      </c>
      <c r="C356" s="34"/>
      <c r="D356" s="59"/>
      <c r="E356" s="19"/>
      <c r="F356" s="59"/>
      <c r="G356" s="19"/>
      <c r="H356" s="6"/>
      <c r="I356" s="6"/>
      <c r="J356" s="6"/>
    </row>
    <row r="357" ht="14.25" customHeight="1">
      <c r="A357" s="6"/>
      <c r="B357" s="18" t="s">
        <v>186</v>
      </c>
      <c r="C357" s="34"/>
      <c r="D357" s="59"/>
      <c r="E357" s="19"/>
      <c r="F357" s="59"/>
      <c r="G357" s="19"/>
      <c r="H357" s="6"/>
      <c r="I357" s="6"/>
      <c r="J357" s="6"/>
    </row>
    <row r="358" ht="14.25" customHeight="1">
      <c r="A358" s="6"/>
      <c r="B358" s="18" t="s">
        <v>186</v>
      </c>
      <c r="C358" s="34"/>
      <c r="D358" s="59"/>
      <c r="E358" s="19"/>
      <c r="F358" s="59"/>
      <c r="G358" s="19"/>
      <c r="H358" s="6"/>
      <c r="I358" s="6"/>
      <c r="J358" s="6"/>
    </row>
    <row r="359" ht="14.25" customHeight="1">
      <c r="A359" s="6"/>
      <c r="B359" s="18" t="s">
        <v>186</v>
      </c>
      <c r="C359" s="34"/>
      <c r="D359" s="59"/>
      <c r="E359" s="19"/>
      <c r="F359" s="59"/>
      <c r="G359" s="19"/>
      <c r="H359" s="6"/>
      <c r="I359" s="6"/>
      <c r="J359" s="6"/>
    </row>
    <row r="360" ht="14.25" customHeight="1">
      <c r="A360" s="6"/>
      <c r="B360" s="18" t="s">
        <v>186</v>
      </c>
      <c r="C360" s="34"/>
      <c r="D360" s="59"/>
      <c r="E360" s="19"/>
      <c r="F360" s="59"/>
      <c r="G360" s="19"/>
      <c r="H360" s="6"/>
      <c r="I360" s="6"/>
      <c r="J360" s="6"/>
    </row>
    <row r="361" ht="14.25" customHeight="1">
      <c r="A361" s="6"/>
      <c r="B361" s="18" t="s">
        <v>186</v>
      </c>
      <c r="C361" s="34"/>
      <c r="D361" s="59"/>
      <c r="E361" s="19"/>
      <c r="F361" s="59"/>
      <c r="G361" s="19"/>
      <c r="H361" s="6"/>
      <c r="I361" s="6"/>
      <c r="J361" s="6"/>
    </row>
    <row r="362" ht="14.25" customHeight="1">
      <c r="A362" s="6"/>
      <c r="B362" s="18" t="s">
        <v>186</v>
      </c>
      <c r="C362" s="34"/>
      <c r="D362" s="59"/>
      <c r="E362" s="19"/>
      <c r="F362" s="59"/>
      <c r="G362" s="19"/>
      <c r="H362" s="6"/>
      <c r="I362" s="6"/>
      <c r="J362" s="6"/>
    </row>
    <row r="363" ht="14.25" customHeight="1">
      <c r="A363" s="6"/>
      <c r="B363" s="18" t="s">
        <v>186</v>
      </c>
      <c r="C363" s="34"/>
      <c r="D363" s="59"/>
      <c r="E363" s="19"/>
      <c r="F363" s="59"/>
      <c r="G363" s="19"/>
      <c r="H363" s="6"/>
      <c r="I363" s="6"/>
      <c r="J363" s="6"/>
    </row>
    <row r="364" ht="14.25" customHeight="1">
      <c r="A364" s="6"/>
      <c r="B364" s="18" t="s">
        <v>186</v>
      </c>
      <c r="C364" s="34"/>
      <c r="D364" s="59"/>
      <c r="E364" s="19"/>
      <c r="F364" s="59"/>
      <c r="G364" s="19"/>
      <c r="H364" s="6"/>
      <c r="I364" s="6"/>
      <c r="J364" s="6"/>
    </row>
    <row r="365" ht="14.25" customHeight="1">
      <c r="A365" s="6"/>
      <c r="B365" s="18" t="s">
        <v>186</v>
      </c>
      <c r="C365" s="34"/>
      <c r="D365" s="59"/>
      <c r="E365" s="19"/>
      <c r="F365" s="59"/>
      <c r="G365" s="19"/>
      <c r="H365" s="6"/>
      <c r="I365" s="6"/>
      <c r="J365" s="6"/>
    </row>
    <row r="366" ht="14.25" customHeight="1">
      <c r="A366" s="6"/>
      <c r="B366" s="18" t="s">
        <v>186</v>
      </c>
      <c r="C366" s="34"/>
      <c r="D366" s="59"/>
      <c r="E366" s="19"/>
      <c r="F366" s="59"/>
      <c r="G366" s="19"/>
      <c r="H366" s="6"/>
      <c r="I366" s="6"/>
      <c r="J366" s="6"/>
    </row>
    <row r="367" ht="14.25" customHeight="1">
      <c r="A367" s="6"/>
      <c r="B367" s="18" t="s">
        <v>186</v>
      </c>
      <c r="C367" s="34"/>
      <c r="D367" s="59"/>
      <c r="E367" s="19"/>
      <c r="F367" s="59"/>
      <c r="G367" s="19"/>
      <c r="H367" s="6"/>
      <c r="I367" s="6"/>
      <c r="J367" s="6"/>
    </row>
    <row r="368" ht="14.25" customHeight="1">
      <c r="A368" s="6"/>
      <c r="B368" s="18" t="s">
        <v>186</v>
      </c>
      <c r="C368" s="34"/>
      <c r="D368" s="59"/>
      <c r="E368" s="19"/>
      <c r="F368" s="59"/>
      <c r="G368" s="19"/>
      <c r="H368" s="6"/>
      <c r="I368" s="6"/>
      <c r="J368" s="6"/>
    </row>
    <row r="369" ht="14.25" customHeight="1">
      <c r="A369" s="6"/>
      <c r="B369" s="18" t="s">
        <v>186</v>
      </c>
      <c r="C369" s="34"/>
      <c r="D369" s="59"/>
      <c r="E369" s="19"/>
      <c r="F369" s="59"/>
      <c r="G369" s="19"/>
      <c r="H369" s="6"/>
      <c r="I369" s="6"/>
      <c r="J369" s="6"/>
    </row>
    <row r="370" ht="14.25" customHeight="1">
      <c r="A370" s="6"/>
      <c r="B370" s="18" t="s">
        <v>186</v>
      </c>
      <c r="C370" s="34"/>
      <c r="D370" s="59"/>
      <c r="E370" s="19"/>
      <c r="F370" s="59"/>
      <c r="G370" s="19"/>
      <c r="H370" s="6"/>
      <c r="I370" s="6"/>
      <c r="J370" s="6"/>
    </row>
    <row r="371" ht="14.25" customHeight="1">
      <c r="A371" s="6"/>
      <c r="B371" s="18" t="s">
        <v>186</v>
      </c>
      <c r="C371" s="34"/>
      <c r="D371" s="59"/>
      <c r="E371" s="19"/>
      <c r="F371" s="59"/>
      <c r="G371" s="19"/>
      <c r="H371" s="6"/>
      <c r="I371" s="6"/>
      <c r="J371" s="6"/>
    </row>
    <row r="372" ht="14.25" customHeight="1">
      <c r="A372" s="6"/>
      <c r="B372" s="18" t="s">
        <v>186</v>
      </c>
      <c r="C372" s="34"/>
      <c r="D372" s="59"/>
      <c r="E372" s="19"/>
      <c r="F372" s="59"/>
      <c r="G372" s="19"/>
      <c r="H372" s="6"/>
      <c r="I372" s="6"/>
      <c r="J372" s="6"/>
    </row>
    <row r="373" ht="14.25" customHeight="1">
      <c r="A373" s="6"/>
      <c r="B373" s="18" t="s">
        <v>186</v>
      </c>
      <c r="C373" s="34"/>
      <c r="D373" s="59"/>
      <c r="E373" s="19"/>
      <c r="F373" s="59"/>
      <c r="G373" s="19"/>
      <c r="H373" s="6"/>
      <c r="I373" s="6"/>
      <c r="J373" s="6"/>
    </row>
    <row r="374" ht="14.25" customHeight="1">
      <c r="A374" s="6"/>
      <c r="B374" s="18" t="s">
        <v>186</v>
      </c>
      <c r="C374" s="34"/>
      <c r="D374" s="59"/>
      <c r="E374" s="19"/>
      <c r="F374" s="59"/>
      <c r="G374" s="19"/>
      <c r="H374" s="6"/>
      <c r="I374" s="6"/>
      <c r="J374" s="6"/>
    </row>
    <row r="375" ht="14.25" customHeight="1">
      <c r="A375" s="6"/>
      <c r="B375" s="18" t="s">
        <v>186</v>
      </c>
      <c r="C375" s="34"/>
      <c r="D375" s="59"/>
      <c r="E375" s="19"/>
      <c r="F375" s="59"/>
      <c r="G375" s="19"/>
      <c r="H375" s="6"/>
      <c r="I375" s="6"/>
      <c r="J375" s="6"/>
    </row>
    <row r="376" ht="14.25" customHeight="1">
      <c r="A376" s="6"/>
      <c r="B376" s="18" t="s">
        <v>186</v>
      </c>
      <c r="C376" s="34"/>
      <c r="D376" s="59"/>
      <c r="E376" s="19"/>
      <c r="F376" s="59"/>
      <c r="G376" s="19"/>
      <c r="H376" s="6"/>
      <c r="I376" s="6"/>
      <c r="J376" s="6"/>
    </row>
    <row r="377" ht="14.25" customHeight="1">
      <c r="A377" s="6"/>
      <c r="B377" s="18" t="s">
        <v>186</v>
      </c>
      <c r="C377" s="34"/>
      <c r="D377" s="59"/>
      <c r="E377" s="19"/>
      <c r="F377" s="59"/>
      <c r="G377" s="19"/>
      <c r="H377" s="6"/>
      <c r="I377" s="6"/>
      <c r="J377" s="6"/>
    </row>
    <row r="378" ht="14.25" customHeight="1">
      <c r="A378" s="6"/>
      <c r="B378" s="18" t="s">
        <v>186</v>
      </c>
      <c r="C378" s="34"/>
      <c r="D378" s="59"/>
      <c r="E378" s="19"/>
      <c r="F378" s="59"/>
      <c r="G378" s="19"/>
      <c r="H378" s="6"/>
      <c r="I378" s="6"/>
      <c r="J378" s="6"/>
    </row>
    <row r="379" ht="14.25" customHeight="1">
      <c r="A379" s="6"/>
      <c r="B379" s="18" t="s">
        <v>186</v>
      </c>
      <c r="C379" s="34"/>
      <c r="D379" s="59"/>
      <c r="E379" s="19"/>
      <c r="F379" s="59"/>
      <c r="G379" s="19"/>
      <c r="H379" s="6"/>
      <c r="I379" s="6"/>
      <c r="J379" s="6"/>
    </row>
    <row r="380" ht="14.25" customHeight="1">
      <c r="A380" s="6"/>
      <c r="B380" s="18" t="s">
        <v>186</v>
      </c>
      <c r="C380" s="34"/>
      <c r="D380" s="59"/>
      <c r="E380" s="19"/>
      <c r="F380" s="59"/>
      <c r="G380" s="19"/>
      <c r="H380" s="6"/>
      <c r="I380" s="6"/>
      <c r="J380" s="6"/>
    </row>
    <row r="381" ht="14.25" customHeight="1">
      <c r="A381" s="6"/>
      <c r="B381" s="18" t="s">
        <v>186</v>
      </c>
      <c r="C381" s="34"/>
      <c r="D381" s="59"/>
      <c r="E381" s="19"/>
      <c r="F381" s="59"/>
      <c r="G381" s="19"/>
      <c r="H381" s="6"/>
      <c r="I381" s="6"/>
      <c r="J381" s="6"/>
    </row>
    <row r="382" ht="14.25" customHeight="1">
      <c r="A382" s="6"/>
      <c r="B382" s="18" t="s">
        <v>186</v>
      </c>
      <c r="C382" s="34"/>
      <c r="D382" s="59"/>
      <c r="E382" s="19"/>
      <c r="F382" s="59"/>
      <c r="G382" s="19"/>
      <c r="H382" s="6"/>
      <c r="I382" s="6"/>
      <c r="J382" s="6"/>
    </row>
    <row r="383" ht="14.25" customHeight="1">
      <c r="A383" s="6"/>
      <c r="B383" s="18" t="s">
        <v>186</v>
      </c>
      <c r="C383" s="34"/>
      <c r="D383" s="59"/>
      <c r="E383" s="19"/>
      <c r="F383" s="59"/>
      <c r="G383" s="19"/>
      <c r="H383" s="6"/>
      <c r="I383" s="6"/>
      <c r="J383" s="6"/>
    </row>
    <row r="384" ht="14.25" customHeight="1">
      <c r="A384" s="6"/>
      <c r="B384" s="18" t="s">
        <v>186</v>
      </c>
      <c r="C384" s="34"/>
      <c r="D384" s="59"/>
      <c r="E384" s="19"/>
      <c r="F384" s="59"/>
      <c r="G384" s="19"/>
      <c r="H384" s="6"/>
      <c r="I384" s="6"/>
      <c r="J384" s="6"/>
    </row>
    <row r="385" ht="14.25" customHeight="1">
      <c r="A385" s="6"/>
      <c r="B385" s="18" t="s">
        <v>186</v>
      </c>
      <c r="C385" s="34"/>
      <c r="D385" s="59"/>
      <c r="E385" s="19"/>
      <c r="F385" s="59"/>
      <c r="G385" s="19"/>
      <c r="H385" s="6"/>
      <c r="I385" s="6"/>
      <c r="J385" s="6"/>
    </row>
    <row r="386" ht="14.25" customHeight="1">
      <c r="A386" s="6"/>
      <c r="B386" s="18" t="s">
        <v>186</v>
      </c>
      <c r="C386" s="34"/>
      <c r="D386" s="59"/>
      <c r="E386" s="19"/>
      <c r="F386" s="59"/>
      <c r="G386" s="19"/>
      <c r="H386" s="6"/>
      <c r="I386" s="6"/>
      <c r="J386" s="6"/>
    </row>
    <row r="387" ht="14.25" customHeight="1">
      <c r="A387" s="6"/>
      <c r="B387" s="18" t="s">
        <v>186</v>
      </c>
      <c r="C387" s="34"/>
      <c r="D387" s="59"/>
      <c r="E387" s="19"/>
      <c r="F387" s="59"/>
      <c r="G387" s="19"/>
      <c r="H387" s="6"/>
      <c r="I387" s="6"/>
      <c r="J387" s="6"/>
    </row>
    <row r="388" ht="14.25" customHeight="1">
      <c r="A388" s="6"/>
      <c r="B388" s="18" t="s">
        <v>186</v>
      </c>
      <c r="C388" s="34"/>
      <c r="D388" s="59"/>
      <c r="E388" s="19"/>
      <c r="F388" s="59"/>
      <c r="G388" s="19"/>
      <c r="H388" s="6"/>
      <c r="I388" s="6"/>
      <c r="J388" s="6"/>
    </row>
    <row r="389" ht="14.25" customHeight="1">
      <c r="A389" s="6"/>
      <c r="B389" s="18" t="s">
        <v>186</v>
      </c>
      <c r="C389" s="34"/>
      <c r="D389" s="59"/>
      <c r="E389" s="19"/>
      <c r="F389" s="59"/>
      <c r="G389" s="19"/>
      <c r="H389" s="6"/>
      <c r="I389" s="6"/>
      <c r="J389" s="6"/>
    </row>
    <row r="390" ht="14.25" customHeight="1">
      <c r="A390" s="6"/>
      <c r="B390" s="18" t="s">
        <v>186</v>
      </c>
      <c r="C390" s="34"/>
      <c r="D390" s="59"/>
      <c r="E390" s="19"/>
      <c r="F390" s="59"/>
      <c r="G390" s="19"/>
      <c r="H390" s="6"/>
      <c r="I390" s="6"/>
      <c r="J390" s="6"/>
    </row>
    <row r="391" ht="14.25" customHeight="1">
      <c r="A391" s="6"/>
      <c r="B391" s="18" t="s">
        <v>186</v>
      </c>
      <c r="C391" s="34"/>
      <c r="D391" s="59"/>
      <c r="E391" s="19"/>
      <c r="F391" s="59"/>
      <c r="G391" s="19"/>
      <c r="H391" s="6"/>
      <c r="I391" s="6"/>
      <c r="J391" s="6"/>
    </row>
    <row r="392" ht="14.25" customHeight="1">
      <c r="A392" s="6"/>
      <c r="B392" s="18" t="s">
        <v>186</v>
      </c>
      <c r="C392" s="34"/>
      <c r="D392" s="59"/>
      <c r="E392" s="19"/>
      <c r="F392" s="59"/>
      <c r="G392" s="19"/>
      <c r="H392" s="6"/>
      <c r="I392" s="6"/>
      <c r="J392" s="6"/>
    </row>
    <row r="393" ht="14.25" customHeight="1">
      <c r="A393" s="6"/>
      <c r="B393" s="18" t="s">
        <v>186</v>
      </c>
      <c r="C393" s="34"/>
      <c r="D393" s="59"/>
      <c r="E393" s="19"/>
      <c r="F393" s="59"/>
      <c r="G393" s="19"/>
      <c r="H393" s="6"/>
      <c r="I393" s="6"/>
      <c r="J393" s="6"/>
    </row>
    <row r="394" ht="14.25" customHeight="1">
      <c r="A394" s="6"/>
      <c r="B394" s="18" t="s">
        <v>186</v>
      </c>
      <c r="C394" s="34"/>
      <c r="D394" s="59"/>
      <c r="E394" s="19"/>
      <c r="F394" s="59"/>
      <c r="G394" s="19"/>
      <c r="H394" s="6"/>
      <c r="I394" s="6"/>
      <c r="J394" s="6"/>
    </row>
    <row r="395" ht="14.25" customHeight="1">
      <c r="A395" s="6"/>
      <c r="B395" s="18" t="s">
        <v>186</v>
      </c>
      <c r="C395" s="34"/>
      <c r="D395" s="59"/>
      <c r="E395" s="19"/>
      <c r="F395" s="59"/>
      <c r="G395" s="19"/>
      <c r="H395" s="6"/>
      <c r="I395" s="6"/>
      <c r="J395" s="6"/>
    </row>
    <row r="396" ht="14.25" customHeight="1">
      <c r="A396" s="6"/>
      <c r="B396" s="18" t="s">
        <v>186</v>
      </c>
      <c r="C396" s="34"/>
      <c r="D396" s="59"/>
      <c r="E396" s="19"/>
      <c r="F396" s="59"/>
      <c r="G396" s="19"/>
      <c r="H396" s="6"/>
      <c r="I396" s="6"/>
      <c r="J396" s="6"/>
    </row>
    <row r="397" ht="14.25" customHeight="1">
      <c r="A397" s="6"/>
      <c r="B397" s="18" t="s">
        <v>186</v>
      </c>
      <c r="C397" s="34"/>
      <c r="D397" s="59"/>
      <c r="E397" s="19"/>
      <c r="F397" s="59"/>
      <c r="G397" s="19"/>
      <c r="H397" s="6"/>
      <c r="I397" s="6"/>
      <c r="J397" s="6"/>
    </row>
    <row r="398" ht="14.25" customHeight="1">
      <c r="A398" s="6"/>
      <c r="B398" s="18" t="s">
        <v>186</v>
      </c>
      <c r="C398" s="34"/>
      <c r="D398" s="59"/>
      <c r="E398" s="19"/>
      <c r="F398" s="59"/>
      <c r="G398" s="19"/>
      <c r="H398" s="6"/>
      <c r="I398" s="6"/>
      <c r="J398" s="6"/>
    </row>
    <row r="399" ht="14.25" customHeight="1">
      <c r="A399" s="6"/>
      <c r="B399" s="18" t="s">
        <v>186</v>
      </c>
      <c r="C399" s="34"/>
      <c r="D399" s="59"/>
      <c r="E399" s="19"/>
      <c r="F399" s="59"/>
      <c r="G399" s="19"/>
      <c r="H399" s="6"/>
      <c r="I399" s="6"/>
      <c r="J399" s="6"/>
    </row>
    <row r="400" ht="14.25" customHeight="1">
      <c r="A400" s="6"/>
      <c r="B400" s="18" t="s">
        <v>186</v>
      </c>
      <c r="C400" s="34"/>
      <c r="D400" s="59"/>
      <c r="E400" s="19"/>
      <c r="F400" s="59"/>
      <c r="G400" s="19"/>
      <c r="H400" s="6"/>
      <c r="I400" s="6"/>
      <c r="J400" s="6"/>
    </row>
    <row r="401" ht="14.25" customHeight="1">
      <c r="A401" s="6"/>
      <c r="B401" s="18" t="s">
        <v>186</v>
      </c>
      <c r="C401" s="34"/>
      <c r="D401" s="59"/>
      <c r="E401" s="19"/>
      <c r="F401" s="59"/>
      <c r="G401" s="19"/>
      <c r="H401" s="6"/>
      <c r="I401" s="6"/>
      <c r="J401" s="6"/>
    </row>
    <row r="402" ht="14.25" customHeight="1">
      <c r="A402" s="6"/>
      <c r="B402" s="18" t="s">
        <v>186</v>
      </c>
      <c r="C402" s="34"/>
      <c r="D402" s="59"/>
      <c r="E402" s="19"/>
      <c r="F402" s="59"/>
      <c r="G402" s="19"/>
      <c r="H402" s="6"/>
      <c r="I402" s="6"/>
      <c r="J402" s="6"/>
    </row>
    <row r="403" ht="14.25" customHeight="1">
      <c r="A403" s="6"/>
      <c r="B403" s="18" t="s">
        <v>186</v>
      </c>
      <c r="C403" s="34"/>
      <c r="D403" s="59"/>
      <c r="E403" s="19"/>
      <c r="F403" s="59"/>
      <c r="G403" s="19"/>
      <c r="H403" s="6"/>
      <c r="I403" s="6"/>
      <c r="J403" s="6"/>
    </row>
    <row r="404" ht="14.25" customHeight="1">
      <c r="A404" s="6"/>
      <c r="B404" s="18" t="s">
        <v>186</v>
      </c>
      <c r="C404" s="34"/>
      <c r="D404" s="59"/>
      <c r="E404" s="19"/>
      <c r="F404" s="59"/>
      <c r="G404" s="19"/>
      <c r="H404" s="6"/>
      <c r="I404" s="6"/>
      <c r="J404" s="6"/>
    </row>
    <row r="405" ht="14.25" customHeight="1">
      <c r="A405" s="6"/>
      <c r="B405" s="18" t="s">
        <v>186</v>
      </c>
      <c r="C405" s="34"/>
      <c r="D405" s="59"/>
      <c r="E405" s="19"/>
      <c r="F405" s="59"/>
      <c r="G405" s="19"/>
      <c r="H405" s="6"/>
      <c r="I405" s="6"/>
      <c r="J405" s="6"/>
    </row>
    <row r="406" ht="14.25" customHeight="1">
      <c r="A406" s="6"/>
      <c r="B406" s="18" t="s">
        <v>186</v>
      </c>
      <c r="C406" s="34"/>
      <c r="D406" s="59"/>
      <c r="E406" s="19"/>
      <c r="F406" s="59"/>
      <c r="G406" s="19"/>
      <c r="H406" s="6"/>
      <c r="I406" s="6"/>
      <c r="J406" s="6"/>
    </row>
    <row r="407" ht="14.25" customHeight="1">
      <c r="A407" s="6"/>
      <c r="B407" s="18" t="s">
        <v>186</v>
      </c>
      <c r="C407" s="34"/>
      <c r="D407" s="59"/>
      <c r="E407" s="19"/>
      <c r="F407" s="59"/>
      <c r="G407" s="19"/>
      <c r="H407" s="6"/>
      <c r="I407" s="6"/>
      <c r="J407" s="6"/>
    </row>
    <row r="408" ht="14.25" customHeight="1">
      <c r="A408" s="6"/>
      <c r="B408" s="18" t="s">
        <v>186</v>
      </c>
      <c r="C408" s="34"/>
      <c r="D408" s="59"/>
      <c r="E408" s="19"/>
      <c r="F408" s="59"/>
      <c r="G408" s="19"/>
      <c r="H408" s="6"/>
      <c r="I408" s="6"/>
      <c r="J408" s="6"/>
    </row>
    <row r="409" ht="14.25" customHeight="1">
      <c r="A409" s="6"/>
      <c r="B409" s="18" t="s">
        <v>186</v>
      </c>
      <c r="C409" s="34"/>
      <c r="D409" s="59"/>
      <c r="E409" s="19"/>
      <c r="F409" s="59"/>
      <c r="G409" s="19"/>
      <c r="H409" s="6"/>
      <c r="I409" s="6"/>
      <c r="J409" s="6"/>
    </row>
    <row r="410" ht="14.25" customHeight="1">
      <c r="A410" s="6"/>
      <c r="B410" s="18" t="s">
        <v>186</v>
      </c>
      <c r="C410" s="34"/>
      <c r="D410" s="59"/>
      <c r="E410" s="19"/>
      <c r="F410" s="59"/>
      <c r="G410" s="19"/>
      <c r="H410" s="6"/>
      <c r="I410" s="6"/>
      <c r="J410" s="6"/>
    </row>
    <row r="411" ht="14.25" customHeight="1">
      <c r="A411" s="6"/>
      <c r="B411" s="18" t="s">
        <v>186</v>
      </c>
      <c r="C411" s="34"/>
      <c r="D411" s="59"/>
      <c r="E411" s="19"/>
      <c r="F411" s="59"/>
      <c r="G411" s="19"/>
      <c r="H411" s="6"/>
      <c r="I411" s="6"/>
      <c r="J411" s="6"/>
    </row>
    <row r="412" ht="14.25" customHeight="1">
      <c r="A412" s="6"/>
      <c r="B412" s="18" t="s">
        <v>186</v>
      </c>
      <c r="C412" s="34"/>
      <c r="D412" s="59"/>
      <c r="E412" s="19"/>
      <c r="F412" s="59"/>
      <c r="G412" s="19"/>
      <c r="H412" s="6"/>
      <c r="I412" s="6"/>
      <c r="J412" s="6"/>
    </row>
    <row r="413" ht="14.25" customHeight="1">
      <c r="A413" s="6"/>
      <c r="B413" s="18" t="s">
        <v>186</v>
      </c>
      <c r="C413" s="34"/>
      <c r="D413" s="59"/>
      <c r="E413" s="19"/>
      <c r="F413" s="59"/>
      <c r="G413" s="19"/>
      <c r="H413" s="6"/>
      <c r="I413" s="6"/>
      <c r="J413" s="6"/>
    </row>
    <row r="414" ht="14.25" customHeight="1">
      <c r="A414" s="6"/>
      <c r="B414" s="18" t="s">
        <v>186</v>
      </c>
      <c r="C414" s="34"/>
      <c r="D414" s="59"/>
      <c r="E414" s="19"/>
      <c r="F414" s="59"/>
      <c r="G414" s="19"/>
      <c r="H414" s="6"/>
      <c r="I414" s="6"/>
      <c r="J414" s="6"/>
    </row>
    <row r="415" ht="14.25" customHeight="1">
      <c r="A415" s="6"/>
      <c r="B415" s="18" t="s">
        <v>186</v>
      </c>
      <c r="C415" s="34"/>
      <c r="D415" s="59"/>
      <c r="E415" s="19"/>
      <c r="F415" s="59"/>
      <c r="G415" s="19"/>
      <c r="H415" s="6"/>
      <c r="I415" s="6"/>
      <c r="J415" s="6"/>
    </row>
    <row r="416" ht="14.25" customHeight="1">
      <c r="A416" s="6"/>
      <c r="B416" s="18" t="s">
        <v>186</v>
      </c>
      <c r="C416" s="34"/>
      <c r="D416" s="59"/>
      <c r="E416" s="19"/>
      <c r="F416" s="59"/>
      <c r="G416" s="19"/>
      <c r="H416" s="6"/>
      <c r="I416" s="6"/>
      <c r="J416" s="6"/>
    </row>
    <row r="417" ht="14.25" customHeight="1">
      <c r="A417" s="6"/>
      <c r="B417" s="18" t="s">
        <v>186</v>
      </c>
      <c r="C417" s="34"/>
      <c r="D417" s="59"/>
      <c r="E417" s="19"/>
      <c r="F417" s="59"/>
      <c r="G417" s="19"/>
      <c r="H417" s="6"/>
      <c r="I417" s="6"/>
      <c r="J417" s="6"/>
    </row>
    <row r="418" ht="14.25" customHeight="1">
      <c r="A418" s="6"/>
      <c r="B418" s="18" t="s">
        <v>186</v>
      </c>
      <c r="C418" s="34"/>
      <c r="D418" s="59"/>
      <c r="E418" s="19"/>
      <c r="F418" s="59"/>
      <c r="G418" s="19"/>
      <c r="H418" s="6"/>
      <c r="I418" s="6"/>
      <c r="J418" s="6"/>
    </row>
    <row r="419" ht="14.25" customHeight="1">
      <c r="A419" s="6"/>
      <c r="B419" s="18" t="s">
        <v>186</v>
      </c>
      <c r="C419" s="34"/>
      <c r="D419" s="59"/>
      <c r="E419" s="19"/>
      <c r="F419" s="59"/>
      <c r="G419" s="19"/>
      <c r="H419" s="6"/>
      <c r="I419" s="6"/>
      <c r="J419" s="6"/>
    </row>
    <row r="420" ht="14.25" customHeight="1">
      <c r="A420" s="6"/>
      <c r="B420" s="18" t="s">
        <v>186</v>
      </c>
      <c r="C420" s="34"/>
      <c r="D420" s="59"/>
      <c r="E420" s="19"/>
      <c r="F420" s="59"/>
      <c r="G420" s="19"/>
      <c r="H420" s="6"/>
      <c r="I420" s="6"/>
      <c r="J420" s="6"/>
    </row>
    <row r="421" ht="14.25" customHeight="1">
      <c r="A421" s="6"/>
      <c r="B421" s="18" t="s">
        <v>186</v>
      </c>
      <c r="C421" s="34"/>
      <c r="D421" s="59"/>
      <c r="E421" s="19"/>
      <c r="F421" s="59"/>
      <c r="G421" s="19"/>
      <c r="H421" s="6"/>
      <c r="I421" s="6"/>
      <c r="J421" s="6"/>
    </row>
    <row r="422" ht="14.25" customHeight="1">
      <c r="A422" s="6"/>
      <c r="B422" s="18" t="s">
        <v>186</v>
      </c>
      <c r="C422" s="34"/>
      <c r="D422" s="59"/>
      <c r="E422" s="19"/>
      <c r="F422" s="59"/>
      <c r="G422" s="19"/>
      <c r="H422" s="6"/>
      <c r="I422" s="6"/>
      <c r="J422" s="6"/>
    </row>
    <row r="423" ht="14.25" customHeight="1">
      <c r="A423" s="6"/>
      <c r="B423" s="18" t="s">
        <v>186</v>
      </c>
      <c r="C423" s="34"/>
      <c r="D423" s="59"/>
      <c r="E423" s="19"/>
      <c r="F423" s="59"/>
      <c r="G423" s="19"/>
      <c r="H423" s="6"/>
      <c r="I423" s="6"/>
      <c r="J423" s="6"/>
    </row>
    <row r="424" ht="14.25" customHeight="1">
      <c r="A424" s="6"/>
      <c r="B424" s="18" t="s">
        <v>186</v>
      </c>
      <c r="C424" s="34"/>
      <c r="D424" s="59"/>
      <c r="E424" s="19"/>
      <c r="F424" s="59"/>
      <c r="G424" s="19"/>
      <c r="H424" s="6"/>
      <c r="I424" s="6"/>
      <c r="J424" s="6"/>
    </row>
    <row r="425" ht="14.25" customHeight="1">
      <c r="A425" s="6"/>
      <c r="B425" s="18" t="s">
        <v>186</v>
      </c>
      <c r="C425" s="34"/>
      <c r="D425" s="59"/>
      <c r="E425" s="19"/>
      <c r="F425" s="59"/>
      <c r="G425" s="19"/>
      <c r="H425" s="6"/>
      <c r="I425" s="6"/>
      <c r="J425" s="6"/>
    </row>
    <row r="426" ht="14.25" customHeight="1">
      <c r="A426" s="6"/>
      <c r="B426" s="18" t="s">
        <v>186</v>
      </c>
      <c r="C426" s="34"/>
      <c r="D426" s="59"/>
      <c r="E426" s="19"/>
      <c r="F426" s="59"/>
      <c r="G426" s="19"/>
      <c r="H426" s="6"/>
      <c r="I426" s="6"/>
      <c r="J426" s="6"/>
    </row>
    <row r="427" ht="14.25" customHeight="1">
      <c r="A427" s="6"/>
      <c r="B427" s="18" t="s">
        <v>186</v>
      </c>
      <c r="C427" s="34"/>
      <c r="D427" s="59"/>
      <c r="E427" s="19"/>
      <c r="F427" s="59"/>
      <c r="G427" s="19"/>
      <c r="H427" s="6"/>
      <c r="I427" s="6"/>
      <c r="J427" s="6"/>
    </row>
    <row r="428" ht="14.25" customHeight="1">
      <c r="A428" s="6"/>
      <c r="B428" s="18" t="s">
        <v>186</v>
      </c>
      <c r="C428" s="34"/>
      <c r="D428" s="59"/>
      <c r="E428" s="19"/>
      <c r="F428" s="59"/>
      <c r="G428" s="19"/>
      <c r="H428" s="6"/>
      <c r="I428" s="6"/>
      <c r="J428" s="6"/>
    </row>
    <row r="429" ht="14.25" customHeight="1">
      <c r="A429" s="6"/>
      <c r="B429" s="18" t="s">
        <v>186</v>
      </c>
      <c r="C429" s="34"/>
      <c r="D429" s="59"/>
      <c r="E429" s="19"/>
      <c r="F429" s="59"/>
      <c r="G429" s="19"/>
      <c r="H429" s="6"/>
      <c r="I429" s="6"/>
      <c r="J429" s="6"/>
    </row>
    <row r="430" ht="14.25" customHeight="1">
      <c r="A430" s="6"/>
      <c r="B430" s="18" t="s">
        <v>186</v>
      </c>
      <c r="C430" s="34"/>
      <c r="D430" s="59"/>
      <c r="E430" s="19"/>
      <c r="F430" s="59"/>
      <c r="G430" s="19"/>
      <c r="H430" s="6"/>
      <c r="I430" s="6"/>
      <c r="J430" s="6"/>
    </row>
    <row r="431" ht="14.25" customHeight="1">
      <c r="A431" s="6"/>
      <c r="B431" s="18" t="s">
        <v>186</v>
      </c>
      <c r="C431" s="34"/>
      <c r="D431" s="59"/>
      <c r="E431" s="19"/>
      <c r="F431" s="59"/>
      <c r="G431" s="19"/>
      <c r="H431" s="6"/>
      <c r="I431" s="6"/>
      <c r="J431" s="6"/>
    </row>
    <row r="432" ht="14.25" customHeight="1">
      <c r="A432" s="6"/>
      <c r="B432" s="18" t="s">
        <v>186</v>
      </c>
      <c r="C432" s="34"/>
      <c r="D432" s="59"/>
      <c r="E432" s="19"/>
      <c r="F432" s="59"/>
      <c r="G432" s="19"/>
      <c r="H432" s="6"/>
      <c r="I432" s="6"/>
      <c r="J432" s="6"/>
    </row>
    <row r="433" ht="14.25" customHeight="1">
      <c r="A433" s="6"/>
      <c r="B433" s="18" t="s">
        <v>186</v>
      </c>
      <c r="C433" s="34"/>
      <c r="D433" s="59"/>
      <c r="E433" s="19"/>
      <c r="F433" s="59"/>
      <c r="G433" s="19"/>
      <c r="H433" s="6"/>
      <c r="I433" s="6"/>
      <c r="J433" s="6"/>
    </row>
    <row r="434" ht="14.25" customHeight="1">
      <c r="A434" s="6"/>
      <c r="B434" s="18" t="s">
        <v>186</v>
      </c>
      <c r="C434" s="34"/>
      <c r="D434" s="59"/>
      <c r="E434" s="19"/>
      <c r="F434" s="59"/>
      <c r="G434" s="19"/>
      <c r="H434" s="6"/>
      <c r="I434" s="6"/>
      <c r="J434" s="6"/>
    </row>
    <row r="435" ht="14.25" customHeight="1">
      <c r="A435" s="6"/>
      <c r="B435" s="18" t="s">
        <v>186</v>
      </c>
      <c r="C435" s="34"/>
      <c r="D435" s="59"/>
      <c r="E435" s="19"/>
      <c r="F435" s="59"/>
      <c r="G435" s="19"/>
      <c r="H435" s="6"/>
      <c r="I435" s="6"/>
      <c r="J435" s="6"/>
    </row>
    <row r="436" ht="14.25" customHeight="1">
      <c r="A436" s="6"/>
      <c r="B436" s="18" t="s">
        <v>186</v>
      </c>
      <c r="C436" s="34"/>
      <c r="D436" s="59"/>
      <c r="E436" s="19"/>
      <c r="F436" s="59"/>
      <c r="G436" s="19"/>
      <c r="H436" s="6"/>
      <c r="I436" s="6"/>
      <c r="J436" s="6"/>
    </row>
    <row r="437" ht="14.25" customHeight="1">
      <c r="A437" s="6"/>
      <c r="B437" s="18" t="s">
        <v>186</v>
      </c>
      <c r="C437" s="34"/>
      <c r="D437" s="59"/>
      <c r="E437" s="19"/>
      <c r="F437" s="59"/>
      <c r="G437" s="19"/>
      <c r="H437" s="6"/>
      <c r="I437" s="6"/>
      <c r="J437" s="6"/>
    </row>
    <row r="438" ht="14.25" customHeight="1">
      <c r="A438" s="6"/>
      <c r="B438" s="18" t="s">
        <v>186</v>
      </c>
      <c r="C438" s="34"/>
      <c r="D438" s="59"/>
      <c r="E438" s="19"/>
      <c r="F438" s="59"/>
      <c r="G438" s="19"/>
      <c r="H438" s="6"/>
      <c r="I438" s="6"/>
      <c r="J438" s="6"/>
    </row>
    <row r="439" ht="14.25" customHeight="1">
      <c r="A439" s="6"/>
      <c r="B439" s="18" t="s">
        <v>186</v>
      </c>
      <c r="C439" s="34"/>
      <c r="D439" s="59"/>
      <c r="E439" s="19"/>
      <c r="F439" s="59"/>
      <c r="G439" s="19"/>
      <c r="H439" s="6"/>
      <c r="I439" s="6"/>
      <c r="J439" s="6"/>
    </row>
    <row r="440" ht="14.25" customHeight="1">
      <c r="A440" s="6"/>
      <c r="B440" s="18" t="s">
        <v>186</v>
      </c>
      <c r="C440" s="34"/>
      <c r="D440" s="59"/>
      <c r="E440" s="19"/>
      <c r="F440" s="59"/>
      <c r="G440" s="19"/>
      <c r="H440" s="6"/>
      <c r="I440" s="6"/>
      <c r="J440" s="6"/>
    </row>
    <row r="441" ht="14.25" customHeight="1">
      <c r="A441" s="6"/>
      <c r="B441" s="18" t="s">
        <v>186</v>
      </c>
      <c r="C441" s="34"/>
      <c r="D441" s="59"/>
      <c r="E441" s="19"/>
      <c r="F441" s="59"/>
      <c r="G441" s="19"/>
      <c r="H441" s="6"/>
      <c r="I441" s="6"/>
      <c r="J441" s="6"/>
    </row>
    <row r="442" ht="14.25" customHeight="1">
      <c r="A442" s="6"/>
      <c r="B442" s="18" t="s">
        <v>186</v>
      </c>
      <c r="C442" s="34"/>
      <c r="D442" s="59"/>
      <c r="E442" s="19"/>
      <c r="F442" s="59"/>
      <c r="G442" s="19"/>
      <c r="H442" s="6"/>
      <c r="I442" s="6"/>
      <c r="J442" s="6"/>
    </row>
    <row r="443" ht="14.25" customHeight="1">
      <c r="A443" s="6"/>
      <c r="B443" s="18" t="s">
        <v>186</v>
      </c>
      <c r="C443" s="34"/>
      <c r="D443" s="59"/>
      <c r="E443" s="19"/>
      <c r="F443" s="59"/>
      <c r="G443" s="19"/>
      <c r="H443" s="6"/>
      <c r="I443" s="6"/>
      <c r="J443" s="6"/>
    </row>
    <row r="444" ht="14.25" customHeight="1">
      <c r="A444" s="6"/>
      <c r="B444" s="18" t="s">
        <v>186</v>
      </c>
      <c r="C444" s="34"/>
      <c r="D444" s="59"/>
      <c r="E444" s="19"/>
      <c r="F444" s="59"/>
      <c r="G444" s="19"/>
      <c r="H444" s="6"/>
      <c r="I444" s="6"/>
      <c r="J444" s="6"/>
    </row>
    <row r="445" ht="14.25" customHeight="1">
      <c r="A445" s="6"/>
      <c r="B445" s="18" t="s">
        <v>186</v>
      </c>
      <c r="C445" s="34"/>
      <c r="D445" s="59"/>
      <c r="E445" s="19"/>
      <c r="F445" s="59"/>
      <c r="G445" s="19"/>
      <c r="H445" s="6"/>
      <c r="I445" s="6"/>
      <c r="J445" s="6"/>
    </row>
    <row r="446" ht="14.25" customHeight="1">
      <c r="A446" s="6"/>
      <c r="B446" s="18" t="s">
        <v>186</v>
      </c>
      <c r="C446" s="34"/>
      <c r="D446" s="59"/>
      <c r="E446" s="19"/>
      <c r="F446" s="59"/>
      <c r="G446" s="19"/>
      <c r="H446" s="6"/>
      <c r="I446" s="6"/>
      <c r="J446" s="6"/>
    </row>
    <row r="447" ht="14.25" customHeight="1">
      <c r="A447" s="6"/>
      <c r="B447" s="18" t="s">
        <v>186</v>
      </c>
      <c r="C447" s="34"/>
      <c r="D447" s="59"/>
      <c r="E447" s="19"/>
      <c r="F447" s="59"/>
      <c r="G447" s="19"/>
      <c r="H447" s="6"/>
      <c r="I447" s="6"/>
      <c r="J447" s="6"/>
    </row>
    <row r="448" ht="14.25" customHeight="1">
      <c r="A448" s="6"/>
      <c r="B448" s="18" t="s">
        <v>186</v>
      </c>
      <c r="C448" s="34"/>
      <c r="D448" s="59"/>
      <c r="E448" s="19"/>
      <c r="F448" s="59"/>
      <c r="G448" s="19"/>
      <c r="H448" s="6"/>
      <c r="I448" s="6"/>
      <c r="J448" s="6"/>
    </row>
    <row r="449" ht="14.25" customHeight="1">
      <c r="A449" s="6"/>
      <c r="B449" s="18" t="s">
        <v>186</v>
      </c>
      <c r="C449" s="34"/>
      <c r="D449" s="59"/>
      <c r="E449" s="19"/>
      <c r="F449" s="59"/>
      <c r="G449" s="19"/>
      <c r="H449" s="6"/>
      <c r="I449" s="6"/>
      <c r="J449" s="6"/>
    </row>
    <row r="450" ht="14.25" customHeight="1">
      <c r="A450" s="6"/>
      <c r="B450" s="18" t="s">
        <v>186</v>
      </c>
      <c r="C450" s="34"/>
      <c r="D450" s="59"/>
      <c r="E450" s="19"/>
      <c r="F450" s="59"/>
      <c r="G450" s="19"/>
      <c r="H450" s="6"/>
      <c r="I450" s="6"/>
      <c r="J450" s="6"/>
    </row>
    <row r="451" ht="14.25" customHeight="1">
      <c r="A451" s="6"/>
      <c r="B451" s="18" t="s">
        <v>186</v>
      </c>
      <c r="C451" s="34"/>
      <c r="D451" s="59"/>
      <c r="E451" s="19"/>
      <c r="F451" s="59"/>
      <c r="G451" s="19"/>
      <c r="H451" s="6"/>
      <c r="I451" s="6"/>
      <c r="J451" s="6"/>
    </row>
    <row r="452" ht="14.25" customHeight="1">
      <c r="A452" s="6"/>
      <c r="B452" s="18" t="s">
        <v>186</v>
      </c>
      <c r="C452" s="34"/>
      <c r="D452" s="59"/>
      <c r="E452" s="19"/>
      <c r="F452" s="59"/>
      <c r="G452" s="19"/>
      <c r="H452" s="6"/>
      <c r="I452" s="6"/>
      <c r="J452" s="6"/>
    </row>
    <row r="453" ht="14.25" customHeight="1">
      <c r="A453" s="6"/>
      <c r="B453" s="18" t="s">
        <v>186</v>
      </c>
      <c r="C453" s="34"/>
      <c r="D453" s="59"/>
      <c r="E453" s="19"/>
      <c r="F453" s="59"/>
      <c r="G453" s="19"/>
      <c r="H453" s="6"/>
      <c r="I453" s="6"/>
      <c r="J453" s="6"/>
    </row>
    <row r="454" ht="14.25" customHeight="1">
      <c r="A454" s="6"/>
      <c r="B454" s="18" t="s">
        <v>186</v>
      </c>
      <c r="C454" s="34"/>
      <c r="D454" s="59"/>
      <c r="E454" s="19"/>
      <c r="F454" s="59"/>
      <c r="G454" s="19"/>
      <c r="H454" s="6"/>
      <c r="I454" s="6"/>
      <c r="J454" s="6"/>
    </row>
    <row r="455" ht="14.25" customHeight="1">
      <c r="A455" s="6"/>
      <c r="B455" s="18" t="s">
        <v>186</v>
      </c>
      <c r="C455" s="34"/>
      <c r="D455" s="59"/>
      <c r="E455" s="19"/>
      <c r="F455" s="59"/>
      <c r="G455" s="19"/>
      <c r="H455" s="6"/>
      <c r="I455" s="6"/>
      <c r="J455" s="6"/>
    </row>
    <row r="456" ht="14.25" customHeight="1">
      <c r="A456" s="6"/>
      <c r="B456" s="18" t="s">
        <v>186</v>
      </c>
      <c r="C456" s="34"/>
      <c r="D456" s="59"/>
      <c r="E456" s="19"/>
      <c r="F456" s="59"/>
      <c r="G456" s="19"/>
      <c r="H456" s="6"/>
      <c r="I456" s="6"/>
      <c r="J456" s="6"/>
    </row>
    <row r="457" ht="14.25" customHeight="1">
      <c r="A457" s="6"/>
      <c r="B457" s="18" t="s">
        <v>186</v>
      </c>
      <c r="C457" s="34"/>
      <c r="D457" s="59"/>
      <c r="E457" s="19"/>
      <c r="F457" s="59"/>
      <c r="G457" s="19"/>
      <c r="H457" s="6"/>
      <c r="I457" s="6"/>
      <c r="J457" s="6"/>
    </row>
    <row r="458" ht="14.25" customHeight="1">
      <c r="A458" s="6"/>
      <c r="B458" s="18" t="s">
        <v>186</v>
      </c>
      <c r="C458" s="34"/>
      <c r="D458" s="59"/>
      <c r="E458" s="19"/>
      <c r="F458" s="59"/>
      <c r="G458" s="19"/>
      <c r="H458" s="6"/>
      <c r="I458" s="6"/>
      <c r="J458" s="6"/>
    </row>
    <row r="459" ht="14.25" customHeight="1">
      <c r="A459" s="6"/>
      <c r="B459" s="18" t="s">
        <v>186</v>
      </c>
      <c r="C459" s="34"/>
      <c r="D459" s="59"/>
      <c r="E459" s="19"/>
      <c r="F459" s="59"/>
      <c r="G459" s="19"/>
      <c r="H459" s="6"/>
      <c r="I459" s="6"/>
      <c r="J459" s="6"/>
    </row>
    <row r="460" ht="14.25" customHeight="1">
      <c r="A460" s="6"/>
      <c r="B460" s="18" t="s">
        <v>186</v>
      </c>
      <c r="C460" s="34"/>
      <c r="D460" s="59"/>
      <c r="E460" s="19"/>
      <c r="F460" s="59"/>
      <c r="G460" s="19"/>
      <c r="H460" s="6"/>
      <c r="I460" s="6"/>
      <c r="J460" s="6"/>
    </row>
    <row r="461" ht="14.25" customHeight="1">
      <c r="A461" s="6"/>
      <c r="B461" s="18" t="s">
        <v>186</v>
      </c>
      <c r="C461" s="34"/>
      <c r="D461" s="59"/>
      <c r="E461" s="19"/>
      <c r="F461" s="59"/>
      <c r="G461" s="19"/>
      <c r="H461" s="6"/>
      <c r="I461" s="6"/>
      <c r="J461" s="6"/>
    </row>
    <row r="462" ht="14.25" customHeight="1">
      <c r="A462" s="6"/>
      <c r="B462" s="18" t="s">
        <v>186</v>
      </c>
      <c r="C462" s="34"/>
      <c r="D462" s="59"/>
      <c r="E462" s="19"/>
      <c r="F462" s="59"/>
      <c r="G462" s="19"/>
      <c r="H462" s="6"/>
      <c r="I462" s="6"/>
      <c r="J462" s="6"/>
    </row>
    <row r="463" ht="14.25" customHeight="1">
      <c r="A463" s="6"/>
      <c r="B463" s="18" t="s">
        <v>186</v>
      </c>
      <c r="C463" s="34"/>
      <c r="D463" s="59"/>
      <c r="E463" s="19"/>
      <c r="F463" s="59"/>
      <c r="G463" s="19"/>
      <c r="H463" s="6"/>
      <c r="I463" s="6"/>
      <c r="J463" s="6"/>
    </row>
    <row r="464" ht="14.25" customHeight="1">
      <c r="A464" s="6"/>
      <c r="B464" s="18" t="s">
        <v>186</v>
      </c>
      <c r="C464" s="34"/>
      <c r="D464" s="59"/>
      <c r="E464" s="19"/>
      <c r="F464" s="59"/>
      <c r="G464" s="19"/>
      <c r="H464" s="6"/>
      <c r="I464" s="6"/>
      <c r="J464" s="6"/>
    </row>
    <row r="465" ht="14.25" customHeight="1">
      <c r="A465" s="6"/>
      <c r="B465" s="18" t="s">
        <v>186</v>
      </c>
      <c r="C465" s="34"/>
      <c r="D465" s="59"/>
      <c r="E465" s="19"/>
      <c r="F465" s="59"/>
      <c r="G465" s="19"/>
      <c r="H465" s="6"/>
      <c r="I465" s="6"/>
      <c r="J465" s="6"/>
    </row>
    <row r="466" ht="14.25" customHeight="1">
      <c r="A466" s="6"/>
      <c r="B466" s="18" t="s">
        <v>186</v>
      </c>
      <c r="C466" s="34"/>
      <c r="D466" s="59"/>
      <c r="E466" s="19"/>
      <c r="F466" s="59"/>
      <c r="G466" s="19"/>
      <c r="H466" s="6"/>
      <c r="I466" s="6"/>
      <c r="J466" s="6"/>
    </row>
    <row r="467" ht="14.25" customHeight="1">
      <c r="A467" s="6"/>
      <c r="B467" s="18" t="s">
        <v>186</v>
      </c>
      <c r="C467" s="34"/>
      <c r="D467" s="59"/>
      <c r="E467" s="19"/>
      <c r="F467" s="59"/>
      <c r="G467" s="19"/>
      <c r="H467" s="6"/>
      <c r="I467" s="6"/>
      <c r="J467" s="6"/>
    </row>
    <row r="468" ht="14.25" customHeight="1">
      <c r="A468" s="6"/>
      <c r="B468" s="18" t="s">
        <v>186</v>
      </c>
      <c r="C468" s="34"/>
      <c r="D468" s="59"/>
      <c r="E468" s="19"/>
      <c r="F468" s="59"/>
      <c r="G468" s="19"/>
      <c r="H468" s="6"/>
      <c r="I468" s="6"/>
      <c r="J468" s="6"/>
    </row>
    <row r="469" ht="14.25" customHeight="1">
      <c r="A469" s="6"/>
      <c r="B469" s="18" t="s">
        <v>186</v>
      </c>
      <c r="C469" s="34"/>
      <c r="D469" s="59"/>
      <c r="E469" s="19"/>
      <c r="F469" s="59"/>
      <c r="G469" s="19"/>
      <c r="H469" s="6"/>
      <c r="I469" s="6"/>
      <c r="J469" s="6"/>
    </row>
    <row r="470" ht="14.25" customHeight="1">
      <c r="A470" s="6"/>
      <c r="B470" s="18" t="s">
        <v>186</v>
      </c>
      <c r="C470" s="34"/>
      <c r="D470" s="59"/>
      <c r="E470" s="19"/>
      <c r="F470" s="59"/>
      <c r="G470" s="19"/>
      <c r="H470" s="6"/>
      <c r="I470" s="6"/>
      <c r="J470" s="6"/>
    </row>
    <row r="471" ht="14.25" customHeight="1">
      <c r="A471" s="6"/>
      <c r="B471" s="18" t="s">
        <v>186</v>
      </c>
      <c r="C471" s="34"/>
      <c r="D471" s="59"/>
      <c r="E471" s="19"/>
      <c r="F471" s="59"/>
      <c r="G471" s="19"/>
      <c r="H471" s="6"/>
      <c r="I471" s="6"/>
      <c r="J471" s="6"/>
    </row>
    <row r="472" ht="14.25" customHeight="1">
      <c r="A472" s="6"/>
      <c r="B472" s="18" t="s">
        <v>186</v>
      </c>
      <c r="C472" s="34"/>
      <c r="D472" s="59"/>
      <c r="E472" s="19"/>
      <c r="F472" s="59"/>
      <c r="G472" s="19"/>
      <c r="H472" s="6"/>
      <c r="I472" s="6"/>
      <c r="J472" s="6"/>
    </row>
    <row r="473" ht="14.25" customHeight="1">
      <c r="A473" s="6"/>
      <c r="B473" s="18" t="s">
        <v>186</v>
      </c>
      <c r="C473" s="34"/>
      <c r="D473" s="59"/>
      <c r="E473" s="19"/>
      <c r="F473" s="59"/>
      <c r="G473" s="19"/>
      <c r="H473" s="6"/>
      <c r="I473" s="6"/>
      <c r="J473" s="6"/>
    </row>
    <row r="474" ht="14.25" customHeight="1">
      <c r="A474" s="6"/>
      <c r="B474" s="18" t="s">
        <v>186</v>
      </c>
      <c r="C474" s="34"/>
      <c r="D474" s="59"/>
      <c r="E474" s="19"/>
      <c r="F474" s="59"/>
      <c r="G474" s="19"/>
      <c r="H474" s="6"/>
      <c r="I474" s="6"/>
      <c r="J474" s="6"/>
    </row>
    <row r="475" ht="14.25" customHeight="1">
      <c r="A475" s="6"/>
      <c r="B475" s="18" t="s">
        <v>186</v>
      </c>
      <c r="C475" s="34"/>
      <c r="D475" s="59"/>
      <c r="E475" s="19"/>
      <c r="F475" s="59"/>
      <c r="G475" s="19"/>
      <c r="H475" s="6"/>
      <c r="I475" s="6"/>
      <c r="J475" s="6"/>
    </row>
    <row r="476" ht="14.25" customHeight="1">
      <c r="A476" s="6"/>
      <c r="B476" s="18" t="s">
        <v>186</v>
      </c>
      <c r="C476" s="34"/>
      <c r="D476" s="59"/>
      <c r="E476" s="19"/>
      <c r="F476" s="59"/>
      <c r="G476" s="19"/>
      <c r="H476" s="6"/>
      <c r="I476" s="6"/>
      <c r="J476" s="6"/>
    </row>
    <row r="477" ht="14.25" customHeight="1">
      <c r="A477" s="6"/>
      <c r="B477" s="18" t="s">
        <v>186</v>
      </c>
      <c r="C477" s="34"/>
      <c r="D477" s="59"/>
      <c r="E477" s="19"/>
      <c r="F477" s="59"/>
      <c r="G477" s="19"/>
      <c r="H477" s="6"/>
      <c r="I477" s="6"/>
      <c r="J477" s="6"/>
    </row>
    <row r="478" ht="14.25" customHeight="1">
      <c r="A478" s="6"/>
      <c r="B478" s="18" t="s">
        <v>186</v>
      </c>
      <c r="C478" s="34"/>
      <c r="D478" s="59"/>
      <c r="E478" s="19"/>
      <c r="F478" s="59"/>
      <c r="G478" s="19"/>
      <c r="H478" s="6"/>
      <c r="I478" s="6"/>
      <c r="J478" s="6"/>
    </row>
    <row r="479" ht="14.25" customHeight="1">
      <c r="A479" s="6"/>
      <c r="B479" s="18" t="s">
        <v>186</v>
      </c>
      <c r="C479" s="34"/>
      <c r="D479" s="59"/>
      <c r="E479" s="19"/>
      <c r="F479" s="59"/>
      <c r="G479" s="19"/>
      <c r="H479" s="6"/>
      <c r="I479" s="6"/>
      <c r="J479" s="6"/>
    </row>
    <row r="480" ht="14.25" customHeight="1">
      <c r="A480" s="6"/>
      <c r="B480" s="18" t="s">
        <v>186</v>
      </c>
      <c r="C480" s="34"/>
      <c r="D480" s="59"/>
      <c r="E480" s="19"/>
      <c r="F480" s="59"/>
      <c r="G480" s="19"/>
      <c r="H480" s="6"/>
      <c r="I480" s="6"/>
      <c r="J480" s="6"/>
    </row>
    <row r="481" ht="14.25" customHeight="1">
      <c r="A481" s="6"/>
      <c r="B481" s="18" t="s">
        <v>186</v>
      </c>
      <c r="C481" s="34"/>
      <c r="D481" s="59"/>
      <c r="E481" s="19"/>
      <c r="F481" s="59"/>
      <c r="G481" s="19"/>
      <c r="H481" s="6"/>
      <c r="I481" s="6"/>
      <c r="J481" s="6"/>
    </row>
    <row r="482" ht="14.25" customHeight="1">
      <c r="A482" s="6"/>
      <c r="B482" s="18" t="s">
        <v>186</v>
      </c>
      <c r="C482" s="34"/>
      <c r="D482" s="59"/>
      <c r="E482" s="19"/>
      <c r="F482" s="59"/>
      <c r="G482" s="19"/>
      <c r="H482" s="6"/>
      <c r="I482" s="6"/>
      <c r="J482" s="6"/>
    </row>
    <row r="483" ht="14.25" customHeight="1">
      <c r="A483" s="6"/>
      <c r="B483" s="18" t="s">
        <v>186</v>
      </c>
      <c r="C483" s="34"/>
      <c r="D483" s="59"/>
      <c r="E483" s="19"/>
      <c r="F483" s="59"/>
      <c r="G483" s="19"/>
      <c r="H483" s="6"/>
      <c r="I483" s="6"/>
      <c r="J483" s="6"/>
    </row>
    <row r="484" ht="14.25" customHeight="1">
      <c r="A484" s="6"/>
      <c r="B484" s="18" t="s">
        <v>186</v>
      </c>
      <c r="C484" s="34"/>
      <c r="D484" s="59"/>
      <c r="E484" s="19"/>
      <c r="F484" s="59"/>
      <c r="G484" s="19"/>
      <c r="H484" s="6"/>
      <c r="I484" s="6"/>
      <c r="J484" s="6"/>
    </row>
    <row r="485" ht="14.25" customHeight="1">
      <c r="A485" s="6"/>
      <c r="B485" s="18" t="s">
        <v>186</v>
      </c>
      <c r="C485" s="34"/>
      <c r="D485" s="59"/>
      <c r="E485" s="19"/>
      <c r="F485" s="59"/>
      <c r="G485" s="19"/>
      <c r="H485" s="6"/>
      <c r="I485" s="6"/>
      <c r="J485" s="6"/>
    </row>
    <row r="486" ht="14.25" customHeight="1">
      <c r="A486" s="6"/>
      <c r="B486" s="18" t="s">
        <v>186</v>
      </c>
      <c r="C486" s="34"/>
      <c r="D486" s="59"/>
      <c r="E486" s="19"/>
      <c r="F486" s="59"/>
      <c r="G486" s="19"/>
      <c r="H486" s="6"/>
      <c r="I486" s="6"/>
      <c r="J486" s="6"/>
    </row>
    <row r="487" ht="14.25" customHeight="1">
      <c r="A487" s="6"/>
      <c r="B487" s="18" t="s">
        <v>186</v>
      </c>
      <c r="C487" s="34"/>
      <c r="D487" s="59"/>
      <c r="E487" s="19"/>
      <c r="F487" s="59"/>
      <c r="G487" s="19"/>
      <c r="H487" s="6"/>
      <c r="I487" s="6"/>
      <c r="J487" s="6"/>
    </row>
    <row r="488" ht="14.25" customHeight="1">
      <c r="A488" s="6"/>
      <c r="B488" s="18" t="s">
        <v>186</v>
      </c>
      <c r="C488" s="34"/>
      <c r="D488" s="59"/>
      <c r="E488" s="19"/>
      <c r="F488" s="59"/>
      <c r="G488" s="19"/>
      <c r="H488" s="6"/>
      <c r="I488" s="6"/>
      <c r="J488" s="6"/>
    </row>
    <row r="489" ht="14.25" customHeight="1">
      <c r="A489" s="6"/>
      <c r="B489" s="18" t="s">
        <v>186</v>
      </c>
      <c r="C489" s="34"/>
      <c r="D489" s="59"/>
      <c r="E489" s="19"/>
      <c r="F489" s="59"/>
      <c r="G489" s="19"/>
      <c r="H489" s="6"/>
      <c r="I489" s="6"/>
      <c r="J489" s="6"/>
    </row>
    <row r="490" ht="14.25" customHeight="1">
      <c r="A490" s="6"/>
      <c r="B490" s="18" t="s">
        <v>186</v>
      </c>
      <c r="C490" s="34"/>
      <c r="D490" s="59"/>
      <c r="E490" s="19"/>
      <c r="F490" s="59"/>
      <c r="G490" s="19"/>
      <c r="H490" s="6"/>
      <c r="I490" s="6"/>
      <c r="J490" s="6"/>
    </row>
    <row r="491" ht="14.25" customHeight="1">
      <c r="A491" s="6"/>
      <c r="B491" s="18" t="s">
        <v>186</v>
      </c>
      <c r="C491" s="34"/>
      <c r="D491" s="59"/>
      <c r="E491" s="19"/>
      <c r="F491" s="59"/>
      <c r="G491" s="19"/>
      <c r="H491" s="6"/>
      <c r="I491" s="6"/>
      <c r="J491" s="6"/>
    </row>
    <row r="492" ht="14.25" customHeight="1">
      <c r="A492" s="6"/>
      <c r="B492" s="18" t="s">
        <v>186</v>
      </c>
      <c r="C492" s="34"/>
      <c r="D492" s="59"/>
      <c r="E492" s="19"/>
      <c r="F492" s="59"/>
      <c r="G492" s="19"/>
      <c r="H492" s="6"/>
      <c r="I492" s="6"/>
      <c r="J492" s="6"/>
    </row>
    <row r="493" ht="14.25" customHeight="1">
      <c r="A493" s="6"/>
      <c r="B493" s="18" t="s">
        <v>186</v>
      </c>
      <c r="C493" s="34"/>
      <c r="D493" s="59"/>
      <c r="E493" s="19"/>
      <c r="F493" s="59"/>
      <c r="G493" s="19"/>
      <c r="H493" s="6"/>
      <c r="I493" s="6"/>
      <c r="J493" s="6"/>
    </row>
    <row r="494" ht="14.25" customHeight="1">
      <c r="A494" s="6"/>
      <c r="B494" s="18" t="s">
        <v>186</v>
      </c>
      <c r="C494" s="34"/>
      <c r="D494" s="59"/>
      <c r="E494" s="19"/>
      <c r="F494" s="59"/>
      <c r="G494" s="19"/>
      <c r="H494" s="6"/>
      <c r="I494" s="6"/>
      <c r="J494" s="6"/>
    </row>
    <row r="495" ht="14.25" customHeight="1">
      <c r="A495" s="6"/>
      <c r="B495" s="18" t="s">
        <v>186</v>
      </c>
      <c r="C495" s="34"/>
      <c r="D495" s="59"/>
      <c r="E495" s="19"/>
      <c r="F495" s="59"/>
      <c r="G495" s="19"/>
      <c r="H495" s="6"/>
      <c r="I495" s="6"/>
      <c r="J495" s="6"/>
    </row>
    <row r="496" ht="14.25" customHeight="1">
      <c r="A496" s="6"/>
      <c r="B496" s="18" t="s">
        <v>186</v>
      </c>
      <c r="C496" s="34"/>
      <c r="D496" s="59"/>
      <c r="E496" s="19"/>
      <c r="F496" s="59"/>
      <c r="G496" s="19"/>
      <c r="H496" s="6"/>
      <c r="I496" s="6"/>
      <c r="J496" s="6"/>
    </row>
    <row r="497" ht="14.25" customHeight="1">
      <c r="A497" s="6"/>
      <c r="B497" s="18" t="s">
        <v>186</v>
      </c>
      <c r="C497" s="34"/>
      <c r="D497" s="59"/>
      <c r="E497" s="19"/>
      <c r="F497" s="59"/>
      <c r="G497" s="19"/>
      <c r="H497" s="6"/>
      <c r="I497" s="6"/>
      <c r="J497" s="6"/>
    </row>
    <row r="498" ht="14.25" customHeight="1">
      <c r="A498" s="6"/>
      <c r="B498" s="18" t="s">
        <v>186</v>
      </c>
      <c r="C498" s="34"/>
      <c r="D498" s="59"/>
      <c r="E498" s="19"/>
      <c r="F498" s="59"/>
      <c r="G498" s="19"/>
      <c r="H498" s="6"/>
      <c r="I498" s="6"/>
      <c r="J498" s="6"/>
    </row>
    <row r="499" ht="14.25" customHeight="1">
      <c r="A499" s="6"/>
      <c r="B499" s="18" t="s">
        <v>186</v>
      </c>
      <c r="C499" s="34"/>
      <c r="D499" s="59"/>
      <c r="E499" s="19"/>
      <c r="F499" s="59"/>
      <c r="G499" s="19"/>
      <c r="H499" s="6"/>
      <c r="I499" s="6"/>
      <c r="J499" s="6"/>
    </row>
    <row r="500" ht="14.25" customHeight="1">
      <c r="A500" s="6"/>
      <c r="B500" s="18" t="s">
        <v>186</v>
      </c>
      <c r="C500" s="34"/>
      <c r="D500" s="59"/>
      <c r="E500" s="19"/>
      <c r="F500" s="59"/>
      <c r="G500" s="19"/>
      <c r="H500" s="6"/>
      <c r="I500" s="6"/>
      <c r="J500" s="6"/>
    </row>
    <row r="501" ht="14.25" customHeight="1">
      <c r="A501" s="6"/>
      <c r="B501" s="18" t="s">
        <v>186</v>
      </c>
      <c r="C501" s="34"/>
      <c r="D501" s="59"/>
      <c r="E501" s="19"/>
      <c r="F501" s="59"/>
      <c r="G501" s="19"/>
      <c r="H501" s="6"/>
      <c r="I501" s="6"/>
      <c r="J501" s="6"/>
    </row>
    <row r="502" ht="14.25" customHeight="1">
      <c r="A502" s="6"/>
      <c r="B502" s="18" t="s">
        <v>186</v>
      </c>
      <c r="C502" s="34"/>
      <c r="D502" s="59"/>
      <c r="E502" s="19"/>
      <c r="F502" s="59"/>
      <c r="G502" s="19"/>
      <c r="H502" s="6"/>
      <c r="I502" s="6"/>
      <c r="J502" s="6"/>
    </row>
    <row r="503" ht="14.25" customHeight="1">
      <c r="A503" s="6"/>
      <c r="B503" s="18" t="s">
        <v>186</v>
      </c>
      <c r="C503" s="34"/>
      <c r="D503" s="59"/>
      <c r="E503" s="19"/>
      <c r="F503" s="59"/>
      <c r="G503" s="19"/>
      <c r="H503" s="6"/>
      <c r="I503" s="6"/>
      <c r="J503" s="6"/>
    </row>
    <row r="504" ht="14.25" customHeight="1">
      <c r="A504" s="6"/>
      <c r="B504" s="18" t="s">
        <v>186</v>
      </c>
      <c r="C504" s="34"/>
      <c r="D504" s="59"/>
      <c r="E504" s="19"/>
      <c r="F504" s="59"/>
      <c r="G504" s="19"/>
      <c r="H504" s="6"/>
      <c r="I504" s="6"/>
      <c r="J504" s="6"/>
    </row>
    <row r="505" ht="14.25" customHeight="1">
      <c r="A505" s="6"/>
      <c r="B505" s="18" t="s">
        <v>186</v>
      </c>
      <c r="C505" s="34"/>
      <c r="D505" s="59"/>
      <c r="E505" s="19"/>
      <c r="F505" s="59"/>
      <c r="G505" s="19"/>
      <c r="H505" s="6"/>
      <c r="I505" s="6"/>
      <c r="J505" s="6"/>
    </row>
    <row r="506" ht="14.25" customHeight="1">
      <c r="A506" s="6"/>
      <c r="B506" s="18" t="s">
        <v>186</v>
      </c>
      <c r="C506" s="34"/>
      <c r="D506" s="59"/>
      <c r="E506" s="19"/>
      <c r="F506" s="59"/>
      <c r="G506" s="19"/>
      <c r="H506" s="6"/>
      <c r="I506" s="6"/>
      <c r="J506" s="6"/>
    </row>
    <row r="507" ht="14.25" customHeight="1">
      <c r="A507" s="6"/>
      <c r="B507" s="18" t="s">
        <v>186</v>
      </c>
      <c r="C507" s="34"/>
      <c r="D507" s="59"/>
      <c r="E507" s="19"/>
      <c r="F507" s="59"/>
      <c r="G507" s="19"/>
      <c r="H507" s="6"/>
      <c r="I507" s="6"/>
      <c r="J507" s="6"/>
    </row>
    <row r="508" ht="14.25" customHeight="1">
      <c r="A508" s="6"/>
      <c r="B508" s="18" t="s">
        <v>186</v>
      </c>
      <c r="C508" s="34"/>
      <c r="D508" s="59"/>
      <c r="E508" s="19"/>
      <c r="F508" s="59"/>
      <c r="G508" s="19"/>
      <c r="H508" s="6"/>
      <c r="I508" s="6"/>
      <c r="J508" s="6"/>
    </row>
    <row r="509" ht="14.25" customHeight="1">
      <c r="A509" s="6"/>
      <c r="B509" s="18" t="s">
        <v>186</v>
      </c>
      <c r="C509" s="34"/>
      <c r="D509" s="59"/>
      <c r="E509" s="19"/>
      <c r="F509" s="59"/>
      <c r="G509" s="19"/>
      <c r="H509" s="6"/>
      <c r="I509" s="6"/>
      <c r="J509" s="6"/>
    </row>
    <row r="510" ht="14.25" customHeight="1">
      <c r="A510" s="6"/>
      <c r="B510" s="18" t="s">
        <v>186</v>
      </c>
      <c r="C510" s="34"/>
      <c r="D510" s="59"/>
      <c r="E510" s="19"/>
      <c r="F510" s="59"/>
      <c r="G510" s="19"/>
      <c r="H510" s="6"/>
      <c r="I510" s="6"/>
      <c r="J510" s="6"/>
    </row>
    <row r="511" ht="14.25" customHeight="1">
      <c r="A511" s="6"/>
      <c r="B511" s="18" t="s">
        <v>186</v>
      </c>
      <c r="C511" s="34"/>
      <c r="D511" s="59"/>
      <c r="E511" s="19"/>
      <c r="F511" s="59"/>
      <c r="G511" s="19"/>
      <c r="H511" s="6"/>
      <c r="I511" s="6"/>
      <c r="J511" s="6"/>
    </row>
    <row r="512" ht="14.25" customHeight="1">
      <c r="A512" s="6"/>
      <c r="B512" s="18" t="s">
        <v>186</v>
      </c>
      <c r="C512" s="34"/>
      <c r="D512" s="59"/>
      <c r="E512" s="19"/>
      <c r="F512" s="59"/>
      <c r="G512" s="19"/>
      <c r="H512" s="6"/>
      <c r="I512" s="6"/>
      <c r="J512" s="6"/>
    </row>
    <row r="513" ht="14.25" customHeight="1">
      <c r="A513" s="6"/>
      <c r="B513" s="18" t="s">
        <v>186</v>
      </c>
      <c r="C513" s="34"/>
      <c r="D513" s="59"/>
      <c r="E513" s="19"/>
      <c r="F513" s="59"/>
      <c r="G513" s="19"/>
      <c r="H513" s="6"/>
      <c r="I513" s="6"/>
      <c r="J513" s="6"/>
    </row>
    <row r="514" ht="14.25" customHeight="1">
      <c r="A514" s="6"/>
      <c r="B514" s="18" t="s">
        <v>186</v>
      </c>
      <c r="C514" s="34"/>
      <c r="D514" s="59"/>
      <c r="E514" s="19"/>
      <c r="F514" s="59"/>
      <c r="G514" s="19"/>
      <c r="H514" s="6"/>
      <c r="I514" s="6"/>
      <c r="J514" s="6"/>
    </row>
    <row r="515" ht="14.25" customHeight="1">
      <c r="A515" s="6"/>
      <c r="B515" s="18" t="s">
        <v>186</v>
      </c>
      <c r="C515" s="34"/>
      <c r="D515" s="59"/>
      <c r="E515" s="19"/>
      <c r="F515" s="59"/>
      <c r="G515" s="19"/>
      <c r="H515" s="6"/>
      <c r="I515" s="6"/>
      <c r="J515" s="6"/>
    </row>
    <row r="516" ht="14.25" customHeight="1">
      <c r="A516" s="6"/>
      <c r="B516" s="18" t="s">
        <v>186</v>
      </c>
      <c r="C516" s="34"/>
      <c r="D516" s="59"/>
      <c r="E516" s="19"/>
      <c r="F516" s="59"/>
      <c r="G516" s="19"/>
      <c r="H516" s="6"/>
      <c r="I516" s="6"/>
      <c r="J516" s="6"/>
    </row>
    <row r="517" ht="14.25" customHeight="1">
      <c r="A517" s="6"/>
      <c r="B517" s="18" t="s">
        <v>186</v>
      </c>
      <c r="C517" s="34"/>
      <c r="D517" s="59"/>
      <c r="E517" s="19"/>
      <c r="F517" s="59"/>
      <c r="G517" s="19"/>
      <c r="H517" s="6"/>
      <c r="I517" s="6"/>
      <c r="J517" s="6"/>
    </row>
    <row r="518" ht="14.25" customHeight="1">
      <c r="A518" s="6"/>
      <c r="B518" s="18" t="s">
        <v>186</v>
      </c>
      <c r="C518" s="34"/>
      <c r="D518" s="59"/>
      <c r="E518" s="19"/>
      <c r="F518" s="59"/>
      <c r="G518" s="19"/>
      <c r="H518" s="6"/>
      <c r="I518" s="6"/>
      <c r="J518" s="6"/>
    </row>
    <row r="519" ht="14.25" customHeight="1">
      <c r="A519" s="6"/>
      <c r="B519" s="18" t="s">
        <v>186</v>
      </c>
      <c r="C519" s="34"/>
      <c r="D519" s="59"/>
      <c r="E519" s="19"/>
      <c r="F519" s="59"/>
      <c r="G519" s="19"/>
      <c r="H519" s="6"/>
      <c r="I519" s="6"/>
      <c r="J519" s="6"/>
    </row>
    <row r="520" ht="14.25" customHeight="1">
      <c r="A520" s="6"/>
      <c r="B520" s="18" t="s">
        <v>186</v>
      </c>
      <c r="C520" s="34"/>
      <c r="D520" s="59"/>
      <c r="E520" s="19"/>
      <c r="F520" s="59"/>
      <c r="G520" s="19"/>
      <c r="H520" s="6"/>
      <c r="I520" s="6"/>
      <c r="J520" s="6"/>
    </row>
    <row r="521" ht="14.25" customHeight="1">
      <c r="A521" s="6"/>
      <c r="B521" s="18" t="s">
        <v>186</v>
      </c>
      <c r="C521" s="34"/>
      <c r="D521" s="59"/>
      <c r="E521" s="19"/>
      <c r="F521" s="59"/>
      <c r="G521" s="19"/>
      <c r="H521" s="6"/>
      <c r="I521" s="6"/>
      <c r="J521" s="6"/>
    </row>
    <row r="522" ht="14.25" customHeight="1">
      <c r="A522" s="6"/>
      <c r="B522" s="18" t="s">
        <v>186</v>
      </c>
      <c r="C522" s="34"/>
      <c r="D522" s="59"/>
      <c r="E522" s="19"/>
      <c r="F522" s="59"/>
      <c r="G522" s="19"/>
      <c r="H522" s="6"/>
      <c r="I522" s="6"/>
      <c r="J522" s="6"/>
    </row>
    <row r="523" ht="14.25" customHeight="1">
      <c r="A523" s="6"/>
      <c r="B523" s="18" t="s">
        <v>186</v>
      </c>
      <c r="C523" s="34"/>
      <c r="D523" s="59"/>
      <c r="E523" s="19"/>
      <c r="F523" s="59"/>
      <c r="G523" s="19"/>
      <c r="H523" s="6"/>
      <c r="I523" s="6"/>
      <c r="J523" s="6"/>
    </row>
    <row r="524" ht="14.25" customHeight="1">
      <c r="A524" s="6"/>
      <c r="B524" s="18" t="s">
        <v>186</v>
      </c>
      <c r="C524" s="34"/>
      <c r="D524" s="59"/>
      <c r="E524" s="19"/>
      <c r="F524" s="59"/>
      <c r="G524" s="19"/>
      <c r="H524" s="6"/>
      <c r="I524" s="6"/>
      <c r="J524" s="6"/>
    </row>
    <row r="525" ht="14.25" customHeight="1">
      <c r="A525" s="6"/>
      <c r="B525" s="18" t="s">
        <v>186</v>
      </c>
      <c r="C525" s="34"/>
      <c r="D525" s="59"/>
      <c r="E525" s="19"/>
      <c r="F525" s="59"/>
      <c r="G525" s="19"/>
      <c r="H525" s="6"/>
      <c r="I525" s="6"/>
      <c r="J525" s="6"/>
    </row>
    <row r="526" ht="14.25" customHeight="1">
      <c r="A526" s="6"/>
      <c r="B526" s="18" t="s">
        <v>186</v>
      </c>
      <c r="C526" s="34"/>
      <c r="D526" s="59"/>
      <c r="E526" s="19"/>
      <c r="F526" s="59"/>
      <c r="G526" s="19"/>
      <c r="H526" s="6"/>
      <c r="I526" s="6"/>
      <c r="J526" s="6"/>
    </row>
    <row r="527" ht="14.25" customHeight="1">
      <c r="A527" s="6"/>
      <c r="B527" s="18" t="s">
        <v>186</v>
      </c>
      <c r="C527" s="34"/>
      <c r="D527" s="59"/>
      <c r="E527" s="19"/>
      <c r="F527" s="59"/>
      <c r="G527" s="19"/>
      <c r="H527" s="6"/>
      <c r="I527" s="6"/>
      <c r="J527" s="6"/>
    </row>
    <row r="528" ht="14.25" customHeight="1">
      <c r="A528" s="6"/>
      <c r="B528" s="18" t="s">
        <v>186</v>
      </c>
      <c r="C528" s="34"/>
      <c r="D528" s="59"/>
      <c r="E528" s="19"/>
      <c r="F528" s="59"/>
      <c r="G528" s="19"/>
      <c r="H528" s="6"/>
      <c r="I528" s="6"/>
      <c r="J528" s="6"/>
    </row>
    <row r="529" ht="14.25" customHeight="1">
      <c r="A529" s="6"/>
      <c r="B529" s="18" t="s">
        <v>186</v>
      </c>
      <c r="C529" s="34"/>
      <c r="D529" s="59"/>
      <c r="E529" s="19"/>
      <c r="F529" s="59"/>
      <c r="G529" s="19"/>
      <c r="H529" s="6"/>
      <c r="I529" s="6"/>
      <c r="J529" s="6"/>
    </row>
    <row r="530" ht="14.25" customHeight="1">
      <c r="A530" s="6"/>
      <c r="B530" s="18" t="s">
        <v>186</v>
      </c>
      <c r="C530" s="34"/>
      <c r="D530" s="59"/>
      <c r="E530" s="19"/>
      <c r="F530" s="59"/>
      <c r="G530" s="19"/>
      <c r="H530" s="6"/>
      <c r="I530" s="6"/>
      <c r="J530" s="6"/>
    </row>
    <row r="531" ht="14.25" customHeight="1">
      <c r="A531" s="6"/>
      <c r="B531" s="18" t="s">
        <v>186</v>
      </c>
      <c r="C531" s="34"/>
      <c r="D531" s="59"/>
      <c r="E531" s="19"/>
      <c r="F531" s="59"/>
      <c r="G531" s="19"/>
      <c r="H531" s="6"/>
      <c r="I531" s="6"/>
      <c r="J531" s="6"/>
    </row>
    <row r="532" ht="14.25" customHeight="1">
      <c r="A532" s="6"/>
      <c r="B532" s="18" t="s">
        <v>186</v>
      </c>
      <c r="C532" s="34"/>
      <c r="D532" s="59"/>
      <c r="E532" s="19"/>
      <c r="F532" s="59"/>
      <c r="G532" s="19"/>
      <c r="H532" s="6"/>
      <c r="I532" s="6"/>
      <c r="J532" s="6"/>
    </row>
    <row r="533" ht="14.25" customHeight="1">
      <c r="A533" s="6"/>
      <c r="B533" s="18" t="s">
        <v>186</v>
      </c>
      <c r="C533" s="34"/>
      <c r="D533" s="59"/>
      <c r="E533" s="19"/>
      <c r="F533" s="59"/>
      <c r="G533" s="19"/>
      <c r="H533" s="6"/>
      <c r="I533" s="6"/>
      <c r="J533" s="6"/>
    </row>
    <row r="534" ht="14.25" customHeight="1">
      <c r="A534" s="6"/>
      <c r="B534" s="18" t="s">
        <v>186</v>
      </c>
      <c r="C534" s="34"/>
      <c r="D534" s="59"/>
      <c r="E534" s="19"/>
      <c r="F534" s="59"/>
      <c r="G534" s="19"/>
      <c r="H534" s="6"/>
      <c r="I534" s="6"/>
      <c r="J534" s="6"/>
    </row>
    <row r="535" ht="14.25" customHeight="1">
      <c r="A535" s="6"/>
      <c r="B535" s="18" t="s">
        <v>186</v>
      </c>
      <c r="C535" s="34"/>
      <c r="D535" s="59"/>
      <c r="E535" s="19"/>
      <c r="F535" s="59"/>
      <c r="G535" s="19"/>
      <c r="H535" s="6"/>
      <c r="I535" s="6"/>
      <c r="J535" s="6"/>
    </row>
    <row r="536" ht="14.25" customHeight="1">
      <c r="A536" s="6"/>
      <c r="B536" s="18" t="s">
        <v>186</v>
      </c>
      <c r="C536" s="34"/>
      <c r="D536" s="59"/>
      <c r="E536" s="19"/>
      <c r="F536" s="59"/>
      <c r="G536" s="19"/>
      <c r="H536" s="6"/>
      <c r="I536" s="6"/>
      <c r="J536" s="6"/>
    </row>
    <row r="537" ht="14.25" customHeight="1">
      <c r="A537" s="6"/>
      <c r="B537" s="18" t="s">
        <v>186</v>
      </c>
      <c r="C537" s="34"/>
      <c r="D537" s="59"/>
      <c r="E537" s="19"/>
      <c r="F537" s="59"/>
      <c r="G537" s="19"/>
      <c r="H537" s="6"/>
      <c r="I537" s="6"/>
      <c r="J537" s="6"/>
    </row>
    <row r="538" ht="14.25" customHeight="1">
      <c r="A538" s="6"/>
      <c r="B538" s="18" t="s">
        <v>186</v>
      </c>
      <c r="C538" s="34"/>
      <c r="D538" s="59"/>
      <c r="E538" s="19"/>
      <c r="F538" s="59"/>
      <c r="G538" s="19"/>
      <c r="H538" s="6"/>
      <c r="I538" s="6"/>
      <c r="J538" s="6"/>
    </row>
    <row r="539" ht="14.25" customHeight="1">
      <c r="A539" s="6"/>
      <c r="B539" s="18" t="s">
        <v>186</v>
      </c>
      <c r="C539" s="34"/>
      <c r="D539" s="59"/>
      <c r="E539" s="19"/>
      <c r="F539" s="59"/>
      <c r="G539" s="19"/>
      <c r="H539" s="6"/>
      <c r="I539" s="6"/>
      <c r="J539" s="6"/>
    </row>
    <row r="540" ht="14.25" customHeight="1">
      <c r="A540" s="6"/>
      <c r="B540" s="18" t="s">
        <v>186</v>
      </c>
      <c r="C540" s="34"/>
      <c r="D540" s="59"/>
      <c r="E540" s="19"/>
      <c r="F540" s="59"/>
      <c r="G540" s="19"/>
      <c r="H540" s="6"/>
      <c r="I540" s="6"/>
      <c r="J540" s="6"/>
    </row>
    <row r="541" ht="14.25" customHeight="1">
      <c r="A541" s="6"/>
      <c r="B541" s="18" t="s">
        <v>186</v>
      </c>
      <c r="C541" s="34"/>
      <c r="D541" s="59"/>
      <c r="E541" s="19"/>
      <c r="F541" s="59"/>
      <c r="G541" s="19"/>
      <c r="H541" s="6"/>
      <c r="I541" s="6"/>
      <c r="J541" s="6"/>
    </row>
    <row r="542" ht="14.25" customHeight="1">
      <c r="A542" s="6"/>
      <c r="B542" s="18" t="s">
        <v>186</v>
      </c>
      <c r="C542" s="34"/>
      <c r="D542" s="59"/>
      <c r="E542" s="19"/>
      <c r="F542" s="59"/>
      <c r="G542" s="19"/>
      <c r="H542" s="6"/>
      <c r="I542" s="6"/>
      <c r="J542" s="6"/>
    </row>
    <row r="543" ht="14.25" customHeight="1">
      <c r="A543" s="6"/>
      <c r="B543" s="18" t="s">
        <v>186</v>
      </c>
      <c r="C543" s="34"/>
      <c r="D543" s="59"/>
      <c r="E543" s="19"/>
      <c r="F543" s="59"/>
      <c r="G543" s="19"/>
      <c r="H543" s="6"/>
      <c r="I543" s="6"/>
      <c r="J543" s="6"/>
    </row>
    <row r="544" ht="14.25" customHeight="1">
      <c r="A544" s="6"/>
      <c r="B544" s="18" t="s">
        <v>186</v>
      </c>
      <c r="C544" s="34"/>
      <c r="D544" s="59"/>
      <c r="E544" s="19"/>
      <c r="F544" s="59"/>
      <c r="G544" s="19"/>
      <c r="H544" s="6"/>
      <c r="I544" s="6"/>
      <c r="J544" s="6"/>
    </row>
    <row r="545" ht="14.25" customHeight="1">
      <c r="A545" s="6"/>
      <c r="B545" s="18" t="s">
        <v>186</v>
      </c>
      <c r="C545" s="34"/>
      <c r="D545" s="59"/>
      <c r="E545" s="19"/>
      <c r="F545" s="59"/>
      <c r="G545" s="19"/>
      <c r="H545" s="6"/>
      <c r="I545" s="6"/>
      <c r="J545" s="6"/>
    </row>
    <row r="546" ht="14.25" customHeight="1">
      <c r="A546" s="6"/>
      <c r="B546" s="18" t="s">
        <v>186</v>
      </c>
      <c r="C546" s="34"/>
      <c r="D546" s="59"/>
      <c r="E546" s="19"/>
      <c r="F546" s="59"/>
      <c r="G546" s="19"/>
      <c r="H546" s="6"/>
      <c r="I546" s="6"/>
      <c r="J546" s="6"/>
    </row>
    <row r="547" ht="14.25" customHeight="1">
      <c r="A547" s="6"/>
      <c r="B547" s="18" t="s">
        <v>186</v>
      </c>
      <c r="C547" s="34"/>
      <c r="D547" s="59"/>
      <c r="E547" s="19"/>
      <c r="F547" s="59"/>
      <c r="G547" s="19"/>
      <c r="H547" s="6"/>
      <c r="I547" s="6"/>
      <c r="J547" s="6"/>
    </row>
    <row r="548" ht="14.25" customHeight="1">
      <c r="A548" s="6"/>
      <c r="B548" s="18" t="s">
        <v>186</v>
      </c>
      <c r="C548" s="34"/>
      <c r="D548" s="59"/>
      <c r="E548" s="19"/>
      <c r="F548" s="59"/>
      <c r="G548" s="19"/>
      <c r="H548" s="6"/>
      <c r="I548" s="6"/>
      <c r="J548" s="6"/>
    </row>
    <row r="549" ht="14.25" customHeight="1">
      <c r="A549" s="6"/>
      <c r="B549" s="18" t="s">
        <v>186</v>
      </c>
      <c r="C549" s="34"/>
      <c r="D549" s="59"/>
      <c r="E549" s="19"/>
      <c r="F549" s="59"/>
      <c r="G549" s="19"/>
      <c r="H549" s="6"/>
      <c r="I549" s="6"/>
      <c r="J549" s="6"/>
    </row>
    <row r="550" ht="14.25" customHeight="1">
      <c r="A550" s="6"/>
      <c r="B550" s="18" t="s">
        <v>186</v>
      </c>
      <c r="C550" s="34"/>
      <c r="D550" s="59"/>
      <c r="E550" s="19"/>
      <c r="F550" s="59"/>
      <c r="G550" s="19"/>
      <c r="H550" s="6"/>
      <c r="I550" s="6"/>
      <c r="J550" s="6"/>
    </row>
    <row r="551" ht="14.25" customHeight="1">
      <c r="A551" s="6"/>
      <c r="B551" s="18" t="s">
        <v>186</v>
      </c>
      <c r="C551" s="34"/>
      <c r="D551" s="59"/>
      <c r="E551" s="19"/>
      <c r="F551" s="59"/>
      <c r="G551" s="19"/>
      <c r="H551" s="6"/>
      <c r="I551" s="6"/>
      <c r="J551" s="6"/>
    </row>
    <row r="552" ht="14.25" customHeight="1">
      <c r="A552" s="6"/>
      <c r="B552" s="18" t="s">
        <v>186</v>
      </c>
      <c r="C552" s="34"/>
      <c r="D552" s="59"/>
      <c r="E552" s="19"/>
      <c r="F552" s="59"/>
      <c r="G552" s="19"/>
      <c r="H552" s="6"/>
      <c r="I552" s="6"/>
      <c r="J552" s="6"/>
    </row>
    <row r="553" ht="14.25" customHeight="1">
      <c r="A553" s="6"/>
      <c r="B553" s="18" t="s">
        <v>186</v>
      </c>
      <c r="C553" s="34"/>
      <c r="D553" s="59"/>
      <c r="E553" s="19"/>
      <c r="F553" s="59"/>
      <c r="G553" s="19"/>
      <c r="H553" s="6"/>
      <c r="I553" s="6"/>
      <c r="J553" s="6"/>
    </row>
    <row r="554" ht="14.25" customHeight="1">
      <c r="A554" s="6"/>
      <c r="B554" s="18" t="s">
        <v>186</v>
      </c>
      <c r="C554" s="34"/>
      <c r="D554" s="59"/>
      <c r="E554" s="19"/>
      <c r="F554" s="59"/>
      <c r="G554" s="19"/>
      <c r="H554" s="6"/>
      <c r="I554" s="6"/>
      <c r="J554" s="6"/>
    </row>
    <row r="555" ht="14.25" customHeight="1">
      <c r="A555" s="6"/>
      <c r="B555" s="18" t="s">
        <v>186</v>
      </c>
      <c r="C555" s="34"/>
      <c r="D555" s="59"/>
      <c r="E555" s="19"/>
      <c r="F555" s="59"/>
      <c r="G555" s="19"/>
      <c r="H555" s="6"/>
      <c r="I555" s="6"/>
      <c r="J555" s="6"/>
    </row>
    <row r="556" ht="14.25" customHeight="1">
      <c r="A556" s="6"/>
      <c r="B556" s="18" t="s">
        <v>186</v>
      </c>
      <c r="C556" s="34"/>
      <c r="D556" s="59"/>
      <c r="E556" s="19"/>
      <c r="F556" s="59"/>
      <c r="G556" s="19"/>
      <c r="H556" s="6"/>
      <c r="I556" s="6"/>
      <c r="J556" s="6"/>
    </row>
    <row r="557" ht="14.25" customHeight="1">
      <c r="A557" s="6"/>
      <c r="B557" s="18" t="s">
        <v>186</v>
      </c>
      <c r="C557" s="34"/>
      <c r="D557" s="59"/>
      <c r="E557" s="19"/>
      <c r="F557" s="59"/>
      <c r="G557" s="19"/>
      <c r="H557" s="6"/>
      <c r="I557" s="6"/>
      <c r="J557" s="6"/>
    </row>
    <row r="558" ht="14.25" customHeight="1">
      <c r="A558" s="6"/>
      <c r="B558" s="18" t="s">
        <v>186</v>
      </c>
      <c r="C558" s="34"/>
      <c r="D558" s="59"/>
      <c r="E558" s="19"/>
      <c r="F558" s="59"/>
      <c r="G558" s="19"/>
      <c r="H558" s="6"/>
      <c r="I558" s="6"/>
      <c r="J558" s="6"/>
    </row>
    <row r="559" ht="14.25" customHeight="1">
      <c r="A559" s="6"/>
      <c r="B559" s="18" t="s">
        <v>186</v>
      </c>
      <c r="C559" s="34"/>
      <c r="D559" s="59"/>
      <c r="E559" s="19"/>
      <c r="F559" s="59"/>
      <c r="G559" s="19"/>
      <c r="H559" s="6"/>
      <c r="I559" s="6"/>
      <c r="J559" s="6"/>
    </row>
    <row r="560" ht="14.25" customHeight="1">
      <c r="A560" s="6"/>
      <c r="B560" s="18" t="s">
        <v>186</v>
      </c>
      <c r="C560" s="34"/>
      <c r="D560" s="59"/>
      <c r="E560" s="19"/>
      <c r="F560" s="59"/>
      <c r="G560" s="19"/>
      <c r="H560" s="6"/>
      <c r="I560" s="6"/>
      <c r="J560" s="6"/>
    </row>
    <row r="561" ht="14.25" customHeight="1">
      <c r="A561" s="6"/>
      <c r="B561" s="18" t="s">
        <v>186</v>
      </c>
      <c r="C561" s="34"/>
      <c r="D561" s="59"/>
      <c r="E561" s="19"/>
      <c r="F561" s="59"/>
      <c r="G561" s="19"/>
      <c r="H561" s="6"/>
      <c r="I561" s="6"/>
      <c r="J561" s="6"/>
    </row>
    <row r="562" ht="14.25" customHeight="1">
      <c r="A562" s="6"/>
      <c r="B562" s="18" t="s">
        <v>186</v>
      </c>
      <c r="C562" s="34"/>
      <c r="D562" s="59"/>
      <c r="E562" s="19"/>
      <c r="F562" s="59"/>
      <c r="G562" s="19"/>
      <c r="H562" s="6"/>
      <c r="I562" s="6"/>
      <c r="J562" s="6"/>
    </row>
    <row r="563" ht="14.25" customHeight="1">
      <c r="A563" s="6"/>
      <c r="B563" s="18" t="s">
        <v>186</v>
      </c>
      <c r="C563" s="34"/>
      <c r="D563" s="59"/>
      <c r="E563" s="19"/>
      <c r="F563" s="59"/>
      <c r="G563" s="19"/>
      <c r="H563" s="6"/>
      <c r="I563" s="6"/>
      <c r="J563" s="6"/>
    </row>
    <row r="564" ht="14.25" customHeight="1">
      <c r="A564" s="6"/>
      <c r="B564" s="18" t="s">
        <v>186</v>
      </c>
      <c r="C564" s="34"/>
      <c r="D564" s="59"/>
      <c r="E564" s="19"/>
      <c r="F564" s="59"/>
      <c r="G564" s="19"/>
      <c r="H564" s="6"/>
      <c r="I564" s="6"/>
      <c r="J564" s="6"/>
    </row>
    <row r="565" ht="14.25" customHeight="1">
      <c r="A565" s="6"/>
      <c r="B565" s="18" t="s">
        <v>186</v>
      </c>
      <c r="C565" s="34"/>
      <c r="D565" s="59"/>
      <c r="E565" s="19"/>
      <c r="F565" s="59"/>
      <c r="G565" s="19"/>
      <c r="H565" s="6"/>
      <c r="I565" s="6"/>
      <c r="J565" s="6"/>
    </row>
    <row r="566" ht="14.25" customHeight="1">
      <c r="A566" s="6"/>
      <c r="B566" s="18" t="s">
        <v>186</v>
      </c>
      <c r="C566" s="34"/>
      <c r="D566" s="59"/>
      <c r="E566" s="19"/>
      <c r="F566" s="59"/>
      <c r="G566" s="19"/>
      <c r="H566" s="6"/>
      <c r="I566" s="6"/>
      <c r="J566" s="6"/>
    </row>
    <row r="567" ht="14.25" customHeight="1">
      <c r="A567" s="6"/>
      <c r="B567" s="18" t="s">
        <v>186</v>
      </c>
      <c r="C567" s="34"/>
      <c r="D567" s="59"/>
      <c r="E567" s="19"/>
      <c r="F567" s="59"/>
      <c r="G567" s="19"/>
      <c r="H567" s="6"/>
      <c r="I567" s="6"/>
      <c r="J567" s="6"/>
    </row>
    <row r="568" ht="14.25" customHeight="1">
      <c r="A568" s="6"/>
      <c r="B568" s="18" t="s">
        <v>186</v>
      </c>
      <c r="C568" s="34"/>
      <c r="D568" s="59"/>
      <c r="E568" s="19"/>
      <c r="F568" s="59"/>
      <c r="G568" s="19"/>
      <c r="H568" s="6"/>
      <c r="I568" s="6"/>
      <c r="J568" s="6"/>
    </row>
    <row r="569" ht="14.25" customHeight="1">
      <c r="A569" s="6"/>
      <c r="B569" s="18" t="s">
        <v>186</v>
      </c>
      <c r="C569" s="34"/>
      <c r="D569" s="59"/>
      <c r="E569" s="19"/>
      <c r="F569" s="59"/>
      <c r="G569" s="19"/>
      <c r="H569" s="6"/>
      <c r="I569" s="6"/>
      <c r="J569" s="6"/>
    </row>
    <row r="570" ht="14.25" customHeight="1">
      <c r="A570" s="6"/>
      <c r="B570" s="18" t="s">
        <v>186</v>
      </c>
      <c r="C570" s="34"/>
      <c r="D570" s="59"/>
      <c r="E570" s="19"/>
      <c r="F570" s="59"/>
      <c r="G570" s="19"/>
      <c r="H570" s="6"/>
      <c r="I570" s="6"/>
      <c r="J570" s="6"/>
    </row>
    <row r="571" ht="14.25" customHeight="1">
      <c r="A571" s="6"/>
      <c r="B571" s="18" t="s">
        <v>186</v>
      </c>
      <c r="C571" s="34"/>
      <c r="D571" s="59"/>
      <c r="E571" s="19"/>
      <c r="F571" s="59"/>
      <c r="G571" s="19"/>
      <c r="H571" s="6"/>
      <c r="I571" s="6"/>
      <c r="J571" s="6"/>
    </row>
    <row r="572" ht="14.25" customHeight="1">
      <c r="A572" s="6"/>
      <c r="B572" s="18" t="s">
        <v>186</v>
      </c>
      <c r="C572" s="34"/>
      <c r="D572" s="59"/>
      <c r="E572" s="19"/>
      <c r="F572" s="59"/>
      <c r="G572" s="19"/>
      <c r="H572" s="6"/>
      <c r="I572" s="6"/>
      <c r="J572" s="6"/>
    </row>
    <row r="573" ht="14.25" customHeight="1">
      <c r="A573" s="6"/>
      <c r="B573" s="18" t="s">
        <v>186</v>
      </c>
      <c r="C573" s="34"/>
      <c r="D573" s="59"/>
      <c r="E573" s="19"/>
      <c r="F573" s="59"/>
      <c r="G573" s="19"/>
      <c r="H573" s="6"/>
      <c r="I573" s="6"/>
      <c r="J573" s="6"/>
    </row>
    <row r="574" ht="14.25" customHeight="1">
      <c r="A574" s="6"/>
      <c r="B574" s="18" t="s">
        <v>186</v>
      </c>
      <c r="C574" s="34"/>
      <c r="D574" s="59"/>
      <c r="E574" s="19"/>
      <c r="F574" s="59"/>
      <c r="G574" s="19"/>
      <c r="H574" s="6"/>
      <c r="I574" s="6"/>
      <c r="J574" s="6"/>
    </row>
    <row r="575" ht="14.25" customHeight="1">
      <c r="A575" s="6"/>
      <c r="B575" s="18" t="s">
        <v>186</v>
      </c>
      <c r="C575" s="34"/>
      <c r="D575" s="59"/>
      <c r="E575" s="19"/>
      <c r="F575" s="59"/>
      <c r="G575" s="19"/>
      <c r="H575" s="6"/>
      <c r="I575" s="6"/>
      <c r="J575" s="6"/>
    </row>
    <row r="576" ht="14.25" customHeight="1">
      <c r="A576" s="6"/>
      <c r="B576" s="18" t="s">
        <v>186</v>
      </c>
      <c r="C576" s="34"/>
      <c r="D576" s="59"/>
      <c r="E576" s="19"/>
      <c r="F576" s="59"/>
      <c r="G576" s="19"/>
      <c r="H576" s="6"/>
      <c r="I576" s="6"/>
      <c r="J576" s="6"/>
    </row>
    <row r="577" ht="14.25" customHeight="1">
      <c r="A577" s="6"/>
      <c r="B577" s="18" t="s">
        <v>186</v>
      </c>
      <c r="C577" s="34"/>
      <c r="D577" s="59"/>
      <c r="E577" s="19"/>
      <c r="F577" s="59"/>
      <c r="G577" s="19"/>
      <c r="H577" s="6"/>
      <c r="I577" s="6"/>
      <c r="J577" s="6"/>
    </row>
    <row r="578" ht="14.25" customHeight="1">
      <c r="A578" s="6"/>
      <c r="B578" s="18" t="s">
        <v>186</v>
      </c>
      <c r="C578" s="34"/>
      <c r="D578" s="59"/>
      <c r="E578" s="19"/>
      <c r="F578" s="59"/>
      <c r="G578" s="19"/>
      <c r="H578" s="6"/>
      <c r="I578" s="6"/>
      <c r="J578" s="6"/>
    </row>
    <row r="579" ht="14.25" customHeight="1">
      <c r="A579" s="6"/>
      <c r="B579" s="18" t="s">
        <v>186</v>
      </c>
      <c r="C579" s="34"/>
      <c r="D579" s="59"/>
      <c r="E579" s="19"/>
      <c r="F579" s="59"/>
      <c r="G579" s="19"/>
      <c r="H579" s="6"/>
      <c r="I579" s="6"/>
      <c r="J579" s="6"/>
    </row>
    <row r="580" ht="14.25" customHeight="1">
      <c r="A580" s="6"/>
      <c r="B580" s="18" t="s">
        <v>186</v>
      </c>
      <c r="C580" s="34"/>
      <c r="D580" s="59"/>
      <c r="E580" s="19"/>
      <c r="F580" s="59"/>
      <c r="G580" s="19"/>
      <c r="H580" s="6"/>
      <c r="I580" s="6"/>
      <c r="J580" s="6"/>
    </row>
    <row r="581" ht="14.25" customHeight="1">
      <c r="A581" s="6"/>
      <c r="B581" s="18" t="s">
        <v>186</v>
      </c>
      <c r="C581" s="34"/>
      <c r="D581" s="59"/>
      <c r="E581" s="19"/>
      <c r="F581" s="59"/>
      <c r="G581" s="19"/>
      <c r="H581" s="6"/>
      <c r="I581" s="6"/>
      <c r="J581" s="6"/>
    </row>
    <row r="582" ht="14.25" customHeight="1">
      <c r="A582" s="6"/>
      <c r="B582" s="18" t="s">
        <v>186</v>
      </c>
      <c r="C582" s="34"/>
      <c r="D582" s="59"/>
      <c r="E582" s="19"/>
      <c r="F582" s="59"/>
      <c r="G582" s="19"/>
      <c r="H582" s="6"/>
      <c r="I582" s="6"/>
      <c r="J582" s="6"/>
    </row>
    <row r="583" ht="14.25" customHeight="1">
      <c r="A583" s="6"/>
      <c r="B583" s="18" t="s">
        <v>186</v>
      </c>
      <c r="C583" s="34"/>
      <c r="D583" s="59"/>
      <c r="E583" s="19"/>
      <c r="F583" s="59"/>
      <c r="G583" s="19"/>
      <c r="H583" s="6"/>
      <c r="I583" s="6"/>
      <c r="J583" s="6"/>
    </row>
    <row r="584" ht="14.25" customHeight="1">
      <c r="A584" s="6"/>
      <c r="B584" s="18" t="s">
        <v>186</v>
      </c>
      <c r="C584" s="34"/>
      <c r="D584" s="59"/>
      <c r="E584" s="19"/>
      <c r="F584" s="59"/>
      <c r="G584" s="19"/>
      <c r="H584" s="6"/>
      <c r="I584" s="6"/>
      <c r="J584" s="6"/>
    </row>
    <row r="585" ht="14.25" customHeight="1">
      <c r="A585" s="6"/>
      <c r="B585" s="18" t="s">
        <v>186</v>
      </c>
      <c r="C585" s="34"/>
      <c r="D585" s="59"/>
      <c r="E585" s="19"/>
      <c r="F585" s="59"/>
      <c r="G585" s="19"/>
      <c r="H585" s="6"/>
      <c r="I585" s="6"/>
      <c r="J585" s="6"/>
    </row>
    <row r="586" ht="14.25" customHeight="1">
      <c r="A586" s="6"/>
      <c r="B586" s="18" t="s">
        <v>186</v>
      </c>
      <c r="C586" s="34"/>
      <c r="D586" s="59"/>
      <c r="E586" s="19"/>
      <c r="F586" s="59"/>
      <c r="G586" s="19"/>
      <c r="H586" s="6"/>
      <c r="I586" s="6"/>
      <c r="J586" s="6"/>
    </row>
    <row r="587" ht="14.25" customHeight="1">
      <c r="A587" s="6"/>
      <c r="B587" s="18" t="s">
        <v>186</v>
      </c>
      <c r="C587" s="34"/>
      <c r="D587" s="59"/>
      <c r="E587" s="19"/>
      <c r="F587" s="59"/>
      <c r="G587" s="19"/>
      <c r="H587" s="6"/>
      <c r="I587" s="6"/>
      <c r="J587" s="6"/>
    </row>
    <row r="588" ht="14.25" customHeight="1">
      <c r="A588" s="6"/>
      <c r="B588" s="18" t="s">
        <v>186</v>
      </c>
      <c r="C588" s="34"/>
      <c r="D588" s="59"/>
      <c r="E588" s="19"/>
      <c r="F588" s="59"/>
      <c r="G588" s="19"/>
      <c r="H588" s="6"/>
      <c r="I588" s="6"/>
      <c r="J588" s="6"/>
    </row>
    <row r="589" ht="14.25" customHeight="1">
      <c r="A589" s="6"/>
      <c r="B589" s="18" t="s">
        <v>186</v>
      </c>
      <c r="C589" s="34"/>
      <c r="D589" s="59"/>
      <c r="E589" s="19"/>
      <c r="F589" s="59"/>
      <c r="G589" s="19"/>
      <c r="H589" s="6"/>
      <c r="I589" s="6"/>
      <c r="J589" s="6"/>
    </row>
    <row r="590" ht="14.25" customHeight="1">
      <c r="A590" s="6"/>
      <c r="B590" s="18" t="s">
        <v>186</v>
      </c>
      <c r="C590" s="34"/>
      <c r="D590" s="59"/>
      <c r="E590" s="19"/>
      <c r="F590" s="59"/>
      <c r="G590" s="19"/>
      <c r="H590" s="6"/>
      <c r="I590" s="6"/>
      <c r="J590" s="6"/>
    </row>
    <row r="591" ht="14.25" customHeight="1">
      <c r="A591" s="6"/>
      <c r="B591" s="18" t="s">
        <v>186</v>
      </c>
      <c r="C591" s="34"/>
      <c r="D591" s="59"/>
      <c r="E591" s="19"/>
      <c r="F591" s="59"/>
      <c r="G591" s="19"/>
      <c r="H591" s="6"/>
      <c r="I591" s="6"/>
      <c r="J591" s="6"/>
    </row>
    <row r="592" ht="14.25" customHeight="1">
      <c r="A592" s="6"/>
      <c r="B592" s="18" t="s">
        <v>186</v>
      </c>
      <c r="C592" s="34"/>
      <c r="D592" s="59"/>
      <c r="E592" s="19"/>
      <c r="F592" s="59"/>
      <c r="G592" s="19"/>
      <c r="H592" s="6"/>
      <c r="I592" s="6"/>
      <c r="J592" s="6"/>
    </row>
    <row r="593" ht="14.25" customHeight="1">
      <c r="A593" s="6"/>
      <c r="B593" s="18" t="s">
        <v>186</v>
      </c>
      <c r="C593" s="34"/>
      <c r="D593" s="59"/>
      <c r="E593" s="19"/>
      <c r="F593" s="59"/>
      <c r="G593" s="19"/>
      <c r="H593" s="6"/>
      <c r="I593" s="6"/>
      <c r="J593" s="6"/>
    </row>
    <row r="594" ht="14.25" customHeight="1">
      <c r="A594" s="6"/>
      <c r="B594" s="18" t="s">
        <v>186</v>
      </c>
      <c r="C594" s="34"/>
      <c r="D594" s="59"/>
      <c r="E594" s="19"/>
      <c r="F594" s="59"/>
      <c r="G594" s="19"/>
      <c r="H594" s="6"/>
      <c r="I594" s="6"/>
      <c r="J594" s="6"/>
    </row>
    <row r="595" ht="14.25" customHeight="1">
      <c r="A595" s="6"/>
      <c r="B595" s="18" t="s">
        <v>186</v>
      </c>
      <c r="C595" s="34"/>
      <c r="D595" s="59"/>
      <c r="E595" s="19"/>
      <c r="F595" s="59"/>
      <c r="G595" s="19"/>
      <c r="H595" s="6"/>
      <c r="I595" s="6"/>
      <c r="J595" s="6"/>
    </row>
    <row r="596" ht="14.25" customHeight="1">
      <c r="A596" s="6"/>
      <c r="B596" s="18" t="s">
        <v>186</v>
      </c>
      <c r="C596" s="34"/>
      <c r="D596" s="59"/>
      <c r="E596" s="19"/>
      <c r="F596" s="59"/>
      <c r="G596" s="19"/>
      <c r="H596" s="6"/>
      <c r="I596" s="6"/>
      <c r="J596" s="6"/>
    </row>
    <row r="597" ht="14.25" customHeight="1">
      <c r="A597" s="6"/>
      <c r="B597" s="18" t="s">
        <v>186</v>
      </c>
      <c r="C597" s="34"/>
      <c r="D597" s="59"/>
      <c r="E597" s="19"/>
      <c r="F597" s="59"/>
      <c r="G597" s="19"/>
      <c r="H597" s="6"/>
      <c r="I597" s="6"/>
      <c r="J597" s="6"/>
    </row>
    <row r="598" ht="14.25" customHeight="1">
      <c r="A598" s="6"/>
      <c r="B598" s="18" t="s">
        <v>186</v>
      </c>
      <c r="C598" s="34"/>
      <c r="D598" s="59"/>
      <c r="E598" s="19"/>
      <c r="F598" s="59"/>
      <c r="G598" s="19"/>
      <c r="H598" s="6"/>
      <c r="I598" s="6"/>
      <c r="J598" s="6"/>
    </row>
    <row r="599" ht="14.25" customHeight="1">
      <c r="A599" s="6"/>
      <c r="B599" s="18" t="s">
        <v>186</v>
      </c>
      <c r="C599" s="34"/>
      <c r="D599" s="59"/>
      <c r="E599" s="19"/>
      <c r="F599" s="59"/>
      <c r="G599" s="19"/>
      <c r="H599" s="6"/>
      <c r="I599" s="6"/>
      <c r="J599" s="6"/>
    </row>
    <row r="600" ht="14.25" customHeight="1">
      <c r="A600" s="6"/>
      <c r="B600" s="18" t="s">
        <v>186</v>
      </c>
      <c r="C600" s="34"/>
      <c r="D600" s="59"/>
      <c r="E600" s="19"/>
      <c r="F600" s="59"/>
      <c r="G600" s="19"/>
      <c r="H600" s="6"/>
      <c r="I600" s="6"/>
      <c r="J600" s="6"/>
    </row>
    <row r="601" ht="14.25" customHeight="1">
      <c r="A601" s="6"/>
      <c r="B601" s="18" t="s">
        <v>186</v>
      </c>
      <c r="C601" s="34"/>
      <c r="D601" s="59"/>
      <c r="E601" s="19"/>
      <c r="F601" s="59"/>
      <c r="G601" s="19"/>
      <c r="H601" s="6"/>
      <c r="I601" s="6"/>
      <c r="J601" s="6"/>
    </row>
    <row r="602" ht="14.25" customHeight="1">
      <c r="A602" s="6"/>
      <c r="B602" s="18" t="s">
        <v>186</v>
      </c>
      <c r="C602" s="34"/>
      <c r="D602" s="59"/>
      <c r="E602" s="19"/>
      <c r="F602" s="59"/>
      <c r="G602" s="19"/>
      <c r="H602" s="6"/>
      <c r="I602" s="6"/>
      <c r="J602" s="6"/>
    </row>
    <row r="603" ht="14.25" customHeight="1">
      <c r="A603" s="6"/>
      <c r="B603" s="18" t="s">
        <v>186</v>
      </c>
      <c r="C603" s="34"/>
      <c r="D603" s="59"/>
      <c r="E603" s="19"/>
      <c r="F603" s="59"/>
      <c r="G603" s="19"/>
      <c r="H603" s="6"/>
      <c r="I603" s="6"/>
      <c r="J603" s="6"/>
    </row>
    <row r="604" ht="14.25" customHeight="1">
      <c r="A604" s="6"/>
      <c r="B604" s="18" t="s">
        <v>186</v>
      </c>
      <c r="C604" s="34"/>
      <c r="D604" s="59"/>
      <c r="E604" s="19"/>
      <c r="F604" s="59"/>
      <c r="G604" s="19"/>
      <c r="H604" s="6"/>
      <c r="I604" s="6"/>
      <c r="J604" s="6"/>
    </row>
    <row r="605" ht="14.25" customHeight="1">
      <c r="A605" s="6"/>
      <c r="B605" s="18" t="s">
        <v>186</v>
      </c>
      <c r="C605" s="34"/>
      <c r="D605" s="59"/>
      <c r="E605" s="19"/>
      <c r="F605" s="59"/>
      <c r="G605" s="19"/>
      <c r="H605" s="6"/>
      <c r="I605" s="6"/>
      <c r="J605" s="6"/>
    </row>
    <row r="606" ht="14.25" customHeight="1">
      <c r="A606" s="6"/>
      <c r="B606" s="18" t="s">
        <v>186</v>
      </c>
      <c r="C606" s="34"/>
      <c r="D606" s="59"/>
      <c r="E606" s="19"/>
      <c r="F606" s="59"/>
      <c r="G606" s="19"/>
      <c r="H606" s="6"/>
      <c r="I606" s="6"/>
      <c r="J606" s="6"/>
    </row>
    <row r="607" ht="14.25" customHeight="1">
      <c r="A607" s="6"/>
      <c r="B607" s="18" t="s">
        <v>186</v>
      </c>
      <c r="C607" s="34"/>
      <c r="D607" s="59"/>
      <c r="E607" s="19"/>
      <c r="F607" s="59"/>
      <c r="G607" s="19"/>
      <c r="H607" s="6"/>
      <c r="I607" s="6"/>
      <c r="J607" s="6"/>
    </row>
    <row r="608" ht="14.25" customHeight="1">
      <c r="A608" s="6"/>
      <c r="B608" s="18" t="s">
        <v>186</v>
      </c>
      <c r="C608" s="34"/>
      <c r="D608" s="59"/>
      <c r="E608" s="19"/>
      <c r="F608" s="59"/>
      <c r="G608" s="19"/>
      <c r="H608" s="6"/>
      <c r="I608" s="6"/>
      <c r="J608" s="6"/>
    </row>
    <row r="609" ht="14.25" customHeight="1">
      <c r="A609" s="6"/>
      <c r="B609" s="18" t="s">
        <v>186</v>
      </c>
      <c r="C609" s="34"/>
      <c r="D609" s="59"/>
      <c r="E609" s="19"/>
      <c r="F609" s="59"/>
      <c r="G609" s="19"/>
      <c r="H609" s="6"/>
      <c r="I609" s="6"/>
      <c r="J609" s="6"/>
    </row>
    <row r="610" ht="14.25" customHeight="1">
      <c r="A610" s="6"/>
      <c r="B610" s="18" t="s">
        <v>186</v>
      </c>
      <c r="C610" s="34"/>
      <c r="D610" s="59"/>
      <c r="E610" s="19"/>
      <c r="F610" s="59"/>
      <c r="G610" s="19"/>
      <c r="H610" s="6"/>
      <c r="I610" s="6"/>
      <c r="J610" s="6"/>
    </row>
    <row r="611" ht="14.25" customHeight="1">
      <c r="A611" s="6"/>
      <c r="B611" s="18" t="s">
        <v>186</v>
      </c>
      <c r="C611" s="34"/>
      <c r="D611" s="59"/>
      <c r="E611" s="19"/>
      <c r="F611" s="59"/>
      <c r="G611" s="19"/>
      <c r="H611" s="6"/>
      <c r="I611" s="6"/>
      <c r="J611" s="6"/>
    </row>
    <row r="612" ht="14.25" customHeight="1">
      <c r="A612" s="6"/>
      <c r="B612" s="18" t="s">
        <v>186</v>
      </c>
      <c r="C612" s="34"/>
      <c r="D612" s="59"/>
      <c r="E612" s="19"/>
      <c r="F612" s="59"/>
      <c r="G612" s="19"/>
      <c r="H612" s="6"/>
      <c r="I612" s="6"/>
      <c r="J612" s="6"/>
    </row>
    <row r="613" ht="14.25" customHeight="1">
      <c r="A613" s="6"/>
      <c r="B613" s="18" t="s">
        <v>186</v>
      </c>
      <c r="C613" s="34"/>
      <c r="D613" s="59"/>
      <c r="E613" s="19"/>
      <c r="F613" s="59"/>
      <c r="G613" s="19"/>
      <c r="H613" s="6"/>
      <c r="I613" s="6"/>
      <c r="J613" s="6"/>
    </row>
    <row r="614" ht="14.25" customHeight="1">
      <c r="A614" s="6"/>
      <c r="B614" s="18" t="s">
        <v>186</v>
      </c>
      <c r="C614" s="34"/>
      <c r="D614" s="59"/>
      <c r="E614" s="19"/>
      <c r="F614" s="59"/>
      <c r="G614" s="19"/>
      <c r="H614" s="6"/>
      <c r="I614" s="6"/>
      <c r="J614" s="6"/>
    </row>
    <row r="615" ht="14.25" customHeight="1">
      <c r="A615" s="6"/>
      <c r="B615" s="18" t="s">
        <v>186</v>
      </c>
      <c r="C615" s="34"/>
      <c r="D615" s="59"/>
      <c r="E615" s="19"/>
      <c r="F615" s="59"/>
      <c r="G615" s="19"/>
      <c r="H615" s="6"/>
      <c r="I615" s="6"/>
      <c r="J615" s="6"/>
    </row>
    <row r="616" ht="14.25" customHeight="1">
      <c r="A616" s="6"/>
      <c r="B616" s="18" t="s">
        <v>186</v>
      </c>
      <c r="C616" s="34"/>
      <c r="D616" s="59"/>
      <c r="E616" s="19"/>
      <c r="F616" s="59"/>
      <c r="G616" s="19"/>
      <c r="H616" s="6"/>
      <c r="I616" s="6"/>
      <c r="J616" s="6"/>
    </row>
    <row r="617" ht="14.25" customHeight="1">
      <c r="A617" s="6"/>
      <c r="B617" s="18" t="s">
        <v>186</v>
      </c>
      <c r="C617" s="34"/>
      <c r="D617" s="59"/>
      <c r="E617" s="19"/>
      <c r="F617" s="59"/>
      <c r="G617" s="19"/>
      <c r="H617" s="6"/>
      <c r="I617" s="6"/>
      <c r="J617" s="6"/>
    </row>
    <row r="618" ht="14.25" customHeight="1">
      <c r="A618" s="6"/>
      <c r="B618" s="18" t="s">
        <v>186</v>
      </c>
      <c r="C618" s="34"/>
      <c r="D618" s="59"/>
      <c r="E618" s="19"/>
      <c r="F618" s="59"/>
      <c r="G618" s="19"/>
      <c r="H618" s="6"/>
      <c r="I618" s="6"/>
      <c r="J618" s="6"/>
    </row>
    <row r="619" ht="14.25" customHeight="1">
      <c r="A619" s="6"/>
      <c r="B619" s="18" t="s">
        <v>186</v>
      </c>
      <c r="C619" s="34"/>
      <c r="D619" s="59"/>
      <c r="E619" s="19"/>
      <c r="F619" s="59"/>
      <c r="G619" s="19"/>
      <c r="H619" s="6"/>
      <c r="I619" s="6"/>
      <c r="J619" s="6"/>
    </row>
    <row r="620" ht="14.25" customHeight="1">
      <c r="A620" s="6"/>
      <c r="B620" s="18" t="s">
        <v>186</v>
      </c>
      <c r="C620" s="34"/>
      <c r="D620" s="59"/>
      <c r="E620" s="19"/>
      <c r="F620" s="59"/>
      <c r="G620" s="19"/>
      <c r="H620" s="6"/>
      <c r="I620" s="6"/>
      <c r="J620" s="6"/>
    </row>
    <row r="621" ht="14.25" customHeight="1">
      <c r="A621" s="6"/>
      <c r="B621" s="18" t="s">
        <v>186</v>
      </c>
      <c r="C621" s="34"/>
      <c r="D621" s="59"/>
      <c r="E621" s="19"/>
      <c r="F621" s="59"/>
      <c r="G621" s="19"/>
      <c r="H621" s="6"/>
      <c r="I621" s="6"/>
      <c r="J621" s="6"/>
    </row>
    <row r="622" ht="14.25" customHeight="1">
      <c r="A622" s="6"/>
      <c r="B622" s="18" t="s">
        <v>186</v>
      </c>
      <c r="C622" s="34"/>
      <c r="D622" s="59"/>
      <c r="E622" s="19"/>
      <c r="F622" s="59"/>
      <c r="G622" s="19"/>
      <c r="H622" s="6"/>
      <c r="I622" s="6"/>
      <c r="J622" s="6"/>
    </row>
    <row r="623" ht="14.25" customHeight="1">
      <c r="A623" s="6"/>
      <c r="B623" s="18" t="s">
        <v>186</v>
      </c>
      <c r="C623" s="34"/>
      <c r="D623" s="59"/>
      <c r="E623" s="19"/>
      <c r="F623" s="59"/>
      <c r="G623" s="19"/>
      <c r="H623" s="6"/>
      <c r="I623" s="6"/>
      <c r="J623" s="6"/>
    </row>
    <row r="624" ht="14.25" customHeight="1">
      <c r="A624" s="6"/>
      <c r="B624" s="18" t="s">
        <v>186</v>
      </c>
      <c r="C624" s="34"/>
      <c r="D624" s="59"/>
      <c r="E624" s="19"/>
      <c r="F624" s="59"/>
      <c r="G624" s="19"/>
      <c r="H624" s="6"/>
      <c r="I624" s="6"/>
      <c r="J624" s="6"/>
    </row>
    <row r="625" ht="14.25" customHeight="1">
      <c r="A625" s="6"/>
      <c r="B625" s="18" t="s">
        <v>186</v>
      </c>
      <c r="C625" s="34"/>
      <c r="D625" s="59"/>
      <c r="E625" s="19"/>
      <c r="F625" s="59"/>
      <c r="G625" s="19"/>
      <c r="H625" s="6"/>
      <c r="I625" s="6"/>
      <c r="J625" s="6"/>
    </row>
    <row r="626" ht="14.25" customHeight="1">
      <c r="A626" s="6"/>
      <c r="B626" s="18" t="s">
        <v>186</v>
      </c>
      <c r="C626" s="34"/>
      <c r="D626" s="59"/>
      <c r="E626" s="19"/>
      <c r="F626" s="59"/>
      <c r="G626" s="19"/>
      <c r="H626" s="6"/>
      <c r="I626" s="6"/>
      <c r="J626" s="6"/>
    </row>
    <row r="627" ht="14.25" customHeight="1">
      <c r="A627" s="6"/>
      <c r="B627" s="18" t="s">
        <v>186</v>
      </c>
      <c r="C627" s="34"/>
      <c r="D627" s="59"/>
      <c r="E627" s="19"/>
      <c r="F627" s="59"/>
      <c r="G627" s="19"/>
      <c r="H627" s="6"/>
      <c r="I627" s="6"/>
      <c r="J627" s="6"/>
    </row>
    <row r="628" ht="14.25" customHeight="1">
      <c r="A628" s="6"/>
      <c r="B628" s="18" t="s">
        <v>186</v>
      </c>
      <c r="C628" s="34"/>
      <c r="D628" s="59"/>
      <c r="E628" s="19"/>
      <c r="F628" s="59"/>
      <c r="G628" s="19"/>
      <c r="H628" s="6"/>
      <c r="I628" s="6"/>
      <c r="J628" s="6"/>
    </row>
    <row r="629" ht="14.25" customHeight="1">
      <c r="A629" s="6"/>
      <c r="B629" s="18" t="s">
        <v>186</v>
      </c>
      <c r="C629" s="34"/>
      <c r="D629" s="59"/>
      <c r="E629" s="19"/>
      <c r="F629" s="59"/>
      <c r="G629" s="19"/>
      <c r="H629" s="6"/>
      <c r="I629" s="6"/>
      <c r="J629" s="6"/>
    </row>
    <row r="630" ht="14.25" customHeight="1">
      <c r="A630" s="6"/>
      <c r="B630" s="18" t="s">
        <v>186</v>
      </c>
      <c r="C630" s="34"/>
      <c r="D630" s="59"/>
      <c r="E630" s="19"/>
      <c r="F630" s="59"/>
      <c r="G630" s="19"/>
      <c r="H630" s="6"/>
      <c r="I630" s="6"/>
      <c r="J630" s="6"/>
    </row>
    <row r="631" ht="14.25" customHeight="1">
      <c r="A631" s="6"/>
      <c r="B631" s="18" t="s">
        <v>186</v>
      </c>
      <c r="C631" s="34"/>
      <c r="D631" s="59"/>
      <c r="E631" s="19"/>
      <c r="F631" s="59"/>
      <c r="G631" s="19"/>
      <c r="H631" s="6"/>
      <c r="I631" s="6"/>
      <c r="J631" s="6"/>
    </row>
    <row r="632" ht="14.25" customHeight="1">
      <c r="A632" s="6"/>
      <c r="B632" s="18" t="s">
        <v>186</v>
      </c>
      <c r="C632" s="34"/>
      <c r="D632" s="59"/>
      <c r="E632" s="19"/>
      <c r="F632" s="59"/>
      <c r="G632" s="19"/>
      <c r="H632" s="6"/>
      <c r="I632" s="6"/>
      <c r="J632" s="6"/>
    </row>
    <row r="633" ht="14.25" customHeight="1">
      <c r="A633" s="6"/>
      <c r="B633" s="18" t="s">
        <v>186</v>
      </c>
      <c r="C633" s="34"/>
      <c r="D633" s="59"/>
      <c r="E633" s="19"/>
      <c r="F633" s="59"/>
      <c r="G633" s="19"/>
      <c r="H633" s="6"/>
      <c r="I633" s="6"/>
      <c r="J633" s="6"/>
    </row>
    <row r="634" ht="14.25" customHeight="1">
      <c r="A634" s="6"/>
      <c r="B634" s="18" t="s">
        <v>186</v>
      </c>
      <c r="C634" s="34"/>
      <c r="D634" s="59"/>
      <c r="E634" s="19"/>
      <c r="F634" s="59"/>
      <c r="G634" s="19"/>
      <c r="H634" s="6"/>
      <c r="I634" s="6"/>
      <c r="J634" s="6"/>
    </row>
    <row r="635" ht="14.25" customHeight="1">
      <c r="A635" s="6"/>
      <c r="B635" s="18" t="s">
        <v>186</v>
      </c>
      <c r="C635" s="34"/>
      <c r="D635" s="59"/>
      <c r="E635" s="19"/>
      <c r="F635" s="59"/>
      <c r="G635" s="19"/>
      <c r="H635" s="6"/>
      <c r="I635" s="6"/>
      <c r="J635" s="6"/>
    </row>
    <row r="636" ht="14.25" customHeight="1">
      <c r="A636" s="6"/>
      <c r="B636" s="18" t="s">
        <v>186</v>
      </c>
      <c r="C636" s="34"/>
      <c r="D636" s="59"/>
      <c r="E636" s="19"/>
      <c r="F636" s="59"/>
      <c r="G636" s="19"/>
      <c r="H636" s="6"/>
      <c r="I636" s="6"/>
      <c r="J636" s="6"/>
    </row>
    <row r="637" ht="14.25" customHeight="1">
      <c r="A637" s="6"/>
      <c r="B637" s="18" t="s">
        <v>186</v>
      </c>
      <c r="C637" s="34"/>
      <c r="D637" s="59"/>
      <c r="E637" s="19"/>
      <c r="F637" s="59"/>
      <c r="G637" s="19"/>
      <c r="H637" s="6"/>
      <c r="I637" s="6"/>
      <c r="J637" s="6"/>
    </row>
    <row r="638" ht="14.25" customHeight="1">
      <c r="A638" s="6"/>
      <c r="B638" s="18" t="s">
        <v>186</v>
      </c>
      <c r="C638" s="34"/>
      <c r="D638" s="59"/>
      <c r="E638" s="19"/>
      <c r="F638" s="59"/>
      <c r="G638" s="19"/>
      <c r="H638" s="6"/>
      <c r="I638" s="6"/>
      <c r="J638" s="6"/>
    </row>
    <row r="639" ht="14.25" customHeight="1">
      <c r="A639" s="6"/>
      <c r="B639" s="18" t="s">
        <v>186</v>
      </c>
      <c r="C639" s="34"/>
      <c r="D639" s="59"/>
      <c r="E639" s="19"/>
      <c r="F639" s="59"/>
      <c r="G639" s="19"/>
      <c r="H639" s="6"/>
      <c r="I639" s="6"/>
      <c r="J639" s="6"/>
    </row>
    <row r="640" ht="14.25" customHeight="1">
      <c r="A640" s="6"/>
      <c r="B640" s="18" t="s">
        <v>186</v>
      </c>
      <c r="C640" s="34"/>
      <c r="D640" s="59"/>
      <c r="E640" s="19"/>
      <c r="F640" s="59"/>
      <c r="G640" s="19"/>
      <c r="H640" s="6"/>
      <c r="I640" s="6"/>
      <c r="J640" s="6"/>
    </row>
    <row r="641" ht="14.25" customHeight="1">
      <c r="A641" s="6"/>
      <c r="B641" s="18" t="s">
        <v>186</v>
      </c>
      <c r="C641" s="34"/>
      <c r="D641" s="59"/>
      <c r="E641" s="19"/>
      <c r="F641" s="59"/>
      <c r="G641" s="19"/>
      <c r="H641" s="6"/>
      <c r="I641" s="6"/>
      <c r="J641" s="6"/>
    </row>
    <row r="642" ht="14.25" customHeight="1">
      <c r="A642" s="6"/>
      <c r="B642" s="18" t="s">
        <v>186</v>
      </c>
      <c r="C642" s="34"/>
      <c r="D642" s="59"/>
      <c r="E642" s="19"/>
      <c r="F642" s="59"/>
      <c r="G642" s="19"/>
      <c r="H642" s="6"/>
      <c r="I642" s="6"/>
      <c r="J642" s="6"/>
    </row>
    <row r="643" ht="14.25" customHeight="1">
      <c r="A643" s="6"/>
      <c r="B643" s="18" t="s">
        <v>186</v>
      </c>
      <c r="C643" s="34"/>
      <c r="D643" s="59"/>
      <c r="E643" s="19"/>
      <c r="F643" s="59"/>
      <c r="G643" s="19"/>
      <c r="H643" s="6"/>
      <c r="I643" s="6"/>
      <c r="J643" s="6"/>
    </row>
    <row r="644" ht="14.25" customHeight="1">
      <c r="A644" s="6"/>
      <c r="B644" s="18" t="s">
        <v>186</v>
      </c>
      <c r="C644" s="34"/>
      <c r="D644" s="59"/>
      <c r="E644" s="19"/>
      <c r="F644" s="59"/>
      <c r="G644" s="19"/>
      <c r="H644" s="6"/>
      <c r="I644" s="6"/>
      <c r="J644" s="6"/>
    </row>
    <row r="645" ht="14.25" customHeight="1">
      <c r="A645" s="6"/>
      <c r="B645" s="18" t="s">
        <v>186</v>
      </c>
      <c r="C645" s="34"/>
      <c r="D645" s="59"/>
      <c r="E645" s="19"/>
      <c r="F645" s="59"/>
      <c r="G645" s="19"/>
      <c r="H645" s="6"/>
      <c r="I645" s="6"/>
      <c r="J645" s="6"/>
    </row>
    <row r="646" ht="14.25" customHeight="1">
      <c r="A646" s="6"/>
      <c r="B646" s="18" t="s">
        <v>186</v>
      </c>
      <c r="C646" s="34"/>
      <c r="D646" s="59"/>
      <c r="E646" s="19"/>
      <c r="F646" s="59"/>
      <c r="G646" s="19"/>
      <c r="H646" s="6"/>
      <c r="I646" s="6"/>
      <c r="J646" s="6"/>
    </row>
    <row r="647" ht="14.25" customHeight="1">
      <c r="A647" s="6"/>
      <c r="B647" s="18" t="s">
        <v>186</v>
      </c>
      <c r="C647" s="34"/>
      <c r="D647" s="59"/>
      <c r="E647" s="19"/>
      <c r="F647" s="59"/>
      <c r="G647" s="19"/>
      <c r="H647" s="6"/>
      <c r="I647" s="6"/>
      <c r="J647" s="6"/>
    </row>
    <row r="648" ht="14.25" customHeight="1">
      <c r="A648" s="6"/>
      <c r="B648" s="18" t="s">
        <v>186</v>
      </c>
      <c r="C648" s="34"/>
      <c r="D648" s="59"/>
      <c r="E648" s="19"/>
      <c r="F648" s="59"/>
      <c r="G648" s="19"/>
      <c r="H648" s="6"/>
      <c r="I648" s="6"/>
      <c r="J648" s="6"/>
    </row>
    <row r="649" ht="14.25" customHeight="1">
      <c r="A649" s="6"/>
      <c r="B649" s="18" t="s">
        <v>186</v>
      </c>
      <c r="C649" s="34"/>
      <c r="D649" s="59"/>
      <c r="E649" s="19"/>
      <c r="F649" s="59"/>
      <c r="G649" s="19"/>
      <c r="H649" s="6"/>
      <c r="I649" s="6"/>
      <c r="J649" s="6"/>
    </row>
    <row r="650" ht="14.25" customHeight="1">
      <c r="A650" s="6"/>
      <c r="B650" s="18" t="s">
        <v>186</v>
      </c>
      <c r="C650" s="34"/>
      <c r="D650" s="59"/>
      <c r="E650" s="19"/>
      <c r="F650" s="59"/>
      <c r="G650" s="19"/>
      <c r="H650" s="6"/>
      <c r="I650" s="6"/>
      <c r="J650" s="6"/>
    </row>
    <row r="651" ht="14.25" customHeight="1">
      <c r="A651" s="6"/>
      <c r="B651" s="18" t="s">
        <v>186</v>
      </c>
      <c r="C651" s="34"/>
      <c r="D651" s="59"/>
      <c r="E651" s="19"/>
      <c r="F651" s="59"/>
      <c r="G651" s="19"/>
      <c r="H651" s="6"/>
      <c r="I651" s="6"/>
      <c r="J651" s="6"/>
    </row>
    <row r="652" ht="14.25" customHeight="1">
      <c r="A652" s="6"/>
      <c r="B652" s="18" t="s">
        <v>186</v>
      </c>
      <c r="C652" s="34"/>
      <c r="D652" s="59"/>
      <c r="E652" s="19"/>
      <c r="F652" s="59"/>
      <c r="G652" s="19"/>
      <c r="H652" s="6"/>
      <c r="I652" s="6"/>
      <c r="J652" s="6"/>
    </row>
    <row r="653" ht="14.25" customHeight="1">
      <c r="A653" s="6"/>
      <c r="B653" s="18" t="s">
        <v>186</v>
      </c>
      <c r="C653" s="34"/>
      <c r="D653" s="59"/>
      <c r="E653" s="19"/>
      <c r="F653" s="59"/>
      <c r="G653" s="19"/>
      <c r="H653" s="6"/>
      <c r="I653" s="6"/>
      <c r="J653" s="6"/>
    </row>
    <row r="654" ht="14.25" customHeight="1">
      <c r="A654" s="6"/>
      <c r="B654" s="18" t="s">
        <v>186</v>
      </c>
      <c r="C654" s="34"/>
      <c r="D654" s="59"/>
      <c r="E654" s="19"/>
      <c r="F654" s="59"/>
      <c r="G654" s="19"/>
      <c r="H654" s="6"/>
      <c r="I654" s="6"/>
      <c r="J654" s="6"/>
    </row>
    <row r="655" ht="14.25" customHeight="1">
      <c r="A655" s="6"/>
      <c r="B655" s="18" t="s">
        <v>186</v>
      </c>
      <c r="C655" s="34"/>
      <c r="D655" s="59"/>
      <c r="E655" s="19"/>
      <c r="F655" s="59"/>
      <c r="G655" s="19"/>
      <c r="H655" s="6"/>
      <c r="I655" s="6"/>
      <c r="J655" s="6"/>
    </row>
    <row r="656" ht="14.25" customHeight="1">
      <c r="A656" s="6"/>
      <c r="B656" s="18" t="s">
        <v>186</v>
      </c>
      <c r="C656" s="34"/>
      <c r="D656" s="59"/>
      <c r="E656" s="19"/>
      <c r="F656" s="59"/>
      <c r="G656" s="19"/>
      <c r="H656" s="6"/>
      <c r="I656" s="6"/>
      <c r="J656" s="6"/>
    </row>
    <row r="657" ht="14.25" customHeight="1">
      <c r="A657" s="6"/>
      <c r="B657" s="18" t="s">
        <v>186</v>
      </c>
      <c r="C657" s="34"/>
      <c r="D657" s="59"/>
      <c r="E657" s="19"/>
      <c r="F657" s="59"/>
      <c r="G657" s="19"/>
      <c r="H657" s="6"/>
      <c r="I657" s="6"/>
      <c r="J657" s="6"/>
    </row>
    <row r="658" ht="14.25" customHeight="1">
      <c r="A658" s="6"/>
      <c r="B658" s="18" t="s">
        <v>186</v>
      </c>
      <c r="C658" s="34"/>
      <c r="D658" s="59"/>
      <c r="E658" s="19"/>
      <c r="F658" s="59"/>
      <c r="G658" s="19"/>
      <c r="H658" s="6"/>
      <c r="I658" s="6"/>
      <c r="J658" s="6"/>
    </row>
    <row r="659" ht="14.25" customHeight="1">
      <c r="A659" s="6"/>
      <c r="B659" s="18" t="s">
        <v>186</v>
      </c>
      <c r="C659" s="34"/>
      <c r="D659" s="59"/>
      <c r="E659" s="19"/>
      <c r="F659" s="59"/>
      <c r="G659" s="19"/>
      <c r="H659" s="6"/>
      <c r="I659" s="6"/>
      <c r="J659" s="6"/>
    </row>
    <row r="660" ht="14.25" customHeight="1">
      <c r="A660" s="6"/>
      <c r="B660" s="18" t="s">
        <v>186</v>
      </c>
      <c r="C660" s="34"/>
      <c r="D660" s="59"/>
      <c r="E660" s="19"/>
      <c r="F660" s="59"/>
      <c r="G660" s="19"/>
      <c r="H660" s="6"/>
      <c r="I660" s="6"/>
      <c r="J660" s="6"/>
    </row>
    <row r="661" ht="14.25" customHeight="1">
      <c r="A661" s="6"/>
      <c r="B661" s="18" t="s">
        <v>186</v>
      </c>
      <c r="C661" s="34"/>
      <c r="D661" s="59"/>
      <c r="E661" s="19"/>
      <c r="F661" s="59"/>
      <c r="G661" s="19"/>
      <c r="H661" s="6"/>
      <c r="I661" s="6"/>
      <c r="J661" s="6"/>
    </row>
    <row r="662" ht="14.25" customHeight="1">
      <c r="A662" s="6"/>
      <c r="B662" s="18" t="s">
        <v>186</v>
      </c>
      <c r="C662" s="34"/>
      <c r="D662" s="59"/>
      <c r="E662" s="19"/>
      <c r="F662" s="59"/>
      <c r="G662" s="19"/>
      <c r="H662" s="6"/>
      <c r="I662" s="6"/>
      <c r="J662" s="6"/>
    </row>
    <row r="663" ht="14.25" customHeight="1">
      <c r="A663" s="6"/>
      <c r="B663" s="18" t="s">
        <v>186</v>
      </c>
      <c r="C663" s="34"/>
      <c r="D663" s="59"/>
      <c r="E663" s="19"/>
      <c r="F663" s="59"/>
      <c r="G663" s="19"/>
      <c r="H663" s="6"/>
      <c r="I663" s="6"/>
      <c r="J663" s="6"/>
    </row>
    <row r="664" ht="14.25" customHeight="1">
      <c r="A664" s="6"/>
      <c r="B664" s="18" t="s">
        <v>186</v>
      </c>
      <c r="C664" s="34"/>
      <c r="D664" s="59"/>
      <c r="E664" s="19"/>
      <c r="F664" s="59"/>
      <c r="G664" s="19"/>
      <c r="H664" s="6"/>
      <c r="I664" s="6"/>
      <c r="J664" s="6"/>
    </row>
    <row r="665" ht="14.25" customHeight="1">
      <c r="A665" s="6"/>
      <c r="B665" s="18" t="s">
        <v>186</v>
      </c>
      <c r="C665" s="34"/>
      <c r="D665" s="59"/>
      <c r="E665" s="19"/>
      <c r="F665" s="59"/>
      <c r="G665" s="19"/>
      <c r="H665" s="6"/>
      <c r="I665" s="6"/>
      <c r="J665" s="6"/>
    </row>
    <row r="666" ht="14.25" customHeight="1">
      <c r="A666" s="6"/>
      <c r="B666" s="18" t="s">
        <v>186</v>
      </c>
      <c r="C666" s="34"/>
      <c r="D666" s="59"/>
      <c r="E666" s="19"/>
      <c r="F666" s="59"/>
      <c r="G666" s="19"/>
      <c r="H666" s="6"/>
      <c r="I666" s="6"/>
      <c r="J666" s="6"/>
    </row>
    <row r="667" ht="14.25" customHeight="1">
      <c r="A667" s="6"/>
      <c r="B667" s="18" t="s">
        <v>186</v>
      </c>
      <c r="C667" s="34"/>
      <c r="D667" s="59"/>
      <c r="E667" s="19"/>
      <c r="F667" s="59"/>
      <c r="G667" s="19"/>
      <c r="H667" s="6"/>
      <c r="I667" s="6"/>
      <c r="J667" s="6"/>
    </row>
    <row r="668" ht="14.25" customHeight="1">
      <c r="A668" s="6"/>
      <c r="B668" s="18" t="s">
        <v>186</v>
      </c>
      <c r="C668" s="34"/>
      <c r="D668" s="59"/>
      <c r="E668" s="19"/>
      <c r="F668" s="59"/>
      <c r="G668" s="19"/>
      <c r="H668" s="6"/>
      <c r="I668" s="6"/>
      <c r="J668" s="6"/>
    </row>
    <row r="669" ht="14.25" customHeight="1">
      <c r="A669" s="6"/>
      <c r="B669" s="18" t="s">
        <v>186</v>
      </c>
      <c r="C669" s="34"/>
      <c r="D669" s="59"/>
      <c r="E669" s="19"/>
      <c r="F669" s="59"/>
      <c r="G669" s="19"/>
      <c r="H669" s="6"/>
      <c r="I669" s="6"/>
      <c r="J669" s="6"/>
    </row>
    <row r="670" ht="14.25" customHeight="1">
      <c r="A670" s="6"/>
      <c r="B670" s="18" t="s">
        <v>186</v>
      </c>
      <c r="C670" s="34"/>
      <c r="D670" s="59"/>
      <c r="E670" s="19"/>
      <c r="F670" s="59"/>
      <c r="G670" s="19"/>
      <c r="H670" s="6"/>
      <c r="I670" s="6"/>
      <c r="J670" s="6"/>
    </row>
    <row r="671" ht="14.25" customHeight="1">
      <c r="A671" s="6"/>
      <c r="B671" s="18" t="s">
        <v>186</v>
      </c>
      <c r="C671" s="34"/>
      <c r="D671" s="59"/>
      <c r="E671" s="19"/>
      <c r="F671" s="59"/>
      <c r="G671" s="19"/>
      <c r="H671" s="6"/>
      <c r="I671" s="6"/>
      <c r="J671" s="6"/>
    </row>
    <row r="672" ht="14.25" customHeight="1">
      <c r="A672" s="6"/>
      <c r="B672" s="18" t="s">
        <v>186</v>
      </c>
      <c r="C672" s="34"/>
      <c r="D672" s="59"/>
      <c r="E672" s="19"/>
      <c r="F672" s="59"/>
      <c r="G672" s="19"/>
      <c r="H672" s="6"/>
      <c r="I672" s="6"/>
      <c r="J672" s="6"/>
    </row>
    <row r="673" ht="14.25" customHeight="1">
      <c r="A673" s="6"/>
      <c r="B673" s="18" t="s">
        <v>186</v>
      </c>
      <c r="C673" s="34"/>
      <c r="D673" s="59"/>
      <c r="E673" s="19"/>
      <c r="F673" s="59"/>
      <c r="G673" s="19"/>
      <c r="H673" s="6"/>
      <c r="I673" s="6"/>
      <c r="J673" s="6"/>
    </row>
    <row r="674" ht="14.25" customHeight="1">
      <c r="A674" s="6"/>
      <c r="B674" s="18" t="s">
        <v>186</v>
      </c>
      <c r="C674" s="34"/>
      <c r="D674" s="59"/>
      <c r="E674" s="19"/>
      <c r="F674" s="59"/>
      <c r="G674" s="19"/>
      <c r="H674" s="6"/>
      <c r="I674" s="6"/>
      <c r="J674" s="6"/>
    </row>
    <row r="675" ht="14.25" customHeight="1">
      <c r="A675" s="6"/>
      <c r="B675" s="18" t="s">
        <v>186</v>
      </c>
      <c r="C675" s="34"/>
      <c r="D675" s="59"/>
      <c r="E675" s="19"/>
      <c r="F675" s="59"/>
      <c r="G675" s="19"/>
      <c r="H675" s="6"/>
      <c r="I675" s="6"/>
      <c r="J675" s="6"/>
    </row>
    <row r="676" ht="14.25" customHeight="1">
      <c r="A676" s="6"/>
      <c r="B676" s="18" t="s">
        <v>186</v>
      </c>
      <c r="C676" s="34"/>
      <c r="D676" s="59"/>
      <c r="E676" s="19"/>
      <c r="F676" s="59"/>
      <c r="G676" s="19"/>
      <c r="H676" s="6"/>
      <c r="I676" s="6"/>
      <c r="J676" s="6"/>
    </row>
    <row r="677" ht="14.25" customHeight="1">
      <c r="A677" s="6"/>
      <c r="B677" s="18" t="s">
        <v>186</v>
      </c>
      <c r="C677" s="34"/>
      <c r="D677" s="59"/>
      <c r="E677" s="19"/>
      <c r="F677" s="59"/>
      <c r="G677" s="19"/>
      <c r="H677" s="6"/>
      <c r="I677" s="6"/>
      <c r="J677" s="6"/>
    </row>
    <row r="678" ht="14.25" customHeight="1">
      <c r="A678" s="6"/>
      <c r="B678" s="18" t="s">
        <v>186</v>
      </c>
      <c r="C678" s="34"/>
      <c r="D678" s="59"/>
      <c r="E678" s="19"/>
      <c r="F678" s="59"/>
      <c r="G678" s="19"/>
      <c r="H678" s="6"/>
      <c r="I678" s="6"/>
      <c r="J678" s="6"/>
    </row>
    <row r="679" ht="14.25" customHeight="1">
      <c r="A679" s="6"/>
      <c r="B679" s="18" t="s">
        <v>186</v>
      </c>
      <c r="C679" s="34"/>
      <c r="D679" s="59"/>
      <c r="E679" s="19"/>
      <c r="F679" s="59"/>
      <c r="G679" s="19"/>
      <c r="H679" s="6"/>
      <c r="I679" s="6"/>
      <c r="J679" s="6"/>
    </row>
    <row r="680" ht="14.25" customHeight="1">
      <c r="A680" s="6"/>
      <c r="B680" s="18" t="s">
        <v>186</v>
      </c>
      <c r="C680" s="34"/>
      <c r="D680" s="59"/>
      <c r="E680" s="19"/>
      <c r="F680" s="59"/>
      <c r="G680" s="19"/>
      <c r="H680" s="6"/>
      <c r="I680" s="6"/>
      <c r="J680" s="6"/>
    </row>
    <row r="681" ht="14.25" customHeight="1">
      <c r="A681" s="6"/>
      <c r="B681" s="18" t="s">
        <v>186</v>
      </c>
      <c r="C681" s="34"/>
      <c r="D681" s="59"/>
      <c r="E681" s="19"/>
      <c r="F681" s="59"/>
      <c r="G681" s="19"/>
      <c r="H681" s="6"/>
      <c r="I681" s="6"/>
      <c r="J681" s="6"/>
    </row>
    <row r="682" ht="14.25" customHeight="1">
      <c r="A682" s="6"/>
      <c r="B682" s="18" t="s">
        <v>186</v>
      </c>
      <c r="C682" s="34"/>
      <c r="D682" s="59"/>
      <c r="E682" s="19"/>
      <c r="F682" s="59"/>
      <c r="G682" s="19"/>
      <c r="H682" s="6"/>
      <c r="I682" s="6"/>
      <c r="J682" s="6"/>
    </row>
    <row r="683" ht="14.25" customHeight="1">
      <c r="A683" s="6"/>
      <c r="B683" s="18" t="s">
        <v>186</v>
      </c>
      <c r="C683" s="34"/>
      <c r="D683" s="59"/>
      <c r="E683" s="19"/>
      <c r="F683" s="59"/>
      <c r="G683" s="19"/>
      <c r="H683" s="6"/>
      <c r="I683" s="6"/>
      <c r="J683" s="6"/>
    </row>
    <row r="684" ht="14.25" customHeight="1">
      <c r="A684" s="6"/>
      <c r="B684" s="18" t="s">
        <v>186</v>
      </c>
      <c r="C684" s="34"/>
      <c r="D684" s="59"/>
      <c r="E684" s="19"/>
      <c r="F684" s="59"/>
      <c r="G684" s="19"/>
      <c r="H684" s="6"/>
      <c r="I684" s="6"/>
      <c r="J684" s="6"/>
    </row>
    <row r="685" ht="14.25" customHeight="1">
      <c r="A685" s="6"/>
      <c r="B685" s="18" t="s">
        <v>186</v>
      </c>
      <c r="C685" s="34"/>
      <c r="D685" s="59"/>
      <c r="E685" s="19"/>
      <c r="F685" s="59"/>
      <c r="G685" s="19"/>
      <c r="H685" s="6"/>
      <c r="I685" s="6"/>
      <c r="J685" s="6"/>
    </row>
    <row r="686" ht="14.25" customHeight="1">
      <c r="A686" s="6"/>
      <c r="B686" s="18" t="s">
        <v>186</v>
      </c>
      <c r="C686" s="34"/>
      <c r="D686" s="59"/>
      <c r="E686" s="19"/>
      <c r="F686" s="59"/>
      <c r="G686" s="19"/>
      <c r="H686" s="6"/>
      <c r="I686" s="6"/>
      <c r="J686" s="6"/>
    </row>
    <row r="687" ht="14.25" customHeight="1">
      <c r="A687" s="6"/>
      <c r="B687" s="18" t="s">
        <v>186</v>
      </c>
      <c r="C687" s="34"/>
      <c r="D687" s="59"/>
      <c r="E687" s="19"/>
      <c r="F687" s="59"/>
      <c r="G687" s="19"/>
      <c r="H687" s="6"/>
      <c r="I687" s="6"/>
      <c r="J687" s="6"/>
    </row>
    <row r="688" ht="14.25" customHeight="1">
      <c r="A688" s="6"/>
      <c r="B688" s="18" t="s">
        <v>186</v>
      </c>
      <c r="C688" s="34"/>
      <c r="D688" s="59"/>
      <c r="E688" s="19"/>
      <c r="F688" s="59"/>
      <c r="G688" s="19"/>
      <c r="H688" s="6"/>
      <c r="I688" s="6"/>
      <c r="J688" s="6"/>
    </row>
    <row r="689" ht="14.25" customHeight="1">
      <c r="A689" s="6"/>
      <c r="B689" s="18" t="s">
        <v>186</v>
      </c>
      <c r="C689" s="34"/>
      <c r="D689" s="59"/>
      <c r="E689" s="19"/>
      <c r="F689" s="59"/>
      <c r="G689" s="19"/>
      <c r="H689" s="6"/>
      <c r="I689" s="6"/>
      <c r="J689" s="6"/>
    </row>
    <row r="690" ht="14.25" customHeight="1">
      <c r="A690" s="6"/>
      <c r="B690" s="18" t="s">
        <v>186</v>
      </c>
      <c r="C690" s="34"/>
      <c r="D690" s="59"/>
      <c r="E690" s="19"/>
      <c r="F690" s="59"/>
      <c r="G690" s="19"/>
      <c r="H690" s="6"/>
      <c r="I690" s="6"/>
      <c r="J690" s="6"/>
    </row>
    <row r="691" ht="14.25" customHeight="1">
      <c r="A691" s="6"/>
      <c r="B691" s="18" t="s">
        <v>186</v>
      </c>
      <c r="C691" s="34"/>
      <c r="D691" s="59"/>
      <c r="E691" s="19"/>
      <c r="F691" s="59"/>
      <c r="G691" s="19"/>
      <c r="H691" s="6"/>
      <c r="I691" s="6"/>
      <c r="J691" s="6"/>
    </row>
    <row r="692" ht="14.25" customHeight="1">
      <c r="A692" s="6"/>
      <c r="B692" s="18" t="s">
        <v>186</v>
      </c>
      <c r="C692" s="34"/>
      <c r="D692" s="59"/>
      <c r="E692" s="19"/>
      <c r="F692" s="59"/>
      <c r="G692" s="19"/>
      <c r="H692" s="6"/>
      <c r="I692" s="6"/>
      <c r="J692" s="6"/>
    </row>
    <row r="693" ht="14.25" customHeight="1">
      <c r="A693" s="6"/>
      <c r="B693" s="18" t="s">
        <v>186</v>
      </c>
      <c r="C693" s="34"/>
      <c r="D693" s="59"/>
      <c r="E693" s="19"/>
      <c r="F693" s="59"/>
      <c r="G693" s="19"/>
      <c r="H693" s="6"/>
      <c r="I693" s="6"/>
      <c r="J693" s="6"/>
    </row>
    <row r="694" ht="14.25" customHeight="1">
      <c r="A694" s="6"/>
      <c r="B694" s="18" t="s">
        <v>186</v>
      </c>
      <c r="C694" s="34"/>
      <c r="D694" s="59"/>
      <c r="E694" s="19"/>
      <c r="F694" s="59"/>
      <c r="G694" s="19"/>
      <c r="H694" s="6"/>
      <c r="I694" s="6"/>
      <c r="J694" s="6"/>
    </row>
    <row r="695" ht="14.25" customHeight="1">
      <c r="A695" s="6"/>
      <c r="B695" s="18" t="s">
        <v>186</v>
      </c>
      <c r="C695" s="34"/>
      <c r="D695" s="59"/>
      <c r="E695" s="19"/>
      <c r="F695" s="59"/>
      <c r="G695" s="19"/>
      <c r="H695" s="6"/>
      <c r="I695" s="6"/>
      <c r="J695" s="6"/>
    </row>
    <row r="696" ht="14.25" customHeight="1">
      <c r="A696" s="6"/>
      <c r="B696" s="18" t="s">
        <v>186</v>
      </c>
      <c r="C696" s="34"/>
      <c r="D696" s="59"/>
      <c r="E696" s="19"/>
      <c r="F696" s="59"/>
      <c r="G696" s="19"/>
      <c r="H696" s="6"/>
      <c r="I696" s="6"/>
      <c r="J696" s="6"/>
    </row>
    <row r="697" ht="14.25" customHeight="1">
      <c r="A697" s="6"/>
      <c r="B697" s="18" t="s">
        <v>186</v>
      </c>
      <c r="C697" s="34"/>
      <c r="D697" s="59"/>
      <c r="E697" s="19"/>
      <c r="F697" s="59"/>
      <c r="G697" s="19"/>
      <c r="H697" s="6"/>
      <c r="I697" s="6"/>
      <c r="J697" s="6"/>
    </row>
    <row r="698" ht="14.25" customHeight="1">
      <c r="A698" s="6"/>
      <c r="B698" s="18" t="s">
        <v>186</v>
      </c>
      <c r="C698" s="34"/>
      <c r="D698" s="59"/>
      <c r="E698" s="19"/>
      <c r="F698" s="59"/>
      <c r="G698" s="19"/>
      <c r="H698" s="6"/>
      <c r="I698" s="6"/>
      <c r="J698" s="6"/>
    </row>
    <row r="699" ht="14.25" customHeight="1">
      <c r="A699" s="6"/>
      <c r="B699" s="18" t="s">
        <v>186</v>
      </c>
      <c r="C699" s="34"/>
      <c r="D699" s="59"/>
      <c r="E699" s="19"/>
      <c r="F699" s="59"/>
      <c r="G699" s="19"/>
      <c r="H699" s="6"/>
      <c r="I699" s="6"/>
      <c r="J699" s="6"/>
    </row>
    <row r="700" ht="14.25" customHeight="1">
      <c r="A700" s="6"/>
      <c r="B700" s="18" t="s">
        <v>186</v>
      </c>
      <c r="C700" s="34"/>
      <c r="D700" s="59"/>
      <c r="E700" s="19"/>
      <c r="F700" s="59"/>
      <c r="G700" s="19"/>
      <c r="H700" s="6"/>
      <c r="I700" s="6"/>
      <c r="J700" s="6"/>
    </row>
    <row r="701" ht="14.25" customHeight="1">
      <c r="A701" s="6"/>
      <c r="B701" s="18" t="s">
        <v>186</v>
      </c>
      <c r="C701" s="34"/>
      <c r="D701" s="59"/>
      <c r="E701" s="19"/>
      <c r="F701" s="59"/>
      <c r="G701" s="19"/>
      <c r="H701" s="6"/>
      <c r="I701" s="6"/>
      <c r="J701" s="6"/>
    </row>
    <row r="702" ht="14.25" customHeight="1">
      <c r="A702" s="6"/>
      <c r="B702" s="18" t="s">
        <v>186</v>
      </c>
      <c r="C702" s="34"/>
      <c r="D702" s="59"/>
      <c r="E702" s="19"/>
      <c r="F702" s="59"/>
      <c r="G702" s="19"/>
      <c r="H702" s="6"/>
      <c r="I702" s="6"/>
      <c r="J702" s="6"/>
    </row>
    <row r="703" ht="14.25" customHeight="1">
      <c r="A703" s="6"/>
      <c r="B703" s="18" t="s">
        <v>186</v>
      </c>
      <c r="C703" s="34"/>
      <c r="D703" s="59"/>
      <c r="E703" s="19"/>
      <c r="F703" s="59"/>
      <c r="G703" s="19"/>
      <c r="H703" s="6"/>
      <c r="I703" s="6"/>
      <c r="J703" s="6"/>
    </row>
    <row r="704" ht="14.25" customHeight="1">
      <c r="A704" s="6"/>
      <c r="B704" s="18" t="s">
        <v>186</v>
      </c>
      <c r="C704" s="34"/>
      <c r="D704" s="59"/>
      <c r="E704" s="19"/>
      <c r="F704" s="59"/>
      <c r="G704" s="19"/>
      <c r="H704" s="6"/>
      <c r="I704" s="6"/>
      <c r="J704" s="6"/>
    </row>
    <row r="705" ht="14.25" customHeight="1">
      <c r="A705" s="6"/>
      <c r="B705" s="18" t="s">
        <v>186</v>
      </c>
      <c r="C705" s="34"/>
      <c r="D705" s="59"/>
      <c r="E705" s="19"/>
      <c r="F705" s="59"/>
      <c r="G705" s="19"/>
      <c r="H705" s="6"/>
      <c r="I705" s="6"/>
      <c r="J705" s="6"/>
    </row>
    <row r="706" ht="14.25" customHeight="1">
      <c r="A706" s="6"/>
      <c r="B706" s="18" t="s">
        <v>186</v>
      </c>
      <c r="C706" s="34"/>
      <c r="D706" s="59"/>
      <c r="E706" s="19"/>
      <c r="F706" s="59"/>
      <c r="G706" s="19"/>
      <c r="H706" s="6"/>
      <c r="I706" s="6"/>
      <c r="J706" s="6"/>
    </row>
    <row r="707" ht="14.25" customHeight="1">
      <c r="A707" s="6"/>
      <c r="B707" s="18" t="s">
        <v>186</v>
      </c>
      <c r="C707" s="34"/>
      <c r="D707" s="59"/>
      <c r="E707" s="19"/>
      <c r="F707" s="59"/>
      <c r="G707" s="19"/>
      <c r="H707" s="6"/>
      <c r="I707" s="6"/>
      <c r="J707" s="6"/>
    </row>
    <row r="708" ht="14.25" customHeight="1">
      <c r="A708" s="6"/>
      <c r="B708" s="18" t="s">
        <v>186</v>
      </c>
      <c r="C708" s="34"/>
      <c r="D708" s="59"/>
      <c r="E708" s="19"/>
      <c r="F708" s="59"/>
      <c r="G708" s="19"/>
      <c r="H708" s="6"/>
      <c r="I708" s="6"/>
      <c r="J708" s="6"/>
    </row>
    <row r="709" ht="14.25" customHeight="1">
      <c r="A709" s="6"/>
      <c r="B709" s="18" t="s">
        <v>186</v>
      </c>
      <c r="C709" s="34"/>
      <c r="D709" s="59"/>
      <c r="E709" s="19"/>
      <c r="F709" s="59"/>
      <c r="G709" s="19"/>
      <c r="H709" s="6"/>
      <c r="I709" s="6"/>
      <c r="J709" s="6"/>
    </row>
    <row r="710" ht="14.25" customHeight="1">
      <c r="A710" s="6"/>
      <c r="B710" s="18" t="s">
        <v>186</v>
      </c>
      <c r="C710" s="34"/>
      <c r="D710" s="59"/>
      <c r="E710" s="19"/>
      <c r="F710" s="59"/>
      <c r="G710" s="19"/>
      <c r="H710" s="6"/>
      <c r="I710" s="6"/>
      <c r="J710" s="6"/>
    </row>
    <row r="711" ht="14.25" customHeight="1">
      <c r="A711" s="6"/>
      <c r="B711" s="18" t="s">
        <v>186</v>
      </c>
      <c r="C711" s="34"/>
      <c r="D711" s="59"/>
      <c r="E711" s="19"/>
      <c r="F711" s="59"/>
      <c r="G711" s="19"/>
      <c r="H711" s="6"/>
      <c r="I711" s="6"/>
      <c r="J711" s="6"/>
    </row>
    <row r="712" ht="14.25" customHeight="1">
      <c r="A712" s="6"/>
      <c r="B712" s="18" t="s">
        <v>186</v>
      </c>
      <c r="C712" s="34"/>
      <c r="D712" s="59"/>
      <c r="E712" s="19"/>
      <c r="F712" s="59"/>
      <c r="G712" s="19"/>
      <c r="H712" s="6"/>
      <c r="I712" s="6"/>
      <c r="J712" s="6"/>
    </row>
    <row r="713" ht="14.25" customHeight="1">
      <c r="A713" s="6"/>
      <c r="B713" s="18" t="s">
        <v>186</v>
      </c>
      <c r="C713" s="34"/>
      <c r="D713" s="59"/>
      <c r="E713" s="19"/>
      <c r="F713" s="59"/>
      <c r="G713" s="19"/>
      <c r="H713" s="6"/>
      <c r="I713" s="6"/>
      <c r="J713" s="6"/>
    </row>
    <row r="714" ht="14.25" customHeight="1">
      <c r="A714" s="6"/>
      <c r="B714" s="18" t="s">
        <v>186</v>
      </c>
      <c r="C714" s="34"/>
      <c r="D714" s="59"/>
      <c r="E714" s="19"/>
      <c r="F714" s="59"/>
      <c r="G714" s="19"/>
      <c r="H714" s="6"/>
      <c r="I714" s="6"/>
      <c r="J714" s="6"/>
    </row>
    <row r="715" ht="14.25" customHeight="1">
      <c r="A715" s="6"/>
      <c r="B715" s="18" t="s">
        <v>186</v>
      </c>
      <c r="C715" s="34"/>
      <c r="D715" s="59"/>
      <c r="E715" s="19"/>
      <c r="F715" s="59"/>
      <c r="G715" s="19"/>
      <c r="H715" s="6"/>
      <c r="I715" s="6"/>
      <c r="J715" s="6"/>
    </row>
    <row r="716" ht="14.25" customHeight="1">
      <c r="A716" s="6"/>
      <c r="B716" s="18" t="s">
        <v>186</v>
      </c>
      <c r="C716" s="34"/>
      <c r="D716" s="59"/>
      <c r="E716" s="19"/>
      <c r="F716" s="59"/>
      <c r="G716" s="19"/>
      <c r="H716" s="6"/>
      <c r="I716" s="6"/>
      <c r="J716" s="6"/>
    </row>
    <row r="717" ht="14.25" customHeight="1">
      <c r="A717" s="6"/>
      <c r="B717" s="18" t="s">
        <v>186</v>
      </c>
      <c r="C717" s="34"/>
      <c r="D717" s="59"/>
      <c r="E717" s="19"/>
      <c r="F717" s="59"/>
      <c r="G717" s="19"/>
      <c r="H717" s="6"/>
      <c r="I717" s="6"/>
      <c r="J717" s="6"/>
    </row>
    <row r="718" ht="14.25" customHeight="1">
      <c r="A718" s="6"/>
      <c r="B718" s="18" t="s">
        <v>186</v>
      </c>
      <c r="C718" s="34"/>
      <c r="D718" s="59"/>
      <c r="E718" s="19"/>
      <c r="F718" s="59"/>
      <c r="G718" s="19"/>
      <c r="H718" s="6"/>
      <c r="I718" s="6"/>
      <c r="J718" s="6"/>
    </row>
    <row r="719" ht="14.25" customHeight="1">
      <c r="A719" s="6"/>
      <c r="B719" s="18" t="s">
        <v>186</v>
      </c>
      <c r="C719" s="34"/>
      <c r="D719" s="59"/>
      <c r="E719" s="19"/>
      <c r="F719" s="59"/>
      <c r="G719" s="19"/>
      <c r="H719" s="6"/>
      <c r="I719" s="6"/>
      <c r="J719" s="6"/>
    </row>
    <row r="720" ht="14.25" customHeight="1">
      <c r="A720" s="6"/>
      <c r="B720" s="18" t="s">
        <v>186</v>
      </c>
      <c r="C720" s="34"/>
      <c r="D720" s="59"/>
      <c r="E720" s="19"/>
      <c r="F720" s="59"/>
      <c r="G720" s="19"/>
      <c r="H720" s="6"/>
      <c r="I720" s="6"/>
      <c r="J720" s="6"/>
    </row>
    <row r="721" ht="14.25" customHeight="1">
      <c r="A721" s="6"/>
      <c r="B721" s="18" t="s">
        <v>186</v>
      </c>
      <c r="C721" s="34"/>
      <c r="D721" s="59"/>
      <c r="E721" s="19"/>
      <c r="F721" s="59"/>
      <c r="G721" s="19"/>
      <c r="H721" s="6"/>
      <c r="I721" s="6"/>
      <c r="J721" s="6"/>
    </row>
    <row r="722" ht="14.25" customHeight="1">
      <c r="A722" s="6"/>
      <c r="B722" s="18" t="s">
        <v>186</v>
      </c>
      <c r="C722" s="34"/>
      <c r="D722" s="59"/>
      <c r="E722" s="19"/>
      <c r="F722" s="59"/>
      <c r="G722" s="19"/>
      <c r="H722" s="6"/>
      <c r="I722" s="6"/>
      <c r="J722" s="6"/>
    </row>
    <row r="723" ht="14.25" customHeight="1">
      <c r="A723" s="6"/>
      <c r="B723" s="18" t="s">
        <v>186</v>
      </c>
      <c r="C723" s="34"/>
      <c r="D723" s="59"/>
      <c r="E723" s="19"/>
      <c r="F723" s="59"/>
      <c r="G723" s="19"/>
      <c r="H723" s="6"/>
      <c r="I723" s="6"/>
      <c r="J723" s="6"/>
    </row>
    <row r="724" ht="14.25" customHeight="1">
      <c r="A724" s="6"/>
      <c r="B724" s="18" t="s">
        <v>186</v>
      </c>
      <c r="C724" s="34"/>
      <c r="D724" s="59"/>
      <c r="E724" s="19"/>
      <c r="F724" s="59"/>
      <c r="G724" s="19"/>
      <c r="H724" s="6"/>
      <c r="I724" s="6"/>
      <c r="J724" s="6"/>
    </row>
    <row r="725" ht="14.25" customHeight="1">
      <c r="A725" s="6"/>
      <c r="B725" s="18" t="s">
        <v>186</v>
      </c>
      <c r="C725" s="34"/>
      <c r="D725" s="59"/>
      <c r="E725" s="19"/>
      <c r="F725" s="59"/>
      <c r="G725" s="19"/>
      <c r="H725" s="6"/>
      <c r="I725" s="6"/>
      <c r="J725" s="6"/>
    </row>
    <row r="726" ht="14.25" customHeight="1">
      <c r="A726" s="6"/>
      <c r="B726" s="18" t="s">
        <v>186</v>
      </c>
      <c r="C726" s="34"/>
      <c r="D726" s="59"/>
      <c r="E726" s="19"/>
      <c r="F726" s="59"/>
      <c r="G726" s="19"/>
      <c r="H726" s="6"/>
      <c r="I726" s="6"/>
      <c r="J726" s="6"/>
    </row>
    <row r="727" ht="14.25" customHeight="1">
      <c r="A727" s="6"/>
      <c r="B727" s="18" t="s">
        <v>186</v>
      </c>
      <c r="C727" s="34"/>
      <c r="D727" s="59"/>
      <c r="E727" s="19"/>
      <c r="F727" s="59"/>
      <c r="G727" s="19"/>
      <c r="H727" s="6"/>
      <c r="I727" s="6"/>
      <c r="J727" s="6"/>
    </row>
    <row r="728" ht="14.25" customHeight="1">
      <c r="A728" s="6"/>
      <c r="B728" s="18" t="s">
        <v>186</v>
      </c>
      <c r="C728" s="34"/>
      <c r="D728" s="59"/>
      <c r="E728" s="19"/>
      <c r="F728" s="59"/>
      <c r="G728" s="19"/>
      <c r="H728" s="6"/>
      <c r="I728" s="6"/>
      <c r="J728" s="6"/>
    </row>
    <row r="729" ht="14.25" customHeight="1">
      <c r="A729" s="6"/>
      <c r="B729" s="18" t="s">
        <v>186</v>
      </c>
      <c r="C729" s="34"/>
      <c r="D729" s="59"/>
      <c r="E729" s="19"/>
      <c r="F729" s="59"/>
      <c r="G729" s="19"/>
      <c r="H729" s="6"/>
      <c r="I729" s="6"/>
      <c r="J729" s="6"/>
    </row>
    <row r="730" ht="14.25" customHeight="1">
      <c r="A730" s="6"/>
      <c r="B730" s="18" t="s">
        <v>186</v>
      </c>
      <c r="C730" s="34"/>
      <c r="D730" s="59"/>
      <c r="E730" s="19"/>
      <c r="F730" s="59"/>
      <c r="G730" s="19"/>
      <c r="H730" s="6"/>
      <c r="I730" s="6"/>
      <c r="J730" s="6"/>
    </row>
    <row r="731" ht="14.25" customHeight="1">
      <c r="A731" s="6"/>
      <c r="B731" s="18" t="s">
        <v>186</v>
      </c>
      <c r="C731" s="34"/>
      <c r="D731" s="59"/>
      <c r="E731" s="19"/>
      <c r="F731" s="59"/>
      <c r="G731" s="19"/>
      <c r="H731" s="6"/>
      <c r="I731" s="6"/>
      <c r="J731" s="6"/>
    </row>
    <row r="732" ht="14.25" customHeight="1">
      <c r="A732" s="6"/>
      <c r="B732" s="18" t="s">
        <v>186</v>
      </c>
      <c r="C732" s="34"/>
      <c r="D732" s="59"/>
      <c r="E732" s="19"/>
      <c r="F732" s="59"/>
      <c r="G732" s="19"/>
      <c r="H732" s="6"/>
      <c r="I732" s="6"/>
      <c r="J732" s="6"/>
    </row>
    <row r="733" ht="14.25" customHeight="1">
      <c r="A733" s="6"/>
      <c r="B733" s="18" t="s">
        <v>186</v>
      </c>
      <c r="C733" s="34"/>
      <c r="D733" s="59"/>
      <c r="E733" s="19"/>
      <c r="F733" s="59"/>
      <c r="G733" s="19"/>
      <c r="H733" s="6"/>
      <c r="I733" s="6"/>
      <c r="J733" s="6"/>
    </row>
    <row r="734" ht="14.25" customHeight="1">
      <c r="A734" s="6"/>
      <c r="B734" s="18" t="s">
        <v>186</v>
      </c>
      <c r="C734" s="34"/>
      <c r="D734" s="59"/>
      <c r="E734" s="19"/>
      <c r="F734" s="59"/>
      <c r="G734" s="19"/>
      <c r="H734" s="6"/>
      <c r="I734" s="6"/>
      <c r="J734" s="6"/>
    </row>
    <row r="735" ht="14.25" customHeight="1">
      <c r="A735" s="6"/>
      <c r="B735" s="18" t="s">
        <v>186</v>
      </c>
      <c r="C735" s="34"/>
      <c r="D735" s="59"/>
      <c r="E735" s="19"/>
      <c r="F735" s="59"/>
      <c r="G735" s="19"/>
      <c r="H735" s="6"/>
      <c r="I735" s="6"/>
      <c r="J735" s="6"/>
    </row>
    <row r="736" ht="14.25" customHeight="1">
      <c r="A736" s="6"/>
      <c r="B736" s="18" t="s">
        <v>186</v>
      </c>
      <c r="C736" s="34"/>
      <c r="D736" s="59"/>
      <c r="E736" s="19"/>
      <c r="F736" s="59"/>
      <c r="G736" s="19"/>
      <c r="H736" s="6"/>
      <c r="I736" s="6"/>
      <c r="J736" s="6"/>
    </row>
    <row r="737" ht="14.25" customHeight="1">
      <c r="A737" s="6"/>
      <c r="B737" s="18" t="s">
        <v>186</v>
      </c>
      <c r="C737" s="34"/>
      <c r="D737" s="59"/>
      <c r="E737" s="19"/>
      <c r="F737" s="59"/>
      <c r="G737" s="19"/>
      <c r="H737" s="6"/>
      <c r="I737" s="6"/>
      <c r="J737" s="6"/>
    </row>
    <row r="738" ht="14.25" customHeight="1">
      <c r="A738" s="6"/>
      <c r="B738" s="18" t="s">
        <v>186</v>
      </c>
      <c r="C738" s="34"/>
      <c r="D738" s="59"/>
      <c r="E738" s="19"/>
      <c r="F738" s="59"/>
      <c r="G738" s="19"/>
      <c r="H738" s="6"/>
      <c r="I738" s="6"/>
      <c r="J738" s="6"/>
    </row>
    <row r="739" ht="14.25" customHeight="1">
      <c r="A739" s="6"/>
      <c r="B739" s="18" t="s">
        <v>186</v>
      </c>
      <c r="C739" s="34"/>
      <c r="D739" s="59"/>
      <c r="E739" s="19"/>
      <c r="F739" s="59"/>
      <c r="G739" s="19"/>
      <c r="H739" s="6"/>
      <c r="I739" s="6"/>
      <c r="J739" s="6"/>
    </row>
    <row r="740" ht="14.25" customHeight="1">
      <c r="A740" s="6"/>
      <c r="B740" s="18" t="s">
        <v>186</v>
      </c>
      <c r="C740" s="34"/>
      <c r="D740" s="59"/>
      <c r="E740" s="19"/>
      <c r="F740" s="59"/>
      <c r="G740" s="19"/>
      <c r="H740" s="6"/>
      <c r="I740" s="6"/>
      <c r="J740" s="6"/>
    </row>
    <row r="741" ht="14.25" customHeight="1">
      <c r="A741" s="6"/>
      <c r="B741" s="18" t="s">
        <v>186</v>
      </c>
      <c r="C741" s="34"/>
      <c r="D741" s="59"/>
      <c r="E741" s="19"/>
      <c r="F741" s="59"/>
      <c r="G741" s="19"/>
      <c r="H741" s="6"/>
      <c r="I741" s="6"/>
      <c r="J741" s="6"/>
    </row>
    <row r="742" ht="14.25" customHeight="1">
      <c r="A742" s="6"/>
      <c r="B742" s="18" t="s">
        <v>186</v>
      </c>
      <c r="C742" s="34"/>
      <c r="D742" s="59"/>
      <c r="E742" s="19"/>
      <c r="F742" s="59"/>
      <c r="G742" s="19"/>
      <c r="H742" s="6"/>
      <c r="I742" s="6"/>
      <c r="J742" s="6"/>
    </row>
    <row r="743" ht="14.25" customHeight="1">
      <c r="A743" s="6"/>
      <c r="B743" s="18" t="s">
        <v>186</v>
      </c>
      <c r="C743" s="34"/>
      <c r="D743" s="59"/>
      <c r="E743" s="19"/>
      <c r="F743" s="59"/>
      <c r="G743" s="19"/>
      <c r="H743" s="6"/>
      <c r="I743" s="6"/>
      <c r="J743" s="6"/>
    </row>
    <row r="744" ht="14.25" customHeight="1">
      <c r="A744" s="6"/>
      <c r="B744" s="18" t="s">
        <v>186</v>
      </c>
      <c r="C744" s="34"/>
      <c r="D744" s="59"/>
      <c r="E744" s="19"/>
      <c r="F744" s="59"/>
      <c r="G744" s="19"/>
      <c r="H744" s="6"/>
      <c r="I744" s="6"/>
      <c r="J744" s="6"/>
    </row>
    <row r="745" ht="14.25" customHeight="1">
      <c r="A745" s="6"/>
      <c r="B745" s="18" t="s">
        <v>186</v>
      </c>
      <c r="C745" s="34"/>
      <c r="D745" s="59"/>
      <c r="E745" s="19"/>
      <c r="F745" s="59"/>
      <c r="G745" s="19"/>
      <c r="H745" s="6"/>
      <c r="I745" s="6"/>
      <c r="J745" s="6"/>
    </row>
    <row r="746" ht="14.25" customHeight="1">
      <c r="A746" s="6"/>
      <c r="B746" s="18" t="s">
        <v>186</v>
      </c>
      <c r="C746" s="34"/>
      <c r="D746" s="59"/>
      <c r="E746" s="19"/>
      <c r="F746" s="59"/>
      <c r="G746" s="19"/>
      <c r="H746" s="6"/>
      <c r="I746" s="6"/>
      <c r="J746" s="6"/>
    </row>
    <row r="747" ht="14.25" customHeight="1">
      <c r="A747" s="6"/>
      <c r="B747" s="18" t="s">
        <v>186</v>
      </c>
      <c r="C747" s="34"/>
      <c r="D747" s="59"/>
      <c r="E747" s="19"/>
      <c r="F747" s="59"/>
      <c r="G747" s="19"/>
      <c r="H747" s="6"/>
      <c r="I747" s="6"/>
      <c r="J747" s="6"/>
    </row>
    <row r="748" ht="14.25" customHeight="1">
      <c r="A748" s="6"/>
      <c r="B748" s="18" t="s">
        <v>186</v>
      </c>
      <c r="C748" s="34"/>
      <c r="D748" s="59"/>
      <c r="E748" s="19"/>
      <c r="F748" s="59"/>
      <c r="G748" s="19"/>
      <c r="H748" s="6"/>
      <c r="I748" s="6"/>
      <c r="J748" s="6"/>
    </row>
    <row r="749" ht="14.25" customHeight="1">
      <c r="A749" s="6"/>
      <c r="B749" s="18" t="s">
        <v>186</v>
      </c>
      <c r="C749" s="34"/>
      <c r="D749" s="59"/>
      <c r="E749" s="19"/>
      <c r="F749" s="59"/>
      <c r="G749" s="19"/>
      <c r="H749" s="6"/>
      <c r="I749" s="6"/>
      <c r="J749" s="6"/>
    </row>
    <row r="750" ht="14.25" customHeight="1">
      <c r="A750" s="6"/>
      <c r="B750" s="18" t="s">
        <v>186</v>
      </c>
      <c r="C750" s="34"/>
      <c r="D750" s="59"/>
      <c r="E750" s="19"/>
      <c r="F750" s="59"/>
      <c r="G750" s="19"/>
      <c r="H750" s="6"/>
      <c r="I750" s="6"/>
      <c r="J750" s="6"/>
    </row>
    <row r="751" ht="14.25" customHeight="1">
      <c r="A751" s="6"/>
      <c r="B751" s="18" t="s">
        <v>186</v>
      </c>
      <c r="C751" s="34"/>
      <c r="D751" s="59"/>
      <c r="E751" s="19"/>
      <c r="F751" s="59"/>
      <c r="G751" s="19"/>
      <c r="H751" s="6"/>
      <c r="I751" s="6"/>
      <c r="J751" s="6"/>
    </row>
    <row r="752" ht="14.25" customHeight="1">
      <c r="A752" s="6"/>
      <c r="B752" s="18" t="s">
        <v>186</v>
      </c>
      <c r="C752" s="34"/>
      <c r="D752" s="59"/>
      <c r="E752" s="19"/>
      <c r="F752" s="59"/>
      <c r="G752" s="19"/>
      <c r="H752" s="6"/>
      <c r="I752" s="6"/>
      <c r="J752" s="6"/>
    </row>
    <row r="753" ht="14.25" customHeight="1">
      <c r="A753" s="6"/>
      <c r="B753" s="18" t="s">
        <v>186</v>
      </c>
      <c r="C753" s="34"/>
      <c r="D753" s="59"/>
      <c r="E753" s="19"/>
      <c r="F753" s="59"/>
      <c r="G753" s="19"/>
      <c r="H753" s="6"/>
      <c r="I753" s="6"/>
      <c r="J753" s="6"/>
    </row>
    <row r="754" ht="14.25" customHeight="1">
      <c r="A754" s="6"/>
      <c r="B754" s="18" t="s">
        <v>186</v>
      </c>
      <c r="C754" s="34"/>
      <c r="D754" s="59"/>
      <c r="E754" s="19"/>
      <c r="F754" s="59"/>
      <c r="G754" s="19"/>
      <c r="H754" s="6"/>
      <c r="I754" s="6"/>
      <c r="J754" s="6"/>
    </row>
    <row r="755" ht="14.25" customHeight="1">
      <c r="A755" s="6"/>
      <c r="B755" s="18" t="s">
        <v>186</v>
      </c>
      <c r="C755" s="34"/>
      <c r="D755" s="59"/>
      <c r="E755" s="19"/>
      <c r="F755" s="59"/>
      <c r="G755" s="19"/>
      <c r="H755" s="6"/>
      <c r="I755" s="6"/>
      <c r="J755" s="6"/>
    </row>
    <row r="756" ht="14.25" customHeight="1">
      <c r="A756" s="6"/>
      <c r="B756" s="18" t="s">
        <v>186</v>
      </c>
      <c r="C756" s="34"/>
      <c r="D756" s="59"/>
      <c r="E756" s="19"/>
      <c r="F756" s="59"/>
      <c r="G756" s="19"/>
      <c r="H756" s="6"/>
      <c r="I756" s="6"/>
      <c r="J756" s="6"/>
    </row>
    <row r="757" ht="14.25" customHeight="1">
      <c r="A757" s="6"/>
      <c r="B757" s="18" t="s">
        <v>186</v>
      </c>
      <c r="C757" s="34"/>
      <c r="D757" s="59"/>
      <c r="E757" s="19"/>
      <c r="F757" s="59"/>
      <c r="G757" s="19"/>
      <c r="H757" s="6"/>
      <c r="I757" s="6"/>
      <c r="J757" s="6"/>
    </row>
    <row r="758" ht="14.25" customHeight="1">
      <c r="A758" s="6"/>
      <c r="B758" s="18" t="s">
        <v>186</v>
      </c>
      <c r="C758" s="34"/>
      <c r="D758" s="59"/>
      <c r="E758" s="19"/>
      <c r="F758" s="59"/>
      <c r="G758" s="19"/>
      <c r="H758" s="6"/>
      <c r="I758" s="6"/>
      <c r="J758" s="6"/>
    </row>
    <row r="759" ht="14.25" customHeight="1">
      <c r="A759" s="6"/>
      <c r="B759" s="18" t="s">
        <v>186</v>
      </c>
      <c r="C759" s="34"/>
      <c r="D759" s="59"/>
      <c r="E759" s="19"/>
      <c r="F759" s="59"/>
      <c r="G759" s="19"/>
      <c r="H759" s="6"/>
      <c r="I759" s="6"/>
      <c r="J759" s="6"/>
    </row>
    <row r="760" ht="14.25" customHeight="1">
      <c r="A760" s="6"/>
      <c r="B760" s="18" t="s">
        <v>186</v>
      </c>
      <c r="C760" s="34"/>
      <c r="D760" s="59"/>
      <c r="E760" s="19"/>
      <c r="F760" s="59"/>
      <c r="G760" s="19"/>
      <c r="H760" s="6"/>
      <c r="I760" s="6"/>
      <c r="J760" s="6"/>
    </row>
    <row r="761" ht="14.25" customHeight="1">
      <c r="A761" s="6"/>
      <c r="B761" s="18" t="s">
        <v>186</v>
      </c>
      <c r="C761" s="34"/>
      <c r="D761" s="59"/>
      <c r="E761" s="19"/>
      <c r="F761" s="59"/>
      <c r="G761" s="19"/>
      <c r="H761" s="6"/>
      <c r="I761" s="6"/>
      <c r="J761" s="6"/>
    </row>
    <row r="762" ht="14.25" customHeight="1">
      <c r="A762" s="6"/>
      <c r="B762" s="18" t="s">
        <v>186</v>
      </c>
      <c r="C762" s="34"/>
      <c r="D762" s="59"/>
      <c r="E762" s="19"/>
      <c r="F762" s="59"/>
      <c r="G762" s="19"/>
      <c r="H762" s="6"/>
      <c r="I762" s="6"/>
      <c r="J762" s="6"/>
    </row>
    <row r="763" ht="14.25" customHeight="1">
      <c r="A763" s="6"/>
      <c r="B763" s="18" t="s">
        <v>186</v>
      </c>
      <c r="C763" s="34"/>
      <c r="D763" s="59"/>
      <c r="E763" s="19"/>
      <c r="F763" s="59"/>
      <c r="G763" s="19"/>
      <c r="H763" s="6"/>
      <c r="I763" s="6"/>
      <c r="J763" s="6"/>
    </row>
    <row r="764" ht="14.25" customHeight="1">
      <c r="A764" s="6"/>
      <c r="B764" s="18" t="s">
        <v>186</v>
      </c>
      <c r="C764" s="34"/>
      <c r="D764" s="59"/>
      <c r="E764" s="19"/>
      <c r="F764" s="59"/>
      <c r="G764" s="19"/>
      <c r="H764" s="6"/>
      <c r="I764" s="6"/>
      <c r="J764" s="6"/>
    </row>
    <row r="765" ht="14.25" customHeight="1">
      <c r="A765" s="6"/>
      <c r="B765" s="18" t="s">
        <v>186</v>
      </c>
      <c r="C765" s="34"/>
      <c r="D765" s="59"/>
      <c r="E765" s="19"/>
      <c r="F765" s="59"/>
      <c r="G765" s="19"/>
      <c r="H765" s="6"/>
      <c r="I765" s="6"/>
      <c r="J765" s="6"/>
    </row>
    <row r="766" ht="14.25" customHeight="1">
      <c r="A766" s="6"/>
      <c r="B766" s="18" t="s">
        <v>186</v>
      </c>
      <c r="C766" s="34"/>
      <c r="D766" s="59"/>
      <c r="E766" s="19"/>
      <c r="F766" s="59"/>
      <c r="G766" s="19"/>
      <c r="H766" s="6"/>
      <c r="I766" s="6"/>
      <c r="J766" s="6"/>
    </row>
    <row r="767" ht="14.25" customHeight="1">
      <c r="A767" s="6"/>
      <c r="B767" s="18" t="s">
        <v>186</v>
      </c>
      <c r="C767" s="34"/>
      <c r="D767" s="59"/>
      <c r="E767" s="19"/>
      <c r="F767" s="59"/>
      <c r="G767" s="19"/>
      <c r="H767" s="6"/>
      <c r="I767" s="6"/>
      <c r="J767" s="6"/>
    </row>
    <row r="768" ht="14.25" customHeight="1">
      <c r="A768" s="6"/>
      <c r="B768" s="18" t="s">
        <v>186</v>
      </c>
      <c r="C768" s="34"/>
      <c r="D768" s="59"/>
      <c r="E768" s="19"/>
      <c r="F768" s="59"/>
      <c r="G768" s="19"/>
      <c r="H768" s="6"/>
      <c r="I768" s="6"/>
      <c r="J768" s="6"/>
    </row>
    <row r="769" ht="14.25" customHeight="1">
      <c r="A769" s="6"/>
      <c r="B769" s="18" t="s">
        <v>186</v>
      </c>
      <c r="C769" s="34"/>
      <c r="D769" s="59"/>
      <c r="E769" s="19"/>
      <c r="F769" s="59"/>
      <c r="G769" s="19"/>
      <c r="H769" s="6"/>
      <c r="I769" s="6"/>
      <c r="J769" s="6"/>
    </row>
    <row r="770" ht="14.25" customHeight="1">
      <c r="A770" s="6"/>
      <c r="B770" s="18" t="s">
        <v>186</v>
      </c>
      <c r="C770" s="34"/>
      <c r="D770" s="59"/>
      <c r="E770" s="19"/>
      <c r="F770" s="59"/>
      <c r="G770" s="19"/>
      <c r="H770" s="6"/>
      <c r="I770" s="6"/>
      <c r="J770" s="6"/>
    </row>
    <row r="771" ht="14.25" customHeight="1">
      <c r="A771" s="6"/>
      <c r="B771" s="18" t="s">
        <v>186</v>
      </c>
      <c r="C771" s="34"/>
      <c r="D771" s="59"/>
      <c r="E771" s="19"/>
      <c r="F771" s="59"/>
      <c r="G771" s="19"/>
      <c r="H771" s="6"/>
      <c r="I771" s="6"/>
      <c r="J771" s="6"/>
    </row>
    <row r="772" ht="14.25" customHeight="1">
      <c r="A772" s="6"/>
      <c r="B772" s="18" t="s">
        <v>186</v>
      </c>
      <c r="C772" s="34"/>
      <c r="D772" s="59"/>
      <c r="E772" s="19"/>
      <c r="F772" s="59"/>
      <c r="G772" s="19"/>
      <c r="H772" s="6"/>
      <c r="I772" s="6"/>
      <c r="J772" s="6"/>
    </row>
    <row r="773" ht="14.25" customHeight="1">
      <c r="A773" s="6"/>
      <c r="B773" s="18" t="s">
        <v>186</v>
      </c>
      <c r="C773" s="34"/>
      <c r="D773" s="59"/>
      <c r="E773" s="19"/>
      <c r="F773" s="59"/>
      <c r="G773" s="19"/>
      <c r="H773" s="6"/>
      <c r="I773" s="6"/>
      <c r="J773" s="6"/>
    </row>
    <row r="774" ht="14.25" customHeight="1">
      <c r="A774" s="6"/>
      <c r="B774" s="18" t="s">
        <v>186</v>
      </c>
      <c r="C774" s="34"/>
      <c r="D774" s="59"/>
      <c r="E774" s="19"/>
      <c r="F774" s="59"/>
      <c r="G774" s="19"/>
      <c r="H774" s="6"/>
      <c r="I774" s="6"/>
      <c r="J774" s="6"/>
    </row>
    <row r="775" ht="14.25" customHeight="1">
      <c r="A775" s="6"/>
      <c r="B775" s="18" t="s">
        <v>186</v>
      </c>
      <c r="C775" s="34"/>
      <c r="D775" s="59"/>
      <c r="E775" s="19"/>
      <c r="F775" s="59"/>
      <c r="G775" s="19"/>
      <c r="H775" s="6"/>
      <c r="I775" s="6"/>
      <c r="J775" s="6"/>
    </row>
    <row r="776" ht="14.25" customHeight="1">
      <c r="A776" s="6"/>
      <c r="B776" s="18" t="s">
        <v>186</v>
      </c>
      <c r="C776" s="34"/>
      <c r="D776" s="59"/>
      <c r="E776" s="19"/>
      <c r="F776" s="59"/>
      <c r="G776" s="19"/>
      <c r="H776" s="6"/>
      <c r="I776" s="6"/>
      <c r="J776" s="6"/>
    </row>
    <row r="777" ht="14.25" customHeight="1">
      <c r="A777" s="6"/>
      <c r="B777" s="18" t="s">
        <v>186</v>
      </c>
      <c r="C777" s="34"/>
      <c r="D777" s="59"/>
      <c r="E777" s="19"/>
      <c r="F777" s="59"/>
      <c r="G777" s="19"/>
      <c r="H777" s="6"/>
      <c r="I777" s="6"/>
      <c r="J777" s="6"/>
    </row>
    <row r="778" ht="14.25" customHeight="1">
      <c r="A778" s="6"/>
      <c r="B778" s="18" t="s">
        <v>186</v>
      </c>
      <c r="C778" s="34"/>
      <c r="D778" s="59"/>
      <c r="E778" s="19"/>
      <c r="F778" s="59"/>
      <c r="G778" s="19"/>
      <c r="H778" s="6"/>
      <c r="I778" s="6"/>
      <c r="J778" s="6"/>
    </row>
    <row r="779" ht="14.25" customHeight="1">
      <c r="A779" s="6"/>
      <c r="B779" s="18" t="s">
        <v>186</v>
      </c>
      <c r="C779" s="34"/>
      <c r="D779" s="59"/>
      <c r="E779" s="19"/>
      <c r="F779" s="59"/>
      <c r="G779" s="19"/>
      <c r="H779" s="6"/>
      <c r="I779" s="6"/>
      <c r="J779" s="6"/>
    </row>
    <row r="780" ht="14.25" customHeight="1">
      <c r="A780" s="6"/>
      <c r="B780" s="18" t="s">
        <v>186</v>
      </c>
      <c r="C780" s="34"/>
      <c r="D780" s="59"/>
      <c r="E780" s="19"/>
      <c r="F780" s="59"/>
      <c r="G780" s="19"/>
      <c r="H780" s="6"/>
      <c r="I780" s="6"/>
      <c r="J780" s="6"/>
    </row>
    <row r="781" ht="14.25" customHeight="1">
      <c r="A781" s="6"/>
      <c r="B781" s="18" t="s">
        <v>186</v>
      </c>
      <c r="C781" s="34"/>
      <c r="D781" s="59"/>
      <c r="E781" s="19"/>
      <c r="F781" s="59"/>
      <c r="G781" s="19"/>
      <c r="H781" s="6"/>
      <c r="I781" s="6"/>
      <c r="J781" s="6"/>
    </row>
    <row r="782" ht="14.25" customHeight="1">
      <c r="A782" s="6"/>
      <c r="B782" s="18" t="s">
        <v>186</v>
      </c>
      <c r="C782" s="34"/>
      <c r="D782" s="59"/>
      <c r="E782" s="19"/>
      <c r="F782" s="59"/>
      <c r="G782" s="19"/>
      <c r="H782" s="6"/>
      <c r="I782" s="6"/>
      <c r="J782" s="6"/>
    </row>
    <row r="783" ht="14.25" customHeight="1">
      <c r="A783" s="6"/>
      <c r="B783" s="18" t="s">
        <v>186</v>
      </c>
      <c r="C783" s="34"/>
      <c r="D783" s="59"/>
      <c r="E783" s="19"/>
      <c r="F783" s="59"/>
      <c r="G783" s="19"/>
      <c r="H783" s="6"/>
      <c r="I783" s="6"/>
      <c r="J783" s="6"/>
    </row>
    <row r="784" ht="14.25" customHeight="1">
      <c r="A784" s="6"/>
      <c r="B784" s="18" t="s">
        <v>186</v>
      </c>
      <c r="C784" s="34"/>
      <c r="D784" s="59"/>
      <c r="E784" s="19"/>
      <c r="F784" s="59"/>
      <c r="G784" s="19"/>
      <c r="H784" s="6"/>
      <c r="I784" s="6"/>
      <c r="J784" s="6"/>
    </row>
    <row r="785" ht="14.25" customHeight="1">
      <c r="A785" s="6"/>
      <c r="B785" s="18" t="s">
        <v>186</v>
      </c>
      <c r="C785" s="34"/>
      <c r="D785" s="59"/>
      <c r="E785" s="19"/>
      <c r="F785" s="59"/>
      <c r="G785" s="19"/>
      <c r="H785" s="6"/>
      <c r="I785" s="6"/>
      <c r="J785" s="6"/>
    </row>
    <row r="786" ht="14.25" customHeight="1">
      <c r="A786" s="6"/>
      <c r="B786" s="18" t="s">
        <v>186</v>
      </c>
      <c r="C786" s="34"/>
      <c r="D786" s="59"/>
      <c r="E786" s="19"/>
      <c r="F786" s="59"/>
      <c r="G786" s="19"/>
      <c r="H786" s="6"/>
      <c r="I786" s="6"/>
      <c r="J786" s="6"/>
    </row>
    <row r="787" ht="14.25" customHeight="1">
      <c r="A787" s="6"/>
      <c r="B787" s="18" t="s">
        <v>186</v>
      </c>
      <c r="C787" s="34"/>
      <c r="D787" s="59"/>
      <c r="E787" s="19"/>
      <c r="F787" s="59"/>
      <c r="G787" s="19"/>
      <c r="H787" s="6"/>
      <c r="I787" s="6"/>
      <c r="J787" s="6"/>
    </row>
    <row r="788" ht="14.25" customHeight="1">
      <c r="A788" s="6"/>
      <c r="B788" s="18" t="s">
        <v>186</v>
      </c>
      <c r="C788" s="34"/>
      <c r="D788" s="59"/>
      <c r="E788" s="19"/>
      <c r="F788" s="59"/>
      <c r="G788" s="19"/>
      <c r="H788" s="6"/>
      <c r="I788" s="6"/>
      <c r="J788" s="6"/>
    </row>
    <row r="789" ht="14.25" customHeight="1">
      <c r="A789" s="6"/>
      <c r="B789" s="18" t="s">
        <v>186</v>
      </c>
      <c r="C789" s="34"/>
      <c r="D789" s="59"/>
      <c r="E789" s="19"/>
      <c r="F789" s="59"/>
      <c r="G789" s="19"/>
      <c r="H789" s="6"/>
      <c r="I789" s="6"/>
      <c r="J789" s="6"/>
    </row>
    <row r="790" ht="14.25" customHeight="1">
      <c r="A790" s="6"/>
      <c r="B790" s="18" t="s">
        <v>186</v>
      </c>
      <c r="C790" s="34"/>
      <c r="D790" s="59"/>
      <c r="E790" s="19"/>
      <c r="F790" s="59"/>
      <c r="G790" s="19"/>
      <c r="H790" s="6"/>
      <c r="I790" s="6"/>
      <c r="J790" s="6"/>
    </row>
    <row r="791" ht="14.25" customHeight="1">
      <c r="A791" s="6"/>
      <c r="B791" s="18" t="s">
        <v>186</v>
      </c>
      <c r="C791" s="34"/>
      <c r="D791" s="59"/>
      <c r="E791" s="19"/>
      <c r="F791" s="59"/>
      <c r="G791" s="19"/>
      <c r="H791" s="6"/>
      <c r="I791" s="6"/>
      <c r="J791" s="6"/>
    </row>
    <row r="792" ht="14.25" customHeight="1">
      <c r="A792" s="6"/>
      <c r="B792" s="18" t="s">
        <v>186</v>
      </c>
      <c r="C792" s="34"/>
      <c r="D792" s="59"/>
      <c r="E792" s="19"/>
      <c r="F792" s="59"/>
      <c r="G792" s="19"/>
      <c r="H792" s="6"/>
      <c r="I792" s="6"/>
      <c r="J792" s="6"/>
    </row>
    <row r="793" ht="14.25" customHeight="1">
      <c r="A793" s="6"/>
      <c r="B793" s="18" t="s">
        <v>186</v>
      </c>
      <c r="C793" s="34"/>
      <c r="D793" s="59"/>
      <c r="E793" s="19"/>
      <c r="F793" s="59"/>
      <c r="G793" s="19"/>
      <c r="H793" s="6"/>
      <c r="I793" s="6"/>
      <c r="J793" s="6"/>
    </row>
    <row r="794" ht="14.25" customHeight="1">
      <c r="A794" s="6"/>
      <c r="B794" s="18" t="s">
        <v>186</v>
      </c>
      <c r="C794" s="34"/>
      <c r="D794" s="59"/>
      <c r="E794" s="19"/>
      <c r="F794" s="59"/>
      <c r="G794" s="19"/>
      <c r="H794" s="6"/>
      <c r="I794" s="6"/>
      <c r="J794" s="6"/>
    </row>
    <row r="795" ht="14.25" customHeight="1">
      <c r="A795" s="6"/>
      <c r="B795" s="18" t="s">
        <v>186</v>
      </c>
      <c r="C795" s="34"/>
      <c r="D795" s="59"/>
      <c r="E795" s="19"/>
      <c r="F795" s="59"/>
      <c r="G795" s="19"/>
      <c r="H795" s="6"/>
      <c r="I795" s="6"/>
      <c r="J795" s="6"/>
    </row>
    <row r="796" ht="14.25" customHeight="1">
      <c r="A796" s="6"/>
      <c r="B796" s="18" t="s">
        <v>186</v>
      </c>
      <c r="C796" s="34"/>
      <c r="D796" s="59"/>
      <c r="E796" s="19"/>
      <c r="F796" s="59"/>
      <c r="G796" s="19"/>
      <c r="H796" s="6"/>
      <c r="I796" s="6"/>
      <c r="J796" s="6"/>
    </row>
    <row r="797" ht="14.25" customHeight="1">
      <c r="A797" s="6"/>
      <c r="B797" s="18" t="s">
        <v>186</v>
      </c>
      <c r="C797" s="34"/>
      <c r="D797" s="59"/>
      <c r="E797" s="19"/>
      <c r="F797" s="59"/>
      <c r="G797" s="19"/>
      <c r="H797" s="6"/>
      <c r="I797" s="6"/>
      <c r="J797" s="6"/>
    </row>
    <row r="798" ht="14.25" customHeight="1">
      <c r="A798" s="6"/>
      <c r="B798" s="18" t="s">
        <v>186</v>
      </c>
      <c r="C798" s="34"/>
      <c r="D798" s="59"/>
      <c r="E798" s="19"/>
      <c r="F798" s="59"/>
      <c r="G798" s="19"/>
      <c r="H798" s="6"/>
      <c r="I798" s="6"/>
      <c r="J798" s="6"/>
    </row>
    <row r="799" ht="14.25" customHeight="1">
      <c r="A799" s="6"/>
      <c r="B799" s="18" t="s">
        <v>186</v>
      </c>
      <c r="C799" s="34"/>
      <c r="D799" s="59"/>
      <c r="E799" s="19"/>
      <c r="F799" s="59"/>
      <c r="G799" s="19"/>
      <c r="H799" s="6"/>
      <c r="I799" s="6"/>
      <c r="J799" s="6"/>
    </row>
    <row r="800" ht="14.25" customHeight="1">
      <c r="A800" s="6"/>
      <c r="B800" s="18" t="s">
        <v>186</v>
      </c>
      <c r="C800" s="34"/>
      <c r="D800" s="59"/>
      <c r="E800" s="19"/>
      <c r="F800" s="59"/>
      <c r="G800" s="19"/>
      <c r="H800" s="6"/>
      <c r="I800" s="6"/>
      <c r="J800" s="6"/>
    </row>
    <row r="801" ht="14.25" customHeight="1">
      <c r="A801" s="6"/>
      <c r="B801" s="18" t="s">
        <v>186</v>
      </c>
      <c r="C801" s="34"/>
      <c r="D801" s="59"/>
      <c r="E801" s="19"/>
      <c r="F801" s="59"/>
      <c r="G801" s="19"/>
      <c r="H801" s="6"/>
      <c r="I801" s="6"/>
      <c r="J801" s="6"/>
    </row>
    <row r="802" ht="14.25" customHeight="1">
      <c r="A802" s="6"/>
      <c r="B802" s="18" t="s">
        <v>186</v>
      </c>
      <c r="C802" s="34"/>
      <c r="D802" s="59"/>
      <c r="E802" s="19"/>
      <c r="F802" s="59"/>
      <c r="G802" s="19"/>
      <c r="H802" s="6"/>
      <c r="I802" s="6"/>
      <c r="J802" s="6"/>
    </row>
    <row r="803" ht="14.25" customHeight="1">
      <c r="A803" s="6"/>
      <c r="B803" s="18" t="s">
        <v>186</v>
      </c>
      <c r="C803" s="34"/>
      <c r="D803" s="59"/>
      <c r="E803" s="19"/>
      <c r="F803" s="59"/>
      <c r="G803" s="19"/>
      <c r="H803" s="6"/>
      <c r="I803" s="6"/>
      <c r="J803" s="6"/>
    </row>
    <row r="804" ht="14.25" customHeight="1">
      <c r="A804" s="6"/>
      <c r="B804" s="18" t="s">
        <v>186</v>
      </c>
      <c r="C804" s="34"/>
      <c r="D804" s="59"/>
      <c r="E804" s="19"/>
      <c r="F804" s="59"/>
      <c r="G804" s="19"/>
      <c r="H804" s="6"/>
      <c r="I804" s="6"/>
      <c r="J804" s="6"/>
    </row>
    <row r="805" ht="14.25" customHeight="1">
      <c r="A805" s="6"/>
      <c r="B805" s="18" t="s">
        <v>186</v>
      </c>
      <c r="C805" s="34"/>
      <c r="D805" s="59"/>
      <c r="E805" s="19"/>
      <c r="F805" s="59"/>
      <c r="G805" s="19"/>
      <c r="H805" s="6"/>
      <c r="I805" s="6"/>
      <c r="J805" s="6"/>
    </row>
    <row r="806" ht="14.25" customHeight="1">
      <c r="A806" s="6"/>
      <c r="B806" s="18" t="s">
        <v>186</v>
      </c>
      <c r="C806" s="34"/>
      <c r="D806" s="59"/>
      <c r="E806" s="19"/>
      <c r="F806" s="59"/>
      <c r="G806" s="19"/>
      <c r="H806" s="6"/>
      <c r="I806" s="6"/>
      <c r="J806" s="6"/>
    </row>
    <row r="807" ht="14.25" customHeight="1">
      <c r="A807" s="6"/>
      <c r="B807" s="18" t="s">
        <v>186</v>
      </c>
      <c r="C807" s="34"/>
      <c r="D807" s="59"/>
      <c r="E807" s="19"/>
      <c r="F807" s="59"/>
      <c r="G807" s="19"/>
      <c r="H807" s="6"/>
      <c r="I807" s="6"/>
      <c r="J807" s="6"/>
    </row>
    <row r="808" ht="14.25" customHeight="1">
      <c r="A808" s="6"/>
      <c r="B808" s="18" t="s">
        <v>186</v>
      </c>
      <c r="C808" s="34"/>
      <c r="D808" s="59"/>
      <c r="E808" s="19"/>
      <c r="F808" s="59"/>
      <c r="G808" s="19"/>
      <c r="H808" s="6"/>
      <c r="I808" s="6"/>
      <c r="J808" s="6"/>
    </row>
    <row r="809" ht="14.25" customHeight="1">
      <c r="A809" s="6"/>
      <c r="B809" s="18" t="s">
        <v>186</v>
      </c>
      <c r="C809" s="34"/>
      <c r="D809" s="59"/>
      <c r="E809" s="19"/>
      <c r="F809" s="59"/>
      <c r="G809" s="19"/>
      <c r="H809" s="6"/>
      <c r="I809" s="6"/>
      <c r="J809" s="6"/>
    </row>
    <row r="810" ht="14.25" customHeight="1">
      <c r="A810" s="6"/>
      <c r="B810" s="18" t="s">
        <v>186</v>
      </c>
      <c r="C810" s="34"/>
      <c r="D810" s="59"/>
      <c r="E810" s="19"/>
      <c r="F810" s="59"/>
      <c r="G810" s="19"/>
      <c r="H810" s="6"/>
      <c r="I810" s="6"/>
      <c r="J810" s="6"/>
    </row>
    <row r="811" ht="14.25" customHeight="1">
      <c r="A811" s="6"/>
      <c r="B811" s="18" t="s">
        <v>186</v>
      </c>
      <c r="C811" s="34"/>
      <c r="D811" s="59"/>
      <c r="E811" s="19"/>
      <c r="F811" s="59"/>
      <c r="G811" s="19"/>
      <c r="H811" s="6"/>
      <c r="I811" s="6"/>
      <c r="J811" s="6"/>
    </row>
    <row r="812" ht="14.25" customHeight="1">
      <c r="A812" s="6"/>
      <c r="B812" s="18" t="s">
        <v>186</v>
      </c>
      <c r="C812" s="34"/>
      <c r="D812" s="59"/>
      <c r="E812" s="19"/>
      <c r="F812" s="59"/>
      <c r="G812" s="19"/>
      <c r="H812" s="6"/>
      <c r="I812" s="6"/>
      <c r="J812" s="6"/>
    </row>
    <row r="813" ht="14.25" customHeight="1">
      <c r="A813" s="6"/>
      <c r="B813" s="18" t="s">
        <v>186</v>
      </c>
      <c r="C813" s="34"/>
      <c r="D813" s="59"/>
      <c r="E813" s="19"/>
      <c r="F813" s="59"/>
      <c r="G813" s="19"/>
      <c r="H813" s="6"/>
      <c r="I813" s="6"/>
      <c r="J813" s="6"/>
    </row>
    <row r="814" ht="14.25" customHeight="1">
      <c r="A814" s="6"/>
      <c r="B814" s="18" t="s">
        <v>186</v>
      </c>
      <c r="C814" s="34"/>
      <c r="D814" s="59"/>
      <c r="E814" s="19"/>
      <c r="F814" s="59"/>
      <c r="G814" s="19"/>
      <c r="H814" s="6"/>
      <c r="I814" s="6"/>
      <c r="J814" s="6"/>
    </row>
    <row r="815" ht="14.25" customHeight="1">
      <c r="A815" s="6"/>
      <c r="B815" s="18" t="s">
        <v>186</v>
      </c>
      <c r="C815" s="34"/>
      <c r="D815" s="59"/>
      <c r="E815" s="19"/>
      <c r="F815" s="59"/>
      <c r="G815" s="19"/>
      <c r="H815" s="6"/>
      <c r="I815" s="6"/>
      <c r="J815" s="6"/>
    </row>
    <row r="816" ht="14.25" customHeight="1">
      <c r="A816" s="6"/>
      <c r="B816" s="18" t="s">
        <v>186</v>
      </c>
      <c r="C816" s="34"/>
      <c r="D816" s="59"/>
      <c r="E816" s="19"/>
      <c r="F816" s="59"/>
      <c r="G816" s="19"/>
      <c r="H816" s="6"/>
      <c r="I816" s="6"/>
      <c r="J816" s="6"/>
    </row>
    <row r="817" ht="14.25" customHeight="1">
      <c r="A817" s="6"/>
      <c r="B817" s="18" t="s">
        <v>186</v>
      </c>
      <c r="C817" s="34"/>
      <c r="D817" s="59"/>
      <c r="E817" s="19"/>
      <c r="F817" s="59"/>
      <c r="G817" s="19"/>
      <c r="H817" s="6"/>
      <c r="I817" s="6"/>
      <c r="J817" s="6"/>
    </row>
    <row r="818" ht="14.25" customHeight="1">
      <c r="A818" s="6"/>
      <c r="B818" s="18" t="s">
        <v>186</v>
      </c>
      <c r="C818" s="34"/>
      <c r="D818" s="59"/>
      <c r="E818" s="19"/>
      <c r="F818" s="59"/>
      <c r="G818" s="19"/>
      <c r="H818" s="6"/>
      <c r="I818" s="6"/>
      <c r="J818" s="6"/>
    </row>
    <row r="819" ht="14.25" customHeight="1">
      <c r="A819" s="6"/>
      <c r="B819" s="18" t="s">
        <v>186</v>
      </c>
      <c r="C819" s="34"/>
      <c r="D819" s="59"/>
      <c r="E819" s="19"/>
      <c r="F819" s="59"/>
      <c r="G819" s="19"/>
      <c r="H819" s="6"/>
      <c r="I819" s="6"/>
      <c r="J819" s="6"/>
    </row>
    <row r="820" ht="14.25" customHeight="1">
      <c r="A820" s="6"/>
      <c r="B820" s="18" t="s">
        <v>186</v>
      </c>
      <c r="C820" s="34"/>
      <c r="D820" s="59"/>
      <c r="E820" s="19"/>
      <c r="F820" s="59"/>
      <c r="G820" s="19"/>
      <c r="H820" s="6"/>
      <c r="I820" s="6"/>
      <c r="J820" s="6"/>
    </row>
    <row r="821" ht="14.25" customHeight="1">
      <c r="A821" s="6"/>
      <c r="B821" s="18" t="s">
        <v>186</v>
      </c>
      <c r="C821" s="34"/>
      <c r="D821" s="59"/>
      <c r="E821" s="19"/>
      <c r="F821" s="59"/>
      <c r="G821" s="19"/>
      <c r="H821" s="6"/>
      <c r="I821" s="6"/>
      <c r="J821" s="6"/>
    </row>
    <row r="822" ht="14.25" customHeight="1">
      <c r="A822" s="6"/>
      <c r="B822" s="18" t="s">
        <v>186</v>
      </c>
      <c r="C822" s="34"/>
      <c r="D822" s="59"/>
      <c r="E822" s="19"/>
      <c r="F822" s="59"/>
      <c r="G822" s="19"/>
      <c r="H822" s="6"/>
      <c r="I822" s="6"/>
      <c r="J822" s="6"/>
    </row>
    <row r="823" ht="14.25" customHeight="1">
      <c r="A823" s="6"/>
      <c r="B823" s="18" t="s">
        <v>186</v>
      </c>
      <c r="C823" s="34"/>
      <c r="D823" s="59"/>
      <c r="E823" s="19"/>
      <c r="F823" s="59"/>
      <c r="G823" s="19"/>
      <c r="H823" s="6"/>
      <c r="I823" s="6"/>
      <c r="J823" s="6"/>
    </row>
    <row r="824" ht="14.25" customHeight="1">
      <c r="A824" s="6"/>
      <c r="B824" s="18" t="s">
        <v>186</v>
      </c>
      <c r="C824" s="34"/>
      <c r="D824" s="59"/>
      <c r="E824" s="19"/>
      <c r="F824" s="59"/>
      <c r="G824" s="19"/>
      <c r="H824" s="6"/>
      <c r="I824" s="6"/>
      <c r="J824" s="6"/>
    </row>
    <row r="825" ht="14.25" customHeight="1">
      <c r="A825" s="6"/>
      <c r="B825" s="18" t="s">
        <v>186</v>
      </c>
      <c r="C825" s="34"/>
      <c r="D825" s="59"/>
      <c r="E825" s="19"/>
      <c r="F825" s="59"/>
      <c r="G825" s="19"/>
      <c r="H825" s="6"/>
      <c r="I825" s="6"/>
      <c r="J825" s="6"/>
    </row>
    <row r="826" ht="14.25" customHeight="1">
      <c r="A826" s="6"/>
      <c r="B826" s="18" t="s">
        <v>186</v>
      </c>
      <c r="C826" s="34"/>
      <c r="D826" s="59"/>
      <c r="E826" s="19"/>
      <c r="F826" s="59"/>
      <c r="G826" s="19"/>
      <c r="H826" s="6"/>
      <c r="I826" s="6"/>
      <c r="J826" s="6"/>
    </row>
    <row r="827" ht="14.25" customHeight="1">
      <c r="A827" s="6"/>
      <c r="B827" s="18" t="s">
        <v>186</v>
      </c>
      <c r="C827" s="34"/>
      <c r="D827" s="59"/>
      <c r="E827" s="19"/>
      <c r="F827" s="59"/>
      <c r="G827" s="19"/>
      <c r="H827" s="6"/>
      <c r="I827" s="6"/>
      <c r="J827" s="6"/>
    </row>
    <row r="828" ht="14.25" customHeight="1">
      <c r="A828" s="6"/>
      <c r="B828" s="18" t="s">
        <v>186</v>
      </c>
      <c r="C828" s="34"/>
      <c r="D828" s="59"/>
      <c r="E828" s="19"/>
      <c r="F828" s="59"/>
      <c r="G828" s="19"/>
      <c r="H828" s="6"/>
      <c r="I828" s="6"/>
      <c r="J828" s="6"/>
    </row>
    <row r="829" ht="14.25" customHeight="1">
      <c r="A829" s="6"/>
      <c r="B829" s="18" t="s">
        <v>186</v>
      </c>
      <c r="C829" s="34"/>
      <c r="D829" s="59"/>
      <c r="E829" s="19"/>
      <c r="F829" s="59"/>
      <c r="G829" s="19"/>
      <c r="H829" s="6"/>
      <c r="I829" s="6"/>
      <c r="J829" s="6"/>
    </row>
    <row r="830" ht="14.25" customHeight="1">
      <c r="A830" s="6"/>
      <c r="B830" s="18" t="s">
        <v>186</v>
      </c>
      <c r="C830" s="34"/>
      <c r="D830" s="59"/>
      <c r="E830" s="19"/>
      <c r="F830" s="59"/>
      <c r="G830" s="19"/>
      <c r="H830" s="6"/>
      <c r="I830" s="6"/>
      <c r="J830" s="6"/>
    </row>
    <row r="831" ht="14.25" customHeight="1">
      <c r="A831" s="6"/>
      <c r="B831" s="18" t="s">
        <v>186</v>
      </c>
      <c r="C831" s="34"/>
      <c r="D831" s="59"/>
      <c r="E831" s="19"/>
      <c r="F831" s="59"/>
      <c r="G831" s="19"/>
      <c r="H831" s="6"/>
      <c r="I831" s="6"/>
      <c r="J831" s="6"/>
    </row>
    <row r="832" ht="14.25" customHeight="1">
      <c r="A832" s="6"/>
      <c r="B832" s="18" t="s">
        <v>186</v>
      </c>
      <c r="C832" s="34"/>
      <c r="D832" s="59"/>
      <c r="E832" s="19"/>
      <c r="F832" s="59"/>
      <c r="G832" s="19"/>
      <c r="H832" s="6"/>
      <c r="I832" s="6"/>
      <c r="J832" s="6"/>
    </row>
    <row r="833" ht="14.25" customHeight="1">
      <c r="A833" s="6"/>
      <c r="B833" s="18" t="s">
        <v>186</v>
      </c>
      <c r="C833" s="34"/>
      <c r="D833" s="59"/>
      <c r="E833" s="19"/>
      <c r="F833" s="59"/>
      <c r="G833" s="19"/>
      <c r="H833" s="6"/>
      <c r="I833" s="6"/>
      <c r="J833" s="6"/>
    </row>
    <row r="834" ht="14.25" customHeight="1">
      <c r="A834" s="6"/>
      <c r="B834" s="18" t="s">
        <v>186</v>
      </c>
      <c r="C834" s="34"/>
      <c r="D834" s="59"/>
      <c r="E834" s="19"/>
      <c r="F834" s="59"/>
      <c r="G834" s="19"/>
      <c r="H834" s="6"/>
      <c r="I834" s="6"/>
      <c r="J834" s="6"/>
    </row>
    <row r="835" ht="14.25" customHeight="1">
      <c r="A835" s="6"/>
      <c r="B835" s="18" t="s">
        <v>186</v>
      </c>
      <c r="C835" s="34"/>
      <c r="D835" s="59"/>
      <c r="E835" s="19"/>
      <c r="F835" s="59"/>
      <c r="G835" s="19"/>
      <c r="H835" s="6"/>
      <c r="I835" s="6"/>
      <c r="J835" s="6"/>
    </row>
    <row r="836" ht="14.25" customHeight="1">
      <c r="A836" s="6"/>
      <c r="B836" s="18" t="s">
        <v>186</v>
      </c>
      <c r="C836" s="34"/>
      <c r="D836" s="59"/>
      <c r="E836" s="19"/>
      <c r="F836" s="59"/>
      <c r="G836" s="19"/>
      <c r="H836" s="6"/>
      <c r="I836" s="6"/>
      <c r="J836" s="6"/>
    </row>
    <row r="837" ht="14.25" customHeight="1">
      <c r="A837" s="6"/>
      <c r="B837" s="18" t="s">
        <v>186</v>
      </c>
      <c r="C837" s="34"/>
      <c r="D837" s="59"/>
      <c r="E837" s="19"/>
      <c r="F837" s="59"/>
      <c r="G837" s="19"/>
      <c r="H837" s="6"/>
      <c r="I837" s="6"/>
      <c r="J837" s="6"/>
    </row>
    <row r="838" ht="14.25" customHeight="1">
      <c r="A838" s="6"/>
      <c r="B838" s="18" t="s">
        <v>186</v>
      </c>
      <c r="C838" s="34"/>
      <c r="D838" s="59"/>
      <c r="E838" s="19"/>
      <c r="F838" s="59"/>
      <c r="G838" s="19"/>
      <c r="H838" s="6"/>
      <c r="I838" s="6"/>
      <c r="J838" s="6"/>
    </row>
    <row r="839" ht="14.25" customHeight="1">
      <c r="A839" s="6"/>
      <c r="B839" s="18" t="s">
        <v>186</v>
      </c>
      <c r="C839" s="34"/>
      <c r="D839" s="59"/>
      <c r="E839" s="19"/>
      <c r="F839" s="59"/>
      <c r="G839" s="19"/>
      <c r="H839" s="6"/>
      <c r="I839" s="6"/>
      <c r="J839" s="6"/>
    </row>
    <row r="840" ht="14.25" customHeight="1">
      <c r="A840" s="6"/>
      <c r="B840" s="18" t="s">
        <v>186</v>
      </c>
      <c r="C840" s="34"/>
      <c r="D840" s="59"/>
      <c r="E840" s="19"/>
      <c r="F840" s="59"/>
      <c r="G840" s="19"/>
      <c r="H840" s="6"/>
      <c r="I840" s="6"/>
      <c r="J840" s="6"/>
    </row>
    <row r="841" ht="14.25" customHeight="1">
      <c r="A841" s="6"/>
      <c r="B841" s="18" t="s">
        <v>186</v>
      </c>
      <c r="C841" s="34"/>
      <c r="D841" s="59"/>
      <c r="E841" s="19"/>
      <c r="F841" s="59"/>
      <c r="G841" s="19"/>
      <c r="H841" s="6"/>
      <c r="I841" s="6"/>
      <c r="J841" s="6"/>
    </row>
    <row r="842" ht="14.25" customHeight="1">
      <c r="A842" s="6"/>
      <c r="B842" s="18" t="s">
        <v>186</v>
      </c>
      <c r="C842" s="34"/>
      <c r="D842" s="59"/>
      <c r="E842" s="19"/>
      <c r="F842" s="59"/>
      <c r="G842" s="19"/>
      <c r="H842" s="6"/>
      <c r="I842" s="6"/>
      <c r="J842" s="6"/>
    </row>
    <row r="843" ht="14.25" customHeight="1">
      <c r="A843" s="6"/>
      <c r="B843" s="18" t="s">
        <v>186</v>
      </c>
      <c r="C843" s="34"/>
      <c r="D843" s="59"/>
      <c r="E843" s="19"/>
      <c r="F843" s="59"/>
      <c r="G843" s="19"/>
      <c r="H843" s="6"/>
      <c r="I843" s="6"/>
      <c r="J843" s="6"/>
    </row>
    <row r="844" ht="14.25" customHeight="1">
      <c r="A844" s="6"/>
      <c r="B844" s="18" t="s">
        <v>186</v>
      </c>
      <c r="C844" s="34"/>
      <c r="D844" s="59"/>
      <c r="E844" s="19"/>
      <c r="F844" s="59"/>
      <c r="G844" s="19"/>
      <c r="H844" s="6"/>
      <c r="I844" s="6"/>
      <c r="J844" s="6"/>
    </row>
    <row r="845" ht="14.25" customHeight="1">
      <c r="A845" s="6"/>
      <c r="B845" s="18" t="s">
        <v>186</v>
      </c>
      <c r="C845" s="34"/>
      <c r="D845" s="59"/>
      <c r="E845" s="19"/>
      <c r="F845" s="59"/>
      <c r="G845" s="19"/>
      <c r="H845" s="6"/>
      <c r="I845" s="6"/>
      <c r="J845" s="6"/>
    </row>
    <row r="846" ht="14.25" customHeight="1">
      <c r="A846" s="6"/>
      <c r="B846" s="18" t="s">
        <v>186</v>
      </c>
      <c r="C846" s="34"/>
      <c r="D846" s="59"/>
      <c r="E846" s="19"/>
      <c r="F846" s="59"/>
      <c r="G846" s="19"/>
      <c r="H846" s="6"/>
      <c r="I846" s="6"/>
      <c r="J846" s="6"/>
    </row>
    <row r="847" ht="14.25" customHeight="1">
      <c r="A847" s="6"/>
      <c r="B847" s="18" t="s">
        <v>186</v>
      </c>
      <c r="C847" s="34"/>
      <c r="D847" s="59"/>
      <c r="E847" s="19"/>
      <c r="F847" s="59"/>
      <c r="G847" s="19"/>
      <c r="H847" s="6"/>
      <c r="I847" s="6"/>
      <c r="J847" s="6"/>
    </row>
    <row r="848" ht="14.25" customHeight="1">
      <c r="A848" s="6"/>
      <c r="B848" s="18" t="s">
        <v>186</v>
      </c>
      <c r="C848" s="34"/>
      <c r="D848" s="59"/>
      <c r="E848" s="19"/>
      <c r="F848" s="59"/>
      <c r="G848" s="19"/>
      <c r="H848" s="6"/>
      <c r="I848" s="6"/>
      <c r="J848" s="6"/>
    </row>
    <row r="849" ht="14.25" customHeight="1">
      <c r="A849" s="6"/>
      <c r="B849" s="18" t="s">
        <v>186</v>
      </c>
      <c r="C849" s="34"/>
      <c r="D849" s="59"/>
      <c r="E849" s="19"/>
      <c r="F849" s="59"/>
      <c r="G849" s="19"/>
      <c r="H849" s="6"/>
      <c r="I849" s="6"/>
      <c r="J849" s="6"/>
    </row>
    <row r="850" ht="14.25" customHeight="1">
      <c r="A850" s="6"/>
      <c r="B850" s="18" t="s">
        <v>186</v>
      </c>
      <c r="C850" s="34"/>
      <c r="D850" s="59"/>
      <c r="E850" s="19"/>
      <c r="F850" s="59"/>
      <c r="G850" s="19"/>
      <c r="H850" s="6"/>
      <c r="I850" s="6"/>
      <c r="J850" s="6"/>
    </row>
    <row r="851" ht="14.25" customHeight="1">
      <c r="A851" s="6"/>
      <c r="B851" s="18" t="s">
        <v>186</v>
      </c>
      <c r="C851" s="34"/>
      <c r="D851" s="59"/>
      <c r="E851" s="19"/>
      <c r="F851" s="59"/>
      <c r="G851" s="19"/>
      <c r="H851" s="6"/>
      <c r="I851" s="6"/>
      <c r="J851" s="6"/>
    </row>
    <row r="852" ht="14.25" customHeight="1">
      <c r="A852" s="6"/>
      <c r="B852" s="18" t="s">
        <v>186</v>
      </c>
      <c r="C852" s="34"/>
      <c r="D852" s="59"/>
      <c r="E852" s="19"/>
      <c r="F852" s="59"/>
      <c r="G852" s="19"/>
      <c r="H852" s="6"/>
      <c r="I852" s="6"/>
      <c r="J852" s="6"/>
    </row>
    <row r="853" ht="14.25" customHeight="1">
      <c r="A853" s="6"/>
      <c r="B853" s="18" t="s">
        <v>186</v>
      </c>
      <c r="C853" s="34"/>
      <c r="D853" s="59"/>
      <c r="E853" s="19"/>
      <c r="F853" s="59"/>
      <c r="G853" s="19"/>
      <c r="H853" s="6"/>
      <c r="I853" s="6"/>
      <c r="J853" s="6"/>
    </row>
    <row r="854" ht="14.25" customHeight="1">
      <c r="A854" s="6"/>
      <c r="B854" s="18" t="s">
        <v>186</v>
      </c>
      <c r="C854" s="34"/>
      <c r="D854" s="59"/>
      <c r="E854" s="19"/>
      <c r="F854" s="59"/>
      <c r="G854" s="19"/>
      <c r="H854" s="6"/>
      <c r="I854" s="6"/>
      <c r="J854" s="6"/>
    </row>
    <row r="855" ht="14.25" customHeight="1">
      <c r="A855" s="6"/>
      <c r="B855" s="18" t="s">
        <v>186</v>
      </c>
      <c r="C855" s="34"/>
      <c r="D855" s="59"/>
      <c r="E855" s="19"/>
      <c r="F855" s="59"/>
      <c r="G855" s="19"/>
      <c r="H855" s="6"/>
      <c r="I855" s="6"/>
      <c r="J855" s="6"/>
    </row>
    <row r="856" ht="14.25" customHeight="1">
      <c r="A856" s="6"/>
      <c r="B856" s="18" t="s">
        <v>186</v>
      </c>
      <c r="C856" s="34"/>
      <c r="D856" s="59"/>
      <c r="E856" s="19"/>
      <c r="F856" s="59"/>
      <c r="G856" s="19"/>
      <c r="H856" s="6"/>
      <c r="I856" s="6"/>
      <c r="J856" s="6"/>
    </row>
    <row r="857" ht="14.25" customHeight="1">
      <c r="A857" s="6"/>
      <c r="B857" s="18" t="s">
        <v>186</v>
      </c>
      <c r="C857" s="34"/>
      <c r="D857" s="59"/>
      <c r="E857" s="19"/>
      <c r="F857" s="59"/>
      <c r="G857" s="19"/>
      <c r="H857" s="6"/>
      <c r="I857" s="6"/>
      <c r="J857" s="6"/>
    </row>
    <row r="858" ht="14.25" customHeight="1">
      <c r="A858" s="6"/>
      <c r="B858" s="18" t="s">
        <v>186</v>
      </c>
      <c r="C858" s="34"/>
      <c r="D858" s="59"/>
      <c r="E858" s="19"/>
      <c r="F858" s="59"/>
      <c r="G858" s="19"/>
      <c r="H858" s="6"/>
      <c r="I858" s="6"/>
      <c r="J858" s="6"/>
    </row>
    <row r="859" ht="14.25" customHeight="1">
      <c r="A859" s="6"/>
      <c r="B859" s="18" t="s">
        <v>186</v>
      </c>
      <c r="C859" s="34"/>
      <c r="D859" s="59"/>
      <c r="E859" s="19"/>
      <c r="F859" s="59"/>
      <c r="G859" s="19"/>
      <c r="H859" s="6"/>
      <c r="I859" s="6"/>
      <c r="J859" s="6"/>
    </row>
    <row r="860" ht="14.25" customHeight="1">
      <c r="A860" s="6"/>
      <c r="B860" s="18" t="s">
        <v>186</v>
      </c>
      <c r="C860" s="34"/>
      <c r="D860" s="59"/>
      <c r="E860" s="19"/>
      <c r="F860" s="59"/>
      <c r="G860" s="19"/>
      <c r="H860" s="6"/>
      <c r="I860" s="6"/>
      <c r="J860" s="6"/>
    </row>
    <row r="861" ht="14.25" customHeight="1">
      <c r="A861" s="6"/>
      <c r="B861" s="18" t="s">
        <v>186</v>
      </c>
      <c r="C861" s="34"/>
      <c r="D861" s="59"/>
      <c r="E861" s="19"/>
      <c r="F861" s="59"/>
      <c r="G861" s="19"/>
      <c r="H861" s="6"/>
      <c r="I861" s="6"/>
      <c r="J861" s="6"/>
    </row>
    <row r="862" ht="14.25" customHeight="1">
      <c r="A862" s="6"/>
      <c r="B862" s="18" t="s">
        <v>186</v>
      </c>
      <c r="C862" s="34"/>
      <c r="D862" s="59"/>
      <c r="E862" s="19"/>
      <c r="F862" s="59"/>
      <c r="G862" s="19"/>
      <c r="H862" s="6"/>
      <c r="I862" s="6"/>
      <c r="J862" s="6"/>
    </row>
    <row r="863" ht="14.25" customHeight="1">
      <c r="A863" s="6"/>
      <c r="B863" s="18" t="s">
        <v>186</v>
      </c>
      <c r="C863" s="34"/>
      <c r="D863" s="59"/>
      <c r="E863" s="19"/>
      <c r="F863" s="59"/>
      <c r="G863" s="19"/>
      <c r="H863" s="6"/>
      <c r="I863" s="6"/>
      <c r="J863" s="6"/>
    </row>
    <row r="864" ht="14.25" customHeight="1">
      <c r="A864" s="6"/>
      <c r="B864" s="18" t="s">
        <v>186</v>
      </c>
      <c r="C864" s="34"/>
      <c r="D864" s="59"/>
      <c r="E864" s="19"/>
      <c r="F864" s="59"/>
      <c r="G864" s="19"/>
      <c r="H864" s="6"/>
      <c r="I864" s="6"/>
      <c r="J864" s="6"/>
    </row>
    <row r="865" ht="14.25" customHeight="1">
      <c r="A865" s="6"/>
      <c r="B865" s="18" t="s">
        <v>186</v>
      </c>
      <c r="C865" s="34"/>
      <c r="D865" s="59"/>
      <c r="E865" s="19"/>
      <c r="F865" s="59"/>
      <c r="G865" s="19"/>
      <c r="H865" s="6"/>
      <c r="I865" s="6"/>
      <c r="J865" s="6"/>
    </row>
    <row r="866" ht="14.25" customHeight="1">
      <c r="A866" s="6"/>
      <c r="B866" s="18" t="s">
        <v>186</v>
      </c>
      <c r="C866" s="34"/>
      <c r="D866" s="59"/>
      <c r="E866" s="19"/>
      <c r="F866" s="59"/>
      <c r="G866" s="19"/>
      <c r="H866" s="6"/>
      <c r="I866" s="6"/>
      <c r="J866" s="6"/>
    </row>
    <row r="867" ht="14.25" customHeight="1">
      <c r="A867" s="6"/>
      <c r="B867" s="18" t="s">
        <v>186</v>
      </c>
      <c r="C867" s="34"/>
      <c r="D867" s="59"/>
      <c r="E867" s="19"/>
      <c r="F867" s="59"/>
      <c r="G867" s="19"/>
      <c r="H867" s="6"/>
      <c r="I867" s="6"/>
      <c r="J867" s="6"/>
    </row>
    <row r="868" ht="14.25" customHeight="1">
      <c r="A868" s="6"/>
      <c r="B868" s="18" t="s">
        <v>186</v>
      </c>
      <c r="C868" s="34"/>
      <c r="D868" s="59"/>
      <c r="E868" s="19"/>
      <c r="F868" s="59"/>
      <c r="G868" s="19"/>
      <c r="H868" s="6"/>
      <c r="I868" s="6"/>
      <c r="J868" s="6"/>
    </row>
    <row r="869" ht="14.25" customHeight="1">
      <c r="A869" s="6"/>
      <c r="B869" s="18" t="s">
        <v>186</v>
      </c>
      <c r="C869" s="34"/>
      <c r="D869" s="59"/>
      <c r="E869" s="19"/>
      <c r="F869" s="59"/>
      <c r="G869" s="19"/>
      <c r="H869" s="6"/>
      <c r="I869" s="6"/>
      <c r="J869" s="6"/>
    </row>
    <row r="870" ht="14.25" customHeight="1">
      <c r="A870" s="6"/>
      <c r="B870" s="18" t="s">
        <v>186</v>
      </c>
      <c r="C870" s="34"/>
      <c r="D870" s="59"/>
      <c r="E870" s="19"/>
      <c r="F870" s="59"/>
      <c r="G870" s="19"/>
      <c r="H870" s="6"/>
      <c r="I870" s="6"/>
      <c r="J870" s="6"/>
    </row>
    <row r="871" ht="14.25" customHeight="1">
      <c r="A871" s="6"/>
      <c r="B871" s="18" t="s">
        <v>186</v>
      </c>
      <c r="C871" s="34"/>
      <c r="D871" s="59"/>
      <c r="E871" s="19"/>
      <c r="F871" s="59"/>
      <c r="G871" s="19"/>
      <c r="H871" s="6"/>
      <c r="I871" s="6"/>
      <c r="J871" s="6"/>
    </row>
    <row r="872" ht="14.25" customHeight="1">
      <c r="A872" s="6"/>
      <c r="B872" s="18" t="s">
        <v>186</v>
      </c>
      <c r="C872" s="34"/>
      <c r="D872" s="59"/>
      <c r="E872" s="19"/>
      <c r="F872" s="59"/>
      <c r="G872" s="19"/>
      <c r="H872" s="6"/>
      <c r="I872" s="6"/>
      <c r="J872" s="6"/>
    </row>
    <row r="873" ht="14.25" customHeight="1">
      <c r="A873" s="6"/>
      <c r="B873" s="18" t="s">
        <v>186</v>
      </c>
      <c r="C873" s="34"/>
      <c r="D873" s="59"/>
      <c r="E873" s="19"/>
      <c r="F873" s="59"/>
      <c r="G873" s="19"/>
      <c r="H873" s="6"/>
      <c r="I873" s="6"/>
      <c r="J873" s="6"/>
    </row>
    <row r="874" ht="14.25" customHeight="1">
      <c r="A874" s="6"/>
      <c r="B874" s="18" t="s">
        <v>186</v>
      </c>
      <c r="C874" s="34"/>
      <c r="D874" s="59"/>
      <c r="E874" s="19"/>
      <c r="F874" s="59"/>
      <c r="G874" s="19"/>
      <c r="H874" s="6"/>
      <c r="I874" s="6"/>
      <c r="J874" s="6"/>
    </row>
    <row r="875" ht="14.25" customHeight="1">
      <c r="A875" s="6"/>
      <c r="B875" s="18" t="s">
        <v>186</v>
      </c>
      <c r="C875" s="34"/>
      <c r="D875" s="59"/>
      <c r="E875" s="19"/>
      <c r="F875" s="59"/>
      <c r="G875" s="19"/>
      <c r="H875" s="6"/>
      <c r="I875" s="6"/>
      <c r="J875" s="6"/>
    </row>
    <row r="876" ht="14.25" customHeight="1">
      <c r="A876" s="6"/>
      <c r="B876" s="18" t="s">
        <v>186</v>
      </c>
      <c r="C876" s="34"/>
      <c r="D876" s="59"/>
      <c r="E876" s="19"/>
      <c r="F876" s="59"/>
      <c r="G876" s="19"/>
      <c r="H876" s="6"/>
      <c r="I876" s="6"/>
      <c r="J876" s="6"/>
    </row>
    <row r="877" ht="14.25" customHeight="1">
      <c r="A877" s="6"/>
      <c r="B877" s="18" t="s">
        <v>186</v>
      </c>
      <c r="C877" s="34"/>
      <c r="D877" s="59"/>
      <c r="E877" s="19"/>
      <c r="F877" s="59"/>
      <c r="G877" s="19"/>
      <c r="H877" s="6"/>
      <c r="I877" s="6"/>
      <c r="J877" s="6"/>
    </row>
    <row r="878" ht="14.25" customHeight="1">
      <c r="A878" s="6"/>
      <c r="B878" s="18" t="s">
        <v>186</v>
      </c>
      <c r="C878" s="34"/>
      <c r="D878" s="59"/>
      <c r="E878" s="19"/>
      <c r="F878" s="59"/>
      <c r="G878" s="19"/>
      <c r="H878" s="6"/>
      <c r="I878" s="6"/>
      <c r="J878" s="6"/>
    </row>
    <row r="879" ht="14.25" customHeight="1">
      <c r="A879" s="6"/>
      <c r="B879" s="18" t="s">
        <v>186</v>
      </c>
      <c r="C879" s="34"/>
      <c r="D879" s="59"/>
      <c r="E879" s="19"/>
      <c r="F879" s="59"/>
      <c r="G879" s="19"/>
      <c r="H879" s="6"/>
      <c r="I879" s="6"/>
      <c r="J879" s="6"/>
    </row>
    <row r="880" ht="14.25" customHeight="1">
      <c r="A880" s="6"/>
      <c r="B880" s="18" t="s">
        <v>186</v>
      </c>
      <c r="C880" s="34"/>
      <c r="D880" s="59"/>
      <c r="E880" s="19"/>
      <c r="F880" s="59"/>
      <c r="G880" s="19"/>
      <c r="H880" s="6"/>
      <c r="I880" s="6"/>
      <c r="J880" s="6"/>
    </row>
    <row r="881" ht="14.25" customHeight="1">
      <c r="A881" s="6"/>
      <c r="B881" s="18" t="s">
        <v>186</v>
      </c>
      <c r="C881" s="34"/>
      <c r="D881" s="59"/>
      <c r="E881" s="19"/>
      <c r="F881" s="59"/>
      <c r="G881" s="19"/>
      <c r="H881" s="6"/>
      <c r="I881" s="6"/>
      <c r="J881" s="6"/>
    </row>
    <row r="882" ht="14.25" customHeight="1">
      <c r="A882" s="6"/>
      <c r="B882" s="18" t="s">
        <v>186</v>
      </c>
      <c r="C882" s="34"/>
      <c r="D882" s="59"/>
      <c r="E882" s="19"/>
      <c r="F882" s="59"/>
      <c r="G882" s="19"/>
      <c r="H882" s="6"/>
      <c r="I882" s="6"/>
      <c r="J882" s="6"/>
    </row>
    <row r="883" ht="14.25" customHeight="1">
      <c r="A883" s="6"/>
      <c r="B883" s="18" t="s">
        <v>186</v>
      </c>
      <c r="C883" s="34"/>
      <c r="D883" s="59"/>
      <c r="E883" s="19"/>
      <c r="F883" s="59"/>
      <c r="G883" s="19"/>
      <c r="H883" s="6"/>
      <c r="I883" s="6"/>
      <c r="J883" s="6"/>
    </row>
    <row r="884" ht="14.25" customHeight="1">
      <c r="A884" s="6"/>
      <c r="B884" s="18" t="s">
        <v>186</v>
      </c>
      <c r="C884" s="34"/>
      <c r="D884" s="59"/>
      <c r="E884" s="19"/>
      <c r="F884" s="59"/>
      <c r="G884" s="19"/>
      <c r="H884" s="6"/>
      <c r="I884" s="6"/>
      <c r="J884" s="6"/>
    </row>
    <row r="885" ht="14.25" customHeight="1">
      <c r="A885" s="6"/>
      <c r="B885" s="18" t="s">
        <v>186</v>
      </c>
      <c r="C885" s="34"/>
      <c r="D885" s="59"/>
      <c r="E885" s="19"/>
      <c r="F885" s="59"/>
      <c r="G885" s="19"/>
      <c r="H885" s="6"/>
      <c r="I885" s="6"/>
      <c r="J885" s="6"/>
    </row>
    <row r="886" ht="14.25" customHeight="1">
      <c r="A886" s="6"/>
      <c r="B886" s="18" t="s">
        <v>186</v>
      </c>
      <c r="C886" s="34"/>
      <c r="D886" s="59"/>
      <c r="E886" s="19"/>
      <c r="F886" s="59"/>
      <c r="G886" s="19"/>
      <c r="H886" s="6"/>
      <c r="I886" s="6"/>
      <c r="J886" s="6"/>
    </row>
    <row r="887" ht="14.25" customHeight="1">
      <c r="A887" s="6"/>
      <c r="B887" s="18" t="s">
        <v>186</v>
      </c>
      <c r="C887" s="34"/>
      <c r="D887" s="59"/>
      <c r="E887" s="19"/>
      <c r="F887" s="59"/>
      <c r="G887" s="19"/>
      <c r="H887" s="6"/>
      <c r="I887" s="6"/>
      <c r="J887" s="6"/>
    </row>
    <row r="888" ht="14.25" customHeight="1">
      <c r="A888" s="6"/>
      <c r="B888" s="18" t="s">
        <v>186</v>
      </c>
      <c r="C888" s="34"/>
      <c r="D888" s="59"/>
      <c r="E888" s="19"/>
      <c r="F888" s="59"/>
      <c r="G888" s="19"/>
      <c r="H888" s="6"/>
      <c r="I888" s="6"/>
      <c r="J888" s="6"/>
    </row>
    <row r="889" ht="14.25" customHeight="1">
      <c r="A889" s="6"/>
      <c r="B889" s="18" t="s">
        <v>186</v>
      </c>
      <c r="C889" s="34"/>
      <c r="D889" s="59"/>
      <c r="E889" s="19"/>
      <c r="F889" s="59"/>
      <c r="G889" s="19"/>
      <c r="H889" s="6"/>
      <c r="I889" s="6"/>
      <c r="J889" s="6"/>
    </row>
    <row r="890" ht="14.25" customHeight="1">
      <c r="A890" s="6"/>
      <c r="B890" s="18" t="s">
        <v>186</v>
      </c>
      <c r="C890" s="34"/>
      <c r="D890" s="59"/>
      <c r="E890" s="19"/>
      <c r="F890" s="59"/>
      <c r="G890" s="19"/>
      <c r="H890" s="6"/>
      <c r="I890" s="6"/>
      <c r="J890" s="6"/>
    </row>
    <row r="891" ht="14.25" customHeight="1">
      <c r="A891" s="6"/>
      <c r="B891" s="18" t="s">
        <v>186</v>
      </c>
      <c r="C891" s="34"/>
      <c r="D891" s="59"/>
      <c r="E891" s="19"/>
      <c r="F891" s="59"/>
      <c r="G891" s="19"/>
      <c r="H891" s="6"/>
      <c r="I891" s="6"/>
      <c r="J891" s="6"/>
    </row>
    <row r="892" ht="14.25" customHeight="1">
      <c r="A892" s="6"/>
      <c r="B892" s="18" t="s">
        <v>186</v>
      </c>
      <c r="C892" s="34"/>
      <c r="D892" s="59"/>
      <c r="E892" s="19"/>
      <c r="F892" s="59"/>
      <c r="G892" s="19"/>
      <c r="H892" s="6"/>
      <c r="I892" s="6"/>
      <c r="J892" s="6"/>
    </row>
    <row r="893" ht="14.25" customHeight="1">
      <c r="A893" s="6"/>
      <c r="B893" s="18" t="s">
        <v>186</v>
      </c>
      <c r="C893" s="34"/>
      <c r="D893" s="59"/>
      <c r="E893" s="19"/>
      <c r="F893" s="59"/>
      <c r="G893" s="19"/>
      <c r="H893" s="6"/>
      <c r="I893" s="6"/>
      <c r="J893" s="6"/>
    </row>
    <row r="894" ht="14.25" customHeight="1">
      <c r="A894" s="6"/>
      <c r="B894" s="18" t="s">
        <v>186</v>
      </c>
      <c r="C894" s="34"/>
      <c r="D894" s="59"/>
      <c r="E894" s="19"/>
      <c r="F894" s="59"/>
      <c r="G894" s="19"/>
      <c r="H894" s="6"/>
      <c r="I894" s="6"/>
      <c r="J894" s="6"/>
    </row>
    <row r="895" ht="14.25" customHeight="1">
      <c r="A895" s="6"/>
      <c r="B895" s="18" t="s">
        <v>186</v>
      </c>
      <c r="C895" s="34"/>
      <c r="D895" s="59"/>
      <c r="E895" s="19"/>
      <c r="F895" s="59"/>
      <c r="G895" s="19"/>
      <c r="H895" s="6"/>
      <c r="I895" s="6"/>
      <c r="J895" s="6"/>
    </row>
    <row r="896" ht="14.25" customHeight="1">
      <c r="A896" s="6"/>
      <c r="B896" s="18" t="s">
        <v>186</v>
      </c>
      <c r="C896" s="34"/>
      <c r="D896" s="59"/>
      <c r="E896" s="19"/>
      <c r="F896" s="59"/>
      <c r="G896" s="19"/>
      <c r="H896" s="6"/>
      <c r="I896" s="6"/>
      <c r="J896" s="6"/>
    </row>
    <row r="897" ht="14.25" customHeight="1">
      <c r="A897" s="6"/>
      <c r="B897" s="18" t="s">
        <v>186</v>
      </c>
      <c r="C897" s="34"/>
      <c r="D897" s="59"/>
      <c r="E897" s="19"/>
      <c r="F897" s="59"/>
      <c r="G897" s="19"/>
      <c r="H897" s="6"/>
      <c r="I897" s="6"/>
      <c r="J897" s="6"/>
    </row>
    <row r="898" ht="14.25" customHeight="1">
      <c r="A898" s="6"/>
      <c r="B898" s="18" t="s">
        <v>186</v>
      </c>
      <c r="C898" s="34"/>
      <c r="D898" s="59"/>
      <c r="E898" s="19"/>
      <c r="F898" s="59"/>
      <c r="G898" s="19"/>
      <c r="H898" s="6"/>
      <c r="I898" s="6"/>
      <c r="J898" s="6"/>
    </row>
    <row r="899" ht="14.25" customHeight="1">
      <c r="A899" s="6"/>
      <c r="B899" s="18" t="s">
        <v>186</v>
      </c>
      <c r="C899" s="34"/>
      <c r="D899" s="59"/>
      <c r="E899" s="19"/>
      <c r="F899" s="59"/>
      <c r="G899" s="19"/>
      <c r="H899" s="6"/>
      <c r="I899" s="6"/>
      <c r="J899" s="6"/>
    </row>
    <row r="900" ht="14.25" customHeight="1">
      <c r="A900" s="6"/>
      <c r="B900" s="18" t="s">
        <v>186</v>
      </c>
      <c r="C900" s="34"/>
      <c r="D900" s="59"/>
      <c r="E900" s="19"/>
      <c r="F900" s="59"/>
      <c r="G900" s="19"/>
      <c r="H900" s="6"/>
      <c r="I900" s="6"/>
      <c r="J900" s="6"/>
    </row>
    <row r="901" ht="14.25" customHeight="1">
      <c r="A901" s="6"/>
      <c r="B901" s="18" t="s">
        <v>186</v>
      </c>
      <c r="C901" s="34"/>
      <c r="D901" s="59"/>
      <c r="E901" s="19"/>
      <c r="F901" s="59"/>
      <c r="G901" s="19"/>
      <c r="H901" s="6"/>
      <c r="I901" s="6"/>
      <c r="J901" s="6"/>
    </row>
    <row r="902" ht="14.25" customHeight="1">
      <c r="A902" s="6"/>
      <c r="B902" s="18" t="s">
        <v>186</v>
      </c>
      <c r="C902" s="34"/>
      <c r="D902" s="59"/>
      <c r="E902" s="19"/>
      <c r="F902" s="59"/>
      <c r="G902" s="19"/>
      <c r="H902" s="6"/>
      <c r="I902" s="6"/>
      <c r="J902" s="6"/>
    </row>
    <row r="903" ht="14.25" customHeight="1">
      <c r="A903" s="6"/>
      <c r="B903" s="18" t="s">
        <v>186</v>
      </c>
      <c r="C903" s="34"/>
      <c r="D903" s="59"/>
      <c r="E903" s="19"/>
      <c r="F903" s="59"/>
      <c r="G903" s="19"/>
      <c r="H903" s="6"/>
      <c r="I903" s="6"/>
      <c r="J903" s="6"/>
    </row>
    <row r="904" ht="14.25" customHeight="1">
      <c r="A904" s="6"/>
      <c r="B904" s="18" t="s">
        <v>186</v>
      </c>
      <c r="C904" s="34"/>
      <c r="D904" s="59"/>
      <c r="E904" s="19"/>
      <c r="F904" s="59"/>
      <c r="G904" s="19"/>
      <c r="H904" s="6"/>
      <c r="I904" s="6"/>
      <c r="J904" s="6"/>
    </row>
    <row r="905" ht="14.25" customHeight="1">
      <c r="A905" s="6"/>
      <c r="B905" s="18" t="s">
        <v>186</v>
      </c>
      <c r="C905" s="34"/>
      <c r="D905" s="59"/>
      <c r="E905" s="19"/>
      <c r="F905" s="59"/>
      <c r="G905" s="19"/>
      <c r="H905" s="6"/>
      <c r="I905" s="6"/>
      <c r="J905" s="6"/>
    </row>
    <row r="906" ht="14.25" customHeight="1">
      <c r="A906" s="6"/>
      <c r="B906" s="18" t="s">
        <v>186</v>
      </c>
      <c r="C906" s="34"/>
      <c r="D906" s="59"/>
      <c r="E906" s="19"/>
      <c r="F906" s="59"/>
      <c r="G906" s="19"/>
      <c r="H906" s="6"/>
      <c r="I906" s="6"/>
      <c r="J906" s="6"/>
    </row>
    <row r="907" ht="14.25" customHeight="1">
      <c r="A907" s="6"/>
      <c r="B907" s="18" t="s">
        <v>186</v>
      </c>
      <c r="C907" s="34"/>
      <c r="D907" s="59"/>
      <c r="E907" s="19"/>
      <c r="F907" s="59"/>
      <c r="G907" s="19"/>
      <c r="H907" s="6"/>
      <c r="I907" s="6"/>
      <c r="J907" s="6"/>
    </row>
    <row r="908" ht="14.25" customHeight="1">
      <c r="A908" s="6"/>
      <c r="B908" s="18" t="s">
        <v>186</v>
      </c>
      <c r="C908" s="34"/>
      <c r="D908" s="59"/>
      <c r="E908" s="19"/>
      <c r="F908" s="59"/>
      <c r="G908" s="19"/>
      <c r="H908" s="6"/>
      <c r="I908" s="6"/>
      <c r="J908" s="6"/>
    </row>
    <row r="909" ht="14.25" customHeight="1">
      <c r="A909" s="6"/>
      <c r="B909" s="18" t="s">
        <v>186</v>
      </c>
      <c r="C909" s="34"/>
      <c r="D909" s="59"/>
      <c r="E909" s="19"/>
      <c r="F909" s="59"/>
      <c r="G909" s="19"/>
      <c r="H909" s="6"/>
      <c r="I909" s="6"/>
      <c r="J909" s="6"/>
    </row>
    <row r="910" ht="14.25" customHeight="1">
      <c r="A910" s="6"/>
      <c r="B910" s="18" t="s">
        <v>186</v>
      </c>
      <c r="C910" s="34"/>
      <c r="D910" s="59"/>
      <c r="E910" s="19"/>
      <c r="F910" s="59"/>
      <c r="G910" s="19"/>
      <c r="H910" s="6"/>
      <c r="I910" s="6"/>
      <c r="J910" s="6"/>
    </row>
    <row r="911" ht="14.25" customHeight="1">
      <c r="A911" s="6"/>
      <c r="B911" s="18" t="s">
        <v>186</v>
      </c>
      <c r="C911" s="34"/>
      <c r="D911" s="59"/>
      <c r="E911" s="19"/>
      <c r="F911" s="59"/>
      <c r="G911" s="19"/>
      <c r="H911" s="6"/>
      <c r="I911" s="6"/>
      <c r="J911" s="6"/>
    </row>
    <row r="912" ht="14.25" customHeight="1">
      <c r="A912" s="6"/>
      <c r="B912" s="18" t="s">
        <v>186</v>
      </c>
      <c r="C912" s="34"/>
      <c r="D912" s="59"/>
      <c r="E912" s="19"/>
      <c r="F912" s="59"/>
      <c r="G912" s="19"/>
      <c r="H912" s="6"/>
      <c r="I912" s="6"/>
      <c r="J912" s="6"/>
    </row>
    <row r="913" ht="14.25" customHeight="1">
      <c r="A913" s="6"/>
      <c r="B913" s="18" t="s">
        <v>186</v>
      </c>
      <c r="C913" s="34"/>
      <c r="D913" s="59"/>
      <c r="E913" s="19"/>
      <c r="F913" s="59"/>
      <c r="G913" s="19"/>
      <c r="H913" s="6"/>
      <c r="I913" s="6"/>
      <c r="J913" s="6"/>
    </row>
    <row r="914" ht="14.25" customHeight="1">
      <c r="A914" s="6"/>
      <c r="B914" s="18" t="s">
        <v>186</v>
      </c>
      <c r="C914" s="34"/>
      <c r="D914" s="59"/>
      <c r="E914" s="19"/>
      <c r="F914" s="59"/>
      <c r="G914" s="19"/>
      <c r="H914" s="6"/>
      <c r="I914" s="6"/>
      <c r="J914" s="6"/>
    </row>
    <row r="915" ht="14.25" customHeight="1">
      <c r="A915" s="6"/>
      <c r="B915" s="18" t="s">
        <v>186</v>
      </c>
      <c r="C915" s="34"/>
      <c r="D915" s="59"/>
      <c r="E915" s="19"/>
      <c r="F915" s="59"/>
      <c r="G915" s="19"/>
      <c r="H915" s="6"/>
      <c r="I915" s="6"/>
      <c r="J915" s="6"/>
    </row>
    <row r="916" ht="14.25" customHeight="1">
      <c r="A916" s="6"/>
      <c r="B916" s="18" t="s">
        <v>186</v>
      </c>
      <c r="C916" s="34"/>
      <c r="D916" s="59"/>
      <c r="E916" s="19"/>
      <c r="F916" s="59"/>
      <c r="G916" s="19"/>
      <c r="H916" s="6"/>
      <c r="I916" s="6"/>
      <c r="J916" s="6"/>
    </row>
    <row r="917" ht="14.25" customHeight="1">
      <c r="A917" s="6"/>
      <c r="B917" s="18" t="s">
        <v>186</v>
      </c>
      <c r="C917" s="34"/>
      <c r="D917" s="59"/>
      <c r="E917" s="19"/>
      <c r="F917" s="59"/>
      <c r="G917" s="19"/>
      <c r="H917" s="6"/>
      <c r="I917" s="6"/>
      <c r="J917" s="6"/>
    </row>
    <row r="918" ht="14.25" customHeight="1">
      <c r="A918" s="6"/>
      <c r="B918" s="18" t="s">
        <v>186</v>
      </c>
      <c r="C918" s="34"/>
      <c r="D918" s="59"/>
      <c r="E918" s="19"/>
      <c r="F918" s="59"/>
      <c r="G918" s="19"/>
      <c r="H918" s="6"/>
      <c r="I918" s="6"/>
      <c r="J918" s="6"/>
    </row>
    <row r="919" ht="14.25" customHeight="1">
      <c r="A919" s="6"/>
      <c r="B919" s="18" t="s">
        <v>186</v>
      </c>
      <c r="C919" s="34"/>
      <c r="D919" s="59"/>
      <c r="E919" s="19"/>
      <c r="F919" s="59"/>
      <c r="G919" s="19"/>
      <c r="H919" s="6"/>
      <c r="I919" s="6"/>
      <c r="J919" s="6"/>
    </row>
    <row r="920" ht="14.25" customHeight="1">
      <c r="A920" s="6"/>
      <c r="B920" s="18" t="s">
        <v>186</v>
      </c>
      <c r="C920" s="34"/>
      <c r="D920" s="59"/>
      <c r="E920" s="19"/>
      <c r="F920" s="59"/>
      <c r="G920" s="19"/>
      <c r="H920" s="6"/>
      <c r="I920" s="6"/>
      <c r="J920" s="6"/>
    </row>
    <row r="921" ht="14.25" customHeight="1">
      <c r="A921" s="6"/>
      <c r="B921" s="18" t="s">
        <v>186</v>
      </c>
      <c r="C921" s="34"/>
      <c r="D921" s="59"/>
      <c r="E921" s="19"/>
      <c r="F921" s="59"/>
      <c r="G921" s="19"/>
      <c r="H921" s="6"/>
      <c r="I921" s="6"/>
      <c r="J921" s="6"/>
    </row>
    <row r="922" ht="14.25" customHeight="1">
      <c r="A922" s="6"/>
      <c r="B922" s="18" t="s">
        <v>186</v>
      </c>
      <c r="C922" s="34"/>
      <c r="D922" s="59"/>
      <c r="E922" s="19"/>
      <c r="F922" s="59"/>
      <c r="G922" s="19"/>
      <c r="H922" s="6"/>
      <c r="I922" s="6"/>
      <c r="J922" s="6"/>
    </row>
    <row r="923" ht="14.25" customHeight="1">
      <c r="A923" s="6"/>
      <c r="B923" s="18" t="s">
        <v>186</v>
      </c>
      <c r="C923" s="34"/>
      <c r="D923" s="59"/>
      <c r="E923" s="19"/>
      <c r="F923" s="59"/>
      <c r="G923" s="19"/>
      <c r="H923" s="6"/>
      <c r="I923" s="6"/>
      <c r="J923" s="6"/>
    </row>
    <row r="924" ht="14.25" customHeight="1">
      <c r="A924" s="6"/>
      <c r="B924" s="18" t="s">
        <v>186</v>
      </c>
      <c r="C924" s="34"/>
      <c r="D924" s="59"/>
      <c r="E924" s="19"/>
      <c r="F924" s="59"/>
      <c r="G924" s="19"/>
      <c r="H924" s="6"/>
      <c r="I924" s="6"/>
      <c r="J924" s="6"/>
    </row>
    <row r="925" ht="14.25" customHeight="1">
      <c r="A925" s="6"/>
      <c r="B925" s="18" t="s">
        <v>186</v>
      </c>
      <c r="C925" s="34"/>
      <c r="D925" s="59"/>
      <c r="E925" s="19"/>
      <c r="F925" s="59"/>
      <c r="G925" s="19"/>
      <c r="H925" s="6"/>
      <c r="I925" s="6"/>
      <c r="J925" s="6"/>
    </row>
    <row r="926" ht="14.25" customHeight="1">
      <c r="A926" s="6"/>
      <c r="B926" s="18" t="s">
        <v>186</v>
      </c>
      <c r="C926" s="34"/>
      <c r="D926" s="59"/>
      <c r="E926" s="19"/>
      <c r="F926" s="59"/>
      <c r="G926" s="19"/>
      <c r="H926" s="6"/>
      <c r="I926" s="6"/>
      <c r="J926" s="6"/>
    </row>
    <row r="927" ht="14.25" customHeight="1">
      <c r="A927" s="6"/>
      <c r="B927" s="18" t="s">
        <v>186</v>
      </c>
      <c r="C927" s="34"/>
      <c r="D927" s="59"/>
      <c r="E927" s="19"/>
      <c r="F927" s="59"/>
      <c r="G927" s="19"/>
      <c r="H927" s="6"/>
      <c r="I927" s="6"/>
      <c r="J927" s="6"/>
    </row>
    <row r="928" ht="14.25" customHeight="1">
      <c r="A928" s="6"/>
      <c r="B928" s="18" t="s">
        <v>186</v>
      </c>
      <c r="C928" s="34"/>
      <c r="D928" s="59"/>
      <c r="E928" s="19"/>
      <c r="F928" s="59"/>
      <c r="G928" s="19"/>
      <c r="H928" s="6"/>
      <c r="I928" s="6"/>
      <c r="J928" s="6"/>
    </row>
    <row r="929" ht="14.25" customHeight="1">
      <c r="A929" s="6"/>
      <c r="B929" s="18" t="s">
        <v>186</v>
      </c>
      <c r="C929" s="34"/>
      <c r="D929" s="59"/>
      <c r="E929" s="19"/>
      <c r="F929" s="59"/>
      <c r="G929" s="19"/>
      <c r="H929" s="6"/>
      <c r="I929" s="6"/>
      <c r="J929" s="6"/>
    </row>
    <row r="930" ht="14.25" customHeight="1">
      <c r="A930" s="6"/>
      <c r="B930" s="18" t="s">
        <v>186</v>
      </c>
      <c r="C930" s="34"/>
      <c r="D930" s="59"/>
      <c r="E930" s="19"/>
      <c r="F930" s="59"/>
      <c r="G930" s="19"/>
      <c r="H930" s="6"/>
      <c r="I930" s="6"/>
      <c r="J930" s="6"/>
    </row>
    <row r="931" ht="14.25" customHeight="1">
      <c r="A931" s="6"/>
      <c r="B931" s="18" t="s">
        <v>186</v>
      </c>
      <c r="C931" s="34"/>
      <c r="D931" s="59"/>
      <c r="E931" s="19"/>
      <c r="F931" s="59"/>
      <c r="G931" s="19"/>
      <c r="H931" s="6"/>
      <c r="I931" s="6"/>
      <c r="J931" s="6"/>
    </row>
    <row r="932" ht="14.25" customHeight="1">
      <c r="A932" s="6"/>
      <c r="B932" s="18" t="s">
        <v>186</v>
      </c>
      <c r="C932" s="34"/>
      <c r="D932" s="59"/>
      <c r="E932" s="19"/>
      <c r="F932" s="59"/>
      <c r="G932" s="19"/>
      <c r="H932" s="6"/>
      <c r="I932" s="6"/>
      <c r="J932" s="6"/>
    </row>
    <row r="933" ht="14.25" customHeight="1">
      <c r="A933" s="6"/>
      <c r="B933" s="18" t="s">
        <v>186</v>
      </c>
      <c r="C933" s="34"/>
      <c r="D933" s="59"/>
      <c r="E933" s="19"/>
      <c r="F933" s="59"/>
      <c r="G933" s="19"/>
      <c r="H933" s="6"/>
      <c r="I933" s="6"/>
      <c r="J933" s="6"/>
    </row>
    <row r="934" ht="14.25" customHeight="1">
      <c r="A934" s="6"/>
      <c r="B934" s="18" t="s">
        <v>186</v>
      </c>
      <c r="C934" s="34"/>
      <c r="D934" s="59"/>
      <c r="E934" s="19"/>
      <c r="F934" s="59"/>
      <c r="G934" s="19"/>
      <c r="H934" s="6"/>
      <c r="I934" s="6"/>
      <c r="J934" s="6"/>
    </row>
    <row r="935" ht="14.25" customHeight="1">
      <c r="A935" s="6"/>
      <c r="B935" s="18" t="s">
        <v>186</v>
      </c>
      <c r="C935" s="34"/>
      <c r="D935" s="59"/>
      <c r="E935" s="19"/>
      <c r="F935" s="59"/>
      <c r="G935" s="19"/>
      <c r="H935" s="6"/>
      <c r="I935" s="6"/>
      <c r="J935" s="6"/>
    </row>
    <row r="936" ht="14.25" customHeight="1">
      <c r="A936" s="6"/>
      <c r="B936" s="18" t="s">
        <v>186</v>
      </c>
      <c r="C936" s="34"/>
      <c r="D936" s="59"/>
      <c r="E936" s="19"/>
      <c r="F936" s="59"/>
      <c r="G936" s="19"/>
      <c r="H936" s="6"/>
      <c r="I936" s="6"/>
      <c r="J936" s="6"/>
    </row>
    <row r="937" ht="14.25" customHeight="1">
      <c r="A937" s="6"/>
      <c r="B937" s="18" t="s">
        <v>186</v>
      </c>
      <c r="C937" s="34"/>
      <c r="D937" s="59"/>
      <c r="E937" s="19"/>
      <c r="F937" s="59"/>
      <c r="G937" s="19"/>
      <c r="H937" s="6"/>
      <c r="I937" s="6"/>
      <c r="J937" s="6"/>
    </row>
    <row r="938" ht="14.25" customHeight="1">
      <c r="A938" s="6"/>
      <c r="B938" s="18" t="s">
        <v>186</v>
      </c>
      <c r="C938" s="34"/>
      <c r="D938" s="59"/>
      <c r="E938" s="19"/>
      <c r="F938" s="59"/>
      <c r="G938" s="19"/>
      <c r="H938" s="6"/>
      <c r="I938" s="6"/>
      <c r="J938" s="6"/>
    </row>
    <row r="939" ht="14.25" customHeight="1">
      <c r="A939" s="6"/>
      <c r="B939" s="18" t="s">
        <v>186</v>
      </c>
      <c r="C939" s="34"/>
      <c r="D939" s="59"/>
      <c r="E939" s="19"/>
      <c r="F939" s="59"/>
      <c r="G939" s="19"/>
      <c r="H939" s="6"/>
      <c r="I939" s="6"/>
      <c r="J939" s="6"/>
    </row>
    <row r="940" ht="14.25" customHeight="1">
      <c r="A940" s="6"/>
      <c r="B940" s="18" t="s">
        <v>186</v>
      </c>
      <c r="C940" s="34"/>
      <c r="D940" s="59"/>
      <c r="E940" s="19"/>
      <c r="F940" s="59"/>
      <c r="G940" s="19"/>
      <c r="H940" s="6"/>
      <c r="I940" s="6"/>
      <c r="J940" s="6"/>
    </row>
    <row r="941" ht="14.25" customHeight="1">
      <c r="A941" s="6"/>
      <c r="B941" s="18" t="s">
        <v>186</v>
      </c>
      <c r="C941" s="34"/>
      <c r="D941" s="59"/>
      <c r="E941" s="19"/>
      <c r="F941" s="59"/>
      <c r="G941" s="19"/>
      <c r="H941" s="6"/>
      <c r="I941" s="6"/>
      <c r="J941" s="6"/>
    </row>
    <row r="942" ht="14.25" customHeight="1">
      <c r="A942" s="6"/>
      <c r="B942" s="18" t="s">
        <v>186</v>
      </c>
      <c r="C942" s="34"/>
      <c r="D942" s="59"/>
      <c r="E942" s="19"/>
      <c r="F942" s="59"/>
      <c r="G942" s="19"/>
      <c r="H942" s="6"/>
      <c r="I942" s="6"/>
      <c r="J942" s="6"/>
    </row>
    <row r="943" ht="14.25" customHeight="1">
      <c r="A943" s="6"/>
      <c r="B943" s="18" t="s">
        <v>186</v>
      </c>
      <c r="C943" s="34"/>
      <c r="D943" s="59"/>
      <c r="E943" s="19"/>
      <c r="F943" s="59"/>
      <c r="G943" s="19"/>
      <c r="H943" s="6"/>
      <c r="I943" s="6"/>
      <c r="J943" s="6"/>
    </row>
    <row r="944" ht="14.25" customHeight="1">
      <c r="A944" s="6"/>
      <c r="B944" s="18" t="s">
        <v>186</v>
      </c>
      <c r="C944" s="34"/>
      <c r="D944" s="59"/>
      <c r="E944" s="19"/>
      <c r="F944" s="59"/>
      <c r="G944" s="19"/>
      <c r="H944" s="6"/>
      <c r="I944" s="6"/>
      <c r="J944" s="6"/>
    </row>
    <row r="945" ht="14.25" customHeight="1">
      <c r="A945" s="6"/>
      <c r="B945" s="18" t="s">
        <v>186</v>
      </c>
      <c r="C945" s="34"/>
      <c r="D945" s="59"/>
      <c r="E945" s="19"/>
      <c r="F945" s="59"/>
      <c r="G945" s="19"/>
      <c r="H945" s="6"/>
      <c r="I945" s="6"/>
      <c r="J945" s="6"/>
    </row>
    <row r="946" ht="14.25" customHeight="1">
      <c r="A946" s="6"/>
      <c r="B946" s="18" t="s">
        <v>186</v>
      </c>
      <c r="C946" s="34"/>
      <c r="D946" s="59"/>
      <c r="E946" s="19"/>
      <c r="F946" s="59"/>
      <c r="G946" s="19"/>
      <c r="H946" s="6"/>
      <c r="I946" s="6"/>
      <c r="J946" s="6"/>
    </row>
    <row r="947" ht="14.25" customHeight="1">
      <c r="A947" s="6"/>
      <c r="B947" s="18" t="s">
        <v>186</v>
      </c>
      <c r="C947" s="34"/>
      <c r="D947" s="59"/>
      <c r="E947" s="19"/>
      <c r="F947" s="59"/>
      <c r="G947" s="19"/>
      <c r="H947" s="6"/>
      <c r="I947" s="6"/>
      <c r="J947" s="6"/>
    </row>
    <row r="948" ht="14.25" customHeight="1">
      <c r="A948" s="6"/>
      <c r="B948" s="18" t="s">
        <v>186</v>
      </c>
      <c r="C948" s="34"/>
      <c r="D948" s="59"/>
      <c r="E948" s="19"/>
      <c r="F948" s="59"/>
      <c r="G948" s="19"/>
      <c r="H948" s="6"/>
      <c r="I948" s="6"/>
      <c r="J948" s="6"/>
    </row>
    <row r="949" ht="14.25" customHeight="1">
      <c r="A949" s="6"/>
      <c r="B949" s="18" t="s">
        <v>186</v>
      </c>
      <c r="C949" s="34"/>
      <c r="D949" s="59"/>
      <c r="E949" s="19"/>
      <c r="F949" s="59"/>
      <c r="G949" s="19"/>
      <c r="H949" s="6"/>
      <c r="I949" s="6"/>
      <c r="J949" s="6"/>
    </row>
    <row r="950" ht="14.25" customHeight="1">
      <c r="A950" s="6"/>
      <c r="B950" s="18" t="s">
        <v>186</v>
      </c>
      <c r="C950" s="34"/>
      <c r="D950" s="59"/>
      <c r="E950" s="19"/>
      <c r="F950" s="59"/>
      <c r="G950" s="19"/>
      <c r="H950" s="6"/>
      <c r="I950" s="6"/>
      <c r="J950" s="6"/>
    </row>
    <row r="951" ht="14.25" customHeight="1">
      <c r="A951" s="6"/>
      <c r="B951" s="18" t="s">
        <v>186</v>
      </c>
      <c r="C951" s="34"/>
      <c r="D951" s="59"/>
      <c r="E951" s="19"/>
      <c r="F951" s="59"/>
      <c r="G951" s="19"/>
      <c r="H951" s="6"/>
      <c r="I951" s="6"/>
      <c r="J951" s="6"/>
    </row>
    <row r="952" ht="14.25" customHeight="1">
      <c r="A952" s="6"/>
      <c r="B952" s="18" t="s">
        <v>186</v>
      </c>
      <c r="C952" s="34"/>
      <c r="D952" s="59"/>
      <c r="E952" s="19"/>
      <c r="F952" s="59"/>
      <c r="G952" s="19"/>
      <c r="H952" s="6"/>
      <c r="I952" s="6"/>
      <c r="J952" s="6"/>
    </row>
    <row r="953" ht="14.25" customHeight="1">
      <c r="A953" s="6"/>
      <c r="B953" s="18" t="s">
        <v>186</v>
      </c>
      <c r="C953" s="34"/>
      <c r="D953" s="59"/>
      <c r="E953" s="19"/>
      <c r="F953" s="59"/>
      <c r="G953" s="19"/>
      <c r="H953" s="6"/>
      <c r="I953" s="6"/>
      <c r="J953" s="6"/>
    </row>
    <row r="954" ht="14.25" customHeight="1">
      <c r="A954" s="6"/>
      <c r="B954" s="18" t="s">
        <v>186</v>
      </c>
      <c r="C954" s="34"/>
      <c r="D954" s="59"/>
      <c r="E954" s="19"/>
      <c r="F954" s="59"/>
      <c r="G954" s="19"/>
      <c r="H954" s="6"/>
      <c r="I954" s="6"/>
      <c r="J954" s="6"/>
    </row>
    <row r="955" ht="14.25" customHeight="1">
      <c r="A955" s="6"/>
      <c r="B955" s="18" t="s">
        <v>186</v>
      </c>
      <c r="C955" s="34"/>
      <c r="D955" s="59"/>
      <c r="E955" s="19"/>
      <c r="F955" s="59"/>
      <c r="G955" s="19"/>
      <c r="H955" s="6"/>
      <c r="I955" s="6"/>
      <c r="J955" s="6"/>
    </row>
    <row r="956" ht="14.25" customHeight="1">
      <c r="A956" s="6"/>
      <c r="B956" s="18" t="s">
        <v>186</v>
      </c>
      <c r="C956" s="34"/>
      <c r="D956" s="59"/>
      <c r="E956" s="19"/>
      <c r="F956" s="59"/>
      <c r="G956" s="19"/>
      <c r="H956" s="6"/>
      <c r="I956" s="6"/>
      <c r="J956" s="6"/>
    </row>
    <row r="957" ht="14.25" customHeight="1">
      <c r="A957" s="6"/>
      <c r="B957" s="18" t="s">
        <v>186</v>
      </c>
      <c r="C957" s="34"/>
      <c r="D957" s="59"/>
      <c r="E957" s="19"/>
      <c r="F957" s="59"/>
      <c r="G957" s="19"/>
      <c r="H957" s="6"/>
      <c r="I957" s="6"/>
      <c r="J957" s="6"/>
    </row>
    <row r="958" ht="14.25" customHeight="1">
      <c r="A958" s="6"/>
      <c r="B958" s="18" t="s">
        <v>186</v>
      </c>
      <c r="C958" s="34"/>
      <c r="D958" s="59"/>
      <c r="E958" s="19"/>
      <c r="F958" s="59"/>
      <c r="G958" s="19"/>
      <c r="H958" s="6"/>
      <c r="I958" s="6"/>
      <c r="J958" s="6"/>
    </row>
    <row r="959" ht="14.25" customHeight="1">
      <c r="A959" s="6"/>
      <c r="B959" s="18" t="s">
        <v>186</v>
      </c>
      <c r="C959" s="34"/>
      <c r="D959" s="59"/>
      <c r="E959" s="19"/>
      <c r="F959" s="59"/>
      <c r="G959" s="19"/>
      <c r="H959" s="6"/>
      <c r="I959" s="6"/>
      <c r="J959" s="6"/>
    </row>
    <row r="960" ht="14.25" customHeight="1">
      <c r="A960" s="6"/>
      <c r="B960" s="18" t="s">
        <v>186</v>
      </c>
      <c r="C960" s="34"/>
      <c r="D960" s="59"/>
      <c r="E960" s="19"/>
      <c r="F960" s="59"/>
      <c r="G960" s="19"/>
      <c r="H960" s="6"/>
      <c r="I960" s="6"/>
      <c r="J960" s="6"/>
    </row>
    <row r="961" ht="14.25" customHeight="1">
      <c r="A961" s="6"/>
      <c r="B961" s="18" t="s">
        <v>186</v>
      </c>
      <c r="C961" s="34"/>
      <c r="D961" s="59"/>
      <c r="E961" s="19"/>
      <c r="F961" s="59"/>
      <c r="G961" s="19"/>
      <c r="H961" s="6"/>
      <c r="I961" s="6"/>
      <c r="J961" s="6"/>
    </row>
    <row r="962" ht="14.25" customHeight="1">
      <c r="A962" s="6"/>
      <c r="B962" s="18" t="s">
        <v>186</v>
      </c>
      <c r="C962" s="34"/>
      <c r="D962" s="59"/>
      <c r="E962" s="19"/>
      <c r="F962" s="59"/>
      <c r="G962" s="19"/>
      <c r="H962" s="6"/>
      <c r="I962" s="6"/>
      <c r="J962" s="6"/>
    </row>
    <row r="963" ht="14.25" customHeight="1">
      <c r="A963" s="6"/>
      <c r="B963" s="18" t="s">
        <v>186</v>
      </c>
      <c r="C963" s="34"/>
      <c r="D963" s="59"/>
      <c r="E963" s="19"/>
      <c r="F963" s="59"/>
      <c r="G963" s="19"/>
      <c r="H963" s="6"/>
      <c r="I963" s="6"/>
      <c r="J963" s="6"/>
    </row>
    <row r="964" ht="14.25" customHeight="1">
      <c r="A964" s="6"/>
      <c r="B964" s="18" t="s">
        <v>186</v>
      </c>
      <c r="C964" s="34"/>
      <c r="D964" s="59"/>
      <c r="E964" s="19"/>
      <c r="F964" s="59"/>
      <c r="G964" s="19"/>
      <c r="H964" s="6"/>
      <c r="I964" s="6"/>
      <c r="J964" s="6"/>
    </row>
    <row r="965" ht="14.25" customHeight="1">
      <c r="A965" s="6"/>
      <c r="B965" s="18" t="s">
        <v>186</v>
      </c>
      <c r="C965" s="34"/>
      <c r="D965" s="59"/>
      <c r="E965" s="19"/>
      <c r="F965" s="59"/>
      <c r="G965" s="19"/>
      <c r="H965" s="6"/>
      <c r="I965" s="6"/>
      <c r="J965" s="6"/>
    </row>
    <row r="966" ht="14.25" customHeight="1">
      <c r="A966" s="6"/>
      <c r="B966" s="18" t="s">
        <v>186</v>
      </c>
      <c r="C966" s="34"/>
      <c r="D966" s="59"/>
      <c r="E966" s="19"/>
      <c r="F966" s="59"/>
      <c r="G966" s="19"/>
      <c r="H966" s="6"/>
      <c r="I966" s="6"/>
      <c r="J966" s="6"/>
    </row>
    <row r="967" ht="14.25" customHeight="1">
      <c r="A967" s="6"/>
      <c r="B967" s="18" t="s">
        <v>186</v>
      </c>
      <c r="C967" s="34"/>
      <c r="D967" s="59"/>
      <c r="E967" s="19"/>
      <c r="F967" s="59"/>
      <c r="G967" s="19"/>
      <c r="H967" s="6"/>
      <c r="I967" s="6"/>
      <c r="J967" s="6"/>
    </row>
    <row r="968" ht="14.25" customHeight="1">
      <c r="A968" s="6"/>
      <c r="B968" s="18" t="s">
        <v>186</v>
      </c>
      <c r="C968" s="34"/>
      <c r="D968" s="59"/>
      <c r="E968" s="19"/>
      <c r="F968" s="59"/>
      <c r="G968" s="19"/>
      <c r="H968" s="6"/>
      <c r="I968" s="6"/>
      <c r="J968" s="6"/>
    </row>
    <row r="969" ht="14.25" customHeight="1">
      <c r="A969" s="6"/>
      <c r="B969" s="18" t="s">
        <v>186</v>
      </c>
      <c r="C969" s="34"/>
      <c r="D969" s="59"/>
      <c r="E969" s="19"/>
      <c r="F969" s="59"/>
      <c r="G969" s="19"/>
      <c r="H969" s="6"/>
      <c r="I969" s="6"/>
      <c r="J969" s="6"/>
    </row>
    <row r="970" ht="14.25" customHeight="1">
      <c r="A970" s="6"/>
      <c r="B970" s="18" t="s">
        <v>186</v>
      </c>
      <c r="C970" s="34"/>
      <c r="D970" s="59"/>
      <c r="E970" s="19"/>
      <c r="F970" s="59"/>
      <c r="G970" s="19"/>
      <c r="H970" s="6"/>
      <c r="I970" s="6"/>
      <c r="J970" s="6"/>
    </row>
    <row r="971" ht="14.25" customHeight="1">
      <c r="A971" s="6"/>
      <c r="B971" s="18" t="s">
        <v>186</v>
      </c>
      <c r="C971" s="34"/>
      <c r="D971" s="59"/>
      <c r="E971" s="19"/>
      <c r="F971" s="59"/>
      <c r="G971" s="19"/>
      <c r="H971" s="6"/>
      <c r="I971" s="6"/>
      <c r="J971" s="6"/>
    </row>
    <row r="972" ht="14.25" customHeight="1">
      <c r="A972" s="6"/>
      <c r="B972" s="18" t="s">
        <v>186</v>
      </c>
      <c r="C972" s="34"/>
      <c r="D972" s="59"/>
      <c r="E972" s="19"/>
      <c r="F972" s="59"/>
      <c r="G972" s="19"/>
      <c r="H972" s="6"/>
      <c r="I972" s="6"/>
      <c r="J972" s="6"/>
    </row>
    <row r="973" ht="14.25" customHeight="1">
      <c r="A973" s="6"/>
      <c r="B973" s="18" t="s">
        <v>186</v>
      </c>
      <c r="C973" s="34"/>
      <c r="D973" s="59"/>
      <c r="E973" s="19"/>
      <c r="F973" s="59"/>
      <c r="G973" s="19"/>
      <c r="H973" s="6"/>
      <c r="I973" s="6"/>
      <c r="J973" s="6"/>
    </row>
    <row r="974" ht="14.25" customHeight="1">
      <c r="A974" s="6"/>
      <c r="B974" s="18" t="s">
        <v>186</v>
      </c>
      <c r="C974" s="34"/>
      <c r="D974" s="59"/>
      <c r="E974" s="19"/>
      <c r="F974" s="59"/>
      <c r="G974" s="19"/>
      <c r="H974" s="6"/>
      <c r="I974" s="6"/>
      <c r="J974" s="6"/>
    </row>
    <row r="975" ht="14.25" customHeight="1">
      <c r="A975" s="6"/>
      <c r="B975" s="18" t="s">
        <v>186</v>
      </c>
      <c r="C975" s="34"/>
      <c r="D975" s="59"/>
      <c r="E975" s="19"/>
      <c r="F975" s="59"/>
      <c r="G975" s="19"/>
      <c r="H975" s="6"/>
      <c r="I975" s="6"/>
      <c r="J975" s="6"/>
    </row>
    <row r="976" ht="14.25" customHeight="1">
      <c r="A976" s="6"/>
      <c r="B976" s="18" t="s">
        <v>186</v>
      </c>
      <c r="C976" s="34"/>
      <c r="D976" s="59"/>
      <c r="E976" s="19"/>
      <c r="F976" s="59"/>
      <c r="G976" s="19"/>
      <c r="H976" s="6"/>
      <c r="I976" s="6"/>
      <c r="J976" s="6"/>
    </row>
    <row r="977" ht="14.25" customHeight="1">
      <c r="A977" s="6"/>
      <c r="B977" s="18" t="s">
        <v>186</v>
      </c>
      <c r="C977" s="34"/>
      <c r="D977" s="59"/>
      <c r="E977" s="19"/>
      <c r="F977" s="59"/>
      <c r="G977" s="19"/>
      <c r="H977" s="6"/>
      <c r="I977" s="6"/>
      <c r="J977" s="6"/>
    </row>
    <row r="978" ht="14.25" customHeight="1">
      <c r="A978" s="6"/>
      <c r="B978" s="18" t="s">
        <v>186</v>
      </c>
      <c r="C978" s="34"/>
      <c r="D978" s="59"/>
      <c r="E978" s="19"/>
      <c r="F978" s="59"/>
      <c r="G978" s="19"/>
      <c r="H978" s="6"/>
      <c r="I978" s="6"/>
      <c r="J978" s="6"/>
    </row>
    <row r="979" ht="14.25" customHeight="1">
      <c r="A979" s="6"/>
      <c r="B979" s="18" t="s">
        <v>186</v>
      </c>
      <c r="C979" s="34"/>
      <c r="D979" s="59"/>
      <c r="E979" s="19"/>
      <c r="F979" s="59"/>
      <c r="G979" s="19"/>
      <c r="H979" s="6"/>
      <c r="I979" s="6"/>
      <c r="J979" s="6"/>
    </row>
    <row r="980" ht="14.25" customHeight="1">
      <c r="A980" s="6"/>
      <c r="B980" s="18" t="s">
        <v>186</v>
      </c>
      <c r="C980" s="34"/>
      <c r="D980" s="59"/>
      <c r="E980" s="19"/>
      <c r="F980" s="59"/>
      <c r="G980" s="19"/>
      <c r="H980" s="6"/>
      <c r="I980" s="6"/>
      <c r="J980" s="6"/>
    </row>
    <row r="981" ht="14.25" customHeight="1">
      <c r="A981" s="6"/>
      <c r="B981" s="18" t="s">
        <v>186</v>
      </c>
      <c r="C981" s="34"/>
      <c r="D981" s="59"/>
      <c r="E981" s="19"/>
      <c r="F981" s="59"/>
      <c r="G981" s="19"/>
      <c r="H981" s="6"/>
      <c r="I981" s="6"/>
      <c r="J981" s="6"/>
    </row>
    <row r="982" ht="14.25" customHeight="1">
      <c r="A982" s="6"/>
      <c r="B982" s="18" t="s">
        <v>186</v>
      </c>
      <c r="C982" s="34"/>
      <c r="D982" s="59"/>
      <c r="E982" s="19"/>
      <c r="F982" s="59"/>
      <c r="G982" s="19"/>
      <c r="H982" s="6"/>
      <c r="I982" s="6"/>
      <c r="J982" s="6"/>
    </row>
    <row r="983" ht="14.25" customHeight="1">
      <c r="A983" s="6"/>
      <c r="B983" s="18" t="s">
        <v>186</v>
      </c>
      <c r="C983" s="34"/>
      <c r="D983" s="59"/>
      <c r="E983" s="19"/>
      <c r="F983" s="59"/>
      <c r="G983" s="19"/>
      <c r="H983" s="6"/>
      <c r="I983" s="6"/>
      <c r="J983" s="6"/>
    </row>
    <row r="984" ht="14.25" customHeight="1">
      <c r="A984" s="6"/>
      <c r="B984" s="18" t="s">
        <v>186</v>
      </c>
      <c r="C984" s="34"/>
      <c r="D984" s="59"/>
      <c r="E984" s="19"/>
      <c r="F984" s="59"/>
      <c r="G984" s="19"/>
      <c r="H984" s="6"/>
      <c r="I984" s="6"/>
      <c r="J984" s="6"/>
    </row>
    <row r="985" ht="14.25" customHeight="1">
      <c r="A985" s="6"/>
      <c r="B985" s="18" t="s">
        <v>186</v>
      </c>
      <c r="C985" s="34"/>
      <c r="D985" s="59"/>
      <c r="E985" s="19"/>
      <c r="F985" s="59"/>
      <c r="G985" s="19"/>
      <c r="H985" s="6"/>
      <c r="I985" s="6"/>
      <c r="J985" s="6"/>
    </row>
    <row r="986" ht="14.25" customHeight="1">
      <c r="A986" s="6"/>
      <c r="B986" s="18" t="s">
        <v>186</v>
      </c>
      <c r="C986" s="34"/>
      <c r="D986" s="59"/>
      <c r="E986" s="19"/>
      <c r="F986" s="59"/>
      <c r="G986" s="19"/>
      <c r="H986" s="6"/>
      <c r="I986" s="6"/>
      <c r="J986" s="6"/>
    </row>
    <row r="987" ht="14.25" customHeight="1">
      <c r="A987" s="6"/>
      <c r="B987" s="18" t="s">
        <v>186</v>
      </c>
      <c r="C987" s="34"/>
      <c r="D987" s="59"/>
      <c r="E987" s="19"/>
      <c r="F987" s="59"/>
      <c r="G987" s="19"/>
      <c r="H987" s="6"/>
      <c r="I987" s="6"/>
      <c r="J987" s="6"/>
    </row>
    <row r="988" ht="14.25" customHeight="1">
      <c r="A988" s="6"/>
      <c r="B988" s="18" t="s">
        <v>186</v>
      </c>
      <c r="C988" s="34"/>
      <c r="D988" s="59"/>
      <c r="E988" s="19"/>
      <c r="F988" s="59"/>
      <c r="G988" s="19"/>
      <c r="H988" s="6"/>
      <c r="I988" s="6"/>
      <c r="J988" s="6"/>
    </row>
    <row r="989" ht="14.25" customHeight="1">
      <c r="A989" s="6"/>
      <c r="B989" s="18" t="s">
        <v>186</v>
      </c>
      <c r="C989" s="34"/>
      <c r="D989" s="59"/>
      <c r="E989" s="19"/>
      <c r="F989" s="59"/>
      <c r="G989" s="19"/>
      <c r="H989" s="6"/>
      <c r="I989" s="6"/>
      <c r="J989" s="6"/>
    </row>
    <row r="990" ht="14.25" customHeight="1">
      <c r="A990" s="6"/>
      <c r="B990" s="18" t="s">
        <v>186</v>
      </c>
      <c r="C990" s="34"/>
      <c r="D990" s="59"/>
      <c r="E990" s="19"/>
      <c r="F990" s="59"/>
      <c r="G990" s="19"/>
      <c r="H990" s="6"/>
      <c r="I990" s="6"/>
      <c r="J990" s="6"/>
    </row>
    <row r="991" ht="14.25" customHeight="1">
      <c r="A991" s="6"/>
      <c r="B991" s="18" t="s">
        <v>186</v>
      </c>
      <c r="C991" s="34"/>
      <c r="D991" s="59"/>
      <c r="E991" s="19"/>
      <c r="F991" s="59"/>
      <c r="G991" s="19"/>
      <c r="H991" s="6"/>
      <c r="I991" s="6"/>
      <c r="J991" s="6"/>
    </row>
    <row r="992" ht="14.25" customHeight="1">
      <c r="A992" s="6"/>
      <c r="B992" s="18" t="s">
        <v>186</v>
      </c>
      <c r="C992" s="34"/>
      <c r="D992" s="59"/>
      <c r="E992" s="19"/>
      <c r="F992" s="59"/>
      <c r="G992" s="19"/>
      <c r="H992" s="6"/>
      <c r="I992" s="6"/>
      <c r="J992" s="6"/>
    </row>
    <row r="993" ht="14.25" customHeight="1">
      <c r="A993" s="6"/>
      <c r="B993" s="18" t="s">
        <v>186</v>
      </c>
      <c r="C993" s="34"/>
      <c r="D993" s="59"/>
      <c r="E993" s="19"/>
      <c r="F993" s="59"/>
      <c r="G993" s="19"/>
      <c r="H993" s="6"/>
      <c r="I993" s="6"/>
      <c r="J993" s="6"/>
    </row>
    <row r="994" ht="14.25" customHeight="1">
      <c r="A994" s="6"/>
      <c r="B994" s="18" t="s">
        <v>186</v>
      </c>
      <c r="C994" s="34"/>
      <c r="D994" s="59"/>
      <c r="E994" s="19"/>
      <c r="F994" s="59"/>
      <c r="G994" s="19"/>
      <c r="H994" s="6"/>
      <c r="I994" s="6"/>
      <c r="J994" s="6"/>
    </row>
    <row r="995" ht="14.25" customHeight="1">
      <c r="A995" s="6"/>
      <c r="B995" s="18" t="s">
        <v>186</v>
      </c>
      <c r="C995" s="34"/>
      <c r="D995" s="59"/>
      <c r="E995" s="19"/>
      <c r="F995" s="59"/>
      <c r="G995" s="19"/>
      <c r="H995" s="6"/>
      <c r="I995" s="6"/>
      <c r="J995" s="6"/>
    </row>
    <row r="996" ht="14.25" customHeight="1">
      <c r="A996" s="6"/>
      <c r="B996" s="18" t="s">
        <v>186</v>
      </c>
      <c r="C996" s="34"/>
      <c r="D996" s="59"/>
      <c r="E996" s="19"/>
      <c r="F996" s="59"/>
      <c r="G996" s="19"/>
      <c r="H996" s="6"/>
      <c r="I996" s="6"/>
      <c r="J996" s="6"/>
    </row>
    <row r="997" ht="14.25" customHeight="1">
      <c r="A997" s="6"/>
      <c r="B997" s="18" t="s">
        <v>186</v>
      </c>
      <c r="C997" s="34"/>
      <c r="D997" s="59"/>
      <c r="E997" s="19"/>
      <c r="F997" s="59"/>
      <c r="G997" s="19"/>
      <c r="H997" s="6"/>
      <c r="I997" s="6"/>
      <c r="J997" s="6"/>
    </row>
    <row r="998" ht="14.25" customHeight="1">
      <c r="A998" s="6"/>
      <c r="B998" s="18" t="s">
        <v>186</v>
      </c>
      <c r="C998" s="34"/>
      <c r="D998" s="59"/>
      <c r="E998" s="19"/>
      <c r="F998" s="59"/>
      <c r="G998" s="19"/>
      <c r="H998" s="6"/>
      <c r="I998" s="6"/>
      <c r="J998" s="6"/>
    </row>
    <row r="999" ht="14.25" customHeight="1">
      <c r="A999" s="6"/>
      <c r="B999" s="18" t="s">
        <v>186</v>
      </c>
      <c r="C999" s="34"/>
      <c r="D999" s="59"/>
      <c r="E999" s="19"/>
      <c r="F999" s="59"/>
      <c r="G999" s="19"/>
      <c r="H999" s="6"/>
      <c r="I999" s="6"/>
      <c r="J999" s="6"/>
    </row>
    <row r="1000" ht="14.25" customHeight="1">
      <c r="A1000" s="6"/>
      <c r="B1000" s="18" t="s">
        <v>186</v>
      </c>
      <c r="C1000" s="34"/>
      <c r="D1000" s="59"/>
      <c r="E1000" s="19"/>
      <c r="F1000" s="59"/>
      <c r="G1000" s="19"/>
      <c r="H1000" s="6"/>
      <c r="I1000" s="6"/>
      <c r="J1000" s="6"/>
    </row>
  </sheetData>
  <conditionalFormatting sqref="A2">
    <cfRule type="expression" dxfId="8" priority="1">
      <formula>A2&lt;&gt;""</formula>
    </cfRule>
  </conditionalFormatting>
  <conditionalFormatting sqref="A2">
    <cfRule type="expression" dxfId="7" priority="2">
      <formula>AND(A2&lt;&gt;"",A3="")</formula>
    </cfRule>
  </conditionalFormatting>
  <conditionalFormatting sqref="C2:G1000">
    <cfRule type="expression" dxfId="11" priority="3">
      <formula>C2&lt;&gt;""</formula>
    </cfRule>
  </conditionalFormatting>
  <conditionalFormatting sqref="H2:J17">
    <cfRule type="expression" dxfId="12" priority="4">
      <formula>H2&lt;&gt;""</formula>
    </cfRule>
  </conditionalFormatting>
  <dataValidations>
    <dataValidation type="list" allowBlank="1" showErrorMessage="1" sqref="A2">
      <formula1>TargetStatus!$A$2:$A$700</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5"/>
    <col customWidth="1" min="2" max="2" width="15.13"/>
    <col customWidth="1" min="3" max="3" width="20.75"/>
    <col customWidth="1" min="4" max="4" width="22.75"/>
    <col customWidth="1" min="5" max="5" width="27.25"/>
    <col customWidth="1" min="6" max="6" width="33.0"/>
    <col customWidth="1" min="7" max="7" width="26.75"/>
    <col customWidth="1" min="8" max="8" width="33.13"/>
    <col customWidth="1" min="9" max="9" width="25.5"/>
    <col customWidth="1" min="10" max="10" width="24.13"/>
    <col customWidth="1" min="11" max="11" width="19.13"/>
    <col customWidth="1" min="12" max="12" width="10.13"/>
    <col customWidth="1" min="13" max="13" width="16.88"/>
    <col customWidth="1" min="14" max="14" width="16.13"/>
    <col customWidth="1" min="15" max="15" width="16.38"/>
    <col customWidth="1" min="16" max="16" width="9.5"/>
    <col customWidth="1" min="17" max="18" width="8.63"/>
    <col customWidth="1" min="19" max="20" width="3.13"/>
    <col customWidth="1" min="21" max="21" width="3.0"/>
    <col customWidth="1" min="22" max="22" width="55.5"/>
    <col customWidth="1" hidden="1" min="23" max="23" width="47.88"/>
    <col customWidth="1" hidden="1" min="24" max="25" width="55.5"/>
    <col customWidth="1" hidden="1" min="26" max="26" width="20.25"/>
    <col customWidth="1" hidden="1" min="27" max="27" width="17.13"/>
    <col customWidth="1" hidden="1" min="28" max="28" width="16.0"/>
    <col customWidth="1" hidden="1" min="29" max="29" width="14.88"/>
    <col customWidth="1" hidden="1" min="30" max="30" width="17.13"/>
    <col customWidth="1" hidden="1" min="31" max="31" width="36.5"/>
    <col customWidth="1" min="32" max="32" width="9.5"/>
    <col customWidth="1" min="33" max="33" width="28.0"/>
    <col customWidth="1" min="34" max="34" width="14.88"/>
    <col customWidth="1" min="35" max="35" width="17.13"/>
    <col customWidth="1" min="36" max="36" width="8.75"/>
    <col customWidth="1" min="37" max="37" width="12.88"/>
    <col customWidth="1" min="38" max="38" width="20.25"/>
    <col customWidth="1" min="39" max="39" width="17.13"/>
    <col customWidth="1" min="40" max="40" width="16.0"/>
    <col customWidth="1" min="41" max="41" width="14.88"/>
    <col customWidth="1" min="42" max="42" width="17.13"/>
    <col customWidth="1" min="43" max="43" width="30.88"/>
    <col customWidth="1" min="44" max="44" width="9.5"/>
    <col customWidth="1" min="45" max="45" width="28.0"/>
    <col customWidth="1" min="46" max="46" width="14.88"/>
    <col customWidth="1" min="47" max="47" width="17.13"/>
    <col customWidth="1" min="48" max="48" width="8.75"/>
    <col customWidth="1" min="49" max="49" width="12.88"/>
    <col customWidth="1" min="50" max="50" width="17.13"/>
    <col customWidth="1" min="51" max="51" width="10.5"/>
  </cols>
  <sheetData>
    <row r="1" ht="14.25" customHeight="1">
      <c r="A1" s="60" t="s">
        <v>38</v>
      </c>
      <c r="B1" s="60" t="s">
        <v>41</v>
      </c>
      <c r="C1" s="61" t="s">
        <v>483</v>
      </c>
      <c r="D1" s="61" t="s">
        <v>485</v>
      </c>
      <c r="E1" s="61" t="s">
        <v>486</v>
      </c>
      <c r="F1" s="61" t="s">
        <v>487</v>
      </c>
      <c r="G1" s="61" t="s">
        <v>488</v>
      </c>
      <c r="H1" s="61" t="s">
        <v>489</v>
      </c>
      <c r="I1" s="61" t="s">
        <v>490</v>
      </c>
      <c r="J1" s="61" t="s">
        <v>491</v>
      </c>
      <c r="K1" s="61" t="s">
        <v>492</v>
      </c>
      <c r="L1" s="61" t="s">
        <v>493</v>
      </c>
      <c r="M1" s="61" t="s">
        <v>494</v>
      </c>
      <c r="N1" s="61" t="s">
        <v>495</v>
      </c>
      <c r="O1" s="61" t="s">
        <v>496</v>
      </c>
      <c r="P1" s="61" t="s">
        <v>497</v>
      </c>
      <c r="Q1" s="62"/>
      <c r="R1" s="62"/>
      <c r="S1" s="62"/>
      <c r="T1" s="62"/>
      <c r="U1" s="63"/>
      <c r="V1" s="63"/>
      <c r="W1" s="63">
        <v>1.0</v>
      </c>
      <c r="X1" s="63">
        <v>2.0</v>
      </c>
      <c r="Y1" s="6">
        <v>3.0</v>
      </c>
      <c r="Z1" s="63">
        <v>4.0</v>
      </c>
      <c r="AA1" s="63">
        <v>5.0</v>
      </c>
      <c r="AB1" s="63">
        <v>6.0</v>
      </c>
      <c r="AC1" s="63">
        <v>7.0</v>
      </c>
      <c r="AD1" s="63">
        <v>8.0</v>
      </c>
      <c r="AE1" s="63">
        <v>9.0</v>
      </c>
      <c r="AF1" s="63"/>
      <c r="AG1" s="63"/>
      <c r="AH1" s="63"/>
      <c r="AI1" s="63"/>
      <c r="AJ1" s="63"/>
      <c r="AK1" s="6"/>
      <c r="AL1" s="63"/>
      <c r="AM1" s="63"/>
      <c r="AN1" s="63"/>
      <c r="AO1" s="63"/>
      <c r="AP1" s="63"/>
      <c r="AQ1" s="63"/>
      <c r="AR1" s="63"/>
      <c r="AS1" s="63"/>
      <c r="AT1" s="63"/>
      <c r="AU1" s="63"/>
      <c r="AV1" s="63"/>
      <c r="AW1" s="6"/>
      <c r="AX1" s="63"/>
      <c r="AY1" s="63"/>
    </row>
    <row r="2" ht="14.25" customHeight="1">
      <c r="A2" s="26" t="str">
        <f t="shared" ref="A2:A623" si="1">IF(OR(V2=0,V2=""),"",V2)</f>
        <v>building.airship.maxed</v>
      </c>
      <c r="B2" s="26" t="str">
        <f t="array" ref="B2">_xlfn.XLOOKUP(A2,Targets!A:A,Targets!C:C,"")</f>
        <v>BUILDING</v>
      </c>
      <c r="C2" s="64" t="b">
        <f>COUNTIF(Targets!A:A,A2)&gt;0</f>
        <v>1</v>
      </c>
      <c r="D2" s="64" t="b">
        <f>IF(
 OR(
  LEFT(A2,15)="state.character",
  RIGHT(A2,6)=".maxed"
 ),
 TRUE,
 COUNTIF(Checklist!A:A,A2)&gt;0
)</f>
        <v>1</v>
      </c>
      <c r="E2" s="64" t="b">
        <f>IF(
 OR(
  LEFT(A2,15)="state.character",
  RIGHT(A2,6)=".maxed",
  A2="building.guild@1",
  A2="quest.build_the_guild.accepted",
  A2="quest.build_the_pagoda.accepted"
 ),
 TRUE,
 COUNTIF(Dependencies!A:A,A2)&gt;0
)</f>
        <v>1</v>
      </c>
      <c r="F2" s="64" t="b">
        <f>COUNTIF(Dependencies!B:B,A2)&gt;0</f>
        <v>1</v>
      </c>
      <c r="G2" s="64" t="b">
        <f>COUNTIF(QuestObjectives!A:A,A2)&gt;0</f>
        <v>0</v>
      </c>
      <c r="H2" s="64" t="b">
        <f>COUNTIF(QuestObjectives!E:E,A2)&gt;0</f>
        <v>0</v>
      </c>
      <c r="I2" s="64" t="b">
        <f>COUNTIF(TargetStatus!A:A,A2)&gt;0</f>
        <v>1</v>
      </c>
      <c r="J2" s="64" t="b">
        <f>COUNTIF(CostStatus!B:B,A2)&gt;0</f>
        <v>0</v>
      </c>
      <c r="K2" s="64" t="b">
        <f>COUNTIF(States!A:A,A2)&gt;0</f>
        <v>0</v>
      </c>
      <c r="L2" s="64" t="b">
        <f t="shared" ref="L2:L623" si="2">AND(
A2=LOWER(A2),
ISERROR(SEARCH(" ",A2)),
ISERROR(SEARCH("..",A2))
)</f>
        <v>1</v>
      </c>
      <c r="M2" s="64" t="b">
        <f>IF(A2="","",COUNTIF(Targets!A:A,A2)&gt;1)</f>
        <v>0</v>
      </c>
      <c r="N2" s="64" t="b">
        <f>IF(A2="","",COUNTIF(States!A:A,A2)&gt;1)</f>
        <v>0</v>
      </c>
      <c r="O2" s="64" t="b">
        <f>IFERROR(__xludf.DUMMYFUNCTION("IF(
 B2="""",
 """",
 SWITCH(
  B2,
  ""BUILDING"",COUNTIF(Buildings!A:A,A2)&gt;0,
  ""CITADEL"",COUNTIF(Citadel!A:A,A2)&gt;0,
  ""COLLECTION"",COUNTIF(Collections!A:A,A2)&gt;0,
  ""CRAFTIFACT"",COUNTIF(Craftifacts!A:A,A2)&gt;0,
  ""QUEST"",
   COUNTIF(
    Quests!A:"&amp;"A,
    REGEXREPLACE(A2,""\.(accepted|finished)$"","""")
   )&gt;0,
  ""TECH"",COUNTIF(Technologies!A:A,A2)&gt;0,
  ""STATE"",COUNTIF(States!A:A,A2)&gt;0,
  FALSE
 )
)"),FALSE)</f>
        <v>0</v>
      </c>
      <c r="P2" s="64" t="str">
        <f t="shared" ref="P2:P623" si="3">IF(
 AND(
  J2=FALSE,
  I2=FALSE,
  H2=FALSE,
  G2=FALSE,
  F2=FALSE,
  E2=FALSE,
  D2=FALSE,
  C2=FALSE
 ),
 "Orphan",
 "Good"
)</f>
        <v>Good</v>
      </c>
      <c r="Q2" s="65"/>
      <c r="R2" s="65"/>
      <c r="S2" s="65"/>
      <c r="T2" s="65"/>
      <c r="U2" s="6"/>
      <c r="V2" s="63" t="str">
        <f>IFERROR(__xludf.DUMMYFUNCTION("SORT(
 UNIQUE(
  VSTACK(
   FILTER(States!A2:A1000,States!A2:A1000&lt;&gt;""""),
   FILTER(Targets!A2:A1000,Targets!A2:A1000&lt;&gt;""""),
   FILTER(Checklist!A2:A1000,Checklist!A2:A1000&lt;&gt;""""),
   FILTER(Dependencies!A2:A2000,Dependencies!A2:A2000&lt;&gt;""""),
   FILTER("&amp;"Dependencies!B2:B2000,Dependencies!B2:B2000&lt;&gt;""""),
   FILTER(QuestObjectives!A2:A2000,QuestObjectives!A2:A2000&lt;&gt;""""),
   FILTER(QuestObjectives!E2:E2000,QuestObjectives!E2:E2000&lt;&gt;""""),
   FILTER(TargetStatus!A2:A1000,TargetStatus!A2:A1000&lt;&gt;""""),
   FI"&amp;"LTER(CostStatus!B2:B2501,CostStatus!B2:B2501&lt;&gt;"""")
  )
 )
)"),"building.airship.maxed")</f>
        <v>building.airship.maxed</v>
      </c>
      <c r="W2" s="65" t="str">
        <f>ARRAY_CONSTRAIN(ARRAYFORMULA(_xlfn._xlws.SORT(_xlfn.UNIQUE(_xlfn.VSTACK(INDIRECT(tblValidation[[#Headers],[tblStates'[StateID']]]))))), 146, 1)</f>
        <v>#ERROR!</v>
      </c>
      <c r="X2" s="65" t="str">
        <f>ARRAY_CONSTRAIN(ARRAYFORMULA(_xlfn._xlws.SORT(_xlfn.UNIQUE(_xlfn.VSTACK(INDIRECT(tblValidation[[#Headers],[tblTargets'[TargetID']]]))))), 618, 1)</f>
        <v>#ERROR!</v>
      </c>
      <c r="Y2" s="65" t="str">
        <f>ARRAY_CONSTRAIN(ARRAYFORMULA(_xlfn._xlws.SORT(_xlfn.UNIQUE(_xlfn.VSTACK(INDIRECT(tblValidation[[#Headers],[tblChecklist'[TargetID']]]))))), 560, 1)</f>
        <v>#ERROR!</v>
      </c>
      <c r="Z2" s="65" t="str">
        <f>ARRAY_CONSTRAIN(ARRAYFORMULA(_xlfn._xlws.SORT(_xlfn.UNIQUE(_xlfn.VSTACK(INDIRECT(tblValidation[[#Headers],[tblDependencies'[TargetID']]]))))), 579, 1)</f>
        <v>#ERROR!</v>
      </c>
      <c r="AA2" s="65" t="str">
        <f>ARRAY_CONSTRAIN(ARRAYFORMULA(_xlfn._xlws.SORT(_xlfn.UNIQUE(_xlfn.VSTACK(INDIRECT(tblValidation[[#Headers],[tblDependencies'[DependencyID']]]))))), 398, 1)</f>
        <v>#ERROR!</v>
      </c>
      <c r="AB2" s="65" t="str">
        <f>ARRAY_CONSTRAIN(ARRAYFORMULA(_xlfn._xlws.SORT(_xlfn.UNIQUE(_xlfn.VSTACK(INDIRECT(tblValidation[[#Headers],[tblQuestObjectives'[QuestTargetID']]]))))), 50, 1)</f>
        <v>#ERROR!</v>
      </c>
      <c r="AC2" s="65" t="str">
        <f>ARRAY_CONSTRAIN(ARRAYFORMULA(_xlfn._xlws.SORT(_xlfn.UNIQUE(_xlfn.VSTACK(INDIRECT(tblValidation[[#Headers],[tblQuestObjectives'[ObjectiveID']]]))))), 145, 1)</f>
        <v>#ERROR!</v>
      </c>
      <c r="AD2" s="65" t="str">
        <f>ARRAY_CONSTRAIN(ARRAYFORMULA(_xlfn._xlws.SORT(_xlfn.UNIQUE(_xlfn.VSTACK(INDIRECT(tblValidation[[#Headers],[tblTargetStatus'[TargetID']]]))))), 618, 1)</f>
        <v>#ERROR!</v>
      </c>
      <c r="AE2" s="65" t="str">
        <f>ARRAY_CONSTRAIN(ARRAYFORMULA(_xlfn._xlws.SORT(_xlfn.UNIQUE(_xlfn.VSTACK(INDIRECT(tblValidation[[#Headers],[tblCost'[TargetID']]]))))), 344, 1)</f>
        <v>#ERROR!</v>
      </c>
      <c r="AF2" s="63"/>
      <c r="AG2" s="63"/>
      <c r="AH2" s="6"/>
      <c r="AI2" s="63"/>
      <c r="AJ2" s="6"/>
      <c r="AK2" s="6"/>
      <c r="AL2" s="63"/>
      <c r="AM2" s="63"/>
      <c r="AN2" s="63"/>
      <c r="AO2" s="63"/>
      <c r="AP2" s="63"/>
      <c r="AQ2" s="63"/>
      <c r="AR2" s="63"/>
      <c r="AS2" s="63"/>
      <c r="AT2" s="6"/>
      <c r="AU2" s="63"/>
      <c r="AV2" s="6"/>
      <c r="AW2" s="6"/>
      <c r="AX2" s="63"/>
      <c r="AY2" s="63"/>
    </row>
    <row r="3" ht="14.25" customHeight="1">
      <c r="A3" s="26" t="str">
        <f t="shared" si="1"/>
        <v>building.airship@1</v>
      </c>
      <c r="B3" s="26" t="str">
        <f t="array" ref="B3">_xlfn.XLOOKUP(A3,Targets!A:A,Targets!C:C,"")</f>
        <v>BUILDING</v>
      </c>
      <c r="C3" s="64" t="b">
        <f>COUNTIF(Targets!A:A,A3)&gt;0</f>
        <v>1</v>
      </c>
      <c r="D3" s="64" t="b">
        <f>IF(
 OR(
  LEFT(A3,15)="state.character",
  RIGHT(A3,6)=".maxed"
 ),
 TRUE,
 COUNTIF(Checklist!A:A,A3)&gt;0
)</f>
        <v>1</v>
      </c>
      <c r="E3" s="64" t="b">
        <f>IF(
 OR(
  LEFT(A3,15)="state.character",
  RIGHT(A3,6)=".maxed",
  A3="building.guild@1",
  A3="quest.build_the_guild.accepted",
  A3="quest.build_the_pagoda.accepted"
 ),
 TRUE,
 COUNTIF(Dependencies!A:A,A3)&gt;0
)</f>
        <v>1</v>
      </c>
      <c r="F3" s="64" t="b">
        <f>COUNTIF(Dependencies!B:B,A3)&gt;0</f>
        <v>1</v>
      </c>
      <c r="G3" s="64" t="b">
        <f>COUNTIF(QuestObjectives!A:A,A3)&gt;0</f>
        <v>0</v>
      </c>
      <c r="H3" s="64" t="b">
        <f>COUNTIF(QuestObjectives!E:E,A3)&gt;0</f>
        <v>0</v>
      </c>
      <c r="I3" s="64" t="b">
        <f>COUNTIF(TargetStatus!A:A,A3)&gt;0</f>
        <v>1</v>
      </c>
      <c r="J3" s="64" t="b">
        <f>COUNTIF(CostStatus!B:B,A3)&gt;0</f>
        <v>1</v>
      </c>
      <c r="K3" s="64" t="b">
        <f>COUNTIF(States!A:A,A3)&gt;0</f>
        <v>0</v>
      </c>
      <c r="L3" s="64" t="b">
        <f t="shared" si="2"/>
        <v>1</v>
      </c>
      <c r="M3" s="64" t="b">
        <f>IF(A3="","",COUNTIF(Targets!A:A,A3)&gt;1)</f>
        <v>0</v>
      </c>
      <c r="N3" s="64" t="b">
        <f>IF(A3="","",COUNTIF(States!A:A,A3)&gt;1)</f>
        <v>0</v>
      </c>
      <c r="O3" s="64" t="b">
        <f>IFERROR(__xludf.DUMMYFUNCTION("IF(
 B3="""",
 """",
 SWITCH(
  B3,
  ""BUILDING"",COUNTIF(Buildings!A:A,A3)&gt;0,
  ""CITADEL"",COUNTIF(Citadel!A:A,A3)&gt;0,
  ""COLLECTION"",COUNTIF(Collections!A:A,A3)&gt;0,
  ""CRAFTIFACT"",COUNTIF(Craftifacts!A:A,A3)&gt;0,
  ""QUEST"",
   COUNTIF(
    Quests!A:"&amp;"A,
    REGEXREPLACE(A3,""\.(accepted|finished)$"","""")
   )&gt;0,
  ""TECH"",COUNTIF(Technologies!A:A,A3)&gt;0,
  ""STATE"",COUNTIF(States!A:A,A3)&gt;0,
  FALSE
 )
)"),TRUE)</f>
        <v>1</v>
      </c>
      <c r="P3" s="64" t="str">
        <f t="shared" si="3"/>
        <v>Good</v>
      </c>
      <c r="Q3" s="65"/>
      <c r="R3" s="65"/>
      <c r="S3" s="65"/>
      <c r="T3" s="65"/>
      <c r="U3" s="63"/>
      <c r="V3" s="63" t="str">
        <f>IFERROR(__xludf.DUMMYFUNCTION("""COMPUTED_VALUE"""),"building.airship@1")</f>
        <v>building.airship@1</v>
      </c>
      <c r="W3" s="65"/>
      <c r="X3" s="65"/>
      <c r="Y3" s="65"/>
      <c r="Z3" s="65"/>
      <c r="AA3" s="65"/>
      <c r="AB3" s="65"/>
      <c r="AC3" s="65"/>
      <c r="AD3" s="63"/>
      <c r="AE3" s="63"/>
      <c r="AF3" s="63"/>
      <c r="AG3" s="63"/>
      <c r="AH3" s="6"/>
      <c r="AI3" s="63"/>
      <c r="AJ3" s="6"/>
      <c r="AK3" s="6"/>
      <c r="AL3" s="63"/>
      <c r="AM3" s="63"/>
      <c r="AN3" s="63"/>
      <c r="AO3" s="63"/>
      <c r="AP3" s="63"/>
      <c r="AQ3" s="63"/>
      <c r="AR3" s="63"/>
      <c r="AS3" s="63"/>
      <c r="AT3" s="6"/>
      <c r="AU3" s="63"/>
      <c r="AV3" s="6"/>
      <c r="AW3" s="6"/>
      <c r="AX3" s="63"/>
      <c r="AY3" s="63"/>
    </row>
    <row r="4" ht="14.25" customHeight="1">
      <c r="A4" s="26" t="str">
        <f t="shared" si="1"/>
        <v>building.airship@2</v>
      </c>
      <c r="B4" s="26" t="str">
        <f t="array" ref="B4">_xlfn.XLOOKUP(A4,Targets!A:A,Targets!C:C,"")</f>
        <v>BUILDING</v>
      </c>
      <c r="C4" s="64" t="b">
        <f>COUNTIF(Targets!A:A,A4)&gt;0</f>
        <v>1</v>
      </c>
      <c r="D4" s="64" t="b">
        <f>IF(
 OR(
  LEFT(A4,15)="state.character",
  RIGHT(A4,6)=".maxed"
 ),
 TRUE,
 COUNTIF(Checklist!A:A,A4)&gt;0
)</f>
        <v>1</v>
      </c>
      <c r="E4" s="64" t="b">
        <f>IF(
 OR(
  LEFT(A4,15)="state.character",
  RIGHT(A4,6)=".maxed",
  A4="building.guild@1",
  A4="quest.build_the_guild.accepted",
  A4="quest.build_the_pagoda.accepted"
 ),
 TRUE,
 COUNTIF(Dependencies!A:A,A4)&gt;0
)</f>
        <v>1</v>
      </c>
      <c r="F4" s="64" t="b">
        <f>COUNTIF(Dependencies!B:B,A4)&gt;0</f>
        <v>1</v>
      </c>
      <c r="G4" s="64" t="b">
        <f>COUNTIF(QuestObjectives!A:A,A4)&gt;0</f>
        <v>0</v>
      </c>
      <c r="H4" s="64" t="b">
        <f>COUNTIF(QuestObjectives!E:E,A4)&gt;0</f>
        <v>0</v>
      </c>
      <c r="I4" s="64" t="b">
        <f>COUNTIF(TargetStatus!A:A,A4)&gt;0</f>
        <v>1</v>
      </c>
      <c r="J4" s="64" t="b">
        <f>COUNTIF(CostStatus!B:B,A4)&gt;0</f>
        <v>1</v>
      </c>
      <c r="K4" s="64" t="b">
        <f>COUNTIF(States!A:A,A4)&gt;0</f>
        <v>0</v>
      </c>
      <c r="L4" s="64" t="b">
        <f t="shared" si="2"/>
        <v>1</v>
      </c>
      <c r="M4" s="64" t="b">
        <f>IF(A4="","",COUNTIF(Targets!A:A,A4)&gt;1)</f>
        <v>0</v>
      </c>
      <c r="N4" s="64" t="b">
        <f>IF(A4="","",COUNTIF(States!A:A,A4)&gt;1)</f>
        <v>0</v>
      </c>
      <c r="O4" s="64" t="b">
        <f>IFERROR(__xludf.DUMMYFUNCTION("IF(
 B4="""",
 """",
 SWITCH(
  B4,
  ""BUILDING"",COUNTIF(Buildings!A:A,A4)&gt;0,
  ""CITADEL"",COUNTIF(Citadel!A:A,A4)&gt;0,
  ""COLLECTION"",COUNTIF(Collections!A:A,A4)&gt;0,
  ""CRAFTIFACT"",COUNTIF(Craftifacts!A:A,A4)&gt;0,
  ""QUEST"",
   COUNTIF(
    Quests!A:"&amp;"A,
    REGEXREPLACE(A4,""\.(accepted|finished)$"","""")
   )&gt;0,
  ""TECH"",COUNTIF(Technologies!A:A,A4)&gt;0,
  ""STATE"",COUNTIF(States!A:A,A4)&gt;0,
  FALSE
 )
)"),TRUE)</f>
        <v>1</v>
      </c>
      <c r="P4" s="64" t="str">
        <f t="shared" si="3"/>
        <v>Good</v>
      </c>
      <c r="Q4" s="65"/>
      <c r="R4" s="65"/>
      <c r="S4" s="65"/>
      <c r="T4" s="65"/>
      <c r="U4" s="6"/>
      <c r="V4" s="63" t="str">
        <f>IFERROR(__xludf.DUMMYFUNCTION("""COMPUTED_VALUE"""),"building.airship@2")</f>
        <v>building.airship@2</v>
      </c>
      <c r="W4" s="65"/>
      <c r="X4" s="65"/>
      <c r="Y4" s="65"/>
      <c r="Z4" s="65"/>
      <c r="AA4" s="65"/>
      <c r="AB4" s="65"/>
      <c r="AC4" s="65"/>
      <c r="AD4" s="63"/>
      <c r="AE4" s="63"/>
      <c r="AF4" s="63"/>
      <c r="AG4" s="63"/>
      <c r="AH4" s="6"/>
      <c r="AI4" s="63"/>
      <c r="AJ4" s="6"/>
      <c r="AK4" s="6"/>
      <c r="AL4" s="63"/>
      <c r="AM4" s="63"/>
      <c r="AN4" s="63"/>
      <c r="AO4" s="63"/>
      <c r="AP4" s="63"/>
      <c r="AQ4" s="63"/>
      <c r="AR4" s="63"/>
      <c r="AS4" s="63"/>
      <c r="AT4" s="6"/>
      <c r="AU4" s="63"/>
      <c r="AV4" s="6"/>
      <c r="AW4" s="6"/>
      <c r="AX4" s="63"/>
      <c r="AY4" s="63"/>
    </row>
    <row r="5" ht="14.25" customHeight="1">
      <c r="A5" s="26" t="str">
        <f t="shared" si="1"/>
        <v>building.alchemists_hut.maxed</v>
      </c>
      <c r="B5" s="26" t="str">
        <f t="array" ref="B5">_xlfn.XLOOKUP(A5,Targets!A:A,Targets!C:C,"")</f>
        <v>BUILDING</v>
      </c>
      <c r="C5" s="64" t="b">
        <f>COUNTIF(Targets!A:A,A5)&gt;0</f>
        <v>1</v>
      </c>
      <c r="D5" s="64" t="b">
        <f>IF(
 OR(
  LEFT(A5,15)="state.character",
  RIGHT(A5,6)=".maxed"
 ),
 TRUE,
 COUNTIF(Checklist!A:A,A5)&gt;0
)</f>
        <v>1</v>
      </c>
      <c r="E5" s="64" t="b">
        <f>IF(
 OR(
  LEFT(A5,15)="state.character",
  RIGHT(A5,6)=".maxed",
  A5="building.guild@1",
  A5="quest.build_the_guild.accepted",
  A5="quest.build_the_pagoda.accepted"
 ),
 TRUE,
 COUNTIF(Dependencies!A:A,A5)&gt;0
)</f>
        <v>1</v>
      </c>
      <c r="F5" s="64" t="b">
        <f>COUNTIF(Dependencies!B:B,A5)&gt;0</f>
        <v>1</v>
      </c>
      <c r="G5" s="64" t="b">
        <f>COUNTIF(QuestObjectives!A:A,A5)&gt;0</f>
        <v>0</v>
      </c>
      <c r="H5" s="64" t="b">
        <f>COUNTIF(QuestObjectives!E:E,A5)&gt;0</f>
        <v>0</v>
      </c>
      <c r="I5" s="64" t="b">
        <f>COUNTIF(TargetStatus!A:A,A5)&gt;0</f>
        <v>1</v>
      </c>
      <c r="J5" s="64" t="b">
        <f>COUNTIF(CostStatus!B:B,A5)&gt;0</f>
        <v>0</v>
      </c>
      <c r="K5" s="64" t="b">
        <f>COUNTIF(States!A:A,A5)&gt;0</f>
        <v>0</v>
      </c>
      <c r="L5" s="64" t="b">
        <f t="shared" si="2"/>
        <v>1</v>
      </c>
      <c r="M5" s="64" t="b">
        <f>IF(A5="","",COUNTIF(Targets!A:A,A5)&gt;1)</f>
        <v>0</v>
      </c>
      <c r="N5" s="64" t="b">
        <f>IF(A5="","",COUNTIF(States!A:A,A5)&gt;1)</f>
        <v>0</v>
      </c>
      <c r="O5" s="64" t="b">
        <f>IFERROR(__xludf.DUMMYFUNCTION("IF(
 B5="""",
 """",
 SWITCH(
  B5,
  ""BUILDING"",COUNTIF(Buildings!A:A,A5)&gt;0,
  ""CITADEL"",COUNTIF(Citadel!A:A,A5)&gt;0,
  ""COLLECTION"",COUNTIF(Collections!A:A,A5)&gt;0,
  ""CRAFTIFACT"",COUNTIF(Craftifacts!A:A,A5)&gt;0,
  ""QUEST"",
   COUNTIF(
    Quests!A:"&amp;"A,
    REGEXREPLACE(A5,""\.(accepted|finished)$"","""")
   )&gt;0,
  ""TECH"",COUNTIF(Technologies!A:A,A5)&gt;0,
  ""STATE"",COUNTIF(States!A:A,A5)&gt;0,
  FALSE
 )
)"),FALSE)</f>
        <v>0</v>
      </c>
      <c r="P5" s="64" t="str">
        <f t="shared" si="3"/>
        <v>Good</v>
      </c>
      <c r="Q5" s="65"/>
      <c r="R5" s="65"/>
      <c r="S5" s="65"/>
      <c r="T5" s="65"/>
      <c r="U5" s="6"/>
      <c r="V5" s="63" t="str">
        <f>IFERROR(__xludf.DUMMYFUNCTION("""COMPUTED_VALUE"""),"building.alchemists_hut.maxed")</f>
        <v>building.alchemists_hut.maxed</v>
      </c>
      <c r="W5" s="65"/>
      <c r="X5" s="65"/>
      <c r="Y5" s="65"/>
      <c r="Z5" s="65"/>
      <c r="AA5" s="65"/>
      <c r="AB5" s="65"/>
      <c r="AC5" s="65"/>
      <c r="AD5" s="63"/>
      <c r="AE5" s="63"/>
      <c r="AF5" s="63"/>
      <c r="AG5" s="63"/>
      <c r="AH5" s="6"/>
      <c r="AI5" s="63"/>
      <c r="AJ5" s="6"/>
      <c r="AK5" s="6"/>
      <c r="AL5" s="63"/>
      <c r="AM5" s="63"/>
      <c r="AN5" s="63"/>
      <c r="AO5" s="63"/>
      <c r="AP5" s="63"/>
      <c r="AQ5" s="63"/>
      <c r="AR5" s="63"/>
      <c r="AS5" s="63"/>
      <c r="AT5" s="6"/>
      <c r="AU5" s="63"/>
      <c r="AV5" s="6"/>
      <c r="AW5" s="6"/>
      <c r="AX5" s="63"/>
      <c r="AY5" s="63"/>
    </row>
    <row r="6" ht="14.25" customHeight="1">
      <c r="A6" s="26" t="str">
        <f t="shared" si="1"/>
        <v>building.alchemists_hut@1</v>
      </c>
      <c r="B6" s="26" t="str">
        <f t="array" ref="B6">_xlfn.XLOOKUP(A6,Targets!A:A,Targets!C:C,"")</f>
        <v>BUILDING</v>
      </c>
      <c r="C6" s="64" t="b">
        <f>COUNTIF(Targets!A:A,A6)&gt;0</f>
        <v>1</v>
      </c>
      <c r="D6" s="64" t="b">
        <f>IF(
 OR(
  LEFT(A6,15)="state.character",
  RIGHT(A6,6)=".maxed"
 ),
 TRUE,
 COUNTIF(Checklist!A:A,A6)&gt;0
)</f>
        <v>1</v>
      </c>
      <c r="E6" s="64" t="b">
        <f>IF(
 OR(
  LEFT(A6,15)="state.character",
  RIGHT(A6,6)=".maxed",
  A6="building.guild@1",
  A6="quest.build_the_guild.accepted",
  A6="quest.build_the_pagoda.accepted"
 ),
 TRUE,
 COUNTIF(Dependencies!A:A,A6)&gt;0
)</f>
        <v>1</v>
      </c>
      <c r="F6" s="64" t="b">
        <f>COUNTIF(Dependencies!B:B,A6)&gt;0</f>
        <v>1</v>
      </c>
      <c r="G6" s="64" t="b">
        <f>COUNTIF(QuestObjectives!A:A,A6)&gt;0</f>
        <v>0</v>
      </c>
      <c r="H6" s="64" t="b">
        <f>COUNTIF(QuestObjectives!E:E,A6)&gt;0</f>
        <v>0</v>
      </c>
      <c r="I6" s="64" t="b">
        <f>COUNTIF(TargetStatus!A:A,A6)&gt;0</f>
        <v>1</v>
      </c>
      <c r="J6" s="64" t="b">
        <f>COUNTIF(CostStatus!B:B,A6)&gt;0</f>
        <v>1</v>
      </c>
      <c r="K6" s="64" t="b">
        <f>COUNTIF(States!A:A,A6)&gt;0</f>
        <v>0</v>
      </c>
      <c r="L6" s="64" t="b">
        <f t="shared" si="2"/>
        <v>1</v>
      </c>
      <c r="M6" s="64" t="b">
        <f>IF(A6="","",COUNTIF(Targets!A:A,A6)&gt;1)</f>
        <v>0</v>
      </c>
      <c r="N6" s="64" t="b">
        <f>IF(A6="","",COUNTIF(States!A:A,A6)&gt;1)</f>
        <v>0</v>
      </c>
      <c r="O6" s="64" t="b">
        <f>IFERROR(__xludf.DUMMYFUNCTION("IF(
 B6="""",
 """",
 SWITCH(
  B6,
  ""BUILDING"",COUNTIF(Buildings!A:A,A6)&gt;0,
  ""CITADEL"",COUNTIF(Citadel!A:A,A6)&gt;0,
  ""COLLECTION"",COUNTIF(Collections!A:A,A6)&gt;0,
  ""CRAFTIFACT"",COUNTIF(Craftifacts!A:A,A6)&gt;0,
  ""QUEST"",
   COUNTIF(
    Quests!A:"&amp;"A,
    REGEXREPLACE(A6,""\.(accepted|finished)$"","""")
   )&gt;0,
  ""TECH"",COUNTIF(Technologies!A:A,A6)&gt;0,
  ""STATE"",COUNTIF(States!A:A,A6)&gt;0,
  FALSE
 )
)"),TRUE)</f>
        <v>1</v>
      </c>
      <c r="P6" s="64" t="str">
        <f t="shared" si="3"/>
        <v>Good</v>
      </c>
      <c r="Q6" s="65"/>
      <c r="R6" s="65"/>
      <c r="S6" s="65"/>
      <c r="T6" s="65"/>
      <c r="U6" s="63"/>
      <c r="V6" s="63" t="str">
        <f>IFERROR(__xludf.DUMMYFUNCTION("""COMPUTED_VALUE"""),"building.alchemists_hut@1")</f>
        <v>building.alchemists_hut@1</v>
      </c>
      <c r="W6" s="65"/>
      <c r="X6" s="65"/>
      <c r="Y6" s="65"/>
      <c r="Z6" s="65"/>
      <c r="AA6" s="65"/>
      <c r="AB6" s="65"/>
      <c r="AC6" s="65"/>
      <c r="AD6" s="63"/>
      <c r="AE6" s="63"/>
      <c r="AF6" s="63"/>
      <c r="AG6" s="63"/>
      <c r="AH6" s="6"/>
      <c r="AI6" s="63"/>
      <c r="AJ6" s="6"/>
      <c r="AK6" s="6"/>
      <c r="AL6" s="63"/>
      <c r="AM6" s="63"/>
      <c r="AN6" s="63"/>
      <c r="AO6" s="63"/>
      <c r="AP6" s="63"/>
      <c r="AQ6" s="63"/>
      <c r="AR6" s="63"/>
      <c r="AS6" s="63"/>
      <c r="AT6" s="6"/>
      <c r="AU6" s="63"/>
      <c r="AV6" s="6"/>
      <c r="AW6" s="6"/>
      <c r="AX6" s="63"/>
      <c r="AY6" s="63"/>
    </row>
    <row r="7" ht="14.25" customHeight="1">
      <c r="A7" s="26" t="str">
        <f t="shared" si="1"/>
        <v>building.alchemists_hut@2</v>
      </c>
      <c r="B7" s="26" t="str">
        <f t="array" ref="B7">_xlfn.XLOOKUP(A7,Targets!A:A,Targets!C:C,"")</f>
        <v>BUILDING</v>
      </c>
      <c r="C7" s="64" t="b">
        <f>COUNTIF(Targets!A:A,A7)&gt;0</f>
        <v>1</v>
      </c>
      <c r="D7" s="64" t="b">
        <f>IF(
 OR(
  LEFT(A7,15)="state.character",
  RIGHT(A7,6)=".maxed"
 ),
 TRUE,
 COUNTIF(Checklist!A:A,A7)&gt;0
)</f>
        <v>1</v>
      </c>
      <c r="E7" s="64" t="b">
        <f>IF(
 OR(
  LEFT(A7,15)="state.character",
  RIGHT(A7,6)=".maxed",
  A7="building.guild@1",
  A7="quest.build_the_guild.accepted",
  A7="quest.build_the_pagoda.accepted"
 ),
 TRUE,
 COUNTIF(Dependencies!A:A,A7)&gt;0
)</f>
        <v>1</v>
      </c>
      <c r="F7" s="64" t="b">
        <f>COUNTIF(Dependencies!B:B,A7)&gt;0</f>
        <v>1</v>
      </c>
      <c r="G7" s="64" t="b">
        <f>COUNTIF(QuestObjectives!A:A,A7)&gt;0</f>
        <v>0</v>
      </c>
      <c r="H7" s="64" t="b">
        <f>COUNTIF(QuestObjectives!E:E,A7)&gt;0</f>
        <v>0</v>
      </c>
      <c r="I7" s="64" t="b">
        <f>COUNTIF(TargetStatus!A:A,A7)&gt;0</f>
        <v>1</v>
      </c>
      <c r="J7" s="64" t="b">
        <f>COUNTIF(CostStatus!B:B,A7)&gt;0</f>
        <v>1</v>
      </c>
      <c r="K7" s="64" t="b">
        <f>COUNTIF(States!A:A,A7)&gt;0</f>
        <v>0</v>
      </c>
      <c r="L7" s="64" t="b">
        <f t="shared" si="2"/>
        <v>1</v>
      </c>
      <c r="M7" s="64" t="b">
        <f>IF(A7="","",COUNTIF(Targets!A:A,A7)&gt;1)</f>
        <v>0</v>
      </c>
      <c r="N7" s="64" t="b">
        <f>IF(A7="","",COUNTIF(States!A:A,A7)&gt;1)</f>
        <v>0</v>
      </c>
      <c r="O7" s="64" t="b">
        <f>IFERROR(__xludf.DUMMYFUNCTION("IF(
 B7="""",
 """",
 SWITCH(
  B7,
  ""BUILDING"",COUNTIF(Buildings!A:A,A7)&gt;0,
  ""CITADEL"",COUNTIF(Citadel!A:A,A7)&gt;0,
  ""COLLECTION"",COUNTIF(Collections!A:A,A7)&gt;0,
  ""CRAFTIFACT"",COUNTIF(Craftifacts!A:A,A7)&gt;0,
  ""QUEST"",
   COUNTIF(
    Quests!A:"&amp;"A,
    REGEXREPLACE(A7,""\.(accepted|finished)$"","""")
   )&gt;0,
  ""TECH"",COUNTIF(Technologies!A:A,A7)&gt;0,
  ""STATE"",COUNTIF(States!A:A,A7)&gt;0,
  FALSE
 )
)"),TRUE)</f>
        <v>1</v>
      </c>
      <c r="P7" s="64" t="str">
        <f t="shared" si="3"/>
        <v>Good</v>
      </c>
      <c r="Q7" s="65"/>
      <c r="R7" s="65"/>
      <c r="S7" s="65"/>
      <c r="T7" s="65"/>
      <c r="U7" s="6"/>
      <c r="V7" s="63" t="str">
        <f>IFERROR(__xludf.DUMMYFUNCTION("""COMPUTED_VALUE"""),"building.alchemists_hut@2")</f>
        <v>building.alchemists_hut@2</v>
      </c>
      <c r="W7" s="65"/>
      <c r="X7" s="65"/>
      <c r="Y7" s="65"/>
      <c r="Z7" s="65"/>
      <c r="AA7" s="65"/>
      <c r="AB7" s="65"/>
      <c r="AC7" s="65"/>
      <c r="AD7" s="63"/>
      <c r="AE7" s="63"/>
      <c r="AF7" s="63"/>
      <c r="AG7" s="63"/>
      <c r="AH7" s="6"/>
      <c r="AI7" s="63"/>
      <c r="AJ7" s="6"/>
      <c r="AK7" s="6"/>
      <c r="AL7" s="63"/>
      <c r="AM7" s="63"/>
      <c r="AN7" s="63"/>
      <c r="AO7" s="63"/>
      <c r="AP7" s="63"/>
      <c r="AQ7" s="63"/>
      <c r="AR7" s="63"/>
      <c r="AS7" s="63"/>
      <c r="AT7" s="6"/>
      <c r="AU7" s="63"/>
      <c r="AV7" s="6"/>
      <c r="AW7" s="6"/>
      <c r="AX7" s="63"/>
      <c r="AY7" s="63"/>
    </row>
    <row r="8" ht="14.25" customHeight="1">
      <c r="A8" s="26" t="str">
        <f t="shared" si="1"/>
        <v>building.alchemists_hut@3</v>
      </c>
      <c r="B8" s="26" t="str">
        <f t="array" ref="B8">_xlfn.XLOOKUP(A8,Targets!A:A,Targets!C:C,"")</f>
        <v>BUILDING</v>
      </c>
      <c r="C8" s="64" t="b">
        <f>COUNTIF(Targets!A:A,A8)&gt;0</f>
        <v>1</v>
      </c>
      <c r="D8" s="64" t="b">
        <f>IF(
 OR(
  LEFT(A8,15)="state.character",
  RIGHT(A8,6)=".maxed"
 ),
 TRUE,
 COUNTIF(Checklist!A:A,A8)&gt;0
)</f>
        <v>1</v>
      </c>
      <c r="E8" s="64" t="b">
        <f>IF(
 OR(
  LEFT(A8,15)="state.character",
  RIGHT(A8,6)=".maxed",
  A8="building.guild@1",
  A8="quest.build_the_guild.accepted",
  A8="quest.build_the_pagoda.accepted"
 ),
 TRUE,
 COUNTIF(Dependencies!A:A,A8)&gt;0
)</f>
        <v>1</v>
      </c>
      <c r="F8" s="64" t="b">
        <f>COUNTIF(Dependencies!B:B,A8)&gt;0</f>
        <v>1</v>
      </c>
      <c r="G8" s="64" t="b">
        <f>COUNTIF(QuestObjectives!A:A,A8)&gt;0</f>
        <v>0</v>
      </c>
      <c r="H8" s="64" t="b">
        <f>COUNTIF(QuestObjectives!E:E,A8)&gt;0</f>
        <v>0</v>
      </c>
      <c r="I8" s="64" t="b">
        <f>COUNTIF(TargetStatus!A:A,A8)&gt;0</f>
        <v>1</v>
      </c>
      <c r="J8" s="64" t="b">
        <f>COUNTIF(CostStatus!B:B,A8)&gt;0</f>
        <v>1</v>
      </c>
      <c r="K8" s="64" t="b">
        <f>COUNTIF(States!A:A,A8)&gt;0</f>
        <v>0</v>
      </c>
      <c r="L8" s="64" t="b">
        <f t="shared" si="2"/>
        <v>1</v>
      </c>
      <c r="M8" s="64" t="b">
        <f>IF(A8="","",COUNTIF(Targets!A:A,A8)&gt;1)</f>
        <v>0</v>
      </c>
      <c r="N8" s="64" t="b">
        <f>IF(A8="","",COUNTIF(States!A:A,A8)&gt;1)</f>
        <v>0</v>
      </c>
      <c r="O8" s="64" t="b">
        <f>IFERROR(__xludf.DUMMYFUNCTION("IF(
 B8="""",
 """",
 SWITCH(
  B8,
  ""BUILDING"",COUNTIF(Buildings!A:A,A8)&gt;0,
  ""CITADEL"",COUNTIF(Citadel!A:A,A8)&gt;0,
  ""COLLECTION"",COUNTIF(Collections!A:A,A8)&gt;0,
  ""CRAFTIFACT"",COUNTIF(Craftifacts!A:A,A8)&gt;0,
  ""QUEST"",
   COUNTIF(
    Quests!A:"&amp;"A,
    REGEXREPLACE(A8,""\.(accepted|finished)$"","""")
   )&gt;0,
  ""TECH"",COUNTIF(Technologies!A:A,A8)&gt;0,
  ""STATE"",COUNTIF(States!A:A,A8)&gt;0,
  FALSE
 )
)"),TRUE)</f>
        <v>1</v>
      </c>
      <c r="P8" s="64" t="str">
        <f t="shared" si="3"/>
        <v>Good</v>
      </c>
      <c r="Q8" s="65"/>
      <c r="R8" s="65"/>
      <c r="S8" s="65"/>
      <c r="T8" s="65"/>
      <c r="U8" s="6"/>
      <c r="V8" s="63" t="str">
        <f>IFERROR(__xludf.DUMMYFUNCTION("""COMPUTED_VALUE"""),"building.alchemists_hut@3")</f>
        <v>building.alchemists_hut@3</v>
      </c>
      <c r="W8" s="65"/>
      <c r="X8" s="65"/>
      <c r="Y8" s="65"/>
      <c r="Z8" s="65"/>
      <c r="AA8" s="65"/>
      <c r="AB8" s="65"/>
      <c r="AC8" s="65"/>
      <c r="AD8" s="63"/>
      <c r="AE8" s="63"/>
      <c r="AF8" s="63"/>
      <c r="AG8" s="63"/>
      <c r="AH8" s="6"/>
      <c r="AI8" s="63"/>
      <c r="AJ8" s="6"/>
      <c r="AK8" s="6"/>
      <c r="AL8" s="63"/>
      <c r="AM8" s="63"/>
      <c r="AN8" s="63"/>
      <c r="AO8" s="63"/>
      <c r="AP8" s="63"/>
      <c r="AQ8" s="63"/>
      <c r="AR8" s="63"/>
      <c r="AS8" s="63"/>
      <c r="AT8" s="6"/>
      <c r="AU8" s="63"/>
      <c r="AV8" s="6"/>
      <c r="AW8" s="6"/>
      <c r="AX8" s="63"/>
      <c r="AY8" s="63"/>
    </row>
    <row r="9" ht="14.25" customHeight="1">
      <c r="A9" s="26" t="str">
        <f t="shared" si="1"/>
        <v>building.alchemists_hut@4</v>
      </c>
      <c r="B9" s="26" t="str">
        <f t="array" ref="B9">_xlfn.XLOOKUP(A9,Targets!A:A,Targets!C:C,"")</f>
        <v>BUILDING</v>
      </c>
      <c r="C9" s="64" t="b">
        <f>COUNTIF(Targets!A:A,A9)&gt;0</f>
        <v>1</v>
      </c>
      <c r="D9" s="64" t="b">
        <f>IF(
 OR(
  LEFT(A9,15)="state.character",
  RIGHT(A9,6)=".maxed"
 ),
 TRUE,
 COUNTIF(Checklist!A:A,A9)&gt;0
)</f>
        <v>1</v>
      </c>
      <c r="E9" s="64" t="b">
        <f>IF(
 OR(
  LEFT(A9,15)="state.character",
  RIGHT(A9,6)=".maxed",
  A9="building.guild@1",
  A9="quest.build_the_guild.accepted",
  A9="quest.build_the_pagoda.accepted"
 ),
 TRUE,
 COUNTIF(Dependencies!A:A,A9)&gt;0
)</f>
        <v>1</v>
      </c>
      <c r="F9" s="64" t="b">
        <f>COUNTIF(Dependencies!B:B,A9)&gt;0</f>
        <v>1</v>
      </c>
      <c r="G9" s="64" t="b">
        <f>COUNTIF(QuestObjectives!A:A,A9)&gt;0</f>
        <v>0</v>
      </c>
      <c r="H9" s="64" t="b">
        <f>COUNTIF(QuestObjectives!E:E,A9)&gt;0</f>
        <v>0</v>
      </c>
      <c r="I9" s="64" t="b">
        <f>COUNTIF(TargetStatus!A:A,A9)&gt;0</f>
        <v>1</v>
      </c>
      <c r="J9" s="64" t="b">
        <f>COUNTIF(CostStatus!B:B,A9)&gt;0</f>
        <v>1</v>
      </c>
      <c r="K9" s="64" t="b">
        <f>COUNTIF(States!A:A,A9)&gt;0</f>
        <v>0</v>
      </c>
      <c r="L9" s="64" t="b">
        <f t="shared" si="2"/>
        <v>1</v>
      </c>
      <c r="M9" s="64" t="b">
        <f>IF(A9="","",COUNTIF(Targets!A:A,A9)&gt;1)</f>
        <v>0</v>
      </c>
      <c r="N9" s="64" t="b">
        <f>IF(A9="","",COUNTIF(States!A:A,A9)&gt;1)</f>
        <v>0</v>
      </c>
      <c r="O9" s="64" t="b">
        <f>IFERROR(__xludf.DUMMYFUNCTION("IF(
 B9="""",
 """",
 SWITCH(
  B9,
  ""BUILDING"",COUNTIF(Buildings!A:A,A9)&gt;0,
  ""CITADEL"",COUNTIF(Citadel!A:A,A9)&gt;0,
  ""COLLECTION"",COUNTIF(Collections!A:A,A9)&gt;0,
  ""CRAFTIFACT"",COUNTIF(Craftifacts!A:A,A9)&gt;0,
  ""QUEST"",
   COUNTIF(
    Quests!A:"&amp;"A,
    REGEXREPLACE(A9,""\.(accepted|finished)$"","""")
   )&gt;0,
  ""TECH"",COUNTIF(Technologies!A:A,A9)&gt;0,
  ""STATE"",COUNTIF(States!A:A,A9)&gt;0,
  FALSE
 )
)"),TRUE)</f>
        <v>1</v>
      </c>
      <c r="P9" s="64" t="str">
        <f t="shared" si="3"/>
        <v>Good</v>
      </c>
      <c r="Q9" s="65"/>
      <c r="R9" s="65"/>
      <c r="S9" s="65"/>
      <c r="T9" s="65"/>
      <c r="U9" s="6"/>
      <c r="V9" s="63" t="str">
        <f>IFERROR(__xludf.DUMMYFUNCTION("""COMPUTED_VALUE"""),"building.alchemists_hut@4")</f>
        <v>building.alchemists_hut@4</v>
      </c>
      <c r="W9" s="65"/>
      <c r="X9" s="65"/>
      <c r="Y9" s="65"/>
      <c r="Z9" s="65"/>
      <c r="AA9" s="65"/>
      <c r="AB9" s="65"/>
      <c r="AC9" s="65"/>
      <c r="AD9" s="63"/>
      <c r="AE9" s="63"/>
      <c r="AF9" s="63"/>
      <c r="AG9" s="63"/>
      <c r="AH9" s="6"/>
      <c r="AI9" s="63"/>
      <c r="AJ9" s="6"/>
      <c r="AK9" s="6"/>
      <c r="AL9" s="63"/>
      <c r="AM9" s="63"/>
      <c r="AN9" s="63"/>
      <c r="AO9" s="63"/>
      <c r="AP9" s="63"/>
      <c r="AQ9" s="63"/>
      <c r="AR9" s="63"/>
      <c r="AS9" s="63"/>
      <c r="AT9" s="6"/>
      <c r="AU9" s="63"/>
      <c r="AV9" s="6"/>
      <c r="AW9" s="6"/>
      <c r="AX9" s="63"/>
      <c r="AY9" s="63"/>
    </row>
    <row r="10" ht="14.25" customHeight="1">
      <c r="A10" s="26" t="str">
        <f t="shared" si="1"/>
        <v>building.alchemists_hut@5</v>
      </c>
      <c r="B10" s="26" t="str">
        <f t="array" ref="B10">_xlfn.XLOOKUP(A10,Targets!A:A,Targets!C:C,"")</f>
        <v>BUILDING</v>
      </c>
      <c r="C10" s="64" t="b">
        <f>COUNTIF(Targets!A:A,A10)&gt;0</f>
        <v>1</v>
      </c>
      <c r="D10" s="64" t="b">
        <f>IF(
 OR(
  LEFT(A10,15)="state.character",
  RIGHT(A10,6)=".maxed"
 ),
 TRUE,
 COUNTIF(Checklist!A:A,A10)&gt;0
)</f>
        <v>1</v>
      </c>
      <c r="E10" s="64" t="b">
        <f>IF(
 OR(
  LEFT(A10,15)="state.character",
  RIGHT(A10,6)=".maxed",
  A10="building.guild@1",
  A10="quest.build_the_guild.accepted",
  A10="quest.build_the_pagoda.accepted"
 ),
 TRUE,
 COUNTIF(Dependencies!A:A,A10)&gt;0
)</f>
        <v>1</v>
      </c>
      <c r="F10" s="64" t="b">
        <f>COUNTIF(Dependencies!B:B,A10)&gt;0</f>
        <v>1</v>
      </c>
      <c r="G10" s="64" t="b">
        <f>COUNTIF(QuestObjectives!A:A,A10)&gt;0</f>
        <v>0</v>
      </c>
      <c r="H10" s="64" t="b">
        <f>COUNTIF(QuestObjectives!E:E,A10)&gt;0</f>
        <v>0</v>
      </c>
      <c r="I10" s="64" t="b">
        <f>COUNTIF(TargetStatus!A:A,A10)&gt;0</f>
        <v>1</v>
      </c>
      <c r="J10" s="64" t="b">
        <f>COUNTIF(CostStatus!B:B,A10)&gt;0</f>
        <v>1</v>
      </c>
      <c r="K10" s="64" t="b">
        <f>COUNTIF(States!A:A,A10)&gt;0</f>
        <v>0</v>
      </c>
      <c r="L10" s="64" t="b">
        <f t="shared" si="2"/>
        <v>1</v>
      </c>
      <c r="M10" s="64" t="b">
        <f>IF(A10="","",COUNTIF(Targets!A:A,A10)&gt;1)</f>
        <v>0</v>
      </c>
      <c r="N10" s="64" t="b">
        <f>IF(A10="","",COUNTIF(States!A:A,A10)&gt;1)</f>
        <v>0</v>
      </c>
      <c r="O10" s="64" t="b">
        <f>IFERROR(__xludf.DUMMYFUNCTION("IF(
 B10="""",
 """",
 SWITCH(
  B10,
  ""BUILDING"",COUNTIF(Buildings!A:A,A10)&gt;0,
  ""CITADEL"",COUNTIF(Citadel!A:A,A10)&gt;0,
  ""COLLECTION"",COUNTIF(Collections!A:A,A10)&gt;0,
  ""CRAFTIFACT"",COUNTIF(Craftifacts!A:A,A10)&gt;0,
  ""QUEST"",
   COUNTIF(
    Que"&amp;"sts!A:A,
    REGEXREPLACE(A10,""\.(accepted|finished)$"","""")
   )&gt;0,
  ""TECH"",COUNTIF(Technologies!A:A,A10)&gt;0,
  ""STATE"",COUNTIF(States!A:A,A10)&gt;0,
  FALSE
 )
)"),TRUE)</f>
        <v>1</v>
      </c>
      <c r="P10" s="64" t="str">
        <f t="shared" si="3"/>
        <v>Good</v>
      </c>
      <c r="Q10" s="65"/>
      <c r="R10" s="65"/>
      <c r="S10" s="65"/>
      <c r="T10" s="65"/>
      <c r="U10" s="6"/>
      <c r="V10" s="63" t="str">
        <f>IFERROR(__xludf.DUMMYFUNCTION("""COMPUTED_VALUE"""),"building.alchemists_hut@5")</f>
        <v>building.alchemists_hut@5</v>
      </c>
      <c r="W10" s="65"/>
      <c r="X10" s="65"/>
      <c r="Y10" s="65"/>
      <c r="Z10" s="65"/>
      <c r="AA10" s="65"/>
      <c r="AB10" s="65"/>
      <c r="AC10" s="65"/>
      <c r="AD10" s="63"/>
      <c r="AE10" s="63"/>
      <c r="AF10" s="63"/>
      <c r="AG10" s="63"/>
      <c r="AH10" s="6"/>
      <c r="AI10" s="63"/>
      <c r="AJ10" s="6"/>
      <c r="AK10" s="6"/>
      <c r="AL10" s="63"/>
      <c r="AM10" s="63"/>
      <c r="AN10" s="63"/>
      <c r="AO10" s="63"/>
      <c r="AP10" s="63"/>
      <c r="AQ10" s="63"/>
      <c r="AR10" s="63"/>
      <c r="AS10" s="63"/>
      <c r="AT10" s="6"/>
      <c r="AU10" s="63"/>
      <c r="AV10" s="6"/>
      <c r="AW10" s="6"/>
      <c r="AX10" s="63"/>
      <c r="AY10" s="63"/>
    </row>
    <row r="11" ht="14.25" customHeight="1">
      <c r="A11" s="26" t="str">
        <f t="shared" si="1"/>
        <v>building.alchemists_hut@6</v>
      </c>
      <c r="B11" s="26" t="str">
        <f t="array" ref="B11">_xlfn.XLOOKUP(A11,Targets!A:A,Targets!C:C,"")</f>
        <v>BUILDING</v>
      </c>
      <c r="C11" s="64" t="b">
        <f>COUNTIF(Targets!A:A,A11)&gt;0</f>
        <v>1</v>
      </c>
      <c r="D11" s="64" t="b">
        <f>IF(
 OR(
  LEFT(A11,15)="state.character",
  RIGHT(A11,6)=".maxed"
 ),
 TRUE,
 COUNTIF(Checklist!A:A,A11)&gt;0
)</f>
        <v>1</v>
      </c>
      <c r="E11" s="64" t="b">
        <f>IF(
 OR(
  LEFT(A11,15)="state.character",
  RIGHT(A11,6)=".maxed",
  A11="building.guild@1",
  A11="quest.build_the_guild.accepted",
  A11="quest.build_the_pagoda.accepted"
 ),
 TRUE,
 COUNTIF(Dependencies!A:A,A11)&gt;0
)</f>
        <v>1</v>
      </c>
      <c r="F11" s="64" t="b">
        <f>COUNTIF(Dependencies!B:B,A11)&gt;0</f>
        <v>1</v>
      </c>
      <c r="G11" s="64" t="b">
        <f>COUNTIF(QuestObjectives!A:A,A11)&gt;0</f>
        <v>0</v>
      </c>
      <c r="H11" s="64" t="b">
        <f>COUNTIF(QuestObjectives!E:E,A11)&gt;0</f>
        <v>0</v>
      </c>
      <c r="I11" s="64" t="b">
        <f>COUNTIF(TargetStatus!A:A,A11)&gt;0</f>
        <v>1</v>
      </c>
      <c r="J11" s="64" t="b">
        <f>COUNTIF(CostStatus!B:B,A11)&gt;0</f>
        <v>1</v>
      </c>
      <c r="K11" s="64" t="b">
        <f>COUNTIF(States!A:A,A11)&gt;0</f>
        <v>0</v>
      </c>
      <c r="L11" s="64" t="b">
        <f t="shared" si="2"/>
        <v>1</v>
      </c>
      <c r="M11" s="64" t="b">
        <f>IF(A11="","",COUNTIF(Targets!A:A,A11)&gt;1)</f>
        <v>0</v>
      </c>
      <c r="N11" s="64" t="b">
        <f>IF(A11="","",COUNTIF(States!A:A,A11)&gt;1)</f>
        <v>0</v>
      </c>
      <c r="O11" s="64" t="b">
        <f>IFERROR(__xludf.DUMMYFUNCTION("IF(
 B11="""",
 """",
 SWITCH(
  B11,
  ""BUILDING"",COUNTIF(Buildings!A:A,A11)&gt;0,
  ""CITADEL"",COUNTIF(Citadel!A:A,A11)&gt;0,
  ""COLLECTION"",COUNTIF(Collections!A:A,A11)&gt;0,
  ""CRAFTIFACT"",COUNTIF(Craftifacts!A:A,A11)&gt;0,
  ""QUEST"",
   COUNTIF(
    Que"&amp;"sts!A:A,
    REGEXREPLACE(A11,""\.(accepted|finished)$"","""")
   )&gt;0,
  ""TECH"",COUNTIF(Technologies!A:A,A11)&gt;0,
  ""STATE"",COUNTIF(States!A:A,A11)&gt;0,
  FALSE
 )
)"),TRUE)</f>
        <v>1</v>
      </c>
      <c r="P11" s="64" t="str">
        <f t="shared" si="3"/>
        <v>Good</v>
      </c>
      <c r="Q11" s="65"/>
      <c r="R11" s="65"/>
      <c r="S11" s="65"/>
      <c r="T11" s="65"/>
      <c r="U11" s="63"/>
      <c r="V11" s="63" t="str">
        <f>IFERROR(__xludf.DUMMYFUNCTION("""COMPUTED_VALUE"""),"building.alchemists_hut@6")</f>
        <v>building.alchemists_hut@6</v>
      </c>
      <c r="W11" s="65"/>
      <c r="X11" s="65"/>
      <c r="Y11" s="65"/>
      <c r="Z11" s="65"/>
      <c r="AA11" s="65"/>
      <c r="AB11" s="65"/>
      <c r="AC11" s="65"/>
      <c r="AD11" s="63"/>
      <c r="AE11" s="63"/>
      <c r="AF11" s="63"/>
      <c r="AG11" s="63"/>
      <c r="AH11" s="6"/>
      <c r="AI11" s="63"/>
      <c r="AJ11" s="6"/>
      <c r="AK11" s="6"/>
      <c r="AL11" s="63"/>
      <c r="AM11" s="63"/>
      <c r="AN11" s="63"/>
      <c r="AO11" s="63"/>
      <c r="AP11" s="63"/>
      <c r="AQ11" s="63"/>
      <c r="AR11" s="63"/>
      <c r="AS11" s="63"/>
      <c r="AT11" s="6"/>
      <c r="AU11" s="63"/>
      <c r="AV11" s="6"/>
      <c r="AW11" s="6"/>
      <c r="AX11" s="63"/>
      <c r="AY11" s="63"/>
    </row>
    <row r="12" ht="14.25" customHeight="1">
      <c r="A12" s="26" t="str">
        <f t="shared" si="1"/>
        <v>building.bonsai@1</v>
      </c>
      <c r="B12" s="26" t="str">
        <f t="array" ref="B12">_xlfn.XLOOKUP(A12,Targets!A:A,Targets!C:C,"")</f>
        <v>BUILDING</v>
      </c>
      <c r="C12" s="64" t="b">
        <f>COUNTIF(Targets!A:A,A12)&gt;0</f>
        <v>1</v>
      </c>
      <c r="D12" s="64" t="b">
        <f>IF(
 OR(
  LEFT(A12,15)="state.character",
  RIGHT(A12,6)=".maxed"
 ),
 TRUE,
 COUNTIF(Checklist!A:A,A12)&gt;0
)</f>
        <v>1</v>
      </c>
      <c r="E12" s="64" t="b">
        <f>IF(
 OR(
  LEFT(A12,15)="state.character",
  RIGHT(A12,6)=".maxed",
  A12="building.guild@1",
  A12="quest.build_the_guild.accepted",
  A12="quest.build_the_pagoda.accepted"
 ),
 TRUE,
 COUNTIF(Dependencies!A:A,A12)&gt;0
)</f>
        <v>1</v>
      </c>
      <c r="F12" s="64" t="b">
        <f>COUNTIF(Dependencies!B:B,A12)&gt;0</f>
        <v>1</v>
      </c>
      <c r="G12" s="64" t="b">
        <f>COUNTIF(QuestObjectives!A:A,A12)&gt;0</f>
        <v>0</v>
      </c>
      <c r="H12" s="64" t="b">
        <f>COUNTIF(QuestObjectives!E:E,A12)&gt;0</f>
        <v>0</v>
      </c>
      <c r="I12" s="64" t="b">
        <f>COUNTIF(TargetStatus!A:A,A12)&gt;0</f>
        <v>1</v>
      </c>
      <c r="J12" s="64" t="b">
        <f>COUNTIF(CostStatus!B:B,A12)&gt;0</f>
        <v>1</v>
      </c>
      <c r="K12" s="64" t="b">
        <f>COUNTIF(States!A:A,A12)&gt;0</f>
        <v>0</v>
      </c>
      <c r="L12" s="64" t="b">
        <f t="shared" si="2"/>
        <v>1</v>
      </c>
      <c r="M12" s="64" t="b">
        <f>IF(A12="","",COUNTIF(Targets!A:A,A12)&gt;1)</f>
        <v>0</v>
      </c>
      <c r="N12" s="64" t="b">
        <f>IF(A12="","",COUNTIF(States!A:A,A12)&gt;1)</f>
        <v>0</v>
      </c>
      <c r="O12" s="64" t="b">
        <f>IFERROR(__xludf.DUMMYFUNCTION("IF(
 B12="""",
 """",
 SWITCH(
  B12,
  ""BUILDING"",COUNTIF(Buildings!A:A,A12)&gt;0,
  ""CITADEL"",COUNTIF(Citadel!A:A,A12)&gt;0,
  ""COLLECTION"",COUNTIF(Collections!A:A,A12)&gt;0,
  ""CRAFTIFACT"",COUNTIF(Craftifacts!A:A,A12)&gt;0,
  ""QUEST"",
   COUNTIF(
    Que"&amp;"sts!A:A,
    REGEXREPLACE(A12,""\.(accepted|finished)$"","""")
   )&gt;0,
  ""TECH"",COUNTIF(Technologies!A:A,A12)&gt;0,
  ""STATE"",COUNTIF(States!A:A,A12)&gt;0,
  FALSE
 )
)"),TRUE)</f>
        <v>1</v>
      </c>
      <c r="P12" s="64" t="str">
        <f t="shared" si="3"/>
        <v>Good</v>
      </c>
      <c r="Q12" s="65"/>
      <c r="R12" s="65"/>
      <c r="S12" s="65"/>
      <c r="T12" s="65"/>
      <c r="U12" s="6"/>
      <c r="V12" s="63" t="str">
        <f>IFERROR(__xludf.DUMMYFUNCTION("""COMPUTED_VALUE"""),"building.bonsai@1")</f>
        <v>building.bonsai@1</v>
      </c>
      <c r="W12" s="65"/>
      <c r="X12" s="65"/>
      <c r="Y12" s="65"/>
      <c r="Z12" s="65"/>
      <c r="AA12" s="65"/>
      <c r="AB12" s="65"/>
      <c r="AC12" s="65"/>
      <c r="AD12" s="63"/>
      <c r="AE12" s="63"/>
      <c r="AF12" s="63"/>
      <c r="AG12" s="63"/>
      <c r="AH12" s="6"/>
      <c r="AI12" s="63"/>
      <c r="AJ12" s="6"/>
      <c r="AK12" s="6"/>
      <c r="AL12" s="63"/>
      <c r="AM12" s="63"/>
      <c r="AN12" s="63"/>
      <c r="AO12" s="63"/>
      <c r="AP12" s="63"/>
      <c r="AQ12" s="63"/>
      <c r="AR12" s="63"/>
      <c r="AS12" s="63"/>
      <c r="AT12" s="6"/>
      <c r="AU12" s="63"/>
      <c r="AV12" s="6"/>
      <c r="AW12" s="6"/>
      <c r="AX12" s="63"/>
      <c r="AY12" s="63"/>
    </row>
    <row r="13" ht="14.25" customHeight="1">
      <c r="A13" s="26" t="str">
        <f t="shared" si="1"/>
        <v>building.bonsai@2</v>
      </c>
      <c r="B13" s="26" t="str">
        <f t="array" ref="B13">_xlfn.XLOOKUP(A13,Targets!A:A,Targets!C:C,"")</f>
        <v>BUILDING</v>
      </c>
      <c r="C13" s="64" t="b">
        <f>COUNTIF(Targets!A:A,A13)&gt;0</f>
        <v>1</v>
      </c>
      <c r="D13" s="64" t="b">
        <f>IF(
 OR(
  LEFT(A13,15)="state.character",
  RIGHT(A13,6)=".maxed"
 ),
 TRUE,
 COUNTIF(Checklist!A:A,A13)&gt;0
)</f>
        <v>1</v>
      </c>
      <c r="E13" s="64" t="b">
        <f>IF(
 OR(
  LEFT(A13,15)="state.character",
  RIGHT(A13,6)=".maxed",
  A13="building.guild@1",
  A13="quest.build_the_guild.accepted",
  A13="quest.build_the_pagoda.accepted"
 ),
 TRUE,
 COUNTIF(Dependencies!A:A,A13)&gt;0
)</f>
        <v>1</v>
      </c>
      <c r="F13" s="64" t="b">
        <f>COUNTIF(Dependencies!B:B,A13)&gt;0</f>
        <v>0</v>
      </c>
      <c r="G13" s="64" t="b">
        <f>COUNTIF(QuestObjectives!A:A,A13)&gt;0</f>
        <v>0</v>
      </c>
      <c r="H13" s="64" t="b">
        <f>COUNTIF(QuestObjectives!E:E,A13)&gt;0</f>
        <v>0</v>
      </c>
      <c r="I13" s="64" t="b">
        <f>COUNTIF(TargetStatus!A:A,A13)&gt;0</f>
        <v>1</v>
      </c>
      <c r="J13" s="64" t="b">
        <f>COUNTIF(CostStatus!B:B,A13)&gt;0</f>
        <v>1</v>
      </c>
      <c r="K13" s="64" t="b">
        <f>COUNTIF(States!A:A,A13)&gt;0</f>
        <v>0</v>
      </c>
      <c r="L13" s="64" t="b">
        <f t="shared" si="2"/>
        <v>1</v>
      </c>
      <c r="M13" s="64" t="b">
        <f>IF(A13="","",COUNTIF(Targets!A:A,A13)&gt;1)</f>
        <v>0</v>
      </c>
      <c r="N13" s="64" t="b">
        <f>IF(A13="","",COUNTIF(States!A:A,A13)&gt;1)</f>
        <v>0</v>
      </c>
      <c r="O13" s="64" t="b">
        <f>IFERROR(__xludf.DUMMYFUNCTION("IF(
 B13="""",
 """",
 SWITCH(
  B13,
  ""BUILDING"",COUNTIF(Buildings!A:A,A13)&gt;0,
  ""CITADEL"",COUNTIF(Citadel!A:A,A13)&gt;0,
  ""COLLECTION"",COUNTIF(Collections!A:A,A13)&gt;0,
  ""CRAFTIFACT"",COUNTIF(Craftifacts!A:A,A13)&gt;0,
  ""QUEST"",
   COUNTIF(
    Que"&amp;"sts!A:A,
    REGEXREPLACE(A13,""\.(accepted|finished)$"","""")
   )&gt;0,
  ""TECH"",COUNTIF(Technologies!A:A,A13)&gt;0,
  ""STATE"",COUNTIF(States!A:A,A13)&gt;0,
  FALSE
 )
)"),TRUE)</f>
        <v>1</v>
      </c>
      <c r="P13" s="64" t="str">
        <f t="shared" si="3"/>
        <v>Good</v>
      </c>
      <c r="Q13" s="65"/>
      <c r="R13" s="65"/>
      <c r="S13" s="65"/>
      <c r="T13" s="65"/>
      <c r="U13" s="6"/>
      <c r="V13" s="63" t="str">
        <f>IFERROR(__xludf.DUMMYFUNCTION("""COMPUTED_VALUE"""),"building.bonsai@2")</f>
        <v>building.bonsai@2</v>
      </c>
      <c r="W13" s="65"/>
      <c r="X13" s="65"/>
      <c r="Y13" s="65"/>
      <c r="Z13" s="65"/>
      <c r="AA13" s="65"/>
      <c r="AB13" s="65"/>
      <c r="AC13" s="65"/>
      <c r="AD13" s="63"/>
      <c r="AE13" s="63"/>
      <c r="AF13" s="63"/>
      <c r="AG13" s="63"/>
      <c r="AH13" s="6"/>
      <c r="AI13" s="63"/>
      <c r="AJ13" s="6"/>
      <c r="AK13" s="6"/>
      <c r="AL13" s="63"/>
      <c r="AM13" s="63"/>
      <c r="AN13" s="63"/>
      <c r="AO13" s="63"/>
      <c r="AP13" s="63"/>
      <c r="AQ13" s="63"/>
      <c r="AR13" s="63"/>
      <c r="AS13" s="63"/>
      <c r="AT13" s="6"/>
      <c r="AU13" s="63"/>
      <c r="AV13" s="6"/>
      <c r="AW13" s="6"/>
      <c r="AX13" s="63"/>
      <c r="AY13" s="63"/>
    </row>
    <row r="14" ht="14.25" customHeight="1">
      <c r="A14" s="26" t="str">
        <f t="shared" si="1"/>
        <v>building.bridge.maxed</v>
      </c>
      <c r="B14" s="26" t="str">
        <f t="array" ref="B14">_xlfn.XLOOKUP(A14,Targets!A:A,Targets!C:C,"")</f>
        <v>BUILDING</v>
      </c>
      <c r="C14" s="64" t="b">
        <f>COUNTIF(Targets!A:A,A14)&gt;0</f>
        <v>1</v>
      </c>
      <c r="D14" s="64" t="b">
        <f>IF(
 OR(
  LEFT(A14,15)="state.character",
  RIGHT(A14,6)=".maxed"
 ),
 TRUE,
 COUNTIF(Checklist!A:A,A14)&gt;0
)</f>
        <v>1</v>
      </c>
      <c r="E14" s="64" t="b">
        <f>IF(
 OR(
  LEFT(A14,15)="state.character",
  RIGHT(A14,6)=".maxed",
  A14="building.guild@1",
  A14="quest.build_the_guild.accepted",
  A14="quest.build_the_pagoda.accepted"
 ),
 TRUE,
 COUNTIF(Dependencies!A:A,A14)&gt;0
)</f>
        <v>1</v>
      </c>
      <c r="F14" s="64" t="b">
        <f>COUNTIF(Dependencies!B:B,A14)&gt;0</f>
        <v>1</v>
      </c>
      <c r="G14" s="64" t="b">
        <f>COUNTIF(QuestObjectives!A:A,A14)&gt;0</f>
        <v>0</v>
      </c>
      <c r="H14" s="64" t="b">
        <f>COUNTIF(QuestObjectives!E:E,A14)&gt;0</f>
        <v>0</v>
      </c>
      <c r="I14" s="64" t="b">
        <f>COUNTIF(TargetStatus!A:A,A14)&gt;0</f>
        <v>1</v>
      </c>
      <c r="J14" s="64" t="b">
        <f>COUNTIF(CostStatus!B:B,A14)&gt;0</f>
        <v>0</v>
      </c>
      <c r="K14" s="64" t="b">
        <f>COUNTIF(States!A:A,A14)&gt;0</f>
        <v>0</v>
      </c>
      <c r="L14" s="64" t="b">
        <f t="shared" si="2"/>
        <v>1</v>
      </c>
      <c r="M14" s="64" t="b">
        <f>IF(A14="","",COUNTIF(Targets!A:A,A14)&gt;1)</f>
        <v>0</v>
      </c>
      <c r="N14" s="64" t="b">
        <f>IF(A14="","",COUNTIF(States!A:A,A14)&gt;1)</f>
        <v>0</v>
      </c>
      <c r="O14" s="64" t="b">
        <f>IFERROR(__xludf.DUMMYFUNCTION("IF(
 B14="""",
 """",
 SWITCH(
  B14,
  ""BUILDING"",COUNTIF(Buildings!A:A,A14)&gt;0,
  ""CITADEL"",COUNTIF(Citadel!A:A,A14)&gt;0,
  ""COLLECTION"",COUNTIF(Collections!A:A,A14)&gt;0,
  ""CRAFTIFACT"",COUNTIF(Craftifacts!A:A,A14)&gt;0,
  ""QUEST"",
   COUNTIF(
    Que"&amp;"sts!A:A,
    REGEXREPLACE(A14,""\.(accepted|finished)$"","""")
   )&gt;0,
  ""TECH"",COUNTIF(Technologies!A:A,A14)&gt;0,
  ""STATE"",COUNTIF(States!A:A,A14)&gt;0,
  FALSE
 )
)"),FALSE)</f>
        <v>0</v>
      </c>
      <c r="P14" s="64" t="str">
        <f t="shared" si="3"/>
        <v>Good</v>
      </c>
      <c r="Q14" s="65"/>
      <c r="R14" s="65"/>
      <c r="S14" s="65"/>
      <c r="T14" s="65"/>
      <c r="U14" s="63"/>
      <c r="V14" s="63" t="str">
        <f>IFERROR(__xludf.DUMMYFUNCTION("""COMPUTED_VALUE"""),"building.bridge.maxed")</f>
        <v>building.bridge.maxed</v>
      </c>
      <c r="W14" s="65"/>
      <c r="X14" s="65"/>
      <c r="Y14" s="65"/>
      <c r="Z14" s="65"/>
      <c r="AA14" s="65"/>
      <c r="AB14" s="65"/>
      <c r="AC14" s="65"/>
      <c r="AD14" s="63"/>
      <c r="AE14" s="63"/>
      <c r="AF14" s="63"/>
      <c r="AG14" s="63"/>
      <c r="AH14" s="6"/>
      <c r="AI14" s="63"/>
      <c r="AJ14" s="6"/>
      <c r="AK14" s="6"/>
      <c r="AL14" s="63"/>
      <c r="AM14" s="63"/>
      <c r="AN14" s="63"/>
      <c r="AO14" s="63"/>
      <c r="AP14" s="63"/>
      <c r="AQ14" s="63"/>
      <c r="AR14" s="63"/>
      <c r="AS14" s="63"/>
      <c r="AT14" s="6"/>
      <c r="AU14" s="63"/>
      <c r="AV14" s="6"/>
      <c r="AW14" s="6"/>
      <c r="AX14" s="63"/>
      <c r="AY14" s="63"/>
    </row>
    <row r="15" ht="14.25" customHeight="1">
      <c r="A15" s="26" t="str">
        <f t="shared" si="1"/>
        <v>building.bridge@1</v>
      </c>
      <c r="B15" s="26" t="str">
        <f t="array" ref="B15">_xlfn.XLOOKUP(A15,Targets!A:A,Targets!C:C,"")</f>
        <v>BUILDING</v>
      </c>
      <c r="C15" s="64" t="b">
        <f>COUNTIF(Targets!A:A,A15)&gt;0</f>
        <v>1</v>
      </c>
      <c r="D15" s="64" t="b">
        <f>IF(
 OR(
  LEFT(A15,15)="state.character",
  RIGHT(A15,6)=".maxed"
 ),
 TRUE,
 COUNTIF(Checklist!A:A,A15)&gt;0
)</f>
        <v>1</v>
      </c>
      <c r="E15" s="64" t="b">
        <f>IF(
 OR(
  LEFT(A15,15)="state.character",
  RIGHT(A15,6)=".maxed",
  A15="building.guild@1",
  A15="quest.build_the_guild.accepted",
  A15="quest.build_the_pagoda.accepted"
 ),
 TRUE,
 COUNTIF(Dependencies!A:A,A15)&gt;0
)</f>
        <v>1</v>
      </c>
      <c r="F15" s="64" t="b">
        <f>COUNTIF(Dependencies!B:B,A15)&gt;0</f>
        <v>1</v>
      </c>
      <c r="G15" s="64" t="b">
        <f>COUNTIF(QuestObjectives!A:A,A15)&gt;0</f>
        <v>0</v>
      </c>
      <c r="H15" s="64" t="b">
        <f>COUNTIF(QuestObjectives!E:E,A15)&gt;0</f>
        <v>0</v>
      </c>
      <c r="I15" s="64" t="b">
        <f>COUNTIF(TargetStatus!A:A,A15)&gt;0</f>
        <v>1</v>
      </c>
      <c r="J15" s="64" t="b">
        <f>COUNTIF(CostStatus!B:B,A15)&gt;0</f>
        <v>1</v>
      </c>
      <c r="K15" s="64" t="b">
        <f>COUNTIF(States!A:A,A15)&gt;0</f>
        <v>0</v>
      </c>
      <c r="L15" s="64" t="b">
        <f t="shared" si="2"/>
        <v>1</v>
      </c>
      <c r="M15" s="64" t="b">
        <f>IF(A15="","",COUNTIF(Targets!A:A,A15)&gt;1)</f>
        <v>0</v>
      </c>
      <c r="N15" s="64" t="b">
        <f>IF(A15="","",COUNTIF(States!A:A,A15)&gt;1)</f>
        <v>0</v>
      </c>
      <c r="O15" s="64" t="b">
        <f>IFERROR(__xludf.DUMMYFUNCTION("IF(
 B15="""",
 """",
 SWITCH(
  B15,
  ""BUILDING"",COUNTIF(Buildings!A:A,A15)&gt;0,
  ""CITADEL"",COUNTIF(Citadel!A:A,A15)&gt;0,
  ""COLLECTION"",COUNTIF(Collections!A:A,A15)&gt;0,
  ""CRAFTIFACT"",COUNTIF(Craftifacts!A:A,A15)&gt;0,
  ""QUEST"",
   COUNTIF(
    Que"&amp;"sts!A:A,
    REGEXREPLACE(A15,""\.(accepted|finished)$"","""")
   )&gt;0,
  ""TECH"",COUNTIF(Technologies!A:A,A15)&gt;0,
  ""STATE"",COUNTIF(States!A:A,A15)&gt;0,
  FALSE
 )
)"),TRUE)</f>
        <v>1</v>
      </c>
      <c r="P15" s="64" t="str">
        <f t="shared" si="3"/>
        <v>Good</v>
      </c>
      <c r="Q15" s="65"/>
      <c r="R15" s="65"/>
      <c r="S15" s="65"/>
      <c r="T15" s="65"/>
      <c r="U15" s="6"/>
      <c r="V15" s="63" t="str">
        <f>IFERROR(__xludf.DUMMYFUNCTION("""COMPUTED_VALUE"""),"building.bridge@1")</f>
        <v>building.bridge@1</v>
      </c>
      <c r="W15" s="65"/>
      <c r="X15" s="65"/>
      <c r="Y15" s="65"/>
      <c r="Z15" s="65"/>
      <c r="AA15" s="65"/>
      <c r="AB15" s="65"/>
      <c r="AC15" s="65"/>
      <c r="AD15" s="63"/>
      <c r="AE15" s="63"/>
      <c r="AF15" s="63"/>
      <c r="AG15" s="63"/>
      <c r="AH15" s="6"/>
      <c r="AI15" s="63"/>
      <c r="AJ15" s="6"/>
      <c r="AK15" s="6"/>
      <c r="AL15" s="63"/>
      <c r="AM15" s="63"/>
      <c r="AN15" s="63"/>
      <c r="AO15" s="63"/>
      <c r="AP15" s="63"/>
      <c r="AQ15" s="63"/>
      <c r="AR15" s="63"/>
      <c r="AS15" s="63"/>
      <c r="AT15" s="6"/>
      <c r="AU15" s="63"/>
      <c r="AV15" s="6"/>
      <c r="AW15" s="6"/>
      <c r="AX15" s="63"/>
      <c r="AY15" s="63"/>
    </row>
    <row r="16" ht="14.25" customHeight="1">
      <c r="A16" s="26" t="str">
        <f t="shared" si="1"/>
        <v>building.caravan@1</v>
      </c>
      <c r="B16" s="26" t="str">
        <f t="array" ref="B16">_xlfn.XLOOKUP(A16,Targets!A:A,Targets!C:C,"")</f>
        <v>BUILDING</v>
      </c>
      <c r="C16" s="64" t="b">
        <f>COUNTIF(Targets!A:A,A16)&gt;0</f>
        <v>1</v>
      </c>
      <c r="D16" s="64" t="b">
        <f>IF(
 OR(
  LEFT(A16,15)="state.character",
  RIGHT(A16,6)=".maxed"
 ),
 TRUE,
 COUNTIF(Checklist!A:A,A16)&gt;0
)</f>
        <v>1</v>
      </c>
      <c r="E16" s="64" t="b">
        <f>IF(
 OR(
  LEFT(A16,15)="state.character",
  RIGHT(A16,6)=".maxed",
  A16="building.guild@1",
  A16="quest.build_the_guild.accepted",
  A16="quest.build_the_pagoda.accepted"
 ),
 TRUE,
 COUNTIF(Dependencies!A:A,A16)&gt;0
)</f>
        <v>1</v>
      </c>
      <c r="F16" s="64" t="b">
        <f>COUNTIF(Dependencies!B:B,A16)&gt;0</f>
        <v>1</v>
      </c>
      <c r="G16" s="64" t="b">
        <f>COUNTIF(QuestObjectives!A:A,A16)&gt;0</f>
        <v>0</v>
      </c>
      <c r="H16" s="64" t="b">
        <f>COUNTIF(QuestObjectives!E:E,A16)&gt;0</f>
        <v>0</v>
      </c>
      <c r="I16" s="64" t="b">
        <f>COUNTIF(TargetStatus!A:A,A16)&gt;0</f>
        <v>1</v>
      </c>
      <c r="J16" s="64" t="b">
        <f>COUNTIF(CostStatus!B:B,A16)&gt;0</f>
        <v>1</v>
      </c>
      <c r="K16" s="64" t="b">
        <f>COUNTIF(States!A:A,A16)&gt;0</f>
        <v>0</v>
      </c>
      <c r="L16" s="64" t="b">
        <f t="shared" si="2"/>
        <v>1</v>
      </c>
      <c r="M16" s="64" t="b">
        <f>IF(A16="","",COUNTIF(Targets!A:A,A16)&gt;1)</f>
        <v>0</v>
      </c>
      <c r="N16" s="64" t="b">
        <f>IF(A16="","",COUNTIF(States!A:A,A16)&gt;1)</f>
        <v>0</v>
      </c>
      <c r="O16" s="64" t="b">
        <f>IFERROR(__xludf.DUMMYFUNCTION("IF(
 B16="""",
 """",
 SWITCH(
  B16,
  ""BUILDING"",COUNTIF(Buildings!A:A,A16)&gt;0,
  ""CITADEL"",COUNTIF(Citadel!A:A,A16)&gt;0,
  ""COLLECTION"",COUNTIF(Collections!A:A,A16)&gt;0,
  ""CRAFTIFACT"",COUNTIF(Craftifacts!A:A,A16)&gt;0,
  ""QUEST"",
   COUNTIF(
    Que"&amp;"sts!A:A,
    REGEXREPLACE(A16,""\.(accepted|finished)$"","""")
   )&gt;0,
  ""TECH"",COUNTIF(Technologies!A:A,A16)&gt;0,
  ""STATE"",COUNTIF(States!A:A,A16)&gt;0,
  FALSE
 )
)"),TRUE)</f>
        <v>1</v>
      </c>
      <c r="P16" s="64" t="str">
        <f t="shared" si="3"/>
        <v>Good</v>
      </c>
      <c r="Q16" s="65"/>
      <c r="R16" s="65"/>
      <c r="S16" s="65"/>
      <c r="T16" s="65"/>
      <c r="U16" s="6"/>
      <c r="V16" s="63" t="str">
        <f>IFERROR(__xludf.DUMMYFUNCTION("""COMPUTED_VALUE"""),"building.caravan@1")</f>
        <v>building.caravan@1</v>
      </c>
      <c r="W16" s="65"/>
      <c r="X16" s="65"/>
      <c r="Y16" s="65"/>
      <c r="Z16" s="65"/>
      <c r="AA16" s="65"/>
      <c r="AB16" s="65"/>
      <c r="AC16" s="65"/>
      <c r="AD16" s="63"/>
      <c r="AE16" s="63"/>
      <c r="AF16" s="63"/>
      <c r="AG16" s="63"/>
      <c r="AH16" s="6"/>
      <c r="AI16" s="63"/>
      <c r="AJ16" s="6"/>
      <c r="AK16" s="6"/>
      <c r="AL16" s="63"/>
      <c r="AM16" s="63"/>
      <c r="AN16" s="63"/>
      <c r="AO16" s="63"/>
      <c r="AP16" s="63"/>
      <c r="AQ16" s="63"/>
      <c r="AR16" s="63"/>
      <c r="AS16" s="63"/>
      <c r="AT16" s="6"/>
      <c r="AU16" s="63"/>
      <c r="AV16" s="6"/>
      <c r="AW16" s="6"/>
      <c r="AX16" s="63"/>
      <c r="AY16" s="63"/>
    </row>
    <row r="17" ht="14.25" customHeight="1">
      <c r="A17" s="26" t="str">
        <f t="shared" si="1"/>
        <v>building.caravan@2</v>
      </c>
      <c r="B17" s="26" t="str">
        <f t="array" ref="B17">_xlfn.XLOOKUP(A17,Targets!A:A,Targets!C:C,"")</f>
        <v>BUILDING</v>
      </c>
      <c r="C17" s="64" t="b">
        <f>COUNTIF(Targets!A:A,A17)&gt;0</f>
        <v>1</v>
      </c>
      <c r="D17" s="64" t="b">
        <f>IF(
 OR(
  LEFT(A17,15)="state.character",
  RIGHT(A17,6)=".maxed"
 ),
 TRUE,
 COUNTIF(Checklist!A:A,A17)&gt;0
)</f>
        <v>1</v>
      </c>
      <c r="E17" s="64" t="b">
        <f>IF(
 OR(
  LEFT(A17,15)="state.character",
  RIGHT(A17,6)=".maxed",
  A17="building.guild@1",
  A17="quest.build_the_guild.accepted",
  A17="quest.build_the_pagoda.accepted"
 ),
 TRUE,
 COUNTIF(Dependencies!A:A,A17)&gt;0
)</f>
        <v>1</v>
      </c>
      <c r="F17" s="64" t="b">
        <f>COUNTIF(Dependencies!B:B,A17)&gt;0</f>
        <v>1</v>
      </c>
      <c r="G17" s="64" t="b">
        <f>COUNTIF(QuestObjectives!A:A,A17)&gt;0</f>
        <v>0</v>
      </c>
      <c r="H17" s="64" t="b">
        <f>COUNTIF(QuestObjectives!E:E,A17)&gt;0</f>
        <v>0</v>
      </c>
      <c r="I17" s="64" t="b">
        <f>COUNTIF(TargetStatus!A:A,A17)&gt;0</f>
        <v>1</v>
      </c>
      <c r="J17" s="64" t="b">
        <f>COUNTIF(CostStatus!B:B,A17)&gt;0</f>
        <v>1</v>
      </c>
      <c r="K17" s="64" t="b">
        <f>COUNTIF(States!A:A,A17)&gt;0</f>
        <v>0</v>
      </c>
      <c r="L17" s="64" t="b">
        <f t="shared" si="2"/>
        <v>1</v>
      </c>
      <c r="M17" s="64" t="b">
        <f>IF(A17="","",COUNTIF(Targets!A:A,A17)&gt;1)</f>
        <v>0</v>
      </c>
      <c r="N17" s="64" t="b">
        <f>IF(A17="","",COUNTIF(States!A:A,A17)&gt;1)</f>
        <v>0</v>
      </c>
      <c r="O17" s="64" t="b">
        <f>IFERROR(__xludf.DUMMYFUNCTION("IF(
 B17="""",
 """",
 SWITCH(
  B17,
  ""BUILDING"",COUNTIF(Buildings!A:A,A17)&gt;0,
  ""CITADEL"",COUNTIF(Citadel!A:A,A17)&gt;0,
  ""COLLECTION"",COUNTIF(Collections!A:A,A17)&gt;0,
  ""CRAFTIFACT"",COUNTIF(Craftifacts!A:A,A17)&gt;0,
  ""QUEST"",
   COUNTIF(
    Que"&amp;"sts!A:A,
    REGEXREPLACE(A17,""\.(accepted|finished)$"","""")
   )&gt;0,
  ""TECH"",COUNTIF(Technologies!A:A,A17)&gt;0,
  ""STATE"",COUNTIF(States!A:A,A17)&gt;0,
  FALSE
 )
)"),TRUE)</f>
        <v>1</v>
      </c>
      <c r="P17" s="64" t="str">
        <f t="shared" si="3"/>
        <v>Good</v>
      </c>
      <c r="Q17" s="65"/>
      <c r="R17" s="65"/>
      <c r="S17" s="65"/>
      <c r="T17" s="65"/>
      <c r="U17" s="6"/>
      <c r="V17" s="63" t="str">
        <f>IFERROR(__xludf.DUMMYFUNCTION("""COMPUTED_VALUE"""),"building.caravan@2")</f>
        <v>building.caravan@2</v>
      </c>
      <c r="W17" s="65"/>
      <c r="X17" s="65"/>
      <c r="Y17" s="65"/>
      <c r="Z17" s="65"/>
      <c r="AA17" s="65"/>
      <c r="AB17" s="65"/>
      <c r="AC17" s="65"/>
      <c r="AD17" s="63"/>
      <c r="AE17" s="63"/>
      <c r="AF17" s="63"/>
      <c r="AG17" s="63"/>
      <c r="AH17" s="6"/>
      <c r="AI17" s="63"/>
      <c r="AJ17" s="6"/>
      <c r="AK17" s="6"/>
      <c r="AL17" s="63"/>
      <c r="AM17" s="63"/>
      <c r="AN17" s="63"/>
      <c r="AO17" s="63"/>
      <c r="AP17" s="63"/>
      <c r="AQ17" s="63"/>
      <c r="AR17" s="63"/>
      <c r="AS17" s="63"/>
      <c r="AT17" s="6"/>
      <c r="AU17" s="63"/>
      <c r="AV17" s="6"/>
      <c r="AW17" s="6"/>
      <c r="AX17" s="63"/>
      <c r="AY17" s="63"/>
    </row>
    <row r="18" ht="14.25" customHeight="1">
      <c r="A18" s="26" t="str">
        <f t="shared" si="1"/>
        <v>building.caravan@3</v>
      </c>
      <c r="B18" s="26" t="str">
        <f t="array" ref="B18">_xlfn.XLOOKUP(A18,Targets!A:A,Targets!C:C,"")</f>
        <v>BUILDING</v>
      </c>
      <c r="C18" s="64" t="b">
        <f>COUNTIF(Targets!A:A,A18)&gt;0</f>
        <v>1</v>
      </c>
      <c r="D18" s="64" t="b">
        <f>IF(
 OR(
  LEFT(A18,15)="state.character",
  RIGHT(A18,6)=".maxed"
 ),
 TRUE,
 COUNTIF(Checklist!A:A,A18)&gt;0
)</f>
        <v>1</v>
      </c>
      <c r="E18" s="64" t="b">
        <f>IF(
 OR(
  LEFT(A18,15)="state.character",
  RIGHT(A18,6)=".maxed",
  A18="building.guild@1",
  A18="quest.build_the_guild.accepted",
  A18="quest.build_the_pagoda.accepted"
 ),
 TRUE,
 COUNTIF(Dependencies!A:A,A18)&gt;0
)</f>
        <v>1</v>
      </c>
      <c r="F18" s="64" t="b">
        <f>COUNTIF(Dependencies!B:B,A18)&gt;0</f>
        <v>1</v>
      </c>
      <c r="G18" s="64" t="b">
        <f>COUNTIF(QuestObjectives!A:A,A18)&gt;0</f>
        <v>0</v>
      </c>
      <c r="H18" s="64" t="b">
        <f>COUNTIF(QuestObjectives!E:E,A18)&gt;0</f>
        <v>0</v>
      </c>
      <c r="I18" s="64" t="b">
        <f>COUNTIF(TargetStatus!A:A,A18)&gt;0</f>
        <v>1</v>
      </c>
      <c r="J18" s="64" t="b">
        <f>COUNTIF(CostStatus!B:B,A18)&gt;0</f>
        <v>1</v>
      </c>
      <c r="K18" s="64" t="b">
        <f>COUNTIF(States!A:A,A18)&gt;0</f>
        <v>0</v>
      </c>
      <c r="L18" s="64" t="b">
        <f t="shared" si="2"/>
        <v>1</v>
      </c>
      <c r="M18" s="64" t="b">
        <f>IF(A18="","",COUNTIF(Targets!A:A,A18)&gt;1)</f>
        <v>0</v>
      </c>
      <c r="N18" s="64" t="b">
        <f>IF(A18="","",COUNTIF(States!A:A,A18)&gt;1)</f>
        <v>0</v>
      </c>
      <c r="O18" s="64" t="b">
        <f>IFERROR(__xludf.DUMMYFUNCTION("IF(
 B18="""",
 """",
 SWITCH(
  B18,
  ""BUILDING"",COUNTIF(Buildings!A:A,A18)&gt;0,
  ""CITADEL"",COUNTIF(Citadel!A:A,A18)&gt;0,
  ""COLLECTION"",COUNTIF(Collections!A:A,A18)&gt;0,
  ""CRAFTIFACT"",COUNTIF(Craftifacts!A:A,A18)&gt;0,
  ""QUEST"",
   COUNTIF(
    Que"&amp;"sts!A:A,
    REGEXREPLACE(A18,""\.(accepted|finished)$"","""")
   )&gt;0,
  ""TECH"",COUNTIF(Technologies!A:A,A18)&gt;0,
  ""STATE"",COUNTIF(States!A:A,A18)&gt;0,
  FALSE
 )
)"),TRUE)</f>
        <v>1</v>
      </c>
      <c r="P18" s="64" t="str">
        <f t="shared" si="3"/>
        <v>Good</v>
      </c>
      <c r="Q18" s="65"/>
      <c r="R18" s="65"/>
      <c r="S18" s="65"/>
      <c r="T18" s="65"/>
      <c r="U18" s="6"/>
      <c r="V18" s="63" t="str">
        <f>IFERROR(__xludf.DUMMYFUNCTION("""COMPUTED_VALUE"""),"building.caravan@3")</f>
        <v>building.caravan@3</v>
      </c>
      <c r="W18" s="65"/>
      <c r="X18" s="65"/>
      <c r="Y18" s="65"/>
      <c r="Z18" s="65"/>
      <c r="AA18" s="65"/>
      <c r="AB18" s="65"/>
      <c r="AC18" s="65"/>
      <c r="AD18" s="63"/>
      <c r="AE18" s="63"/>
      <c r="AF18" s="63"/>
      <c r="AG18" s="63"/>
      <c r="AH18" s="6"/>
      <c r="AI18" s="63"/>
      <c r="AJ18" s="6"/>
      <c r="AK18" s="6"/>
      <c r="AL18" s="63"/>
      <c r="AM18" s="63"/>
      <c r="AN18" s="63"/>
      <c r="AO18" s="63"/>
      <c r="AP18" s="63"/>
      <c r="AQ18" s="63"/>
      <c r="AR18" s="63"/>
      <c r="AS18" s="63"/>
      <c r="AT18" s="6"/>
      <c r="AU18" s="63"/>
      <c r="AV18" s="6"/>
      <c r="AW18" s="6"/>
      <c r="AX18" s="63"/>
      <c r="AY18" s="63"/>
    </row>
    <row r="19" ht="14.25" customHeight="1">
      <c r="A19" s="26" t="str">
        <f t="shared" si="1"/>
        <v>building.caravan@4</v>
      </c>
      <c r="B19" s="26" t="str">
        <f t="array" ref="B19">_xlfn.XLOOKUP(A19,Targets!A:A,Targets!C:C,"")</f>
        <v>BUILDING</v>
      </c>
      <c r="C19" s="64" t="b">
        <f>COUNTIF(Targets!A:A,A19)&gt;0</f>
        <v>1</v>
      </c>
      <c r="D19" s="64" t="b">
        <f>IF(
 OR(
  LEFT(A19,15)="state.character",
  RIGHT(A19,6)=".maxed"
 ),
 TRUE,
 COUNTIF(Checklist!A:A,A19)&gt;0
)</f>
        <v>1</v>
      </c>
      <c r="E19" s="64" t="b">
        <f>IF(
 OR(
  LEFT(A19,15)="state.character",
  RIGHT(A19,6)=".maxed",
  A19="building.guild@1",
  A19="quest.build_the_guild.accepted",
  A19="quest.build_the_pagoda.accepted"
 ),
 TRUE,
 COUNTIF(Dependencies!A:A,A19)&gt;0
)</f>
        <v>1</v>
      </c>
      <c r="F19" s="64" t="b">
        <f>COUNTIF(Dependencies!B:B,A19)&gt;0</f>
        <v>0</v>
      </c>
      <c r="G19" s="64" t="b">
        <f>COUNTIF(QuestObjectives!A:A,A19)&gt;0</f>
        <v>0</v>
      </c>
      <c r="H19" s="64" t="b">
        <f>COUNTIF(QuestObjectives!E:E,A19)&gt;0</f>
        <v>0</v>
      </c>
      <c r="I19" s="64" t="b">
        <f>COUNTIF(TargetStatus!A:A,A19)&gt;0</f>
        <v>1</v>
      </c>
      <c r="J19" s="64" t="b">
        <f>COUNTIF(CostStatus!B:B,A19)&gt;0</f>
        <v>1</v>
      </c>
      <c r="K19" s="64" t="b">
        <f>COUNTIF(States!A:A,A19)&gt;0</f>
        <v>0</v>
      </c>
      <c r="L19" s="64" t="b">
        <f t="shared" si="2"/>
        <v>1</v>
      </c>
      <c r="M19" s="64" t="b">
        <f>IF(A19="","",COUNTIF(Targets!A:A,A19)&gt;1)</f>
        <v>0</v>
      </c>
      <c r="N19" s="64" t="b">
        <f>IF(A19="","",COUNTIF(States!A:A,A19)&gt;1)</f>
        <v>0</v>
      </c>
      <c r="O19" s="64" t="b">
        <f>IFERROR(__xludf.DUMMYFUNCTION("IF(
 B19="""",
 """",
 SWITCH(
  B19,
  ""BUILDING"",COUNTIF(Buildings!A:A,A19)&gt;0,
  ""CITADEL"",COUNTIF(Citadel!A:A,A19)&gt;0,
  ""COLLECTION"",COUNTIF(Collections!A:A,A19)&gt;0,
  ""CRAFTIFACT"",COUNTIF(Craftifacts!A:A,A19)&gt;0,
  ""QUEST"",
   COUNTIF(
    Que"&amp;"sts!A:A,
    REGEXREPLACE(A19,""\.(accepted|finished)$"","""")
   )&gt;0,
  ""TECH"",COUNTIF(Technologies!A:A,A19)&gt;0,
  ""STATE"",COUNTIF(States!A:A,A19)&gt;0,
  FALSE
 )
)"),TRUE)</f>
        <v>1</v>
      </c>
      <c r="P19" s="64" t="str">
        <f t="shared" si="3"/>
        <v>Good</v>
      </c>
      <c r="Q19" s="65"/>
      <c r="R19" s="65"/>
      <c r="S19" s="65"/>
      <c r="T19" s="65"/>
      <c r="U19" s="6"/>
      <c r="V19" s="63" t="str">
        <f>IFERROR(__xludf.DUMMYFUNCTION("""COMPUTED_VALUE"""),"building.caravan@4")</f>
        <v>building.caravan@4</v>
      </c>
      <c r="W19" s="65"/>
      <c r="X19" s="65"/>
      <c r="Y19" s="65"/>
      <c r="Z19" s="65"/>
      <c r="AA19" s="65"/>
      <c r="AB19" s="65"/>
      <c r="AC19" s="65"/>
      <c r="AD19" s="63"/>
      <c r="AE19" s="63"/>
      <c r="AF19" s="63"/>
      <c r="AG19" s="63"/>
      <c r="AH19" s="6"/>
      <c r="AI19" s="63"/>
      <c r="AJ19" s="6"/>
      <c r="AK19" s="6"/>
      <c r="AL19" s="63"/>
      <c r="AM19" s="63"/>
      <c r="AN19" s="63"/>
      <c r="AO19" s="63"/>
      <c r="AP19" s="63"/>
      <c r="AQ19" s="63"/>
      <c r="AR19" s="63"/>
      <c r="AS19" s="63"/>
      <c r="AT19" s="6"/>
      <c r="AU19" s="63"/>
      <c r="AV19" s="6"/>
      <c r="AW19" s="6"/>
      <c r="AX19" s="63"/>
      <c r="AY19" s="63"/>
    </row>
    <row r="20" ht="14.25" customHeight="1">
      <c r="A20" s="26" t="str">
        <f t="shared" si="1"/>
        <v>building.chicken@1</v>
      </c>
      <c r="B20" s="26" t="str">
        <f t="array" ref="B20">_xlfn.XLOOKUP(A20,Targets!A:A,Targets!C:C,"")</f>
        <v>BUILDING</v>
      </c>
      <c r="C20" s="64" t="b">
        <f>COUNTIF(Targets!A:A,A20)&gt;0</f>
        <v>1</v>
      </c>
      <c r="D20" s="64" t="b">
        <f>IF(
 OR(
  LEFT(A20,15)="state.character",
  RIGHT(A20,6)=".maxed"
 ),
 TRUE,
 COUNTIF(Checklist!A:A,A20)&gt;0
)</f>
        <v>1</v>
      </c>
      <c r="E20" s="64" t="b">
        <f>IF(
 OR(
  LEFT(A20,15)="state.character",
  RIGHT(A20,6)=".maxed",
  A20="building.guild@1",
  A20="quest.build_the_guild.accepted",
  A20="quest.build_the_pagoda.accepted"
 ),
 TRUE,
 COUNTIF(Dependencies!A:A,A20)&gt;0
)</f>
        <v>1</v>
      </c>
      <c r="F20" s="64" t="b">
        <f>COUNTIF(Dependencies!B:B,A20)&gt;0</f>
        <v>1</v>
      </c>
      <c r="G20" s="64" t="b">
        <f>COUNTIF(QuestObjectives!A:A,A20)&gt;0</f>
        <v>0</v>
      </c>
      <c r="H20" s="64" t="b">
        <f>COUNTIF(QuestObjectives!E:E,A20)&gt;0</f>
        <v>0</v>
      </c>
      <c r="I20" s="64" t="b">
        <f>COUNTIF(TargetStatus!A:A,A20)&gt;0</f>
        <v>1</v>
      </c>
      <c r="J20" s="64" t="b">
        <f>COUNTIF(CostStatus!B:B,A20)&gt;0</f>
        <v>1</v>
      </c>
      <c r="K20" s="64" t="b">
        <f>COUNTIF(States!A:A,A20)&gt;0</f>
        <v>0</v>
      </c>
      <c r="L20" s="64" t="b">
        <f t="shared" si="2"/>
        <v>1</v>
      </c>
      <c r="M20" s="64" t="b">
        <f>IF(A20="","",COUNTIF(Targets!A:A,A20)&gt;1)</f>
        <v>0</v>
      </c>
      <c r="N20" s="64" t="b">
        <f>IF(A20="","",COUNTIF(States!A:A,A20)&gt;1)</f>
        <v>0</v>
      </c>
      <c r="O20" s="64" t="b">
        <f>IFERROR(__xludf.DUMMYFUNCTION("IF(
 B20="""",
 """",
 SWITCH(
  B20,
  ""BUILDING"",COUNTIF(Buildings!A:A,A20)&gt;0,
  ""CITADEL"",COUNTIF(Citadel!A:A,A20)&gt;0,
  ""COLLECTION"",COUNTIF(Collections!A:A,A20)&gt;0,
  ""CRAFTIFACT"",COUNTIF(Craftifacts!A:A,A20)&gt;0,
  ""QUEST"",
   COUNTIF(
    Que"&amp;"sts!A:A,
    REGEXREPLACE(A20,""\.(accepted|finished)$"","""")
   )&gt;0,
  ""TECH"",COUNTIF(Technologies!A:A,A20)&gt;0,
  ""STATE"",COUNTIF(States!A:A,A20)&gt;0,
  FALSE
 )
)"),TRUE)</f>
        <v>1</v>
      </c>
      <c r="P20" s="64" t="str">
        <f t="shared" si="3"/>
        <v>Good</v>
      </c>
      <c r="Q20" s="65"/>
      <c r="R20" s="65"/>
      <c r="S20" s="65"/>
      <c r="T20" s="65"/>
      <c r="U20" s="6"/>
      <c r="V20" s="63" t="str">
        <f>IFERROR(__xludf.DUMMYFUNCTION("""COMPUTED_VALUE"""),"building.chicken@1")</f>
        <v>building.chicken@1</v>
      </c>
      <c r="W20" s="65"/>
      <c r="X20" s="65"/>
      <c r="Y20" s="65"/>
      <c r="Z20" s="65"/>
      <c r="AA20" s="65"/>
      <c r="AB20" s="65"/>
      <c r="AC20" s="65"/>
      <c r="AD20" s="63"/>
      <c r="AE20" s="63"/>
      <c r="AF20" s="63"/>
      <c r="AG20" s="63"/>
      <c r="AH20" s="6"/>
      <c r="AI20" s="63"/>
      <c r="AJ20" s="6"/>
      <c r="AK20" s="6"/>
      <c r="AL20" s="63"/>
      <c r="AM20" s="63"/>
      <c r="AN20" s="63"/>
      <c r="AO20" s="63"/>
      <c r="AP20" s="63"/>
      <c r="AQ20" s="63"/>
      <c r="AR20" s="63"/>
      <c r="AS20" s="63"/>
      <c r="AT20" s="6"/>
      <c r="AU20" s="63"/>
      <c r="AV20" s="6"/>
      <c r="AW20" s="6"/>
      <c r="AX20" s="63"/>
      <c r="AY20" s="63"/>
    </row>
    <row r="21" ht="14.25" customHeight="1">
      <c r="A21" s="26" t="str">
        <f t="shared" si="1"/>
        <v>building.chicken@2</v>
      </c>
      <c r="B21" s="26" t="str">
        <f t="array" ref="B21">_xlfn.XLOOKUP(A21,Targets!A:A,Targets!C:C,"")</f>
        <v>BUILDING</v>
      </c>
      <c r="C21" s="64" t="b">
        <f>COUNTIF(Targets!A:A,A21)&gt;0</f>
        <v>1</v>
      </c>
      <c r="D21" s="64" t="b">
        <f>IF(
 OR(
  LEFT(A21,15)="state.character",
  RIGHT(A21,6)=".maxed"
 ),
 TRUE,
 COUNTIF(Checklist!A:A,A21)&gt;0
)</f>
        <v>1</v>
      </c>
      <c r="E21" s="64" t="b">
        <f>IF(
 OR(
  LEFT(A21,15)="state.character",
  RIGHT(A21,6)=".maxed",
  A21="building.guild@1",
  A21="quest.build_the_guild.accepted",
  A21="quest.build_the_pagoda.accepted"
 ),
 TRUE,
 COUNTIF(Dependencies!A:A,A21)&gt;0
)</f>
        <v>1</v>
      </c>
      <c r="F21" s="64" t="b">
        <f>COUNTIF(Dependencies!B:B,A21)&gt;0</f>
        <v>0</v>
      </c>
      <c r="G21" s="64" t="b">
        <f>COUNTIF(QuestObjectives!A:A,A21)&gt;0</f>
        <v>0</v>
      </c>
      <c r="H21" s="64" t="b">
        <f>COUNTIF(QuestObjectives!E:E,A21)&gt;0</f>
        <v>0</v>
      </c>
      <c r="I21" s="64" t="b">
        <f>COUNTIF(TargetStatus!A:A,A21)&gt;0</f>
        <v>1</v>
      </c>
      <c r="J21" s="64" t="b">
        <f>COUNTIF(CostStatus!B:B,A21)&gt;0</f>
        <v>1</v>
      </c>
      <c r="K21" s="64" t="b">
        <f>COUNTIF(States!A:A,A21)&gt;0</f>
        <v>0</v>
      </c>
      <c r="L21" s="64" t="b">
        <f t="shared" si="2"/>
        <v>1</v>
      </c>
      <c r="M21" s="64" t="b">
        <f>IF(A21="","",COUNTIF(Targets!A:A,A21)&gt;1)</f>
        <v>0</v>
      </c>
      <c r="N21" s="64" t="b">
        <f>IF(A21="","",COUNTIF(States!A:A,A21)&gt;1)</f>
        <v>0</v>
      </c>
      <c r="O21" s="64" t="b">
        <f>IFERROR(__xludf.DUMMYFUNCTION("IF(
 B21="""",
 """",
 SWITCH(
  B21,
  ""BUILDING"",COUNTIF(Buildings!A:A,A21)&gt;0,
  ""CITADEL"",COUNTIF(Citadel!A:A,A21)&gt;0,
  ""COLLECTION"",COUNTIF(Collections!A:A,A21)&gt;0,
  ""CRAFTIFACT"",COUNTIF(Craftifacts!A:A,A21)&gt;0,
  ""QUEST"",
   COUNTIF(
    Que"&amp;"sts!A:A,
    REGEXREPLACE(A21,""\.(accepted|finished)$"","""")
   )&gt;0,
  ""TECH"",COUNTIF(Technologies!A:A,A21)&gt;0,
  ""STATE"",COUNTIF(States!A:A,A21)&gt;0,
  FALSE
 )
)"),TRUE)</f>
        <v>1</v>
      </c>
      <c r="P21" s="64" t="str">
        <f t="shared" si="3"/>
        <v>Good</v>
      </c>
      <c r="Q21" s="65"/>
      <c r="R21" s="65"/>
      <c r="S21" s="65"/>
      <c r="T21" s="65"/>
      <c r="U21" s="6"/>
      <c r="V21" s="63" t="str">
        <f>IFERROR(__xludf.DUMMYFUNCTION("""COMPUTED_VALUE"""),"building.chicken@2")</f>
        <v>building.chicken@2</v>
      </c>
      <c r="W21" s="65"/>
      <c r="X21" s="65"/>
      <c r="Y21" s="65"/>
      <c r="Z21" s="65"/>
      <c r="AA21" s="65"/>
      <c r="AB21" s="65"/>
      <c r="AC21" s="65"/>
      <c r="AD21" s="63"/>
      <c r="AE21" s="63"/>
      <c r="AF21" s="63"/>
      <c r="AG21" s="63"/>
      <c r="AH21" s="6"/>
      <c r="AI21" s="63"/>
      <c r="AJ21" s="6"/>
      <c r="AK21" s="6"/>
      <c r="AL21" s="63"/>
      <c r="AM21" s="63"/>
      <c r="AN21" s="63"/>
      <c r="AO21" s="63"/>
      <c r="AP21" s="63"/>
      <c r="AQ21" s="63"/>
      <c r="AR21" s="63"/>
      <c r="AS21" s="63"/>
      <c r="AT21" s="6"/>
      <c r="AU21" s="63"/>
      <c r="AV21" s="6"/>
      <c r="AW21" s="6"/>
      <c r="AX21" s="63"/>
      <c r="AY21" s="63"/>
    </row>
    <row r="22" ht="14.25" customHeight="1">
      <c r="A22" s="26" t="str">
        <f t="shared" si="1"/>
        <v>building.dairy.maxed</v>
      </c>
      <c r="B22" s="26" t="str">
        <f t="array" ref="B22">_xlfn.XLOOKUP(A22,Targets!A:A,Targets!C:C,"")</f>
        <v>BUILDING</v>
      </c>
      <c r="C22" s="64" t="b">
        <f>COUNTIF(Targets!A:A,A22)&gt;0</f>
        <v>1</v>
      </c>
      <c r="D22" s="64" t="b">
        <f>IF(
 OR(
  LEFT(A22,15)="state.character",
  RIGHT(A22,6)=".maxed"
 ),
 TRUE,
 COUNTIF(Checklist!A:A,A22)&gt;0
)</f>
        <v>1</v>
      </c>
      <c r="E22" s="64" t="b">
        <f>IF(
 OR(
  LEFT(A22,15)="state.character",
  RIGHT(A22,6)=".maxed",
  A22="building.guild@1",
  A22="quest.build_the_guild.accepted",
  A22="quest.build_the_pagoda.accepted"
 ),
 TRUE,
 COUNTIF(Dependencies!A:A,A22)&gt;0
)</f>
        <v>1</v>
      </c>
      <c r="F22" s="64" t="b">
        <f>COUNTIF(Dependencies!B:B,A22)&gt;0</f>
        <v>1</v>
      </c>
      <c r="G22" s="64" t="b">
        <f>COUNTIF(QuestObjectives!A:A,A22)&gt;0</f>
        <v>0</v>
      </c>
      <c r="H22" s="64" t="b">
        <f>COUNTIF(QuestObjectives!E:E,A22)&gt;0</f>
        <v>0</v>
      </c>
      <c r="I22" s="64" t="b">
        <f>COUNTIF(TargetStatus!A:A,A22)&gt;0</f>
        <v>1</v>
      </c>
      <c r="J22" s="64" t="b">
        <f>COUNTIF(CostStatus!B:B,A22)&gt;0</f>
        <v>0</v>
      </c>
      <c r="K22" s="64" t="b">
        <f>COUNTIF(States!A:A,A22)&gt;0</f>
        <v>0</v>
      </c>
      <c r="L22" s="64" t="b">
        <f t="shared" si="2"/>
        <v>1</v>
      </c>
      <c r="M22" s="64" t="b">
        <f>IF(A22="","",COUNTIF(Targets!A:A,A22)&gt;1)</f>
        <v>0</v>
      </c>
      <c r="N22" s="64" t="b">
        <f>IF(A22="","",COUNTIF(States!A:A,A22)&gt;1)</f>
        <v>0</v>
      </c>
      <c r="O22" s="64" t="b">
        <f>IFERROR(__xludf.DUMMYFUNCTION("IF(
 B22="""",
 """",
 SWITCH(
  B22,
  ""BUILDING"",COUNTIF(Buildings!A:A,A22)&gt;0,
  ""CITADEL"",COUNTIF(Citadel!A:A,A22)&gt;0,
  ""COLLECTION"",COUNTIF(Collections!A:A,A22)&gt;0,
  ""CRAFTIFACT"",COUNTIF(Craftifacts!A:A,A22)&gt;0,
  ""QUEST"",
   COUNTIF(
    Que"&amp;"sts!A:A,
    REGEXREPLACE(A22,""\.(accepted|finished)$"","""")
   )&gt;0,
  ""TECH"",COUNTIF(Technologies!A:A,A22)&gt;0,
  ""STATE"",COUNTIF(States!A:A,A22)&gt;0,
  FALSE
 )
)"),FALSE)</f>
        <v>0</v>
      </c>
      <c r="P22" s="64" t="str">
        <f t="shared" si="3"/>
        <v>Good</v>
      </c>
      <c r="Q22" s="65"/>
      <c r="R22" s="65"/>
      <c r="S22" s="65"/>
      <c r="T22" s="65"/>
      <c r="U22" s="6"/>
      <c r="V22" s="63" t="str">
        <f>IFERROR(__xludf.DUMMYFUNCTION("""COMPUTED_VALUE"""),"building.dairy.maxed")</f>
        <v>building.dairy.maxed</v>
      </c>
      <c r="W22" s="65"/>
      <c r="X22" s="65"/>
      <c r="Y22" s="65"/>
      <c r="Z22" s="65"/>
      <c r="AA22" s="65"/>
      <c r="AB22" s="65"/>
      <c r="AC22" s="65"/>
      <c r="AD22" s="63"/>
      <c r="AE22" s="63"/>
      <c r="AF22" s="63"/>
      <c r="AG22" s="63"/>
      <c r="AH22" s="6"/>
      <c r="AI22" s="63"/>
      <c r="AJ22" s="6"/>
      <c r="AK22" s="6"/>
      <c r="AL22" s="63"/>
      <c r="AM22" s="63"/>
      <c r="AN22" s="63"/>
      <c r="AO22" s="63"/>
      <c r="AP22" s="63"/>
      <c r="AQ22" s="63"/>
      <c r="AR22" s="63"/>
      <c r="AS22" s="63"/>
      <c r="AT22" s="6"/>
      <c r="AU22" s="63"/>
      <c r="AV22" s="6"/>
      <c r="AW22" s="6"/>
      <c r="AX22" s="63"/>
      <c r="AY22" s="63"/>
    </row>
    <row r="23" ht="14.25" customHeight="1">
      <c r="A23" s="26" t="str">
        <f t="shared" si="1"/>
        <v>building.dairy@1</v>
      </c>
      <c r="B23" s="26" t="str">
        <f t="array" ref="B23">_xlfn.XLOOKUP(A23,Targets!A:A,Targets!C:C,"")</f>
        <v>BUILDING</v>
      </c>
      <c r="C23" s="64" t="b">
        <f>COUNTIF(Targets!A:A,A23)&gt;0</f>
        <v>1</v>
      </c>
      <c r="D23" s="64" t="b">
        <f>IF(
 OR(
  LEFT(A23,15)="state.character",
  RIGHT(A23,6)=".maxed"
 ),
 TRUE,
 COUNTIF(Checklist!A:A,A23)&gt;0
)</f>
        <v>1</v>
      </c>
      <c r="E23" s="64" t="b">
        <f>IF(
 OR(
  LEFT(A23,15)="state.character",
  RIGHT(A23,6)=".maxed",
  A23="building.guild@1",
  A23="quest.build_the_guild.accepted",
  A23="quest.build_the_pagoda.accepted"
 ),
 TRUE,
 COUNTIF(Dependencies!A:A,A23)&gt;0
)</f>
        <v>1</v>
      </c>
      <c r="F23" s="64" t="b">
        <f>COUNTIF(Dependencies!B:B,A23)&gt;0</f>
        <v>1</v>
      </c>
      <c r="G23" s="64" t="b">
        <f>COUNTIF(QuestObjectives!A:A,A23)&gt;0</f>
        <v>0</v>
      </c>
      <c r="H23" s="64" t="b">
        <f>COUNTIF(QuestObjectives!E:E,A23)&gt;0</f>
        <v>0</v>
      </c>
      <c r="I23" s="64" t="b">
        <f>COUNTIF(TargetStatus!A:A,A23)&gt;0</f>
        <v>1</v>
      </c>
      <c r="J23" s="64" t="b">
        <f>COUNTIF(CostStatus!B:B,A23)&gt;0</f>
        <v>1</v>
      </c>
      <c r="K23" s="64" t="b">
        <f>COUNTIF(States!A:A,A23)&gt;0</f>
        <v>0</v>
      </c>
      <c r="L23" s="64" t="b">
        <f t="shared" si="2"/>
        <v>1</v>
      </c>
      <c r="M23" s="64" t="b">
        <f>IF(A23="","",COUNTIF(Targets!A:A,A23)&gt;1)</f>
        <v>0</v>
      </c>
      <c r="N23" s="64" t="b">
        <f>IF(A23="","",COUNTIF(States!A:A,A23)&gt;1)</f>
        <v>0</v>
      </c>
      <c r="O23" s="64" t="b">
        <f>IFERROR(__xludf.DUMMYFUNCTION("IF(
 B23="""",
 """",
 SWITCH(
  B23,
  ""BUILDING"",COUNTIF(Buildings!A:A,A23)&gt;0,
  ""CITADEL"",COUNTIF(Citadel!A:A,A23)&gt;0,
  ""COLLECTION"",COUNTIF(Collections!A:A,A23)&gt;0,
  ""CRAFTIFACT"",COUNTIF(Craftifacts!A:A,A23)&gt;0,
  ""QUEST"",
   COUNTIF(
    Que"&amp;"sts!A:A,
    REGEXREPLACE(A23,""\.(accepted|finished)$"","""")
   )&gt;0,
  ""TECH"",COUNTIF(Technologies!A:A,A23)&gt;0,
  ""STATE"",COUNTIF(States!A:A,A23)&gt;0,
  FALSE
 )
)"),TRUE)</f>
        <v>1</v>
      </c>
      <c r="P23" s="64" t="str">
        <f t="shared" si="3"/>
        <v>Good</v>
      </c>
      <c r="Q23" s="65"/>
      <c r="R23" s="65"/>
      <c r="S23" s="65"/>
      <c r="T23" s="65"/>
      <c r="U23" s="6"/>
      <c r="V23" s="63" t="str">
        <f>IFERROR(__xludf.DUMMYFUNCTION("""COMPUTED_VALUE"""),"building.dairy@1")</f>
        <v>building.dairy@1</v>
      </c>
      <c r="W23" s="65"/>
      <c r="X23" s="65"/>
      <c r="Y23" s="65"/>
      <c r="Z23" s="65"/>
      <c r="AA23" s="65"/>
      <c r="AB23" s="65"/>
      <c r="AC23" s="65"/>
      <c r="AD23" s="63"/>
      <c r="AE23" s="63"/>
      <c r="AF23" s="63"/>
      <c r="AG23" s="63"/>
      <c r="AH23" s="6"/>
      <c r="AI23" s="63"/>
      <c r="AJ23" s="6"/>
      <c r="AK23" s="6"/>
      <c r="AL23" s="63"/>
      <c r="AM23" s="63"/>
      <c r="AN23" s="63"/>
      <c r="AO23" s="63"/>
      <c r="AP23" s="63"/>
      <c r="AQ23" s="63"/>
      <c r="AR23" s="63"/>
      <c r="AS23" s="63"/>
      <c r="AT23" s="6"/>
      <c r="AU23" s="63"/>
      <c r="AV23" s="6"/>
      <c r="AW23" s="6"/>
      <c r="AX23" s="63"/>
      <c r="AY23" s="63"/>
    </row>
    <row r="24" ht="14.25" customHeight="1">
      <c r="A24" s="26" t="str">
        <f t="shared" si="1"/>
        <v>building.dairy@2</v>
      </c>
      <c r="B24" s="26" t="str">
        <f t="array" ref="B24">_xlfn.XLOOKUP(A24,Targets!A:A,Targets!C:C,"")</f>
        <v>BUILDING</v>
      </c>
      <c r="C24" s="64" t="b">
        <f>COUNTIF(Targets!A:A,A24)&gt;0</f>
        <v>1</v>
      </c>
      <c r="D24" s="64" t="b">
        <f>IF(
 OR(
  LEFT(A24,15)="state.character",
  RIGHT(A24,6)=".maxed"
 ),
 TRUE,
 COUNTIF(Checklist!A:A,A24)&gt;0
)</f>
        <v>1</v>
      </c>
      <c r="E24" s="64" t="b">
        <f>IF(
 OR(
  LEFT(A24,15)="state.character",
  RIGHT(A24,6)=".maxed",
  A24="building.guild@1",
  A24="quest.build_the_guild.accepted",
  A24="quest.build_the_pagoda.accepted"
 ),
 TRUE,
 COUNTIF(Dependencies!A:A,A24)&gt;0
)</f>
        <v>1</v>
      </c>
      <c r="F24" s="64" t="b">
        <f>COUNTIF(Dependencies!B:B,A24)&gt;0</f>
        <v>1</v>
      </c>
      <c r="G24" s="64" t="b">
        <f>COUNTIF(QuestObjectives!A:A,A24)&gt;0</f>
        <v>0</v>
      </c>
      <c r="H24" s="64" t="b">
        <f>COUNTIF(QuestObjectives!E:E,A24)&gt;0</f>
        <v>0</v>
      </c>
      <c r="I24" s="64" t="b">
        <f>COUNTIF(TargetStatus!A:A,A24)&gt;0</f>
        <v>1</v>
      </c>
      <c r="J24" s="64" t="b">
        <f>COUNTIF(CostStatus!B:B,A24)&gt;0</f>
        <v>1</v>
      </c>
      <c r="K24" s="64" t="b">
        <f>COUNTIF(States!A:A,A24)&gt;0</f>
        <v>0</v>
      </c>
      <c r="L24" s="64" t="b">
        <f t="shared" si="2"/>
        <v>1</v>
      </c>
      <c r="M24" s="64" t="b">
        <f>IF(A24="","",COUNTIF(Targets!A:A,A24)&gt;1)</f>
        <v>0</v>
      </c>
      <c r="N24" s="64" t="b">
        <f>IF(A24="","",COUNTIF(States!A:A,A24)&gt;1)</f>
        <v>0</v>
      </c>
      <c r="O24" s="64" t="b">
        <f>IFERROR(__xludf.DUMMYFUNCTION("IF(
 B24="""",
 """",
 SWITCH(
  B24,
  ""BUILDING"",COUNTIF(Buildings!A:A,A24)&gt;0,
  ""CITADEL"",COUNTIF(Citadel!A:A,A24)&gt;0,
  ""COLLECTION"",COUNTIF(Collections!A:A,A24)&gt;0,
  ""CRAFTIFACT"",COUNTIF(Craftifacts!A:A,A24)&gt;0,
  ""QUEST"",
   COUNTIF(
    Que"&amp;"sts!A:A,
    REGEXREPLACE(A24,""\.(accepted|finished)$"","""")
   )&gt;0,
  ""TECH"",COUNTIF(Technologies!A:A,A24)&gt;0,
  ""STATE"",COUNTIF(States!A:A,A24)&gt;0,
  FALSE
 )
)"),TRUE)</f>
        <v>1</v>
      </c>
      <c r="P24" s="64" t="str">
        <f t="shared" si="3"/>
        <v>Good</v>
      </c>
      <c r="Q24" s="65"/>
      <c r="R24" s="65"/>
      <c r="S24" s="65"/>
      <c r="T24" s="65"/>
      <c r="U24" s="6"/>
      <c r="V24" s="63" t="str">
        <f>IFERROR(__xludf.DUMMYFUNCTION("""COMPUTED_VALUE"""),"building.dairy@2")</f>
        <v>building.dairy@2</v>
      </c>
      <c r="W24" s="65"/>
      <c r="X24" s="65"/>
      <c r="Y24" s="65"/>
      <c r="Z24" s="65"/>
      <c r="AA24" s="65"/>
      <c r="AB24" s="65"/>
      <c r="AC24" s="65"/>
      <c r="AD24" s="63"/>
      <c r="AE24" s="63"/>
      <c r="AF24" s="63"/>
      <c r="AG24" s="63"/>
      <c r="AH24" s="6"/>
      <c r="AI24" s="63"/>
      <c r="AJ24" s="6"/>
      <c r="AK24" s="6"/>
      <c r="AL24" s="63"/>
      <c r="AM24" s="63"/>
      <c r="AN24" s="63"/>
      <c r="AO24" s="63"/>
      <c r="AP24" s="63"/>
      <c r="AQ24" s="63"/>
      <c r="AR24" s="63"/>
      <c r="AS24" s="63"/>
      <c r="AT24" s="6"/>
      <c r="AU24" s="63"/>
      <c r="AV24" s="6"/>
      <c r="AW24" s="6"/>
      <c r="AX24" s="63"/>
      <c r="AY24" s="63"/>
    </row>
    <row r="25" ht="14.25" customHeight="1">
      <c r="A25" s="26" t="str">
        <f t="shared" si="1"/>
        <v>building.dungeon.maxed</v>
      </c>
      <c r="B25" s="26" t="str">
        <f t="array" ref="B25">_xlfn.XLOOKUP(A25,Targets!A:A,Targets!C:C,"")</f>
        <v>BUILDING</v>
      </c>
      <c r="C25" s="64" t="b">
        <f>COUNTIF(Targets!A:A,A25)&gt;0</f>
        <v>1</v>
      </c>
      <c r="D25" s="64" t="b">
        <f>IF(
 OR(
  LEFT(A25,15)="state.character",
  RIGHT(A25,6)=".maxed"
 ),
 TRUE,
 COUNTIF(Checklist!A:A,A25)&gt;0
)</f>
        <v>1</v>
      </c>
      <c r="E25" s="64" t="b">
        <f>IF(
 OR(
  LEFT(A25,15)="state.character",
  RIGHT(A25,6)=".maxed",
  A25="building.guild@1",
  A25="quest.build_the_guild.accepted",
  A25="quest.build_the_pagoda.accepted"
 ),
 TRUE,
 COUNTIF(Dependencies!A:A,A25)&gt;0
)</f>
        <v>1</v>
      </c>
      <c r="F25" s="64" t="b">
        <f>COUNTIF(Dependencies!B:B,A25)&gt;0</f>
        <v>0</v>
      </c>
      <c r="G25" s="64" t="b">
        <f>COUNTIF(QuestObjectives!A:A,A25)&gt;0</f>
        <v>0</v>
      </c>
      <c r="H25" s="64" t="b">
        <f>COUNTIF(QuestObjectives!E:E,A25)&gt;0</f>
        <v>0</v>
      </c>
      <c r="I25" s="64" t="b">
        <f>COUNTIF(TargetStatus!A:A,A25)&gt;0</f>
        <v>1</v>
      </c>
      <c r="J25" s="64" t="b">
        <f>COUNTIF(CostStatus!B:B,A25)&gt;0</f>
        <v>0</v>
      </c>
      <c r="K25" s="64" t="b">
        <f>COUNTIF(States!A:A,A25)&gt;0</f>
        <v>0</v>
      </c>
      <c r="L25" s="64" t="b">
        <f t="shared" si="2"/>
        <v>1</v>
      </c>
      <c r="M25" s="64" t="b">
        <f>IF(A25="","",COUNTIF(Targets!A:A,A25)&gt;1)</f>
        <v>0</v>
      </c>
      <c r="N25" s="64" t="b">
        <f>IF(A25="","",COUNTIF(States!A:A,A25)&gt;1)</f>
        <v>0</v>
      </c>
      <c r="O25" s="64" t="b">
        <f>IFERROR(__xludf.DUMMYFUNCTION("IF(
 B25="""",
 """",
 SWITCH(
  B25,
  ""BUILDING"",COUNTIF(Buildings!A:A,A25)&gt;0,
  ""CITADEL"",COUNTIF(Citadel!A:A,A25)&gt;0,
  ""COLLECTION"",COUNTIF(Collections!A:A,A25)&gt;0,
  ""CRAFTIFACT"",COUNTIF(Craftifacts!A:A,A25)&gt;0,
  ""QUEST"",
   COUNTIF(
    Que"&amp;"sts!A:A,
    REGEXREPLACE(A25,""\.(accepted|finished)$"","""")
   )&gt;0,
  ""TECH"",COUNTIF(Technologies!A:A,A25)&gt;0,
  ""STATE"",COUNTIF(States!A:A,A25)&gt;0,
  FALSE
 )
)"),FALSE)</f>
        <v>0</v>
      </c>
      <c r="P25" s="64" t="str">
        <f t="shared" si="3"/>
        <v>Good</v>
      </c>
      <c r="Q25" s="65"/>
      <c r="R25" s="65"/>
      <c r="S25" s="65"/>
      <c r="T25" s="65"/>
      <c r="U25" s="63"/>
      <c r="V25" s="63" t="str">
        <f>IFERROR(__xludf.DUMMYFUNCTION("""COMPUTED_VALUE"""),"building.dungeon.maxed")</f>
        <v>building.dungeon.maxed</v>
      </c>
      <c r="W25" s="65"/>
      <c r="X25" s="65"/>
      <c r="Y25" s="65"/>
      <c r="Z25" s="65"/>
      <c r="AA25" s="65"/>
      <c r="AB25" s="65"/>
      <c r="AC25" s="65"/>
      <c r="AD25" s="63"/>
      <c r="AE25" s="63"/>
      <c r="AF25" s="63"/>
      <c r="AG25" s="63"/>
      <c r="AH25" s="6"/>
      <c r="AI25" s="63"/>
      <c r="AJ25" s="6"/>
      <c r="AK25" s="6"/>
      <c r="AL25" s="63"/>
      <c r="AM25" s="63"/>
      <c r="AN25" s="63"/>
      <c r="AO25" s="63"/>
      <c r="AP25" s="63"/>
      <c r="AQ25" s="63"/>
      <c r="AR25" s="63"/>
      <c r="AS25" s="63"/>
      <c r="AT25" s="6"/>
      <c r="AU25" s="63"/>
      <c r="AV25" s="6"/>
      <c r="AW25" s="6"/>
      <c r="AX25" s="63"/>
      <c r="AY25" s="63"/>
    </row>
    <row r="26" ht="14.25" customHeight="1">
      <c r="A26" s="26" t="str">
        <f t="shared" si="1"/>
        <v>building.dungeon@1</v>
      </c>
      <c r="B26" s="26" t="str">
        <f t="array" ref="B26">_xlfn.XLOOKUP(A26,Targets!A:A,Targets!C:C,"")</f>
        <v>BUILDING</v>
      </c>
      <c r="C26" s="64" t="b">
        <f>COUNTIF(Targets!A:A,A26)&gt;0</f>
        <v>1</v>
      </c>
      <c r="D26" s="64" t="b">
        <f>IF(
 OR(
  LEFT(A26,15)="state.character",
  RIGHT(A26,6)=".maxed"
 ),
 TRUE,
 COUNTIF(Checklist!A:A,A26)&gt;0
)</f>
        <v>1</v>
      </c>
      <c r="E26" s="64" t="b">
        <f>IF(
 OR(
  LEFT(A26,15)="state.character",
  RIGHT(A26,6)=".maxed",
  A26="building.guild@1",
  A26="quest.build_the_guild.accepted",
  A26="quest.build_the_pagoda.accepted"
 ),
 TRUE,
 COUNTIF(Dependencies!A:A,A26)&gt;0
)</f>
        <v>1</v>
      </c>
      <c r="F26" s="64" t="b">
        <f>COUNTIF(Dependencies!B:B,A26)&gt;0</f>
        <v>1</v>
      </c>
      <c r="G26" s="64" t="b">
        <f>COUNTIF(QuestObjectives!A:A,A26)&gt;0</f>
        <v>0</v>
      </c>
      <c r="H26" s="64" t="b">
        <f>COUNTIF(QuestObjectives!E:E,A26)&gt;0</f>
        <v>0</v>
      </c>
      <c r="I26" s="64" t="b">
        <f>COUNTIF(TargetStatus!A:A,A26)&gt;0</f>
        <v>1</v>
      </c>
      <c r="J26" s="64" t="b">
        <f>COUNTIF(CostStatus!B:B,A26)&gt;0</f>
        <v>1</v>
      </c>
      <c r="K26" s="64" t="b">
        <f>COUNTIF(States!A:A,A26)&gt;0</f>
        <v>0</v>
      </c>
      <c r="L26" s="64" t="b">
        <f t="shared" si="2"/>
        <v>1</v>
      </c>
      <c r="M26" s="64" t="b">
        <f>IF(A26="","",COUNTIF(Targets!A:A,A26)&gt;1)</f>
        <v>0</v>
      </c>
      <c r="N26" s="64" t="b">
        <f>IF(A26="","",COUNTIF(States!A:A,A26)&gt;1)</f>
        <v>0</v>
      </c>
      <c r="O26" s="64" t="b">
        <f>IFERROR(__xludf.DUMMYFUNCTION("IF(
 B26="""",
 """",
 SWITCH(
  B26,
  ""BUILDING"",COUNTIF(Buildings!A:A,A26)&gt;0,
  ""CITADEL"",COUNTIF(Citadel!A:A,A26)&gt;0,
  ""COLLECTION"",COUNTIF(Collections!A:A,A26)&gt;0,
  ""CRAFTIFACT"",COUNTIF(Craftifacts!A:A,A26)&gt;0,
  ""QUEST"",
   COUNTIF(
    Que"&amp;"sts!A:A,
    REGEXREPLACE(A26,""\.(accepted|finished)$"","""")
   )&gt;0,
  ""TECH"",COUNTIF(Technologies!A:A,A26)&gt;0,
  ""STATE"",COUNTIF(States!A:A,A26)&gt;0,
  FALSE
 )
)"),TRUE)</f>
        <v>1</v>
      </c>
      <c r="P26" s="64" t="str">
        <f t="shared" si="3"/>
        <v>Good</v>
      </c>
      <c r="Q26" s="65"/>
      <c r="R26" s="65"/>
      <c r="S26" s="65"/>
      <c r="T26" s="65"/>
      <c r="U26" s="63"/>
      <c r="V26" s="63" t="str">
        <f>IFERROR(__xludf.DUMMYFUNCTION("""COMPUTED_VALUE"""),"building.dungeon@1")</f>
        <v>building.dungeon@1</v>
      </c>
      <c r="W26" s="65"/>
      <c r="X26" s="65"/>
      <c r="Y26" s="65"/>
      <c r="Z26" s="65"/>
      <c r="AA26" s="65"/>
      <c r="AB26" s="65"/>
      <c r="AC26" s="65"/>
      <c r="AD26" s="63"/>
      <c r="AE26" s="63"/>
      <c r="AF26" s="63"/>
      <c r="AG26" s="63"/>
      <c r="AH26" s="6"/>
      <c r="AI26" s="63"/>
      <c r="AJ26" s="6"/>
      <c r="AK26" s="6"/>
      <c r="AL26" s="63"/>
      <c r="AM26" s="63"/>
      <c r="AN26" s="63"/>
      <c r="AO26" s="63"/>
      <c r="AP26" s="63"/>
      <c r="AQ26" s="63"/>
      <c r="AR26" s="63"/>
      <c r="AS26" s="63"/>
      <c r="AT26" s="6"/>
      <c r="AU26" s="63"/>
      <c r="AV26" s="6"/>
      <c r="AW26" s="6"/>
      <c r="AX26" s="63"/>
      <c r="AY26" s="63"/>
    </row>
    <row r="27" ht="14.25" customHeight="1">
      <c r="A27" s="26" t="str">
        <f t="shared" si="1"/>
        <v>building.dungeon@2</v>
      </c>
      <c r="B27" s="26" t="str">
        <f t="array" ref="B27">_xlfn.XLOOKUP(A27,Targets!A:A,Targets!C:C,"")</f>
        <v>BUILDING</v>
      </c>
      <c r="C27" s="64" t="b">
        <f>COUNTIF(Targets!A:A,A27)&gt;0</f>
        <v>1</v>
      </c>
      <c r="D27" s="64" t="b">
        <f>IF(
 OR(
  LEFT(A27,15)="state.character",
  RIGHT(A27,6)=".maxed"
 ),
 TRUE,
 COUNTIF(Checklist!A:A,A27)&gt;0
)</f>
        <v>1</v>
      </c>
      <c r="E27" s="64" t="b">
        <f>IF(
 OR(
  LEFT(A27,15)="state.character",
  RIGHT(A27,6)=".maxed",
  A27="building.guild@1",
  A27="quest.build_the_guild.accepted",
  A27="quest.build_the_pagoda.accepted"
 ),
 TRUE,
 COUNTIF(Dependencies!A:A,A27)&gt;0
)</f>
        <v>1</v>
      </c>
      <c r="F27" s="64" t="b">
        <f>COUNTIF(Dependencies!B:B,A27)&gt;0</f>
        <v>1</v>
      </c>
      <c r="G27" s="64" t="b">
        <f>COUNTIF(QuestObjectives!A:A,A27)&gt;0</f>
        <v>0</v>
      </c>
      <c r="H27" s="64" t="b">
        <f>COUNTIF(QuestObjectives!E:E,A27)&gt;0</f>
        <v>0</v>
      </c>
      <c r="I27" s="64" t="b">
        <f>COUNTIF(TargetStatus!A:A,A27)&gt;0</f>
        <v>1</v>
      </c>
      <c r="J27" s="64" t="b">
        <f>COUNTIF(CostStatus!B:B,A27)&gt;0</f>
        <v>1</v>
      </c>
      <c r="K27" s="64" t="b">
        <f>COUNTIF(States!A:A,A27)&gt;0</f>
        <v>0</v>
      </c>
      <c r="L27" s="64" t="b">
        <f t="shared" si="2"/>
        <v>1</v>
      </c>
      <c r="M27" s="64" t="b">
        <f>IF(A27="","",COUNTIF(Targets!A:A,A27)&gt;1)</f>
        <v>0</v>
      </c>
      <c r="N27" s="64" t="b">
        <f>IF(A27="","",COUNTIF(States!A:A,A27)&gt;1)</f>
        <v>0</v>
      </c>
      <c r="O27" s="64" t="b">
        <f>IFERROR(__xludf.DUMMYFUNCTION("IF(
 B27="""",
 """",
 SWITCH(
  B27,
  ""BUILDING"",COUNTIF(Buildings!A:A,A27)&gt;0,
  ""CITADEL"",COUNTIF(Citadel!A:A,A27)&gt;0,
  ""COLLECTION"",COUNTIF(Collections!A:A,A27)&gt;0,
  ""CRAFTIFACT"",COUNTIF(Craftifacts!A:A,A27)&gt;0,
  ""QUEST"",
   COUNTIF(
    Que"&amp;"sts!A:A,
    REGEXREPLACE(A27,""\.(accepted|finished)$"","""")
   )&gt;0,
  ""TECH"",COUNTIF(Technologies!A:A,A27)&gt;0,
  ""STATE"",COUNTIF(States!A:A,A27)&gt;0,
  FALSE
 )
)"),TRUE)</f>
        <v>1</v>
      </c>
      <c r="P27" s="64" t="str">
        <f t="shared" si="3"/>
        <v>Good</v>
      </c>
      <c r="Q27" s="65"/>
      <c r="R27" s="65"/>
      <c r="S27" s="65"/>
      <c r="T27" s="65"/>
      <c r="U27" s="63"/>
      <c r="V27" s="63" t="str">
        <f>IFERROR(__xludf.DUMMYFUNCTION("""COMPUTED_VALUE"""),"building.dungeon@2")</f>
        <v>building.dungeon@2</v>
      </c>
      <c r="W27" s="65"/>
      <c r="X27" s="65"/>
      <c r="Y27" s="65"/>
      <c r="Z27" s="65"/>
      <c r="AA27" s="65"/>
      <c r="AB27" s="65"/>
      <c r="AC27" s="65"/>
      <c r="AD27" s="63"/>
      <c r="AE27" s="63"/>
      <c r="AF27" s="63"/>
      <c r="AG27" s="63"/>
      <c r="AH27" s="6"/>
      <c r="AI27" s="63"/>
      <c r="AJ27" s="6"/>
      <c r="AK27" s="6"/>
      <c r="AL27" s="63"/>
      <c r="AM27" s="63"/>
      <c r="AN27" s="63"/>
      <c r="AO27" s="63"/>
      <c r="AP27" s="63"/>
      <c r="AQ27" s="63"/>
      <c r="AR27" s="63"/>
      <c r="AS27" s="63"/>
      <c r="AT27" s="6"/>
      <c r="AU27" s="63"/>
      <c r="AV27" s="6"/>
      <c r="AW27" s="6"/>
      <c r="AX27" s="63"/>
      <c r="AY27" s="63"/>
    </row>
    <row r="28" ht="14.25" customHeight="1">
      <c r="A28" s="26" t="str">
        <f t="shared" si="1"/>
        <v>building.dungeon@3</v>
      </c>
      <c r="B28" s="26" t="str">
        <f t="array" ref="B28">_xlfn.XLOOKUP(A28,Targets!A:A,Targets!C:C,"")</f>
        <v>BUILDING</v>
      </c>
      <c r="C28" s="64" t="b">
        <f>COUNTIF(Targets!A:A,A28)&gt;0</f>
        <v>1</v>
      </c>
      <c r="D28" s="64" t="b">
        <f>IF(
 OR(
  LEFT(A28,15)="state.character",
  RIGHT(A28,6)=".maxed"
 ),
 TRUE,
 COUNTIF(Checklist!A:A,A28)&gt;0
)</f>
        <v>1</v>
      </c>
      <c r="E28" s="64" t="b">
        <f>IF(
 OR(
  LEFT(A28,15)="state.character",
  RIGHT(A28,6)=".maxed",
  A28="building.guild@1",
  A28="quest.build_the_guild.accepted",
  A28="quest.build_the_pagoda.accepted"
 ),
 TRUE,
 COUNTIF(Dependencies!A:A,A28)&gt;0
)</f>
        <v>1</v>
      </c>
      <c r="F28" s="64" t="b">
        <f>COUNTIF(Dependencies!B:B,A28)&gt;0</f>
        <v>1</v>
      </c>
      <c r="G28" s="64" t="b">
        <f>COUNTIF(QuestObjectives!A:A,A28)&gt;0</f>
        <v>0</v>
      </c>
      <c r="H28" s="64" t="b">
        <f>COUNTIF(QuestObjectives!E:E,A28)&gt;0</f>
        <v>1</v>
      </c>
      <c r="I28" s="64" t="b">
        <f>COUNTIF(TargetStatus!A:A,A28)&gt;0</f>
        <v>1</v>
      </c>
      <c r="J28" s="64" t="b">
        <f>COUNTIF(CostStatus!B:B,A28)&gt;0</f>
        <v>1</v>
      </c>
      <c r="K28" s="64" t="b">
        <f>COUNTIF(States!A:A,A28)&gt;0</f>
        <v>0</v>
      </c>
      <c r="L28" s="64" t="b">
        <f t="shared" si="2"/>
        <v>1</v>
      </c>
      <c r="M28" s="64" t="b">
        <f>IF(A28="","",COUNTIF(Targets!A:A,A28)&gt;1)</f>
        <v>0</v>
      </c>
      <c r="N28" s="64" t="b">
        <f>IF(A28="","",COUNTIF(States!A:A,A28)&gt;1)</f>
        <v>0</v>
      </c>
      <c r="O28" s="64" t="b">
        <f>IFERROR(__xludf.DUMMYFUNCTION("IF(
 B28="""",
 """",
 SWITCH(
  B28,
  ""BUILDING"",COUNTIF(Buildings!A:A,A28)&gt;0,
  ""CITADEL"",COUNTIF(Citadel!A:A,A28)&gt;0,
  ""COLLECTION"",COUNTIF(Collections!A:A,A28)&gt;0,
  ""CRAFTIFACT"",COUNTIF(Craftifacts!A:A,A28)&gt;0,
  ""QUEST"",
   COUNTIF(
    Que"&amp;"sts!A:A,
    REGEXREPLACE(A28,""\.(accepted|finished)$"","""")
   )&gt;0,
  ""TECH"",COUNTIF(Technologies!A:A,A28)&gt;0,
  ""STATE"",COUNTIF(States!A:A,A28)&gt;0,
  FALSE
 )
)"),TRUE)</f>
        <v>1</v>
      </c>
      <c r="P28" s="64" t="str">
        <f t="shared" si="3"/>
        <v>Good</v>
      </c>
      <c r="Q28" s="65"/>
      <c r="R28" s="65"/>
      <c r="S28" s="65"/>
      <c r="T28" s="65"/>
      <c r="U28" s="63"/>
      <c r="V28" s="63" t="str">
        <f>IFERROR(__xludf.DUMMYFUNCTION("""COMPUTED_VALUE"""),"building.dungeon@3")</f>
        <v>building.dungeon@3</v>
      </c>
      <c r="W28" s="65"/>
      <c r="X28" s="65"/>
      <c r="Y28" s="65"/>
      <c r="Z28" s="65"/>
      <c r="AA28" s="65"/>
      <c r="AB28" s="65"/>
      <c r="AC28" s="65"/>
      <c r="AD28" s="63"/>
      <c r="AE28" s="63"/>
      <c r="AF28" s="63"/>
      <c r="AG28" s="63"/>
      <c r="AH28" s="6"/>
      <c r="AI28" s="63"/>
      <c r="AJ28" s="6"/>
      <c r="AK28" s="6"/>
      <c r="AL28" s="63"/>
      <c r="AM28" s="63"/>
      <c r="AN28" s="63"/>
      <c r="AO28" s="63"/>
      <c r="AP28" s="63"/>
      <c r="AQ28" s="63"/>
      <c r="AR28" s="63"/>
      <c r="AS28" s="63"/>
      <c r="AT28" s="6"/>
      <c r="AU28" s="63"/>
      <c r="AV28" s="6"/>
      <c r="AW28" s="6"/>
      <c r="AX28" s="63"/>
      <c r="AY28" s="63"/>
    </row>
    <row r="29" ht="14.25" customHeight="1">
      <c r="A29" s="26" t="str">
        <f t="shared" si="1"/>
        <v>building.dungeon@4</v>
      </c>
      <c r="B29" s="26" t="str">
        <f t="array" ref="B29">_xlfn.XLOOKUP(A29,Targets!A:A,Targets!C:C,"")</f>
        <v>BUILDING</v>
      </c>
      <c r="C29" s="64" t="b">
        <f>COUNTIF(Targets!A:A,A29)&gt;0</f>
        <v>1</v>
      </c>
      <c r="D29" s="64" t="b">
        <f>IF(
 OR(
  LEFT(A29,15)="state.character",
  RIGHT(A29,6)=".maxed"
 ),
 TRUE,
 COUNTIF(Checklist!A:A,A29)&gt;0
)</f>
        <v>1</v>
      </c>
      <c r="E29" s="64" t="b">
        <f>IF(
 OR(
  LEFT(A29,15)="state.character",
  RIGHT(A29,6)=".maxed",
  A29="building.guild@1",
  A29="quest.build_the_guild.accepted",
  A29="quest.build_the_pagoda.accepted"
 ),
 TRUE,
 COUNTIF(Dependencies!A:A,A29)&gt;0
)</f>
        <v>1</v>
      </c>
      <c r="F29" s="64" t="b">
        <f>COUNTIF(Dependencies!B:B,A29)&gt;0</f>
        <v>1</v>
      </c>
      <c r="G29" s="64" t="b">
        <f>COUNTIF(QuestObjectives!A:A,A29)&gt;0</f>
        <v>0</v>
      </c>
      <c r="H29" s="64" t="b">
        <f>COUNTIF(QuestObjectives!E:E,A29)&gt;0</f>
        <v>0</v>
      </c>
      <c r="I29" s="64" t="b">
        <f>COUNTIF(TargetStatus!A:A,A29)&gt;0</f>
        <v>1</v>
      </c>
      <c r="J29" s="64" t="b">
        <f>COUNTIF(CostStatus!B:B,A29)&gt;0</f>
        <v>1</v>
      </c>
      <c r="K29" s="64" t="b">
        <f>COUNTIF(States!A:A,A29)&gt;0</f>
        <v>0</v>
      </c>
      <c r="L29" s="64" t="b">
        <f t="shared" si="2"/>
        <v>1</v>
      </c>
      <c r="M29" s="64" t="b">
        <f>IF(A29="","",COUNTIF(Targets!A:A,A29)&gt;1)</f>
        <v>0</v>
      </c>
      <c r="N29" s="64" t="b">
        <f>IF(A29="","",COUNTIF(States!A:A,A29)&gt;1)</f>
        <v>0</v>
      </c>
      <c r="O29" s="64" t="b">
        <f>IFERROR(__xludf.DUMMYFUNCTION("IF(
 B29="""",
 """",
 SWITCH(
  B29,
  ""BUILDING"",COUNTIF(Buildings!A:A,A29)&gt;0,
  ""CITADEL"",COUNTIF(Citadel!A:A,A29)&gt;0,
  ""COLLECTION"",COUNTIF(Collections!A:A,A29)&gt;0,
  ""CRAFTIFACT"",COUNTIF(Craftifacts!A:A,A29)&gt;0,
  ""QUEST"",
   COUNTIF(
    Que"&amp;"sts!A:A,
    REGEXREPLACE(A29,""\.(accepted|finished)$"","""")
   )&gt;0,
  ""TECH"",COUNTIF(Technologies!A:A,A29)&gt;0,
  ""STATE"",COUNTIF(States!A:A,A29)&gt;0,
  FALSE
 )
)"),TRUE)</f>
        <v>1</v>
      </c>
      <c r="P29" s="64" t="str">
        <f t="shared" si="3"/>
        <v>Good</v>
      </c>
      <c r="Q29" s="65"/>
      <c r="R29" s="65"/>
      <c r="S29" s="65"/>
      <c r="T29" s="65"/>
      <c r="U29" s="6"/>
      <c r="V29" s="63" t="str">
        <f>IFERROR(__xludf.DUMMYFUNCTION("""COMPUTED_VALUE"""),"building.dungeon@4")</f>
        <v>building.dungeon@4</v>
      </c>
      <c r="W29" s="65"/>
      <c r="X29" s="65"/>
      <c r="Y29" s="65"/>
      <c r="Z29" s="65"/>
      <c r="AA29" s="65"/>
      <c r="AB29" s="65"/>
      <c r="AC29" s="65"/>
      <c r="AD29" s="63"/>
      <c r="AE29" s="63"/>
      <c r="AF29" s="63"/>
      <c r="AG29" s="63"/>
      <c r="AH29" s="6"/>
      <c r="AI29" s="63"/>
      <c r="AJ29" s="6"/>
      <c r="AK29" s="6"/>
      <c r="AL29" s="63"/>
      <c r="AM29" s="63"/>
      <c r="AN29" s="63"/>
      <c r="AO29" s="63"/>
      <c r="AP29" s="63"/>
      <c r="AQ29" s="63"/>
      <c r="AR29" s="63"/>
      <c r="AS29" s="63"/>
      <c r="AT29" s="6"/>
      <c r="AU29" s="63"/>
      <c r="AV29" s="6"/>
      <c r="AW29" s="6"/>
      <c r="AX29" s="63"/>
      <c r="AY29" s="63"/>
    </row>
    <row r="30" ht="14.25" customHeight="1">
      <c r="A30" s="26" t="str">
        <f t="shared" si="1"/>
        <v>building.dungeon@5</v>
      </c>
      <c r="B30" s="26" t="str">
        <f t="array" ref="B30">_xlfn.XLOOKUP(A30,Targets!A:A,Targets!C:C,"")</f>
        <v>BUILDING</v>
      </c>
      <c r="C30" s="64" t="b">
        <f>COUNTIF(Targets!A:A,A30)&gt;0</f>
        <v>1</v>
      </c>
      <c r="D30" s="64" t="b">
        <f>IF(
 OR(
  LEFT(A30,15)="state.character",
  RIGHT(A30,6)=".maxed"
 ),
 TRUE,
 COUNTIF(Checklist!A:A,A30)&gt;0
)</f>
        <v>1</v>
      </c>
      <c r="E30" s="64" t="b">
        <f>IF(
 OR(
  LEFT(A30,15)="state.character",
  RIGHT(A30,6)=".maxed",
  A30="building.guild@1",
  A30="quest.build_the_guild.accepted",
  A30="quest.build_the_pagoda.accepted"
 ),
 TRUE,
 COUNTIF(Dependencies!A:A,A30)&gt;0
)</f>
        <v>1</v>
      </c>
      <c r="F30" s="64" t="b">
        <f>COUNTIF(Dependencies!B:B,A30)&gt;0</f>
        <v>1</v>
      </c>
      <c r="G30" s="64" t="b">
        <f>COUNTIF(QuestObjectives!A:A,A30)&gt;0</f>
        <v>0</v>
      </c>
      <c r="H30" s="64" t="b">
        <f>COUNTIF(QuestObjectives!E:E,A30)&gt;0</f>
        <v>0</v>
      </c>
      <c r="I30" s="64" t="b">
        <f>COUNTIF(TargetStatus!A:A,A30)&gt;0</f>
        <v>1</v>
      </c>
      <c r="J30" s="64" t="b">
        <f>COUNTIF(CostStatus!B:B,A30)&gt;0</f>
        <v>1</v>
      </c>
      <c r="K30" s="64" t="b">
        <f>COUNTIF(States!A:A,A30)&gt;0</f>
        <v>0</v>
      </c>
      <c r="L30" s="64" t="b">
        <f t="shared" si="2"/>
        <v>1</v>
      </c>
      <c r="M30" s="64" t="b">
        <f>IF(A30="","",COUNTIF(Targets!A:A,A30)&gt;1)</f>
        <v>0</v>
      </c>
      <c r="N30" s="64" t="b">
        <f>IF(A30="","",COUNTIF(States!A:A,A30)&gt;1)</f>
        <v>0</v>
      </c>
      <c r="O30" s="64" t="b">
        <f>IFERROR(__xludf.DUMMYFUNCTION("IF(
 B30="""",
 """",
 SWITCH(
  B30,
  ""BUILDING"",COUNTIF(Buildings!A:A,A30)&gt;0,
  ""CITADEL"",COUNTIF(Citadel!A:A,A30)&gt;0,
  ""COLLECTION"",COUNTIF(Collections!A:A,A30)&gt;0,
  ""CRAFTIFACT"",COUNTIF(Craftifacts!A:A,A30)&gt;0,
  ""QUEST"",
   COUNTIF(
    Que"&amp;"sts!A:A,
    REGEXREPLACE(A30,""\.(accepted|finished)$"","""")
   )&gt;0,
  ""TECH"",COUNTIF(Technologies!A:A,A30)&gt;0,
  ""STATE"",COUNTIF(States!A:A,A30)&gt;0,
  FALSE
 )
)"),TRUE)</f>
        <v>1</v>
      </c>
      <c r="P30" s="64" t="str">
        <f t="shared" si="3"/>
        <v>Good</v>
      </c>
      <c r="Q30" s="65"/>
      <c r="R30" s="65"/>
      <c r="S30" s="65"/>
      <c r="T30" s="65"/>
      <c r="U30" s="6"/>
      <c r="V30" s="63" t="str">
        <f>IFERROR(__xludf.DUMMYFUNCTION("""COMPUTED_VALUE"""),"building.dungeon@5")</f>
        <v>building.dungeon@5</v>
      </c>
      <c r="W30" s="65"/>
      <c r="X30" s="65"/>
      <c r="Y30" s="65"/>
      <c r="Z30" s="65"/>
      <c r="AA30" s="65"/>
      <c r="AB30" s="65"/>
      <c r="AC30" s="65"/>
      <c r="AD30" s="63"/>
      <c r="AE30" s="63"/>
      <c r="AF30" s="63"/>
      <c r="AG30" s="63"/>
      <c r="AH30" s="6"/>
      <c r="AI30" s="63"/>
      <c r="AJ30" s="6"/>
      <c r="AK30" s="6"/>
      <c r="AL30" s="63"/>
      <c r="AM30" s="63"/>
      <c r="AN30" s="63"/>
      <c r="AO30" s="63"/>
      <c r="AP30" s="63"/>
      <c r="AQ30" s="63"/>
      <c r="AR30" s="63"/>
      <c r="AS30" s="63"/>
      <c r="AT30" s="6"/>
      <c r="AU30" s="63"/>
      <c r="AV30" s="6"/>
      <c r="AW30" s="6"/>
      <c r="AX30" s="63"/>
      <c r="AY30" s="63"/>
    </row>
    <row r="31" ht="14.25" customHeight="1">
      <c r="A31" s="26" t="str">
        <f t="shared" si="1"/>
        <v>building.dungeon@6</v>
      </c>
      <c r="B31" s="26" t="str">
        <f t="array" ref="B31">_xlfn.XLOOKUP(A31,Targets!A:A,Targets!C:C,"")</f>
        <v>BUILDING</v>
      </c>
      <c r="C31" s="64" t="b">
        <f>COUNTIF(Targets!A:A,A31)&gt;0</f>
        <v>1</v>
      </c>
      <c r="D31" s="64" t="b">
        <f>IF(
 OR(
  LEFT(A31,15)="state.character",
  RIGHT(A31,6)=".maxed"
 ),
 TRUE,
 COUNTIF(Checklist!A:A,A31)&gt;0
)</f>
        <v>1</v>
      </c>
      <c r="E31" s="64" t="b">
        <f>IF(
 OR(
  LEFT(A31,15)="state.character",
  RIGHT(A31,6)=".maxed",
  A31="building.guild@1",
  A31="quest.build_the_guild.accepted",
  A31="quest.build_the_pagoda.accepted"
 ),
 TRUE,
 COUNTIF(Dependencies!A:A,A31)&gt;0
)</f>
        <v>1</v>
      </c>
      <c r="F31" s="64" t="b">
        <f>COUNTIF(Dependencies!B:B,A31)&gt;0</f>
        <v>1</v>
      </c>
      <c r="G31" s="64" t="b">
        <f>COUNTIF(QuestObjectives!A:A,A31)&gt;0</f>
        <v>0</v>
      </c>
      <c r="H31" s="64" t="b">
        <f>COUNTIF(QuestObjectives!E:E,A31)&gt;0</f>
        <v>0</v>
      </c>
      <c r="I31" s="64" t="b">
        <f>COUNTIF(TargetStatus!A:A,A31)&gt;0</f>
        <v>1</v>
      </c>
      <c r="J31" s="64" t="b">
        <f>COUNTIF(CostStatus!B:B,A31)&gt;0</f>
        <v>0</v>
      </c>
      <c r="K31" s="64" t="b">
        <f>COUNTIF(States!A:A,A31)&gt;0</f>
        <v>0</v>
      </c>
      <c r="L31" s="64" t="b">
        <f t="shared" si="2"/>
        <v>1</v>
      </c>
      <c r="M31" s="64" t="b">
        <f>IF(A31="","",COUNTIF(Targets!A:A,A31)&gt;1)</f>
        <v>0</v>
      </c>
      <c r="N31" s="64" t="b">
        <f>IF(A31="","",COUNTIF(States!A:A,A31)&gt;1)</f>
        <v>0</v>
      </c>
      <c r="O31" s="64" t="b">
        <f>IFERROR(__xludf.DUMMYFUNCTION("IF(
 B31="""",
 """",
 SWITCH(
  B31,
  ""BUILDING"",COUNTIF(Buildings!A:A,A31)&gt;0,
  ""CITADEL"",COUNTIF(Citadel!A:A,A31)&gt;0,
  ""COLLECTION"",COUNTIF(Collections!A:A,A31)&gt;0,
  ""CRAFTIFACT"",COUNTIF(Craftifacts!A:A,A31)&gt;0,
  ""QUEST"",
   COUNTIF(
    Que"&amp;"sts!A:A,
    REGEXREPLACE(A31,""\.(accepted|finished)$"","""")
   )&gt;0,
  ""TECH"",COUNTIF(Technologies!A:A,A31)&gt;0,
  ""STATE"",COUNTIF(States!A:A,A31)&gt;0,
  FALSE
 )
)"),FALSE)</f>
        <v>0</v>
      </c>
      <c r="P31" s="64" t="str">
        <f t="shared" si="3"/>
        <v>Good</v>
      </c>
      <c r="Q31" s="65"/>
      <c r="R31" s="65"/>
      <c r="S31" s="65"/>
      <c r="T31" s="65"/>
      <c r="U31" s="6"/>
      <c r="V31" s="63" t="str">
        <f>IFERROR(__xludf.DUMMYFUNCTION("""COMPUTED_VALUE"""),"building.dungeon@6")</f>
        <v>building.dungeon@6</v>
      </c>
      <c r="W31" s="65"/>
      <c r="X31" s="65"/>
      <c r="Y31" s="65"/>
      <c r="Z31" s="65"/>
      <c r="AA31" s="65"/>
      <c r="AB31" s="65"/>
      <c r="AC31" s="65"/>
      <c r="AD31" s="63"/>
      <c r="AE31" s="63"/>
      <c r="AF31" s="63"/>
      <c r="AG31" s="63"/>
      <c r="AH31" s="6"/>
      <c r="AI31" s="63"/>
      <c r="AJ31" s="6"/>
      <c r="AK31" s="6"/>
      <c r="AL31" s="63"/>
      <c r="AM31" s="63"/>
      <c r="AN31" s="63"/>
      <c r="AO31" s="63"/>
      <c r="AP31" s="63"/>
      <c r="AQ31" s="63"/>
      <c r="AR31" s="63"/>
      <c r="AS31" s="63"/>
      <c r="AT31" s="6"/>
      <c r="AU31" s="63"/>
      <c r="AV31" s="6"/>
      <c r="AW31" s="6"/>
      <c r="AX31" s="63"/>
      <c r="AY31" s="63"/>
    </row>
    <row r="32" ht="14.25" customHeight="1">
      <c r="A32" s="26" t="str">
        <f t="shared" si="1"/>
        <v>building.fermentory.maxed</v>
      </c>
      <c r="B32" s="26" t="str">
        <f t="array" ref="B32">_xlfn.XLOOKUP(A32,Targets!A:A,Targets!C:C,"")</f>
        <v>BUILDING</v>
      </c>
      <c r="C32" s="64" t="b">
        <f>COUNTIF(Targets!A:A,A32)&gt;0</f>
        <v>1</v>
      </c>
      <c r="D32" s="64" t="b">
        <f>IF(
 OR(
  LEFT(A32,15)="state.character",
  RIGHT(A32,6)=".maxed"
 ),
 TRUE,
 COUNTIF(Checklist!A:A,A32)&gt;0
)</f>
        <v>1</v>
      </c>
      <c r="E32" s="64" t="b">
        <f>IF(
 OR(
  LEFT(A32,15)="state.character",
  RIGHT(A32,6)=".maxed",
  A32="building.guild@1",
  A32="quest.build_the_guild.accepted",
  A32="quest.build_the_pagoda.accepted"
 ),
 TRUE,
 COUNTIF(Dependencies!A:A,A32)&gt;0
)</f>
        <v>1</v>
      </c>
      <c r="F32" s="64" t="b">
        <f>COUNTIF(Dependencies!B:B,A32)&gt;0</f>
        <v>1</v>
      </c>
      <c r="G32" s="64" t="b">
        <f>COUNTIF(QuestObjectives!A:A,A32)&gt;0</f>
        <v>0</v>
      </c>
      <c r="H32" s="64" t="b">
        <f>COUNTIF(QuestObjectives!E:E,A32)&gt;0</f>
        <v>0</v>
      </c>
      <c r="I32" s="64" t="b">
        <f>COUNTIF(TargetStatus!A:A,A32)&gt;0</f>
        <v>1</v>
      </c>
      <c r="J32" s="64" t="b">
        <f>COUNTIF(CostStatus!B:B,A32)&gt;0</f>
        <v>0</v>
      </c>
      <c r="K32" s="64" t="b">
        <f>COUNTIF(States!A:A,A32)&gt;0</f>
        <v>0</v>
      </c>
      <c r="L32" s="64" t="b">
        <f t="shared" si="2"/>
        <v>1</v>
      </c>
      <c r="M32" s="64" t="b">
        <f>IF(A32="","",COUNTIF(Targets!A:A,A32)&gt;1)</f>
        <v>0</v>
      </c>
      <c r="N32" s="64" t="b">
        <f>IF(A32="","",COUNTIF(States!A:A,A32)&gt;1)</f>
        <v>0</v>
      </c>
      <c r="O32" s="64" t="b">
        <f>IFERROR(__xludf.DUMMYFUNCTION("IF(
 B32="""",
 """",
 SWITCH(
  B32,
  ""BUILDING"",COUNTIF(Buildings!A:A,A32)&gt;0,
  ""CITADEL"",COUNTIF(Citadel!A:A,A32)&gt;0,
  ""COLLECTION"",COUNTIF(Collections!A:A,A32)&gt;0,
  ""CRAFTIFACT"",COUNTIF(Craftifacts!A:A,A32)&gt;0,
  ""QUEST"",
   COUNTIF(
    Que"&amp;"sts!A:A,
    REGEXREPLACE(A32,""\.(accepted|finished)$"","""")
   )&gt;0,
  ""TECH"",COUNTIF(Technologies!A:A,A32)&gt;0,
  ""STATE"",COUNTIF(States!A:A,A32)&gt;0,
  FALSE
 )
)"),FALSE)</f>
        <v>0</v>
      </c>
      <c r="P32" s="64" t="str">
        <f t="shared" si="3"/>
        <v>Good</v>
      </c>
      <c r="Q32" s="65"/>
      <c r="R32" s="65"/>
      <c r="S32" s="65"/>
      <c r="T32" s="65"/>
      <c r="U32" s="6"/>
      <c r="V32" s="63" t="str">
        <f>IFERROR(__xludf.DUMMYFUNCTION("""COMPUTED_VALUE"""),"building.fermentory.maxed")</f>
        <v>building.fermentory.maxed</v>
      </c>
      <c r="W32" s="65"/>
      <c r="X32" s="65"/>
      <c r="Y32" s="65"/>
      <c r="Z32" s="65"/>
      <c r="AA32" s="65"/>
      <c r="AB32" s="65"/>
      <c r="AC32" s="65"/>
      <c r="AD32" s="63"/>
      <c r="AE32" s="63"/>
      <c r="AF32" s="63"/>
      <c r="AG32" s="63"/>
      <c r="AH32" s="6"/>
      <c r="AI32" s="63"/>
      <c r="AJ32" s="6"/>
      <c r="AK32" s="6"/>
      <c r="AL32" s="63"/>
      <c r="AM32" s="63"/>
      <c r="AN32" s="63"/>
      <c r="AO32" s="63"/>
      <c r="AP32" s="63"/>
      <c r="AQ32" s="63"/>
      <c r="AR32" s="63"/>
      <c r="AS32" s="63"/>
      <c r="AT32" s="6"/>
      <c r="AU32" s="63"/>
      <c r="AV32" s="6"/>
      <c r="AW32" s="6"/>
      <c r="AX32" s="63"/>
      <c r="AY32" s="63"/>
    </row>
    <row r="33" ht="14.25" customHeight="1">
      <c r="A33" s="26" t="str">
        <f t="shared" si="1"/>
        <v>building.fermentory@1</v>
      </c>
      <c r="B33" s="26" t="str">
        <f t="array" ref="B33">_xlfn.XLOOKUP(A33,Targets!A:A,Targets!C:C,"")</f>
        <v>BUILDING</v>
      </c>
      <c r="C33" s="64" t="b">
        <f>COUNTIF(Targets!A:A,A33)&gt;0</f>
        <v>1</v>
      </c>
      <c r="D33" s="64" t="b">
        <f>IF(
 OR(
  LEFT(A33,15)="state.character",
  RIGHT(A33,6)=".maxed"
 ),
 TRUE,
 COUNTIF(Checklist!A:A,A33)&gt;0
)</f>
        <v>1</v>
      </c>
      <c r="E33" s="64" t="b">
        <f>IF(
 OR(
  LEFT(A33,15)="state.character",
  RIGHT(A33,6)=".maxed",
  A33="building.guild@1",
  A33="quest.build_the_guild.accepted",
  A33="quest.build_the_pagoda.accepted"
 ),
 TRUE,
 COUNTIF(Dependencies!A:A,A33)&gt;0
)</f>
        <v>1</v>
      </c>
      <c r="F33" s="64" t="b">
        <f>COUNTIF(Dependencies!B:B,A33)&gt;0</f>
        <v>1</v>
      </c>
      <c r="G33" s="64" t="b">
        <f>COUNTIF(QuestObjectives!A:A,A33)&gt;0</f>
        <v>0</v>
      </c>
      <c r="H33" s="64" t="b">
        <f>COUNTIF(QuestObjectives!E:E,A33)&gt;0</f>
        <v>0</v>
      </c>
      <c r="I33" s="64" t="b">
        <f>COUNTIF(TargetStatus!A:A,A33)&gt;0</f>
        <v>1</v>
      </c>
      <c r="J33" s="64" t="b">
        <f>COUNTIF(CostStatus!B:B,A33)&gt;0</f>
        <v>1</v>
      </c>
      <c r="K33" s="64" t="b">
        <f>COUNTIF(States!A:A,A33)&gt;0</f>
        <v>0</v>
      </c>
      <c r="L33" s="64" t="b">
        <f t="shared" si="2"/>
        <v>1</v>
      </c>
      <c r="M33" s="64" t="b">
        <f>IF(A33="","",COUNTIF(Targets!A:A,A33)&gt;1)</f>
        <v>0</v>
      </c>
      <c r="N33" s="64" t="b">
        <f>IF(A33="","",COUNTIF(States!A:A,A33)&gt;1)</f>
        <v>0</v>
      </c>
      <c r="O33" s="64" t="b">
        <f>IFERROR(__xludf.DUMMYFUNCTION("IF(
 B33="""",
 """",
 SWITCH(
  B33,
  ""BUILDING"",COUNTIF(Buildings!A:A,A33)&gt;0,
  ""CITADEL"",COUNTIF(Citadel!A:A,A33)&gt;0,
  ""COLLECTION"",COUNTIF(Collections!A:A,A33)&gt;0,
  ""CRAFTIFACT"",COUNTIF(Craftifacts!A:A,A33)&gt;0,
  ""QUEST"",
   COUNTIF(
    Que"&amp;"sts!A:A,
    REGEXREPLACE(A33,""\.(accepted|finished)$"","""")
   )&gt;0,
  ""TECH"",COUNTIF(Technologies!A:A,A33)&gt;0,
  ""STATE"",COUNTIF(States!A:A,A33)&gt;0,
  FALSE
 )
)"),TRUE)</f>
        <v>1</v>
      </c>
      <c r="P33" s="64" t="str">
        <f t="shared" si="3"/>
        <v>Good</v>
      </c>
      <c r="Q33" s="65"/>
      <c r="R33" s="65"/>
      <c r="S33" s="65"/>
      <c r="T33" s="65"/>
      <c r="U33" s="6"/>
      <c r="V33" s="63" t="str">
        <f>IFERROR(__xludf.DUMMYFUNCTION("""COMPUTED_VALUE"""),"building.fermentory@1")</f>
        <v>building.fermentory@1</v>
      </c>
      <c r="W33" s="65"/>
      <c r="X33" s="65"/>
      <c r="Y33" s="65"/>
      <c r="Z33" s="65"/>
      <c r="AA33" s="65"/>
      <c r="AB33" s="65"/>
      <c r="AC33" s="65"/>
      <c r="AD33" s="63"/>
      <c r="AE33" s="63"/>
      <c r="AF33" s="63"/>
      <c r="AG33" s="63"/>
      <c r="AH33" s="6"/>
      <c r="AI33" s="63"/>
      <c r="AJ33" s="6"/>
      <c r="AK33" s="6"/>
      <c r="AL33" s="63"/>
      <c r="AM33" s="63"/>
      <c r="AN33" s="63"/>
      <c r="AO33" s="63"/>
      <c r="AP33" s="63"/>
      <c r="AQ33" s="63"/>
      <c r="AR33" s="63"/>
      <c r="AS33" s="63"/>
      <c r="AT33" s="6"/>
      <c r="AU33" s="63"/>
      <c r="AV33" s="6"/>
      <c r="AW33" s="6"/>
      <c r="AX33" s="63"/>
      <c r="AY33" s="63"/>
    </row>
    <row r="34" ht="14.25" customHeight="1">
      <c r="A34" s="26" t="str">
        <f t="shared" si="1"/>
        <v>building.fermentory@2</v>
      </c>
      <c r="B34" s="26" t="str">
        <f t="array" ref="B34">_xlfn.XLOOKUP(A34,Targets!A:A,Targets!C:C,"")</f>
        <v>BUILDING</v>
      </c>
      <c r="C34" s="64" t="b">
        <f>COUNTIF(Targets!A:A,A34)&gt;0</f>
        <v>1</v>
      </c>
      <c r="D34" s="64" t="b">
        <f>IF(
 OR(
  LEFT(A34,15)="state.character",
  RIGHT(A34,6)=".maxed"
 ),
 TRUE,
 COUNTIF(Checklist!A:A,A34)&gt;0
)</f>
        <v>1</v>
      </c>
      <c r="E34" s="64" t="b">
        <f>IF(
 OR(
  LEFT(A34,15)="state.character",
  RIGHT(A34,6)=".maxed",
  A34="building.guild@1",
  A34="quest.build_the_guild.accepted",
  A34="quest.build_the_pagoda.accepted"
 ),
 TRUE,
 COUNTIF(Dependencies!A:A,A34)&gt;0
)</f>
        <v>1</v>
      </c>
      <c r="F34" s="64" t="b">
        <f>COUNTIF(Dependencies!B:B,A34)&gt;0</f>
        <v>1</v>
      </c>
      <c r="G34" s="64" t="b">
        <f>COUNTIF(QuestObjectives!A:A,A34)&gt;0</f>
        <v>0</v>
      </c>
      <c r="H34" s="64" t="b">
        <f>COUNTIF(QuestObjectives!E:E,A34)&gt;0</f>
        <v>0</v>
      </c>
      <c r="I34" s="64" t="b">
        <f>COUNTIF(TargetStatus!A:A,A34)&gt;0</f>
        <v>1</v>
      </c>
      <c r="J34" s="64" t="b">
        <f>COUNTIF(CostStatus!B:B,A34)&gt;0</f>
        <v>1</v>
      </c>
      <c r="K34" s="64" t="b">
        <f>COUNTIF(States!A:A,A34)&gt;0</f>
        <v>0</v>
      </c>
      <c r="L34" s="64" t="b">
        <f t="shared" si="2"/>
        <v>1</v>
      </c>
      <c r="M34" s="64" t="b">
        <f>IF(A34="","",COUNTIF(Targets!A:A,A34)&gt;1)</f>
        <v>0</v>
      </c>
      <c r="N34" s="64" t="b">
        <f>IF(A34="","",COUNTIF(States!A:A,A34)&gt;1)</f>
        <v>0</v>
      </c>
      <c r="O34" s="64" t="b">
        <f>IFERROR(__xludf.DUMMYFUNCTION("IF(
 B34="""",
 """",
 SWITCH(
  B34,
  ""BUILDING"",COUNTIF(Buildings!A:A,A34)&gt;0,
  ""CITADEL"",COUNTIF(Citadel!A:A,A34)&gt;0,
  ""COLLECTION"",COUNTIF(Collections!A:A,A34)&gt;0,
  ""CRAFTIFACT"",COUNTIF(Craftifacts!A:A,A34)&gt;0,
  ""QUEST"",
   COUNTIF(
    Que"&amp;"sts!A:A,
    REGEXREPLACE(A34,""\.(accepted|finished)$"","""")
   )&gt;0,
  ""TECH"",COUNTIF(Technologies!A:A,A34)&gt;0,
  ""STATE"",COUNTIF(States!A:A,A34)&gt;0,
  FALSE
 )
)"),TRUE)</f>
        <v>1</v>
      </c>
      <c r="P34" s="64" t="str">
        <f t="shared" si="3"/>
        <v>Good</v>
      </c>
      <c r="Q34" s="65"/>
      <c r="R34" s="65"/>
      <c r="S34" s="65"/>
      <c r="T34" s="65"/>
      <c r="U34" s="6"/>
      <c r="V34" s="63" t="str">
        <f>IFERROR(__xludf.DUMMYFUNCTION("""COMPUTED_VALUE"""),"building.fermentory@2")</f>
        <v>building.fermentory@2</v>
      </c>
      <c r="W34" s="65"/>
      <c r="X34" s="65"/>
      <c r="Y34" s="65"/>
      <c r="Z34" s="65"/>
      <c r="AA34" s="65"/>
      <c r="AB34" s="65"/>
      <c r="AC34" s="65"/>
      <c r="AD34" s="63"/>
      <c r="AE34" s="63"/>
      <c r="AF34" s="63"/>
      <c r="AG34" s="63"/>
      <c r="AH34" s="6"/>
      <c r="AI34" s="63"/>
      <c r="AJ34" s="6"/>
      <c r="AK34" s="6"/>
      <c r="AL34" s="63"/>
      <c r="AM34" s="63"/>
      <c r="AN34" s="63"/>
      <c r="AO34" s="63"/>
      <c r="AP34" s="63"/>
      <c r="AQ34" s="63"/>
      <c r="AR34" s="63"/>
      <c r="AS34" s="63"/>
      <c r="AT34" s="6"/>
      <c r="AU34" s="63"/>
      <c r="AV34" s="6"/>
      <c r="AW34" s="6"/>
      <c r="AX34" s="63"/>
      <c r="AY34" s="63"/>
    </row>
    <row r="35" ht="14.25" customHeight="1">
      <c r="A35" s="26" t="str">
        <f t="shared" si="1"/>
        <v>building.fermentory@3</v>
      </c>
      <c r="B35" s="26" t="str">
        <f t="array" ref="B35">_xlfn.XLOOKUP(A35,Targets!A:A,Targets!C:C,"")</f>
        <v>BUILDING</v>
      </c>
      <c r="C35" s="64" t="b">
        <f>COUNTIF(Targets!A:A,A35)&gt;0</f>
        <v>1</v>
      </c>
      <c r="D35" s="64" t="b">
        <f>IF(
 OR(
  LEFT(A35,15)="state.character",
  RIGHT(A35,6)=".maxed"
 ),
 TRUE,
 COUNTIF(Checklist!A:A,A35)&gt;0
)</f>
        <v>1</v>
      </c>
      <c r="E35" s="64" t="b">
        <f>IF(
 OR(
  LEFT(A35,15)="state.character",
  RIGHT(A35,6)=".maxed",
  A35="building.guild@1",
  A35="quest.build_the_guild.accepted",
  A35="quest.build_the_pagoda.accepted"
 ),
 TRUE,
 COUNTIF(Dependencies!A:A,A35)&gt;0
)</f>
        <v>1</v>
      </c>
      <c r="F35" s="64" t="b">
        <f>COUNTIF(Dependencies!B:B,A35)&gt;0</f>
        <v>1</v>
      </c>
      <c r="G35" s="64" t="b">
        <f>COUNTIF(QuestObjectives!A:A,A35)&gt;0</f>
        <v>0</v>
      </c>
      <c r="H35" s="64" t="b">
        <f>COUNTIF(QuestObjectives!E:E,A35)&gt;0</f>
        <v>0</v>
      </c>
      <c r="I35" s="64" t="b">
        <f>COUNTIF(TargetStatus!A:A,A35)&gt;0</f>
        <v>1</v>
      </c>
      <c r="J35" s="64" t="b">
        <f>COUNTIF(CostStatus!B:B,A35)&gt;0</f>
        <v>1</v>
      </c>
      <c r="K35" s="64" t="b">
        <f>COUNTIF(States!A:A,A35)&gt;0</f>
        <v>0</v>
      </c>
      <c r="L35" s="64" t="b">
        <f t="shared" si="2"/>
        <v>1</v>
      </c>
      <c r="M35" s="64" t="b">
        <f>IF(A35="","",COUNTIF(Targets!A:A,A35)&gt;1)</f>
        <v>0</v>
      </c>
      <c r="N35" s="64" t="b">
        <f>IF(A35="","",COUNTIF(States!A:A,A35)&gt;1)</f>
        <v>0</v>
      </c>
      <c r="O35" s="64" t="b">
        <f>IFERROR(__xludf.DUMMYFUNCTION("IF(
 B35="""",
 """",
 SWITCH(
  B35,
  ""BUILDING"",COUNTIF(Buildings!A:A,A35)&gt;0,
  ""CITADEL"",COUNTIF(Citadel!A:A,A35)&gt;0,
  ""COLLECTION"",COUNTIF(Collections!A:A,A35)&gt;0,
  ""CRAFTIFACT"",COUNTIF(Craftifacts!A:A,A35)&gt;0,
  ""QUEST"",
   COUNTIF(
    Que"&amp;"sts!A:A,
    REGEXREPLACE(A35,""\.(accepted|finished)$"","""")
   )&gt;0,
  ""TECH"",COUNTIF(Technologies!A:A,A35)&gt;0,
  ""STATE"",COUNTIF(States!A:A,A35)&gt;0,
  FALSE
 )
)"),TRUE)</f>
        <v>1</v>
      </c>
      <c r="P35" s="64" t="str">
        <f t="shared" si="3"/>
        <v>Good</v>
      </c>
      <c r="Q35" s="65"/>
      <c r="R35" s="65"/>
      <c r="S35" s="65"/>
      <c r="T35" s="65"/>
      <c r="U35" s="6"/>
      <c r="V35" s="63" t="str">
        <f>IFERROR(__xludf.DUMMYFUNCTION("""COMPUTED_VALUE"""),"building.fermentory@3")</f>
        <v>building.fermentory@3</v>
      </c>
      <c r="W35" s="65"/>
      <c r="X35" s="65"/>
      <c r="Y35" s="65"/>
      <c r="Z35" s="65"/>
      <c r="AA35" s="65"/>
      <c r="AB35" s="65"/>
      <c r="AC35" s="65"/>
      <c r="AD35" s="63"/>
      <c r="AE35" s="63"/>
      <c r="AF35" s="63"/>
      <c r="AG35" s="63"/>
      <c r="AH35" s="6"/>
      <c r="AI35" s="63"/>
      <c r="AJ35" s="6"/>
      <c r="AK35" s="6"/>
      <c r="AL35" s="63"/>
      <c r="AM35" s="63"/>
      <c r="AN35" s="63"/>
      <c r="AO35" s="63"/>
      <c r="AP35" s="63"/>
      <c r="AQ35" s="63"/>
      <c r="AR35" s="63"/>
      <c r="AS35" s="63"/>
      <c r="AT35" s="6"/>
      <c r="AU35" s="63"/>
      <c r="AV35" s="6"/>
      <c r="AW35" s="6"/>
      <c r="AX35" s="63"/>
      <c r="AY35" s="63"/>
    </row>
    <row r="36" ht="14.25" customHeight="1">
      <c r="A36" s="26" t="str">
        <f t="shared" si="1"/>
        <v>building.fermentory@4</v>
      </c>
      <c r="B36" s="26" t="str">
        <f t="array" ref="B36">_xlfn.XLOOKUP(A36,Targets!A:A,Targets!C:C,"")</f>
        <v>BUILDING</v>
      </c>
      <c r="C36" s="64" t="b">
        <f>COUNTIF(Targets!A:A,A36)&gt;0</f>
        <v>1</v>
      </c>
      <c r="D36" s="64" t="b">
        <f>IF(
 OR(
  LEFT(A36,15)="state.character",
  RIGHT(A36,6)=".maxed"
 ),
 TRUE,
 COUNTIF(Checklist!A:A,A36)&gt;0
)</f>
        <v>1</v>
      </c>
      <c r="E36" s="64" t="b">
        <f>IF(
 OR(
  LEFT(A36,15)="state.character",
  RIGHT(A36,6)=".maxed",
  A36="building.guild@1",
  A36="quest.build_the_guild.accepted",
  A36="quest.build_the_pagoda.accepted"
 ),
 TRUE,
 COUNTIF(Dependencies!A:A,A36)&gt;0
)</f>
        <v>1</v>
      </c>
      <c r="F36" s="64" t="b">
        <f>COUNTIF(Dependencies!B:B,A36)&gt;0</f>
        <v>1</v>
      </c>
      <c r="G36" s="64" t="b">
        <f>COUNTIF(QuestObjectives!A:A,A36)&gt;0</f>
        <v>0</v>
      </c>
      <c r="H36" s="64" t="b">
        <f>COUNTIF(QuestObjectives!E:E,A36)&gt;0</f>
        <v>0</v>
      </c>
      <c r="I36" s="64" t="b">
        <f>COUNTIF(TargetStatus!A:A,A36)&gt;0</f>
        <v>1</v>
      </c>
      <c r="J36" s="64" t="b">
        <f>COUNTIF(CostStatus!B:B,A36)&gt;0</f>
        <v>1</v>
      </c>
      <c r="K36" s="64" t="b">
        <f>COUNTIF(States!A:A,A36)&gt;0</f>
        <v>0</v>
      </c>
      <c r="L36" s="64" t="b">
        <f t="shared" si="2"/>
        <v>1</v>
      </c>
      <c r="M36" s="64" t="b">
        <f>IF(A36="","",COUNTIF(Targets!A:A,A36)&gt;1)</f>
        <v>0</v>
      </c>
      <c r="N36" s="64" t="b">
        <f>IF(A36="","",COUNTIF(States!A:A,A36)&gt;1)</f>
        <v>0</v>
      </c>
      <c r="O36" s="64" t="b">
        <f>IFERROR(__xludf.DUMMYFUNCTION("IF(
 B36="""",
 """",
 SWITCH(
  B36,
  ""BUILDING"",COUNTIF(Buildings!A:A,A36)&gt;0,
  ""CITADEL"",COUNTIF(Citadel!A:A,A36)&gt;0,
  ""COLLECTION"",COUNTIF(Collections!A:A,A36)&gt;0,
  ""CRAFTIFACT"",COUNTIF(Craftifacts!A:A,A36)&gt;0,
  ""QUEST"",
   COUNTIF(
    Que"&amp;"sts!A:A,
    REGEXREPLACE(A36,""\.(accepted|finished)$"","""")
   )&gt;0,
  ""TECH"",COUNTIF(Technologies!A:A,A36)&gt;0,
  ""STATE"",COUNTIF(States!A:A,A36)&gt;0,
  FALSE
 )
)"),TRUE)</f>
        <v>1</v>
      </c>
      <c r="P36" s="64" t="str">
        <f t="shared" si="3"/>
        <v>Good</v>
      </c>
      <c r="Q36" s="65"/>
      <c r="R36" s="65"/>
      <c r="S36" s="65"/>
      <c r="T36" s="65"/>
      <c r="U36" s="6"/>
      <c r="V36" s="63" t="str">
        <f>IFERROR(__xludf.DUMMYFUNCTION("""COMPUTED_VALUE"""),"building.fermentory@4")</f>
        <v>building.fermentory@4</v>
      </c>
      <c r="W36" s="65"/>
      <c r="X36" s="65"/>
      <c r="Y36" s="65"/>
      <c r="Z36" s="65"/>
      <c r="AA36" s="65"/>
      <c r="AB36" s="65"/>
      <c r="AC36" s="65"/>
      <c r="AD36" s="63"/>
      <c r="AE36" s="63"/>
      <c r="AF36" s="63"/>
      <c r="AG36" s="63"/>
      <c r="AH36" s="6"/>
      <c r="AI36" s="63"/>
      <c r="AJ36" s="6"/>
      <c r="AK36" s="6"/>
      <c r="AL36" s="63"/>
      <c r="AM36" s="63"/>
      <c r="AN36" s="63"/>
      <c r="AO36" s="63"/>
      <c r="AP36" s="63"/>
      <c r="AQ36" s="63"/>
      <c r="AR36" s="63"/>
      <c r="AS36" s="63"/>
      <c r="AT36" s="6"/>
      <c r="AU36" s="63"/>
      <c r="AV36" s="6"/>
      <c r="AW36" s="6"/>
      <c r="AX36" s="63"/>
      <c r="AY36" s="63"/>
    </row>
    <row r="37" ht="14.25" customHeight="1">
      <c r="A37" s="26" t="str">
        <f t="shared" si="1"/>
        <v>building.fermentory@5</v>
      </c>
      <c r="B37" s="26" t="str">
        <f t="array" ref="B37">_xlfn.XLOOKUP(A37,Targets!A:A,Targets!C:C,"")</f>
        <v>BUILDING</v>
      </c>
      <c r="C37" s="64" t="b">
        <f>COUNTIF(Targets!A:A,A37)&gt;0</f>
        <v>1</v>
      </c>
      <c r="D37" s="64" t="b">
        <f>IF(
 OR(
  LEFT(A37,15)="state.character",
  RIGHT(A37,6)=".maxed"
 ),
 TRUE,
 COUNTIF(Checklist!A:A,A37)&gt;0
)</f>
        <v>1</v>
      </c>
      <c r="E37" s="64" t="b">
        <f>IF(
 OR(
  LEFT(A37,15)="state.character",
  RIGHT(A37,6)=".maxed",
  A37="building.guild@1",
  A37="quest.build_the_guild.accepted",
  A37="quest.build_the_pagoda.accepted"
 ),
 TRUE,
 COUNTIF(Dependencies!A:A,A37)&gt;0
)</f>
        <v>1</v>
      </c>
      <c r="F37" s="64" t="b">
        <f>COUNTIF(Dependencies!B:B,A37)&gt;0</f>
        <v>1</v>
      </c>
      <c r="G37" s="64" t="b">
        <f>COUNTIF(QuestObjectives!A:A,A37)&gt;0</f>
        <v>0</v>
      </c>
      <c r="H37" s="64" t="b">
        <f>COUNTIF(QuestObjectives!E:E,A37)&gt;0</f>
        <v>0</v>
      </c>
      <c r="I37" s="64" t="b">
        <f>COUNTIF(TargetStatus!A:A,A37)&gt;0</f>
        <v>1</v>
      </c>
      <c r="J37" s="64" t="b">
        <f>COUNTIF(CostStatus!B:B,A37)&gt;0</f>
        <v>1</v>
      </c>
      <c r="K37" s="64" t="b">
        <f>COUNTIF(States!A:A,A37)&gt;0</f>
        <v>0</v>
      </c>
      <c r="L37" s="64" t="b">
        <f t="shared" si="2"/>
        <v>1</v>
      </c>
      <c r="M37" s="64" t="b">
        <f>IF(A37="","",COUNTIF(Targets!A:A,A37)&gt;1)</f>
        <v>0</v>
      </c>
      <c r="N37" s="64" t="b">
        <f>IF(A37="","",COUNTIF(States!A:A,A37)&gt;1)</f>
        <v>0</v>
      </c>
      <c r="O37" s="64" t="b">
        <f>IFERROR(__xludf.DUMMYFUNCTION("IF(
 B37="""",
 """",
 SWITCH(
  B37,
  ""BUILDING"",COUNTIF(Buildings!A:A,A37)&gt;0,
  ""CITADEL"",COUNTIF(Citadel!A:A,A37)&gt;0,
  ""COLLECTION"",COUNTIF(Collections!A:A,A37)&gt;0,
  ""CRAFTIFACT"",COUNTIF(Craftifacts!A:A,A37)&gt;0,
  ""QUEST"",
   COUNTIF(
    Que"&amp;"sts!A:A,
    REGEXREPLACE(A37,""\.(accepted|finished)$"","""")
   )&gt;0,
  ""TECH"",COUNTIF(Technologies!A:A,A37)&gt;0,
  ""STATE"",COUNTIF(States!A:A,A37)&gt;0,
  FALSE
 )
)"),TRUE)</f>
        <v>1</v>
      </c>
      <c r="P37" s="64" t="str">
        <f t="shared" si="3"/>
        <v>Good</v>
      </c>
      <c r="Q37" s="65"/>
      <c r="R37" s="65"/>
      <c r="S37" s="65"/>
      <c r="T37" s="65"/>
      <c r="U37" s="6"/>
      <c r="V37" s="63" t="str">
        <f>IFERROR(__xludf.DUMMYFUNCTION("""COMPUTED_VALUE"""),"building.fermentory@5")</f>
        <v>building.fermentory@5</v>
      </c>
      <c r="W37" s="65"/>
      <c r="X37" s="65"/>
      <c r="Y37" s="65"/>
      <c r="Z37" s="65"/>
      <c r="AA37" s="65"/>
      <c r="AB37" s="65"/>
      <c r="AC37" s="65"/>
      <c r="AD37" s="63"/>
      <c r="AE37" s="63"/>
      <c r="AF37" s="63"/>
      <c r="AG37" s="63"/>
      <c r="AH37" s="6"/>
      <c r="AI37" s="63"/>
      <c r="AJ37" s="6"/>
      <c r="AK37" s="6"/>
      <c r="AL37" s="63"/>
      <c r="AM37" s="63"/>
      <c r="AN37" s="63"/>
      <c r="AO37" s="63"/>
      <c r="AP37" s="63"/>
      <c r="AQ37" s="63"/>
      <c r="AR37" s="63"/>
      <c r="AS37" s="63"/>
      <c r="AT37" s="6"/>
      <c r="AU37" s="63"/>
      <c r="AV37" s="6"/>
      <c r="AW37" s="6"/>
      <c r="AX37" s="63"/>
      <c r="AY37" s="63"/>
    </row>
    <row r="38" ht="14.25" customHeight="1">
      <c r="A38" s="26" t="str">
        <f t="shared" si="1"/>
        <v>building.fermentory@6</v>
      </c>
      <c r="B38" s="26" t="str">
        <f t="array" ref="B38">_xlfn.XLOOKUP(A38,Targets!A:A,Targets!C:C,"")</f>
        <v>BUILDING</v>
      </c>
      <c r="C38" s="64" t="b">
        <f>COUNTIF(Targets!A:A,A38)&gt;0</f>
        <v>1</v>
      </c>
      <c r="D38" s="64" t="b">
        <f>IF(
 OR(
  LEFT(A38,15)="state.character",
  RIGHT(A38,6)=".maxed"
 ),
 TRUE,
 COUNTIF(Checklist!A:A,A38)&gt;0
)</f>
        <v>1</v>
      </c>
      <c r="E38" s="64" t="b">
        <f>IF(
 OR(
  LEFT(A38,15)="state.character",
  RIGHT(A38,6)=".maxed",
  A38="building.guild@1",
  A38="quest.build_the_guild.accepted",
  A38="quest.build_the_pagoda.accepted"
 ),
 TRUE,
 COUNTIF(Dependencies!A:A,A38)&gt;0
)</f>
        <v>1</v>
      </c>
      <c r="F38" s="64" t="b">
        <f>COUNTIF(Dependencies!B:B,A38)&gt;0</f>
        <v>1</v>
      </c>
      <c r="G38" s="64" t="b">
        <f>COUNTIF(QuestObjectives!A:A,A38)&gt;0</f>
        <v>0</v>
      </c>
      <c r="H38" s="64" t="b">
        <f>COUNTIF(QuestObjectives!E:E,A38)&gt;0</f>
        <v>0</v>
      </c>
      <c r="I38" s="64" t="b">
        <f>COUNTIF(TargetStatus!A:A,A38)&gt;0</f>
        <v>1</v>
      </c>
      <c r="J38" s="64" t="b">
        <f>COUNTIF(CostStatus!B:B,A38)&gt;0</f>
        <v>1</v>
      </c>
      <c r="K38" s="64" t="b">
        <f>COUNTIF(States!A:A,A38)&gt;0</f>
        <v>0</v>
      </c>
      <c r="L38" s="64" t="b">
        <f t="shared" si="2"/>
        <v>1</v>
      </c>
      <c r="M38" s="64" t="b">
        <f>IF(A38="","",COUNTIF(Targets!A:A,A38)&gt;1)</f>
        <v>0</v>
      </c>
      <c r="N38" s="64" t="b">
        <f>IF(A38="","",COUNTIF(States!A:A,A38)&gt;1)</f>
        <v>0</v>
      </c>
      <c r="O38" s="64" t="b">
        <f>IFERROR(__xludf.DUMMYFUNCTION("IF(
 B38="""",
 """",
 SWITCH(
  B38,
  ""BUILDING"",COUNTIF(Buildings!A:A,A38)&gt;0,
  ""CITADEL"",COUNTIF(Citadel!A:A,A38)&gt;0,
  ""COLLECTION"",COUNTIF(Collections!A:A,A38)&gt;0,
  ""CRAFTIFACT"",COUNTIF(Craftifacts!A:A,A38)&gt;0,
  ""QUEST"",
   COUNTIF(
    Que"&amp;"sts!A:A,
    REGEXREPLACE(A38,""\.(accepted|finished)$"","""")
   )&gt;0,
  ""TECH"",COUNTIF(Technologies!A:A,A38)&gt;0,
  ""STATE"",COUNTIF(States!A:A,A38)&gt;0,
  FALSE
 )
)"),TRUE)</f>
        <v>1</v>
      </c>
      <c r="P38" s="64" t="str">
        <f t="shared" si="3"/>
        <v>Good</v>
      </c>
      <c r="Q38" s="65"/>
      <c r="R38" s="65"/>
      <c r="S38" s="65"/>
      <c r="T38" s="65"/>
      <c r="U38" s="6"/>
      <c r="V38" s="63" t="str">
        <f>IFERROR(__xludf.DUMMYFUNCTION("""COMPUTED_VALUE"""),"building.fermentory@6")</f>
        <v>building.fermentory@6</v>
      </c>
      <c r="W38" s="65"/>
      <c r="X38" s="65"/>
      <c r="Y38" s="65"/>
      <c r="Z38" s="65"/>
      <c r="AA38" s="65"/>
      <c r="AB38" s="65"/>
      <c r="AC38" s="65"/>
      <c r="AD38" s="63"/>
      <c r="AE38" s="63"/>
      <c r="AF38" s="63"/>
      <c r="AG38" s="63"/>
      <c r="AH38" s="6"/>
      <c r="AI38" s="63"/>
      <c r="AJ38" s="6"/>
      <c r="AK38" s="6"/>
      <c r="AL38" s="63"/>
      <c r="AM38" s="63"/>
      <c r="AN38" s="63"/>
      <c r="AO38" s="63"/>
      <c r="AP38" s="63"/>
      <c r="AQ38" s="63"/>
      <c r="AR38" s="63"/>
      <c r="AS38" s="63"/>
      <c r="AT38" s="6"/>
      <c r="AU38" s="63"/>
      <c r="AV38" s="6"/>
      <c r="AW38" s="6"/>
      <c r="AX38" s="63"/>
      <c r="AY38" s="63"/>
    </row>
    <row r="39" ht="14.25" customHeight="1">
      <c r="A39" s="26" t="str">
        <f t="shared" si="1"/>
        <v>building.field.maxed</v>
      </c>
      <c r="B39" s="26" t="str">
        <f t="array" ref="B39">_xlfn.XLOOKUP(A39,Targets!A:A,Targets!C:C,"")</f>
        <v>BUILDING</v>
      </c>
      <c r="C39" s="64" t="b">
        <f>COUNTIF(Targets!A:A,A39)&gt;0</f>
        <v>1</v>
      </c>
      <c r="D39" s="64" t="b">
        <f>IF(
 OR(
  LEFT(A39,15)="state.character",
  RIGHT(A39,6)=".maxed"
 ),
 TRUE,
 COUNTIF(Checklist!A:A,A39)&gt;0
)</f>
        <v>1</v>
      </c>
      <c r="E39" s="64" t="b">
        <f>IF(
 OR(
  LEFT(A39,15)="state.character",
  RIGHT(A39,6)=".maxed",
  A39="building.guild@1",
  A39="quest.build_the_guild.accepted",
  A39="quest.build_the_pagoda.accepted"
 ),
 TRUE,
 COUNTIF(Dependencies!A:A,A39)&gt;0
)</f>
        <v>1</v>
      </c>
      <c r="F39" s="64" t="b">
        <f>COUNTIF(Dependencies!B:B,A39)&gt;0</f>
        <v>1</v>
      </c>
      <c r="G39" s="64" t="b">
        <f>COUNTIF(QuestObjectives!A:A,A39)&gt;0</f>
        <v>0</v>
      </c>
      <c r="H39" s="64" t="b">
        <f>COUNTIF(QuestObjectives!E:E,A39)&gt;0</f>
        <v>0</v>
      </c>
      <c r="I39" s="64" t="b">
        <f>COUNTIF(TargetStatus!A:A,A39)&gt;0</f>
        <v>1</v>
      </c>
      <c r="J39" s="64" t="b">
        <f>COUNTIF(CostStatus!B:B,A39)&gt;0</f>
        <v>0</v>
      </c>
      <c r="K39" s="64" t="b">
        <f>COUNTIF(States!A:A,A39)&gt;0</f>
        <v>0</v>
      </c>
      <c r="L39" s="64" t="b">
        <f t="shared" si="2"/>
        <v>1</v>
      </c>
      <c r="M39" s="64" t="b">
        <f>IF(A39="","",COUNTIF(Targets!A:A,A39)&gt;1)</f>
        <v>0</v>
      </c>
      <c r="N39" s="64" t="b">
        <f>IF(A39="","",COUNTIF(States!A:A,A39)&gt;1)</f>
        <v>0</v>
      </c>
      <c r="O39" s="64" t="b">
        <f>IFERROR(__xludf.DUMMYFUNCTION("IF(
 B39="""",
 """",
 SWITCH(
  B39,
  ""BUILDING"",COUNTIF(Buildings!A:A,A39)&gt;0,
  ""CITADEL"",COUNTIF(Citadel!A:A,A39)&gt;0,
  ""COLLECTION"",COUNTIF(Collections!A:A,A39)&gt;0,
  ""CRAFTIFACT"",COUNTIF(Craftifacts!A:A,A39)&gt;0,
  ""QUEST"",
   COUNTIF(
    Que"&amp;"sts!A:A,
    REGEXREPLACE(A39,""\.(accepted|finished)$"","""")
   )&gt;0,
  ""TECH"",COUNTIF(Technologies!A:A,A39)&gt;0,
  ""STATE"",COUNTIF(States!A:A,A39)&gt;0,
  FALSE
 )
)"),FALSE)</f>
        <v>0</v>
      </c>
      <c r="P39" s="64" t="str">
        <f t="shared" si="3"/>
        <v>Good</v>
      </c>
      <c r="Q39" s="65"/>
      <c r="R39" s="65"/>
      <c r="S39" s="65"/>
      <c r="T39" s="65"/>
      <c r="U39" s="6"/>
      <c r="V39" s="63" t="str">
        <f>IFERROR(__xludf.DUMMYFUNCTION("""COMPUTED_VALUE"""),"building.field.maxed")</f>
        <v>building.field.maxed</v>
      </c>
      <c r="W39" s="65"/>
      <c r="X39" s="65"/>
      <c r="Y39" s="65"/>
      <c r="Z39" s="65"/>
      <c r="AA39" s="65"/>
      <c r="AB39" s="65"/>
      <c r="AC39" s="65"/>
      <c r="AD39" s="63"/>
      <c r="AE39" s="63"/>
      <c r="AF39" s="63"/>
      <c r="AG39" s="63"/>
      <c r="AH39" s="6"/>
      <c r="AI39" s="63"/>
      <c r="AJ39" s="6"/>
      <c r="AK39" s="6"/>
      <c r="AL39" s="63"/>
      <c r="AM39" s="63"/>
      <c r="AN39" s="63"/>
      <c r="AO39" s="63"/>
      <c r="AP39" s="63"/>
      <c r="AQ39" s="63"/>
      <c r="AR39" s="63"/>
      <c r="AS39" s="63"/>
      <c r="AT39" s="6"/>
      <c r="AU39" s="63"/>
      <c r="AV39" s="6"/>
      <c r="AW39" s="6"/>
      <c r="AX39" s="63"/>
      <c r="AY39" s="63"/>
    </row>
    <row r="40" ht="14.25" customHeight="1">
      <c r="A40" s="26" t="str">
        <f t="shared" si="1"/>
        <v>building.field@1</v>
      </c>
      <c r="B40" s="26" t="str">
        <f t="array" ref="B40">_xlfn.XLOOKUP(A40,Targets!A:A,Targets!C:C,"")</f>
        <v>BUILDING</v>
      </c>
      <c r="C40" s="64" t="b">
        <f>COUNTIF(Targets!A:A,A40)&gt;0</f>
        <v>1</v>
      </c>
      <c r="D40" s="64" t="b">
        <f>IF(
 OR(
  LEFT(A40,15)="state.character",
  RIGHT(A40,6)=".maxed"
 ),
 TRUE,
 COUNTIF(Checklist!A:A,A40)&gt;0
)</f>
        <v>1</v>
      </c>
      <c r="E40" s="64" t="b">
        <f>IF(
 OR(
  LEFT(A40,15)="state.character",
  RIGHT(A40,6)=".maxed",
  A40="building.guild@1",
  A40="quest.build_the_guild.accepted",
  A40="quest.build_the_pagoda.accepted"
 ),
 TRUE,
 COUNTIF(Dependencies!A:A,A40)&gt;0
)</f>
        <v>1</v>
      </c>
      <c r="F40" s="64" t="b">
        <f>COUNTIF(Dependencies!B:B,A40)&gt;0</f>
        <v>1</v>
      </c>
      <c r="G40" s="64" t="b">
        <f>COUNTIF(QuestObjectives!A:A,A40)&gt;0</f>
        <v>0</v>
      </c>
      <c r="H40" s="64" t="b">
        <f>COUNTIF(QuestObjectives!E:E,A40)&gt;0</f>
        <v>1</v>
      </c>
      <c r="I40" s="64" t="b">
        <f>COUNTIF(TargetStatus!A:A,A40)&gt;0</f>
        <v>1</v>
      </c>
      <c r="J40" s="64" t="b">
        <f>COUNTIF(CostStatus!B:B,A40)&gt;0</f>
        <v>1</v>
      </c>
      <c r="K40" s="64" t="b">
        <f>COUNTIF(States!A:A,A40)&gt;0</f>
        <v>0</v>
      </c>
      <c r="L40" s="64" t="b">
        <f t="shared" si="2"/>
        <v>1</v>
      </c>
      <c r="M40" s="64" t="b">
        <f>IF(A40="","",COUNTIF(Targets!A:A,A40)&gt;1)</f>
        <v>0</v>
      </c>
      <c r="N40" s="64" t="b">
        <f>IF(A40="","",COUNTIF(States!A:A,A40)&gt;1)</f>
        <v>0</v>
      </c>
      <c r="O40" s="64" t="b">
        <f>IFERROR(__xludf.DUMMYFUNCTION("IF(
 B40="""",
 """",
 SWITCH(
  B40,
  ""BUILDING"",COUNTIF(Buildings!A:A,A40)&gt;0,
  ""CITADEL"",COUNTIF(Citadel!A:A,A40)&gt;0,
  ""COLLECTION"",COUNTIF(Collections!A:A,A40)&gt;0,
  ""CRAFTIFACT"",COUNTIF(Craftifacts!A:A,A40)&gt;0,
  ""QUEST"",
   COUNTIF(
    Que"&amp;"sts!A:A,
    REGEXREPLACE(A40,""\.(accepted|finished)$"","""")
   )&gt;0,
  ""TECH"",COUNTIF(Technologies!A:A,A40)&gt;0,
  ""STATE"",COUNTIF(States!A:A,A40)&gt;0,
  FALSE
 )
)"),TRUE)</f>
        <v>1</v>
      </c>
      <c r="P40" s="64" t="str">
        <f t="shared" si="3"/>
        <v>Good</v>
      </c>
      <c r="Q40" s="65"/>
      <c r="R40" s="65"/>
      <c r="S40" s="65"/>
      <c r="T40" s="65"/>
      <c r="U40" s="6"/>
      <c r="V40" s="63" t="str">
        <f>IFERROR(__xludf.DUMMYFUNCTION("""COMPUTED_VALUE"""),"building.field@1")</f>
        <v>building.field@1</v>
      </c>
      <c r="W40" s="65"/>
      <c r="X40" s="65"/>
      <c r="Y40" s="65"/>
      <c r="Z40" s="65"/>
      <c r="AA40" s="65"/>
      <c r="AB40" s="65"/>
      <c r="AC40" s="65"/>
      <c r="AD40" s="63"/>
      <c r="AE40" s="63"/>
      <c r="AF40" s="63"/>
      <c r="AG40" s="63"/>
      <c r="AH40" s="6"/>
      <c r="AI40" s="63"/>
      <c r="AJ40" s="6"/>
      <c r="AK40" s="6"/>
      <c r="AL40" s="63"/>
      <c r="AM40" s="63"/>
      <c r="AN40" s="63"/>
      <c r="AO40" s="63"/>
      <c r="AP40" s="63"/>
      <c r="AQ40" s="63"/>
      <c r="AR40" s="63"/>
      <c r="AS40" s="63"/>
      <c r="AT40" s="6"/>
      <c r="AU40" s="63"/>
      <c r="AV40" s="6"/>
      <c r="AW40" s="6"/>
      <c r="AX40" s="63"/>
      <c r="AY40" s="63"/>
    </row>
    <row r="41" ht="14.25" customHeight="1">
      <c r="A41" s="26" t="str">
        <f t="shared" si="1"/>
        <v>building.field@2</v>
      </c>
      <c r="B41" s="26" t="str">
        <f t="array" ref="B41">_xlfn.XLOOKUP(A41,Targets!A:A,Targets!C:C,"")</f>
        <v>BUILDING</v>
      </c>
      <c r="C41" s="64" t="b">
        <f>COUNTIF(Targets!A:A,A41)&gt;0</f>
        <v>1</v>
      </c>
      <c r="D41" s="64" t="b">
        <f>IF(
 OR(
  LEFT(A41,15)="state.character",
  RIGHT(A41,6)=".maxed"
 ),
 TRUE,
 COUNTIF(Checklist!A:A,A41)&gt;0
)</f>
        <v>1</v>
      </c>
      <c r="E41" s="64" t="b">
        <f>IF(
 OR(
  LEFT(A41,15)="state.character",
  RIGHT(A41,6)=".maxed",
  A41="building.guild@1",
  A41="quest.build_the_guild.accepted",
  A41="quest.build_the_pagoda.accepted"
 ),
 TRUE,
 COUNTIF(Dependencies!A:A,A41)&gt;0
)</f>
        <v>1</v>
      </c>
      <c r="F41" s="64" t="b">
        <f>COUNTIF(Dependencies!B:B,A41)&gt;0</f>
        <v>1</v>
      </c>
      <c r="G41" s="64" t="b">
        <f>COUNTIF(QuestObjectives!A:A,A41)&gt;0</f>
        <v>0</v>
      </c>
      <c r="H41" s="64" t="b">
        <f>COUNTIF(QuestObjectives!E:E,A41)&gt;0</f>
        <v>0</v>
      </c>
      <c r="I41" s="64" t="b">
        <f>COUNTIF(TargetStatus!A:A,A41)&gt;0</f>
        <v>1</v>
      </c>
      <c r="J41" s="64" t="b">
        <f>COUNTIF(CostStatus!B:B,A41)&gt;0</f>
        <v>1</v>
      </c>
      <c r="K41" s="64" t="b">
        <f>COUNTIF(States!A:A,A41)&gt;0</f>
        <v>0</v>
      </c>
      <c r="L41" s="64" t="b">
        <f t="shared" si="2"/>
        <v>1</v>
      </c>
      <c r="M41" s="64" t="b">
        <f>IF(A41="","",COUNTIF(Targets!A:A,A41)&gt;1)</f>
        <v>0</v>
      </c>
      <c r="N41" s="64" t="b">
        <f>IF(A41="","",COUNTIF(States!A:A,A41)&gt;1)</f>
        <v>0</v>
      </c>
      <c r="O41" s="64" t="b">
        <f>IFERROR(__xludf.DUMMYFUNCTION("IF(
 B41="""",
 """",
 SWITCH(
  B41,
  ""BUILDING"",COUNTIF(Buildings!A:A,A41)&gt;0,
  ""CITADEL"",COUNTIF(Citadel!A:A,A41)&gt;0,
  ""COLLECTION"",COUNTIF(Collections!A:A,A41)&gt;0,
  ""CRAFTIFACT"",COUNTIF(Craftifacts!A:A,A41)&gt;0,
  ""QUEST"",
   COUNTIF(
    Que"&amp;"sts!A:A,
    REGEXREPLACE(A41,""\.(accepted|finished)$"","""")
   )&gt;0,
  ""TECH"",COUNTIF(Technologies!A:A,A41)&gt;0,
  ""STATE"",COUNTIF(States!A:A,A41)&gt;0,
  FALSE
 )
)"),TRUE)</f>
        <v>1</v>
      </c>
      <c r="P41" s="64" t="str">
        <f t="shared" si="3"/>
        <v>Good</v>
      </c>
      <c r="Q41" s="65"/>
      <c r="R41" s="65"/>
      <c r="S41" s="65"/>
      <c r="T41" s="65"/>
      <c r="U41" s="6"/>
      <c r="V41" s="63" t="str">
        <f>IFERROR(__xludf.DUMMYFUNCTION("""COMPUTED_VALUE"""),"building.field@2")</f>
        <v>building.field@2</v>
      </c>
      <c r="W41" s="65"/>
      <c r="X41" s="65"/>
      <c r="Y41" s="65"/>
      <c r="Z41" s="65"/>
      <c r="AA41" s="65"/>
      <c r="AB41" s="65"/>
      <c r="AC41" s="65"/>
      <c r="AD41" s="63"/>
      <c r="AE41" s="63"/>
      <c r="AF41" s="63"/>
      <c r="AG41" s="63"/>
      <c r="AH41" s="63"/>
      <c r="AI41" s="63"/>
      <c r="AJ41" s="6"/>
      <c r="AK41" s="6"/>
      <c r="AL41" s="63"/>
      <c r="AM41" s="63"/>
      <c r="AN41" s="63"/>
      <c r="AO41" s="63"/>
      <c r="AP41" s="63"/>
      <c r="AQ41" s="63"/>
      <c r="AR41" s="63"/>
      <c r="AS41" s="63"/>
      <c r="AT41" s="63"/>
      <c r="AU41" s="63"/>
      <c r="AV41" s="6"/>
      <c r="AW41" s="6"/>
      <c r="AX41" s="63"/>
      <c r="AY41" s="63"/>
    </row>
    <row r="42" ht="14.25" customHeight="1">
      <c r="A42" s="26" t="str">
        <f t="shared" si="1"/>
        <v>building.food_stall.maxed</v>
      </c>
      <c r="B42" s="26" t="str">
        <f t="array" ref="B42">_xlfn.XLOOKUP(A42,Targets!A:A,Targets!C:C,"")</f>
        <v>BUILDING</v>
      </c>
      <c r="C42" s="64" t="b">
        <f>COUNTIF(Targets!A:A,A42)&gt;0</f>
        <v>1</v>
      </c>
      <c r="D42" s="64" t="b">
        <f>IF(
 OR(
  LEFT(A42,15)="state.character",
  RIGHT(A42,6)=".maxed"
 ),
 TRUE,
 COUNTIF(Checklist!A:A,A42)&gt;0
)</f>
        <v>1</v>
      </c>
      <c r="E42" s="64" t="b">
        <f>IF(
 OR(
  LEFT(A42,15)="state.character",
  RIGHT(A42,6)=".maxed",
  A42="building.guild@1",
  A42="quest.build_the_guild.accepted",
  A42="quest.build_the_pagoda.accepted"
 ),
 TRUE,
 COUNTIF(Dependencies!A:A,A42)&gt;0
)</f>
        <v>1</v>
      </c>
      <c r="F42" s="64" t="b">
        <f>COUNTIF(Dependencies!B:B,A42)&gt;0</f>
        <v>1</v>
      </c>
      <c r="G42" s="64" t="b">
        <f>COUNTIF(QuestObjectives!A:A,A42)&gt;0</f>
        <v>0</v>
      </c>
      <c r="H42" s="64" t="b">
        <f>COUNTIF(QuestObjectives!E:E,A42)&gt;0</f>
        <v>0</v>
      </c>
      <c r="I42" s="64" t="b">
        <f>COUNTIF(TargetStatus!A:A,A42)&gt;0</f>
        <v>1</v>
      </c>
      <c r="J42" s="64" t="b">
        <f>COUNTIF(CostStatus!B:B,A42)&gt;0</f>
        <v>0</v>
      </c>
      <c r="K42" s="64" t="b">
        <f>COUNTIF(States!A:A,A42)&gt;0</f>
        <v>0</v>
      </c>
      <c r="L42" s="64" t="b">
        <f t="shared" si="2"/>
        <v>1</v>
      </c>
      <c r="M42" s="64" t="b">
        <f>IF(A42="","",COUNTIF(Targets!A:A,A42)&gt;1)</f>
        <v>0</v>
      </c>
      <c r="N42" s="64" t="b">
        <f>IF(A42="","",COUNTIF(States!A:A,A42)&gt;1)</f>
        <v>0</v>
      </c>
      <c r="O42" s="64" t="b">
        <f>IFERROR(__xludf.DUMMYFUNCTION("IF(
 B42="""",
 """",
 SWITCH(
  B42,
  ""BUILDING"",COUNTIF(Buildings!A:A,A42)&gt;0,
  ""CITADEL"",COUNTIF(Citadel!A:A,A42)&gt;0,
  ""COLLECTION"",COUNTIF(Collections!A:A,A42)&gt;0,
  ""CRAFTIFACT"",COUNTIF(Craftifacts!A:A,A42)&gt;0,
  ""QUEST"",
   COUNTIF(
    Que"&amp;"sts!A:A,
    REGEXREPLACE(A42,""\.(accepted|finished)$"","""")
   )&gt;0,
  ""TECH"",COUNTIF(Technologies!A:A,A42)&gt;0,
  ""STATE"",COUNTIF(States!A:A,A42)&gt;0,
  FALSE
 )
)"),FALSE)</f>
        <v>0</v>
      </c>
      <c r="P42" s="64" t="str">
        <f t="shared" si="3"/>
        <v>Good</v>
      </c>
      <c r="Q42" s="65"/>
      <c r="R42" s="65"/>
      <c r="S42" s="65"/>
      <c r="T42" s="65"/>
      <c r="U42" s="6"/>
      <c r="V42" s="63" t="str">
        <f>IFERROR(__xludf.DUMMYFUNCTION("""COMPUTED_VALUE"""),"building.food_stall.maxed")</f>
        <v>building.food_stall.maxed</v>
      </c>
      <c r="W42" s="65"/>
      <c r="X42" s="65"/>
      <c r="Y42" s="65"/>
      <c r="Z42" s="65"/>
      <c r="AA42" s="65"/>
      <c r="AB42" s="65"/>
      <c r="AC42" s="65"/>
      <c r="AD42" s="63"/>
      <c r="AE42" s="63"/>
      <c r="AF42" s="63"/>
      <c r="AG42" s="63"/>
      <c r="AH42" s="6"/>
      <c r="AI42" s="63"/>
      <c r="AJ42" s="6"/>
      <c r="AK42" s="6"/>
      <c r="AL42" s="63"/>
      <c r="AM42" s="63"/>
      <c r="AN42" s="63"/>
      <c r="AO42" s="63"/>
      <c r="AP42" s="63"/>
      <c r="AQ42" s="63"/>
      <c r="AR42" s="63"/>
      <c r="AS42" s="63"/>
      <c r="AT42" s="6"/>
      <c r="AU42" s="63"/>
      <c r="AV42" s="6"/>
      <c r="AW42" s="6"/>
      <c r="AX42" s="63"/>
      <c r="AY42" s="63"/>
    </row>
    <row r="43" ht="14.25" customHeight="1">
      <c r="A43" s="26" t="str">
        <f t="shared" si="1"/>
        <v>building.food_stall@1</v>
      </c>
      <c r="B43" s="26" t="str">
        <f t="array" ref="B43">_xlfn.XLOOKUP(A43,Targets!A:A,Targets!C:C,"")</f>
        <v>BUILDING</v>
      </c>
      <c r="C43" s="64" t="b">
        <f>COUNTIF(Targets!A:A,A43)&gt;0</f>
        <v>1</v>
      </c>
      <c r="D43" s="64" t="b">
        <f>IF(
 OR(
  LEFT(A43,15)="state.character",
  RIGHT(A43,6)=".maxed"
 ),
 TRUE,
 COUNTIF(Checklist!A:A,A43)&gt;0
)</f>
        <v>1</v>
      </c>
      <c r="E43" s="64" t="b">
        <f>IF(
 OR(
  LEFT(A43,15)="state.character",
  RIGHT(A43,6)=".maxed",
  A43="building.guild@1",
  A43="quest.build_the_guild.accepted",
  A43="quest.build_the_pagoda.accepted"
 ),
 TRUE,
 COUNTIF(Dependencies!A:A,A43)&gt;0
)</f>
        <v>1</v>
      </c>
      <c r="F43" s="64" t="b">
        <f>COUNTIF(Dependencies!B:B,A43)&gt;0</f>
        <v>1</v>
      </c>
      <c r="G43" s="64" t="b">
        <f>COUNTIF(QuestObjectives!A:A,A43)&gt;0</f>
        <v>0</v>
      </c>
      <c r="H43" s="64" t="b">
        <f>COUNTIF(QuestObjectives!E:E,A43)&gt;0</f>
        <v>1</v>
      </c>
      <c r="I43" s="64" t="b">
        <f>COUNTIF(TargetStatus!A:A,A43)&gt;0</f>
        <v>1</v>
      </c>
      <c r="J43" s="64" t="b">
        <f>COUNTIF(CostStatus!B:B,A43)&gt;0</f>
        <v>1</v>
      </c>
      <c r="K43" s="64" t="b">
        <f>COUNTIF(States!A:A,A43)&gt;0</f>
        <v>0</v>
      </c>
      <c r="L43" s="64" t="b">
        <f t="shared" si="2"/>
        <v>1</v>
      </c>
      <c r="M43" s="64" t="b">
        <f>IF(A43="","",COUNTIF(Targets!A:A,A43)&gt;1)</f>
        <v>0</v>
      </c>
      <c r="N43" s="64" t="b">
        <f>IF(A43="","",COUNTIF(States!A:A,A43)&gt;1)</f>
        <v>0</v>
      </c>
      <c r="O43" s="64" t="b">
        <f>IFERROR(__xludf.DUMMYFUNCTION("IF(
 B43="""",
 """",
 SWITCH(
  B43,
  ""BUILDING"",COUNTIF(Buildings!A:A,A43)&gt;0,
  ""CITADEL"",COUNTIF(Citadel!A:A,A43)&gt;0,
  ""COLLECTION"",COUNTIF(Collections!A:A,A43)&gt;0,
  ""CRAFTIFACT"",COUNTIF(Craftifacts!A:A,A43)&gt;0,
  ""QUEST"",
   COUNTIF(
    Que"&amp;"sts!A:A,
    REGEXREPLACE(A43,""\.(accepted|finished)$"","""")
   )&gt;0,
  ""TECH"",COUNTIF(Technologies!A:A,A43)&gt;0,
  ""STATE"",COUNTIF(States!A:A,A43)&gt;0,
  FALSE
 )
)"),TRUE)</f>
        <v>1</v>
      </c>
      <c r="P43" s="64" t="str">
        <f t="shared" si="3"/>
        <v>Good</v>
      </c>
      <c r="Q43" s="65"/>
      <c r="R43" s="65"/>
      <c r="S43" s="65"/>
      <c r="T43" s="65"/>
      <c r="U43" s="6"/>
      <c r="V43" s="63" t="str">
        <f>IFERROR(__xludf.DUMMYFUNCTION("""COMPUTED_VALUE"""),"building.food_stall@1")</f>
        <v>building.food_stall@1</v>
      </c>
      <c r="W43" s="65"/>
      <c r="X43" s="65"/>
      <c r="Y43" s="65"/>
      <c r="Z43" s="65"/>
      <c r="AA43" s="65"/>
      <c r="AB43" s="65"/>
      <c r="AC43" s="65"/>
      <c r="AD43" s="63"/>
      <c r="AE43" s="63"/>
      <c r="AF43" s="63"/>
      <c r="AG43" s="63"/>
      <c r="AH43" s="6"/>
      <c r="AI43" s="63"/>
      <c r="AJ43" s="6"/>
      <c r="AK43" s="6"/>
      <c r="AL43" s="63"/>
      <c r="AM43" s="63"/>
      <c r="AN43" s="63"/>
      <c r="AO43" s="63"/>
      <c r="AP43" s="63"/>
      <c r="AQ43" s="63"/>
      <c r="AR43" s="63"/>
      <c r="AS43" s="63"/>
      <c r="AT43" s="6"/>
      <c r="AU43" s="63"/>
      <c r="AV43" s="6"/>
      <c r="AW43" s="6"/>
      <c r="AX43" s="63"/>
      <c r="AY43" s="63"/>
    </row>
    <row r="44" ht="14.25" customHeight="1">
      <c r="A44" s="26" t="str">
        <f t="shared" si="1"/>
        <v>building.food_stall@2</v>
      </c>
      <c r="B44" s="26" t="str">
        <f t="array" ref="B44">_xlfn.XLOOKUP(A44,Targets!A:A,Targets!C:C,"")</f>
        <v>BUILDING</v>
      </c>
      <c r="C44" s="64" t="b">
        <f>COUNTIF(Targets!A:A,A44)&gt;0</f>
        <v>1</v>
      </c>
      <c r="D44" s="64" t="b">
        <f>IF(
 OR(
  LEFT(A44,15)="state.character",
  RIGHT(A44,6)=".maxed"
 ),
 TRUE,
 COUNTIF(Checklist!A:A,A44)&gt;0
)</f>
        <v>1</v>
      </c>
      <c r="E44" s="64" t="b">
        <f>IF(
 OR(
  LEFT(A44,15)="state.character",
  RIGHT(A44,6)=".maxed",
  A44="building.guild@1",
  A44="quest.build_the_guild.accepted",
  A44="quest.build_the_pagoda.accepted"
 ),
 TRUE,
 COUNTIF(Dependencies!A:A,A44)&gt;0
)</f>
        <v>1</v>
      </c>
      <c r="F44" s="64" t="b">
        <f>COUNTIF(Dependencies!B:B,A44)&gt;0</f>
        <v>1</v>
      </c>
      <c r="G44" s="64" t="b">
        <f>COUNTIF(QuestObjectives!A:A,A44)&gt;0</f>
        <v>0</v>
      </c>
      <c r="H44" s="64" t="b">
        <f>COUNTIF(QuestObjectives!E:E,A44)&gt;0</f>
        <v>1</v>
      </c>
      <c r="I44" s="64" t="b">
        <f>COUNTIF(TargetStatus!A:A,A44)&gt;0</f>
        <v>1</v>
      </c>
      <c r="J44" s="64" t="b">
        <f>COUNTIF(CostStatus!B:B,A44)&gt;0</f>
        <v>1</v>
      </c>
      <c r="K44" s="64" t="b">
        <f>COUNTIF(States!A:A,A44)&gt;0</f>
        <v>0</v>
      </c>
      <c r="L44" s="64" t="b">
        <f t="shared" si="2"/>
        <v>1</v>
      </c>
      <c r="M44" s="64" t="b">
        <f>IF(A44="","",COUNTIF(Targets!A:A,A44)&gt;1)</f>
        <v>0</v>
      </c>
      <c r="N44" s="64" t="b">
        <f>IF(A44="","",COUNTIF(States!A:A,A44)&gt;1)</f>
        <v>0</v>
      </c>
      <c r="O44" s="64" t="b">
        <f>IFERROR(__xludf.DUMMYFUNCTION("IF(
 B44="""",
 """",
 SWITCH(
  B44,
  ""BUILDING"",COUNTIF(Buildings!A:A,A44)&gt;0,
  ""CITADEL"",COUNTIF(Citadel!A:A,A44)&gt;0,
  ""COLLECTION"",COUNTIF(Collections!A:A,A44)&gt;0,
  ""CRAFTIFACT"",COUNTIF(Craftifacts!A:A,A44)&gt;0,
  ""QUEST"",
   COUNTIF(
    Que"&amp;"sts!A:A,
    REGEXREPLACE(A44,""\.(accepted|finished)$"","""")
   )&gt;0,
  ""TECH"",COUNTIF(Technologies!A:A,A44)&gt;0,
  ""STATE"",COUNTIF(States!A:A,A44)&gt;0,
  FALSE
 )
)"),TRUE)</f>
        <v>1</v>
      </c>
      <c r="P44" s="64" t="str">
        <f t="shared" si="3"/>
        <v>Good</v>
      </c>
      <c r="Q44" s="65"/>
      <c r="R44" s="65"/>
      <c r="S44" s="65"/>
      <c r="T44" s="65"/>
      <c r="U44" s="6"/>
      <c r="V44" s="63" t="str">
        <f>IFERROR(__xludf.DUMMYFUNCTION("""COMPUTED_VALUE"""),"building.food_stall@2")</f>
        <v>building.food_stall@2</v>
      </c>
      <c r="W44" s="65"/>
      <c r="X44" s="65"/>
      <c r="Y44" s="65"/>
      <c r="Z44" s="65"/>
      <c r="AA44" s="65"/>
      <c r="AB44" s="65"/>
      <c r="AC44" s="65"/>
      <c r="AD44" s="63"/>
      <c r="AE44" s="63"/>
      <c r="AF44" s="63"/>
      <c r="AG44" s="63"/>
      <c r="AH44" s="6"/>
      <c r="AI44" s="63"/>
      <c r="AJ44" s="6"/>
      <c r="AK44" s="6"/>
      <c r="AL44" s="63"/>
      <c r="AM44" s="63"/>
      <c r="AN44" s="63"/>
      <c r="AO44" s="63"/>
      <c r="AP44" s="63"/>
      <c r="AQ44" s="63"/>
      <c r="AR44" s="63"/>
      <c r="AS44" s="63"/>
      <c r="AT44" s="6"/>
      <c r="AU44" s="63"/>
      <c r="AV44" s="6"/>
      <c r="AW44" s="6"/>
      <c r="AX44" s="63"/>
      <c r="AY44" s="63"/>
    </row>
    <row r="45" ht="14.25" customHeight="1">
      <c r="A45" s="26" t="str">
        <f t="shared" si="1"/>
        <v>building.food_stall@3</v>
      </c>
      <c r="B45" s="26" t="str">
        <f t="array" ref="B45">_xlfn.XLOOKUP(A45,Targets!A:A,Targets!C:C,"")</f>
        <v>BUILDING</v>
      </c>
      <c r="C45" s="64" t="b">
        <f>COUNTIF(Targets!A:A,A45)&gt;0</f>
        <v>1</v>
      </c>
      <c r="D45" s="64" t="b">
        <f>IF(
 OR(
  LEFT(A45,15)="state.character",
  RIGHT(A45,6)=".maxed"
 ),
 TRUE,
 COUNTIF(Checklist!A:A,A45)&gt;0
)</f>
        <v>1</v>
      </c>
      <c r="E45" s="64" t="b">
        <f>IF(
 OR(
  LEFT(A45,15)="state.character",
  RIGHT(A45,6)=".maxed",
  A45="building.guild@1",
  A45="quest.build_the_guild.accepted",
  A45="quest.build_the_pagoda.accepted"
 ),
 TRUE,
 COUNTIF(Dependencies!A:A,A45)&gt;0
)</f>
        <v>1</v>
      </c>
      <c r="F45" s="64" t="b">
        <f>COUNTIF(Dependencies!B:B,A45)&gt;0</f>
        <v>1</v>
      </c>
      <c r="G45" s="64" t="b">
        <f>COUNTIF(QuestObjectives!A:A,A45)&gt;0</f>
        <v>0</v>
      </c>
      <c r="H45" s="64" t="b">
        <f>COUNTIF(QuestObjectives!E:E,A45)&gt;0</f>
        <v>1</v>
      </c>
      <c r="I45" s="64" t="b">
        <f>COUNTIF(TargetStatus!A:A,A45)&gt;0</f>
        <v>1</v>
      </c>
      <c r="J45" s="64" t="b">
        <f>COUNTIF(CostStatus!B:B,A45)&gt;0</f>
        <v>1</v>
      </c>
      <c r="K45" s="64" t="b">
        <f>COUNTIF(States!A:A,A45)&gt;0</f>
        <v>0</v>
      </c>
      <c r="L45" s="64" t="b">
        <f t="shared" si="2"/>
        <v>1</v>
      </c>
      <c r="M45" s="64" t="b">
        <f>IF(A45="","",COUNTIF(Targets!A:A,A45)&gt;1)</f>
        <v>0</v>
      </c>
      <c r="N45" s="64" t="b">
        <f>IF(A45="","",COUNTIF(States!A:A,A45)&gt;1)</f>
        <v>0</v>
      </c>
      <c r="O45" s="64" t="b">
        <f>IFERROR(__xludf.DUMMYFUNCTION("IF(
 B45="""",
 """",
 SWITCH(
  B45,
  ""BUILDING"",COUNTIF(Buildings!A:A,A45)&gt;0,
  ""CITADEL"",COUNTIF(Citadel!A:A,A45)&gt;0,
  ""COLLECTION"",COUNTIF(Collections!A:A,A45)&gt;0,
  ""CRAFTIFACT"",COUNTIF(Craftifacts!A:A,A45)&gt;0,
  ""QUEST"",
   COUNTIF(
    Que"&amp;"sts!A:A,
    REGEXREPLACE(A45,""\.(accepted|finished)$"","""")
   )&gt;0,
  ""TECH"",COUNTIF(Technologies!A:A,A45)&gt;0,
  ""STATE"",COUNTIF(States!A:A,A45)&gt;0,
  FALSE
 )
)"),TRUE)</f>
        <v>1</v>
      </c>
      <c r="P45" s="64" t="str">
        <f t="shared" si="3"/>
        <v>Good</v>
      </c>
      <c r="Q45" s="65"/>
      <c r="R45" s="65"/>
      <c r="S45" s="65"/>
      <c r="T45" s="65"/>
      <c r="U45" s="6"/>
      <c r="V45" s="63" t="str">
        <f>IFERROR(__xludf.DUMMYFUNCTION("""COMPUTED_VALUE"""),"building.food_stall@3")</f>
        <v>building.food_stall@3</v>
      </c>
      <c r="W45" s="65"/>
      <c r="X45" s="65"/>
      <c r="Y45" s="65"/>
      <c r="Z45" s="65"/>
      <c r="AA45" s="65"/>
      <c r="AB45" s="65"/>
      <c r="AC45" s="65"/>
      <c r="AD45" s="63"/>
      <c r="AE45" s="63"/>
      <c r="AF45" s="63"/>
      <c r="AG45" s="63"/>
      <c r="AH45" s="6"/>
      <c r="AI45" s="63"/>
      <c r="AJ45" s="6"/>
      <c r="AK45" s="6"/>
      <c r="AL45" s="63"/>
      <c r="AM45" s="63"/>
      <c r="AN45" s="63"/>
      <c r="AO45" s="63"/>
      <c r="AP45" s="63"/>
      <c r="AQ45" s="63"/>
      <c r="AR45" s="63"/>
      <c r="AS45" s="63"/>
      <c r="AT45" s="6"/>
      <c r="AU45" s="63"/>
      <c r="AV45" s="6"/>
      <c r="AW45" s="6"/>
      <c r="AX45" s="63"/>
      <c r="AY45" s="63"/>
    </row>
    <row r="46" ht="14.25" customHeight="1">
      <c r="A46" s="26" t="str">
        <f t="shared" si="1"/>
        <v>building.furnace.maxed</v>
      </c>
      <c r="B46" s="26" t="str">
        <f t="array" ref="B46">_xlfn.XLOOKUP(A46,Targets!A:A,Targets!C:C,"")</f>
        <v>BUILDING</v>
      </c>
      <c r="C46" s="64" t="b">
        <f>COUNTIF(Targets!A:A,A46)&gt;0</f>
        <v>1</v>
      </c>
      <c r="D46" s="64" t="b">
        <f>IF(
 OR(
  LEFT(A46,15)="state.character",
  RIGHT(A46,6)=".maxed"
 ),
 TRUE,
 COUNTIF(Checklist!A:A,A46)&gt;0
)</f>
        <v>1</v>
      </c>
      <c r="E46" s="64" t="b">
        <f>IF(
 OR(
  LEFT(A46,15)="state.character",
  RIGHT(A46,6)=".maxed",
  A46="building.guild@1",
  A46="quest.build_the_guild.accepted",
  A46="quest.build_the_pagoda.accepted"
 ),
 TRUE,
 COUNTIF(Dependencies!A:A,A46)&gt;0
)</f>
        <v>1</v>
      </c>
      <c r="F46" s="64" t="b">
        <f>COUNTIF(Dependencies!B:B,A46)&gt;0</f>
        <v>1</v>
      </c>
      <c r="G46" s="64" t="b">
        <f>COUNTIF(QuestObjectives!A:A,A46)&gt;0</f>
        <v>0</v>
      </c>
      <c r="H46" s="64" t="b">
        <f>COUNTIF(QuestObjectives!E:E,A46)&gt;0</f>
        <v>0</v>
      </c>
      <c r="I46" s="64" t="b">
        <f>COUNTIF(TargetStatus!A:A,A46)&gt;0</f>
        <v>1</v>
      </c>
      <c r="J46" s="64" t="b">
        <f>COUNTIF(CostStatus!B:B,A46)&gt;0</f>
        <v>0</v>
      </c>
      <c r="K46" s="64" t="b">
        <f>COUNTIF(States!A:A,A46)&gt;0</f>
        <v>0</v>
      </c>
      <c r="L46" s="64" t="b">
        <f t="shared" si="2"/>
        <v>1</v>
      </c>
      <c r="M46" s="64" t="b">
        <f>IF(A46="","",COUNTIF(Targets!A:A,A46)&gt;1)</f>
        <v>0</v>
      </c>
      <c r="N46" s="64" t="b">
        <f>IF(A46="","",COUNTIF(States!A:A,A46)&gt;1)</f>
        <v>0</v>
      </c>
      <c r="O46" s="64" t="b">
        <f>IFERROR(__xludf.DUMMYFUNCTION("IF(
 B46="""",
 """",
 SWITCH(
  B46,
  ""BUILDING"",COUNTIF(Buildings!A:A,A46)&gt;0,
  ""CITADEL"",COUNTIF(Citadel!A:A,A46)&gt;0,
  ""COLLECTION"",COUNTIF(Collections!A:A,A46)&gt;0,
  ""CRAFTIFACT"",COUNTIF(Craftifacts!A:A,A46)&gt;0,
  ""QUEST"",
   COUNTIF(
    Que"&amp;"sts!A:A,
    REGEXREPLACE(A46,""\.(accepted|finished)$"","""")
   )&gt;0,
  ""TECH"",COUNTIF(Technologies!A:A,A46)&gt;0,
  ""STATE"",COUNTIF(States!A:A,A46)&gt;0,
  FALSE
 )
)"),FALSE)</f>
        <v>0</v>
      </c>
      <c r="P46" s="64" t="str">
        <f t="shared" si="3"/>
        <v>Good</v>
      </c>
      <c r="Q46" s="65"/>
      <c r="R46" s="65"/>
      <c r="S46" s="65"/>
      <c r="T46" s="65"/>
      <c r="U46" s="6"/>
      <c r="V46" s="63" t="str">
        <f>IFERROR(__xludf.DUMMYFUNCTION("""COMPUTED_VALUE"""),"building.furnace.maxed")</f>
        <v>building.furnace.maxed</v>
      </c>
      <c r="W46" s="65"/>
      <c r="X46" s="65"/>
      <c r="Y46" s="65"/>
      <c r="Z46" s="65"/>
      <c r="AA46" s="65"/>
      <c r="AB46" s="65"/>
      <c r="AC46" s="65"/>
      <c r="AD46" s="63"/>
      <c r="AE46" s="63"/>
      <c r="AF46" s="63"/>
      <c r="AG46" s="63"/>
      <c r="AH46" s="6"/>
      <c r="AI46" s="63"/>
      <c r="AJ46" s="6"/>
      <c r="AK46" s="6"/>
      <c r="AL46" s="63"/>
      <c r="AM46" s="63"/>
      <c r="AN46" s="63"/>
      <c r="AO46" s="63"/>
      <c r="AP46" s="63"/>
      <c r="AQ46" s="63"/>
      <c r="AR46" s="63"/>
      <c r="AS46" s="63"/>
      <c r="AT46" s="6"/>
      <c r="AU46" s="63"/>
      <c r="AV46" s="6"/>
      <c r="AW46" s="6"/>
      <c r="AX46" s="63"/>
      <c r="AY46" s="63"/>
    </row>
    <row r="47" ht="14.25" customHeight="1">
      <c r="A47" s="26" t="str">
        <f t="shared" si="1"/>
        <v>building.furnace@1</v>
      </c>
      <c r="B47" s="26" t="str">
        <f t="array" ref="B47">_xlfn.XLOOKUP(A47,Targets!A:A,Targets!C:C,"")</f>
        <v>BUILDING</v>
      </c>
      <c r="C47" s="64" t="b">
        <f>COUNTIF(Targets!A:A,A47)&gt;0</f>
        <v>1</v>
      </c>
      <c r="D47" s="64" t="b">
        <f>IF(
 OR(
  LEFT(A47,15)="state.character",
  RIGHT(A47,6)=".maxed"
 ),
 TRUE,
 COUNTIF(Checklist!A:A,A47)&gt;0
)</f>
        <v>1</v>
      </c>
      <c r="E47" s="64" t="b">
        <f>IF(
 OR(
  LEFT(A47,15)="state.character",
  RIGHT(A47,6)=".maxed",
  A47="building.guild@1",
  A47="quest.build_the_guild.accepted",
  A47="quest.build_the_pagoda.accepted"
 ),
 TRUE,
 COUNTIF(Dependencies!A:A,A47)&gt;0
)</f>
        <v>1</v>
      </c>
      <c r="F47" s="64" t="b">
        <f>COUNTIF(Dependencies!B:B,A47)&gt;0</f>
        <v>1</v>
      </c>
      <c r="G47" s="64" t="b">
        <f>COUNTIF(QuestObjectives!A:A,A47)&gt;0</f>
        <v>0</v>
      </c>
      <c r="H47" s="64" t="b">
        <f>COUNTIF(QuestObjectives!E:E,A47)&gt;0</f>
        <v>1</v>
      </c>
      <c r="I47" s="64" t="b">
        <f>COUNTIF(TargetStatus!A:A,A47)&gt;0</f>
        <v>1</v>
      </c>
      <c r="J47" s="64" t="b">
        <f>COUNTIF(CostStatus!B:B,A47)&gt;0</f>
        <v>1</v>
      </c>
      <c r="K47" s="64" t="b">
        <f>COUNTIF(States!A:A,A47)&gt;0</f>
        <v>0</v>
      </c>
      <c r="L47" s="64" t="b">
        <f t="shared" si="2"/>
        <v>1</v>
      </c>
      <c r="M47" s="64" t="b">
        <f>IF(A47="","",COUNTIF(Targets!A:A,A47)&gt;1)</f>
        <v>0</v>
      </c>
      <c r="N47" s="64" t="b">
        <f>IF(A47="","",COUNTIF(States!A:A,A47)&gt;1)</f>
        <v>0</v>
      </c>
      <c r="O47" s="64" t="b">
        <f>IFERROR(__xludf.DUMMYFUNCTION("IF(
 B47="""",
 """",
 SWITCH(
  B47,
  ""BUILDING"",COUNTIF(Buildings!A:A,A47)&gt;0,
  ""CITADEL"",COUNTIF(Citadel!A:A,A47)&gt;0,
  ""COLLECTION"",COUNTIF(Collections!A:A,A47)&gt;0,
  ""CRAFTIFACT"",COUNTIF(Craftifacts!A:A,A47)&gt;0,
  ""QUEST"",
   COUNTIF(
    Que"&amp;"sts!A:A,
    REGEXREPLACE(A47,""\.(accepted|finished)$"","""")
   )&gt;0,
  ""TECH"",COUNTIF(Technologies!A:A,A47)&gt;0,
  ""STATE"",COUNTIF(States!A:A,A47)&gt;0,
  FALSE
 )
)"),TRUE)</f>
        <v>1</v>
      </c>
      <c r="P47" s="64" t="str">
        <f t="shared" si="3"/>
        <v>Good</v>
      </c>
      <c r="Q47" s="65"/>
      <c r="R47" s="65"/>
      <c r="S47" s="65"/>
      <c r="T47" s="65"/>
      <c r="U47" s="6"/>
      <c r="V47" s="63" t="str">
        <f>IFERROR(__xludf.DUMMYFUNCTION("""COMPUTED_VALUE"""),"building.furnace@1")</f>
        <v>building.furnace@1</v>
      </c>
      <c r="W47" s="65"/>
      <c r="X47" s="65"/>
      <c r="Y47" s="65"/>
      <c r="Z47" s="65"/>
      <c r="AA47" s="65"/>
      <c r="AB47" s="65"/>
      <c r="AC47" s="65"/>
      <c r="AD47" s="63"/>
      <c r="AE47" s="63"/>
      <c r="AF47" s="63"/>
      <c r="AG47" s="63"/>
      <c r="AH47" s="6"/>
      <c r="AI47" s="63"/>
      <c r="AJ47" s="6"/>
      <c r="AK47" s="6"/>
      <c r="AL47" s="63"/>
      <c r="AM47" s="63"/>
      <c r="AN47" s="63"/>
      <c r="AO47" s="63"/>
      <c r="AP47" s="63"/>
      <c r="AQ47" s="63"/>
      <c r="AR47" s="63"/>
      <c r="AS47" s="63"/>
      <c r="AT47" s="6"/>
      <c r="AU47" s="63"/>
      <c r="AV47" s="6"/>
      <c r="AW47" s="6"/>
      <c r="AX47" s="63"/>
      <c r="AY47" s="63"/>
    </row>
    <row r="48" ht="14.25" customHeight="1">
      <c r="A48" s="26" t="str">
        <f t="shared" si="1"/>
        <v>building.furnace@2</v>
      </c>
      <c r="B48" s="26" t="str">
        <f t="array" ref="B48">_xlfn.XLOOKUP(A48,Targets!A:A,Targets!C:C,"")</f>
        <v>BUILDING</v>
      </c>
      <c r="C48" s="64" t="b">
        <f>COUNTIF(Targets!A:A,A48)&gt;0</f>
        <v>1</v>
      </c>
      <c r="D48" s="64" t="b">
        <f>IF(
 OR(
  LEFT(A48,15)="state.character",
  RIGHT(A48,6)=".maxed"
 ),
 TRUE,
 COUNTIF(Checklist!A:A,A48)&gt;0
)</f>
        <v>1</v>
      </c>
      <c r="E48" s="64" t="b">
        <f>IF(
 OR(
  LEFT(A48,15)="state.character",
  RIGHT(A48,6)=".maxed",
  A48="building.guild@1",
  A48="quest.build_the_guild.accepted",
  A48="quest.build_the_pagoda.accepted"
 ),
 TRUE,
 COUNTIF(Dependencies!A:A,A48)&gt;0
)</f>
        <v>1</v>
      </c>
      <c r="F48" s="64" t="b">
        <f>COUNTIF(Dependencies!B:B,A48)&gt;0</f>
        <v>1</v>
      </c>
      <c r="G48" s="64" t="b">
        <f>COUNTIF(QuestObjectives!A:A,A48)&gt;0</f>
        <v>0</v>
      </c>
      <c r="H48" s="64" t="b">
        <f>COUNTIF(QuestObjectives!E:E,A48)&gt;0</f>
        <v>0</v>
      </c>
      <c r="I48" s="64" t="b">
        <f>COUNTIF(TargetStatus!A:A,A48)&gt;0</f>
        <v>1</v>
      </c>
      <c r="J48" s="64" t="b">
        <f>COUNTIF(CostStatus!B:B,A48)&gt;0</f>
        <v>1</v>
      </c>
      <c r="K48" s="64" t="b">
        <f>COUNTIF(States!A:A,A48)&gt;0</f>
        <v>0</v>
      </c>
      <c r="L48" s="64" t="b">
        <f t="shared" si="2"/>
        <v>1</v>
      </c>
      <c r="M48" s="64" t="b">
        <f>IF(A48="","",COUNTIF(Targets!A:A,A48)&gt;1)</f>
        <v>0</v>
      </c>
      <c r="N48" s="64" t="b">
        <f>IF(A48="","",COUNTIF(States!A:A,A48)&gt;1)</f>
        <v>0</v>
      </c>
      <c r="O48" s="64" t="b">
        <f>IFERROR(__xludf.DUMMYFUNCTION("IF(
 B48="""",
 """",
 SWITCH(
  B48,
  ""BUILDING"",COUNTIF(Buildings!A:A,A48)&gt;0,
  ""CITADEL"",COUNTIF(Citadel!A:A,A48)&gt;0,
  ""COLLECTION"",COUNTIF(Collections!A:A,A48)&gt;0,
  ""CRAFTIFACT"",COUNTIF(Craftifacts!A:A,A48)&gt;0,
  ""QUEST"",
   COUNTIF(
    Que"&amp;"sts!A:A,
    REGEXREPLACE(A48,""\.(accepted|finished)$"","""")
   )&gt;0,
  ""TECH"",COUNTIF(Technologies!A:A,A48)&gt;0,
  ""STATE"",COUNTIF(States!A:A,A48)&gt;0,
  FALSE
 )
)"),TRUE)</f>
        <v>1</v>
      </c>
      <c r="P48" s="64" t="str">
        <f t="shared" si="3"/>
        <v>Good</v>
      </c>
      <c r="Q48" s="65"/>
      <c r="R48" s="65"/>
      <c r="S48" s="65"/>
      <c r="T48" s="65"/>
      <c r="U48" s="6"/>
      <c r="V48" s="63" t="str">
        <f>IFERROR(__xludf.DUMMYFUNCTION("""COMPUTED_VALUE"""),"building.furnace@2")</f>
        <v>building.furnace@2</v>
      </c>
      <c r="W48" s="65"/>
      <c r="X48" s="65"/>
      <c r="Y48" s="65"/>
      <c r="Z48" s="65"/>
      <c r="AA48" s="65"/>
      <c r="AB48" s="65"/>
      <c r="AC48" s="65"/>
      <c r="AD48" s="63"/>
      <c r="AE48" s="63"/>
      <c r="AF48" s="63"/>
      <c r="AG48" s="63"/>
      <c r="AH48" s="6"/>
      <c r="AI48" s="63"/>
      <c r="AJ48" s="6"/>
      <c r="AK48" s="6"/>
      <c r="AL48" s="63"/>
      <c r="AM48" s="63"/>
      <c r="AN48" s="63"/>
      <c r="AO48" s="63"/>
      <c r="AP48" s="63"/>
      <c r="AQ48" s="63"/>
      <c r="AR48" s="63"/>
      <c r="AS48" s="63"/>
      <c r="AT48" s="6"/>
      <c r="AU48" s="63"/>
      <c r="AV48" s="6"/>
      <c r="AW48" s="6"/>
      <c r="AX48" s="63"/>
      <c r="AY48" s="63"/>
    </row>
    <row r="49" ht="14.25" customHeight="1">
      <c r="A49" s="26" t="str">
        <f t="shared" si="1"/>
        <v>building.furnace@3</v>
      </c>
      <c r="B49" s="26" t="str">
        <f t="array" ref="B49">_xlfn.XLOOKUP(A49,Targets!A:A,Targets!C:C,"")</f>
        <v>BUILDING</v>
      </c>
      <c r="C49" s="64" t="b">
        <f>COUNTIF(Targets!A:A,A49)&gt;0</f>
        <v>1</v>
      </c>
      <c r="D49" s="64" t="b">
        <f>IF(
 OR(
  LEFT(A49,15)="state.character",
  RIGHT(A49,6)=".maxed"
 ),
 TRUE,
 COUNTIF(Checklist!A:A,A49)&gt;0
)</f>
        <v>1</v>
      </c>
      <c r="E49" s="64" t="b">
        <f>IF(
 OR(
  LEFT(A49,15)="state.character",
  RIGHT(A49,6)=".maxed",
  A49="building.guild@1",
  A49="quest.build_the_guild.accepted",
  A49="quest.build_the_pagoda.accepted"
 ),
 TRUE,
 COUNTIF(Dependencies!A:A,A49)&gt;0
)</f>
        <v>1</v>
      </c>
      <c r="F49" s="64" t="b">
        <f>COUNTIF(Dependencies!B:B,A49)&gt;0</f>
        <v>1</v>
      </c>
      <c r="G49" s="64" t="b">
        <f>COUNTIF(QuestObjectives!A:A,A49)&gt;0</f>
        <v>0</v>
      </c>
      <c r="H49" s="64" t="b">
        <f>COUNTIF(QuestObjectives!E:E,A49)&gt;0</f>
        <v>0</v>
      </c>
      <c r="I49" s="64" t="b">
        <f>COUNTIF(TargetStatus!A:A,A49)&gt;0</f>
        <v>1</v>
      </c>
      <c r="J49" s="64" t="b">
        <f>COUNTIF(CostStatus!B:B,A49)&gt;0</f>
        <v>1</v>
      </c>
      <c r="K49" s="64" t="b">
        <f>COUNTIF(States!A:A,A49)&gt;0</f>
        <v>0</v>
      </c>
      <c r="L49" s="64" t="b">
        <f t="shared" si="2"/>
        <v>1</v>
      </c>
      <c r="M49" s="64" t="b">
        <f>IF(A49="","",COUNTIF(Targets!A:A,A49)&gt;1)</f>
        <v>0</v>
      </c>
      <c r="N49" s="64" t="b">
        <f>IF(A49="","",COUNTIF(States!A:A,A49)&gt;1)</f>
        <v>0</v>
      </c>
      <c r="O49" s="64" t="b">
        <f>IFERROR(__xludf.DUMMYFUNCTION("IF(
 B49="""",
 """",
 SWITCH(
  B49,
  ""BUILDING"",COUNTIF(Buildings!A:A,A49)&gt;0,
  ""CITADEL"",COUNTIF(Citadel!A:A,A49)&gt;0,
  ""COLLECTION"",COUNTIF(Collections!A:A,A49)&gt;0,
  ""CRAFTIFACT"",COUNTIF(Craftifacts!A:A,A49)&gt;0,
  ""QUEST"",
   COUNTIF(
    Que"&amp;"sts!A:A,
    REGEXREPLACE(A49,""\.(accepted|finished)$"","""")
   )&gt;0,
  ""TECH"",COUNTIF(Technologies!A:A,A49)&gt;0,
  ""STATE"",COUNTIF(States!A:A,A49)&gt;0,
  FALSE
 )
)"),TRUE)</f>
        <v>1</v>
      </c>
      <c r="P49" s="64" t="str">
        <f t="shared" si="3"/>
        <v>Good</v>
      </c>
      <c r="Q49" s="65"/>
      <c r="R49" s="65"/>
      <c r="S49" s="65"/>
      <c r="T49" s="65"/>
      <c r="U49" s="6"/>
      <c r="V49" s="63" t="str">
        <f>IFERROR(__xludf.DUMMYFUNCTION("""COMPUTED_VALUE"""),"building.furnace@3")</f>
        <v>building.furnace@3</v>
      </c>
      <c r="W49" s="65"/>
      <c r="X49" s="65"/>
      <c r="Y49" s="65"/>
      <c r="Z49" s="65"/>
      <c r="AA49" s="65"/>
      <c r="AB49" s="65"/>
      <c r="AC49" s="65"/>
      <c r="AD49" s="63"/>
      <c r="AE49" s="63"/>
      <c r="AF49" s="63"/>
      <c r="AG49" s="63"/>
      <c r="AH49" s="6"/>
      <c r="AI49" s="63"/>
      <c r="AJ49" s="6"/>
      <c r="AK49" s="6"/>
      <c r="AL49" s="63"/>
      <c r="AM49" s="63"/>
      <c r="AN49" s="63"/>
      <c r="AO49" s="63"/>
      <c r="AP49" s="63"/>
      <c r="AQ49" s="63"/>
      <c r="AR49" s="63"/>
      <c r="AS49" s="63"/>
      <c r="AT49" s="6"/>
      <c r="AU49" s="63"/>
      <c r="AV49" s="6"/>
      <c r="AW49" s="6"/>
      <c r="AX49" s="63"/>
      <c r="AY49" s="63"/>
    </row>
    <row r="50" ht="14.25" customHeight="1">
      <c r="A50" s="26" t="str">
        <f t="shared" si="1"/>
        <v>building.garden.maxed</v>
      </c>
      <c r="B50" s="26" t="str">
        <f t="array" ref="B50">_xlfn.XLOOKUP(A50,Targets!A:A,Targets!C:C,"")</f>
        <v>BUILDING</v>
      </c>
      <c r="C50" s="64" t="b">
        <f>COUNTIF(Targets!A:A,A50)&gt;0</f>
        <v>1</v>
      </c>
      <c r="D50" s="64" t="b">
        <f>IF(
 OR(
  LEFT(A50,15)="state.character",
  RIGHT(A50,6)=".maxed"
 ),
 TRUE,
 COUNTIF(Checklist!A:A,A50)&gt;0
)</f>
        <v>1</v>
      </c>
      <c r="E50" s="64" t="b">
        <f>IF(
 OR(
  LEFT(A50,15)="state.character",
  RIGHT(A50,6)=".maxed",
  A50="building.guild@1",
  A50="quest.build_the_guild.accepted",
  A50="quest.build_the_pagoda.accepted"
 ),
 TRUE,
 COUNTIF(Dependencies!A:A,A50)&gt;0
)</f>
        <v>1</v>
      </c>
      <c r="F50" s="64" t="b">
        <f>COUNTIF(Dependencies!B:B,A50)&gt;0</f>
        <v>1</v>
      </c>
      <c r="G50" s="64" t="b">
        <f>COUNTIF(QuestObjectives!A:A,A50)&gt;0</f>
        <v>0</v>
      </c>
      <c r="H50" s="64" t="b">
        <f>COUNTIF(QuestObjectives!E:E,A50)&gt;0</f>
        <v>0</v>
      </c>
      <c r="I50" s="64" t="b">
        <f>COUNTIF(TargetStatus!A:A,A50)&gt;0</f>
        <v>1</v>
      </c>
      <c r="J50" s="64" t="b">
        <f>COUNTIF(CostStatus!B:B,A50)&gt;0</f>
        <v>0</v>
      </c>
      <c r="K50" s="64" t="b">
        <f>COUNTIF(States!A:A,A50)&gt;0</f>
        <v>0</v>
      </c>
      <c r="L50" s="64" t="b">
        <f t="shared" si="2"/>
        <v>1</v>
      </c>
      <c r="M50" s="64" t="b">
        <f>IF(A50="","",COUNTIF(Targets!A:A,A50)&gt;1)</f>
        <v>0</v>
      </c>
      <c r="N50" s="64" t="b">
        <f>IF(A50="","",COUNTIF(States!A:A,A50)&gt;1)</f>
        <v>0</v>
      </c>
      <c r="O50" s="64" t="b">
        <f>IFERROR(__xludf.DUMMYFUNCTION("IF(
 B50="""",
 """",
 SWITCH(
  B50,
  ""BUILDING"",COUNTIF(Buildings!A:A,A50)&gt;0,
  ""CITADEL"",COUNTIF(Citadel!A:A,A50)&gt;0,
  ""COLLECTION"",COUNTIF(Collections!A:A,A50)&gt;0,
  ""CRAFTIFACT"",COUNTIF(Craftifacts!A:A,A50)&gt;0,
  ""QUEST"",
   COUNTIF(
    Que"&amp;"sts!A:A,
    REGEXREPLACE(A50,""\.(accepted|finished)$"","""")
   )&gt;0,
  ""TECH"",COUNTIF(Technologies!A:A,A50)&gt;0,
  ""STATE"",COUNTIF(States!A:A,A50)&gt;0,
  FALSE
 )
)"),FALSE)</f>
        <v>0</v>
      </c>
      <c r="P50" s="64" t="str">
        <f t="shared" si="3"/>
        <v>Good</v>
      </c>
      <c r="Q50" s="65"/>
      <c r="R50" s="65"/>
      <c r="S50" s="65"/>
      <c r="T50" s="65"/>
      <c r="U50" s="6"/>
      <c r="V50" s="63" t="str">
        <f>IFERROR(__xludf.DUMMYFUNCTION("""COMPUTED_VALUE"""),"building.garden.maxed")</f>
        <v>building.garden.maxed</v>
      </c>
      <c r="W50" s="65"/>
      <c r="X50" s="65"/>
      <c r="Y50" s="65"/>
      <c r="Z50" s="65"/>
      <c r="AA50" s="65"/>
      <c r="AB50" s="65"/>
      <c r="AC50" s="65"/>
      <c r="AD50" s="6"/>
      <c r="AE50" s="6"/>
      <c r="AF50" s="6"/>
      <c r="AG50" s="6"/>
      <c r="AH50" s="6"/>
      <c r="AI50" s="6"/>
      <c r="AJ50" s="6"/>
      <c r="AK50" s="6"/>
      <c r="AL50" s="63"/>
      <c r="AM50" s="6"/>
      <c r="AN50" s="6"/>
      <c r="AO50" s="6"/>
      <c r="AP50" s="6"/>
      <c r="AQ50" s="6"/>
      <c r="AR50" s="6"/>
      <c r="AS50" s="6"/>
      <c r="AT50" s="6"/>
      <c r="AU50" s="6"/>
      <c r="AV50" s="6"/>
      <c r="AW50" s="6"/>
      <c r="AX50" s="63"/>
      <c r="AY50" s="63"/>
    </row>
    <row r="51" ht="14.25" customHeight="1">
      <c r="A51" s="26" t="str">
        <f t="shared" si="1"/>
        <v>building.garden@1</v>
      </c>
      <c r="B51" s="26" t="str">
        <f t="array" ref="B51">_xlfn.XLOOKUP(A51,Targets!A:A,Targets!C:C,"")</f>
        <v>BUILDING</v>
      </c>
      <c r="C51" s="64" t="b">
        <f>COUNTIF(Targets!A:A,A51)&gt;0</f>
        <v>1</v>
      </c>
      <c r="D51" s="64" t="b">
        <f>IF(
 OR(
  LEFT(A51,15)="state.character",
  RIGHT(A51,6)=".maxed"
 ),
 TRUE,
 COUNTIF(Checklist!A:A,A51)&gt;0
)</f>
        <v>1</v>
      </c>
      <c r="E51" s="64" t="b">
        <f>IF(
 OR(
  LEFT(A51,15)="state.character",
  RIGHT(A51,6)=".maxed",
  A51="building.guild@1",
  A51="quest.build_the_guild.accepted",
  A51="quest.build_the_pagoda.accepted"
 ),
 TRUE,
 COUNTIF(Dependencies!A:A,A51)&gt;0
)</f>
        <v>1</v>
      </c>
      <c r="F51" s="64" t="b">
        <f>COUNTIF(Dependencies!B:B,A51)&gt;0</f>
        <v>1</v>
      </c>
      <c r="G51" s="64" t="b">
        <f>COUNTIF(QuestObjectives!A:A,A51)&gt;0</f>
        <v>0</v>
      </c>
      <c r="H51" s="64" t="b">
        <f>COUNTIF(QuestObjectives!E:E,A51)&gt;0</f>
        <v>0</v>
      </c>
      <c r="I51" s="64" t="b">
        <f>COUNTIF(TargetStatus!A:A,A51)&gt;0</f>
        <v>1</v>
      </c>
      <c r="J51" s="64" t="b">
        <f>COUNTIF(CostStatus!B:B,A51)&gt;0</f>
        <v>1</v>
      </c>
      <c r="K51" s="64" t="b">
        <f>COUNTIF(States!A:A,A51)&gt;0</f>
        <v>0</v>
      </c>
      <c r="L51" s="64" t="b">
        <f t="shared" si="2"/>
        <v>1</v>
      </c>
      <c r="M51" s="64" t="b">
        <f>IF(A51="","",COUNTIF(Targets!A:A,A51)&gt;1)</f>
        <v>0</v>
      </c>
      <c r="N51" s="64" t="b">
        <f>IF(A51="","",COUNTIF(States!A:A,A51)&gt;1)</f>
        <v>0</v>
      </c>
      <c r="O51" s="64" t="b">
        <f>IFERROR(__xludf.DUMMYFUNCTION("IF(
 B51="""",
 """",
 SWITCH(
  B51,
  ""BUILDING"",COUNTIF(Buildings!A:A,A51)&gt;0,
  ""CITADEL"",COUNTIF(Citadel!A:A,A51)&gt;0,
  ""COLLECTION"",COUNTIF(Collections!A:A,A51)&gt;0,
  ""CRAFTIFACT"",COUNTIF(Craftifacts!A:A,A51)&gt;0,
  ""QUEST"",
   COUNTIF(
    Que"&amp;"sts!A:A,
    REGEXREPLACE(A51,""\.(accepted|finished)$"","""")
   )&gt;0,
  ""TECH"",COUNTIF(Technologies!A:A,A51)&gt;0,
  ""STATE"",COUNTIF(States!A:A,A51)&gt;0,
  FALSE
 )
)"),TRUE)</f>
        <v>1</v>
      </c>
      <c r="P51" s="64" t="str">
        <f t="shared" si="3"/>
        <v>Good</v>
      </c>
      <c r="Q51" s="65"/>
      <c r="R51" s="65"/>
      <c r="S51" s="65"/>
      <c r="T51" s="65"/>
      <c r="U51" s="6"/>
      <c r="V51" s="63" t="str">
        <f>IFERROR(__xludf.DUMMYFUNCTION("""COMPUTED_VALUE"""),"building.garden@1")</f>
        <v>building.garden@1</v>
      </c>
      <c r="W51" s="65"/>
      <c r="X51" s="65"/>
      <c r="Y51" s="65"/>
      <c r="Z51" s="65"/>
      <c r="AA51" s="65"/>
      <c r="AB51" s="65"/>
      <c r="AC51" s="65"/>
      <c r="AD51" s="6"/>
      <c r="AE51" s="6"/>
      <c r="AF51" s="6"/>
      <c r="AG51" s="6"/>
      <c r="AH51" s="6"/>
      <c r="AI51" s="6"/>
      <c r="AJ51" s="6"/>
      <c r="AK51" s="6"/>
      <c r="AL51" s="6"/>
      <c r="AM51" s="6"/>
      <c r="AN51" s="6"/>
      <c r="AO51" s="6"/>
      <c r="AP51" s="6"/>
      <c r="AQ51" s="6"/>
      <c r="AR51" s="6"/>
      <c r="AS51" s="6"/>
      <c r="AT51" s="6"/>
      <c r="AU51" s="6"/>
      <c r="AV51" s="6"/>
      <c r="AW51" s="6"/>
      <c r="AX51" s="63"/>
      <c r="AY51" s="63"/>
    </row>
    <row r="52" ht="14.25" customHeight="1">
      <c r="A52" s="26" t="str">
        <f t="shared" si="1"/>
        <v>building.garden@2</v>
      </c>
      <c r="B52" s="26" t="str">
        <f t="array" ref="B52">_xlfn.XLOOKUP(A52,Targets!A:A,Targets!C:C,"")</f>
        <v>BUILDING</v>
      </c>
      <c r="C52" s="64" t="b">
        <f>COUNTIF(Targets!A:A,A52)&gt;0</f>
        <v>1</v>
      </c>
      <c r="D52" s="64" t="b">
        <f>IF(
 OR(
  LEFT(A52,15)="state.character",
  RIGHT(A52,6)=".maxed"
 ),
 TRUE,
 COUNTIF(Checklist!A:A,A52)&gt;0
)</f>
        <v>1</v>
      </c>
      <c r="E52" s="64" t="b">
        <f>IF(
 OR(
  LEFT(A52,15)="state.character",
  RIGHT(A52,6)=".maxed",
  A52="building.guild@1",
  A52="quest.build_the_guild.accepted",
  A52="quest.build_the_pagoda.accepted"
 ),
 TRUE,
 COUNTIF(Dependencies!A:A,A52)&gt;0
)</f>
        <v>1</v>
      </c>
      <c r="F52" s="64" t="b">
        <f>COUNTIF(Dependencies!B:B,A52)&gt;0</f>
        <v>1</v>
      </c>
      <c r="G52" s="64" t="b">
        <f>COUNTIF(QuestObjectives!A:A,A52)&gt;0</f>
        <v>0</v>
      </c>
      <c r="H52" s="64" t="b">
        <f>COUNTIF(QuestObjectives!E:E,A52)&gt;0</f>
        <v>0</v>
      </c>
      <c r="I52" s="64" t="b">
        <f>COUNTIF(TargetStatus!A:A,A52)&gt;0</f>
        <v>1</v>
      </c>
      <c r="J52" s="64" t="b">
        <f>COUNTIF(CostStatus!B:B,A52)&gt;0</f>
        <v>1</v>
      </c>
      <c r="K52" s="64" t="b">
        <f>COUNTIF(States!A:A,A52)&gt;0</f>
        <v>0</v>
      </c>
      <c r="L52" s="64" t="b">
        <f t="shared" si="2"/>
        <v>1</v>
      </c>
      <c r="M52" s="64" t="b">
        <f>IF(A52="","",COUNTIF(Targets!A:A,A52)&gt;1)</f>
        <v>0</v>
      </c>
      <c r="N52" s="64" t="b">
        <f>IF(A52="","",COUNTIF(States!A:A,A52)&gt;1)</f>
        <v>0</v>
      </c>
      <c r="O52" s="64" t="b">
        <f>IFERROR(__xludf.DUMMYFUNCTION("IF(
 B52="""",
 """",
 SWITCH(
  B52,
  ""BUILDING"",COUNTIF(Buildings!A:A,A52)&gt;0,
  ""CITADEL"",COUNTIF(Citadel!A:A,A52)&gt;0,
  ""COLLECTION"",COUNTIF(Collections!A:A,A52)&gt;0,
  ""CRAFTIFACT"",COUNTIF(Craftifacts!A:A,A52)&gt;0,
  ""QUEST"",
   COUNTIF(
    Que"&amp;"sts!A:A,
    REGEXREPLACE(A52,""\.(accepted|finished)$"","""")
   )&gt;0,
  ""TECH"",COUNTIF(Technologies!A:A,A52)&gt;0,
  ""STATE"",COUNTIF(States!A:A,A52)&gt;0,
  FALSE
 )
)"),TRUE)</f>
        <v>1</v>
      </c>
      <c r="P52" s="64" t="str">
        <f t="shared" si="3"/>
        <v>Good</v>
      </c>
      <c r="Q52" s="65"/>
      <c r="R52" s="65"/>
      <c r="S52" s="65"/>
      <c r="T52" s="65"/>
      <c r="U52" s="6"/>
      <c r="V52" s="63" t="str">
        <f>IFERROR(__xludf.DUMMYFUNCTION("""COMPUTED_VALUE"""),"building.garden@2")</f>
        <v>building.garden@2</v>
      </c>
      <c r="W52" s="65"/>
      <c r="X52" s="65"/>
      <c r="Y52" s="65"/>
      <c r="Z52" s="65"/>
      <c r="AA52" s="65"/>
      <c r="AB52" s="65"/>
      <c r="AC52" s="65"/>
      <c r="AD52" s="6"/>
      <c r="AE52" s="6"/>
      <c r="AF52" s="6"/>
      <c r="AG52" s="6"/>
      <c r="AH52" s="6"/>
      <c r="AI52" s="6"/>
      <c r="AJ52" s="6"/>
      <c r="AK52" s="6"/>
      <c r="AL52" s="6"/>
      <c r="AM52" s="6"/>
      <c r="AN52" s="6"/>
      <c r="AO52" s="6"/>
      <c r="AP52" s="6"/>
      <c r="AQ52" s="6"/>
      <c r="AR52" s="6"/>
      <c r="AS52" s="6"/>
      <c r="AT52" s="6"/>
      <c r="AU52" s="6"/>
      <c r="AV52" s="6"/>
      <c r="AW52" s="6"/>
      <c r="AX52" s="63"/>
      <c r="AY52" s="63"/>
    </row>
    <row r="53" ht="14.25" customHeight="1">
      <c r="A53" s="26" t="str">
        <f t="shared" si="1"/>
        <v>building.garden@3</v>
      </c>
      <c r="B53" s="26" t="str">
        <f t="array" ref="B53">_xlfn.XLOOKUP(A53,Targets!A:A,Targets!C:C,"")</f>
        <v>BUILDING</v>
      </c>
      <c r="C53" s="64" t="b">
        <f>COUNTIF(Targets!A:A,A53)&gt;0</f>
        <v>1</v>
      </c>
      <c r="D53" s="64" t="b">
        <f>IF(
 OR(
  LEFT(A53,15)="state.character",
  RIGHT(A53,6)=".maxed"
 ),
 TRUE,
 COUNTIF(Checklist!A:A,A53)&gt;0
)</f>
        <v>1</v>
      </c>
      <c r="E53" s="64" t="b">
        <f>IF(
 OR(
  LEFT(A53,15)="state.character",
  RIGHT(A53,6)=".maxed",
  A53="building.guild@1",
  A53="quest.build_the_guild.accepted",
  A53="quest.build_the_pagoda.accepted"
 ),
 TRUE,
 COUNTIF(Dependencies!A:A,A53)&gt;0
)</f>
        <v>1</v>
      </c>
      <c r="F53" s="64" t="b">
        <f>COUNTIF(Dependencies!B:B,A53)&gt;0</f>
        <v>1</v>
      </c>
      <c r="G53" s="64" t="b">
        <f>COUNTIF(QuestObjectives!A:A,A53)&gt;0</f>
        <v>0</v>
      </c>
      <c r="H53" s="64" t="b">
        <f>COUNTIF(QuestObjectives!E:E,A53)&gt;0</f>
        <v>0</v>
      </c>
      <c r="I53" s="64" t="b">
        <f>COUNTIF(TargetStatus!A:A,A53)&gt;0</f>
        <v>1</v>
      </c>
      <c r="J53" s="64" t="b">
        <f>COUNTIF(CostStatus!B:B,A53)&gt;0</f>
        <v>1</v>
      </c>
      <c r="K53" s="64" t="b">
        <f>COUNTIF(States!A:A,A53)&gt;0</f>
        <v>0</v>
      </c>
      <c r="L53" s="64" t="b">
        <f t="shared" si="2"/>
        <v>1</v>
      </c>
      <c r="M53" s="64" t="b">
        <f>IF(A53="","",COUNTIF(Targets!A:A,A53)&gt;1)</f>
        <v>0</v>
      </c>
      <c r="N53" s="64" t="b">
        <f>IF(A53="","",COUNTIF(States!A:A,A53)&gt;1)</f>
        <v>0</v>
      </c>
      <c r="O53" s="64" t="b">
        <f>IFERROR(__xludf.DUMMYFUNCTION("IF(
 B53="""",
 """",
 SWITCH(
  B53,
  ""BUILDING"",COUNTIF(Buildings!A:A,A53)&gt;0,
  ""CITADEL"",COUNTIF(Citadel!A:A,A53)&gt;0,
  ""COLLECTION"",COUNTIF(Collections!A:A,A53)&gt;0,
  ""CRAFTIFACT"",COUNTIF(Craftifacts!A:A,A53)&gt;0,
  ""QUEST"",
   COUNTIF(
    Que"&amp;"sts!A:A,
    REGEXREPLACE(A53,""\.(accepted|finished)$"","""")
   )&gt;0,
  ""TECH"",COUNTIF(Technologies!A:A,A53)&gt;0,
  ""STATE"",COUNTIF(States!A:A,A53)&gt;0,
  FALSE
 )
)"),TRUE)</f>
        <v>1</v>
      </c>
      <c r="P53" s="64" t="str">
        <f t="shared" si="3"/>
        <v>Good</v>
      </c>
      <c r="Q53" s="65"/>
      <c r="R53" s="65"/>
      <c r="S53" s="65"/>
      <c r="T53" s="65"/>
      <c r="U53" s="6"/>
      <c r="V53" s="63" t="str">
        <f>IFERROR(__xludf.DUMMYFUNCTION("""COMPUTED_VALUE"""),"building.garden@3")</f>
        <v>building.garden@3</v>
      </c>
      <c r="W53" s="65"/>
      <c r="X53" s="65"/>
      <c r="Y53" s="65"/>
      <c r="Z53" s="65"/>
      <c r="AA53" s="65"/>
      <c r="AB53" s="65"/>
      <c r="AC53" s="65"/>
      <c r="AD53" s="6"/>
      <c r="AE53" s="6"/>
      <c r="AF53" s="6"/>
      <c r="AG53" s="6"/>
      <c r="AH53" s="6"/>
      <c r="AI53" s="6"/>
      <c r="AJ53" s="6"/>
      <c r="AK53" s="6"/>
      <c r="AL53" s="6"/>
      <c r="AM53" s="6"/>
      <c r="AN53" s="6"/>
      <c r="AO53" s="6"/>
      <c r="AP53" s="6"/>
      <c r="AQ53" s="6"/>
      <c r="AR53" s="6"/>
      <c r="AS53" s="6"/>
      <c r="AT53" s="6"/>
      <c r="AU53" s="6"/>
      <c r="AV53" s="6"/>
      <c r="AW53" s="6"/>
      <c r="AX53" s="63"/>
      <c r="AY53" s="63"/>
    </row>
    <row r="54" ht="14.25" customHeight="1">
      <c r="A54" s="26" t="str">
        <f t="shared" si="1"/>
        <v>building.gong@1</v>
      </c>
      <c r="B54" s="26" t="str">
        <f t="array" ref="B54">_xlfn.XLOOKUP(A54,Targets!A:A,Targets!C:C,"")</f>
        <v>BUILDING</v>
      </c>
      <c r="C54" s="64" t="b">
        <f>COUNTIF(Targets!A:A,A54)&gt;0</f>
        <v>1</v>
      </c>
      <c r="D54" s="64" t="b">
        <f>IF(
 OR(
  LEFT(A54,15)="state.character",
  RIGHT(A54,6)=".maxed"
 ),
 TRUE,
 COUNTIF(Checklist!A:A,A54)&gt;0
)</f>
        <v>1</v>
      </c>
      <c r="E54" s="64" t="b">
        <f>IF(
 OR(
  LEFT(A54,15)="state.character",
  RIGHT(A54,6)=".maxed",
  A54="building.guild@1",
  A54="quest.build_the_guild.accepted",
  A54="quest.build_the_pagoda.accepted"
 ),
 TRUE,
 COUNTIF(Dependencies!A:A,A54)&gt;0
)</f>
        <v>1</v>
      </c>
      <c r="F54" s="64" t="b">
        <f>COUNTIF(Dependencies!B:B,A54)&gt;0</f>
        <v>0</v>
      </c>
      <c r="G54" s="64" t="b">
        <f>COUNTIF(QuestObjectives!A:A,A54)&gt;0</f>
        <v>0</v>
      </c>
      <c r="H54" s="64" t="b">
        <f>COUNTIF(QuestObjectives!E:E,A54)&gt;0</f>
        <v>0</v>
      </c>
      <c r="I54" s="64" t="b">
        <f>COUNTIF(TargetStatus!A:A,A54)&gt;0</f>
        <v>1</v>
      </c>
      <c r="J54" s="64" t="b">
        <f>COUNTIF(CostStatus!B:B,A54)&gt;0</f>
        <v>1</v>
      </c>
      <c r="K54" s="64" t="b">
        <f>COUNTIF(States!A:A,A54)&gt;0</f>
        <v>0</v>
      </c>
      <c r="L54" s="64" t="b">
        <f t="shared" si="2"/>
        <v>1</v>
      </c>
      <c r="M54" s="64" t="b">
        <f>IF(A54="","",COUNTIF(Targets!A:A,A54)&gt;1)</f>
        <v>0</v>
      </c>
      <c r="N54" s="64" t="b">
        <f>IF(A54="","",COUNTIF(States!A:A,A54)&gt;1)</f>
        <v>0</v>
      </c>
      <c r="O54" s="64" t="b">
        <f>IFERROR(__xludf.DUMMYFUNCTION("IF(
 B54="""",
 """",
 SWITCH(
  B54,
  ""BUILDING"",COUNTIF(Buildings!A:A,A54)&gt;0,
  ""CITADEL"",COUNTIF(Citadel!A:A,A54)&gt;0,
  ""COLLECTION"",COUNTIF(Collections!A:A,A54)&gt;0,
  ""CRAFTIFACT"",COUNTIF(Craftifacts!A:A,A54)&gt;0,
  ""QUEST"",
   COUNTIF(
    Que"&amp;"sts!A:A,
    REGEXREPLACE(A54,""\.(accepted|finished)$"","""")
   )&gt;0,
  ""TECH"",COUNTIF(Technologies!A:A,A54)&gt;0,
  ""STATE"",COUNTIF(States!A:A,A54)&gt;0,
  FALSE
 )
)"),TRUE)</f>
        <v>1</v>
      </c>
      <c r="P54" s="64" t="str">
        <f t="shared" si="3"/>
        <v>Good</v>
      </c>
      <c r="Q54" s="65"/>
      <c r="R54" s="65"/>
      <c r="S54" s="65"/>
      <c r="T54" s="65"/>
      <c r="U54" s="63"/>
      <c r="V54" s="63" t="str">
        <f>IFERROR(__xludf.DUMMYFUNCTION("""COMPUTED_VALUE"""),"building.gong@1")</f>
        <v>building.gong@1</v>
      </c>
      <c r="W54" s="65"/>
      <c r="X54" s="65"/>
      <c r="Y54" s="65"/>
      <c r="Z54" s="65"/>
      <c r="AA54" s="65"/>
      <c r="AB54" s="65"/>
      <c r="AC54" s="65"/>
      <c r="AD54" s="6"/>
      <c r="AE54" s="6"/>
      <c r="AF54" s="6"/>
      <c r="AG54" s="6"/>
      <c r="AH54" s="6"/>
      <c r="AI54" s="6"/>
      <c r="AJ54" s="6"/>
      <c r="AK54" s="6"/>
      <c r="AL54" s="6"/>
      <c r="AM54" s="6"/>
      <c r="AN54" s="6"/>
      <c r="AO54" s="6"/>
      <c r="AP54" s="6"/>
      <c r="AQ54" s="6"/>
      <c r="AR54" s="6"/>
      <c r="AS54" s="6"/>
      <c r="AT54" s="6"/>
      <c r="AU54" s="6"/>
      <c r="AV54" s="6"/>
      <c r="AW54" s="6"/>
      <c r="AX54" s="63"/>
      <c r="AY54" s="63"/>
    </row>
    <row r="55" ht="14.25" customHeight="1">
      <c r="A55" s="26" t="str">
        <f t="shared" si="1"/>
        <v>building.guild_video_game_arcade@1</v>
      </c>
      <c r="B55" s="26" t="str">
        <f t="array" ref="B55">_xlfn.XLOOKUP(A55,Targets!A:A,Targets!C:C,"")</f>
        <v>BUILDING</v>
      </c>
      <c r="C55" s="64" t="b">
        <f>COUNTIF(Targets!A:A,A55)&gt;0</f>
        <v>1</v>
      </c>
      <c r="D55" s="64" t="b">
        <f>IF(
 OR(
  LEFT(A55,15)="state.character",
  RIGHT(A55,6)=".maxed"
 ),
 TRUE,
 COUNTIF(Checklist!A:A,A55)&gt;0
)</f>
        <v>1</v>
      </c>
      <c r="E55" s="64" t="b">
        <f>IF(
 OR(
  LEFT(A55,15)="state.character",
  RIGHT(A55,6)=".maxed",
  A55="building.guild@1",
  A55="quest.build_the_guild.accepted",
  A55="quest.build_the_pagoda.accepted"
 ),
 TRUE,
 COUNTIF(Dependencies!A:A,A55)&gt;0
)</f>
        <v>1</v>
      </c>
      <c r="F55" s="64" t="b">
        <f>COUNTIF(Dependencies!B:B,A55)&gt;0</f>
        <v>0</v>
      </c>
      <c r="G55" s="64" t="b">
        <f>COUNTIF(QuestObjectives!A:A,A55)&gt;0</f>
        <v>0</v>
      </c>
      <c r="H55" s="64" t="b">
        <f>COUNTIF(QuestObjectives!E:E,A55)&gt;0</f>
        <v>0</v>
      </c>
      <c r="I55" s="64" t="b">
        <f>COUNTIF(TargetStatus!A:A,A55)&gt;0</f>
        <v>1</v>
      </c>
      <c r="J55" s="64" t="b">
        <f>COUNTIF(CostStatus!B:B,A55)&gt;0</f>
        <v>1</v>
      </c>
      <c r="K55" s="64" t="b">
        <f>COUNTIF(States!A:A,A55)&gt;0</f>
        <v>0</v>
      </c>
      <c r="L55" s="64" t="b">
        <f t="shared" si="2"/>
        <v>1</v>
      </c>
      <c r="M55" s="64" t="b">
        <f>IF(A55="","",COUNTIF(Targets!A:A,A55)&gt;1)</f>
        <v>0</v>
      </c>
      <c r="N55" s="64" t="b">
        <f>IF(A55="","",COUNTIF(States!A:A,A55)&gt;1)</f>
        <v>0</v>
      </c>
      <c r="O55" s="64" t="b">
        <f>IFERROR(__xludf.DUMMYFUNCTION("IF(
 B55="""",
 """",
 SWITCH(
  B55,
  ""BUILDING"",COUNTIF(Buildings!A:A,A55)&gt;0,
  ""CITADEL"",COUNTIF(Citadel!A:A,A55)&gt;0,
  ""COLLECTION"",COUNTIF(Collections!A:A,A55)&gt;0,
  ""CRAFTIFACT"",COUNTIF(Craftifacts!A:A,A55)&gt;0,
  ""QUEST"",
   COUNTIF(
    Que"&amp;"sts!A:A,
    REGEXREPLACE(A55,""\.(accepted|finished)$"","""")
   )&gt;0,
  ""TECH"",COUNTIF(Technologies!A:A,A55)&gt;0,
  ""STATE"",COUNTIF(States!A:A,A55)&gt;0,
  FALSE
 )
)"),TRUE)</f>
        <v>1</v>
      </c>
      <c r="P55" s="64" t="str">
        <f t="shared" si="3"/>
        <v>Good</v>
      </c>
      <c r="Q55" s="65"/>
      <c r="R55" s="65"/>
      <c r="S55" s="65"/>
      <c r="T55" s="65"/>
      <c r="U55" s="6"/>
      <c r="V55" s="63" t="str">
        <f>IFERROR(__xludf.DUMMYFUNCTION("""COMPUTED_VALUE"""),"building.guild_video_game_arcade@1")</f>
        <v>building.guild_video_game_arcade@1</v>
      </c>
      <c r="W55" s="65"/>
      <c r="X55" s="65"/>
      <c r="Y55" s="65"/>
      <c r="Z55" s="65"/>
      <c r="AA55" s="65"/>
      <c r="AB55" s="65"/>
      <c r="AC55" s="65"/>
      <c r="AD55" s="6"/>
      <c r="AE55" s="6"/>
      <c r="AF55" s="6"/>
      <c r="AG55" s="6"/>
      <c r="AH55" s="6"/>
      <c r="AI55" s="6"/>
      <c r="AJ55" s="6"/>
      <c r="AK55" s="6"/>
      <c r="AL55" s="6"/>
      <c r="AM55" s="6"/>
      <c r="AN55" s="6"/>
      <c r="AO55" s="6"/>
      <c r="AP55" s="6"/>
      <c r="AQ55" s="6"/>
      <c r="AR55" s="6"/>
      <c r="AS55" s="6"/>
      <c r="AT55" s="6"/>
      <c r="AU55" s="6"/>
      <c r="AV55" s="6"/>
      <c r="AW55" s="6"/>
      <c r="AX55" s="63"/>
      <c r="AY55" s="63"/>
    </row>
    <row r="56" ht="14.25" customHeight="1">
      <c r="A56" s="26" t="str">
        <f t="shared" si="1"/>
        <v>building.guild@1</v>
      </c>
      <c r="B56" s="26" t="str">
        <f t="array" ref="B56">_xlfn.XLOOKUP(A56,Targets!A:A,Targets!C:C,"")</f>
        <v>BUILDING</v>
      </c>
      <c r="C56" s="64" t="b">
        <f>COUNTIF(Targets!A:A,A56)&gt;0</f>
        <v>1</v>
      </c>
      <c r="D56" s="64" t="b">
        <f>IF(
 OR(
  LEFT(A56,15)="state.character",
  RIGHT(A56,6)=".maxed"
 ),
 TRUE,
 COUNTIF(Checklist!A:A,A56)&gt;0
)</f>
        <v>1</v>
      </c>
      <c r="E56" s="64" t="b">
        <f>IF(
 OR(
  LEFT(A56,15)="state.character",
  RIGHT(A56,6)=".maxed",
  A56="building.guild@1",
  A56="quest.build_the_guild.accepted",
  A56="quest.build_the_pagoda.accepted"
 ),
 TRUE,
 COUNTIF(Dependencies!A:A,A56)&gt;0
)</f>
        <v>1</v>
      </c>
      <c r="F56" s="64" t="b">
        <f>COUNTIF(Dependencies!B:B,A56)&gt;0</f>
        <v>1</v>
      </c>
      <c r="G56" s="64" t="b">
        <f>COUNTIF(QuestObjectives!A:A,A56)&gt;0</f>
        <v>0</v>
      </c>
      <c r="H56" s="64" t="b">
        <f>COUNTIF(QuestObjectives!E:E,A56)&gt;0</f>
        <v>0</v>
      </c>
      <c r="I56" s="64" t="b">
        <f>COUNTIF(TargetStatus!A:A,A56)&gt;0</f>
        <v>1</v>
      </c>
      <c r="J56" s="64" t="b">
        <f>COUNTIF(CostStatus!B:B,A56)&gt;0</f>
        <v>0</v>
      </c>
      <c r="K56" s="64" t="b">
        <f>COUNTIF(States!A:A,A56)&gt;0</f>
        <v>0</v>
      </c>
      <c r="L56" s="64" t="b">
        <f t="shared" si="2"/>
        <v>1</v>
      </c>
      <c r="M56" s="64" t="b">
        <f>IF(A56="","",COUNTIF(Targets!A:A,A56)&gt;1)</f>
        <v>0</v>
      </c>
      <c r="N56" s="64" t="b">
        <f>IF(A56="","",COUNTIF(States!A:A,A56)&gt;1)</f>
        <v>0</v>
      </c>
      <c r="O56" s="64" t="b">
        <f>IFERROR(__xludf.DUMMYFUNCTION("IF(
 B56="""",
 """",
 SWITCH(
  B56,
  ""BUILDING"",COUNTIF(Buildings!A:A,A56)&gt;0,
  ""CITADEL"",COUNTIF(Citadel!A:A,A56)&gt;0,
  ""COLLECTION"",COUNTIF(Collections!A:A,A56)&gt;0,
  ""CRAFTIFACT"",COUNTIF(Craftifacts!A:A,A56)&gt;0,
  ""QUEST"",
   COUNTIF(
    Que"&amp;"sts!A:A,
    REGEXREPLACE(A56,""\.(accepted|finished)$"","""")
   )&gt;0,
  ""TECH"",COUNTIF(Technologies!A:A,A56)&gt;0,
  ""STATE"",COUNTIF(States!A:A,A56)&gt;0,
  FALSE
 )
)"),TRUE)</f>
        <v>1</v>
      </c>
      <c r="P56" s="64" t="str">
        <f t="shared" si="3"/>
        <v>Good</v>
      </c>
      <c r="Q56" s="65"/>
      <c r="R56" s="65"/>
      <c r="S56" s="65"/>
      <c r="T56" s="65"/>
      <c r="U56" s="6"/>
      <c r="V56" s="63" t="str">
        <f>IFERROR(__xludf.DUMMYFUNCTION("""COMPUTED_VALUE"""),"building.guild@1")</f>
        <v>building.guild@1</v>
      </c>
      <c r="W56" s="65"/>
      <c r="X56" s="65"/>
      <c r="Y56" s="65"/>
      <c r="Z56" s="65"/>
      <c r="AA56" s="65"/>
      <c r="AB56" s="65"/>
      <c r="AC56" s="65"/>
      <c r="AD56" s="6"/>
      <c r="AE56" s="6"/>
      <c r="AF56" s="6"/>
      <c r="AG56" s="6"/>
      <c r="AH56" s="6"/>
      <c r="AI56" s="6"/>
      <c r="AJ56" s="6"/>
      <c r="AK56" s="6"/>
      <c r="AL56" s="6"/>
      <c r="AM56" s="6"/>
      <c r="AN56" s="6"/>
      <c r="AO56" s="6"/>
      <c r="AP56" s="6"/>
      <c r="AQ56" s="6"/>
      <c r="AR56" s="6"/>
      <c r="AS56" s="6"/>
      <c r="AT56" s="6"/>
      <c r="AU56" s="6"/>
      <c r="AV56" s="6"/>
      <c r="AW56" s="6"/>
      <c r="AX56" s="63"/>
      <c r="AY56" s="63"/>
    </row>
    <row r="57" ht="14.25" customHeight="1">
      <c r="A57" s="26" t="str">
        <f t="shared" si="1"/>
        <v>building.guild@2</v>
      </c>
      <c r="B57" s="26" t="str">
        <f t="array" ref="B57">_xlfn.XLOOKUP(A57,Targets!A:A,Targets!C:C,"")</f>
        <v>BUILDING</v>
      </c>
      <c r="C57" s="64" t="b">
        <f>COUNTIF(Targets!A:A,A57)&gt;0</f>
        <v>1</v>
      </c>
      <c r="D57" s="64" t="b">
        <f>IF(
 OR(
  LEFT(A57,15)="state.character",
  RIGHT(A57,6)=".maxed"
 ),
 TRUE,
 COUNTIF(Checklist!A:A,A57)&gt;0
)</f>
        <v>1</v>
      </c>
      <c r="E57" s="64" t="b">
        <f>IF(
 OR(
  LEFT(A57,15)="state.character",
  RIGHT(A57,6)=".maxed",
  A57="building.guild@1",
  A57="quest.build_the_guild.accepted",
  A57="quest.build_the_pagoda.accepted"
 ),
 TRUE,
 COUNTIF(Dependencies!A:A,A57)&gt;0
)</f>
        <v>1</v>
      </c>
      <c r="F57" s="64" t="b">
        <f>COUNTIF(Dependencies!B:B,A57)&gt;0</f>
        <v>1</v>
      </c>
      <c r="G57" s="64" t="b">
        <f>COUNTIF(QuestObjectives!A:A,A57)&gt;0</f>
        <v>0</v>
      </c>
      <c r="H57" s="64" t="b">
        <f>COUNTIF(QuestObjectives!E:E,A57)&gt;0</f>
        <v>0</v>
      </c>
      <c r="I57" s="64" t="b">
        <f>COUNTIF(TargetStatus!A:A,A57)&gt;0</f>
        <v>1</v>
      </c>
      <c r="J57" s="64" t="b">
        <f>COUNTIF(CostStatus!B:B,A57)&gt;0</f>
        <v>1</v>
      </c>
      <c r="K57" s="64" t="b">
        <f>COUNTIF(States!A:A,A57)&gt;0</f>
        <v>0</v>
      </c>
      <c r="L57" s="64" t="b">
        <f t="shared" si="2"/>
        <v>1</v>
      </c>
      <c r="M57" s="64" t="b">
        <f>IF(A57="","",COUNTIF(Targets!A:A,A57)&gt;1)</f>
        <v>0</v>
      </c>
      <c r="N57" s="64" t="b">
        <f>IF(A57="","",COUNTIF(States!A:A,A57)&gt;1)</f>
        <v>0</v>
      </c>
      <c r="O57" s="64" t="b">
        <f>IFERROR(__xludf.DUMMYFUNCTION("IF(
 B57="""",
 """",
 SWITCH(
  B57,
  ""BUILDING"",COUNTIF(Buildings!A:A,A57)&gt;0,
  ""CITADEL"",COUNTIF(Citadel!A:A,A57)&gt;0,
  ""COLLECTION"",COUNTIF(Collections!A:A,A57)&gt;0,
  ""CRAFTIFACT"",COUNTIF(Craftifacts!A:A,A57)&gt;0,
  ""QUEST"",
   COUNTIF(
    Que"&amp;"sts!A:A,
    REGEXREPLACE(A57,""\.(accepted|finished)$"","""")
   )&gt;0,
  ""TECH"",COUNTIF(Technologies!A:A,A57)&gt;0,
  ""STATE"",COUNTIF(States!A:A,A57)&gt;0,
  FALSE
 )
)"),TRUE)</f>
        <v>1</v>
      </c>
      <c r="P57" s="64" t="str">
        <f t="shared" si="3"/>
        <v>Good</v>
      </c>
      <c r="Q57" s="65"/>
      <c r="R57" s="65"/>
      <c r="S57" s="65"/>
      <c r="T57" s="65"/>
      <c r="U57" s="6"/>
      <c r="V57" s="63" t="str">
        <f>IFERROR(__xludf.DUMMYFUNCTION("""COMPUTED_VALUE"""),"building.guild@2")</f>
        <v>building.guild@2</v>
      </c>
      <c r="W57" s="65"/>
      <c r="X57" s="65"/>
      <c r="Y57" s="65"/>
      <c r="Z57" s="65"/>
      <c r="AA57" s="65"/>
      <c r="AB57" s="65"/>
      <c r="AC57" s="65"/>
      <c r="AD57" s="6"/>
      <c r="AE57" s="6"/>
      <c r="AF57" s="6"/>
      <c r="AG57" s="6"/>
      <c r="AH57" s="6"/>
      <c r="AI57" s="6"/>
      <c r="AJ57" s="6"/>
      <c r="AK57" s="6"/>
      <c r="AL57" s="6"/>
      <c r="AM57" s="6"/>
      <c r="AN57" s="6"/>
      <c r="AO57" s="6"/>
      <c r="AP57" s="6"/>
      <c r="AQ57" s="6"/>
      <c r="AR57" s="6"/>
      <c r="AS57" s="6"/>
      <c r="AT57" s="6"/>
      <c r="AU57" s="6"/>
      <c r="AV57" s="6"/>
      <c r="AW57" s="6"/>
      <c r="AX57" s="63"/>
      <c r="AY57" s="63"/>
    </row>
    <row r="58" ht="14.25" customHeight="1">
      <c r="A58" s="26" t="str">
        <f t="shared" si="1"/>
        <v>building.guild@3</v>
      </c>
      <c r="B58" s="26" t="str">
        <f t="array" ref="B58">_xlfn.XLOOKUP(A58,Targets!A:A,Targets!C:C,"")</f>
        <v>BUILDING</v>
      </c>
      <c r="C58" s="64" t="b">
        <f>COUNTIF(Targets!A:A,A58)&gt;0</f>
        <v>1</v>
      </c>
      <c r="D58" s="64" t="b">
        <f>IF(
 OR(
  LEFT(A58,15)="state.character",
  RIGHT(A58,6)=".maxed"
 ),
 TRUE,
 COUNTIF(Checklist!A:A,A58)&gt;0
)</f>
        <v>1</v>
      </c>
      <c r="E58" s="64" t="b">
        <f>IF(
 OR(
  LEFT(A58,15)="state.character",
  RIGHT(A58,6)=".maxed",
  A58="building.guild@1",
  A58="quest.build_the_guild.accepted",
  A58="quest.build_the_pagoda.accepted"
 ),
 TRUE,
 COUNTIF(Dependencies!A:A,A58)&gt;0
)</f>
        <v>1</v>
      </c>
      <c r="F58" s="64" t="b">
        <f>COUNTIF(Dependencies!B:B,A58)&gt;0</f>
        <v>1</v>
      </c>
      <c r="G58" s="64" t="b">
        <f>COUNTIF(QuestObjectives!A:A,A58)&gt;0</f>
        <v>0</v>
      </c>
      <c r="H58" s="64" t="b">
        <f>COUNTIF(QuestObjectives!E:E,A58)&gt;0</f>
        <v>0</v>
      </c>
      <c r="I58" s="64" t="b">
        <f>COUNTIF(TargetStatus!A:A,A58)&gt;0</f>
        <v>1</v>
      </c>
      <c r="J58" s="64" t="b">
        <f>COUNTIF(CostStatus!B:B,A58)&gt;0</f>
        <v>1</v>
      </c>
      <c r="K58" s="64" t="b">
        <f>COUNTIF(States!A:A,A58)&gt;0</f>
        <v>0</v>
      </c>
      <c r="L58" s="64" t="b">
        <f t="shared" si="2"/>
        <v>1</v>
      </c>
      <c r="M58" s="64" t="b">
        <f>IF(A58="","",COUNTIF(Targets!A:A,A58)&gt;1)</f>
        <v>0</v>
      </c>
      <c r="N58" s="64" t="b">
        <f>IF(A58="","",COUNTIF(States!A:A,A58)&gt;1)</f>
        <v>0</v>
      </c>
      <c r="O58" s="64" t="b">
        <f>IFERROR(__xludf.DUMMYFUNCTION("IF(
 B58="""",
 """",
 SWITCH(
  B58,
  ""BUILDING"",COUNTIF(Buildings!A:A,A58)&gt;0,
  ""CITADEL"",COUNTIF(Citadel!A:A,A58)&gt;0,
  ""COLLECTION"",COUNTIF(Collections!A:A,A58)&gt;0,
  ""CRAFTIFACT"",COUNTIF(Craftifacts!A:A,A58)&gt;0,
  ""QUEST"",
   COUNTIF(
    Que"&amp;"sts!A:A,
    REGEXREPLACE(A58,""\.(accepted|finished)$"","""")
   )&gt;0,
  ""TECH"",COUNTIF(Technologies!A:A,A58)&gt;0,
  ""STATE"",COUNTIF(States!A:A,A58)&gt;0,
  FALSE
 )
)"),TRUE)</f>
        <v>1</v>
      </c>
      <c r="P58" s="64" t="str">
        <f t="shared" si="3"/>
        <v>Good</v>
      </c>
      <c r="Q58" s="65"/>
      <c r="R58" s="65"/>
      <c r="S58" s="65"/>
      <c r="T58" s="65"/>
      <c r="U58" s="6"/>
      <c r="V58" s="63" t="str">
        <f>IFERROR(__xludf.DUMMYFUNCTION("""COMPUTED_VALUE"""),"building.guild@3")</f>
        <v>building.guild@3</v>
      </c>
      <c r="W58" s="65"/>
      <c r="X58" s="65"/>
      <c r="Y58" s="65"/>
      <c r="Z58" s="65"/>
      <c r="AA58" s="65"/>
      <c r="AB58" s="65"/>
      <c r="AC58" s="65"/>
      <c r="AD58" s="6"/>
      <c r="AE58" s="6"/>
      <c r="AF58" s="6"/>
      <c r="AG58" s="6"/>
      <c r="AH58" s="6"/>
      <c r="AI58" s="6"/>
      <c r="AJ58" s="6"/>
      <c r="AK58" s="6"/>
      <c r="AL58" s="6"/>
      <c r="AM58" s="6"/>
      <c r="AN58" s="6"/>
      <c r="AO58" s="6"/>
      <c r="AP58" s="6"/>
      <c r="AQ58" s="6"/>
      <c r="AR58" s="6"/>
      <c r="AS58" s="6"/>
      <c r="AT58" s="6"/>
      <c r="AU58" s="6"/>
      <c r="AV58" s="6"/>
      <c r="AW58" s="6"/>
      <c r="AX58" s="63"/>
      <c r="AY58" s="63"/>
    </row>
    <row r="59" ht="14.25" customHeight="1">
      <c r="A59" s="26" t="str">
        <f t="shared" si="1"/>
        <v>building.guild@4</v>
      </c>
      <c r="B59" s="26" t="str">
        <f t="array" ref="B59">_xlfn.XLOOKUP(A59,Targets!A:A,Targets!C:C,"")</f>
        <v>BUILDING</v>
      </c>
      <c r="C59" s="64" t="b">
        <f>COUNTIF(Targets!A:A,A59)&gt;0</f>
        <v>1</v>
      </c>
      <c r="D59" s="64" t="b">
        <f>IF(
 OR(
  LEFT(A59,15)="state.character",
  RIGHT(A59,6)=".maxed"
 ),
 TRUE,
 COUNTIF(Checklist!A:A,A59)&gt;0
)</f>
        <v>1</v>
      </c>
      <c r="E59" s="64" t="b">
        <f>IF(
 OR(
  LEFT(A59,15)="state.character",
  RIGHT(A59,6)=".maxed",
  A59="building.guild@1",
  A59="quest.build_the_guild.accepted",
  A59="quest.build_the_pagoda.accepted"
 ),
 TRUE,
 COUNTIF(Dependencies!A:A,A59)&gt;0
)</f>
        <v>1</v>
      </c>
      <c r="F59" s="64" t="b">
        <f>COUNTIF(Dependencies!B:B,A59)&gt;0</f>
        <v>1</v>
      </c>
      <c r="G59" s="64" t="b">
        <f>COUNTIF(QuestObjectives!A:A,A59)&gt;0</f>
        <v>0</v>
      </c>
      <c r="H59" s="64" t="b">
        <f>COUNTIF(QuestObjectives!E:E,A59)&gt;0</f>
        <v>0</v>
      </c>
      <c r="I59" s="64" t="b">
        <f>COUNTIF(TargetStatus!A:A,A59)&gt;0</f>
        <v>1</v>
      </c>
      <c r="J59" s="64" t="b">
        <f>COUNTIF(CostStatus!B:B,A59)&gt;0</f>
        <v>1</v>
      </c>
      <c r="K59" s="64" t="b">
        <f>COUNTIF(States!A:A,A59)&gt;0</f>
        <v>0</v>
      </c>
      <c r="L59" s="64" t="b">
        <f t="shared" si="2"/>
        <v>1</v>
      </c>
      <c r="M59" s="64" t="b">
        <f>IF(A59="","",COUNTIF(Targets!A:A,A59)&gt;1)</f>
        <v>0</v>
      </c>
      <c r="N59" s="64" t="b">
        <f>IF(A59="","",COUNTIF(States!A:A,A59)&gt;1)</f>
        <v>0</v>
      </c>
      <c r="O59" s="64" t="b">
        <f>IFERROR(__xludf.DUMMYFUNCTION("IF(
 B59="""",
 """",
 SWITCH(
  B59,
  ""BUILDING"",COUNTIF(Buildings!A:A,A59)&gt;0,
  ""CITADEL"",COUNTIF(Citadel!A:A,A59)&gt;0,
  ""COLLECTION"",COUNTIF(Collections!A:A,A59)&gt;0,
  ""CRAFTIFACT"",COUNTIF(Craftifacts!A:A,A59)&gt;0,
  ""QUEST"",
   COUNTIF(
    Que"&amp;"sts!A:A,
    REGEXREPLACE(A59,""\.(accepted|finished)$"","""")
   )&gt;0,
  ""TECH"",COUNTIF(Technologies!A:A,A59)&gt;0,
  ""STATE"",COUNTIF(States!A:A,A59)&gt;0,
  FALSE
 )
)"),TRUE)</f>
        <v>1</v>
      </c>
      <c r="P59" s="64" t="str">
        <f t="shared" si="3"/>
        <v>Good</v>
      </c>
      <c r="Q59" s="65"/>
      <c r="R59" s="65"/>
      <c r="S59" s="65"/>
      <c r="T59" s="65"/>
      <c r="U59" s="6"/>
      <c r="V59" s="63" t="str">
        <f>IFERROR(__xludf.DUMMYFUNCTION("""COMPUTED_VALUE"""),"building.guild@4")</f>
        <v>building.guild@4</v>
      </c>
      <c r="W59" s="65"/>
      <c r="X59" s="65"/>
      <c r="Y59" s="65"/>
      <c r="Z59" s="65"/>
      <c r="AA59" s="65"/>
      <c r="AB59" s="65"/>
      <c r="AC59" s="65"/>
      <c r="AD59" s="6"/>
      <c r="AE59" s="6"/>
      <c r="AF59" s="6"/>
      <c r="AG59" s="6"/>
      <c r="AH59" s="6"/>
      <c r="AI59" s="6"/>
      <c r="AJ59" s="6"/>
      <c r="AK59" s="6"/>
      <c r="AL59" s="6"/>
      <c r="AM59" s="6"/>
      <c r="AN59" s="6"/>
      <c r="AO59" s="6"/>
      <c r="AP59" s="6"/>
      <c r="AQ59" s="6"/>
      <c r="AR59" s="6"/>
      <c r="AS59" s="6"/>
      <c r="AT59" s="6"/>
      <c r="AU59" s="6"/>
      <c r="AV59" s="6"/>
      <c r="AW59" s="6"/>
      <c r="AX59" s="63"/>
      <c r="AY59" s="63"/>
    </row>
    <row r="60" ht="14.25" customHeight="1">
      <c r="A60" s="26" t="str">
        <f t="shared" si="1"/>
        <v>building.guild@5</v>
      </c>
      <c r="B60" s="26" t="str">
        <f t="array" ref="B60">_xlfn.XLOOKUP(A60,Targets!A:A,Targets!C:C,"")</f>
        <v>BUILDING</v>
      </c>
      <c r="C60" s="64" t="b">
        <f>COUNTIF(Targets!A:A,A60)&gt;0</f>
        <v>1</v>
      </c>
      <c r="D60" s="64" t="b">
        <f>IF(
 OR(
  LEFT(A60,15)="state.character",
  RIGHT(A60,6)=".maxed"
 ),
 TRUE,
 COUNTIF(Checklist!A:A,A60)&gt;0
)</f>
        <v>1</v>
      </c>
      <c r="E60" s="64" t="b">
        <f>IF(
 OR(
  LEFT(A60,15)="state.character",
  RIGHT(A60,6)=".maxed",
  A60="building.guild@1",
  A60="quest.build_the_guild.accepted",
  A60="quest.build_the_pagoda.accepted"
 ),
 TRUE,
 COUNTIF(Dependencies!A:A,A60)&gt;0
)</f>
        <v>1</v>
      </c>
      <c r="F60" s="64" t="b">
        <f>COUNTIF(Dependencies!B:B,A60)&gt;0</f>
        <v>1</v>
      </c>
      <c r="G60" s="64" t="b">
        <f>COUNTIF(QuestObjectives!A:A,A60)&gt;0</f>
        <v>0</v>
      </c>
      <c r="H60" s="64" t="b">
        <f>COUNTIF(QuestObjectives!E:E,A60)&gt;0</f>
        <v>1</v>
      </c>
      <c r="I60" s="64" t="b">
        <f>COUNTIF(TargetStatus!A:A,A60)&gt;0</f>
        <v>1</v>
      </c>
      <c r="J60" s="64" t="b">
        <f>COUNTIF(CostStatus!B:B,A60)&gt;0</f>
        <v>1</v>
      </c>
      <c r="K60" s="64" t="b">
        <f>COUNTIF(States!A:A,A60)&gt;0</f>
        <v>0</v>
      </c>
      <c r="L60" s="64" t="b">
        <f t="shared" si="2"/>
        <v>1</v>
      </c>
      <c r="M60" s="64" t="b">
        <f>IF(A60="","",COUNTIF(Targets!A:A,A60)&gt;1)</f>
        <v>0</v>
      </c>
      <c r="N60" s="64" t="b">
        <f>IF(A60="","",COUNTIF(States!A:A,A60)&gt;1)</f>
        <v>0</v>
      </c>
      <c r="O60" s="64" t="b">
        <f>IFERROR(__xludf.DUMMYFUNCTION("IF(
 B60="""",
 """",
 SWITCH(
  B60,
  ""BUILDING"",COUNTIF(Buildings!A:A,A60)&gt;0,
  ""CITADEL"",COUNTIF(Citadel!A:A,A60)&gt;0,
  ""COLLECTION"",COUNTIF(Collections!A:A,A60)&gt;0,
  ""CRAFTIFACT"",COUNTIF(Craftifacts!A:A,A60)&gt;0,
  ""QUEST"",
   COUNTIF(
    Que"&amp;"sts!A:A,
    REGEXREPLACE(A60,""\.(accepted|finished)$"","""")
   )&gt;0,
  ""TECH"",COUNTIF(Technologies!A:A,A60)&gt;0,
  ""STATE"",COUNTIF(States!A:A,A60)&gt;0,
  FALSE
 )
)"),TRUE)</f>
        <v>1</v>
      </c>
      <c r="P60" s="64" t="str">
        <f t="shared" si="3"/>
        <v>Good</v>
      </c>
      <c r="Q60" s="65"/>
      <c r="R60" s="65"/>
      <c r="S60" s="65"/>
      <c r="T60" s="65"/>
      <c r="U60" s="6"/>
      <c r="V60" s="63" t="str">
        <f>IFERROR(__xludf.DUMMYFUNCTION("""COMPUTED_VALUE"""),"building.guild@5")</f>
        <v>building.guild@5</v>
      </c>
      <c r="W60" s="65"/>
      <c r="X60" s="65"/>
      <c r="Y60" s="65"/>
      <c r="Z60" s="65"/>
      <c r="AA60" s="65"/>
      <c r="AB60" s="65"/>
      <c r="AC60" s="65"/>
      <c r="AD60" s="6"/>
      <c r="AE60" s="6"/>
      <c r="AF60" s="6"/>
      <c r="AG60" s="6"/>
      <c r="AH60" s="6"/>
      <c r="AI60" s="6"/>
      <c r="AJ60" s="6"/>
      <c r="AK60" s="6"/>
      <c r="AL60" s="6"/>
      <c r="AM60" s="6"/>
      <c r="AN60" s="6"/>
      <c r="AO60" s="6"/>
      <c r="AP60" s="6"/>
      <c r="AQ60" s="6"/>
      <c r="AR60" s="6"/>
      <c r="AS60" s="6"/>
      <c r="AT60" s="6"/>
      <c r="AU60" s="6"/>
      <c r="AV60" s="6"/>
      <c r="AW60" s="6"/>
      <c r="AX60" s="63"/>
      <c r="AY60" s="63"/>
    </row>
    <row r="61" ht="14.25" customHeight="1">
      <c r="A61" s="26" t="str">
        <f t="shared" si="1"/>
        <v>building.laboratory_data_center.maxed</v>
      </c>
      <c r="B61" s="26" t="str">
        <f t="array" ref="B61">_xlfn.XLOOKUP(A61,Targets!A:A,Targets!C:C,"")</f>
        <v>BUILDING</v>
      </c>
      <c r="C61" s="64" t="b">
        <f>COUNTIF(Targets!A:A,A61)&gt;0</f>
        <v>1</v>
      </c>
      <c r="D61" s="64" t="b">
        <f>IF(
 OR(
  LEFT(A61,15)="state.character",
  RIGHT(A61,6)=".maxed"
 ),
 TRUE,
 COUNTIF(Checklist!A:A,A61)&gt;0
)</f>
        <v>1</v>
      </c>
      <c r="E61" s="64" t="b">
        <f>IF(
 OR(
  LEFT(A61,15)="state.character",
  RIGHT(A61,6)=".maxed",
  A61="building.guild@1",
  A61="quest.build_the_guild.accepted",
  A61="quest.build_the_pagoda.accepted"
 ),
 TRUE,
 COUNTIF(Dependencies!A:A,A61)&gt;0
)</f>
        <v>1</v>
      </c>
      <c r="F61" s="64" t="b">
        <f>COUNTIF(Dependencies!B:B,A61)&gt;0</f>
        <v>1</v>
      </c>
      <c r="G61" s="64" t="b">
        <f>COUNTIF(QuestObjectives!A:A,A61)&gt;0</f>
        <v>0</v>
      </c>
      <c r="H61" s="64" t="b">
        <f>COUNTIF(QuestObjectives!E:E,A61)&gt;0</f>
        <v>0</v>
      </c>
      <c r="I61" s="64" t="b">
        <f>COUNTIF(TargetStatus!A:A,A61)&gt;0</f>
        <v>1</v>
      </c>
      <c r="J61" s="64" t="b">
        <f>COUNTIF(CostStatus!B:B,A61)&gt;0</f>
        <v>0</v>
      </c>
      <c r="K61" s="64" t="b">
        <f>COUNTIF(States!A:A,A61)&gt;0</f>
        <v>0</v>
      </c>
      <c r="L61" s="64" t="b">
        <f t="shared" si="2"/>
        <v>1</v>
      </c>
      <c r="M61" s="64" t="b">
        <f>IF(A61="","",COUNTIF(Targets!A:A,A61)&gt;1)</f>
        <v>0</v>
      </c>
      <c r="N61" s="64" t="b">
        <f>IF(A61="","",COUNTIF(States!A:A,A61)&gt;1)</f>
        <v>0</v>
      </c>
      <c r="O61" s="64" t="b">
        <f>IFERROR(__xludf.DUMMYFUNCTION("IF(
 B61="""",
 """",
 SWITCH(
  B61,
  ""BUILDING"",COUNTIF(Buildings!A:A,A61)&gt;0,
  ""CITADEL"",COUNTIF(Citadel!A:A,A61)&gt;0,
  ""COLLECTION"",COUNTIF(Collections!A:A,A61)&gt;0,
  ""CRAFTIFACT"",COUNTIF(Craftifacts!A:A,A61)&gt;0,
  ""QUEST"",
   COUNTIF(
    Que"&amp;"sts!A:A,
    REGEXREPLACE(A61,""\.(accepted|finished)$"","""")
   )&gt;0,
  ""TECH"",COUNTIF(Technologies!A:A,A61)&gt;0,
  ""STATE"",COUNTIF(States!A:A,A61)&gt;0,
  FALSE
 )
)"),FALSE)</f>
        <v>0</v>
      </c>
      <c r="P61" s="64" t="str">
        <f t="shared" si="3"/>
        <v>Good</v>
      </c>
      <c r="Q61" s="65"/>
      <c r="R61" s="65"/>
      <c r="S61" s="65"/>
      <c r="T61" s="65"/>
      <c r="U61" s="6"/>
      <c r="V61" s="63" t="str">
        <f>IFERROR(__xludf.DUMMYFUNCTION("""COMPUTED_VALUE"""),"building.laboratory_data_center.maxed")</f>
        <v>building.laboratory_data_center.maxed</v>
      </c>
      <c r="W61" s="65"/>
      <c r="X61" s="65"/>
      <c r="Y61" s="65"/>
      <c r="Z61" s="65"/>
      <c r="AA61" s="65"/>
      <c r="AB61" s="65"/>
      <c r="AC61" s="65"/>
      <c r="AD61" s="6"/>
      <c r="AE61" s="6"/>
      <c r="AF61" s="6"/>
      <c r="AG61" s="6"/>
      <c r="AH61" s="6"/>
      <c r="AI61" s="6"/>
      <c r="AJ61" s="6"/>
      <c r="AK61" s="6"/>
      <c r="AL61" s="6"/>
      <c r="AM61" s="6"/>
      <c r="AN61" s="6"/>
      <c r="AO61" s="6"/>
      <c r="AP61" s="6"/>
      <c r="AQ61" s="6"/>
      <c r="AR61" s="6"/>
      <c r="AS61" s="6"/>
      <c r="AT61" s="6"/>
      <c r="AU61" s="6"/>
      <c r="AV61" s="6"/>
      <c r="AW61" s="6"/>
      <c r="AX61" s="63"/>
      <c r="AY61" s="63"/>
    </row>
    <row r="62" ht="14.25" customHeight="1">
      <c r="A62" s="26" t="str">
        <f t="shared" si="1"/>
        <v>building.laboratory_data_center@1</v>
      </c>
      <c r="B62" s="26" t="str">
        <f t="array" ref="B62">_xlfn.XLOOKUP(A62,Targets!A:A,Targets!C:C,"")</f>
        <v>BUILDING</v>
      </c>
      <c r="C62" s="64" t="b">
        <f>COUNTIF(Targets!A:A,A62)&gt;0</f>
        <v>1</v>
      </c>
      <c r="D62" s="64" t="b">
        <f>IF(
 OR(
  LEFT(A62,15)="state.character",
  RIGHT(A62,6)=".maxed"
 ),
 TRUE,
 COUNTIF(Checklist!A:A,A62)&gt;0
)</f>
        <v>1</v>
      </c>
      <c r="E62" s="64" t="b">
        <f>IF(
 OR(
  LEFT(A62,15)="state.character",
  RIGHT(A62,6)=".maxed",
  A62="building.guild@1",
  A62="quest.build_the_guild.accepted",
  A62="quest.build_the_pagoda.accepted"
 ),
 TRUE,
 COUNTIF(Dependencies!A:A,A62)&gt;0
)</f>
        <v>1</v>
      </c>
      <c r="F62" s="64" t="b">
        <f>COUNTIF(Dependencies!B:B,A62)&gt;0</f>
        <v>1</v>
      </c>
      <c r="G62" s="64" t="b">
        <f>COUNTIF(QuestObjectives!A:A,A62)&gt;0</f>
        <v>0</v>
      </c>
      <c r="H62" s="64" t="b">
        <f>COUNTIF(QuestObjectives!E:E,A62)&gt;0</f>
        <v>1</v>
      </c>
      <c r="I62" s="64" t="b">
        <f>COUNTIF(TargetStatus!A:A,A62)&gt;0</f>
        <v>1</v>
      </c>
      <c r="J62" s="64" t="b">
        <f>COUNTIF(CostStatus!B:B,A62)&gt;0</f>
        <v>1</v>
      </c>
      <c r="K62" s="64" t="b">
        <f>COUNTIF(States!A:A,A62)&gt;0</f>
        <v>0</v>
      </c>
      <c r="L62" s="64" t="b">
        <f t="shared" si="2"/>
        <v>1</v>
      </c>
      <c r="M62" s="64" t="b">
        <f>IF(A62="","",COUNTIF(Targets!A:A,A62)&gt;1)</f>
        <v>0</v>
      </c>
      <c r="N62" s="64" t="b">
        <f>IF(A62="","",COUNTIF(States!A:A,A62)&gt;1)</f>
        <v>0</v>
      </c>
      <c r="O62" s="64" t="b">
        <f>IFERROR(__xludf.DUMMYFUNCTION("IF(
 B62="""",
 """",
 SWITCH(
  B62,
  ""BUILDING"",COUNTIF(Buildings!A:A,A62)&gt;0,
  ""CITADEL"",COUNTIF(Citadel!A:A,A62)&gt;0,
  ""COLLECTION"",COUNTIF(Collections!A:A,A62)&gt;0,
  ""CRAFTIFACT"",COUNTIF(Craftifacts!A:A,A62)&gt;0,
  ""QUEST"",
   COUNTIF(
    Que"&amp;"sts!A:A,
    REGEXREPLACE(A62,""\.(accepted|finished)$"","""")
   )&gt;0,
  ""TECH"",COUNTIF(Technologies!A:A,A62)&gt;0,
  ""STATE"",COUNTIF(States!A:A,A62)&gt;0,
  FALSE
 )
)"),TRUE)</f>
        <v>1</v>
      </c>
      <c r="P62" s="64" t="str">
        <f t="shared" si="3"/>
        <v>Good</v>
      </c>
      <c r="Q62" s="65"/>
      <c r="R62" s="65"/>
      <c r="S62" s="65"/>
      <c r="T62" s="65"/>
      <c r="U62" s="6"/>
      <c r="V62" s="63" t="str">
        <f>IFERROR(__xludf.DUMMYFUNCTION("""COMPUTED_VALUE"""),"building.laboratory_data_center@1")</f>
        <v>building.laboratory_data_center@1</v>
      </c>
      <c r="W62" s="65"/>
      <c r="X62" s="65"/>
      <c r="Y62" s="65"/>
      <c r="Z62" s="65"/>
      <c r="AA62" s="65"/>
      <c r="AB62" s="65"/>
      <c r="AC62" s="65"/>
      <c r="AD62" s="6"/>
      <c r="AE62" s="6"/>
      <c r="AF62" s="6"/>
      <c r="AG62" s="6"/>
      <c r="AH62" s="6"/>
      <c r="AI62" s="6"/>
      <c r="AJ62" s="6"/>
      <c r="AK62" s="6"/>
      <c r="AL62" s="6"/>
      <c r="AM62" s="6"/>
      <c r="AN62" s="6"/>
      <c r="AO62" s="6"/>
      <c r="AP62" s="6"/>
      <c r="AQ62" s="6"/>
      <c r="AR62" s="6"/>
      <c r="AS62" s="6"/>
      <c r="AT62" s="6"/>
      <c r="AU62" s="6"/>
      <c r="AV62" s="6"/>
      <c r="AW62" s="6"/>
      <c r="AX62" s="63"/>
      <c r="AY62" s="63"/>
    </row>
    <row r="63" ht="14.25" customHeight="1">
      <c r="A63" s="26" t="str">
        <f t="shared" si="1"/>
        <v>building.laboratory.maxed</v>
      </c>
      <c r="B63" s="26" t="str">
        <f t="array" ref="B63">_xlfn.XLOOKUP(A63,Targets!A:A,Targets!C:C,"")</f>
        <v>BUILDING</v>
      </c>
      <c r="C63" s="64" t="b">
        <f>COUNTIF(Targets!A:A,A63)&gt;0</f>
        <v>1</v>
      </c>
      <c r="D63" s="64" t="b">
        <f>IF(
 OR(
  LEFT(A63,15)="state.character",
  RIGHT(A63,6)=".maxed"
 ),
 TRUE,
 COUNTIF(Checklist!A:A,A63)&gt;0
)</f>
        <v>1</v>
      </c>
      <c r="E63" s="64" t="b">
        <f>IF(
 OR(
  LEFT(A63,15)="state.character",
  RIGHT(A63,6)=".maxed",
  A63="building.guild@1",
  A63="quest.build_the_guild.accepted",
  A63="quest.build_the_pagoda.accepted"
 ),
 TRUE,
 COUNTIF(Dependencies!A:A,A63)&gt;0
)</f>
        <v>1</v>
      </c>
      <c r="F63" s="64" t="b">
        <f>COUNTIF(Dependencies!B:B,A63)&gt;0</f>
        <v>1</v>
      </c>
      <c r="G63" s="64" t="b">
        <f>COUNTIF(QuestObjectives!A:A,A63)&gt;0</f>
        <v>0</v>
      </c>
      <c r="H63" s="64" t="b">
        <f>COUNTIF(QuestObjectives!E:E,A63)&gt;0</f>
        <v>0</v>
      </c>
      <c r="I63" s="64" t="b">
        <f>COUNTIF(TargetStatus!A:A,A63)&gt;0</f>
        <v>1</v>
      </c>
      <c r="J63" s="64" t="b">
        <f>COUNTIF(CostStatus!B:B,A63)&gt;0</f>
        <v>0</v>
      </c>
      <c r="K63" s="64" t="b">
        <f>COUNTIF(States!A:A,A63)&gt;0</f>
        <v>0</v>
      </c>
      <c r="L63" s="64" t="b">
        <f t="shared" si="2"/>
        <v>1</v>
      </c>
      <c r="M63" s="64" t="b">
        <f>IF(A63="","",COUNTIF(Targets!A:A,A63)&gt;1)</f>
        <v>0</v>
      </c>
      <c r="N63" s="64" t="b">
        <f>IF(A63="","",COUNTIF(States!A:A,A63)&gt;1)</f>
        <v>0</v>
      </c>
      <c r="O63" s="64" t="b">
        <f>IFERROR(__xludf.DUMMYFUNCTION("IF(
 B63="""",
 """",
 SWITCH(
  B63,
  ""BUILDING"",COUNTIF(Buildings!A:A,A63)&gt;0,
  ""CITADEL"",COUNTIF(Citadel!A:A,A63)&gt;0,
  ""COLLECTION"",COUNTIF(Collections!A:A,A63)&gt;0,
  ""CRAFTIFACT"",COUNTIF(Craftifacts!A:A,A63)&gt;0,
  ""QUEST"",
   COUNTIF(
    Que"&amp;"sts!A:A,
    REGEXREPLACE(A63,""\.(accepted|finished)$"","""")
   )&gt;0,
  ""TECH"",COUNTIF(Technologies!A:A,A63)&gt;0,
  ""STATE"",COUNTIF(States!A:A,A63)&gt;0,
  FALSE
 )
)"),FALSE)</f>
        <v>0</v>
      </c>
      <c r="P63" s="64" t="str">
        <f t="shared" si="3"/>
        <v>Good</v>
      </c>
      <c r="Q63" s="65"/>
      <c r="R63" s="65"/>
      <c r="S63" s="65"/>
      <c r="T63" s="65"/>
      <c r="U63" s="6"/>
      <c r="V63" s="63" t="str">
        <f>IFERROR(__xludf.DUMMYFUNCTION("""COMPUTED_VALUE"""),"building.laboratory.maxed")</f>
        <v>building.laboratory.maxed</v>
      </c>
      <c r="W63" s="65"/>
      <c r="X63" s="65"/>
      <c r="Y63" s="65"/>
      <c r="Z63" s="65"/>
      <c r="AA63" s="65"/>
      <c r="AB63" s="65"/>
      <c r="AC63" s="65"/>
      <c r="AD63" s="6"/>
      <c r="AE63" s="6"/>
      <c r="AF63" s="6"/>
      <c r="AG63" s="6"/>
      <c r="AH63" s="6"/>
      <c r="AI63" s="6"/>
      <c r="AJ63" s="6"/>
      <c r="AK63" s="6"/>
      <c r="AL63" s="6"/>
      <c r="AM63" s="6"/>
      <c r="AN63" s="6"/>
      <c r="AO63" s="6"/>
      <c r="AP63" s="6"/>
      <c r="AQ63" s="6"/>
      <c r="AR63" s="6"/>
      <c r="AS63" s="6"/>
      <c r="AT63" s="6"/>
      <c r="AU63" s="6"/>
      <c r="AV63" s="6"/>
      <c r="AW63" s="6"/>
      <c r="AX63" s="63"/>
      <c r="AY63" s="63"/>
    </row>
    <row r="64" ht="14.25" customHeight="1">
      <c r="A64" s="26" t="str">
        <f t="shared" si="1"/>
        <v>building.laboratory@1</v>
      </c>
      <c r="B64" s="26" t="str">
        <f t="array" ref="B64">_xlfn.XLOOKUP(A64,Targets!A:A,Targets!C:C,"")</f>
        <v>BUILDING</v>
      </c>
      <c r="C64" s="64" t="b">
        <f>COUNTIF(Targets!A:A,A64)&gt;0</f>
        <v>1</v>
      </c>
      <c r="D64" s="64" t="b">
        <f>IF(
 OR(
  LEFT(A64,15)="state.character",
  RIGHT(A64,6)=".maxed"
 ),
 TRUE,
 COUNTIF(Checklist!A:A,A64)&gt;0
)</f>
        <v>1</v>
      </c>
      <c r="E64" s="64" t="b">
        <f>IF(
 OR(
  LEFT(A64,15)="state.character",
  RIGHT(A64,6)=".maxed",
  A64="building.guild@1",
  A64="quest.build_the_guild.accepted",
  A64="quest.build_the_pagoda.accepted"
 ),
 TRUE,
 COUNTIF(Dependencies!A:A,A64)&gt;0
)</f>
        <v>1</v>
      </c>
      <c r="F64" s="64" t="b">
        <f>COUNTIF(Dependencies!B:B,A64)&gt;0</f>
        <v>1</v>
      </c>
      <c r="G64" s="64" t="b">
        <f>COUNTIF(QuestObjectives!A:A,A64)&gt;0</f>
        <v>0</v>
      </c>
      <c r="H64" s="64" t="b">
        <f>COUNTIF(QuestObjectives!E:E,A64)&gt;0</f>
        <v>0</v>
      </c>
      <c r="I64" s="64" t="b">
        <f>COUNTIF(TargetStatus!A:A,A64)&gt;0</f>
        <v>1</v>
      </c>
      <c r="J64" s="64" t="b">
        <f>COUNTIF(CostStatus!B:B,A64)&gt;0</f>
        <v>1</v>
      </c>
      <c r="K64" s="64" t="b">
        <f>COUNTIF(States!A:A,A64)&gt;0</f>
        <v>0</v>
      </c>
      <c r="L64" s="64" t="b">
        <f t="shared" si="2"/>
        <v>1</v>
      </c>
      <c r="M64" s="64" t="b">
        <f>IF(A64="","",COUNTIF(Targets!A:A,A64)&gt;1)</f>
        <v>0</v>
      </c>
      <c r="N64" s="64" t="b">
        <f>IF(A64="","",COUNTIF(States!A:A,A64)&gt;1)</f>
        <v>0</v>
      </c>
      <c r="O64" s="64" t="b">
        <f>IFERROR(__xludf.DUMMYFUNCTION("IF(
 B64="""",
 """",
 SWITCH(
  B64,
  ""BUILDING"",COUNTIF(Buildings!A:A,A64)&gt;0,
  ""CITADEL"",COUNTIF(Citadel!A:A,A64)&gt;0,
  ""COLLECTION"",COUNTIF(Collections!A:A,A64)&gt;0,
  ""CRAFTIFACT"",COUNTIF(Craftifacts!A:A,A64)&gt;0,
  ""QUEST"",
   COUNTIF(
    Que"&amp;"sts!A:A,
    REGEXREPLACE(A64,""\.(accepted|finished)$"","""")
   )&gt;0,
  ""TECH"",COUNTIF(Technologies!A:A,A64)&gt;0,
  ""STATE"",COUNTIF(States!A:A,A64)&gt;0,
  FALSE
 )
)"),TRUE)</f>
        <v>1</v>
      </c>
      <c r="P64" s="64" t="str">
        <f t="shared" si="3"/>
        <v>Good</v>
      </c>
      <c r="Q64" s="65"/>
      <c r="R64" s="65"/>
      <c r="S64" s="65"/>
      <c r="T64" s="65"/>
      <c r="U64" s="6"/>
      <c r="V64" s="63" t="str">
        <f>IFERROR(__xludf.DUMMYFUNCTION("""COMPUTED_VALUE"""),"building.laboratory@1")</f>
        <v>building.laboratory@1</v>
      </c>
      <c r="W64" s="65"/>
      <c r="X64" s="65"/>
      <c r="Y64" s="65"/>
      <c r="Z64" s="65"/>
      <c r="AA64" s="65"/>
      <c r="AB64" s="65"/>
      <c r="AC64" s="65"/>
      <c r="AD64" s="6"/>
      <c r="AE64" s="6"/>
      <c r="AF64" s="6"/>
      <c r="AG64" s="6"/>
      <c r="AH64" s="6"/>
      <c r="AI64" s="6"/>
      <c r="AJ64" s="6"/>
      <c r="AK64" s="6"/>
      <c r="AL64" s="6"/>
      <c r="AM64" s="6"/>
      <c r="AN64" s="6"/>
      <c r="AO64" s="6"/>
      <c r="AP64" s="6"/>
      <c r="AQ64" s="6"/>
      <c r="AR64" s="6"/>
      <c r="AS64" s="6"/>
      <c r="AT64" s="6"/>
      <c r="AU64" s="6"/>
      <c r="AV64" s="6"/>
      <c r="AW64" s="6"/>
      <c r="AX64" s="63"/>
      <c r="AY64" s="63"/>
    </row>
    <row r="65" ht="14.25" customHeight="1">
      <c r="A65" s="26" t="str">
        <f t="shared" si="1"/>
        <v>building.laboratory@2</v>
      </c>
      <c r="B65" s="26" t="str">
        <f t="array" ref="B65">_xlfn.XLOOKUP(A65,Targets!A:A,Targets!C:C,"")</f>
        <v>BUILDING</v>
      </c>
      <c r="C65" s="64" t="b">
        <f>COUNTIF(Targets!A:A,A65)&gt;0</f>
        <v>1</v>
      </c>
      <c r="D65" s="64" t="b">
        <f>IF(
 OR(
  LEFT(A65,15)="state.character",
  RIGHT(A65,6)=".maxed"
 ),
 TRUE,
 COUNTIF(Checklist!A:A,A65)&gt;0
)</f>
        <v>1</v>
      </c>
      <c r="E65" s="64" t="b">
        <f>IF(
 OR(
  LEFT(A65,15)="state.character",
  RIGHT(A65,6)=".maxed",
  A65="building.guild@1",
  A65="quest.build_the_guild.accepted",
  A65="quest.build_the_pagoda.accepted"
 ),
 TRUE,
 COUNTIF(Dependencies!A:A,A65)&gt;0
)</f>
        <v>1</v>
      </c>
      <c r="F65" s="64" t="b">
        <f>COUNTIF(Dependencies!B:B,A65)&gt;0</f>
        <v>1</v>
      </c>
      <c r="G65" s="64" t="b">
        <f>COUNTIF(QuestObjectives!A:A,A65)&gt;0</f>
        <v>0</v>
      </c>
      <c r="H65" s="64" t="b">
        <f>COUNTIF(QuestObjectives!E:E,A65)&gt;0</f>
        <v>0</v>
      </c>
      <c r="I65" s="64" t="b">
        <f>COUNTIF(TargetStatus!A:A,A65)&gt;0</f>
        <v>1</v>
      </c>
      <c r="J65" s="64" t="b">
        <f>COUNTIF(CostStatus!B:B,A65)&gt;0</f>
        <v>1</v>
      </c>
      <c r="K65" s="64" t="b">
        <f>COUNTIF(States!A:A,A65)&gt;0</f>
        <v>0</v>
      </c>
      <c r="L65" s="64" t="b">
        <f t="shared" si="2"/>
        <v>1</v>
      </c>
      <c r="M65" s="64" t="b">
        <f>IF(A65="","",COUNTIF(Targets!A:A,A65)&gt;1)</f>
        <v>0</v>
      </c>
      <c r="N65" s="64" t="b">
        <f>IF(A65="","",COUNTIF(States!A:A,A65)&gt;1)</f>
        <v>0</v>
      </c>
      <c r="O65" s="64" t="b">
        <f>IFERROR(__xludf.DUMMYFUNCTION("IF(
 B65="""",
 """",
 SWITCH(
  B65,
  ""BUILDING"",COUNTIF(Buildings!A:A,A65)&gt;0,
  ""CITADEL"",COUNTIF(Citadel!A:A,A65)&gt;0,
  ""COLLECTION"",COUNTIF(Collections!A:A,A65)&gt;0,
  ""CRAFTIFACT"",COUNTIF(Craftifacts!A:A,A65)&gt;0,
  ""QUEST"",
   COUNTIF(
    Que"&amp;"sts!A:A,
    REGEXREPLACE(A65,""\.(accepted|finished)$"","""")
   )&gt;0,
  ""TECH"",COUNTIF(Technologies!A:A,A65)&gt;0,
  ""STATE"",COUNTIF(States!A:A,A65)&gt;0,
  FALSE
 )
)"),TRUE)</f>
        <v>1</v>
      </c>
      <c r="P65" s="64" t="str">
        <f t="shared" si="3"/>
        <v>Good</v>
      </c>
      <c r="Q65" s="65"/>
      <c r="R65" s="65"/>
      <c r="S65" s="65"/>
      <c r="T65" s="65"/>
      <c r="U65" s="6"/>
      <c r="V65" s="63" t="str">
        <f>IFERROR(__xludf.DUMMYFUNCTION("""COMPUTED_VALUE"""),"building.laboratory@2")</f>
        <v>building.laboratory@2</v>
      </c>
      <c r="W65" s="65"/>
      <c r="X65" s="65"/>
      <c r="Y65" s="65"/>
      <c r="Z65" s="65"/>
      <c r="AA65" s="65"/>
      <c r="AB65" s="65"/>
      <c r="AC65" s="65"/>
      <c r="AD65" s="6"/>
      <c r="AE65" s="6"/>
      <c r="AF65" s="6"/>
      <c r="AG65" s="6"/>
      <c r="AH65" s="6"/>
      <c r="AI65" s="6"/>
      <c r="AJ65" s="6"/>
      <c r="AK65" s="6"/>
      <c r="AL65" s="6"/>
      <c r="AM65" s="6"/>
      <c r="AN65" s="6"/>
      <c r="AO65" s="6"/>
      <c r="AP65" s="6"/>
      <c r="AQ65" s="6"/>
      <c r="AR65" s="6"/>
      <c r="AS65" s="6"/>
      <c r="AT65" s="6"/>
      <c r="AU65" s="6"/>
      <c r="AV65" s="6"/>
      <c r="AW65" s="6"/>
      <c r="AX65" s="63"/>
      <c r="AY65" s="63"/>
    </row>
    <row r="66" ht="14.25" customHeight="1">
      <c r="A66" s="26" t="str">
        <f t="shared" si="1"/>
        <v>building.laboratory@3</v>
      </c>
      <c r="B66" s="26" t="str">
        <f t="array" ref="B66">_xlfn.XLOOKUP(A66,Targets!A:A,Targets!C:C,"")</f>
        <v>BUILDING</v>
      </c>
      <c r="C66" s="64" t="b">
        <f>COUNTIF(Targets!A:A,A66)&gt;0</f>
        <v>1</v>
      </c>
      <c r="D66" s="64" t="b">
        <f>IF(
 OR(
  LEFT(A66,15)="state.character",
  RIGHT(A66,6)=".maxed"
 ),
 TRUE,
 COUNTIF(Checklist!A:A,A66)&gt;0
)</f>
        <v>1</v>
      </c>
      <c r="E66" s="64" t="b">
        <f>IF(
 OR(
  LEFT(A66,15)="state.character",
  RIGHT(A66,6)=".maxed",
  A66="building.guild@1",
  A66="quest.build_the_guild.accepted",
  A66="quest.build_the_pagoda.accepted"
 ),
 TRUE,
 COUNTIF(Dependencies!A:A,A66)&gt;0
)</f>
        <v>1</v>
      </c>
      <c r="F66" s="64" t="b">
        <f>COUNTIF(Dependencies!B:B,A66)&gt;0</f>
        <v>1</v>
      </c>
      <c r="G66" s="64" t="b">
        <f>COUNTIF(QuestObjectives!A:A,A66)&gt;0</f>
        <v>0</v>
      </c>
      <c r="H66" s="64" t="b">
        <f>COUNTIF(QuestObjectives!E:E,A66)&gt;0</f>
        <v>0</v>
      </c>
      <c r="I66" s="64" t="b">
        <f>COUNTIF(TargetStatus!A:A,A66)&gt;0</f>
        <v>1</v>
      </c>
      <c r="J66" s="64" t="b">
        <f>COUNTIF(CostStatus!B:B,A66)&gt;0</f>
        <v>1</v>
      </c>
      <c r="K66" s="64" t="b">
        <f>COUNTIF(States!A:A,A66)&gt;0</f>
        <v>0</v>
      </c>
      <c r="L66" s="64" t="b">
        <f t="shared" si="2"/>
        <v>1</v>
      </c>
      <c r="M66" s="64" t="b">
        <f>IF(A66="","",COUNTIF(Targets!A:A,A66)&gt;1)</f>
        <v>0</v>
      </c>
      <c r="N66" s="64" t="b">
        <f>IF(A66="","",COUNTIF(States!A:A,A66)&gt;1)</f>
        <v>0</v>
      </c>
      <c r="O66" s="64" t="b">
        <f>IFERROR(__xludf.DUMMYFUNCTION("IF(
 B66="""",
 """",
 SWITCH(
  B66,
  ""BUILDING"",COUNTIF(Buildings!A:A,A66)&gt;0,
  ""CITADEL"",COUNTIF(Citadel!A:A,A66)&gt;0,
  ""COLLECTION"",COUNTIF(Collections!A:A,A66)&gt;0,
  ""CRAFTIFACT"",COUNTIF(Craftifacts!A:A,A66)&gt;0,
  ""QUEST"",
   COUNTIF(
    Que"&amp;"sts!A:A,
    REGEXREPLACE(A66,""\.(accepted|finished)$"","""")
   )&gt;0,
  ""TECH"",COUNTIF(Technologies!A:A,A66)&gt;0,
  ""STATE"",COUNTIF(States!A:A,A66)&gt;0,
  FALSE
 )
)"),TRUE)</f>
        <v>1</v>
      </c>
      <c r="P66" s="64" t="str">
        <f t="shared" si="3"/>
        <v>Good</v>
      </c>
      <c r="Q66" s="65"/>
      <c r="R66" s="65"/>
      <c r="S66" s="65"/>
      <c r="T66" s="65"/>
      <c r="U66" s="63"/>
      <c r="V66" s="63" t="str">
        <f>IFERROR(__xludf.DUMMYFUNCTION("""COMPUTED_VALUE"""),"building.laboratory@3")</f>
        <v>building.laboratory@3</v>
      </c>
      <c r="W66" s="65"/>
      <c r="X66" s="65"/>
      <c r="Y66" s="65"/>
      <c r="Z66" s="65"/>
      <c r="AA66" s="65"/>
      <c r="AB66" s="65"/>
      <c r="AC66" s="65"/>
      <c r="AD66" s="6"/>
      <c r="AE66" s="6"/>
      <c r="AF66" s="6"/>
      <c r="AG66" s="6"/>
      <c r="AH66" s="6"/>
      <c r="AI66" s="6"/>
      <c r="AJ66" s="6"/>
      <c r="AK66" s="6"/>
      <c r="AL66" s="6"/>
      <c r="AM66" s="6"/>
      <c r="AN66" s="6"/>
      <c r="AO66" s="6"/>
      <c r="AP66" s="6"/>
      <c r="AQ66" s="6"/>
      <c r="AR66" s="6"/>
      <c r="AS66" s="6"/>
      <c r="AT66" s="6"/>
      <c r="AU66" s="6"/>
      <c r="AV66" s="6"/>
      <c r="AW66" s="6"/>
      <c r="AX66" s="63"/>
      <c r="AY66" s="63"/>
    </row>
    <row r="67" ht="14.25" customHeight="1">
      <c r="A67" s="26" t="str">
        <f t="shared" si="1"/>
        <v>building.laboratory@4</v>
      </c>
      <c r="B67" s="26" t="str">
        <f t="array" ref="B67">_xlfn.XLOOKUP(A67,Targets!A:A,Targets!C:C,"")</f>
        <v>BUILDING</v>
      </c>
      <c r="C67" s="64" t="b">
        <f>COUNTIF(Targets!A:A,A67)&gt;0</f>
        <v>1</v>
      </c>
      <c r="D67" s="64" t="b">
        <f>IF(
 OR(
  LEFT(A67,15)="state.character",
  RIGHT(A67,6)=".maxed"
 ),
 TRUE,
 COUNTIF(Checklist!A:A,A67)&gt;0
)</f>
        <v>1</v>
      </c>
      <c r="E67" s="64" t="b">
        <f>IF(
 OR(
  LEFT(A67,15)="state.character",
  RIGHT(A67,6)=".maxed",
  A67="building.guild@1",
  A67="quest.build_the_guild.accepted",
  A67="quest.build_the_pagoda.accepted"
 ),
 TRUE,
 COUNTIF(Dependencies!A:A,A67)&gt;0
)</f>
        <v>1</v>
      </c>
      <c r="F67" s="64" t="b">
        <f>COUNTIF(Dependencies!B:B,A67)&gt;0</f>
        <v>1</v>
      </c>
      <c r="G67" s="64" t="b">
        <f>COUNTIF(QuestObjectives!A:A,A67)&gt;0</f>
        <v>0</v>
      </c>
      <c r="H67" s="64" t="b">
        <f>COUNTIF(QuestObjectives!E:E,A67)&gt;0</f>
        <v>0</v>
      </c>
      <c r="I67" s="64" t="b">
        <f>COUNTIF(TargetStatus!A:A,A67)&gt;0</f>
        <v>1</v>
      </c>
      <c r="J67" s="64" t="b">
        <f>COUNTIF(CostStatus!B:B,A67)&gt;0</f>
        <v>1</v>
      </c>
      <c r="K67" s="64" t="b">
        <f>COUNTIF(States!A:A,A67)&gt;0</f>
        <v>0</v>
      </c>
      <c r="L67" s="64" t="b">
        <f t="shared" si="2"/>
        <v>1</v>
      </c>
      <c r="M67" s="64" t="b">
        <f>IF(A67="","",COUNTIF(Targets!A:A,A67)&gt;1)</f>
        <v>0</v>
      </c>
      <c r="N67" s="64" t="b">
        <f>IF(A67="","",COUNTIF(States!A:A,A67)&gt;1)</f>
        <v>0</v>
      </c>
      <c r="O67" s="64" t="b">
        <f>IFERROR(__xludf.DUMMYFUNCTION("IF(
 B67="""",
 """",
 SWITCH(
  B67,
  ""BUILDING"",COUNTIF(Buildings!A:A,A67)&gt;0,
  ""CITADEL"",COUNTIF(Citadel!A:A,A67)&gt;0,
  ""COLLECTION"",COUNTIF(Collections!A:A,A67)&gt;0,
  ""CRAFTIFACT"",COUNTIF(Craftifacts!A:A,A67)&gt;0,
  ""QUEST"",
   COUNTIF(
    Que"&amp;"sts!A:A,
    REGEXREPLACE(A67,""\.(accepted|finished)$"","""")
   )&gt;0,
  ""TECH"",COUNTIF(Technologies!A:A,A67)&gt;0,
  ""STATE"",COUNTIF(States!A:A,A67)&gt;0,
  FALSE
 )
)"),TRUE)</f>
        <v>1</v>
      </c>
      <c r="P67" s="64" t="str">
        <f t="shared" si="3"/>
        <v>Good</v>
      </c>
      <c r="Q67" s="65"/>
      <c r="R67" s="65"/>
      <c r="S67" s="65"/>
      <c r="T67" s="65"/>
      <c r="U67" s="6"/>
      <c r="V67" s="63" t="str">
        <f>IFERROR(__xludf.DUMMYFUNCTION("""COMPUTED_VALUE"""),"building.laboratory@4")</f>
        <v>building.laboratory@4</v>
      </c>
      <c r="W67" s="65"/>
      <c r="X67" s="65"/>
      <c r="Y67" s="65"/>
      <c r="Z67" s="65"/>
      <c r="AA67" s="65"/>
      <c r="AB67" s="65"/>
      <c r="AC67" s="65"/>
      <c r="AD67" s="6"/>
      <c r="AE67" s="6"/>
      <c r="AF67" s="6"/>
      <c r="AG67" s="6"/>
      <c r="AH67" s="6"/>
      <c r="AI67" s="6"/>
      <c r="AJ67" s="6"/>
      <c r="AK67" s="6"/>
      <c r="AL67" s="6"/>
      <c r="AM67" s="6"/>
      <c r="AN67" s="6"/>
      <c r="AO67" s="6"/>
      <c r="AP67" s="6"/>
      <c r="AQ67" s="6"/>
      <c r="AR67" s="6"/>
      <c r="AS67" s="6"/>
      <c r="AT67" s="6"/>
      <c r="AU67" s="6"/>
      <c r="AV67" s="6"/>
      <c r="AW67" s="6"/>
      <c r="AX67" s="63"/>
      <c r="AY67" s="63"/>
    </row>
    <row r="68" ht="14.25" customHeight="1">
      <c r="A68" s="26" t="str">
        <f t="shared" si="1"/>
        <v>building.laboratory@5</v>
      </c>
      <c r="B68" s="26" t="str">
        <f t="array" ref="B68">_xlfn.XLOOKUP(A68,Targets!A:A,Targets!C:C,"")</f>
        <v>BUILDING</v>
      </c>
      <c r="C68" s="64" t="b">
        <f>COUNTIF(Targets!A:A,A68)&gt;0</f>
        <v>1</v>
      </c>
      <c r="D68" s="64" t="b">
        <f>IF(
 OR(
  LEFT(A68,15)="state.character",
  RIGHT(A68,6)=".maxed"
 ),
 TRUE,
 COUNTIF(Checklist!A:A,A68)&gt;0
)</f>
        <v>1</v>
      </c>
      <c r="E68" s="64" t="b">
        <f>IF(
 OR(
  LEFT(A68,15)="state.character",
  RIGHT(A68,6)=".maxed",
  A68="building.guild@1",
  A68="quest.build_the_guild.accepted",
  A68="quest.build_the_pagoda.accepted"
 ),
 TRUE,
 COUNTIF(Dependencies!A:A,A68)&gt;0
)</f>
        <v>1</v>
      </c>
      <c r="F68" s="64" t="b">
        <f>COUNTIF(Dependencies!B:B,A68)&gt;0</f>
        <v>1</v>
      </c>
      <c r="G68" s="64" t="b">
        <f>COUNTIF(QuestObjectives!A:A,A68)&gt;0</f>
        <v>0</v>
      </c>
      <c r="H68" s="64" t="b">
        <f>COUNTIF(QuestObjectives!E:E,A68)&gt;0</f>
        <v>1</v>
      </c>
      <c r="I68" s="64" t="b">
        <f>COUNTIF(TargetStatus!A:A,A68)&gt;0</f>
        <v>1</v>
      </c>
      <c r="J68" s="64" t="b">
        <f>COUNTIF(CostStatus!B:B,A68)&gt;0</f>
        <v>1</v>
      </c>
      <c r="K68" s="64" t="b">
        <f>COUNTIF(States!A:A,A68)&gt;0</f>
        <v>0</v>
      </c>
      <c r="L68" s="64" t="b">
        <f t="shared" si="2"/>
        <v>1</v>
      </c>
      <c r="M68" s="64" t="b">
        <f>IF(A68="","",COUNTIF(Targets!A:A,A68)&gt;1)</f>
        <v>0</v>
      </c>
      <c r="N68" s="64" t="b">
        <f>IF(A68="","",COUNTIF(States!A:A,A68)&gt;1)</f>
        <v>0</v>
      </c>
      <c r="O68" s="64" t="b">
        <f>IFERROR(__xludf.DUMMYFUNCTION("IF(
 B68="""",
 """",
 SWITCH(
  B68,
  ""BUILDING"",COUNTIF(Buildings!A:A,A68)&gt;0,
  ""CITADEL"",COUNTIF(Citadel!A:A,A68)&gt;0,
  ""COLLECTION"",COUNTIF(Collections!A:A,A68)&gt;0,
  ""CRAFTIFACT"",COUNTIF(Craftifacts!A:A,A68)&gt;0,
  ""QUEST"",
   COUNTIF(
    Que"&amp;"sts!A:A,
    REGEXREPLACE(A68,""\.(accepted|finished)$"","""")
   )&gt;0,
  ""TECH"",COUNTIF(Technologies!A:A,A68)&gt;0,
  ""STATE"",COUNTIF(States!A:A,A68)&gt;0,
  FALSE
 )
)"),TRUE)</f>
        <v>1</v>
      </c>
      <c r="P68" s="64" t="str">
        <f t="shared" si="3"/>
        <v>Good</v>
      </c>
      <c r="Q68" s="65"/>
      <c r="R68" s="65"/>
      <c r="S68" s="65"/>
      <c r="T68" s="65"/>
      <c r="U68" s="6"/>
      <c r="V68" s="63" t="str">
        <f>IFERROR(__xludf.DUMMYFUNCTION("""COMPUTED_VALUE"""),"building.laboratory@5")</f>
        <v>building.laboratory@5</v>
      </c>
      <c r="W68" s="65"/>
      <c r="X68" s="65"/>
      <c r="Y68" s="65"/>
      <c r="Z68" s="65"/>
      <c r="AA68" s="65"/>
      <c r="AB68" s="65"/>
      <c r="AC68" s="65"/>
      <c r="AD68" s="6"/>
      <c r="AE68" s="6"/>
      <c r="AF68" s="6"/>
      <c r="AG68" s="6"/>
      <c r="AH68" s="6"/>
      <c r="AI68" s="6"/>
      <c r="AJ68" s="6"/>
      <c r="AK68" s="6"/>
      <c r="AL68" s="6"/>
      <c r="AM68" s="6"/>
      <c r="AN68" s="6"/>
      <c r="AO68" s="6"/>
      <c r="AP68" s="6"/>
      <c r="AQ68" s="6"/>
      <c r="AR68" s="6"/>
      <c r="AS68" s="6"/>
      <c r="AT68" s="6"/>
      <c r="AU68" s="6"/>
      <c r="AV68" s="6"/>
      <c r="AW68" s="6"/>
      <c r="AX68" s="63"/>
      <c r="AY68" s="63"/>
    </row>
    <row r="69" ht="14.25" customHeight="1">
      <c r="A69" s="26" t="str">
        <f t="shared" si="1"/>
        <v>building.lumber@1</v>
      </c>
      <c r="B69" s="26" t="str">
        <f t="array" ref="B69">_xlfn.XLOOKUP(A69,Targets!A:A,Targets!C:C,"")</f>
        <v>BUILDING</v>
      </c>
      <c r="C69" s="64" t="b">
        <f>COUNTIF(Targets!A:A,A69)&gt;0</f>
        <v>1</v>
      </c>
      <c r="D69" s="64" t="b">
        <f>IF(
 OR(
  LEFT(A69,15)="state.character",
  RIGHT(A69,6)=".maxed"
 ),
 TRUE,
 COUNTIF(Checklist!A:A,A69)&gt;0
)</f>
        <v>1</v>
      </c>
      <c r="E69" s="64" t="b">
        <f>IF(
 OR(
  LEFT(A69,15)="state.character",
  RIGHT(A69,6)=".maxed",
  A69="building.guild@1",
  A69="quest.build_the_guild.accepted",
  A69="quest.build_the_pagoda.accepted"
 ),
 TRUE,
 COUNTIF(Dependencies!A:A,A69)&gt;0
)</f>
        <v>1</v>
      </c>
      <c r="F69" s="64" t="b">
        <f>COUNTIF(Dependencies!B:B,A69)&gt;0</f>
        <v>1</v>
      </c>
      <c r="G69" s="64" t="b">
        <f>COUNTIF(QuestObjectives!A:A,A69)&gt;0</f>
        <v>0</v>
      </c>
      <c r="H69" s="64" t="b">
        <f>COUNTIF(QuestObjectives!E:E,A69)&gt;0</f>
        <v>0</v>
      </c>
      <c r="I69" s="64" t="b">
        <f>COUNTIF(TargetStatus!A:A,A69)&gt;0</f>
        <v>1</v>
      </c>
      <c r="J69" s="64" t="b">
        <f>COUNTIF(CostStatus!B:B,A69)&gt;0</f>
        <v>1</v>
      </c>
      <c r="K69" s="64" t="b">
        <f>COUNTIF(States!A:A,A69)&gt;0</f>
        <v>0</v>
      </c>
      <c r="L69" s="64" t="b">
        <f t="shared" si="2"/>
        <v>1</v>
      </c>
      <c r="M69" s="64" t="b">
        <f>IF(A69="","",COUNTIF(Targets!A:A,A69)&gt;1)</f>
        <v>0</v>
      </c>
      <c r="N69" s="64" t="b">
        <f>IF(A69="","",COUNTIF(States!A:A,A69)&gt;1)</f>
        <v>0</v>
      </c>
      <c r="O69" s="64" t="b">
        <f>IFERROR(__xludf.DUMMYFUNCTION("IF(
 B69="""",
 """",
 SWITCH(
  B69,
  ""BUILDING"",COUNTIF(Buildings!A:A,A69)&gt;0,
  ""CITADEL"",COUNTIF(Citadel!A:A,A69)&gt;0,
  ""COLLECTION"",COUNTIF(Collections!A:A,A69)&gt;0,
  ""CRAFTIFACT"",COUNTIF(Craftifacts!A:A,A69)&gt;0,
  ""QUEST"",
   COUNTIF(
    Que"&amp;"sts!A:A,
    REGEXREPLACE(A69,""\.(accepted|finished)$"","""")
   )&gt;0,
  ""TECH"",COUNTIF(Technologies!A:A,A69)&gt;0,
  ""STATE"",COUNTIF(States!A:A,A69)&gt;0,
  FALSE
 )
)"),TRUE)</f>
        <v>1</v>
      </c>
      <c r="P69" s="64" t="str">
        <f t="shared" si="3"/>
        <v>Good</v>
      </c>
      <c r="Q69" s="65"/>
      <c r="R69" s="65"/>
      <c r="S69" s="65"/>
      <c r="T69" s="65"/>
      <c r="U69" s="6"/>
      <c r="V69" s="63" t="str">
        <f>IFERROR(__xludf.DUMMYFUNCTION("""COMPUTED_VALUE"""),"building.lumber@1")</f>
        <v>building.lumber@1</v>
      </c>
      <c r="W69" s="65"/>
      <c r="X69" s="65"/>
      <c r="Y69" s="65"/>
      <c r="Z69" s="65"/>
      <c r="AA69" s="65"/>
      <c r="AB69" s="65"/>
      <c r="AC69" s="65"/>
      <c r="AD69" s="6"/>
      <c r="AE69" s="6"/>
      <c r="AF69" s="6"/>
      <c r="AG69" s="6"/>
      <c r="AH69" s="6"/>
      <c r="AI69" s="6"/>
      <c r="AJ69" s="6"/>
      <c r="AK69" s="6"/>
      <c r="AL69" s="6"/>
      <c r="AM69" s="6"/>
      <c r="AN69" s="6"/>
      <c r="AO69" s="6"/>
      <c r="AP69" s="6"/>
      <c r="AQ69" s="6"/>
      <c r="AR69" s="6"/>
      <c r="AS69" s="6"/>
      <c r="AT69" s="6"/>
      <c r="AU69" s="6"/>
      <c r="AV69" s="6"/>
      <c r="AW69" s="6"/>
      <c r="AX69" s="63"/>
      <c r="AY69" s="63"/>
    </row>
    <row r="70" ht="14.25" customHeight="1">
      <c r="A70" s="26" t="str">
        <f t="shared" si="1"/>
        <v>building.lumber@2</v>
      </c>
      <c r="B70" s="26" t="str">
        <f t="array" ref="B70">_xlfn.XLOOKUP(A70,Targets!A:A,Targets!C:C,"")</f>
        <v>BUILDING</v>
      </c>
      <c r="C70" s="64" t="b">
        <f>COUNTIF(Targets!A:A,A70)&gt;0</f>
        <v>1</v>
      </c>
      <c r="D70" s="64" t="b">
        <f>IF(
 OR(
  LEFT(A70,15)="state.character",
  RIGHT(A70,6)=".maxed"
 ),
 TRUE,
 COUNTIF(Checklist!A:A,A70)&gt;0
)</f>
        <v>1</v>
      </c>
      <c r="E70" s="64" t="b">
        <f>IF(
 OR(
  LEFT(A70,15)="state.character",
  RIGHT(A70,6)=".maxed",
  A70="building.guild@1",
  A70="quest.build_the_guild.accepted",
  A70="quest.build_the_pagoda.accepted"
 ),
 TRUE,
 COUNTIF(Dependencies!A:A,A70)&gt;0
)</f>
        <v>1</v>
      </c>
      <c r="F70" s="64" t="b">
        <f>COUNTIF(Dependencies!B:B,A70)&gt;0</f>
        <v>1</v>
      </c>
      <c r="G70" s="64" t="b">
        <f>COUNTIF(QuestObjectives!A:A,A70)&gt;0</f>
        <v>0</v>
      </c>
      <c r="H70" s="64" t="b">
        <f>COUNTIF(QuestObjectives!E:E,A70)&gt;0</f>
        <v>0</v>
      </c>
      <c r="I70" s="64" t="b">
        <f>COUNTIF(TargetStatus!A:A,A70)&gt;0</f>
        <v>1</v>
      </c>
      <c r="J70" s="64" t="b">
        <f>COUNTIF(CostStatus!B:B,A70)&gt;0</f>
        <v>1</v>
      </c>
      <c r="K70" s="64" t="b">
        <f>COUNTIF(States!A:A,A70)&gt;0</f>
        <v>0</v>
      </c>
      <c r="L70" s="64" t="b">
        <f t="shared" si="2"/>
        <v>1</v>
      </c>
      <c r="M70" s="64" t="b">
        <f>IF(A70="","",COUNTIF(Targets!A:A,A70)&gt;1)</f>
        <v>0</v>
      </c>
      <c r="N70" s="64" t="b">
        <f>IF(A70="","",COUNTIF(States!A:A,A70)&gt;1)</f>
        <v>0</v>
      </c>
      <c r="O70" s="64" t="b">
        <f>IFERROR(__xludf.DUMMYFUNCTION("IF(
 B70="""",
 """",
 SWITCH(
  B70,
  ""BUILDING"",COUNTIF(Buildings!A:A,A70)&gt;0,
  ""CITADEL"",COUNTIF(Citadel!A:A,A70)&gt;0,
  ""COLLECTION"",COUNTIF(Collections!A:A,A70)&gt;0,
  ""CRAFTIFACT"",COUNTIF(Craftifacts!A:A,A70)&gt;0,
  ""QUEST"",
   COUNTIF(
    Que"&amp;"sts!A:A,
    REGEXREPLACE(A70,""\.(accepted|finished)$"","""")
   )&gt;0,
  ""TECH"",COUNTIF(Technologies!A:A,A70)&gt;0,
  ""STATE"",COUNTIF(States!A:A,A70)&gt;0,
  FALSE
 )
)"),TRUE)</f>
        <v>1</v>
      </c>
      <c r="P70" s="64" t="str">
        <f t="shared" si="3"/>
        <v>Good</v>
      </c>
      <c r="Q70" s="65"/>
      <c r="R70" s="65"/>
      <c r="S70" s="65"/>
      <c r="T70" s="65"/>
      <c r="U70" s="6"/>
      <c r="V70" s="63" t="str">
        <f>IFERROR(__xludf.DUMMYFUNCTION("""COMPUTED_VALUE"""),"building.lumber@2")</f>
        <v>building.lumber@2</v>
      </c>
      <c r="W70" s="65"/>
      <c r="X70" s="65"/>
      <c r="Y70" s="65"/>
      <c r="Z70" s="65"/>
      <c r="AA70" s="65"/>
      <c r="AB70" s="65"/>
      <c r="AC70" s="65"/>
      <c r="AD70" s="6"/>
      <c r="AE70" s="6"/>
      <c r="AF70" s="6"/>
      <c r="AG70" s="6"/>
      <c r="AH70" s="6"/>
      <c r="AI70" s="6"/>
      <c r="AJ70" s="6"/>
      <c r="AK70" s="6"/>
      <c r="AL70" s="6"/>
      <c r="AM70" s="6"/>
      <c r="AN70" s="6"/>
      <c r="AO70" s="6"/>
      <c r="AP70" s="6"/>
      <c r="AQ70" s="6"/>
      <c r="AR70" s="6"/>
      <c r="AS70" s="6"/>
      <c r="AT70" s="6"/>
      <c r="AU70" s="6"/>
      <c r="AV70" s="6"/>
      <c r="AW70" s="6"/>
      <c r="AX70" s="63"/>
      <c r="AY70" s="63"/>
    </row>
    <row r="71" ht="14.25" customHeight="1">
      <c r="A71" s="26" t="str">
        <f t="shared" si="1"/>
        <v>building.lumber@3</v>
      </c>
      <c r="B71" s="26" t="str">
        <f t="array" ref="B71">_xlfn.XLOOKUP(A71,Targets!A:A,Targets!C:C,"")</f>
        <v>BUILDING</v>
      </c>
      <c r="C71" s="64" t="b">
        <f>COUNTIF(Targets!A:A,A71)&gt;0</f>
        <v>1</v>
      </c>
      <c r="D71" s="64" t="b">
        <f>IF(
 OR(
  LEFT(A71,15)="state.character",
  RIGHT(A71,6)=".maxed"
 ),
 TRUE,
 COUNTIF(Checklist!A:A,A71)&gt;0
)</f>
        <v>1</v>
      </c>
      <c r="E71" s="64" t="b">
        <f>IF(
 OR(
  LEFT(A71,15)="state.character",
  RIGHT(A71,6)=".maxed",
  A71="building.guild@1",
  A71="quest.build_the_guild.accepted",
  A71="quest.build_the_pagoda.accepted"
 ),
 TRUE,
 COUNTIF(Dependencies!A:A,A71)&gt;0
)</f>
        <v>1</v>
      </c>
      <c r="F71" s="64" t="b">
        <f>COUNTIF(Dependencies!B:B,A71)&gt;0</f>
        <v>0</v>
      </c>
      <c r="G71" s="64" t="b">
        <f>COUNTIF(QuestObjectives!A:A,A71)&gt;0</f>
        <v>0</v>
      </c>
      <c r="H71" s="64" t="b">
        <f>COUNTIF(QuestObjectives!E:E,A71)&gt;0</f>
        <v>1</v>
      </c>
      <c r="I71" s="64" t="b">
        <f>COUNTIF(TargetStatus!A:A,A71)&gt;0</f>
        <v>1</v>
      </c>
      <c r="J71" s="64" t="b">
        <f>COUNTIF(CostStatus!B:B,A71)&gt;0</f>
        <v>1</v>
      </c>
      <c r="K71" s="64" t="b">
        <f>COUNTIF(States!A:A,A71)&gt;0</f>
        <v>0</v>
      </c>
      <c r="L71" s="64" t="b">
        <f t="shared" si="2"/>
        <v>1</v>
      </c>
      <c r="M71" s="64" t="b">
        <f>IF(A71="","",COUNTIF(Targets!A:A,A71)&gt;1)</f>
        <v>0</v>
      </c>
      <c r="N71" s="64" t="b">
        <f>IF(A71="","",COUNTIF(States!A:A,A71)&gt;1)</f>
        <v>0</v>
      </c>
      <c r="O71" s="64" t="b">
        <f>IFERROR(__xludf.DUMMYFUNCTION("IF(
 B71="""",
 """",
 SWITCH(
  B71,
  ""BUILDING"",COUNTIF(Buildings!A:A,A71)&gt;0,
  ""CITADEL"",COUNTIF(Citadel!A:A,A71)&gt;0,
  ""COLLECTION"",COUNTIF(Collections!A:A,A71)&gt;0,
  ""CRAFTIFACT"",COUNTIF(Craftifacts!A:A,A71)&gt;0,
  ""QUEST"",
   COUNTIF(
    Que"&amp;"sts!A:A,
    REGEXREPLACE(A71,""\.(accepted|finished)$"","""")
   )&gt;0,
  ""TECH"",COUNTIF(Technologies!A:A,A71)&gt;0,
  ""STATE"",COUNTIF(States!A:A,A71)&gt;0,
  FALSE
 )
)"),TRUE)</f>
        <v>1</v>
      </c>
      <c r="P71" s="64" t="str">
        <f t="shared" si="3"/>
        <v>Good</v>
      </c>
      <c r="Q71" s="65"/>
      <c r="R71" s="65"/>
      <c r="S71" s="65"/>
      <c r="T71" s="65"/>
      <c r="U71" s="6"/>
      <c r="V71" s="63" t="str">
        <f>IFERROR(__xludf.DUMMYFUNCTION("""COMPUTED_VALUE"""),"building.lumber@3")</f>
        <v>building.lumber@3</v>
      </c>
      <c r="W71" s="65"/>
      <c r="X71" s="65"/>
      <c r="Y71" s="65"/>
      <c r="Z71" s="65"/>
      <c r="AA71" s="65"/>
      <c r="AB71" s="65"/>
      <c r="AC71" s="65"/>
      <c r="AD71" s="6"/>
      <c r="AE71" s="6"/>
      <c r="AF71" s="6"/>
      <c r="AG71" s="6"/>
      <c r="AH71" s="6"/>
      <c r="AI71" s="6"/>
      <c r="AJ71" s="6"/>
      <c r="AK71" s="6"/>
      <c r="AL71" s="6"/>
      <c r="AM71" s="6"/>
      <c r="AN71" s="6"/>
      <c r="AO71" s="6"/>
      <c r="AP71" s="6"/>
      <c r="AQ71" s="6"/>
      <c r="AR71" s="6"/>
      <c r="AS71" s="6"/>
      <c r="AT71" s="6"/>
      <c r="AU71" s="6"/>
      <c r="AV71" s="6"/>
      <c r="AW71" s="6"/>
      <c r="AX71" s="63"/>
      <c r="AY71" s="63"/>
    </row>
    <row r="72" ht="14.25" customHeight="1">
      <c r="A72" s="26" t="str">
        <f t="shared" si="1"/>
        <v>building.onsen@1</v>
      </c>
      <c r="B72" s="26" t="str">
        <f t="array" ref="B72">_xlfn.XLOOKUP(A72,Targets!A:A,Targets!C:C,"")</f>
        <v>BUILDING</v>
      </c>
      <c r="C72" s="64" t="b">
        <f>COUNTIF(Targets!A:A,A72)&gt;0</f>
        <v>1</v>
      </c>
      <c r="D72" s="64" t="b">
        <f>IF(
 OR(
  LEFT(A72,15)="state.character",
  RIGHT(A72,6)=".maxed"
 ),
 TRUE,
 COUNTIF(Checklist!A:A,A72)&gt;0
)</f>
        <v>1</v>
      </c>
      <c r="E72" s="64" t="b">
        <f>IF(
 OR(
  LEFT(A72,15)="state.character",
  RIGHT(A72,6)=".maxed",
  A72="building.guild@1",
  A72="quest.build_the_guild.accepted",
  A72="quest.build_the_pagoda.accepted"
 ),
 TRUE,
 COUNTIF(Dependencies!A:A,A72)&gt;0
)</f>
        <v>1</v>
      </c>
      <c r="F72" s="64" t="b">
        <f>COUNTIF(Dependencies!B:B,A72)&gt;0</f>
        <v>1</v>
      </c>
      <c r="G72" s="64" t="b">
        <f>COUNTIF(QuestObjectives!A:A,A72)&gt;0</f>
        <v>0</v>
      </c>
      <c r="H72" s="64" t="b">
        <f>COUNTIF(QuestObjectives!E:E,A72)&gt;0</f>
        <v>0</v>
      </c>
      <c r="I72" s="64" t="b">
        <f>COUNTIF(TargetStatus!A:A,A72)&gt;0</f>
        <v>1</v>
      </c>
      <c r="J72" s="64" t="b">
        <f>COUNTIF(CostStatus!B:B,A72)&gt;0</f>
        <v>1</v>
      </c>
      <c r="K72" s="64" t="b">
        <f>COUNTIF(States!A:A,A72)&gt;0</f>
        <v>0</v>
      </c>
      <c r="L72" s="64" t="b">
        <f t="shared" si="2"/>
        <v>1</v>
      </c>
      <c r="M72" s="64" t="b">
        <f>IF(A72="","",COUNTIF(Targets!A:A,A72)&gt;1)</f>
        <v>0</v>
      </c>
      <c r="N72" s="64" t="b">
        <f>IF(A72="","",COUNTIF(States!A:A,A72)&gt;1)</f>
        <v>0</v>
      </c>
      <c r="O72" s="64" t="b">
        <f>IFERROR(__xludf.DUMMYFUNCTION("IF(
 B72="""",
 """",
 SWITCH(
  B72,
  ""BUILDING"",COUNTIF(Buildings!A:A,A72)&gt;0,
  ""CITADEL"",COUNTIF(Citadel!A:A,A72)&gt;0,
  ""COLLECTION"",COUNTIF(Collections!A:A,A72)&gt;0,
  ""CRAFTIFACT"",COUNTIF(Craftifacts!A:A,A72)&gt;0,
  ""QUEST"",
   COUNTIF(
    Que"&amp;"sts!A:A,
    REGEXREPLACE(A72,""\.(accepted|finished)$"","""")
   )&gt;0,
  ""TECH"",COUNTIF(Technologies!A:A,A72)&gt;0,
  ""STATE"",COUNTIF(States!A:A,A72)&gt;0,
  FALSE
 )
)"),TRUE)</f>
        <v>1</v>
      </c>
      <c r="P72" s="64" t="str">
        <f t="shared" si="3"/>
        <v>Good</v>
      </c>
      <c r="Q72" s="65"/>
      <c r="R72" s="65"/>
      <c r="S72" s="65"/>
      <c r="T72" s="65"/>
      <c r="U72" s="63"/>
      <c r="V72" s="63" t="str">
        <f>IFERROR(__xludf.DUMMYFUNCTION("""COMPUTED_VALUE"""),"building.onsen@1")</f>
        <v>building.onsen@1</v>
      </c>
      <c r="W72" s="65"/>
      <c r="X72" s="65"/>
      <c r="Y72" s="65"/>
      <c r="Z72" s="65"/>
      <c r="AA72" s="65"/>
      <c r="AB72" s="65"/>
      <c r="AC72" s="65"/>
      <c r="AD72" s="6"/>
      <c r="AE72" s="6"/>
      <c r="AF72" s="6"/>
      <c r="AG72" s="6"/>
      <c r="AH72" s="6"/>
      <c r="AI72" s="6"/>
      <c r="AJ72" s="6"/>
      <c r="AK72" s="6"/>
      <c r="AL72" s="6"/>
      <c r="AM72" s="6"/>
      <c r="AN72" s="6"/>
      <c r="AO72" s="6"/>
      <c r="AP72" s="6"/>
      <c r="AQ72" s="6"/>
      <c r="AR72" s="6"/>
      <c r="AS72" s="6"/>
      <c r="AT72" s="6"/>
      <c r="AU72" s="6"/>
      <c r="AV72" s="6"/>
      <c r="AW72" s="6"/>
      <c r="AX72" s="63"/>
      <c r="AY72" s="63"/>
    </row>
    <row r="73" ht="14.25" customHeight="1">
      <c r="A73" s="26" t="str">
        <f t="shared" si="1"/>
        <v>building.onsen@2</v>
      </c>
      <c r="B73" s="26" t="str">
        <f t="array" ref="B73">_xlfn.XLOOKUP(A73,Targets!A:A,Targets!C:C,"")</f>
        <v>BUILDING</v>
      </c>
      <c r="C73" s="64" t="b">
        <f>COUNTIF(Targets!A:A,A73)&gt;0</f>
        <v>1</v>
      </c>
      <c r="D73" s="64" t="b">
        <f>IF(
 OR(
  LEFT(A73,15)="state.character",
  RIGHT(A73,6)=".maxed"
 ),
 TRUE,
 COUNTIF(Checklist!A:A,A73)&gt;0
)</f>
        <v>1</v>
      </c>
      <c r="E73" s="64" t="b">
        <f>IF(
 OR(
  LEFT(A73,15)="state.character",
  RIGHT(A73,6)=".maxed",
  A73="building.guild@1",
  A73="quest.build_the_guild.accepted",
  A73="quest.build_the_pagoda.accepted"
 ),
 TRUE,
 COUNTIF(Dependencies!A:A,A73)&gt;0
)</f>
        <v>1</v>
      </c>
      <c r="F73" s="64" t="b">
        <f>COUNTIF(Dependencies!B:B,A73)&gt;0</f>
        <v>0</v>
      </c>
      <c r="G73" s="64" t="b">
        <f>COUNTIF(QuestObjectives!A:A,A73)&gt;0</f>
        <v>0</v>
      </c>
      <c r="H73" s="64" t="b">
        <f>COUNTIF(QuestObjectives!E:E,A73)&gt;0</f>
        <v>0</v>
      </c>
      <c r="I73" s="64" t="b">
        <f>COUNTIF(TargetStatus!A:A,A73)&gt;0</f>
        <v>1</v>
      </c>
      <c r="J73" s="64" t="b">
        <f>COUNTIF(CostStatus!B:B,A73)&gt;0</f>
        <v>1</v>
      </c>
      <c r="K73" s="64" t="b">
        <f>COUNTIF(States!A:A,A73)&gt;0</f>
        <v>0</v>
      </c>
      <c r="L73" s="64" t="b">
        <f t="shared" si="2"/>
        <v>1</v>
      </c>
      <c r="M73" s="64" t="b">
        <f>IF(A73="","",COUNTIF(Targets!A:A,A73)&gt;1)</f>
        <v>0</v>
      </c>
      <c r="N73" s="64" t="b">
        <f>IF(A73="","",COUNTIF(States!A:A,A73)&gt;1)</f>
        <v>0</v>
      </c>
      <c r="O73" s="64" t="b">
        <f>IFERROR(__xludf.DUMMYFUNCTION("IF(
 B73="""",
 """",
 SWITCH(
  B73,
  ""BUILDING"",COUNTIF(Buildings!A:A,A73)&gt;0,
  ""CITADEL"",COUNTIF(Citadel!A:A,A73)&gt;0,
  ""COLLECTION"",COUNTIF(Collections!A:A,A73)&gt;0,
  ""CRAFTIFACT"",COUNTIF(Craftifacts!A:A,A73)&gt;0,
  ""QUEST"",
   COUNTIF(
    Que"&amp;"sts!A:A,
    REGEXREPLACE(A73,""\.(accepted|finished)$"","""")
   )&gt;0,
  ""TECH"",COUNTIF(Technologies!A:A,A73)&gt;0,
  ""STATE"",COUNTIF(States!A:A,A73)&gt;0,
  FALSE
 )
)"),TRUE)</f>
        <v>1</v>
      </c>
      <c r="P73" s="64" t="str">
        <f t="shared" si="3"/>
        <v>Good</v>
      </c>
      <c r="Q73" s="65"/>
      <c r="R73" s="65"/>
      <c r="S73" s="65"/>
      <c r="T73" s="65"/>
      <c r="U73" s="6"/>
      <c r="V73" s="63" t="str">
        <f>IFERROR(__xludf.DUMMYFUNCTION("""COMPUTED_VALUE"""),"building.onsen@2")</f>
        <v>building.onsen@2</v>
      </c>
      <c r="W73" s="65"/>
      <c r="X73" s="65"/>
      <c r="Y73" s="65"/>
      <c r="Z73" s="65"/>
      <c r="AA73" s="65"/>
      <c r="AB73" s="65"/>
      <c r="AC73" s="65"/>
      <c r="AD73" s="6"/>
      <c r="AE73" s="6"/>
      <c r="AF73" s="6"/>
      <c r="AG73" s="6"/>
      <c r="AH73" s="6"/>
      <c r="AI73" s="6"/>
      <c r="AJ73" s="6"/>
      <c r="AK73" s="6"/>
      <c r="AL73" s="6"/>
      <c r="AM73" s="6"/>
      <c r="AN73" s="6"/>
      <c r="AO73" s="6"/>
      <c r="AP73" s="6"/>
      <c r="AQ73" s="6"/>
      <c r="AR73" s="6"/>
      <c r="AS73" s="6"/>
      <c r="AT73" s="6"/>
      <c r="AU73" s="6"/>
      <c r="AV73" s="6"/>
      <c r="AW73" s="6"/>
      <c r="AX73" s="63"/>
      <c r="AY73" s="63"/>
    </row>
    <row r="74" ht="14.25" customHeight="1">
      <c r="A74" s="26" t="str">
        <f t="shared" si="1"/>
        <v>building.outpost.maxed</v>
      </c>
      <c r="B74" s="26" t="str">
        <f t="array" ref="B74">_xlfn.XLOOKUP(A74,Targets!A:A,Targets!C:C,"")</f>
        <v>BUILDING</v>
      </c>
      <c r="C74" s="64" t="b">
        <f>COUNTIF(Targets!A:A,A74)&gt;0</f>
        <v>1</v>
      </c>
      <c r="D74" s="64" t="b">
        <f>IF(
 OR(
  LEFT(A74,15)="state.character",
  RIGHT(A74,6)=".maxed"
 ),
 TRUE,
 COUNTIF(Checklist!A:A,A74)&gt;0
)</f>
        <v>1</v>
      </c>
      <c r="E74" s="64" t="b">
        <f>IF(
 OR(
  LEFT(A74,15)="state.character",
  RIGHT(A74,6)=".maxed",
  A74="building.guild@1",
  A74="quest.build_the_guild.accepted",
  A74="quest.build_the_pagoda.accepted"
 ),
 TRUE,
 COUNTIF(Dependencies!A:A,A74)&gt;0
)</f>
        <v>1</v>
      </c>
      <c r="F74" s="64" t="b">
        <f>COUNTIF(Dependencies!B:B,A74)&gt;0</f>
        <v>1</v>
      </c>
      <c r="G74" s="64" t="b">
        <f>COUNTIF(QuestObjectives!A:A,A74)&gt;0</f>
        <v>0</v>
      </c>
      <c r="H74" s="64" t="b">
        <f>COUNTIF(QuestObjectives!E:E,A74)&gt;0</f>
        <v>0</v>
      </c>
      <c r="I74" s="64" t="b">
        <f>COUNTIF(TargetStatus!A:A,A74)&gt;0</f>
        <v>1</v>
      </c>
      <c r="J74" s="64" t="b">
        <f>COUNTIF(CostStatus!B:B,A74)&gt;0</f>
        <v>0</v>
      </c>
      <c r="K74" s="64" t="b">
        <f>COUNTIF(States!A:A,A74)&gt;0</f>
        <v>0</v>
      </c>
      <c r="L74" s="64" t="b">
        <f t="shared" si="2"/>
        <v>1</v>
      </c>
      <c r="M74" s="64" t="b">
        <f>IF(A74="","",COUNTIF(Targets!A:A,A74)&gt;1)</f>
        <v>0</v>
      </c>
      <c r="N74" s="64" t="b">
        <f>IF(A74="","",COUNTIF(States!A:A,A74)&gt;1)</f>
        <v>0</v>
      </c>
      <c r="O74" s="64" t="b">
        <f>IFERROR(__xludf.DUMMYFUNCTION("IF(
 B74="""",
 """",
 SWITCH(
  B74,
  ""BUILDING"",COUNTIF(Buildings!A:A,A74)&gt;0,
  ""CITADEL"",COUNTIF(Citadel!A:A,A74)&gt;0,
  ""COLLECTION"",COUNTIF(Collections!A:A,A74)&gt;0,
  ""CRAFTIFACT"",COUNTIF(Craftifacts!A:A,A74)&gt;0,
  ""QUEST"",
   COUNTIF(
    Que"&amp;"sts!A:A,
    REGEXREPLACE(A74,""\.(accepted|finished)$"","""")
   )&gt;0,
  ""TECH"",COUNTIF(Technologies!A:A,A74)&gt;0,
  ""STATE"",COUNTIF(States!A:A,A74)&gt;0,
  FALSE
 )
)"),FALSE)</f>
        <v>0</v>
      </c>
      <c r="P74" s="64" t="str">
        <f t="shared" si="3"/>
        <v>Good</v>
      </c>
      <c r="Q74" s="65"/>
      <c r="R74" s="65"/>
      <c r="S74" s="65"/>
      <c r="T74" s="65"/>
      <c r="U74" s="6"/>
      <c r="V74" s="63" t="str">
        <f>IFERROR(__xludf.DUMMYFUNCTION("""COMPUTED_VALUE"""),"building.outpost.maxed")</f>
        <v>building.outpost.maxed</v>
      </c>
      <c r="W74" s="65"/>
      <c r="X74" s="65"/>
      <c r="Y74" s="65"/>
      <c r="Z74" s="65"/>
      <c r="AA74" s="65"/>
      <c r="AB74" s="65"/>
      <c r="AC74" s="65"/>
      <c r="AD74" s="6"/>
      <c r="AE74" s="6"/>
      <c r="AF74" s="6"/>
      <c r="AG74" s="6"/>
      <c r="AH74" s="6"/>
      <c r="AI74" s="6"/>
      <c r="AJ74" s="6"/>
      <c r="AK74" s="6"/>
      <c r="AL74" s="6"/>
      <c r="AM74" s="6"/>
      <c r="AN74" s="6"/>
      <c r="AO74" s="6"/>
      <c r="AP74" s="6"/>
      <c r="AQ74" s="6"/>
      <c r="AR74" s="6"/>
      <c r="AS74" s="6"/>
      <c r="AT74" s="6"/>
      <c r="AU74" s="6"/>
      <c r="AV74" s="6"/>
      <c r="AW74" s="6"/>
      <c r="AX74" s="63"/>
      <c r="AY74" s="63"/>
    </row>
    <row r="75" ht="14.25" customHeight="1">
      <c r="A75" s="26" t="str">
        <f t="shared" si="1"/>
        <v>building.outpost@1</v>
      </c>
      <c r="B75" s="26" t="str">
        <f t="array" ref="B75">_xlfn.XLOOKUP(A75,Targets!A:A,Targets!C:C,"")</f>
        <v>BUILDING</v>
      </c>
      <c r="C75" s="64" t="b">
        <f>COUNTIF(Targets!A:A,A75)&gt;0</f>
        <v>1</v>
      </c>
      <c r="D75" s="64" t="b">
        <f>IF(
 OR(
  LEFT(A75,15)="state.character",
  RIGHT(A75,6)=".maxed"
 ),
 TRUE,
 COUNTIF(Checklist!A:A,A75)&gt;0
)</f>
        <v>1</v>
      </c>
      <c r="E75" s="64" t="b">
        <f>IF(
 OR(
  LEFT(A75,15)="state.character",
  RIGHT(A75,6)=".maxed",
  A75="building.guild@1",
  A75="quest.build_the_guild.accepted",
  A75="quest.build_the_pagoda.accepted"
 ),
 TRUE,
 COUNTIF(Dependencies!A:A,A75)&gt;0
)</f>
        <v>1</v>
      </c>
      <c r="F75" s="64" t="b">
        <f>COUNTIF(Dependencies!B:B,A75)&gt;0</f>
        <v>1</v>
      </c>
      <c r="G75" s="64" t="b">
        <f>COUNTIF(QuestObjectives!A:A,A75)&gt;0</f>
        <v>0</v>
      </c>
      <c r="H75" s="64" t="b">
        <f>COUNTIF(QuestObjectives!E:E,A75)&gt;0</f>
        <v>0</v>
      </c>
      <c r="I75" s="64" t="b">
        <f>COUNTIF(TargetStatus!A:A,A75)&gt;0</f>
        <v>1</v>
      </c>
      <c r="J75" s="64" t="b">
        <f>COUNTIF(CostStatus!B:B,A75)&gt;0</f>
        <v>1</v>
      </c>
      <c r="K75" s="64" t="b">
        <f>COUNTIF(States!A:A,A75)&gt;0</f>
        <v>0</v>
      </c>
      <c r="L75" s="64" t="b">
        <f t="shared" si="2"/>
        <v>1</v>
      </c>
      <c r="M75" s="64" t="b">
        <f>IF(A75="","",COUNTIF(Targets!A:A,A75)&gt;1)</f>
        <v>0</v>
      </c>
      <c r="N75" s="64" t="b">
        <f>IF(A75="","",COUNTIF(States!A:A,A75)&gt;1)</f>
        <v>0</v>
      </c>
      <c r="O75" s="64" t="b">
        <f>IFERROR(__xludf.DUMMYFUNCTION("IF(
 B75="""",
 """",
 SWITCH(
  B75,
  ""BUILDING"",COUNTIF(Buildings!A:A,A75)&gt;0,
  ""CITADEL"",COUNTIF(Citadel!A:A,A75)&gt;0,
  ""COLLECTION"",COUNTIF(Collections!A:A,A75)&gt;0,
  ""CRAFTIFACT"",COUNTIF(Craftifacts!A:A,A75)&gt;0,
  ""QUEST"",
   COUNTIF(
    Que"&amp;"sts!A:A,
    REGEXREPLACE(A75,""\.(accepted|finished)$"","""")
   )&gt;0,
  ""TECH"",COUNTIF(Technologies!A:A,A75)&gt;0,
  ""STATE"",COUNTIF(States!A:A,A75)&gt;0,
  FALSE
 )
)"),TRUE)</f>
        <v>1</v>
      </c>
      <c r="P75" s="64" t="str">
        <f t="shared" si="3"/>
        <v>Good</v>
      </c>
      <c r="Q75" s="65"/>
      <c r="R75" s="65"/>
      <c r="S75" s="65"/>
      <c r="T75" s="65"/>
      <c r="U75" s="6"/>
      <c r="V75" s="63" t="str">
        <f>IFERROR(__xludf.DUMMYFUNCTION("""COMPUTED_VALUE"""),"building.outpost@1")</f>
        <v>building.outpost@1</v>
      </c>
      <c r="W75" s="65"/>
      <c r="X75" s="65"/>
      <c r="Y75" s="65"/>
      <c r="Z75" s="65"/>
      <c r="AA75" s="65"/>
      <c r="AB75" s="65"/>
      <c r="AC75" s="65"/>
      <c r="AD75" s="6"/>
      <c r="AE75" s="6"/>
      <c r="AF75" s="6"/>
      <c r="AG75" s="6"/>
      <c r="AH75" s="6"/>
      <c r="AI75" s="6"/>
      <c r="AJ75" s="6"/>
      <c r="AK75" s="6"/>
      <c r="AL75" s="6"/>
      <c r="AM75" s="6"/>
      <c r="AN75" s="6"/>
      <c r="AO75" s="6"/>
      <c r="AP75" s="6"/>
      <c r="AQ75" s="6"/>
      <c r="AR75" s="6"/>
      <c r="AS75" s="6"/>
      <c r="AT75" s="6"/>
      <c r="AU75" s="6"/>
      <c r="AV75" s="6"/>
      <c r="AW75" s="6"/>
      <c r="AX75" s="63"/>
      <c r="AY75" s="6"/>
    </row>
    <row r="76" ht="14.25" customHeight="1">
      <c r="A76" s="26" t="str">
        <f t="shared" si="1"/>
        <v>building.outpost@2</v>
      </c>
      <c r="B76" s="26" t="str">
        <f t="array" ref="B76">_xlfn.XLOOKUP(A76,Targets!A:A,Targets!C:C,"")</f>
        <v>BUILDING</v>
      </c>
      <c r="C76" s="64" t="b">
        <f>COUNTIF(Targets!A:A,A76)&gt;0</f>
        <v>1</v>
      </c>
      <c r="D76" s="64" t="b">
        <f>IF(
 OR(
  LEFT(A76,15)="state.character",
  RIGHT(A76,6)=".maxed"
 ),
 TRUE,
 COUNTIF(Checklist!A:A,A76)&gt;0
)</f>
        <v>1</v>
      </c>
      <c r="E76" s="64" t="b">
        <f>IF(
 OR(
  LEFT(A76,15)="state.character",
  RIGHT(A76,6)=".maxed",
  A76="building.guild@1",
  A76="quest.build_the_guild.accepted",
  A76="quest.build_the_pagoda.accepted"
 ),
 TRUE,
 COUNTIF(Dependencies!A:A,A76)&gt;0
)</f>
        <v>1</v>
      </c>
      <c r="F76" s="64" t="b">
        <f>COUNTIF(Dependencies!B:B,A76)&gt;0</f>
        <v>1</v>
      </c>
      <c r="G76" s="64" t="b">
        <f>COUNTIF(QuestObjectives!A:A,A76)&gt;0</f>
        <v>0</v>
      </c>
      <c r="H76" s="64" t="b">
        <f>COUNTIF(QuestObjectives!E:E,A76)&gt;0</f>
        <v>0</v>
      </c>
      <c r="I76" s="64" t="b">
        <f>COUNTIF(TargetStatus!A:A,A76)&gt;0</f>
        <v>1</v>
      </c>
      <c r="J76" s="64" t="b">
        <f>COUNTIF(CostStatus!B:B,A76)&gt;0</f>
        <v>1</v>
      </c>
      <c r="K76" s="64" t="b">
        <f>COUNTIF(States!A:A,A76)&gt;0</f>
        <v>0</v>
      </c>
      <c r="L76" s="64" t="b">
        <f t="shared" si="2"/>
        <v>1</v>
      </c>
      <c r="M76" s="64" t="b">
        <f>IF(A76="","",COUNTIF(Targets!A:A,A76)&gt;1)</f>
        <v>0</v>
      </c>
      <c r="N76" s="64" t="b">
        <f>IF(A76="","",COUNTIF(States!A:A,A76)&gt;1)</f>
        <v>0</v>
      </c>
      <c r="O76" s="64" t="b">
        <f>IFERROR(__xludf.DUMMYFUNCTION("IF(
 B76="""",
 """",
 SWITCH(
  B76,
  ""BUILDING"",COUNTIF(Buildings!A:A,A76)&gt;0,
  ""CITADEL"",COUNTIF(Citadel!A:A,A76)&gt;0,
  ""COLLECTION"",COUNTIF(Collections!A:A,A76)&gt;0,
  ""CRAFTIFACT"",COUNTIF(Craftifacts!A:A,A76)&gt;0,
  ""QUEST"",
   COUNTIF(
    Que"&amp;"sts!A:A,
    REGEXREPLACE(A76,""\.(accepted|finished)$"","""")
   )&gt;0,
  ""TECH"",COUNTIF(Technologies!A:A,A76)&gt;0,
  ""STATE"",COUNTIF(States!A:A,A76)&gt;0,
  FALSE
 )
)"),TRUE)</f>
        <v>1</v>
      </c>
      <c r="P76" s="64" t="str">
        <f t="shared" si="3"/>
        <v>Good</v>
      </c>
      <c r="Q76" s="65"/>
      <c r="R76" s="65"/>
      <c r="S76" s="65"/>
      <c r="T76" s="65"/>
      <c r="U76" s="6"/>
      <c r="V76" s="63" t="str">
        <f>IFERROR(__xludf.DUMMYFUNCTION("""COMPUTED_VALUE"""),"building.outpost@2")</f>
        <v>building.outpost@2</v>
      </c>
      <c r="W76" s="65"/>
      <c r="X76" s="65"/>
      <c r="Y76" s="65"/>
      <c r="Z76" s="65"/>
      <c r="AA76" s="65"/>
      <c r="AB76" s="65"/>
      <c r="AC76" s="65"/>
      <c r="AD76" s="6"/>
      <c r="AE76" s="6"/>
      <c r="AF76" s="6"/>
      <c r="AG76" s="6"/>
      <c r="AH76" s="6"/>
      <c r="AI76" s="6"/>
      <c r="AJ76" s="6"/>
      <c r="AK76" s="6"/>
      <c r="AL76" s="6"/>
      <c r="AM76" s="6"/>
      <c r="AN76" s="6"/>
      <c r="AO76" s="6"/>
      <c r="AP76" s="6"/>
      <c r="AQ76" s="6"/>
      <c r="AR76" s="6"/>
      <c r="AS76" s="6"/>
      <c r="AT76" s="6"/>
      <c r="AU76" s="6"/>
      <c r="AV76" s="6"/>
      <c r="AW76" s="6"/>
      <c r="AX76" s="6"/>
      <c r="AY76" s="6"/>
    </row>
    <row r="77" ht="14.25" customHeight="1">
      <c r="A77" s="26" t="str">
        <f t="shared" si="1"/>
        <v>building.outpost@3</v>
      </c>
      <c r="B77" s="26" t="str">
        <f t="array" ref="B77">_xlfn.XLOOKUP(A77,Targets!A:A,Targets!C:C,"")</f>
        <v>BUILDING</v>
      </c>
      <c r="C77" s="64" t="b">
        <f>COUNTIF(Targets!A:A,A77)&gt;0</f>
        <v>1</v>
      </c>
      <c r="D77" s="64" t="b">
        <f>IF(
 OR(
  LEFT(A77,15)="state.character",
  RIGHT(A77,6)=".maxed"
 ),
 TRUE,
 COUNTIF(Checklist!A:A,A77)&gt;0
)</f>
        <v>1</v>
      </c>
      <c r="E77" s="64" t="b">
        <f>IF(
 OR(
  LEFT(A77,15)="state.character",
  RIGHT(A77,6)=".maxed",
  A77="building.guild@1",
  A77="quest.build_the_guild.accepted",
  A77="quest.build_the_pagoda.accepted"
 ),
 TRUE,
 COUNTIF(Dependencies!A:A,A77)&gt;0
)</f>
        <v>1</v>
      </c>
      <c r="F77" s="64" t="b">
        <f>COUNTIF(Dependencies!B:B,A77)&gt;0</f>
        <v>1</v>
      </c>
      <c r="G77" s="64" t="b">
        <f>COUNTIF(QuestObjectives!A:A,A77)&gt;0</f>
        <v>0</v>
      </c>
      <c r="H77" s="64" t="b">
        <f>COUNTIF(QuestObjectives!E:E,A77)&gt;0</f>
        <v>1</v>
      </c>
      <c r="I77" s="64" t="b">
        <f>COUNTIF(TargetStatus!A:A,A77)&gt;0</f>
        <v>1</v>
      </c>
      <c r="J77" s="64" t="b">
        <f>COUNTIF(CostStatus!B:B,A77)&gt;0</f>
        <v>1</v>
      </c>
      <c r="K77" s="64" t="b">
        <f>COUNTIF(States!A:A,A77)&gt;0</f>
        <v>0</v>
      </c>
      <c r="L77" s="64" t="b">
        <f t="shared" si="2"/>
        <v>1</v>
      </c>
      <c r="M77" s="64" t="b">
        <f>IF(A77="","",COUNTIF(Targets!A:A,A77)&gt;1)</f>
        <v>0</v>
      </c>
      <c r="N77" s="64" t="b">
        <f>IF(A77="","",COUNTIF(States!A:A,A77)&gt;1)</f>
        <v>0</v>
      </c>
      <c r="O77" s="64" t="b">
        <f>IFERROR(__xludf.DUMMYFUNCTION("IF(
 B77="""",
 """",
 SWITCH(
  B77,
  ""BUILDING"",COUNTIF(Buildings!A:A,A77)&gt;0,
  ""CITADEL"",COUNTIF(Citadel!A:A,A77)&gt;0,
  ""COLLECTION"",COUNTIF(Collections!A:A,A77)&gt;0,
  ""CRAFTIFACT"",COUNTIF(Craftifacts!A:A,A77)&gt;0,
  ""QUEST"",
   COUNTIF(
    Que"&amp;"sts!A:A,
    REGEXREPLACE(A77,""\.(accepted|finished)$"","""")
   )&gt;0,
  ""TECH"",COUNTIF(Technologies!A:A,A77)&gt;0,
  ""STATE"",COUNTIF(States!A:A,A77)&gt;0,
  FALSE
 )
)"),TRUE)</f>
        <v>1</v>
      </c>
      <c r="P77" s="64" t="str">
        <f t="shared" si="3"/>
        <v>Good</v>
      </c>
      <c r="Q77" s="65"/>
      <c r="R77" s="65"/>
      <c r="S77" s="65"/>
      <c r="T77" s="65"/>
      <c r="U77" s="6"/>
      <c r="V77" s="63" t="str">
        <f>IFERROR(__xludf.DUMMYFUNCTION("""COMPUTED_VALUE"""),"building.outpost@3")</f>
        <v>building.outpost@3</v>
      </c>
      <c r="W77" s="65"/>
      <c r="X77" s="65"/>
      <c r="Y77" s="65"/>
      <c r="Z77" s="65"/>
      <c r="AA77" s="65"/>
      <c r="AB77" s="65"/>
      <c r="AC77" s="65"/>
      <c r="AD77" s="6"/>
      <c r="AE77" s="6"/>
      <c r="AF77" s="6"/>
      <c r="AG77" s="6"/>
      <c r="AH77" s="6"/>
      <c r="AI77" s="6"/>
      <c r="AJ77" s="6"/>
      <c r="AK77" s="6"/>
      <c r="AL77" s="6"/>
      <c r="AM77" s="6"/>
      <c r="AN77" s="6"/>
      <c r="AO77" s="6"/>
      <c r="AP77" s="6"/>
      <c r="AQ77" s="6"/>
      <c r="AR77" s="6"/>
      <c r="AS77" s="6"/>
      <c r="AT77" s="6"/>
      <c r="AU77" s="6"/>
      <c r="AV77" s="6"/>
      <c r="AW77" s="6"/>
      <c r="AX77" s="6"/>
      <c r="AY77" s="6"/>
    </row>
    <row r="78" ht="14.25" customHeight="1">
      <c r="A78" s="26" t="str">
        <f t="shared" si="1"/>
        <v>building.pagoda@1</v>
      </c>
      <c r="B78" s="26" t="str">
        <f t="array" ref="B78">_xlfn.XLOOKUP(A78,Targets!A:A,Targets!C:C,"")</f>
        <v>BUILDING</v>
      </c>
      <c r="C78" s="64" t="b">
        <f>COUNTIF(Targets!A:A,A78)&gt;0</f>
        <v>1</v>
      </c>
      <c r="D78" s="64" t="b">
        <f>IF(
 OR(
  LEFT(A78,15)="state.character",
  RIGHT(A78,6)=".maxed"
 ),
 TRUE,
 COUNTIF(Checklist!A:A,A78)&gt;0
)</f>
        <v>1</v>
      </c>
      <c r="E78" s="64" t="b">
        <f>IF(
 OR(
  LEFT(A78,15)="state.character",
  RIGHT(A78,6)=".maxed",
  A78="building.guild@1",
  A78="quest.build_the_guild.accepted",
  A78="quest.build_the_pagoda.accepted"
 ),
 TRUE,
 COUNTIF(Dependencies!A:A,A78)&gt;0
)</f>
        <v>1</v>
      </c>
      <c r="F78" s="64" t="b">
        <f>COUNTIF(Dependencies!B:B,A78)&gt;0</f>
        <v>1</v>
      </c>
      <c r="G78" s="64" t="b">
        <f>COUNTIF(QuestObjectives!A:A,A78)&gt;0</f>
        <v>0</v>
      </c>
      <c r="H78" s="64" t="b">
        <f>COUNTIF(QuestObjectives!E:E,A78)&gt;0</f>
        <v>0</v>
      </c>
      <c r="I78" s="64" t="b">
        <f>COUNTIF(TargetStatus!A:A,A78)&gt;0</f>
        <v>1</v>
      </c>
      <c r="J78" s="64" t="b">
        <f>COUNTIF(CostStatus!B:B,A78)&gt;0</f>
        <v>1</v>
      </c>
      <c r="K78" s="64" t="b">
        <f>COUNTIF(States!A:A,A78)&gt;0</f>
        <v>0</v>
      </c>
      <c r="L78" s="64" t="b">
        <f t="shared" si="2"/>
        <v>1</v>
      </c>
      <c r="M78" s="64" t="b">
        <f>IF(A78="","",COUNTIF(Targets!A:A,A78)&gt;1)</f>
        <v>0</v>
      </c>
      <c r="N78" s="64" t="b">
        <f>IF(A78="","",COUNTIF(States!A:A,A78)&gt;1)</f>
        <v>0</v>
      </c>
      <c r="O78" s="64" t="b">
        <f>IFERROR(__xludf.DUMMYFUNCTION("IF(
 B78="""",
 """",
 SWITCH(
  B78,
  ""BUILDING"",COUNTIF(Buildings!A:A,A78)&gt;0,
  ""CITADEL"",COUNTIF(Citadel!A:A,A78)&gt;0,
  ""COLLECTION"",COUNTIF(Collections!A:A,A78)&gt;0,
  ""CRAFTIFACT"",COUNTIF(Craftifacts!A:A,A78)&gt;0,
  ""QUEST"",
   COUNTIF(
    Que"&amp;"sts!A:A,
    REGEXREPLACE(A78,""\.(accepted|finished)$"","""")
   )&gt;0,
  ""TECH"",COUNTIF(Technologies!A:A,A78)&gt;0,
  ""STATE"",COUNTIF(States!A:A,A78)&gt;0,
  FALSE
 )
)"),TRUE)</f>
        <v>1</v>
      </c>
      <c r="P78" s="64" t="str">
        <f t="shared" si="3"/>
        <v>Good</v>
      </c>
      <c r="Q78" s="65"/>
      <c r="R78" s="65"/>
      <c r="S78" s="65"/>
      <c r="T78" s="65"/>
      <c r="U78" s="6"/>
      <c r="V78" s="63" t="str">
        <f>IFERROR(__xludf.DUMMYFUNCTION("""COMPUTED_VALUE"""),"building.pagoda@1")</f>
        <v>building.pagoda@1</v>
      </c>
      <c r="W78" s="65"/>
      <c r="X78" s="65"/>
      <c r="Y78" s="65"/>
      <c r="Z78" s="65"/>
      <c r="AA78" s="65"/>
      <c r="AB78" s="65"/>
      <c r="AC78" s="65"/>
      <c r="AD78" s="6"/>
      <c r="AE78" s="6"/>
      <c r="AF78" s="6"/>
      <c r="AG78" s="6"/>
      <c r="AH78" s="6"/>
      <c r="AI78" s="6"/>
      <c r="AJ78" s="6"/>
      <c r="AK78" s="6"/>
      <c r="AL78" s="6"/>
      <c r="AM78" s="6"/>
      <c r="AN78" s="6"/>
      <c r="AO78" s="6"/>
      <c r="AP78" s="6"/>
      <c r="AQ78" s="6"/>
      <c r="AR78" s="6"/>
      <c r="AS78" s="6"/>
      <c r="AT78" s="6"/>
      <c r="AU78" s="6"/>
      <c r="AV78" s="6"/>
      <c r="AW78" s="6"/>
      <c r="AX78" s="6"/>
      <c r="AY78" s="6"/>
    </row>
    <row r="79" ht="14.25" customHeight="1">
      <c r="A79" s="26" t="str">
        <f t="shared" si="1"/>
        <v>building.pagoda@2</v>
      </c>
      <c r="B79" s="26" t="str">
        <f t="array" ref="B79">_xlfn.XLOOKUP(A79,Targets!A:A,Targets!C:C,"")</f>
        <v>BUILDING</v>
      </c>
      <c r="C79" s="64" t="b">
        <f>COUNTIF(Targets!A:A,A79)&gt;0</f>
        <v>1</v>
      </c>
      <c r="D79" s="64" t="b">
        <f>IF(
 OR(
  LEFT(A79,15)="state.character",
  RIGHT(A79,6)=".maxed"
 ),
 TRUE,
 COUNTIF(Checklist!A:A,A79)&gt;0
)</f>
        <v>1</v>
      </c>
      <c r="E79" s="64" t="b">
        <f>IF(
 OR(
  LEFT(A79,15)="state.character",
  RIGHT(A79,6)=".maxed",
  A79="building.guild@1",
  A79="quest.build_the_guild.accepted",
  A79="quest.build_the_pagoda.accepted"
 ),
 TRUE,
 COUNTIF(Dependencies!A:A,A79)&gt;0
)</f>
        <v>1</v>
      </c>
      <c r="F79" s="64" t="b">
        <f>COUNTIF(Dependencies!B:B,A79)&gt;0</f>
        <v>1</v>
      </c>
      <c r="G79" s="64" t="b">
        <f>COUNTIF(QuestObjectives!A:A,A79)&gt;0</f>
        <v>0</v>
      </c>
      <c r="H79" s="64" t="b">
        <f>COUNTIF(QuestObjectives!E:E,A79)&gt;0</f>
        <v>0</v>
      </c>
      <c r="I79" s="64" t="b">
        <f>COUNTIF(TargetStatus!A:A,A79)&gt;0</f>
        <v>1</v>
      </c>
      <c r="J79" s="64" t="b">
        <f>COUNTIF(CostStatus!B:B,A79)&gt;0</f>
        <v>1</v>
      </c>
      <c r="K79" s="64" t="b">
        <f>COUNTIF(States!A:A,A79)&gt;0</f>
        <v>0</v>
      </c>
      <c r="L79" s="64" t="b">
        <f t="shared" si="2"/>
        <v>1</v>
      </c>
      <c r="M79" s="64" t="b">
        <f>IF(A79="","",COUNTIF(Targets!A:A,A79)&gt;1)</f>
        <v>0</v>
      </c>
      <c r="N79" s="64" t="b">
        <f>IF(A79="","",COUNTIF(States!A:A,A79)&gt;1)</f>
        <v>0</v>
      </c>
      <c r="O79" s="64" t="b">
        <f>IFERROR(__xludf.DUMMYFUNCTION("IF(
 B79="""",
 """",
 SWITCH(
  B79,
  ""BUILDING"",COUNTIF(Buildings!A:A,A79)&gt;0,
  ""CITADEL"",COUNTIF(Citadel!A:A,A79)&gt;0,
  ""COLLECTION"",COUNTIF(Collections!A:A,A79)&gt;0,
  ""CRAFTIFACT"",COUNTIF(Craftifacts!A:A,A79)&gt;0,
  ""QUEST"",
   COUNTIF(
    Que"&amp;"sts!A:A,
    REGEXREPLACE(A79,""\.(accepted|finished)$"","""")
   )&gt;0,
  ""TECH"",COUNTIF(Technologies!A:A,A79)&gt;0,
  ""STATE"",COUNTIF(States!A:A,A79)&gt;0,
  FALSE
 )
)"),TRUE)</f>
        <v>1</v>
      </c>
      <c r="P79" s="64" t="str">
        <f t="shared" si="3"/>
        <v>Good</v>
      </c>
      <c r="Q79" s="65"/>
      <c r="R79" s="65"/>
      <c r="S79" s="65"/>
      <c r="T79" s="65"/>
      <c r="U79" s="6"/>
      <c r="V79" s="63" t="str">
        <f>IFERROR(__xludf.DUMMYFUNCTION("""COMPUTED_VALUE"""),"building.pagoda@2")</f>
        <v>building.pagoda@2</v>
      </c>
      <c r="W79" s="65"/>
      <c r="X79" s="65"/>
      <c r="Y79" s="65"/>
      <c r="Z79" s="65"/>
      <c r="AA79" s="65"/>
      <c r="AB79" s="65"/>
      <c r="AC79" s="65"/>
      <c r="AD79" s="6"/>
      <c r="AE79" s="6"/>
      <c r="AF79" s="6"/>
      <c r="AG79" s="6"/>
      <c r="AH79" s="6"/>
      <c r="AI79" s="6"/>
      <c r="AJ79" s="6"/>
      <c r="AK79" s="6"/>
      <c r="AL79" s="6"/>
      <c r="AM79" s="6"/>
      <c r="AN79" s="6"/>
      <c r="AO79" s="6"/>
      <c r="AP79" s="6"/>
      <c r="AQ79" s="6"/>
      <c r="AR79" s="6"/>
      <c r="AS79" s="6"/>
      <c r="AT79" s="6"/>
      <c r="AU79" s="6"/>
      <c r="AV79" s="6"/>
      <c r="AW79" s="6"/>
      <c r="AX79" s="6"/>
      <c r="AY79" s="6"/>
    </row>
    <row r="80" ht="14.25" customHeight="1">
      <c r="A80" s="26" t="str">
        <f t="shared" si="1"/>
        <v>building.pagoda@3</v>
      </c>
      <c r="B80" s="26" t="str">
        <f t="array" ref="B80">_xlfn.XLOOKUP(A80,Targets!A:A,Targets!C:C,"")</f>
        <v>BUILDING</v>
      </c>
      <c r="C80" s="64" t="b">
        <f>COUNTIF(Targets!A:A,A80)&gt;0</f>
        <v>1</v>
      </c>
      <c r="D80" s="64" t="b">
        <f>IF(
 OR(
  LEFT(A80,15)="state.character",
  RIGHT(A80,6)=".maxed"
 ),
 TRUE,
 COUNTIF(Checklist!A:A,A80)&gt;0
)</f>
        <v>1</v>
      </c>
      <c r="E80" s="64" t="b">
        <f>IF(
 OR(
  LEFT(A80,15)="state.character",
  RIGHT(A80,6)=".maxed",
  A80="building.guild@1",
  A80="quest.build_the_guild.accepted",
  A80="quest.build_the_pagoda.accepted"
 ),
 TRUE,
 COUNTIF(Dependencies!A:A,A80)&gt;0
)</f>
        <v>1</v>
      </c>
      <c r="F80" s="64" t="b">
        <f>COUNTIF(Dependencies!B:B,A80)&gt;0</f>
        <v>1</v>
      </c>
      <c r="G80" s="64" t="b">
        <f>COUNTIF(QuestObjectives!A:A,A80)&gt;0</f>
        <v>0</v>
      </c>
      <c r="H80" s="64" t="b">
        <f>COUNTIF(QuestObjectives!E:E,A80)&gt;0</f>
        <v>0</v>
      </c>
      <c r="I80" s="64" t="b">
        <f>COUNTIF(TargetStatus!A:A,A80)&gt;0</f>
        <v>1</v>
      </c>
      <c r="J80" s="64" t="b">
        <f>COUNTIF(CostStatus!B:B,A80)&gt;0</f>
        <v>1</v>
      </c>
      <c r="K80" s="64" t="b">
        <f>COUNTIF(States!A:A,A80)&gt;0</f>
        <v>0</v>
      </c>
      <c r="L80" s="64" t="b">
        <f t="shared" si="2"/>
        <v>1</v>
      </c>
      <c r="M80" s="64" t="b">
        <f>IF(A80="","",COUNTIF(Targets!A:A,A80)&gt;1)</f>
        <v>0</v>
      </c>
      <c r="N80" s="64" t="b">
        <f>IF(A80="","",COUNTIF(States!A:A,A80)&gt;1)</f>
        <v>0</v>
      </c>
      <c r="O80" s="64" t="b">
        <f>IFERROR(__xludf.DUMMYFUNCTION("IF(
 B80="""",
 """",
 SWITCH(
  B80,
  ""BUILDING"",COUNTIF(Buildings!A:A,A80)&gt;0,
  ""CITADEL"",COUNTIF(Citadel!A:A,A80)&gt;0,
  ""COLLECTION"",COUNTIF(Collections!A:A,A80)&gt;0,
  ""CRAFTIFACT"",COUNTIF(Craftifacts!A:A,A80)&gt;0,
  ""QUEST"",
   COUNTIF(
    Que"&amp;"sts!A:A,
    REGEXREPLACE(A80,""\.(accepted|finished)$"","""")
   )&gt;0,
  ""TECH"",COUNTIF(Technologies!A:A,A80)&gt;0,
  ""STATE"",COUNTIF(States!A:A,A80)&gt;0,
  FALSE
 )
)"),TRUE)</f>
        <v>1</v>
      </c>
      <c r="P80" s="64" t="str">
        <f t="shared" si="3"/>
        <v>Good</v>
      </c>
      <c r="Q80" s="65"/>
      <c r="R80" s="65"/>
      <c r="S80" s="65"/>
      <c r="T80" s="65"/>
      <c r="U80" s="6"/>
      <c r="V80" s="63" t="str">
        <f>IFERROR(__xludf.DUMMYFUNCTION("""COMPUTED_VALUE"""),"building.pagoda@3")</f>
        <v>building.pagoda@3</v>
      </c>
      <c r="W80" s="65"/>
      <c r="X80" s="65"/>
      <c r="Y80" s="65"/>
      <c r="Z80" s="65"/>
      <c r="AA80" s="65"/>
      <c r="AB80" s="65"/>
      <c r="AC80" s="65"/>
      <c r="AD80" s="6"/>
      <c r="AE80" s="6"/>
      <c r="AF80" s="6"/>
      <c r="AG80" s="6"/>
      <c r="AH80" s="6"/>
      <c r="AI80" s="6"/>
      <c r="AJ80" s="6"/>
      <c r="AK80" s="6"/>
      <c r="AL80" s="6"/>
      <c r="AM80" s="6"/>
      <c r="AN80" s="6"/>
      <c r="AO80" s="6"/>
      <c r="AP80" s="6"/>
      <c r="AQ80" s="6"/>
      <c r="AR80" s="6"/>
      <c r="AS80" s="6"/>
      <c r="AT80" s="6"/>
      <c r="AU80" s="6"/>
      <c r="AV80" s="6"/>
      <c r="AW80" s="6"/>
      <c r="AX80" s="6"/>
      <c r="AY80" s="6"/>
    </row>
    <row r="81" ht="14.25" customHeight="1">
      <c r="A81" s="26" t="str">
        <f t="shared" si="1"/>
        <v>building.pagoda@4</v>
      </c>
      <c r="B81" s="26" t="str">
        <f t="array" ref="B81">_xlfn.XLOOKUP(A81,Targets!A:A,Targets!C:C,"")</f>
        <v>BUILDING</v>
      </c>
      <c r="C81" s="64" t="b">
        <f>COUNTIF(Targets!A:A,A81)&gt;0</f>
        <v>1</v>
      </c>
      <c r="D81" s="64" t="b">
        <f>IF(
 OR(
  LEFT(A81,15)="state.character",
  RIGHT(A81,6)=".maxed"
 ),
 TRUE,
 COUNTIF(Checklist!A:A,A81)&gt;0
)</f>
        <v>1</v>
      </c>
      <c r="E81" s="64" t="b">
        <f>IF(
 OR(
  LEFT(A81,15)="state.character",
  RIGHT(A81,6)=".maxed",
  A81="building.guild@1",
  A81="quest.build_the_guild.accepted",
  A81="quest.build_the_pagoda.accepted"
 ),
 TRUE,
 COUNTIF(Dependencies!A:A,A81)&gt;0
)</f>
        <v>1</v>
      </c>
      <c r="F81" s="64" t="b">
        <f>COUNTIF(Dependencies!B:B,A81)&gt;0</f>
        <v>1</v>
      </c>
      <c r="G81" s="64" t="b">
        <f>COUNTIF(QuestObjectives!A:A,A81)&gt;0</f>
        <v>0</v>
      </c>
      <c r="H81" s="64" t="b">
        <f>COUNTIF(QuestObjectives!E:E,A81)&gt;0</f>
        <v>0</v>
      </c>
      <c r="I81" s="64" t="b">
        <f>COUNTIF(TargetStatus!A:A,A81)&gt;0</f>
        <v>1</v>
      </c>
      <c r="J81" s="64" t="b">
        <f>COUNTIF(CostStatus!B:B,A81)&gt;0</f>
        <v>1</v>
      </c>
      <c r="K81" s="64" t="b">
        <f>COUNTIF(States!A:A,A81)&gt;0</f>
        <v>0</v>
      </c>
      <c r="L81" s="64" t="b">
        <f t="shared" si="2"/>
        <v>1</v>
      </c>
      <c r="M81" s="64" t="b">
        <f>IF(A81="","",COUNTIF(Targets!A:A,A81)&gt;1)</f>
        <v>0</v>
      </c>
      <c r="N81" s="64" t="b">
        <f>IF(A81="","",COUNTIF(States!A:A,A81)&gt;1)</f>
        <v>0</v>
      </c>
      <c r="O81" s="64" t="b">
        <f>IFERROR(__xludf.DUMMYFUNCTION("IF(
 B81="""",
 """",
 SWITCH(
  B81,
  ""BUILDING"",COUNTIF(Buildings!A:A,A81)&gt;0,
  ""CITADEL"",COUNTIF(Citadel!A:A,A81)&gt;0,
  ""COLLECTION"",COUNTIF(Collections!A:A,A81)&gt;0,
  ""CRAFTIFACT"",COUNTIF(Craftifacts!A:A,A81)&gt;0,
  ""QUEST"",
   COUNTIF(
    Que"&amp;"sts!A:A,
    REGEXREPLACE(A81,""\.(accepted|finished)$"","""")
   )&gt;0,
  ""TECH"",COUNTIF(Technologies!A:A,A81)&gt;0,
  ""STATE"",COUNTIF(States!A:A,A81)&gt;0,
  FALSE
 )
)"),TRUE)</f>
        <v>1</v>
      </c>
      <c r="P81" s="64" t="str">
        <f t="shared" si="3"/>
        <v>Good</v>
      </c>
      <c r="Q81" s="65"/>
      <c r="R81" s="65"/>
      <c r="S81" s="65"/>
      <c r="T81" s="65"/>
      <c r="U81" s="6"/>
      <c r="V81" s="63" t="str">
        <f>IFERROR(__xludf.DUMMYFUNCTION("""COMPUTED_VALUE"""),"building.pagoda@4")</f>
        <v>building.pagoda@4</v>
      </c>
      <c r="W81" s="65"/>
      <c r="X81" s="65"/>
      <c r="Y81" s="65"/>
      <c r="Z81" s="65"/>
      <c r="AA81" s="65"/>
      <c r="AB81" s="65"/>
      <c r="AC81" s="65"/>
      <c r="AD81" s="6"/>
      <c r="AE81" s="6"/>
      <c r="AF81" s="6"/>
      <c r="AG81" s="6"/>
      <c r="AH81" s="6"/>
      <c r="AI81" s="6"/>
      <c r="AJ81" s="6"/>
      <c r="AK81" s="6"/>
      <c r="AL81" s="6"/>
      <c r="AM81" s="6"/>
      <c r="AN81" s="6"/>
      <c r="AO81" s="6"/>
      <c r="AP81" s="6"/>
      <c r="AQ81" s="6"/>
      <c r="AR81" s="6"/>
      <c r="AS81" s="6"/>
      <c r="AT81" s="6"/>
      <c r="AU81" s="6"/>
      <c r="AV81" s="6"/>
      <c r="AW81" s="6"/>
      <c r="AX81" s="6"/>
      <c r="AY81" s="6"/>
    </row>
    <row r="82" ht="14.25" customHeight="1">
      <c r="A82" s="26" t="str">
        <f t="shared" si="1"/>
        <v>building.pagoda@5</v>
      </c>
      <c r="B82" s="26" t="str">
        <f t="array" ref="B82">_xlfn.XLOOKUP(A82,Targets!A:A,Targets!C:C,"")</f>
        <v>BUILDING</v>
      </c>
      <c r="C82" s="64" t="b">
        <f>COUNTIF(Targets!A:A,A82)&gt;0</f>
        <v>1</v>
      </c>
      <c r="D82" s="64" t="b">
        <f>IF(
 OR(
  LEFT(A82,15)="state.character",
  RIGHT(A82,6)=".maxed"
 ),
 TRUE,
 COUNTIF(Checklist!A:A,A82)&gt;0
)</f>
        <v>1</v>
      </c>
      <c r="E82" s="64" t="b">
        <f>IF(
 OR(
  LEFT(A82,15)="state.character",
  RIGHT(A82,6)=".maxed",
  A82="building.guild@1",
  A82="quest.build_the_guild.accepted",
  A82="quest.build_the_pagoda.accepted"
 ),
 TRUE,
 COUNTIF(Dependencies!A:A,A82)&gt;0
)</f>
        <v>1</v>
      </c>
      <c r="F82" s="64" t="b">
        <f>COUNTIF(Dependencies!B:B,A82)&gt;0</f>
        <v>1</v>
      </c>
      <c r="G82" s="64" t="b">
        <f>COUNTIF(QuestObjectives!A:A,A82)&gt;0</f>
        <v>0</v>
      </c>
      <c r="H82" s="64" t="b">
        <f>COUNTIF(QuestObjectives!E:E,A82)&gt;0</f>
        <v>0</v>
      </c>
      <c r="I82" s="64" t="b">
        <f>COUNTIF(TargetStatus!A:A,A82)&gt;0</f>
        <v>1</v>
      </c>
      <c r="J82" s="64" t="b">
        <f>COUNTIF(CostStatus!B:B,A82)&gt;0</f>
        <v>1</v>
      </c>
      <c r="K82" s="64" t="b">
        <f>COUNTIF(States!A:A,A82)&gt;0</f>
        <v>0</v>
      </c>
      <c r="L82" s="64" t="b">
        <f t="shared" si="2"/>
        <v>1</v>
      </c>
      <c r="M82" s="64" t="b">
        <f>IF(A82="","",COUNTIF(Targets!A:A,A82)&gt;1)</f>
        <v>0</v>
      </c>
      <c r="N82" s="64" t="b">
        <f>IF(A82="","",COUNTIF(States!A:A,A82)&gt;1)</f>
        <v>0</v>
      </c>
      <c r="O82" s="64" t="b">
        <f>IFERROR(__xludf.DUMMYFUNCTION("IF(
 B82="""",
 """",
 SWITCH(
  B82,
  ""BUILDING"",COUNTIF(Buildings!A:A,A82)&gt;0,
  ""CITADEL"",COUNTIF(Citadel!A:A,A82)&gt;0,
  ""COLLECTION"",COUNTIF(Collections!A:A,A82)&gt;0,
  ""CRAFTIFACT"",COUNTIF(Craftifacts!A:A,A82)&gt;0,
  ""QUEST"",
   COUNTIF(
    Que"&amp;"sts!A:A,
    REGEXREPLACE(A82,""\.(accepted|finished)$"","""")
   )&gt;0,
  ""TECH"",COUNTIF(Technologies!A:A,A82)&gt;0,
  ""STATE"",COUNTIF(States!A:A,A82)&gt;0,
  FALSE
 )
)"),TRUE)</f>
        <v>1</v>
      </c>
      <c r="P82" s="64" t="str">
        <f t="shared" si="3"/>
        <v>Good</v>
      </c>
      <c r="Q82" s="65"/>
      <c r="R82" s="65"/>
      <c r="S82" s="65"/>
      <c r="T82" s="65"/>
      <c r="U82" s="6"/>
      <c r="V82" s="63" t="str">
        <f>IFERROR(__xludf.DUMMYFUNCTION("""COMPUTED_VALUE"""),"building.pagoda@5")</f>
        <v>building.pagoda@5</v>
      </c>
      <c r="W82" s="65"/>
      <c r="X82" s="65"/>
      <c r="Y82" s="65"/>
      <c r="Z82" s="65"/>
      <c r="AA82" s="65"/>
      <c r="AB82" s="65"/>
      <c r="AC82" s="65"/>
      <c r="AD82" s="6"/>
      <c r="AE82" s="6"/>
      <c r="AF82" s="6"/>
      <c r="AG82" s="6"/>
      <c r="AH82" s="6"/>
      <c r="AI82" s="6"/>
      <c r="AJ82" s="6"/>
      <c r="AK82" s="6"/>
      <c r="AL82" s="6"/>
      <c r="AM82" s="6"/>
      <c r="AN82" s="6"/>
      <c r="AO82" s="6"/>
      <c r="AP82" s="6"/>
      <c r="AQ82" s="6"/>
      <c r="AR82" s="6"/>
      <c r="AS82" s="6"/>
      <c r="AT82" s="6"/>
      <c r="AU82" s="6"/>
      <c r="AV82" s="6"/>
      <c r="AW82" s="6"/>
      <c r="AX82" s="6"/>
      <c r="AY82" s="6"/>
    </row>
    <row r="83" ht="14.25" customHeight="1">
      <c r="A83" s="26" t="str">
        <f t="shared" si="1"/>
        <v>building.pagoda@6</v>
      </c>
      <c r="B83" s="26" t="str">
        <f t="array" ref="B83">_xlfn.XLOOKUP(A83,Targets!A:A,Targets!C:C,"")</f>
        <v>BUILDING</v>
      </c>
      <c r="C83" s="64" t="b">
        <f>COUNTIF(Targets!A:A,A83)&gt;0</f>
        <v>1</v>
      </c>
      <c r="D83" s="64" t="b">
        <f>IF(
 OR(
  LEFT(A83,15)="state.character",
  RIGHT(A83,6)=".maxed"
 ),
 TRUE,
 COUNTIF(Checklist!A:A,A83)&gt;0
)</f>
        <v>1</v>
      </c>
      <c r="E83" s="64" t="b">
        <f>IF(
 OR(
  LEFT(A83,15)="state.character",
  RIGHT(A83,6)=".maxed",
  A83="building.guild@1",
  A83="quest.build_the_guild.accepted",
  A83="quest.build_the_pagoda.accepted"
 ),
 TRUE,
 COUNTIF(Dependencies!A:A,A83)&gt;0
)</f>
        <v>1</v>
      </c>
      <c r="F83" s="64" t="b">
        <f>COUNTIF(Dependencies!B:B,A83)&gt;0</f>
        <v>1</v>
      </c>
      <c r="G83" s="64" t="b">
        <f>COUNTIF(QuestObjectives!A:A,A83)&gt;0</f>
        <v>0</v>
      </c>
      <c r="H83" s="64" t="b">
        <f>COUNTIF(QuestObjectives!E:E,A83)&gt;0</f>
        <v>0</v>
      </c>
      <c r="I83" s="64" t="b">
        <f>COUNTIF(TargetStatus!A:A,A83)&gt;0</f>
        <v>1</v>
      </c>
      <c r="J83" s="64" t="b">
        <f>COUNTIF(CostStatus!B:B,A83)&gt;0</f>
        <v>1</v>
      </c>
      <c r="K83" s="64" t="b">
        <f>COUNTIF(States!A:A,A83)&gt;0</f>
        <v>0</v>
      </c>
      <c r="L83" s="64" t="b">
        <f t="shared" si="2"/>
        <v>1</v>
      </c>
      <c r="M83" s="64" t="b">
        <f>IF(A83="","",COUNTIF(Targets!A:A,A83)&gt;1)</f>
        <v>0</v>
      </c>
      <c r="N83" s="64" t="b">
        <f>IF(A83="","",COUNTIF(States!A:A,A83)&gt;1)</f>
        <v>0</v>
      </c>
      <c r="O83" s="64" t="b">
        <f>IFERROR(__xludf.DUMMYFUNCTION("IF(
 B83="""",
 """",
 SWITCH(
  B83,
  ""BUILDING"",COUNTIF(Buildings!A:A,A83)&gt;0,
  ""CITADEL"",COUNTIF(Citadel!A:A,A83)&gt;0,
  ""COLLECTION"",COUNTIF(Collections!A:A,A83)&gt;0,
  ""CRAFTIFACT"",COUNTIF(Craftifacts!A:A,A83)&gt;0,
  ""QUEST"",
   COUNTIF(
    Que"&amp;"sts!A:A,
    REGEXREPLACE(A83,""\.(accepted|finished)$"","""")
   )&gt;0,
  ""TECH"",COUNTIF(Technologies!A:A,A83)&gt;0,
  ""STATE"",COUNTIF(States!A:A,A83)&gt;0,
  FALSE
 )
)"),TRUE)</f>
        <v>1</v>
      </c>
      <c r="P83" s="64" t="str">
        <f t="shared" si="3"/>
        <v>Good</v>
      </c>
      <c r="Q83" s="65"/>
      <c r="R83" s="65"/>
      <c r="S83" s="65"/>
      <c r="T83" s="65"/>
      <c r="U83" s="6"/>
      <c r="V83" s="63" t="str">
        <f>IFERROR(__xludf.DUMMYFUNCTION("""COMPUTED_VALUE"""),"building.pagoda@6")</f>
        <v>building.pagoda@6</v>
      </c>
      <c r="W83" s="63"/>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row>
    <row r="84" ht="14.25" customHeight="1">
      <c r="A84" s="26" t="str">
        <f t="shared" si="1"/>
        <v>building.pagoda@7</v>
      </c>
      <c r="B84" s="26" t="str">
        <f t="array" ref="B84">_xlfn.XLOOKUP(A84,Targets!A:A,Targets!C:C,"")</f>
        <v>BUILDING</v>
      </c>
      <c r="C84" s="64" t="b">
        <f>COUNTIF(Targets!A:A,A84)&gt;0</f>
        <v>1</v>
      </c>
      <c r="D84" s="64" t="b">
        <f>IF(
 OR(
  LEFT(A84,15)="state.character",
  RIGHT(A84,6)=".maxed"
 ),
 TRUE,
 COUNTIF(Checklist!A:A,A84)&gt;0
)</f>
        <v>1</v>
      </c>
      <c r="E84" s="64" t="b">
        <f>IF(
 OR(
  LEFT(A84,15)="state.character",
  RIGHT(A84,6)=".maxed",
  A84="building.guild@1",
  A84="quest.build_the_guild.accepted",
  A84="quest.build_the_pagoda.accepted"
 ),
 TRUE,
 COUNTIF(Dependencies!A:A,A84)&gt;0
)</f>
        <v>1</v>
      </c>
      <c r="F84" s="64" t="b">
        <f>COUNTIF(Dependencies!B:B,A84)&gt;0</f>
        <v>0</v>
      </c>
      <c r="G84" s="64" t="b">
        <f>COUNTIF(QuestObjectives!A:A,A84)&gt;0</f>
        <v>0</v>
      </c>
      <c r="H84" s="64" t="b">
        <f>COUNTIF(QuestObjectives!E:E,A84)&gt;0</f>
        <v>1</v>
      </c>
      <c r="I84" s="64" t="b">
        <f>COUNTIF(TargetStatus!A:A,A84)&gt;0</f>
        <v>1</v>
      </c>
      <c r="J84" s="64" t="b">
        <f>COUNTIF(CostStatus!B:B,A84)&gt;0</f>
        <v>1</v>
      </c>
      <c r="K84" s="64" t="b">
        <f>COUNTIF(States!A:A,A84)&gt;0</f>
        <v>0</v>
      </c>
      <c r="L84" s="64" t="b">
        <f t="shared" si="2"/>
        <v>1</v>
      </c>
      <c r="M84" s="64" t="b">
        <f>IF(A84="","",COUNTIF(Targets!A:A,A84)&gt;1)</f>
        <v>0</v>
      </c>
      <c r="N84" s="64" t="b">
        <f>IF(A84="","",COUNTIF(States!A:A,A84)&gt;1)</f>
        <v>0</v>
      </c>
      <c r="O84" s="64" t="b">
        <f>IFERROR(__xludf.DUMMYFUNCTION("IF(
 B84="""",
 """",
 SWITCH(
  B84,
  ""BUILDING"",COUNTIF(Buildings!A:A,A84)&gt;0,
  ""CITADEL"",COUNTIF(Citadel!A:A,A84)&gt;0,
  ""COLLECTION"",COUNTIF(Collections!A:A,A84)&gt;0,
  ""CRAFTIFACT"",COUNTIF(Craftifacts!A:A,A84)&gt;0,
  ""QUEST"",
   COUNTIF(
    Que"&amp;"sts!A:A,
    REGEXREPLACE(A84,""\.(accepted|finished)$"","""")
   )&gt;0,
  ""TECH"",COUNTIF(Technologies!A:A,A84)&gt;0,
  ""STATE"",COUNTIF(States!A:A,A84)&gt;0,
  FALSE
 )
)"),TRUE)</f>
        <v>1</v>
      </c>
      <c r="P84" s="64" t="str">
        <f t="shared" si="3"/>
        <v>Good</v>
      </c>
      <c r="Q84" s="65"/>
      <c r="R84" s="65"/>
      <c r="S84" s="65"/>
      <c r="T84" s="65"/>
      <c r="U84" s="6"/>
      <c r="V84" s="63" t="str">
        <f>IFERROR(__xludf.DUMMYFUNCTION("""COMPUTED_VALUE"""),"building.pagoda@7")</f>
        <v>building.pagoda@7</v>
      </c>
      <c r="W84" s="63"/>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row>
    <row r="85" ht="14.25" customHeight="1">
      <c r="A85" s="26" t="str">
        <f t="shared" si="1"/>
        <v>building.pier@1</v>
      </c>
      <c r="B85" s="26" t="str">
        <f t="array" ref="B85">_xlfn.XLOOKUP(A85,Targets!A:A,Targets!C:C,"")</f>
        <v>BUILDING</v>
      </c>
      <c r="C85" s="64" t="b">
        <f>COUNTIF(Targets!A:A,A85)&gt;0</f>
        <v>1</v>
      </c>
      <c r="D85" s="64" t="b">
        <f>IF(
 OR(
  LEFT(A85,15)="state.character",
  RIGHT(A85,6)=".maxed"
 ),
 TRUE,
 COUNTIF(Checklist!A:A,A85)&gt;0
)</f>
        <v>1</v>
      </c>
      <c r="E85" s="64" t="b">
        <f>IF(
 OR(
  LEFT(A85,15)="state.character",
  RIGHT(A85,6)=".maxed",
  A85="building.guild@1",
  A85="quest.build_the_guild.accepted",
  A85="quest.build_the_pagoda.accepted"
 ),
 TRUE,
 COUNTIF(Dependencies!A:A,A85)&gt;0
)</f>
        <v>1</v>
      </c>
      <c r="F85" s="64" t="b">
        <f>COUNTIF(Dependencies!B:B,A85)&gt;0</f>
        <v>1</v>
      </c>
      <c r="G85" s="64" t="b">
        <f>COUNTIF(QuestObjectives!A:A,A85)&gt;0</f>
        <v>0</v>
      </c>
      <c r="H85" s="64" t="b">
        <f>COUNTIF(QuestObjectives!E:E,A85)&gt;0</f>
        <v>1</v>
      </c>
      <c r="I85" s="64" t="b">
        <f>COUNTIF(TargetStatus!A:A,A85)&gt;0</f>
        <v>1</v>
      </c>
      <c r="J85" s="64" t="b">
        <f>COUNTIF(CostStatus!B:B,A85)&gt;0</f>
        <v>1</v>
      </c>
      <c r="K85" s="64" t="b">
        <f>COUNTIF(States!A:A,A85)&gt;0</f>
        <v>0</v>
      </c>
      <c r="L85" s="64" t="b">
        <f t="shared" si="2"/>
        <v>1</v>
      </c>
      <c r="M85" s="64" t="b">
        <f>IF(A85="","",COUNTIF(Targets!A:A,A85)&gt;1)</f>
        <v>0</v>
      </c>
      <c r="N85" s="64" t="b">
        <f>IF(A85="","",COUNTIF(States!A:A,A85)&gt;1)</f>
        <v>0</v>
      </c>
      <c r="O85" s="64" t="b">
        <f>IFERROR(__xludf.DUMMYFUNCTION("IF(
 B85="""",
 """",
 SWITCH(
  B85,
  ""BUILDING"",COUNTIF(Buildings!A:A,A85)&gt;0,
  ""CITADEL"",COUNTIF(Citadel!A:A,A85)&gt;0,
  ""COLLECTION"",COUNTIF(Collections!A:A,A85)&gt;0,
  ""CRAFTIFACT"",COUNTIF(Craftifacts!A:A,A85)&gt;0,
  ""QUEST"",
   COUNTIF(
    Que"&amp;"sts!A:A,
    REGEXREPLACE(A85,""\.(accepted|finished)$"","""")
   )&gt;0,
  ""TECH"",COUNTIF(Technologies!A:A,A85)&gt;0,
  ""STATE"",COUNTIF(States!A:A,A85)&gt;0,
  FALSE
 )
)"),TRUE)</f>
        <v>1</v>
      </c>
      <c r="P85" s="64" t="str">
        <f t="shared" si="3"/>
        <v>Good</v>
      </c>
      <c r="Q85" s="65"/>
      <c r="R85" s="65"/>
      <c r="S85" s="65"/>
      <c r="T85" s="65"/>
      <c r="U85" s="6"/>
      <c r="V85" s="63" t="str">
        <f>IFERROR(__xludf.DUMMYFUNCTION("""COMPUTED_VALUE"""),"building.pier@1")</f>
        <v>building.pier@1</v>
      </c>
      <c r="W85" s="63"/>
      <c r="X85" s="63"/>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row>
    <row r="86" ht="14.25" customHeight="1">
      <c r="A86" s="26" t="str">
        <f t="shared" si="1"/>
        <v>building.rock_garden.maxed</v>
      </c>
      <c r="B86" s="26" t="str">
        <f t="array" ref="B86">_xlfn.XLOOKUP(A86,Targets!A:A,Targets!C:C,"")</f>
        <v>BUILDING</v>
      </c>
      <c r="C86" s="64" t="b">
        <f>COUNTIF(Targets!A:A,A86)&gt;0</f>
        <v>1</v>
      </c>
      <c r="D86" s="64" t="b">
        <f>IF(
 OR(
  LEFT(A86,15)="state.character",
  RIGHT(A86,6)=".maxed"
 ),
 TRUE,
 COUNTIF(Checklist!A:A,A86)&gt;0
)</f>
        <v>1</v>
      </c>
      <c r="E86" s="64" t="b">
        <f>IF(
 OR(
  LEFT(A86,15)="state.character",
  RIGHT(A86,6)=".maxed",
  A86="building.guild@1",
  A86="quest.build_the_guild.accepted",
  A86="quest.build_the_pagoda.accepted"
 ),
 TRUE,
 COUNTIF(Dependencies!A:A,A86)&gt;0
)</f>
        <v>1</v>
      </c>
      <c r="F86" s="64" t="b">
        <f>COUNTIF(Dependencies!B:B,A86)&gt;0</f>
        <v>1</v>
      </c>
      <c r="G86" s="64" t="b">
        <f>COUNTIF(QuestObjectives!A:A,A86)&gt;0</f>
        <v>0</v>
      </c>
      <c r="H86" s="64" t="b">
        <f>COUNTIF(QuestObjectives!E:E,A86)&gt;0</f>
        <v>0</v>
      </c>
      <c r="I86" s="64" t="b">
        <f>COUNTIF(TargetStatus!A:A,A86)&gt;0</f>
        <v>1</v>
      </c>
      <c r="J86" s="64" t="b">
        <f>COUNTIF(CostStatus!B:B,A86)&gt;0</f>
        <v>0</v>
      </c>
      <c r="K86" s="64" t="b">
        <f>COUNTIF(States!A:A,A86)&gt;0</f>
        <v>0</v>
      </c>
      <c r="L86" s="64" t="b">
        <f t="shared" si="2"/>
        <v>1</v>
      </c>
      <c r="M86" s="64" t="b">
        <f>IF(A86="","",COUNTIF(Targets!A:A,A86)&gt;1)</f>
        <v>0</v>
      </c>
      <c r="N86" s="64" t="b">
        <f>IF(A86="","",COUNTIF(States!A:A,A86)&gt;1)</f>
        <v>0</v>
      </c>
      <c r="O86" s="64" t="b">
        <f>IFERROR(__xludf.DUMMYFUNCTION("IF(
 B86="""",
 """",
 SWITCH(
  B86,
  ""BUILDING"",COUNTIF(Buildings!A:A,A86)&gt;0,
  ""CITADEL"",COUNTIF(Citadel!A:A,A86)&gt;0,
  ""COLLECTION"",COUNTIF(Collections!A:A,A86)&gt;0,
  ""CRAFTIFACT"",COUNTIF(Craftifacts!A:A,A86)&gt;0,
  ""QUEST"",
   COUNTIF(
    Que"&amp;"sts!A:A,
    REGEXREPLACE(A86,""\.(accepted|finished)$"","""")
   )&gt;0,
  ""TECH"",COUNTIF(Technologies!A:A,A86)&gt;0,
  ""STATE"",COUNTIF(States!A:A,A86)&gt;0,
  FALSE
 )
)"),FALSE)</f>
        <v>0</v>
      </c>
      <c r="P86" s="64" t="str">
        <f t="shared" si="3"/>
        <v>Good</v>
      </c>
      <c r="Q86" s="65"/>
      <c r="R86" s="65"/>
      <c r="S86" s="65"/>
      <c r="T86" s="65"/>
      <c r="U86" s="6"/>
      <c r="V86" s="63" t="str">
        <f>IFERROR(__xludf.DUMMYFUNCTION("""COMPUTED_VALUE"""),"building.rock_garden.maxed")</f>
        <v>building.rock_garden.maxed</v>
      </c>
      <c r="W86" s="63"/>
      <c r="X86" s="63"/>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row>
    <row r="87" ht="14.25" customHeight="1">
      <c r="A87" s="26" t="str">
        <f t="shared" si="1"/>
        <v>building.rock_garden@1</v>
      </c>
      <c r="B87" s="26" t="str">
        <f t="array" ref="B87">_xlfn.XLOOKUP(A87,Targets!A:A,Targets!C:C,"")</f>
        <v>BUILDING</v>
      </c>
      <c r="C87" s="64" t="b">
        <f>COUNTIF(Targets!A:A,A87)&gt;0</f>
        <v>1</v>
      </c>
      <c r="D87" s="64" t="b">
        <f>IF(
 OR(
  LEFT(A87,15)="state.character",
  RIGHT(A87,6)=".maxed"
 ),
 TRUE,
 COUNTIF(Checklist!A:A,A87)&gt;0
)</f>
        <v>1</v>
      </c>
      <c r="E87" s="64" t="b">
        <f>IF(
 OR(
  LEFT(A87,15)="state.character",
  RIGHT(A87,6)=".maxed",
  A87="building.guild@1",
  A87="quest.build_the_guild.accepted",
  A87="quest.build_the_pagoda.accepted"
 ),
 TRUE,
 COUNTIF(Dependencies!A:A,A87)&gt;0
)</f>
        <v>1</v>
      </c>
      <c r="F87" s="64" t="b">
        <f>COUNTIF(Dependencies!B:B,A87)&gt;0</f>
        <v>1</v>
      </c>
      <c r="G87" s="64" t="b">
        <f>COUNTIF(QuestObjectives!A:A,A87)&gt;0</f>
        <v>0</v>
      </c>
      <c r="H87" s="64" t="b">
        <f>COUNTIF(QuestObjectives!E:E,A87)&gt;0</f>
        <v>0</v>
      </c>
      <c r="I87" s="64" t="b">
        <f>COUNTIF(TargetStatus!A:A,A87)&gt;0</f>
        <v>1</v>
      </c>
      <c r="J87" s="64" t="b">
        <f>COUNTIF(CostStatus!B:B,A87)&gt;0</f>
        <v>1</v>
      </c>
      <c r="K87" s="64" t="b">
        <f>COUNTIF(States!A:A,A87)&gt;0</f>
        <v>0</v>
      </c>
      <c r="L87" s="64" t="b">
        <f t="shared" si="2"/>
        <v>1</v>
      </c>
      <c r="M87" s="64" t="b">
        <f>IF(A87="","",COUNTIF(Targets!A:A,A87)&gt;1)</f>
        <v>0</v>
      </c>
      <c r="N87" s="64" t="b">
        <f>IF(A87="","",COUNTIF(States!A:A,A87)&gt;1)</f>
        <v>0</v>
      </c>
      <c r="O87" s="64" t="b">
        <f>IFERROR(__xludf.DUMMYFUNCTION("IF(
 B87="""",
 """",
 SWITCH(
  B87,
  ""BUILDING"",COUNTIF(Buildings!A:A,A87)&gt;0,
  ""CITADEL"",COUNTIF(Citadel!A:A,A87)&gt;0,
  ""COLLECTION"",COUNTIF(Collections!A:A,A87)&gt;0,
  ""CRAFTIFACT"",COUNTIF(Craftifacts!A:A,A87)&gt;0,
  ""QUEST"",
   COUNTIF(
    Que"&amp;"sts!A:A,
    REGEXREPLACE(A87,""\.(accepted|finished)$"","""")
   )&gt;0,
  ""TECH"",COUNTIF(Technologies!A:A,A87)&gt;0,
  ""STATE"",COUNTIF(States!A:A,A87)&gt;0,
  FALSE
 )
)"),TRUE)</f>
        <v>1</v>
      </c>
      <c r="P87" s="64" t="str">
        <f t="shared" si="3"/>
        <v>Good</v>
      </c>
      <c r="Q87" s="65"/>
      <c r="R87" s="65"/>
      <c r="S87" s="65"/>
      <c r="T87" s="65"/>
      <c r="U87" s="6"/>
      <c r="V87" s="63" t="str">
        <f>IFERROR(__xludf.DUMMYFUNCTION("""COMPUTED_VALUE"""),"building.rock_garden@1")</f>
        <v>building.rock_garden@1</v>
      </c>
      <c r="W87" s="63"/>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row>
    <row r="88" ht="14.25" customHeight="1">
      <c r="A88" s="26" t="str">
        <f t="shared" si="1"/>
        <v>building.rock_garden@2</v>
      </c>
      <c r="B88" s="26" t="str">
        <f t="array" ref="B88">_xlfn.XLOOKUP(A88,Targets!A:A,Targets!C:C,"")</f>
        <v>BUILDING</v>
      </c>
      <c r="C88" s="64" t="b">
        <f>COUNTIF(Targets!A:A,A88)&gt;0</f>
        <v>1</v>
      </c>
      <c r="D88" s="64" t="b">
        <f>IF(
 OR(
  LEFT(A88,15)="state.character",
  RIGHT(A88,6)=".maxed"
 ),
 TRUE,
 COUNTIF(Checklist!A:A,A88)&gt;0
)</f>
        <v>1</v>
      </c>
      <c r="E88" s="64" t="b">
        <f>IF(
 OR(
  LEFT(A88,15)="state.character",
  RIGHT(A88,6)=".maxed",
  A88="building.guild@1",
  A88="quest.build_the_guild.accepted",
  A88="quest.build_the_pagoda.accepted"
 ),
 TRUE,
 COUNTIF(Dependencies!A:A,A88)&gt;0
)</f>
        <v>1</v>
      </c>
      <c r="F88" s="64" t="b">
        <f>COUNTIF(Dependencies!B:B,A88)&gt;0</f>
        <v>1</v>
      </c>
      <c r="G88" s="64" t="b">
        <f>COUNTIF(QuestObjectives!A:A,A88)&gt;0</f>
        <v>0</v>
      </c>
      <c r="H88" s="64" t="b">
        <f>COUNTIF(QuestObjectives!E:E,A88)&gt;0</f>
        <v>0</v>
      </c>
      <c r="I88" s="64" t="b">
        <f>COUNTIF(TargetStatus!A:A,A88)&gt;0</f>
        <v>1</v>
      </c>
      <c r="J88" s="64" t="b">
        <f>COUNTIF(CostStatus!B:B,A88)&gt;0</f>
        <v>1</v>
      </c>
      <c r="K88" s="64" t="b">
        <f>COUNTIF(States!A:A,A88)&gt;0</f>
        <v>0</v>
      </c>
      <c r="L88" s="64" t="b">
        <f t="shared" si="2"/>
        <v>1</v>
      </c>
      <c r="M88" s="64" t="b">
        <f>IF(A88="","",COUNTIF(Targets!A:A,A88)&gt;1)</f>
        <v>0</v>
      </c>
      <c r="N88" s="64" t="b">
        <f>IF(A88="","",COUNTIF(States!A:A,A88)&gt;1)</f>
        <v>0</v>
      </c>
      <c r="O88" s="64" t="b">
        <f>IFERROR(__xludf.DUMMYFUNCTION("IF(
 B88="""",
 """",
 SWITCH(
  B88,
  ""BUILDING"",COUNTIF(Buildings!A:A,A88)&gt;0,
  ""CITADEL"",COUNTIF(Citadel!A:A,A88)&gt;0,
  ""COLLECTION"",COUNTIF(Collections!A:A,A88)&gt;0,
  ""CRAFTIFACT"",COUNTIF(Craftifacts!A:A,A88)&gt;0,
  ""QUEST"",
   COUNTIF(
    Que"&amp;"sts!A:A,
    REGEXREPLACE(A88,""\.(accepted|finished)$"","""")
   )&gt;0,
  ""TECH"",COUNTIF(Technologies!A:A,A88)&gt;0,
  ""STATE"",COUNTIF(States!A:A,A88)&gt;0,
  FALSE
 )
)"),TRUE)</f>
        <v>1</v>
      </c>
      <c r="P88" s="64" t="str">
        <f t="shared" si="3"/>
        <v>Good</v>
      </c>
      <c r="Q88" s="65"/>
      <c r="R88" s="65"/>
      <c r="S88" s="65"/>
      <c r="T88" s="65"/>
      <c r="U88" s="6"/>
      <c r="V88" s="63" t="str">
        <f>IFERROR(__xludf.DUMMYFUNCTION("""COMPUTED_VALUE"""),"building.rock_garden@2")</f>
        <v>building.rock_garden@2</v>
      </c>
      <c r="W88" s="63"/>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row>
    <row r="89" ht="14.25" customHeight="1">
      <c r="A89" s="26" t="str">
        <f t="shared" si="1"/>
        <v>building.rock_garden@3</v>
      </c>
      <c r="B89" s="26" t="str">
        <f t="array" ref="B89">_xlfn.XLOOKUP(A89,Targets!A:A,Targets!C:C,"")</f>
        <v>BUILDING</v>
      </c>
      <c r="C89" s="64" t="b">
        <f>COUNTIF(Targets!A:A,A89)&gt;0</f>
        <v>1</v>
      </c>
      <c r="D89" s="64" t="b">
        <f>IF(
 OR(
  LEFT(A89,15)="state.character",
  RIGHT(A89,6)=".maxed"
 ),
 TRUE,
 COUNTIF(Checklist!A:A,A89)&gt;0
)</f>
        <v>1</v>
      </c>
      <c r="E89" s="64" t="b">
        <f>IF(
 OR(
  LEFT(A89,15)="state.character",
  RIGHT(A89,6)=".maxed",
  A89="building.guild@1",
  A89="quest.build_the_guild.accepted",
  A89="quest.build_the_pagoda.accepted"
 ),
 TRUE,
 COUNTIF(Dependencies!A:A,A89)&gt;0
)</f>
        <v>1</v>
      </c>
      <c r="F89" s="64" t="b">
        <f>COUNTIF(Dependencies!B:B,A89)&gt;0</f>
        <v>1</v>
      </c>
      <c r="G89" s="64" t="b">
        <f>COUNTIF(QuestObjectives!A:A,A89)&gt;0</f>
        <v>0</v>
      </c>
      <c r="H89" s="64" t="b">
        <f>COUNTIF(QuestObjectives!E:E,A89)&gt;0</f>
        <v>0</v>
      </c>
      <c r="I89" s="64" t="b">
        <f>COUNTIF(TargetStatus!A:A,A89)&gt;0</f>
        <v>1</v>
      </c>
      <c r="J89" s="64" t="b">
        <f>COUNTIF(CostStatus!B:B,A89)&gt;0</f>
        <v>1</v>
      </c>
      <c r="K89" s="64" t="b">
        <f>COUNTIF(States!A:A,A89)&gt;0</f>
        <v>0</v>
      </c>
      <c r="L89" s="64" t="b">
        <f t="shared" si="2"/>
        <v>1</v>
      </c>
      <c r="M89" s="64" t="b">
        <f>IF(A89="","",COUNTIF(Targets!A:A,A89)&gt;1)</f>
        <v>0</v>
      </c>
      <c r="N89" s="64" t="b">
        <f>IF(A89="","",COUNTIF(States!A:A,A89)&gt;1)</f>
        <v>0</v>
      </c>
      <c r="O89" s="64" t="b">
        <f>IFERROR(__xludf.DUMMYFUNCTION("IF(
 B89="""",
 """",
 SWITCH(
  B89,
  ""BUILDING"",COUNTIF(Buildings!A:A,A89)&gt;0,
  ""CITADEL"",COUNTIF(Citadel!A:A,A89)&gt;0,
  ""COLLECTION"",COUNTIF(Collections!A:A,A89)&gt;0,
  ""CRAFTIFACT"",COUNTIF(Craftifacts!A:A,A89)&gt;0,
  ""QUEST"",
   COUNTIF(
    Que"&amp;"sts!A:A,
    REGEXREPLACE(A89,""\.(accepted|finished)$"","""")
   )&gt;0,
  ""TECH"",COUNTIF(Technologies!A:A,A89)&gt;0,
  ""STATE"",COUNTIF(States!A:A,A89)&gt;0,
  FALSE
 )
)"),TRUE)</f>
        <v>1</v>
      </c>
      <c r="P89" s="64" t="str">
        <f t="shared" si="3"/>
        <v>Good</v>
      </c>
      <c r="Q89" s="65"/>
      <c r="R89" s="65"/>
      <c r="S89" s="65"/>
      <c r="T89" s="65"/>
      <c r="U89" s="6"/>
      <c r="V89" s="63" t="str">
        <f>IFERROR(__xludf.DUMMYFUNCTION("""COMPUTED_VALUE"""),"building.rock_garden@3")</f>
        <v>building.rock_garden@3</v>
      </c>
      <c r="W89" s="63"/>
      <c r="X89" s="63"/>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row>
    <row r="90" ht="14.25" customHeight="1">
      <c r="A90" s="26" t="str">
        <f t="shared" si="1"/>
        <v>building.ship@1</v>
      </c>
      <c r="B90" s="26" t="str">
        <f t="array" ref="B90">_xlfn.XLOOKUP(A90,Targets!A:A,Targets!C:C,"")</f>
        <v>BUILDING</v>
      </c>
      <c r="C90" s="64" t="b">
        <f>COUNTIF(Targets!A:A,A90)&gt;0</f>
        <v>1</v>
      </c>
      <c r="D90" s="64" t="b">
        <f>IF(
 OR(
  LEFT(A90,15)="state.character",
  RIGHT(A90,6)=".maxed"
 ),
 TRUE,
 COUNTIF(Checklist!A:A,A90)&gt;0
)</f>
        <v>1</v>
      </c>
      <c r="E90" s="64" t="b">
        <f>IF(
 OR(
  LEFT(A90,15)="state.character",
  RIGHT(A90,6)=".maxed",
  A90="building.guild@1",
  A90="quest.build_the_guild.accepted",
  A90="quest.build_the_pagoda.accepted"
 ),
 TRUE,
 COUNTIF(Dependencies!A:A,A90)&gt;0
)</f>
        <v>1</v>
      </c>
      <c r="F90" s="64" t="b">
        <f>COUNTIF(Dependencies!B:B,A90)&gt;0</f>
        <v>1</v>
      </c>
      <c r="G90" s="64" t="b">
        <f>COUNTIF(QuestObjectives!A:A,A90)&gt;0</f>
        <v>0</v>
      </c>
      <c r="H90" s="64" t="b">
        <f>COUNTIF(QuestObjectives!E:E,A90)&gt;0</f>
        <v>1</v>
      </c>
      <c r="I90" s="64" t="b">
        <f>COUNTIF(TargetStatus!A:A,A90)&gt;0</f>
        <v>1</v>
      </c>
      <c r="J90" s="64" t="b">
        <f>COUNTIF(CostStatus!B:B,A90)&gt;0</f>
        <v>1</v>
      </c>
      <c r="K90" s="64" t="b">
        <f>COUNTIF(States!A:A,A90)&gt;0</f>
        <v>0</v>
      </c>
      <c r="L90" s="64" t="b">
        <f t="shared" si="2"/>
        <v>1</v>
      </c>
      <c r="M90" s="64" t="b">
        <f>IF(A90="","",COUNTIF(Targets!A:A,A90)&gt;1)</f>
        <v>0</v>
      </c>
      <c r="N90" s="64" t="b">
        <f>IF(A90="","",COUNTIF(States!A:A,A90)&gt;1)</f>
        <v>0</v>
      </c>
      <c r="O90" s="64" t="b">
        <f>IFERROR(__xludf.DUMMYFUNCTION("IF(
 B90="""",
 """",
 SWITCH(
  B90,
  ""BUILDING"",COUNTIF(Buildings!A:A,A90)&gt;0,
  ""CITADEL"",COUNTIF(Citadel!A:A,A90)&gt;0,
  ""COLLECTION"",COUNTIF(Collections!A:A,A90)&gt;0,
  ""CRAFTIFACT"",COUNTIF(Craftifacts!A:A,A90)&gt;0,
  ""QUEST"",
   COUNTIF(
    Que"&amp;"sts!A:A,
    REGEXREPLACE(A90,""\.(accepted|finished)$"","""")
   )&gt;0,
  ""TECH"",COUNTIF(Technologies!A:A,A90)&gt;0,
  ""STATE"",COUNTIF(States!A:A,A90)&gt;0,
  FALSE
 )
)"),TRUE)</f>
        <v>1</v>
      </c>
      <c r="P90" s="64" t="str">
        <f t="shared" si="3"/>
        <v>Good</v>
      </c>
      <c r="Q90" s="65"/>
      <c r="R90" s="65"/>
      <c r="S90" s="65"/>
      <c r="T90" s="65"/>
      <c r="U90" s="6"/>
      <c r="V90" s="63" t="str">
        <f>IFERROR(__xludf.DUMMYFUNCTION("""COMPUTED_VALUE"""),"building.ship@1")</f>
        <v>building.ship@1</v>
      </c>
      <c r="W90" s="63"/>
      <c r="X90" s="63"/>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row>
    <row r="91" ht="14.25" customHeight="1">
      <c r="A91" s="26" t="str">
        <f t="shared" si="1"/>
        <v>building.ship@2</v>
      </c>
      <c r="B91" s="26" t="str">
        <f t="array" ref="B91">_xlfn.XLOOKUP(A91,Targets!A:A,Targets!C:C,"")</f>
        <v>BUILDING</v>
      </c>
      <c r="C91" s="64" t="b">
        <f>COUNTIF(Targets!A:A,A91)&gt;0</f>
        <v>1</v>
      </c>
      <c r="D91" s="64" t="b">
        <f>IF(
 OR(
  LEFT(A91,15)="state.character",
  RIGHT(A91,6)=".maxed"
 ),
 TRUE,
 COUNTIF(Checklist!A:A,A91)&gt;0
)</f>
        <v>1</v>
      </c>
      <c r="E91" s="64" t="b">
        <f>IF(
 OR(
  LEFT(A91,15)="state.character",
  RIGHT(A91,6)=".maxed",
  A91="building.guild@1",
  A91="quest.build_the_guild.accepted",
  A91="quest.build_the_pagoda.accepted"
 ),
 TRUE,
 COUNTIF(Dependencies!A:A,A91)&gt;0
)</f>
        <v>1</v>
      </c>
      <c r="F91" s="64" t="b">
        <f>COUNTIF(Dependencies!B:B,A91)&gt;0</f>
        <v>1</v>
      </c>
      <c r="G91" s="64" t="b">
        <f>COUNTIF(QuestObjectives!A:A,A91)&gt;0</f>
        <v>0</v>
      </c>
      <c r="H91" s="64" t="b">
        <f>COUNTIF(QuestObjectives!E:E,A91)&gt;0</f>
        <v>1</v>
      </c>
      <c r="I91" s="64" t="b">
        <f>COUNTIF(TargetStatus!A:A,A91)&gt;0</f>
        <v>1</v>
      </c>
      <c r="J91" s="64" t="b">
        <f>COUNTIF(CostStatus!B:B,A91)&gt;0</f>
        <v>1</v>
      </c>
      <c r="K91" s="64" t="b">
        <f>COUNTIF(States!A:A,A91)&gt;0</f>
        <v>0</v>
      </c>
      <c r="L91" s="64" t="b">
        <f t="shared" si="2"/>
        <v>1</v>
      </c>
      <c r="M91" s="64" t="b">
        <f>IF(A91="","",COUNTIF(Targets!A:A,A91)&gt;1)</f>
        <v>0</v>
      </c>
      <c r="N91" s="64" t="b">
        <f>IF(A91="","",COUNTIF(States!A:A,A91)&gt;1)</f>
        <v>0</v>
      </c>
      <c r="O91" s="64" t="b">
        <f>IFERROR(__xludf.DUMMYFUNCTION("IF(
 B91="""",
 """",
 SWITCH(
  B91,
  ""BUILDING"",COUNTIF(Buildings!A:A,A91)&gt;0,
  ""CITADEL"",COUNTIF(Citadel!A:A,A91)&gt;0,
  ""COLLECTION"",COUNTIF(Collections!A:A,A91)&gt;0,
  ""CRAFTIFACT"",COUNTIF(Craftifacts!A:A,A91)&gt;0,
  ""QUEST"",
   COUNTIF(
    Que"&amp;"sts!A:A,
    REGEXREPLACE(A91,""\.(accepted|finished)$"","""")
   )&gt;0,
  ""TECH"",COUNTIF(Technologies!A:A,A91)&gt;0,
  ""STATE"",COUNTIF(States!A:A,A91)&gt;0,
  FALSE
 )
)"),TRUE)</f>
        <v>1</v>
      </c>
      <c r="P91" s="64" t="str">
        <f t="shared" si="3"/>
        <v>Good</v>
      </c>
      <c r="Q91" s="65"/>
      <c r="R91" s="65"/>
      <c r="S91" s="65"/>
      <c r="T91" s="65"/>
      <c r="U91" s="63"/>
      <c r="V91" s="63" t="str">
        <f>IFERROR(__xludf.DUMMYFUNCTION("""COMPUTED_VALUE"""),"building.ship@2")</f>
        <v>building.ship@2</v>
      </c>
      <c r="W91" s="63"/>
      <c r="X91" s="63"/>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row>
    <row r="92" ht="14.25" customHeight="1">
      <c r="A92" s="26" t="str">
        <f t="shared" si="1"/>
        <v>building.ship@3</v>
      </c>
      <c r="B92" s="26" t="str">
        <f t="array" ref="B92">_xlfn.XLOOKUP(A92,Targets!A:A,Targets!C:C,"")</f>
        <v>BUILDING</v>
      </c>
      <c r="C92" s="64" t="b">
        <f>COUNTIF(Targets!A:A,A92)&gt;0</f>
        <v>1</v>
      </c>
      <c r="D92" s="64" t="b">
        <f>IF(
 OR(
  LEFT(A92,15)="state.character",
  RIGHT(A92,6)=".maxed"
 ),
 TRUE,
 COUNTIF(Checklist!A:A,A92)&gt;0
)</f>
        <v>1</v>
      </c>
      <c r="E92" s="64" t="b">
        <f>IF(
 OR(
  LEFT(A92,15)="state.character",
  RIGHT(A92,6)=".maxed",
  A92="building.guild@1",
  A92="quest.build_the_guild.accepted",
  A92="quest.build_the_pagoda.accepted"
 ),
 TRUE,
 COUNTIF(Dependencies!A:A,A92)&gt;0
)</f>
        <v>1</v>
      </c>
      <c r="F92" s="64" t="b">
        <f>COUNTIF(Dependencies!B:B,A92)&gt;0</f>
        <v>1</v>
      </c>
      <c r="G92" s="64" t="b">
        <f>COUNTIF(QuestObjectives!A:A,A92)&gt;0</f>
        <v>0</v>
      </c>
      <c r="H92" s="64" t="b">
        <f>COUNTIF(QuestObjectives!E:E,A92)&gt;0</f>
        <v>1</v>
      </c>
      <c r="I92" s="64" t="b">
        <f>COUNTIF(TargetStatus!A:A,A92)&gt;0</f>
        <v>1</v>
      </c>
      <c r="J92" s="64" t="b">
        <f>COUNTIF(CostStatus!B:B,A92)&gt;0</f>
        <v>1</v>
      </c>
      <c r="K92" s="64" t="b">
        <f>COUNTIF(States!A:A,A92)&gt;0</f>
        <v>0</v>
      </c>
      <c r="L92" s="64" t="b">
        <f t="shared" si="2"/>
        <v>1</v>
      </c>
      <c r="M92" s="64" t="b">
        <f>IF(A92="","",COUNTIF(Targets!A:A,A92)&gt;1)</f>
        <v>0</v>
      </c>
      <c r="N92" s="64" t="b">
        <f>IF(A92="","",COUNTIF(States!A:A,A92)&gt;1)</f>
        <v>0</v>
      </c>
      <c r="O92" s="64" t="b">
        <f>IFERROR(__xludf.DUMMYFUNCTION("IF(
 B92="""",
 """",
 SWITCH(
  B92,
  ""BUILDING"",COUNTIF(Buildings!A:A,A92)&gt;0,
  ""CITADEL"",COUNTIF(Citadel!A:A,A92)&gt;0,
  ""COLLECTION"",COUNTIF(Collections!A:A,A92)&gt;0,
  ""CRAFTIFACT"",COUNTIF(Craftifacts!A:A,A92)&gt;0,
  ""QUEST"",
   COUNTIF(
    Que"&amp;"sts!A:A,
    REGEXREPLACE(A92,""\.(accepted|finished)$"","""")
   )&gt;0,
  ""TECH"",COUNTIF(Technologies!A:A,A92)&gt;0,
  ""STATE"",COUNTIF(States!A:A,A92)&gt;0,
  FALSE
 )
)"),TRUE)</f>
        <v>1</v>
      </c>
      <c r="P92" s="64" t="str">
        <f t="shared" si="3"/>
        <v>Good</v>
      </c>
      <c r="Q92" s="65"/>
      <c r="R92" s="65"/>
      <c r="S92" s="65"/>
      <c r="T92" s="65"/>
      <c r="U92" s="6"/>
      <c r="V92" s="63" t="str">
        <f>IFERROR(__xludf.DUMMYFUNCTION("""COMPUTED_VALUE"""),"building.ship@3")</f>
        <v>building.ship@3</v>
      </c>
      <c r="W92" s="63"/>
      <c r="X92" s="63"/>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row>
    <row r="93" ht="14.25" customHeight="1">
      <c r="A93" s="26" t="str">
        <f t="shared" si="1"/>
        <v>building.ship@4</v>
      </c>
      <c r="B93" s="26" t="str">
        <f t="array" ref="B93">_xlfn.XLOOKUP(A93,Targets!A:A,Targets!C:C,"")</f>
        <v>BUILDING</v>
      </c>
      <c r="C93" s="64" t="b">
        <f>COUNTIF(Targets!A:A,A93)&gt;0</f>
        <v>1</v>
      </c>
      <c r="D93" s="64" t="b">
        <f>IF(
 OR(
  LEFT(A93,15)="state.character",
  RIGHT(A93,6)=".maxed"
 ),
 TRUE,
 COUNTIF(Checklist!A:A,A93)&gt;0
)</f>
        <v>1</v>
      </c>
      <c r="E93" s="64" t="b">
        <f>IF(
 OR(
  LEFT(A93,15)="state.character",
  RIGHT(A93,6)=".maxed",
  A93="building.guild@1",
  A93="quest.build_the_guild.accepted",
  A93="quest.build_the_pagoda.accepted"
 ),
 TRUE,
 COUNTIF(Dependencies!A:A,A93)&gt;0
)</f>
        <v>1</v>
      </c>
      <c r="F93" s="64" t="b">
        <f>COUNTIF(Dependencies!B:B,A93)&gt;0</f>
        <v>1</v>
      </c>
      <c r="G93" s="64" t="b">
        <f>COUNTIF(QuestObjectives!A:A,A93)&gt;0</f>
        <v>0</v>
      </c>
      <c r="H93" s="64" t="b">
        <f>COUNTIF(QuestObjectives!E:E,A93)&gt;0</f>
        <v>1</v>
      </c>
      <c r="I93" s="64" t="b">
        <f>COUNTIF(TargetStatus!A:A,A93)&gt;0</f>
        <v>1</v>
      </c>
      <c r="J93" s="64" t="b">
        <f>COUNTIF(CostStatus!B:B,A93)&gt;0</f>
        <v>1</v>
      </c>
      <c r="K93" s="64" t="b">
        <f>COUNTIF(States!A:A,A93)&gt;0</f>
        <v>0</v>
      </c>
      <c r="L93" s="64" t="b">
        <f t="shared" si="2"/>
        <v>1</v>
      </c>
      <c r="M93" s="64" t="b">
        <f>IF(A93="","",COUNTIF(Targets!A:A,A93)&gt;1)</f>
        <v>0</v>
      </c>
      <c r="N93" s="64" t="b">
        <f>IF(A93="","",COUNTIF(States!A:A,A93)&gt;1)</f>
        <v>0</v>
      </c>
      <c r="O93" s="64" t="b">
        <f>IFERROR(__xludf.DUMMYFUNCTION("IF(
 B93="""",
 """",
 SWITCH(
  B93,
  ""BUILDING"",COUNTIF(Buildings!A:A,A93)&gt;0,
  ""CITADEL"",COUNTIF(Citadel!A:A,A93)&gt;0,
  ""COLLECTION"",COUNTIF(Collections!A:A,A93)&gt;0,
  ""CRAFTIFACT"",COUNTIF(Craftifacts!A:A,A93)&gt;0,
  ""QUEST"",
   COUNTIF(
    Que"&amp;"sts!A:A,
    REGEXREPLACE(A93,""\.(accepted|finished)$"","""")
   )&gt;0,
  ""TECH"",COUNTIF(Technologies!A:A,A93)&gt;0,
  ""STATE"",COUNTIF(States!A:A,A93)&gt;0,
  FALSE
 )
)"),TRUE)</f>
        <v>1</v>
      </c>
      <c r="P93" s="64" t="str">
        <f t="shared" si="3"/>
        <v>Good</v>
      </c>
      <c r="Q93" s="65"/>
      <c r="R93" s="65"/>
      <c r="S93" s="65"/>
      <c r="T93" s="65"/>
      <c r="U93" s="6"/>
      <c r="V93" s="63" t="str">
        <f>IFERROR(__xludf.DUMMYFUNCTION("""COMPUTED_VALUE"""),"building.ship@4")</f>
        <v>building.ship@4</v>
      </c>
      <c r="W93" s="63"/>
      <c r="X93" s="63"/>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row>
    <row r="94" ht="14.25" customHeight="1">
      <c r="A94" s="26" t="str">
        <f t="shared" si="1"/>
        <v>building.shop.maxed</v>
      </c>
      <c r="B94" s="26" t="str">
        <f t="array" ref="B94">_xlfn.XLOOKUP(A94,Targets!A:A,Targets!C:C,"")</f>
        <v>BUILDING</v>
      </c>
      <c r="C94" s="64" t="b">
        <f>COUNTIF(Targets!A:A,A94)&gt;0</f>
        <v>1</v>
      </c>
      <c r="D94" s="64" t="b">
        <f>IF(
 OR(
  LEFT(A94,15)="state.character",
  RIGHT(A94,6)=".maxed"
 ),
 TRUE,
 COUNTIF(Checklist!A:A,A94)&gt;0
)</f>
        <v>1</v>
      </c>
      <c r="E94" s="64" t="b">
        <f>IF(
 OR(
  LEFT(A94,15)="state.character",
  RIGHT(A94,6)=".maxed",
  A94="building.guild@1",
  A94="quest.build_the_guild.accepted",
  A94="quest.build_the_pagoda.accepted"
 ),
 TRUE,
 COUNTIF(Dependencies!A:A,A94)&gt;0
)</f>
        <v>1</v>
      </c>
      <c r="F94" s="64" t="b">
        <f>COUNTIF(Dependencies!B:B,A94)&gt;0</f>
        <v>1</v>
      </c>
      <c r="G94" s="64" t="b">
        <f>COUNTIF(QuestObjectives!A:A,A94)&gt;0</f>
        <v>0</v>
      </c>
      <c r="H94" s="64" t="b">
        <f>COUNTIF(QuestObjectives!E:E,A94)&gt;0</f>
        <v>0</v>
      </c>
      <c r="I94" s="64" t="b">
        <f>COUNTIF(TargetStatus!A:A,A94)&gt;0</f>
        <v>1</v>
      </c>
      <c r="J94" s="64" t="b">
        <f>COUNTIF(CostStatus!B:B,A94)&gt;0</f>
        <v>0</v>
      </c>
      <c r="K94" s="64" t="b">
        <f>COUNTIF(States!A:A,A94)&gt;0</f>
        <v>0</v>
      </c>
      <c r="L94" s="64" t="b">
        <f t="shared" si="2"/>
        <v>1</v>
      </c>
      <c r="M94" s="64" t="b">
        <f>IF(A94="","",COUNTIF(Targets!A:A,A94)&gt;1)</f>
        <v>0</v>
      </c>
      <c r="N94" s="64" t="b">
        <f>IF(A94="","",COUNTIF(States!A:A,A94)&gt;1)</f>
        <v>0</v>
      </c>
      <c r="O94" s="64" t="b">
        <f>IFERROR(__xludf.DUMMYFUNCTION("IF(
 B94="""",
 """",
 SWITCH(
  B94,
  ""BUILDING"",COUNTIF(Buildings!A:A,A94)&gt;0,
  ""CITADEL"",COUNTIF(Citadel!A:A,A94)&gt;0,
  ""COLLECTION"",COUNTIF(Collections!A:A,A94)&gt;0,
  ""CRAFTIFACT"",COUNTIF(Craftifacts!A:A,A94)&gt;0,
  ""QUEST"",
   COUNTIF(
    Que"&amp;"sts!A:A,
    REGEXREPLACE(A94,""\.(accepted|finished)$"","""")
   )&gt;0,
  ""TECH"",COUNTIF(Technologies!A:A,A94)&gt;0,
  ""STATE"",COUNTIF(States!A:A,A94)&gt;0,
  FALSE
 )
)"),FALSE)</f>
        <v>0</v>
      </c>
      <c r="P94" s="64" t="str">
        <f t="shared" si="3"/>
        <v>Good</v>
      </c>
      <c r="Q94" s="65"/>
      <c r="R94" s="65"/>
      <c r="S94" s="65"/>
      <c r="T94" s="65"/>
      <c r="U94" s="6"/>
      <c r="V94" s="63" t="str">
        <f>IFERROR(__xludf.DUMMYFUNCTION("""COMPUTED_VALUE"""),"building.shop.maxed")</f>
        <v>building.shop.maxed</v>
      </c>
      <c r="W94" s="63"/>
      <c r="X94" s="63"/>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row>
    <row r="95" ht="14.25" customHeight="1">
      <c r="A95" s="26" t="str">
        <f t="shared" si="1"/>
        <v>building.shop@1</v>
      </c>
      <c r="B95" s="26" t="str">
        <f t="array" ref="B95">_xlfn.XLOOKUP(A95,Targets!A:A,Targets!C:C,"")</f>
        <v>BUILDING</v>
      </c>
      <c r="C95" s="64" t="b">
        <f>COUNTIF(Targets!A:A,A95)&gt;0</f>
        <v>1</v>
      </c>
      <c r="D95" s="64" t="b">
        <f>IF(
 OR(
  LEFT(A95,15)="state.character",
  RIGHT(A95,6)=".maxed"
 ),
 TRUE,
 COUNTIF(Checklist!A:A,A95)&gt;0
)</f>
        <v>1</v>
      </c>
      <c r="E95" s="64" t="b">
        <f>IF(
 OR(
  LEFT(A95,15)="state.character",
  RIGHT(A95,6)=".maxed",
  A95="building.guild@1",
  A95="quest.build_the_guild.accepted",
  A95="quest.build_the_pagoda.accepted"
 ),
 TRUE,
 COUNTIF(Dependencies!A:A,A95)&gt;0
)</f>
        <v>1</v>
      </c>
      <c r="F95" s="64" t="b">
        <f>COUNTIF(Dependencies!B:B,A95)&gt;0</f>
        <v>1</v>
      </c>
      <c r="G95" s="64" t="b">
        <f>COUNTIF(QuestObjectives!A:A,A95)&gt;0</f>
        <v>0</v>
      </c>
      <c r="H95" s="64" t="b">
        <f>COUNTIF(QuestObjectives!E:E,A95)&gt;0</f>
        <v>0</v>
      </c>
      <c r="I95" s="64" t="b">
        <f>COUNTIF(TargetStatus!A:A,A95)&gt;0</f>
        <v>1</v>
      </c>
      <c r="J95" s="64" t="b">
        <f>COUNTIF(CostStatus!B:B,A95)&gt;0</f>
        <v>1</v>
      </c>
      <c r="K95" s="64" t="b">
        <f>COUNTIF(States!A:A,A95)&gt;0</f>
        <v>0</v>
      </c>
      <c r="L95" s="64" t="b">
        <f t="shared" si="2"/>
        <v>1</v>
      </c>
      <c r="M95" s="64" t="b">
        <f>IF(A95="","",COUNTIF(Targets!A:A,A95)&gt;1)</f>
        <v>0</v>
      </c>
      <c r="N95" s="64" t="b">
        <f>IF(A95="","",COUNTIF(States!A:A,A95)&gt;1)</f>
        <v>0</v>
      </c>
      <c r="O95" s="64" t="b">
        <f>IFERROR(__xludf.DUMMYFUNCTION("IF(
 B95="""",
 """",
 SWITCH(
  B95,
  ""BUILDING"",COUNTIF(Buildings!A:A,A95)&gt;0,
  ""CITADEL"",COUNTIF(Citadel!A:A,A95)&gt;0,
  ""COLLECTION"",COUNTIF(Collections!A:A,A95)&gt;0,
  ""CRAFTIFACT"",COUNTIF(Craftifacts!A:A,A95)&gt;0,
  ""QUEST"",
   COUNTIF(
    Que"&amp;"sts!A:A,
    REGEXREPLACE(A95,""\.(accepted|finished)$"","""")
   )&gt;0,
  ""TECH"",COUNTIF(Technologies!A:A,A95)&gt;0,
  ""STATE"",COUNTIF(States!A:A,A95)&gt;0,
  FALSE
 )
)"),TRUE)</f>
        <v>1</v>
      </c>
      <c r="P95" s="64" t="str">
        <f t="shared" si="3"/>
        <v>Good</v>
      </c>
      <c r="Q95" s="65"/>
      <c r="R95" s="65"/>
      <c r="S95" s="65"/>
      <c r="T95" s="65"/>
      <c r="U95" s="6"/>
      <c r="V95" s="63" t="str">
        <f>IFERROR(__xludf.DUMMYFUNCTION("""COMPUTED_VALUE"""),"building.shop@1")</f>
        <v>building.shop@1</v>
      </c>
      <c r="W95" s="63"/>
      <c r="X95" s="63"/>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row>
    <row r="96" ht="14.25" customHeight="1">
      <c r="A96" s="26" t="str">
        <f t="shared" si="1"/>
        <v>building.shop@2</v>
      </c>
      <c r="B96" s="26" t="str">
        <f t="array" ref="B96">_xlfn.XLOOKUP(A96,Targets!A:A,Targets!C:C,"")</f>
        <v>BUILDING</v>
      </c>
      <c r="C96" s="64" t="b">
        <f>COUNTIF(Targets!A:A,A96)&gt;0</f>
        <v>1</v>
      </c>
      <c r="D96" s="64" t="b">
        <f>IF(
 OR(
  LEFT(A96,15)="state.character",
  RIGHT(A96,6)=".maxed"
 ),
 TRUE,
 COUNTIF(Checklist!A:A,A96)&gt;0
)</f>
        <v>1</v>
      </c>
      <c r="E96" s="64" t="b">
        <f>IF(
 OR(
  LEFT(A96,15)="state.character",
  RIGHT(A96,6)=".maxed",
  A96="building.guild@1",
  A96="quest.build_the_guild.accepted",
  A96="quest.build_the_pagoda.accepted"
 ),
 TRUE,
 COUNTIF(Dependencies!A:A,A96)&gt;0
)</f>
        <v>1</v>
      </c>
      <c r="F96" s="64" t="b">
        <f>COUNTIF(Dependencies!B:B,A96)&gt;0</f>
        <v>1</v>
      </c>
      <c r="G96" s="64" t="b">
        <f>COUNTIF(QuestObjectives!A:A,A96)&gt;0</f>
        <v>0</v>
      </c>
      <c r="H96" s="64" t="b">
        <f>COUNTIF(QuestObjectives!E:E,A96)&gt;0</f>
        <v>0</v>
      </c>
      <c r="I96" s="64" t="b">
        <f>COUNTIF(TargetStatus!A:A,A96)&gt;0</f>
        <v>1</v>
      </c>
      <c r="J96" s="64" t="b">
        <f>COUNTIF(CostStatus!B:B,A96)&gt;0</f>
        <v>1</v>
      </c>
      <c r="K96" s="64" t="b">
        <f>COUNTIF(States!A:A,A96)&gt;0</f>
        <v>0</v>
      </c>
      <c r="L96" s="64" t="b">
        <f t="shared" si="2"/>
        <v>1</v>
      </c>
      <c r="M96" s="64" t="b">
        <f>IF(A96="","",COUNTIF(Targets!A:A,A96)&gt;1)</f>
        <v>0</v>
      </c>
      <c r="N96" s="64" t="b">
        <f>IF(A96="","",COUNTIF(States!A:A,A96)&gt;1)</f>
        <v>0</v>
      </c>
      <c r="O96" s="64" t="b">
        <f>IFERROR(__xludf.DUMMYFUNCTION("IF(
 B96="""",
 """",
 SWITCH(
  B96,
  ""BUILDING"",COUNTIF(Buildings!A:A,A96)&gt;0,
  ""CITADEL"",COUNTIF(Citadel!A:A,A96)&gt;0,
  ""COLLECTION"",COUNTIF(Collections!A:A,A96)&gt;0,
  ""CRAFTIFACT"",COUNTIF(Craftifacts!A:A,A96)&gt;0,
  ""QUEST"",
   COUNTIF(
    Que"&amp;"sts!A:A,
    REGEXREPLACE(A96,""\.(accepted|finished)$"","""")
   )&gt;0,
  ""TECH"",COUNTIF(Technologies!A:A,A96)&gt;0,
  ""STATE"",COUNTIF(States!A:A,A96)&gt;0,
  FALSE
 )
)"),TRUE)</f>
        <v>1</v>
      </c>
      <c r="P96" s="64" t="str">
        <f t="shared" si="3"/>
        <v>Good</v>
      </c>
      <c r="Q96" s="65"/>
      <c r="R96" s="65"/>
      <c r="S96" s="65"/>
      <c r="T96" s="65"/>
      <c r="U96" s="6"/>
      <c r="V96" s="63" t="str">
        <f>IFERROR(__xludf.DUMMYFUNCTION("""COMPUTED_VALUE"""),"building.shop@2")</f>
        <v>building.shop@2</v>
      </c>
      <c r="W96" s="63"/>
      <c r="X96" s="63"/>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row>
    <row r="97" ht="14.25" customHeight="1">
      <c r="A97" s="26" t="str">
        <f t="shared" si="1"/>
        <v>building.shop@3</v>
      </c>
      <c r="B97" s="26" t="str">
        <f t="array" ref="B97">_xlfn.XLOOKUP(A97,Targets!A:A,Targets!C:C,"")</f>
        <v>BUILDING</v>
      </c>
      <c r="C97" s="64" t="b">
        <f>COUNTIF(Targets!A:A,A97)&gt;0</f>
        <v>1</v>
      </c>
      <c r="D97" s="64" t="b">
        <f>IF(
 OR(
  LEFT(A97,15)="state.character",
  RIGHT(A97,6)=".maxed"
 ),
 TRUE,
 COUNTIF(Checklist!A:A,A97)&gt;0
)</f>
        <v>1</v>
      </c>
      <c r="E97" s="64" t="b">
        <f>IF(
 OR(
  LEFT(A97,15)="state.character",
  RIGHT(A97,6)=".maxed",
  A97="building.guild@1",
  A97="quest.build_the_guild.accepted",
  A97="quest.build_the_pagoda.accepted"
 ),
 TRUE,
 COUNTIF(Dependencies!A:A,A97)&gt;0
)</f>
        <v>1</v>
      </c>
      <c r="F97" s="64" t="b">
        <f>COUNTIF(Dependencies!B:B,A97)&gt;0</f>
        <v>1</v>
      </c>
      <c r="G97" s="64" t="b">
        <f>COUNTIF(QuestObjectives!A:A,A97)&gt;0</f>
        <v>0</v>
      </c>
      <c r="H97" s="64" t="b">
        <f>COUNTIF(QuestObjectives!E:E,A97)&gt;0</f>
        <v>0</v>
      </c>
      <c r="I97" s="64" t="b">
        <f>COUNTIF(TargetStatus!A:A,A97)&gt;0</f>
        <v>1</v>
      </c>
      <c r="J97" s="64" t="b">
        <f>COUNTIF(CostStatus!B:B,A97)&gt;0</f>
        <v>1</v>
      </c>
      <c r="K97" s="64" t="b">
        <f>COUNTIF(States!A:A,A97)&gt;0</f>
        <v>0</v>
      </c>
      <c r="L97" s="64" t="b">
        <f t="shared" si="2"/>
        <v>1</v>
      </c>
      <c r="M97" s="64" t="b">
        <f>IF(A97="","",COUNTIF(Targets!A:A,A97)&gt;1)</f>
        <v>0</v>
      </c>
      <c r="N97" s="64" t="b">
        <f>IF(A97="","",COUNTIF(States!A:A,A97)&gt;1)</f>
        <v>0</v>
      </c>
      <c r="O97" s="64" t="b">
        <f>IFERROR(__xludf.DUMMYFUNCTION("IF(
 B97="""",
 """",
 SWITCH(
  B97,
  ""BUILDING"",COUNTIF(Buildings!A:A,A97)&gt;0,
  ""CITADEL"",COUNTIF(Citadel!A:A,A97)&gt;0,
  ""COLLECTION"",COUNTIF(Collections!A:A,A97)&gt;0,
  ""CRAFTIFACT"",COUNTIF(Craftifacts!A:A,A97)&gt;0,
  ""QUEST"",
   COUNTIF(
    Que"&amp;"sts!A:A,
    REGEXREPLACE(A97,""\.(accepted|finished)$"","""")
   )&gt;0,
  ""TECH"",COUNTIF(Technologies!A:A,A97)&gt;0,
  ""STATE"",COUNTIF(States!A:A,A97)&gt;0,
  FALSE
 )
)"),TRUE)</f>
        <v>1</v>
      </c>
      <c r="P97" s="64" t="str">
        <f t="shared" si="3"/>
        <v>Good</v>
      </c>
      <c r="Q97" s="65"/>
      <c r="R97" s="65"/>
      <c r="S97" s="65"/>
      <c r="T97" s="65"/>
      <c r="U97" s="6"/>
      <c r="V97" s="63" t="str">
        <f>IFERROR(__xludf.DUMMYFUNCTION("""COMPUTED_VALUE"""),"building.shop@3")</f>
        <v>building.shop@3</v>
      </c>
      <c r="W97" s="63"/>
      <c r="X97" s="63"/>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row>
    <row r="98" ht="14.25" customHeight="1">
      <c r="A98" s="26" t="str">
        <f t="shared" si="1"/>
        <v>building.smithy.maxed</v>
      </c>
      <c r="B98" s="26" t="str">
        <f t="array" ref="B98">_xlfn.XLOOKUP(A98,Targets!A:A,Targets!C:C,"")</f>
        <v>BUILDING</v>
      </c>
      <c r="C98" s="64" t="b">
        <f>COUNTIF(Targets!A:A,A98)&gt;0</f>
        <v>1</v>
      </c>
      <c r="D98" s="64" t="b">
        <f>IF(
 OR(
  LEFT(A98,15)="state.character",
  RIGHT(A98,6)=".maxed"
 ),
 TRUE,
 COUNTIF(Checklist!A:A,A98)&gt;0
)</f>
        <v>1</v>
      </c>
      <c r="E98" s="64" t="b">
        <f>IF(
 OR(
  LEFT(A98,15)="state.character",
  RIGHT(A98,6)=".maxed",
  A98="building.guild@1",
  A98="quest.build_the_guild.accepted",
  A98="quest.build_the_pagoda.accepted"
 ),
 TRUE,
 COUNTIF(Dependencies!A:A,A98)&gt;0
)</f>
        <v>1</v>
      </c>
      <c r="F98" s="64" t="b">
        <f>COUNTIF(Dependencies!B:B,A98)&gt;0</f>
        <v>1</v>
      </c>
      <c r="G98" s="64" t="b">
        <f>COUNTIF(QuestObjectives!A:A,A98)&gt;0</f>
        <v>0</v>
      </c>
      <c r="H98" s="64" t="b">
        <f>COUNTIF(QuestObjectives!E:E,A98)&gt;0</f>
        <v>0</v>
      </c>
      <c r="I98" s="64" t="b">
        <f>COUNTIF(TargetStatus!A:A,A98)&gt;0</f>
        <v>1</v>
      </c>
      <c r="J98" s="64" t="b">
        <f>COUNTIF(CostStatus!B:B,A98)&gt;0</f>
        <v>0</v>
      </c>
      <c r="K98" s="64" t="b">
        <f>COUNTIF(States!A:A,A98)&gt;0</f>
        <v>0</v>
      </c>
      <c r="L98" s="64" t="b">
        <f t="shared" si="2"/>
        <v>1</v>
      </c>
      <c r="M98" s="64" t="b">
        <f>IF(A98="","",COUNTIF(Targets!A:A,A98)&gt;1)</f>
        <v>0</v>
      </c>
      <c r="N98" s="64" t="b">
        <f>IF(A98="","",COUNTIF(States!A:A,A98)&gt;1)</f>
        <v>0</v>
      </c>
      <c r="O98" s="64" t="b">
        <f>IFERROR(__xludf.DUMMYFUNCTION("IF(
 B98="""",
 """",
 SWITCH(
  B98,
  ""BUILDING"",COUNTIF(Buildings!A:A,A98)&gt;0,
  ""CITADEL"",COUNTIF(Citadel!A:A,A98)&gt;0,
  ""COLLECTION"",COUNTIF(Collections!A:A,A98)&gt;0,
  ""CRAFTIFACT"",COUNTIF(Craftifacts!A:A,A98)&gt;0,
  ""QUEST"",
   COUNTIF(
    Que"&amp;"sts!A:A,
    REGEXREPLACE(A98,""\.(accepted|finished)$"","""")
   )&gt;0,
  ""TECH"",COUNTIF(Technologies!A:A,A98)&gt;0,
  ""STATE"",COUNTIF(States!A:A,A98)&gt;0,
  FALSE
 )
)"),FALSE)</f>
        <v>0</v>
      </c>
      <c r="P98" s="64" t="str">
        <f t="shared" si="3"/>
        <v>Good</v>
      </c>
      <c r="Q98" s="65"/>
      <c r="R98" s="65"/>
      <c r="S98" s="65"/>
      <c r="T98" s="65"/>
      <c r="U98" s="6"/>
      <c r="V98" s="6" t="str">
        <f>IFERROR(__xludf.DUMMYFUNCTION("""COMPUTED_VALUE"""),"building.smithy.maxed")</f>
        <v>building.smithy.maxed</v>
      </c>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row>
    <row r="99" ht="14.25" customHeight="1">
      <c r="A99" s="26" t="str">
        <f t="shared" si="1"/>
        <v>building.smithy@1</v>
      </c>
      <c r="B99" s="26" t="str">
        <f t="array" ref="B99">_xlfn.XLOOKUP(A99,Targets!A:A,Targets!C:C,"")</f>
        <v>BUILDING</v>
      </c>
      <c r="C99" s="64" t="b">
        <f>COUNTIF(Targets!A:A,A99)&gt;0</f>
        <v>1</v>
      </c>
      <c r="D99" s="64" t="b">
        <f>IF(
 OR(
  LEFT(A99,15)="state.character",
  RIGHT(A99,6)=".maxed"
 ),
 TRUE,
 COUNTIF(Checklist!A:A,A99)&gt;0
)</f>
        <v>1</v>
      </c>
      <c r="E99" s="64" t="b">
        <f>IF(
 OR(
  LEFT(A99,15)="state.character",
  RIGHT(A99,6)=".maxed",
  A99="building.guild@1",
  A99="quest.build_the_guild.accepted",
  A99="quest.build_the_pagoda.accepted"
 ),
 TRUE,
 COUNTIF(Dependencies!A:A,A99)&gt;0
)</f>
        <v>1</v>
      </c>
      <c r="F99" s="64" t="b">
        <f>COUNTIF(Dependencies!B:B,A99)&gt;0</f>
        <v>1</v>
      </c>
      <c r="G99" s="64" t="b">
        <f>COUNTIF(QuestObjectives!A:A,A99)&gt;0</f>
        <v>0</v>
      </c>
      <c r="H99" s="64" t="b">
        <f>COUNTIF(QuestObjectives!E:E,A99)&gt;0</f>
        <v>0</v>
      </c>
      <c r="I99" s="64" t="b">
        <f>COUNTIF(TargetStatus!A:A,A99)&gt;0</f>
        <v>1</v>
      </c>
      <c r="J99" s="64" t="b">
        <f>COUNTIF(CostStatus!B:B,A99)&gt;0</f>
        <v>1</v>
      </c>
      <c r="K99" s="64" t="b">
        <f>COUNTIF(States!A:A,A99)&gt;0</f>
        <v>0</v>
      </c>
      <c r="L99" s="64" t="b">
        <f t="shared" si="2"/>
        <v>1</v>
      </c>
      <c r="M99" s="64" t="b">
        <f>IF(A99="","",COUNTIF(Targets!A:A,A99)&gt;1)</f>
        <v>0</v>
      </c>
      <c r="N99" s="64" t="b">
        <f>IF(A99="","",COUNTIF(States!A:A,A99)&gt;1)</f>
        <v>0</v>
      </c>
      <c r="O99" s="64" t="b">
        <f>IFERROR(__xludf.DUMMYFUNCTION("IF(
 B99="""",
 """",
 SWITCH(
  B99,
  ""BUILDING"",COUNTIF(Buildings!A:A,A99)&gt;0,
  ""CITADEL"",COUNTIF(Citadel!A:A,A99)&gt;0,
  ""COLLECTION"",COUNTIF(Collections!A:A,A99)&gt;0,
  ""CRAFTIFACT"",COUNTIF(Craftifacts!A:A,A99)&gt;0,
  ""QUEST"",
   COUNTIF(
    Que"&amp;"sts!A:A,
    REGEXREPLACE(A99,""\.(accepted|finished)$"","""")
   )&gt;0,
  ""TECH"",COUNTIF(Technologies!A:A,A99)&gt;0,
  ""STATE"",COUNTIF(States!A:A,A99)&gt;0,
  FALSE
 )
)"),TRUE)</f>
        <v>1</v>
      </c>
      <c r="P99" s="64" t="str">
        <f t="shared" si="3"/>
        <v>Good</v>
      </c>
      <c r="Q99" s="65"/>
      <c r="R99" s="65"/>
      <c r="S99" s="65"/>
      <c r="T99" s="65"/>
      <c r="U99" s="6"/>
      <c r="V99" s="6" t="str">
        <f>IFERROR(__xludf.DUMMYFUNCTION("""COMPUTED_VALUE"""),"building.smithy@1")</f>
        <v>building.smithy@1</v>
      </c>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row>
    <row r="100" ht="14.25" customHeight="1">
      <c r="A100" s="26" t="str">
        <f t="shared" si="1"/>
        <v>building.smithy@2</v>
      </c>
      <c r="B100" s="26" t="str">
        <f t="array" ref="B100">_xlfn.XLOOKUP(A100,Targets!A:A,Targets!C:C,"")</f>
        <v>BUILDING</v>
      </c>
      <c r="C100" s="64" t="b">
        <f>COUNTIF(Targets!A:A,A100)&gt;0</f>
        <v>1</v>
      </c>
      <c r="D100" s="64" t="b">
        <f>IF(
 OR(
  LEFT(A100,15)="state.character",
  RIGHT(A100,6)=".maxed"
 ),
 TRUE,
 COUNTIF(Checklist!A:A,A100)&gt;0
)</f>
        <v>1</v>
      </c>
      <c r="E100" s="64" t="b">
        <f>IF(
 OR(
  LEFT(A100,15)="state.character",
  RIGHT(A100,6)=".maxed",
  A100="building.guild@1",
  A100="quest.build_the_guild.accepted",
  A100="quest.build_the_pagoda.accepted"
 ),
 TRUE,
 COUNTIF(Dependencies!A:A,A100)&gt;0
)</f>
        <v>1</v>
      </c>
      <c r="F100" s="64" t="b">
        <f>COUNTIF(Dependencies!B:B,A100)&gt;0</f>
        <v>1</v>
      </c>
      <c r="G100" s="64" t="b">
        <f>COUNTIF(QuestObjectives!A:A,A100)&gt;0</f>
        <v>0</v>
      </c>
      <c r="H100" s="64" t="b">
        <f>COUNTIF(QuestObjectives!E:E,A100)&gt;0</f>
        <v>0</v>
      </c>
      <c r="I100" s="64" t="b">
        <f>COUNTIF(TargetStatus!A:A,A100)&gt;0</f>
        <v>1</v>
      </c>
      <c r="J100" s="64" t="b">
        <f>COUNTIF(CostStatus!B:B,A100)&gt;0</f>
        <v>1</v>
      </c>
      <c r="K100" s="64" t="b">
        <f>COUNTIF(States!A:A,A100)&gt;0</f>
        <v>0</v>
      </c>
      <c r="L100" s="64" t="b">
        <f t="shared" si="2"/>
        <v>1</v>
      </c>
      <c r="M100" s="64" t="b">
        <f>IF(A100="","",COUNTIF(Targets!A:A,A100)&gt;1)</f>
        <v>0</v>
      </c>
      <c r="N100" s="64" t="b">
        <f>IF(A100="","",COUNTIF(States!A:A,A100)&gt;1)</f>
        <v>0</v>
      </c>
      <c r="O100" s="64" t="b">
        <f>IFERROR(__xludf.DUMMYFUNCTION("IF(
 B100="""",
 """",
 SWITCH(
  B100,
  ""BUILDING"",COUNTIF(Buildings!A:A,A100)&gt;0,
  ""CITADEL"",COUNTIF(Citadel!A:A,A100)&gt;0,
  ""COLLECTION"",COUNTIF(Collections!A:A,A100)&gt;0,
  ""CRAFTIFACT"",COUNTIF(Craftifacts!A:A,A100)&gt;0,
  ""QUEST"",
   COUNTIF(
 "&amp;"   Quests!A:A,
    REGEXREPLACE(A100,""\.(accepted|finished)$"","""")
   )&gt;0,
  ""TECH"",COUNTIF(Technologies!A:A,A100)&gt;0,
  ""STATE"",COUNTIF(States!A:A,A100)&gt;0,
  FALSE
 )
)"),TRUE)</f>
        <v>1</v>
      </c>
      <c r="P100" s="64" t="str">
        <f t="shared" si="3"/>
        <v>Good</v>
      </c>
      <c r="Q100" s="65"/>
      <c r="R100" s="65"/>
      <c r="S100" s="65"/>
      <c r="T100" s="65"/>
      <c r="U100" s="6"/>
      <c r="V100" s="6" t="str">
        <f>IFERROR(__xludf.DUMMYFUNCTION("""COMPUTED_VALUE"""),"building.smithy@2")</f>
        <v>building.smithy@2</v>
      </c>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row>
    <row r="101" ht="14.25" customHeight="1">
      <c r="A101" s="26" t="str">
        <f t="shared" si="1"/>
        <v>building.smithy@3</v>
      </c>
      <c r="B101" s="26" t="str">
        <f t="array" ref="B101">_xlfn.XLOOKUP(A101,Targets!A:A,Targets!C:C,"")</f>
        <v>BUILDING</v>
      </c>
      <c r="C101" s="64" t="b">
        <f>COUNTIF(Targets!A:A,A101)&gt;0</f>
        <v>1</v>
      </c>
      <c r="D101" s="64" t="b">
        <f>IF(
 OR(
  LEFT(A101,15)="state.character",
  RIGHT(A101,6)=".maxed"
 ),
 TRUE,
 COUNTIF(Checklist!A:A,A101)&gt;0
)</f>
        <v>1</v>
      </c>
      <c r="E101" s="64" t="b">
        <f>IF(
 OR(
  LEFT(A101,15)="state.character",
  RIGHT(A101,6)=".maxed",
  A101="building.guild@1",
  A101="quest.build_the_guild.accepted",
  A101="quest.build_the_pagoda.accepted"
 ),
 TRUE,
 COUNTIF(Dependencies!A:A,A101)&gt;0
)</f>
        <v>1</v>
      </c>
      <c r="F101" s="64" t="b">
        <f>COUNTIF(Dependencies!B:B,A101)&gt;0</f>
        <v>1</v>
      </c>
      <c r="G101" s="64" t="b">
        <f>COUNTIF(QuestObjectives!A:A,A101)&gt;0</f>
        <v>0</v>
      </c>
      <c r="H101" s="64" t="b">
        <f>COUNTIF(QuestObjectives!E:E,A101)&gt;0</f>
        <v>0</v>
      </c>
      <c r="I101" s="64" t="b">
        <f>COUNTIF(TargetStatus!A:A,A101)&gt;0</f>
        <v>1</v>
      </c>
      <c r="J101" s="64" t="b">
        <f>COUNTIF(CostStatus!B:B,A101)&gt;0</f>
        <v>1</v>
      </c>
      <c r="K101" s="64" t="b">
        <f>COUNTIF(States!A:A,A101)&gt;0</f>
        <v>0</v>
      </c>
      <c r="L101" s="64" t="b">
        <f t="shared" si="2"/>
        <v>1</v>
      </c>
      <c r="M101" s="64" t="b">
        <f>IF(A101="","",COUNTIF(Targets!A:A,A101)&gt;1)</f>
        <v>0</v>
      </c>
      <c r="N101" s="64" t="b">
        <f>IF(A101="","",COUNTIF(States!A:A,A101)&gt;1)</f>
        <v>0</v>
      </c>
      <c r="O101" s="64" t="b">
        <f>IFERROR(__xludf.DUMMYFUNCTION("IF(
 B101="""",
 """",
 SWITCH(
  B101,
  ""BUILDING"",COUNTIF(Buildings!A:A,A101)&gt;0,
  ""CITADEL"",COUNTIF(Citadel!A:A,A101)&gt;0,
  ""COLLECTION"",COUNTIF(Collections!A:A,A101)&gt;0,
  ""CRAFTIFACT"",COUNTIF(Craftifacts!A:A,A101)&gt;0,
  ""QUEST"",
   COUNTIF(
 "&amp;"   Quests!A:A,
    REGEXREPLACE(A101,""\.(accepted|finished)$"","""")
   )&gt;0,
  ""TECH"",COUNTIF(Technologies!A:A,A101)&gt;0,
  ""STATE"",COUNTIF(States!A:A,A101)&gt;0,
  FALSE
 )
)"),TRUE)</f>
        <v>1</v>
      </c>
      <c r="P101" s="64" t="str">
        <f t="shared" si="3"/>
        <v>Good</v>
      </c>
      <c r="Q101" s="65"/>
      <c r="R101" s="65"/>
      <c r="S101" s="65"/>
      <c r="T101" s="65"/>
      <c r="U101" s="6"/>
      <c r="V101" s="6" t="str">
        <f>IFERROR(__xludf.DUMMYFUNCTION("""COMPUTED_VALUE"""),"building.smithy@3")</f>
        <v>building.smithy@3</v>
      </c>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row>
    <row r="102" ht="14.25" customHeight="1">
      <c r="A102" s="26" t="str">
        <f t="shared" si="1"/>
        <v>building.station@1</v>
      </c>
      <c r="B102" s="26" t="str">
        <f t="array" ref="B102">_xlfn.XLOOKUP(A102,Targets!A:A,Targets!C:C,"")</f>
        <v>BUILDING</v>
      </c>
      <c r="C102" s="64" t="b">
        <f>COUNTIF(Targets!A:A,A102)&gt;0</f>
        <v>1</v>
      </c>
      <c r="D102" s="64" t="b">
        <f>IF(
 OR(
  LEFT(A102,15)="state.character",
  RIGHT(A102,6)=".maxed"
 ),
 TRUE,
 COUNTIF(Checklist!A:A,A102)&gt;0
)</f>
        <v>1</v>
      </c>
      <c r="E102" s="64" t="b">
        <f>IF(
 OR(
  LEFT(A102,15)="state.character",
  RIGHT(A102,6)=".maxed",
  A102="building.guild@1",
  A102="quest.build_the_guild.accepted",
  A102="quest.build_the_pagoda.accepted"
 ),
 TRUE,
 COUNTIF(Dependencies!A:A,A102)&gt;0
)</f>
        <v>1</v>
      </c>
      <c r="F102" s="64" t="b">
        <f>COUNTIF(Dependencies!B:B,A102)&gt;0</f>
        <v>1</v>
      </c>
      <c r="G102" s="64" t="b">
        <f>COUNTIF(QuestObjectives!A:A,A102)&gt;0</f>
        <v>0</v>
      </c>
      <c r="H102" s="64" t="b">
        <f>COUNTIF(QuestObjectives!E:E,A102)&gt;0</f>
        <v>1</v>
      </c>
      <c r="I102" s="64" t="b">
        <f>COUNTIF(TargetStatus!A:A,A102)&gt;0</f>
        <v>1</v>
      </c>
      <c r="J102" s="64" t="b">
        <f>COUNTIF(CostStatus!B:B,A102)&gt;0</f>
        <v>1</v>
      </c>
      <c r="K102" s="64" t="b">
        <f>COUNTIF(States!A:A,A102)&gt;0</f>
        <v>0</v>
      </c>
      <c r="L102" s="64" t="b">
        <f t="shared" si="2"/>
        <v>1</v>
      </c>
      <c r="M102" s="64" t="b">
        <f>IF(A102="","",COUNTIF(Targets!A:A,A102)&gt;1)</f>
        <v>0</v>
      </c>
      <c r="N102" s="64" t="b">
        <f>IF(A102="","",COUNTIF(States!A:A,A102)&gt;1)</f>
        <v>0</v>
      </c>
      <c r="O102" s="64" t="b">
        <f>IFERROR(__xludf.DUMMYFUNCTION("IF(
 B102="""",
 """",
 SWITCH(
  B102,
  ""BUILDING"",COUNTIF(Buildings!A:A,A102)&gt;0,
  ""CITADEL"",COUNTIF(Citadel!A:A,A102)&gt;0,
  ""COLLECTION"",COUNTIF(Collections!A:A,A102)&gt;0,
  ""CRAFTIFACT"",COUNTIF(Craftifacts!A:A,A102)&gt;0,
  ""QUEST"",
   COUNTIF(
 "&amp;"   Quests!A:A,
    REGEXREPLACE(A102,""\.(accepted|finished)$"","""")
   )&gt;0,
  ""TECH"",COUNTIF(Technologies!A:A,A102)&gt;0,
  ""STATE"",COUNTIF(States!A:A,A102)&gt;0,
  FALSE
 )
)"),TRUE)</f>
        <v>1</v>
      </c>
      <c r="P102" s="64" t="str">
        <f t="shared" si="3"/>
        <v>Good</v>
      </c>
      <c r="Q102" s="65"/>
      <c r="R102" s="65"/>
      <c r="S102" s="65"/>
      <c r="T102" s="65"/>
      <c r="U102" s="6"/>
      <c r="V102" s="6" t="str">
        <f>IFERROR(__xludf.DUMMYFUNCTION("""COMPUTED_VALUE"""),"building.station@1")</f>
        <v>building.station@1</v>
      </c>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row>
    <row r="103" ht="14.25" customHeight="1">
      <c r="A103" s="26" t="str">
        <f t="shared" si="1"/>
        <v>building.tailor.maxed</v>
      </c>
      <c r="B103" s="26" t="str">
        <f t="array" ref="B103">_xlfn.XLOOKUP(A103,Targets!A:A,Targets!C:C,"")</f>
        <v>BUILDING</v>
      </c>
      <c r="C103" s="64" t="b">
        <f>COUNTIF(Targets!A:A,A103)&gt;0</f>
        <v>1</v>
      </c>
      <c r="D103" s="64" t="b">
        <f>IF(
 OR(
  LEFT(A103,15)="state.character",
  RIGHT(A103,6)=".maxed"
 ),
 TRUE,
 COUNTIF(Checklist!A:A,A103)&gt;0
)</f>
        <v>1</v>
      </c>
      <c r="E103" s="64" t="b">
        <f>IF(
 OR(
  LEFT(A103,15)="state.character",
  RIGHT(A103,6)=".maxed",
  A103="building.guild@1",
  A103="quest.build_the_guild.accepted",
  A103="quest.build_the_pagoda.accepted"
 ),
 TRUE,
 COUNTIF(Dependencies!A:A,A103)&gt;0
)</f>
        <v>1</v>
      </c>
      <c r="F103" s="64" t="b">
        <f>COUNTIF(Dependencies!B:B,A103)&gt;0</f>
        <v>1</v>
      </c>
      <c r="G103" s="64" t="b">
        <f>COUNTIF(QuestObjectives!A:A,A103)&gt;0</f>
        <v>0</v>
      </c>
      <c r="H103" s="64" t="b">
        <f>COUNTIF(QuestObjectives!E:E,A103)&gt;0</f>
        <v>0</v>
      </c>
      <c r="I103" s="64" t="b">
        <f>COUNTIF(TargetStatus!A:A,A103)&gt;0</f>
        <v>1</v>
      </c>
      <c r="J103" s="64" t="b">
        <f>COUNTIF(CostStatus!B:B,A103)&gt;0</f>
        <v>0</v>
      </c>
      <c r="K103" s="64" t="b">
        <f>COUNTIF(States!A:A,A103)&gt;0</f>
        <v>0</v>
      </c>
      <c r="L103" s="64" t="b">
        <f t="shared" si="2"/>
        <v>1</v>
      </c>
      <c r="M103" s="64" t="b">
        <f>IF(A103="","",COUNTIF(Targets!A:A,A103)&gt;1)</f>
        <v>0</v>
      </c>
      <c r="N103" s="64" t="b">
        <f>IF(A103="","",COUNTIF(States!A:A,A103)&gt;1)</f>
        <v>0</v>
      </c>
      <c r="O103" s="64" t="b">
        <f>IFERROR(__xludf.DUMMYFUNCTION("IF(
 B103="""",
 """",
 SWITCH(
  B103,
  ""BUILDING"",COUNTIF(Buildings!A:A,A103)&gt;0,
  ""CITADEL"",COUNTIF(Citadel!A:A,A103)&gt;0,
  ""COLLECTION"",COUNTIF(Collections!A:A,A103)&gt;0,
  ""CRAFTIFACT"",COUNTIF(Craftifacts!A:A,A103)&gt;0,
  ""QUEST"",
   COUNTIF(
 "&amp;"   Quests!A:A,
    REGEXREPLACE(A103,""\.(accepted|finished)$"","""")
   )&gt;0,
  ""TECH"",COUNTIF(Technologies!A:A,A103)&gt;0,
  ""STATE"",COUNTIF(States!A:A,A103)&gt;0,
  FALSE
 )
)"),FALSE)</f>
        <v>0</v>
      </c>
      <c r="P103" s="64" t="str">
        <f t="shared" si="3"/>
        <v>Good</v>
      </c>
      <c r="Q103" s="65"/>
      <c r="R103" s="65"/>
      <c r="S103" s="65"/>
      <c r="T103" s="65"/>
      <c r="U103" s="6"/>
      <c r="V103" s="6" t="str">
        <f>IFERROR(__xludf.DUMMYFUNCTION("""COMPUTED_VALUE"""),"building.tailor.maxed")</f>
        <v>building.tailor.maxed</v>
      </c>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row>
    <row r="104" ht="14.25" customHeight="1">
      <c r="A104" s="26" t="str">
        <f t="shared" si="1"/>
        <v>building.tailor@1</v>
      </c>
      <c r="B104" s="26" t="str">
        <f t="array" ref="B104">_xlfn.XLOOKUP(A104,Targets!A:A,Targets!C:C,"")</f>
        <v>BUILDING</v>
      </c>
      <c r="C104" s="64" t="b">
        <f>COUNTIF(Targets!A:A,A104)&gt;0</f>
        <v>1</v>
      </c>
      <c r="D104" s="64" t="b">
        <f>IF(
 OR(
  LEFT(A104,15)="state.character",
  RIGHT(A104,6)=".maxed"
 ),
 TRUE,
 COUNTIF(Checklist!A:A,A104)&gt;0
)</f>
        <v>1</v>
      </c>
      <c r="E104" s="64" t="b">
        <f>IF(
 OR(
  LEFT(A104,15)="state.character",
  RIGHT(A104,6)=".maxed",
  A104="building.guild@1",
  A104="quest.build_the_guild.accepted",
  A104="quest.build_the_pagoda.accepted"
 ),
 TRUE,
 COUNTIF(Dependencies!A:A,A104)&gt;0
)</f>
        <v>1</v>
      </c>
      <c r="F104" s="64" t="b">
        <f>COUNTIF(Dependencies!B:B,A104)&gt;0</f>
        <v>1</v>
      </c>
      <c r="G104" s="64" t="b">
        <f>COUNTIF(QuestObjectives!A:A,A104)&gt;0</f>
        <v>0</v>
      </c>
      <c r="H104" s="64" t="b">
        <f>COUNTIF(QuestObjectives!E:E,A104)&gt;0</f>
        <v>0</v>
      </c>
      <c r="I104" s="64" t="b">
        <f>COUNTIF(TargetStatus!A:A,A104)&gt;0</f>
        <v>1</v>
      </c>
      <c r="J104" s="64" t="b">
        <f>COUNTIF(CostStatus!B:B,A104)&gt;0</f>
        <v>1</v>
      </c>
      <c r="K104" s="64" t="b">
        <f>COUNTIF(States!A:A,A104)&gt;0</f>
        <v>0</v>
      </c>
      <c r="L104" s="64" t="b">
        <f t="shared" si="2"/>
        <v>1</v>
      </c>
      <c r="M104" s="64" t="b">
        <f>IF(A104="","",COUNTIF(Targets!A:A,A104)&gt;1)</f>
        <v>0</v>
      </c>
      <c r="N104" s="64" t="b">
        <f>IF(A104="","",COUNTIF(States!A:A,A104)&gt;1)</f>
        <v>0</v>
      </c>
      <c r="O104" s="64" t="b">
        <f>IFERROR(__xludf.DUMMYFUNCTION("IF(
 B104="""",
 """",
 SWITCH(
  B104,
  ""BUILDING"",COUNTIF(Buildings!A:A,A104)&gt;0,
  ""CITADEL"",COUNTIF(Citadel!A:A,A104)&gt;0,
  ""COLLECTION"",COUNTIF(Collections!A:A,A104)&gt;0,
  ""CRAFTIFACT"",COUNTIF(Craftifacts!A:A,A104)&gt;0,
  ""QUEST"",
   COUNTIF(
 "&amp;"   Quests!A:A,
    REGEXREPLACE(A104,""\.(accepted|finished)$"","""")
   )&gt;0,
  ""TECH"",COUNTIF(Technologies!A:A,A104)&gt;0,
  ""STATE"",COUNTIF(States!A:A,A104)&gt;0,
  FALSE
 )
)"),TRUE)</f>
        <v>1</v>
      </c>
      <c r="P104" s="64" t="str">
        <f t="shared" si="3"/>
        <v>Good</v>
      </c>
      <c r="Q104" s="65"/>
      <c r="R104" s="65"/>
      <c r="S104" s="65"/>
      <c r="T104" s="65"/>
      <c r="U104" s="6"/>
      <c r="V104" s="6" t="str">
        <f>IFERROR(__xludf.DUMMYFUNCTION("""COMPUTED_VALUE"""),"building.tailor@1")</f>
        <v>building.tailor@1</v>
      </c>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row>
    <row r="105" ht="14.25" customHeight="1">
      <c r="A105" s="26" t="str">
        <f t="shared" si="1"/>
        <v>building.tailor@2</v>
      </c>
      <c r="B105" s="26" t="str">
        <f t="array" ref="B105">_xlfn.XLOOKUP(A105,Targets!A:A,Targets!C:C,"")</f>
        <v>BUILDING</v>
      </c>
      <c r="C105" s="64" t="b">
        <f>COUNTIF(Targets!A:A,A105)&gt;0</f>
        <v>1</v>
      </c>
      <c r="D105" s="64" t="b">
        <f>IF(
 OR(
  LEFT(A105,15)="state.character",
  RIGHT(A105,6)=".maxed"
 ),
 TRUE,
 COUNTIF(Checklist!A:A,A105)&gt;0
)</f>
        <v>1</v>
      </c>
      <c r="E105" s="64" t="b">
        <f>IF(
 OR(
  LEFT(A105,15)="state.character",
  RIGHT(A105,6)=".maxed",
  A105="building.guild@1",
  A105="quest.build_the_guild.accepted",
  A105="quest.build_the_pagoda.accepted"
 ),
 TRUE,
 COUNTIF(Dependencies!A:A,A105)&gt;0
)</f>
        <v>1</v>
      </c>
      <c r="F105" s="64" t="b">
        <f>COUNTIF(Dependencies!B:B,A105)&gt;0</f>
        <v>1</v>
      </c>
      <c r="G105" s="64" t="b">
        <f>COUNTIF(QuestObjectives!A:A,A105)&gt;0</f>
        <v>0</v>
      </c>
      <c r="H105" s="64" t="b">
        <f>COUNTIF(QuestObjectives!E:E,A105)&gt;0</f>
        <v>0</v>
      </c>
      <c r="I105" s="64" t="b">
        <f>COUNTIF(TargetStatus!A:A,A105)&gt;0</f>
        <v>1</v>
      </c>
      <c r="J105" s="64" t="b">
        <f>COUNTIF(CostStatus!B:B,A105)&gt;0</f>
        <v>1</v>
      </c>
      <c r="K105" s="64" t="b">
        <f>COUNTIF(States!A:A,A105)&gt;0</f>
        <v>0</v>
      </c>
      <c r="L105" s="64" t="b">
        <f t="shared" si="2"/>
        <v>1</v>
      </c>
      <c r="M105" s="64" t="b">
        <f>IF(A105="","",COUNTIF(Targets!A:A,A105)&gt;1)</f>
        <v>0</v>
      </c>
      <c r="N105" s="64" t="b">
        <f>IF(A105="","",COUNTIF(States!A:A,A105)&gt;1)</f>
        <v>0</v>
      </c>
      <c r="O105" s="64" t="b">
        <f>IFERROR(__xludf.DUMMYFUNCTION("IF(
 B105="""",
 """",
 SWITCH(
  B105,
  ""BUILDING"",COUNTIF(Buildings!A:A,A105)&gt;0,
  ""CITADEL"",COUNTIF(Citadel!A:A,A105)&gt;0,
  ""COLLECTION"",COUNTIF(Collections!A:A,A105)&gt;0,
  ""CRAFTIFACT"",COUNTIF(Craftifacts!A:A,A105)&gt;0,
  ""QUEST"",
   COUNTIF(
 "&amp;"   Quests!A:A,
    REGEXREPLACE(A105,""\.(accepted|finished)$"","""")
   )&gt;0,
  ""TECH"",COUNTIF(Technologies!A:A,A105)&gt;0,
  ""STATE"",COUNTIF(States!A:A,A105)&gt;0,
  FALSE
 )
)"),TRUE)</f>
        <v>1</v>
      </c>
      <c r="P105" s="64" t="str">
        <f t="shared" si="3"/>
        <v>Good</v>
      </c>
      <c r="Q105" s="65"/>
      <c r="R105" s="65"/>
      <c r="S105" s="65"/>
      <c r="T105" s="65"/>
      <c r="U105" s="6"/>
      <c r="V105" s="6" t="str">
        <f>IFERROR(__xludf.DUMMYFUNCTION("""COMPUTED_VALUE"""),"building.tailor@2")</f>
        <v>building.tailor@2</v>
      </c>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row>
    <row r="106" ht="14.25" customHeight="1">
      <c r="A106" s="26" t="str">
        <f t="shared" si="1"/>
        <v>building.tailor@3</v>
      </c>
      <c r="B106" s="26" t="str">
        <f t="array" ref="B106">_xlfn.XLOOKUP(A106,Targets!A:A,Targets!C:C,"")</f>
        <v>BUILDING</v>
      </c>
      <c r="C106" s="64" t="b">
        <f>COUNTIF(Targets!A:A,A106)&gt;0</f>
        <v>1</v>
      </c>
      <c r="D106" s="64" t="b">
        <f>IF(
 OR(
  LEFT(A106,15)="state.character",
  RIGHT(A106,6)=".maxed"
 ),
 TRUE,
 COUNTIF(Checklist!A:A,A106)&gt;0
)</f>
        <v>1</v>
      </c>
      <c r="E106" s="64" t="b">
        <f>IF(
 OR(
  LEFT(A106,15)="state.character",
  RIGHT(A106,6)=".maxed",
  A106="building.guild@1",
  A106="quest.build_the_guild.accepted",
  A106="quest.build_the_pagoda.accepted"
 ),
 TRUE,
 COUNTIF(Dependencies!A:A,A106)&gt;0
)</f>
        <v>1</v>
      </c>
      <c r="F106" s="64" t="b">
        <f>COUNTIF(Dependencies!B:B,A106)&gt;0</f>
        <v>1</v>
      </c>
      <c r="G106" s="64" t="b">
        <f>COUNTIF(QuestObjectives!A:A,A106)&gt;0</f>
        <v>0</v>
      </c>
      <c r="H106" s="64" t="b">
        <f>COUNTIF(QuestObjectives!E:E,A106)&gt;0</f>
        <v>0</v>
      </c>
      <c r="I106" s="64" t="b">
        <f>COUNTIF(TargetStatus!A:A,A106)&gt;0</f>
        <v>1</v>
      </c>
      <c r="J106" s="64" t="b">
        <f>COUNTIF(CostStatus!B:B,A106)&gt;0</f>
        <v>1</v>
      </c>
      <c r="K106" s="64" t="b">
        <f>COUNTIF(States!A:A,A106)&gt;0</f>
        <v>0</v>
      </c>
      <c r="L106" s="64" t="b">
        <f t="shared" si="2"/>
        <v>1</v>
      </c>
      <c r="M106" s="64" t="b">
        <f>IF(A106="","",COUNTIF(Targets!A:A,A106)&gt;1)</f>
        <v>0</v>
      </c>
      <c r="N106" s="64" t="b">
        <f>IF(A106="","",COUNTIF(States!A:A,A106)&gt;1)</f>
        <v>0</v>
      </c>
      <c r="O106" s="64" t="b">
        <f>IFERROR(__xludf.DUMMYFUNCTION("IF(
 B106="""",
 """",
 SWITCH(
  B106,
  ""BUILDING"",COUNTIF(Buildings!A:A,A106)&gt;0,
  ""CITADEL"",COUNTIF(Citadel!A:A,A106)&gt;0,
  ""COLLECTION"",COUNTIF(Collections!A:A,A106)&gt;0,
  ""CRAFTIFACT"",COUNTIF(Craftifacts!A:A,A106)&gt;0,
  ""QUEST"",
   COUNTIF(
 "&amp;"   Quests!A:A,
    REGEXREPLACE(A106,""\.(accepted|finished)$"","""")
   )&gt;0,
  ""TECH"",COUNTIF(Technologies!A:A,A106)&gt;0,
  ""STATE"",COUNTIF(States!A:A,A106)&gt;0,
  FALSE
 )
)"),TRUE)</f>
        <v>1</v>
      </c>
      <c r="P106" s="64" t="str">
        <f t="shared" si="3"/>
        <v>Good</v>
      </c>
      <c r="Q106" s="65"/>
      <c r="R106" s="65"/>
      <c r="S106" s="65"/>
      <c r="T106" s="65"/>
      <c r="U106" s="6"/>
      <c r="V106" s="6" t="str">
        <f>IFERROR(__xludf.DUMMYFUNCTION("""COMPUTED_VALUE"""),"building.tailor@3")</f>
        <v>building.tailor@3</v>
      </c>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row>
    <row r="107" ht="14.25" customHeight="1">
      <c r="A107" s="26" t="str">
        <f t="shared" si="1"/>
        <v>building.train_freight_carriage@1</v>
      </c>
      <c r="B107" s="26" t="str">
        <f t="array" ref="B107">_xlfn.XLOOKUP(A107,Targets!A:A,Targets!C:C,"")</f>
        <v>BUILDING</v>
      </c>
      <c r="C107" s="64" t="b">
        <f>COUNTIF(Targets!A:A,A107)&gt;0</f>
        <v>1</v>
      </c>
      <c r="D107" s="64" t="b">
        <f>IF(
 OR(
  LEFT(A107,15)="state.character",
  RIGHT(A107,6)=".maxed"
 ),
 TRUE,
 COUNTIF(Checklist!A:A,A107)&gt;0
)</f>
        <v>1</v>
      </c>
      <c r="E107" s="64" t="b">
        <f>IF(
 OR(
  LEFT(A107,15)="state.character",
  RIGHT(A107,6)=".maxed",
  A107="building.guild@1",
  A107="quest.build_the_guild.accepted",
  A107="quest.build_the_pagoda.accepted"
 ),
 TRUE,
 COUNTIF(Dependencies!A:A,A107)&gt;0
)</f>
        <v>1</v>
      </c>
      <c r="F107" s="64" t="b">
        <f>COUNTIF(Dependencies!B:B,A107)&gt;0</f>
        <v>1</v>
      </c>
      <c r="G107" s="64" t="b">
        <f>COUNTIF(QuestObjectives!A:A,A107)&gt;0</f>
        <v>0</v>
      </c>
      <c r="H107" s="64" t="b">
        <f>COUNTIF(QuestObjectives!E:E,A107)&gt;0</f>
        <v>0</v>
      </c>
      <c r="I107" s="64" t="b">
        <f>COUNTIF(TargetStatus!A:A,A107)&gt;0</f>
        <v>1</v>
      </c>
      <c r="J107" s="64" t="b">
        <f>COUNTIF(CostStatus!B:B,A107)&gt;0</f>
        <v>1</v>
      </c>
      <c r="K107" s="64" t="b">
        <f>COUNTIF(States!A:A,A107)&gt;0</f>
        <v>0</v>
      </c>
      <c r="L107" s="64" t="b">
        <f t="shared" si="2"/>
        <v>1</v>
      </c>
      <c r="M107" s="64" t="b">
        <f>IF(A107="","",COUNTIF(Targets!A:A,A107)&gt;1)</f>
        <v>0</v>
      </c>
      <c r="N107" s="64" t="b">
        <f>IF(A107="","",COUNTIF(States!A:A,A107)&gt;1)</f>
        <v>0</v>
      </c>
      <c r="O107" s="64" t="b">
        <f>IFERROR(__xludf.DUMMYFUNCTION("IF(
 B107="""",
 """",
 SWITCH(
  B107,
  ""BUILDING"",COUNTIF(Buildings!A:A,A107)&gt;0,
  ""CITADEL"",COUNTIF(Citadel!A:A,A107)&gt;0,
  ""COLLECTION"",COUNTIF(Collections!A:A,A107)&gt;0,
  ""CRAFTIFACT"",COUNTIF(Craftifacts!A:A,A107)&gt;0,
  ""QUEST"",
   COUNTIF(
 "&amp;"   Quests!A:A,
    REGEXREPLACE(A107,""\.(accepted|finished)$"","""")
   )&gt;0,
  ""TECH"",COUNTIF(Technologies!A:A,A107)&gt;0,
  ""STATE"",COUNTIF(States!A:A,A107)&gt;0,
  FALSE
 )
)"),TRUE)</f>
        <v>1</v>
      </c>
      <c r="P107" s="64" t="str">
        <f t="shared" si="3"/>
        <v>Good</v>
      </c>
      <c r="Q107" s="65"/>
      <c r="R107" s="65"/>
      <c r="S107" s="65"/>
      <c r="T107" s="65"/>
      <c r="U107" s="6"/>
      <c r="V107" s="6" t="str">
        <f>IFERROR(__xludf.DUMMYFUNCTION("""COMPUTED_VALUE"""),"building.train_freight_carriage@1")</f>
        <v>building.train_freight_carriage@1</v>
      </c>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row>
    <row r="108" ht="14.25" customHeight="1">
      <c r="A108" s="26" t="str">
        <f t="shared" si="1"/>
        <v>building.train_freight_carriage@2</v>
      </c>
      <c r="B108" s="26" t="str">
        <f t="array" ref="B108">_xlfn.XLOOKUP(A108,Targets!A:A,Targets!C:C,"")</f>
        <v>BUILDING</v>
      </c>
      <c r="C108" s="64" t="b">
        <f>COUNTIF(Targets!A:A,A108)&gt;0</f>
        <v>1</v>
      </c>
      <c r="D108" s="64" t="b">
        <f>IF(
 OR(
  LEFT(A108,15)="state.character",
  RIGHT(A108,6)=".maxed"
 ),
 TRUE,
 COUNTIF(Checklist!A:A,A108)&gt;0
)</f>
        <v>1</v>
      </c>
      <c r="E108" s="64" t="b">
        <f>IF(
 OR(
  LEFT(A108,15)="state.character",
  RIGHT(A108,6)=".maxed",
  A108="building.guild@1",
  A108="quest.build_the_guild.accepted",
  A108="quest.build_the_pagoda.accepted"
 ),
 TRUE,
 COUNTIF(Dependencies!A:A,A108)&gt;0
)</f>
        <v>1</v>
      </c>
      <c r="F108" s="64" t="b">
        <f>COUNTIF(Dependencies!B:B,A108)&gt;0</f>
        <v>0</v>
      </c>
      <c r="G108" s="64" t="b">
        <f>COUNTIF(QuestObjectives!A:A,A108)&gt;0</f>
        <v>0</v>
      </c>
      <c r="H108" s="64" t="b">
        <f>COUNTIF(QuestObjectives!E:E,A108)&gt;0</f>
        <v>0</v>
      </c>
      <c r="I108" s="64" t="b">
        <f>COUNTIF(TargetStatus!A:A,A108)&gt;0</f>
        <v>1</v>
      </c>
      <c r="J108" s="64" t="b">
        <f>COUNTIF(CostStatus!B:B,A108)&gt;0</f>
        <v>1</v>
      </c>
      <c r="K108" s="64" t="b">
        <f>COUNTIF(States!A:A,A108)&gt;0</f>
        <v>0</v>
      </c>
      <c r="L108" s="64" t="b">
        <f t="shared" si="2"/>
        <v>1</v>
      </c>
      <c r="M108" s="64" t="b">
        <f>IF(A108="","",COUNTIF(Targets!A:A,A108)&gt;1)</f>
        <v>0</v>
      </c>
      <c r="N108" s="64" t="b">
        <f>IF(A108="","",COUNTIF(States!A:A,A108)&gt;1)</f>
        <v>0</v>
      </c>
      <c r="O108" s="64" t="b">
        <f>IFERROR(__xludf.DUMMYFUNCTION("IF(
 B108="""",
 """",
 SWITCH(
  B108,
  ""BUILDING"",COUNTIF(Buildings!A:A,A108)&gt;0,
  ""CITADEL"",COUNTIF(Citadel!A:A,A108)&gt;0,
  ""COLLECTION"",COUNTIF(Collections!A:A,A108)&gt;0,
  ""CRAFTIFACT"",COUNTIF(Craftifacts!A:A,A108)&gt;0,
  ""QUEST"",
   COUNTIF(
 "&amp;"   Quests!A:A,
    REGEXREPLACE(A108,""\.(accepted|finished)$"","""")
   )&gt;0,
  ""TECH"",COUNTIF(Technologies!A:A,A108)&gt;0,
  ""STATE"",COUNTIF(States!A:A,A108)&gt;0,
  FALSE
 )
)"),TRUE)</f>
        <v>1</v>
      </c>
      <c r="P108" s="64" t="str">
        <f t="shared" si="3"/>
        <v>Good</v>
      </c>
      <c r="Q108" s="65"/>
      <c r="R108" s="65"/>
      <c r="S108" s="65"/>
      <c r="T108" s="65"/>
      <c r="U108" s="6"/>
      <c r="V108" s="6" t="str">
        <f>IFERROR(__xludf.DUMMYFUNCTION("""COMPUTED_VALUE"""),"building.train_freight_carriage@2")</f>
        <v>building.train_freight_carriage@2</v>
      </c>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row>
    <row r="109" ht="14.25" customHeight="1">
      <c r="A109" s="26" t="str">
        <f t="shared" si="1"/>
        <v>building.train_passenger_carriage@1</v>
      </c>
      <c r="B109" s="26" t="str">
        <f t="array" ref="B109">_xlfn.XLOOKUP(A109,Targets!A:A,Targets!C:C,"")</f>
        <v>BUILDING</v>
      </c>
      <c r="C109" s="64" t="b">
        <f>COUNTIF(Targets!A:A,A109)&gt;0</f>
        <v>1</v>
      </c>
      <c r="D109" s="64" t="b">
        <f>IF(
 OR(
  LEFT(A109,15)="state.character",
  RIGHT(A109,6)=".maxed"
 ),
 TRUE,
 COUNTIF(Checklist!A:A,A109)&gt;0
)</f>
        <v>1</v>
      </c>
      <c r="E109" s="64" t="b">
        <f>IF(
 OR(
  LEFT(A109,15)="state.character",
  RIGHT(A109,6)=".maxed",
  A109="building.guild@1",
  A109="quest.build_the_guild.accepted",
  A109="quest.build_the_pagoda.accepted"
 ),
 TRUE,
 COUNTIF(Dependencies!A:A,A109)&gt;0
)</f>
        <v>1</v>
      </c>
      <c r="F109" s="64" t="b">
        <f>COUNTIF(Dependencies!B:B,A109)&gt;0</f>
        <v>1</v>
      </c>
      <c r="G109" s="64" t="b">
        <f>COUNTIF(QuestObjectives!A:A,A109)&gt;0</f>
        <v>0</v>
      </c>
      <c r="H109" s="64" t="b">
        <f>COUNTIF(QuestObjectives!E:E,A109)&gt;0</f>
        <v>1</v>
      </c>
      <c r="I109" s="64" t="b">
        <f>COUNTIF(TargetStatus!A:A,A109)&gt;0</f>
        <v>1</v>
      </c>
      <c r="J109" s="64" t="b">
        <f>COUNTIF(CostStatus!B:B,A109)&gt;0</f>
        <v>1</v>
      </c>
      <c r="K109" s="64" t="b">
        <f>COUNTIF(States!A:A,A109)&gt;0</f>
        <v>0</v>
      </c>
      <c r="L109" s="64" t="b">
        <f t="shared" si="2"/>
        <v>1</v>
      </c>
      <c r="M109" s="64" t="b">
        <f>IF(A109="","",COUNTIF(Targets!A:A,A109)&gt;1)</f>
        <v>0</v>
      </c>
      <c r="N109" s="64" t="b">
        <f>IF(A109="","",COUNTIF(States!A:A,A109)&gt;1)</f>
        <v>0</v>
      </c>
      <c r="O109" s="64" t="b">
        <f>IFERROR(__xludf.DUMMYFUNCTION("IF(
 B109="""",
 """",
 SWITCH(
  B109,
  ""BUILDING"",COUNTIF(Buildings!A:A,A109)&gt;0,
  ""CITADEL"",COUNTIF(Citadel!A:A,A109)&gt;0,
  ""COLLECTION"",COUNTIF(Collections!A:A,A109)&gt;0,
  ""CRAFTIFACT"",COUNTIF(Craftifacts!A:A,A109)&gt;0,
  ""QUEST"",
   COUNTIF(
 "&amp;"   Quests!A:A,
    REGEXREPLACE(A109,""\.(accepted|finished)$"","""")
   )&gt;0,
  ""TECH"",COUNTIF(Technologies!A:A,A109)&gt;0,
  ""STATE"",COUNTIF(States!A:A,A109)&gt;0,
  FALSE
 )
)"),TRUE)</f>
        <v>1</v>
      </c>
      <c r="P109" s="64" t="str">
        <f t="shared" si="3"/>
        <v>Good</v>
      </c>
      <c r="Q109" s="65"/>
      <c r="R109" s="65"/>
      <c r="S109" s="65"/>
      <c r="T109" s="65"/>
      <c r="U109" s="6"/>
      <c r="V109" s="6" t="str">
        <f>IFERROR(__xludf.DUMMYFUNCTION("""COMPUTED_VALUE"""),"building.train_passenger_carriage@1")</f>
        <v>building.train_passenger_carriage@1</v>
      </c>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row>
    <row r="110" ht="14.25" customHeight="1">
      <c r="A110" s="26" t="str">
        <f t="shared" si="1"/>
        <v>building.train_passenger_carriage@2</v>
      </c>
      <c r="B110" s="26" t="str">
        <f t="array" ref="B110">_xlfn.XLOOKUP(A110,Targets!A:A,Targets!C:C,"")</f>
        <v>BUILDING</v>
      </c>
      <c r="C110" s="64" t="b">
        <f>COUNTIF(Targets!A:A,A110)&gt;0</f>
        <v>1</v>
      </c>
      <c r="D110" s="64" t="b">
        <f>IF(
 OR(
  LEFT(A110,15)="state.character",
  RIGHT(A110,6)=".maxed"
 ),
 TRUE,
 COUNTIF(Checklist!A:A,A110)&gt;0
)</f>
        <v>1</v>
      </c>
      <c r="E110" s="64" t="b">
        <f>IF(
 OR(
  LEFT(A110,15)="state.character",
  RIGHT(A110,6)=".maxed",
  A110="building.guild@1",
  A110="quest.build_the_guild.accepted",
  A110="quest.build_the_pagoda.accepted"
 ),
 TRUE,
 COUNTIF(Dependencies!A:A,A110)&gt;0
)</f>
        <v>1</v>
      </c>
      <c r="F110" s="64" t="b">
        <f>COUNTIF(Dependencies!B:B,A110)&gt;0</f>
        <v>0</v>
      </c>
      <c r="G110" s="64" t="b">
        <f>COUNTIF(QuestObjectives!A:A,A110)&gt;0</f>
        <v>0</v>
      </c>
      <c r="H110" s="64" t="b">
        <f>COUNTIF(QuestObjectives!E:E,A110)&gt;0</f>
        <v>0</v>
      </c>
      <c r="I110" s="64" t="b">
        <f>COUNTIF(TargetStatus!A:A,A110)&gt;0</f>
        <v>1</v>
      </c>
      <c r="J110" s="64" t="b">
        <f>COUNTIF(CostStatus!B:B,A110)&gt;0</f>
        <v>1</v>
      </c>
      <c r="K110" s="64" t="b">
        <f>COUNTIF(States!A:A,A110)&gt;0</f>
        <v>0</v>
      </c>
      <c r="L110" s="64" t="b">
        <f t="shared" si="2"/>
        <v>1</v>
      </c>
      <c r="M110" s="64" t="b">
        <f>IF(A110="","",COUNTIF(Targets!A:A,A110)&gt;1)</f>
        <v>0</v>
      </c>
      <c r="N110" s="64" t="b">
        <f>IF(A110="","",COUNTIF(States!A:A,A110)&gt;1)</f>
        <v>0</v>
      </c>
      <c r="O110" s="64" t="b">
        <f>IFERROR(__xludf.DUMMYFUNCTION("IF(
 B110="""",
 """",
 SWITCH(
  B110,
  ""BUILDING"",COUNTIF(Buildings!A:A,A110)&gt;0,
  ""CITADEL"",COUNTIF(Citadel!A:A,A110)&gt;0,
  ""COLLECTION"",COUNTIF(Collections!A:A,A110)&gt;0,
  ""CRAFTIFACT"",COUNTIF(Craftifacts!A:A,A110)&gt;0,
  ""QUEST"",
   COUNTIF(
 "&amp;"   Quests!A:A,
    REGEXREPLACE(A110,""\.(accepted|finished)$"","""")
   )&gt;0,
  ""TECH"",COUNTIF(Technologies!A:A,A110)&gt;0,
  ""STATE"",COUNTIF(States!A:A,A110)&gt;0,
  FALSE
 )
)"),TRUE)</f>
        <v>1</v>
      </c>
      <c r="P110" s="64" t="str">
        <f t="shared" si="3"/>
        <v>Good</v>
      </c>
      <c r="Q110" s="65"/>
      <c r="R110" s="65"/>
      <c r="S110" s="65"/>
      <c r="T110" s="65"/>
      <c r="U110" s="6"/>
      <c r="V110" s="6" t="str">
        <f>IFERROR(__xludf.DUMMYFUNCTION("""COMPUTED_VALUE"""),"building.train_passenger_carriage@2")</f>
        <v>building.train_passenger_carriage@2</v>
      </c>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row>
    <row r="111" ht="14.25" customHeight="1">
      <c r="A111" s="26" t="str">
        <f t="shared" si="1"/>
        <v>building.train.maxed</v>
      </c>
      <c r="B111" s="26" t="str">
        <f t="array" ref="B111">_xlfn.XLOOKUP(A111,Targets!A:A,Targets!C:C,"")</f>
        <v>BUILDING</v>
      </c>
      <c r="C111" s="64" t="b">
        <f>COUNTIF(Targets!A:A,A111)&gt;0</f>
        <v>1</v>
      </c>
      <c r="D111" s="64" t="b">
        <f>IF(
 OR(
  LEFT(A111,15)="state.character",
  RIGHT(A111,6)=".maxed"
 ),
 TRUE,
 COUNTIF(Checklist!A:A,A111)&gt;0
)</f>
        <v>1</v>
      </c>
      <c r="E111" s="64" t="b">
        <f>IF(
 OR(
  LEFT(A111,15)="state.character",
  RIGHT(A111,6)=".maxed",
  A111="building.guild@1",
  A111="quest.build_the_guild.accepted",
  A111="quest.build_the_pagoda.accepted"
 ),
 TRUE,
 COUNTIF(Dependencies!A:A,A111)&gt;0
)</f>
        <v>1</v>
      </c>
      <c r="F111" s="64" t="b">
        <f>COUNTIF(Dependencies!B:B,A111)&gt;0</f>
        <v>1</v>
      </c>
      <c r="G111" s="64" t="b">
        <f>COUNTIF(QuestObjectives!A:A,A111)&gt;0</f>
        <v>0</v>
      </c>
      <c r="H111" s="64" t="b">
        <f>COUNTIF(QuestObjectives!E:E,A111)&gt;0</f>
        <v>0</v>
      </c>
      <c r="I111" s="64" t="b">
        <f>COUNTIF(TargetStatus!A:A,A111)&gt;0</f>
        <v>1</v>
      </c>
      <c r="J111" s="64" t="b">
        <f>COUNTIF(CostStatus!B:B,A111)&gt;0</f>
        <v>0</v>
      </c>
      <c r="K111" s="64" t="b">
        <f>COUNTIF(States!A:A,A111)&gt;0</f>
        <v>0</v>
      </c>
      <c r="L111" s="64" t="b">
        <f t="shared" si="2"/>
        <v>1</v>
      </c>
      <c r="M111" s="64" t="b">
        <f>IF(A111="","",COUNTIF(Targets!A:A,A111)&gt;1)</f>
        <v>0</v>
      </c>
      <c r="N111" s="64" t="b">
        <f>IF(A111="","",COUNTIF(States!A:A,A111)&gt;1)</f>
        <v>0</v>
      </c>
      <c r="O111" s="64" t="b">
        <f>IFERROR(__xludf.DUMMYFUNCTION("IF(
 B111="""",
 """",
 SWITCH(
  B111,
  ""BUILDING"",COUNTIF(Buildings!A:A,A111)&gt;0,
  ""CITADEL"",COUNTIF(Citadel!A:A,A111)&gt;0,
  ""COLLECTION"",COUNTIF(Collections!A:A,A111)&gt;0,
  ""CRAFTIFACT"",COUNTIF(Craftifacts!A:A,A111)&gt;0,
  ""QUEST"",
   COUNTIF(
 "&amp;"   Quests!A:A,
    REGEXREPLACE(A111,""\.(accepted|finished)$"","""")
   )&gt;0,
  ""TECH"",COUNTIF(Technologies!A:A,A111)&gt;0,
  ""STATE"",COUNTIF(States!A:A,A111)&gt;0,
  FALSE
 )
)"),FALSE)</f>
        <v>0</v>
      </c>
      <c r="P111" s="64" t="str">
        <f t="shared" si="3"/>
        <v>Good</v>
      </c>
      <c r="Q111" s="65"/>
      <c r="R111" s="65"/>
      <c r="S111" s="65"/>
      <c r="T111" s="65"/>
      <c r="U111" s="6"/>
      <c r="V111" s="6" t="str">
        <f>IFERROR(__xludf.DUMMYFUNCTION("""COMPUTED_VALUE"""),"building.train.maxed")</f>
        <v>building.train.maxed</v>
      </c>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row>
    <row r="112" ht="14.25" customHeight="1">
      <c r="A112" s="26" t="str">
        <f t="shared" si="1"/>
        <v>building.train@1</v>
      </c>
      <c r="B112" s="26" t="str">
        <f t="array" ref="B112">_xlfn.XLOOKUP(A112,Targets!A:A,Targets!C:C,"")</f>
        <v>BUILDING</v>
      </c>
      <c r="C112" s="64" t="b">
        <f>COUNTIF(Targets!A:A,A112)&gt;0</f>
        <v>1</v>
      </c>
      <c r="D112" s="64" t="b">
        <f>IF(
 OR(
  LEFT(A112,15)="state.character",
  RIGHT(A112,6)=".maxed"
 ),
 TRUE,
 COUNTIF(Checklist!A:A,A112)&gt;0
)</f>
        <v>1</v>
      </c>
      <c r="E112" s="64" t="b">
        <f>IF(
 OR(
  LEFT(A112,15)="state.character",
  RIGHT(A112,6)=".maxed",
  A112="building.guild@1",
  A112="quest.build_the_guild.accepted",
  A112="quest.build_the_pagoda.accepted"
 ),
 TRUE,
 COUNTIF(Dependencies!A:A,A112)&gt;0
)</f>
        <v>1</v>
      </c>
      <c r="F112" s="64" t="b">
        <f>COUNTIF(Dependencies!B:B,A112)&gt;0</f>
        <v>1</v>
      </c>
      <c r="G112" s="64" t="b">
        <f>COUNTIF(QuestObjectives!A:A,A112)&gt;0</f>
        <v>0</v>
      </c>
      <c r="H112" s="64" t="b">
        <f>COUNTIF(QuestObjectives!E:E,A112)&gt;0</f>
        <v>1</v>
      </c>
      <c r="I112" s="64" t="b">
        <f>COUNTIF(TargetStatus!A:A,A112)&gt;0</f>
        <v>1</v>
      </c>
      <c r="J112" s="64" t="b">
        <f>COUNTIF(CostStatus!B:B,A112)&gt;0</f>
        <v>1</v>
      </c>
      <c r="K112" s="64" t="b">
        <f>COUNTIF(States!A:A,A112)&gt;0</f>
        <v>0</v>
      </c>
      <c r="L112" s="64" t="b">
        <f t="shared" si="2"/>
        <v>1</v>
      </c>
      <c r="M112" s="64" t="b">
        <f>IF(A112="","",COUNTIF(Targets!A:A,A112)&gt;1)</f>
        <v>0</v>
      </c>
      <c r="N112" s="64" t="b">
        <f>IF(A112="","",COUNTIF(States!A:A,A112)&gt;1)</f>
        <v>0</v>
      </c>
      <c r="O112" s="64" t="b">
        <f>IFERROR(__xludf.DUMMYFUNCTION("IF(
 B112="""",
 """",
 SWITCH(
  B112,
  ""BUILDING"",COUNTIF(Buildings!A:A,A112)&gt;0,
  ""CITADEL"",COUNTIF(Citadel!A:A,A112)&gt;0,
  ""COLLECTION"",COUNTIF(Collections!A:A,A112)&gt;0,
  ""CRAFTIFACT"",COUNTIF(Craftifacts!A:A,A112)&gt;0,
  ""QUEST"",
   COUNTIF(
 "&amp;"   Quests!A:A,
    REGEXREPLACE(A112,""\.(accepted|finished)$"","""")
   )&gt;0,
  ""TECH"",COUNTIF(Technologies!A:A,A112)&gt;0,
  ""STATE"",COUNTIF(States!A:A,A112)&gt;0,
  FALSE
 )
)"),TRUE)</f>
        <v>1</v>
      </c>
      <c r="P112" s="64" t="str">
        <f t="shared" si="3"/>
        <v>Good</v>
      </c>
      <c r="Q112" s="65"/>
      <c r="R112" s="65"/>
      <c r="S112" s="65"/>
      <c r="T112" s="65"/>
      <c r="U112" s="6"/>
      <c r="V112" s="6" t="str">
        <f>IFERROR(__xludf.DUMMYFUNCTION("""COMPUTED_VALUE"""),"building.train@1")</f>
        <v>building.train@1</v>
      </c>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row>
    <row r="113" ht="14.25" customHeight="1">
      <c r="A113" s="26" t="str">
        <f t="shared" si="1"/>
        <v>building.train@2</v>
      </c>
      <c r="B113" s="26" t="str">
        <f t="array" ref="B113">_xlfn.XLOOKUP(A113,Targets!A:A,Targets!C:C,"")</f>
        <v>BUILDING</v>
      </c>
      <c r="C113" s="64" t="b">
        <f>COUNTIF(Targets!A:A,A113)&gt;0</f>
        <v>1</v>
      </c>
      <c r="D113" s="64" t="b">
        <f>IF(
 OR(
  LEFT(A113,15)="state.character",
  RIGHT(A113,6)=".maxed"
 ),
 TRUE,
 COUNTIF(Checklist!A:A,A113)&gt;0
)</f>
        <v>1</v>
      </c>
      <c r="E113" s="64" t="b">
        <f>IF(
 OR(
  LEFT(A113,15)="state.character",
  RIGHT(A113,6)=".maxed",
  A113="building.guild@1",
  A113="quest.build_the_guild.accepted",
  A113="quest.build_the_pagoda.accepted"
 ),
 TRUE,
 COUNTIF(Dependencies!A:A,A113)&gt;0
)</f>
        <v>1</v>
      </c>
      <c r="F113" s="64" t="b">
        <f>COUNTIF(Dependencies!B:B,A113)&gt;0</f>
        <v>1</v>
      </c>
      <c r="G113" s="64" t="b">
        <f>COUNTIF(QuestObjectives!A:A,A113)&gt;0</f>
        <v>0</v>
      </c>
      <c r="H113" s="64" t="b">
        <f>COUNTIF(QuestObjectives!E:E,A113)&gt;0</f>
        <v>1</v>
      </c>
      <c r="I113" s="64" t="b">
        <f>COUNTIF(TargetStatus!A:A,A113)&gt;0</f>
        <v>1</v>
      </c>
      <c r="J113" s="64" t="b">
        <f>COUNTIF(CostStatus!B:B,A113)&gt;0</f>
        <v>1</v>
      </c>
      <c r="K113" s="64" t="b">
        <f>COUNTIF(States!A:A,A113)&gt;0</f>
        <v>0</v>
      </c>
      <c r="L113" s="64" t="b">
        <f t="shared" si="2"/>
        <v>1</v>
      </c>
      <c r="M113" s="64" t="b">
        <f>IF(A113="","",COUNTIF(Targets!A:A,A113)&gt;1)</f>
        <v>0</v>
      </c>
      <c r="N113" s="64" t="b">
        <f>IF(A113="","",COUNTIF(States!A:A,A113)&gt;1)</f>
        <v>0</v>
      </c>
      <c r="O113" s="64" t="b">
        <f>IFERROR(__xludf.DUMMYFUNCTION("IF(
 B113="""",
 """",
 SWITCH(
  B113,
  ""BUILDING"",COUNTIF(Buildings!A:A,A113)&gt;0,
  ""CITADEL"",COUNTIF(Citadel!A:A,A113)&gt;0,
  ""COLLECTION"",COUNTIF(Collections!A:A,A113)&gt;0,
  ""CRAFTIFACT"",COUNTIF(Craftifacts!A:A,A113)&gt;0,
  ""QUEST"",
   COUNTIF(
 "&amp;"   Quests!A:A,
    REGEXREPLACE(A113,""\.(accepted|finished)$"","""")
   )&gt;0,
  ""TECH"",COUNTIF(Technologies!A:A,A113)&gt;0,
  ""STATE"",COUNTIF(States!A:A,A113)&gt;0,
  FALSE
 )
)"),TRUE)</f>
        <v>1</v>
      </c>
      <c r="P113" s="64" t="str">
        <f t="shared" si="3"/>
        <v>Good</v>
      </c>
      <c r="Q113" s="65"/>
      <c r="R113" s="65"/>
      <c r="S113" s="65"/>
      <c r="T113" s="65"/>
      <c r="U113" s="6"/>
      <c r="V113" s="6" t="str">
        <f>IFERROR(__xludf.DUMMYFUNCTION("""COMPUTED_VALUE"""),"building.train@2")</f>
        <v>building.train@2</v>
      </c>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row>
    <row r="114" ht="14.25" customHeight="1">
      <c r="A114" s="26" t="str">
        <f t="shared" si="1"/>
        <v>building.warehouse.maxed</v>
      </c>
      <c r="B114" s="26" t="str">
        <f t="array" ref="B114">_xlfn.XLOOKUP(A114,Targets!A:A,Targets!C:C,"")</f>
        <v>BUILDING</v>
      </c>
      <c r="C114" s="64" t="b">
        <f>COUNTIF(Targets!A:A,A114)&gt;0</f>
        <v>1</v>
      </c>
      <c r="D114" s="64" t="b">
        <f>IF(
 OR(
  LEFT(A114,15)="state.character",
  RIGHT(A114,6)=".maxed"
 ),
 TRUE,
 COUNTIF(Checklist!A:A,A114)&gt;0
)</f>
        <v>1</v>
      </c>
      <c r="E114" s="64" t="b">
        <f>IF(
 OR(
  LEFT(A114,15)="state.character",
  RIGHT(A114,6)=".maxed",
  A114="building.guild@1",
  A114="quest.build_the_guild.accepted",
  A114="quest.build_the_pagoda.accepted"
 ),
 TRUE,
 COUNTIF(Dependencies!A:A,A114)&gt;0
)</f>
        <v>1</v>
      </c>
      <c r="F114" s="64" t="b">
        <f>COUNTIF(Dependencies!B:B,A114)&gt;0</f>
        <v>1</v>
      </c>
      <c r="G114" s="64" t="b">
        <f>COUNTIF(QuestObjectives!A:A,A114)&gt;0</f>
        <v>0</v>
      </c>
      <c r="H114" s="64" t="b">
        <f>COUNTIF(QuestObjectives!E:E,A114)&gt;0</f>
        <v>0</v>
      </c>
      <c r="I114" s="64" t="b">
        <f>COUNTIF(TargetStatus!A:A,A114)&gt;0</f>
        <v>1</v>
      </c>
      <c r="J114" s="64" t="b">
        <f>COUNTIF(CostStatus!B:B,A114)&gt;0</f>
        <v>0</v>
      </c>
      <c r="K114" s="64" t="b">
        <f>COUNTIF(States!A:A,A114)&gt;0</f>
        <v>0</v>
      </c>
      <c r="L114" s="64" t="b">
        <f t="shared" si="2"/>
        <v>1</v>
      </c>
      <c r="M114" s="64" t="b">
        <f>IF(A114="","",COUNTIF(Targets!A:A,A114)&gt;1)</f>
        <v>0</v>
      </c>
      <c r="N114" s="64" t="b">
        <f>IF(A114="","",COUNTIF(States!A:A,A114)&gt;1)</f>
        <v>0</v>
      </c>
      <c r="O114" s="64" t="b">
        <f>IFERROR(__xludf.DUMMYFUNCTION("IF(
 B114="""",
 """",
 SWITCH(
  B114,
  ""BUILDING"",COUNTIF(Buildings!A:A,A114)&gt;0,
  ""CITADEL"",COUNTIF(Citadel!A:A,A114)&gt;0,
  ""COLLECTION"",COUNTIF(Collections!A:A,A114)&gt;0,
  ""CRAFTIFACT"",COUNTIF(Craftifacts!A:A,A114)&gt;0,
  ""QUEST"",
   COUNTIF(
 "&amp;"   Quests!A:A,
    REGEXREPLACE(A114,""\.(accepted|finished)$"","""")
   )&gt;0,
  ""TECH"",COUNTIF(Technologies!A:A,A114)&gt;0,
  ""STATE"",COUNTIF(States!A:A,A114)&gt;0,
  FALSE
 )
)"),FALSE)</f>
        <v>0</v>
      </c>
      <c r="P114" s="64" t="str">
        <f t="shared" si="3"/>
        <v>Good</v>
      </c>
      <c r="Q114" s="65"/>
      <c r="R114" s="65"/>
      <c r="S114" s="65"/>
      <c r="T114" s="65"/>
      <c r="U114" s="6"/>
      <c r="V114" s="6" t="str">
        <f>IFERROR(__xludf.DUMMYFUNCTION("""COMPUTED_VALUE"""),"building.warehouse.maxed")</f>
        <v>building.warehouse.maxed</v>
      </c>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row>
    <row r="115" ht="14.25" customHeight="1">
      <c r="A115" s="26" t="str">
        <f t="shared" si="1"/>
        <v>building.warehouse@1</v>
      </c>
      <c r="B115" s="26" t="str">
        <f t="array" ref="B115">_xlfn.XLOOKUP(A115,Targets!A:A,Targets!C:C,"")</f>
        <v>BUILDING</v>
      </c>
      <c r="C115" s="64" t="b">
        <f>COUNTIF(Targets!A:A,A115)&gt;0</f>
        <v>1</v>
      </c>
      <c r="D115" s="64" t="b">
        <f>IF(
 OR(
  LEFT(A115,15)="state.character",
  RIGHT(A115,6)=".maxed"
 ),
 TRUE,
 COUNTIF(Checklist!A:A,A115)&gt;0
)</f>
        <v>1</v>
      </c>
      <c r="E115" s="64" t="b">
        <f>IF(
 OR(
  LEFT(A115,15)="state.character",
  RIGHT(A115,6)=".maxed",
  A115="building.guild@1",
  A115="quest.build_the_guild.accepted",
  A115="quest.build_the_pagoda.accepted"
 ),
 TRUE,
 COUNTIF(Dependencies!A:A,A115)&gt;0
)</f>
        <v>1</v>
      </c>
      <c r="F115" s="64" t="b">
        <f>COUNTIF(Dependencies!B:B,A115)&gt;0</f>
        <v>1</v>
      </c>
      <c r="G115" s="64" t="b">
        <f>COUNTIF(QuestObjectives!A:A,A115)&gt;0</f>
        <v>0</v>
      </c>
      <c r="H115" s="64" t="b">
        <f>COUNTIF(QuestObjectives!E:E,A115)&gt;0</f>
        <v>1</v>
      </c>
      <c r="I115" s="64" t="b">
        <f>COUNTIF(TargetStatus!A:A,A115)&gt;0</f>
        <v>1</v>
      </c>
      <c r="J115" s="64" t="b">
        <f>COUNTIF(CostStatus!B:B,A115)&gt;0</f>
        <v>1</v>
      </c>
      <c r="K115" s="64" t="b">
        <f>COUNTIF(States!A:A,A115)&gt;0</f>
        <v>0</v>
      </c>
      <c r="L115" s="64" t="b">
        <f t="shared" si="2"/>
        <v>1</v>
      </c>
      <c r="M115" s="64" t="b">
        <f>IF(A115="","",COUNTIF(Targets!A:A,A115)&gt;1)</f>
        <v>0</v>
      </c>
      <c r="N115" s="64" t="b">
        <f>IF(A115="","",COUNTIF(States!A:A,A115)&gt;1)</f>
        <v>0</v>
      </c>
      <c r="O115" s="64" t="b">
        <f>IFERROR(__xludf.DUMMYFUNCTION("IF(
 B115="""",
 """",
 SWITCH(
  B115,
  ""BUILDING"",COUNTIF(Buildings!A:A,A115)&gt;0,
  ""CITADEL"",COUNTIF(Citadel!A:A,A115)&gt;0,
  ""COLLECTION"",COUNTIF(Collections!A:A,A115)&gt;0,
  ""CRAFTIFACT"",COUNTIF(Craftifacts!A:A,A115)&gt;0,
  ""QUEST"",
   COUNTIF(
 "&amp;"   Quests!A:A,
    REGEXREPLACE(A115,""\.(accepted|finished)$"","""")
   )&gt;0,
  ""TECH"",COUNTIF(Technologies!A:A,A115)&gt;0,
  ""STATE"",COUNTIF(States!A:A,A115)&gt;0,
  FALSE
 )
)"),TRUE)</f>
        <v>1</v>
      </c>
      <c r="P115" s="64" t="str">
        <f t="shared" si="3"/>
        <v>Good</v>
      </c>
      <c r="Q115" s="65"/>
      <c r="R115" s="65"/>
      <c r="S115" s="65"/>
      <c r="T115" s="65"/>
      <c r="U115" s="6"/>
      <c r="V115" s="6" t="str">
        <f>IFERROR(__xludf.DUMMYFUNCTION("""COMPUTED_VALUE"""),"building.warehouse@1")</f>
        <v>building.warehouse@1</v>
      </c>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row>
    <row r="116" ht="14.25" customHeight="1">
      <c r="A116" s="26" t="str">
        <f t="shared" si="1"/>
        <v>building.warehouse@2</v>
      </c>
      <c r="B116" s="26" t="str">
        <f t="array" ref="B116">_xlfn.XLOOKUP(A116,Targets!A:A,Targets!C:C,"")</f>
        <v>BUILDING</v>
      </c>
      <c r="C116" s="64" t="b">
        <f>COUNTIF(Targets!A:A,A116)&gt;0</f>
        <v>1</v>
      </c>
      <c r="D116" s="64" t="b">
        <f>IF(
 OR(
  LEFT(A116,15)="state.character",
  RIGHT(A116,6)=".maxed"
 ),
 TRUE,
 COUNTIF(Checklist!A:A,A116)&gt;0
)</f>
        <v>1</v>
      </c>
      <c r="E116" s="64" t="b">
        <f>IF(
 OR(
  LEFT(A116,15)="state.character",
  RIGHT(A116,6)=".maxed",
  A116="building.guild@1",
  A116="quest.build_the_guild.accepted",
  A116="quest.build_the_pagoda.accepted"
 ),
 TRUE,
 COUNTIF(Dependencies!A:A,A116)&gt;0
)</f>
        <v>1</v>
      </c>
      <c r="F116" s="64" t="b">
        <f>COUNTIF(Dependencies!B:B,A116)&gt;0</f>
        <v>1</v>
      </c>
      <c r="G116" s="64" t="b">
        <f>COUNTIF(QuestObjectives!A:A,A116)&gt;0</f>
        <v>0</v>
      </c>
      <c r="H116" s="64" t="b">
        <f>COUNTIF(QuestObjectives!E:E,A116)&gt;0</f>
        <v>0</v>
      </c>
      <c r="I116" s="64" t="b">
        <f>COUNTIF(TargetStatus!A:A,A116)&gt;0</f>
        <v>1</v>
      </c>
      <c r="J116" s="64" t="b">
        <f>COUNTIF(CostStatus!B:B,A116)&gt;0</f>
        <v>1</v>
      </c>
      <c r="K116" s="64" t="b">
        <f>COUNTIF(States!A:A,A116)&gt;0</f>
        <v>0</v>
      </c>
      <c r="L116" s="64" t="b">
        <f t="shared" si="2"/>
        <v>1</v>
      </c>
      <c r="M116" s="64" t="b">
        <f>IF(A116="","",COUNTIF(Targets!A:A,A116)&gt;1)</f>
        <v>0</v>
      </c>
      <c r="N116" s="64" t="b">
        <f>IF(A116="","",COUNTIF(States!A:A,A116)&gt;1)</f>
        <v>0</v>
      </c>
      <c r="O116" s="64" t="b">
        <f>IFERROR(__xludf.DUMMYFUNCTION("IF(
 B116="""",
 """",
 SWITCH(
  B116,
  ""BUILDING"",COUNTIF(Buildings!A:A,A116)&gt;0,
  ""CITADEL"",COUNTIF(Citadel!A:A,A116)&gt;0,
  ""COLLECTION"",COUNTIF(Collections!A:A,A116)&gt;0,
  ""CRAFTIFACT"",COUNTIF(Craftifacts!A:A,A116)&gt;0,
  ""QUEST"",
   COUNTIF(
 "&amp;"   Quests!A:A,
    REGEXREPLACE(A116,""\.(accepted|finished)$"","""")
   )&gt;0,
  ""TECH"",COUNTIF(Technologies!A:A,A116)&gt;0,
  ""STATE"",COUNTIF(States!A:A,A116)&gt;0,
  FALSE
 )
)"),TRUE)</f>
        <v>1</v>
      </c>
      <c r="P116" s="64" t="str">
        <f t="shared" si="3"/>
        <v>Good</v>
      </c>
      <c r="Q116" s="65"/>
      <c r="R116" s="65"/>
      <c r="S116" s="65"/>
      <c r="T116" s="65"/>
      <c r="U116" s="6"/>
      <c r="V116" s="6" t="str">
        <f>IFERROR(__xludf.DUMMYFUNCTION("""COMPUTED_VALUE"""),"building.warehouse@2")</f>
        <v>building.warehouse@2</v>
      </c>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row>
    <row r="117" ht="14.25" customHeight="1">
      <c r="A117" s="26" t="str">
        <f t="shared" si="1"/>
        <v>building.warehouse@3</v>
      </c>
      <c r="B117" s="26" t="str">
        <f t="array" ref="B117">_xlfn.XLOOKUP(A117,Targets!A:A,Targets!C:C,"")</f>
        <v>BUILDING</v>
      </c>
      <c r="C117" s="64" t="b">
        <f>COUNTIF(Targets!A:A,A117)&gt;0</f>
        <v>1</v>
      </c>
      <c r="D117" s="64" t="b">
        <f>IF(
 OR(
  LEFT(A117,15)="state.character",
  RIGHT(A117,6)=".maxed"
 ),
 TRUE,
 COUNTIF(Checklist!A:A,A117)&gt;0
)</f>
        <v>1</v>
      </c>
      <c r="E117" s="64" t="b">
        <f>IF(
 OR(
  LEFT(A117,15)="state.character",
  RIGHT(A117,6)=".maxed",
  A117="building.guild@1",
  A117="quest.build_the_guild.accepted",
  A117="quest.build_the_pagoda.accepted"
 ),
 TRUE,
 COUNTIF(Dependencies!A:A,A117)&gt;0
)</f>
        <v>1</v>
      </c>
      <c r="F117" s="64" t="b">
        <f>COUNTIF(Dependencies!B:B,A117)&gt;0</f>
        <v>1</v>
      </c>
      <c r="G117" s="64" t="b">
        <f>COUNTIF(QuestObjectives!A:A,A117)&gt;0</f>
        <v>0</v>
      </c>
      <c r="H117" s="64" t="b">
        <f>COUNTIF(QuestObjectives!E:E,A117)&gt;0</f>
        <v>0</v>
      </c>
      <c r="I117" s="64" t="b">
        <f>COUNTIF(TargetStatus!A:A,A117)&gt;0</f>
        <v>1</v>
      </c>
      <c r="J117" s="64" t="b">
        <f>COUNTIF(CostStatus!B:B,A117)&gt;0</f>
        <v>1</v>
      </c>
      <c r="K117" s="64" t="b">
        <f>COUNTIF(States!A:A,A117)&gt;0</f>
        <v>0</v>
      </c>
      <c r="L117" s="64" t="b">
        <f t="shared" si="2"/>
        <v>1</v>
      </c>
      <c r="M117" s="64" t="b">
        <f>IF(A117="","",COUNTIF(Targets!A:A,A117)&gt;1)</f>
        <v>0</v>
      </c>
      <c r="N117" s="64" t="b">
        <f>IF(A117="","",COUNTIF(States!A:A,A117)&gt;1)</f>
        <v>0</v>
      </c>
      <c r="O117" s="64" t="b">
        <f>IFERROR(__xludf.DUMMYFUNCTION("IF(
 B117="""",
 """",
 SWITCH(
  B117,
  ""BUILDING"",COUNTIF(Buildings!A:A,A117)&gt;0,
  ""CITADEL"",COUNTIF(Citadel!A:A,A117)&gt;0,
  ""COLLECTION"",COUNTIF(Collections!A:A,A117)&gt;0,
  ""CRAFTIFACT"",COUNTIF(Craftifacts!A:A,A117)&gt;0,
  ""QUEST"",
   COUNTIF(
 "&amp;"   Quests!A:A,
    REGEXREPLACE(A117,""\.(accepted|finished)$"","""")
   )&gt;0,
  ""TECH"",COUNTIF(Technologies!A:A,A117)&gt;0,
  ""STATE"",COUNTIF(States!A:A,A117)&gt;0,
  FALSE
 )
)"),TRUE)</f>
        <v>1</v>
      </c>
      <c r="P117" s="64" t="str">
        <f t="shared" si="3"/>
        <v>Good</v>
      </c>
      <c r="Q117" s="65"/>
      <c r="R117" s="65"/>
      <c r="S117" s="65"/>
      <c r="T117" s="65"/>
      <c r="U117" s="6"/>
      <c r="V117" s="6" t="str">
        <f>IFERROR(__xludf.DUMMYFUNCTION("""COMPUTED_VALUE"""),"building.warehouse@3")</f>
        <v>building.warehouse@3</v>
      </c>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row>
    <row r="118" ht="14.25" customHeight="1">
      <c r="A118" s="26" t="str">
        <f t="shared" si="1"/>
        <v>building.warehouse@4</v>
      </c>
      <c r="B118" s="26" t="str">
        <f t="array" ref="B118">_xlfn.XLOOKUP(A118,Targets!A:A,Targets!C:C,"")</f>
        <v>BUILDING</v>
      </c>
      <c r="C118" s="64" t="b">
        <f>COUNTIF(Targets!A:A,A118)&gt;0</f>
        <v>1</v>
      </c>
      <c r="D118" s="64" t="b">
        <f>IF(
 OR(
  LEFT(A118,15)="state.character",
  RIGHT(A118,6)=".maxed"
 ),
 TRUE,
 COUNTIF(Checklist!A:A,A118)&gt;0
)</f>
        <v>1</v>
      </c>
      <c r="E118" s="64" t="b">
        <f>IF(
 OR(
  LEFT(A118,15)="state.character",
  RIGHT(A118,6)=".maxed",
  A118="building.guild@1",
  A118="quest.build_the_guild.accepted",
  A118="quest.build_the_pagoda.accepted"
 ),
 TRUE,
 COUNTIF(Dependencies!A:A,A118)&gt;0
)</f>
        <v>1</v>
      </c>
      <c r="F118" s="64" t="b">
        <f>COUNTIF(Dependencies!B:B,A118)&gt;0</f>
        <v>1</v>
      </c>
      <c r="G118" s="64" t="b">
        <f>COUNTIF(QuestObjectives!A:A,A118)&gt;0</f>
        <v>0</v>
      </c>
      <c r="H118" s="64" t="b">
        <f>COUNTIF(QuestObjectives!E:E,A118)&gt;0</f>
        <v>0</v>
      </c>
      <c r="I118" s="64" t="b">
        <f>COUNTIF(TargetStatus!A:A,A118)&gt;0</f>
        <v>1</v>
      </c>
      <c r="J118" s="64" t="b">
        <f>COUNTIF(CostStatus!B:B,A118)&gt;0</f>
        <v>1</v>
      </c>
      <c r="K118" s="64" t="b">
        <f>COUNTIF(States!A:A,A118)&gt;0</f>
        <v>0</v>
      </c>
      <c r="L118" s="64" t="b">
        <f t="shared" si="2"/>
        <v>1</v>
      </c>
      <c r="M118" s="64" t="b">
        <f>IF(A118="","",COUNTIF(Targets!A:A,A118)&gt;1)</f>
        <v>0</v>
      </c>
      <c r="N118" s="64" t="b">
        <f>IF(A118="","",COUNTIF(States!A:A,A118)&gt;1)</f>
        <v>0</v>
      </c>
      <c r="O118" s="64" t="b">
        <f>IFERROR(__xludf.DUMMYFUNCTION("IF(
 B118="""",
 """",
 SWITCH(
  B118,
  ""BUILDING"",COUNTIF(Buildings!A:A,A118)&gt;0,
  ""CITADEL"",COUNTIF(Citadel!A:A,A118)&gt;0,
  ""COLLECTION"",COUNTIF(Collections!A:A,A118)&gt;0,
  ""CRAFTIFACT"",COUNTIF(Craftifacts!A:A,A118)&gt;0,
  ""QUEST"",
   COUNTIF(
 "&amp;"   Quests!A:A,
    REGEXREPLACE(A118,""\.(accepted|finished)$"","""")
   )&gt;0,
  ""TECH"",COUNTIF(Technologies!A:A,A118)&gt;0,
  ""STATE"",COUNTIF(States!A:A,A118)&gt;0,
  FALSE
 )
)"),TRUE)</f>
        <v>1</v>
      </c>
      <c r="P118" s="64" t="str">
        <f t="shared" si="3"/>
        <v>Good</v>
      </c>
      <c r="Q118" s="65"/>
      <c r="R118" s="65"/>
      <c r="S118" s="65"/>
      <c r="T118" s="65"/>
      <c r="U118" s="6"/>
      <c r="V118" s="6" t="str">
        <f>IFERROR(__xludf.DUMMYFUNCTION("""COMPUTED_VALUE"""),"building.warehouse@4")</f>
        <v>building.warehouse@4</v>
      </c>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row>
    <row r="119" ht="14.25" customHeight="1">
      <c r="A119" s="26" t="str">
        <f t="shared" si="1"/>
        <v>building.warehouse@5</v>
      </c>
      <c r="B119" s="26" t="str">
        <f t="array" ref="B119">_xlfn.XLOOKUP(A119,Targets!A:A,Targets!C:C,"")</f>
        <v>BUILDING</v>
      </c>
      <c r="C119" s="64" t="b">
        <f>COUNTIF(Targets!A:A,A119)&gt;0</f>
        <v>1</v>
      </c>
      <c r="D119" s="64" t="b">
        <f>IF(
 OR(
  LEFT(A119,15)="state.character",
  RIGHT(A119,6)=".maxed"
 ),
 TRUE,
 COUNTIF(Checklist!A:A,A119)&gt;0
)</f>
        <v>1</v>
      </c>
      <c r="E119" s="64" t="b">
        <f>IF(
 OR(
  LEFT(A119,15)="state.character",
  RIGHT(A119,6)=".maxed",
  A119="building.guild@1",
  A119="quest.build_the_guild.accepted",
  A119="quest.build_the_pagoda.accepted"
 ),
 TRUE,
 COUNTIF(Dependencies!A:A,A119)&gt;0
)</f>
        <v>1</v>
      </c>
      <c r="F119" s="64" t="b">
        <f>COUNTIF(Dependencies!B:B,A119)&gt;0</f>
        <v>1</v>
      </c>
      <c r="G119" s="64" t="b">
        <f>COUNTIF(QuestObjectives!A:A,A119)&gt;0</f>
        <v>0</v>
      </c>
      <c r="H119" s="64" t="b">
        <f>COUNTIF(QuestObjectives!E:E,A119)&gt;0</f>
        <v>0</v>
      </c>
      <c r="I119" s="64" t="b">
        <f>COUNTIF(TargetStatus!A:A,A119)&gt;0</f>
        <v>1</v>
      </c>
      <c r="J119" s="64" t="b">
        <f>COUNTIF(CostStatus!B:B,A119)&gt;0</f>
        <v>1</v>
      </c>
      <c r="K119" s="64" t="b">
        <f>COUNTIF(States!A:A,A119)&gt;0</f>
        <v>0</v>
      </c>
      <c r="L119" s="64" t="b">
        <f t="shared" si="2"/>
        <v>1</v>
      </c>
      <c r="M119" s="64" t="b">
        <f>IF(A119="","",COUNTIF(Targets!A:A,A119)&gt;1)</f>
        <v>0</v>
      </c>
      <c r="N119" s="64" t="b">
        <f>IF(A119="","",COUNTIF(States!A:A,A119)&gt;1)</f>
        <v>0</v>
      </c>
      <c r="O119" s="64" t="b">
        <f>IFERROR(__xludf.DUMMYFUNCTION("IF(
 B119="""",
 """",
 SWITCH(
  B119,
  ""BUILDING"",COUNTIF(Buildings!A:A,A119)&gt;0,
  ""CITADEL"",COUNTIF(Citadel!A:A,A119)&gt;0,
  ""COLLECTION"",COUNTIF(Collections!A:A,A119)&gt;0,
  ""CRAFTIFACT"",COUNTIF(Craftifacts!A:A,A119)&gt;0,
  ""QUEST"",
   COUNTIF(
 "&amp;"   Quests!A:A,
    REGEXREPLACE(A119,""\.(accepted|finished)$"","""")
   )&gt;0,
  ""TECH"",COUNTIF(Technologies!A:A,A119)&gt;0,
  ""STATE"",COUNTIF(States!A:A,A119)&gt;0,
  FALSE
 )
)"),TRUE)</f>
        <v>1</v>
      </c>
      <c r="P119" s="64" t="str">
        <f t="shared" si="3"/>
        <v>Good</v>
      </c>
      <c r="Q119" s="65"/>
      <c r="R119" s="65"/>
      <c r="S119" s="65"/>
      <c r="T119" s="65"/>
      <c r="U119" s="6"/>
      <c r="V119" s="6" t="str">
        <f>IFERROR(__xludf.DUMMYFUNCTION("""COMPUTED_VALUE"""),"building.warehouse@5")</f>
        <v>building.warehouse@5</v>
      </c>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row>
    <row r="120" ht="14.25" customHeight="1">
      <c r="A120" s="26" t="str">
        <f t="shared" si="1"/>
        <v>building.warehouse@6</v>
      </c>
      <c r="B120" s="26" t="str">
        <f t="array" ref="B120">_xlfn.XLOOKUP(A120,Targets!A:A,Targets!C:C,"")</f>
        <v>BUILDING</v>
      </c>
      <c r="C120" s="64" t="b">
        <f>COUNTIF(Targets!A:A,A120)&gt;0</f>
        <v>1</v>
      </c>
      <c r="D120" s="64" t="b">
        <f>IF(
 OR(
  LEFT(A120,15)="state.character",
  RIGHT(A120,6)=".maxed"
 ),
 TRUE,
 COUNTIF(Checklist!A:A,A120)&gt;0
)</f>
        <v>1</v>
      </c>
      <c r="E120" s="64" t="b">
        <f>IF(
 OR(
  LEFT(A120,15)="state.character",
  RIGHT(A120,6)=".maxed",
  A120="building.guild@1",
  A120="quest.build_the_guild.accepted",
  A120="quest.build_the_pagoda.accepted"
 ),
 TRUE,
 COUNTIF(Dependencies!A:A,A120)&gt;0
)</f>
        <v>1</v>
      </c>
      <c r="F120" s="64" t="b">
        <f>COUNTIF(Dependencies!B:B,A120)&gt;0</f>
        <v>1</v>
      </c>
      <c r="G120" s="64" t="b">
        <f>COUNTIF(QuestObjectives!A:A,A120)&gt;0</f>
        <v>0</v>
      </c>
      <c r="H120" s="64" t="b">
        <f>COUNTIF(QuestObjectives!E:E,A120)&gt;0</f>
        <v>0</v>
      </c>
      <c r="I120" s="64" t="b">
        <f>COUNTIF(TargetStatus!A:A,A120)&gt;0</f>
        <v>1</v>
      </c>
      <c r="J120" s="64" t="b">
        <f>COUNTIF(CostStatus!B:B,A120)&gt;0</f>
        <v>1</v>
      </c>
      <c r="K120" s="64" t="b">
        <f>COUNTIF(States!A:A,A120)&gt;0</f>
        <v>0</v>
      </c>
      <c r="L120" s="64" t="b">
        <f t="shared" si="2"/>
        <v>1</v>
      </c>
      <c r="M120" s="64" t="b">
        <f>IF(A120="","",COUNTIF(Targets!A:A,A120)&gt;1)</f>
        <v>0</v>
      </c>
      <c r="N120" s="64" t="b">
        <f>IF(A120="","",COUNTIF(States!A:A,A120)&gt;1)</f>
        <v>0</v>
      </c>
      <c r="O120" s="64" t="b">
        <f>IFERROR(__xludf.DUMMYFUNCTION("IF(
 B120="""",
 """",
 SWITCH(
  B120,
  ""BUILDING"",COUNTIF(Buildings!A:A,A120)&gt;0,
  ""CITADEL"",COUNTIF(Citadel!A:A,A120)&gt;0,
  ""COLLECTION"",COUNTIF(Collections!A:A,A120)&gt;0,
  ""CRAFTIFACT"",COUNTIF(Craftifacts!A:A,A120)&gt;0,
  ""QUEST"",
   COUNTIF(
 "&amp;"   Quests!A:A,
    REGEXREPLACE(A120,""\.(accepted|finished)$"","""")
   )&gt;0,
  ""TECH"",COUNTIF(Technologies!A:A,A120)&gt;0,
  ""STATE"",COUNTIF(States!A:A,A120)&gt;0,
  FALSE
 )
)"),TRUE)</f>
        <v>1</v>
      </c>
      <c r="P120" s="64" t="str">
        <f t="shared" si="3"/>
        <v>Good</v>
      </c>
      <c r="Q120" s="65"/>
      <c r="R120" s="65"/>
      <c r="S120" s="65"/>
      <c r="T120" s="65"/>
      <c r="U120" s="6"/>
      <c r="V120" s="6" t="str">
        <f>IFERROR(__xludf.DUMMYFUNCTION("""COMPUTED_VALUE"""),"building.warehouse@6")</f>
        <v>building.warehouse@6</v>
      </c>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row>
    <row r="121" ht="14.25" customHeight="1">
      <c r="A121" s="26" t="str">
        <f t="shared" si="1"/>
        <v>building.warehouse@7</v>
      </c>
      <c r="B121" s="26" t="str">
        <f t="array" ref="B121">_xlfn.XLOOKUP(A121,Targets!A:A,Targets!C:C,"")</f>
        <v>BUILDING</v>
      </c>
      <c r="C121" s="64" t="b">
        <f>COUNTIF(Targets!A:A,A121)&gt;0</f>
        <v>1</v>
      </c>
      <c r="D121" s="64" t="b">
        <f>IF(
 OR(
  LEFT(A121,15)="state.character",
  RIGHT(A121,6)=".maxed"
 ),
 TRUE,
 COUNTIF(Checklist!A:A,A121)&gt;0
)</f>
        <v>1</v>
      </c>
      <c r="E121" s="64" t="b">
        <f>IF(
 OR(
  LEFT(A121,15)="state.character",
  RIGHT(A121,6)=".maxed",
  A121="building.guild@1",
  A121="quest.build_the_guild.accepted",
  A121="quest.build_the_pagoda.accepted"
 ),
 TRUE,
 COUNTIF(Dependencies!A:A,A121)&gt;0
)</f>
        <v>1</v>
      </c>
      <c r="F121" s="64" t="b">
        <f>COUNTIF(Dependencies!B:B,A121)&gt;0</f>
        <v>1</v>
      </c>
      <c r="G121" s="64" t="b">
        <f>COUNTIF(QuestObjectives!A:A,A121)&gt;0</f>
        <v>0</v>
      </c>
      <c r="H121" s="64" t="b">
        <f>COUNTIF(QuestObjectives!E:E,A121)&gt;0</f>
        <v>0</v>
      </c>
      <c r="I121" s="64" t="b">
        <f>COUNTIF(TargetStatus!A:A,A121)&gt;0</f>
        <v>1</v>
      </c>
      <c r="J121" s="64" t="b">
        <f>COUNTIF(CostStatus!B:B,A121)&gt;0</f>
        <v>1</v>
      </c>
      <c r="K121" s="64" t="b">
        <f>COUNTIF(States!A:A,A121)&gt;0</f>
        <v>0</v>
      </c>
      <c r="L121" s="64" t="b">
        <f t="shared" si="2"/>
        <v>1</v>
      </c>
      <c r="M121" s="64" t="b">
        <f>IF(A121="","",COUNTIF(Targets!A:A,A121)&gt;1)</f>
        <v>0</v>
      </c>
      <c r="N121" s="64" t="b">
        <f>IF(A121="","",COUNTIF(States!A:A,A121)&gt;1)</f>
        <v>0</v>
      </c>
      <c r="O121" s="64" t="b">
        <f>IFERROR(__xludf.DUMMYFUNCTION("IF(
 B121="""",
 """",
 SWITCH(
  B121,
  ""BUILDING"",COUNTIF(Buildings!A:A,A121)&gt;0,
  ""CITADEL"",COUNTIF(Citadel!A:A,A121)&gt;0,
  ""COLLECTION"",COUNTIF(Collections!A:A,A121)&gt;0,
  ""CRAFTIFACT"",COUNTIF(Craftifacts!A:A,A121)&gt;0,
  ""QUEST"",
   COUNTIF(
 "&amp;"   Quests!A:A,
    REGEXREPLACE(A121,""\.(accepted|finished)$"","""")
   )&gt;0,
  ""TECH"",COUNTIF(Technologies!A:A,A121)&gt;0,
  ""STATE"",COUNTIF(States!A:A,A121)&gt;0,
  FALSE
 )
)"),TRUE)</f>
        <v>1</v>
      </c>
      <c r="P121" s="64" t="str">
        <f t="shared" si="3"/>
        <v>Good</v>
      </c>
      <c r="Q121" s="65"/>
      <c r="R121" s="65"/>
      <c r="S121" s="65"/>
      <c r="T121" s="65"/>
      <c r="U121" s="6"/>
      <c r="V121" s="6" t="str">
        <f>IFERROR(__xludf.DUMMYFUNCTION("""COMPUTED_VALUE"""),"building.warehouse@7")</f>
        <v>building.warehouse@7</v>
      </c>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row>
    <row r="122" ht="14.25" customHeight="1">
      <c r="A122" s="26" t="str">
        <f t="shared" si="1"/>
        <v>building.windmill.maxed</v>
      </c>
      <c r="B122" s="26" t="str">
        <f t="array" ref="B122">_xlfn.XLOOKUP(A122,Targets!A:A,Targets!C:C,"")</f>
        <v>BUILDING</v>
      </c>
      <c r="C122" s="64" t="b">
        <f>COUNTIF(Targets!A:A,A122)&gt;0</f>
        <v>1</v>
      </c>
      <c r="D122" s="64" t="b">
        <f>IF(
 OR(
  LEFT(A122,15)="state.character",
  RIGHT(A122,6)=".maxed"
 ),
 TRUE,
 COUNTIF(Checklist!A:A,A122)&gt;0
)</f>
        <v>1</v>
      </c>
      <c r="E122" s="64" t="b">
        <f>IF(
 OR(
  LEFT(A122,15)="state.character",
  RIGHT(A122,6)=".maxed",
  A122="building.guild@1",
  A122="quest.build_the_guild.accepted",
  A122="quest.build_the_pagoda.accepted"
 ),
 TRUE,
 COUNTIF(Dependencies!A:A,A122)&gt;0
)</f>
        <v>1</v>
      </c>
      <c r="F122" s="64" t="b">
        <f>COUNTIF(Dependencies!B:B,A122)&gt;0</f>
        <v>1</v>
      </c>
      <c r="G122" s="64" t="b">
        <f>COUNTIF(QuestObjectives!A:A,A122)&gt;0</f>
        <v>0</v>
      </c>
      <c r="H122" s="64" t="b">
        <f>COUNTIF(QuestObjectives!E:E,A122)&gt;0</f>
        <v>0</v>
      </c>
      <c r="I122" s="64" t="b">
        <f>COUNTIF(TargetStatus!A:A,A122)&gt;0</f>
        <v>1</v>
      </c>
      <c r="J122" s="64" t="b">
        <f>COUNTIF(CostStatus!B:B,A122)&gt;0</f>
        <v>0</v>
      </c>
      <c r="K122" s="64" t="b">
        <f>COUNTIF(States!A:A,A122)&gt;0</f>
        <v>0</v>
      </c>
      <c r="L122" s="64" t="b">
        <f t="shared" si="2"/>
        <v>1</v>
      </c>
      <c r="M122" s="64" t="b">
        <f>IF(A122="","",COUNTIF(Targets!A:A,A122)&gt;1)</f>
        <v>0</v>
      </c>
      <c r="N122" s="64" t="b">
        <f>IF(A122="","",COUNTIF(States!A:A,A122)&gt;1)</f>
        <v>0</v>
      </c>
      <c r="O122" s="64" t="b">
        <f>IFERROR(__xludf.DUMMYFUNCTION("IF(
 B122="""",
 """",
 SWITCH(
  B122,
  ""BUILDING"",COUNTIF(Buildings!A:A,A122)&gt;0,
  ""CITADEL"",COUNTIF(Citadel!A:A,A122)&gt;0,
  ""COLLECTION"",COUNTIF(Collections!A:A,A122)&gt;0,
  ""CRAFTIFACT"",COUNTIF(Craftifacts!A:A,A122)&gt;0,
  ""QUEST"",
   COUNTIF(
 "&amp;"   Quests!A:A,
    REGEXREPLACE(A122,""\.(accepted|finished)$"","""")
   )&gt;0,
  ""TECH"",COUNTIF(Technologies!A:A,A122)&gt;0,
  ""STATE"",COUNTIF(States!A:A,A122)&gt;0,
  FALSE
 )
)"),FALSE)</f>
        <v>0</v>
      </c>
      <c r="P122" s="64" t="str">
        <f t="shared" si="3"/>
        <v>Good</v>
      </c>
      <c r="Q122" s="65"/>
      <c r="R122" s="65"/>
      <c r="S122" s="65"/>
      <c r="T122" s="65"/>
      <c r="U122" s="6"/>
      <c r="V122" s="6" t="str">
        <f>IFERROR(__xludf.DUMMYFUNCTION("""COMPUTED_VALUE"""),"building.windmill.maxed")</f>
        <v>building.windmill.maxed</v>
      </c>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row>
    <row r="123" ht="14.25" customHeight="1">
      <c r="A123" s="26" t="str">
        <f t="shared" si="1"/>
        <v>building.windmill@1</v>
      </c>
      <c r="B123" s="26" t="str">
        <f t="array" ref="B123">_xlfn.XLOOKUP(A123,Targets!A:A,Targets!C:C,"")</f>
        <v>BUILDING</v>
      </c>
      <c r="C123" s="64" t="b">
        <f>COUNTIF(Targets!A:A,A123)&gt;0</f>
        <v>1</v>
      </c>
      <c r="D123" s="64" t="b">
        <f>IF(
 OR(
  LEFT(A123,15)="state.character",
  RIGHT(A123,6)=".maxed"
 ),
 TRUE,
 COUNTIF(Checklist!A:A,A123)&gt;0
)</f>
        <v>1</v>
      </c>
      <c r="E123" s="64" t="b">
        <f>IF(
 OR(
  LEFT(A123,15)="state.character",
  RIGHT(A123,6)=".maxed",
  A123="building.guild@1",
  A123="quest.build_the_guild.accepted",
  A123="quest.build_the_pagoda.accepted"
 ),
 TRUE,
 COUNTIF(Dependencies!A:A,A123)&gt;0
)</f>
        <v>1</v>
      </c>
      <c r="F123" s="64" t="b">
        <f>COUNTIF(Dependencies!B:B,A123)&gt;0</f>
        <v>1</v>
      </c>
      <c r="G123" s="64" t="b">
        <f>COUNTIF(QuestObjectives!A:A,A123)&gt;0</f>
        <v>0</v>
      </c>
      <c r="H123" s="64" t="b">
        <f>COUNTIF(QuestObjectives!E:E,A123)&gt;0</f>
        <v>0</v>
      </c>
      <c r="I123" s="64" t="b">
        <f>COUNTIF(TargetStatus!A:A,A123)&gt;0</f>
        <v>1</v>
      </c>
      <c r="J123" s="64" t="b">
        <f>COUNTIF(CostStatus!B:B,A123)&gt;0</f>
        <v>1</v>
      </c>
      <c r="K123" s="64" t="b">
        <f>COUNTIF(States!A:A,A123)&gt;0</f>
        <v>0</v>
      </c>
      <c r="L123" s="64" t="b">
        <f t="shared" si="2"/>
        <v>1</v>
      </c>
      <c r="M123" s="64" t="b">
        <f>IF(A123="","",COUNTIF(Targets!A:A,A123)&gt;1)</f>
        <v>0</v>
      </c>
      <c r="N123" s="64" t="b">
        <f>IF(A123="","",COUNTIF(States!A:A,A123)&gt;1)</f>
        <v>0</v>
      </c>
      <c r="O123" s="64" t="b">
        <f>IFERROR(__xludf.DUMMYFUNCTION("IF(
 B123="""",
 """",
 SWITCH(
  B123,
  ""BUILDING"",COUNTIF(Buildings!A:A,A123)&gt;0,
  ""CITADEL"",COUNTIF(Citadel!A:A,A123)&gt;0,
  ""COLLECTION"",COUNTIF(Collections!A:A,A123)&gt;0,
  ""CRAFTIFACT"",COUNTIF(Craftifacts!A:A,A123)&gt;0,
  ""QUEST"",
   COUNTIF(
 "&amp;"   Quests!A:A,
    REGEXREPLACE(A123,""\.(accepted|finished)$"","""")
   )&gt;0,
  ""TECH"",COUNTIF(Technologies!A:A,A123)&gt;0,
  ""STATE"",COUNTIF(States!A:A,A123)&gt;0,
  FALSE
 )
)"),TRUE)</f>
        <v>1</v>
      </c>
      <c r="P123" s="64" t="str">
        <f t="shared" si="3"/>
        <v>Good</v>
      </c>
      <c r="Q123" s="65"/>
      <c r="R123" s="65"/>
      <c r="S123" s="65"/>
      <c r="T123" s="65"/>
      <c r="U123" s="6"/>
      <c r="V123" s="6" t="str">
        <f>IFERROR(__xludf.DUMMYFUNCTION("""COMPUTED_VALUE"""),"building.windmill@1")</f>
        <v>building.windmill@1</v>
      </c>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row>
    <row r="124" ht="14.25" customHeight="1">
      <c r="A124" s="26" t="str">
        <f t="shared" si="1"/>
        <v>building.windmill@2</v>
      </c>
      <c r="B124" s="26" t="str">
        <f t="array" ref="B124">_xlfn.XLOOKUP(A124,Targets!A:A,Targets!C:C,"")</f>
        <v>BUILDING</v>
      </c>
      <c r="C124" s="64" t="b">
        <f>COUNTIF(Targets!A:A,A124)&gt;0</f>
        <v>1</v>
      </c>
      <c r="D124" s="64" t="b">
        <f>IF(
 OR(
  LEFT(A124,15)="state.character",
  RIGHT(A124,6)=".maxed"
 ),
 TRUE,
 COUNTIF(Checklist!A:A,A124)&gt;0
)</f>
        <v>1</v>
      </c>
      <c r="E124" s="64" t="b">
        <f>IF(
 OR(
  LEFT(A124,15)="state.character",
  RIGHT(A124,6)=".maxed",
  A124="building.guild@1",
  A124="quest.build_the_guild.accepted",
  A124="quest.build_the_pagoda.accepted"
 ),
 TRUE,
 COUNTIF(Dependencies!A:A,A124)&gt;0
)</f>
        <v>1</v>
      </c>
      <c r="F124" s="64" t="b">
        <f>COUNTIF(Dependencies!B:B,A124)&gt;0</f>
        <v>1</v>
      </c>
      <c r="G124" s="64" t="b">
        <f>COUNTIF(QuestObjectives!A:A,A124)&gt;0</f>
        <v>0</v>
      </c>
      <c r="H124" s="64" t="b">
        <f>COUNTIF(QuestObjectives!E:E,A124)&gt;0</f>
        <v>0</v>
      </c>
      <c r="I124" s="64" t="b">
        <f>COUNTIF(TargetStatus!A:A,A124)&gt;0</f>
        <v>1</v>
      </c>
      <c r="J124" s="64" t="b">
        <f>COUNTIF(CostStatus!B:B,A124)&gt;0</f>
        <v>1</v>
      </c>
      <c r="K124" s="64" t="b">
        <f>COUNTIF(States!A:A,A124)&gt;0</f>
        <v>0</v>
      </c>
      <c r="L124" s="64" t="b">
        <f t="shared" si="2"/>
        <v>1</v>
      </c>
      <c r="M124" s="64" t="b">
        <f>IF(A124="","",COUNTIF(Targets!A:A,A124)&gt;1)</f>
        <v>0</v>
      </c>
      <c r="N124" s="64" t="b">
        <f>IF(A124="","",COUNTIF(States!A:A,A124)&gt;1)</f>
        <v>0</v>
      </c>
      <c r="O124" s="64" t="b">
        <f>IFERROR(__xludf.DUMMYFUNCTION("IF(
 B124="""",
 """",
 SWITCH(
  B124,
  ""BUILDING"",COUNTIF(Buildings!A:A,A124)&gt;0,
  ""CITADEL"",COUNTIF(Citadel!A:A,A124)&gt;0,
  ""COLLECTION"",COUNTIF(Collections!A:A,A124)&gt;0,
  ""CRAFTIFACT"",COUNTIF(Craftifacts!A:A,A124)&gt;0,
  ""QUEST"",
   COUNTIF(
 "&amp;"   Quests!A:A,
    REGEXREPLACE(A124,""\.(accepted|finished)$"","""")
   )&gt;0,
  ""TECH"",COUNTIF(Technologies!A:A,A124)&gt;0,
  ""STATE"",COUNTIF(States!A:A,A124)&gt;0,
  FALSE
 )
)"),TRUE)</f>
        <v>1</v>
      </c>
      <c r="P124" s="64" t="str">
        <f t="shared" si="3"/>
        <v>Good</v>
      </c>
      <c r="Q124" s="65"/>
      <c r="R124" s="65"/>
      <c r="S124" s="65"/>
      <c r="T124" s="65"/>
      <c r="U124" s="6"/>
      <c r="V124" s="6" t="str">
        <f>IFERROR(__xludf.DUMMYFUNCTION("""COMPUTED_VALUE"""),"building.windmill@2")</f>
        <v>building.windmill@2</v>
      </c>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row>
    <row r="125" ht="14.25" customHeight="1">
      <c r="A125" s="26" t="str">
        <f t="shared" si="1"/>
        <v>building.workshop.maxed</v>
      </c>
      <c r="B125" s="26" t="str">
        <f t="array" ref="B125">_xlfn.XLOOKUP(A125,Targets!A:A,Targets!C:C,"")</f>
        <v>BUILDING</v>
      </c>
      <c r="C125" s="64" t="b">
        <f>COUNTIF(Targets!A:A,A125)&gt;0</f>
        <v>1</v>
      </c>
      <c r="D125" s="64" t="b">
        <f>IF(
 OR(
  LEFT(A125,15)="state.character",
  RIGHT(A125,6)=".maxed"
 ),
 TRUE,
 COUNTIF(Checklist!A:A,A125)&gt;0
)</f>
        <v>1</v>
      </c>
      <c r="E125" s="64" t="b">
        <f>IF(
 OR(
  LEFT(A125,15)="state.character",
  RIGHT(A125,6)=".maxed",
  A125="building.guild@1",
  A125="quest.build_the_guild.accepted",
  A125="quest.build_the_pagoda.accepted"
 ),
 TRUE,
 COUNTIF(Dependencies!A:A,A125)&gt;0
)</f>
        <v>1</v>
      </c>
      <c r="F125" s="64" t="b">
        <f>COUNTIF(Dependencies!B:B,A125)&gt;0</f>
        <v>1</v>
      </c>
      <c r="G125" s="64" t="b">
        <f>COUNTIF(QuestObjectives!A:A,A125)&gt;0</f>
        <v>0</v>
      </c>
      <c r="H125" s="64" t="b">
        <f>COUNTIF(QuestObjectives!E:E,A125)&gt;0</f>
        <v>0</v>
      </c>
      <c r="I125" s="64" t="b">
        <f>COUNTIF(TargetStatus!A:A,A125)&gt;0</f>
        <v>1</v>
      </c>
      <c r="J125" s="64" t="b">
        <f>COUNTIF(CostStatus!B:B,A125)&gt;0</f>
        <v>0</v>
      </c>
      <c r="K125" s="64" t="b">
        <f>COUNTIF(States!A:A,A125)&gt;0</f>
        <v>0</v>
      </c>
      <c r="L125" s="64" t="b">
        <f t="shared" si="2"/>
        <v>1</v>
      </c>
      <c r="M125" s="64" t="b">
        <f>IF(A125="","",COUNTIF(Targets!A:A,A125)&gt;1)</f>
        <v>0</v>
      </c>
      <c r="N125" s="64" t="b">
        <f>IF(A125="","",COUNTIF(States!A:A,A125)&gt;1)</f>
        <v>0</v>
      </c>
      <c r="O125" s="64" t="b">
        <f>IFERROR(__xludf.DUMMYFUNCTION("IF(
 B125="""",
 """",
 SWITCH(
  B125,
  ""BUILDING"",COUNTIF(Buildings!A:A,A125)&gt;0,
  ""CITADEL"",COUNTIF(Citadel!A:A,A125)&gt;0,
  ""COLLECTION"",COUNTIF(Collections!A:A,A125)&gt;0,
  ""CRAFTIFACT"",COUNTIF(Craftifacts!A:A,A125)&gt;0,
  ""QUEST"",
   COUNTIF(
 "&amp;"   Quests!A:A,
    REGEXREPLACE(A125,""\.(accepted|finished)$"","""")
   )&gt;0,
  ""TECH"",COUNTIF(Technologies!A:A,A125)&gt;0,
  ""STATE"",COUNTIF(States!A:A,A125)&gt;0,
  FALSE
 )
)"),FALSE)</f>
        <v>0</v>
      </c>
      <c r="P125" s="64" t="str">
        <f t="shared" si="3"/>
        <v>Good</v>
      </c>
      <c r="Q125" s="65"/>
      <c r="R125" s="65"/>
      <c r="S125" s="65"/>
      <c r="T125" s="65"/>
      <c r="U125" s="6"/>
      <c r="V125" s="6" t="str">
        <f>IFERROR(__xludf.DUMMYFUNCTION("""COMPUTED_VALUE"""),"building.workshop.maxed")</f>
        <v>building.workshop.maxed</v>
      </c>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row>
    <row r="126" ht="14.25" customHeight="1">
      <c r="A126" s="26" t="str">
        <f t="shared" si="1"/>
        <v>building.workshop@1</v>
      </c>
      <c r="B126" s="26" t="str">
        <f t="array" ref="B126">_xlfn.XLOOKUP(A126,Targets!A:A,Targets!C:C,"")</f>
        <v>BUILDING</v>
      </c>
      <c r="C126" s="64" t="b">
        <f>COUNTIF(Targets!A:A,A126)&gt;0</f>
        <v>1</v>
      </c>
      <c r="D126" s="64" t="b">
        <f>IF(
 OR(
  LEFT(A126,15)="state.character",
  RIGHT(A126,6)=".maxed"
 ),
 TRUE,
 COUNTIF(Checklist!A:A,A126)&gt;0
)</f>
        <v>1</v>
      </c>
      <c r="E126" s="64" t="b">
        <f>IF(
 OR(
  LEFT(A126,15)="state.character",
  RIGHT(A126,6)=".maxed",
  A126="building.guild@1",
  A126="quest.build_the_guild.accepted",
  A126="quest.build_the_pagoda.accepted"
 ),
 TRUE,
 COUNTIF(Dependencies!A:A,A126)&gt;0
)</f>
        <v>1</v>
      </c>
      <c r="F126" s="64" t="b">
        <f>COUNTIF(Dependencies!B:B,A126)&gt;0</f>
        <v>1</v>
      </c>
      <c r="G126" s="64" t="b">
        <f>COUNTIF(QuestObjectives!A:A,A126)&gt;0</f>
        <v>0</v>
      </c>
      <c r="H126" s="64" t="b">
        <f>COUNTIF(QuestObjectives!E:E,A126)&gt;0</f>
        <v>0</v>
      </c>
      <c r="I126" s="64" t="b">
        <f>COUNTIF(TargetStatus!A:A,A126)&gt;0</f>
        <v>1</v>
      </c>
      <c r="J126" s="64" t="b">
        <f>COUNTIF(CostStatus!B:B,A126)&gt;0</f>
        <v>1</v>
      </c>
      <c r="K126" s="64" t="b">
        <f>COUNTIF(States!A:A,A126)&gt;0</f>
        <v>0</v>
      </c>
      <c r="L126" s="64" t="b">
        <f t="shared" si="2"/>
        <v>1</v>
      </c>
      <c r="M126" s="64" t="b">
        <f>IF(A126="","",COUNTIF(Targets!A:A,A126)&gt;1)</f>
        <v>0</v>
      </c>
      <c r="N126" s="64" t="b">
        <f>IF(A126="","",COUNTIF(States!A:A,A126)&gt;1)</f>
        <v>0</v>
      </c>
      <c r="O126" s="64" t="b">
        <f>IFERROR(__xludf.DUMMYFUNCTION("IF(
 B126="""",
 """",
 SWITCH(
  B126,
  ""BUILDING"",COUNTIF(Buildings!A:A,A126)&gt;0,
  ""CITADEL"",COUNTIF(Citadel!A:A,A126)&gt;0,
  ""COLLECTION"",COUNTIF(Collections!A:A,A126)&gt;0,
  ""CRAFTIFACT"",COUNTIF(Craftifacts!A:A,A126)&gt;0,
  ""QUEST"",
   COUNTIF(
 "&amp;"   Quests!A:A,
    REGEXREPLACE(A126,""\.(accepted|finished)$"","""")
   )&gt;0,
  ""TECH"",COUNTIF(Technologies!A:A,A126)&gt;0,
  ""STATE"",COUNTIF(States!A:A,A126)&gt;0,
  FALSE
 )
)"),TRUE)</f>
        <v>1</v>
      </c>
      <c r="P126" s="64" t="str">
        <f t="shared" si="3"/>
        <v>Good</v>
      </c>
      <c r="Q126" s="65"/>
      <c r="R126" s="65"/>
      <c r="S126" s="65"/>
      <c r="T126" s="65"/>
      <c r="U126" s="6"/>
      <c r="V126" s="6" t="str">
        <f>IFERROR(__xludf.DUMMYFUNCTION("""COMPUTED_VALUE"""),"building.workshop@1")</f>
        <v>building.workshop@1</v>
      </c>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row>
    <row r="127" ht="14.25" customHeight="1">
      <c r="A127" s="26" t="str">
        <f t="shared" si="1"/>
        <v>building.workshop@2</v>
      </c>
      <c r="B127" s="26" t="str">
        <f t="array" ref="B127">_xlfn.XLOOKUP(A127,Targets!A:A,Targets!C:C,"")</f>
        <v>BUILDING</v>
      </c>
      <c r="C127" s="64" t="b">
        <f>COUNTIF(Targets!A:A,A127)&gt;0</f>
        <v>1</v>
      </c>
      <c r="D127" s="64" t="b">
        <f>IF(
 OR(
  LEFT(A127,15)="state.character",
  RIGHT(A127,6)=".maxed"
 ),
 TRUE,
 COUNTIF(Checklist!A:A,A127)&gt;0
)</f>
        <v>1</v>
      </c>
      <c r="E127" s="64" t="b">
        <f>IF(
 OR(
  LEFT(A127,15)="state.character",
  RIGHT(A127,6)=".maxed",
  A127="building.guild@1",
  A127="quest.build_the_guild.accepted",
  A127="quest.build_the_pagoda.accepted"
 ),
 TRUE,
 COUNTIF(Dependencies!A:A,A127)&gt;0
)</f>
        <v>1</v>
      </c>
      <c r="F127" s="64" t="b">
        <f>COUNTIF(Dependencies!B:B,A127)&gt;0</f>
        <v>1</v>
      </c>
      <c r="G127" s="64" t="b">
        <f>COUNTIF(QuestObjectives!A:A,A127)&gt;0</f>
        <v>0</v>
      </c>
      <c r="H127" s="64" t="b">
        <f>COUNTIF(QuestObjectives!E:E,A127)&gt;0</f>
        <v>0</v>
      </c>
      <c r="I127" s="64" t="b">
        <f>COUNTIF(TargetStatus!A:A,A127)&gt;0</f>
        <v>1</v>
      </c>
      <c r="J127" s="64" t="b">
        <f>COUNTIF(CostStatus!B:B,A127)&gt;0</f>
        <v>1</v>
      </c>
      <c r="K127" s="64" t="b">
        <f>COUNTIF(States!A:A,A127)&gt;0</f>
        <v>0</v>
      </c>
      <c r="L127" s="64" t="b">
        <f t="shared" si="2"/>
        <v>1</v>
      </c>
      <c r="M127" s="64" t="b">
        <f>IF(A127="","",COUNTIF(Targets!A:A,A127)&gt;1)</f>
        <v>0</v>
      </c>
      <c r="N127" s="64" t="b">
        <f>IF(A127="","",COUNTIF(States!A:A,A127)&gt;1)</f>
        <v>0</v>
      </c>
      <c r="O127" s="64" t="b">
        <f>IFERROR(__xludf.DUMMYFUNCTION("IF(
 B127="""",
 """",
 SWITCH(
  B127,
  ""BUILDING"",COUNTIF(Buildings!A:A,A127)&gt;0,
  ""CITADEL"",COUNTIF(Citadel!A:A,A127)&gt;0,
  ""COLLECTION"",COUNTIF(Collections!A:A,A127)&gt;0,
  ""CRAFTIFACT"",COUNTIF(Craftifacts!A:A,A127)&gt;0,
  ""QUEST"",
   COUNTIF(
 "&amp;"   Quests!A:A,
    REGEXREPLACE(A127,""\.(accepted|finished)$"","""")
   )&gt;0,
  ""TECH"",COUNTIF(Technologies!A:A,A127)&gt;0,
  ""STATE"",COUNTIF(States!A:A,A127)&gt;0,
  FALSE
 )
)"),TRUE)</f>
        <v>1</v>
      </c>
      <c r="P127" s="64" t="str">
        <f t="shared" si="3"/>
        <v>Good</v>
      </c>
      <c r="Q127" s="65"/>
      <c r="R127" s="65"/>
      <c r="S127" s="65"/>
      <c r="T127" s="65"/>
      <c r="U127" s="6"/>
      <c r="V127" s="6" t="str">
        <f>IFERROR(__xludf.DUMMYFUNCTION("""COMPUTED_VALUE"""),"building.workshop@2")</f>
        <v>building.workshop@2</v>
      </c>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row>
    <row r="128" ht="14.25" customHeight="1">
      <c r="A128" s="26" t="str">
        <f t="shared" si="1"/>
        <v>building.workshop@3</v>
      </c>
      <c r="B128" s="26" t="str">
        <f t="array" ref="B128">_xlfn.XLOOKUP(A128,Targets!A:A,Targets!C:C,"")</f>
        <v>BUILDING</v>
      </c>
      <c r="C128" s="64" t="b">
        <f>COUNTIF(Targets!A:A,A128)&gt;0</f>
        <v>1</v>
      </c>
      <c r="D128" s="64" t="b">
        <f>IF(
 OR(
  LEFT(A128,15)="state.character",
  RIGHT(A128,6)=".maxed"
 ),
 TRUE,
 COUNTIF(Checklist!A:A,A128)&gt;0
)</f>
        <v>1</v>
      </c>
      <c r="E128" s="64" t="b">
        <f>IF(
 OR(
  LEFT(A128,15)="state.character",
  RIGHT(A128,6)=".maxed",
  A128="building.guild@1",
  A128="quest.build_the_guild.accepted",
  A128="quest.build_the_pagoda.accepted"
 ),
 TRUE,
 COUNTIF(Dependencies!A:A,A128)&gt;0
)</f>
        <v>1</v>
      </c>
      <c r="F128" s="64" t="b">
        <f>COUNTIF(Dependencies!B:B,A128)&gt;0</f>
        <v>1</v>
      </c>
      <c r="G128" s="64" t="b">
        <f>COUNTIF(QuestObjectives!A:A,A128)&gt;0</f>
        <v>0</v>
      </c>
      <c r="H128" s="64" t="b">
        <f>COUNTIF(QuestObjectives!E:E,A128)&gt;0</f>
        <v>0</v>
      </c>
      <c r="I128" s="64" t="b">
        <f>COUNTIF(TargetStatus!A:A,A128)&gt;0</f>
        <v>1</v>
      </c>
      <c r="J128" s="64" t="b">
        <f>COUNTIF(CostStatus!B:B,A128)&gt;0</f>
        <v>1</v>
      </c>
      <c r="K128" s="64" t="b">
        <f>COUNTIF(States!A:A,A128)&gt;0</f>
        <v>0</v>
      </c>
      <c r="L128" s="64" t="b">
        <f t="shared" si="2"/>
        <v>1</v>
      </c>
      <c r="M128" s="64" t="b">
        <f>IF(A128="","",COUNTIF(Targets!A:A,A128)&gt;1)</f>
        <v>0</v>
      </c>
      <c r="N128" s="64" t="b">
        <f>IF(A128="","",COUNTIF(States!A:A,A128)&gt;1)</f>
        <v>0</v>
      </c>
      <c r="O128" s="64" t="b">
        <f>IFERROR(__xludf.DUMMYFUNCTION("IF(
 B128="""",
 """",
 SWITCH(
  B128,
  ""BUILDING"",COUNTIF(Buildings!A:A,A128)&gt;0,
  ""CITADEL"",COUNTIF(Citadel!A:A,A128)&gt;0,
  ""COLLECTION"",COUNTIF(Collections!A:A,A128)&gt;0,
  ""CRAFTIFACT"",COUNTIF(Craftifacts!A:A,A128)&gt;0,
  ""QUEST"",
   COUNTIF(
 "&amp;"   Quests!A:A,
    REGEXREPLACE(A128,""\.(accepted|finished)$"","""")
   )&gt;0,
  ""TECH"",COUNTIF(Technologies!A:A,A128)&gt;0,
  ""STATE"",COUNTIF(States!A:A,A128)&gt;0,
  FALSE
 )
)"),TRUE)</f>
        <v>1</v>
      </c>
      <c r="P128" s="64" t="str">
        <f t="shared" si="3"/>
        <v>Good</v>
      </c>
      <c r="Q128" s="65"/>
      <c r="R128" s="65"/>
      <c r="S128" s="65"/>
      <c r="T128" s="65"/>
      <c r="U128" s="6"/>
      <c r="V128" s="6" t="str">
        <f>IFERROR(__xludf.DUMMYFUNCTION("""COMPUTED_VALUE"""),"building.workshop@3")</f>
        <v>building.workshop@3</v>
      </c>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row>
    <row r="129" ht="14.25" customHeight="1">
      <c r="A129" s="26" t="str">
        <f t="shared" si="1"/>
        <v>building.workshop@4</v>
      </c>
      <c r="B129" s="26" t="str">
        <f t="array" ref="B129">_xlfn.XLOOKUP(A129,Targets!A:A,Targets!C:C,"")</f>
        <v>BUILDING</v>
      </c>
      <c r="C129" s="64" t="b">
        <f>COUNTIF(Targets!A:A,A129)&gt;0</f>
        <v>1</v>
      </c>
      <c r="D129" s="64" t="b">
        <f>IF(
 OR(
  LEFT(A129,15)="state.character",
  RIGHT(A129,6)=".maxed"
 ),
 TRUE,
 COUNTIF(Checklist!A:A,A129)&gt;0
)</f>
        <v>1</v>
      </c>
      <c r="E129" s="64" t="b">
        <f>IF(
 OR(
  LEFT(A129,15)="state.character",
  RIGHT(A129,6)=".maxed",
  A129="building.guild@1",
  A129="quest.build_the_guild.accepted",
  A129="quest.build_the_pagoda.accepted"
 ),
 TRUE,
 COUNTIF(Dependencies!A:A,A129)&gt;0
)</f>
        <v>1</v>
      </c>
      <c r="F129" s="64" t="b">
        <f>COUNTIF(Dependencies!B:B,A129)&gt;0</f>
        <v>1</v>
      </c>
      <c r="G129" s="64" t="b">
        <f>COUNTIF(QuestObjectives!A:A,A129)&gt;0</f>
        <v>0</v>
      </c>
      <c r="H129" s="64" t="b">
        <f>COUNTIF(QuestObjectives!E:E,A129)&gt;0</f>
        <v>0</v>
      </c>
      <c r="I129" s="64" t="b">
        <f>COUNTIF(TargetStatus!A:A,A129)&gt;0</f>
        <v>1</v>
      </c>
      <c r="J129" s="64" t="b">
        <f>COUNTIF(CostStatus!B:B,A129)&gt;0</f>
        <v>1</v>
      </c>
      <c r="K129" s="64" t="b">
        <f>COUNTIF(States!A:A,A129)&gt;0</f>
        <v>0</v>
      </c>
      <c r="L129" s="64" t="b">
        <f t="shared" si="2"/>
        <v>1</v>
      </c>
      <c r="M129" s="64" t="b">
        <f>IF(A129="","",COUNTIF(Targets!A:A,A129)&gt;1)</f>
        <v>0</v>
      </c>
      <c r="N129" s="64" t="b">
        <f>IF(A129="","",COUNTIF(States!A:A,A129)&gt;1)</f>
        <v>0</v>
      </c>
      <c r="O129" s="64" t="b">
        <f>IFERROR(__xludf.DUMMYFUNCTION("IF(
 B129="""",
 """",
 SWITCH(
  B129,
  ""BUILDING"",COUNTIF(Buildings!A:A,A129)&gt;0,
  ""CITADEL"",COUNTIF(Citadel!A:A,A129)&gt;0,
  ""COLLECTION"",COUNTIF(Collections!A:A,A129)&gt;0,
  ""CRAFTIFACT"",COUNTIF(Craftifacts!A:A,A129)&gt;0,
  ""QUEST"",
   COUNTIF(
 "&amp;"   Quests!A:A,
    REGEXREPLACE(A129,""\.(accepted|finished)$"","""")
   )&gt;0,
  ""TECH"",COUNTIF(Technologies!A:A,A129)&gt;0,
  ""STATE"",COUNTIF(States!A:A,A129)&gt;0,
  FALSE
 )
)"),TRUE)</f>
        <v>1</v>
      </c>
      <c r="P129" s="64" t="str">
        <f t="shared" si="3"/>
        <v>Good</v>
      </c>
      <c r="Q129" s="65"/>
      <c r="R129" s="65"/>
      <c r="S129" s="65"/>
      <c r="T129" s="65"/>
      <c r="U129" s="6"/>
      <c r="V129" s="6" t="str">
        <f>IFERROR(__xludf.DUMMYFUNCTION("""COMPUTED_VALUE"""),"building.workshop@4")</f>
        <v>building.workshop@4</v>
      </c>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row>
    <row r="130" ht="14.25" customHeight="1">
      <c r="A130" s="26" t="str">
        <f t="shared" si="1"/>
        <v>building.workshop@5</v>
      </c>
      <c r="B130" s="26" t="str">
        <f t="array" ref="B130">_xlfn.XLOOKUP(A130,Targets!A:A,Targets!C:C,"")</f>
        <v>BUILDING</v>
      </c>
      <c r="C130" s="64" t="b">
        <f>COUNTIF(Targets!A:A,A130)&gt;0</f>
        <v>1</v>
      </c>
      <c r="D130" s="64" t="b">
        <f>IF(
 OR(
  LEFT(A130,15)="state.character",
  RIGHT(A130,6)=".maxed"
 ),
 TRUE,
 COUNTIF(Checklist!A:A,A130)&gt;0
)</f>
        <v>1</v>
      </c>
      <c r="E130" s="64" t="b">
        <f>IF(
 OR(
  LEFT(A130,15)="state.character",
  RIGHT(A130,6)=".maxed",
  A130="building.guild@1",
  A130="quest.build_the_guild.accepted",
  A130="quest.build_the_pagoda.accepted"
 ),
 TRUE,
 COUNTIF(Dependencies!A:A,A130)&gt;0
)</f>
        <v>1</v>
      </c>
      <c r="F130" s="64" t="b">
        <f>COUNTIF(Dependencies!B:B,A130)&gt;0</f>
        <v>1</v>
      </c>
      <c r="G130" s="64" t="b">
        <f>COUNTIF(QuestObjectives!A:A,A130)&gt;0</f>
        <v>0</v>
      </c>
      <c r="H130" s="64" t="b">
        <f>COUNTIF(QuestObjectives!E:E,A130)&gt;0</f>
        <v>0</v>
      </c>
      <c r="I130" s="64" t="b">
        <f>COUNTIF(TargetStatus!A:A,A130)&gt;0</f>
        <v>1</v>
      </c>
      <c r="J130" s="64" t="b">
        <f>COUNTIF(CostStatus!B:B,A130)&gt;0</f>
        <v>1</v>
      </c>
      <c r="K130" s="64" t="b">
        <f>COUNTIF(States!A:A,A130)&gt;0</f>
        <v>0</v>
      </c>
      <c r="L130" s="64" t="b">
        <f t="shared" si="2"/>
        <v>1</v>
      </c>
      <c r="M130" s="64" t="b">
        <f>IF(A130="","",COUNTIF(Targets!A:A,A130)&gt;1)</f>
        <v>0</v>
      </c>
      <c r="N130" s="64" t="b">
        <f>IF(A130="","",COUNTIF(States!A:A,A130)&gt;1)</f>
        <v>0</v>
      </c>
      <c r="O130" s="64" t="b">
        <f>IFERROR(__xludf.DUMMYFUNCTION("IF(
 B130="""",
 """",
 SWITCH(
  B130,
  ""BUILDING"",COUNTIF(Buildings!A:A,A130)&gt;0,
  ""CITADEL"",COUNTIF(Citadel!A:A,A130)&gt;0,
  ""COLLECTION"",COUNTIF(Collections!A:A,A130)&gt;0,
  ""CRAFTIFACT"",COUNTIF(Craftifacts!A:A,A130)&gt;0,
  ""QUEST"",
   COUNTIF(
 "&amp;"   Quests!A:A,
    REGEXREPLACE(A130,""\.(accepted|finished)$"","""")
   )&gt;0,
  ""TECH"",COUNTIF(Technologies!A:A,A130)&gt;0,
  ""STATE"",COUNTIF(States!A:A,A130)&gt;0,
  FALSE
 )
)"),TRUE)</f>
        <v>1</v>
      </c>
      <c r="P130" s="64" t="str">
        <f t="shared" si="3"/>
        <v>Good</v>
      </c>
      <c r="Q130" s="65"/>
      <c r="R130" s="65"/>
      <c r="S130" s="65"/>
      <c r="T130" s="65"/>
      <c r="U130" s="6"/>
      <c r="V130" s="6" t="str">
        <f>IFERROR(__xludf.DUMMYFUNCTION("""COMPUTED_VALUE"""),"building.workshop@5")</f>
        <v>building.workshop@5</v>
      </c>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row>
    <row r="131" ht="14.25" customHeight="1">
      <c r="A131" s="26" t="str">
        <f t="shared" si="1"/>
        <v>citadel.armory</v>
      </c>
      <c r="B131" s="26" t="str">
        <f t="array" ref="B131">_xlfn.XLOOKUP(A131,Targets!A:A,Targets!C:C,"")</f>
        <v>CITADEL</v>
      </c>
      <c r="C131" s="64" t="b">
        <f>COUNTIF(Targets!A:A,A131)&gt;0</f>
        <v>1</v>
      </c>
      <c r="D131" s="64" t="b">
        <f>IF(
 OR(
  LEFT(A131,15)="state.character",
  RIGHT(A131,6)=".maxed"
 ),
 TRUE,
 COUNTIF(Checklist!A:A,A131)&gt;0
)</f>
        <v>1</v>
      </c>
      <c r="E131" s="64" t="b">
        <f>IF(
 OR(
  LEFT(A131,15)="state.character",
  RIGHT(A131,6)=".maxed",
  A131="building.guild@1",
  A131="quest.build_the_guild.accepted",
  A131="quest.build_the_pagoda.accepted"
 ),
 TRUE,
 COUNTIF(Dependencies!A:A,A131)&gt;0
)</f>
        <v>1</v>
      </c>
      <c r="F131" s="64" t="b">
        <f>COUNTIF(Dependencies!B:B,A131)&gt;0</f>
        <v>1</v>
      </c>
      <c r="G131" s="64" t="b">
        <f>COUNTIF(QuestObjectives!A:A,A131)&gt;0</f>
        <v>0</v>
      </c>
      <c r="H131" s="64" t="b">
        <f>COUNTIF(QuestObjectives!E:E,A131)&gt;0</f>
        <v>0</v>
      </c>
      <c r="I131" s="64" t="b">
        <f>COUNTIF(TargetStatus!A:A,A131)&gt;0</f>
        <v>1</v>
      </c>
      <c r="J131" s="64" t="b">
        <f>COUNTIF(CostStatus!B:B,A131)&gt;0</f>
        <v>1</v>
      </c>
      <c r="K131" s="64" t="b">
        <f>COUNTIF(States!A:A,A131)&gt;0</f>
        <v>0</v>
      </c>
      <c r="L131" s="64" t="b">
        <f t="shared" si="2"/>
        <v>1</v>
      </c>
      <c r="M131" s="64" t="b">
        <f>IF(A131="","",COUNTIF(Targets!A:A,A131)&gt;1)</f>
        <v>0</v>
      </c>
      <c r="N131" s="64" t="b">
        <f>IF(A131="","",COUNTIF(States!A:A,A131)&gt;1)</f>
        <v>0</v>
      </c>
      <c r="O131" s="64" t="b">
        <f>IFERROR(__xludf.DUMMYFUNCTION("IF(
 B131="""",
 """",
 SWITCH(
  B131,
  ""BUILDING"",COUNTIF(Buildings!A:A,A131)&gt;0,
  ""CITADEL"",COUNTIF(Citadel!A:A,A131)&gt;0,
  ""COLLECTION"",COUNTIF(Collections!A:A,A131)&gt;0,
  ""CRAFTIFACT"",COUNTIF(Craftifacts!A:A,A131)&gt;0,
  ""QUEST"",
   COUNTIF(
 "&amp;"   Quests!A:A,
    REGEXREPLACE(A131,""\.(accepted|finished)$"","""")
   )&gt;0,
  ""TECH"",COUNTIF(Technologies!A:A,A131)&gt;0,
  ""STATE"",COUNTIF(States!A:A,A131)&gt;0,
  FALSE
 )
)"),TRUE)</f>
        <v>1</v>
      </c>
      <c r="P131" s="64" t="str">
        <f t="shared" si="3"/>
        <v>Good</v>
      </c>
      <c r="Q131" s="65"/>
      <c r="R131" s="65"/>
      <c r="S131" s="65"/>
      <c r="T131" s="65"/>
      <c r="U131" s="6"/>
      <c r="V131" s="6" t="str">
        <f>IFERROR(__xludf.DUMMYFUNCTION("""COMPUTED_VALUE"""),"citadel.armory")</f>
        <v>citadel.armory</v>
      </c>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row>
    <row r="132" ht="14.25" customHeight="1">
      <c r="A132" s="26" t="str">
        <f t="shared" si="1"/>
        <v>citadel.attic</v>
      </c>
      <c r="B132" s="26" t="str">
        <f t="array" ref="B132">_xlfn.XLOOKUP(A132,Targets!A:A,Targets!C:C,"")</f>
        <v>CITADEL</v>
      </c>
      <c r="C132" s="64" t="b">
        <f>COUNTIF(Targets!A:A,A132)&gt;0</f>
        <v>1</v>
      </c>
      <c r="D132" s="64" t="b">
        <f>IF(
 OR(
  LEFT(A132,15)="state.character",
  RIGHT(A132,6)=".maxed"
 ),
 TRUE,
 COUNTIF(Checklist!A:A,A132)&gt;0
)</f>
        <v>1</v>
      </c>
      <c r="E132" s="64" t="b">
        <f>IF(
 OR(
  LEFT(A132,15)="state.character",
  RIGHT(A132,6)=".maxed",
  A132="building.guild@1",
  A132="quest.build_the_guild.accepted",
  A132="quest.build_the_pagoda.accepted"
 ),
 TRUE,
 COUNTIF(Dependencies!A:A,A132)&gt;0
)</f>
        <v>1</v>
      </c>
      <c r="F132" s="64" t="b">
        <f>COUNTIF(Dependencies!B:B,A132)&gt;0</f>
        <v>1</v>
      </c>
      <c r="G132" s="64" t="b">
        <f>COUNTIF(QuestObjectives!A:A,A132)&gt;0</f>
        <v>0</v>
      </c>
      <c r="H132" s="64" t="b">
        <f>COUNTIF(QuestObjectives!E:E,A132)&gt;0</f>
        <v>0</v>
      </c>
      <c r="I132" s="64" t="b">
        <f>COUNTIF(TargetStatus!A:A,A132)&gt;0</f>
        <v>1</v>
      </c>
      <c r="J132" s="64" t="b">
        <f>COUNTIF(CostStatus!B:B,A132)&gt;0</f>
        <v>1</v>
      </c>
      <c r="K132" s="64" t="b">
        <f>COUNTIF(States!A:A,A132)&gt;0</f>
        <v>0</v>
      </c>
      <c r="L132" s="64" t="b">
        <f t="shared" si="2"/>
        <v>1</v>
      </c>
      <c r="M132" s="64" t="b">
        <f>IF(A132="","",COUNTIF(Targets!A:A,A132)&gt;1)</f>
        <v>0</v>
      </c>
      <c r="N132" s="64" t="b">
        <f>IF(A132="","",COUNTIF(States!A:A,A132)&gt;1)</f>
        <v>0</v>
      </c>
      <c r="O132" s="64" t="b">
        <f>IFERROR(__xludf.DUMMYFUNCTION("IF(
 B132="""",
 """",
 SWITCH(
  B132,
  ""BUILDING"",COUNTIF(Buildings!A:A,A132)&gt;0,
  ""CITADEL"",COUNTIF(Citadel!A:A,A132)&gt;0,
  ""COLLECTION"",COUNTIF(Collections!A:A,A132)&gt;0,
  ""CRAFTIFACT"",COUNTIF(Craftifacts!A:A,A132)&gt;0,
  ""QUEST"",
   COUNTIF(
 "&amp;"   Quests!A:A,
    REGEXREPLACE(A132,""\.(accepted|finished)$"","""")
   )&gt;0,
  ""TECH"",COUNTIF(Technologies!A:A,A132)&gt;0,
  ""STATE"",COUNTIF(States!A:A,A132)&gt;0,
  FALSE
 )
)"),TRUE)</f>
        <v>1</v>
      </c>
      <c r="P132" s="64" t="str">
        <f t="shared" si="3"/>
        <v>Good</v>
      </c>
      <c r="Q132" s="65"/>
      <c r="R132" s="65"/>
      <c r="S132" s="65"/>
      <c r="T132" s="65"/>
      <c r="U132" s="6"/>
      <c r="V132" s="6" t="str">
        <f>IFERROR(__xludf.DUMMYFUNCTION("""COMPUTED_VALUE"""),"citadel.attic")</f>
        <v>citadel.attic</v>
      </c>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row>
    <row r="133" ht="14.25" customHeight="1">
      <c r="A133" s="26" t="str">
        <f t="shared" si="1"/>
        <v>citadel.cheese_cave</v>
      </c>
      <c r="B133" s="26" t="str">
        <f t="array" ref="B133">_xlfn.XLOOKUP(A133,Targets!A:A,Targets!C:C,"")</f>
        <v>CITADEL</v>
      </c>
      <c r="C133" s="64" t="b">
        <f>COUNTIF(Targets!A:A,A133)&gt;0</f>
        <v>1</v>
      </c>
      <c r="D133" s="64" t="b">
        <f>IF(
 OR(
  LEFT(A133,15)="state.character",
  RIGHT(A133,6)=".maxed"
 ),
 TRUE,
 COUNTIF(Checklist!A:A,A133)&gt;0
)</f>
        <v>1</v>
      </c>
      <c r="E133" s="64" t="b">
        <f>IF(
 OR(
  LEFT(A133,15)="state.character",
  RIGHT(A133,6)=".maxed",
  A133="building.guild@1",
  A133="quest.build_the_guild.accepted",
  A133="quest.build_the_pagoda.accepted"
 ),
 TRUE,
 COUNTIF(Dependencies!A:A,A133)&gt;0
)</f>
        <v>1</v>
      </c>
      <c r="F133" s="64" t="b">
        <f>COUNTIF(Dependencies!B:B,A133)&gt;0</f>
        <v>0</v>
      </c>
      <c r="G133" s="64" t="b">
        <f>COUNTIF(QuestObjectives!A:A,A133)&gt;0</f>
        <v>0</v>
      </c>
      <c r="H133" s="64" t="b">
        <f>COUNTIF(QuestObjectives!E:E,A133)&gt;0</f>
        <v>0</v>
      </c>
      <c r="I133" s="64" t="b">
        <f>COUNTIF(TargetStatus!A:A,A133)&gt;0</f>
        <v>1</v>
      </c>
      <c r="J133" s="64" t="b">
        <f>COUNTIF(CostStatus!B:B,A133)&gt;0</f>
        <v>1</v>
      </c>
      <c r="K133" s="64" t="b">
        <f>COUNTIF(States!A:A,A133)&gt;0</f>
        <v>0</v>
      </c>
      <c r="L133" s="64" t="b">
        <f t="shared" si="2"/>
        <v>1</v>
      </c>
      <c r="M133" s="64" t="b">
        <f>IF(A133="","",COUNTIF(Targets!A:A,A133)&gt;1)</f>
        <v>0</v>
      </c>
      <c r="N133" s="64" t="b">
        <f>IF(A133="","",COUNTIF(States!A:A,A133)&gt;1)</f>
        <v>0</v>
      </c>
      <c r="O133" s="64" t="b">
        <f>IFERROR(__xludf.DUMMYFUNCTION("IF(
 B133="""",
 """",
 SWITCH(
  B133,
  ""BUILDING"",COUNTIF(Buildings!A:A,A133)&gt;0,
  ""CITADEL"",COUNTIF(Citadel!A:A,A133)&gt;0,
  ""COLLECTION"",COUNTIF(Collections!A:A,A133)&gt;0,
  ""CRAFTIFACT"",COUNTIF(Craftifacts!A:A,A133)&gt;0,
  ""QUEST"",
   COUNTIF(
 "&amp;"   Quests!A:A,
    REGEXREPLACE(A133,""\.(accepted|finished)$"","""")
   )&gt;0,
  ""TECH"",COUNTIF(Technologies!A:A,A133)&gt;0,
  ""STATE"",COUNTIF(States!A:A,A133)&gt;0,
  FALSE
 )
)"),TRUE)</f>
        <v>1</v>
      </c>
      <c r="P133" s="64" t="str">
        <f t="shared" si="3"/>
        <v>Good</v>
      </c>
      <c r="Q133" s="65"/>
      <c r="R133" s="65"/>
      <c r="S133" s="65"/>
      <c r="T133" s="65"/>
      <c r="U133" s="6"/>
      <c r="V133" s="6" t="str">
        <f>IFERROR(__xludf.DUMMYFUNCTION("""COMPUTED_VALUE"""),"citadel.cheese_cave")</f>
        <v>citadel.cheese_cave</v>
      </c>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row>
    <row r="134" ht="14.25" customHeight="1">
      <c r="A134" s="26" t="str">
        <f t="shared" si="1"/>
        <v>citadel.courtyard</v>
      </c>
      <c r="B134" s="26" t="str">
        <f t="array" ref="B134">_xlfn.XLOOKUP(A134,Targets!A:A,Targets!C:C,"")</f>
        <v>CITADEL</v>
      </c>
      <c r="C134" s="64" t="b">
        <f>COUNTIF(Targets!A:A,A134)&gt;0</f>
        <v>1</v>
      </c>
      <c r="D134" s="64" t="b">
        <f>IF(
 OR(
  LEFT(A134,15)="state.character",
  RIGHT(A134,6)=".maxed"
 ),
 TRUE,
 COUNTIF(Checklist!A:A,A134)&gt;0
)</f>
        <v>1</v>
      </c>
      <c r="E134" s="64" t="b">
        <f>IF(
 OR(
  LEFT(A134,15)="state.character",
  RIGHT(A134,6)=".maxed",
  A134="building.guild@1",
  A134="quest.build_the_guild.accepted",
  A134="quest.build_the_pagoda.accepted"
 ),
 TRUE,
 COUNTIF(Dependencies!A:A,A134)&gt;0
)</f>
        <v>1</v>
      </c>
      <c r="F134" s="64" t="b">
        <f>COUNTIF(Dependencies!B:B,A134)&gt;0</f>
        <v>1</v>
      </c>
      <c r="G134" s="64" t="b">
        <f>COUNTIF(QuestObjectives!A:A,A134)&gt;0</f>
        <v>0</v>
      </c>
      <c r="H134" s="64" t="b">
        <f>COUNTIF(QuestObjectives!E:E,A134)&gt;0</f>
        <v>0</v>
      </c>
      <c r="I134" s="64" t="b">
        <f>COUNTIF(TargetStatus!A:A,A134)&gt;0</f>
        <v>1</v>
      </c>
      <c r="J134" s="64" t="b">
        <f>COUNTIF(CostStatus!B:B,A134)&gt;0</f>
        <v>1</v>
      </c>
      <c r="K134" s="64" t="b">
        <f>COUNTIF(States!A:A,A134)&gt;0</f>
        <v>0</v>
      </c>
      <c r="L134" s="64" t="b">
        <f t="shared" si="2"/>
        <v>1</v>
      </c>
      <c r="M134" s="64" t="b">
        <f>IF(A134="","",COUNTIF(Targets!A:A,A134)&gt;1)</f>
        <v>0</v>
      </c>
      <c r="N134" s="64" t="b">
        <f>IF(A134="","",COUNTIF(States!A:A,A134)&gt;1)</f>
        <v>0</v>
      </c>
      <c r="O134" s="64" t="b">
        <f>IFERROR(__xludf.DUMMYFUNCTION("IF(
 B134="""",
 """",
 SWITCH(
  B134,
  ""BUILDING"",COUNTIF(Buildings!A:A,A134)&gt;0,
  ""CITADEL"",COUNTIF(Citadel!A:A,A134)&gt;0,
  ""COLLECTION"",COUNTIF(Collections!A:A,A134)&gt;0,
  ""CRAFTIFACT"",COUNTIF(Craftifacts!A:A,A134)&gt;0,
  ""QUEST"",
   COUNTIF(
 "&amp;"   Quests!A:A,
    REGEXREPLACE(A134,""\.(accepted|finished)$"","""")
   )&gt;0,
  ""TECH"",COUNTIF(Technologies!A:A,A134)&gt;0,
  ""STATE"",COUNTIF(States!A:A,A134)&gt;0,
  FALSE
 )
)"),TRUE)</f>
        <v>1</v>
      </c>
      <c r="P134" s="64" t="str">
        <f t="shared" si="3"/>
        <v>Good</v>
      </c>
      <c r="Q134" s="65"/>
      <c r="R134" s="65"/>
      <c r="S134" s="65"/>
      <c r="T134" s="65"/>
      <c r="U134" s="6"/>
      <c r="V134" s="6" t="str">
        <f>IFERROR(__xludf.DUMMYFUNCTION("""COMPUTED_VALUE"""),"citadel.courtyard")</f>
        <v>citadel.courtyard</v>
      </c>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row>
    <row r="135" ht="14.25" customHeight="1">
      <c r="A135" s="26" t="str">
        <f t="shared" si="1"/>
        <v>citadel.gallery</v>
      </c>
      <c r="B135" s="26" t="str">
        <f t="array" ref="B135">_xlfn.XLOOKUP(A135,Targets!A:A,Targets!C:C,"")</f>
        <v>CITADEL</v>
      </c>
      <c r="C135" s="64" t="b">
        <f>COUNTIF(Targets!A:A,A135)&gt;0</f>
        <v>1</v>
      </c>
      <c r="D135" s="64" t="b">
        <f>IF(
 OR(
  LEFT(A135,15)="state.character",
  RIGHT(A135,6)=".maxed"
 ),
 TRUE,
 COUNTIF(Checklist!A:A,A135)&gt;0
)</f>
        <v>1</v>
      </c>
      <c r="E135" s="64" t="b">
        <f>IF(
 OR(
  LEFT(A135,15)="state.character",
  RIGHT(A135,6)=".maxed",
  A135="building.guild@1",
  A135="quest.build_the_guild.accepted",
  A135="quest.build_the_pagoda.accepted"
 ),
 TRUE,
 COUNTIF(Dependencies!A:A,A135)&gt;0
)</f>
        <v>1</v>
      </c>
      <c r="F135" s="64" t="b">
        <f>COUNTIF(Dependencies!B:B,A135)&gt;0</f>
        <v>1</v>
      </c>
      <c r="G135" s="64" t="b">
        <f>COUNTIF(QuestObjectives!A:A,A135)&gt;0</f>
        <v>0</v>
      </c>
      <c r="H135" s="64" t="b">
        <f>COUNTIF(QuestObjectives!E:E,A135)&gt;0</f>
        <v>0</v>
      </c>
      <c r="I135" s="64" t="b">
        <f>COUNTIF(TargetStatus!A:A,A135)&gt;0</f>
        <v>1</v>
      </c>
      <c r="J135" s="64" t="b">
        <f>COUNTIF(CostStatus!B:B,A135)&gt;0</f>
        <v>1</v>
      </c>
      <c r="K135" s="64" t="b">
        <f>COUNTIF(States!A:A,A135)&gt;0</f>
        <v>0</v>
      </c>
      <c r="L135" s="64" t="b">
        <f t="shared" si="2"/>
        <v>1</v>
      </c>
      <c r="M135" s="64" t="b">
        <f>IF(A135="","",COUNTIF(Targets!A:A,A135)&gt;1)</f>
        <v>0</v>
      </c>
      <c r="N135" s="64" t="b">
        <f>IF(A135="","",COUNTIF(States!A:A,A135)&gt;1)</f>
        <v>0</v>
      </c>
      <c r="O135" s="64" t="b">
        <f>IFERROR(__xludf.DUMMYFUNCTION("IF(
 B135="""",
 """",
 SWITCH(
  B135,
  ""BUILDING"",COUNTIF(Buildings!A:A,A135)&gt;0,
  ""CITADEL"",COUNTIF(Citadel!A:A,A135)&gt;0,
  ""COLLECTION"",COUNTIF(Collections!A:A,A135)&gt;0,
  ""CRAFTIFACT"",COUNTIF(Craftifacts!A:A,A135)&gt;0,
  ""QUEST"",
   COUNTIF(
 "&amp;"   Quests!A:A,
    REGEXREPLACE(A135,""\.(accepted|finished)$"","""")
   )&gt;0,
  ""TECH"",COUNTIF(Technologies!A:A,A135)&gt;0,
  ""STATE"",COUNTIF(States!A:A,A135)&gt;0,
  FALSE
 )
)"),TRUE)</f>
        <v>1</v>
      </c>
      <c r="P135" s="64" t="str">
        <f t="shared" si="3"/>
        <v>Good</v>
      </c>
      <c r="Q135" s="65"/>
      <c r="R135" s="65"/>
      <c r="S135" s="65"/>
      <c r="T135" s="65"/>
      <c r="U135" s="6"/>
      <c r="V135" s="6" t="str">
        <f>IFERROR(__xludf.DUMMYFUNCTION("""COMPUTED_VALUE"""),"citadel.gallery")</f>
        <v>citadel.gallery</v>
      </c>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row>
    <row r="136" ht="14.25" customHeight="1">
      <c r="A136" s="26" t="str">
        <f t="shared" si="1"/>
        <v>citadel.great_hall</v>
      </c>
      <c r="B136" s="26" t="str">
        <f t="array" ref="B136">_xlfn.XLOOKUP(A136,Targets!A:A,Targets!C:C,"")</f>
        <v>CITADEL</v>
      </c>
      <c r="C136" s="64" t="b">
        <f>COUNTIF(Targets!A:A,A136)&gt;0</f>
        <v>1</v>
      </c>
      <c r="D136" s="64" t="b">
        <f>IF(
 OR(
  LEFT(A136,15)="state.character",
  RIGHT(A136,6)=".maxed"
 ),
 TRUE,
 COUNTIF(Checklist!A:A,A136)&gt;0
)</f>
        <v>1</v>
      </c>
      <c r="E136" s="64" t="b">
        <f>IF(
 OR(
  LEFT(A136,15)="state.character",
  RIGHT(A136,6)=".maxed",
  A136="building.guild@1",
  A136="quest.build_the_guild.accepted",
  A136="quest.build_the_pagoda.accepted"
 ),
 TRUE,
 COUNTIF(Dependencies!A:A,A136)&gt;0
)</f>
        <v>1</v>
      </c>
      <c r="F136" s="64" t="b">
        <f>COUNTIF(Dependencies!B:B,A136)&gt;0</f>
        <v>1</v>
      </c>
      <c r="G136" s="64" t="b">
        <f>COUNTIF(QuestObjectives!A:A,A136)&gt;0</f>
        <v>0</v>
      </c>
      <c r="H136" s="64" t="b">
        <f>COUNTIF(QuestObjectives!E:E,A136)&gt;0</f>
        <v>0</v>
      </c>
      <c r="I136" s="64" t="b">
        <f>COUNTIF(TargetStatus!A:A,A136)&gt;0</f>
        <v>1</v>
      </c>
      <c r="J136" s="64" t="b">
        <f>COUNTIF(CostStatus!B:B,A136)&gt;0</f>
        <v>1</v>
      </c>
      <c r="K136" s="64" t="b">
        <f>COUNTIF(States!A:A,A136)&gt;0</f>
        <v>0</v>
      </c>
      <c r="L136" s="64" t="b">
        <f t="shared" si="2"/>
        <v>1</v>
      </c>
      <c r="M136" s="64" t="b">
        <f>IF(A136="","",COUNTIF(Targets!A:A,A136)&gt;1)</f>
        <v>0</v>
      </c>
      <c r="N136" s="64" t="b">
        <f>IF(A136="","",COUNTIF(States!A:A,A136)&gt;1)</f>
        <v>0</v>
      </c>
      <c r="O136" s="64" t="b">
        <f>IFERROR(__xludf.DUMMYFUNCTION("IF(
 B136="""",
 """",
 SWITCH(
  B136,
  ""BUILDING"",COUNTIF(Buildings!A:A,A136)&gt;0,
  ""CITADEL"",COUNTIF(Citadel!A:A,A136)&gt;0,
  ""COLLECTION"",COUNTIF(Collections!A:A,A136)&gt;0,
  ""CRAFTIFACT"",COUNTIF(Craftifacts!A:A,A136)&gt;0,
  ""QUEST"",
   COUNTIF(
 "&amp;"   Quests!A:A,
    REGEXREPLACE(A136,""\.(accepted|finished)$"","""")
   )&gt;0,
  ""TECH"",COUNTIF(Technologies!A:A,A136)&gt;0,
  ""STATE"",COUNTIF(States!A:A,A136)&gt;0,
  FALSE
 )
)"),TRUE)</f>
        <v>1</v>
      </c>
      <c r="P136" s="64" t="str">
        <f t="shared" si="3"/>
        <v>Good</v>
      </c>
      <c r="Q136" s="65"/>
      <c r="R136" s="65"/>
      <c r="S136" s="65"/>
      <c r="T136" s="65"/>
      <c r="U136" s="6"/>
      <c r="V136" s="6" t="str">
        <f>IFERROR(__xludf.DUMMYFUNCTION("""COMPUTED_VALUE"""),"citadel.great_hall")</f>
        <v>citadel.great_hall</v>
      </c>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row>
    <row r="137" ht="14.25" customHeight="1">
      <c r="A137" s="26" t="str">
        <f t="shared" si="1"/>
        <v>citadel.kitchen_and_buttery</v>
      </c>
      <c r="B137" s="26" t="str">
        <f t="array" ref="B137">_xlfn.XLOOKUP(A137,Targets!A:A,Targets!C:C,"")</f>
        <v>CITADEL</v>
      </c>
      <c r="C137" s="64" t="b">
        <f>COUNTIF(Targets!A:A,A137)&gt;0</f>
        <v>1</v>
      </c>
      <c r="D137" s="64" t="b">
        <f>IF(
 OR(
  LEFT(A137,15)="state.character",
  RIGHT(A137,6)=".maxed"
 ),
 TRUE,
 COUNTIF(Checklist!A:A,A137)&gt;0
)</f>
        <v>1</v>
      </c>
      <c r="E137" s="64" t="b">
        <f>IF(
 OR(
  LEFT(A137,15)="state.character",
  RIGHT(A137,6)=".maxed",
  A137="building.guild@1",
  A137="quest.build_the_guild.accepted",
  A137="quest.build_the_pagoda.accepted"
 ),
 TRUE,
 COUNTIF(Dependencies!A:A,A137)&gt;0
)</f>
        <v>1</v>
      </c>
      <c r="F137" s="64" t="b">
        <f>COUNTIF(Dependencies!B:B,A137)&gt;0</f>
        <v>1</v>
      </c>
      <c r="G137" s="64" t="b">
        <f>COUNTIF(QuestObjectives!A:A,A137)&gt;0</f>
        <v>0</v>
      </c>
      <c r="H137" s="64" t="b">
        <f>COUNTIF(QuestObjectives!E:E,A137)&gt;0</f>
        <v>0</v>
      </c>
      <c r="I137" s="64" t="b">
        <f>COUNTIF(TargetStatus!A:A,A137)&gt;0</f>
        <v>1</v>
      </c>
      <c r="J137" s="64" t="b">
        <f>COUNTIF(CostStatus!B:B,A137)&gt;0</f>
        <v>1</v>
      </c>
      <c r="K137" s="64" t="b">
        <f>COUNTIF(States!A:A,A137)&gt;0</f>
        <v>0</v>
      </c>
      <c r="L137" s="64" t="b">
        <f t="shared" si="2"/>
        <v>1</v>
      </c>
      <c r="M137" s="64" t="b">
        <f>IF(A137="","",COUNTIF(Targets!A:A,A137)&gt;1)</f>
        <v>0</v>
      </c>
      <c r="N137" s="64" t="b">
        <f>IF(A137="","",COUNTIF(States!A:A,A137)&gt;1)</f>
        <v>0</v>
      </c>
      <c r="O137" s="64" t="b">
        <f>IFERROR(__xludf.DUMMYFUNCTION("IF(
 B137="""",
 """",
 SWITCH(
  B137,
  ""BUILDING"",COUNTIF(Buildings!A:A,A137)&gt;0,
  ""CITADEL"",COUNTIF(Citadel!A:A,A137)&gt;0,
  ""COLLECTION"",COUNTIF(Collections!A:A,A137)&gt;0,
  ""CRAFTIFACT"",COUNTIF(Craftifacts!A:A,A137)&gt;0,
  ""QUEST"",
   COUNTIF(
 "&amp;"   Quests!A:A,
    REGEXREPLACE(A137,""\.(accepted|finished)$"","""")
   )&gt;0,
  ""TECH"",COUNTIF(Technologies!A:A,A137)&gt;0,
  ""STATE"",COUNTIF(States!A:A,A137)&gt;0,
  FALSE
 )
)"),TRUE)</f>
        <v>1</v>
      </c>
      <c r="P137" s="64" t="str">
        <f t="shared" si="3"/>
        <v>Good</v>
      </c>
      <c r="Q137" s="65"/>
      <c r="R137" s="65"/>
      <c r="S137" s="65"/>
      <c r="T137" s="65"/>
      <c r="U137" s="6"/>
      <c r="V137" s="6" t="str">
        <f>IFERROR(__xludf.DUMMYFUNCTION("""COMPUTED_VALUE"""),"citadel.kitchen_and_buttery")</f>
        <v>citadel.kitchen_and_buttery</v>
      </c>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row>
    <row r="138" ht="14.25" customHeight="1">
      <c r="A138" s="26" t="str">
        <f t="shared" si="1"/>
        <v>citadel.lair_lvl_1</v>
      </c>
      <c r="B138" s="26" t="str">
        <f t="array" ref="B138">_xlfn.XLOOKUP(A138,Targets!A:A,Targets!C:C,"")</f>
        <v>CITADEL</v>
      </c>
      <c r="C138" s="64" t="b">
        <f>COUNTIF(Targets!A:A,A138)&gt;0</f>
        <v>1</v>
      </c>
      <c r="D138" s="64" t="b">
        <f>IF(
 OR(
  LEFT(A138,15)="state.character",
  RIGHT(A138,6)=".maxed"
 ),
 TRUE,
 COUNTIF(Checklist!A:A,A138)&gt;0
)</f>
        <v>1</v>
      </c>
      <c r="E138" s="64" t="b">
        <f>IF(
 OR(
  LEFT(A138,15)="state.character",
  RIGHT(A138,6)=".maxed",
  A138="building.guild@1",
  A138="quest.build_the_guild.accepted",
  A138="quest.build_the_pagoda.accepted"
 ),
 TRUE,
 COUNTIF(Dependencies!A:A,A138)&gt;0
)</f>
        <v>1</v>
      </c>
      <c r="F138" s="64" t="b">
        <f>COUNTIF(Dependencies!B:B,A138)&gt;0</f>
        <v>1</v>
      </c>
      <c r="G138" s="64" t="b">
        <f>COUNTIF(QuestObjectives!A:A,A138)&gt;0</f>
        <v>0</v>
      </c>
      <c r="H138" s="64" t="b">
        <f>COUNTIF(QuestObjectives!E:E,A138)&gt;0</f>
        <v>0</v>
      </c>
      <c r="I138" s="64" t="b">
        <f>COUNTIF(TargetStatus!A:A,A138)&gt;0</f>
        <v>1</v>
      </c>
      <c r="J138" s="64" t="b">
        <f>COUNTIF(CostStatus!B:B,A138)&gt;0</f>
        <v>1</v>
      </c>
      <c r="K138" s="64" t="b">
        <f>COUNTIF(States!A:A,A138)&gt;0</f>
        <v>0</v>
      </c>
      <c r="L138" s="64" t="b">
        <f t="shared" si="2"/>
        <v>1</v>
      </c>
      <c r="M138" s="64" t="b">
        <f>IF(A138="","",COUNTIF(Targets!A:A,A138)&gt;1)</f>
        <v>0</v>
      </c>
      <c r="N138" s="64" t="b">
        <f>IF(A138="","",COUNTIF(States!A:A,A138)&gt;1)</f>
        <v>0</v>
      </c>
      <c r="O138" s="64" t="b">
        <f>IFERROR(__xludf.DUMMYFUNCTION("IF(
 B138="""",
 """",
 SWITCH(
  B138,
  ""BUILDING"",COUNTIF(Buildings!A:A,A138)&gt;0,
  ""CITADEL"",COUNTIF(Citadel!A:A,A138)&gt;0,
  ""COLLECTION"",COUNTIF(Collections!A:A,A138)&gt;0,
  ""CRAFTIFACT"",COUNTIF(Craftifacts!A:A,A138)&gt;0,
  ""QUEST"",
   COUNTIF(
 "&amp;"   Quests!A:A,
    REGEXREPLACE(A138,""\.(accepted|finished)$"","""")
   )&gt;0,
  ""TECH"",COUNTIF(Technologies!A:A,A138)&gt;0,
  ""STATE"",COUNTIF(States!A:A,A138)&gt;0,
  FALSE
 )
)"),TRUE)</f>
        <v>1</v>
      </c>
      <c r="P138" s="64" t="str">
        <f t="shared" si="3"/>
        <v>Good</v>
      </c>
      <c r="Q138" s="65"/>
      <c r="R138" s="65"/>
      <c r="S138" s="65"/>
      <c r="T138" s="65"/>
      <c r="U138" s="6"/>
      <c r="V138" s="6" t="str">
        <f>IFERROR(__xludf.DUMMYFUNCTION("""COMPUTED_VALUE"""),"citadel.lair_lvl_1")</f>
        <v>citadel.lair_lvl_1</v>
      </c>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row>
    <row r="139" ht="14.25" customHeight="1">
      <c r="A139" s="26" t="str">
        <f t="shared" si="1"/>
        <v>citadel.lair_lvl_2</v>
      </c>
      <c r="B139" s="26" t="str">
        <f t="array" ref="B139">_xlfn.XLOOKUP(A139,Targets!A:A,Targets!C:C,"")</f>
        <v>CITADEL</v>
      </c>
      <c r="C139" s="64" t="b">
        <f>COUNTIF(Targets!A:A,A139)&gt;0</f>
        <v>1</v>
      </c>
      <c r="D139" s="64" t="b">
        <f>IF(
 OR(
  LEFT(A139,15)="state.character",
  RIGHT(A139,6)=".maxed"
 ),
 TRUE,
 COUNTIF(Checklist!A:A,A139)&gt;0
)</f>
        <v>1</v>
      </c>
      <c r="E139" s="64" t="b">
        <f>IF(
 OR(
  LEFT(A139,15)="state.character",
  RIGHT(A139,6)=".maxed",
  A139="building.guild@1",
  A139="quest.build_the_guild.accepted",
  A139="quest.build_the_pagoda.accepted"
 ),
 TRUE,
 COUNTIF(Dependencies!A:A,A139)&gt;0
)</f>
        <v>1</v>
      </c>
      <c r="F139" s="64" t="b">
        <f>COUNTIF(Dependencies!B:B,A139)&gt;0</f>
        <v>0</v>
      </c>
      <c r="G139" s="64" t="b">
        <f>COUNTIF(QuestObjectives!A:A,A139)&gt;0</f>
        <v>0</v>
      </c>
      <c r="H139" s="64" t="b">
        <f>COUNTIF(QuestObjectives!E:E,A139)&gt;0</f>
        <v>0</v>
      </c>
      <c r="I139" s="64" t="b">
        <f>COUNTIF(TargetStatus!A:A,A139)&gt;0</f>
        <v>1</v>
      </c>
      <c r="J139" s="64" t="b">
        <f>COUNTIF(CostStatus!B:B,A139)&gt;0</f>
        <v>1</v>
      </c>
      <c r="K139" s="64" t="b">
        <f>COUNTIF(States!A:A,A139)&gt;0</f>
        <v>0</v>
      </c>
      <c r="L139" s="64" t="b">
        <f t="shared" si="2"/>
        <v>1</v>
      </c>
      <c r="M139" s="64" t="b">
        <f>IF(A139="","",COUNTIF(Targets!A:A,A139)&gt;1)</f>
        <v>0</v>
      </c>
      <c r="N139" s="64" t="b">
        <f>IF(A139="","",COUNTIF(States!A:A,A139)&gt;1)</f>
        <v>0</v>
      </c>
      <c r="O139" s="64" t="b">
        <f>IFERROR(__xludf.DUMMYFUNCTION("IF(
 B139="""",
 """",
 SWITCH(
  B139,
  ""BUILDING"",COUNTIF(Buildings!A:A,A139)&gt;0,
  ""CITADEL"",COUNTIF(Citadel!A:A,A139)&gt;0,
  ""COLLECTION"",COUNTIF(Collections!A:A,A139)&gt;0,
  ""CRAFTIFACT"",COUNTIF(Craftifacts!A:A,A139)&gt;0,
  ""QUEST"",
   COUNTIF(
 "&amp;"   Quests!A:A,
    REGEXREPLACE(A139,""\.(accepted|finished)$"","""")
   )&gt;0,
  ""TECH"",COUNTIF(Technologies!A:A,A139)&gt;0,
  ""STATE"",COUNTIF(States!A:A,A139)&gt;0,
  FALSE
 )
)"),TRUE)</f>
        <v>1</v>
      </c>
      <c r="P139" s="64" t="str">
        <f t="shared" si="3"/>
        <v>Good</v>
      </c>
      <c r="Q139" s="65"/>
      <c r="R139" s="65"/>
      <c r="S139" s="65"/>
      <c r="T139" s="65"/>
      <c r="U139" s="6"/>
      <c r="V139" s="6" t="str">
        <f>IFERROR(__xludf.DUMMYFUNCTION("""COMPUTED_VALUE"""),"citadel.lair_lvl_2")</f>
        <v>citadel.lair_lvl_2</v>
      </c>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row>
    <row r="140" ht="14.25" customHeight="1">
      <c r="A140" s="26" t="str">
        <f t="shared" si="1"/>
        <v>citadel.mushroom_farm</v>
      </c>
      <c r="B140" s="26" t="str">
        <f t="array" ref="B140">_xlfn.XLOOKUP(A140,Targets!A:A,Targets!C:C,"")</f>
        <v>CITADEL</v>
      </c>
      <c r="C140" s="64" t="b">
        <f>COUNTIF(Targets!A:A,A140)&gt;0</f>
        <v>1</v>
      </c>
      <c r="D140" s="64" t="b">
        <f>IF(
 OR(
  LEFT(A140,15)="state.character",
  RIGHT(A140,6)=".maxed"
 ),
 TRUE,
 COUNTIF(Checklist!A:A,A140)&gt;0
)</f>
        <v>1</v>
      </c>
      <c r="E140" s="64" t="b">
        <f>IF(
 OR(
  LEFT(A140,15)="state.character",
  RIGHT(A140,6)=".maxed",
  A140="building.guild@1",
  A140="quest.build_the_guild.accepted",
  A140="quest.build_the_pagoda.accepted"
 ),
 TRUE,
 COUNTIF(Dependencies!A:A,A140)&gt;0
)</f>
        <v>1</v>
      </c>
      <c r="F140" s="64" t="b">
        <f>COUNTIF(Dependencies!B:B,A140)&gt;0</f>
        <v>1</v>
      </c>
      <c r="G140" s="64" t="b">
        <f>COUNTIF(QuestObjectives!A:A,A140)&gt;0</f>
        <v>0</v>
      </c>
      <c r="H140" s="64" t="b">
        <f>COUNTIF(QuestObjectives!E:E,A140)&gt;0</f>
        <v>0</v>
      </c>
      <c r="I140" s="64" t="b">
        <f>COUNTIF(TargetStatus!A:A,A140)&gt;0</f>
        <v>1</v>
      </c>
      <c r="J140" s="64" t="b">
        <f>COUNTIF(CostStatus!B:B,A140)&gt;0</f>
        <v>1</v>
      </c>
      <c r="K140" s="64" t="b">
        <f>COUNTIF(States!A:A,A140)&gt;0</f>
        <v>0</v>
      </c>
      <c r="L140" s="64" t="b">
        <f t="shared" si="2"/>
        <v>1</v>
      </c>
      <c r="M140" s="64" t="b">
        <f>IF(A140="","",COUNTIF(Targets!A:A,A140)&gt;1)</f>
        <v>0</v>
      </c>
      <c r="N140" s="64" t="b">
        <f>IF(A140="","",COUNTIF(States!A:A,A140)&gt;1)</f>
        <v>0</v>
      </c>
      <c r="O140" s="64" t="b">
        <f>IFERROR(__xludf.DUMMYFUNCTION("IF(
 B140="""",
 """",
 SWITCH(
  B140,
  ""BUILDING"",COUNTIF(Buildings!A:A,A140)&gt;0,
  ""CITADEL"",COUNTIF(Citadel!A:A,A140)&gt;0,
  ""COLLECTION"",COUNTIF(Collections!A:A,A140)&gt;0,
  ""CRAFTIFACT"",COUNTIF(Craftifacts!A:A,A140)&gt;0,
  ""QUEST"",
   COUNTIF(
 "&amp;"   Quests!A:A,
    REGEXREPLACE(A140,""\.(accepted|finished)$"","""")
   )&gt;0,
  ""TECH"",COUNTIF(Technologies!A:A,A140)&gt;0,
  ""STATE"",COUNTIF(States!A:A,A140)&gt;0,
  FALSE
 )
)"),TRUE)</f>
        <v>1</v>
      </c>
      <c r="P140" s="64" t="str">
        <f t="shared" si="3"/>
        <v>Good</v>
      </c>
      <c r="Q140" s="65"/>
      <c r="R140" s="65"/>
      <c r="S140" s="65"/>
      <c r="T140" s="65"/>
      <c r="U140" s="6"/>
      <c r="V140" s="6" t="str">
        <f>IFERROR(__xludf.DUMMYFUNCTION("""COMPUTED_VALUE"""),"citadel.mushroom_farm")</f>
        <v>citadel.mushroom_farm</v>
      </c>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row>
    <row r="141" ht="14.25" customHeight="1">
      <c r="A141" s="26" t="str">
        <f t="shared" si="1"/>
        <v>citadel.orangery</v>
      </c>
      <c r="B141" s="26" t="str">
        <f t="array" ref="B141">_xlfn.XLOOKUP(A141,Targets!A:A,Targets!C:C,"")</f>
        <v>CITADEL</v>
      </c>
      <c r="C141" s="64" t="b">
        <f>COUNTIF(Targets!A:A,A141)&gt;0</f>
        <v>1</v>
      </c>
      <c r="D141" s="64" t="b">
        <f>IF(
 OR(
  LEFT(A141,15)="state.character",
  RIGHT(A141,6)=".maxed"
 ),
 TRUE,
 COUNTIF(Checklist!A:A,A141)&gt;0
)</f>
        <v>1</v>
      </c>
      <c r="E141" s="64" t="b">
        <f>IF(
 OR(
  LEFT(A141,15)="state.character",
  RIGHT(A141,6)=".maxed",
  A141="building.guild@1",
  A141="quest.build_the_guild.accepted",
  A141="quest.build_the_pagoda.accepted"
 ),
 TRUE,
 COUNTIF(Dependencies!A:A,A141)&gt;0
)</f>
        <v>1</v>
      </c>
      <c r="F141" s="64" t="b">
        <f>COUNTIF(Dependencies!B:B,A141)&gt;0</f>
        <v>1</v>
      </c>
      <c r="G141" s="64" t="b">
        <f>COUNTIF(QuestObjectives!A:A,A141)&gt;0</f>
        <v>0</v>
      </c>
      <c r="H141" s="64" t="b">
        <f>COUNTIF(QuestObjectives!E:E,A141)&gt;0</f>
        <v>0</v>
      </c>
      <c r="I141" s="64" t="b">
        <f>COUNTIF(TargetStatus!A:A,A141)&gt;0</f>
        <v>1</v>
      </c>
      <c r="J141" s="64" t="b">
        <f>COUNTIF(CostStatus!B:B,A141)&gt;0</f>
        <v>1</v>
      </c>
      <c r="K141" s="64" t="b">
        <f>COUNTIF(States!A:A,A141)&gt;0</f>
        <v>0</v>
      </c>
      <c r="L141" s="64" t="b">
        <f t="shared" si="2"/>
        <v>1</v>
      </c>
      <c r="M141" s="64" t="b">
        <f>IF(A141="","",COUNTIF(Targets!A:A,A141)&gt;1)</f>
        <v>0</v>
      </c>
      <c r="N141" s="64" t="b">
        <f>IF(A141="","",COUNTIF(States!A:A,A141)&gt;1)</f>
        <v>0</v>
      </c>
      <c r="O141" s="64" t="b">
        <f>IFERROR(__xludf.DUMMYFUNCTION("IF(
 B141="""",
 """",
 SWITCH(
  B141,
  ""BUILDING"",COUNTIF(Buildings!A:A,A141)&gt;0,
  ""CITADEL"",COUNTIF(Citadel!A:A,A141)&gt;0,
  ""COLLECTION"",COUNTIF(Collections!A:A,A141)&gt;0,
  ""CRAFTIFACT"",COUNTIF(Craftifacts!A:A,A141)&gt;0,
  ""QUEST"",
   COUNTIF(
 "&amp;"   Quests!A:A,
    REGEXREPLACE(A141,""\.(accepted|finished)$"","""")
   )&gt;0,
  ""TECH"",COUNTIF(Technologies!A:A,A141)&gt;0,
  ""STATE"",COUNTIF(States!A:A,A141)&gt;0,
  FALSE
 )
)"),TRUE)</f>
        <v>1</v>
      </c>
      <c r="P141" s="64" t="str">
        <f t="shared" si="3"/>
        <v>Good</v>
      </c>
      <c r="Q141" s="65"/>
      <c r="R141" s="65"/>
      <c r="S141" s="65"/>
      <c r="T141" s="65"/>
      <c r="U141" s="6"/>
      <c r="V141" s="6" t="str">
        <f>IFERROR(__xludf.DUMMYFUNCTION("""COMPUTED_VALUE"""),"citadel.orangery")</f>
        <v>citadel.orangery</v>
      </c>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row>
    <row r="142" ht="14.25" customHeight="1">
      <c r="A142" s="26" t="str">
        <f t="shared" si="1"/>
        <v>citadel.pantry</v>
      </c>
      <c r="B142" s="26" t="str">
        <f t="array" ref="B142">_xlfn.XLOOKUP(A142,Targets!A:A,Targets!C:C,"")</f>
        <v>CITADEL</v>
      </c>
      <c r="C142" s="64" t="b">
        <f>COUNTIF(Targets!A:A,A142)&gt;0</f>
        <v>1</v>
      </c>
      <c r="D142" s="64" t="b">
        <f>IF(
 OR(
  LEFT(A142,15)="state.character",
  RIGHT(A142,6)=".maxed"
 ),
 TRUE,
 COUNTIF(Checklist!A:A,A142)&gt;0
)</f>
        <v>1</v>
      </c>
      <c r="E142" s="64" t="b">
        <f>IF(
 OR(
  LEFT(A142,15)="state.character",
  RIGHT(A142,6)=".maxed",
  A142="building.guild@1",
  A142="quest.build_the_guild.accepted",
  A142="quest.build_the_pagoda.accepted"
 ),
 TRUE,
 COUNTIF(Dependencies!A:A,A142)&gt;0
)</f>
        <v>1</v>
      </c>
      <c r="F142" s="64" t="b">
        <f>COUNTIF(Dependencies!B:B,A142)&gt;0</f>
        <v>1</v>
      </c>
      <c r="G142" s="64" t="b">
        <f>COUNTIF(QuestObjectives!A:A,A142)&gt;0</f>
        <v>0</v>
      </c>
      <c r="H142" s="64" t="b">
        <f>COUNTIF(QuestObjectives!E:E,A142)&gt;0</f>
        <v>0</v>
      </c>
      <c r="I142" s="64" t="b">
        <f>COUNTIF(TargetStatus!A:A,A142)&gt;0</f>
        <v>1</v>
      </c>
      <c r="J142" s="64" t="b">
        <f>COUNTIF(CostStatus!B:B,A142)&gt;0</f>
        <v>1</v>
      </c>
      <c r="K142" s="64" t="b">
        <f>COUNTIF(States!A:A,A142)&gt;0</f>
        <v>0</v>
      </c>
      <c r="L142" s="64" t="b">
        <f t="shared" si="2"/>
        <v>1</v>
      </c>
      <c r="M142" s="64" t="b">
        <f>IF(A142="","",COUNTIF(Targets!A:A,A142)&gt;1)</f>
        <v>0</v>
      </c>
      <c r="N142" s="64" t="b">
        <f>IF(A142="","",COUNTIF(States!A:A,A142)&gt;1)</f>
        <v>0</v>
      </c>
      <c r="O142" s="64" t="b">
        <f>IFERROR(__xludf.DUMMYFUNCTION("IF(
 B142="""",
 """",
 SWITCH(
  B142,
  ""BUILDING"",COUNTIF(Buildings!A:A,A142)&gt;0,
  ""CITADEL"",COUNTIF(Citadel!A:A,A142)&gt;0,
  ""COLLECTION"",COUNTIF(Collections!A:A,A142)&gt;0,
  ""CRAFTIFACT"",COUNTIF(Craftifacts!A:A,A142)&gt;0,
  ""QUEST"",
   COUNTIF(
 "&amp;"   Quests!A:A,
    REGEXREPLACE(A142,""\.(accepted|finished)$"","""")
   )&gt;0,
  ""TECH"",COUNTIF(Technologies!A:A,A142)&gt;0,
  ""STATE"",COUNTIF(States!A:A,A142)&gt;0,
  FALSE
 )
)"),TRUE)</f>
        <v>1</v>
      </c>
      <c r="P142" s="64" t="str">
        <f t="shared" si="3"/>
        <v>Good</v>
      </c>
      <c r="Q142" s="65"/>
      <c r="R142" s="65"/>
      <c r="S142" s="65"/>
      <c r="T142" s="65"/>
      <c r="U142" s="6"/>
      <c r="V142" s="6" t="str">
        <f>IFERROR(__xludf.DUMMYFUNCTION("""COMPUTED_VALUE"""),"citadel.pantry")</f>
        <v>citadel.pantry</v>
      </c>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row>
    <row r="143" ht="14.25" customHeight="1">
      <c r="A143" s="26" t="str">
        <f t="shared" si="1"/>
        <v>citadel.tavern</v>
      </c>
      <c r="B143" s="26" t="str">
        <f t="array" ref="B143">_xlfn.XLOOKUP(A143,Targets!A:A,Targets!C:C,"")</f>
        <v>CITADEL</v>
      </c>
      <c r="C143" s="64" t="b">
        <f>COUNTIF(Targets!A:A,A143)&gt;0</f>
        <v>1</v>
      </c>
      <c r="D143" s="64" t="b">
        <f>IF(
 OR(
  LEFT(A143,15)="state.character",
  RIGHT(A143,6)=".maxed"
 ),
 TRUE,
 COUNTIF(Checklist!A:A,A143)&gt;0
)</f>
        <v>1</v>
      </c>
      <c r="E143" s="64" t="b">
        <f>IF(
 OR(
  LEFT(A143,15)="state.character",
  RIGHT(A143,6)=".maxed",
  A143="building.guild@1",
  A143="quest.build_the_guild.accepted",
  A143="quest.build_the_pagoda.accepted"
 ),
 TRUE,
 COUNTIF(Dependencies!A:A,A143)&gt;0
)</f>
        <v>1</v>
      </c>
      <c r="F143" s="64" t="b">
        <f>COUNTIF(Dependencies!B:B,A143)&gt;0</f>
        <v>1</v>
      </c>
      <c r="G143" s="64" t="b">
        <f>COUNTIF(QuestObjectives!A:A,A143)&gt;0</f>
        <v>0</v>
      </c>
      <c r="H143" s="64" t="b">
        <f>COUNTIF(QuestObjectives!E:E,A143)&gt;0</f>
        <v>0</v>
      </c>
      <c r="I143" s="64" t="b">
        <f>COUNTIF(TargetStatus!A:A,A143)&gt;0</f>
        <v>1</v>
      </c>
      <c r="J143" s="64" t="b">
        <f>COUNTIF(CostStatus!B:B,A143)&gt;0</f>
        <v>1</v>
      </c>
      <c r="K143" s="64" t="b">
        <f>COUNTIF(States!A:A,A143)&gt;0</f>
        <v>0</v>
      </c>
      <c r="L143" s="64" t="b">
        <f t="shared" si="2"/>
        <v>1</v>
      </c>
      <c r="M143" s="64" t="b">
        <f>IF(A143="","",COUNTIF(Targets!A:A,A143)&gt;1)</f>
        <v>0</v>
      </c>
      <c r="N143" s="64" t="b">
        <f>IF(A143="","",COUNTIF(States!A:A,A143)&gt;1)</f>
        <v>0</v>
      </c>
      <c r="O143" s="64" t="b">
        <f>IFERROR(__xludf.DUMMYFUNCTION("IF(
 B143="""",
 """",
 SWITCH(
  B143,
  ""BUILDING"",COUNTIF(Buildings!A:A,A143)&gt;0,
  ""CITADEL"",COUNTIF(Citadel!A:A,A143)&gt;0,
  ""COLLECTION"",COUNTIF(Collections!A:A,A143)&gt;0,
  ""CRAFTIFACT"",COUNTIF(Craftifacts!A:A,A143)&gt;0,
  ""QUEST"",
   COUNTIF(
 "&amp;"   Quests!A:A,
    REGEXREPLACE(A143,""\.(accepted|finished)$"","""")
   )&gt;0,
  ""TECH"",COUNTIF(Technologies!A:A,A143)&gt;0,
  ""STATE"",COUNTIF(States!A:A,A143)&gt;0,
  FALSE
 )
)"),TRUE)</f>
        <v>1</v>
      </c>
      <c r="P143" s="64" t="str">
        <f t="shared" si="3"/>
        <v>Good</v>
      </c>
      <c r="Q143" s="65"/>
      <c r="R143" s="65"/>
      <c r="S143" s="65"/>
      <c r="T143" s="65"/>
      <c r="U143" s="6"/>
      <c r="V143" s="6" t="str">
        <f>IFERROR(__xludf.DUMMYFUNCTION("""COMPUTED_VALUE"""),"citadel.tavern")</f>
        <v>citadel.tavern</v>
      </c>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row>
    <row r="144" ht="14.25" customHeight="1">
      <c r="A144" s="26" t="str">
        <f t="shared" si="1"/>
        <v>citadel.treasury</v>
      </c>
      <c r="B144" s="26" t="str">
        <f t="array" ref="B144">_xlfn.XLOOKUP(A144,Targets!A:A,Targets!C:C,"")</f>
        <v>CITADEL</v>
      </c>
      <c r="C144" s="64" t="b">
        <f>COUNTIF(Targets!A:A,A144)&gt;0</f>
        <v>1</v>
      </c>
      <c r="D144" s="64" t="b">
        <f>IF(
 OR(
  LEFT(A144,15)="state.character",
  RIGHT(A144,6)=".maxed"
 ),
 TRUE,
 COUNTIF(Checklist!A:A,A144)&gt;0
)</f>
        <v>1</v>
      </c>
      <c r="E144" s="64" t="b">
        <f>IF(
 OR(
  LEFT(A144,15)="state.character",
  RIGHT(A144,6)=".maxed",
  A144="building.guild@1",
  A144="quest.build_the_guild.accepted",
  A144="quest.build_the_pagoda.accepted"
 ),
 TRUE,
 COUNTIF(Dependencies!A:A,A144)&gt;0
)</f>
        <v>1</v>
      </c>
      <c r="F144" s="64" t="b">
        <f>COUNTIF(Dependencies!B:B,A144)&gt;0</f>
        <v>1</v>
      </c>
      <c r="G144" s="64" t="b">
        <f>COUNTIF(QuestObjectives!A:A,A144)&gt;0</f>
        <v>0</v>
      </c>
      <c r="H144" s="64" t="b">
        <f>COUNTIF(QuestObjectives!E:E,A144)&gt;0</f>
        <v>0</v>
      </c>
      <c r="I144" s="64" t="b">
        <f>COUNTIF(TargetStatus!A:A,A144)&gt;0</f>
        <v>1</v>
      </c>
      <c r="J144" s="64" t="b">
        <f>COUNTIF(CostStatus!B:B,A144)&gt;0</f>
        <v>1</v>
      </c>
      <c r="K144" s="64" t="b">
        <f>COUNTIF(States!A:A,A144)&gt;0</f>
        <v>0</v>
      </c>
      <c r="L144" s="64" t="b">
        <f t="shared" si="2"/>
        <v>1</v>
      </c>
      <c r="M144" s="64" t="b">
        <f>IF(A144="","",COUNTIF(Targets!A:A,A144)&gt;1)</f>
        <v>0</v>
      </c>
      <c r="N144" s="64" t="b">
        <f>IF(A144="","",COUNTIF(States!A:A,A144)&gt;1)</f>
        <v>0</v>
      </c>
      <c r="O144" s="64" t="b">
        <f>IFERROR(__xludf.DUMMYFUNCTION("IF(
 B144="""",
 """",
 SWITCH(
  B144,
  ""BUILDING"",COUNTIF(Buildings!A:A,A144)&gt;0,
  ""CITADEL"",COUNTIF(Citadel!A:A,A144)&gt;0,
  ""COLLECTION"",COUNTIF(Collections!A:A,A144)&gt;0,
  ""CRAFTIFACT"",COUNTIF(Craftifacts!A:A,A144)&gt;0,
  ""QUEST"",
   COUNTIF(
 "&amp;"   Quests!A:A,
    REGEXREPLACE(A144,""\.(accepted|finished)$"","""")
   )&gt;0,
  ""TECH"",COUNTIF(Technologies!A:A,A144)&gt;0,
  ""STATE"",COUNTIF(States!A:A,A144)&gt;0,
  FALSE
 )
)"),TRUE)</f>
        <v>1</v>
      </c>
      <c r="P144" s="64" t="str">
        <f t="shared" si="3"/>
        <v>Good</v>
      </c>
      <c r="Q144" s="65"/>
      <c r="R144" s="65"/>
      <c r="S144" s="65"/>
      <c r="T144" s="65"/>
      <c r="U144" s="6"/>
      <c r="V144" s="6" t="str">
        <f>IFERROR(__xludf.DUMMYFUNCTION("""COMPUTED_VALUE"""),"citadel.treasury")</f>
        <v>citadel.treasury</v>
      </c>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row>
    <row r="145" ht="14.25" customHeight="1">
      <c r="A145" s="26" t="str">
        <f t="shared" si="1"/>
        <v>citadel.tunnel</v>
      </c>
      <c r="B145" s="26" t="str">
        <f t="array" ref="B145">_xlfn.XLOOKUP(A145,Targets!A:A,Targets!C:C,"")</f>
        <v>CITADEL</v>
      </c>
      <c r="C145" s="64" t="b">
        <f>COUNTIF(Targets!A:A,A145)&gt;0</f>
        <v>1</v>
      </c>
      <c r="D145" s="64" t="b">
        <f>IF(
 OR(
  LEFT(A145,15)="state.character",
  RIGHT(A145,6)=".maxed"
 ),
 TRUE,
 COUNTIF(Checklist!A:A,A145)&gt;0
)</f>
        <v>1</v>
      </c>
      <c r="E145" s="64" t="b">
        <f>IF(
 OR(
  LEFT(A145,15)="state.character",
  RIGHT(A145,6)=".maxed",
  A145="building.guild@1",
  A145="quest.build_the_guild.accepted",
  A145="quest.build_the_pagoda.accepted"
 ),
 TRUE,
 COUNTIF(Dependencies!A:A,A145)&gt;0
)</f>
        <v>1</v>
      </c>
      <c r="F145" s="64" t="b">
        <f>COUNTIF(Dependencies!B:B,A145)&gt;0</f>
        <v>1</v>
      </c>
      <c r="G145" s="64" t="b">
        <f>COUNTIF(QuestObjectives!A:A,A145)&gt;0</f>
        <v>0</v>
      </c>
      <c r="H145" s="64" t="b">
        <f>COUNTIF(QuestObjectives!E:E,A145)&gt;0</f>
        <v>1</v>
      </c>
      <c r="I145" s="64" t="b">
        <f>COUNTIF(TargetStatus!A:A,A145)&gt;0</f>
        <v>1</v>
      </c>
      <c r="J145" s="64" t="b">
        <f>COUNTIF(CostStatus!B:B,A145)&gt;0</f>
        <v>1</v>
      </c>
      <c r="K145" s="64" t="b">
        <f>COUNTIF(States!A:A,A145)&gt;0</f>
        <v>0</v>
      </c>
      <c r="L145" s="64" t="b">
        <f t="shared" si="2"/>
        <v>1</v>
      </c>
      <c r="M145" s="64" t="b">
        <f>IF(A145="","",COUNTIF(Targets!A:A,A145)&gt;1)</f>
        <v>0</v>
      </c>
      <c r="N145" s="64" t="b">
        <f>IF(A145="","",COUNTIF(States!A:A,A145)&gt;1)</f>
        <v>0</v>
      </c>
      <c r="O145" s="64" t="b">
        <f>IFERROR(__xludf.DUMMYFUNCTION("IF(
 B145="""",
 """",
 SWITCH(
  B145,
  ""BUILDING"",COUNTIF(Buildings!A:A,A145)&gt;0,
  ""CITADEL"",COUNTIF(Citadel!A:A,A145)&gt;0,
  ""COLLECTION"",COUNTIF(Collections!A:A,A145)&gt;0,
  ""CRAFTIFACT"",COUNTIF(Craftifacts!A:A,A145)&gt;0,
  ""QUEST"",
   COUNTIF(
 "&amp;"   Quests!A:A,
    REGEXREPLACE(A145,""\.(accepted|finished)$"","""")
   )&gt;0,
  ""TECH"",COUNTIF(Technologies!A:A,A145)&gt;0,
  ""STATE"",COUNTIF(States!A:A,A145)&gt;0,
  FALSE
 )
)"),TRUE)</f>
        <v>1</v>
      </c>
      <c r="P145" s="64" t="str">
        <f t="shared" si="3"/>
        <v>Good</v>
      </c>
      <c r="Q145" s="65"/>
      <c r="R145" s="65"/>
      <c r="S145" s="65"/>
      <c r="T145" s="65"/>
      <c r="U145" s="6"/>
      <c r="V145" s="6" t="str">
        <f>IFERROR(__xludf.DUMMYFUNCTION("""COMPUTED_VALUE"""),"citadel.tunnel")</f>
        <v>citadel.tunnel</v>
      </c>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row>
    <row r="146" ht="14.25" customHeight="1">
      <c r="A146" s="26" t="str">
        <f t="shared" si="1"/>
        <v>collection.alchemist_hall_1@1</v>
      </c>
      <c r="B146" s="26" t="str">
        <f t="array" ref="B146">_xlfn.XLOOKUP(A146,Targets!A:A,Targets!C:C,"")</f>
        <v>COLLECTION</v>
      </c>
      <c r="C146" s="64" t="b">
        <f>COUNTIF(Targets!A:A,A146)&gt;0</f>
        <v>1</v>
      </c>
      <c r="D146" s="64" t="b">
        <f>IF(
 OR(
  LEFT(A146,15)="state.character",
  RIGHT(A146,6)=".maxed"
 ),
 TRUE,
 COUNTIF(Checklist!A:A,A146)&gt;0
)</f>
        <v>1</v>
      </c>
      <c r="E146" s="64" t="b">
        <f>IF(
 OR(
  LEFT(A146,15)="state.character",
  RIGHT(A146,6)=".maxed",
  A146="building.guild@1",
  A146="quest.build_the_guild.accepted",
  A146="quest.build_the_pagoda.accepted"
 ),
 TRUE,
 COUNTIF(Dependencies!A:A,A146)&gt;0
)</f>
        <v>1</v>
      </c>
      <c r="F146" s="64" t="b">
        <f>COUNTIF(Dependencies!B:B,A146)&gt;0</f>
        <v>1</v>
      </c>
      <c r="G146" s="64" t="b">
        <f>COUNTIF(QuestObjectives!A:A,A146)&gt;0</f>
        <v>0</v>
      </c>
      <c r="H146" s="64" t="b">
        <f>COUNTIF(QuestObjectives!E:E,A146)&gt;0</f>
        <v>1</v>
      </c>
      <c r="I146" s="64" t="b">
        <f>COUNTIF(TargetStatus!A:A,A146)&gt;0</f>
        <v>1</v>
      </c>
      <c r="J146" s="64" t="b">
        <f>COUNTIF(CostStatus!B:B,A146)&gt;0</f>
        <v>1</v>
      </c>
      <c r="K146" s="64" t="b">
        <f>COUNTIF(States!A:A,A146)&gt;0</f>
        <v>0</v>
      </c>
      <c r="L146" s="64" t="b">
        <f t="shared" si="2"/>
        <v>1</v>
      </c>
      <c r="M146" s="64" t="b">
        <f>IF(A146="","",COUNTIF(Targets!A:A,A146)&gt;1)</f>
        <v>0</v>
      </c>
      <c r="N146" s="64" t="b">
        <f>IF(A146="","",COUNTIF(States!A:A,A146)&gt;1)</f>
        <v>0</v>
      </c>
      <c r="O146" s="64" t="b">
        <f>IFERROR(__xludf.DUMMYFUNCTION("IF(
 B146="""",
 """",
 SWITCH(
  B146,
  ""BUILDING"",COUNTIF(Buildings!A:A,A146)&gt;0,
  ""CITADEL"",COUNTIF(Citadel!A:A,A146)&gt;0,
  ""COLLECTION"",COUNTIF(Collections!A:A,A146)&gt;0,
  ""CRAFTIFACT"",COUNTIF(Craftifacts!A:A,A146)&gt;0,
  ""QUEST"",
   COUNTIF(
 "&amp;"   Quests!A:A,
    REGEXREPLACE(A146,""\.(accepted|finished)$"","""")
   )&gt;0,
  ""TECH"",COUNTIF(Technologies!A:A,A146)&gt;0,
  ""STATE"",COUNTIF(States!A:A,A146)&gt;0,
  FALSE
 )
)"),TRUE)</f>
        <v>1</v>
      </c>
      <c r="P146" s="64" t="str">
        <f t="shared" si="3"/>
        <v>Good</v>
      </c>
      <c r="Q146" s="65"/>
      <c r="R146" s="65"/>
      <c r="S146" s="65"/>
      <c r="T146" s="65"/>
      <c r="U146" s="6"/>
      <c r="V146" s="6" t="str">
        <f>IFERROR(__xludf.DUMMYFUNCTION("""COMPUTED_VALUE"""),"collection.alchemist_hall_1@1")</f>
        <v>collection.alchemist_hall_1@1</v>
      </c>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row>
    <row r="147" ht="14.25" customHeight="1">
      <c r="A147" s="26" t="str">
        <f t="shared" si="1"/>
        <v>collection.alchemist_hall_1@2</v>
      </c>
      <c r="B147" s="26" t="str">
        <f t="array" ref="B147">_xlfn.XLOOKUP(A147,Targets!A:A,Targets!C:C,"")</f>
        <v>COLLECTION</v>
      </c>
      <c r="C147" s="64" t="b">
        <f>COUNTIF(Targets!A:A,A147)&gt;0</f>
        <v>1</v>
      </c>
      <c r="D147" s="64" t="b">
        <f>IF(
 OR(
  LEFT(A147,15)="state.character",
  RIGHT(A147,6)=".maxed"
 ),
 TRUE,
 COUNTIF(Checklist!A:A,A147)&gt;0
)</f>
        <v>1</v>
      </c>
      <c r="E147" s="64" t="b">
        <f>IF(
 OR(
  LEFT(A147,15)="state.character",
  RIGHT(A147,6)=".maxed",
  A147="building.guild@1",
  A147="quest.build_the_guild.accepted",
  A147="quest.build_the_pagoda.accepted"
 ),
 TRUE,
 COUNTIF(Dependencies!A:A,A147)&gt;0
)</f>
        <v>1</v>
      </c>
      <c r="F147" s="64" t="b">
        <f>COUNTIF(Dependencies!B:B,A147)&gt;0</f>
        <v>0</v>
      </c>
      <c r="G147" s="64" t="b">
        <f>COUNTIF(QuestObjectives!A:A,A147)&gt;0</f>
        <v>0</v>
      </c>
      <c r="H147" s="64" t="b">
        <f>COUNTIF(QuestObjectives!E:E,A147)&gt;0</f>
        <v>0</v>
      </c>
      <c r="I147" s="64" t="b">
        <f>COUNTIF(TargetStatus!A:A,A147)&gt;0</f>
        <v>1</v>
      </c>
      <c r="J147" s="64" t="b">
        <f>COUNTIF(CostStatus!B:B,A147)&gt;0</f>
        <v>1</v>
      </c>
      <c r="K147" s="64" t="b">
        <f>COUNTIF(States!A:A,A147)&gt;0</f>
        <v>0</v>
      </c>
      <c r="L147" s="64" t="b">
        <f t="shared" si="2"/>
        <v>1</v>
      </c>
      <c r="M147" s="64" t="b">
        <f>IF(A147="","",COUNTIF(Targets!A:A,A147)&gt;1)</f>
        <v>0</v>
      </c>
      <c r="N147" s="64" t="b">
        <f>IF(A147="","",COUNTIF(States!A:A,A147)&gt;1)</f>
        <v>0</v>
      </c>
      <c r="O147" s="64" t="b">
        <f>IFERROR(__xludf.DUMMYFUNCTION("IF(
 B147="""",
 """",
 SWITCH(
  B147,
  ""BUILDING"",COUNTIF(Buildings!A:A,A147)&gt;0,
  ""CITADEL"",COUNTIF(Citadel!A:A,A147)&gt;0,
  ""COLLECTION"",COUNTIF(Collections!A:A,A147)&gt;0,
  ""CRAFTIFACT"",COUNTIF(Craftifacts!A:A,A147)&gt;0,
  ""QUEST"",
   COUNTIF(
 "&amp;"   Quests!A:A,
    REGEXREPLACE(A147,""\.(accepted|finished)$"","""")
   )&gt;0,
  ""TECH"",COUNTIF(Technologies!A:A,A147)&gt;0,
  ""STATE"",COUNTIF(States!A:A,A147)&gt;0,
  FALSE
 )
)"),TRUE)</f>
        <v>1</v>
      </c>
      <c r="P147" s="64" t="str">
        <f t="shared" si="3"/>
        <v>Good</v>
      </c>
      <c r="Q147" s="65"/>
      <c r="R147" s="65"/>
      <c r="S147" s="65"/>
      <c r="T147" s="65"/>
      <c r="U147" s="6"/>
      <c r="V147" s="6" t="str">
        <f>IFERROR(__xludf.DUMMYFUNCTION("""COMPUTED_VALUE"""),"collection.alchemist_hall_1@2")</f>
        <v>collection.alchemist_hall_1@2</v>
      </c>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row>
    <row r="148" ht="14.25" customHeight="1">
      <c r="A148" s="26" t="str">
        <f t="shared" si="1"/>
        <v>collection.alchemist_hall_2@1</v>
      </c>
      <c r="B148" s="26" t="str">
        <f t="array" ref="B148">_xlfn.XLOOKUP(A148,Targets!A:A,Targets!C:C,"")</f>
        <v>COLLECTION</v>
      </c>
      <c r="C148" s="64" t="b">
        <f>COUNTIF(Targets!A:A,A148)&gt;0</f>
        <v>1</v>
      </c>
      <c r="D148" s="64" t="b">
        <f>IF(
 OR(
  LEFT(A148,15)="state.character",
  RIGHT(A148,6)=".maxed"
 ),
 TRUE,
 COUNTIF(Checklist!A:A,A148)&gt;0
)</f>
        <v>1</v>
      </c>
      <c r="E148" s="64" t="b">
        <f>IF(
 OR(
  LEFT(A148,15)="state.character",
  RIGHT(A148,6)=".maxed",
  A148="building.guild@1",
  A148="quest.build_the_guild.accepted",
  A148="quest.build_the_pagoda.accepted"
 ),
 TRUE,
 COUNTIF(Dependencies!A:A,A148)&gt;0
)</f>
        <v>1</v>
      </c>
      <c r="F148" s="64" t="b">
        <f>COUNTIF(Dependencies!B:B,A148)&gt;0</f>
        <v>1</v>
      </c>
      <c r="G148" s="64" t="b">
        <f>COUNTIF(QuestObjectives!A:A,A148)&gt;0</f>
        <v>0</v>
      </c>
      <c r="H148" s="64" t="b">
        <f>COUNTIF(QuestObjectives!E:E,A148)&gt;0</f>
        <v>1</v>
      </c>
      <c r="I148" s="64" t="b">
        <f>COUNTIF(TargetStatus!A:A,A148)&gt;0</f>
        <v>1</v>
      </c>
      <c r="J148" s="64" t="b">
        <f>COUNTIF(CostStatus!B:B,A148)&gt;0</f>
        <v>1</v>
      </c>
      <c r="K148" s="64" t="b">
        <f>COUNTIF(States!A:A,A148)&gt;0</f>
        <v>0</v>
      </c>
      <c r="L148" s="64" t="b">
        <f t="shared" si="2"/>
        <v>1</v>
      </c>
      <c r="M148" s="64" t="b">
        <f>IF(A148="","",COUNTIF(Targets!A:A,A148)&gt;1)</f>
        <v>0</v>
      </c>
      <c r="N148" s="64" t="b">
        <f>IF(A148="","",COUNTIF(States!A:A,A148)&gt;1)</f>
        <v>0</v>
      </c>
      <c r="O148" s="64" t="b">
        <f>IFERROR(__xludf.DUMMYFUNCTION("IF(
 B148="""",
 """",
 SWITCH(
  B148,
  ""BUILDING"",COUNTIF(Buildings!A:A,A148)&gt;0,
  ""CITADEL"",COUNTIF(Citadel!A:A,A148)&gt;0,
  ""COLLECTION"",COUNTIF(Collections!A:A,A148)&gt;0,
  ""CRAFTIFACT"",COUNTIF(Craftifacts!A:A,A148)&gt;0,
  ""QUEST"",
   COUNTIF(
 "&amp;"   Quests!A:A,
    REGEXREPLACE(A148,""\.(accepted|finished)$"","""")
   )&gt;0,
  ""TECH"",COUNTIF(Technologies!A:A,A148)&gt;0,
  ""STATE"",COUNTIF(States!A:A,A148)&gt;0,
  FALSE
 )
)"),TRUE)</f>
        <v>1</v>
      </c>
      <c r="P148" s="64" t="str">
        <f t="shared" si="3"/>
        <v>Good</v>
      </c>
      <c r="Q148" s="65"/>
      <c r="R148" s="65"/>
      <c r="S148" s="65"/>
      <c r="T148" s="65"/>
      <c r="U148" s="6"/>
      <c r="V148" s="6" t="str">
        <f>IFERROR(__xludf.DUMMYFUNCTION("""COMPUTED_VALUE"""),"collection.alchemist_hall_2@1")</f>
        <v>collection.alchemist_hall_2@1</v>
      </c>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row>
    <row r="149" ht="14.25" customHeight="1">
      <c r="A149" s="26" t="str">
        <f t="shared" si="1"/>
        <v>collection.alchemist_hall_2@2</v>
      </c>
      <c r="B149" s="26" t="str">
        <f t="array" ref="B149">_xlfn.XLOOKUP(A149,Targets!A:A,Targets!C:C,"")</f>
        <v>COLLECTION</v>
      </c>
      <c r="C149" s="64" t="b">
        <f>COUNTIF(Targets!A:A,A149)&gt;0</f>
        <v>1</v>
      </c>
      <c r="D149" s="64" t="b">
        <f>IF(
 OR(
  LEFT(A149,15)="state.character",
  RIGHT(A149,6)=".maxed"
 ),
 TRUE,
 COUNTIF(Checklist!A:A,A149)&gt;0
)</f>
        <v>1</v>
      </c>
      <c r="E149" s="64" t="b">
        <f>IF(
 OR(
  LEFT(A149,15)="state.character",
  RIGHT(A149,6)=".maxed",
  A149="building.guild@1",
  A149="quest.build_the_guild.accepted",
  A149="quest.build_the_pagoda.accepted"
 ),
 TRUE,
 COUNTIF(Dependencies!A:A,A149)&gt;0
)</f>
        <v>1</v>
      </c>
      <c r="F149" s="64" t="b">
        <f>COUNTIF(Dependencies!B:B,A149)&gt;0</f>
        <v>0</v>
      </c>
      <c r="G149" s="64" t="b">
        <f>COUNTIF(QuestObjectives!A:A,A149)&gt;0</f>
        <v>0</v>
      </c>
      <c r="H149" s="64" t="b">
        <f>COUNTIF(QuestObjectives!E:E,A149)&gt;0</f>
        <v>0</v>
      </c>
      <c r="I149" s="64" t="b">
        <f>COUNTIF(TargetStatus!A:A,A149)&gt;0</f>
        <v>1</v>
      </c>
      <c r="J149" s="64" t="b">
        <f>COUNTIF(CostStatus!B:B,A149)&gt;0</f>
        <v>1</v>
      </c>
      <c r="K149" s="64" t="b">
        <f>COUNTIF(States!A:A,A149)&gt;0</f>
        <v>0</v>
      </c>
      <c r="L149" s="64" t="b">
        <f t="shared" si="2"/>
        <v>1</v>
      </c>
      <c r="M149" s="64" t="b">
        <f>IF(A149="","",COUNTIF(Targets!A:A,A149)&gt;1)</f>
        <v>0</v>
      </c>
      <c r="N149" s="64" t="b">
        <f>IF(A149="","",COUNTIF(States!A:A,A149)&gt;1)</f>
        <v>0</v>
      </c>
      <c r="O149" s="64" t="b">
        <f>IFERROR(__xludf.DUMMYFUNCTION("IF(
 B149="""",
 """",
 SWITCH(
  B149,
  ""BUILDING"",COUNTIF(Buildings!A:A,A149)&gt;0,
  ""CITADEL"",COUNTIF(Citadel!A:A,A149)&gt;0,
  ""COLLECTION"",COUNTIF(Collections!A:A,A149)&gt;0,
  ""CRAFTIFACT"",COUNTIF(Craftifacts!A:A,A149)&gt;0,
  ""QUEST"",
   COUNTIF(
 "&amp;"   Quests!A:A,
    REGEXREPLACE(A149,""\.(accepted|finished)$"","""")
   )&gt;0,
  ""TECH"",COUNTIF(Technologies!A:A,A149)&gt;0,
  ""STATE"",COUNTIF(States!A:A,A149)&gt;0,
  FALSE
 )
)"),TRUE)</f>
        <v>1</v>
      </c>
      <c r="P149" s="64" t="str">
        <f t="shared" si="3"/>
        <v>Good</v>
      </c>
      <c r="Q149" s="65"/>
      <c r="R149" s="65"/>
      <c r="S149" s="65"/>
      <c r="T149" s="65"/>
      <c r="U149" s="6"/>
      <c r="V149" s="6" t="str">
        <f>IFERROR(__xludf.DUMMYFUNCTION("""COMPUTED_VALUE"""),"collection.alchemist_hall_2@2")</f>
        <v>collection.alchemist_hall_2@2</v>
      </c>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row>
    <row r="150" ht="14.25" customHeight="1">
      <c r="A150" s="26" t="str">
        <f t="shared" si="1"/>
        <v>collection.alchemist_hall_3@1</v>
      </c>
      <c r="B150" s="26" t="str">
        <f t="array" ref="B150">_xlfn.XLOOKUP(A150,Targets!A:A,Targets!C:C,"")</f>
        <v>COLLECTION</v>
      </c>
      <c r="C150" s="64" t="b">
        <f>COUNTIF(Targets!A:A,A150)&gt;0</f>
        <v>1</v>
      </c>
      <c r="D150" s="64" t="b">
        <f>IF(
 OR(
  LEFT(A150,15)="state.character",
  RIGHT(A150,6)=".maxed"
 ),
 TRUE,
 COUNTIF(Checklist!A:A,A150)&gt;0
)</f>
        <v>1</v>
      </c>
      <c r="E150" s="64" t="b">
        <f>IF(
 OR(
  LEFT(A150,15)="state.character",
  RIGHT(A150,6)=".maxed",
  A150="building.guild@1",
  A150="quest.build_the_guild.accepted",
  A150="quest.build_the_pagoda.accepted"
 ),
 TRUE,
 COUNTIF(Dependencies!A:A,A150)&gt;0
)</f>
        <v>1</v>
      </c>
      <c r="F150" s="64" t="b">
        <f>COUNTIF(Dependencies!B:B,A150)&gt;0</f>
        <v>1</v>
      </c>
      <c r="G150" s="64" t="b">
        <f>COUNTIF(QuestObjectives!A:A,A150)&gt;0</f>
        <v>0</v>
      </c>
      <c r="H150" s="64" t="b">
        <f>COUNTIF(QuestObjectives!E:E,A150)&gt;0</f>
        <v>1</v>
      </c>
      <c r="I150" s="64" t="b">
        <f>COUNTIF(TargetStatus!A:A,A150)&gt;0</f>
        <v>1</v>
      </c>
      <c r="J150" s="64" t="b">
        <f>COUNTIF(CostStatus!B:B,A150)&gt;0</f>
        <v>1</v>
      </c>
      <c r="K150" s="64" t="b">
        <f>COUNTIF(States!A:A,A150)&gt;0</f>
        <v>0</v>
      </c>
      <c r="L150" s="64" t="b">
        <f t="shared" si="2"/>
        <v>1</v>
      </c>
      <c r="M150" s="64" t="b">
        <f>IF(A150="","",COUNTIF(Targets!A:A,A150)&gt;1)</f>
        <v>0</v>
      </c>
      <c r="N150" s="64" t="b">
        <f>IF(A150="","",COUNTIF(States!A:A,A150)&gt;1)</f>
        <v>0</v>
      </c>
      <c r="O150" s="64" t="b">
        <f>IFERROR(__xludf.DUMMYFUNCTION("IF(
 B150="""",
 """",
 SWITCH(
  B150,
  ""BUILDING"",COUNTIF(Buildings!A:A,A150)&gt;0,
  ""CITADEL"",COUNTIF(Citadel!A:A,A150)&gt;0,
  ""COLLECTION"",COUNTIF(Collections!A:A,A150)&gt;0,
  ""CRAFTIFACT"",COUNTIF(Craftifacts!A:A,A150)&gt;0,
  ""QUEST"",
   COUNTIF(
 "&amp;"   Quests!A:A,
    REGEXREPLACE(A150,""\.(accepted|finished)$"","""")
   )&gt;0,
  ""TECH"",COUNTIF(Technologies!A:A,A150)&gt;0,
  ""STATE"",COUNTIF(States!A:A,A150)&gt;0,
  FALSE
 )
)"),TRUE)</f>
        <v>1</v>
      </c>
      <c r="P150" s="64" t="str">
        <f t="shared" si="3"/>
        <v>Good</v>
      </c>
      <c r="Q150" s="65"/>
      <c r="R150" s="65"/>
      <c r="S150" s="65"/>
      <c r="T150" s="65"/>
      <c r="U150" s="6"/>
      <c r="V150" s="6" t="str">
        <f>IFERROR(__xludf.DUMMYFUNCTION("""COMPUTED_VALUE"""),"collection.alchemist_hall_3@1")</f>
        <v>collection.alchemist_hall_3@1</v>
      </c>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row>
    <row r="151" ht="14.25" customHeight="1">
      <c r="A151" s="26" t="str">
        <f t="shared" si="1"/>
        <v>collection.alchemist_hall_3@2</v>
      </c>
      <c r="B151" s="26" t="str">
        <f t="array" ref="B151">_xlfn.XLOOKUP(A151,Targets!A:A,Targets!C:C,"")</f>
        <v>COLLECTION</v>
      </c>
      <c r="C151" s="64" t="b">
        <f>COUNTIF(Targets!A:A,A151)&gt;0</f>
        <v>1</v>
      </c>
      <c r="D151" s="64" t="b">
        <f>IF(
 OR(
  LEFT(A151,15)="state.character",
  RIGHT(A151,6)=".maxed"
 ),
 TRUE,
 COUNTIF(Checklist!A:A,A151)&gt;0
)</f>
        <v>1</v>
      </c>
      <c r="E151" s="64" t="b">
        <f>IF(
 OR(
  LEFT(A151,15)="state.character",
  RIGHT(A151,6)=".maxed",
  A151="building.guild@1",
  A151="quest.build_the_guild.accepted",
  A151="quest.build_the_pagoda.accepted"
 ),
 TRUE,
 COUNTIF(Dependencies!A:A,A151)&gt;0
)</f>
        <v>1</v>
      </c>
      <c r="F151" s="64" t="b">
        <f>COUNTIF(Dependencies!B:B,A151)&gt;0</f>
        <v>0</v>
      </c>
      <c r="G151" s="64" t="b">
        <f>COUNTIF(QuestObjectives!A:A,A151)&gt;0</f>
        <v>0</v>
      </c>
      <c r="H151" s="64" t="b">
        <f>COUNTIF(QuestObjectives!E:E,A151)&gt;0</f>
        <v>0</v>
      </c>
      <c r="I151" s="64" t="b">
        <f>COUNTIF(TargetStatus!A:A,A151)&gt;0</f>
        <v>1</v>
      </c>
      <c r="J151" s="64" t="b">
        <f>COUNTIF(CostStatus!B:B,A151)&gt;0</f>
        <v>1</v>
      </c>
      <c r="K151" s="64" t="b">
        <f>COUNTIF(States!A:A,A151)&gt;0</f>
        <v>0</v>
      </c>
      <c r="L151" s="64" t="b">
        <f t="shared" si="2"/>
        <v>1</v>
      </c>
      <c r="M151" s="64" t="b">
        <f>IF(A151="","",COUNTIF(Targets!A:A,A151)&gt;1)</f>
        <v>0</v>
      </c>
      <c r="N151" s="64" t="b">
        <f>IF(A151="","",COUNTIF(States!A:A,A151)&gt;1)</f>
        <v>0</v>
      </c>
      <c r="O151" s="64" t="b">
        <f>IFERROR(__xludf.DUMMYFUNCTION("IF(
 B151="""",
 """",
 SWITCH(
  B151,
  ""BUILDING"",COUNTIF(Buildings!A:A,A151)&gt;0,
  ""CITADEL"",COUNTIF(Citadel!A:A,A151)&gt;0,
  ""COLLECTION"",COUNTIF(Collections!A:A,A151)&gt;0,
  ""CRAFTIFACT"",COUNTIF(Craftifacts!A:A,A151)&gt;0,
  ""QUEST"",
   COUNTIF(
 "&amp;"   Quests!A:A,
    REGEXREPLACE(A151,""\.(accepted|finished)$"","""")
   )&gt;0,
  ""TECH"",COUNTIF(Technologies!A:A,A151)&gt;0,
  ""STATE"",COUNTIF(States!A:A,A151)&gt;0,
  FALSE
 )
)"),TRUE)</f>
        <v>1</v>
      </c>
      <c r="P151" s="64" t="str">
        <f t="shared" si="3"/>
        <v>Good</v>
      </c>
      <c r="Q151" s="65"/>
      <c r="R151" s="65"/>
      <c r="S151" s="65"/>
      <c r="T151" s="65"/>
      <c r="U151" s="6"/>
      <c r="V151" s="6" t="str">
        <f>IFERROR(__xludf.DUMMYFUNCTION("""COMPUTED_VALUE"""),"collection.alchemist_hall_3@2")</f>
        <v>collection.alchemist_hall_3@2</v>
      </c>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row>
    <row r="152" ht="14.25" customHeight="1">
      <c r="A152" s="26" t="str">
        <f t="shared" si="1"/>
        <v>collection.armory_1@1</v>
      </c>
      <c r="B152" s="26" t="str">
        <f t="array" ref="B152">_xlfn.XLOOKUP(A152,Targets!A:A,Targets!C:C,"")</f>
        <v>COLLECTION</v>
      </c>
      <c r="C152" s="64" t="b">
        <f>COUNTIF(Targets!A:A,A152)&gt;0</f>
        <v>1</v>
      </c>
      <c r="D152" s="64" t="b">
        <f>IF(
 OR(
  LEFT(A152,15)="state.character",
  RIGHT(A152,6)=".maxed"
 ),
 TRUE,
 COUNTIF(Checklist!A:A,A152)&gt;0
)</f>
        <v>1</v>
      </c>
      <c r="E152" s="64" t="b">
        <f>IF(
 OR(
  LEFT(A152,15)="state.character",
  RIGHT(A152,6)=".maxed",
  A152="building.guild@1",
  A152="quest.build_the_guild.accepted",
  A152="quest.build_the_pagoda.accepted"
 ),
 TRUE,
 COUNTIF(Dependencies!A:A,A152)&gt;0
)</f>
        <v>1</v>
      </c>
      <c r="F152" s="64" t="b">
        <f>COUNTIF(Dependencies!B:B,A152)&gt;0</f>
        <v>1</v>
      </c>
      <c r="G152" s="64" t="b">
        <f>COUNTIF(QuestObjectives!A:A,A152)&gt;0</f>
        <v>0</v>
      </c>
      <c r="H152" s="64" t="b">
        <f>COUNTIF(QuestObjectives!E:E,A152)&gt;0</f>
        <v>0</v>
      </c>
      <c r="I152" s="64" t="b">
        <f>COUNTIF(TargetStatus!A:A,A152)&gt;0</f>
        <v>1</v>
      </c>
      <c r="J152" s="64" t="b">
        <f>COUNTIF(CostStatus!B:B,A152)&gt;0</f>
        <v>1</v>
      </c>
      <c r="K152" s="64" t="b">
        <f>COUNTIF(States!A:A,A152)&gt;0</f>
        <v>0</v>
      </c>
      <c r="L152" s="64" t="b">
        <f t="shared" si="2"/>
        <v>1</v>
      </c>
      <c r="M152" s="64" t="b">
        <f>IF(A152="","",COUNTIF(Targets!A:A,A152)&gt;1)</f>
        <v>0</v>
      </c>
      <c r="N152" s="64" t="b">
        <f>IF(A152="","",COUNTIF(States!A:A,A152)&gt;1)</f>
        <v>0</v>
      </c>
      <c r="O152" s="64" t="b">
        <f>IFERROR(__xludf.DUMMYFUNCTION("IF(
 B152="""",
 """",
 SWITCH(
  B152,
  ""BUILDING"",COUNTIF(Buildings!A:A,A152)&gt;0,
  ""CITADEL"",COUNTIF(Citadel!A:A,A152)&gt;0,
  ""COLLECTION"",COUNTIF(Collections!A:A,A152)&gt;0,
  ""CRAFTIFACT"",COUNTIF(Craftifacts!A:A,A152)&gt;0,
  ""QUEST"",
   COUNTIF(
 "&amp;"   Quests!A:A,
    REGEXREPLACE(A152,""\.(accepted|finished)$"","""")
   )&gt;0,
  ""TECH"",COUNTIF(Technologies!A:A,A152)&gt;0,
  ""STATE"",COUNTIF(States!A:A,A152)&gt;0,
  FALSE
 )
)"),TRUE)</f>
        <v>1</v>
      </c>
      <c r="P152" s="64" t="str">
        <f t="shared" si="3"/>
        <v>Good</v>
      </c>
      <c r="Q152" s="65"/>
      <c r="R152" s="65"/>
      <c r="S152" s="65"/>
      <c r="T152" s="65"/>
      <c r="U152" s="6"/>
      <c r="V152" s="6" t="str">
        <f>IFERROR(__xludf.DUMMYFUNCTION("""COMPUTED_VALUE"""),"collection.armory_1@1")</f>
        <v>collection.armory_1@1</v>
      </c>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row>
    <row r="153" ht="14.25" customHeight="1">
      <c r="A153" s="26" t="str">
        <f t="shared" si="1"/>
        <v>collection.armory_1@2</v>
      </c>
      <c r="B153" s="26" t="str">
        <f t="array" ref="B153">_xlfn.XLOOKUP(A153,Targets!A:A,Targets!C:C,"")</f>
        <v>COLLECTION</v>
      </c>
      <c r="C153" s="64" t="b">
        <f>COUNTIF(Targets!A:A,A153)&gt;0</f>
        <v>1</v>
      </c>
      <c r="D153" s="64" t="b">
        <f>IF(
 OR(
  LEFT(A153,15)="state.character",
  RIGHT(A153,6)=".maxed"
 ),
 TRUE,
 COUNTIF(Checklist!A:A,A153)&gt;0
)</f>
        <v>1</v>
      </c>
      <c r="E153" s="64" t="b">
        <f>IF(
 OR(
  LEFT(A153,15)="state.character",
  RIGHT(A153,6)=".maxed",
  A153="building.guild@1",
  A153="quest.build_the_guild.accepted",
  A153="quest.build_the_pagoda.accepted"
 ),
 TRUE,
 COUNTIF(Dependencies!A:A,A153)&gt;0
)</f>
        <v>1</v>
      </c>
      <c r="F153" s="64" t="b">
        <f>COUNTIF(Dependencies!B:B,A153)&gt;0</f>
        <v>1</v>
      </c>
      <c r="G153" s="64" t="b">
        <f>COUNTIF(QuestObjectives!A:A,A153)&gt;0</f>
        <v>0</v>
      </c>
      <c r="H153" s="64" t="b">
        <f>COUNTIF(QuestObjectives!E:E,A153)&gt;0</f>
        <v>0</v>
      </c>
      <c r="I153" s="64" t="b">
        <f>COUNTIF(TargetStatus!A:A,A153)&gt;0</f>
        <v>1</v>
      </c>
      <c r="J153" s="64" t="b">
        <f>COUNTIF(CostStatus!B:B,A153)&gt;0</f>
        <v>1</v>
      </c>
      <c r="K153" s="64" t="b">
        <f>COUNTIF(States!A:A,A153)&gt;0</f>
        <v>0</v>
      </c>
      <c r="L153" s="64" t="b">
        <f t="shared" si="2"/>
        <v>1</v>
      </c>
      <c r="M153" s="64" t="b">
        <f>IF(A153="","",COUNTIF(Targets!A:A,A153)&gt;1)</f>
        <v>0</v>
      </c>
      <c r="N153" s="64" t="b">
        <f>IF(A153="","",COUNTIF(States!A:A,A153)&gt;1)</f>
        <v>0</v>
      </c>
      <c r="O153" s="64" t="b">
        <f>IFERROR(__xludf.DUMMYFUNCTION("IF(
 B153="""",
 """",
 SWITCH(
  B153,
  ""BUILDING"",COUNTIF(Buildings!A:A,A153)&gt;0,
  ""CITADEL"",COUNTIF(Citadel!A:A,A153)&gt;0,
  ""COLLECTION"",COUNTIF(Collections!A:A,A153)&gt;0,
  ""CRAFTIFACT"",COUNTIF(Craftifacts!A:A,A153)&gt;0,
  ""QUEST"",
   COUNTIF(
 "&amp;"   Quests!A:A,
    REGEXREPLACE(A153,""\.(accepted|finished)$"","""")
   )&gt;0,
  ""TECH"",COUNTIF(Technologies!A:A,A153)&gt;0,
  ""STATE"",COUNTIF(States!A:A,A153)&gt;0,
  FALSE
 )
)"),TRUE)</f>
        <v>1</v>
      </c>
      <c r="P153" s="64" t="str">
        <f t="shared" si="3"/>
        <v>Good</v>
      </c>
      <c r="Q153" s="65"/>
      <c r="R153" s="65"/>
      <c r="S153" s="65"/>
      <c r="T153" s="65"/>
      <c r="U153" s="6"/>
      <c r="V153" s="6" t="str">
        <f>IFERROR(__xludf.DUMMYFUNCTION("""COMPUTED_VALUE"""),"collection.armory_1@2")</f>
        <v>collection.armory_1@2</v>
      </c>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row>
    <row r="154" ht="14.25" customHeight="1">
      <c r="A154" s="26" t="str">
        <f t="shared" si="1"/>
        <v>collection.armory_1@3</v>
      </c>
      <c r="B154" s="26" t="str">
        <f t="array" ref="B154">_xlfn.XLOOKUP(A154,Targets!A:A,Targets!C:C,"")</f>
        <v>COLLECTION</v>
      </c>
      <c r="C154" s="64" t="b">
        <f>COUNTIF(Targets!A:A,A154)&gt;0</f>
        <v>1</v>
      </c>
      <c r="D154" s="64" t="b">
        <f>IF(
 OR(
  LEFT(A154,15)="state.character",
  RIGHT(A154,6)=".maxed"
 ),
 TRUE,
 COUNTIF(Checklist!A:A,A154)&gt;0
)</f>
        <v>1</v>
      </c>
      <c r="E154" s="64" t="b">
        <f>IF(
 OR(
  LEFT(A154,15)="state.character",
  RIGHT(A154,6)=".maxed",
  A154="building.guild@1",
  A154="quest.build_the_guild.accepted",
  A154="quest.build_the_pagoda.accepted"
 ),
 TRUE,
 COUNTIF(Dependencies!A:A,A154)&gt;0
)</f>
        <v>1</v>
      </c>
      <c r="F154" s="64" t="b">
        <f>COUNTIF(Dependencies!B:B,A154)&gt;0</f>
        <v>0</v>
      </c>
      <c r="G154" s="64" t="b">
        <f>COUNTIF(QuestObjectives!A:A,A154)&gt;0</f>
        <v>0</v>
      </c>
      <c r="H154" s="64" t="b">
        <f>COUNTIF(QuestObjectives!E:E,A154)&gt;0</f>
        <v>0</v>
      </c>
      <c r="I154" s="64" t="b">
        <f>COUNTIF(TargetStatus!A:A,A154)&gt;0</f>
        <v>1</v>
      </c>
      <c r="J154" s="64" t="b">
        <f>COUNTIF(CostStatus!B:B,A154)&gt;0</f>
        <v>1</v>
      </c>
      <c r="K154" s="64" t="b">
        <f>COUNTIF(States!A:A,A154)&gt;0</f>
        <v>0</v>
      </c>
      <c r="L154" s="64" t="b">
        <f t="shared" si="2"/>
        <v>1</v>
      </c>
      <c r="M154" s="64" t="b">
        <f>IF(A154="","",COUNTIF(Targets!A:A,A154)&gt;1)</f>
        <v>0</v>
      </c>
      <c r="N154" s="64" t="b">
        <f>IF(A154="","",COUNTIF(States!A:A,A154)&gt;1)</f>
        <v>0</v>
      </c>
      <c r="O154" s="64" t="b">
        <f>IFERROR(__xludf.DUMMYFUNCTION("IF(
 B154="""",
 """",
 SWITCH(
  B154,
  ""BUILDING"",COUNTIF(Buildings!A:A,A154)&gt;0,
  ""CITADEL"",COUNTIF(Citadel!A:A,A154)&gt;0,
  ""COLLECTION"",COUNTIF(Collections!A:A,A154)&gt;0,
  ""CRAFTIFACT"",COUNTIF(Craftifacts!A:A,A154)&gt;0,
  ""QUEST"",
   COUNTIF(
 "&amp;"   Quests!A:A,
    REGEXREPLACE(A154,""\.(accepted|finished)$"","""")
   )&gt;0,
  ""TECH"",COUNTIF(Technologies!A:A,A154)&gt;0,
  ""STATE"",COUNTIF(States!A:A,A154)&gt;0,
  FALSE
 )
)"),TRUE)</f>
        <v>1</v>
      </c>
      <c r="P154" s="64" t="str">
        <f t="shared" si="3"/>
        <v>Good</v>
      </c>
      <c r="Q154" s="65"/>
      <c r="R154" s="65"/>
      <c r="S154" s="65"/>
      <c r="T154" s="65"/>
      <c r="U154" s="6"/>
      <c r="V154" s="6" t="str">
        <f>IFERROR(__xludf.DUMMYFUNCTION("""COMPUTED_VALUE"""),"collection.armory_1@3")</f>
        <v>collection.armory_1@3</v>
      </c>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row>
    <row r="155" ht="14.25" customHeight="1">
      <c r="A155" s="26" t="str">
        <f t="shared" si="1"/>
        <v>collection.armory_2@1</v>
      </c>
      <c r="B155" s="26" t="str">
        <f t="array" ref="B155">_xlfn.XLOOKUP(A155,Targets!A:A,Targets!C:C,"")</f>
        <v>COLLECTION</v>
      </c>
      <c r="C155" s="64" t="b">
        <f>COUNTIF(Targets!A:A,A155)&gt;0</f>
        <v>1</v>
      </c>
      <c r="D155" s="64" t="b">
        <f>IF(
 OR(
  LEFT(A155,15)="state.character",
  RIGHT(A155,6)=".maxed"
 ),
 TRUE,
 COUNTIF(Checklist!A:A,A155)&gt;0
)</f>
        <v>1</v>
      </c>
      <c r="E155" s="64" t="b">
        <f>IF(
 OR(
  LEFT(A155,15)="state.character",
  RIGHT(A155,6)=".maxed",
  A155="building.guild@1",
  A155="quest.build_the_guild.accepted",
  A155="quest.build_the_pagoda.accepted"
 ),
 TRUE,
 COUNTIF(Dependencies!A:A,A155)&gt;0
)</f>
        <v>1</v>
      </c>
      <c r="F155" s="64" t="b">
        <f>COUNTIF(Dependencies!B:B,A155)&gt;0</f>
        <v>0</v>
      </c>
      <c r="G155" s="64" t="b">
        <f>COUNTIF(QuestObjectives!A:A,A155)&gt;0</f>
        <v>0</v>
      </c>
      <c r="H155" s="64" t="b">
        <f>COUNTIF(QuestObjectives!E:E,A155)&gt;0</f>
        <v>0</v>
      </c>
      <c r="I155" s="64" t="b">
        <f>COUNTIF(TargetStatus!A:A,A155)&gt;0</f>
        <v>1</v>
      </c>
      <c r="J155" s="64" t="b">
        <f>COUNTIF(CostStatus!B:B,A155)&gt;0</f>
        <v>1</v>
      </c>
      <c r="K155" s="64" t="b">
        <f>COUNTIF(States!A:A,A155)&gt;0</f>
        <v>0</v>
      </c>
      <c r="L155" s="64" t="b">
        <f t="shared" si="2"/>
        <v>1</v>
      </c>
      <c r="M155" s="64" t="b">
        <f>IF(A155="","",COUNTIF(Targets!A:A,A155)&gt;1)</f>
        <v>0</v>
      </c>
      <c r="N155" s="64" t="b">
        <f>IF(A155="","",COUNTIF(States!A:A,A155)&gt;1)</f>
        <v>0</v>
      </c>
      <c r="O155" s="64" t="b">
        <f>IFERROR(__xludf.DUMMYFUNCTION("IF(
 B155="""",
 """",
 SWITCH(
  B155,
  ""BUILDING"",COUNTIF(Buildings!A:A,A155)&gt;0,
  ""CITADEL"",COUNTIF(Citadel!A:A,A155)&gt;0,
  ""COLLECTION"",COUNTIF(Collections!A:A,A155)&gt;0,
  ""CRAFTIFACT"",COUNTIF(Craftifacts!A:A,A155)&gt;0,
  ""QUEST"",
   COUNTIF(
 "&amp;"   Quests!A:A,
    REGEXREPLACE(A155,""\.(accepted|finished)$"","""")
   )&gt;0,
  ""TECH"",COUNTIF(Technologies!A:A,A155)&gt;0,
  ""STATE"",COUNTIF(States!A:A,A155)&gt;0,
  FALSE
 )
)"),TRUE)</f>
        <v>1</v>
      </c>
      <c r="P155" s="64" t="str">
        <f t="shared" si="3"/>
        <v>Good</v>
      </c>
      <c r="Q155" s="65"/>
      <c r="R155" s="65"/>
      <c r="S155" s="65"/>
      <c r="T155" s="65"/>
      <c r="U155" s="6"/>
      <c r="V155" s="6" t="str">
        <f>IFERROR(__xludf.DUMMYFUNCTION("""COMPUTED_VALUE"""),"collection.armory_2@1")</f>
        <v>collection.armory_2@1</v>
      </c>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row>
    <row r="156" ht="14.25" customHeight="1">
      <c r="A156" s="26" t="str">
        <f t="shared" si="1"/>
        <v>collection.attic@1</v>
      </c>
      <c r="B156" s="26" t="str">
        <f t="array" ref="B156">_xlfn.XLOOKUP(A156,Targets!A:A,Targets!C:C,"")</f>
        <v>COLLECTION</v>
      </c>
      <c r="C156" s="64" t="b">
        <f>COUNTIF(Targets!A:A,A156)&gt;0</f>
        <v>1</v>
      </c>
      <c r="D156" s="64" t="b">
        <f>IF(
 OR(
  LEFT(A156,15)="state.character",
  RIGHT(A156,6)=".maxed"
 ),
 TRUE,
 COUNTIF(Checklist!A:A,A156)&gt;0
)</f>
        <v>1</v>
      </c>
      <c r="E156" s="64" t="b">
        <f>IF(
 OR(
  LEFT(A156,15)="state.character",
  RIGHT(A156,6)=".maxed",
  A156="building.guild@1",
  A156="quest.build_the_guild.accepted",
  A156="quest.build_the_pagoda.accepted"
 ),
 TRUE,
 COUNTIF(Dependencies!A:A,A156)&gt;0
)</f>
        <v>1</v>
      </c>
      <c r="F156" s="64" t="b">
        <f>COUNTIF(Dependencies!B:B,A156)&gt;0</f>
        <v>1</v>
      </c>
      <c r="G156" s="64" t="b">
        <f>COUNTIF(QuestObjectives!A:A,A156)&gt;0</f>
        <v>0</v>
      </c>
      <c r="H156" s="64" t="b">
        <f>COUNTIF(QuestObjectives!E:E,A156)&gt;0</f>
        <v>0</v>
      </c>
      <c r="I156" s="64" t="b">
        <f>COUNTIF(TargetStatus!A:A,A156)&gt;0</f>
        <v>1</v>
      </c>
      <c r="J156" s="64" t="b">
        <f>COUNTIF(CostStatus!B:B,A156)&gt;0</f>
        <v>1</v>
      </c>
      <c r="K156" s="64" t="b">
        <f>COUNTIF(States!A:A,A156)&gt;0</f>
        <v>0</v>
      </c>
      <c r="L156" s="64" t="b">
        <f t="shared" si="2"/>
        <v>1</v>
      </c>
      <c r="M156" s="64" t="b">
        <f>IF(A156="","",COUNTIF(Targets!A:A,A156)&gt;1)</f>
        <v>0</v>
      </c>
      <c r="N156" s="64" t="b">
        <f>IF(A156="","",COUNTIF(States!A:A,A156)&gt;1)</f>
        <v>0</v>
      </c>
      <c r="O156" s="64" t="b">
        <f>IFERROR(__xludf.DUMMYFUNCTION("IF(
 B156="""",
 """",
 SWITCH(
  B156,
  ""BUILDING"",COUNTIF(Buildings!A:A,A156)&gt;0,
  ""CITADEL"",COUNTIF(Citadel!A:A,A156)&gt;0,
  ""COLLECTION"",COUNTIF(Collections!A:A,A156)&gt;0,
  ""CRAFTIFACT"",COUNTIF(Craftifacts!A:A,A156)&gt;0,
  ""QUEST"",
   COUNTIF(
 "&amp;"   Quests!A:A,
    REGEXREPLACE(A156,""\.(accepted|finished)$"","""")
   )&gt;0,
  ""TECH"",COUNTIF(Technologies!A:A,A156)&gt;0,
  ""STATE"",COUNTIF(States!A:A,A156)&gt;0,
  FALSE
 )
)"),TRUE)</f>
        <v>1</v>
      </c>
      <c r="P156" s="64" t="str">
        <f t="shared" si="3"/>
        <v>Good</v>
      </c>
      <c r="Q156" s="65"/>
      <c r="R156" s="65"/>
      <c r="S156" s="65"/>
      <c r="T156" s="65"/>
      <c r="U156" s="6"/>
      <c r="V156" s="6" t="str">
        <f>IFERROR(__xludf.DUMMYFUNCTION("""COMPUTED_VALUE"""),"collection.attic@1")</f>
        <v>collection.attic@1</v>
      </c>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row>
    <row r="157" ht="14.25" customHeight="1">
      <c r="A157" s="26" t="str">
        <f t="shared" si="1"/>
        <v>collection.attic@2</v>
      </c>
      <c r="B157" s="26" t="str">
        <f t="array" ref="B157">_xlfn.XLOOKUP(A157,Targets!A:A,Targets!C:C,"")</f>
        <v>COLLECTION</v>
      </c>
      <c r="C157" s="64" t="b">
        <f>COUNTIF(Targets!A:A,A157)&gt;0</f>
        <v>1</v>
      </c>
      <c r="D157" s="64" t="b">
        <f>IF(
 OR(
  LEFT(A157,15)="state.character",
  RIGHT(A157,6)=".maxed"
 ),
 TRUE,
 COUNTIF(Checklist!A:A,A157)&gt;0
)</f>
        <v>1</v>
      </c>
      <c r="E157" s="64" t="b">
        <f>IF(
 OR(
  LEFT(A157,15)="state.character",
  RIGHT(A157,6)=".maxed",
  A157="building.guild@1",
  A157="quest.build_the_guild.accepted",
  A157="quest.build_the_pagoda.accepted"
 ),
 TRUE,
 COUNTIF(Dependencies!A:A,A157)&gt;0
)</f>
        <v>1</v>
      </c>
      <c r="F157" s="64" t="b">
        <f>COUNTIF(Dependencies!B:B,A157)&gt;0</f>
        <v>1</v>
      </c>
      <c r="G157" s="64" t="b">
        <f>COUNTIF(QuestObjectives!A:A,A157)&gt;0</f>
        <v>0</v>
      </c>
      <c r="H157" s="64" t="b">
        <f>COUNTIF(QuestObjectives!E:E,A157)&gt;0</f>
        <v>0</v>
      </c>
      <c r="I157" s="64" t="b">
        <f>COUNTIF(TargetStatus!A:A,A157)&gt;0</f>
        <v>1</v>
      </c>
      <c r="J157" s="64" t="b">
        <f>COUNTIF(CostStatus!B:B,A157)&gt;0</f>
        <v>1</v>
      </c>
      <c r="K157" s="64" t="b">
        <f>COUNTIF(States!A:A,A157)&gt;0</f>
        <v>0</v>
      </c>
      <c r="L157" s="64" t="b">
        <f t="shared" si="2"/>
        <v>1</v>
      </c>
      <c r="M157" s="64" t="b">
        <f>IF(A157="","",COUNTIF(Targets!A:A,A157)&gt;1)</f>
        <v>0</v>
      </c>
      <c r="N157" s="64" t="b">
        <f>IF(A157="","",COUNTIF(States!A:A,A157)&gt;1)</f>
        <v>0</v>
      </c>
      <c r="O157" s="64" t="b">
        <f>IFERROR(__xludf.DUMMYFUNCTION("IF(
 B157="""",
 """",
 SWITCH(
  B157,
  ""BUILDING"",COUNTIF(Buildings!A:A,A157)&gt;0,
  ""CITADEL"",COUNTIF(Citadel!A:A,A157)&gt;0,
  ""COLLECTION"",COUNTIF(Collections!A:A,A157)&gt;0,
  ""CRAFTIFACT"",COUNTIF(Craftifacts!A:A,A157)&gt;0,
  ""QUEST"",
   COUNTIF(
 "&amp;"   Quests!A:A,
    REGEXREPLACE(A157,""\.(accepted|finished)$"","""")
   )&gt;0,
  ""TECH"",COUNTIF(Technologies!A:A,A157)&gt;0,
  ""STATE"",COUNTIF(States!A:A,A157)&gt;0,
  FALSE
 )
)"),TRUE)</f>
        <v>1</v>
      </c>
      <c r="P157" s="64" t="str">
        <f t="shared" si="3"/>
        <v>Good</v>
      </c>
      <c r="Q157" s="65"/>
      <c r="R157" s="65"/>
      <c r="S157" s="65"/>
      <c r="T157" s="65"/>
      <c r="U157" s="6"/>
      <c r="V157" s="6" t="str">
        <f>IFERROR(__xludf.DUMMYFUNCTION("""COMPUTED_VALUE"""),"collection.attic@2")</f>
        <v>collection.attic@2</v>
      </c>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row>
    <row r="158" ht="14.25" customHeight="1">
      <c r="A158" s="26" t="str">
        <f t="shared" si="1"/>
        <v>collection.attic@3</v>
      </c>
      <c r="B158" s="26" t="str">
        <f t="array" ref="B158">_xlfn.XLOOKUP(A158,Targets!A:A,Targets!C:C,"")</f>
        <v>COLLECTION</v>
      </c>
      <c r="C158" s="64" t="b">
        <f>COUNTIF(Targets!A:A,A158)&gt;0</f>
        <v>1</v>
      </c>
      <c r="D158" s="64" t="b">
        <f>IF(
 OR(
  LEFT(A158,15)="state.character",
  RIGHT(A158,6)=".maxed"
 ),
 TRUE,
 COUNTIF(Checklist!A:A,A158)&gt;0
)</f>
        <v>1</v>
      </c>
      <c r="E158" s="64" t="b">
        <f>IF(
 OR(
  LEFT(A158,15)="state.character",
  RIGHT(A158,6)=".maxed",
  A158="building.guild@1",
  A158="quest.build_the_guild.accepted",
  A158="quest.build_the_pagoda.accepted"
 ),
 TRUE,
 COUNTIF(Dependencies!A:A,A158)&gt;0
)</f>
        <v>1</v>
      </c>
      <c r="F158" s="64" t="b">
        <f>COUNTIF(Dependencies!B:B,A158)&gt;0</f>
        <v>1</v>
      </c>
      <c r="G158" s="64" t="b">
        <f>COUNTIF(QuestObjectives!A:A,A158)&gt;0</f>
        <v>0</v>
      </c>
      <c r="H158" s="64" t="b">
        <f>COUNTIF(QuestObjectives!E:E,A158)&gt;0</f>
        <v>0</v>
      </c>
      <c r="I158" s="64" t="b">
        <f>COUNTIF(TargetStatus!A:A,A158)&gt;0</f>
        <v>1</v>
      </c>
      <c r="J158" s="64" t="b">
        <f>COUNTIF(CostStatus!B:B,A158)&gt;0</f>
        <v>1</v>
      </c>
      <c r="K158" s="64" t="b">
        <f>COUNTIF(States!A:A,A158)&gt;0</f>
        <v>0</v>
      </c>
      <c r="L158" s="64" t="b">
        <f t="shared" si="2"/>
        <v>1</v>
      </c>
      <c r="M158" s="64" t="b">
        <f>IF(A158="","",COUNTIF(Targets!A:A,A158)&gt;1)</f>
        <v>0</v>
      </c>
      <c r="N158" s="64" t="b">
        <f>IF(A158="","",COUNTIF(States!A:A,A158)&gt;1)</f>
        <v>0</v>
      </c>
      <c r="O158" s="64" t="b">
        <f>IFERROR(__xludf.DUMMYFUNCTION("IF(
 B158="""",
 """",
 SWITCH(
  B158,
  ""BUILDING"",COUNTIF(Buildings!A:A,A158)&gt;0,
  ""CITADEL"",COUNTIF(Citadel!A:A,A158)&gt;0,
  ""COLLECTION"",COUNTIF(Collections!A:A,A158)&gt;0,
  ""CRAFTIFACT"",COUNTIF(Craftifacts!A:A,A158)&gt;0,
  ""QUEST"",
   COUNTIF(
 "&amp;"   Quests!A:A,
    REGEXREPLACE(A158,""\.(accepted|finished)$"","""")
   )&gt;0,
  ""TECH"",COUNTIF(Technologies!A:A,A158)&gt;0,
  ""STATE"",COUNTIF(States!A:A,A158)&gt;0,
  FALSE
 )
)"),TRUE)</f>
        <v>1</v>
      </c>
      <c r="P158" s="64" t="str">
        <f t="shared" si="3"/>
        <v>Good</v>
      </c>
      <c r="Q158" s="65"/>
      <c r="R158" s="65"/>
      <c r="S158" s="65"/>
      <c r="T158" s="65"/>
      <c r="U158" s="6"/>
      <c r="V158" s="6" t="str">
        <f>IFERROR(__xludf.DUMMYFUNCTION("""COMPUTED_VALUE"""),"collection.attic@3")</f>
        <v>collection.attic@3</v>
      </c>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row>
    <row r="159" ht="14.25" customHeight="1">
      <c r="A159" s="26" t="str">
        <f t="shared" si="1"/>
        <v>collection.attic@4</v>
      </c>
      <c r="B159" s="26" t="str">
        <f t="array" ref="B159">_xlfn.XLOOKUP(A159,Targets!A:A,Targets!C:C,"")</f>
        <v>COLLECTION</v>
      </c>
      <c r="C159" s="64" t="b">
        <f>COUNTIF(Targets!A:A,A159)&gt;0</f>
        <v>1</v>
      </c>
      <c r="D159" s="64" t="b">
        <f>IF(
 OR(
  LEFT(A159,15)="state.character",
  RIGHT(A159,6)=".maxed"
 ),
 TRUE,
 COUNTIF(Checklist!A:A,A159)&gt;0
)</f>
        <v>1</v>
      </c>
      <c r="E159" s="64" t="b">
        <f>IF(
 OR(
  LEFT(A159,15)="state.character",
  RIGHT(A159,6)=".maxed",
  A159="building.guild@1",
  A159="quest.build_the_guild.accepted",
  A159="quest.build_the_pagoda.accepted"
 ),
 TRUE,
 COUNTIF(Dependencies!A:A,A159)&gt;0
)</f>
        <v>1</v>
      </c>
      <c r="F159" s="64" t="b">
        <f>COUNTIF(Dependencies!B:B,A159)&gt;0</f>
        <v>1</v>
      </c>
      <c r="G159" s="64" t="b">
        <f>COUNTIF(QuestObjectives!A:A,A159)&gt;0</f>
        <v>0</v>
      </c>
      <c r="H159" s="64" t="b">
        <f>COUNTIF(QuestObjectives!E:E,A159)&gt;0</f>
        <v>0</v>
      </c>
      <c r="I159" s="64" t="b">
        <f>COUNTIF(TargetStatus!A:A,A159)&gt;0</f>
        <v>1</v>
      </c>
      <c r="J159" s="64" t="b">
        <f>COUNTIF(CostStatus!B:B,A159)&gt;0</f>
        <v>1</v>
      </c>
      <c r="K159" s="64" t="b">
        <f>COUNTIF(States!A:A,A159)&gt;0</f>
        <v>0</v>
      </c>
      <c r="L159" s="64" t="b">
        <f t="shared" si="2"/>
        <v>1</v>
      </c>
      <c r="M159" s="64" t="b">
        <f>IF(A159="","",COUNTIF(Targets!A:A,A159)&gt;1)</f>
        <v>0</v>
      </c>
      <c r="N159" s="64" t="b">
        <f>IF(A159="","",COUNTIF(States!A:A,A159)&gt;1)</f>
        <v>0</v>
      </c>
      <c r="O159" s="64" t="b">
        <f>IFERROR(__xludf.DUMMYFUNCTION("IF(
 B159="""",
 """",
 SWITCH(
  B159,
  ""BUILDING"",COUNTIF(Buildings!A:A,A159)&gt;0,
  ""CITADEL"",COUNTIF(Citadel!A:A,A159)&gt;0,
  ""COLLECTION"",COUNTIF(Collections!A:A,A159)&gt;0,
  ""CRAFTIFACT"",COUNTIF(Craftifacts!A:A,A159)&gt;0,
  ""QUEST"",
   COUNTIF(
 "&amp;"   Quests!A:A,
    REGEXREPLACE(A159,""\.(accepted|finished)$"","""")
   )&gt;0,
  ""TECH"",COUNTIF(Technologies!A:A,A159)&gt;0,
  ""STATE"",COUNTIF(States!A:A,A159)&gt;0,
  FALSE
 )
)"),TRUE)</f>
        <v>1</v>
      </c>
      <c r="P159" s="64" t="str">
        <f t="shared" si="3"/>
        <v>Good</v>
      </c>
      <c r="Q159" s="65"/>
      <c r="R159" s="65"/>
      <c r="S159" s="65"/>
      <c r="T159" s="65"/>
      <c r="U159" s="6"/>
      <c r="V159" s="6" t="str">
        <f>IFERROR(__xludf.DUMMYFUNCTION("""COMPUTED_VALUE"""),"collection.attic@4")</f>
        <v>collection.attic@4</v>
      </c>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row>
    <row r="160" ht="14.25" customHeight="1">
      <c r="A160" s="26" t="str">
        <f t="shared" si="1"/>
        <v>collection.attic@5</v>
      </c>
      <c r="B160" s="26" t="str">
        <f t="array" ref="B160">_xlfn.XLOOKUP(A160,Targets!A:A,Targets!C:C,"")</f>
        <v>COLLECTION</v>
      </c>
      <c r="C160" s="64" t="b">
        <f>COUNTIF(Targets!A:A,A160)&gt;0</f>
        <v>1</v>
      </c>
      <c r="D160" s="64" t="b">
        <f>IF(
 OR(
  LEFT(A160,15)="state.character",
  RIGHT(A160,6)=".maxed"
 ),
 TRUE,
 COUNTIF(Checklist!A:A,A160)&gt;0
)</f>
        <v>1</v>
      </c>
      <c r="E160" s="64" t="b">
        <f>IF(
 OR(
  LEFT(A160,15)="state.character",
  RIGHT(A160,6)=".maxed",
  A160="building.guild@1",
  A160="quest.build_the_guild.accepted",
  A160="quest.build_the_pagoda.accepted"
 ),
 TRUE,
 COUNTIF(Dependencies!A:A,A160)&gt;0
)</f>
        <v>1</v>
      </c>
      <c r="F160" s="64" t="b">
        <f>COUNTIF(Dependencies!B:B,A160)&gt;0</f>
        <v>0</v>
      </c>
      <c r="G160" s="64" t="b">
        <f>COUNTIF(QuestObjectives!A:A,A160)&gt;0</f>
        <v>0</v>
      </c>
      <c r="H160" s="64" t="b">
        <f>COUNTIF(QuestObjectives!E:E,A160)&gt;0</f>
        <v>0</v>
      </c>
      <c r="I160" s="64" t="b">
        <f>COUNTIF(TargetStatus!A:A,A160)&gt;0</f>
        <v>1</v>
      </c>
      <c r="J160" s="64" t="b">
        <f>COUNTIF(CostStatus!B:B,A160)&gt;0</f>
        <v>1</v>
      </c>
      <c r="K160" s="64" t="b">
        <f>COUNTIF(States!A:A,A160)&gt;0</f>
        <v>0</v>
      </c>
      <c r="L160" s="64" t="b">
        <f t="shared" si="2"/>
        <v>1</v>
      </c>
      <c r="M160" s="64" t="b">
        <f>IF(A160="","",COUNTIF(Targets!A:A,A160)&gt;1)</f>
        <v>0</v>
      </c>
      <c r="N160" s="64" t="b">
        <f>IF(A160="","",COUNTIF(States!A:A,A160)&gt;1)</f>
        <v>0</v>
      </c>
      <c r="O160" s="64" t="b">
        <f>IFERROR(__xludf.DUMMYFUNCTION("IF(
 B160="""",
 """",
 SWITCH(
  B160,
  ""BUILDING"",COUNTIF(Buildings!A:A,A160)&gt;0,
  ""CITADEL"",COUNTIF(Citadel!A:A,A160)&gt;0,
  ""COLLECTION"",COUNTIF(Collections!A:A,A160)&gt;0,
  ""CRAFTIFACT"",COUNTIF(Craftifacts!A:A,A160)&gt;0,
  ""QUEST"",
   COUNTIF(
 "&amp;"   Quests!A:A,
    REGEXREPLACE(A160,""\.(accepted|finished)$"","""")
   )&gt;0,
  ""TECH"",COUNTIF(Technologies!A:A,A160)&gt;0,
  ""STATE"",COUNTIF(States!A:A,A160)&gt;0,
  FALSE
 )
)"),TRUE)</f>
        <v>1</v>
      </c>
      <c r="P160" s="64" t="str">
        <f t="shared" si="3"/>
        <v>Good</v>
      </c>
      <c r="Q160" s="65"/>
      <c r="R160" s="65"/>
      <c r="S160" s="65"/>
      <c r="T160" s="65"/>
      <c r="U160" s="6"/>
      <c r="V160" s="6" t="str">
        <f>IFERROR(__xludf.DUMMYFUNCTION("""COMPUTED_VALUE"""),"collection.attic@5")</f>
        <v>collection.attic@5</v>
      </c>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row>
    <row r="161" ht="14.25" customHeight="1">
      <c r="A161" s="26" t="str">
        <f t="shared" si="1"/>
        <v>collection.bone_dragon@1</v>
      </c>
      <c r="B161" s="26" t="str">
        <f t="array" ref="B161">_xlfn.XLOOKUP(A161,Targets!A:A,Targets!C:C,"")</f>
        <v>COLLECTION</v>
      </c>
      <c r="C161" s="64" t="b">
        <f>COUNTIF(Targets!A:A,A161)&gt;0</f>
        <v>1</v>
      </c>
      <c r="D161" s="64" t="b">
        <f>IF(
 OR(
  LEFT(A161,15)="state.character",
  RIGHT(A161,6)=".maxed"
 ),
 TRUE,
 COUNTIF(Checklist!A:A,A161)&gt;0
)</f>
        <v>1</v>
      </c>
      <c r="E161" s="64" t="b">
        <f>IF(
 OR(
  LEFT(A161,15)="state.character",
  RIGHT(A161,6)=".maxed",
  A161="building.guild@1",
  A161="quest.build_the_guild.accepted",
  A161="quest.build_the_pagoda.accepted"
 ),
 TRUE,
 COUNTIF(Dependencies!A:A,A161)&gt;0
)</f>
        <v>1</v>
      </c>
      <c r="F161" s="64" t="b">
        <f>COUNTIF(Dependencies!B:B,A161)&gt;0</f>
        <v>1</v>
      </c>
      <c r="G161" s="64" t="b">
        <f>COUNTIF(QuestObjectives!A:A,A161)&gt;0</f>
        <v>0</v>
      </c>
      <c r="H161" s="64" t="b">
        <f>COUNTIF(QuestObjectives!E:E,A161)&gt;0</f>
        <v>1</v>
      </c>
      <c r="I161" s="64" t="b">
        <f>COUNTIF(TargetStatus!A:A,A161)&gt;0</f>
        <v>1</v>
      </c>
      <c r="J161" s="64" t="b">
        <f>COUNTIF(CostStatus!B:B,A161)&gt;0</f>
        <v>1</v>
      </c>
      <c r="K161" s="64" t="b">
        <f>COUNTIF(States!A:A,A161)&gt;0</f>
        <v>0</v>
      </c>
      <c r="L161" s="64" t="b">
        <f t="shared" si="2"/>
        <v>1</v>
      </c>
      <c r="M161" s="64" t="b">
        <f>IF(A161="","",COUNTIF(Targets!A:A,A161)&gt;1)</f>
        <v>0</v>
      </c>
      <c r="N161" s="64" t="b">
        <f>IF(A161="","",COUNTIF(States!A:A,A161)&gt;1)</f>
        <v>0</v>
      </c>
      <c r="O161" s="64" t="b">
        <f>IFERROR(__xludf.DUMMYFUNCTION("IF(
 B161="""",
 """",
 SWITCH(
  B161,
  ""BUILDING"",COUNTIF(Buildings!A:A,A161)&gt;0,
  ""CITADEL"",COUNTIF(Citadel!A:A,A161)&gt;0,
  ""COLLECTION"",COUNTIF(Collections!A:A,A161)&gt;0,
  ""CRAFTIFACT"",COUNTIF(Craftifacts!A:A,A161)&gt;0,
  ""QUEST"",
   COUNTIF(
 "&amp;"   Quests!A:A,
    REGEXREPLACE(A161,""\.(accepted|finished)$"","""")
   )&gt;0,
  ""TECH"",COUNTIF(Technologies!A:A,A161)&gt;0,
  ""STATE"",COUNTIF(States!A:A,A161)&gt;0,
  FALSE
 )
)"),TRUE)</f>
        <v>1</v>
      </c>
      <c r="P161" s="64" t="str">
        <f t="shared" si="3"/>
        <v>Good</v>
      </c>
      <c r="Q161" s="65"/>
      <c r="R161" s="65"/>
      <c r="S161" s="65"/>
      <c r="T161" s="65"/>
      <c r="U161" s="6"/>
      <c r="V161" s="6" t="str">
        <f>IFERROR(__xludf.DUMMYFUNCTION("""COMPUTED_VALUE"""),"collection.bone_dragon@1")</f>
        <v>collection.bone_dragon@1</v>
      </c>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row>
    <row r="162" ht="14.25" customHeight="1">
      <c r="A162" s="26" t="str">
        <f t="shared" si="1"/>
        <v>collection.bone_dragon@2</v>
      </c>
      <c r="B162" s="26" t="str">
        <f t="array" ref="B162">_xlfn.XLOOKUP(A162,Targets!A:A,Targets!C:C,"")</f>
        <v>COLLECTION</v>
      </c>
      <c r="C162" s="64" t="b">
        <f>COUNTIF(Targets!A:A,A162)&gt;0</f>
        <v>1</v>
      </c>
      <c r="D162" s="64" t="b">
        <f>IF(
 OR(
  LEFT(A162,15)="state.character",
  RIGHT(A162,6)=".maxed"
 ),
 TRUE,
 COUNTIF(Checklist!A:A,A162)&gt;0
)</f>
        <v>1</v>
      </c>
      <c r="E162" s="64" t="b">
        <f>IF(
 OR(
  LEFT(A162,15)="state.character",
  RIGHT(A162,6)=".maxed",
  A162="building.guild@1",
  A162="quest.build_the_guild.accepted",
  A162="quest.build_the_pagoda.accepted"
 ),
 TRUE,
 COUNTIF(Dependencies!A:A,A162)&gt;0
)</f>
        <v>1</v>
      </c>
      <c r="F162" s="64" t="b">
        <f>COUNTIF(Dependencies!B:B,A162)&gt;0</f>
        <v>0</v>
      </c>
      <c r="G162" s="64" t="b">
        <f>COUNTIF(QuestObjectives!A:A,A162)&gt;0</f>
        <v>0</v>
      </c>
      <c r="H162" s="64" t="b">
        <f>COUNTIF(QuestObjectives!E:E,A162)&gt;0</f>
        <v>0</v>
      </c>
      <c r="I162" s="64" t="b">
        <f>COUNTIF(TargetStatus!A:A,A162)&gt;0</f>
        <v>1</v>
      </c>
      <c r="J162" s="64" t="b">
        <f>COUNTIF(CostStatus!B:B,A162)&gt;0</f>
        <v>1</v>
      </c>
      <c r="K162" s="64" t="b">
        <f>COUNTIF(States!A:A,A162)&gt;0</f>
        <v>0</v>
      </c>
      <c r="L162" s="64" t="b">
        <f t="shared" si="2"/>
        <v>1</v>
      </c>
      <c r="M162" s="64" t="b">
        <f>IF(A162="","",COUNTIF(Targets!A:A,A162)&gt;1)</f>
        <v>0</v>
      </c>
      <c r="N162" s="64" t="b">
        <f>IF(A162="","",COUNTIF(States!A:A,A162)&gt;1)</f>
        <v>0</v>
      </c>
      <c r="O162" s="64" t="b">
        <f>IFERROR(__xludf.DUMMYFUNCTION("IF(
 B162="""",
 """",
 SWITCH(
  B162,
  ""BUILDING"",COUNTIF(Buildings!A:A,A162)&gt;0,
  ""CITADEL"",COUNTIF(Citadel!A:A,A162)&gt;0,
  ""COLLECTION"",COUNTIF(Collections!A:A,A162)&gt;0,
  ""CRAFTIFACT"",COUNTIF(Craftifacts!A:A,A162)&gt;0,
  ""QUEST"",
   COUNTIF(
 "&amp;"   Quests!A:A,
    REGEXREPLACE(A162,""\.(accepted|finished)$"","""")
   )&gt;0,
  ""TECH"",COUNTIF(Technologies!A:A,A162)&gt;0,
  ""STATE"",COUNTIF(States!A:A,A162)&gt;0,
  FALSE
 )
)"),TRUE)</f>
        <v>1</v>
      </c>
      <c r="P162" s="64" t="str">
        <f t="shared" si="3"/>
        <v>Good</v>
      </c>
      <c r="Q162" s="65"/>
      <c r="R162" s="65"/>
      <c r="S162" s="65"/>
      <c r="T162" s="65"/>
      <c r="U162" s="6"/>
      <c r="V162" s="6" t="str">
        <f>IFERROR(__xludf.DUMMYFUNCTION("""COMPUTED_VALUE"""),"collection.bone_dragon@2")</f>
        <v>collection.bone_dragon@2</v>
      </c>
      <c r="W162" s="65"/>
      <c r="X162" s="65"/>
      <c r="Y162" s="65"/>
      <c r="Z162" s="65"/>
      <c r="AA162" s="65"/>
      <c r="AB162" s="65"/>
      <c r="AC162" s="65"/>
      <c r="AD162" s="6"/>
      <c r="AE162" s="6"/>
      <c r="AF162" s="6"/>
      <c r="AG162" s="6"/>
      <c r="AH162" s="6"/>
      <c r="AI162" s="6"/>
      <c r="AJ162" s="6"/>
      <c r="AK162" s="6"/>
      <c r="AL162" s="6"/>
      <c r="AM162" s="6"/>
      <c r="AN162" s="6"/>
      <c r="AO162" s="6"/>
      <c r="AP162" s="6"/>
      <c r="AQ162" s="6"/>
      <c r="AR162" s="6"/>
      <c r="AS162" s="6"/>
      <c r="AT162" s="6"/>
      <c r="AU162" s="6"/>
      <c r="AV162" s="6"/>
      <c r="AW162" s="6"/>
      <c r="AX162" s="6"/>
      <c r="AY162" s="6"/>
    </row>
    <row r="163" ht="14.25" customHeight="1">
      <c r="A163" s="26" t="str">
        <f t="shared" si="1"/>
        <v>collection.broken_lever@1</v>
      </c>
      <c r="B163" s="26" t="str">
        <f t="array" ref="B163">_xlfn.XLOOKUP(A163,Targets!A:A,Targets!C:C,"")</f>
        <v>COLLECTION</v>
      </c>
      <c r="C163" s="64" t="b">
        <f>COUNTIF(Targets!A:A,A163)&gt;0</f>
        <v>1</v>
      </c>
      <c r="D163" s="64" t="b">
        <f>IF(
 OR(
  LEFT(A163,15)="state.character",
  RIGHT(A163,6)=".maxed"
 ),
 TRUE,
 COUNTIF(Checklist!A:A,A163)&gt;0
)</f>
        <v>1</v>
      </c>
      <c r="E163" s="64" t="b">
        <f>IF(
 OR(
  LEFT(A163,15)="state.character",
  RIGHT(A163,6)=".maxed",
  A163="building.guild@1",
  A163="quest.build_the_guild.accepted",
  A163="quest.build_the_pagoda.accepted"
 ),
 TRUE,
 COUNTIF(Dependencies!A:A,A163)&gt;0
)</f>
        <v>1</v>
      </c>
      <c r="F163" s="64" t="b">
        <f>COUNTIF(Dependencies!B:B,A163)&gt;0</f>
        <v>1</v>
      </c>
      <c r="G163" s="64" t="b">
        <f>COUNTIF(QuestObjectives!A:A,A163)&gt;0</f>
        <v>0</v>
      </c>
      <c r="H163" s="64" t="b">
        <f>COUNTIF(QuestObjectives!E:E,A163)&gt;0</f>
        <v>1</v>
      </c>
      <c r="I163" s="64" t="b">
        <f>COUNTIF(TargetStatus!A:A,A163)&gt;0</f>
        <v>1</v>
      </c>
      <c r="J163" s="64" t="b">
        <f>COUNTIF(CostStatus!B:B,A163)&gt;0</f>
        <v>1</v>
      </c>
      <c r="K163" s="64" t="b">
        <f>COUNTIF(States!A:A,A163)&gt;0</f>
        <v>0</v>
      </c>
      <c r="L163" s="64" t="b">
        <f t="shared" si="2"/>
        <v>1</v>
      </c>
      <c r="M163" s="64" t="b">
        <f>IF(A163="","",COUNTIF(Targets!A:A,A163)&gt;1)</f>
        <v>0</v>
      </c>
      <c r="N163" s="64" t="b">
        <f>IF(A163="","",COUNTIF(States!A:A,A163)&gt;1)</f>
        <v>0</v>
      </c>
      <c r="O163" s="64" t="b">
        <f>IFERROR(__xludf.DUMMYFUNCTION("IF(
 B163="""",
 """",
 SWITCH(
  B163,
  ""BUILDING"",COUNTIF(Buildings!A:A,A163)&gt;0,
  ""CITADEL"",COUNTIF(Citadel!A:A,A163)&gt;0,
  ""COLLECTION"",COUNTIF(Collections!A:A,A163)&gt;0,
  ""CRAFTIFACT"",COUNTIF(Craftifacts!A:A,A163)&gt;0,
  ""QUEST"",
   COUNTIF(
 "&amp;"   Quests!A:A,
    REGEXREPLACE(A163,""\.(accepted|finished)$"","""")
   )&gt;0,
  ""TECH"",COUNTIF(Technologies!A:A,A163)&gt;0,
  ""STATE"",COUNTIF(States!A:A,A163)&gt;0,
  FALSE
 )
)"),TRUE)</f>
        <v>1</v>
      </c>
      <c r="P163" s="64" t="str">
        <f t="shared" si="3"/>
        <v>Good</v>
      </c>
      <c r="Q163" s="65"/>
      <c r="R163" s="65"/>
      <c r="S163" s="65"/>
      <c r="T163" s="65"/>
      <c r="U163" s="6"/>
      <c r="V163" s="6" t="str">
        <f>IFERROR(__xludf.DUMMYFUNCTION("""COMPUTED_VALUE"""),"collection.broken_lever@1")</f>
        <v>collection.broken_lever@1</v>
      </c>
      <c r="W163" s="65"/>
      <c r="X163" s="65"/>
      <c r="Y163" s="65"/>
      <c r="Z163" s="65"/>
      <c r="AA163" s="65"/>
      <c r="AB163" s="65"/>
      <c r="AC163" s="65"/>
      <c r="AD163" s="6"/>
      <c r="AE163" s="6"/>
      <c r="AF163" s="6"/>
      <c r="AG163" s="6"/>
      <c r="AH163" s="6"/>
      <c r="AI163" s="6"/>
      <c r="AJ163" s="6"/>
      <c r="AK163" s="6"/>
      <c r="AL163" s="6"/>
      <c r="AM163" s="6"/>
      <c r="AN163" s="6"/>
      <c r="AO163" s="6"/>
      <c r="AP163" s="6"/>
      <c r="AQ163" s="6"/>
      <c r="AR163" s="6"/>
      <c r="AS163" s="6"/>
      <c r="AT163" s="6"/>
      <c r="AU163" s="6"/>
      <c r="AV163" s="6"/>
      <c r="AW163" s="6"/>
      <c r="AX163" s="6"/>
      <c r="AY163" s="6"/>
    </row>
    <row r="164" ht="14.25" customHeight="1">
      <c r="A164" s="26" t="str">
        <f t="shared" si="1"/>
        <v>collection.broken_minecart@1</v>
      </c>
      <c r="B164" s="26" t="str">
        <f t="array" ref="B164">_xlfn.XLOOKUP(A164,Targets!A:A,Targets!C:C,"")</f>
        <v>COLLECTION</v>
      </c>
      <c r="C164" s="64" t="b">
        <f>COUNTIF(Targets!A:A,A164)&gt;0</f>
        <v>1</v>
      </c>
      <c r="D164" s="64" t="b">
        <f>IF(
 OR(
  LEFT(A164,15)="state.character",
  RIGHT(A164,6)=".maxed"
 ),
 TRUE,
 COUNTIF(Checklist!A:A,A164)&gt;0
)</f>
        <v>1</v>
      </c>
      <c r="E164" s="64" t="b">
        <f>IF(
 OR(
  LEFT(A164,15)="state.character",
  RIGHT(A164,6)=".maxed",
  A164="building.guild@1",
  A164="quest.build_the_guild.accepted",
  A164="quest.build_the_pagoda.accepted"
 ),
 TRUE,
 COUNTIF(Dependencies!A:A,A164)&gt;0
)</f>
        <v>1</v>
      </c>
      <c r="F164" s="64" t="b">
        <f>COUNTIF(Dependencies!B:B,A164)&gt;0</f>
        <v>1</v>
      </c>
      <c r="G164" s="64" t="b">
        <f>COUNTIF(QuestObjectives!A:A,A164)&gt;0</f>
        <v>0</v>
      </c>
      <c r="H164" s="64" t="b">
        <f>COUNTIF(QuestObjectives!E:E,A164)&gt;0</f>
        <v>1</v>
      </c>
      <c r="I164" s="64" t="b">
        <f>COUNTIF(TargetStatus!A:A,A164)&gt;0</f>
        <v>1</v>
      </c>
      <c r="J164" s="64" t="b">
        <f>COUNTIF(CostStatus!B:B,A164)&gt;0</f>
        <v>1</v>
      </c>
      <c r="K164" s="64" t="b">
        <f>COUNTIF(States!A:A,A164)&gt;0</f>
        <v>0</v>
      </c>
      <c r="L164" s="64" t="b">
        <f t="shared" si="2"/>
        <v>1</v>
      </c>
      <c r="M164" s="64" t="b">
        <f>IF(A164="","",COUNTIF(Targets!A:A,A164)&gt;1)</f>
        <v>0</v>
      </c>
      <c r="N164" s="64" t="b">
        <f>IF(A164="","",COUNTIF(States!A:A,A164)&gt;1)</f>
        <v>0</v>
      </c>
      <c r="O164" s="64" t="b">
        <f>IFERROR(__xludf.DUMMYFUNCTION("IF(
 B164="""",
 """",
 SWITCH(
  B164,
  ""BUILDING"",COUNTIF(Buildings!A:A,A164)&gt;0,
  ""CITADEL"",COUNTIF(Citadel!A:A,A164)&gt;0,
  ""COLLECTION"",COUNTIF(Collections!A:A,A164)&gt;0,
  ""CRAFTIFACT"",COUNTIF(Craftifacts!A:A,A164)&gt;0,
  ""QUEST"",
   COUNTIF(
 "&amp;"   Quests!A:A,
    REGEXREPLACE(A164,""\.(accepted|finished)$"","""")
   )&gt;0,
  ""TECH"",COUNTIF(Technologies!A:A,A164)&gt;0,
  ""STATE"",COUNTIF(States!A:A,A164)&gt;0,
  FALSE
 )
)"),TRUE)</f>
        <v>1</v>
      </c>
      <c r="P164" s="64" t="str">
        <f t="shared" si="3"/>
        <v>Good</v>
      </c>
      <c r="Q164" s="65"/>
      <c r="R164" s="65"/>
      <c r="S164" s="65"/>
      <c r="T164" s="65"/>
      <c r="U164" s="6"/>
      <c r="V164" s="6" t="str">
        <f>IFERROR(__xludf.DUMMYFUNCTION("""COMPUTED_VALUE"""),"collection.broken_minecart@1")</f>
        <v>collection.broken_minecart@1</v>
      </c>
      <c r="W164" s="65"/>
      <c r="X164" s="65"/>
      <c r="Y164" s="65"/>
      <c r="Z164" s="65"/>
      <c r="AA164" s="65"/>
      <c r="AB164" s="65"/>
      <c r="AC164" s="65"/>
      <c r="AD164" s="6"/>
      <c r="AE164" s="6"/>
      <c r="AF164" s="6"/>
      <c r="AG164" s="6"/>
      <c r="AH164" s="6"/>
      <c r="AI164" s="6"/>
      <c r="AJ164" s="6"/>
      <c r="AK164" s="6"/>
      <c r="AL164" s="6"/>
      <c r="AM164" s="6"/>
      <c r="AN164" s="6"/>
      <c r="AO164" s="6"/>
      <c r="AP164" s="6"/>
      <c r="AQ164" s="6"/>
      <c r="AR164" s="6"/>
      <c r="AS164" s="6"/>
      <c r="AT164" s="6"/>
      <c r="AU164" s="6"/>
      <c r="AV164" s="6"/>
      <c r="AW164" s="6"/>
      <c r="AX164" s="6"/>
      <c r="AY164" s="6"/>
    </row>
    <row r="165" ht="14.25" customHeight="1">
      <c r="A165" s="26" t="str">
        <f t="shared" si="1"/>
        <v>collection.cave_in_alchemist_hall@1</v>
      </c>
      <c r="B165" s="26" t="str">
        <f t="array" ref="B165">_xlfn.XLOOKUP(A165,Targets!A:A,Targets!C:C,"")</f>
        <v>COLLECTION</v>
      </c>
      <c r="C165" s="64" t="b">
        <f>COUNTIF(Targets!A:A,A165)&gt;0</f>
        <v>1</v>
      </c>
      <c r="D165" s="64" t="b">
        <f>IF(
 OR(
  LEFT(A165,15)="state.character",
  RIGHT(A165,6)=".maxed"
 ),
 TRUE,
 COUNTIF(Checklist!A:A,A165)&gt;0
)</f>
        <v>1</v>
      </c>
      <c r="E165" s="64" t="b">
        <f>IF(
 OR(
  LEFT(A165,15)="state.character",
  RIGHT(A165,6)=".maxed",
  A165="building.guild@1",
  A165="quest.build_the_guild.accepted",
  A165="quest.build_the_pagoda.accepted"
 ),
 TRUE,
 COUNTIF(Dependencies!A:A,A165)&gt;0
)</f>
        <v>1</v>
      </c>
      <c r="F165" s="64" t="b">
        <f>COUNTIF(Dependencies!B:B,A165)&gt;0</f>
        <v>1</v>
      </c>
      <c r="G165" s="64" t="b">
        <f>COUNTIF(QuestObjectives!A:A,A165)&gt;0</f>
        <v>0</v>
      </c>
      <c r="H165" s="64" t="b">
        <f>COUNTIF(QuestObjectives!E:E,A165)&gt;0</f>
        <v>1</v>
      </c>
      <c r="I165" s="64" t="b">
        <f>COUNTIF(TargetStatus!A:A,A165)&gt;0</f>
        <v>1</v>
      </c>
      <c r="J165" s="64" t="b">
        <f>COUNTIF(CostStatus!B:B,A165)&gt;0</f>
        <v>1</v>
      </c>
      <c r="K165" s="64" t="b">
        <f>COUNTIF(States!A:A,A165)&gt;0</f>
        <v>0</v>
      </c>
      <c r="L165" s="64" t="b">
        <f t="shared" si="2"/>
        <v>1</v>
      </c>
      <c r="M165" s="64" t="b">
        <f>IF(A165="","",COUNTIF(Targets!A:A,A165)&gt;1)</f>
        <v>0</v>
      </c>
      <c r="N165" s="64" t="b">
        <f>IF(A165="","",COUNTIF(States!A:A,A165)&gt;1)</f>
        <v>0</v>
      </c>
      <c r="O165" s="64" t="b">
        <f>IFERROR(__xludf.DUMMYFUNCTION("IF(
 B165="""",
 """",
 SWITCH(
  B165,
  ""BUILDING"",COUNTIF(Buildings!A:A,A165)&gt;0,
  ""CITADEL"",COUNTIF(Citadel!A:A,A165)&gt;0,
  ""COLLECTION"",COUNTIF(Collections!A:A,A165)&gt;0,
  ""CRAFTIFACT"",COUNTIF(Craftifacts!A:A,A165)&gt;0,
  ""QUEST"",
   COUNTIF(
 "&amp;"   Quests!A:A,
    REGEXREPLACE(A165,""\.(accepted|finished)$"","""")
   )&gt;0,
  ""TECH"",COUNTIF(Technologies!A:A,A165)&gt;0,
  ""STATE"",COUNTIF(States!A:A,A165)&gt;0,
  FALSE
 )
)"),TRUE)</f>
        <v>1</v>
      </c>
      <c r="P165" s="64" t="str">
        <f t="shared" si="3"/>
        <v>Good</v>
      </c>
      <c r="Q165" s="65"/>
      <c r="R165" s="65"/>
      <c r="S165" s="65"/>
      <c r="T165" s="65"/>
      <c r="U165" s="6"/>
      <c r="V165" s="6" t="str">
        <f>IFERROR(__xludf.DUMMYFUNCTION("""COMPUTED_VALUE"""),"collection.cave_in_alchemist_hall@1")</f>
        <v>collection.cave_in_alchemist_hall@1</v>
      </c>
      <c r="W165" s="65"/>
      <c r="X165" s="65"/>
      <c r="Y165" s="65"/>
      <c r="Z165" s="65"/>
      <c r="AA165" s="65"/>
      <c r="AB165" s="65"/>
      <c r="AC165" s="65"/>
      <c r="AD165" s="6"/>
      <c r="AE165" s="6"/>
      <c r="AF165" s="6"/>
      <c r="AG165" s="6"/>
      <c r="AH165" s="6"/>
      <c r="AI165" s="6"/>
      <c r="AJ165" s="6"/>
      <c r="AK165" s="6"/>
      <c r="AL165" s="6"/>
      <c r="AM165" s="6"/>
      <c r="AN165" s="6"/>
      <c r="AO165" s="6"/>
      <c r="AP165" s="6"/>
      <c r="AQ165" s="6"/>
      <c r="AR165" s="6"/>
      <c r="AS165" s="6"/>
      <c r="AT165" s="6"/>
      <c r="AU165" s="6"/>
      <c r="AV165" s="6"/>
      <c r="AW165" s="6"/>
      <c r="AX165" s="6"/>
      <c r="AY165" s="6"/>
    </row>
    <row r="166" ht="14.25" customHeight="1">
      <c r="A166" s="26" t="str">
        <f t="shared" si="1"/>
        <v>collection.cave_in_bone_dragon@1</v>
      </c>
      <c r="B166" s="26" t="str">
        <f t="array" ref="B166">_xlfn.XLOOKUP(A166,Targets!A:A,Targets!C:C,"")</f>
        <v>COLLECTION</v>
      </c>
      <c r="C166" s="64" t="b">
        <f>COUNTIF(Targets!A:A,A166)&gt;0</f>
        <v>1</v>
      </c>
      <c r="D166" s="64" t="b">
        <f>IF(
 OR(
  LEFT(A166,15)="state.character",
  RIGHT(A166,6)=".maxed"
 ),
 TRUE,
 COUNTIF(Checklist!A:A,A166)&gt;0
)</f>
        <v>1</v>
      </c>
      <c r="E166" s="64" t="b">
        <f>IF(
 OR(
  LEFT(A166,15)="state.character",
  RIGHT(A166,6)=".maxed",
  A166="building.guild@1",
  A166="quest.build_the_guild.accepted",
  A166="quest.build_the_pagoda.accepted"
 ),
 TRUE,
 COUNTIF(Dependencies!A:A,A166)&gt;0
)</f>
        <v>1</v>
      </c>
      <c r="F166" s="64" t="b">
        <f>COUNTIF(Dependencies!B:B,A166)&gt;0</f>
        <v>1</v>
      </c>
      <c r="G166" s="64" t="b">
        <f>COUNTIF(QuestObjectives!A:A,A166)&gt;0</f>
        <v>0</v>
      </c>
      <c r="H166" s="64" t="b">
        <f>COUNTIF(QuestObjectives!E:E,A166)&gt;0</f>
        <v>1</v>
      </c>
      <c r="I166" s="64" t="b">
        <f>COUNTIF(TargetStatus!A:A,A166)&gt;0</f>
        <v>1</v>
      </c>
      <c r="J166" s="64" t="b">
        <f>COUNTIF(CostStatus!B:B,A166)&gt;0</f>
        <v>1</v>
      </c>
      <c r="K166" s="64" t="b">
        <f>COUNTIF(States!A:A,A166)&gt;0</f>
        <v>0</v>
      </c>
      <c r="L166" s="64" t="b">
        <f t="shared" si="2"/>
        <v>1</v>
      </c>
      <c r="M166" s="64" t="b">
        <f>IF(A166="","",COUNTIF(Targets!A:A,A166)&gt;1)</f>
        <v>0</v>
      </c>
      <c r="N166" s="64" t="b">
        <f>IF(A166="","",COUNTIF(States!A:A,A166)&gt;1)</f>
        <v>0</v>
      </c>
      <c r="O166" s="64" t="b">
        <f>IFERROR(__xludf.DUMMYFUNCTION("IF(
 B166="""",
 """",
 SWITCH(
  B166,
  ""BUILDING"",COUNTIF(Buildings!A:A,A166)&gt;0,
  ""CITADEL"",COUNTIF(Citadel!A:A,A166)&gt;0,
  ""COLLECTION"",COUNTIF(Collections!A:A,A166)&gt;0,
  ""CRAFTIFACT"",COUNTIF(Craftifacts!A:A,A166)&gt;0,
  ""QUEST"",
   COUNTIF(
 "&amp;"   Quests!A:A,
    REGEXREPLACE(A166,""\.(accepted|finished)$"","""")
   )&gt;0,
  ""TECH"",COUNTIF(Technologies!A:A,A166)&gt;0,
  ""STATE"",COUNTIF(States!A:A,A166)&gt;0,
  FALSE
 )
)"),TRUE)</f>
        <v>1</v>
      </c>
      <c r="P166" s="64" t="str">
        <f t="shared" si="3"/>
        <v>Good</v>
      </c>
      <c r="Q166" s="65"/>
      <c r="R166" s="65"/>
      <c r="S166" s="65"/>
      <c r="T166" s="65"/>
      <c r="U166" s="6"/>
      <c r="V166" s="6" t="str">
        <f>IFERROR(__xludf.DUMMYFUNCTION("""COMPUTED_VALUE"""),"collection.cave_in_bone_dragon@1")</f>
        <v>collection.cave_in_bone_dragon@1</v>
      </c>
      <c r="W166" s="65"/>
      <c r="X166" s="65"/>
      <c r="Y166" s="65"/>
      <c r="Z166" s="65"/>
      <c r="AA166" s="65"/>
      <c r="AB166" s="65"/>
      <c r="AC166" s="65"/>
      <c r="AD166" s="6"/>
      <c r="AE166" s="6"/>
      <c r="AF166" s="6"/>
      <c r="AG166" s="6"/>
      <c r="AH166" s="6"/>
      <c r="AI166" s="6"/>
      <c r="AJ166" s="6"/>
      <c r="AK166" s="6"/>
      <c r="AL166" s="6"/>
      <c r="AM166" s="6"/>
      <c r="AN166" s="6"/>
      <c r="AO166" s="6"/>
      <c r="AP166" s="6"/>
      <c r="AQ166" s="6"/>
      <c r="AR166" s="6"/>
      <c r="AS166" s="6"/>
      <c r="AT166" s="6"/>
      <c r="AU166" s="6"/>
      <c r="AV166" s="6"/>
      <c r="AW166" s="6"/>
      <c r="AX166" s="6"/>
      <c r="AY166" s="6"/>
    </row>
    <row r="167" ht="14.25" customHeight="1">
      <c r="A167" s="26" t="str">
        <f t="shared" si="1"/>
        <v>collection.collapsed_staircase@1</v>
      </c>
      <c r="B167" s="26" t="str">
        <f t="array" ref="B167">_xlfn.XLOOKUP(A167,Targets!A:A,Targets!C:C,"")</f>
        <v>COLLECTION</v>
      </c>
      <c r="C167" s="64" t="b">
        <f>COUNTIF(Targets!A:A,A167)&gt;0</f>
        <v>1</v>
      </c>
      <c r="D167" s="64" t="b">
        <f>IF(
 OR(
  LEFT(A167,15)="state.character",
  RIGHT(A167,6)=".maxed"
 ),
 TRUE,
 COUNTIF(Checklist!A:A,A167)&gt;0
)</f>
        <v>1</v>
      </c>
      <c r="E167" s="64" t="b">
        <f>IF(
 OR(
  LEFT(A167,15)="state.character",
  RIGHT(A167,6)=".maxed",
  A167="building.guild@1",
  A167="quest.build_the_guild.accepted",
  A167="quest.build_the_pagoda.accepted"
 ),
 TRUE,
 COUNTIF(Dependencies!A:A,A167)&gt;0
)</f>
        <v>1</v>
      </c>
      <c r="F167" s="64" t="b">
        <f>COUNTIF(Dependencies!B:B,A167)&gt;0</f>
        <v>1</v>
      </c>
      <c r="G167" s="64" t="b">
        <f>COUNTIF(QuestObjectives!A:A,A167)&gt;0</f>
        <v>0</v>
      </c>
      <c r="H167" s="64" t="b">
        <f>COUNTIF(QuestObjectives!E:E,A167)&gt;0</f>
        <v>1</v>
      </c>
      <c r="I167" s="64" t="b">
        <f>COUNTIF(TargetStatus!A:A,A167)&gt;0</f>
        <v>1</v>
      </c>
      <c r="J167" s="64" t="b">
        <f>COUNTIF(CostStatus!B:B,A167)&gt;0</f>
        <v>1</v>
      </c>
      <c r="K167" s="64" t="b">
        <f>COUNTIF(States!A:A,A167)&gt;0</f>
        <v>0</v>
      </c>
      <c r="L167" s="64" t="b">
        <f t="shared" si="2"/>
        <v>1</v>
      </c>
      <c r="M167" s="64" t="b">
        <f>IF(A167="","",COUNTIF(Targets!A:A,A167)&gt;1)</f>
        <v>0</v>
      </c>
      <c r="N167" s="64" t="b">
        <f>IF(A167="","",COUNTIF(States!A:A,A167)&gt;1)</f>
        <v>0</v>
      </c>
      <c r="O167" s="64" t="b">
        <f>IFERROR(__xludf.DUMMYFUNCTION("IF(
 B167="""",
 """",
 SWITCH(
  B167,
  ""BUILDING"",COUNTIF(Buildings!A:A,A167)&gt;0,
  ""CITADEL"",COUNTIF(Citadel!A:A,A167)&gt;0,
  ""COLLECTION"",COUNTIF(Collections!A:A,A167)&gt;0,
  ""CRAFTIFACT"",COUNTIF(Craftifacts!A:A,A167)&gt;0,
  ""QUEST"",
   COUNTIF(
 "&amp;"   Quests!A:A,
    REGEXREPLACE(A167,""\.(accepted|finished)$"","""")
   )&gt;0,
  ""TECH"",COUNTIF(Technologies!A:A,A167)&gt;0,
  ""STATE"",COUNTIF(States!A:A,A167)&gt;0,
  FALSE
 )
)"),TRUE)</f>
        <v>1</v>
      </c>
      <c r="P167" s="64" t="str">
        <f t="shared" si="3"/>
        <v>Good</v>
      </c>
      <c r="Q167" s="65"/>
      <c r="R167" s="65"/>
      <c r="S167" s="65"/>
      <c r="T167" s="65"/>
      <c r="U167" s="6"/>
      <c r="V167" s="6" t="str">
        <f>IFERROR(__xludf.DUMMYFUNCTION("""COMPUTED_VALUE"""),"collection.collapsed_staircase@1")</f>
        <v>collection.collapsed_staircase@1</v>
      </c>
      <c r="W167" s="65"/>
      <c r="X167" s="65"/>
      <c r="Y167" s="65"/>
      <c r="Z167" s="65"/>
      <c r="AA167" s="65"/>
      <c r="AB167" s="65"/>
      <c r="AC167" s="65"/>
      <c r="AD167" s="6"/>
      <c r="AE167" s="6"/>
      <c r="AF167" s="6"/>
      <c r="AG167" s="6"/>
      <c r="AH167" s="6"/>
      <c r="AI167" s="6"/>
      <c r="AJ167" s="6"/>
      <c r="AK167" s="6"/>
      <c r="AL167" s="6"/>
      <c r="AM167" s="6"/>
      <c r="AN167" s="6"/>
      <c r="AO167" s="6"/>
      <c r="AP167" s="6"/>
      <c r="AQ167" s="6"/>
      <c r="AR167" s="6"/>
      <c r="AS167" s="6"/>
      <c r="AT167" s="6"/>
      <c r="AU167" s="6"/>
      <c r="AV167" s="6"/>
      <c r="AW167" s="6"/>
      <c r="AX167" s="6"/>
      <c r="AY167" s="6"/>
    </row>
    <row r="168" ht="14.25" customHeight="1">
      <c r="A168" s="26" t="str">
        <f t="shared" si="1"/>
        <v>collection.courtyard_1@1</v>
      </c>
      <c r="B168" s="26" t="str">
        <f t="array" ref="B168">_xlfn.XLOOKUP(A168,Targets!A:A,Targets!C:C,"")</f>
        <v>COLLECTION</v>
      </c>
      <c r="C168" s="64" t="b">
        <f>COUNTIF(Targets!A:A,A168)&gt;0</f>
        <v>1</v>
      </c>
      <c r="D168" s="64" t="b">
        <f>IF(
 OR(
  LEFT(A168,15)="state.character",
  RIGHT(A168,6)=".maxed"
 ),
 TRUE,
 COUNTIF(Checklist!A:A,A168)&gt;0
)</f>
        <v>1</v>
      </c>
      <c r="E168" s="64" t="b">
        <f>IF(
 OR(
  LEFT(A168,15)="state.character",
  RIGHT(A168,6)=".maxed",
  A168="building.guild@1",
  A168="quest.build_the_guild.accepted",
  A168="quest.build_the_pagoda.accepted"
 ),
 TRUE,
 COUNTIF(Dependencies!A:A,A168)&gt;0
)</f>
        <v>1</v>
      </c>
      <c r="F168" s="64" t="b">
        <f>COUNTIF(Dependencies!B:B,A168)&gt;0</f>
        <v>1</v>
      </c>
      <c r="G168" s="64" t="b">
        <f>COUNTIF(QuestObjectives!A:A,A168)&gt;0</f>
        <v>0</v>
      </c>
      <c r="H168" s="64" t="b">
        <f>COUNTIF(QuestObjectives!E:E,A168)&gt;0</f>
        <v>0</v>
      </c>
      <c r="I168" s="64" t="b">
        <f>COUNTIF(TargetStatus!A:A,A168)&gt;0</f>
        <v>1</v>
      </c>
      <c r="J168" s="64" t="b">
        <f>COUNTIF(CostStatus!B:B,A168)&gt;0</f>
        <v>1</v>
      </c>
      <c r="K168" s="64" t="b">
        <f>COUNTIF(States!A:A,A168)&gt;0</f>
        <v>0</v>
      </c>
      <c r="L168" s="64" t="b">
        <f t="shared" si="2"/>
        <v>1</v>
      </c>
      <c r="M168" s="64" t="b">
        <f>IF(A168="","",COUNTIF(Targets!A:A,A168)&gt;1)</f>
        <v>0</v>
      </c>
      <c r="N168" s="64" t="b">
        <f>IF(A168="","",COUNTIF(States!A:A,A168)&gt;1)</f>
        <v>0</v>
      </c>
      <c r="O168" s="64" t="b">
        <f>IFERROR(__xludf.DUMMYFUNCTION("IF(
 B168="""",
 """",
 SWITCH(
  B168,
  ""BUILDING"",COUNTIF(Buildings!A:A,A168)&gt;0,
  ""CITADEL"",COUNTIF(Citadel!A:A,A168)&gt;0,
  ""COLLECTION"",COUNTIF(Collections!A:A,A168)&gt;0,
  ""CRAFTIFACT"",COUNTIF(Craftifacts!A:A,A168)&gt;0,
  ""QUEST"",
   COUNTIF(
 "&amp;"   Quests!A:A,
    REGEXREPLACE(A168,""\.(accepted|finished)$"","""")
   )&gt;0,
  ""TECH"",COUNTIF(Technologies!A:A,A168)&gt;0,
  ""STATE"",COUNTIF(States!A:A,A168)&gt;0,
  FALSE
 )
)"),TRUE)</f>
        <v>1</v>
      </c>
      <c r="P168" s="64" t="str">
        <f t="shared" si="3"/>
        <v>Good</v>
      </c>
      <c r="Q168" s="65"/>
      <c r="R168" s="65"/>
      <c r="S168" s="65"/>
      <c r="T168" s="65"/>
      <c r="U168" s="6"/>
      <c r="V168" s="6" t="str">
        <f>IFERROR(__xludf.DUMMYFUNCTION("""COMPUTED_VALUE"""),"collection.courtyard_1@1")</f>
        <v>collection.courtyard_1@1</v>
      </c>
      <c r="W168" s="65"/>
      <c r="X168" s="65"/>
      <c r="Y168" s="65"/>
      <c r="Z168" s="65"/>
      <c r="AA168" s="65"/>
      <c r="AB168" s="65"/>
      <c r="AC168" s="65"/>
      <c r="AD168" s="6"/>
      <c r="AE168" s="6"/>
      <c r="AF168" s="6"/>
      <c r="AG168" s="6"/>
      <c r="AH168" s="6"/>
      <c r="AI168" s="6"/>
      <c r="AJ168" s="6"/>
      <c r="AK168" s="6"/>
      <c r="AL168" s="6"/>
      <c r="AM168" s="6"/>
      <c r="AN168" s="6"/>
      <c r="AO168" s="6"/>
      <c r="AP168" s="6"/>
      <c r="AQ168" s="6"/>
      <c r="AR168" s="6"/>
      <c r="AS168" s="6"/>
      <c r="AT168" s="6"/>
      <c r="AU168" s="6"/>
      <c r="AV168" s="6"/>
      <c r="AW168" s="6"/>
      <c r="AX168" s="6"/>
      <c r="AY168" s="6"/>
    </row>
    <row r="169" ht="14.25" customHeight="1">
      <c r="A169" s="26" t="str">
        <f t="shared" si="1"/>
        <v>collection.courtyard_1@2</v>
      </c>
      <c r="B169" s="26" t="str">
        <f t="array" ref="B169">_xlfn.XLOOKUP(A169,Targets!A:A,Targets!C:C,"")</f>
        <v>COLLECTION</v>
      </c>
      <c r="C169" s="64" t="b">
        <f>COUNTIF(Targets!A:A,A169)&gt;0</f>
        <v>1</v>
      </c>
      <c r="D169" s="64" t="b">
        <f>IF(
 OR(
  LEFT(A169,15)="state.character",
  RIGHT(A169,6)=".maxed"
 ),
 TRUE,
 COUNTIF(Checklist!A:A,A169)&gt;0
)</f>
        <v>1</v>
      </c>
      <c r="E169" s="64" t="b">
        <f>IF(
 OR(
  LEFT(A169,15)="state.character",
  RIGHT(A169,6)=".maxed",
  A169="building.guild@1",
  A169="quest.build_the_guild.accepted",
  A169="quest.build_the_pagoda.accepted"
 ),
 TRUE,
 COUNTIF(Dependencies!A:A,A169)&gt;0
)</f>
        <v>1</v>
      </c>
      <c r="F169" s="64" t="b">
        <f>COUNTIF(Dependencies!B:B,A169)&gt;0</f>
        <v>0</v>
      </c>
      <c r="G169" s="64" t="b">
        <f>COUNTIF(QuestObjectives!A:A,A169)&gt;0</f>
        <v>0</v>
      </c>
      <c r="H169" s="64" t="b">
        <f>COUNTIF(QuestObjectives!E:E,A169)&gt;0</f>
        <v>0</v>
      </c>
      <c r="I169" s="64" t="b">
        <f>COUNTIF(TargetStatus!A:A,A169)&gt;0</f>
        <v>1</v>
      </c>
      <c r="J169" s="64" t="b">
        <f>COUNTIF(CostStatus!B:B,A169)&gt;0</f>
        <v>1</v>
      </c>
      <c r="K169" s="64" t="b">
        <f>COUNTIF(States!A:A,A169)&gt;0</f>
        <v>0</v>
      </c>
      <c r="L169" s="64" t="b">
        <f t="shared" si="2"/>
        <v>1</v>
      </c>
      <c r="M169" s="64" t="b">
        <f>IF(A169="","",COUNTIF(Targets!A:A,A169)&gt;1)</f>
        <v>0</v>
      </c>
      <c r="N169" s="64" t="b">
        <f>IF(A169="","",COUNTIF(States!A:A,A169)&gt;1)</f>
        <v>0</v>
      </c>
      <c r="O169" s="64" t="b">
        <f>IFERROR(__xludf.DUMMYFUNCTION("IF(
 B169="""",
 """",
 SWITCH(
  B169,
  ""BUILDING"",COUNTIF(Buildings!A:A,A169)&gt;0,
  ""CITADEL"",COUNTIF(Citadel!A:A,A169)&gt;0,
  ""COLLECTION"",COUNTIF(Collections!A:A,A169)&gt;0,
  ""CRAFTIFACT"",COUNTIF(Craftifacts!A:A,A169)&gt;0,
  ""QUEST"",
   COUNTIF(
 "&amp;"   Quests!A:A,
    REGEXREPLACE(A169,""\.(accepted|finished)$"","""")
   )&gt;0,
  ""TECH"",COUNTIF(Technologies!A:A,A169)&gt;0,
  ""STATE"",COUNTIF(States!A:A,A169)&gt;0,
  FALSE
 )
)"),TRUE)</f>
        <v>1</v>
      </c>
      <c r="P169" s="64" t="str">
        <f t="shared" si="3"/>
        <v>Good</v>
      </c>
      <c r="Q169" s="65"/>
      <c r="R169" s="65"/>
      <c r="S169" s="65"/>
      <c r="T169" s="65"/>
      <c r="U169" s="6"/>
      <c r="V169" s="6" t="str">
        <f>IFERROR(__xludf.DUMMYFUNCTION("""COMPUTED_VALUE"""),"collection.courtyard_1@2")</f>
        <v>collection.courtyard_1@2</v>
      </c>
      <c r="W169" s="65"/>
      <c r="X169" s="65"/>
      <c r="Y169" s="65"/>
      <c r="Z169" s="65"/>
      <c r="AA169" s="65"/>
      <c r="AB169" s="65"/>
      <c r="AC169" s="65"/>
      <c r="AD169" s="6"/>
      <c r="AE169" s="6"/>
      <c r="AF169" s="6"/>
      <c r="AG169" s="6"/>
      <c r="AH169" s="6"/>
      <c r="AI169" s="6"/>
      <c r="AJ169" s="6"/>
      <c r="AK169" s="6"/>
      <c r="AL169" s="6"/>
      <c r="AM169" s="6"/>
      <c r="AN169" s="6"/>
      <c r="AO169" s="6"/>
      <c r="AP169" s="6"/>
      <c r="AQ169" s="6"/>
      <c r="AR169" s="6"/>
      <c r="AS169" s="6"/>
      <c r="AT169" s="6"/>
      <c r="AU169" s="6"/>
      <c r="AV169" s="6"/>
      <c r="AW169" s="6"/>
      <c r="AX169" s="6"/>
      <c r="AY169" s="6"/>
    </row>
    <row r="170" ht="14.25" customHeight="1">
      <c r="A170" s="26" t="str">
        <f t="shared" si="1"/>
        <v>collection.courtyard_2@1</v>
      </c>
      <c r="B170" s="26" t="str">
        <f t="array" ref="B170">_xlfn.XLOOKUP(A170,Targets!A:A,Targets!C:C,"")</f>
        <v>COLLECTION</v>
      </c>
      <c r="C170" s="64" t="b">
        <f>COUNTIF(Targets!A:A,A170)&gt;0</f>
        <v>1</v>
      </c>
      <c r="D170" s="64" t="b">
        <f>IF(
 OR(
  LEFT(A170,15)="state.character",
  RIGHT(A170,6)=".maxed"
 ),
 TRUE,
 COUNTIF(Checklist!A:A,A170)&gt;0
)</f>
        <v>1</v>
      </c>
      <c r="E170" s="64" t="b">
        <f>IF(
 OR(
  LEFT(A170,15)="state.character",
  RIGHT(A170,6)=".maxed",
  A170="building.guild@1",
  A170="quest.build_the_guild.accepted",
  A170="quest.build_the_pagoda.accepted"
 ),
 TRUE,
 COUNTIF(Dependencies!A:A,A170)&gt;0
)</f>
        <v>1</v>
      </c>
      <c r="F170" s="64" t="b">
        <f>COUNTIF(Dependencies!B:B,A170)&gt;0</f>
        <v>0</v>
      </c>
      <c r="G170" s="64" t="b">
        <f>COUNTIF(QuestObjectives!A:A,A170)&gt;0</f>
        <v>0</v>
      </c>
      <c r="H170" s="64" t="b">
        <f>COUNTIF(QuestObjectives!E:E,A170)&gt;0</f>
        <v>0</v>
      </c>
      <c r="I170" s="64" t="b">
        <f>COUNTIF(TargetStatus!A:A,A170)&gt;0</f>
        <v>1</v>
      </c>
      <c r="J170" s="64" t="b">
        <f>COUNTIF(CostStatus!B:B,A170)&gt;0</f>
        <v>1</v>
      </c>
      <c r="K170" s="64" t="b">
        <f>COUNTIF(States!A:A,A170)&gt;0</f>
        <v>0</v>
      </c>
      <c r="L170" s="64" t="b">
        <f t="shared" si="2"/>
        <v>1</v>
      </c>
      <c r="M170" s="64" t="b">
        <f>IF(A170="","",COUNTIF(Targets!A:A,A170)&gt;1)</f>
        <v>0</v>
      </c>
      <c r="N170" s="64" t="b">
        <f>IF(A170="","",COUNTIF(States!A:A,A170)&gt;1)</f>
        <v>0</v>
      </c>
      <c r="O170" s="64" t="b">
        <f>IFERROR(__xludf.DUMMYFUNCTION("IF(
 B170="""",
 """",
 SWITCH(
  B170,
  ""BUILDING"",COUNTIF(Buildings!A:A,A170)&gt;0,
  ""CITADEL"",COUNTIF(Citadel!A:A,A170)&gt;0,
  ""COLLECTION"",COUNTIF(Collections!A:A,A170)&gt;0,
  ""CRAFTIFACT"",COUNTIF(Craftifacts!A:A,A170)&gt;0,
  ""QUEST"",
   COUNTIF(
 "&amp;"   Quests!A:A,
    REGEXREPLACE(A170,""\.(accepted|finished)$"","""")
   )&gt;0,
  ""TECH"",COUNTIF(Technologies!A:A,A170)&gt;0,
  ""STATE"",COUNTIF(States!A:A,A170)&gt;0,
  FALSE
 )
)"),TRUE)</f>
        <v>1</v>
      </c>
      <c r="P170" s="64" t="str">
        <f t="shared" si="3"/>
        <v>Good</v>
      </c>
      <c r="Q170" s="65"/>
      <c r="R170" s="65"/>
      <c r="S170" s="65"/>
      <c r="T170" s="65"/>
      <c r="U170" s="6"/>
      <c r="V170" s="6" t="str">
        <f>IFERROR(__xludf.DUMMYFUNCTION("""COMPUTED_VALUE"""),"collection.courtyard_2@1")</f>
        <v>collection.courtyard_2@1</v>
      </c>
      <c r="W170" s="65"/>
      <c r="X170" s="65"/>
      <c r="Y170" s="65"/>
      <c r="Z170" s="65"/>
      <c r="AA170" s="65"/>
      <c r="AB170" s="65"/>
      <c r="AC170" s="65"/>
      <c r="AD170" s="6"/>
      <c r="AE170" s="6"/>
      <c r="AF170" s="6"/>
      <c r="AG170" s="6"/>
      <c r="AH170" s="6"/>
      <c r="AI170" s="6"/>
      <c r="AJ170" s="6"/>
      <c r="AK170" s="6"/>
      <c r="AL170" s="6"/>
      <c r="AM170" s="6"/>
      <c r="AN170" s="6"/>
      <c r="AO170" s="6"/>
      <c r="AP170" s="6"/>
      <c r="AQ170" s="6"/>
      <c r="AR170" s="6"/>
      <c r="AS170" s="6"/>
      <c r="AT170" s="6"/>
      <c r="AU170" s="6"/>
      <c r="AV170" s="6"/>
      <c r="AW170" s="6"/>
      <c r="AX170" s="6"/>
      <c r="AY170" s="6"/>
    </row>
    <row r="171" ht="14.25" customHeight="1">
      <c r="A171" s="26" t="str">
        <f t="shared" si="1"/>
        <v>collection.crystal_cave@1</v>
      </c>
      <c r="B171" s="26" t="str">
        <f t="array" ref="B171">_xlfn.XLOOKUP(A171,Targets!A:A,Targets!C:C,"")</f>
        <v>COLLECTION</v>
      </c>
      <c r="C171" s="64" t="b">
        <f>COUNTIF(Targets!A:A,A171)&gt;0</f>
        <v>1</v>
      </c>
      <c r="D171" s="64" t="b">
        <f>IF(
 OR(
  LEFT(A171,15)="state.character",
  RIGHT(A171,6)=".maxed"
 ),
 TRUE,
 COUNTIF(Checklist!A:A,A171)&gt;0
)</f>
        <v>1</v>
      </c>
      <c r="E171" s="64" t="b">
        <f>IF(
 OR(
  LEFT(A171,15)="state.character",
  RIGHT(A171,6)=".maxed",
  A171="building.guild@1",
  A171="quest.build_the_guild.accepted",
  A171="quest.build_the_pagoda.accepted"
 ),
 TRUE,
 COUNTIF(Dependencies!A:A,A171)&gt;0
)</f>
        <v>1</v>
      </c>
      <c r="F171" s="64" t="b">
        <f>COUNTIF(Dependencies!B:B,A171)&gt;0</f>
        <v>0</v>
      </c>
      <c r="G171" s="64" t="b">
        <f>COUNTIF(QuestObjectives!A:A,A171)&gt;0</f>
        <v>0</v>
      </c>
      <c r="H171" s="64" t="b">
        <f>COUNTIF(QuestObjectives!E:E,A171)&gt;0</f>
        <v>0</v>
      </c>
      <c r="I171" s="64" t="b">
        <f>COUNTIF(TargetStatus!A:A,A171)&gt;0</f>
        <v>1</v>
      </c>
      <c r="J171" s="64" t="b">
        <f>COUNTIF(CostStatus!B:B,A171)&gt;0</f>
        <v>1</v>
      </c>
      <c r="K171" s="64" t="b">
        <f>COUNTIF(States!A:A,A171)&gt;0</f>
        <v>0</v>
      </c>
      <c r="L171" s="64" t="b">
        <f t="shared" si="2"/>
        <v>1</v>
      </c>
      <c r="M171" s="64" t="b">
        <f>IF(A171="","",COUNTIF(Targets!A:A,A171)&gt;1)</f>
        <v>0</v>
      </c>
      <c r="N171" s="64" t="b">
        <f>IF(A171="","",COUNTIF(States!A:A,A171)&gt;1)</f>
        <v>0</v>
      </c>
      <c r="O171" s="64" t="b">
        <f>IFERROR(__xludf.DUMMYFUNCTION("IF(
 B171="""",
 """",
 SWITCH(
  B171,
  ""BUILDING"",COUNTIF(Buildings!A:A,A171)&gt;0,
  ""CITADEL"",COUNTIF(Citadel!A:A,A171)&gt;0,
  ""COLLECTION"",COUNTIF(Collections!A:A,A171)&gt;0,
  ""CRAFTIFACT"",COUNTIF(Craftifacts!A:A,A171)&gt;0,
  ""QUEST"",
   COUNTIF(
 "&amp;"   Quests!A:A,
    REGEXREPLACE(A171,""\.(accepted|finished)$"","""")
   )&gt;0,
  ""TECH"",COUNTIF(Technologies!A:A,A171)&gt;0,
  ""STATE"",COUNTIF(States!A:A,A171)&gt;0,
  FALSE
 )
)"),TRUE)</f>
        <v>1</v>
      </c>
      <c r="P171" s="64" t="str">
        <f t="shared" si="3"/>
        <v>Good</v>
      </c>
      <c r="Q171" s="65"/>
      <c r="R171" s="65"/>
      <c r="S171" s="65"/>
      <c r="T171" s="65"/>
      <c r="U171" s="6"/>
      <c r="V171" s="6" t="str">
        <f>IFERROR(__xludf.DUMMYFUNCTION("""COMPUTED_VALUE"""),"collection.crystal_cave@1")</f>
        <v>collection.crystal_cave@1</v>
      </c>
      <c r="W171" s="65"/>
      <c r="X171" s="65"/>
      <c r="Y171" s="65"/>
      <c r="Z171" s="65"/>
      <c r="AA171" s="65"/>
      <c r="AB171" s="65"/>
      <c r="AC171" s="65"/>
      <c r="AD171" s="6"/>
      <c r="AE171" s="6"/>
      <c r="AF171" s="6"/>
      <c r="AG171" s="6"/>
      <c r="AH171" s="6"/>
      <c r="AI171" s="6"/>
      <c r="AJ171" s="6"/>
      <c r="AK171" s="6"/>
      <c r="AL171" s="6"/>
      <c r="AM171" s="6"/>
      <c r="AN171" s="6"/>
      <c r="AO171" s="6"/>
      <c r="AP171" s="6"/>
      <c r="AQ171" s="6"/>
      <c r="AR171" s="6"/>
      <c r="AS171" s="6"/>
      <c r="AT171" s="6"/>
      <c r="AU171" s="6"/>
      <c r="AV171" s="6"/>
      <c r="AW171" s="6"/>
      <c r="AX171" s="6"/>
      <c r="AY171" s="6"/>
    </row>
    <row r="172" ht="14.25" customHeight="1">
      <c r="A172" s="26" t="str">
        <f t="shared" si="1"/>
        <v>collection.gallery_1@1</v>
      </c>
      <c r="B172" s="26" t="str">
        <f t="array" ref="B172">_xlfn.XLOOKUP(A172,Targets!A:A,Targets!C:C,"")</f>
        <v>COLLECTION</v>
      </c>
      <c r="C172" s="64" t="b">
        <f>COUNTIF(Targets!A:A,A172)&gt;0</f>
        <v>1</v>
      </c>
      <c r="D172" s="64" t="b">
        <f>IF(
 OR(
  LEFT(A172,15)="state.character",
  RIGHT(A172,6)=".maxed"
 ),
 TRUE,
 COUNTIF(Checklist!A:A,A172)&gt;0
)</f>
        <v>1</v>
      </c>
      <c r="E172" s="64" t="b">
        <f>IF(
 OR(
  LEFT(A172,15)="state.character",
  RIGHT(A172,6)=".maxed",
  A172="building.guild@1",
  A172="quest.build_the_guild.accepted",
  A172="quest.build_the_pagoda.accepted"
 ),
 TRUE,
 COUNTIF(Dependencies!A:A,A172)&gt;0
)</f>
        <v>1</v>
      </c>
      <c r="F172" s="64" t="b">
        <f>COUNTIF(Dependencies!B:B,A172)&gt;0</f>
        <v>1</v>
      </c>
      <c r="G172" s="64" t="b">
        <f>COUNTIF(QuestObjectives!A:A,A172)&gt;0</f>
        <v>0</v>
      </c>
      <c r="H172" s="64" t="b">
        <f>COUNTIF(QuestObjectives!E:E,A172)&gt;0</f>
        <v>0</v>
      </c>
      <c r="I172" s="64" t="b">
        <f>COUNTIF(TargetStatus!A:A,A172)&gt;0</f>
        <v>1</v>
      </c>
      <c r="J172" s="64" t="b">
        <f>COUNTIF(CostStatus!B:B,A172)&gt;0</f>
        <v>1</v>
      </c>
      <c r="K172" s="64" t="b">
        <f>COUNTIF(States!A:A,A172)&gt;0</f>
        <v>0</v>
      </c>
      <c r="L172" s="64" t="b">
        <f t="shared" si="2"/>
        <v>1</v>
      </c>
      <c r="M172" s="64" t="b">
        <f>IF(A172="","",COUNTIF(Targets!A:A,A172)&gt;1)</f>
        <v>0</v>
      </c>
      <c r="N172" s="64" t="b">
        <f>IF(A172="","",COUNTIF(States!A:A,A172)&gt;1)</f>
        <v>0</v>
      </c>
      <c r="O172" s="64" t="b">
        <f>IFERROR(__xludf.DUMMYFUNCTION("IF(
 B172="""",
 """",
 SWITCH(
  B172,
  ""BUILDING"",COUNTIF(Buildings!A:A,A172)&gt;0,
  ""CITADEL"",COUNTIF(Citadel!A:A,A172)&gt;0,
  ""COLLECTION"",COUNTIF(Collections!A:A,A172)&gt;0,
  ""CRAFTIFACT"",COUNTIF(Craftifacts!A:A,A172)&gt;0,
  ""QUEST"",
   COUNTIF(
 "&amp;"   Quests!A:A,
    REGEXREPLACE(A172,""\.(accepted|finished)$"","""")
   )&gt;0,
  ""TECH"",COUNTIF(Technologies!A:A,A172)&gt;0,
  ""STATE"",COUNTIF(States!A:A,A172)&gt;0,
  FALSE
 )
)"),TRUE)</f>
        <v>1</v>
      </c>
      <c r="P172" s="64" t="str">
        <f t="shared" si="3"/>
        <v>Good</v>
      </c>
      <c r="Q172" s="65"/>
      <c r="R172" s="65"/>
      <c r="S172" s="65"/>
      <c r="T172" s="65"/>
      <c r="U172" s="6"/>
      <c r="V172" s="6" t="str">
        <f>IFERROR(__xludf.DUMMYFUNCTION("""COMPUTED_VALUE"""),"collection.gallery_1@1")</f>
        <v>collection.gallery_1@1</v>
      </c>
      <c r="W172" s="65"/>
      <c r="X172" s="65"/>
      <c r="Y172" s="65"/>
      <c r="Z172" s="65"/>
      <c r="AA172" s="65"/>
      <c r="AB172" s="65"/>
      <c r="AC172" s="65"/>
      <c r="AD172" s="6"/>
      <c r="AE172" s="6"/>
      <c r="AF172" s="6"/>
      <c r="AG172" s="6"/>
      <c r="AH172" s="6"/>
      <c r="AI172" s="6"/>
      <c r="AJ172" s="6"/>
      <c r="AK172" s="6"/>
      <c r="AL172" s="6"/>
      <c r="AM172" s="6"/>
      <c r="AN172" s="6"/>
      <c r="AO172" s="6"/>
      <c r="AP172" s="6"/>
      <c r="AQ172" s="6"/>
      <c r="AR172" s="6"/>
      <c r="AS172" s="6"/>
      <c r="AT172" s="6"/>
      <c r="AU172" s="6"/>
      <c r="AV172" s="6"/>
      <c r="AW172" s="6"/>
      <c r="AX172" s="6"/>
      <c r="AY172" s="6"/>
    </row>
    <row r="173" ht="14.25" customHeight="1">
      <c r="A173" s="26" t="str">
        <f t="shared" si="1"/>
        <v>collection.gallery_1@2</v>
      </c>
      <c r="B173" s="26" t="str">
        <f t="array" ref="B173">_xlfn.XLOOKUP(A173,Targets!A:A,Targets!C:C,"")</f>
        <v>COLLECTION</v>
      </c>
      <c r="C173" s="64" t="b">
        <f>COUNTIF(Targets!A:A,A173)&gt;0</f>
        <v>1</v>
      </c>
      <c r="D173" s="64" t="b">
        <f>IF(
 OR(
  LEFT(A173,15)="state.character",
  RIGHT(A173,6)=".maxed"
 ),
 TRUE,
 COUNTIF(Checklist!A:A,A173)&gt;0
)</f>
        <v>1</v>
      </c>
      <c r="E173" s="64" t="b">
        <f>IF(
 OR(
  LEFT(A173,15)="state.character",
  RIGHT(A173,6)=".maxed",
  A173="building.guild@1",
  A173="quest.build_the_guild.accepted",
  A173="quest.build_the_pagoda.accepted"
 ),
 TRUE,
 COUNTIF(Dependencies!A:A,A173)&gt;0
)</f>
        <v>1</v>
      </c>
      <c r="F173" s="64" t="b">
        <f>COUNTIF(Dependencies!B:B,A173)&gt;0</f>
        <v>1</v>
      </c>
      <c r="G173" s="64" t="b">
        <f>COUNTIF(QuestObjectives!A:A,A173)&gt;0</f>
        <v>0</v>
      </c>
      <c r="H173" s="64" t="b">
        <f>COUNTIF(QuestObjectives!E:E,A173)&gt;0</f>
        <v>0</v>
      </c>
      <c r="I173" s="64" t="b">
        <f>COUNTIF(TargetStatus!A:A,A173)&gt;0</f>
        <v>1</v>
      </c>
      <c r="J173" s="64" t="b">
        <f>COUNTIF(CostStatus!B:B,A173)&gt;0</f>
        <v>1</v>
      </c>
      <c r="K173" s="64" t="b">
        <f>COUNTIF(States!A:A,A173)&gt;0</f>
        <v>0</v>
      </c>
      <c r="L173" s="64" t="b">
        <f t="shared" si="2"/>
        <v>1</v>
      </c>
      <c r="M173" s="64" t="b">
        <f>IF(A173="","",COUNTIF(Targets!A:A,A173)&gt;1)</f>
        <v>0</v>
      </c>
      <c r="N173" s="64" t="b">
        <f>IF(A173="","",COUNTIF(States!A:A,A173)&gt;1)</f>
        <v>0</v>
      </c>
      <c r="O173" s="64" t="b">
        <f>IFERROR(__xludf.DUMMYFUNCTION("IF(
 B173="""",
 """",
 SWITCH(
  B173,
  ""BUILDING"",COUNTIF(Buildings!A:A,A173)&gt;0,
  ""CITADEL"",COUNTIF(Citadel!A:A,A173)&gt;0,
  ""COLLECTION"",COUNTIF(Collections!A:A,A173)&gt;0,
  ""CRAFTIFACT"",COUNTIF(Craftifacts!A:A,A173)&gt;0,
  ""QUEST"",
   COUNTIF(
 "&amp;"   Quests!A:A,
    REGEXREPLACE(A173,""\.(accepted|finished)$"","""")
   )&gt;0,
  ""TECH"",COUNTIF(Technologies!A:A,A173)&gt;0,
  ""STATE"",COUNTIF(States!A:A,A173)&gt;0,
  FALSE
 )
)"),TRUE)</f>
        <v>1</v>
      </c>
      <c r="P173" s="64" t="str">
        <f t="shared" si="3"/>
        <v>Good</v>
      </c>
      <c r="Q173" s="65"/>
      <c r="R173" s="65"/>
      <c r="S173" s="65"/>
      <c r="T173" s="65"/>
      <c r="U173" s="6"/>
      <c r="V173" s="6" t="str">
        <f>IFERROR(__xludf.DUMMYFUNCTION("""COMPUTED_VALUE"""),"collection.gallery_1@2")</f>
        <v>collection.gallery_1@2</v>
      </c>
      <c r="W173" s="65"/>
      <c r="X173" s="65"/>
      <c r="Y173" s="65"/>
      <c r="Z173" s="65"/>
      <c r="AA173" s="65"/>
      <c r="AB173" s="65"/>
      <c r="AC173" s="65"/>
      <c r="AD173" s="6"/>
      <c r="AE173" s="6"/>
      <c r="AF173" s="6"/>
      <c r="AG173" s="6"/>
      <c r="AH173" s="6"/>
      <c r="AI173" s="6"/>
      <c r="AJ173" s="6"/>
      <c r="AK173" s="6"/>
      <c r="AL173" s="6"/>
      <c r="AM173" s="6"/>
      <c r="AN173" s="6"/>
      <c r="AO173" s="6"/>
      <c r="AP173" s="6"/>
      <c r="AQ173" s="6"/>
      <c r="AR173" s="6"/>
      <c r="AS173" s="6"/>
      <c r="AT173" s="6"/>
      <c r="AU173" s="6"/>
      <c r="AV173" s="6"/>
      <c r="AW173" s="6"/>
      <c r="AX173" s="6"/>
      <c r="AY173" s="6"/>
    </row>
    <row r="174" ht="14.25" customHeight="1">
      <c r="A174" s="26" t="str">
        <f t="shared" si="1"/>
        <v>collection.gallery_1@3</v>
      </c>
      <c r="B174" s="26" t="str">
        <f t="array" ref="B174">_xlfn.XLOOKUP(A174,Targets!A:A,Targets!C:C,"")</f>
        <v>COLLECTION</v>
      </c>
      <c r="C174" s="64" t="b">
        <f>COUNTIF(Targets!A:A,A174)&gt;0</f>
        <v>1</v>
      </c>
      <c r="D174" s="64" t="b">
        <f>IF(
 OR(
  LEFT(A174,15)="state.character",
  RIGHT(A174,6)=".maxed"
 ),
 TRUE,
 COUNTIF(Checklist!A:A,A174)&gt;0
)</f>
        <v>1</v>
      </c>
      <c r="E174" s="64" t="b">
        <f>IF(
 OR(
  LEFT(A174,15)="state.character",
  RIGHT(A174,6)=".maxed",
  A174="building.guild@1",
  A174="quest.build_the_guild.accepted",
  A174="quest.build_the_pagoda.accepted"
 ),
 TRUE,
 COUNTIF(Dependencies!A:A,A174)&gt;0
)</f>
        <v>1</v>
      </c>
      <c r="F174" s="64" t="b">
        <f>COUNTIF(Dependencies!B:B,A174)&gt;0</f>
        <v>1</v>
      </c>
      <c r="G174" s="64" t="b">
        <f>COUNTIF(QuestObjectives!A:A,A174)&gt;0</f>
        <v>0</v>
      </c>
      <c r="H174" s="64" t="b">
        <f>COUNTIF(QuestObjectives!E:E,A174)&gt;0</f>
        <v>0</v>
      </c>
      <c r="I174" s="64" t="b">
        <f>COUNTIF(TargetStatus!A:A,A174)&gt;0</f>
        <v>1</v>
      </c>
      <c r="J174" s="64" t="b">
        <f>COUNTIF(CostStatus!B:B,A174)&gt;0</f>
        <v>1</v>
      </c>
      <c r="K174" s="64" t="b">
        <f>COUNTIF(States!A:A,A174)&gt;0</f>
        <v>0</v>
      </c>
      <c r="L174" s="64" t="b">
        <f t="shared" si="2"/>
        <v>1</v>
      </c>
      <c r="M174" s="64" t="b">
        <f>IF(A174="","",COUNTIF(Targets!A:A,A174)&gt;1)</f>
        <v>0</v>
      </c>
      <c r="N174" s="64" t="b">
        <f>IF(A174="","",COUNTIF(States!A:A,A174)&gt;1)</f>
        <v>0</v>
      </c>
      <c r="O174" s="64" t="b">
        <f>IFERROR(__xludf.DUMMYFUNCTION("IF(
 B174="""",
 """",
 SWITCH(
  B174,
  ""BUILDING"",COUNTIF(Buildings!A:A,A174)&gt;0,
  ""CITADEL"",COUNTIF(Citadel!A:A,A174)&gt;0,
  ""COLLECTION"",COUNTIF(Collections!A:A,A174)&gt;0,
  ""CRAFTIFACT"",COUNTIF(Craftifacts!A:A,A174)&gt;0,
  ""QUEST"",
   COUNTIF(
 "&amp;"   Quests!A:A,
    REGEXREPLACE(A174,""\.(accepted|finished)$"","""")
   )&gt;0,
  ""TECH"",COUNTIF(Technologies!A:A,A174)&gt;0,
  ""STATE"",COUNTIF(States!A:A,A174)&gt;0,
  FALSE
 )
)"),TRUE)</f>
        <v>1</v>
      </c>
      <c r="P174" s="64" t="str">
        <f t="shared" si="3"/>
        <v>Good</v>
      </c>
      <c r="Q174" s="65"/>
      <c r="R174" s="65"/>
      <c r="S174" s="65"/>
      <c r="T174" s="65"/>
      <c r="U174" s="6"/>
      <c r="V174" s="6" t="str">
        <f>IFERROR(__xludf.DUMMYFUNCTION("""COMPUTED_VALUE"""),"collection.gallery_1@3")</f>
        <v>collection.gallery_1@3</v>
      </c>
      <c r="W174" s="65"/>
      <c r="X174" s="65"/>
      <c r="Y174" s="65"/>
      <c r="Z174" s="65"/>
      <c r="AA174" s="65"/>
      <c r="AB174" s="65"/>
      <c r="AC174" s="65"/>
      <c r="AD174" s="6"/>
      <c r="AE174" s="6"/>
      <c r="AF174" s="6"/>
      <c r="AG174" s="6"/>
      <c r="AH174" s="6"/>
      <c r="AI174" s="6"/>
      <c r="AJ174" s="6"/>
      <c r="AK174" s="6"/>
      <c r="AL174" s="6"/>
      <c r="AM174" s="6"/>
      <c r="AN174" s="6"/>
      <c r="AO174" s="6"/>
      <c r="AP174" s="6"/>
      <c r="AQ174" s="6"/>
      <c r="AR174" s="6"/>
      <c r="AS174" s="6"/>
      <c r="AT174" s="6"/>
      <c r="AU174" s="6"/>
      <c r="AV174" s="6"/>
      <c r="AW174" s="6"/>
      <c r="AX174" s="6"/>
      <c r="AY174" s="6"/>
    </row>
    <row r="175" ht="14.25" customHeight="1">
      <c r="A175" s="26" t="str">
        <f t="shared" si="1"/>
        <v>collection.gallery_1@4</v>
      </c>
      <c r="B175" s="26" t="str">
        <f t="array" ref="B175">_xlfn.XLOOKUP(A175,Targets!A:A,Targets!C:C,"")</f>
        <v>COLLECTION</v>
      </c>
      <c r="C175" s="64" t="b">
        <f>COUNTIF(Targets!A:A,A175)&gt;0</f>
        <v>1</v>
      </c>
      <c r="D175" s="64" t="b">
        <f>IF(
 OR(
  LEFT(A175,15)="state.character",
  RIGHT(A175,6)=".maxed"
 ),
 TRUE,
 COUNTIF(Checklist!A:A,A175)&gt;0
)</f>
        <v>1</v>
      </c>
      <c r="E175" s="64" t="b">
        <f>IF(
 OR(
  LEFT(A175,15)="state.character",
  RIGHT(A175,6)=".maxed",
  A175="building.guild@1",
  A175="quest.build_the_guild.accepted",
  A175="quest.build_the_pagoda.accepted"
 ),
 TRUE,
 COUNTIF(Dependencies!A:A,A175)&gt;0
)</f>
        <v>1</v>
      </c>
      <c r="F175" s="64" t="b">
        <f>COUNTIF(Dependencies!B:B,A175)&gt;0</f>
        <v>1</v>
      </c>
      <c r="G175" s="64" t="b">
        <f>COUNTIF(QuestObjectives!A:A,A175)&gt;0</f>
        <v>0</v>
      </c>
      <c r="H175" s="64" t="b">
        <f>COUNTIF(QuestObjectives!E:E,A175)&gt;0</f>
        <v>0</v>
      </c>
      <c r="I175" s="64" t="b">
        <f>COUNTIF(TargetStatus!A:A,A175)&gt;0</f>
        <v>1</v>
      </c>
      <c r="J175" s="64" t="b">
        <f>COUNTIF(CostStatus!B:B,A175)&gt;0</f>
        <v>1</v>
      </c>
      <c r="K175" s="64" t="b">
        <f>COUNTIF(States!A:A,A175)&gt;0</f>
        <v>0</v>
      </c>
      <c r="L175" s="64" t="b">
        <f t="shared" si="2"/>
        <v>1</v>
      </c>
      <c r="M175" s="64" t="b">
        <f>IF(A175="","",COUNTIF(Targets!A:A,A175)&gt;1)</f>
        <v>0</v>
      </c>
      <c r="N175" s="64" t="b">
        <f>IF(A175="","",COUNTIF(States!A:A,A175)&gt;1)</f>
        <v>0</v>
      </c>
      <c r="O175" s="64" t="b">
        <f>IFERROR(__xludf.DUMMYFUNCTION("IF(
 B175="""",
 """",
 SWITCH(
  B175,
  ""BUILDING"",COUNTIF(Buildings!A:A,A175)&gt;0,
  ""CITADEL"",COUNTIF(Citadel!A:A,A175)&gt;0,
  ""COLLECTION"",COUNTIF(Collections!A:A,A175)&gt;0,
  ""CRAFTIFACT"",COUNTIF(Craftifacts!A:A,A175)&gt;0,
  ""QUEST"",
   COUNTIF(
 "&amp;"   Quests!A:A,
    REGEXREPLACE(A175,""\.(accepted|finished)$"","""")
   )&gt;0,
  ""TECH"",COUNTIF(Technologies!A:A,A175)&gt;0,
  ""STATE"",COUNTIF(States!A:A,A175)&gt;0,
  FALSE
 )
)"),TRUE)</f>
        <v>1</v>
      </c>
      <c r="P175" s="64" t="str">
        <f t="shared" si="3"/>
        <v>Good</v>
      </c>
      <c r="Q175" s="65"/>
      <c r="R175" s="65"/>
      <c r="S175" s="65"/>
      <c r="T175" s="65"/>
      <c r="U175" s="6"/>
      <c r="V175" s="6" t="str">
        <f>IFERROR(__xludf.DUMMYFUNCTION("""COMPUTED_VALUE"""),"collection.gallery_1@4")</f>
        <v>collection.gallery_1@4</v>
      </c>
      <c r="W175" s="65"/>
      <c r="X175" s="65"/>
      <c r="Y175" s="65"/>
      <c r="Z175" s="65"/>
      <c r="AA175" s="65"/>
      <c r="AB175" s="65"/>
      <c r="AC175" s="65"/>
      <c r="AD175" s="6"/>
      <c r="AE175" s="6"/>
      <c r="AF175" s="6"/>
      <c r="AG175" s="6"/>
      <c r="AH175" s="6"/>
      <c r="AI175" s="6"/>
      <c r="AJ175" s="6"/>
      <c r="AK175" s="6"/>
      <c r="AL175" s="6"/>
      <c r="AM175" s="6"/>
      <c r="AN175" s="6"/>
      <c r="AO175" s="6"/>
      <c r="AP175" s="6"/>
      <c r="AQ175" s="6"/>
      <c r="AR175" s="6"/>
      <c r="AS175" s="6"/>
      <c r="AT175" s="6"/>
      <c r="AU175" s="6"/>
      <c r="AV175" s="6"/>
      <c r="AW175" s="6"/>
      <c r="AX175" s="6"/>
      <c r="AY175" s="6"/>
    </row>
    <row r="176" ht="14.25" customHeight="1">
      <c r="A176" s="26" t="str">
        <f t="shared" si="1"/>
        <v>collection.gallery_1@5</v>
      </c>
      <c r="B176" s="26" t="str">
        <f t="array" ref="B176">_xlfn.XLOOKUP(A176,Targets!A:A,Targets!C:C,"")</f>
        <v>COLLECTION</v>
      </c>
      <c r="C176" s="64" t="b">
        <f>COUNTIF(Targets!A:A,A176)&gt;0</f>
        <v>1</v>
      </c>
      <c r="D176" s="64" t="b">
        <f>IF(
 OR(
  LEFT(A176,15)="state.character",
  RIGHT(A176,6)=".maxed"
 ),
 TRUE,
 COUNTIF(Checklist!A:A,A176)&gt;0
)</f>
        <v>1</v>
      </c>
      <c r="E176" s="64" t="b">
        <f>IF(
 OR(
  LEFT(A176,15)="state.character",
  RIGHT(A176,6)=".maxed",
  A176="building.guild@1",
  A176="quest.build_the_guild.accepted",
  A176="quest.build_the_pagoda.accepted"
 ),
 TRUE,
 COUNTIF(Dependencies!A:A,A176)&gt;0
)</f>
        <v>1</v>
      </c>
      <c r="F176" s="64" t="b">
        <f>COUNTIF(Dependencies!B:B,A176)&gt;0</f>
        <v>0</v>
      </c>
      <c r="G176" s="64" t="b">
        <f>COUNTIF(QuestObjectives!A:A,A176)&gt;0</f>
        <v>0</v>
      </c>
      <c r="H176" s="64" t="b">
        <f>COUNTIF(QuestObjectives!E:E,A176)&gt;0</f>
        <v>0</v>
      </c>
      <c r="I176" s="64" t="b">
        <f>COUNTIF(TargetStatus!A:A,A176)&gt;0</f>
        <v>1</v>
      </c>
      <c r="J176" s="64" t="b">
        <f>COUNTIF(CostStatus!B:B,A176)&gt;0</f>
        <v>1</v>
      </c>
      <c r="K176" s="64" t="b">
        <f>COUNTIF(States!A:A,A176)&gt;0</f>
        <v>0</v>
      </c>
      <c r="L176" s="64" t="b">
        <f t="shared" si="2"/>
        <v>1</v>
      </c>
      <c r="M176" s="64" t="b">
        <f>IF(A176="","",COUNTIF(Targets!A:A,A176)&gt;1)</f>
        <v>0</v>
      </c>
      <c r="N176" s="64" t="b">
        <f>IF(A176="","",COUNTIF(States!A:A,A176)&gt;1)</f>
        <v>0</v>
      </c>
      <c r="O176" s="64" t="b">
        <f>IFERROR(__xludf.DUMMYFUNCTION("IF(
 B176="""",
 """",
 SWITCH(
  B176,
  ""BUILDING"",COUNTIF(Buildings!A:A,A176)&gt;0,
  ""CITADEL"",COUNTIF(Citadel!A:A,A176)&gt;0,
  ""COLLECTION"",COUNTIF(Collections!A:A,A176)&gt;0,
  ""CRAFTIFACT"",COUNTIF(Craftifacts!A:A,A176)&gt;0,
  ""QUEST"",
   COUNTIF(
 "&amp;"   Quests!A:A,
    REGEXREPLACE(A176,""\.(accepted|finished)$"","""")
   )&gt;0,
  ""TECH"",COUNTIF(Technologies!A:A,A176)&gt;0,
  ""STATE"",COUNTIF(States!A:A,A176)&gt;0,
  FALSE
 )
)"),TRUE)</f>
        <v>1</v>
      </c>
      <c r="P176" s="64" t="str">
        <f t="shared" si="3"/>
        <v>Good</v>
      </c>
      <c r="Q176" s="65"/>
      <c r="R176" s="65"/>
      <c r="S176" s="65"/>
      <c r="T176" s="65"/>
      <c r="U176" s="6"/>
      <c r="V176" s="6" t="str">
        <f>IFERROR(__xludf.DUMMYFUNCTION("""COMPUTED_VALUE"""),"collection.gallery_1@5")</f>
        <v>collection.gallery_1@5</v>
      </c>
      <c r="W176" s="65"/>
      <c r="X176" s="65"/>
      <c r="Y176" s="65"/>
      <c r="Z176" s="65"/>
      <c r="AA176" s="65"/>
      <c r="AB176" s="65"/>
      <c r="AC176" s="65"/>
      <c r="AD176" s="6"/>
      <c r="AE176" s="6"/>
      <c r="AF176" s="6"/>
      <c r="AG176" s="6"/>
      <c r="AH176" s="6"/>
      <c r="AI176" s="6"/>
      <c r="AJ176" s="6"/>
      <c r="AK176" s="6"/>
      <c r="AL176" s="6"/>
      <c r="AM176" s="6"/>
      <c r="AN176" s="6"/>
      <c r="AO176" s="6"/>
      <c r="AP176" s="6"/>
      <c r="AQ176" s="6"/>
      <c r="AR176" s="6"/>
      <c r="AS176" s="6"/>
      <c r="AT176" s="6"/>
      <c r="AU176" s="6"/>
      <c r="AV176" s="6"/>
      <c r="AW176" s="6"/>
      <c r="AX176" s="6"/>
      <c r="AY176" s="6"/>
    </row>
    <row r="177" ht="14.25" customHeight="1">
      <c r="A177" s="26" t="str">
        <f t="shared" si="1"/>
        <v>collection.gallery_2@1</v>
      </c>
      <c r="B177" s="26" t="str">
        <f t="array" ref="B177">_xlfn.XLOOKUP(A177,Targets!A:A,Targets!C:C,"")</f>
        <v>COLLECTION</v>
      </c>
      <c r="C177" s="64" t="b">
        <f>COUNTIF(Targets!A:A,A177)&gt;0</f>
        <v>1</v>
      </c>
      <c r="D177" s="64" t="b">
        <f>IF(
 OR(
  LEFT(A177,15)="state.character",
  RIGHT(A177,6)=".maxed"
 ),
 TRUE,
 COUNTIF(Checklist!A:A,A177)&gt;0
)</f>
        <v>1</v>
      </c>
      <c r="E177" s="64" t="b">
        <f>IF(
 OR(
  LEFT(A177,15)="state.character",
  RIGHT(A177,6)=".maxed",
  A177="building.guild@1",
  A177="quest.build_the_guild.accepted",
  A177="quest.build_the_pagoda.accepted"
 ),
 TRUE,
 COUNTIF(Dependencies!A:A,A177)&gt;0
)</f>
        <v>1</v>
      </c>
      <c r="F177" s="64" t="b">
        <f>COUNTIF(Dependencies!B:B,A177)&gt;0</f>
        <v>1</v>
      </c>
      <c r="G177" s="64" t="b">
        <f>COUNTIF(QuestObjectives!A:A,A177)&gt;0</f>
        <v>0</v>
      </c>
      <c r="H177" s="64" t="b">
        <f>COUNTIF(QuestObjectives!E:E,A177)&gt;0</f>
        <v>0</v>
      </c>
      <c r="I177" s="64" t="b">
        <f>COUNTIF(TargetStatus!A:A,A177)&gt;0</f>
        <v>1</v>
      </c>
      <c r="J177" s="64" t="b">
        <f>COUNTIF(CostStatus!B:B,A177)&gt;0</f>
        <v>1</v>
      </c>
      <c r="K177" s="64" t="b">
        <f>COUNTIF(States!A:A,A177)&gt;0</f>
        <v>0</v>
      </c>
      <c r="L177" s="64" t="b">
        <f t="shared" si="2"/>
        <v>1</v>
      </c>
      <c r="M177" s="64" t="b">
        <f>IF(A177="","",COUNTIF(Targets!A:A,A177)&gt;1)</f>
        <v>0</v>
      </c>
      <c r="N177" s="64" t="b">
        <f>IF(A177="","",COUNTIF(States!A:A,A177)&gt;1)</f>
        <v>0</v>
      </c>
      <c r="O177" s="64" t="b">
        <f>IFERROR(__xludf.DUMMYFUNCTION("IF(
 B177="""",
 """",
 SWITCH(
  B177,
  ""BUILDING"",COUNTIF(Buildings!A:A,A177)&gt;0,
  ""CITADEL"",COUNTIF(Citadel!A:A,A177)&gt;0,
  ""COLLECTION"",COUNTIF(Collections!A:A,A177)&gt;0,
  ""CRAFTIFACT"",COUNTIF(Craftifacts!A:A,A177)&gt;0,
  ""QUEST"",
   COUNTIF(
 "&amp;"   Quests!A:A,
    REGEXREPLACE(A177,""\.(accepted|finished)$"","""")
   )&gt;0,
  ""TECH"",COUNTIF(Technologies!A:A,A177)&gt;0,
  ""STATE"",COUNTIF(States!A:A,A177)&gt;0,
  FALSE
 )
)"),TRUE)</f>
        <v>1</v>
      </c>
      <c r="P177" s="64" t="str">
        <f t="shared" si="3"/>
        <v>Good</v>
      </c>
      <c r="Q177" s="65"/>
      <c r="R177" s="65"/>
      <c r="S177" s="65"/>
      <c r="T177" s="65"/>
      <c r="U177" s="6"/>
      <c r="V177" s="6" t="str">
        <f>IFERROR(__xludf.DUMMYFUNCTION("""COMPUTED_VALUE"""),"collection.gallery_2@1")</f>
        <v>collection.gallery_2@1</v>
      </c>
      <c r="W177" s="65"/>
      <c r="X177" s="65"/>
      <c r="Y177" s="65"/>
      <c r="Z177" s="65"/>
      <c r="AA177" s="65"/>
      <c r="AB177" s="65"/>
      <c r="AC177" s="65"/>
      <c r="AD177" s="6"/>
      <c r="AE177" s="6"/>
      <c r="AF177" s="6"/>
      <c r="AG177" s="6"/>
      <c r="AH177" s="6"/>
      <c r="AI177" s="6"/>
      <c r="AJ177" s="6"/>
      <c r="AK177" s="6"/>
      <c r="AL177" s="6"/>
      <c r="AM177" s="6"/>
      <c r="AN177" s="6"/>
      <c r="AO177" s="6"/>
      <c r="AP177" s="6"/>
      <c r="AQ177" s="6"/>
      <c r="AR177" s="6"/>
      <c r="AS177" s="6"/>
      <c r="AT177" s="6"/>
      <c r="AU177" s="6"/>
      <c r="AV177" s="6"/>
      <c r="AW177" s="6"/>
      <c r="AX177" s="6"/>
      <c r="AY177" s="6"/>
    </row>
    <row r="178" ht="14.25" customHeight="1">
      <c r="A178" s="26" t="str">
        <f t="shared" si="1"/>
        <v>collection.gallery_2@2</v>
      </c>
      <c r="B178" s="26" t="str">
        <f t="array" ref="B178">_xlfn.XLOOKUP(A178,Targets!A:A,Targets!C:C,"")</f>
        <v>COLLECTION</v>
      </c>
      <c r="C178" s="64" t="b">
        <f>COUNTIF(Targets!A:A,A178)&gt;0</f>
        <v>1</v>
      </c>
      <c r="D178" s="64" t="b">
        <f>IF(
 OR(
  LEFT(A178,15)="state.character",
  RIGHT(A178,6)=".maxed"
 ),
 TRUE,
 COUNTIF(Checklist!A:A,A178)&gt;0
)</f>
        <v>1</v>
      </c>
      <c r="E178" s="64" t="b">
        <f>IF(
 OR(
  LEFT(A178,15)="state.character",
  RIGHT(A178,6)=".maxed",
  A178="building.guild@1",
  A178="quest.build_the_guild.accepted",
  A178="quest.build_the_pagoda.accepted"
 ),
 TRUE,
 COUNTIF(Dependencies!A:A,A178)&gt;0
)</f>
        <v>1</v>
      </c>
      <c r="F178" s="64" t="b">
        <f>COUNTIF(Dependencies!B:B,A178)&gt;0</f>
        <v>1</v>
      </c>
      <c r="G178" s="64" t="b">
        <f>COUNTIF(QuestObjectives!A:A,A178)&gt;0</f>
        <v>0</v>
      </c>
      <c r="H178" s="64" t="b">
        <f>COUNTIF(QuestObjectives!E:E,A178)&gt;0</f>
        <v>0</v>
      </c>
      <c r="I178" s="64" t="b">
        <f>COUNTIF(TargetStatus!A:A,A178)&gt;0</f>
        <v>1</v>
      </c>
      <c r="J178" s="64" t="b">
        <f>COUNTIF(CostStatus!B:B,A178)&gt;0</f>
        <v>1</v>
      </c>
      <c r="K178" s="64" t="b">
        <f>COUNTIF(States!A:A,A178)&gt;0</f>
        <v>0</v>
      </c>
      <c r="L178" s="64" t="b">
        <f t="shared" si="2"/>
        <v>1</v>
      </c>
      <c r="M178" s="64" t="b">
        <f>IF(A178="","",COUNTIF(Targets!A:A,A178)&gt;1)</f>
        <v>0</v>
      </c>
      <c r="N178" s="64" t="b">
        <f>IF(A178="","",COUNTIF(States!A:A,A178)&gt;1)</f>
        <v>0</v>
      </c>
      <c r="O178" s="64" t="b">
        <f>IFERROR(__xludf.DUMMYFUNCTION("IF(
 B178="""",
 """",
 SWITCH(
  B178,
  ""BUILDING"",COUNTIF(Buildings!A:A,A178)&gt;0,
  ""CITADEL"",COUNTIF(Citadel!A:A,A178)&gt;0,
  ""COLLECTION"",COUNTIF(Collections!A:A,A178)&gt;0,
  ""CRAFTIFACT"",COUNTIF(Craftifacts!A:A,A178)&gt;0,
  ""QUEST"",
   COUNTIF(
 "&amp;"   Quests!A:A,
    REGEXREPLACE(A178,""\.(accepted|finished)$"","""")
   )&gt;0,
  ""TECH"",COUNTIF(Technologies!A:A,A178)&gt;0,
  ""STATE"",COUNTIF(States!A:A,A178)&gt;0,
  FALSE
 )
)"),TRUE)</f>
        <v>1</v>
      </c>
      <c r="P178" s="64" t="str">
        <f t="shared" si="3"/>
        <v>Good</v>
      </c>
      <c r="Q178" s="65"/>
      <c r="R178" s="65"/>
      <c r="S178" s="65"/>
      <c r="T178" s="65"/>
      <c r="U178" s="6"/>
      <c r="V178" s="6" t="str">
        <f>IFERROR(__xludf.DUMMYFUNCTION("""COMPUTED_VALUE"""),"collection.gallery_2@2")</f>
        <v>collection.gallery_2@2</v>
      </c>
      <c r="W178" s="65"/>
      <c r="X178" s="65"/>
      <c r="Y178" s="65"/>
      <c r="Z178" s="65"/>
      <c r="AA178" s="65"/>
      <c r="AB178" s="65"/>
      <c r="AC178" s="65"/>
      <c r="AD178" s="6"/>
      <c r="AE178" s="6"/>
      <c r="AF178" s="6"/>
      <c r="AG178" s="6"/>
      <c r="AH178" s="6"/>
      <c r="AI178" s="6"/>
      <c r="AJ178" s="6"/>
      <c r="AK178" s="6"/>
      <c r="AL178" s="6"/>
      <c r="AM178" s="6"/>
      <c r="AN178" s="6"/>
      <c r="AO178" s="6"/>
      <c r="AP178" s="6"/>
      <c r="AQ178" s="6"/>
      <c r="AR178" s="6"/>
      <c r="AS178" s="6"/>
      <c r="AT178" s="6"/>
      <c r="AU178" s="6"/>
      <c r="AV178" s="6"/>
      <c r="AW178" s="6"/>
      <c r="AX178" s="6"/>
      <c r="AY178" s="6"/>
    </row>
    <row r="179" ht="14.25" customHeight="1">
      <c r="A179" s="26" t="str">
        <f t="shared" si="1"/>
        <v>collection.gallery_2@3</v>
      </c>
      <c r="B179" s="26" t="str">
        <f t="array" ref="B179">_xlfn.XLOOKUP(A179,Targets!A:A,Targets!C:C,"")</f>
        <v>COLLECTION</v>
      </c>
      <c r="C179" s="64" t="b">
        <f>COUNTIF(Targets!A:A,A179)&gt;0</f>
        <v>1</v>
      </c>
      <c r="D179" s="64" t="b">
        <f>IF(
 OR(
  LEFT(A179,15)="state.character",
  RIGHT(A179,6)=".maxed"
 ),
 TRUE,
 COUNTIF(Checklist!A:A,A179)&gt;0
)</f>
        <v>1</v>
      </c>
      <c r="E179" s="64" t="b">
        <f>IF(
 OR(
  LEFT(A179,15)="state.character",
  RIGHT(A179,6)=".maxed",
  A179="building.guild@1",
  A179="quest.build_the_guild.accepted",
  A179="quest.build_the_pagoda.accepted"
 ),
 TRUE,
 COUNTIF(Dependencies!A:A,A179)&gt;0
)</f>
        <v>1</v>
      </c>
      <c r="F179" s="64" t="b">
        <f>COUNTIF(Dependencies!B:B,A179)&gt;0</f>
        <v>1</v>
      </c>
      <c r="G179" s="64" t="b">
        <f>COUNTIF(QuestObjectives!A:A,A179)&gt;0</f>
        <v>0</v>
      </c>
      <c r="H179" s="64" t="b">
        <f>COUNTIF(QuestObjectives!E:E,A179)&gt;0</f>
        <v>0</v>
      </c>
      <c r="I179" s="64" t="b">
        <f>COUNTIF(TargetStatus!A:A,A179)&gt;0</f>
        <v>1</v>
      </c>
      <c r="J179" s="64" t="b">
        <f>COUNTIF(CostStatus!B:B,A179)&gt;0</f>
        <v>1</v>
      </c>
      <c r="K179" s="64" t="b">
        <f>COUNTIF(States!A:A,A179)&gt;0</f>
        <v>0</v>
      </c>
      <c r="L179" s="64" t="b">
        <f t="shared" si="2"/>
        <v>1</v>
      </c>
      <c r="M179" s="64" t="b">
        <f>IF(A179="","",COUNTIF(Targets!A:A,A179)&gt;1)</f>
        <v>0</v>
      </c>
      <c r="N179" s="64" t="b">
        <f>IF(A179="","",COUNTIF(States!A:A,A179)&gt;1)</f>
        <v>0</v>
      </c>
      <c r="O179" s="64" t="b">
        <f>IFERROR(__xludf.DUMMYFUNCTION("IF(
 B179="""",
 """",
 SWITCH(
  B179,
  ""BUILDING"",COUNTIF(Buildings!A:A,A179)&gt;0,
  ""CITADEL"",COUNTIF(Citadel!A:A,A179)&gt;0,
  ""COLLECTION"",COUNTIF(Collections!A:A,A179)&gt;0,
  ""CRAFTIFACT"",COUNTIF(Craftifacts!A:A,A179)&gt;0,
  ""QUEST"",
   COUNTIF(
 "&amp;"   Quests!A:A,
    REGEXREPLACE(A179,""\.(accepted|finished)$"","""")
   )&gt;0,
  ""TECH"",COUNTIF(Technologies!A:A,A179)&gt;0,
  ""STATE"",COUNTIF(States!A:A,A179)&gt;0,
  FALSE
 )
)"),TRUE)</f>
        <v>1</v>
      </c>
      <c r="P179" s="64" t="str">
        <f t="shared" si="3"/>
        <v>Good</v>
      </c>
      <c r="Q179" s="65"/>
      <c r="R179" s="65"/>
      <c r="S179" s="65"/>
      <c r="T179" s="65"/>
      <c r="U179" s="6"/>
      <c r="V179" s="6" t="str">
        <f>IFERROR(__xludf.DUMMYFUNCTION("""COMPUTED_VALUE"""),"collection.gallery_2@3")</f>
        <v>collection.gallery_2@3</v>
      </c>
      <c r="W179" s="65"/>
      <c r="X179" s="65"/>
      <c r="Y179" s="65"/>
      <c r="Z179" s="65"/>
      <c r="AA179" s="65"/>
      <c r="AB179" s="65"/>
      <c r="AC179" s="65"/>
      <c r="AD179" s="6"/>
      <c r="AE179" s="6"/>
      <c r="AF179" s="6"/>
      <c r="AG179" s="6"/>
      <c r="AH179" s="6"/>
      <c r="AI179" s="6"/>
      <c r="AJ179" s="6"/>
      <c r="AK179" s="6"/>
      <c r="AL179" s="6"/>
      <c r="AM179" s="6"/>
      <c r="AN179" s="6"/>
      <c r="AO179" s="6"/>
      <c r="AP179" s="6"/>
      <c r="AQ179" s="6"/>
      <c r="AR179" s="6"/>
      <c r="AS179" s="6"/>
      <c r="AT179" s="6"/>
      <c r="AU179" s="6"/>
      <c r="AV179" s="6"/>
      <c r="AW179" s="6"/>
      <c r="AX179" s="6"/>
      <c r="AY179" s="6"/>
    </row>
    <row r="180" ht="14.25" customHeight="1">
      <c r="A180" s="26" t="str">
        <f t="shared" si="1"/>
        <v>collection.gallery_2@4</v>
      </c>
      <c r="B180" s="26" t="str">
        <f t="array" ref="B180">_xlfn.XLOOKUP(A180,Targets!A:A,Targets!C:C,"")</f>
        <v>COLLECTION</v>
      </c>
      <c r="C180" s="64" t="b">
        <f>COUNTIF(Targets!A:A,A180)&gt;0</f>
        <v>1</v>
      </c>
      <c r="D180" s="64" t="b">
        <f>IF(
 OR(
  LEFT(A180,15)="state.character",
  RIGHT(A180,6)=".maxed"
 ),
 TRUE,
 COUNTIF(Checklist!A:A,A180)&gt;0
)</f>
        <v>1</v>
      </c>
      <c r="E180" s="64" t="b">
        <f>IF(
 OR(
  LEFT(A180,15)="state.character",
  RIGHT(A180,6)=".maxed",
  A180="building.guild@1",
  A180="quest.build_the_guild.accepted",
  A180="quest.build_the_pagoda.accepted"
 ),
 TRUE,
 COUNTIF(Dependencies!A:A,A180)&gt;0
)</f>
        <v>1</v>
      </c>
      <c r="F180" s="64" t="b">
        <f>COUNTIF(Dependencies!B:B,A180)&gt;0</f>
        <v>1</v>
      </c>
      <c r="G180" s="64" t="b">
        <f>COUNTIF(QuestObjectives!A:A,A180)&gt;0</f>
        <v>0</v>
      </c>
      <c r="H180" s="64" t="b">
        <f>COUNTIF(QuestObjectives!E:E,A180)&gt;0</f>
        <v>0</v>
      </c>
      <c r="I180" s="64" t="b">
        <f>COUNTIF(TargetStatus!A:A,A180)&gt;0</f>
        <v>1</v>
      </c>
      <c r="J180" s="64" t="b">
        <f>COUNTIF(CostStatus!B:B,A180)&gt;0</f>
        <v>1</v>
      </c>
      <c r="K180" s="64" t="b">
        <f>COUNTIF(States!A:A,A180)&gt;0</f>
        <v>0</v>
      </c>
      <c r="L180" s="64" t="b">
        <f t="shared" si="2"/>
        <v>1</v>
      </c>
      <c r="M180" s="64" t="b">
        <f>IF(A180="","",COUNTIF(Targets!A:A,A180)&gt;1)</f>
        <v>0</v>
      </c>
      <c r="N180" s="64" t="b">
        <f>IF(A180="","",COUNTIF(States!A:A,A180)&gt;1)</f>
        <v>0</v>
      </c>
      <c r="O180" s="64" t="b">
        <f>IFERROR(__xludf.DUMMYFUNCTION("IF(
 B180="""",
 """",
 SWITCH(
  B180,
  ""BUILDING"",COUNTIF(Buildings!A:A,A180)&gt;0,
  ""CITADEL"",COUNTIF(Citadel!A:A,A180)&gt;0,
  ""COLLECTION"",COUNTIF(Collections!A:A,A180)&gt;0,
  ""CRAFTIFACT"",COUNTIF(Craftifacts!A:A,A180)&gt;0,
  ""QUEST"",
   COUNTIF(
 "&amp;"   Quests!A:A,
    REGEXREPLACE(A180,""\.(accepted|finished)$"","""")
   )&gt;0,
  ""TECH"",COUNTIF(Technologies!A:A,A180)&gt;0,
  ""STATE"",COUNTIF(States!A:A,A180)&gt;0,
  FALSE
 )
)"),TRUE)</f>
        <v>1</v>
      </c>
      <c r="P180" s="64" t="str">
        <f t="shared" si="3"/>
        <v>Good</v>
      </c>
      <c r="Q180" s="65"/>
      <c r="R180" s="65"/>
      <c r="S180" s="65"/>
      <c r="T180" s="65"/>
      <c r="U180" s="6"/>
      <c r="V180" s="6" t="str">
        <f>IFERROR(__xludf.DUMMYFUNCTION("""COMPUTED_VALUE"""),"collection.gallery_2@4")</f>
        <v>collection.gallery_2@4</v>
      </c>
      <c r="W180" s="65"/>
      <c r="X180" s="65"/>
      <c r="Y180" s="65"/>
      <c r="Z180" s="65"/>
      <c r="AA180" s="65"/>
      <c r="AB180" s="65"/>
      <c r="AC180" s="65"/>
      <c r="AD180" s="6"/>
      <c r="AE180" s="6"/>
      <c r="AF180" s="6"/>
      <c r="AG180" s="6"/>
      <c r="AH180" s="6"/>
      <c r="AI180" s="6"/>
      <c r="AJ180" s="6"/>
      <c r="AK180" s="6"/>
      <c r="AL180" s="6"/>
      <c r="AM180" s="6"/>
      <c r="AN180" s="6"/>
      <c r="AO180" s="6"/>
      <c r="AP180" s="6"/>
      <c r="AQ180" s="6"/>
      <c r="AR180" s="6"/>
      <c r="AS180" s="6"/>
      <c r="AT180" s="6"/>
      <c r="AU180" s="6"/>
      <c r="AV180" s="6"/>
      <c r="AW180" s="6"/>
      <c r="AX180" s="6"/>
      <c r="AY180" s="6"/>
    </row>
    <row r="181" ht="14.25" customHeight="1">
      <c r="A181" s="26" t="str">
        <f t="shared" si="1"/>
        <v>collection.gallery_2@5</v>
      </c>
      <c r="B181" s="26" t="str">
        <f t="array" ref="B181">_xlfn.XLOOKUP(A181,Targets!A:A,Targets!C:C,"")</f>
        <v>COLLECTION</v>
      </c>
      <c r="C181" s="64" t="b">
        <f>COUNTIF(Targets!A:A,A181)&gt;0</f>
        <v>1</v>
      </c>
      <c r="D181" s="64" t="b">
        <f>IF(
 OR(
  LEFT(A181,15)="state.character",
  RIGHT(A181,6)=".maxed"
 ),
 TRUE,
 COUNTIF(Checklist!A:A,A181)&gt;0
)</f>
        <v>1</v>
      </c>
      <c r="E181" s="64" t="b">
        <f>IF(
 OR(
  LEFT(A181,15)="state.character",
  RIGHT(A181,6)=".maxed",
  A181="building.guild@1",
  A181="quest.build_the_guild.accepted",
  A181="quest.build_the_pagoda.accepted"
 ),
 TRUE,
 COUNTIF(Dependencies!A:A,A181)&gt;0
)</f>
        <v>1</v>
      </c>
      <c r="F181" s="64" t="b">
        <f>COUNTIF(Dependencies!B:B,A181)&gt;0</f>
        <v>0</v>
      </c>
      <c r="G181" s="64" t="b">
        <f>COUNTIF(QuestObjectives!A:A,A181)&gt;0</f>
        <v>0</v>
      </c>
      <c r="H181" s="64" t="b">
        <f>COUNTIF(QuestObjectives!E:E,A181)&gt;0</f>
        <v>0</v>
      </c>
      <c r="I181" s="64" t="b">
        <f>COUNTIF(TargetStatus!A:A,A181)&gt;0</f>
        <v>1</v>
      </c>
      <c r="J181" s="64" t="b">
        <f>COUNTIF(CostStatus!B:B,A181)&gt;0</f>
        <v>1</v>
      </c>
      <c r="K181" s="64" t="b">
        <f>COUNTIF(States!A:A,A181)&gt;0</f>
        <v>0</v>
      </c>
      <c r="L181" s="64" t="b">
        <f t="shared" si="2"/>
        <v>1</v>
      </c>
      <c r="M181" s="64" t="b">
        <f>IF(A181="","",COUNTIF(Targets!A:A,A181)&gt;1)</f>
        <v>0</v>
      </c>
      <c r="N181" s="64" t="b">
        <f>IF(A181="","",COUNTIF(States!A:A,A181)&gt;1)</f>
        <v>0</v>
      </c>
      <c r="O181" s="64" t="b">
        <f>IFERROR(__xludf.DUMMYFUNCTION("IF(
 B181="""",
 """",
 SWITCH(
  B181,
  ""BUILDING"",COUNTIF(Buildings!A:A,A181)&gt;0,
  ""CITADEL"",COUNTIF(Citadel!A:A,A181)&gt;0,
  ""COLLECTION"",COUNTIF(Collections!A:A,A181)&gt;0,
  ""CRAFTIFACT"",COUNTIF(Craftifacts!A:A,A181)&gt;0,
  ""QUEST"",
   COUNTIF(
 "&amp;"   Quests!A:A,
    REGEXREPLACE(A181,""\.(accepted|finished)$"","""")
   )&gt;0,
  ""TECH"",COUNTIF(Technologies!A:A,A181)&gt;0,
  ""STATE"",COUNTIF(States!A:A,A181)&gt;0,
  FALSE
 )
)"),TRUE)</f>
        <v>1</v>
      </c>
      <c r="P181" s="64" t="str">
        <f t="shared" si="3"/>
        <v>Good</v>
      </c>
      <c r="Q181" s="65"/>
      <c r="R181" s="65"/>
      <c r="S181" s="65"/>
      <c r="T181" s="65"/>
      <c r="U181" s="6"/>
      <c r="V181" s="6" t="str">
        <f>IFERROR(__xludf.DUMMYFUNCTION("""COMPUTED_VALUE"""),"collection.gallery_2@5")</f>
        <v>collection.gallery_2@5</v>
      </c>
      <c r="W181" s="65"/>
      <c r="X181" s="65"/>
      <c r="Y181" s="65"/>
      <c r="Z181" s="65"/>
      <c r="AA181" s="65"/>
      <c r="AB181" s="65"/>
      <c r="AC181" s="65"/>
      <c r="AD181" s="6"/>
      <c r="AE181" s="6"/>
      <c r="AF181" s="6"/>
      <c r="AG181" s="6"/>
      <c r="AH181" s="6"/>
      <c r="AI181" s="6"/>
      <c r="AJ181" s="6"/>
      <c r="AK181" s="6"/>
      <c r="AL181" s="6"/>
      <c r="AM181" s="6"/>
      <c r="AN181" s="6"/>
      <c r="AO181" s="6"/>
      <c r="AP181" s="6"/>
      <c r="AQ181" s="6"/>
      <c r="AR181" s="6"/>
      <c r="AS181" s="6"/>
      <c r="AT181" s="6"/>
      <c r="AU181" s="6"/>
      <c r="AV181" s="6"/>
      <c r="AW181" s="6"/>
      <c r="AX181" s="6"/>
      <c r="AY181" s="6"/>
    </row>
    <row r="182" ht="14.25" customHeight="1">
      <c r="A182" s="26" t="str">
        <f t="shared" si="1"/>
        <v>collection.gallery_3@1</v>
      </c>
      <c r="B182" s="26" t="str">
        <f t="array" ref="B182">_xlfn.XLOOKUP(A182,Targets!A:A,Targets!C:C,"")</f>
        <v>COLLECTION</v>
      </c>
      <c r="C182" s="64" t="b">
        <f>COUNTIF(Targets!A:A,A182)&gt;0</f>
        <v>1</v>
      </c>
      <c r="D182" s="64" t="b">
        <f>IF(
 OR(
  LEFT(A182,15)="state.character",
  RIGHT(A182,6)=".maxed"
 ),
 TRUE,
 COUNTIF(Checklist!A:A,A182)&gt;0
)</f>
        <v>1</v>
      </c>
      <c r="E182" s="64" t="b">
        <f>IF(
 OR(
  LEFT(A182,15)="state.character",
  RIGHT(A182,6)=".maxed",
  A182="building.guild@1",
  A182="quest.build_the_guild.accepted",
  A182="quest.build_the_pagoda.accepted"
 ),
 TRUE,
 COUNTIF(Dependencies!A:A,A182)&gt;0
)</f>
        <v>1</v>
      </c>
      <c r="F182" s="64" t="b">
        <f>COUNTIF(Dependencies!B:B,A182)&gt;0</f>
        <v>1</v>
      </c>
      <c r="G182" s="64" t="b">
        <f>COUNTIF(QuestObjectives!A:A,A182)&gt;0</f>
        <v>0</v>
      </c>
      <c r="H182" s="64" t="b">
        <f>COUNTIF(QuestObjectives!E:E,A182)&gt;0</f>
        <v>0</v>
      </c>
      <c r="I182" s="64" t="b">
        <f>COUNTIF(TargetStatus!A:A,A182)&gt;0</f>
        <v>1</v>
      </c>
      <c r="J182" s="64" t="b">
        <f>COUNTIF(CostStatus!B:B,A182)&gt;0</f>
        <v>1</v>
      </c>
      <c r="K182" s="64" t="b">
        <f>COUNTIF(States!A:A,A182)&gt;0</f>
        <v>0</v>
      </c>
      <c r="L182" s="64" t="b">
        <f t="shared" si="2"/>
        <v>1</v>
      </c>
      <c r="M182" s="64" t="b">
        <f>IF(A182="","",COUNTIF(Targets!A:A,A182)&gt;1)</f>
        <v>0</v>
      </c>
      <c r="N182" s="64" t="b">
        <f>IF(A182="","",COUNTIF(States!A:A,A182)&gt;1)</f>
        <v>0</v>
      </c>
      <c r="O182" s="64" t="b">
        <f>IFERROR(__xludf.DUMMYFUNCTION("IF(
 B182="""",
 """",
 SWITCH(
  B182,
  ""BUILDING"",COUNTIF(Buildings!A:A,A182)&gt;0,
  ""CITADEL"",COUNTIF(Citadel!A:A,A182)&gt;0,
  ""COLLECTION"",COUNTIF(Collections!A:A,A182)&gt;0,
  ""CRAFTIFACT"",COUNTIF(Craftifacts!A:A,A182)&gt;0,
  ""QUEST"",
   COUNTIF(
 "&amp;"   Quests!A:A,
    REGEXREPLACE(A182,""\.(accepted|finished)$"","""")
   )&gt;0,
  ""TECH"",COUNTIF(Technologies!A:A,A182)&gt;0,
  ""STATE"",COUNTIF(States!A:A,A182)&gt;0,
  FALSE
 )
)"),TRUE)</f>
        <v>1</v>
      </c>
      <c r="P182" s="64" t="str">
        <f t="shared" si="3"/>
        <v>Good</v>
      </c>
      <c r="Q182" s="65"/>
      <c r="R182" s="65"/>
      <c r="S182" s="65"/>
      <c r="T182" s="65"/>
      <c r="U182" s="6"/>
      <c r="V182" s="6" t="str">
        <f>IFERROR(__xludf.DUMMYFUNCTION("""COMPUTED_VALUE"""),"collection.gallery_3@1")</f>
        <v>collection.gallery_3@1</v>
      </c>
      <c r="W182" s="65"/>
      <c r="X182" s="65"/>
      <c r="Y182" s="65"/>
      <c r="Z182" s="65"/>
      <c r="AA182" s="65"/>
      <c r="AB182" s="65"/>
      <c r="AC182" s="65"/>
      <c r="AD182" s="6"/>
      <c r="AE182" s="6"/>
      <c r="AF182" s="6"/>
      <c r="AG182" s="6"/>
      <c r="AH182" s="6"/>
      <c r="AI182" s="6"/>
      <c r="AJ182" s="6"/>
      <c r="AK182" s="6"/>
      <c r="AL182" s="6"/>
      <c r="AM182" s="6"/>
      <c r="AN182" s="6"/>
      <c r="AO182" s="6"/>
      <c r="AP182" s="6"/>
      <c r="AQ182" s="6"/>
      <c r="AR182" s="6"/>
      <c r="AS182" s="6"/>
      <c r="AT182" s="6"/>
      <c r="AU182" s="6"/>
      <c r="AV182" s="6"/>
      <c r="AW182" s="6"/>
      <c r="AX182" s="6"/>
      <c r="AY182" s="6"/>
    </row>
    <row r="183" ht="14.25" customHeight="1">
      <c r="A183" s="26" t="str">
        <f t="shared" si="1"/>
        <v>collection.gallery_3@2</v>
      </c>
      <c r="B183" s="26" t="str">
        <f t="array" ref="B183">_xlfn.XLOOKUP(A183,Targets!A:A,Targets!C:C,"")</f>
        <v>COLLECTION</v>
      </c>
      <c r="C183" s="64" t="b">
        <f>COUNTIF(Targets!A:A,A183)&gt;0</f>
        <v>1</v>
      </c>
      <c r="D183" s="64" t="b">
        <f>IF(
 OR(
  LEFT(A183,15)="state.character",
  RIGHT(A183,6)=".maxed"
 ),
 TRUE,
 COUNTIF(Checklist!A:A,A183)&gt;0
)</f>
        <v>1</v>
      </c>
      <c r="E183" s="64" t="b">
        <f>IF(
 OR(
  LEFT(A183,15)="state.character",
  RIGHT(A183,6)=".maxed",
  A183="building.guild@1",
  A183="quest.build_the_guild.accepted",
  A183="quest.build_the_pagoda.accepted"
 ),
 TRUE,
 COUNTIF(Dependencies!A:A,A183)&gt;0
)</f>
        <v>1</v>
      </c>
      <c r="F183" s="64" t="b">
        <f>COUNTIF(Dependencies!B:B,A183)&gt;0</f>
        <v>1</v>
      </c>
      <c r="G183" s="64" t="b">
        <f>COUNTIF(QuestObjectives!A:A,A183)&gt;0</f>
        <v>0</v>
      </c>
      <c r="H183" s="64" t="b">
        <f>COUNTIF(QuestObjectives!E:E,A183)&gt;0</f>
        <v>0</v>
      </c>
      <c r="I183" s="64" t="b">
        <f>COUNTIF(TargetStatus!A:A,A183)&gt;0</f>
        <v>1</v>
      </c>
      <c r="J183" s="64" t="b">
        <f>COUNTIF(CostStatus!B:B,A183)&gt;0</f>
        <v>1</v>
      </c>
      <c r="K183" s="64" t="b">
        <f>COUNTIF(States!A:A,A183)&gt;0</f>
        <v>0</v>
      </c>
      <c r="L183" s="64" t="b">
        <f t="shared" si="2"/>
        <v>1</v>
      </c>
      <c r="M183" s="64" t="b">
        <f>IF(A183="","",COUNTIF(Targets!A:A,A183)&gt;1)</f>
        <v>0</v>
      </c>
      <c r="N183" s="64" t="b">
        <f>IF(A183="","",COUNTIF(States!A:A,A183)&gt;1)</f>
        <v>0</v>
      </c>
      <c r="O183" s="64" t="b">
        <f>IFERROR(__xludf.DUMMYFUNCTION("IF(
 B183="""",
 """",
 SWITCH(
  B183,
  ""BUILDING"",COUNTIF(Buildings!A:A,A183)&gt;0,
  ""CITADEL"",COUNTIF(Citadel!A:A,A183)&gt;0,
  ""COLLECTION"",COUNTIF(Collections!A:A,A183)&gt;0,
  ""CRAFTIFACT"",COUNTIF(Craftifacts!A:A,A183)&gt;0,
  ""QUEST"",
   COUNTIF(
 "&amp;"   Quests!A:A,
    REGEXREPLACE(A183,""\.(accepted|finished)$"","""")
   )&gt;0,
  ""TECH"",COUNTIF(Technologies!A:A,A183)&gt;0,
  ""STATE"",COUNTIF(States!A:A,A183)&gt;0,
  FALSE
 )
)"),TRUE)</f>
        <v>1</v>
      </c>
      <c r="P183" s="64" t="str">
        <f t="shared" si="3"/>
        <v>Good</v>
      </c>
      <c r="Q183" s="65"/>
      <c r="R183" s="65"/>
      <c r="S183" s="65"/>
      <c r="T183" s="65"/>
      <c r="U183" s="6"/>
      <c r="V183" s="6" t="str">
        <f>IFERROR(__xludf.DUMMYFUNCTION("""COMPUTED_VALUE"""),"collection.gallery_3@2")</f>
        <v>collection.gallery_3@2</v>
      </c>
      <c r="W183" s="65"/>
      <c r="X183" s="65"/>
      <c r="Y183" s="65"/>
      <c r="Z183" s="65"/>
      <c r="AA183" s="65"/>
      <c r="AB183" s="65"/>
      <c r="AC183" s="65"/>
      <c r="AD183" s="6"/>
      <c r="AE183" s="6"/>
      <c r="AF183" s="6"/>
      <c r="AG183" s="6"/>
      <c r="AH183" s="6"/>
      <c r="AI183" s="6"/>
      <c r="AJ183" s="6"/>
      <c r="AK183" s="6"/>
      <c r="AL183" s="6"/>
      <c r="AM183" s="6"/>
      <c r="AN183" s="6"/>
      <c r="AO183" s="6"/>
      <c r="AP183" s="6"/>
      <c r="AQ183" s="6"/>
      <c r="AR183" s="6"/>
      <c r="AS183" s="6"/>
      <c r="AT183" s="6"/>
      <c r="AU183" s="6"/>
      <c r="AV183" s="6"/>
      <c r="AW183" s="6"/>
      <c r="AX183" s="6"/>
      <c r="AY183" s="6"/>
    </row>
    <row r="184" ht="14.25" customHeight="1">
      <c r="A184" s="26" t="str">
        <f t="shared" si="1"/>
        <v>collection.gallery_3@3</v>
      </c>
      <c r="B184" s="26" t="str">
        <f t="array" ref="B184">_xlfn.XLOOKUP(A184,Targets!A:A,Targets!C:C,"")</f>
        <v>COLLECTION</v>
      </c>
      <c r="C184" s="64" t="b">
        <f>COUNTIF(Targets!A:A,A184)&gt;0</f>
        <v>1</v>
      </c>
      <c r="D184" s="64" t="b">
        <f>IF(
 OR(
  LEFT(A184,15)="state.character",
  RIGHT(A184,6)=".maxed"
 ),
 TRUE,
 COUNTIF(Checklist!A:A,A184)&gt;0
)</f>
        <v>1</v>
      </c>
      <c r="E184" s="64" t="b">
        <f>IF(
 OR(
  LEFT(A184,15)="state.character",
  RIGHT(A184,6)=".maxed",
  A184="building.guild@1",
  A184="quest.build_the_guild.accepted",
  A184="quest.build_the_pagoda.accepted"
 ),
 TRUE,
 COUNTIF(Dependencies!A:A,A184)&gt;0
)</f>
        <v>1</v>
      </c>
      <c r="F184" s="64" t="b">
        <f>COUNTIF(Dependencies!B:B,A184)&gt;0</f>
        <v>1</v>
      </c>
      <c r="G184" s="64" t="b">
        <f>COUNTIF(QuestObjectives!A:A,A184)&gt;0</f>
        <v>0</v>
      </c>
      <c r="H184" s="64" t="b">
        <f>COUNTIF(QuestObjectives!E:E,A184)&gt;0</f>
        <v>0</v>
      </c>
      <c r="I184" s="64" t="b">
        <f>COUNTIF(TargetStatus!A:A,A184)&gt;0</f>
        <v>1</v>
      </c>
      <c r="J184" s="64" t="b">
        <f>COUNTIF(CostStatus!B:B,A184)&gt;0</f>
        <v>1</v>
      </c>
      <c r="K184" s="64" t="b">
        <f>COUNTIF(States!A:A,A184)&gt;0</f>
        <v>0</v>
      </c>
      <c r="L184" s="64" t="b">
        <f t="shared" si="2"/>
        <v>1</v>
      </c>
      <c r="M184" s="64" t="b">
        <f>IF(A184="","",COUNTIF(Targets!A:A,A184)&gt;1)</f>
        <v>0</v>
      </c>
      <c r="N184" s="64" t="b">
        <f>IF(A184="","",COUNTIF(States!A:A,A184)&gt;1)</f>
        <v>0</v>
      </c>
      <c r="O184" s="64" t="b">
        <f>IFERROR(__xludf.DUMMYFUNCTION("IF(
 B184="""",
 """",
 SWITCH(
  B184,
  ""BUILDING"",COUNTIF(Buildings!A:A,A184)&gt;0,
  ""CITADEL"",COUNTIF(Citadel!A:A,A184)&gt;0,
  ""COLLECTION"",COUNTIF(Collections!A:A,A184)&gt;0,
  ""CRAFTIFACT"",COUNTIF(Craftifacts!A:A,A184)&gt;0,
  ""QUEST"",
   COUNTIF(
 "&amp;"   Quests!A:A,
    REGEXREPLACE(A184,""\.(accepted|finished)$"","""")
   )&gt;0,
  ""TECH"",COUNTIF(Technologies!A:A,A184)&gt;0,
  ""STATE"",COUNTIF(States!A:A,A184)&gt;0,
  FALSE
 )
)"),TRUE)</f>
        <v>1</v>
      </c>
      <c r="P184" s="64" t="str">
        <f t="shared" si="3"/>
        <v>Good</v>
      </c>
      <c r="Q184" s="65"/>
      <c r="R184" s="65"/>
      <c r="S184" s="65"/>
      <c r="T184" s="65"/>
      <c r="U184" s="6"/>
      <c r="V184" s="6" t="str">
        <f>IFERROR(__xludf.DUMMYFUNCTION("""COMPUTED_VALUE"""),"collection.gallery_3@3")</f>
        <v>collection.gallery_3@3</v>
      </c>
      <c r="W184" s="65"/>
      <c r="X184" s="65"/>
      <c r="Y184" s="65"/>
      <c r="Z184" s="65"/>
      <c r="AA184" s="65"/>
      <c r="AB184" s="65"/>
      <c r="AC184" s="65"/>
      <c r="AD184" s="6"/>
      <c r="AE184" s="6"/>
      <c r="AF184" s="6"/>
      <c r="AG184" s="6"/>
      <c r="AH184" s="6"/>
      <c r="AI184" s="6"/>
      <c r="AJ184" s="6"/>
      <c r="AK184" s="6"/>
      <c r="AL184" s="6"/>
      <c r="AM184" s="6"/>
      <c r="AN184" s="6"/>
      <c r="AO184" s="6"/>
      <c r="AP184" s="6"/>
      <c r="AQ184" s="6"/>
      <c r="AR184" s="6"/>
      <c r="AS184" s="6"/>
      <c r="AT184" s="6"/>
      <c r="AU184" s="6"/>
      <c r="AV184" s="6"/>
      <c r="AW184" s="6"/>
      <c r="AX184" s="6"/>
      <c r="AY184" s="6"/>
    </row>
    <row r="185" ht="14.25" customHeight="1">
      <c r="A185" s="26" t="str">
        <f t="shared" si="1"/>
        <v>collection.gallery_3@4</v>
      </c>
      <c r="B185" s="26" t="str">
        <f t="array" ref="B185">_xlfn.XLOOKUP(A185,Targets!A:A,Targets!C:C,"")</f>
        <v>COLLECTION</v>
      </c>
      <c r="C185" s="64" t="b">
        <f>COUNTIF(Targets!A:A,A185)&gt;0</f>
        <v>1</v>
      </c>
      <c r="D185" s="64" t="b">
        <f>IF(
 OR(
  LEFT(A185,15)="state.character",
  RIGHT(A185,6)=".maxed"
 ),
 TRUE,
 COUNTIF(Checklist!A:A,A185)&gt;0
)</f>
        <v>1</v>
      </c>
      <c r="E185" s="64" t="b">
        <f>IF(
 OR(
  LEFT(A185,15)="state.character",
  RIGHT(A185,6)=".maxed",
  A185="building.guild@1",
  A185="quest.build_the_guild.accepted",
  A185="quest.build_the_pagoda.accepted"
 ),
 TRUE,
 COUNTIF(Dependencies!A:A,A185)&gt;0
)</f>
        <v>1</v>
      </c>
      <c r="F185" s="64" t="b">
        <f>COUNTIF(Dependencies!B:B,A185)&gt;0</f>
        <v>1</v>
      </c>
      <c r="G185" s="64" t="b">
        <f>COUNTIF(QuestObjectives!A:A,A185)&gt;0</f>
        <v>0</v>
      </c>
      <c r="H185" s="64" t="b">
        <f>COUNTIF(QuestObjectives!E:E,A185)&gt;0</f>
        <v>0</v>
      </c>
      <c r="I185" s="64" t="b">
        <f>COUNTIF(TargetStatus!A:A,A185)&gt;0</f>
        <v>1</v>
      </c>
      <c r="J185" s="64" t="b">
        <f>COUNTIF(CostStatus!B:B,A185)&gt;0</f>
        <v>1</v>
      </c>
      <c r="K185" s="64" t="b">
        <f>COUNTIF(States!A:A,A185)&gt;0</f>
        <v>0</v>
      </c>
      <c r="L185" s="64" t="b">
        <f t="shared" si="2"/>
        <v>1</v>
      </c>
      <c r="M185" s="64" t="b">
        <f>IF(A185="","",COUNTIF(Targets!A:A,A185)&gt;1)</f>
        <v>0</v>
      </c>
      <c r="N185" s="64" t="b">
        <f>IF(A185="","",COUNTIF(States!A:A,A185)&gt;1)</f>
        <v>0</v>
      </c>
      <c r="O185" s="64" t="b">
        <f>IFERROR(__xludf.DUMMYFUNCTION("IF(
 B185="""",
 """",
 SWITCH(
  B185,
  ""BUILDING"",COUNTIF(Buildings!A:A,A185)&gt;0,
  ""CITADEL"",COUNTIF(Citadel!A:A,A185)&gt;0,
  ""COLLECTION"",COUNTIF(Collections!A:A,A185)&gt;0,
  ""CRAFTIFACT"",COUNTIF(Craftifacts!A:A,A185)&gt;0,
  ""QUEST"",
   COUNTIF(
 "&amp;"   Quests!A:A,
    REGEXREPLACE(A185,""\.(accepted|finished)$"","""")
   )&gt;0,
  ""TECH"",COUNTIF(Technologies!A:A,A185)&gt;0,
  ""STATE"",COUNTIF(States!A:A,A185)&gt;0,
  FALSE
 )
)"),TRUE)</f>
        <v>1</v>
      </c>
      <c r="P185" s="64" t="str">
        <f t="shared" si="3"/>
        <v>Good</v>
      </c>
      <c r="Q185" s="65"/>
      <c r="R185" s="65"/>
      <c r="S185" s="65"/>
      <c r="T185" s="65"/>
      <c r="U185" s="6"/>
      <c r="V185" s="6" t="str">
        <f>IFERROR(__xludf.DUMMYFUNCTION("""COMPUTED_VALUE"""),"collection.gallery_3@4")</f>
        <v>collection.gallery_3@4</v>
      </c>
      <c r="W185" s="65"/>
      <c r="X185" s="65"/>
      <c r="Y185" s="65"/>
      <c r="Z185" s="65"/>
      <c r="AA185" s="65"/>
      <c r="AB185" s="65"/>
      <c r="AC185" s="65"/>
      <c r="AD185" s="6"/>
      <c r="AE185" s="6"/>
      <c r="AF185" s="6"/>
      <c r="AG185" s="6"/>
      <c r="AH185" s="6"/>
      <c r="AI185" s="6"/>
      <c r="AJ185" s="6"/>
      <c r="AK185" s="6"/>
      <c r="AL185" s="6"/>
      <c r="AM185" s="6"/>
      <c r="AN185" s="6"/>
      <c r="AO185" s="6"/>
      <c r="AP185" s="6"/>
      <c r="AQ185" s="6"/>
      <c r="AR185" s="6"/>
      <c r="AS185" s="6"/>
      <c r="AT185" s="6"/>
      <c r="AU185" s="6"/>
      <c r="AV185" s="6"/>
      <c r="AW185" s="6"/>
      <c r="AX185" s="6"/>
      <c r="AY185" s="6"/>
    </row>
    <row r="186" ht="14.25" customHeight="1">
      <c r="A186" s="26" t="str">
        <f t="shared" si="1"/>
        <v>collection.gallery_3@5</v>
      </c>
      <c r="B186" s="26" t="str">
        <f t="array" ref="B186">_xlfn.XLOOKUP(A186,Targets!A:A,Targets!C:C,"")</f>
        <v>COLLECTION</v>
      </c>
      <c r="C186" s="64" t="b">
        <f>COUNTIF(Targets!A:A,A186)&gt;0</f>
        <v>1</v>
      </c>
      <c r="D186" s="64" t="b">
        <f>IF(
 OR(
  LEFT(A186,15)="state.character",
  RIGHT(A186,6)=".maxed"
 ),
 TRUE,
 COUNTIF(Checklist!A:A,A186)&gt;0
)</f>
        <v>1</v>
      </c>
      <c r="E186" s="64" t="b">
        <f>IF(
 OR(
  LEFT(A186,15)="state.character",
  RIGHT(A186,6)=".maxed",
  A186="building.guild@1",
  A186="quest.build_the_guild.accepted",
  A186="quest.build_the_pagoda.accepted"
 ),
 TRUE,
 COUNTIF(Dependencies!A:A,A186)&gt;0
)</f>
        <v>1</v>
      </c>
      <c r="F186" s="64" t="b">
        <f>COUNTIF(Dependencies!B:B,A186)&gt;0</f>
        <v>0</v>
      </c>
      <c r="G186" s="64" t="b">
        <f>COUNTIF(QuestObjectives!A:A,A186)&gt;0</f>
        <v>0</v>
      </c>
      <c r="H186" s="64" t="b">
        <f>COUNTIF(QuestObjectives!E:E,A186)&gt;0</f>
        <v>0</v>
      </c>
      <c r="I186" s="64" t="b">
        <f>COUNTIF(TargetStatus!A:A,A186)&gt;0</f>
        <v>1</v>
      </c>
      <c r="J186" s="64" t="b">
        <f>COUNTIF(CostStatus!B:B,A186)&gt;0</f>
        <v>1</v>
      </c>
      <c r="K186" s="64" t="b">
        <f>COUNTIF(States!A:A,A186)&gt;0</f>
        <v>0</v>
      </c>
      <c r="L186" s="64" t="b">
        <f t="shared" si="2"/>
        <v>1</v>
      </c>
      <c r="M186" s="64" t="b">
        <f>IF(A186="","",COUNTIF(Targets!A:A,A186)&gt;1)</f>
        <v>0</v>
      </c>
      <c r="N186" s="64" t="b">
        <f>IF(A186="","",COUNTIF(States!A:A,A186)&gt;1)</f>
        <v>0</v>
      </c>
      <c r="O186" s="64" t="b">
        <f>IFERROR(__xludf.DUMMYFUNCTION("IF(
 B186="""",
 """",
 SWITCH(
  B186,
  ""BUILDING"",COUNTIF(Buildings!A:A,A186)&gt;0,
  ""CITADEL"",COUNTIF(Citadel!A:A,A186)&gt;0,
  ""COLLECTION"",COUNTIF(Collections!A:A,A186)&gt;0,
  ""CRAFTIFACT"",COUNTIF(Craftifacts!A:A,A186)&gt;0,
  ""QUEST"",
   COUNTIF(
 "&amp;"   Quests!A:A,
    REGEXREPLACE(A186,""\.(accepted|finished)$"","""")
   )&gt;0,
  ""TECH"",COUNTIF(Technologies!A:A,A186)&gt;0,
  ""STATE"",COUNTIF(States!A:A,A186)&gt;0,
  FALSE
 )
)"),TRUE)</f>
        <v>1</v>
      </c>
      <c r="P186" s="64" t="str">
        <f t="shared" si="3"/>
        <v>Good</v>
      </c>
      <c r="Q186" s="65"/>
      <c r="R186" s="65"/>
      <c r="S186" s="65"/>
      <c r="T186" s="65"/>
      <c r="U186" s="6"/>
      <c r="V186" s="6" t="str">
        <f>IFERROR(__xludf.DUMMYFUNCTION("""COMPUTED_VALUE"""),"collection.gallery_3@5")</f>
        <v>collection.gallery_3@5</v>
      </c>
      <c r="W186" s="65"/>
      <c r="X186" s="65"/>
      <c r="Y186" s="65"/>
      <c r="Z186" s="65"/>
      <c r="AA186" s="65"/>
      <c r="AB186" s="65"/>
      <c r="AC186" s="65"/>
      <c r="AD186" s="6"/>
      <c r="AE186" s="6"/>
      <c r="AF186" s="6"/>
      <c r="AG186" s="6"/>
      <c r="AH186" s="6"/>
      <c r="AI186" s="6"/>
      <c r="AJ186" s="6"/>
      <c r="AK186" s="6"/>
      <c r="AL186" s="6"/>
      <c r="AM186" s="6"/>
      <c r="AN186" s="6"/>
      <c r="AO186" s="6"/>
      <c r="AP186" s="6"/>
      <c r="AQ186" s="6"/>
      <c r="AR186" s="6"/>
      <c r="AS186" s="6"/>
      <c r="AT186" s="6"/>
      <c r="AU186" s="6"/>
      <c r="AV186" s="6"/>
      <c r="AW186" s="6"/>
      <c r="AX186" s="6"/>
      <c r="AY186" s="6"/>
    </row>
    <row r="187" ht="14.25" customHeight="1">
      <c r="A187" s="26" t="str">
        <f t="shared" si="1"/>
        <v>collection.historical_library_1@1</v>
      </c>
      <c r="B187" s="26" t="str">
        <f t="array" ref="B187">_xlfn.XLOOKUP(A187,Targets!A:A,Targets!C:C,"")</f>
        <v>COLLECTION</v>
      </c>
      <c r="C187" s="64" t="b">
        <f>COUNTIF(Targets!A:A,A187)&gt;0</f>
        <v>1</v>
      </c>
      <c r="D187" s="64" t="b">
        <f>IF(
 OR(
  LEFT(A187,15)="state.character",
  RIGHT(A187,6)=".maxed"
 ),
 TRUE,
 COUNTIF(Checklist!A:A,A187)&gt;0
)</f>
        <v>1</v>
      </c>
      <c r="E187" s="64" t="b">
        <f>IF(
 OR(
  LEFT(A187,15)="state.character",
  RIGHT(A187,6)=".maxed",
  A187="building.guild@1",
  A187="quest.build_the_guild.accepted",
  A187="quest.build_the_pagoda.accepted"
 ),
 TRUE,
 COUNTIF(Dependencies!A:A,A187)&gt;0
)</f>
        <v>1</v>
      </c>
      <c r="F187" s="64" t="b">
        <f>COUNTIF(Dependencies!B:B,A187)&gt;0</f>
        <v>1</v>
      </c>
      <c r="G187" s="64" t="b">
        <f>COUNTIF(QuestObjectives!A:A,A187)&gt;0</f>
        <v>0</v>
      </c>
      <c r="H187" s="64" t="b">
        <f>COUNTIF(QuestObjectives!E:E,A187)&gt;0</f>
        <v>0</v>
      </c>
      <c r="I187" s="64" t="b">
        <f>COUNTIF(TargetStatus!A:A,A187)&gt;0</f>
        <v>1</v>
      </c>
      <c r="J187" s="64" t="b">
        <f>COUNTIF(CostStatus!B:B,A187)&gt;0</f>
        <v>1</v>
      </c>
      <c r="K187" s="64" t="b">
        <f>COUNTIF(States!A:A,A187)&gt;0</f>
        <v>0</v>
      </c>
      <c r="L187" s="64" t="b">
        <f t="shared" si="2"/>
        <v>1</v>
      </c>
      <c r="M187" s="64" t="b">
        <f>IF(A187="","",COUNTIF(Targets!A:A,A187)&gt;1)</f>
        <v>0</v>
      </c>
      <c r="N187" s="64" t="b">
        <f>IF(A187="","",COUNTIF(States!A:A,A187)&gt;1)</f>
        <v>0</v>
      </c>
      <c r="O187" s="64" t="b">
        <f>IFERROR(__xludf.DUMMYFUNCTION("IF(
 B187="""",
 """",
 SWITCH(
  B187,
  ""BUILDING"",COUNTIF(Buildings!A:A,A187)&gt;0,
  ""CITADEL"",COUNTIF(Citadel!A:A,A187)&gt;0,
  ""COLLECTION"",COUNTIF(Collections!A:A,A187)&gt;0,
  ""CRAFTIFACT"",COUNTIF(Craftifacts!A:A,A187)&gt;0,
  ""QUEST"",
   COUNTIF(
 "&amp;"   Quests!A:A,
    REGEXREPLACE(A187,""\.(accepted|finished)$"","""")
   )&gt;0,
  ""TECH"",COUNTIF(Technologies!A:A,A187)&gt;0,
  ""STATE"",COUNTIF(States!A:A,A187)&gt;0,
  FALSE
 )
)"),TRUE)</f>
        <v>1</v>
      </c>
      <c r="P187" s="64" t="str">
        <f t="shared" si="3"/>
        <v>Good</v>
      </c>
      <c r="Q187" s="65"/>
      <c r="R187" s="65"/>
      <c r="S187" s="65"/>
      <c r="T187" s="65"/>
      <c r="U187" s="6"/>
      <c r="V187" s="6" t="str">
        <f>IFERROR(__xludf.DUMMYFUNCTION("""COMPUTED_VALUE"""),"collection.historical_library_1@1")</f>
        <v>collection.historical_library_1@1</v>
      </c>
      <c r="W187" s="65"/>
      <c r="X187" s="65"/>
      <c r="Y187" s="65"/>
      <c r="Z187" s="65"/>
      <c r="AA187" s="65"/>
      <c r="AB187" s="65"/>
      <c r="AC187" s="65"/>
      <c r="AD187" s="6"/>
      <c r="AE187" s="6"/>
      <c r="AF187" s="6"/>
      <c r="AG187" s="6"/>
      <c r="AH187" s="6"/>
      <c r="AI187" s="6"/>
      <c r="AJ187" s="6"/>
      <c r="AK187" s="6"/>
      <c r="AL187" s="6"/>
      <c r="AM187" s="6"/>
      <c r="AN187" s="6"/>
      <c r="AO187" s="6"/>
      <c r="AP187" s="6"/>
      <c r="AQ187" s="6"/>
      <c r="AR187" s="6"/>
      <c r="AS187" s="6"/>
      <c r="AT187" s="6"/>
      <c r="AU187" s="6"/>
      <c r="AV187" s="6"/>
      <c r="AW187" s="6"/>
      <c r="AX187" s="6"/>
      <c r="AY187" s="6"/>
    </row>
    <row r="188" ht="14.25" customHeight="1">
      <c r="A188" s="26" t="str">
        <f t="shared" si="1"/>
        <v>collection.historical_library_1@2</v>
      </c>
      <c r="B188" s="26" t="str">
        <f t="array" ref="B188">_xlfn.XLOOKUP(A188,Targets!A:A,Targets!C:C,"")</f>
        <v>COLLECTION</v>
      </c>
      <c r="C188" s="64" t="b">
        <f>COUNTIF(Targets!A:A,A188)&gt;0</f>
        <v>1</v>
      </c>
      <c r="D188" s="64" t="b">
        <f>IF(
 OR(
  LEFT(A188,15)="state.character",
  RIGHT(A188,6)=".maxed"
 ),
 TRUE,
 COUNTIF(Checklist!A:A,A188)&gt;0
)</f>
        <v>1</v>
      </c>
      <c r="E188" s="64" t="b">
        <f>IF(
 OR(
  LEFT(A188,15)="state.character",
  RIGHT(A188,6)=".maxed",
  A188="building.guild@1",
  A188="quest.build_the_guild.accepted",
  A188="quest.build_the_pagoda.accepted"
 ),
 TRUE,
 COUNTIF(Dependencies!A:A,A188)&gt;0
)</f>
        <v>1</v>
      </c>
      <c r="F188" s="64" t="b">
        <f>COUNTIF(Dependencies!B:B,A188)&gt;0</f>
        <v>1</v>
      </c>
      <c r="G188" s="64" t="b">
        <f>COUNTIF(QuestObjectives!A:A,A188)&gt;0</f>
        <v>0</v>
      </c>
      <c r="H188" s="64" t="b">
        <f>COUNTIF(QuestObjectives!E:E,A188)&gt;0</f>
        <v>0</v>
      </c>
      <c r="I188" s="64" t="b">
        <f>COUNTIF(TargetStatus!A:A,A188)&gt;0</f>
        <v>1</v>
      </c>
      <c r="J188" s="64" t="b">
        <f>COUNTIF(CostStatus!B:B,A188)&gt;0</f>
        <v>1</v>
      </c>
      <c r="K188" s="64" t="b">
        <f>COUNTIF(States!A:A,A188)&gt;0</f>
        <v>0</v>
      </c>
      <c r="L188" s="64" t="b">
        <f t="shared" si="2"/>
        <v>1</v>
      </c>
      <c r="M188" s="64" t="b">
        <f>IF(A188="","",COUNTIF(Targets!A:A,A188)&gt;1)</f>
        <v>0</v>
      </c>
      <c r="N188" s="64" t="b">
        <f>IF(A188="","",COUNTIF(States!A:A,A188)&gt;1)</f>
        <v>0</v>
      </c>
      <c r="O188" s="64" t="b">
        <f>IFERROR(__xludf.DUMMYFUNCTION("IF(
 B188="""",
 """",
 SWITCH(
  B188,
  ""BUILDING"",COUNTIF(Buildings!A:A,A188)&gt;0,
  ""CITADEL"",COUNTIF(Citadel!A:A,A188)&gt;0,
  ""COLLECTION"",COUNTIF(Collections!A:A,A188)&gt;0,
  ""CRAFTIFACT"",COUNTIF(Craftifacts!A:A,A188)&gt;0,
  ""QUEST"",
   COUNTIF(
 "&amp;"   Quests!A:A,
    REGEXREPLACE(A188,""\.(accepted|finished)$"","""")
   )&gt;0,
  ""TECH"",COUNTIF(Technologies!A:A,A188)&gt;0,
  ""STATE"",COUNTIF(States!A:A,A188)&gt;0,
  FALSE
 )
)"),TRUE)</f>
        <v>1</v>
      </c>
      <c r="P188" s="64" t="str">
        <f t="shared" si="3"/>
        <v>Good</v>
      </c>
      <c r="Q188" s="65"/>
      <c r="R188" s="65"/>
      <c r="S188" s="65"/>
      <c r="T188" s="65"/>
      <c r="U188" s="6"/>
      <c r="V188" s="6" t="str">
        <f>IFERROR(__xludf.DUMMYFUNCTION("""COMPUTED_VALUE"""),"collection.historical_library_1@2")</f>
        <v>collection.historical_library_1@2</v>
      </c>
      <c r="W188" s="65"/>
      <c r="X188" s="65"/>
      <c r="Y188" s="65"/>
      <c r="Z188" s="65"/>
      <c r="AA188" s="65"/>
      <c r="AB188" s="65"/>
      <c r="AC188" s="65"/>
      <c r="AD188" s="6"/>
      <c r="AE188" s="6"/>
      <c r="AF188" s="6"/>
      <c r="AG188" s="6"/>
      <c r="AH188" s="6"/>
      <c r="AI188" s="6"/>
      <c r="AJ188" s="6"/>
      <c r="AK188" s="6"/>
      <c r="AL188" s="6"/>
      <c r="AM188" s="6"/>
      <c r="AN188" s="6"/>
      <c r="AO188" s="6"/>
      <c r="AP188" s="6"/>
      <c r="AQ188" s="6"/>
      <c r="AR188" s="6"/>
      <c r="AS188" s="6"/>
      <c r="AT188" s="6"/>
      <c r="AU188" s="6"/>
      <c r="AV188" s="6"/>
      <c r="AW188" s="6"/>
      <c r="AX188" s="6"/>
      <c r="AY188" s="6"/>
    </row>
    <row r="189" ht="14.25" customHeight="1">
      <c r="A189" s="26" t="str">
        <f t="shared" si="1"/>
        <v>collection.historical_library_1@3</v>
      </c>
      <c r="B189" s="26" t="str">
        <f t="array" ref="B189">_xlfn.XLOOKUP(A189,Targets!A:A,Targets!C:C,"")</f>
        <v>COLLECTION</v>
      </c>
      <c r="C189" s="64" t="b">
        <f>COUNTIF(Targets!A:A,A189)&gt;0</f>
        <v>1</v>
      </c>
      <c r="D189" s="64" t="b">
        <f>IF(
 OR(
  LEFT(A189,15)="state.character",
  RIGHT(A189,6)=".maxed"
 ),
 TRUE,
 COUNTIF(Checklist!A:A,A189)&gt;0
)</f>
        <v>1</v>
      </c>
      <c r="E189" s="64" t="b">
        <f>IF(
 OR(
  LEFT(A189,15)="state.character",
  RIGHT(A189,6)=".maxed",
  A189="building.guild@1",
  A189="quest.build_the_guild.accepted",
  A189="quest.build_the_pagoda.accepted"
 ),
 TRUE,
 COUNTIF(Dependencies!A:A,A189)&gt;0
)</f>
        <v>1</v>
      </c>
      <c r="F189" s="64" t="b">
        <f>COUNTIF(Dependencies!B:B,A189)&gt;0</f>
        <v>0</v>
      </c>
      <c r="G189" s="64" t="b">
        <f>COUNTIF(QuestObjectives!A:A,A189)&gt;0</f>
        <v>0</v>
      </c>
      <c r="H189" s="64" t="b">
        <f>COUNTIF(QuestObjectives!E:E,A189)&gt;0</f>
        <v>0</v>
      </c>
      <c r="I189" s="64" t="b">
        <f>COUNTIF(TargetStatus!A:A,A189)&gt;0</f>
        <v>1</v>
      </c>
      <c r="J189" s="64" t="b">
        <f>COUNTIF(CostStatus!B:B,A189)&gt;0</f>
        <v>1</v>
      </c>
      <c r="K189" s="64" t="b">
        <f>COUNTIF(States!A:A,A189)&gt;0</f>
        <v>0</v>
      </c>
      <c r="L189" s="64" t="b">
        <f t="shared" si="2"/>
        <v>1</v>
      </c>
      <c r="M189" s="64" t="b">
        <f>IF(A189="","",COUNTIF(Targets!A:A,A189)&gt;1)</f>
        <v>0</v>
      </c>
      <c r="N189" s="64" t="b">
        <f>IF(A189="","",COUNTIF(States!A:A,A189)&gt;1)</f>
        <v>0</v>
      </c>
      <c r="O189" s="64" t="b">
        <f>IFERROR(__xludf.DUMMYFUNCTION("IF(
 B189="""",
 """",
 SWITCH(
  B189,
  ""BUILDING"",COUNTIF(Buildings!A:A,A189)&gt;0,
  ""CITADEL"",COUNTIF(Citadel!A:A,A189)&gt;0,
  ""COLLECTION"",COUNTIF(Collections!A:A,A189)&gt;0,
  ""CRAFTIFACT"",COUNTIF(Craftifacts!A:A,A189)&gt;0,
  ""QUEST"",
   COUNTIF(
 "&amp;"   Quests!A:A,
    REGEXREPLACE(A189,""\.(accepted|finished)$"","""")
   )&gt;0,
  ""TECH"",COUNTIF(Technologies!A:A,A189)&gt;0,
  ""STATE"",COUNTIF(States!A:A,A189)&gt;0,
  FALSE
 )
)"),TRUE)</f>
        <v>1</v>
      </c>
      <c r="P189" s="64" t="str">
        <f t="shared" si="3"/>
        <v>Good</v>
      </c>
      <c r="Q189" s="65"/>
      <c r="R189" s="65"/>
      <c r="S189" s="65"/>
      <c r="T189" s="65"/>
      <c r="U189" s="6"/>
      <c r="V189" s="6" t="str">
        <f>IFERROR(__xludf.DUMMYFUNCTION("""COMPUTED_VALUE"""),"collection.historical_library_1@3")</f>
        <v>collection.historical_library_1@3</v>
      </c>
      <c r="W189" s="65"/>
      <c r="X189" s="65"/>
      <c r="Y189" s="65"/>
      <c r="Z189" s="65"/>
      <c r="AA189" s="65"/>
      <c r="AB189" s="65"/>
      <c r="AC189" s="65"/>
      <c r="AD189" s="6"/>
      <c r="AE189" s="6"/>
      <c r="AF189" s="6"/>
      <c r="AG189" s="6"/>
      <c r="AH189" s="6"/>
      <c r="AI189" s="6"/>
      <c r="AJ189" s="6"/>
      <c r="AK189" s="6"/>
      <c r="AL189" s="6"/>
      <c r="AM189" s="6"/>
      <c r="AN189" s="6"/>
      <c r="AO189" s="6"/>
      <c r="AP189" s="6"/>
      <c r="AQ189" s="6"/>
      <c r="AR189" s="6"/>
      <c r="AS189" s="6"/>
      <c r="AT189" s="6"/>
      <c r="AU189" s="6"/>
      <c r="AV189" s="6"/>
      <c r="AW189" s="6"/>
      <c r="AX189" s="6"/>
      <c r="AY189" s="6"/>
    </row>
    <row r="190" ht="14.25" customHeight="1">
      <c r="A190" s="26" t="str">
        <f t="shared" si="1"/>
        <v>collection.historical_library_2@1</v>
      </c>
      <c r="B190" s="26" t="str">
        <f t="array" ref="B190">_xlfn.XLOOKUP(A190,Targets!A:A,Targets!C:C,"")</f>
        <v>COLLECTION</v>
      </c>
      <c r="C190" s="64" t="b">
        <f>COUNTIF(Targets!A:A,A190)&gt;0</f>
        <v>1</v>
      </c>
      <c r="D190" s="64" t="b">
        <f>IF(
 OR(
  LEFT(A190,15)="state.character",
  RIGHT(A190,6)=".maxed"
 ),
 TRUE,
 COUNTIF(Checklist!A:A,A190)&gt;0
)</f>
        <v>1</v>
      </c>
      <c r="E190" s="64" t="b">
        <f>IF(
 OR(
  LEFT(A190,15)="state.character",
  RIGHT(A190,6)=".maxed",
  A190="building.guild@1",
  A190="quest.build_the_guild.accepted",
  A190="quest.build_the_pagoda.accepted"
 ),
 TRUE,
 COUNTIF(Dependencies!A:A,A190)&gt;0
)</f>
        <v>1</v>
      </c>
      <c r="F190" s="64" t="b">
        <f>COUNTIF(Dependencies!B:B,A190)&gt;0</f>
        <v>1</v>
      </c>
      <c r="G190" s="64" t="b">
        <f>COUNTIF(QuestObjectives!A:A,A190)&gt;0</f>
        <v>0</v>
      </c>
      <c r="H190" s="64" t="b">
        <f>COUNTIF(QuestObjectives!E:E,A190)&gt;0</f>
        <v>0</v>
      </c>
      <c r="I190" s="64" t="b">
        <f>COUNTIF(TargetStatus!A:A,A190)&gt;0</f>
        <v>1</v>
      </c>
      <c r="J190" s="64" t="b">
        <f>COUNTIF(CostStatus!B:B,A190)&gt;0</f>
        <v>1</v>
      </c>
      <c r="K190" s="64" t="b">
        <f>COUNTIF(States!A:A,A190)&gt;0</f>
        <v>0</v>
      </c>
      <c r="L190" s="64" t="b">
        <f t="shared" si="2"/>
        <v>1</v>
      </c>
      <c r="M190" s="64" t="b">
        <f>IF(A190="","",COUNTIF(Targets!A:A,A190)&gt;1)</f>
        <v>0</v>
      </c>
      <c r="N190" s="64" t="b">
        <f>IF(A190="","",COUNTIF(States!A:A,A190)&gt;1)</f>
        <v>0</v>
      </c>
      <c r="O190" s="64" t="b">
        <f>IFERROR(__xludf.DUMMYFUNCTION("IF(
 B190="""",
 """",
 SWITCH(
  B190,
  ""BUILDING"",COUNTIF(Buildings!A:A,A190)&gt;0,
  ""CITADEL"",COUNTIF(Citadel!A:A,A190)&gt;0,
  ""COLLECTION"",COUNTIF(Collections!A:A,A190)&gt;0,
  ""CRAFTIFACT"",COUNTIF(Craftifacts!A:A,A190)&gt;0,
  ""QUEST"",
   COUNTIF(
 "&amp;"   Quests!A:A,
    REGEXREPLACE(A190,""\.(accepted|finished)$"","""")
   )&gt;0,
  ""TECH"",COUNTIF(Technologies!A:A,A190)&gt;0,
  ""STATE"",COUNTIF(States!A:A,A190)&gt;0,
  FALSE
 )
)"),TRUE)</f>
        <v>1</v>
      </c>
      <c r="P190" s="64" t="str">
        <f t="shared" si="3"/>
        <v>Good</v>
      </c>
      <c r="Q190" s="65"/>
      <c r="R190" s="65"/>
      <c r="S190" s="65"/>
      <c r="T190" s="65"/>
      <c r="U190" s="6"/>
      <c r="V190" s="6" t="str">
        <f>IFERROR(__xludf.DUMMYFUNCTION("""COMPUTED_VALUE"""),"collection.historical_library_2@1")</f>
        <v>collection.historical_library_2@1</v>
      </c>
      <c r="W190" s="65"/>
      <c r="X190" s="65"/>
      <c r="Y190" s="65"/>
      <c r="Z190" s="65"/>
      <c r="AA190" s="65"/>
      <c r="AB190" s="65"/>
      <c r="AC190" s="65"/>
      <c r="AD190" s="6"/>
      <c r="AE190" s="6"/>
      <c r="AF190" s="6"/>
      <c r="AG190" s="6"/>
      <c r="AH190" s="6"/>
      <c r="AI190" s="6"/>
      <c r="AJ190" s="6"/>
      <c r="AK190" s="6"/>
      <c r="AL190" s="6"/>
      <c r="AM190" s="6"/>
      <c r="AN190" s="6"/>
      <c r="AO190" s="6"/>
      <c r="AP190" s="6"/>
      <c r="AQ190" s="6"/>
      <c r="AR190" s="6"/>
      <c r="AS190" s="6"/>
      <c r="AT190" s="6"/>
      <c r="AU190" s="6"/>
      <c r="AV190" s="6"/>
      <c r="AW190" s="6"/>
      <c r="AX190" s="6"/>
      <c r="AY190" s="6"/>
    </row>
    <row r="191" ht="14.25" customHeight="1">
      <c r="A191" s="26" t="str">
        <f t="shared" si="1"/>
        <v>collection.historical_library_2@2</v>
      </c>
      <c r="B191" s="26" t="str">
        <f t="array" ref="B191">_xlfn.XLOOKUP(A191,Targets!A:A,Targets!C:C,"")</f>
        <v>COLLECTION</v>
      </c>
      <c r="C191" s="64" t="b">
        <f>COUNTIF(Targets!A:A,A191)&gt;0</f>
        <v>1</v>
      </c>
      <c r="D191" s="64" t="b">
        <f>IF(
 OR(
  LEFT(A191,15)="state.character",
  RIGHT(A191,6)=".maxed"
 ),
 TRUE,
 COUNTIF(Checklist!A:A,A191)&gt;0
)</f>
        <v>1</v>
      </c>
      <c r="E191" s="64" t="b">
        <f>IF(
 OR(
  LEFT(A191,15)="state.character",
  RIGHT(A191,6)=".maxed",
  A191="building.guild@1",
  A191="quest.build_the_guild.accepted",
  A191="quest.build_the_pagoda.accepted"
 ),
 TRUE,
 COUNTIF(Dependencies!A:A,A191)&gt;0
)</f>
        <v>1</v>
      </c>
      <c r="F191" s="64" t="b">
        <f>COUNTIF(Dependencies!B:B,A191)&gt;0</f>
        <v>1</v>
      </c>
      <c r="G191" s="64" t="b">
        <f>COUNTIF(QuestObjectives!A:A,A191)&gt;0</f>
        <v>0</v>
      </c>
      <c r="H191" s="64" t="b">
        <f>COUNTIF(QuestObjectives!E:E,A191)&gt;0</f>
        <v>0</v>
      </c>
      <c r="I191" s="64" t="b">
        <f>COUNTIF(TargetStatus!A:A,A191)&gt;0</f>
        <v>1</v>
      </c>
      <c r="J191" s="64" t="b">
        <f>COUNTIF(CostStatus!B:B,A191)&gt;0</f>
        <v>1</v>
      </c>
      <c r="K191" s="64" t="b">
        <f>COUNTIF(States!A:A,A191)&gt;0</f>
        <v>0</v>
      </c>
      <c r="L191" s="64" t="b">
        <f t="shared" si="2"/>
        <v>1</v>
      </c>
      <c r="M191" s="64" t="b">
        <f>IF(A191="","",COUNTIF(Targets!A:A,A191)&gt;1)</f>
        <v>0</v>
      </c>
      <c r="N191" s="64" t="b">
        <f>IF(A191="","",COUNTIF(States!A:A,A191)&gt;1)</f>
        <v>0</v>
      </c>
      <c r="O191" s="64" t="b">
        <f>IFERROR(__xludf.DUMMYFUNCTION("IF(
 B191="""",
 """",
 SWITCH(
  B191,
  ""BUILDING"",COUNTIF(Buildings!A:A,A191)&gt;0,
  ""CITADEL"",COUNTIF(Citadel!A:A,A191)&gt;0,
  ""COLLECTION"",COUNTIF(Collections!A:A,A191)&gt;0,
  ""CRAFTIFACT"",COUNTIF(Craftifacts!A:A,A191)&gt;0,
  ""QUEST"",
   COUNTIF(
 "&amp;"   Quests!A:A,
    REGEXREPLACE(A191,""\.(accepted|finished)$"","""")
   )&gt;0,
  ""TECH"",COUNTIF(Technologies!A:A,A191)&gt;0,
  ""STATE"",COUNTIF(States!A:A,A191)&gt;0,
  FALSE
 )
)"),TRUE)</f>
        <v>1</v>
      </c>
      <c r="P191" s="64" t="str">
        <f t="shared" si="3"/>
        <v>Good</v>
      </c>
      <c r="Q191" s="65"/>
      <c r="R191" s="65"/>
      <c r="S191" s="65"/>
      <c r="T191" s="65"/>
      <c r="U191" s="6"/>
      <c r="V191" s="6" t="str">
        <f>IFERROR(__xludf.DUMMYFUNCTION("""COMPUTED_VALUE"""),"collection.historical_library_2@2")</f>
        <v>collection.historical_library_2@2</v>
      </c>
      <c r="W191" s="65"/>
      <c r="X191" s="65"/>
      <c r="Y191" s="65"/>
      <c r="Z191" s="65"/>
      <c r="AA191" s="65"/>
      <c r="AB191" s="65"/>
      <c r="AC191" s="65"/>
      <c r="AD191" s="6"/>
      <c r="AE191" s="6"/>
      <c r="AF191" s="6"/>
      <c r="AG191" s="6"/>
      <c r="AH191" s="6"/>
      <c r="AI191" s="6"/>
      <c r="AJ191" s="6"/>
      <c r="AK191" s="6"/>
      <c r="AL191" s="6"/>
      <c r="AM191" s="6"/>
      <c r="AN191" s="6"/>
      <c r="AO191" s="6"/>
      <c r="AP191" s="6"/>
      <c r="AQ191" s="6"/>
      <c r="AR191" s="6"/>
      <c r="AS191" s="6"/>
      <c r="AT191" s="6"/>
      <c r="AU191" s="6"/>
      <c r="AV191" s="6"/>
      <c r="AW191" s="6"/>
      <c r="AX191" s="6"/>
      <c r="AY191" s="6"/>
    </row>
    <row r="192" ht="14.25" customHeight="1">
      <c r="A192" s="26" t="str">
        <f t="shared" si="1"/>
        <v>collection.historical_library_2@3</v>
      </c>
      <c r="B192" s="26" t="str">
        <f t="array" ref="B192">_xlfn.XLOOKUP(A192,Targets!A:A,Targets!C:C,"")</f>
        <v>COLLECTION</v>
      </c>
      <c r="C192" s="64" t="b">
        <f>COUNTIF(Targets!A:A,A192)&gt;0</f>
        <v>1</v>
      </c>
      <c r="D192" s="64" t="b">
        <f>IF(
 OR(
  LEFT(A192,15)="state.character",
  RIGHT(A192,6)=".maxed"
 ),
 TRUE,
 COUNTIF(Checklist!A:A,A192)&gt;0
)</f>
        <v>1</v>
      </c>
      <c r="E192" s="64" t="b">
        <f>IF(
 OR(
  LEFT(A192,15)="state.character",
  RIGHT(A192,6)=".maxed",
  A192="building.guild@1",
  A192="quest.build_the_guild.accepted",
  A192="quest.build_the_pagoda.accepted"
 ),
 TRUE,
 COUNTIF(Dependencies!A:A,A192)&gt;0
)</f>
        <v>1</v>
      </c>
      <c r="F192" s="64" t="b">
        <f>COUNTIF(Dependencies!B:B,A192)&gt;0</f>
        <v>0</v>
      </c>
      <c r="G192" s="64" t="b">
        <f>COUNTIF(QuestObjectives!A:A,A192)&gt;0</f>
        <v>0</v>
      </c>
      <c r="H192" s="64" t="b">
        <f>COUNTIF(QuestObjectives!E:E,A192)&gt;0</f>
        <v>0</v>
      </c>
      <c r="I192" s="64" t="b">
        <f>COUNTIF(TargetStatus!A:A,A192)&gt;0</f>
        <v>1</v>
      </c>
      <c r="J192" s="64" t="b">
        <f>COUNTIF(CostStatus!B:B,A192)&gt;0</f>
        <v>1</v>
      </c>
      <c r="K192" s="64" t="b">
        <f>COUNTIF(States!A:A,A192)&gt;0</f>
        <v>0</v>
      </c>
      <c r="L192" s="64" t="b">
        <f t="shared" si="2"/>
        <v>1</v>
      </c>
      <c r="M192" s="64" t="b">
        <f>IF(A192="","",COUNTIF(Targets!A:A,A192)&gt;1)</f>
        <v>0</v>
      </c>
      <c r="N192" s="64" t="b">
        <f>IF(A192="","",COUNTIF(States!A:A,A192)&gt;1)</f>
        <v>0</v>
      </c>
      <c r="O192" s="64" t="b">
        <f>IFERROR(__xludf.DUMMYFUNCTION("IF(
 B192="""",
 """",
 SWITCH(
  B192,
  ""BUILDING"",COUNTIF(Buildings!A:A,A192)&gt;0,
  ""CITADEL"",COUNTIF(Citadel!A:A,A192)&gt;0,
  ""COLLECTION"",COUNTIF(Collections!A:A,A192)&gt;0,
  ""CRAFTIFACT"",COUNTIF(Craftifacts!A:A,A192)&gt;0,
  ""QUEST"",
   COUNTIF(
 "&amp;"   Quests!A:A,
    REGEXREPLACE(A192,""\.(accepted|finished)$"","""")
   )&gt;0,
  ""TECH"",COUNTIF(Technologies!A:A,A192)&gt;0,
  ""STATE"",COUNTIF(States!A:A,A192)&gt;0,
  FALSE
 )
)"),TRUE)</f>
        <v>1</v>
      </c>
      <c r="P192" s="64" t="str">
        <f t="shared" si="3"/>
        <v>Good</v>
      </c>
      <c r="Q192" s="65"/>
      <c r="R192" s="65"/>
      <c r="S192" s="65"/>
      <c r="T192" s="65"/>
      <c r="U192" s="6"/>
      <c r="V192" s="6" t="str">
        <f>IFERROR(__xludf.DUMMYFUNCTION("""COMPUTED_VALUE"""),"collection.historical_library_2@3")</f>
        <v>collection.historical_library_2@3</v>
      </c>
      <c r="W192" s="65"/>
      <c r="X192" s="65"/>
      <c r="Y192" s="65"/>
      <c r="Z192" s="65"/>
      <c r="AA192" s="65"/>
      <c r="AB192" s="65"/>
      <c r="AC192" s="65"/>
      <c r="AD192" s="6"/>
      <c r="AE192" s="6"/>
      <c r="AF192" s="6"/>
      <c r="AG192" s="6"/>
      <c r="AH192" s="6"/>
      <c r="AI192" s="6"/>
      <c r="AJ192" s="6"/>
      <c r="AK192" s="6"/>
      <c r="AL192" s="6"/>
      <c r="AM192" s="6"/>
      <c r="AN192" s="6"/>
      <c r="AO192" s="6"/>
      <c r="AP192" s="6"/>
      <c r="AQ192" s="6"/>
      <c r="AR192" s="6"/>
      <c r="AS192" s="6"/>
      <c r="AT192" s="6"/>
      <c r="AU192" s="6"/>
      <c r="AV192" s="6"/>
      <c r="AW192" s="6"/>
      <c r="AX192" s="6"/>
      <c r="AY192" s="6"/>
    </row>
    <row r="193" ht="14.25" customHeight="1">
      <c r="A193" s="26" t="str">
        <f t="shared" si="1"/>
        <v>collection.horse@1</v>
      </c>
      <c r="B193" s="26" t="str">
        <f t="array" ref="B193">_xlfn.XLOOKUP(A193,Targets!A:A,Targets!C:C,"")</f>
        <v>COLLECTION</v>
      </c>
      <c r="C193" s="64" t="b">
        <f>COUNTIF(Targets!A:A,A193)&gt;0</f>
        <v>1</v>
      </c>
      <c r="D193" s="64" t="b">
        <f>IF(
 OR(
  LEFT(A193,15)="state.character",
  RIGHT(A193,6)=".maxed"
 ),
 TRUE,
 COUNTIF(Checklist!A:A,A193)&gt;0
)</f>
        <v>1</v>
      </c>
      <c r="E193" s="64" t="b">
        <f>IF(
 OR(
  LEFT(A193,15)="state.character",
  RIGHT(A193,6)=".maxed",
  A193="building.guild@1",
  A193="quest.build_the_guild.accepted",
  A193="quest.build_the_pagoda.accepted"
 ),
 TRUE,
 COUNTIF(Dependencies!A:A,A193)&gt;0
)</f>
        <v>1</v>
      </c>
      <c r="F193" s="64" t="b">
        <f>COUNTIF(Dependencies!B:B,A193)&gt;0</f>
        <v>0</v>
      </c>
      <c r="G193" s="64" t="b">
        <f>COUNTIF(QuestObjectives!A:A,A193)&gt;0</f>
        <v>0</v>
      </c>
      <c r="H193" s="64" t="b">
        <f>COUNTIF(QuestObjectives!E:E,A193)&gt;0</f>
        <v>0</v>
      </c>
      <c r="I193" s="64" t="b">
        <f>COUNTIF(TargetStatus!A:A,A193)&gt;0</f>
        <v>1</v>
      </c>
      <c r="J193" s="64" t="b">
        <f>COUNTIF(CostStatus!B:B,A193)&gt;0</f>
        <v>1</v>
      </c>
      <c r="K193" s="64" t="b">
        <f>COUNTIF(States!A:A,A193)&gt;0</f>
        <v>0</v>
      </c>
      <c r="L193" s="64" t="b">
        <f t="shared" si="2"/>
        <v>1</v>
      </c>
      <c r="M193" s="64" t="b">
        <f>IF(A193="","",COUNTIF(Targets!A:A,A193)&gt;1)</f>
        <v>0</v>
      </c>
      <c r="N193" s="64" t="b">
        <f>IF(A193="","",COUNTIF(States!A:A,A193)&gt;1)</f>
        <v>0</v>
      </c>
      <c r="O193" s="64" t="b">
        <f>IFERROR(__xludf.DUMMYFUNCTION("IF(
 B193="""",
 """",
 SWITCH(
  B193,
  ""BUILDING"",COUNTIF(Buildings!A:A,A193)&gt;0,
  ""CITADEL"",COUNTIF(Citadel!A:A,A193)&gt;0,
  ""COLLECTION"",COUNTIF(Collections!A:A,A193)&gt;0,
  ""CRAFTIFACT"",COUNTIF(Craftifacts!A:A,A193)&gt;0,
  ""QUEST"",
   COUNTIF(
 "&amp;"   Quests!A:A,
    REGEXREPLACE(A193,""\.(accepted|finished)$"","""")
   )&gt;0,
  ""TECH"",COUNTIF(Technologies!A:A,A193)&gt;0,
  ""STATE"",COUNTIF(States!A:A,A193)&gt;0,
  FALSE
 )
)"),TRUE)</f>
        <v>1</v>
      </c>
      <c r="P193" s="64" t="str">
        <f t="shared" si="3"/>
        <v>Good</v>
      </c>
      <c r="Q193" s="65"/>
      <c r="R193" s="65"/>
      <c r="S193" s="65"/>
      <c r="T193" s="65"/>
      <c r="U193" s="6"/>
      <c r="V193" s="6" t="str">
        <f>IFERROR(__xludf.DUMMYFUNCTION("""COMPUTED_VALUE"""),"collection.horse@1")</f>
        <v>collection.horse@1</v>
      </c>
      <c r="W193" s="65"/>
      <c r="X193" s="65"/>
      <c r="Y193" s="65"/>
      <c r="Z193" s="65"/>
      <c r="AA193" s="65"/>
      <c r="AB193" s="65"/>
      <c r="AC193" s="65"/>
      <c r="AD193" s="6"/>
      <c r="AE193" s="6"/>
      <c r="AF193" s="6"/>
      <c r="AG193" s="6"/>
      <c r="AH193" s="6"/>
      <c r="AI193" s="6"/>
      <c r="AJ193" s="6"/>
      <c r="AK193" s="6"/>
      <c r="AL193" s="6"/>
      <c r="AM193" s="6"/>
      <c r="AN193" s="6"/>
      <c r="AO193" s="6"/>
      <c r="AP193" s="6"/>
      <c r="AQ193" s="6"/>
      <c r="AR193" s="6"/>
      <c r="AS193" s="6"/>
      <c r="AT193" s="6"/>
      <c r="AU193" s="6"/>
      <c r="AV193" s="6"/>
      <c r="AW193" s="6"/>
      <c r="AX193" s="6"/>
      <c r="AY193" s="6"/>
    </row>
    <row r="194" ht="14.25" customHeight="1">
      <c r="A194" s="26" t="str">
        <f t="shared" si="1"/>
        <v>collection.kitchen_and_buttery_1@1</v>
      </c>
      <c r="B194" s="26" t="str">
        <f t="array" ref="B194">_xlfn.XLOOKUP(A194,Targets!A:A,Targets!C:C,"")</f>
        <v>COLLECTION</v>
      </c>
      <c r="C194" s="64" t="b">
        <f>COUNTIF(Targets!A:A,A194)&gt;0</f>
        <v>1</v>
      </c>
      <c r="D194" s="64" t="b">
        <f>IF(
 OR(
  LEFT(A194,15)="state.character",
  RIGHT(A194,6)=".maxed"
 ),
 TRUE,
 COUNTIF(Checklist!A:A,A194)&gt;0
)</f>
        <v>1</v>
      </c>
      <c r="E194" s="64" t="b">
        <f>IF(
 OR(
  LEFT(A194,15)="state.character",
  RIGHT(A194,6)=".maxed",
  A194="building.guild@1",
  A194="quest.build_the_guild.accepted",
  A194="quest.build_the_pagoda.accepted"
 ),
 TRUE,
 COUNTIF(Dependencies!A:A,A194)&gt;0
)</f>
        <v>1</v>
      </c>
      <c r="F194" s="64" t="b">
        <f>COUNTIF(Dependencies!B:B,A194)&gt;0</f>
        <v>1</v>
      </c>
      <c r="G194" s="64" t="b">
        <f>COUNTIF(QuestObjectives!A:A,A194)&gt;0</f>
        <v>0</v>
      </c>
      <c r="H194" s="64" t="b">
        <f>COUNTIF(QuestObjectives!E:E,A194)&gt;0</f>
        <v>0</v>
      </c>
      <c r="I194" s="64" t="b">
        <f>COUNTIF(TargetStatus!A:A,A194)&gt;0</f>
        <v>1</v>
      </c>
      <c r="J194" s="64" t="b">
        <f>COUNTIF(CostStatus!B:B,A194)&gt;0</f>
        <v>1</v>
      </c>
      <c r="K194" s="64" t="b">
        <f>COUNTIF(States!A:A,A194)&gt;0</f>
        <v>0</v>
      </c>
      <c r="L194" s="64" t="b">
        <f t="shared" si="2"/>
        <v>1</v>
      </c>
      <c r="M194" s="64" t="b">
        <f>IF(A194="","",COUNTIF(Targets!A:A,A194)&gt;1)</f>
        <v>0</v>
      </c>
      <c r="N194" s="64" t="b">
        <f>IF(A194="","",COUNTIF(States!A:A,A194)&gt;1)</f>
        <v>0</v>
      </c>
      <c r="O194" s="64" t="b">
        <f>IFERROR(__xludf.DUMMYFUNCTION("IF(
 B194="""",
 """",
 SWITCH(
  B194,
  ""BUILDING"",COUNTIF(Buildings!A:A,A194)&gt;0,
  ""CITADEL"",COUNTIF(Citadel!A:A,A194)&gt;0,
  ""COLLECTION"",COUNTIF(Collections!A:A,A194)&gt;0,
  ""CRAFTIFACT"",COUNTIF(Craftifacts!A:A,A194)&gt;0,
  ""QUEST"",
   COUNTIF(
 "&amp;"   Quests!A:A,
    REGEXREPLACE(A194,""\.(accepted|finished)$"","""")
   )&gt;0,
  ""TECH"",COUNTIF(Technologies!A:A,A194)&gt;0,
  ""STATE"",COUNTIF(States!A:A,A194)&gt;0,
  FALSE
 )
)"),TRUE)</f>
        <v>1</v>
      </c>
      <c r="P194" s="64" t="str">
        <f t="shared" si="3"/>
        <v>Good</v>
      </c>
      <c r="Q194" s="65"/>
      <c r="R194" s="65"/>
      <c r="S194" s="65"/>
      <c r="T194" s="65"/>
      <c r="U194" s="6"/>
      <c r="V194" s="6" t="str">
        <f>IFERROR(__xludf.DUMMYFUNCTION("""COMPUTED_VALUE"""),"collection.kitchen_and_buttery_1@1")</f>
        <v>collection.kitchen_and_buttery_1@1</v>
      </c>
      <c r="W194" s="65"/>
      <c r="X194" s="65"/>
      <c r="Y194" s="65"/>
      <c r="Z194" s="65"/>
      <c r="AA194" s="65"/>
      <c r="AB194" s="65"/>
      <c r="AC194" s="65"/>
      <c r="AD194" s="6"/>
      <c r="AE194" s="6"/>
      <c r="AF194" s="6"/>
      <c r="AG194" s="6"/>
      <c r="AH194" s="6"/>
      <c r="AI194" s="6"/>
      <c r="AJ194" s="6"/>
      <c r="AK194" s="6"/>
      <c r="AL194" s="6"/>
      <c r="AM194" s="6"/>
      <c r="AN194" s="6"/>
      <c r="AO194" s="6"/>
      <c r="AP194" s="6"/>
      <c r="AQ194" s="6"/>
      <c r="AR194" s="6"/>
      <c r="AS194" s="6"/>
      <c r="AT194" s="6"/>
      <c r="AU194" s="6"/>
      <c r="AV194" s="6"/>
      <c r="AW194" s="6"/>
      <c r="AX194" s="6"/>
      <c r="AY194" s="6"/>
    </row>
    <row r="195" ht="14.25" customHeight="1">
      <c r="A195" s="26" t="str">
        <f t="shared" si="1"/>
        <v>collection.kitchen_and_buttery_1@2</v>
      </c>
      <c r="B195" s="26" t="str">
        <f t="array" ref="B195">_xlfn.XLOOKUP(A195,Targets!A:A,Targets!C:C,"")</f>
        <v>COLLECTION</v>
      </c>
      <c r="C195" s="64" t="b">
        <f>COUNTIF(Targets!A:A,A195)&gt;0</f>
        <v>1</v>
      </c>
      <c r="D195" s="64" t="b">
        <f>IF(
 OR(
  LEFT(A195,15)="state.character",
  RIGHT(A195,6)=".maxed"
 ),
 TRUE,
 COUNTIF(Checklist!A:A,A195)&gt;0
)</f>
        <v>1</v>
      </c>
      <c r="E195" s="64" t="b">
        <f>IF(
 OR(
  LEFT(A195,15)="state.character",
  RIGHT(A195,6)=".maxed",
  A195="building.guild@1",
  A195="quest.build_the_guild.accepted",
  A195="quest.build_the_pagoda.accepted"
 ),
 TRUE,
 COUNTIF(Dependencies!A:A,A195)&gt;0
)</f>
        <v>1</v>
      </c>
      <c r="F195" s="64" t="b">
        <f>COUNTIF(Dependencies!B:B,A195)&gt;0</f>
        <v>1</v>
      </c>
      <c r="G195" s="64" t="b">
        <f>COUNTIF(QuestObjectives!A:A,A195)&gt;0</f>
        <v>0</v>
      </c>
      <c r="H195" s="64" t="b">
        <f>COUNTIF(QuestObjectives!E:E,A195)&gt;0</f>
        <v>0</v>
      </c>
      <c r="I195" s="64" t="b">
        <f>COUNTIF(TargetStatus!A:A,A195)&gt;0</f>
        <v>1</v>
      </c>
      <c r="J195" s="64" t="b">
        <f>COUNTIF(CostStatus!B:B,A195)&gt;0</f>
        <v>1</v>
      </c>
      <c r="K195" s="64" t="b">
        <f>COUNTIF(States!A:A,A195)&gt;0</f>
        <v>0</v>
      </c>
      <c r="L195" s="64" t="b">
        <f t="shared" si="2"/>
        <v>1</v>
      </c>
      <c r="M195" s="64" t="b">
        <f>IF(A195="","",COUNTIF(Targets!A:A,A195)&gt;1)</f>
        <v>0</v>
      </c>
      <c r="N195" s="64" t="b">
        <f>IF(A195="","",COUNTIF(States!A:A,A195)&gt;1)</f>
        <v>0</v>
      </c>
      <c r="O195" s="64" t="b">
        <f>IFERROR(__xludf.DUMMYFUNCTION("IF(
 B195="""",
 """",
 SWITCH(
  B195,
  ""BUILDING"",COUNTIF(Buildings!A:A,A195)&gt;0,
  ""CITADEL"",COUNTIF(Citadel!A:A,A195)&gt;0,
  ""COLLECTION"",COUNTIF(Collections!A:A,A195)&gt;0,
  ""CRAFTIFACT"",COUNTIF(Craftifacts!A:A,A195)&gt;0,
  ""QUEST"",
   COUNTIF(
 "&amp;"   Quests!A:A,
    REGEXREPLACE(A195,""\.(accepted|finished)$"","""")
   )&gt;0,
  ""TECH"",COUNTIF(Technologies!A:A,A195)&gt;0,
  ""STATE"",COUNTIF(States!A:A,A195)&gt;0,
  FALSE
 )
)"),TRUE)</f>
        <v>1</v>
      </c>
      <c r="P195" s="64" t="str">
        <f t="shared" si="3"/>
        <v>Good</v>
      </c>
      <c r="Q195" s="65"/>
      <c r="R195" s="65"/>
      <c r="S195" s="65"/>
      <c r="T195" s="65"/>
      <c r="U195" s="6"/>
      <c r="V195" s="6" t="str">
        <f>IFERROR(__xludf.DUMMYFUNCTION("""COMPUTED_VALUE"""),"collection.kitchen_and_buttery_1@2")</f>
        <v>collection.kitchen_and_buttery_1@2</v>
      </c>
      <c r="W195" s="65"/>
      <c r="X195" s="65"/>
      <c r="Y195" s="65"/>
      <c r="Z195" s="65"/>
      <c r="AA195" s="65"/>
      <c r="AB195" s="65"/>
      <c r="AC195" s="65"/>
      <c r="AD195" s="6"/>
      <c r="AE195" s="6"/>
      <c r="AF195" s="6"/>
      <c r="AG195" s="6"/>
      <c r="AH195" s="6"/>
      <c r="AI195" s="6"/>
      <c r="AJ195" s="6"/>
      <c r="AK195" s="6"/>
      <c r="AL195" s="6"/>
      <c r="AM195" s="6"/>
      <c r="AN195" s="6"/>
      <c r="AO195" s="6"/>
      <c r="AP195" s="6"/>
      <c r="AQ195" s="6"/>
      <c r="AR195" s="6"/>
      <c r="AS195" s="6"/>
      <c r="AT195" s="6"/>
      <c r="AU195" s="6"/>
      <c r="AV195" s="6"/>
      <c r="AW195" s="6"/>
      <c r="AX195" s="6"/>
      <c r="AY195" s="6"/>
    </row>
    <row r="196" ht="14.25" customHeight="1">
      <c r="A196" s="26" t="str">
        <f t="shared" si="1"/>
        <v>collection.kitchen_and_buttery_1@3</v>
      </c>
      <c r="B196" s="26" t="str">
        <f t="array" ref="B196">_xlfn.XLOOKUP(A196,Targets!A:A,Targets!C:C,"")</f>
        <v>COLLECTION</v>
      </c>
      <c r="C196" s="64" t="b">
        <f>COUNTIF(Targets!A:A,A196)&gt;0</f>
        <v>1</v>
      </c>
      <c r="D196" s="64" t="b">
        <f>IF(
 OR(
  LEFT(A196,15)="state.character",
  RIGHT(A196,6)=".maxed"
 ),
 TRUE,
 COUNTIF(Checklist!A:A,A196)&gt;0
)</f>
        <v>1</v>
      </c>
      <c r="E196" s="64" t="b">
        <f>IF(
 OR(
  LEFT(A196,15)="state.character",
  RIGHT(A196,6)=".maxed",
  A196="building.guild@1",
  A196="quest.build_the_guild.accepted",
  A196="quest.build_the_pagoda.accepted"
 ),
 TRUE,
 COUNTIF(Dependencies!A:A,A196)&gt;0
)</f>
        <v>1</v>
      </c>
      <c r="F196" s="64" t="b">
        <f>COUNTIF(Dependencies!B:B,A196)&gt;0</f>
        <v>1</v>
      </c>
      <c r="G196" s="64" t="b">
        <f>COUNTIF(QuestObjectives!A:A,A196)&gt;0</f>
        <v>0</v>
      </c>
      <c r="H196" s="64" t="b">
        <f>COUNTIF(QuestObjectives!E:E,A196)&gt;0</f>
        <v>0</v>
      </c>
      <c r="I196" s="64" t="b">
        <f>COUNTIF(TargetStatus!A:A,A196)&gt;0</f>
        <v>1</v>
      </c>
      <c r="J196" s="64" t="b">
        <f>COUNTIF(CostStatus!B:B,A196)&gt;0</f>
        <v>1</v>
      </c>
      <c r="K196" s="64" t="b">
        <f>COUNTIF(States!A:A,A196)&gt;0</f>
        <v>0</v>
      </c>
      <c r="L196" s="64" t="b">
        <f t="shared" si="2"/>
        <v>1</v>
      </c>
      <c r="M196" s="64" t="b">
        <f>IF(A196="","",COUNTIF(Targets!A:A,A196)&gt;1)</f>
        <v>0</v>
      </c>
      <c r="N196" s="64" t="b">
        <f>IF(A196="","",COUNTIF(States!A:A,A196)&gt;1)</f>
        <v>0</v>
      </c>
      <c r="O196" s="64" t="b">
        <f>IFERROR(__xludf.DUMMYFUNCTION("IF(
 B196="""",
 """",
 SWITCH(
  B196,
  ""BUILDING"",COUNTIF(Buildings!A:A,A196)&gt;0,
  ""CITADEL"",COUNTIF(Citadel!A:A,A196)&gt;0,
  ""COLLECTION"",COUNTIF(Collections!A:A,A196)&gt;0,
  ""CRAFTIFACT"",COUNTIF(Craftifacts!A:A,A196)&gt;0,
  ""QUEST"",
   COUNTIF(
 "&amp;"   Quests!A:A,
    REGEXREPLACE(A196,""\.(accepted|finished)$"","""")
   )&gt;0,
  ""TECH"",COUNTIF(Technologies!A:A,A196)&gt;0,
  ""STATE"",COUNTIF(States!A:A,A196)&gt;0,
  FALSE
 )
)"),TRUE)</f>
        <v>1</v>
      </c>
      <c r="P196" s="64" t="str">
        <f t="shared" si="3"/>
        <v>Good</v>
      </c>
      <c r="Q196" s="65"/>
      <c r="R196" s="65"/>
      <c r="S196" s="65"/>
      <c r="T196" s="65"/>
      <c r="U196" s="6"/>
      <c r="V196" s="6" t="str">
        <f>IFERROR(__xludf.DUMMYFUNCTION("""COMPUTED_VALUE"""),"collection.kitchen_and_buttery_1@3")</f>
        <v>collection.kitchen_and_buttery_1@3</v>
      </c>
      <c r="W196" s="65"/>
      <c r="X196" s="65"/>
      <c r="Y196" s="65"/>
      <c r="Z196" s="65"/>
      <c r="AA196" s="65"/>
      <c r="AB196" s="65"/>
      <c r="AC196" s="65"/>
      <c r="AD196" s="6"/>
      <c r="AE196" s="6"/>
      <c r="AF196" s="6"/>
      <c r="AG196" s="6"/>
      <c r="AH196" s="6"/>
      <c r="AI196" s="6"/>
      <c r="AJ196" s="6"/>
      <c r="AK196" s="6"/>
      <c r="AL196" s="6"/>
      <c r="AM196" s="6"/>
      <c r="AN196" s="6"/>
      <c r="AO196" s="6"/>
      <c r="AP196" s="6"/>
      <c r="AQ196" s="6"/>
      <c r="AR196" s="6"/>
      <c r="AS196" s="6"/>
      <c r="AT196" s="6"/>
      <c r="AU196" s="6"/>
      <c r="AV196" s="6"/>
      <c r="AW196" s="6"/>
      <c r="AX196" s="6"/>
      <c r="AY196" s="6"/>
    </row>
    <row r="197" ht="14.25" customHeight="1">
      <c r="A197" s="26" t="str">
        <f t="shared" si="1"/>
        <v>collection.kitchen_and_buttery_1@4</v>
      </c>
      <c r="B197" s="26" t="str">
        <f t="array" ref="B197">_xlfn.XLOOKUP(A197,Targets!A:A,Targets!C:C,"")</f>
        <v>COLLECTION</v>
      </c>
      <c r="C197" s="64" t="b">
        <f>COUNTIF(Targets!A:A,A197)&gt;0</f>
        <v>1</v>
      </c>
      <c r="D197" s="64" t="b">
        <f>IF(
 OR(
  LEFT(A197,15)="state.character",
  RIGHT(A197,6)=".maxed"
 ),
 TRUE,
 COUNTIF(Checklist!A:A,A197)&gt;0
)</f>
        <v>1</v>
      </c>
      <c r="E197" s="64" t="b">
        <f>IF(
 OR(
  LEFT(A197,15)="state.character",
  RIGHT(A197,6)=".maxed",
  A197="building.guild@1",
  A197="quest.build_the_guild.accepted",
  A197="quest.build_the_pagoda.accepted"
 ),
 TRUE,
 COUNTIF(Dependencies!A:A,A197)&gt;0
)</f>
        <v>1</v>
      </c>
      <c r="F197" s="64" t="b">
        <f>COUNTIF(Dependencies!B:B,A197)&gt;0</f>
        <v>1</v>
      </c>
      <c r="G197" s="64" t="b">
        <f>COUNTIF(QuestObjectives!A:A,A197)&gt;0</f>
        <v>0</v>
      </c>
      <c r="H197" s="64" t="b">
        <f>COUNTIF(QuestObjectives!E:E,A197)&gt;0</f>
        <v>0</v>
      </c>
      <c r="I197" s="64" t="b">
        <f>COUNTIF(TargetStatus!A:A,A197)&gt;0</f>
        <v>1</v>
      </c>
      <c r="J197" s="64" t="b">
        <f>COUNTIF(CostStatus!B:B,A197)&gt;0</f>
        <v>1</v>
      </c>
      <c r="K197" s="64" t="b">
        <f>COUNTIF(States!A:A,A197)&gt;0</f>
        <v>0</v>
      </c>
      <c r="L197" s="64" t="b">
        <f t="shared" si="2"/>
        <v>1</v>
      </c>
      <c r="M197" s="64" t="b">
        <f>IF(A197="","",COUNTIF(Targets!A:A,A197)&gt;1)</f>
        <v>0</v>
      </c>
      <c r="N197" s="64" t="b">
        <f>IF(A197="","",COUNTIF(States!A:A,A197)&gt;1)</f>
        <v>0</v>
      </c>
      <c r="O197" s="64" t="b">
        <f>IFERROR(__xludf.DUMMYFUNCTION("IF(
 B197="""",
 """",
 SWITCH(
  B197,
  ""BUILDING"",COUNTIF(Buildings!A:A,A197)&gt;0,
  ""CITADEL"",COUNTIF(Citadel!A:A,A197)&gt;0,
  ""COLLECTION"",COUNTIF(Collections!A:A,A197)&gt;0,
  ""CRAFTIFACT"",COUNTIF(Craftifacts!A:A,A197)&gt;0,
  ""QUEST"",
   COUNTIF(
 "&amp;"   Quests!A:A,
    REGEXREPLACE(A197,""\.(accepted|finished)$"","""")
   )&gt;0,
  ""TECH"",COUNTIF(Technologies!A:A,A197)&gt;0,
  ""STATE"",COUNTIF(States!A:A,A197)&gt;0,
  FALSE
 )
)"),TRUE)</f>
        <v>1</v>
      </c>
      <c r="P197" s="64" t="str">
        <f t="shared" si="3"/>
        <v>Good</v>
      </c>
      <c r="Q197" s="65"/>
      <c r="R197" s="65"/>
      <c r="S197" s="65"/>
      <c r="T197" s="65"/>
      <c r="U197" s="6"/>
      <c r="V197" s="6" t="str">
        <f>IFERROR(__xludf.DUMMYFUNCTION("""COMPUTED_VALUE"""),"collection.kitchen_and_buttery_1@4")</f>
        <v>collection.kitchen_and_buttery_1@4</v>
      </c>
      <c r="W197" s="65"/>
      <c r="X197" s="65"/>
      <c r="Y197" s="65"/>
      <c r="Z197" s="65"/>
      <c r="AA197" s="65"/>
      <c r="AB197" s="65"/>
      <c r="AC197" s="65"/>
      <c r="AD197" s="6"/>
      <c r="AE197" s="6"/>
      <c r="AF197" s="6"/>
      <c r="AG197" s="6"/>
      <c r="AH197" s="6"/>
      <c r="AI197" s="6"/>
      <c r="AJ197" s="6"/>
      <c r="AK197" s="6"/>
      <c r="AL197" s="6"/>
      <c r="AM197" s="6"/>
      <c r="AN197" s="6"/>
      <c r="AO197" s="6"/>
      <c r="AP197" s="6"/>
      <c r="AQ197" s="6"/>
      <c r="AR197" s="6"/>
      <c r="AS197" s="6"/>
      <c r="AT197" s="6"/>
      <c r="AU197" s="6"/>
      <c r="AV197" s="6"/>
      <c r="AW197" s="6"/>
      <c r="AX197" s="6"/>
      <c r="AY197" s="6"/>
    </row>
    <row r="198" ht="14.25" customHeight="1">
      <c r="A198" s="26" t="str">
        <f t="shared" si="1"/>
        <v>collection.kitchen_and_buttery_1@5</v>
      </c>
      <c r="B198" s="26" t="str">
        <f t="array" ref="B198">_xlfn.XLOOKUP(A198,Targets!A:A,Targets!C:C,"")</f>
        <v>COLLECTION</v>
      </c>
      <c r="C198" s="64" t="b">
        <f>COUNTIF(Targets!A:A,A198)&gt;0</f>
        <v>1</v>
      </c>
      <c r="D198" s="64" t="b">
        <f>IF(
 OR(
  LEFT(A198,15)="state.character",
  RIGHT(A198,6)=".maxed"
 ),
 TRUE,
 COUNTIF(Checklist!A:A,A198)&gt;0
)</f>
        <v>1</v>
      </c>
      <c r="E198" s="64" t="b">
        <f>IF(
 OR(
  LEFT(A198,15)="state.character",
  RIGHT(A198,6)=".maxed",
  A198="building.guild@1",
  A198="quest.build_the_guild.accepted",
  A198="quest.build_the_pagoda.accepted"
 ),
 TRUE,
 COUNTIF(Dependencies!A:A,A198)&gt;0
)</f>
        <v>1</v>
      </c>
      <c r="F198" s="64" t="b">
        <f>COUNTIF(Dependencies!B:B,A198)&gt;0</f>
        <v>0</v>
      </c>
      <c r="G198" s="64" t="b">
        <f>COUNTIF(QuestObjectives!A:A,A198)&gt;0</f>
        <v>0</v>
      </c>
      <c r="H198" s="64" t="b">
        <f>COUNTIF(QuestObjectives!E:E,A198)&gt;0</f>
        <v>0</v>
      </c>
      <c r="I198" s="64" t="b">
        <f>COUNTIF(TargetStatus!A:A,A198)&gt;0</f>
        <v>1</v>
      </c>
      <c r="J198" s="64" t="b">
        <f>COUNTIF(CostStatus!B:B,A198)&gt;0</f>
        <v>1</v>
      </c>
      <c r="K198" s="64" t="b">
        <f>COUNTIF(States!A:A,A198)&gt;0</f>
        <v>0</v>
      </c>
      <c r="L198" s="64" t="b">
        <f t="shared" si="2"/>
        <v>1</v>
      </c>
      <c r="M198" s="64" t="b">
        <f>IF(A198="","",COUNTIF(Targets!A:A,A198)&gt;1)</f>
        <v>0</v>
      </c>
      <c r="N198" s="64" t="b">
        <f>IF(A198="","",COUNTIF(States!A:A,A198)&gt;1)</f>
        <v>0</v>
      </c>
      <c r="O198" s="64" t="b">
        <f>IFERROR(__xludf.DUMMYFUNCTION("IF(
 B198="""",
 """",
 SWITCH(
  B198,
  ""BUILDING"",COUNTIF(Buildings!A:A,A198)&gt;0,
  ""CITADEL"",COUNTIF(Citadel!A:A,A198)&gt;0,
  ""COLLECTION"",COUNTIF(Collections!A:A,A198)&gt;0,
  ""CRAFTIFACT"",COUNTIF(Craftifacts!A:A,A198)&gt;0,
  ""QUEST"",
   COUNTIF(
 "&amp;"   Quests!A:A,
    REGEXREPLACE(A198,""\.(accepted|finished)$"","""")
   )&gt;0,
  ""TECH"",COUNTIF(Technologies!A:A,A198)&gt;0,
  ""STATE"",COUNTIF(States!A:A,A198)&gt;0,
  FALSE
 )
)"),TRUE)</f>
        <v>1</v>
      </c>
      <c r="P198" s="64" t="str">
        <f t="shared" si="3"/>
        <v>Good</v>
      </c>
      <c r="Q198" s="65"/>
      <c r="R198" s="65"/>
      <c r="S198" s="65"/>
      <c r="T198" s="65"/>
      <c r="U198" s="6"/>
      <c r="V198" s="6" t="str">
        <f>IFERROR(__xludf.DUMMYFUNCTION("""COMPUTED_VALUE"""),"collection.kitchen_and_buttery_1@5")</f>
        <v>collection.kitchen_and_buttery_1@5</v>
      </c>
      <c r="W198" s="65"/>
      <c r="X198" s="65"/>
      <c r="Y198" s="65"/>
      <c r="Z198" s="65"/>
      <c r="AA198" s="65"/>
      <c r="AB198" s="65"/>
      <c r="AC198" s="65"/>
      <c r="AD198" s="6"/>
      <c r="AE198" s="6"/>
      <c r="AF198" s="6"/>
      <c r="AG198" s="6"/>
      <c r="AH198" s="6"/>
      <c r="AI198" s="6"/>
      <c r="AJ198" s="6"/>
      <c r="AK198" s="6"/>
      <c r="AL198" s="6"/>
      <c r="AM198" s="6"/>
      <c r="AN198" s="6"/>
      <c r="AO198" s="6"/>
      <c r="AP198" s="6"/>
      <c r="AQ198" s="6"/>
      <c r="AR198" s="6"/>
      <c r="AS198" s="6"/>
      <c r="AT198" s="6"/>
      <c r="AU198" s="6"/>
      <c r="AV198" s="6"/>
      <c r="AW198" s="6"/>
      <c r="AX198" s="6"/>
      <c r="AY198" s="6"/>
    </row>
    <row r="199" ht="14.25" customHeight="1">
      <c r="A199" s="26" t="str">
        <f t="shared" si="1"/>
        <v>collection.kitchen_and_buttery_2@1</v>
      </c>
      <c r="B199" s="26" t="str">
        <f t="array" ref="B199">_xlfn.XLOOKUP(A199,Targets!A:A,Targets!C:C,"")</f>
        <v>COLLECTION</v>
      </c>
      <c r="C199" s="64" t="b">
        <f>COUNTIF(Targets!A:A,A199)&gt;0</f>
        <v>1</v>
      </c>
      <c r="D199" s="64" t="b">
        <f>IF(
 OR(
  LEFT(A199,15)="state.character",
  RIGHT(A199,6)=".maxed"
 ),
 TRUE,
 COUNTIF(Checklist!A:A,A199)&gt;0
)</f>
        <v>1</v>
      </c>
      <c r="E199" s="64" t="b">
        <f>IF(
 OR(
  LEFT(A199,15)="state.character",
  RIGHT(A199,6)=".maxed",
  A199="building.guild@1",
  A199="quest.build_the_guild.accepted",
  A199="quest.build_the_pagoda.accepted"
 ),
 TRUE,
 COUNTIF(Dependencies!A:A,A199)&gt;0
)</f>
        <v>1</v>
      </c>
      <c r="F199" s="64" t="b">
        <f>COUNTIF(Dependencies!B:B,A199)&gt;0</f>
        <v>0</v>
      </c>
      <c r="G199" s="64" t="b">
        <f>COUNTIF(QuestObjectives!A:A,A199)&gt;0</f>
        <v>0</v>
      </c>
      <c r="H199" s="64" t="b">
        <f>COUNTIF(QuestObjectives!E:E,A199)&gt;0</f>
        <v>0</v>
      </c>
      <c r="I199" s="64" t="b">
        <f>COUNTIF(TargetStatus!A:A,A199)&gt;0</f>
        <v>1</v>
      </c>
      <c r="J199" s="64" t="b">
        <f>COUNTIF(CostStatus!B:B,A199)&gt;0</f>
        <v>1</v>
      </c>
      <c r="K199" s="64" t="b">
        <f>COUNTIF(States!A:A,A199)&gt;0</f>
        <v>0</v>
      </c>
      <c r="L199" s="64" t="b">
        <f t="shared" si="2"/>
        <v>1</v>
      </c>
      <c r="M199" s="64" t="b">
        <f>IF(A199="","",COUNTIF(Targets!A:A,A199)&gt;1)</f>
        <v>0</v>
      </c>
      <c r="N199" s="64" t="b">
        <f>IF(A199="","",COUNTIF(States!A:A,A199)&gt;1)</f>
        <v>0</v>
      </c>
      <c r="O199" s="64" t="b">
        <f>IFERROR(__xludf.DUMMYFUNCTION("IF(
 B199="""",
 """",
 SWITCH(
  B199,
  ""BUILDING"",COUNTIF(Buildings!A:A,A199)&gt;0,
  ""CITADEL"",COUNTIF(Citadel!A:A,A199)&gt;0,
  ""COLLECTION"",COUNTIF(Collections!A:A,A199)&gt;0,
  ""CRAFTIFACT"",COUNTIF(Craftifacts!A:A,A199)&gt;0,
  ""QUEST"",
   COUNTIF(
 "&amp;"   Quests!A:A,
    REGEXREPLACE(A199,""\.(accepted|finished)$"","""")
   )&gt;0,
  ""TECH"",COUNTIF(Technologies!A:A,A199)&gt;0,
  ""STATE"",COUNTIF(States!A:A,A199)&gt;0,
  FALSE
 )
)"),TRUE)</f>
        <v>1</v>
      </c>
      <c r="P199" s="64" t="str">
        <f t="shared" si="3"/>
        <v>Good</v>
      </c>
      <c r="Q199" s="65"/>
      <c r="R199" s="65"/>
      <c r="S199" s="65"/>
      <c r="T199" s="65"/>
      <c r="U199" s="6"/>
      <c r="V199" s="6" t="str">
        <f>IFERROR(__xludf.DUMMYFUNCTION("""COMPUTED_VALUE"""),"collection.kitchen_and_buttery_2@1")</f>
        <v>collection.kitchen_and_buttery_2@1</v>
      </c>
      <c r="W199" s="65"/>
      <c r="X199" s="65"/>
      <c r="Y199" s="65"/>
      <c r="Z199" s="65"/>
      <c r="AA199" s="65"/>
      <c r="AB199" s="65"/>
      <c r="AC199" s="65"/>
      <c r="AD199" s="6"/>
      <c r="AE199" s="6"/>
      <c r="AF199" s="6"/>
      <c r="AG199" s="6"/>
      <c r="AH199" s="6"/>
      <c r="AI199" s="6"/>
      <c r="AJ199" s="6"/>
      <c r="AK199" s="6"/>
      <c r="AL199" s="6"/>
      <c r="AM199" s="6"/>
      <c r="AN199" s="6"/>
      <c r="AO199" s="6"/>
      <c r="AP199" s="6"/>
      <c r="AQ199" s="6"/>
      <c r="AR199" s="6"/>
      <c r="AS199" s="6"/>
      <c r="AT199" s="6"/>
      <c r="AU199" s="6"/>
      <c r="AV199" s="6"/>
      <c r="AW199" s="6"/>
      <c r="AX199" s="6"/>
      <c r="AY199" s="6"/>
    </row>
    <row r="200" ht="14.25" customHeight="1">
      <c r="A200" s="26" t="str">
        <f t="shared" si="1"/>
        <v>collection.mushroom_farm@1</v>
      </c>
      <c r="B200" s="26" t="str">
        <f t="array" ref="B200">_xlfn.XLOOKUP(A200,Targets!A:A,Targets!C:C,"")</f>
        <v>COLLECTION</v>
      </c>
      <c r="C200" s="64" t="b">
        <f>COUNTIF(Targets!A:A,A200)&gt;0</f>
        <v>1</v>
      </c>
      <c r="D200" s="64" t="b">
        <f>IF(
 OR(
  LEFT(A200,15)="state.character",
  RIGHT(A200,6)=".maxed"
 ),
 TRUE,
 COUNTIF(Checklist!A:A,A200)&gt;0
)</f>
        <v>1</v>
      </c>
      <c r="E200" s="64" t="b">
        <f>IF(
 OR(
  LEFT(A200,15)="state.character",
  RIGHT(A200,6)=".maxed",
  A200="building.guild@1",
  A200="quest.build_the_guild.accepted",
  A200="quest.build_the_pagoda.accepted"
 ),
 TRUE,
 COUNTIF(Dependencies!A:A,A200)&gt;0
)</f>
        <v>1</v>
      </c>
      <c r="F200" s="64" t="b">
        <f>COUNTIF(Dependencies!B:B,A200)&gt;0</f>
        <v>1</v>
      </c>
      <c r="G200" s="64" t="b">
        <f>COUNTIF(QuestObjectives!A:A,A200)&gt;0</f>
        <v>0</v>
      </c>
      <c r="H200" s="64" t="b">
        <f>COUNTIF(QuestObjectives!E:E,A200)&gt;0</f>
        <v>0</v>
      </c>
      <c r="I200" s="64" t="b">
        <f>COUNTIF(TargetStatus!A:A,A200)&gt;0</f>
        <v>1</v>
      </c>
      <c r="J200" s="64" t="b">
        <f>COUNTIF(CostStatus!B:B,A200)&gt;0</f>
        <v>1</v>
      </c>
      <c r="K200" s="64" t="b">
        <f>COUNTIF(States!A:A,A200)&gt;0</f>
        <v>0</v>
      </c>
      <c r="L200" s="64" t="b">
        <f t="shared" si="2"/>
        <v>1</v>
      </c>
      <c r="M200" s="64" t="b">
        <f>IF(A200="","",COUNTIF(Targets!A:A,A200)&gt;1)</f>
        <v>0</v>
      </c>
      <c r="N200" s="64" t="b">
        <f>IF(A200="","",COUNTIF(States!A:A,A200)&gt;1)</f>
        <v>0</v>
      </c>
      <c r="O200" s="64" t="b">
        <f>IFERROR(__xludf.DUMMYFUNCTION("IF(
 B200="""",
 """",
 SWITCH(
  B200,
  ""BUILDING"",COUNTIF(Buildings!A:A,A200)&gt;0,
  ""CITADEL"",COUNTIF(Citadel!A:A,A200)&gt;0,
  ""COLLECTION"",COUNTIF(Collections!A:A,A200)&gt;0,
  ""CRAFTIFACT"",COUNTIF(Craftifacts!A:A,A200)&gt;0,
  ""QUEST"",
   COUNTIF(
 "&amp;"   Quests!A:A,
    REGEXREPLACE(A200,""\.(accepted|finished)$"","""")
   )&gt;0,
  ""TECH"",COUNTIF(Technologies!A:A,A200)&gt;0,
  ""STATE"",COUNTIF(States!A:A,A200)&gt;0,
  FALSE
 )
)"),TRUE)</f>
        <v>1</v>
      </c>
      <c r="P200" s="64" t="str">
        <f t="shared" si="3"/>
        <v>Good</v>
      </c>
      <c r="Q200" s="65"/>
      <c r="R200" s="65"/>
      <c r="S200" s="65"/>
      <c r="T200" s="65"/>
      <c r="U200" s="6"/>
      <c r="V200" s="6" t="str">
        <f>IFERROR(__xludf.DUMMYFUNCTION("""COMPUTED_VALUE"""),"collection.mushroom_farm@1")</f>
        <v>collection.mushroom_farm@1</v>
      </c>
      <c r="W200" s="65"/>
      <c r="X200" s="65"/>
      <c r="Y200" s="65"/>
      <c r="Z200" s="65"/>
      <c r="AA200" s="65"/>
      <c r="AB200" s="65"/>
      <c r="AC200" s="65"/>
      <c r="AD200" s="6"/>
      <c r="AE200" s="6"/>
      <c r="AF200" s="6"/>
      <c r="AG200" s="6"/>
      <c r="AH200" s="6"/>
      <c r="AI200" s="6"/>
      <c r="AJ200" s="6"/>
      <c r="AK200" s="6"/>
      <c r="AL200" s="6"/>
      <c r="AM200" s="6"/>
      <c r="AN200" s="6"/>
      <c r="AO200" s="6"/>
      <c r="AP200" s="6"/>
      <c r="AQ200" s="6"/>
      <c r="AR200" s="6"/>
      <c r="AS200" s="6"/>
      <c r="AT200" s="6"/>
      <c r="AU200" s="6"/>
      <c r="AV200" s="6"/>
      <c r="AW200" s="6"/>
      <c r="AX200" s="6"/>
      <c r="AY200" s="6"/>
    </row>
    <row r="201" ht="14.25" customHeight="1">
      <c r="A201" s="26" t="str">
        <f t="shared" si="1"/>
        <v>collection.mushroom_farm@2</v>
      </c>
      <c r="B201" s="26" t="str">
        <f t="array" ref="B201">_xlfn.XLOOKUP(A201,Targets!A:A,Targets!C:C,"")</f>
        <v>COLLECTION</v>
      </c>
      <c r="C201" s="64" t="b">
        <f>COUNTIF(Targets!A:A,A201)&gt;0</f>
        <v>1</v>
      </c>
      <c r="D201" s="64" t="b">
        <f>IF(
 OR(
  LEFT(A201,15)="state.character",
  RIGHT(A201,6)=".maxed"
 ),
 TRUE,
 COUNTIF(Checklist!A:A,A201)&gt;0
)</f>
        <v>1</v>
      </c>
      <c r="E201" s="64" t="b">
        <f>IF(
 OR(
  LEFT(A201,15)="state.character",
  RIGHT(A201,6)=".maxed",
  A201="building.guild@1",
  A201="quest.build_the_guild.accepted",
  A201="quest.build_the_pagoda.accepted"
 ),
 TRUE,
 COUNTIF(Dependencies!A:A,A201)&gt;0
)</f>
        <v>1</v>
      </c>
      <c r="F201" s="64" t="b">
        <f>COUNTIF(Dependencies!B:B,A201)&gt;0</f>
        <v>0</v>
      </c>
      <c r="G201" s="64" t="b">
        <f>COUNTIF(QuestObjectives!A:A,A201)&gt;0</f>
        <v>0</v>
      </c>
      <c r="H201" s="64" t="b">
        <f>COUNTIF(QuestObjectives!E:E,A201)&gt;0</f>
        <v>0</v>
      </c>
      <c r="I201" s="64" t="b">
        <f>COUNTIF(TargetStatus!A:A,A201)&gt;0</f>
        <v>1</v>
      </c>
      <c r="J201" s="64" t="b">
        <f>COUNTIF(CostStatus!B:B,A201)&gt;0</f>
        <v>1</v>
      </c>
      <c r="K201" s="64" t="b">
        <f>COUNTIF(States!A:A,A201)&gt;0</f>
        <v>0</v>
      </c>
      <c r="L201" s="64" t="b">
        <f t="shared" si="2"/>
        <v>1</v>
      </c>
      <c r="M201" s="64" t="b">
        <f>IF(A201="","",COUNTIF(Targets!A:A,A201)&gt;1)</f>
        <v>0</v>
      </c>
      <c r="N201" s="64" t="b">
        <f>IF(A201="","",COUNTIF(States!A:A,A201)&gt;1)</f>
        <v>0</v>
      </c>
      <c r="O201" s="64" t="b">
        <f>IFERROR(__xludf.DUMMYFUNCTION("IF(
 B201="""",
 """",
 SWITCH(
  B201,
  ""BUILDING"",COUNTIF(Buildings!A:A,A201)&gt;0,
  ""CITADEL"",COUNTIF(Citadel!A:A,A201)&gt;0,
  ""COLLECTION"",COUNTIF(Collections!A:A,A201)&gt;0,
  ""CRAFTIFACT"",COUNTIF(Craftifacts!A:A,A201)&gt;0,
  ""QUEST"",
   COUNTIF(
 "&amp;"   Quests!A:A,
    REGEXREPLACE(A201,""\.(accepted|finished)$"","""")
   )&gt;0,
  ""TECH"",COUNTIF(Technologies!A:A,A201)&gt;0,
  ""STATE"",COUNTIF(States!A:A,A201)&gt;0,
  FALSE
 )
)"),TRUE)</f>
        <v>1</v>
      </c>
      <c r="P201" s="64" t="str">
        <f t="shared" si="3"/>
        <v>Good</v>
      </c>
      <c r="Q201" s="65"/>
      <c r="R201" s="65"/>
      <c r="S201" s="65"/>
      <c r="T201" s="65"/>
      <c r="U201" s="6"/>
      <c r="V201" s="6" t="str">
        <f>IFERROR(__xludf.DUMMYFUNCTION("""COMPUTED_VALUE"""),"collection.mushroom_farm@2")</f>
        <v>collection.mushroom_farm@2</v>
      </c>
      <c r="W201" s="65"/>
      <c r="X201" s="65"/>
      <c r="Y201" s="65"/>
      <c r="Z201" s="65"/>
      <c r="AA201" s="65"/>
      <c r="AB201" s="65"/>
      <c r="AC201" s="65"/>
      <c r="AD201" s="6"/>
      <c r="AE201" s="6"/>
      <c r="AF201" s="6"/>
      <c r="AG201" s="6"/>
      <c r="AH201" s="6"/>
      <c r="AI201" s="6"/>
      <c r="AJ201" s="6"/>
      <c r="AK201" s="6"/>
      <c r="AL201" s="6"/>
      <c r="AM201" s="6"/>
      <c r="AN201" s="6"/>
      <c r="AO201" s="6"/>
      <c r="AP201" s="6"/>
      <c r="AQ201" s="6"/>
      <c r="AR201" s="6"/>
      <c r="AS201" s="6"/>
      <c r="AT201" s="6"/>
      <c r="AU201" s="6"/>
      <c r="AV201" s="6"/>
      <c r="AW201" s="6"/>
      <c r="AX201" s="6"/>
      <c r="AY201" s="6"/>
    </row>
    <row r="202" ht="14.25" customHeight="1">
      <c r="A202" s="26" t="str">
        <f t="shared" si="1"/>
        <v>collection.orangery@1</v>
      </c>
      <c r="B202" s="26" t="str">
        <f t="array" ref="B202">_xlfn.XLOOKUP(A202,Targets!A:A,Targets!C:C,"")</f>
        <v>COLLECTION</v>
      </c>
      <c r="C202" s="64" t="b">
        <f>COUNTIF(Targets!A:A,A202)&gt;0</f>
        <v>1</v>
      </c>
      <c r="D202" s="64" t="b">
        <f>IF(
 OR(
  LEFT(A202,15)="state.character",
  RIGHT(A202,6)=".maxed"
 ),
 TRUE,
 COUNTIF(Checklist!A:A,A202)&gt;0
)</f>
        <v>1</v>
      </c>
      <c r="E202" s="64" t="b">
        <f>IF(
 OR(
  LEFT(A202,15)="state.character",
  RIGHT(A202,6)=".maxed",
  A202="building.guild@1",
  A202="quest.build_the_guild.accepted",
  A202="quest.build_the_pagoda.accepted"
 ),
 TRUE,
 COUNTIF(Dependencies!A:A,A202)&gt;0
)</f>
        <v>1</v>
      </c>
      <c r="F202" s="64" t="b">
        <f>COUNTIF(Dependencies!B:B,A202)&gt;0</f>
        <v>1</v>
      </c>
      <c r="G202" s="64" t="b">
        <f>COUNTIF(QuestObjectives!A:A,A202)&gt;0</f>
        <v>0</v>
      </c>
      <c r="H202" s="64" t="b">
        <f>COUNTIF(QuestObjectives!E:E,A202)&gt;0</f>
        <v>0</v>
      </c>
      <c r="I202" s="64" t="b">
        <f>COUNTIF(TargetStatus!A:A,A202)&gt;0</f>
        <v>1</v>
      </c>
      <c r="J202" s="64" t="b">
        <f>COUNTIF(CostStatus!B:B,A202)&gt;0</f>
        <v>1</v>
      </c>
      <c r="K202" s="64" t="b">
        <f>COUNTIF(States!A:A,A202)&gt;0</f>
        <v>0</v>
      </c>
      <c r="L202" s="64" t="b">
        <f t="shared" si="2"/>
        <v>1</v>
      </c>
      <c r="M202" s="64" t="b">
        <f>IF(A202="","",COUNTIF(Targets!A:A,A202)&gt;1)</f>
        <v>0</v>
      </c>
      <c r="N202" s="64" t="b">
        <f>IF(A202="","",COUNTIF(States!A:A,A202)&gt;1)</f>
        <v>0</v>
      </c>
      <c r="O202" s="64" t="b">
        <f>IFERROR(__xludf.DUMMYFUNCTION("IF(
 B202="""",
 """",
 SWITCH(
  B202,
  ""BUILDING"",COUNTIF(Buildings!A:A,A202)&gt;0,
  ""CITADEL"",COUNTIF(Citadel!A:A,A202)&gt;0,
  ""COLLECTION"",COUNTIF(Collections!A:A,A202)&gt;0,
  ""CRAFTIFACT"",COUNTIF(Craftifacts!A:A,A202)&gt;0,
  ""QUEST"",
   COUNTIF(
 "&amp;"   Quests!A:A,
    REGEXREPLACE(A202,""\.(accepted|finished)$"","""")
   )&gt;0,
  ""TECH"",COUNTIF(Technologies!A:A,A202)&gt;0,
  ""STATE"",COUNTIF(States!A:A,A202)&gt;0,
  FALSE
 )
)"),TRUE)</f>
        <v>1</v>
      </c>
      <c r="P202" s="64" t="str">
        <f t="shared" si="3"/>
        <v>Good</v>
      </c>
      <c r="Q202" s="65"/>
      <c r="R202" s="65"/>
      <c r="S202" s="65"/>
      <c r="T202" s="65"/>
      <c r="U202" s="6"/>
      <c r="V202" s="6" t="str">
        <f>IFERROR(__xludf.DUMMYFUNCTION("""COMPUTED_VALUE"""),"collection.orangery@1")</f>
        <v>collection.orangery@1</v>
      </c>
      <c r="W202" s="65"/>
      <c r="X202" s="65"/>
      <c r="Y202" s="65"/>
      <c r="Z202" s="65"/>
      <c r="AA202" s="65"/>
      <c r="AB202" s="65"/>
      <c r="AC202" s="65"/>
      <c r="AD202" s="6"/>
      <c r="AE202" s="6"/>
      <c r="AF202" s="6"/>
      <c r="AG202" s="6"/>
      <c r="AH202" s="6"/>
      <c r="AI202" s="6"/>
      <c r="AJ202" s="6"/>
      <c r="AK202" s="6"/>
      <c r="AL202" s="6"/>
      <c r="AM202" s="6"/>
      <c r="AN202" s="6"/>
      <c r="AO202" s="6"/>
      <c r="AP202" s="6"/>
      <c r="AQ202" s="6"/>
      <c r="AR202" s="6"/>
      <c r="AS202" s="6"/>
      <c r="AT202" s="6"/>
      <c r="AU202" s="6"/>
      <c r="AV202" s="6"/>
      <c r="AW202" s="6"/>
      <c r="AX202" s="6"/>
      <c r="AY202" s="6"/>
    </row>
    <row r="203" ht="14.25" customHeight="1">
      <c r="A203" s="26" t="str">
        <f t="shared" si="1"/>
        <v>collection.orangery@2</v>
      </c>
      <c r="B203" s="26" t="str">
        <f t="array" ref="B203">_xlfn.XLOOKUP(A203,Targets!A:A,Targets!C:C,"")</f>
        <v>COLLECTION</v>
      </c>
      <c r="C203" s="64" t="b">
        <f>COUNTIF(Targets!A:A,A203)&gt;0</f>
        <v>1</v>
      </c>
      <c r="D203" s="64" t="b">
        <f>IF(
 OR(
  LEFT(A203,15)="state.character",
  RIGHT(A203,6)=".maxed"
 ),
 TRUE,
 COUNTIF(Checklist!A:A,A203)&gt;0
)</f>
        <v>1</v>
      </c>
      <c r="E203" s="64" t="b">
        <f>IF(
 OR(
  LEFT(A203,15)="state.character",
  RIGHT(A203,6)=".maxed",
  A203="building.guild@1",
  A203="quest.build_the_guild.accepted",
  A203="quest.build_the_pagoda.accepted"
 ),
 TRUE,
 COUNTIF(Dependencies!A:A,A203)&gt;0
)</f>
        <v>1</v>
      </c>
      <c r="F203" s="64" t="b">
        <f>COUNTIF(Dependencies!B:B,A203)&gt;0</f>
        <v>0</v>
      </c>
      <c r="G203" s="64" t="b">
        <f>COUNTIF(QuestObjectives!A:A,A203)&gt;0</f>
        <v>0</v>
      </c>
      <c r="H203" s="64" t="b">
        <f>COUNTIF(QuestObjectives!E:E,A203)&gt;0</f>
        <v>0</v>
      </c>
      <c r="I203" s="64" t="b">
        <f>COUNTIF(TargetStatus!A:A,A203)&gt;0</f>
        <v>1</v>
      </c>
      <c r="J203" s="64" t="b">
        <f>COUNTIF(CostStatus!B:B,A203)&gt;0</f>
        <v>1</v>
      </c>
      <c r="K203" s="64" t="b">
        <f>COUNTIF(States!A:A,A203)&gt;0</f>
        <v>0</v>
      </c>
      <c r="L203" s="64" t="b">
        <f t="shared" si="2"/>
        <v>1</v>
      </c>
      <c r="M203" s="64" t="b">
        <f>IF(A203="","",COUNTIF(Targets!A:A,A203)&gt;1)</f>
        <v>0</v>
      </c>
      <c r="N203" s="64" t="b">
        <f>IF(A203="","",COUNTIF(States!A:A,A203)&gt;1)</f>
        <v>0</v>
      </c>
      <c r="O203" s="64" t="b">
        <f>IFERROR(__xludf.DUMMYFUNCTION("IF(
 B203="""",
 """",
 SWITCH(
  B203,
  ""BUILDING"",COUNTIF(Buildings!A:A,A203)&gt;0,
  ""CITADEL"",COUNTIF(Citadel!A:A,A203)&gt;0,
  ""COLLECTION"",COUNTIF(Collections!A:A,A203)&gt;0,
  ""CRAFTIFACT"",COUNTIF(Craftifacts!A:A,A203)&gt;0,
  ""QUEST"",
   COUNTIF(
 "&amp;"   Quests!A:A,
    REGEXREPLACE(A203,""\.(accepted|finished)$"","""")
   )&gt;0,
  ""TECH"",COUNTIF(Technologies!A:A,A203)&gt;0,
  ""STATE"",COUNTIF(States!A:A,A203)&gt;0,
  FALSE
 )
)"),TRUE)</f>
        <v>1</v>
      </c>
      <c r="P203" s="64" t="str">
        <f t="shared" si="3"/>
        <v>Good</v>
      </c>
      <c r="Q203" s="65"/>
      <c r="R203" s="65"/>
      <c r="S203" s="65"/>
      <c r="T203" s="65"/>
      <c r="U203" s="6"/>
      <c r="V203" s="6" t="str">
        <f>IFERROR(__xludf.DUMMYFUNCTION("""COMPUTED_VALUE"""),"collection.orangery@2")</f>
        <v>collection.orangery@2</v>
      </c>
      <c r="W203" s="65"/>
      <c r="X203" s="65"/>
      <c r="Y203" s="65"/>
      <c r="Z203" s="65"/>
      <c r="AA203" s="65"/>
      <c r="AB203" s="65"/>
      <c r="AC203" s="65"/>
      <c r="AD203" s="6"/>
      <c r="AE203" s="6"/>
      <c r="AF203" s="6"/>
      <c r="AG203" s="6"/>
      <c r="AH203" s="6"/>
      <c r="AI203" s="6"/>
      <c r="AJ203" s="6"/>
      <c r="AK203" s="6"/>
      <c r="AL203" s="6"/>
      <c r="AM203" s="6"/>
      <c r="AN203" s="6"/>
      <c r="AO203" s="6"/>
      <c r="AP203" s="6"/>
      <c r="AQ203" s="6"/>
      <c r="AR203" s="6"/>
      <c r="AS203" s="6"/>
      <c r="AT203" s="6"/>
      <c r="AU203" s="6"/>
      <c r="AV203" s="6"/>
      <c r="AW203" s="6"/>
      <c r="AX203" s="6"/>
      <c r="AY203" s="6"/>
    </row>
    <row r="204" ht="14.25" customHeight="1">
      <c r="A204" s="26" t="str">
        <f t="shared" si="1"/>
        <v>collection.pantry_1@1</v>
      </c>
      <c r="B204" s="26" t="str">
        <f t="array" ref="B204">_xlfn.XLOOKUP(A204,Targets!A:A,Targets!C:C,"")</f>
        <v>COLLECTION</v>
      </c>
      <c r="C204" s="64" t="b">
        <f>COUNTIF(Targets!A:A,A204)&gt;0</f>
        <v>1</v>
      </c>
      <c r="D204" s="64" t="b">
        <f>IF(
 OR(
  LEFT(A204,15)="state.character",
  RIGHT(A204,6)=".maxed"
 ),
 TRUE,
 COUNTIF(Checklist!A:A,A204)&gt;0
)</f>
        <v>1</v>
      </c>
      <c r="E204" s="64" t="b">
        <f>IF(
 OR(
  LEFT(A204,15)="state.character",
  RIGHT(A204,6)=".maxed",
  A204="building.guild@1",
  A204="quest.build_the_guild.accepted",
  A204="quest.build_the_pagoda.accepted"
 ),
 TRUE,
 COUNTIF(Dependencies!A:A,A204)&gt;0
)</f>
        <v>1</v>
      </c>
      <c r="F204" s="64" t="b">
        <f>COUNTIF(Dependencies!B:B,A204)&gt;0</f>
        <v>1</v>
      </c>
      <c r="G204" s="64" t="b">
        <f>COUNTIF(QuestObjectives!A:A,A204)&gt;0</f>
        <v>0</v>
      </c>
      <c r="H204" s="64" t="b">
        <f>COUNTIF(QuestObjectives!E:E,A204)&gt;0</f>
        <v>0</v>
      </c>
      <c r="I204" s="64" t="b">
        <f>COUNTIF(TargetStatus!A:A,A204)&gt;0</f>
        <v>1</v>
      </c>
      <c r="J204" s="64" t="b">
        <f>COUNTIF(CostStatus!B:B,A204)&gt;0</f>
        <v>1</v>
      </c>
      <c r="K204" s="64" t="b">
        <f>COUNTIF(States!A:A,A204)&gt;0</f>
        <v>0</v>
      </c>
      <c r="L204" s="64" t="b">
        <f t="shared" si="2"/>
        <v>1</v>
      </c>
      <c r="M204" s="64" t="b">
        <f>IF(A204="","",COUNTIF(Targets!A:A,A204)&gt;1)</f>
        <v>0</v>
      </c>
      <c r="N204" s="64" t="b">
        <f>IF(A204="","",COUNTIF(States!A:A,A204)&gt;1)</f>
        <v>0</v>
      </c>
      <c r="O204" s="64" t="b">
        <f>IFERROR(__xludf.DUMMYFUNCTION("IF(
 B204="""",
 """",
 SWITCH(
  B204,
  ""BUILDING"",COUNTIF(Buildings!A:A,A204)&gt;0,
  ""CITADEL"",COUNTIF(Citadel!A:A,A204)&gt;0,
  ""COLLECTION"",COUNTIF(Collections!A:A,A204)&gt;0,
  ""CRAFTIFACT"",COUNTIF(Craftifacts!A:A,A204)&gt;0,
  ""QUEST"",
   COUNTIF(
 "&amp;"   Quests!A:A,
    REGEXREPLACE(A204,""\.(accepted|finished)$"","""")
   )&gt;0,
  ""TECH"",COUNTIF(Technologies!A:A,A204)&gt;0,
  ""STATE"",COUNTIF(States!A:A,A204)&gt;0,
  FALSE
 )
)"),TRUE)</f>
        <v>1</v>
      </c>
      <c r="P204" s="64" t="str">
        <f t="shared" si="3"/>
        <v>Good</v>
      </c>
      <c r="Q204" s="65"/>
      <c r="R204" s="65"/>
      <c r="S204" s="65"/>
      <c r="T204" s="65"/>
      <c r="U204" s="6"/>
      <c r="V204" s="6" t="str">
        <f>IFERROR(__xludf.DUMMYFUNCTION("""COMPUTED_VALUE"""),"collection.pantry_1@1")</f>
        <v>collection.pantry_1@1</v>
      </c>
      <c r="W204" s="65"/>
      <c r="X204" s="65"/>
      <c r="Y204" s="65"/>
      <c r="Z204" s="65"/>
      <c r="AA204" s="65"/>
      <c r="AB204" s="65"/>
      <c r="AC204" s="65"/>
      <c r="AD204" s="6"/>
      <c r="AE204" s="6"/>
      <c r="AF204" s="6"/>
      <c r="AG204" s="6"/>
      <c r="AH204" s="6"/>
      <c r="AI204" s="6"/>
      <c r="AJ204" s="6"/>
      <c r="AK204" s="6"/>
      <c r="AL204" s="6"/>
      <c r="AM204" s="6"/>
      <c r="AN204" s="6"/>
      <c r="AO204" s="6"/>
      <c r="AP204" s="6"/>
      <c r="AQ204" s="6"/>
      <c r="AR204" s="6"/>
      <c r="AS204" s="6"/>
      <c r="AT204" s="6"/>
      <c r="AU204" s="6"/>
      <c r="AV204" s="6"/>
      <c r="AW204" s="6"/>
      <c r="AX204" s="6"/>
      <c r="AY204" s="6"/>
    </row>
    <row r="205" ht="14.25" customHeight="1">
      <c r="A205" s="26" t="str">
        <f t="shared" si="1"/>
        <v>collection.pantry_1@2</v>
      </c>
      <c r="B205" s="26" t="str">
        <f t="array" ref="B205">_xlfn.XLOOKUP(A205,Targets!A:A,Targets!C:C,"")</f>
        <v>COLLECTION</v>
      </c>
      <c r="C205" s="64" t="b">
        <f>COUNTIF(Targets!A:A,A205)&gt;0</f>
        <v>1</v>
      </c>
      <c r="D205" s="64" t="b">
        <f>IF(
 OR(
  LEFT(A205,15)="state.character",
  RIGHT(A205,6)=".maxed"
 ),
 TRUE,
 COUNTIF(Checklist!A:A,A205)&gt;0
)</f>
        <v>1</v>
      </c>
      <c r="E205" s="64" t="b">
        <f>IF(
 OR(
  LEFT(A205,15)="state.character",
  RIGHT(A205,6)=".maxed",
  A205="building.guild@1",
  A205="quest.build_the_guild.accepted",
  A205="quest.build_the_pagoda.accepted"
 ),
 TRUE,
 COUNTIF(Dependencies!A:A,A205)&gt;0
)</f>
        <v>1</v>
      </c>
      <c r="F205" s="64" t="b">
        <f>COUNTIF(Dependencies!B:B,A205)&gt;0</f>
        <v>1</v>
      </c>
      <c r="G205" s="64" t="b">
        <f>COUNTIF(QuestObjectives!A:A,A205)&gt;0</f>
        <v>0</v>
      </c>
      <c r="H205" s="64" t="b">
        <f>COUNTIF(QuestObjectives!E:E,A205)&gt;0</f>
        <v>0</v>
      </c>
      <c r="I205" s="64" t="b">
        <f>COUNTIF(TargetStatus!A:A,A205)&gt;0</f>
        <v>1</v>
      </c>
      <c r="J205" s="64" t="b">
        <f>COUNTIF(CostStatus!B:B,A205)&gt;0</f>
        <v>1</v>
      </c>
      <c r="K205" s="64" t="b">
        <f>COUNTIF(States!A:A,A205)&gt;0</f>
        <v>0</v>
      </c>
      <c r="L205" s="64" t="b">
        <f t="shared" si="2"/>
        <v>1</v>
      </c>
      <c r="M205" s="64" t="b">
        <f>IF(A205="","",COUNTIF(Targets!A:A,A205)&gt;1)</f>
        <v>0</v>
      </c>
      <c r="N205" s="64" t="b">
        <f>IF(A205="","",COUNTIF(States!A:A,A205)&gt;1)</f>
        <v>0</v>
      </c>
      <c r="O205" s="64" t="b">
        <f>IFERROR(__xludf.DUMMYFUNCTION("IF(
 B205="""",
 """",
 SWITCH(
  B205,
  ""BUILDING"",COUNTIF(Buildings!A:A,A205)&gt;0,
  ""CITADEL"",COUNTIF(Citadel!A:A,A205)&gt;0,
  ""COLLECTION"",COUNTIF(Collections!A:A,A205)&gt;0,
  ""CRAFTIFACT"",COUNTIF(Craftifacts!A:A,A205)&gt;0,
  ""QUEST"",
   COUNTIF(
 "&amp;"   Quests!A:A,
    REGEXREPLACE(A205,""\.(accepted|finished)$"","""")
   )&gt;0,
  ""TECH"",COUNTIF(Technologies!A:A,A205)&gt;0,
  ""STATE"",COUNTIF(States!A:A,A205)&gt;0,
  FALSE
 )
)"),TRUE)</f>
        <v>1</v>
      </c>
      <c r="P205" s="64" t="str">
        <f t="shared" si="3"/>
        <v>Good</v>
      </c>
      <c r="Q205" s="65"/>
      <c r="R205" s="65"/>
      <c r="S205" s="65"/>
      <c r="T205" s="65"/>
      <c r="U205" s="6"/>
      <c r="V205" s="6" t="str">
        <f>IFERROR(__xludf.DUMMYFUNCTION("""COMPUTED_VALUE"""),"collection.pantry_1@2")</f>
        <v>collection.pantry_1@2</v>
      </c>
      <c r="W205" s="65"/>
      <c r="X205" s="65"/>
      <c r="Y205" s="65"/>
      <c r="Z205" s="65"/>
      <c r="AA205" s="65"/>
      <c r="AB205" s="65"/>
      <c r="AC205" s="65"/>
      <c r="AD205" s="6"/>
      <c r="AE205" s="6"/>
      <c r="AF205" s="6"/>
      <c r="AG205" s="6"/>
      <c r="AH205" s="6"/>
      <c r="AI205" s="6"/>
      <c r="AJ205" s="6"/>
      <c r="AK205" s="6"/>
      <c r="AL205" s="6"/>
      <c r="AM205" s="6"/>
      <c r="AN205" s="6"/>
      <c r="AO205" s="6"/>
      <c r="AP205" s="6"/>
      <c r="AQ205" s="6"/>
      <c r="AR205" s="6"/>
      <c r="AS205" s="6"/>
      <c r="AT205" s="6"/>
      <c r="AU205" s="6"/>
      <c r="AV205" s="6"/>
      <c r="AW205" s="6"/>
      <c r="AX205" s="6"/>
      <c r="AY205" s="6"/>
    </row>
    <row r="206" ht="14.25" customHeight="1">
      <c r="A206" s="26" t="str">
        <f t="shared" si="1"/>
        <v>collection.pantry_1@3</v>
      </c>
      <c r="B206" s="26" t="str">
        <f t="array" ref="B206">_xlfn.XLOOKUP(A206,Targets!A:A,Targets!C:C,"")</f>
        <v>COLLECTION</v>
      </c>
      <c r="C206" s="64" t="b">
        <f>COUNTIF(Targets!A:A,A206)&gt;0</f>
        <v>1</v>
      </c>
      <c r="D206" s="64" t="b">
        <f>IF(
 OR(
  LEFT(A206,15)="state.character",
  RIGHT(A206,6)=".maxed"
 ),
 TRUE,
 COUNTIF(Checklist!A:A,A206)&gt;0
)</f>
        <v>1</v>
      </c>
      <c r="E206" s="64" t="b">
        <f>IF(
 OR(
  LEFT(A206,15)="state.character",
  RIGHT(A206,6)=".maxed",
  A206="building.guild@1",
  A206="quest.build_the_guild.accepted",
  A206="quest.build_the_pagoda.accepted"
 ),
 TRUE,
 COUNTIF(Dependencies!A:A,A206)&gt;0
)</f>
        <v>1</v>
      </c>
      <c r="F206" s="64" t="b">
        <f>COUNTIF(Dependencies!B:B,A206)&gt;0</f>
        <v>1</v>
      </c>
      <c r="G206" s="64" t="b">
        <f>COUNTIF(QuestObjectives!A:A,A206)&gt;0</f>
        <v>0</v>
      </c>
      <c r="H206" s="64" t="b">
        <f>COUNTIF(QuestObjectives!E:E,A206)&gt;0</f>
        <v>0</v>
      </c>
      <c r="I206" s="64" t="b">
        <f>COUNTIF(TargetStatus!A:A,A206)&gt;0</f>
        <v>1</v>
      </c>
      <c r="J206" s="64" t="b">
        <f>COUNTIF(CostStatus!B:B,A206)&gt;0</f>
        <v>1</v>
      </c>
      <c r="K206" s="64" t="b">
        <f>COUNTIF(States!A:A,A206)&gt;0</f>
        <v>0</v>
      </c>
      <c r="L206" s="64" t="b">
        <f t="shared" si="2"/>
        <v>1</v>
      </c>
      <c r="M206" s="64" t="b">
        <f>IF(A206="","",COUNTIF(Targets!A:A,A206)&gt;1)</f>
        <v>0</v>
      </c>
      <c r="N206" s="64" t="b">
        <f>IF(A206="","",COUNTIF(States!A:A,A206)&gt;1)</f>
        <v>0</v>
      </c>
      <c r="O206" s="64" t="b">
        <f>IFERROR(__xludf.DUMMYFUNCTION("IF(
 B206="""",
 """",
 SWITCH(
  B206,
  ""BUILDING"",COUNTIF(Buildings!A:A,A206)&gt;0,
  ""CITADEL"",COUNTIF(Citadel!A:A,A206)&gt;0,
  ""COLLECTION"",COUNTIF(Collections!A:A,A206)&gt;0,
  ""CRAFTIFACT"",COUNTIF(Craftifacts!A:A,A206)&gt;0,
  ""QUEST"",
   COUNTIF(
 "&amp;"   Quests!A:A,
    REGEXREPLACE(A206,""\.(accepted|finished)$"","""")
   )&gt;0,
  ""TECH"",COUNTIF(Technologies!A:A,A206)&gt;0,
  ""STATE"",COUNTIF(States!A:A,A206)&gt;0,
  FALSE
 )
)"),TRUE)</f>
        <v>1</v>
      </c>
      <c r="P206" s="64" t="str">
        <f t="shared" si="3"/>
        <v>Good</v>
      </c>
      <c r="Q206" s="65"/>
      <c r="R206" s="65"/>
      <c r="S206" s="65"/>
      <c r="T206" s="65"/>
      <c r="U206" s="6"/>
      <c r="V206" s="6" t="str">
        <f>IFERROR(__xludf.DUMMYFUNCTION("""COMPUTED_VALUE"""),"collection.pantry_1@3")</f>
        <v>collection.pantry_1@3</v>
      </c>
      <c r="W206" s="65"/>
      <c r="X206" s="65"/>
      <c r="Y206" s="65"/>
      <c r="Z206" s="65"/>
      <c r="AA206" s="65"/>
      <c r="AB206" s="65"/>
      <c r="AC206" s="65"/>
      <c r="AD206" s="6"/>
      <c r="AE206" s="6"/>
      <c r="AF206" s="6"/>
      <c r="AG206" s="6"/>
      <c r="AH206" s="6"/>
      <c r="AI206" s="6"/>
      <c r="AJ206" s="6"/>
      <c r="AK206" s="6"/>
      <c r="AL206" s="6"/>
      <c r="AM206" s="6"/>
      <c r="AN206" s="6"/>
      <c r="AO206" s="6"/>
      <c r="AP206" s="6"/>
      <c r="AQ206" s="6"/>
      <c r="AR206" s="6"/>
      <c r="AS206" s="6"/>
      <c r="AT206" s="6"/>
      <c r="AU206" s="6"/>
      <c r="AV206" s="6"/>
      <c r="AW206" s="6"/>
      <c r="AX206" s="6"/>
      <c r="AY206" s="6"/>
    </row>
    <row r="207" ht="14.25" customHeight="1">
      <c r="A207" s="26" t="str">
        <f t="shared" si="1"/>
        <v>collection.pantry_1@4</v>
      </c>
      <c r="B207" s="26" t="str">
        <f t="array" ref="B207">_xlfn.XLOOKUP(A207,Targets!A:A,Targets!C:C,"")</f>
        <v>COLLECTION</v>
      </c>
      <c r="C207" s="64" t="b">
        <f>COUNTIF(Targets!A:A,A207)&gt;0</f>
        <v>1</v>
      </c>
      <c r="D207" s="64" t="b">
        <f>IF(
 OR(
  LEFT(A207,15)="state.character",
  RIGHT(A207,6)=".maxed"
 ),
 TRUE,
 COUNTIF(Checklist!A:A,A207)&gt;0
)</f>
        <v>1</v>
      </c>
      <c r="E207" s="64" t="b">
        <f>IF(
 OR(
  LEFT(A207,15)="state.character",
  RIGHT(A207,6)=".maxed",
  A207="building.guild@1",
  A207="quest.build_the_guild.accepted",
  A207="quest.build_the_pagoda.accepted"
 ),
 TRUE,
 COUNTIF(Dependencies!A:A,A207)&gt;0
)</f>
        <v>1</v>
      </c>
      <c r="F207" s="64" t="b">
        <f>COUNTIF(Dependencies!B:B,A207)&gt;0</f>
        <v>1</v>
      </c>
      <c r="G207" s="64" t="b">
        <f>COUNTIF(QuestObjectives!A:A,A207)&gt;0</f>
        <v>0</v>
      </c>
      <c r="H207" s="64" t="b">
        <f>COUNTIF(QuestObjectives!E:E,A207)&gt;0</f>
        <v>0</v>
      </c>
      <c r="I207" s="64" t="b">
        <f>COUNTIF(TargetStatus!A:A,A207)&gt;0</f>
        <v>1</v>
      </c>
      <c r="J207" s="64" t="b">
        <f>COUNTIF(CostStatus!B:B,A207)&gt;0</f>
        <v>1</v>
      </c>
      <c r="K207" s="64" t="b">
        <f>COUNTIF(States!A:A,A207)&gt;0</f>
        <v>0</v>
      </c>
      <c r="L207" s="64" t="b">
        <f t="shared" si="2"/>
        <v>1</v>
      </c>
      <c r="M207" s="64" t="b">
        <f>IF(A207="","",COUNTIF(Targets!A:A,A207)&gt;1)</f>
        <v>0</v>
      </c>
      <c r="N207" s="64" t="b">
        <f>IF(A207="","",COUNTIF(States!A:A,A207)&gt;1)</f>
        <v>0</v>
      </c>
      <c r="O207" s="64" t="b">
        <f>IFERROR(__xludf.DUMMYFUNCTION("IF(
 B207="""",
 """",
 SWITCH(
  B207,
  ""BUILDING"",COUNTIF(Buildings!A:A,A207)&gt;0,
  ""CITADEL"",COUNTIF(Citadel!A:A,A207)&gt;0,
  ""COLLECTION"",COUNTIF(Collections!A:A,A207)&gt;0,
  ""CRAFTIFACT"",COUNTIF(Craftifacts!A:A,A207)&gt;0,
  ""QUEST"",
   COUNTIF(
 "&amp;"   Quests!A:A,
    REGEXREPLACE(A207,""\.(accepted|finished)$"","""")
   )&gt;0,
  ""TECH"",COUNTIF(Technologies!A:A,A207)&gt;0,
  ""STATE"",COUNTIF(States!A:A,A207)&gt;0,
  FALSE
 )
)"),TRUE)</f>
        <v>1</v>
      </c>
      <c r="P207" s="64" t="str">
        <f t="shared" si="3"/>
        <v>Good</v>
      </c>
      <c r="Q207" s="65"/>
      <c r="R207" s="65"/>
      <c r="S207" s="65"/>
      <c r="T207" s="65"/>
      <c r="U207" s="6"/>
      <c r="V207" s="6" t="str">
        <f>IFERROR(__xludf.DUMMYFUNCTION("""COMPUTED_VALUE"""),"collection.pantry_1@4")</f>
        <v>collection.pantry_1@4</v>
      </c>
      <c r="W207" s="65"/>
      <c r="X207" s="65"/>
      <c r="Y207" s="65"/>
      <c r="Z207" s="65"/>
      <c r="AA207" s="65"/>
      <c r="AB207" s="65"/>
      <c r="AC207" s="65"/>
      <c r="AD207" s="6"/>
      <c r="AE207" s="6"/>
      <c r="AF207" s="6"/>
      <c r="AG207" s="6"/>
      <c r="AH207" s="6"/>
      <c r="AI207" s="6"/>
      <c r="AJ207" s="6"/>
      <c r="AK207" s="6"/>
      <c r="AL207" s="6"/>
      <c r="AM207" s="6"/>
      <c r="AN207" s="6"/>
      <c r="AO207" s="6"/>
      <c r="AP207" s="6"/>
      <c r="AQ207" s="6"/>
      <c r="AR207" s="6"/>
      <c r="AS207" s="6"/>
      <c r="AT207" s="6"/>
      <c r="AU207" s="6"/>
      <c r="AV207" s="6"/>
      <c r="AW207" s="6"/>
      <c r="AX207" s="6"/>
      <c r="AY207" s="6"/>
    </row>
    <row r="208" ht="14.25" customHeight="1">
      <c r="A208" s="26" t="str">
        <f t="shared" si="1"/>
        <v>collection.pantry_1@5</v>
      </c>
      <c r="B208" s="26" t="str">
        <f t="array" ref="B208">_xlfn.XLOOKUP(A208,Targets!A:A,Targets!C:C,"")</f>
        <v>COLLECTION</v>
      </c>
      <c r="C208" s="64" t="b">
        <f>COUNTIF(Targets!A:A,A208)&gt;0</f>
        <v>1</v>
      </c>
      <c r="D208" s="64" t="b">
        <f>IF(
 OR(
  LEFT(A208,15)="state.character",
  RIGHT(A208,6)=".maxed"
 ),
 TRUE,
 COUNTIF(Checklist!A:A,A208)&gt;0
)</f>
        <v>1</v>
      </c>
      <c r="E208" s="64" t="b">
        <f>IF(
 OR(
  LEFT(A208,15)="state.character",
  RIGHT(A208,6)=".maxed",
  A208="building.guild@1",
  A208="quest.build_the_guild.accepted",
  A208="quest.build_the_pagoda.accepted"
 ),
 TRUE,
 COUNTIF(Dependencies!A:A,A208)&gt;0
)</f>
        <v>1</v>
      </c>
      <c r="F208" s="64" t="b">
        <f>COUNTIF(Dependencies!B:B,A208)&gt;0</f>
        <v>0</v>
      </c>
      <c r="G208" s="64" t="b">
        <f>COUNTIF(QuestObjectives!A:A,A208)&gt;0</f>
        <v>0</v>
      </c>
      <c r="H208" s="64" t="b">
        <f>COUNTIF(QuestObjectives!E:E,A208)&gt;0</f>
        <v>0</v>
      </c>
      <c r="I208" s="64" t="b">
        <f>COUNTIF(TargetStatus!A:A,A208)&gt;0</f>
        <v>1</v>
      </c>
      <c r="J208" s="64" t="b">
        <f>COUNTIF(CostStatus!B:B,A208)&gt;0</f>
        <v>1</v>
      </c>
      <c r="K208" s="64" t="b">
        <f>COUNTIF(States!A:A,A208)&gt;0</f>
        <v>0</v>
      </c>
      <c r="L208" s="64" t="b">
        <f t="shared" si="2"/>
        <v>1</v>
      </c>
      <c r="M208" s="64" t="b">
        <f>IF(A208="","",COUNTIF(Targets!A:A,A208)&gt;1)</f>
        <v>0</v>
      </c>
      <c r="N208" s="64" t="b">
        <f>IF(A208="","",COUNTIF(States!A:A,A208)&gt;1)</f>
        <v>0</v>
      </c>
      <c r="O208" s="64" t="b">
        <f>IFERROR(__xludf.DUMMYFUNCTION("IF(
 B208="""",
 """",
 SWITCH(
  B208,
  ""BUILDING"",COUNTIF(Buildings!A:A,A208)&gt;0,
  ""CITADEL"",COUNTIF(Citadel!A:A,A208)&gt;0,
  ""COLLECTION"",COUNTIF(Collections!A:A,A208)&gt;0,
  ""CRAFTIFACT"",COUNTIF(Craftifacts!A:A,A208)&gt;0,
  ""QUEST"",
   COUNTIF(
 "&amp;"   Quests!A:A,
    REGEXREPLACE(A208,""\.(accepted|finished)$"","""")
   )&gt;0,
  ""TECH"",COUNTIF(Technologies!A:A,A208)&gt;0,
  ""STATE"",COUNTIF(States!A:A,A208)&gt;0,
  FALSE
 )
)"),TRUE)</f>
        <v>1</v>
      </c>
      <c r="P208" s="64" t="str">
        <f t="shared" si="3"/>
        <v>Good</v>
      </c>
      <c r="Q208" s="65"/>
      <c r="R208" s="65"/>
      <c r="S208" s="65"/>
      <c r="T208" s="65"/>
      <c r="U208" s="6"/>
      <c r="V208" s="6" t="str">
        <f>IFERROR(__xludf.DUMMYFUNCTION("""COMPUTED_VALUE"""),"collection.pantry_1@5")</f>
        <v>collection.pantry_1@5</v>
      </c>
      <c r="W208" s="65"/>
      <c r="X208" s="65"/>
      <c r="Y208" s="65"/>
      <c r="Z208" s="65"/>
      <c r="AA208" s="65"/>
      <c r="AB208" s="65"/>
      <c r="AC208" s="65"/>
      <c r="AD208" s="6"/>
      <c r="AE208" s="6"/>
      <c r="AF208" s="6"/>
      <c r="AG208" s="6"/>
      <c r="AH208" s="6"/>
      <c r="AI208" s="6"/>
      <c r="AJ208" s="6"/>
      <c r="AK208" s="6"/>
      <c r="AL208" s="6"/>
      <c r="AM208" s="6"/>
      <c r="AN208" s="6"/>
      <c r="AO208" s="6"/>
      <c r="AP208" s="6"/>
      <c r="AQ208" s="6"/>
      <c r="AR208" s="6"/>
      <c r="AS208" s="6"/>
      <c r="AT208" s="6"/>
      <c r="AU208" s="6"/>
      <c r="AV208" s="6"/>
      <c r="AW208" s="6"/>
      <c r="AX208" s="6"/>
      <c r="AY208" s="6"/>
    </row>
    <row r="209" ht="14.25" customHeight="1">
      <c r="A209" s="26" t="str">
        <f t="shared" si="1"/>
        <v>collection.pantry_2@1</v>
      </c>
      <c r="B209" s="26" t="str">
        <f t="array" ref="B209">_xlfn.XLOOKUP(A209,Targets!A:A,Targets!C:C,"")</f>
        <v>COLLECTION</v>
      </c>
      <c r="C209" s="64" t="b">
        <f>COUNTIF(Targets!A:A,A209)&gt;0</f>
        <v>1</v>
      </c>
      <c r="D209" s="64" t="b">
        <f>IF(
 OR(
  LEFT(A209,15)="state.character",
  RIGHT(A209,6)=".maxed"
 ),
 TRUE,
 COUNTIF(Checklist!A:A,A209)&gt;0
)</f>
        <v>1</v>
      </c>
      <c r="E209" s="64" t="b">
        <f>IF(
 OR(
  LEFT(A209,15)="state.character",
  RIGHT(A209,6)=".maxed",
  A209="building.guild@1",
  A209="quest.build_the_guild.accepted",
  A209="quest.build_the_pagoda.accepted"
 ),
 TRUE,
 COUNTIF(Dependencies!A:A,A209)&gt;0
)</f>
        <v>1</v>
      </c>
      <c r="F209" s="64" t="b">
        <f>COUNTIF(Dependencies!B:B,A209)&gt;0</f>
        <v>1</v>
      </c>
      <c r="G209" s="64" t="b">
        <f>COUNTIF(QuestObjectives!A:A,A209)&gt;0</f>
        <v>0</v>
      </c>
      <c r="H209" s="64" t="b">
        <f>COUNTIF(QuestObjectives!E:E,A209)&gt;0</f>
        <v>0</v>
      </c>
      <c r="I209" s="64" t="b">
        <f>COUNTIF(TargetStatus!A:A,A209)&gt;0</f>
        <v>1</v>
      </c>
      <c r="J209" s="64" t="b">
        <f>COUNTIF(CostStatus!B:B,A209)&gt;0</f>
        <v>1</v>
      </c>
      <c r="K209" s="64" t="b">
        <f>COUNTIF(States!A:A,A209)&gt;0</f>
        <v>0</v>
      </c>
      <c r="L209" s="64" t="b">
        <f t="shared" si="2"/>
        <v>1</v>
      </c>
      <c r="M209" s="64" t="b">
        <f>IF(A209="","",COUNTIF(Targets!A:A,A209)&gt;1)</f>
        <v>0</v>
      </c>
      <c r="N209" s="64" t="b">
        <f>IF(A209="","",COUNTIF(States!A:A,A209)&gt;1)</f>
        <v>0</v>
      </c>
      <c r="O209" s="64" t="b">
        <f>IFERROR(__xludf.DUMMYFUNCTION("IF(
 B209="""",
 """",
 SWITCH(
  B209,
  ""BUILDING"",COUNTIF(Buildings!A:A,A209)&gt;0,
  ""CITADEL"",COUNTIF(Citadel!A:A,A209)&gt;0,
  ""COLLECTION"",COUNTIF(Collections!A:A,A209)&gt;0,
  ""CRAFTIFACT"",COUNTIF(Craftifacts!A:A,A209)&gt;0,
  ""QUEST"",
   COUNTIF(
 "&amp;"   Quests!A:A,
    REGEXREPLACE(A209,""\.(accepted|finished)$"","""")
   )&gt;0,
  ""TECH"",COUNTIF(Technologies!A:A,A209)&gt;0,
  ""STATE"",COUNTIF(States!A:A,A209)&gt;0,
  FALSE
 )
)"),TRUE)</f>
        <v>1</v>
      </c>
      <c r="P209" s="64" t="str">
        <f t="shared" si="3"/>
        <v>Good</v>
      </c>
      <c r="Q209" s="65"/>
      <c r="R209" s="65"/>
      <c r="S209" s="65"/>
      <c r="T209" s="65"/>
      <c r="U209" s="6"/>
      <c r="V209" s="6" t="str">
        <f>IFERROR(__xludf.DUMMYFUNCTION("""COMPUTED_VALUE"""),"collection.pantry_2@1")</f>
        <v>collection.pantry_2@1</v>
      </c>
      <c r="W209" s="65"/>
      <c r="X209" s="65"/>
      <c r="Y209" s="65"/>
      <c r="Z209" s="65"/>
      <c r="AA209" s="65"/>
      <c r="AB209" s="65"/>
      <c r="AC209" s="65"/>
      <c r="AD209" s="6"/>
      <c r="AE209" s="6"/>
      <c r="AF209" s="6"/>
      <c r="AG209" s="6"/>
      <c r="AH209" s="6"/>
      <c r="AI209" s="6"/>
      <c r="AJ209" s="6"/>
      <c r="AK209" s="6"/>
      <c r="AL209" s="6"/>
      <c r="AM209" s="6"/>
      <c r="AN209" s="6"/>
      <c r="AO209" s="6"/>
      <c r="AP209" s="6"/>
      <c r="AQ209" s="6"/>
      <c r="AR209" s="6"/>
      <c r="AS209" s="6"/>
      <c r="AT209" s="6"/>
      <c r="AU209" s="6"/>
      <c r="AV209" s="6"/>
      <c r="AW209" s="6"/>
      <c r="AX209" s="6"/>
      <c r="AY209" s="6"/>
    </row>
    <row r="210" ht="14.25" customHeight="1">
      <c r="A210" s="26" t="str">
        <f t="shared" si="1"/>
        <v>collection.pantry_2@2</v>
      </c>
      <c r="B210" s="26" t="str">
        <f t="array" ref="B210">_xlfn.XLOOKUP(A210,Targets!A:A,Targets!C:C,"")</f>
        <v>COLLECTION</v>
      </c>
      <c r="C210" s="64" t="b">
        <f>COUNTIF(Targets!A:A,A210)&gt;0</f>
        <v>1</v>
      </c>
      <c r="D210" s="64" t="b">
        <f>IF(
 OR(
  LEFT(A210,15)="state.character",
  RIGHT(A210,6)=".maxed"
 ),
 TRUE,
 COUNTIF(Checklist!A:A,A210)&gt;0
)</f>
        <v>1</v>
      </c>
      <c r="E210" s="64" t="b">
        <f>IF(
 OR(
  LEFT(A210,15)="state.character",
  RIGHT(A210,6)=".maxed",
  A210="building.guild@1",
  A210="quest.build_the_guild.accepted",
  A210="quest.build_the_pagoda.accepted"
 ),
 TRUE,
 COUNTIF(Dependencies!A:A,A210)&gt;0
)</f>
        <v>1</v>
      </c>
      <c r="F210" s="64" t="b">
        <f>COUNTIF(Dependencies!B:B,A210)&gt;0</f>
        <v>1</v>
      </c>
      <c r="G210" s="64" t="b">
        <f>COUNTIF(QuestObjectives!A:A,A210)&gt;0</f>
        <v>0</v>
      </c>
      <c r="H210" s="64" t="b">
        <f>COUNTIF(QuestObjectives!E:E,A210)&gt;0</f>
        <v>0</v>
      </c>
      <c r="I210" s="64" t="b">
        <f>COUNTIF(TargetStatus!A:A,A210)&gt;0</f>
        <v>1</v>
      </c>
      <c r="J210" s="64" t="b">
        <f>COUNTIF(CostStatus!B:B,A210)&gt;0</f>
        <v>1</v>
      </c>
      <c r="K210" s="64" t="b">
        <f>COUNTIF(States!A:A,A210)&gt;0</f>
        <v>0</v>
      </c>
      <c r="L210" s="64" t="b">
        <f t="shared" si="2"/>
        <v>1</v>
      </c>
      <c r="M210" s="64" t="b">
        <f>IF(A210="","",COUNTIF(Targets!A:A,A210)&gt;1)</f>
        <v>0</v>
      </c>
      <c r="N210" s="64" t="b">
        <f>IF(A210="","",COUNTIF(States!A:A,A210)&gt;1)</f>
        <v>0</v>
      </c>
      <c r="O210" s="64" t="b">
        <f>IFERROR(__xludf.DUMMYFUNCTION("IF(
 B210="""",
 """",
 SWITCH(
  B210,
  ""BUILDING"",COUNTIF(Buildings!A:A,A210)&gt;0,
  ""CITADEL"",COUNTIF(Citadel!A:A,A210)&gt;0,
  ""COLLECTION"",COUNTIF(Collections!A:A,A210)&gt;0,
  ""CRAFTIFACT"",COUNTIF(Craftifacts!A:A,A210)&gt;0,
  ""QUEST"",
   COUNTIF(
 "&amp;"   Quests!A:A,
    REGEXREPLACE(A210,""\.(accepted|finished)$"","""")
   )&gt;0,
  ""TECH"",COUNTIF(Technologies!A:A,A210)&gt;0,
  ""STATE"",COUNTIF(States!A:A,A210)&gt;0,
  FALSE
 )
)"),TRUE)</f>
        <v>1</v>
      </c>
      <c r="P210" s="64" t="str">
        <f t="shared" si="3"/>
        <v>Good</v>
      </c>
      <c r="Q210" s="65"/>
      <c r="R210" s="65"/>
      <c r="S210" s="65"/>
      <c r="T210" s="65"/>
      <c r="U210" s="6"/>
      <c r="V210" s="6" t="str">
        <f>IFERROR(__xludf.DUMMYFUNCTION("""COMPUTED_VALUE"""),"collection.pantry_2@2")</f>
        <v>collection.pantry_2@2</v>
      </c>
      <c r="W210" s="65"/>
      <c r="X210" s="65"/>
      <c r="Y210" s="65"/>
      <c r="Z210" s="65"/>
      <c r="AA210" s="65"/>
      <c r="AB210" s="65"/>
      <c r="AC210" s="65"/>
      <c r="AD210" s="6"/>
      <c r="AE210" s="6"/>
      <c r="AF210" s="6"/>
      <c r="AG210" s="6"/>
      <c r="AH210" s="6"/>
      <c r="AI210" s="6"/>
      <c r="AJ210" s="6"/>
      <c r="AK210" s="6"/>
      <c r="AL210" s="6"/>
      <c r="AM210" s="6"/>
      <c r="AN210" s="6"/>
      <c r="AO210" s="6"/>
      <c r="AP210" s="6"/>
      <c r="AQ210" s="6"/>
      <c r="AR210" s="6"/>
      <c r="AS210" s="6"/>
      <c r="AT210" s="6"/>
      <c r="AU210" s="6"/>
      <c r="AV210" s="6"/>
      <c r="AW210" s="6"/>
      <c r="AX210" s="6"/>
      <c r="AY210" s="6"/>
    </row>
    <row r="211" ht="14.25" customHeight="1">
      <c r="A211" s="26" t="str">
        <f t="shared" si="1"/>
        <v>collection.pantry_2@3</v>
      </c>
      <c r="B211" s="26" t="str">
        <f t="array" ref="B211">_xlfn.XLOOKUP(A211,Targets!A:A,Targets!C:C,"")</f>
        <v>COLLECTION</v>
      </c>
      <c r="C211" s="64" t="b">
        <f>COUNTIF(Targets!A:A,A211)&gt;0</f>
        <v>1</v>
      </c>
      <c r="D211" s="64" t="b">
        <f>IF(
 OR(
  LEFT(A211,15)="state.character",
  RIGHT(A211,6)=".maxed"
 ),
 TRUE,
 COUNTIF(Checklist!A:A,A211)&gt;0
)</f>
        <v>1</v>
      </c>
      <c r="E211" s="64" t="b">
        <f>IF(
 OR(
  LEFT(A211,15)="state.character",
  RIGHT(A211,6)=".maxed",
  A211="building.guild@1",
  A211="quest.build_the_guild.accepted",
  A211="quest.build_the_pagoda.accepted"
 ),
 TRUE,
 COUNTIF(Dependencies!A:A,A211)&gt;0
)</f>
        <v>1</v>
      </c>
      <c r="F211" s="64" t="b">
        <f>COUNTIF(Dependencies!B:B,A211)&gt;0</f>
        <v>1</v>
      </c>
      <c r="G211" s="64" t="b">
        <f>COUNTIF(QuestObjectives!A:A,A211)&gt;0</f>
        <v>0</v>
      </c>
      <c r="H211" s="64" t="b">
        <f>COUNTIF(QuestObjectives!E:E,A211)&gt;0</f>
        <v>0</v>
      </c>
      <c r="I211" s="64" t="b">
        <f>COUNTIF(TargetStatus!A:A,A211)&gt;0</f>
        <v>1</v>
      </c>
      <c r="J211" s="64" t="b">
        <f>COUNTIF(CostStatus!B:B,A211)&gt;0</f>
        <v>1</v>
      </c>
      <c r="K211" s="64" t="b">
        <f>COUNTIF(States!A:A,A211)&gt;0</f>
        <v>0</v>
      </c>
      <c r="L211" s="64" t="b">
        <f t="shared" si="2"/>
        <v>1</v>
      </c>
      <c r="M211" s="64" t="b">
        <f>IF(A211="","",COUNTIF(Targets!A:A,A211)&gt;1)</f>
        <v>0</v>
      </c>
      <c r="N211" s="64" t="b">
        <f>IF(A211="","",COUNTIF(States!A:A,A211)&gt;1)</f>
        <v>0</v>
      </c>
      <c r="O211" s="64" t="b">
        <f>IFERROR(__xludf.DUMMYFUNCTION("IF(
 B211="""",
 """",
 SWITCH(
  B211,
  ""BUILDING"",COUNTIF(Buildings!A:A,A211)&gt;0,
  ""CITADEL"",COUNTIF(Citadel!A:A,A211)&gt;0,
  ""COLLECTION"",COUNTIF(Collections!A:A,A211)&gt;0,
  ""CRAFTIFACT"",COUNTIF(Craftifacts!A:A,A211)&gt;0,
  ""QUEST"",
   COUNTIF(
 "&amp;"   Quests!A:A,
    REGEXREPLACE(A211,""\.(accepted|finished)$"","""")
   )&gt;0,
  ""TECH"",COUNTIF(Technologies!A:A,A211)&gt;0,
  ""STATE"",COUNTIF(States!A:A,A211)&gt;0,
  FALSE
 )
)"),TRUE)</f>
        <v>1</v>
      </c>
      <c r="P211" s="64" t="str">
        <f t="shared" si="3"/>
        <v>Good</v>
      </c>
      <c r="Q211" s="65"/>
      <c r="R211" s="65"/>
      <c r="S211" s="65"/>
      <c r="T211" s="65"/>
      <c r="U211" s="6"/>
      <c r="V211" s="6" t="str">
        <f>IFERROR(__xludf.DUMMYFUNCTION("""COMPUTED_VALUE"""),"collection.pantry_2@3")</f>
        <v>collection.pantry_2@3</v>
      </c>
      <c r="W211" s="65"/>
      <c r="X211" s="65"/>
      <c r="Y211" s="65"/>
      <c r="Z211" s="65"/>
      <c r="AA211" s="65"/>
      <c r="AB211" s="65"/>
      <c r="AC211" s="65"/>
      <c r="AD211" s="6"/>
      <c r="AE211" s="6"/>
      <c r="AF211" s="6"/>
      <c r="AG211" s="6"/>
      <c r="AH211" s="6"/>
      <c r="AI211" s="6"/>
      <c r="AJ211" s="6"/>
      <c r="AK211" s="6"/>
      <c r="AL211" s="6"/>
      <c r="AM211" s="6"/>
      <c r="AN211" s="6"/>
      <c r="AO211" s="6"/>
      <c r="AP211" s="6"/>
      <c r="AQ211" s="6"/>
      <c r="AR211" s="6"/>
      <c r="AS211" s="6"/>
      <c r="AT211" s="6"/>
      <c r="AU211" s="6"/>
      <c r="AV211" s="6"/>
      <c r="AW211" s="6"/>
      <c r="AX211" s="6"/>
      <c r="AY211" s="6"/>
    </row>
    <row r="212" ht="14.25" customHeight="1">
      <c r="A212" s="26" t="str">
        <f t="shared" si="1"/>
        <v>collection.pantry_2@4</v>
      </c>
      <c r="B212" s="26" t="str">
        <f t="array" ref="B212">_xlfn.XLOOKUP(A212,Targets!A:A,Targets!C:C,"")</f>
        <v>COLLECTION</v>
      </c>
      <c r="C212" s="64" t="b">
        <f>COUNTIF(Targets!A:A,A212)&gt;0</f>
        <v>1</v>
      </c>
      <c r="D212" s="64" t="b">
        <f>IF(
 OR(
  LEFT(A212,15)="state.character",
  RIGHT(A212,6)=".maxed"
 ),
 TRUE,
 COUNTIF(Checklist!A:A,A212)&gt;0
)</f>
        <v>1</v>
      </c>
      <c r="E212" s="64" t="b">
        <f>IF(
 OR(
  LEFT(A212,15)="state.character",
  RIGHT(A212,6)=".maxed",
  A212="building.guild@1",
  A212="quest.build_the_guild.accepted",
  A212="quest.build_the_pagoda.accepted"
 ),
 TRUE,
 COUNTIF(Dependencies!A:A,A212)&gt;0
)</f>
        <v>1</v>
      </c>
      <c r="F212" s="64" t="b">
        <f>COUNTIF(Dependencies!B:B,A212)&gt;0</f>
        <v>1</v>
      </c>
      <c r="G212" s="64" t="b">
        <f>COUNTIF(QuestObjectives!A:A,A212)&gt;0</f>
        <v>0</v>
      </c>
      <c r="H212" s="64" t="b">
        <f>COUNTIF(QuestObjectives!E:E,A212)&gt;0</f>
        <v>0</v>
      </c>
      <c r="I212" s="64" t="b">
        <f>COUNTIF(TargetStatus!A:A,A212)&gt;0</f>
        <v>1</v>
      </c>
      <c r="J212" s="64" t="b">
        <f>COUNTIF(CostStatus!B:B,A212)&gt;0</f>
        <v>1</v>
      </c>
      <c r="K212" s="64" t="b">
        <f>COUNTIF(States!A:A,A212)&gt;0</f>
        <v>0</v>
      </c>
      <c r="L212" s="64" t="b">
        <f t="shared" si="2"/>
        <v>1</v>
      </c>
      <c r="M212" s="64" t="b">
        <f>IF(A212="","",COUNTIF(Targets!A:A,A212)&gt;1)</f>
        <v>0</v>
      </c>
      <c r="N212" s="64" t="b">
        <f>IF(A212="","",COUNTIF(States!A:A,A212)&gt;1)</f>
        <v>0</v>
      </c>
      <c r="O212" s="64" t="b">
        <f>IFERROR(__xludf.DUMMYFUNCTION("IF(
 B212="""",
 """",
 SWITCH(
  B212,
  ""BUILDING"",COUNTIF(Buildings!A:A,A212)&gt;0,
  ""CITADEL"",COUNTIF(Citadel!A:A,A212)&gt;0,
  ""COLLECTION"",COUNTIF(Collections!A:A,A212)&gt;0,
  ""CRAFTIFACT"",COUNTIF(Craftifacts!A:A,A212)&gt;0,
  ""QUEST"",
   COUNTIF(
 "&amp;"   Quests!A:A,
    REGEXREPLACE(A212,""\.(accepted|finished)$"","""")
   )&gt;0,
  ""TECH"",COUNTIF(Technologies!A:A,A212)&gt;0,
  ""STATE"",COUNTIF(States!A:A,A212)&gt;0,
  FALSE
 )
)"),TRUE)</f>
        <v>1</v>
      </c>
      <c r="P212" s="64" t="str">
        <f t="shared" si="3"/>
        <v>Good</v>
      </c>
      <c r="Q212" s="65"/>
      <c r="R212" s="65"/>
      <c r="S212" s="65"/>
      <c r="T212" s="65"/>
      <c r="U212" s="6"/>
      <c r="V212" s="6" t="str">
        <f>IFERROR(__xludf.DUMMYFUNCTION("""COMPUTED_VALUE"""),"collection.pantry_2@4")</f>
        <v>collection.pantry_2@4</v>
      </c>
      <c r="W212" s="65"/>
      <c r="X212" s="65"/>
      <c r="Y212" s="65"/>
      <c r="Z212" s="65"/>
      <c r="AA212" s="65"/>
      <c r="AB212" s="65"/>
      <c r="AC212" s="65"/>
      <c r="AD212" s="6"/>
      <c r="AE212" s="6"/>
      <c r="AF212" s="6"/>
      <c r="AG212" s="6"/>
      <c r="AH212" s="6"/>
      <c r="AI212" s="6"/>
      <c r="AJ212" s="6"/>
      <c r="AK212" s="6"/>
      <c r="AL212" s="6"/>
      <c r="AM212" s="6"/>
      <c r="AN212" s="6"/>
      <c r="AO212" s="6"/>
      <c r="AP212" s="6"/>
      <c r="AQ212" s="6"/>
      <c r="AR212" s="6"/>
      <c r="AS212" s="6"/>
      <c r="AT212" s="6"/>
      <c r="AU212" s="6"/>
      <c r="AV212" s="6"/>
      <c r="AW212" s="6"/>
      <c r="AX212" s="6"/>
      <c r="AY212" s="6"/>
    </row>
    <row r="213" ht="14.25" customHeight="1">
      <c r="A213" s="26" t="str">
        <f t="shared" si="1"/>
        <v>collection.pantry_2@5</v>
      </c>
      <c r="B213" s="26" t="str">
        <f t="array" ref="B213">_xlfn.XLOOKUP(A213,Targets!A:A,Targets!C:C,"")</f>
        <v>COLLECTION</v>
      </c>
      <c r="C213" s="64" t="b">
        <f>COUNTIF(Targets!A:A,A213)&gt;0</f>
        <v>1</v>
      </c>
      <c r="D213" s="64" t="b">
        <f>IF(
 OR(
  LEFT(A213,15)="state.character",
  RIGHT(A213,6)=".maxed"
 ),
 TRUE,
 COUNTIF(Checklist!A:A,A213)&gt;0
)</f>
        <v>1</v>
      </c>
      <c r="E213" s="64" t="b">
        <f>IF(
 OR(
  LEFT(A213,15)="state.character",
  RIGHT(A213,6)=".maxed",
  A213="building.guild@1",
  A213="quest.build_the_guild.accepted",
  A213="quest.build_the_pagoda.accepted"
 ),
 TRUE,
 COUNTIF(Dependencies!A:A,A213)&gt;0
)</f>
        <v>1</v>
      </c>
      <c r="F213" s="64" t="b">
        <f>COUNTIF(Dependencies!B:B,A213)&gt;0</f>
        <v>0</v>
      </c>
      <c r="G213" s="64" t="b">
        <f>COUNTIF(QuestObjectives!A:A,A213)&gt;0</f>
        <v>0</v>
      </c>
      <c r="H213" s="64" t="b">
        <f>COUNTIF(QuestObjectives!E:E,A213)&gt;0</f>
        <v>0</v>
      </c>
      <c r="I213" s="64" t="b">
        <f>COUNTIF(TargetStatus!A:A,A213)&gt;0</f>
        <v>1</v>
      </c>
      <c r="J213" s="64" t="b">
        <f>COUNTIF(CostStatus!B:B,A213)&gt;0</f>
        <v>1</v>
      </c>
      <c r="K213" s="64" t="b">
        <f>COUNTIF(States!A:A,A213)&gt;0</f>
        <v>0</v>
      </c>
      <c r="L213" s="64" t="b">
        <f t="shared" si="2"/>
        <v>1</v>
      </c>
      <c r="M213" s="64" t="b">
        <f>IF(A213="","",COUNTIF(Targets!A:A,A213)&gt;1)</f>
        <v>0</v>
      </c>
      <c r="N213" s="64" t="b">
        <f>IF(A213="","",COUNTIF(States!A:A,A213)&gt;1)</f>
        <v>0</v>
      </c>
      <c r="O213" s="64" t="b">
        <f>IFERROR(__xludf.DUMMYFUNCTION("IF(
 B213="""",
 """",
 SWITCH(
  B213,
  ""BUILDING"",COUNTIF(Buildings!A:A,A213)&gt;0,
  ""CITADEL"",COUNTIF(Citadel!A:A,A213)&gt;0,
  ""COLLECTION"",COUNTIF(Collections!A:A,A213)&gt;0,
  ""CRAFTIFACT"",COUNTIF(Craftifacts!A:A,A213)&gt;0,
  ""QUEST"",
   COUNTIF(
 "&amp;"   Quests!A:A,
    REGEXREPLACE(A213,""\.(accepted|finished)$"","""")
   )&gt;0,
  ""TECH"",COUNTIF(Technologies!A:A,A213)&gt;0,
  ""STATE"",COUNTIF(States!A:A,A213)&gt;0,
  FALSE
 )
)"),TRUE)</f>
        <v>1</v>
      </c>
      <c r="P213" s="64" t="str">
        <f t="shared" si="3"/>
        <v>Good</v>
      </c>
      <c r="Q213" s="65"/>
      <c r="R213" s="65"/>
      <c r="S213" s="65"/>
      <c r="T213" s="65"/>
      <c r="U213" s="6"/>
      <c r="V213" s="6" t="str">
        <f>IFERROR(__xludf.DUMMYFUNCTION("""COMPUTED_VALUE"""),"collection.pantry_2@5")</f>
        <v>collection.pantry_2@5</v>
      </c>
      <c r="W213" s="65"/>
      <c r="X213" s="65"/>
      <c r="Y213" s="65"/>
      <c r="Z213" s="65"/>
      <c r="AA213" s="65"/>
      <c r="AB213" s="65"/>
      <c r="AC213" s="65"/>
      <c r="AD213" s="6"/>
      <c r="AE213" s="6"/>
      <c r="AF213" s="6"/>
      <c r="AG213" s="6"/>
      <c r="AH213" s="6"/>
      <c r="AI213" s="6"/>
      <c r="AJ213" s="6"/>
      <c r="AK213" s="6"/>
      <c r="AL213" s="6"/>
      <c r="AM213" s="6"/>
      <c r="AN213" s="6"/>
      <c r="AO213" s="6"/>
      <c r="AP213" s="6"/>
      <c r="AQ213" s="6"/>
      <c r="AR213" s="6"/>
      <c r="AS213" s="6"/>
      <c r="AT213" s="6"/>
      <c r="AU213" s="6"/>
      <c r="AV213" s="6"/>
      <c r="AW213" s="6"/>
      <c r="AX213" s="6"/>
      <c r="AY213" s="6"/>
    </row>
    <row r="214" ht="14.25" customHeight="1">
      <c r="A214" s="26" t="str">
        <f t="shared" si="1"/>
        <v>collection.pantry_3@1</v>
      </c>
      <c r="B214" s="26" t="str">
        <f t="array" ref="B214">_xlfn.XLOOKUP(A214,Targets!A:A,Targets!C:C,"")</f>
        <v>COLLECTION</v>
      </c>
      <c r="C214" s="64" t="b">
        <f>COUNTIF(Targets!A:A,A214)&gt;0</f>
        <v>1</v>
      </c>
      <c r="D214" s="64" t="b">
        <f>IF(
 OR(
  LEFT(A214,15)="state.character",
  RIGHT(A214,6)=".maxed"
 ),
 TRUE,
 COUNTIF(Checklist!A:A,A214)&gt;0
)</f>
        <v>1</v>
      </c>
      <c r="E214" s="64" t="b">
        <f>IF(
 OR(
  LEFT(A214,15)="state.character",
  RIGHT(A214,6)=".maxed",
  A214="building.guild@1",
  A214="quest.build_the_guild.accepted",
  A214="quest.build_the_pagoda.accepted"
 ),
 TRUE,
 COUNTIF(Dependencies!A:A,A214)&gt;0
)</f>
        <v>1</v>
      </c>
      <c r="F214" s="64" t="b">
        <f>COUNTIF(Dependencies!B:B,A214)&gt;0</f>
        <v>1</v>
      </c>
      <c r="G214" s="64" t="b">
        <f>COUNTIF(QuestObjectives!A:A,A214)&gt;0</f>
        <v>0</v>
      </c>
      <c r="H214" s="64" t="b">
        <f>COUNTIF(QuestObjectives!E:E,A214)&gt;0</f>
        <v>0</v>
      </c>
      <c r="I214" s="64" t="b">
        <f>COUNTIF(TargetStatus!A:A,A214)&gt;0</f>
        <v>1</v>
      </c>
      <c r="J214" s="64" t="b">
        <f>COUNTIF(CostStatus!B:B,A214)&gt;0</f>
        <v>1</v>
      </c>
      <c r="K214" s="64" t="b">
        <f>COUNTIF(States!A:A,A214)&gt;0</f>
        <v>0</v>
      </c>
      <c r="L214" s="64" t="b">
        <f t="shared" si="2"/>
        <v>1</v>
      </c>
      <c r="M214" s="64" t="b">
        <f>IF(A214="","",COUNTIF(Targets!A:A,A214)&gt;1)</f>
        <v>0</v>
      </c>
      <c r="N214" s="64" t="b">
        <f>IF(A214="","",COUNTIF(States!A:A,A214)&gt;1)</f>
        <v>0</v>
      </c>
      <c r="O214" s="64" t="b">
        <f>IFERROR(__xludf.DUMMYFUNCTION("IF(
 B214="""",
 """",
 SWITCH(
  B214,
  ""BUILDING"",COUNTIF(Buildings!A:A,A214)&gt;0,
  ""CITADEL"",COUNTIF(Citadel!A:A,A214)&gt;0,
  ""COLLECTION"",COUNTIF(Collections!A:A,A214)&gt;0,
  ""CRAFTIFACT"",COUNTIF(Craftifacts!A:A,A214)&gt;0,
  ""QUEST"",
   COUNTIF(
 "&amp;"   Quests!A:A,
    REGEXREPLACE(A214,""\.(accepted|finished)$"","""")
   )&gt;0,
  ""TECH"",COUNTIF(Technologies!A:A,A214)&gt;0,
  ""STATE"",COUNTIF(States!A:A,A214)&gt;0,
  FALSE
 )
)"),TRUE)</f>
        <v>1</v>
      </c>
      <c r="P214" s="64" t="str">
        <f t="shared" si="3"/>
        <v>Good</v>
      </c>
      <c r="Q214" s="65"/>
      <c r="R214" s="65"/>
      <c r="S214" s="65"/>
      <c r="T214" s="65"/>
      <c r="U214" s="6"/>
      <c r="V214" s="6" t="str">
        <f>IFERROR(__xludf.DUMMYFUNCTION("""COMPUTED_VALUE"""),"collection.pantry_3@1")</f>
        <v>collection.pantry_3@1</v>
      </c>
      <c r="W214" s="65"/>
      <c r="X214" s="65"/>
      <c r="Y214" s="65"/>
      <c r="Z214" s="65"/>
      <c r="AA214" s="65"/>
      <c r="AB214" s="65"/>
      <c r="AC214" s="65"/>
      <c r="AD214" s="6"/>
      <c r="AE214" s="6"/>
      <c r="AF214" s="6"/>
      <c r="AG214" s="6"/>
      <c r="AH214" s="6"/>
      <c r="AI214" s="6"/>
      <c r="AJ214" s="6"/>
      <c r="AK214" s="6"/>
      <c r="AL214" s="6"/>
      <c r="AM214" s="6"/>
      <c r="AN214" s="6"/>
      <c r="AO214" s="6"/>
      <c r="AP214" s="6"/>
      <c r="AQ214" s="6"/>
      <c r="AR214" s="6"/>
      <c r="AS214" s="6"/>
      <c r="AT214" s="6"/>
      <c r="AU214" s="6"/>
      <c r="AV214" s="6"/>
      <c r="AW214" s="6"/>
      <c r="AX214" s="6"/>
      <c r="AY214" s="6"/>
    </row>
    <row r="215" ht="14.25" customHeight="1">
      <c r="A215" s="26" t="str">
        <f t="shared" si="1"/>
        <v>collection.pantry_3@2</v>
      </c>
      <c r="B215" s="26" t="str">
        <f t="array" ref="B215">_xlfn.XLOOKUP(A215,Targets!A:A,Targets!C:C,"")</f>
        <v>COLLECTION</v>
      </c>
      <c r="C215" s="64" t="b">
        <f>COUNTIF(Targets!A:A,A215)&gt;0</f>
        <v>1</v>
      </c>
      <c r="D215" s="64" t="b">
        <f>IF(
 OR(
  LEFT(A215,15)="state.character",
  RIGHT(A215,6)=".maxed"
 ),
 TRUE,
 COUNTIF(Checklist!A:A,A215)&gt;0
)</f>
        <v>1</v>
      </c>
      <c r="E215" s="64" t="b">
        <f>IF(
 OR(
  LEFT(A215,15)="state.character",
  RIGHT(A215,6)=".maxed",
  A215="building.guild@1",
  A215="quest.build_the_guild.accepted",
  A215="quest.build_the_pagoda.accepted"
 ),
 TRUE,
 COUNTIF(Dependencies!A:A,A215)&gt;0
)</f>
        <v>1</v>
      </c>
      <c r="F215" s="64" t="b">
        <f>COUNTIF(Dependencies!B:B,A215)&gt;0</f>
        <v>1</v>
      </c>
      <c r="G215" s="64" t="b">
        <f>COUNTIF(QuestObjectives!A:A,A215)&gt;0</f>
        <v>0</v>
      </c>
      <c r="H215" s="64" t="b">
        <f>COUNTIF(QuestObjectives!E:E,A215)&gt;0</f>
        <v>0</v>
      </c>
      <c r="I215" s="64" t="b">
        <f>COUNTIF(TargetStatus!A:A,A215)&gt;0</f>
        <v>1</v>
      </c>
      <c r="J215" s="64" t="b">
        <f>COUNTIF(CostStatus!B:B,A215)&gt;0</f>
        <v>1</v>
      </c>
      <c r="K215" s="64" t="b">
        <f>COUNTIF(States!A:A,A215)&gt;0</f>
        <v>0</v>
      </c>
      <c r="L215" s="64" t="b">
        <f t="shared" si="2"/>
        <v>1</v>
      </c>
      <c r="M215" s="64" t="b">
        <f>IF(A215="","",COUNTIF(Targets!A:A,A215)&gt;1)</f>
        <v>0</v>
      </c>
      <c r="N215" s="64" t="b">
        <f>IF(A215="","",COUNTIF(States!A:A,A215)&gt;1)</f>
        <v>0</v>
      </c>
      <c r="O215" s="64" t="b">
        <f>IFERROR(__xludf.DUMMYFUNCTION("IF(
 B215="""",
 """",
 SWITCH(
  B215,
  ""BUILDING"",COUNTIF(Buildings!A:A,A215)&gt;0,
  ""CITADEL"",COUNTIF(Citadel!A:A,A215)&gt;0,
  ""COLLECTION"",COUNTIF(Collections!A:A,A215)&gt;0,
  ""CRAFTIFACT"",COUNTIF(Craftifacts!A:A,A215)&gt;0,
  ""QUEST"",
   COUNTIF(
 "&amp;"   Quests!A:A,
    REGEXREPLACE(A215,""\.(accepted|finished)$"","""")
   )&gt;0,
  ""TECH"",COUNTIF(Technologies!A:A,A215)&gt;0,
  ""STATE"",COUNTIF(States!A:A,A215)&gt;0,
  FALSE
 )
)"),TRUE)</f>
        <v>1</v>
      </c>
      <c r="P215" s="64" t="str">
        <f t="shared" si="3"/>
        <v>Good</v>
      </c>
      <c r="Q215" s="65"/>
      <c r="R215" s="65"/>
      <c r="S215" s="65"/>
      <c r="T215" s="65"/>
      <c r="U215" s="6"/>
      <c r="V215" s="6" t="str">
        <f>IFERROR(__xludf.DUMMYFUNCTION("""COMPUTED_VALUE"""),"collection.pantry_3@2")</f>
        <v>collection.pantry_3@2</v>
      </c>
      <c r="W215" s="65"/>
      <c r="X215" s="65"/>
      <c r="Y215" s="65"/>
      <c r="Z215" s="65"/>
      <c r="AA215" s="65"/>
      <c r="AB215" s="65"/>
      <c r="AC215" s="65"/>
      <c r="AD215" s="6"/>
      <c r="AE215" s="6"/>
      <c r="AF215" s="6"/>
      <c r="AG215" s="6"/>
      <c r="AH215" s="6"/>
      <c r="AI215" s="6"/>
      <c r="AJ215" s="6"/>
      <c r="AK215" s="6"/>
      <c r="AL215" s="6"/>
      <c r="AM215" s="6"/>
      <c r="AN215" s="6"/>
      <c r="AO215" s="6"/>
      <c r="AP215" s="6"/>
      <c r="AQ215" s="6"/>
      <c r="AR215" s="6"/>
      <c r="AS215" s="6"/>
      <c r="AT215" s="6"/>
      <c r="AU215" s="6"/>
      <c r="AV215" s="6"/>
      <c r="AW215" s="6"/>
      <c r="AX215" s="6"/>
      <c r="AY215" s="6"/>
    </row>
    <row r="216" ht="14.25" customHeight="1">
      <c r="A216" s="26" t="str">
        <f t="shared" si="1"/>
        <v>collection.pantry_3@3</v>
      </c>
      <c r="B216" s="26" t="str">
        <f t="array" ref="B216">_xlfn.XLOOKUP(A216,Targets!A:A,Targets!C:C,"")</f>
        <v>COLLECTION</v>
      </c>
      <c r="C216" s="64" t="b">
        <f>COUNTIF(Targets!A:A,A216)&gt;0</f>
        <v>1</v>
      </c>
      <c r="D216" s="64" t="b">
        <f>IF(
 OR(
  LEFT(A216,15)="state.character",
  RIGHT(A216,6)=".maxed"
 ),
 TRUE,
 COUNTIF(Checklist!A:A,A216)&gt;0
)</f>
        <v>1</v>
      </c>
      <c r="E216" s="64" t="b">
        <f>IF(
 OR(
  LEFT(A216,15)="state.character",
  RIGHT(A216,6)=".maxed",
  A216="building.guild@1",
  A216="quest.build_the_guild.accepted",
  A216="quest.build_the_pagoda.accepted"
 ),
 TRUE,
 COUNTIF(Dependencies!A:A,A216)&gt;0
)</f>
        <v>1</v>
      </c>
      <c r="F216" s="64" t="b">
        <f>COUNTIF(Dependencies!B:B,A216)&gt;0</f>
        <v>1</v>
      </c>
      <c r="G216" s="64" t="b">
        <f>COUNTIF(QuestObjectives!A:A,A216)&gt;0</f>
        <v>0</v>
      </c>
      <c r="H216" s="64" t="b">
        <f>COUNTIF(QuestObjectives!E:E,A216)&gt;0</f>
        <v>0</v>
      </c>
      <c r="I216" s="64" t="b">
        <f>COUNTIF(TargetStatus!A:A,A216)&gt;0</f>
        <v>1</v>
      </c>
      <c r="J216" s="64" t="b">
        <f>COUNTIF(CostStatus!B:B,A216)&gt;0</f>
        <v>1</v>
      </c>
      <c r="K216" s="64" t="b">
        <f>COUNTIF(States!A:A,A216)&gt;0</f>
        <v>0</v>
      </c>
      <c r="L216" s="64" t="b">
        <f t="shared" si="2"/>
        <v>1</v>
      </c>
      <c r="M216" s="64" t="b">
        <f>IF(A216="","",COUNTIF(Targets!A:A,A216)&gt;1)</f>
        <v>0</v>
      </c>
      <c r="N216" s="64" t="b">
        <f>IF(A216="","",COUNTIF(States!A:A,A216)&gt;1)</f>
        <v>0</v>
      </c>
      <c r="O216" s="64" t="b">
        <f>IFERROR(__xludf.DUMMYFUNCTION("IF(
 B216="""",
 """",
 SWITCH(
  B216,
  ""BUILDING"",COUNTIF(Buildings!A:A,A216)&gt;0,
  ""CITADEL"",COUNTIF(Citadel!A:A,A216)&gt;0,
  ""COLLECTION"",COUNTIF(Collections!A:A,A216)&gt;0,
  ""CRAFTIFACT"",COUNTIF(Craftifacts!A:A,A216)&gt;0,
  ""QUEST"",
   COUNTIF(
 "&amp;"   Quests!A:A,
    REGEXREPLACE(A216,""\.(accepted|finished)$"","""")
   )&gt;0,
  ""TECH"",COUNTIF(Technologies!A:A,A216)&gt;0,
  ""STATE"",COUNTIF(States!A:A,A216)&gt;0,
  FALSE
 )
)"),TRUE)</f>
        <v>1</v>
      </c>
      <c r="P216" s="64" t="str">
        <f t="shared" si="3"/>
        <v>Good</v>
      </c>
      <c r="Q216" s="65"/>
      <c r="R216" s="65"/>
      <c r="S216" s="65"/>
      <c r="T216" s="65"/>
      <c r="U216" s="6"/>
      <c r="V216" s="6" t="str">
        <f>IFERROR(__xludf.DUMMYFUNCTION("""COMPUTED_VALUE"""),"collection.pantry_3@3")</f>
        <v>collection.pantry_3@3</v>
      </c>
      <c r="W216" s="65"/>
      <c r="X216" s="65"/>
      <c r="Y216" s="65"/>
      <c r="Z216" s="65"/>
      <c r="AA216" s="65"/>
      <c r="AB216" s="65"/>
      <c r="AC216" s="65"/>
      <c r="AD216" s="6"/>
      <c r="AE216" s="6"/>
      <c r="AF216" s="6"/>
      <c r="AG216" s="6"/>
      <c r="AH216" s="6"/>
      <c r="AI216" s="6"/>
      <c r="AJ216" s="6"/>
      <c r="AK216" s="6"/>
      <c r="AL216" s="6"/>
      <c r="AM216" s="6"/>
      <c r="AN216" s="6"/>
      <c r="AO216" s="6"/>
      <c r="AP216" s="6"/>
      <c r="AQ216" s="6"/>
      <c r="AR216" s="6"/>
      <c r="AS216" s="6"/>
      <c r="AT216" s="6"/>
      <c r="AU216" s="6"/>
      <c r="AV216" s="6"/>
      <c r="AW216" s="6"/>
      <c r="AX216" s="6"/>
      <c r="AY216" s="6"/>
    </row>
    <row r="217" ht="14.25" customHeight="1">
      <c r="A217" s="26" t="str">
        <f t="shared" si="1"/>
        <v>collection.pantry_3@4</v>
      </c>
      <c r="B217" s="26" t="str">
        <f t="array" ref="B217">_xlfn.XLOOKUP(A217,Targets!A:A,Targets!C:C,"")</f>
        <v>COLLECTION</v>
      </c>
      <c r="C217" s="64" t="b">
        <f>COUNTIF(Targets!A:A,A217)&gt;0</f>
        <v>1</v>
      </c>
      <c r="D217" s="64" t="b">
        <f>IF(
 OR(
  LEFT(A217,15)="state.character",
  RIGHT(A217,6)=".maxed"
 ),
 TRUE,
 COUNTIF(Checklist!A:A,A217)&gt;0
)</f>
        <v>1</v>
      </c>
      <c r="E217" s="64" t="b">
        <f>IF(
 OR(
  LEFT(A217,15)="state.character",
  RIGHT(A217,6)=".maxed",
  A217="building.guild@1",
  A217="quest.build_the_guild.accepted",
  A217="quest.build_the_pagoda.accepted"
 ),
 TRUE,
 COUNTIF(Dependencies!A:A,A217)&gt;0
)</f>
        <v>1</v>
      </c>
      <c r="F217" s="64" t="b">
        <f>COUNTIF(Dependencies!B:B,A217)&gt;0</f>
        <v>1</v>
      </c>
      <c r="G217" s="64" t="b">
        <f>COUNTIF(QuestObjectives!A:A,A217)&gt;0</f>
        <v>0</v>
      </c>
      <c r="H217" s="64" t="b">
        <f>COUNTIF(QuestObjectives!E:E,A217)&gt;0</f>
        <v>0</v>
      </c>
      <c r="I217" s="64" t="b">
        <f>COUNTIF(TargetStatus!A:A,A217)&gt;0</f>
        <v>1</v>
      </c>
      <c r="J217" s="64" t="b">
        <f>COUNTIF(CostStatus!B:B,A217)&gt;0</f>
        <v>1</v>
      </c>
      <c r="K217" s="64" t="b">
        <f>COUNTIF(States!A:A,A217)&gt;0</f>
        <v>0</v>
      </c>
      <c r="L217" s="64" t="b">
        <f t="shared" si="2"/>
        <v>1</v>
      </c>
      <c r="M217" s="64" t="b">
        <f>IF(A217="","",COUNTIF(Targets!A:A,A217)&gt;1)</f>
        <v>0</v>
      </c>
      <c r="N217" s="64" t="b">
        <f>IF(A217="","",COUNTIF(States!A:A,A217)&gt;1)</f>
        <v>0</v>
      </c>
      <c r="O217" s="64" t="b">
        <f>IFERROR(__xludf.DUMMYFUNCTION("IF(
 B217="""",
 """",
 SWITCH(
  B217,
  ""BUILDING"",COUNTIF(Buildings!A:A,A217)&gt;0,
  ""CITADEL"",COUNTIF(Citadel!A:A,A217)&gt;0,
  ""COLLECTION"",COUNTIF(Collections!A:A,A217)&gt;0,
  ""CRAFTIFACT"",COUNTIF(Craftifacts!A:A,A217)&gt;0,
  ""QUEST"",
   COUNTIF(
 "&amp;"   Quests!A:A,
    REGEXREPLACE(A217,""\.(accepted|finished)$"","""")
   )&gt;0,
  ""TECH"",COUNTIF(Technologies!A:A,A217)&gt;0,
  ""STATE"",COUNTIF(States!A:A,A217)&gt;0,
  FALSE
 )
)"),TRUE)</f>
        <v>1</v>
      </c>
      <c r="P217" s="64" t="str">
        <f t="shared" si="3"/>
        <v>Good</v>
      </c>
      <c r="Q217" s="65"/>
      <c r="R217" s="65"/>
      <c r="S217" s="65"/>
      <c r="T217" s="65"/>
      <c r="U217" s="6"/>
      <c r="V217" s="6" t="str">
        <f>IFERROR(__xludf.DUMMYFUNCTION("""COMPUTED_VALUE"""),"collection.pantry_3@4")</f>
        <v>collection.pantry_3@4</v>
      </c>
      <c r="W217" s="65"/>
      <c r="X217" s="65"/>
      <c r="Y217" s="65"/>
      <c r="Z217" s="65"/>
      <c r="AA217" s="65"/>
      <c r="AB217" s="65"/>
      <c r="AC217" s="65"/>
      <c r="AD217" s="6"/>
      <c r="AE217" s="6"/>
      <c r="AF217" s="6"/>
      <c r="AG217" s="6"/>
      <c r="AH217" s="6"/>
      <c r="AI217" s="6"/>
      <c r="AJ217" s="6"/>
      <c r="AK217" s="6"/>
      <c r="AL217" s="6"/>
      <c r="AM217" s="6"/>
      <c r="AN217" s="6"/>
      <c r="AO217" s="6"/>
      <c r="AP217" s="6"/>
      <c r="AQ217" s="6"/>
      <c r="AR217" s="6"/>
      <c r="AS217" s="6"/>
      <c r="AT217" s="6"/>
      <c r="AU217" s="6"/>
      <c r="AV217" s="6"/>
      <c r="AW217" s="6"/>
      <c r="AX217" s="6"/>
      <c r="AY217" s="6"/>
    </row>
    <row r="218" ht="14.25" customHeight="1">
      <c r="A218" s="26" t="str">
        <f t="shared" si="1"/>
        <v>collection.pantry_3@5</v>
      </c>
      <c r="B218" s="26" t="str">
        <f t="array" ref="B218">_xlfn.XLOOKUP(A218,Targets!A:A,Targets!C:C,"")</f>
        <v>COLLECTION</v>
      </c>
      <c r="C218" s="64" t="b">
        <f>COUNTIF(Targets!A:A,A218)&gt;0</f>
        <v>1</v>
      </c>
      <c r="D218" s="64" t="b">
        <f>IF(
 OR(
  LEFT(A218,15)="state.character",
  RIGHT(A218,6)=".maxed"
 ),
 TRUE,
 COUNTIF(Checklist!A:A,A218)&gt;0
)</f>
        <v>1</v>
      </c>
      <c r="E218" s="64" t="b">
        <f>IF(
 OR(
  LEFT(A218,15)="state.character",
  RIGHT(A218,6)=".maxed",
  A218="building.guild@1",
  A218="quest.build_the_guild.accepted",
  A218="quest.build_the_pagoda.accepted"
 ),
 TRUE,
 COUNTIF(Dependencies!A:A,A218)&gt;0
)</f>
        <v>1</v>
      </c>
      <c r="F218" s="64" t="b">
        <f>COUNTIF(Dependencies!B:B,A218)&gt;0</f>
        <v>0</v>
      </c>
      <c r="G218" s="64" t="b">
        <f>COUNTIF(QuestObjectives!A:A,A218)&gt;0</f>
        <v>0</v>
      </c>
      <c r="H218" s="64" t="b">
        <f>COUNTIF(QuestObjectives!E:E,A218)&gt;0</f>
        <v>0</v>
      </c>
      <c r="I218" s="64" t="b">
        <f>COUNTIF(TargetStatus!A:A,A218)&gt;0</f>
        <v>1</v>
      </c>
      <c r="J218" s="64" t="b">
        <f>COUNTIF(CostStatus!B:B,A218)&gt;0</f>
        <v>1</v>
      </c>
      <c r="K218" s="64" t="b">
        <f>COUNTIF(States!A:A,A218)&gt;0</f>
        <v>0</v>
      </c>
      <c r="L218" s="64" t="b">
        <f t="shared" si="2"/>
        <v>1</v>
      </c>
      <c r="M218" s="64" t="b">
        <f>IF(A218="","",COUNTIF(Targets!A:A,A218)&gt;1)</f>
        <v>0</v>
      </c>
      <c r="N218" s="64" t="b">
        <f>IF(A218="","",COUNTIF(States!A:A,A218)&gt;1)</f>
        <v>0</v>
      </c>
      <c r="O218" s="64" t="b">
        <f>IFERROR(__xludf.DUMMYFUNCTION("IF(
 B218="""",
 """",
 SWITCH(
  B218,
  ""BUILDING"",COUNTIF(Buildings!A:A,A218)&gt;0,
  ""CITADEL"",COUNTIF(Citadel!A:A,A218)&gt;0,
  ""COLLECTION"",COUNTIF(Collections!A:A,A218)&gt;0,
  ""CRAFTIFACT"",COUNTIF(Craftifacts!A:A,A218)&gt;0,
  ""QUEST"",
   COUNTIF(
 "&amp;"   Quests!A:A,
    REGEXREPLACE(A218,""\.(accepted|finished)$"","""")
   )&gt;0,
  ""TECH"",COUNTIF(Technologies!A:A,A218)&gt;0,
  ""STATE"",COUNTIF(States!A:A,A218)&gt;0,
  FALSE
 )
)"),TRUE)</f>
        <v>1</v>
      </c>
      <c r="P218" s="64" t="str">
        <f t="shared" si="3"/>
        <v>Good</v>
      </c>
      <c r="Q218" s="65"/>
      <c r="R218" s="65"/>
      <c r="S218" s="65"/>
      <c r="T218" s="65"/>
      <c r="U218" s="6"/>
      <c r="V218" s="6" t="str">
        <f>IFERROR(__xludf.DUMMYFUNCTION("""COMPUTED_VALUE"""),"collection.pantry_3@5")</f>
        <v>collection.pantry_3@5</v>
      </c>
      <c r="W218" s="65"/>
      <c r="X218" s="65"/>
      <c r="Y218" s="65"/>
      <c r="Z218" s="65"/>
      <c r="AA218" s="65"/>
      <c r="AB218" s="65"/>
      <c r="AC218" s="65"/>
      <c r="AD218" s="6"/>
      <c r="AE218" s="6"/>
      <c r="AF218" s="6"/>
      <c r="AG218" s="6"/>
      <c r="AH218" s="6"/>
      <c r="AI218" s="6"/>
      <c r="AJ218" s="6"/>
      <c r="AK218" s="6"/>
      <c r="AL218" s="6"/>
      <c r="AM218" s="6"/>
      <c r="AN218" s="6"/>
      <c r="AO218" s="6"/>
      <c r="AP218" s="6"/>
      <c r="AQ218" s="6"/>
      <c r="AR218" s="6"/>
      <c r="AS218" s="6"/>
      <c r="AT218" s="6"/>
      <c r="AU218" s="6"/>
      <c r="AV218" s="6"/>
      <c r="AW218" s="6"/>
      <c r="AX218" s="6"/>
      <c r="AY218" s="6"/>
    </row>
    <row r="219" ht="14.25" customHeight="1">
      <c r="A219" s="26" t="str">
        <f t="shared" si="1"/>
        <v>collection.pantry_4@1</v>
      </c>
      <c r="B219" s="26" t="str">
        <f t="array" ref="B219">_xlfn.XLOOKUP(A219,Targets!A:A,Targets!C:C,"")</f>
        <v>COLLECTION</v>
      </c>
      <c r="C219" s="64" t="b">
        <f>COUNTIF(Targets!A:A,A219)&gt;0</f>
        <v>1</v>
      </c>
      <c r="D219" s="64" t="b">
        <f>IF(
 OR(
  LEFT(A219,15)="state.character",
  RIGHT(A219,6)=".maxed"
 ),
 TRUE,
 COUNTIF(Checklist!A:A,A219)&gt;0
)</f>
        <v>1</v>
      </c>
      <c r="E219" s="64" t="b">
        <f>IF(
 OR(
  LEFT(A219,15)="state.character",
  RIGHT(A219,6)=".maxed",
  A219="building.guild@1",
  A219="quest.build_the_guild.accepted",
  A219="quest.build_the_pagoda.accepted"
 ),
 TRUE,
 COUNTIF(Dependencies!A:A,A219)&gt;0
)</f>
        <v>1</v>
      </c>
      <c r="F219" s="64" t="b">
        <f>COUNTIF(Dependencies!B:B,A219)&gt;0</f>
        <v>0</v>
      </c>
      <c r="G219" s="64" t="b">
        <f>COUNTIF(QuestObjectives!A:A,A219)&gt;0</f>
        <v>0</v>
      </c>
      <c r="H219" s="64" t="b">
        <f>COUNTIF(QuestObjectives!E:E,A219)&gt;0</f>
        <v>0</v>
      </c>
      <c r="I219" s="64" t="b">
        <f>COUNTIF(TargetStatus!A:A,A219)&gt;0</f>
        <v>1</v>
      </c>
      <c r="J219" s="64" t="b">
        <f>COUNTIF(CostStatus!B:B,A219)&gt;0</f>
        <v>1</v>
      </c>
      <c r="K219" s="64" t="b">
        <f>COUNTIF(States!A:A,A219)&gt;0</f>
        <v>0</v>
      </c>
      <c r="L219" s="64" t="b">
        <f t="shared" si="2"/>
        <v>1</v>
      </c>
      <c r="M219" s="64" t="b">
        <f>IF(A219="","",COUNTIF(Targets!A:A,A219)&gt;1)</f>
        <v>0</v>
      </c>
      <c r="N219" s="64" t="b">
        <f>IF(A219="","",COUNTIF(States!A:A,A219)&gt;1)</f>
        <v>0</v>
      </c>
      <c r="O219" s="64" t="b">
        <f>IFERROR(__xludf.DUMMYFUNCTION("IF(
 B219="""",
 """",
 SWITCH(
  B219,
  ""BUILDING"",COUNTIF(Buildings!A:A,A219)&gt;0,
  ""CITADEL"",COUNTIF(Citadel!A:A,A219)&gt;0,
  ""COLLECTION"",COUNTIF(Collections!A:A,A219)&gt;0,
  ""CRAFTIFACT"",COUNTIF(Craftifacts!A:A,A219)&gt;0,
  ""QUEST"",
   COUNTIF(
 "&amp;"   Quests!A:A,
    REGEXREPLACE(A219,""\.(accepted|finished)$"","""")
   )&gt;0,
  ""TECH"",COUNTIF(Technologies!A:A,A219)&gt;0,
  ""STATE"",COUNTIF(States!A:A,A219)&gt;0,
  FALSE
 )
)"),TRUE)</f>
        <v>1</v>
      </c>
      <c r="P219" s="64" t="str">
        <f t="shared" si="3"/>
        <v>Good</v>
      </c>
      <c r="Q219" s="65"/>
      <c r="R219" s="65"/>
      <c r="S219" s="65"/>
      <c r="T219" s="65"/>
      <c r="U219" s="6"/>
      <c r="V219" s="6" t="str">
        <f>IFERROR(__xludf.DUMMYFUNCTION("""COMPUTED_VALUE"""),"collection.pantry_4@1")</f>
        <v>collection.pantry_4@1</v>
      </c>
      <c r="W219" s="65"/>
      <c r="X219" s="65"/>
      <c r="Y219" s="65"/>
      <c r="Z219" s="65"/>
      <c r="AA219" s="65"/>
      <c r="AB219" s="65"/>
      <c r="AC219" s="65"/>
      <c r="AD219" s="6"/>
      <c r="AE219" s="6"/>
      <c r="AF219" s="6"/>
      <c r="AG219" s="6"/>
      <c r="AH219" s="6"/>
      <c r="AI219" s="6"/>
      <c r="AJ219" s="6"/>
      <c r="AK219" s="6"/>
      <c r="AL219" s="6"/>
      <c r="AM219" s="6"/>
      <c r="AN219" s="6"/>
      <c r="AO219" s="6"/>
      <c r="AP219" s="6"/>
      <c r="AQ219" s="6"/>
      <c r="AR219" s="6"/>
      <c r="AS219" s="6"/>
      <c r="AT219" s="6"/>
      <c r="AU219" s="6"/>
      <c r="AV219" s="6"/>
      <c r="AW219" s="6"/>
      <c r="AX219" s="6"/>
      <c r="AY219" s="6"/>
    </row>
    <row r="220" ht="14.25" customHeight="1">
      <c r="A220" s="26" t="str">
        <f t="shared" si="1"/>
        <v>collection.rotten_ladder@1</v>
      </c>
      <c r="B220" s="26" t="str">
        <f t="array" ref="B220">_xlfn.XLOOKUP(A220,Targets!A:A,Targets!C:C,"")</f>
        <v>COLLECTION</v>
      </c>
      <c r="C220" s="64" t="b">
        <f>COUNTIF(Targets!A:A,A220)&gt;0</f>
        <v>1</v>
      </c>
      <c r="D220" s="64" t="b">
        <f>IF(
 OR(
  LEFT(A220,15)="state.character",
  RIGHT(A220,6)=".maxed"
 ),
 TRUE,
 COUNTIF(Checklist!A:A,A220)&gt;0
)</f>
        <v>1</v>
      </c>
      <c r="E220" s="64" t="b">
        <f>IF(
 OR(
  LEFT(A220,15)="state.character",
  RIGHT(A220,6)=".maxed",
  A220="building.guild@1",
  A220="quest.build_the_guild.accepted",
  A220="quest.build_the_pagoda.accepted"
 ),
 TRUE,
 COUNTIF(Dependencies!A:A,A220)&gt;0
)</f>
        <v>1</v>
      </c>
      <c r="F220" s="64" t="b">
        <f>COUNTIF(Dependencies!B:B,A220)&gt;0</f>
        <v>1</v>
      </c>
      <c r="G220" s="64" t="b">
        <f>COUNTIF(QuestObjectives!A:A,A220)&gt;0</f>
        <v>0</v>
      </c>
      <c r="H220" s="64" t="b">
        <f>COUNTIF(QuestObjectives!E:E,A220)&gt;0</f>
        <v>1</v>
      </c>
      <c r="I220" s="64" t="b">
        <f>COUNTIF(TargetStatus!A:A,A220)&gt;0</f>
        <v>1</v>
      </c>
      <c r="J220" s="64" t="b">
        <f>COUNTIF(CostStatus!B:B,A220)&gt;0</f>
        <v>1</v>
      </c>
      <c r="K220" s="64" t="b">
        <f>COUNTIF(States!A:A,A220)&gt;0</f>
        <v>0</v>
      </c>
      <c r="L220" s="64" t="b">
        <f t="shared" si="2"/>
        <v>1</v>
      </c>
      <c r="M220" s="64" t="b">
        <f>IF(A220="","",COUNTIF(Targets!A:A,A220)&gt;1)</f>
        <v>0</v>
      </c>
      <c r="N220" s="64" t="b">
        <f>IF(A220="","",COUNTIF(States!A:A,A220)&gt;1)</f>
        <v>0</v>
      </c>
      <c r="O220" s="64" t="b">
        <f>IFERROR(__xludf.DUMMYFUNCTION("IF(
 B220="""",
 """",
 SWITCH(
  B220,
  ""BUILDING"",COUNTIF(Buildings!A:A,A220)&gt;0,
  ""CITADEL"",COUNTIF(Citadel!A:A,A220)&gt;0,
  ""COLLECTION"",COUNTIF(Collections!A:A,A220)&gt;0,
  ""CRAFTIFACT"",COUNTIF(Craftifacts!A:A,A220)&gt;0,
  ""QUEST"",
   COUNTIF(
 "&amp;"   Quests!A:A,
    REGEXREPLACE(A220,""\.(accepted|finished)$"","""")
   )&gt;0,
  ""TECH"",COUNTIF(Technologies!A:A,A220)&gt;0,
  ""STATE"",COUNTIF(States!A:A,A220)&gt;0,
  FALSE
 )
)"),TRUE)</f>
        <v>1</v>
      </c>
      <c r="P220" s="64" t="str">
        <f t="shared" si="3"/>
        <v>Good</v>
      </c>
      <c r="Q220" s="65"/>
      <c r="R220" s="65"/>
      <c r="S220" s="65"/>
      <c r="T220" s="65"/>
      <c r="U220" s="6"/>
      <c r="V220" s="6" t="str">
        <f>IFERROR(__xludf.DUMMYFUNCTION("""COMPUTED_VALUE"""),"collection.rotten_ladder@1")</f>
        <v>collection.rotten_ladder@1</v>
      </c>
      <c r="W220" s="65"/>
      <c r="X220" s="65"/>
      <c r="Y220" s="65"/>
      <c r="Z220" s="65"/>
      <c r="AA220" s="65"/>
      <c r="AB220" s="65"/>
      <c r="AC220" s="65"/>
      <c r="AD220" s="6"/>
      <c r="AE220" s="6"/>
      <c r="AF220" s="6"/>
      <c r="AG220" s="6"/>
      <c r="AH220" s="6"/>
      <c r="AI220" s="6"/>
      <c r="AJ220" s="6"/>
      <c r="AK220" s="6"/>
      <c r="AL220" s="6"/>
      <c r="AM220" s="6"/>
      <c r="AN220" s="6"/>
      <c r="AO220" s="6"/>
      <c r="AP220" s="6"/>
      <c r="AQ220" s="6"/>
      <c r="AR220" s="6"/>
      <c r="AS220" s="6"/>
      <c r="AT220" s="6"/>
      <c r="AU220" s="6"/>
      <c r="AV220" s="6"/>
      <c r="AW220" s="6"/>
      <c r="AX220" s="6"/>
      <c r="AY220" s="6"/>
    </row>
    <row r="221" ht="14.25" customHeight="1">
      <c r="A221" s="26" t="str">
        <f t="shared" si="1"/>
        <v>collection.staircase@1</v>
      </c>
      <c r="B221" s="26" t="str">
        <f t="array" ref="B221">_xlfn.XLOOKUP(A221,Targets!A:A,Targets!C:C,"")</f>
        <v>COLLECTION</v>
      </c>
      <c r="C221" s="64" t="b">
        <f>COUNTIF(Targets!A:A,A221)&gt;0</f>
        <v>1</v>
      </c>
      <c r="D221" s="64" t="b">
        <f>IF(
 OR(
  LEFT(A221,15)="state.character",
  RIGHT(A221,6)=".maxed"
 ),
 TRUE,
 COUNTIF(Checklist!A:A,A221)&gt;0
)</f>
        <v>1</v>
      </c>
      <c r="E221" s="64" t="b">
        <f>IF(
 OR(
  LEFT(A221,15)="state.character",
  RIGHT(A221,6)=".maxed",
  A221="building.guild@1",
  A221="quest.build_the_guild.accepted",
  A221="quest.build_the_pagoda.accepted"
 ),
 TRUE,
 COUNTIF(Dependencies!A:A,A221)&gt;0
)</f>
        <v>1</v>
      </c>
      <c r="F221" s="64" t="b">
        <f>COUNTIF(Dependencies!B:B,A221)&gt;0</f>
        <v>0</v>
      </c>
      <c r="G221" s="64" t="b">
        <f>COUNTIF(QuestObjectives!A:A,A221)&gt;0</f>
        <v>0</v>
      </c>
      <c r="H221" s="64" t="b">
        <f>COUNTIF(QuestObjectives!E:E,A221)&gt;0</f>
        <v>0</v>
      </c>
      <c r="I221" s="64" t="b">
        <f>COUNTIF(TargetStatus!A:A,A221)&gt;0</f>
        <v>1</v>
      </c>
      <c r="J221" s="64" t="b">
        <f>COUNTIF(CostStatus!B:B,A221)&gt;0</f>
        <v>1</v>
      </c>
      <c r="K221" s="64" t="b">
        <f>COUNTIF(States!A:A,A221)&gt;0</f>
        <v>0</v>
      </c>
      <c r="L221" s="64" t="b">
        <f t="shared" si="2"/>
        <v>1</v>
      </c>
      <c r="M221" s="64" t="b">
        <f>IF(A221="","",COUNTIF(Targets!A:A,A221)&gt;1)</f>
        <v>0</v>
      </c>
      <c r="N221" s="64" t="b">
        <f>IF(A221="","",COUNTIF(States!A:A,A221)&gt;1)</f>
        <v>0</v>
      </c>
      <c r="O221" s="64" t="b">
        <f>IFERROR(__xludf.DUMMYFUNCTION("IF(
 B221="""",
 """",
 SWITCH(
  B221,
  ""BUILDING"",COUNTIF(Buildings!A:A,A221)&gt;0,
  ""CITADEL"",COUNTIF(Citadel!A:A,A221)&gt;0,
  ""COLLECTION"",COUNTIF(Collections!A:A,A221)&gt;0,
  ""CRAFTIFACT"",COUNTIF(Craftifacts!A:A,A221)&gt;0,
  ""QUEST"",
   COUNTIF(
 "&amp;"   Quests!A:A,
    REGEXREPLACE(A221,""\.(accepted|finished)$"","""")
   )&gt;0,
  ""TECH"",COUNTIF(Technologies!A:A,A221)&gt;0,
  ""STATE"",COUNTIF(States!A:A,A221)&gt;0,
  FALSE
 )
)"),TRUE)</f>
        <v>1</v>
      </c>
      <c r="P221" s="64" t="str">
        <f t="shared" si="3"/>
        <v>Good</v>
      </c>
      <c r="Q221" s="65"/>
      <c r="R221" s="65"/>
      <c r="S221" s="65"/>
      <c r="T221" s="65"/>
      <c r="U221" s="6"/>
      <c r="V221" s="6" t="str">
        <f>IFERROR(__xludf.DUMMYFUNCTION("""COMPUTED_VALUE"""),"collection.staircase@1")</f>
        <v>collection.staircase@1</v>
      </c>
      <c r="W221" s="65"/>
      <c r="X221" s="65"/>
      <c r="Y221" s="65"/>
      <c r="Z221" s="65"/>
      <c r="AA221" s="65"/>
      <c r="AB221" s="65"/>
      <c r="AC221" s="65"/>
      <c r="AD221" s="6"/>
      <c r="AE221" s="6"/>
      <c r="AF221" s="6"/>
      <c r="AG221" s="6"/>
      <c r="AH221" s="6"/>
      <c r="AI221" s="6"/>
      <c r="AJ221" s="6"/>
      <c r="AK221" s="6"/>
      <c r="AL221" s="6"/>
      <c r="AM221" s="6"/>
      <c r="AN221" s="6"/>
      <c r="AO221" s="6"/>
      <c r="AP221" s="6"/>
      <c r="AQ221" s="6"/>
      <c r="AR221" s="6"/>
      <c r="AS221" s="6"/>
      <c r="AT221" s="6"/>
      <c r="AU221" s="6"/>
      <c r="AV221" s="6"/>
      <c r="AW221" s="6"/>
      <c r="AX221" s="6"/>
      <c r="AY221" s="6"/>
    </row>
    <row r="222" ht="14.25" customHeight="1">
      <c r="A222" s="26" t="str">
        <f t="shared" si="1"/>
        <v>collection.statue@1</v>
      </c>
      <c r="B222" s="26" t="str">
        <f t="array" ref="B222">_xlfn.XLOOKUP(A222,Targets!A:A,Targets!C:C,"")</f>
        <v>COLLECTION</v>
      </c>
      <c r="C222" s="64" t="b">
        <f>COUNTIF(Targets!A:A,A222)&gt;0</f>
        <v>1</v>
      </c>
      <c r="D222" s="64" t="b">
        <f>IF(
 OR(
  LEFT(A222,15)="state.character",
  RIGHT(A222,6)=".maxed"
 ),
 TRUE,
 COUNTIF(Checklist!A:A,A222)&gt;0
)</f>
        <v>1</v>
      </c>
      <c r="E222" s="64" t="b">
        <f>IF(
 OR(
  LEFT(A222,15)="state.character",
  RIGHT(A222,6)=".maxed",
  A222="building.guild@1",
  A222="quest.build_the_guild.accepted",
  A222="quest.build_the_pagoda.accepted"
 ),
 TRUE,
 COUNTIF(Dependencies!A:A,A222)&gt;0
)</f>
        <v>1</v>
      </c>
      <c r="F222" s="64" t="b">
        <f>COUNTIF(Dependencies!B:B,A222)&gt;0</f>
        <v>0</v>
      </c>
      <c r="G222" s="64" t="b">
        <f>COUNTIF(QuestObjectives!A:A,A222)&gt;0</f>
        <v>0</v>
      </c>
      <c r="H222" s="64" t="b">
        <f>COUNTIF(QuestObjectives!E:E,A222)&gt;0</f>
        <v>0</v>
      </c>
      <c r="I222" s="64" t="b">
        <f>COUNTIF(TargetStatus!A:A,A222)&gt;0</f>
        <v>1</v>
      </c>
      <c r="J222" s="64" t="b">
        <f>COUNTIF(CostStatus!B:B,A222)&gt;0</f>
        <v>1</v>
      </c>
      <c r="K222" s="64" t="b">
        <f>COUNTIF(States!A:A,A222)&gt;0</f>
        <v>0</v>
      </c>
      <c r="L222" s="64" t="b">
        <f t="shared" si="2"/>
        <v>1</v>
      </c>
      <c r="M222" s="64" t="b">
        <f>IF(A222="","",COUNTIF(Targets!A:A,A222)&gt;1)</f>
        <v>0</v>
      </c>
      <c r="N222" s="64" t="b">
        <f>IF(A222="","",COUNTIF(States!A:A,A222)&gt;1)</f>
        <v>0</v>
      </c>
      <c r="O222" s="64" t="b">
        <f>IFERROR(__xludf.DUMMYFUNCTION("IF(
 B222="""",
 """",
 SWITCH(
  B222,
  ""BUILDING"",COUNTIF(Buildings!A:A,A222)&gt;0,
  ""CITADEL"",COUNTIF(Citadel!A:A,A222)&gt;0,
  ""COLLECTION"",COUNTIF(Collections!A:A,A222)&gt;0,
  ""CRAFTIFACT"",COUNTIF(Craftifacts!A:A,A222)&gt;0,
  ""QUEST"",
   COUNTIF(
 "&amp;"   Quests!A:A,
    REGEXREPLACE(A222,""\.(accepted|finished)$"","""")
   )&gt;0,
  ""TECH"",COUNTIF(Technologies!A:A,A222)&gt;0,
  ""STATE"",COUNTIF(States!A:A,A222)&gt;0,
  FALSE
 )
)"),TRUE)</f>
        <v>1</v>
      </c>
      <c r="P222" s="64" t="str">
        <f t="shared" si="3"/>
        <v>Good</v>
      </c>
      <c r="Q222" s="65"/>
      <c r="R222" s="65"/>
      <c r="S222" s="65"/>
      <c r="T222" s="65"/>
      <c r="U222" s="6"/>
      <c r="V222" s="6" t="str">
        <f>IFERROR(__xludf.DUMMYFUNCTION("""COMPUTED_VALUE"""),"collection.statue@1")</f>
        <v>collection.statue@1</v>
      </c>
      <c r="W222" s="65"/>
      <c r="X222" s="65"/>
      <c r="Y222" s="65"/>
      <c r="Z222" s="65"/>
      <c r="AA222" s="65"/>
      <c r="AB222" s="65"/>
      <c r="AC222" s="65"/>
      <c r="AD222" s="6"/>
      <c r="AE222" s="6"/>
      <c r="AF222" s="6"/>
      <c r="AG222" s="6"/>
      <c r="AH222" s="6"/>
      <c r="AI222" s="6"/>
      <c r="AJ222" s="6"/>
      <c r="AK222" s="6"/>
      <c r="AL222" s="6"/>
      <c r="AM222" s="6"/>
      <c r="AN222" s="6"/>
      <c r="AO222" s="6"/>
      <c r="AP222" s="6"/>
      <c r="AQ222" s="6"/>
      <c r="AR222" s="6"/>
      <c r="AS222" s="6"/>
      <c r="AT222" s="6"/>
      <c r="AU222" s="6"/>
      <c r="AV222" s="6"/>
      <c r="AW222" s="6"/>
      <c r="AX222" s="6"/>
      <c r="AY222" s="6"/>
    </row>
    <row r="223" ht="14.25" customHeight="1">
      <c r="A223" s="26" t="str">
        <f t="shared" si="1"/>
        <v>collection.tavern@1</v>
      </c>
      <c r="B223" s="26" t="str">
        <f t="array" ref="B223">_xlfn.XLOOKUP(A223,Targets!A:A,Targets!C:C,"")</f>
        <v>COLLECTION</v>
      </c>
      <c r="C223" s="64" t="b">
        <f>COUNTIF(Targets!A:A,A223)&gt;0</f>
        <v>1</v>
      </c>
      <c r="D223" s="64" t="b">
        <f>IF(
 OR(
  LEFT(A223,15)="state.character",
  RIGHT(A223,6)=".maxed"
 ),
 TRUE,
 COUNTIF(Checklist!A:A,A223)&gt;0
)</f>
        <v>1</v>
      </c>
      <c r="E223" s="64" t="b">
        <f>IF(
 OR(
  LEFT(A223,15)="state.character",
  RIGHT(A223,6)=".maxed",
  A223="building.guild@1",
  A223="quest.build_the_guild.accepted",
  A223="quest.build_the_pagoda.accepted"
 ),
 TRUE,
 COUNTIF(Dependencies!A:A,A223)&gt;0
)</f>
        <v>1</v>
      </c>
      <c r="F223" s="64" t="b">
        <f>COUNTIF(Dependencies!B:B,A223)&gt;0</f>
        <v>1</v>
      </c>
      <c r="G223" s="64" t="b">
        <f>COUNTIF(QuestObjectives!A:A,A223)&gt;0</f>
        <v>0</v>
      </c>
      <c r="H223" s="64" t="b">
        <f>COUNTIF(QuestObjectives!E:E,A223)&gt;0</f>
        <v>0</v>
      </c>
      <c r="I223" s="64" t="b">
        <f>COUNTIF(TargetStatus!A:A,A223)&gt;0</f>
        <v>1</v>
      </c>
      <c r="J223" s="64" t="b">
        <f>COUNTIF(CostStatus!B:B,A223)&gt;0</f>
        <v>1</v>
      </c>
      <c r="K223" s="64" t="b">
        <f>COUNTIF(States!A:A,A223)&gt;0</f>
        <v>0</v>
      </c>
      <c r="L223" s="64" t="b">
        <f t="shared" si="2"/>
        <v>1</v>
      </c>
      <c r="M223" s="64" t="b">
        <f>IF(A223="","",COUNTIF(Targets!A:A,A223)&gt;1)</f>
        <v>0</v>
      </c>
      <c r="N223" s="64" t="b">
        <f>IF(A223="","",COUNTIF(States!A:A,A223)&gt;1)</f>
        <v>0</v>
      </c>
      <c r="O223" s="64" t="b">
        <f>IFERROR(__xludf.DUMMYFUNCTION("IF(
 B223="""",
 """",
 SWITCH(
  B223,
  ""BUILDING"",COUNTIF(Buildings!A:A,A223)&gt;0,
  ""CITADEL"",COUNTIF(Citadel!A:A,A223)&gt;0,
  ""COLLECTION"",COUNTIF(Collections!A:A,A223)&gt;0,
  ""CRAFTIFACT"",COUNTIF(Craftifacts!A:A,A223)&gt;0,
  ""QUEST"",
   COUNTIF(
 "&amp;"   Quests!A:A,
    REGEXREPLACE(A223,""\.(accepted|finished)$"","""")
   )&gt;0,
  ""TECH"",COUNTIF(Technologies!A:A,A223)&gt;0,
  ""STATE"",COUNTIF(States!A:A,A223)&gt;0,
  FALSE
 )
)"),TRUE)</f>
        <v>1</v>
      </c>
      <c r="P223" s="64" t="str">
        <f t="shared" si="3"/>
        <v>Good</v>
      </c>
      <c r="Q223" s="65"/>
      <c r="R223" s="65"/>
      <c r="S223" s="65"/>
      <c r="T223" s="65"/>
      <c r="U223" s="6"/>
      <c r="V223" s="6" t="str">
        <f>IFERROR(__xludf.DUMMYFUNCTION("""COMPUTED_VALUE"""),"collection.tavern@1")</f>
        <v>collection.tavern@1</v>
      </c>
      <c r="W223" s="65"/>
      <c r="X223" s="65"/>
      <c r="Y223" s="65"/>
      <c r="Z223" s="65"/>
      <c r="AA223" s="65"/>
      <c r="AB223" s="65"/>
      <c r="AC223" s="65"/>
      <c r="AD223" s="6"/>
      <c r="AE223" s="6"/>
      <c r="AF223" s="6"/>
      <c r="AG223" s="6"/>
      <c r="AH223" s="6"/>
      <c r="AI223" s="6"/>
      <c r="AJ223" s="6"/>
      <c r="AK223" s="6"/>
      <c r="AL223" s="6"/>
      <c r="AM223" s="6"/>
      <c r="AN223" s="6"/>
      <c r="AO223" s="6"/>
      <c r="AP223" s="6"/>
      <c r="AQ223" s="6"/>
      <c r="AR223" s="6"/>
      <c r="AS223" s="6"/>
      <c r="AT223" s="6"/>
      <c r="AU223" s="6"/>
      <c r="AV223" s="6"/>
      <c r="AW223" s="6"/>
      <c r="AX223" s="6"/>
      <c r="AY223" s="6"/>
    </row>
    <row r="224" ht="14.25" customHeight="1">
      <c r="A224" s="26" t="str">
        <f t="shared" si="1"/>
        <v>collection.tavern@2</v>
      </c>
      <c r="B224" s="26" t="str">
        <f t="array" ref="B224">_xlfn.XLOOKUP(A224,Targets!A:A,Targets!C:C,"")</f>
        <v>COLLECTION</v>
      </c>
      <c r="C224" s="64" t="b">
        <f>COUNTIF(Targets!A:A,A224)&gt;0</f>
        <v>1</v>
      </c>
      <c r="D224" s="64" t="b">
        <f>IF(
 OR(
  LEFT(A224,15)="state.character",
  RIGHT(A224,6)=".maxed"
 ),
 TRUE,
 COUNTIF(Checklist!A:A,A224)&gt;0
)</f>
        <v>1</v>
      </c>
      <c r="E224" s="64" t="b">
        <f>IF(
 OR(
  LEFT(A224,15)="state.character",
  RIGHT(A224,6)=".maxed",
  A224="building.guild@1",
  A224="quest.build_the_guild.accepted",
  A224="quest.build_the_pagoda.accepted"
 ),
 TRUE,
 COUNTIF(Dependencies!A:A,A224)&gt;0
)</f>
        <v>1</v>
      </c>
      <c r="F224" s="64" t="b">
        <f>COUNTIF(Dependencies!B:B,A224)&gt;0</f>
        <v>0</v>
      </c>
      <c r="G224" s="64" t="b">
        <f>COUNTIF(QuestObjectives!A:A,A224)&gt;0</f>
        <v>0</v>
      </c>
      <c r="H224" s="64" t="b">
        <f>COUNTIF(QuestObjectives!E:E,A224)&gt;0</f>
        <v>0</v>
      </c>
      <c r="I224" s="64" t="b">
        <f>COUNTIF(TargetStatus!A:A,A224)&gt;0</f>
        <v>1</v>
      </c>
      <c r="J224" s="64" t="b">
        <f>COUNTIF(CostStatus!B:B,A224)&gt;0</f>
        <v>1</v>
      </c>
      <c r="K224" s="64" t="b">
        <f>COUNTIF(States!A:A,A224)&gt;0</f>
        <v>0</v>
      </c>
      <c r="L224" s="64" t="b">
        <f t="shared" si="2"/>
        <v>1</v>
      </c>
      <c r="M224" s="64" t="b">
        <f>IF(A224="","",COUNTIF(Targets!A:A,A224)&gt;1)</f>
        <v>0</v>
      </c>
      <c r="N224" s="64" t="b">
        <f>IF(A224="","",COUNTIF(States!A:A,A224)&gt;1)</f>
        <v>0</v>
      </c>
      <c r="O224" s="64" t="b">
        <f>IFERROR(__xludf.DUMMYFUNCTION("IF(
 B224="""",
 """",
 SWITCH(
  B224,
  ""BUILDING"",COUNTIF(Buildings!A:A,A224)&gt;0,
  ""CITADEL"",COUNTIF(Citadel!A:A,A224)&gt;0,
  ""COLLECTION"",COUNTIF(Collections!A:A,A224)&gt;0,
  ""CRAFTIFACT"",COUNTIF(Craftifacts!A:A,A224)&gt;0,
  ""QUEST"",
   COUNTIF(
 "&amp;"   Quests!A:A,
    REGEXREPLACE(A224,""\.(accepted|finished)$"","""")
   )&gt;0,
  ""TECH"",COUNTIF(Technologies!A:A,A224)&gt;0,
  ""STATE"",COUNTIF(States!A:A,A224)&gt;0,
  FALSE
 )
)"),TRUE)</f>
        <v>1</v>
      </c>
      <c r="P224" s="64" t="str">
        <f t="shared" si="3"/>
        <v>Good</v>
      </c>
      <c r="Q224" s="65"/>
      <c r="R224" s="65"/>
      <c r="S224" s="65"/>
      <c r="T224" s="65"/>
      <c r="U224" s="6"/>
      <c r="V224" s="6" t="str">
        <f>IFERROR(__xludf.DUMMYFUNCTION("""COMPUTED_VALUE"""),"collection.tavern@2")</f>
        <v>collection.tavern@2</v>
      </c>
      <c r="W224" s="65"/>
      <c r="X224" s="65"/>
      <c r="Y224" s="65"/>
      <c r="Z224" s="65"/>
      <c r="AA224" s="65"/>
      <c r="AB224" s="65"/>
      <c r="AC224" s="65"/>
      <c r="AD224" s="6"/>
      <c r="AE224" s="6"/>
      <c r="AF224" s="6"/>
      <c r="AG224" s="6"/>
      <c r="AH224" s="6"/>
      <c r="AI224" s="6"/>
      <c r="AJ224" s="6"/>
      <c r="AK224" s="6"/>
      <c r="AL224" s="6"/>
      <c r="AM224" s="6"/>
      <c r="AN224" s="6"/>
      <c r="AO224" s="6"/>
      <c r="AP224" s="6"/>
      <c r="AQ224" s="6"/>
      <c r="AR224" s="6"/>
      <c r="AS224" s="6"/>
      <c r="AT224" s="6"/>
      <c r="AU224" s="6"/>
      <c r="AV224" s="6"/>
      <c r="AW224" s="6"/>
      <c r="AX224" s="6"/>
      <c r="AY224" s="6"/>
    </row>
    <row r="225" ht="14.25" customHeight="1">
      <c r="A225" s="26" t="str">
        <f t="shared" si="1"/>
        <v>collection.treasury_1@1</v>
      </c>
      <c r="B225" s="26" t="str">
        <f t="array" ref="B225">_xlfn.XLOOKUP(A225,Targets!A:A,Targets!C:C,"")</f>
        <v>COLLECTION</v>
      </c>
      <c r="C225" s="64" t="b">
        <f>COUNTIF(Targets!A:A,A225)&gt;0</f>
        <v>1</v>
      </c>
      <c r="D225" s="64" t="b">
        <f>IF(
 OR(
  LEFT(A225,15)="state.character",
  RIGHT(A225,6)=".maxed"
 ),
 TRUE,
 COUNTIF(Checklist!A:A,A225)&gt;0
)</f>
        <v>1</v>
      </c>
      <c r="E225" s="64" t="b">
        <f>IF(
 OR(
  LEFT(A225,15)="state.character",
  RIGHT(A225,6)=".maxed",
  A225="building.guild@1",
  A225="quest.build_the_guild.accepted",
  A225="quest.build_the_pagoda.accepted"
 ),
 TRUE,
 COUNTIF(Dependencies!A:A,A225)&gt;0
)</f>
        <v>1</v>
      </c>
      <c r="F225" s="64" t="b">
        <f>COUNTIF(Dependencies!B:B,A225)&gt;0</f>
        <v>1</v>
      </c>
      <c r="G225" s="64" t="b">
        <f>COUNTIF(QuestObjectives!A:A,A225)&gt;0</f>
        <v>0</v>
      </c>
      <c r="H225" s="64" t="b">
        <f>COUNTIF(QuestObjectives!E:E,A225)&gt;0</f>
        <v>0</v>
      </c>
      <c r="I225" s="64" t="b">
        <f>COUNTIF(TargetStatus!A:A,A225)&gt;0</f>
        <v>1</v>
      </c>
      <c r="J225" s="64" t="b">
        <f>COUNTIF(CostStatus!B:B,A225)&gt;0</f>
        <v>1</v>
      </c>
      <c r="K225" s="64" t="b">
        <f>COUNTIF(States!A:A,A225)&gt;0</f>
        <v>0</v>
      </c>
      <c r="L225" s="64" t="b">
        <f t="shared" si="2"/>
        <v>1</v>
      </c>
      <c r="M225" s="64" t="b">
        <f>IF(A225="","",COUNTIF(Targets!A:A,A225)&gt;1)</f>
        <v>0</v>
      </c>
      <c r="N225" s="64" t="b">
        <f>IF(A225="","",COUNTIF(States!A:A,A225)&gt;1)</f>
        <v>0</v>
      </c>
      <c r="O225" s="64" t="b">
        <f>IFERROR(__xludf.DUMMYFUNCTION("IF(
 B225="""",
 """",
 SWITCH(
  B225,
  ""BUILDING"",COUNTIF(Buildings!A:A,A225)&gt;0,
  ""CITADEL"",COUNTIF(Citadel!A:A,A225)&gt;0,
  ""COLLECTION"",COUNTIF(Collections!A:A,A225)&gt;0,
  ""CRAFTIFACT"",COUNTIF(Craftifacts!A:A,A225)&gt;0,
  ""QUEST"",
   COUNTIF(
 "&amp;"   Quests!A:A,
    REGEXREPLACE(A225,""\.(accepted|finished)$"","""")
   )&gt;0,
  ""TECH"",COUNTIF(Technologies!A:A,A225)&gt;0,
  ""STATE"",COUNTIF(States!A:A,A225)&gt;0,
  FALSE
 )
)"),TRUE)</f>
        <v>1</v>
      </c>
      <c r="P225" s="64" t="str">
        <f t="shared" si="3"/>
        <v>Good</v>
      </c>
      <c r="Q225" s="65"/>
      <c r="R225" s="65"/>
      <c r="S225" s="65"/>
      <c r="T225" s="65"/>
      <c r="U225" s="6"/>
      <c r="V225" s="6" t="str">
        <f>IFERROR(__xludf.DUMMYFUNCTION("""COMPUTED_VALUE"""),"collection.treasury_1@1")</f>
        <v>collection.treasury_1@1</v>
      </c>
      <c r="W225" s="65"/>
      <c r="X225" s="65"/>
      <c r="Y225" s="65"/>
      <c r="Z225" s="65"/>
      <c r="AA225" s="65"/>
      <c r="AB225" s="65"/>
      <c r="AC225" s="65"/>
      <c r="AD225" s="6"/>
      <c r="AE225" s="6"/>
      <c r="AF225" s="6"/>
      <c r="AG225" s="6"/>
      <c r="AH225" s="6"/>
      <c r="AI225" s="6"/>
      <c r="AJ225" s="6"/>
      <c r="AK225" s="6"/>
      <c r="AL225" s="6"/>
      <c r="AM225" s="6"/>
      <c r="AN225" s="6"/>
      <c r="AO225" s="6"/>
      <c r="AP225" s="6"/>
      <c r="AQ225" s="6"/>
      <c r="AR225" s="6"/>
      <c r="AS225" s="6"/>
      <c r="AT225" s="6"/>
      <c r="AU225" s="6"/>
      <c r="AV225" s="6"/>
      <c r="AW225" s="6"/>
      <c r="AX225" s="6"/>
      <c r="AY225" s="6"/>
    </row>
    <row r="226" ht="14.25" customHeight="1">
      <c r="A226" s="26" t="str">
        <f t="shared" si="1"/>
        <v>collection.treasury_1@2</v>
      </c>
      <c r="B226" s="26" t="str">
        <f t="array" ref="B226">_xlfn.XLOOKUP(A226,Targets!A:A,Targets!C:C,"")</f>
        <v>COLLECTION</v>
      </c>
      <c r="C226" s="64" t="b">
        <f>COUNTIF(Targets!A:A,A226)&gt;0</f>
        <v>1</v>
      </c>
      <c r="D226" s="64" t="b">
        <f>IF(
 OR(
  LEFT(A226,15)="state.character",
  RIGHT(A226,6)=".maxed"
 ),
 TRUE,
 COUNTIF(Checklist!A:A,A226)&gt;0
)</f>
        <v>1</v>
      </c>
      <c r="E226" s="64" t="b">
        <f>IF(
 OR(
  LEFT(A226,15)="state.character",
  RIGHT(A226,6)=".maxed",
  A226="building.guild@1",
  A226="quest.build_the_guild.accepted",
  A226="quest.build_the_pagoda.accepted"
 ),
 TRUE,
 COUNTIF(Dependencies!A:A,A226)&gt;0
)</f>
        <v>1</v>
      </c>
      <c r="F226" s="64" t="b">
        <f>COUNTIF(Dependencies!B:B,A226)&gt;0</f>
        <v>1</v>
      </c>
      <c r="G226" s="64" t="b">
        <f>COUNTIF(QuestObjectives!A:A,A226)&gt;0</f>
        <v>0</v>
      </c>
      <c r="H226" s="64" t="b">
        <f>COUNTIF(QuestObjectives!E:E,A226)&gt;0</f>
        <v>0</v>
      </c>
      <c r="I226" s="64" t="b">
        <f>COUNTIF(TargetStatus!A:A,A226)&gt;0</f>
        <v>1</v>
      </c>
      <c r="J226" s="64" t="b">
        <f>COUNTIF(CostStatus!B:B,A226)&gt;0</f>
        <v>1</v>
      </c>
      <c r="K226" s="64" t="b">
        <f>COUNTIF(States!A:A,A226)&gt;0</f>
        <v>0</v>
      </c>
      <c r="L226" s="64" t="b">
        <f t="shared" si="2"/>
        <v>1</v>
      </c>
      <c r="M226" s="64" t="b">
        <f>IF(A226="","",COUNTIF(Targets!A:A,A226)&gt;1)</f>
        <v>0</v>
      </c>
      <c r="N226" s="64" t="b">
        <f>IF(A226="","",COUNTIF(States!A:A,A226)&gt;1)</f>
        <v>0</v>
      </c>
      <c r="O226" s="64" t="b">
        <f>IFERROR(__xludf.DUMMYFUNCTION("IF(
 B226="""",
 """",
 SWITCH(
  B226,
  ""BUILDING"",COUNTIF(Buildings!A:A,A226)&gt;0,
  ""CITADEL"",COUNTIF(Citadel!A:A,A226)&gt;0,
  ""COLLECTION"",COUNTIF(Collections!A:A,A226)&gt;0,
  ""CRAFTIFACT"",COUNTIF(Craftifacts!A:A,A226)&gt;0,
  ""QUEST"",
   COUNTIF(
 "&amp;"   Quests!A:A,
    REGEXREPLACE(A226,""\.(accepted|finished)$"","""")
   )&gt;0,
  ""TECH"",COUNTIF(Technologies!A:A,A226)&gt;0,
  ""STATE"",COUNTIF(States!A:A,A226)&gt;0,
  FALSE
 )
)"),TRUE)</f>
        <v>1</v>
      </c>
      <c r="P226" s="64" t="str">
        <f t="shared" si="3"/>
        <v>Good</v>
      </c>
      <c r="Q226" s="65"/>
      <c r="R226" s="65"/>
      <c r="S226" s="65"/>
      <c r="T226" s="65"/>
      <c r="U226" s="6"/>
      <c r="V226" s="6" t="str">
        <f>IFERROR(__xludf.DUMMYFUNCTION("""COMPUTED_VALUE"""),"collection.treasury_1@2")</f>
        <v>collection.treasury_1@2</v>
      </c>
      <c r="W226" s="65"/>
      <c r="X226" s="65"/>
      <c r="Y226" s="65"/>
      <c r="Z226" s="65"/>
      <c r="AA226" s="65"/>
      <c r="AB226" s="65"/>
      <c r="AC226" s="65"/>
      <c r="AD226" s="6"/>
      <c r="AE226" s="6"/>
      <c r="AF226" s="6"/>
      <c r="AG226" s="6"/>
      <c r="AH226" s="6"/>
      <c r="AI226" s="6"/>
      <c r="AJ226" s="6"/>
      <c r="AK226" s="6"/>
      <c r="AL226" s="6"/>
      <c r="AM226" s="6"/>
      <c r="AN226" s="6"/>
      <c r="AO226" s="6"/>
      <c r="AP226" s="6"/>
      <c r="AQ226" s="6"/>
      <c r="AR226" s="6"/>
      <c r="AS226" s="6"/>
      <c r="AT226" s="6"/>
      <c r="AU226" s="6"/>
      <c r="AV226" s="6"/>
      <c r="AW226" s="6"/>
      <c r="AX226" s="6"/>
      <c r="AY226" s="6"/>
    </row>
    <row r="227" ht="14.25" customHeight="1">
      <c r="A227" s="26" t="str">
        <f t="shared" si="1"/>
        <v>collection.treasury_1@3</v>
      </c>
      <c r="B227" s="26" t="str">
        <f t="array" ref="B227">_xlfn.XLOOKUP(A227,Targets!A:A,Targets!C:C,"")</f>
        <v>COLLECTION</v>
      </c>
      <c r="C227" s="64" t="b">
        <f>COUNTIF(Targets!A:A,A227)&gt;0</f>
        <v>1</v>
      </c>
      <c r="D227" s="64" t="b">
        <f>IF(
 OR(
  LEFT(A227,15)="state.character",
  RIGHT(A227,6)=".maxed"
 ),
 TRUE,
 COUNTIF(Checklist!A:A,A227)&gt;0
)</f>
        <v>1</v>
      </c>
      <c r="E227" s="64" t="b">
        <f>IF(
 OR(
  LEFT(A227,15)="state.character",
  RIGHT(A227,6)=".maxed",
  A227="building.guild@1",
  A227="quest.build_the_guild.accepted",
  A227="quest.build_the_pagoda.accepted"
 ),
 TRUE,
 COUNTIF(Dependencies!A:A,A227)&gt;0
)</f>
        <v>1</v>
      </c>
      <c r="F227" s="64" t="b">
        <f>COUNTIF(Dependencies!B:B,A227)&gt;0</f>
        <v>1</v>
      </c>
      <c r="G227" s="64" t="b">
        <f>COUNTIF(QuestObjectives!A:A,A227)&gt;0</f>
        <v>0</v>
      </c>
      <c r="H227" s="64" t="b">
        <f>COUNTIF(QuestObjectives!E:E,A227)&gt;0</f>
        <v>0</v>
      </c>
      <c r="I227" s="64" t="b">
        <f>COUNTIF(TargetStatus!A:A,A227)&gt;0</f>
        <v>1</v>
      </c>
      <c r="J227" s="64" t="b">
        <f>COUNTIF(CostStatus!B:B,A227)&gt;0</f>
        <v>1</v>
      </c>
      <c r="K227" s="64" t="b">
        <f>COUNTIF(States!A:A,A227)&gt;0</f>
        <v>0</v>
      </c>
      <c r="L227" s="64" t="b">
        <f t="shared" si="2"/>
        <v>1</v>
      </c>
      <c r="M227" s="64" t="b">
        <f>IF(A227="","",COUNTIF(Targets!A:A,A227)&gt;1)</f>
        <v>0</v>
      </c>
      <c r="N227" s="64" t="b">
        <f>IF(A227="","",COUNTIF(States!A:A,A227)&gt;1)</f>
        <v>0</v>
      </c>
      <c r="O227" s="64" t="b">
        <f>IFERROR(__xludf.DUMMYFUNCTION("IF(
 B227="""",
 """",
 SWITCH(
  B227,
  ""BUILDING"",COUNTIF(Buildings!A:A,A227)&gt;0,
  ""CITADEL"",COUNTIF(Citadel!A:A,A227)&gt;0,
  ""COLLECTION"",COUNTIF(Collections!A:A,A227)&gt;0,
  ""CRAFTIFACT"",COUNTIF(Craftifacts!A:A,A227)&gt;0,
  ""QUEST"",
   COUNTIF(
 "&amp;"   Quests!A:A,
    REGEXREPLACE(A227,""\.(accepted|finished)$"","""")
   )&gt;0,
  ""TECH"",COUNTIF(Technologies!A:A,A227)&gt;0,
  ""STATE"",COUNTIF(States!A:A,A227)&gt;0,
  FALSE
 )
)"),TRUE)</f>
        <v>1</v>
      </c>
      <c r="P227" s="64" t="str">
        <f t="shared" si="3"/>
        <v>Good</v>
      </c>
      <c r="Q227" s="65"/>
      <c r="R227" s="65"/>
      <c r="S227" s="65"/>
      <c r="T227" s="65"/>
      <c r="U227" s="6"/>
      <c r="V227" s="6" t="str">
        <f>IFERROR(__xludf.DUMMYFUNCTION("""COMPUTED_VALUE"""),"collection.treasury_1@3")</f>
        <v>collection.treasury_1@3</v>
      </c>
      <c r="W227" s="65"/>
      <c r="X227" s="65"/>
      <c r="Y227" s="65"/>
      <c r="Z227" s="65"/>
      <c r="AA227" s="65"/>
      <c r="AB227" s="65"/>
      <c r="AC227" s="65"/>
      <c r="AD227" s="6"/>
      <c r="AE227" s="6"/>
      <c r="AF227" s="6"/>
      <c r="AG227" s="6"/>
      <c r="AH227" s="6"/>
      <c r="AI227" s="6"/>
      <c r="AJ227" s="6"/>
      <c r="AK227" s="6"/>
      <c r="AL227" s="6"/>
      <c r="AM227" s="6"/>
      <c r="AN227" s="6"/>
      <c r="AO227" s="6"/>
      <c r="AP227" s="6"/>
      <c r="AQ227" s="6"/>
      <c r="AR227" s="6"/>
      <c r="AS227" s="6"/>
      <c r="AT227" s="6"/>
      <c r="AU227" s="6"/>
      <c r="AV227" s="6"/>
      <c r="AW227" s="6"/>
      <c r="AX227" s="6"/>
      <c r="AY227" s="6"/>
    </row>
    <row r="228" ht="14.25" customHeight="1">
      <c r="A228" s="26" t="str">
        <f t="shared" si="1"/>
        <v>collection.treasury_1@4</v>
      </c>
      <c r="B228" s="26" t="str">
        <f t="array" ref="B228">_xlfn.XLOOKUP(A228,Targets!A:A,Targets!C:C,"")</f>
        <v>COLLECTION</v>
      </c>
      <c r="C228" s="64" t="b">
        <f>COUNTIF(Targets!A:A,A228)&gt;0</f>
        <v>1</v>
      </c>
      <c r="D228" s="64" t="b">
        <f>IF(
 OR(
  LEFT(A228,15)="state.character",
  RIGHT(A228,6)=".maxed"
 ),
 TRUE,
 COUNTIF(Checklist!A:A,A228)&gt;0
)</f>
        <v>1</v>
      </c>
      <c r="E228" s="64" t="b">
        <f>IF(
 OR(
  LEFT(A228,15)="state.character",
  RIGHT(A228,6)=".maxed",
  A228="building.guild@1",
  A228="quest.build_the_guild.accepted",
  A228="quest.build_the_pagoda.accepted"
 ),
 TRUE,
 COUNTIF(Dependencies!A:A,A228)&gt;0
)</f>
        <v>1</v>
      </c>
      <c r="F228" s="64" t="b">
        <f>COUNTIF(Dependencies!B:B,A228)&gt;0</f>
        <v>1</v>
      </c>
      <c r="G228" s="64" t="b">
        <f>COUNTIF(QuestObjectives!A:A,A228)&gt;0</f>
        <v>0</v>
      </c>
      <c r="H228" s="64" t="b">
        <f>COUNTIF(QuestObjectives!E:E,A228)&gt;0</f>
        <v>0</v>
      </c>
      <c r="I228" s="64" t="b">
        <f>COUNTIF(TargetStatus!A:A,A228)&gt;0</f>
        <v>1</v>
      </c>
      <c r="J228" s="64" t="b">
        <f>COUNTIF(CostStatus!B:B,A228)&gt;0</f>
        <v>1</v>
      </c>
      <c r="K228" s="64" t="b">
        <f>COUNTIF(States!A:A,A228)&gt;0</f>
        <v>0</v>
      </c>
      <c r="L228" s="64" t="b">
        <f t="shared" si="2"/>
        <v>1</v>
      </c>
      <c r="M228" s="64" t="b">
        <f>IF(A228="","",COUNTIF(Targets!A:A,A228)&gt;1)</f>
        <v>0</v>
      </c>
      <c r="N228" s="64" t="b">
        <f>IF(A228="","",COUNTIF(States!A:A,A228)&gt;1)</f>
        <v>0</v>
      </c>
      <c r="O228" s="64" t="b">
        <f>IFERROR(__xludf.DUMMYFUNCTION("IF(
 B228="""",
 """",
 SWITCH(
  B228,
  ""BUILDING"",COUNTIF(Buildings!A:A,A228)&gt;0,
  ""CITADEL"",COUNTIF(Citadel!A:A,A228)&gt;0,
  ""COLLECTION"",COUNTIF(Collections!A:A,A228)&gt;0,
  ""CRAFTIFACT"",COUNTIF(Craftifacts!A:A,A228)&gt;0,
  ""QUEST"",
   COUNTIF(
 "&amp;"   Quests!A:A,
    REGEXREPLACE(A228,""\.(accepted|finished)$"","""")
   )&gt;0,
  ""TECH"",COUNTIF(Technologies!A:A,A228)&gt;0,
  ""STATE"",COUNTIF(States!A:A,A228)&gt;0,
  FALSE
 )
)"),TRUE)</f>
        <v>1</v>
      </c>
      <c r="P228" s="64" t="str">
        <f t="shared" si="3"/>
        <v>Good</v>
      </c>
      <c r="Q228" s="65"/>
      <c r="R228" s="65"/>
      <c r="S228" s="65"/>
      <c r="T228" s="65"/>
      <c r="U228" s="6"/>
      <c r="V228" s="6" t="str">
        <f>IFERROR(__xludf.DUMMYFUNCTION("""COMPUTED_VALUE"""),"collection.treasury_1@4")</f>
        <v>collection.treasury_1@4</v>
      </c>
      <c r="W228" s="65"/>
      <c r="X228" s="65"/>
      <c r="Y228" s="65"/>
      <c r="Z228" s="65"/>
      <c r="AA228" s="65"/>
      <c r="AB228" s="65"/>
      <c r="AC228" s="65"/>
      <c r="AD228" s="6"/>
      <c r="AE228" s="6"/>
      <c r="AF228" s="6"/>
      <c r="AG228" s="6"/>
      <c r="AH228" s="6"/>
      <c r="AI228" s="6"/>
      <c r="AJ228" s="6"/>
      <c r="AK228" s="6"/>
      <c r="AL228" s="6"/>
      <c r="AM228" s="6"/>
      <c r="AN228" s="6"/>
      <c r="AO228" s="6"/>
      <c r="AP228" s="6"/>
      <c r="AQ228" s="6"/>
      <c r="AR228" s="6"/>
      <c r="AS228" s="6"/>
      <c r="AT228" s="6"/>
      <c r="AU228" s="6"/>
      <c r="AV228" s="6"/>
      <c r="AW228" s="6"/>
      <c r="AX228" s="6"/>
      <c r="AY228" s="6"/>
    </row>
    <row r="229" ht="14.25" customHeight="1">
      <c r="A229" s="26" t="str">
        <f t="shared" si="1"/>
        <v>collection.treasury_1@5</v>
      </c>
      <c r="B229" s="26" t="str">
        <f t="array" ref="B229">_xlfn.XLOOKUP(A229,Targets!A:A,Targets!C:C,"")</f>
        <v>COLLECTION</v>
      </c>
      <c r="C229" s="64" t="b">
        <f>COUNTIF(Targets!A:A,A229)&gt;0</f>
        <v>1</v>
      </c>
      <c r="D229" s="64" t="b">
        <f>IF(
 OR(
  LEFT(A229,15)="state.character",
  RIGHT(A229,6)=".maxed"
 ),
 TRUE,
 COUNTIF(Checklist!A:A,A229)&gt;0
)</f>
        <v>1</v>
      </c>
      <c r="E229" s="64" t="b">
        <f>IF(
 OR(
  LEFT(A229,15)="state.character",
  RIGHT(A229,6)=".maxed",
  A229="building.guild@1",
  A229="quest.build_the_guild.accepted",
  A229="quest.build_the_pagoda.accepted"
 ),
 TRUE,
 COUNTIF(Dependencies!A:A,A229)&gt;0
)</f>
        <v>1</v>
      </c>
      <c r="F229" s="64" t="b">
        <f>COUNTIF(Dependencies!B:B,A229)&gt;0</f>
        <v>0</v>
      </c>
      <c r="G229" s="64" t="b">
        <f>COUNTIF(QuestObjectives!A:A,A229)&gt;0</f>
        <v>0</v>
      </c>
      <c r="H229" s="64" t="b">
        <f>COUNTIF(QuestObjectives!E:E,A229)&gt;0</f>
        <v>0</v>
      </c>
      <c r="I229" s="64" t="b">
        <f>COUNTIF(TargetStatus!A:A,A229)&gt;0</f>
        <v>1</v>
      </c>
      <c r="J229" s="64" t="b">
        <f>COUNTIF(CostStatus!B:B,A229)&gt;0</f>
        <v>1</v>
      </c>
      <c r="K229" s="64" t="b">
        <f>COUNTIF(States!A:A,A229)&gt;0</f>
        <v>0</v>
      </c>
      <c r="L229" s="64" t="b">
        <f t="shared" si="2"/>
        <v>1</v>
      </c>
      <c r="M229" s="64" t="b">
        <f>IF(A229="","",COUNTIF(Targets!A:A,A229)&gt;1)</f>
        <v>0</v>
      </c>
      <c r="N229" s="64" t="b">
        <f>IF(A229="","",COUNTIF(States!A:A,A229)&gt;1)</f>
        <v>0</v>
      </c>
      <c r="O229" s="64" t="b">
        <f>IFERROR(__xludf.DUMMYFUNCTION("IF(
 B229="""",
 """",
 SWITCH(
  B229,
  ""BUILDING"",COUNTIF(Buildings!A:A,A229)&gt;0,
  ""CITADEL"",COUNTIF(Citadel!A:A,A229)&gt;0,
  ""COLLECTION"",COUNTIF(Collections!A:A,A229)&gt;0,
  ""CRAFTIFACT"",COUNTIF(Craftifacts!A:A,A229)&gt;0,
  ""QUEST"",
   COUNTIF(
 "&amp;"   Quests!A:A,
    REGEXREPLACE(A229,""\.(accepted|finished)$"","""")
   )&gt;0,
  ""TECH"",COUNTIF(Technologies!A:A,A229)&gt;0,
  ""STATE"",COUNTIF(States!A:A,A229)&gt;0,
  FALSE
 )
)"),TRUE)</f>
        <v>1</v>
      </c>
      <c r="P229" s="64" t="str">
        <f t="shared" si="3"/>
        <v>Good</v>
      </c>
      <c r="Q229" s="65"/>
      <c r="R229" s="65"/>
      <c r="S229" s="65"/>
      <c r="T229" s="65"/>
      <c r="U229" s="6"/>
      <c r="V229" s="6" t="str">
        <f>IFERROR(__xludf.DUMMYFUNCTION("""COMPUTED_VALUE"""),"collection.treasury_1@5")</f>
        <v>collection.treasury_1@5</v>
      </c>
      <c r="W229" s="65"/>
      <c r="X229" s="65"/>
      <c r="Y229" s="65"/>
      <c r="Z229" s="65"/>
      <c r="AA229" s="65"/>
      <c r="AB229" s="65"/>
      <c r="AC229" s="65"/>
      <c r="AD229" s="6"/>
      <c r="AE229" s="6"/>
      <c r="AF229" s="6"/>
      <c r="AG229" s="6"/>
      <c r="AH229" s="6"/>
      <c r="AI229" s="6"/>
      <c r="AJ229" s="6"/>
      <c r="AK229" s="6"/>
      <c r="AL229" s="6"/>
      <c r="AM229" s="6"/>
      <c r="AN229" s="6"/>
      <c r="AO229" s="6"/>
      <c r="AP229" s="6"/>
      <c r="AQ229" s="6"/>
      <c r="AR229" s="6"/>
      <c r="AS229" s="6"/>
      <c r="AT229" s="6"/>
      <c r="AU229" s="6"/>
      <c r="AV229" s="6"/>
      <c r="AW229" s="6"/>
      <c r="AX229" s="6"/>
      <c r="AY229" s="6"/>
    </row>
    <row r="230" ht="14.25" customHeight="1">
      <c r="A230" s="26" t="str">
        <f t="shared" si="1"/>
        <v>collection.treasury_2@1</v>
      </c>
      <c r="B230" s="26" t="str">
        <f t="array" ref="B230">_xlfn.XLOOKUP(A230,Targets!A:A,Targets!C:C,"")</f>
        <v>COLLECTION</v>
      </c>
      <c r="C230" s="64" t="b">
        <f>COUNTIF(Targets!A:A,A230)&gt;0</f>
        <v>1</v>
      </c>
      <c r="D230" s="64" t="b">
        <f>IF(
 OR(
  LEFT(A230,15)="state.character",
  RIGHT(A230,6)=".maxed"
 ),
 TRUE,
 COUNTIF(Checklist!A:A,A230)&gt;0
)</f>
        <v>1</v>
      </c>
      <c r="E230" s="64" t="b">
        <f>IF(
 OR(
  LEFT(A230,15)="state.character",
  RIGHT(A230,6)=".maxed",
  A230="building.guild@1",
  A230="quest.build_the_guild.accepted",
  A230="quest.build_the_pagoda.accepted"
 ),
 TRUE,
 COUNTIF(Dependencies!A:A,A230)&gt;0
)</f>
        <v>1</v>
      </c>
      <c r="F230" s="64" t="b">
        <f>COUNTIF(Dependencies!B:B,A230)&gt;0</f>
        <v>1</v>
      </c>
      <c r="G230" s="64" t="b">
        <f>COUNTIF(QuestObjectives!A:A,A230)&gt;0</f>
        <v>0</v>
      </c>
      <c r="H230" s="64" t="b">
        <f>COUNTIF(QuestObjectives!E:E,A230)&gt;0</f>
        <v>0</v>
      </c>
      <c r="I230" s="64" t="b">
        <f>COUNTIF(TargetStatus!A:A,A230)&gt;0</f>
        <v>1</v>
      </c>
      <c r="J230" s="64" t="b">
        <f>COUNTIF(CostStatus!B:B,A230)&gt;0</f>
        <v>1</v>
      </c>
      <c r="K230" s="64" t="b">
        <f>COUNTIF(States!A:A,A230)&gt;0</f>
        <v>0</v>
      </c>
      <c r="L230" s="64" t="b">
        <f t="shared" si="2"/>
        <v>1</v>
      </c>
      <c r="M230" s="64" t="b">
        <f>IF(A230="","",COUNTIF(Targets!A:A,A230)&gt;1)</f>
        <v>0</v>
      </c>
      <c r="N230" s="64" t="b">
        <f>IF(A230="","",COUNTIF(States!A:A,A230)&gt;1)</f>
        <v>0</v>
      </c>
      <c r="O230" s="64" t="b">
        <f>IFERROR(__xludf.DUMMYFUNCTION("IF(
 B230="""",
 """",
 SWITCH(
  B230,
  ""BUILDING"",COUNTIF(Buildings!A:A,A230)&gt;0,
  ""CITADEL"",COUNTIF(Citadel!A:A,A230)&gt;0,
  ""COLLECTION"",COUNTIF(Collections!A:A,A230)&gt;0,
  ""CRAFTIFACT"",COUNTIF(Craftifacts!A:A,A230)&gt;0,
  ""QUEST"",
   COUNTIF(
 "&amp;"   Quests!A:A,
    REGEXREPLACE(A230,""\.(accepted|finished)$"","""")
   )&gt;0,
  ""TECH"",COUNTIF(Technologies!A:A,A230)&gt;0,
  ""STATE"",COUNTIF(States!A:A,A230)&gt;0,
  FALSE
 )
)"),TRUE)</f>
        <v>1</v>
      </c>
      <c r="P230" s="64" t="str">
        <f t="shared" si="3"/>
        <v>Good</v>
      </c>
      <c r="Q230" s="65"/>
      <c r="R230" s="65"/>
      <c r="S230" s="65"/>
      <c r="T230" s="65"/>
      <c r="U230" s="6"/>
      <c r="V230" s="6" t="str">
        <f>IFERROR(__xludf.DUMMYFUNCTION("""COMPUTED_VALUE"""),"collection.treasury_2@1")</f>
        <v>collection.treasury_2@1</v>
      </c>
      <c r="W230" s="65"/>
      <c r="X230" s="65"/>
      <c r="Y230" s="65"/>
      <c r="Z230" s="65"/>
      <c r="AA230" s="65"/>
      <c r="AB230" s="65"/>
      <c r="AC230" s="65"/>
      <c r="AD230" s="6"/>
      <c r="AE230" s="6"/>
      <c r="AF230" s="6"/>
      <c r="AG230" s="6"/>
      <c r="AH230" s="6"/>
      <c r="AI230" s="6"/>
      <c r="AJ230" s="6"/>
      <c r="AK230" s="6"/>
      <c r="AL230" s="6"/>
      <c r="AM230" s="6"/>
      <c r="AN230" s="6"/>
      <c r="AO230" s="6"/>
      <c r="AP230" s="6"/>
      <c r="AQ230" s="6"/>
      <c r="AR230" s="6"/>
      <c r="AS230" s="6"/>
      <c r="AT230" s="6"/>
      <c r="AU230" s="6"/>
      <c r="AV230" s="6"/>
      <c r="AW230" s="6"/>
      <c r="AX230" s="6"/>
      <c r="AY230" s="6"/>
    </row>
    <row r="231" ht="14.25" customHeight="1">
      <c r="A231" s="26" t="str">
        <f t="shared" si="1"/>
        <v>collection.treasury_2@2</v>
      </c>
      <c r="B231" s="26" t="str">
        <f t="array" ref="B231">_xlfn.XLOOKUP(A231,Targets!A:A,Targets!C:C,"")</f>
        <v>COLLECTION</v>
      </c>
      <c r="C231" s="64" t="b">
        <f>COUNTIF(Targets!A:A,A231)&gt;0</f>
        <v>1</v>
      </c>
      <c r="D231" s="64" t="b">
        <f>IF(
 OR(
  LEFT(A231,15)="state.character",
  RIGHT(A231,6)=".maxed"
 ),
 TRUE,
 COUNTIF(Checklist!A:A,A231)&gt;0
)</f>
        <v>1</v>
      </c>
      <c r="E231" s="64" t="b">
        <f>IF(
 OR(
  LEFT(A231,15)="state.character",
  RIGHT(A231,6)=".maxed",
  A231="building.guild@1",
  A231="quest.build_the_guild.accepted",
  A231="quest.build_the_pagoda.accepted"
 ),
 TRUE,
 COUNTIF(Dependencies!A:A,A231)&gt;0
)</f>
        <v>1</v>
      </c>
      <c r="F231" s="64" t="b">
        <f>COUNTIF(Dependencies!B:B,A231)&gt;0</f>
        <v>1</v>
      </c>
      <c r="G231" s="64" t="b">
        <f>COUNTIF(QuestObjectives!A:A,A231)&gt;0</f>
        <v>0</v>
      </c>
      <c r="H231" s="64" t="b">
        <f>COUNTIF(QuestObjectives!E:E,A231)&gt;0</f>
        <v>0</v>
      </c>
      <c r="I231" s="64" t="b">
        <f>COUNTIF(TargetStatus!A:A,A231)&gt;0</f>
        <v>1</v>
      </c>
      <c r="J231" s="64" t="b">
        <f>COUNTIF(CostStatus!B:B,A231)&gt;0</f>
        <v>1</v>
      </c>
      <c r="K231" s="64" t="b">
        <f>COUNTIF(States!A:A,A231)&gt;0</f>
        <v>0</v>
      </c>
      <c r="L231" s="64" t="b">
        <f t="shared" si="2"/>
        <v>1</v>
      </c>
      <c r="M231" s="64" t="b">
        <f>IF(A231="","",COUNTIF(Targets!A:A,A231)&gt;1)</f>
        <v>0</v>
      </c>
      <c r="N231" s="64" t="b">
        <f>IF(A231="","",COUNTIF(States!A:A,A231)&gt;1)</f>
        <v>0</v>
      </c>
      <c r="O231" s="64" t="b">
        <f>IFERROR(__xludf.DUMMYFUNCTION("IF(
 B231="""",
 """",
 SWITCH(
  B231,
  ""BUILDING"",COUNTIF(Buildings!A:A,A231)&gt;0,
  ""CITADEL"",COUNTIF(Citadel!A:A,A231)&gt;0,
  ""COLLECTION"",COUNTIF(Collections!A:A,A231)&gt;0,
  ""CRAFTIFACT"",COUNTIF(Craftifacts!A:A,A231)&gt;0,
  ""QUEST"",
   COUNTIF(
 "&amp;"   Quests!A:A,
    REGEXREPLACE(A231,""\.(accepted|finished)$"","""")
   )&gt;0,
  ""TECH"",COUNTIF(Technologies!A:A,A231)&gt;0,
  ""STATE"",COUNTIF(States!A:A,A231)&gt;0,
  FALSE
 )
)"),TRUE)</f>
        <v>1</v>
      </c>
      <c r="P231" s="64" t="str">
        <f t="shared" si="3"/>
        <v>Good</v>
      </c>
      <c r="Q231" s="65"/>
      <c r="R231" s="65"/>
      <c r="S231" s="65"/>
      <c r="T231" s="65"/>
      <c r="U231" s="6"/>
      <c r="V231" s="6" t="str">
        <f>IFERROR(__xludf.DUMMYFUNCTION("""COMPUTED_VALUE"""),"collection.treasury_2@2")</f>
        <v>collection.treasury_2@2</v>
      </c>
      <c r="W231" s="65"/>
      <c r="X231" s="65"/>
      <c r="Y231" s="65"/>
      <c r="Z231" s="65"/>
      <c r="AA231" s="65"/>
      <c r="AB231" s="65"/>
      <c r="AC231" s="65"/>
      <c r="AD231" s="6"/>
      <c r="AE231" s="6"/>
      <c r="AF231" s="6"/>
      <c r="AG231" s="6"/>
      <c r="AH231" s="6"/>
      <c r="AI231" s="6"/>
      <c r="AJ231" s="6"/>
      <c r="AK231" s="6"/>
      <c r="AL231" s="6"/>
      <c r="AM231" s="6"/>
      <c r="AN231" s="6"/>
      <c r="AO231" s="6"/>
      <c r="AP231" s="6"/>
      <c r="AQ231" s="6"/>
      <c r="AR231" s="6"/>
      <c r="AS231" s="6"/>
      <c r="AT231" s="6"/>
      <c r="AU231" s="6"/>
      <c r="AV231" s="6"/>
      <c r="AW231" s="6"/>
      <c r="AX231" s="6"/>
      <c r="AY231" s="6"/>
    </row>
    <row r="232" ht="14.25" customHeight="1">
      <c r="A232" s="26" t="str">
        <f t="shared" si="1"/>
        <v>collection.treasury_2@3</v>
      </c>
      <c r="B232" s="26" t="str">
        <f t="array" ref="B232">_xlfn.XLOOKUP(A232,Targets!A:A,Targets!C:C,"")</f>
        <v>COLLECTION</v>
      </c>
      <c r="C232" s="64" t="b">
        <f>COUNTIF(Targets!A:A,A232)&gt;0</f>
        <v>1</v>
      </c>
      <c r="D232" s="64" t="b">
        <f>IF(
 OR(
  LEFT(A232,15)="state.character",
  RIGHT(A232,6)=".maxed"
 ),
 TRUE,
 COUNTIF(Checklist!A:A,A232)&gt;0
)</f>
        <v>1</v>
      </c>
      <c r="E232" s="64" t="b">
        <f>IF(
 OR(
  LEFT(A232,15)="state.character",
  RIGHT(A232,6)=".maxed",
  A232="building.guild@1",
  A232="quest.build_the_guild.accepted",
  A232="quest.build_the_pagoda.accepted"
 ),
 TRUE,
 COUNTIF(Dependencies!A:A,A232)&gt;0
)</f>
        <v>1</v>
      </c>
      <c r="F232" s="64" t="b">
        <f>COUNTIF(Dependencies!B:B,A232)&gt;0</f>
        <v>0</v>
      </c>
      <c r="G232" s="64" t="b">
        <f>COUNTIF(QuestObjectives!A:A,A232)&gt;0</f>
        <v>0</v>
      </c>
      <c r="H232" s="64" t="b">
        <f>COUNTIF(QuestObjectives!E:E,A232)&gt;0</f>
        <v>0</v>
      </c>
      <c r="I232" s="64" t="b">
        <f>COUNTIF(TargetStatus!A:A,A232)&gt;0</f>
        <v>1</v>
      </c>
      <c r="J232" s="64" t="b">
        <f>COUNTIF(CostStatus!B:B,A232)&gt;0</f>
        <v>1</v>
      </c>
      <c r="K232" s="64" t="b">
        <f>COUNTIF(States!A:A,A232)&gt;0</f>
        <v>0</v>
      </c>
      <c r="L232" s="64" t="b">
        <f t="shared" si="2"/>
        <v>1</v>
      </c>
      <c r="M232" s="64" t="b">
        <f>IF(A232="","",COUNTIF(Targets!A:A,A232)&gt;1)</f>
        <v>0</v>
      </c>
      <c r="N232" s="64" t="b">
        <f>IF(A232="","",COUNTIF(States!A:A,A232)&gt;1)</f>
        <v>0</v>
      </c>
      <c r="O232" s="64" t="b">
        <f>IFERROR(__xludf.DUMMYFUNCTION("IF(
 B232="""",
 """",
 SWITCH(
  B232,
  ""BUILDING"",COUNTIF(Buildings!A:A,A232)&gt;0,
  ""CITADEL"",COUNTIF(Citadel!A:A,A232)&gt;0,
  ""COLLECTION"",COUNTIF(Collections!A:A,A232)&gt;0,
  ""CRAFTIFACT"",COUNTIF(Craftifacts!A:A,A232)&gt;0,
  ""QUEST"",
   COUNTIF(
 "&amp;"   Quests!A:A,
    REGEXREPLACE(A232,""\.(accepted|finished)$"","""")
   )&gt;0,
  ""TECH"",COUNTIF(Technologies!A:A,A232)&gt;0,
  ""STATE"",COUNTIF(States!A:A,A232)&gt;0,
  FALSE
 )
)"),TRUE)</f>
        <v>1</v>
      </c>
      <c r="P232" s="64" t="str">
        <f t="shared" si="3"/>
        <v>Good</v>
      </c>
      <c r="Q232" s="65"/>
      <c r="R232" s="65"/>
      <c r="S232" s="65"/>
      <c r="T232" s="65"/>
      <c r="U232" s="6"/>
      <c r="V232" s="6" t="str">
        <f>IFERROR(__xludf.DUMMYFUNCTION("""COMPUTED_VALUE"""),"collection.treasury_2@3")</f>
        <v>collection.treasury_2@3</v>
      </c>
      <c r="W232" s="65"/>
      <c r="X232" s="65"/>
      <c r="Y232" s="65"/>
      <c r="Z232" s="65"/>
      <c r="AA232" s="65"/>
      <c r="AB232" s="65"/>
      <c r="AC232" s="65"/>
      <c r="AD232" s="6"/>
      <c r="AE232" s="6"/>
      <c r="AF232" s="6"/>
      <c r="AG232" s="6"/>
      <c r="AH232" s="6"/>
      <c r="AI232" s="6"/>
      <c r="AJ232" s="6"/>
      <c r="AK232" s="6"/>
      <c r="AL232" s="6"/>
      <c r="AM232" s="6"/>
      <c r="AN232" s="6"/>
      <c r="AO232" s="6"/>
      <c r="AP232" s="6"/>
      <c r="AQ232" s="6"/>
      <c r="AR232" s="6"/>
      <c r="AS232" s="6"/>
      <c r="AT232" s="6"/>
      <c r="AU232" s="6"/>
      <c r="AV232" s="6"/>
      <c r="AW232" s="6"/>
      <c r="AX232" s="6"/>
      <c r="AY232" s="6"/>
    </row>
    <row r="233" ht="14.25" customHeight="1">
      <c r="A233" s="26" t="str">
        <f t="shared" si="1"/>
        <v>collection.treasury_3@1</v>
      </c>
      <c r="B233" s="26" t="str">
        <f t="array" ref="B233">_xlfn.XLOOKUP(A233,Targets!A:A,Targets!C:C,"")</f>
        <v>COLLECTION</v>
      </c>
      <c r="C233" s="64" t="b">
        <f>COUNTIF(Targets!A:A,A233)&gt;0</f>
        <v>1</v>
      </c>
      <c r="D233" s="64" t="b">
        <f>IF(
 OR(
  LEFT(A233,15)="state.character",
  RIGHT(A233,6)=".maxed"
 ),
 TRUE,
 COUNTIF(Checklist!A:A,A233)&gt;0
)</f>
        <v>1</v>
      </c>
      <c r="E233" s="64" t="b">
        <f>IF(
 OR(
  LEFT(A233,15)="state.character",
  RIGHT(A233,6)=".maxed",
  A233="building.guild@1",
  A233="quest.build_the_guild.accepted",
  A233="quest.build_the_pagoda.accepted"
 ),
 TRUE,
 COUNTIF(Dependencies!A:A,A233)&gt;0
)</f>
        <v>1</v>
      </c>
      <c r="F233" s="64" t="b">
        <f>COUNTIF(Dependencies!B:B,A233)&gt;0</f>
        <v>0</v>
      </c>
      <c r="G233" s="64" t="b">
        <f>COUNTIF(QuestObjectives!A:A,A233)&gt;0</f>
        <v>0</v>
      </c>
      <c r="H233" s="64" t="b">
        <f>COUNTIF(QuestObjectives!E:E,A233)&gt;0</f>
        <v>0</v>
      </c>
      <c r="I233" s="64" t="b">
        <f>COUNTIF(TargetStatus!A:A,A233)&gt;0</f>
        <v>1</v>
      </c>
      <c r="J233" s="64" t="b">
        <f>COUNTIF(CostStatus!B:B,A233)&gt;0</f>
        <v>1</v>
      </c>
      <c r="K233" s="64" t="b">
        <f>COUNTIF(States!A:A,A233)&gt;0</f>
        <v>0</v>
      </c>
      <c r="L233" s="64" t="b">
        <f t="shared" si="2"/>
        <v>1</v>
      </c>
      <c r="M233" s="64" t="b">
        <f>IF(A233="","",COUNTIF(Targets!A:A,A233)&gt;1)</f>
        <v>0</v>
      </c>
      <c r="N233" s="64" t="b">
        <f>IF(A233="","",COUNTIF(States!A:A,A233)&gt;1)</f>
        <v>0</v>
      </c>
      <c r="O233" s="64" t="b">
        <f>IFERROR(__xludf.DUMMYFUNCTION("IF(
 B233="""",
 """",
 SWITCH(
  B233,
  ""BUILDING"",COUNTIF(Buildings!A:A,A233)&gt;0,
  ""CITADEL"",COUNTIF(Citadel!A:A,A233)&gt;0,
  ""COLLECTION"",COUNTIF(Collections!A:A,A233)&gt;0,
  ""CRAFTIFACT"",COUNTIF(Craftifacts!A:A,A233)&gt;0,
  ""QUEST"",
   COUNTIF(
 "&amp;"   Quests!A:A,
    REGEXREPLACE(A233,""\.(accepted|finished)$"","""")
   )&gt;0,
  ""TECH"",COUNTIF(Technologies!A:A,A233)&gt;0,
  ""STATE"",COUNTIF(States!A:A,A233)&gt;0,
  FALSE
 )
)"),TRUE)</f>
        <v>1</v>
      </c>
      <c r="P233" s="64" t="str">
        <f t="shared" si="3"/>
        <v>Good</v>
      </c>
      <c r="Q233" s="65"/>
      <c r="R233" s="65"/>
      <c r="S233" s="65"/>
      <c r="T233" s="65"/>
      <c r="U233" s="6"/>
      <c r="V233" s="6" t="str">
        <f>IFERROR(__xludf.DUMMYFUNCTION("""COMPUTED_VALUE"""),"collection.treasury_3@1")</f>
        <v>collection.treasury_3@1</v>
      </c>
      <c r="W233" s="65"/>
      <c r="X233" s="65"/>
      <c r="Y233" s="65"/>
      <c r="Z233" s="65"/>
      <c r="AA233" s="65"/>
      <c r="AB233" s="65"/>
      <c r="AC233" s="65"/>
      <c r="AD233" s="6"/>
      <c r="AE233" s="6"/>
      <c r="AF233" s="6"/>
      <c r="AG233" s="6"/>
      <c r="AH233" s="6"/>
      <c r="AI233" s="6"/>
      <c r="AJ233" s="6"/>
      <c r="AK233" s="6"/>
      <c r="AL233" s="6"/>
      <c r="AM233" s="6"/>
      <c r="AN233" s="6"/>
      <c r="AO233" s="6"/>
      <c r="AP233" s="6"/>
      <c r="AQ233" s="6"/>
      <c r="AR233" s="6"/>
      <c r="AS233" s="6"/>
      <c r="AT233" s="6"/>
      <c r="AU233" s="6"/>
      <c r="AV233" s="6"/>
      <c r="AW233" s="6"/>
      <c r="AX233" s="6"/>
      <c r="AY233" s="6"/>
    </row>
    <row r="234" ht="14.25" customHeight="1">
      <c r="A234" s="26" t="str">
        <f t="shared" si="1"/>
        <v>craftifact.astrolabe</v>
      </c>
      <c r="B234" s="26" t="str">
        <f t="array" ref="B234">_xlfn.XLOOKUP(A234,Targets!A:A,Targets!C:C,"")</f>
        <v>CRAFTIFACT</v>
      </c>
      <c r="C234" s="64" t="b">
        <f>COUNTIF(Targets!A:A,A234)&gt;0</f>
        <v>1</v>
      </c>
      <c r="D234" s="64" t="b">
        <f>IF(
 OR(
  LEFT(A234,15)="state.character",
  RIGHT(A234,6)=".maxed"
 ),
 TRUE,
 COUNTIF(Checklist!A:A,A234)&gt;0
)</f>
        <v>1</v>
      </c>
      <c r="E234" s="64" t="b">
        <f>IF(
 OR(
  LEFT(A234,15)="state.character",
  RIGHT(A234,6)=".maxed",
  A234="building.guild@1",
  A234="quest.build_the_guild.accepted",
  A234="quest.build_the_pagoda.accepted"
 ),
 TRUE,
 COUNTIF(Dependencies!A:A,A234)&gt;0
)</f>
        <v>1</v>
      </c>
      <c r="F234" s="64" t="b">
        <f>COUNTIF(Dependencies!B:B,A234)&gt;0</f>
        <v>0</v>
      </c>
      <c r="G234" s="64" t="b">
        <f>COUNTIF(QuestObjectives!A:A,A234)&gt;0</f>
        <v>0</v>
      </c>
      <c r="H234" s="64" t="b">
        <f>COUNTIF(QuestObjectives!E:E,A234)&gt;0</f>
        <v>0</v>
      </c>
      <c r="I234" s="64" t="b">
        <f>COUNTIF(TargetStatus!A:A,A234)&gt;0</f>
        <v>1</v>
      </c>
      <c r="J234" s="64" t="b">
        <f>COUNTIF(CostStatus!B:B,A234)&gt;0</f>
        <v>1</v>
      </c>
      <c r="K234" s="64" t="b">
        <f>COUNTIF(States!A:A,A234)&gt;0</f>
        <v>0</v>
      </c>
      <c r="L234" s="64" t="b">
        <f t="shared" si="2"/>
        <v>1</v>
      </c>
      <c r="M234" s="64" t="b">
        <f>IF(A234="","",COUNTIF(Targets!A:A,A234)&gt;1)</f>
        <v>0</v>
      </c>
      <c r="N234" s="64" t="b">
        <f>IF(A234="","",COUNTIF(States!A:A,A234)&gt;1)</f>
        <v>0</v>
      </c>
      <c r="O234" s="64" t="b">
        <f>IFERROR(__xludf.DUMMYFUNCTION("IF(
 B234="""",
 """",
 SWITCH(
  B234,
  ""BUILDING"",COUNTIF(Buildings!A:A,A234)&gt;0,
  ""CITADEL"",COUNTIF(Citadel!A:A,A234)&gt;0,
  ""COLLECTION"",COUNTIF(Collections!A:A,A234)&gt;0,
  ""CRAFTIFACT"",COUNTIF(Craftifacts!A:A,A234)&gt;0,
  ""QUEST"",
   COUNTIF(
 "&amp;"   Quests!A:A,
    REGEXREPLACE(A234,""\.(accepted|finished)$"","""")
   )&gt;0,
  ""TECH"",COUNTIF(Technologies!A:A,A234)&gt;0,
  ""STATE"",COUNTIF(States!A:A,A234)&gt;0,
  FALSE
 )
)"),TRUE)</f>
        <v>1</v>
      </c>
      <c r="P234" s="64" t="str">
        <f t="shared" si="3"/>
        <v>Good</v>
      </c>
      <c r="Q234" s="65"/>
      <c r="R234" s="65"/>
      <c r="S234" s="65"/>
      <c r="T234" s="65"/>
      <c r="U234" s="6"/>
      <c r="V234" s="6" t="str">
        <f>IFERROR(__xludf.DUMMYFUNCTION("""COMPUTED_VALUE"""),"craftifact.astrolabe")</f>
        <v>craftifact.astrolabe</v>
      </c>
      <c r="W234" s="65"/>
      <c r="X234" s="65"/>
      <c r="Y234" s="65"/>
      <c r="Z234" s="65"/>
      <c r="AA234" s="65"/>
      <c r="AB234" s="65"/>
      <c r="AC234" s="65"/>
      <c r="AD234" s="6"/>
      <c r="AE234" s="6"/>
      <c r="AF234" s="6"/>
      <c r="AG234" s="6"/>
      <c r="AH234" s="6"/>
      <c r="AI234" s="6"/>
      <c r="AJ234" s="6"/>
      <c r="AK234" s="6"/>
      <c r="AL234" s="6"/>
      <c r="AM234" s="6"/>
      <c r="AN234" s="6"/>
      <c r="AO234" s="6"/>
      <c r="AP234" s="6"/>
      <c r="AQ234" s="6"/>
      <c r="AR234" s="6"/>
      <c r="AS234" s="6"/>
      <c r="AT234" s="6"/>
      <c r="AU234" s="6"/>
      <c r="AV234" s="6"/>
      <c r="AW234" s="6"/>
      <c r="AX234" s="6"/>
      <c r="AY234" s="6"/>
    </row>
    <row r="235" ht="14.25" customHeight="1">
      <c r="A235" s="26" t="str">
        <f t="shared" si="1"/>
        <v>craftifact.barometer</v>
      </c>
      <c r="B235" s="26" t="str">
        <f t="array" ref="B235">_xlfn.XLOOKUP(A235,Targets!A:A,Targets!C:C,"")</f>
        <v>CRAFTIFACT</v>
      </c>
      <c r="C235" s="64" t="b">
        <f>COUNTIF(Targets!A:A,A235)&gt;0</f>
        <v>1</v>
      </c>
      <c r="D235" s="64" t="b">
        <f>IF(
 OR(
  LEFT(A235,15)="state.character",
  RIGHT(A235,6)=".maxed"
 ),
 TRUE,
 COUNTIF(Checklist!A:A,A235)&gt;0
)</f>
        <v>1</v>
      </c>
      <c r="E235" s="64" t="b">
        <f>IF(
 OR(
  LEFT(A235,15)="state.character",
  RIGHT(A235,6)=".maxed",
  A235="building.guild@1",
  A235="quest.build_the_guild.accepted",
  A235="quest.build_the_pagoda.accepted"
 ),
 TRUE,
 COUNTIF(Dependencies!A:A,A235)&gt;0
)</f>
        <v>1</v>
      </c>
      <c r="F235" s="64" t="b">
        <f>COUNTIF(Dependencies!B:B,A235)&gt;0</f>
        <v>0</v>
      </c>
      <c r="G235" s="64" t="b">
        <f>COUNTIF(QuestObjectives!A:A,A235)&gt;0</f>
        <v>0</v>
      </c>
      <c r="H235" s="64" t="b">
        <f>COUNTIF(QuestObjectives!E:E,A235)&gt;0</f>
        <v>0</v>
      </c>
      <c r="I235" s="64" t="b">
        <f>COUNTIF(TargetStatus!A:A,A235)&gt;0</f>
        <v>1</v>
      </c>
      <c r="J235" s="64" t="b">
        <f>COUNTIF(CostStatus!B:B,A235)&gt;0</f>
        <v>1</v>
      </c>
      <c r="K235" s="64" t="b">
        <f>COUNTIF(States!A:A,A235)&gt;0</f>
        <v>0</v>
      </c>
      <c r="L235" s="64" t="b">
        <f t="shared" si="2"/>
        <v>1</v>
      </c>
      <c r="M235" s="64" t="b">
        <f>IF(A235="","",COUNTIF(Targets!A:A,A235)&gt;1)</f>
        <v>0</v>
      </c>
      <c r="N235" s="64" t="b">
        <f>IF(A235="","",COUNTIF(States!A:A,A235)&gt;1)</f>
        <v>0</v>
      </c>
      <c r="O235" s="64" t="b">
        <f>IFERROR(__xludf.DUMMYFUNCTION("IF(
 B235="""",
 """",
 SWITCH(
  B235,
  ""BUILDING"",COUNTIF(Buildings!A:A,A235)&gt;0,
  ""CITADEL"",COUNTIF(Citadel!A:A,A235)&gt;0,
  ""COLLECTION"",COUNTIF(Collections!A:A,A235)&gt;0,
  ""CRAFTIFACT"",COUNTIF(Craftifacts!A:A,A235)&gt;0,
  ""QUEST"",
   COUNTIF(
 "&amp;"   Quests!A:A,
    REGEXREPLACE(A235,""\.(accepted|finished)$"","""")
   )&gt;0,
  ""TECH"",COUNTIF(Technologies!A:A,A235)&gt;0,
  ""STATE"",COUNTIF(States!A:A,A235)&gt;0,
  FALSE
 )
)"),TRUE)</f>
        <v>1</v>
      </c>
      <c r="P235" s="64" t="str">
        <f t="shared" si="3"/>
        <v>Good</v>
      </c>
      <c r="Q235" s="65"/>
      <c r="R235" s="65"/>
      <c r="S235" s="65"/>
      <c r="T235" s="65"/>
      <c r="U235" s="6"/>
      <c r="V235" s="6" t="str">
        <f>IFERROR(__xludf.DUMMYFUNCTION("""COMPUTED_VALUE"""),"craftifact.barometer")</f>
        <v>craftifact.barometer</v>
      </c>
      <c r="W235" s="65"/>
      <c r="X235" s="65"/>
      <c r="Y235" s="65"/>
      <c r="Z235" s="65"/>
      <c r="AA235" s="65"/>
      <c r="AB235" s="65"/>
      <c r="AC235" s="65"/>
      <c r="AD235" s="6"/>
      <c r="AE235" s="6"/>
      <c r="AF235" s="6"/>
      <c r="AG235" s="6"/>
      <c r="AH235" s="6"/>
      <c r="AI235" s="6"/>
      <c r="AJ235" s="6"/>
      <c r="AK235" s="6"/>
      <c r="AL235" s="6"/>
      <c r="AM235" s="6"/>
      <c r="AN235" s="6"/>
      <c r="AO235" s="6"/>
      <c r="AP235" s="6"/>
      <c r="AQ235" s="6"/>
      <c r="AR235" s="6"/>
      <c r="AS235" s="6"/>
      <c r="AT235" s="6"/>
      <c r="AU235" s="6"/>
      <c r="AV235" s="6"/>
      <c r="AW235" s="6"/>
      <c r="AX235" s="6"/>
      <c r="AY235" s="6"/>
    </row>
    <row r="236" ht="14.25" customHeight="1">
      <c r="A236" s="26" t="str">
        <f t="shared" si="1"/>
        <v>craftifact.cinema_projector</v>
      </c>
      <c r="B236" s="26" t="str">
        <f t="array" ref="B236">_xlfn.XLOOKUP(A236,Targets!A:A,Targets!C:C,"")</f>
        <v>CRAFTIFACT</v>
      </c>
      <c r="C236" s="64" t="b">
        <f>COUNTIF(Targets!A:A,A236)&gt;0</f>
        <v>1</v>
      </c>
      <c r="D236" s="64" t="b">
        <f>IF(
 OR(
  LEFT(A236,15)="state.character",
  RIGHT(A236,6)=".maxed"
 ),
 TRUE,
 COUNTIF(Checklist!A:A,A236)&gt;0
)</f>
        <v>1</v>
      </c>
      <c r="E236" s="64" t="b">
        <f>IF(
 OR(
  LEFT(A236,15)="state.character",
  RIGHT(A236,6)=".maxed",
  A236="building.guild@1",
  A236="quest.build_the_guild.accepted",
  A236="quest.build_the_pagoda.accepted"
 ),
 TRUE,
 COUNTIF(Dependencies!A:A,A236)&gt;0
)</f>
        <v>1</v>
      </c>
      <c r="F236" s="64" t="b">
        <f>COUNTIF(Dependencies!B:B,A236)&gt;0</f>
        <v>0</v>
      </c>
      <c r="G236" s="64" t="b">
        <f>COUNTIF(QuestObjectives!A:A,A236)&gt;0</f>
        <v>0</v>
      </c>
      <c r="H236" s="64" t="b">
        <f>COUNTIF(QuestObjectives!E:E,A236)&gt;0</f>
        <v>0</v>
      </c>
      <c r="I236" s="64" t="b">
        <f>COUNTIF(TargetStatus!A:A,A236)&gt;0</f>
        <v>1</v>
      </c>
      <c r="J236" s="64" t="b">
        <f>COUNTIF(CostStatus!B:B,A236)&gt;0</f>
        <v>1</v>
      </c>
      <c r="K236" s="64" t="b">
        <f>COUNTIF(States!A:A,A236)&gt;0</f>
        <v>0</v>
      </c>
      <c r="L236" s="64" t="b">
        <f t="shared" si="2"/>
        <v>1</v>
      </c>
      <c r="M236" s="64" t="b">
        <f>IF(A236="","",COUNTIF(Targets!A:A,A236)&gt;1)</f>
        <v>0</v>
      </c>
      <c r="N236" s="64" t="b">
        <f>IF(A236="","",COUNTIF(States!A:A,A236)&gt;1)</f>
        <v>0</v>
      </c>
      <c r="O236" s="64" t="b">
        <f>IFERROR(__xludf.DUMMYFUNCTION("IF(
 B236="""",
 """",
 SWITCH(
  B236,
  ""BUILDING"",COUNTIF(Buildings!A:A,A236)&gt;0,
  ""CITADEL"",COUNTIF(Citadel!A:A,A236)&gt;0,
  ""COLLECTION"",COUNTIF(Collections!A:A,A236)&gt;0,
  ""CRAFTIFACT"",COUNTIF(Craftifacts!A:A,A236)&gt;0,
  ""QUEST"",
   COUNTIF(
 "&amp;"   Quests!A:A,
    REGEXREPLACE(A236,""\.(accepted|finished)$"","""")
   )&gt;0,
  ""TECH"",COUNTIF(Technologies!A:A,A236)&gt;0,
  ""STATE"",COUNTIF(States!A:A,A236)&gt;0,
  FALSE
 )
)"),TRUE)</f>
        <v>1</v>
      </c>
      <c r="P236" s="64" t="str">
        <f t="shared" si="3"/>
        <v>Good</v>
      </c>
      <c r="Q236" s="65"/>
      <c r="R236" s="65"/>
      <c r="S236" s="65"/>
      <c r="T236" s="65"/>
      <c r="U236" s="6"/>
      <c r="V236" s="6" t="str">
        <f>IFERROR(__xludf.DUMMYFUNCTION("""COMPUTED_VALUE"""),"craftifact.cinema_projector")</f>
        <v>craftifact.cinema_projector</v>
      </c>
      <c r="W236" s="65"/>
      <c r="X236" s="65"/>
      <c r="Y236" s="65"/>
      <c r="Z236" s="65"/>
      <c r="AA236" s="65"/>
      <c r="AB236" s="65"/>
      <c r="AC236" s="65"/>
      <c r="AD236" s="6"/>
      <c r="AE236" s="6"/>
      <c r="AF236" s="6"/>
      <c r="AG236" s="6"/>
      <c r="AH236" s="6"/>
      <c r="AI236" s="6"/>
      <c r="AJ236" s="6"/>
      <c r="AK236" s="6"/>
      <c r="AL236" s="6"/>
      <c r="AM236" s="6"/>
      <c r="AN236" s="6"/>
      <c r="AO236" s="6"/>
      <c r="AP236" s="6"/>
      <c r="AQ236" s="6"/>
      <c r="AR236" s="6"/>
      <c r="AS236" s="6"/>
      <c r="AT236" s="6"/>
      <c r="AU236" s="6"/>
      <c r="AV236" s="6"/>
      <c r="AW236" s="6"/>
      <c r="AX236" s="6"/>
      <c r="AY236" s="6"/>
    </row>
    <row r="237" ht="14.25" customHeight="1">
      <c r="A237" s="26" t="str">
        <f t="shared" si="1"/>
        <v>craftifact.dagger</v>
      </c>
      <c r="B237" s="26" t="str">
        <f t="array" ref="B237">_xlfn.XLOOKUP(A237,Targets!A:A,Targets!C:C,"")</f>
        <v>CRAFTIFACT</v>
      </c>
      <c r="C237" s="64" t="b">
        <f>COUNTIF(Targets!A:A,A237)&gt;0</f>
        <v>1</v>
      </c>
      <c r="D237" s="64" t="b">
        <f>IF(
 OR(
  LEFT(A237,15)="state.character",
  RIGHT(A237,6)=".maxed"
 ),
 TRUE,
 COUNTIF(Checklist!A:A,A237)&gt;0
)</f>
        <v>1</v>
      </c>
      <c r="E237" s="64" t="b">
        <f>IF(
 OR(
  LEFT(A237,15)="state.character",
  RIGHT(A237,6)=".maxed",
  A237="building.guild@1",
  A237="quest.build_the_guild.accepted",
  A237="quest.build_the_pagoda.accepted"
 ),
 TRUE,
 COUNTIF(Dependencies!A:A,A237)&gt;0
)</f>
        <v>1</v>
      </c>
      <c r="F237" s="64" t="b">
        <f>COUNTIF(Dependencies!B:B,A237)&gt;0</f>
        <v>0</v>
      </c>
      <c r="G237" s="64" t="b">
        <f>COUNTIF(QuestObjectives!A:A,A237)&gt;0</f>
        <v>0</v>
      </c>
      <c r="H237" s="64" t="b">
        <f>COUNTIF(QuestObjectives!E:E,A237)&gt;0</f>
        <v>0</v>
      </c>
      <c r="I237" s="64" t="b">
        <f>COUNTIF(TargetStatus!A:A,A237)&gt;0</f>
        <v>1</v>
      </c>
      <c r="J237" s="64" t="b">
        <f>COUNTIF(CostStatus!B:B,A237)&gt;0</f>
        <v>1</v>
      </c>
      <c r="K237" s="64" t="b">
        <f>COUNTIF(States!A:A,A237)&gt;0</f>
        <v>0</v>
      </c>
      <c r="L237" s="64" t="b">
        <f t="shared" si="2"/>
        <v>1</v>
      </c>
      <c r="M237" s="64" t="b">
        <f>IF(A237="","",COUNTIF(Targets!A:A,A237)&gt;1)</f>
        <v>0</v>
      </c>
      <c r="N237" s="64" t="b">
        <f>IF(A237="","",COUNTIF(States!A:A,A237)&gt;1)</f>
        <v>0</v>
      </c>
      <c r="O237" s="64" t="b">
        <f>IFERROR(__xludf.DUMMYFUNCTION("IF(
 B237="""",
 """",
 SWITCH(
  B237,
  ""BUILDING"",COUNTIF(Buildings!A:A,A237)&gt;0,
  ""CITADEL"",COUNTIF(Citadel!A:A,A237)&gt;0,
  ""COLLECTION"",COUNTIF(Collections!A:A,A237)&gt;0,
  ""CRAFTIFACT"",COUNTIF(Craftifacts!A:A,A237)&gt;0,
  ""QUEST"",
   COUNTIF(
 "&amp;"   Quests!A:A,
    REGEXREPLACE(A237,""\.(accepted|finished)$"","""")
   )&gt;0,
  ""TECH"",COUNTIF(Technologies!A:A,A237)&gt;0,
  ""STATE"",COUNTIF(States!A:A,A237)&gt;0,
  FALSE
 )
)"),TRUE)</f>
        <v>1</v>
      </c>
      <c r="P237" s="64" t="str">
        <f t="shared" si="3"/>
        <v>Good</v>
      </c>
      <c r="Q237" s="65"/>
      <c r="R237" s="65"/>
      <c r="S237" s="65"/>
      <c r="T237" s="65"/>
      <c r="U237" s="6"/>
      <c r="V237" s="6" t="str">
        <f>IFERROR(__xludf.DUMMYFUNCTION("""COMPUTED_VALUE"""),"craftifact.dagger")</f>
        <v>craftifact.dagger</v>
      </c>
      <c r="W237" s="65"/>
      <c r="X237" s="65"/>
      <c r="Y237" s="65"/>
      <c r="Z237" s="65"/>
      <c r="AA237" s="65"/>
      <c r="AB237" s="65"/>
      <c r="AC237" s="65"/>
      <c r="AD237" s="6"/>
      <c r="AE237" s="6"/>
      <c r="AF237" s="6"/>
      <c r="AG237" s="6"/>
      <c r="AH237" s="6"/>
      <c r="AI237" s="6"/>
      <c r="AJ237" s="6"/>
      <c r="AK237" s="6"/>
      <c r="AL237" s="6"/>
      <c r="AM237" s="6"/>
      <c r="AN237" s="6"/>
      <c r="AO237" s="6"/>
      <c r="AP237" s="6"/>
      <c r="AQ237" s="6"/>
      <c r="AR237" s="6"/>
      <c r="AS237" s="6"/>
      <c r="AT237" s="6"/>
      <c r="AU237" s="6"/>
      <c r="AV237" s="6"/>
      <c r="AW237" s="6"/>
      <c r="AX237" s="6"/>
      <c r="AY237" s="6"/>
    </row>
    <row r="238" ht="14.25" customHeight="1">
      <c r="A238" s="26" t="str">
        <f t="shared" si="1"/>
        <v>craftifact.emerald_tablet</v>
      </c>
      <c r="B238" s="26" t="str">
        <f t="array" ref="B238">_xlfn.XLOOKUP(A238,Targets!A:A,Targets!C:C,"")</f>
        <v>CRAFTIFACT</v>
      </c>
      <c r="C238" s="64" t="b">
        <f>COUNTIF(Targets!A:A,A238)&gt;0</f>
        <v>1</v>
      </c>
      <c r="D238" s="64" t="b">
        <f>IF(
 OR(
  LEFT(A238,15)="state.character",
  RIGHT(A238,6)=".maxed"
 ),
 TRUE,
 COUNTIF(Checklist!A:A,A238)&gt;0
)</f>
        <v>1</v>
      </c>
      <c r="E238" s="64" t="b">
        <f>IF(
 OR(
  LEFT(A238,15)="state.character",
  RIGHT(A238,6)=".maxed",
  A238="building.guild@1",
  A238="quest.build_the_guild.accepted",
  A238="quest.build_the_pagoda.accepted"
 ),
 TRUE,
 COUNTIF(Dependencies!A:A,A238)&gt;0
)</f>
        <v>1</v>
      </c>
      <c r="F238" s="64" t="b">
        <f>COUNTIF(Dependencies!B:B,A238)&gt;0</f>
        <v>0</v>
      </c>
      <c r="G238" s="64" t="b">
        <f>COUNTIF(QuestObjectives!A:A,A238)&gt;0</f>
        <v>0</v>
      </c>
      <c r="H238" s="64" t="b">
        <f>COUNTIF(QuestObjectives!E:E,A238)&gt;0</f>
        <v>1</v>
      </c>
      <c r="I238" s="64" t="b">
        <f>COUNTIF(TargetStatus!A:A,A238)&gt;0</f>
        <v>1</v>
      </c>
      <c r="J238" s="64" t="b">
        <f>COUNTIF(CostStatus!B:B,A238)&gt;0</f>
        <v>1</v>
      </c>
      <c r="K238" s="64" t="b">
        <f>COUNTIF(States!A:A,A238)&gt;0</f>
        <v>0</v>
      </c>
      <c r="L238" s="64" t="b">
        <f t="shared" si="2"/>
        <v>1</v>
      </c>
      <c r="M238" s="64" t="b">
        <f>IF(A238="","",COUNTIF(Targets!A:A,A238)&gt;1)</f>
        <v>0</v>
      </c>
      <c r="N238" s="64" t="b">
        <f>IF(A238="","",COUNTIF(States!A:A,A238)&gt;1)</f>
        <v>0</v>
      </c>
      <c r="O238" s="64" t="b">
        <f>IFERROR(__xludf.DUMMYFUNCTION("IF(
 B238="""",
 """",
 SWITCH(
  B238,
  ""BUILDING"",COUNTIF(Buildings!A:A,A238)&gt;0,
  ""CITADEL"",COUNTIF(Citadel!A:A,A238)&gt;0,
  ""COLLECTION"",COUNTIF(Collections!A:A,A238)&gt;0,
  ""CRAFTIFACT"",COUNTIF(Craftifacts!A:A,A238)&gt;0,
  ""QUEST"",
   COUNTIF(
 "&amp;"   Quests!A:A,
    REGEXREPLACE(A238,""\.(accepted|finished)$"","""")
   )&gt;0,
  ""TECH"",COUNTIF(Technologies!A:A,A238)&gt;0,
  ""STATE"",COUNTIF(States!A:A,A238)&gt;0,
  FALSE
 )
)"),TRUE)</f>
        <v>1</v>
      </c>
      <c r="P238" s="64" t="str">
        <f t="shared" si="3"/>
        <v>Good</v>
      </c>
      <c r="Q238" s="65"/>
      <c r="R238" s="65"/>
      <c r="S238" s="65"/>
      <c r="T238" s="65"/>
      <c r="U238" s="6"/>
      <c r="V238" s="6" t="str">
        <f>IFERROR(__xludf.DUMMYFUNCTION("""COMPUTED_VALUE"""),"craftifact.emerald_tablet")</f>
        <v>craftifact.emerald_tablet</v>
      </c>
      <c r="W238" s="65"/>
      <c r="X238" s="65"/>
      <c r="Y238" s="65"/>
      <c r="Z238" s="65"/>
      <c r="AA238" s="65"/>
      <c r="AB238" s="65"/>
      <c r="AC238" s="65"/>
      <c r="AD238" s="6"/>
      <c r="AE238" s="6"/>
      <c r="AF238" s="6"/>
      <c r="AG238" s="6"/>
      <c r="AH238" s="6"/>
      <c r="AI238" s="6"/>
      <c r="AJ238" s="6"/>
      <c r="AK238" s="6"/>
      <c r="AL238" s="6"/>
      <c r="AM238" s="6"/>
      <c r="AN238" s="6"/>
      <c r="AO238" s="6"/>
      <c r="AP238" s="6"/>
      <c r="AQ238" s="6"/>
      <c r="AR238" s="6"/>
      <c r="AS238" s="6"/>
      <c r="AT238" s="6"/>
      <c r="AU238" s="6"/>
      <c r="AV238" s="6"/>
      <c r="AW238" s="6"/>
      <c r="AX238" s="6"/>
      <c r="AY238" s="6"/>
    </row>
    <row r="239" ht="14.25" customHeight="1">
      <c r="A239" s="26" t="str">
        <f t="shared" si="1"/>
        <v>craftifact.flamethrower</v>
      </c>
      <c r="B239" s="26" t="str">
        <f t="array" ref="B239">_xlfn.XLOOKUP(A239,Targets!A:A,Targets!C:C,"")</f>
        <v>CRAFTIFACT</v>
      </c>
      <c r="C239" s="64" t="b">
        <f>COUNTIF(Targets!A:A,A239)&gt;0</f>
        <v>1</v>
      </c>
      <c r="D239" s="64" t="b">
        <f>IF(
 OR(
  LEFT(A239,15)="state.character",
  RIGHT(A239,6)=".maxed"
 ),
 TRUE,
 COUNTIF(Checklist!A:A,A239)&gt;0
)</f>
        <v>1</v>
      </c>
      <c r="E239" s="64" t="b">
        <f>IF(
 OR(
  LEFT(A239,15)="state.character",
  RIGHT(A239,6)=".maxed",
  A239="building.guild@1",
  A239="quest.build_the_guild.accepted",
  A239="quest.build_the_pagoda.accepted"
 ),
 TRUE,
 COUNTIF(Dependencies!A:A,A239)&gt;0
)</f>
        <v>1</v>
      </c>
      <c r="F239" s="64" t="b">
        <f>COUNTIF(Dependencies!B:B,A239)&gt;0</f>
        <v>0</v>
      </c>
      <c r="G239" s="64" t="b">
        <f>COUNTIF(QuestObjectives!A:A,A239)&gt;0</f>
        <v>0</v>
      </c>
      <c r="H239" s="64" t="b">
        <f>COUNTIF(QuestObjectives!E:E,A239)&gt;0</f>
        <v>0</v>
      </c>
      <c r="I239" s="64" t="b">
        <f>COUNTIF(TargetStatus!A:A,A239)&gt;0</f>
        <v>1</v>
      </c>
      <c r="J239" s="64" t="b">
        <f>COUNTIF(CostStatus!B:B,A239)&gt;0</f>
        <v>1</v>
      </c>
      <c r="K239" s="64" t="b">
        <f>COUNTIF(States!A:A,A239)&gt;0</f>
        <v>0</v>
      </c>
      <c r="L239" s="64" t="b">
        <f t="shared" si="2"/>
        <v>1</v>
      </c>
      <c r="M239" s="64" t="b">
        <f>IF(A239="","",COUNTIF(Targets!A:A,A239)&gt;1)</f>
        <v>0</v>
      </c>
      <c r="N239" s="64" t="b">
        <f>IF(A239="","",COUNTIF(States!A:A,A239)&gt;1)</f>
        <v>0</v>
      </c>
      <c r="O239" s="64" t="b">
        <f>IFERROR(__xludf.DUMMYFUNCTION("IF(
 B239="""",
 """",
 SWITCH(
  B239,
  ""BUILDING"",COUNTIF(Buildings!A:A,A239)&gt;0,
  ""CITADEL"",COUNTIF(Citadel!A:A,A239)&gt;0,
  ""COLLECTION"",COUNTIF(Collections!A:A,A239)&gt;0,
  ""CRAFTIFACT"",COUNTIF(Craftifacts!A:A,A239)&gt;0,
  ""QUEST"",
   COUNTIF(
 "&amp;"   Quests!A:A,
    REGEXREPLACE(A239,""\.(accepted|finished)$"","""")
   )&gt;0,
  ""TECH"",COUNTIF(Technologies!A:A,A239)&gt;0,
  ""STATE"",COUNTIF(States!A:A,A239)&gt;0,
  FALSE
 )
)"),TRUE)</f>
        <v>1</v>
      </c>
      <c r="P239" s="64" t="str">
        <f t="shared" si="3"/>
        <v>Good</v>
      </c>
      <c r="Q239" s="65"/>
      <c r="R239" s="65"/>
      <c r="S239" s="65"/>
      <c r="T239" s="65"/>
      <c r="U239" s="6"/>
      <c r="V239" s="6" t="str">
        <f>IFERROR(__xludf.DUMMYFUNCTION("""COMPUTED_VALUE"""),"craftifact.flamethrower")</f>
        <v>craftifact.flamethrower</v>
      </c>
      <c r="W239" s="65"/>
      <c r="X239" s="65"/>
      <c r="Y239" s="65"/>
      <c r="Z239" s="65"/>
      <c r="AA239" s="65"/>
      <c r="AB239" s="65"/>
      <c r="AC239" s="65"/>
      <c r="AD239" s="6"/>
      <c r="AE239" s="6"/>
      <c r="AF239" s="6"/>
      <c r="AG239" s="6"/>
      <c r="AH239" s="6"/>
      <c r="AI239" s="6"/>
      <c r="AJ239" s="6"/>
      <c r="AK239" s="6"/>
      <c r="AL239" s="6"/>
      <c r="AM239" s="6"/>
      <c r="AN239" s="6"/>
      <c r="AO239" s="6"/>
      <c r="AP239" s="6"/>
      <c r="AQ239" s="6"/>
      <c r="AR239" s="6"/>
      <c r="AS239" s="6"/>
      <c r="AT239" s="6"/>
      <c r="AU239" s="6"/>
      <c r="AV239" s="6"/>
      <c r="AW239" s="6"/>
      <c r="AX239" s="6"/>
      <c r="AY239" s="6"/>
    </row>
    <row r="240" ht="14.25" customHeight="1">
      <c r="A240" s="26" t="str">
        <f t="shared" si="1"/>
        <v>craftifact.guild_banner</v>
      </c>
      <c r="B240" s="26" t="str">
        <f t="array" ref="B240">_xlfn.XLOOKUP(A240,Targets!A:A,Targets!C:C,"")</f>
        <v>CRAFTIFACT</v>
      </c>
      <c r="C240" s="64" t="b">
        <f>COUNTIF(Targets!A:A,A240)&gt;0</f>
        <v>1</v>
      </c>
      <c r="D240" s="64" t="b">
        <f>IF(
 OR(
  LEFT(A240,15)="state.character",
  RIGHT(A240,6)=".maxed"
 ),
 TRUE,
 COUNTIF(Checklist!A:A,A240)&gt;0
)</f>
        <v>1</v>
      </c>
      <c r="E240" s="64" t="b">
        <f>IF(
 OR(
  LEFT(A240,15)="state.character",
  RIGHT(A240,6)=".maxed",
  A240="building.guild@1",
  A240="quest.build_the_guild.accepted",
  A240="quest.build_the_pagoda.accepted"
 ),
 TRUE,
 COUNTIF(Dependencies!A:A,A240)&gt;0
)</f>
        <v>1</v>
      </c>
      <c r="F240" s="64" t="b">
        <f>COUNTIF(Dependencies!B:B,A240)&gt;0</f>
        <v>0</v>
      </c>
      <c r="G240" s="64" t="b">
        <f>COUNTIF(QuestObjectives!A:A,A240)&gt;0</f>
        <v>0</v>
      </c>
      <c r="H240" s="64" t="b">
        <f>COUNTIF(QuestObjectives!E:E,A240)&gt;0</f>
        <v>1</v>
      </c>
      <c r="I240" s="64" t="b">
        <f>COUNTIF(TargetStatus!A:A,A240)&gt;0</f>
        <v>1</v>
      </c>
      <c r="J240" s="64" t="b">
        <f>COUNTIF(CostStatus!B:B,A240)&gt;0</f>
        <v>1</v>
      </c>
      <c r="K240" s="64" t="b">
        <f>COUNTIF(States!A:A,A240)&gt;0</f>
        <v>0</v>
      </c>
      <c r="L240" s="64" t="b">
        <f t="shared" si="2"/>
        <v>1</v>
      </c>
      <c r="M240" s="64" t="b">
        <f>IF(A240="","",COUNTIF(Targets!A:A,A240)&gt;1)</f>
        <v>0</v>
      </c>
      <c r="N240" s="64" t="b">
        <f>IF(A240="","",COUNTIF(States!A:A,A240)&gt;1)</f>
        <v>0</v>
      </c>
      <c r="O240" s="64" t="b">
        <f>IFERROR(__xludf.DUMMYFUNCTION("IF(
 B240="""",
 """",
 SWITCH(
  B240,
  ""BUILDING"",COUNTIF(Buildings!A:A,A240)&gt;0,
  ""CITADEL"",COUNTIF(Citadel!A:A,A240)&gt;0,
  ""COLLECTION"",COUNTIF(Collections!A:A,A240)&gt;0,
  ""CRAFTIFACT"",COUNTIF(Craftifacts!A:A,A240)&gt;0,
  ""QUEST"",
   COUNTIF(
 "&amp;"   Quests!A:A,
    REGEXREPLACE(A240,""\.(accepted|finished)$"","""")
   )&gt;0,
  ""TECH"",COUNTIF(Technologies!A:A,A240)&gt;0,
  ""STATE"",COUNTIF(States!A:A,A240)&gt;0,
  FALSE
 )
)"),TRUE)</f>
        <v>1</v>
      </c>
      <c r="P240" s="64" t="str">
        <f t="shared" si="3"/>
        <v>Good</v>
      </c>
      <c r="Q240" s="65"/>
      <c r="R240" s="65"/>
      <c r="S240" s="65"/>
      <c r="T240" s="65"/>
      <c r="U240" s="6"/>
      <c r="V240" s="6" t="str">
        <f>IFERROR(__xludf.DUMMYFUNCTION("""COMPUTED_VALUE"""),"craftifact.guild_banner")</f>
        <v>craftifact.guild_banner</v>
      </c>
      <c r="W240" s="65"/>
      <c r="X240" s="65"/>
      <c r="Y240" s="65"/>
      <c r="Z240" s="65"/>
      <c r="AA240" s="65"/>
      <c r="AB240" s="65"/>
      <c r="AC240" s="65"/>
      <c r="AD240" s="6"/>
      <c r="AE240" s="6"/>
      <c r="AF240" s="6"/>
      <c r="AG240" s="6"/>
      <c r="AH240" s="6"/>
      <c r="AI240" s="6"/>
      <c r="AJ240" s="6"/>
      <c r="AK240" s="6"/>
      <c r="AL240" s="6"/>
      <c r="AM240" s="6"/>
      <c r="AN240" s="6"/>
      <c r="AO240" s="6"/>
      <c r="AP240" s="6"/>
      <c r="AQ240" s="6"/>
      <c r="AR240" s="6"/>
      <c r="AS240" s="6"/>
      <c r="AT240" s="6"/>
      <c r="AU240" s="6"/>
      <c r="AV240" s="6"/>
      <c r="AW240" s="6"/>
      <c r="AX240" s="6"/>
      <c r="AY240" s="6"/>
    </row>
    <row r="241" ht="14.25" customHeight="1">
      <c r="A241" s="26" t="str">
        <f t="shared" si="1"/>
        <v>craftifact.guild_codex</v>
      </c>
      <c r="B241" s="26" t="str">
        <f t="array" ref="B241">_xlfn.XLOOKUP(A241,Targets!A:A,Targets!C:C,"")</f>
        <v>CRAFTIFACT</v>
      </c>
      <c r="C241" s="64" t="b">
        <f>COUNTIF(Targets!A:A,A241)&gt;0</f>
        <v>1</v>
      </c>
      <c r="D241" s="64" t="b">
        <f>IF(
 OR(
  LEFT(A241,15)="state.character",
  RIGHT(A241,6)=".maxed"
 ),
 TRUE,
 COUNTIF(Checklist!A:A,A241)&gt;0
)</f>
        <v>1</v>
      </c>
      <c r="E241" s="64" t="b">
        <f>IF(
 OR(
  LEFT(A241,15)="state.character",
  RIGHT(A241,6)=".maxed",
  A241="building.guild@1",
  A241="quest.build_the_guild.accepted",
  A241="quest.build_the_pagoda.accepted"
 ),
 TRUE,
 COUNTIF(Dependencies!A:A,A241)&gt;0
)</f>
        <v>1</v>
      </c>
      <c r="F241" s="64" t="b">
        <f>COUNTIF(Dependencies!B:B,A241)&gt;0</f>
        <v>0</v>
      </c>
      <c r="G241" s="64" t="b">
        <f>COUNTIF(QuestObjectives!A:A,A241)&gt;0</f>
        <v>0</v>
      </c>
      <c r="H241" s="64" t="b">
        <f>COUNTIF(QuestObjectives!E:E,A241)&gt;0</f>
        <v>1</v>
      </c>
      <c r="I241" s="64" t="b">
        <f>COUNTIF(TargetStatus!A:A,A241)&gt;0</f>
        <v>1</v>
      </c>
      <c r="J241" s="64" t="b">
        <f>COUNTIF(CostStatus!B:B,A241)&gt;0</f>
        <v>1</v>
      </c>
      <c r="K241" s="64" t="b">
        <f>COUNTIF(States!A:A,A241)&gt;0</f>
        <v>0</v>
      </c>
      <c r="L241" s="64" t="b">
        <f t="shared" si="2"/>
        <v>1</v>
      </c>
      <c r="M241" s="64" t="b">
        <f>IF(A241="","",COUNTIF(Targets!A:A,A241)&gt;1)</f>
        <v>0</v>
      </c>
      <c r="N241" s="64" t="b">
        <f>IF(A241="","",COUNTIF(States!A:A,A241)&gt;1)</f>
        <v>0</v>
      </c>
      <c r="O241" s="64" t="b">
        <f>IFERROR(__xludf.DUMMYFUNCTION("IF(
 B241="""",
 """",
 SWITCH(
  B241,
  ""BUILDING"",COUNTIF(Buildings!A:A,A241)&gt;0,
  ""CITADEL"",COUNTIF(Citadel!A:A,A241)&gt;0,
  ""COLLECTION"",COUNTIF(Collections!A:A,A241)&gt;0,
  ""CRAFTIFACT"",COUNTIF(Craftifacts!A:A,A241)&gt;0,
  ""QUEST"",
   COUNTIF(
 "&amp;"   Quests!A:A,
    REGEXREPLACE(A241,""\.(accepted|finished)$"","""")
   )&gt;0,
  ""TECH"",COUNTIF(Technologies!A:A,A241)&gt;0,
  ""STATE"",COUNTIF(States!A:A,A241)&gt;0,
  FALSE
 )
)"),TRUE)</f>
        <v>1</v>
      </c>
      <c r="P241" s="64" t="str">
        <f t="shared" si="3"/>
        <v>Good</v>
      </c>
      <c r="Q241" s="65"/>
      <c r="R241" s="65"/>
      <c r="S241" s="65"/>
      <c r="T241" s="65"/>
      <c r="U241" s="6"/>
      <c r="V241" s="6" t="str">
        <f>IFERROR(__xludf.DUMMYFUNCTION("""COMPUTED_VALUE"""),"craftifact.guild_codex")</f>
        <v>craftifact.guild_codex</v>
      </c>
      <c r="W241" s="65"/>
      <c r="X241" s="65"/>
      <c r="Y241" s="65"/>
      <c r="Z241" s="65"/>
      <c r="AA241" s="65"/>
      <c r="AB241" s="65"/>
      <c r="AC241" s="65"/>
      <c r="AD241" s="6"/>
      <c r="AE241" s="6"/>
      <c r="AF241" s="6"/>
      <c r="AG241" s="6"/>
      <c r="AH241" s="6"/>
      <c r="AI241" s="6"/>
      <c r="AJ241" s="6"/>
      <c r="AK241" s="6"/>
      <c r="AL241" s="6"/>
      <c r="AM241" s="6"/>
      <c r="AN241" s="6"/>
      <c r="AO241" s="6"/>
      <c r="AP241" s="6"/>
      <c r="AQ241" s="6"/>
      <c r="AR241" s="6"/>
      <c r="AS241" s="6"/>
      <c r="AT241" s="6"/>
      <c r="AU241" s="6"/>
      <c r="AV241" s="6"/>
      <c r="AW241" s="6"/>
      <c r="AX241" s="6"/>
      <c r="AY241" s="6"/>
    </row>
    <row r="242" ht="14.25" customHeight="1">
      <c r="A242" s="26" t="str">
        <f t="shared" si="1"/>
        <v>craftifact.guild_supplies</v>
      </c>
      <c r="B242" s="26" t="str">
        <f t="array" ref="B242">_xlfn.XLOOKUP(A242,Targets!A:A,Targets!C:C,"")</f>
        <v>CRAFTIFACT</v>
      </c>
      <c r="C242" s="64" t="b">
        <f>COUNTIF(Targets!A:A,A242)&gt;0</f>
        <v>1</v>
      </c>
      <c r="D242" s="64" t="b">
        <f>IF(
 OR(
  LEFT(A242,15)="state.character",
  RIGHT(A242,6)=".maxed"
 ),
 TRUE,
 COUNTIF(Checklist!A:A,A242)&gt;0
)</f>
        <v>1</v>
      </c>
      <c r="E242" s="64" t="b">
        <f>IF(
 OR(
  LEFT(A242,15)="state.character",
  RIGHT(A242,6)=".maxed",
  A242="building.guild@1",
  A242="quest.build_the_guild.accepted",
  A242="quest.build_the_pagoda.accepted"
 ),
 TRUE,
 COUNTIF(Dependencies!A:A,A242)&gt;0
)</f>
        <v>1</v>
      </c>
      <c r="F242" s="64" t="b">
        <f>COUNTIF(Dependencies!B:B,A242)&gt;0</f>
        <v>0</v>
      </c>
      <c r="G242" s="64" t="b">
        <f>COUNTIF(QuestObjectives!A:A,A242)&gt;0</f>
        <v>0</v>
      </c>
      <c r="H242" s="64" t="b">
        <f>COUNTIF(QuestObjectives!E:E,A242)&gt;0</f>
        <v>1</v>
      </c>
      <c r="I242" s="64" t="b">
        <f>COUNTIF(TargetStatus!A:A,A242)&gt;0</f>
        <v>1</v>
      </c>
      <c r="J242" s="64" t="b">
        <f>COUNTIF(CostStatus!B:B,A242)&gt;0</f>
        <v>1</v>
      </c>
      <c r="K242" s="64" t="b">
        <f>COUNTIF(States!A:A,A242)&gt;0</f>
        <v>0</v>
      </c>
      <c r="L242" s="64" t="b">
        <f t="shared" si="2"/>
        <v>1</v>
      </c>
      <c r="M242" s="64" t="b">
        <f>IF(A242="","",COUNTIF(Targets!A:A,A242)&gt;1)</f>
        <v>0</v>
      </c>
      <c r="N242" s="64" t="b">
        <f>IF(A242="","",COUNTIF(States!A:A,A242)&gt;1)</f>
        <v>0</v>
      </c>
      <c r="O242" s="64" t="b">
        <f>IFERROR(__xludf.DUMMYFUNCTION("IF(
 B242="""",
 """",
 SWITCH(
  B242,
  ""BUILDING"",COUNTIF(Buildings!A:A,A242)&gt;0,
  ""CITADEL"",COUNTIF(Citadel!A:A,A242)&gt;0,
  ""COLLECTION"",COUNTIF(Collections!A:A,A242)&gt;0,
  ""CRAFTIFACT"",COUNTIF(Craftifacts!A:A,A242)&gt;0,
  ""QUEST"",
   COUNTIF(
 "&amp;"   Quests!A:A,
    REGEXREPLACE(A242,""\.(accepted|finished)$"","""")
   )&gt;0,
  ""TECH"",COUNTIF(Technologies!A:A,A242)&gt;0,
  ""STATE"",COUNTIF(States!A:A,A242)&gt;0,
  FALSE
 )
)"),TRUE)</f>
        <v>1</v>
      </c>
      <c r="P242" s="64" t="str">
        <f t="shared" si="3"/>
        <v>Good</v>
      </c>
      <c r="Q242" s="65"/>
      <c r="R242" s="65"/>
      <c r="S242" s="65"/>
      <c r="T242" s="65"/>
      <c r="U242" s="6"/>
      <c r="V242" s="6" t="str">
        <f>IFERROR(__xludf.DUMMYFUNCTION("""COMPUTED_VALUE"""),"craftifact.guild_supplies")</f>
        <v>craftifact.guild_supplies</v>
      </c>
      <c r="W242" s="65"/>
      <c r="X242" s="65"/>
      <c r="Y242" s="65"/>
      <c r="Z242" s="65"/>
      <c r="AA242" s="65"/>
      <c r="AB242" s="65"/>
      <c r="AC242" s="65"/>
      <c r="AD242" s="6"/>
      <c r="AE242" s="6"/>
      <c r="AF242" s="6"/>
      <c r="AG242" s="6"/>
      <c r="AH242" s="6"/>
      <c r="AI242" s="6"/>
      <c r="AJ242" s="6"/>
      <c r="AK242" s="6"/>
      <c r="AL242" s="6"/>
      <c r="AM242" s="6"/>
      <c r="AN242" s="6"/>
      <c r="AO242" s="6"/>
      <c r="AP242" s="6"/>
      <c r="AQ242" s="6"/>
      <c r="AR242" s="6"/>
      <c r="AS242" s="6"/>
      <c r="AT242" s="6"/>
      <c r="AU242" s="6"/>
      <c r="AV242" s="6"/>
      <c r="AW242" s="6"/>
      <c r="AX242" s="6"/>
      <c r="AY242" s="6"/>
    </row>
    <row r="243" ht="14.25" customHeight="1">
      <c r="A243" s="26" t="str">
        <f t="shared" si="1"/>
        <v>craftifact.hat_of_concentration</v>
      </c>
      <c r="B243" s="26" t="str">
        <f t="array" ref="B243">_xlfn.XLOOKUP(A243,Targets!A:A,Targets!C:C,"")</f>
        <v>CRAFTIFACT</v>
      </c>
      <c r="C243" s="64" t="b">
        <f>COUNTIF(Targets!A:A,A243)&gt;0</f>
        <v>1</v>
      </c>
      <c r="D243" s="64" t="b">
        <f>IF(
 OR(
  LEFT(A243,15)="state.character",
  RIGHT(A243,6)=".maxed"
 ),
 TRUE,
 COUNTIF(Checklist!A:A,A243)&gt;0
)</f>
        <v>1</v>
      </c>
      <c r="E243" s="64" t="b">
        <f>IF(
 OR(
  LEFT(A243,15)="state.character",
  RIGHT(A243,6)=".maxed",
  A243="building.guild@1",
  A243="quest.build_the_guild.accepted",
  A243="quest.build_the_pagoda.accepted"
 ),
 TRUE,
 COUNTIF(Dependencies!A:A,A243)&gt;0
)</f>
        <v>1</v>
      </c>
      <c r="F243" s="64" t="b">
        <f>COUNTIF(Dependencies!B:B,A243)&gt;0</f>
        <v>0</v>
      </c>
      <c r="G243" s="64" t="b">
        <f>COUNTIF(QuestObjectives!A:A,A243)&gt;0</f>
        <v>0</v>
      </c>
      <c r="H243" s="64" t="b">
        <f>COUNTIF(QuestObjectives!E:E,A243)&gt;0</f>
        <v>0</v>
      </c>
      <c r="I243" s="64" t="b">
        <f>COUNTIF(TargetStatus!A:A,A243)&gt;0</f>
        <v>1</v>
      </c>
      <c r="J243" s="64" t="b">
        <f>COUNTIF(CostStatus!B:B,A243)&gt;0</f>
        <v>1</v>
      </c>
      <c r="K243" s="64" t="b">
        <f>COUNTIF(States!A:A,A243)&gt;0</f>
        <v>0</v>
      </c>
      <c r="L243" s="64" t="b">
        <f t="shared" si="2"/>
        <v>1</v>
      </c>
      <c r="M243" s="64" t="b">
        <f>IF(A243="","",COUNTIF(Targets!A:A,A243)&gt;1)</f>
        <v>0</v>
      </c>
      <c r="N243" s="64" t="b">
        <f>IF(A243="","",COUNTIF(States!A:A,A243)&gt;1)</f>
        <v>0</v>
      </c>
      <c r="O243" s="64" t="b">
        <f>IFERROR(__xludf.DUMMYFUNCTION("IF(
 B243="""",
 """",
 SWITCH(
  B243,
  ""BUILDING"",COUNTIF(Buildings!A:A,A243)&gt;0,
  ""CITADEL"",COUNTIF(Citadel!A:A,A243)&gt;0,
  ""COLLECTION"",COUNTIF(Collections!A:A,A243)&gt;0,
  ""CRAFTIFACT"",COUNTIF(Craftifacts!A:A,A243)&gt;0,
  ""QUEST"",
   COUNTIF(
 "&amp;"   Quests!A:A,
    REGEXREPLACE(A243,""\.(accepted|finished)$"","""")
   )&gt;0,
  ""TECH"",COUNTIF(Technologies!A:A,A243)&gt;0,
  ""STATE"",COUNTIF(States!A:A,A243)&gt;0,
  FALSE
 )
)"),TRUE)</f>
        <v>1</v>
      </c>
      <c r="P243" s="64" t="str">
        <f t="shared" si="3"/>
        <v>Good</v>
      </c>
      <c r="Q243" s="65"/>
      <c r="R243" s="65"/>
      <c r="S243" s="65"/>
      <c r="T243" s="65"/>
      <c r="U243" s="6"/>
      <c r="V243" s="6" t="str">
        <f>IFERROR(__xludf.DUMMYFUNCTION("""COMPUTED_VALUE"""),"craftifact.hat_of_concentration")</f>
        <v>craftifact.hat_of_concentration</v>
      </c>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row>
    <row r="244" ht="14.25" customHeight="1">
      <c r="A244" s="26" t="str">
        <f t="shared" si="1"/>
        <v>craftifact.helmet</v>
      </c>
      <c r="B244" s="26" t="str">
        <f t="array" ref="B244">_xlfn.XLOOKUP(A244,Targets!A:A,Targets!C:C,"")</f>
        <v>CRAFTIFACT</v>
      </c>
      <c r="C244" s="64" t="b">
        <f>COUNTIF(Targets!A:A,A244)&gt;0</f>
        <v>1</v>
      </c>
      <c r="D244" s="64" t="b">
        <f>IF(
 OR(
  LEFT(A244,15)="state.character",
  RIGHT(A244,6)=".maxed"
 ),
 TRUE,
 COUNTIF(Checklist!A:A,A244)&gt;0
)</f>
        <v>1</v>
      </c>
      <c r="E244" s="64" t="b">
        <f>IF(
 OR(
  LEFT(A244,15)="state.character",
  RIGHT(A244,6)=".maxed",
  A244="building.guild@1",
  A244="quest.build_the_guild.accepted",
  A244="quest.build_the_pagoda.accepted"
 ),
 TRUE,
 COUNTIF(Dependencies!A:A,A244)&gt;0
)</f>
        <v>1</v>
      </c>
      <c r="F244" s="64" t="b">
        <f>COUNTIF(Dependencies!B:B,A244)&gt;0</f>
        <v>0</v>
      </c>
      <c r="G244" s="64" t="b">
        <f>COUNTIF(QuestObjectives!A:A,A244)&gt;0</f>
        <v>0</v>
      </c>
      <c r="H244" s="64" t="b">
        <f>COUNTIF(QuestObjectives!E:E,A244)&gt;0</f>
        <v>0</v>
      </c>
      <c r="I244" s="64" t="b">
        <f>COUNTIF(TargetStatus!A:A,A244)&gt;0</f>
        <v>1</v>
      </c>
      <c r="J244" s="64" t="b">
        <f>COUNTIF(CostStatus!B:B,A244)&gt;0</f>
        <v>1</v>
      </c>
      <c r="K244" s="64" t="b">
        <f>COUNTIF(States!A:A,A244)&gt;0</f>
        <v>0</v>
      </c>
      <c r="L244" s="64" t="b">
        <f t="shared" si="2"/>
        <v>1</v>
      </c>
      <c r="M244" s="64" t="b">
        <f>IF(A244="","",COUNTIF(Targets!A:A,A244)&gt;1)</f>
        <v>0</v>
      </c>
      <c r="N244" s="64" t="b">
        <f>IF(A244="","",COUNTIF(States!A:A,A244)&gt;1)</f>
        <v>0</v>
      </c>
      <c r="O244" s="64" t="b">
        <f>IFERROR(__xludf.DUMMYFUNCTION("IF(
 B244="""",
 """",
 SWITCH(
  B244,
  ""BUILDING"",COUNTIF(Buildings!A:A,A244)&gt;0,
  ""CITADEL"",COUNTIF(Citadel!A:A,A244)&gt;0,
  ""COLLECTION"",COUNTIF(Collections!A:A,A244)&gt;0,
  ""CRAFTIFACT"",COUNTIF(Craftifacts!A:A,A244)&gt;0,
  ""QUEST"",
   COUNTIF(
 "&amp;"   Quests!A:A,
    REGEXREPLACE(A244,""\.(accepted|finished)$"","""")
   )&gt;0,
  ""TECH"",COUNTIF(Technologies!A:A,A244)&gt;0,
  ""STATE"",COUNTIF(States!A:A,A244)&gt;0,
  FALSE
 )
)"),TRUE)</f>
        <v>1</v>
      </c>
      <c r="P244" s="64" t="str">
        <f t="shared" si="3"/>
        <v>Good</v>
      </c>
      <c r="Q244" s="65"/>
      <c r="R244" s="65"/>
      <c r="S244" s="65"/>
      <c r="T244" s="65"/>
      <c r="U244" s="6"/>
      <c r="V244" s="6" t="str">
        <f>IFERROR(__xludf.DUMMYFUNCTION("""COMPUTED_VALUE"""),"craftifact.helmet")</f>
        <v>craftifact.helmet</v>
      </c>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row>
    <row r="245" ht="14.25" customHeight="1">
      <c r="A245" s="26" t="str">
        <f t="shared" si="1"/>
        <v>craftifact.historical_library</v>
      </c>
      <c r="B245" s="26" t="str">
        <f t="array" ref="B245">_xlfn.XLOOKUP(A245,Targets!A:A,Targets!C:C,"")</f>
        <v>CRAFTIFACT</v>
      </c>
      <c r="C245" s="64" t="b">
        <f>COUNTIF(Targets!A:A,A245)&gt;0</f>
        <v>1</v>
      </c>
      <c r="D245" s="64" t="b">
        <f>IF(
 OR(
  LEFT(A245,15)="state.character",
  RIGHT(A245,6)=".maxed"
 ),
 TRUE,
 COUNTIF(Checklist!A:A,A245)&gt;0
)</f>
        <v>1</v>
      </c>
      <c r="E245" s="64" t="b">
        <f>IF(
 OR(
  LEFT(A245,15)="state.character",
  RIGHT(A245,6)=".maxed",
  A245="building.guild@1",
  A245="quest.build_the_guild.accepted",
  A245="quest.build_the_pagoda.accepted"
 ),
 TRUE,
 COUNTIF(Dependencies!A:A,A245)&gt;0
)</f>
        <v>1</v>
      </c>
      <c r="F245" s="64" t="b">
        <f>COUNTIF(Dependencies!B:B,A245)&gt;0</f>
        <v>1</v>
      </c>
      <c r="G245" s="64" t="b">
        <f>COUNTIF(QuestObjectives!A:A,A245)&gt;0</f>
        <v>0</v>
      </c>
      <c r="H245" s="64" t="b">
        <f>COUNTIF(QuestObjectives!E:E,A245)&gt;0</f>
        <v>1</v>
      </c>
      <c r="I245" s="64" t="b">
        <f>COUNTIF(TargetStatus!A:A,A245)&gt;0</f>
        <v>1</v>
      </c>
      <c r="J245" s="64" t="b">
        <f>COUNTIF(CostStatus!B:B,A245)&gt;0</f>
        <v>1</v>
      </c>
      <c r="K245" s="64" t="b">
        <f>COUNTIF(States!A:A,A245)&gt;0</f>
        <v>0</v>
      </c>
      <c r="L245" s="64" t="b">
        <f t="shared" si="2"/>
        <v>1</v>
      </c>
      <c r="M245" s="64" t="b">
        <f>IF(A245="","",COUNTIF(Targets!A:A,A245)&gt;1)</f>
        <v>0</v>
      </c>
      <c r="N245" s="64" t="b">
        <f>IF(A245="","",COUNTIF(States!A:A,A245)&gt;1)</f>
        <v>0</v>
      </c>
      <c r="O245" s="64" t="b">
        <f>IFERROR(__xludf.DUMMYFUNCTION("IF(
 B245="""",
 """",
 SWITCH(
  B245,
  ""BUILDING"",COUNTIF(Buildings!A:A,A245)&gt;0,
  ""CITADEL"",COUNTIF(Citadel!A:A,A245)&gt;0,
  ""COLLECTION"",COUNTIF(Collections!A:A,A245)&gt;0,
  ""CRAFTIFACT"",COUNTIF(Craftifacts!A:A,A245)&gt;0,
  ""QUEST"",
   COUNTIF(
 "&amp;"   Quests!A:A,
    REGEXREPLACE(A245,""\.(accepted|finished)$"","""")
   )&gt;0,
  ""TECH"",COUNTIF(Technologies!A:A,A245)&gt;0,
  ""STATE"",COUNTIF(States!A:A,A245)&gt;0,
  FALSE
 )
)"),TRUE)</f>
        <v>1</v>
      </c>
      <c r="P245" s="64" t="str">
        <f t="shared" si="3"/>
        <v>Good</v>
      </c>
      <c r="Q245" s="65"/>
      <c r="R245" s="65"/>
      <c r="S245" s="65"/>
      <c r="T245" s="65"/>
      <c r="U245" s="6"/>
      <c r="V245" s="6" t="str">
        <f>IFERROR(__xludf.DUMMYFUNCTION("""COMPUTED_VALUE"""),"craftifact.historical_library")</f>
        <v>craftifact.historical_library</v>
      </c>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ht="14.25" customHeight="1">
      <c r="A246" s="26" t="str">
        <f t="shared" si="1"/>
        <v>craftifact.hotei_statuette</v>
      </c>
      <c r="B246" s="26" t="str">
        <f t="array" ref="B246">_xlfn.XLOOKUP(A246,Targets!A:A,Targets!C:C,"")</f>
        <v>CRAFTIFACT</v>
      </c>
      <c r="C246" s="64" t="b">
        <f>COUNTIF(Targets!A:A,A246)&gt;0</f>
        <v>1</v>
      </c>
      <c r="D246" s="64" t="b">
        <f>IF(
 OR(
  LEFT(A246,15)="state.character",
  RIGHT(A246,6)=".maxed"
 ),
 TRUE,
 COUNTIF(Checklist!A:A,A246)&gt;0
)</f>
        <v>1</v>
      </c>
      <c r="E246" s="64" t="b">
        <f>IF(
 OR(
  LEFT(A246,15)="state.character",
  RIGHT(A246,6)=".maxed",
  A246="building.guild@1",
  A246="quest.build_the_guild.accepted",
  A246="quest.build_the_pagoda.accepted"
 ),
 TRUE,
 COUNTIF(Dependencies!A:A,A246)&gt;0
)</f>
        <v>1</v>
      </c>
      <c r="F246" s="64" t="b">
        <f>COUNTIF(Dependencies!B:B,A246)&gt;0</f>
        <v>0</v>
      </c>
      <c r="G246" s="64" t="b">
        <f>COUNTIF(QuestObjectives!A:A,A246)&gt;0</f>
        <v>0</v>
      </c>
      <c r="H246" s="64" t="b">
        <f>COUNTIF(QuestObjectives!E:E,A246)&gt;0</f>
        <v>0</v>
      </c>
      <c r="I246" s="64" t="b">
        <f>COUNTIF(TargetStatus!A:A,A246)&gt;0</f>
        <v>1</v>
      </c>
      <c r="J246" s="64" t="b">
        <f>COUNTIF(CostStatus!B:B,A246)&gt;0</f>
        <v>1</v>
      </c>
      <c r="K246" s="64" t="b">
        <f>COUNTIF(States!A:A,A246)&gt;0</f>
        <v>0</v>
      </c>
      <c r="L246" s="64" t="b">
        <f t="shared" si="2"/>
        <v>1</v>
      </c>
      <c r="M246" s="64" t="b">
        <f>IF(A246="","",COUNTIF(Targets!A:A,A246)&gt;1)</f>
        <v>0</v>
      </c>
      <c r="N246" s="64" t="b">
        <f>IF(A246="","",COUNTIF(States!A:A,A246)&gt;1)</f>
        <v>0</v>
      </c>
      <c r="O246" s="64" t="b">
        <f>IFERROR(__xludf.DUMMYFUNCTION("IF(
 B246="""",
 """",
 SWITCH(
  B246,
  ""BUILDING"",COUNTIF(Buildings!A:A,A246)&gt;0,
  ""CITADEL"",COUNTIF(Citadel!A:A,A246)&gt;0,
  ""COLLECTION"",COUNTIF(Collections!A:A,A246)&gt;0,
  ""CRAFTIFACT"",COUNTIF(Craftifacts!A:A,A246)&gt;0,
  ""QUEST"",
   COUNTIF(
 "&amp;"   Quests!A:A,
    REGEXREPLACE(A246,""\.(accepted|finished)$"","""")
   )&gt;0,
  ""TECH"",COUNTIF(Technologies!A:A,A246)&gt;0,
  ""STATE"",COUNTIF(States!A:A,A246)&gt;0,
  FALSE
 )
)"),TRUE)</f>
        <v>1</v>
      </c>
      <c r="P246" s="64" t="str">
        <f t="shared" si="3"/>
        <v>Good</v>
      </c>
      <c r="Q246" s="65"/>
      <c r="R246" s="65"/>
      <c r="S246" s="65"/>
      <c r="T246" s="65"/>
      <c r="U246" s="6"/>
      <c r="V246" s="6" t="str">
        <f>IFERROR(__xludf.DUMMYFUNCTION("""COMPUTED_VALUE"""),"craftifact.hotei_statuette")</f>
        <v>craftifact.hotei_statuette</v>
      </c>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row>
    <row r="247" ht="14.25" customHeight="1">
      <c r="A247" s="26" t="str">
        <f t="shared" si="1"/>
        <v>craftifact.metal_detector</v>
      </c>
      <c r="B247" s="26" t="str">
        <f t="array" ref="B247">_xlfn.XLOOKUP(A247,Targets!A:A,Targets!C:C,"")</f>
        <v>CRAFTIFACT</v>
      </c>
      <c r="C247" s="64" t="b">
        <f>COUNTIF(Targets!A:A,A247)&gt;0</f>
        <v>1</v>
      </c>
      <c r="D247" s="64" t="b">
        <f>IF(
 OR(
  LEFT(A247,15)="state.character",
  RIGHT(A247,6)=".maxed"
 ),
 TRUE,
 COUNTIF(Checklist!A:A,A247)&gt;0
)</f>
        <v>1</v>
      </c>
      <c r="E247" s="64" t="b">
        <f>IF(
 OR(
  LEFT(A247,15)="state.character",
  RIGHT(A247,6)=".maxed",
  A247="building.guild@1",
  A247="quest.build_the_guild.accepted",
  A247="quest.build_the_pagoda.accepted"
 ),
 TRUE,
 COUNTIF(Dependencies!A:A,A247)&gt;0
)</f>
        <v>1</v>
      </c>
      <c r="F247" s="64" t="b">
        <f>COUNTIF(Dependencies!B:B,A247)&gt;0</f>
        <v>0</v>
      </c>
      <c r="G247" s="64" t="b">
        <f>COUNTIF(QuestObjectives!A:A,A247)&gt;0</f>
        <v>0</v>
      </c>
      <c r="H247" s="64" t="b">
        <f>COUNTIF(QuestObjectives!E:E,A247)&gt;0</f>
        <v>0</v>
      </c>
      <c r="I247" s="64" t="b">
        <f>COUNTIF(TargetStatus!A:A,A247)&gt;0</f>
        <v>1</v>
      </c>
      <c r="J247" s="64" t="b">
        <f>COUNTIF(CostStatus!B:B,A247)&gt;0</f>
        <v>1</v>
      </c>
      <c r="K247" s="64" t="b">
        <f>COUNTIF(States!A:A,A247)&gt;0</f>
        <v>0</v>
      </c>
      <c r="L247" s="64" t="b">
        <f t="shared" si="2"/>
        <v>1</v>
      </c>
      <c r="M247" s="64" t="b">
        <f>IF(A247="","",COUNTIF(Targets!A:A,A247)&gt;1)</f>
        <v>0</v>
      </c>
      <c r="N247" s="64" t="b">
        <f>IF(A247="","",COUNTIF(States!A:A,A247)&gt;1)</f>
        <v>0</v>
      </c>
      <c r="O247" s="64" t="b">
        <f>IFERROR(__xludf.DUMMYFUNCTION("IF(
 B247="""",
 """",
 SWITCH(
  B247,
  ""BUILDING"",COUNTIF(Buildings!A:A,A247)&gt;0,
  ""CITADEL"",COUNTIF(Citadel!A:A,A247)&gt;0,
  ""COLLECTION"",COUNTIF(Collections!A:A,A247)&gt;0,
  ""CRAFTIFACT"",COUNTIF(Craftifacts!A:A,A247)&gt;0,
  ""QUEST"",
   COUNTIF(
 "&amp;"   Quests!A:A,
    REGEXREPLACE(A247,""\.(accepted|finished)$"","""")
   )&gt;0,
  ""TECH"",COUNTIF(Technologies!A:A,A247)&gt;0,
  ""STATE"",COUNTIF(States!A:A,A247)&gt;0,
  FALSE
 )
)"),TRUE)</f>
        <v>1</v>
      </c>
      <c r="P247" s="64" t="str">
        <f t="shared" si="3"/>
        <v>Good</v>
      </c>
      <c r="Q247" s="65"/>
      <c r="R247" s="65"/>
      <c r="S247" s="65"/>
      <c r="T247" s="65"/>
      <c r="U247" s="6"/>
      <c r="V247" s="6" t="str">
        <f>IFERROR(__xludf.DUMMYFUNCTION("""COMPUTED_VALUE"""),"craftifact.metal_detector")</f>
        <v>craftifact.metal_detector</v>
      </c>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row>
    <row r="248" ht="14.25" customHeight="1">
      <c r="A248" s="26" t="str">
        <f t="shared" si="1"/>
        <v>craftifact.necklace_for_haruka</v>
      </c>
      <c r="B248" s="26" t="str">
        <f t="array" ref="B248">_xlfn.XLOOKUP(A248,Targets!A:A,Targets!C:C,"")</f>
        <v>CRAFTIFACT</v>
      </c>
      <c r="C248" s="64" t="b">
        <f>COUNTIF(Targets!A:A,A248)&gt;0</f>
        <v>1</v>
      </c>
      <c r="D248" s="64" t="b">
        <f>IF(
 OR(
  LEFT(A248,15)="state.character",
  RIGHT(A248,6)=".maxed"
 ),
 TRUE,
 COUNTIF(Checklist!A:A,A248)&gt;0
)</f>
        <v>1</v>
      </c>
      <c r="E248" s="64" t="b">
        <f>IF(
 OR(
  LEFT(A248,15)="state.character",
  RIGHT(A248,6)=".maxed",
  A248="building.guild@1",
  A248="quest.build_the_guild.accepted",
  A248="quest.build_the_pagoda.accepted"
 ),
 TRUE,
 COUNTIF(Dependencies!A:A,A248)&gt;0
)</f>
        <v>1</v>
      </c>
      <c r="F248" s="64" t="b">
        <f>COUNTIF(Dependencies!B:B,A248)&gt;0</f>
        <v>0</v>
      </c>
      <c r="G248" s="64" t="b">
        <f>COUNTIF(QuestObjectives!A:A,A248)&gt;0</f>
        <v>0</v>
      </c>
      <c r="H248" s="64" t="b">
        <f>COUNTIF(QuestObjectives!E:E,A248)&gt;0</f>
        <v>0</v>
      </c>
      <c r="I248" s="64" t="b">
        <f>COUNTIF(TargetStatus!A:A,A248)&gt;0</f>
        <v>1</v>
      </c>
      <c r="J248" s="64" t="b">
        <f>COUNTIF(CostStatus!B:B,A248)&gt;0</f>
        <v>1</v>
      </c>
      <c r="K248" s="64" t="b">
        <f>COUNTIF(States!A:A,A248)&gt;0</f>
        <v>0</v>
      </c>
      <c r="L248" s="64" t="b">
        <f t="shared" si="2"/>
        <v>1</v>
      </c>
      <c r="M248" s="64" t="b">
        <f>IF(A248="","",COUNTIF(Targets!A:A,A248)&gt;1)</f>
        <v>0</v>
      </c>
      <c r="N248" s="64" t="b">
        <f>IF(A248="","",COUNTIF(States!A:A,A248)&gt;1)</f>
        <v>0</v>
      </c>
      <c r="O248" s="64" t="b">
        <f>IFERROR(__xludf.DUMMYFUNCTION("IF(
 B248="""",
 """",
 SWITCH(
  B248,
  ""BUILDING"",COUNTIF(Buildings!A:A,A248)&gt;0,
  ""CITADEL"",COUNTIF(Citadel!A:A,A248)&gt;0,
  ""COLLECTION"",COUNTIF(Collections!A:A,A248)&gt;0,
  ""CRAFTIFACT"",COUNTIF(Craftifacts!A:A,A248)&gt;0,
  ""QUEST"",
   COUNTIF(
 "&amp;"   Quests!A:A,
    REGEXREPLACE(A248,""\.(accepted|finished)$"","""")
   )&gt;0,
  ""TECH"",COUNTIF(Technologies!A:A,A248)&gt;0,
  ""STATE"",COUNTIF(States!A:A,A248)&gt;0,
  FALSE
 )
)"),TRUE)</f>
        <v>1</v>
      </c>
      <c r="P248" s="64" t="str">
        <f t="shared" si="3"/>
        <v>Good</v>
      </c>
      <c r="Q248" s="65"/>
      <c r="R248" s="65"/>
      <c r="S248" s="65"/>
      <c r="T248" s="65"/>
      <c r="U248" s="6"/>
      <c r="V248" s="6" t="str">
        <f>IFERROR(__xludf.DUMMYFUNCTION("""COMPUTED_VALUE"""),"craftifact.necklace_for_haruka")</f>
        <v>craftifact.necklace_for_haruka</v>
      </c>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row>
    <row r="249" ht="14.25" customHeight="1">
      <c r="A249" s="26" t="str">
        <f t="shared" si="1"/>
        <v>craftifact.safe</v>
      </c>
      <c r="B249" s="26" t="str">
        <f t="array" ref="B249">_xlfn.XLOOKUP(A249,Targets!A:A,Targets!C:C,"")</f>
        <v>CRAFTIFACT</v>
      </c>
      <c r="C249" s="64" t="b">
        <f>COUNTIF(Targets!A:A,A249)&gt;0</f>
        <v>1</v>
      </c>
      <c r="D249" s="64" t="b">
        <f>IF(
 OR(
  LEFT(A249,15)="state.character",
  RIGHT(A249,6)=".maxed"
 ),
 TRUE,
 COUNTIF(Checklist!A:A,A249)&gt;0
)</f>
        <v>1</v>
      </c>
      <c r="E249" s="64" t="b">
        <f>IF(
 OR(
  LEFT(A249,15)="state.character",
  RIGHT(A249,6)=".maxed",
  A249="building.guild@1",
  A249="quest.build_the_guild.accepted",
  A249="quest.build_the_pagoda.accepted"
 ),
 TRUE,
 COUNTIF(Dependencies!A:A,A249)&gt;0
)</f>
        <v>1</v>
      </c>
      <c r="F249" s="64" t="b">
        <f>COUNTIF(Dependencies!B:B,A249)&gt;0</f>
        <v>0</v>
      </c>
      <c r="G249" s="64" t="b">
        <f>COUNTIF(QuestObjectives!A:A,A249)&gt;0</f>
        <v>0</v>
      </c>
      <c r="H249" s="64" t="b">
        <f>COUNTIF(QuestObjectives!E:E,A249)&gt;0</f>
        <v>0</v>
      </c>
      <c r="I249" s="64" t="b">
        <f>COUNTIF(TargetStatus!A:A,A249)&gt;0</f>
        <v>1</v>
      </c>
      <c r="J249" s="64" t="b">
        <f>COUNTIF(CostStatus!B:B,A249)&gt;0</f>
        <v>1</v>
      </c>
      <c r="K249" s="64" t="b">
        <f>COUNTIF(States!A:A,A249)&gt;0</f>
        <v>0</v>
      </c>
      <c r="L249" s="64" t="b">
        <f t="shared" si="2"/>
        <v>1</v>
      </c>
      <c r="M249" s="64" t="b">
        <f>IF(A249="","",COUNTIF(Targets!A:A,A249)&gt;1)</f>
        <v>0</v>
      </c>
      <c r="N249" s="64" t="b">
        <f>IF(A249="","",COUNTIF(States!A:A,A249)&gt;1)</f>
        <v>0</v>
      </c>
      <c r="O249" s="64" t="b">
        <f>IFERROR(__xludf.DUMMYFUNCTION("IF(
 B249="""",
 """",
 SWITCH(
  B249,
  ""BUILDING"",COUNTIF(Buildings!A:A,A249)&gt;0,
  ""CITADEL"",COUNTIF(Citadel!A:A,A249)&gt;0,
  ""COLLECTION"",COUNTIF(Collections!A:A,A249)&gt;0,
  ""CRAFTIFACT"",COUNTIF(Craftifacts!A:A,A249)&gt;0,
  ""QUEST"",
   COUNTIF(
 "&amp;"   Quests!A:A,
    REGEXREPLACE(A249,""\.(accepted|finished)$"","""")
   )&gt;0,
  ""TECH"",COUNTIF(Technologies!A:A,A249)&gt;0,
  ""STATE"",COUNTIF(States!A:A,A249)&gt;0,
  FALSE
 )
)"),TRUE)</f>
        <v>1</v>
      </c>
      <c r="P249" s="64" t="str">
        <f t="shared" si="3"/>
        <v>Good</v>
      </c>
      <c r="Q249" s="65"/>
      <c r="R249" s="65"/>
      <c r="S249" s="65"/>
      <c r="T249" s="65"/>
      <c r="U249" s="6"/>
      <c r="V249" s="6" t="str">
        <f>IFERROR(__xludf.DUMMYFUNCTION("""COMPUTED_VALUE"""),"craftifact.safe")</f>
        <v>craftifact.safe</v>
      </c>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row>
    <row r="250" ht="14.25" customHeight="1">
      <c r="A250" s="26" t="str">
        <f t="shared" si="1"/>
        <v>craftifact.solver_1_prototype</v>
      </c>
      <c r="B250" s="26" t="str">
        <f t="array" ref="B250">_xlfn.XLOOKUP(A250,Targets!A:A,Targets!C:C,"")</f>
        <v>CRAFTIFACT</v>
      </c>
      <c r="C250" s="64" t="b">
        <f>COUNTIF(Targets!A:A,A250)&gt;0</f>
        <v>1</v>
      </c>
      <c r="D250" s="64" t="b">
        <f>IF(
 OR(
  LEFT(A250,15)="state.character",
  RIGHT(A250,6)=".maxed"
 ),
 TRUE,
 COUNTIF(Checklist!A:A,A250)&gt;0
)</f>
        <v>1</v>
      </c>
      <c r="E250" s="64" t="b">
        <f>IF(
 OR(
  LEFT(A250,15)="state.character",
  RIGHT(A250,6)=".maxed",
  A250="building.guild@1",
  A250="quest.build_the_guild.accepted",
  A250="quest.build_the_pagoda.accepted"
 ),
 TRUE,
 COUNTIF(Dependencies!A:A,A250)&gt;0
)</f>
        <v>1</v>
      </c>
      <c r="F250" s="64" t="b">
        <f>COUNTIF(Dependencies!B:B,A250)&gt;0</f>
        <v>1</v>
      </c>
      <c r="G250" s="64" t="b">
        <f>COUNTIF(QuestObjectives!A:A,A250)&gt;0</f>
        <v>0</v>
      </c>
      <c r="H250" s="64" t="b">
        <f>COUNTIF(QuestObjectives!E:E,A250)&gt;0</f>
        <v>1</v>
      </c>
      <c r="I250" s="64" t="b">
        <f>COUNTIF(TargetStatus!A:A,A250)&gt;0</f>
        <v>1</v>
      </c>
      <c r="J250" s="64" t="b">
        <f>COUNTIF(CostStatus!B:B,A250)&gt;0</f>
        <v>1</v>
      </c>
      <c r="K250" s="64" t="b">
        <f>COUNTIF(States!A:A,A250)&gt;0</f>
        <v>0</v>
      </c>
      <c r="L250" s="64" t="b">
        <f t="shared" si="2"/>
        <v>1</v>
      </c>
      <c r="M250" s="64" t="b">
        <f>IF(A250="","",COUNTIF(Targets!A:A,A250)&gt;1)</f>
        <v>0</v>
      </c>
      <c r="N250" s="64" t="b">
        <f>IF(A250="","",COUNTIF(States!A:A,A250)&gt;1)</f>
        <v>0</v>
      </c>
      <c r="O250" s="64" t="b">
        <f>IFERROR(__xludf.DUMMYFUNCTION("IF(
 B250="""",
 """",
 SWITCH(
  B250,
  ""BUILDING"",COUNTIF(Buildings!A:A,A250)&gt;0,
  ""CITADEL"",COUNTIF(Citadel!A:A,A250)&gt;0,
  ""COLLECTION"",COUNTIF(Collections!A:A,A250)&gt;0,
  ""CRAFTIFACT"",COUNTIF(Craftifacts!A:A,A250)&gt;0,
  ""QUEST"",
   COUNTIF(
 "&amp;"   Quests!A:A,
    REGEXREPLACE(A250,""\.(accepted|finished)$"","""")
   )&gt;0,
  ""TECH"",COUNTIF(Technologies!A:A,A250)&gt;0,
  ""STATE"",COUNTIF(States!A:A,A250)&gt;0,
  FALSE
 )
)"),TRUE)</f>
        <v>1</v>
      </c>
      <c r="P250" s="64" t="str">
        <f t="shared" si="3"/>
        <v>Good</v>
      </c>
      <c r="Q250" s="65"/>
      <c r="R250" s="65"/>
      <c r="S250" s="65"/>
      <c r="T250" s="65"/>
      <c r="U250" s="6"/>
      <c r="V250" s="6" t="str">
        <f>IFERROR(__xludf.DUMMYFUNCTION("""COMPUTED_VALUE"""),"craftifact.solver_1_prototype")</f>
        <v>craftifact.solver_1_prototype</v>
      </c>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row>
    <row r="251" ht="14.25" customHeight="1">
      <c r="A251" s="26" t="str">
        <f t="shared" si="1"/>
        <v>craftifact.telescope</v>
      </c>
      <c r="B251" s="26" t="str">
        <f t="array" ref="B251">_xlfn.XLOOKUP(A251,Targets!A:A,Targets!C:C,"")</f>
        <v>CRAFTIFACT</v>
      </c>
      <c r="C251" s="64" t="b">
        <f>COUNTIF(Targets!A:A,A251)&gt;0</f>
        <v>1</v>
      </c>
      <c r="D251" s="64" t="b">
        <f>IF(
 OR(
  LEFT(A251,15)="state.character",
  RIGHT(A251,6)=".maxed"
 ),
 TRUE,
 COUNTIF(Checklist!A:A,A251)&gt;0
)</f>
        <v>1</v>
      </c>
      <c r="E251" s="64" t="b">
        <f>IF(
 OR(
  LEFT(A251,15)="state.character",
  RIGHT(A251,6)=".maxed",
  A251="building.guild@1",
  A251="quest.build_the_guild.accepted",
  A251="quest.build_the_pagoda.accepted"
 ),
 TRUE,
 COUNTIF(Dependencies!A:A,A251)&gt;0
)</f>
        <v>1</v>
      </c>
      <c r="F251" s="64" t="b">
        <f>COUNTIF(Dependencies!B:B,A251)&gt;0</f>
        <v>1</v>
      </c>
      <c r="G251" s="64" t="b">
        <f>COUNTIF(QuestObjectives!A:A,A251)&gt;0</f>
        <v>0</v>
      </c>
      <c r="H251" s="64" t="b">
        <f>COUNTIF(QuestObjectives!E:E,A251)&gt;0</f>
        <v>1</v>
      </c>
      <c r="I251" s="64" t="b">
        <f>COUNTIF(TargetStatus!A:A,A251)&gt;0</f>
        <v>1</v>
      </c>
      <c r="J251" s="64" t="b">
        <f>COUNTIF(CostStatus!B:B,A251)&gt;0</f>
        <v>1</v>
      </c>
      <c r="K251" s="64" t="b">
        <f>COUNTIF(States!A:A,A251)&gt;0</f>
        <v>0</v>
      </c>
      <c r="L251" s="64" t="b">
        <f t="shared" si="2"/>
        <v>1</v>
      </c>
      <c r="M251" s="64" t="b">
        <f>IF(A251="","",COUNTIF(Targets!A:A,A251)&gt;1)</f>
        <v>0</v>
      </c>
      <c r="N251" s="64" t="b">
        <f>IF(A251="","",COUNTIF(States!A:A,A251)&gt;1)</f>
        <v>0</v>
      </c>
      <c r="O251" s="64" t="b">
        <f>IFERROR(__xludf.DUMMYFUNCTION("IF(
 B251="""",
 """",
 SWITCH(
  B251,
  ""BUILDING"",COUNTIF(Buildings!A:A,A251)&gt;0,
  ""CITADEL"",COUNTIF(Citadel!A:A,A251)&gt;0,
  ""COLLECTION"",COUNTIF(Collections!A:A,A251)&gt;0,
  ""CRAFTIFACT"",COUNTIF(Craftifacts!A:A,A251)&gt;0,
  ""QUEST"",
   COUNTIF(
 "&amp;"   Quests!A:A,
    REGEXREPLACE(A251,""\.(accepted|finished)$"","""")
   )&gt;0,
  ""TECH"",COUNTIF(Technologies!A:A,A251)&gt;0,
  ""STATE"",COUNTIF(States!A:A,A251)&gt;0,
  FALSE
 )
)"),TRUE)</f>
        <v>1</v>
      </c>
      <c r="P251" s="64" t="str">
        <f t="shared" si="3"/>
        <v>Good</v>
      </c>
      <c r="Q251" s="65"/>
      <c r="R251" s="65"/>
      <c r="S251" s="65"/>
      <c r="T251" s="65"/>
      <c r="U251" s="6"/>
      <c r="V251" s="6" t="str">
        <f>IFERROR(__xludf.DUMMYFUNCTION("""COMPUTED_VALUE"""),"craftifact.telescope")</f>
        <v>craftifact.telescope</v>
      </c>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row>
    <row r="252" ht="14.25" customHeight="1">
      <c r="A252" s="26" t="str">
        <f t="shared" si="1"/>
        <v>craftifact.tetrachloroaurate</v>
      </c>
      <c r="B252" s="26" t="str">
        <f t="array" ref="B252">_xlfn.XLOOKUP(A252,Targets!A:A,Targets!C:C,"")</f>
        <v>CRAFTIFACT</v>
      </c>
      <c r="C252" s="64" t="b">
        <f>COUNTIF(Targets!A:A,A252)&gt;0</f>
        <v>1</v>
      </c>
      <c r="D252" s="64" t="b">
        <f>IF(
 OR(
  LEFT(A252,15)="state.character",
  RIGHT(A252,6)=".maxed"
 ),
 TRUE,
 COUNTIF(Checklist!A:A,A252)&gt;0
)</f>
        <v>1</v>
      </c>
      <c r="E252" s="64" t="b">
        <f>IF(
 OR(
  LEFT(A252,15)="state.character",
  RIGHT(A252,6)=".maxed",
  A252="building.guild@1",
  A252="quest.build_the_guild.accepted",
  A252="quest.build_the_pagoda.accepted"
 ),
 TRUE,
 COUNTIF(Dependencies!A:A,A252)&gt;0
)</f>
        <v>1</v>
      </c>
      <c r="F252" s="64" t="b">
        <f>COUNTIF(Dependencies!B:B,A252)&gt;0</f>
        <v>0</v>
      </c>
      <c r="G252" s="64" t="b">
        <f>COUNTIF(QuestObjectives!A:A,A252)&gt;0</f>
        <v>0</v>
      </c>
      <c r="H252" s="64" t="b">
        <f>COUNTIF(QuestObjectives!E:E,A252)&gt;0</f>
        <v>0</v>
      </c>
      <c r="I252" s="64" t="b">
        <f>COUNTIF(TargetStatus!A:A,A252)&gt;0</f>
        <v>1</v>
      </c>
      <c r="J252" s="64" t="b">
        <f>COUNTIF(CostStatus!B:B,A252)&gt;0</f>
        <v>1</v>
      </c>
      <c r="K252" s="64" t="b">
        <f>COUNTIF(States!A:A,A252)&gt;0</f>
        <v>0</v>
      </c>
      <c r="L252" s="64" t="b">
        <f t="shared" si="2"/>
        <v>1</v>
      </c>
      <c r="M252" s="64" t="b">
        <f>IF(A252="","",COUNTIF(Targets!A:A,A252)&gt;1)</f>
        <v>0</v>
      </c>
      <c r="N252" s="64" t="b">
        <f>IF(A252="","",COUNTIF(States!A:A,A252)&gt;1)</f>
        <v>0</v>
      </c>
      <c r="O252" s="64" t="b">
        <f>IFERROR(__xludf.DUMMYFUNCTION("IF(
 B252="""",
 """",
 SWITCH(
  B252,
  ""BUILDING"",COUNTIF(Buildings!A:A,A252)&gt;0,
  ""CITADEL"",COUNTIF(Citadel!A:A,A252)&gt;0,
  ""COLLECTION"",COUNTIF(Collections!A:A,A252)&gt;0,
  ""CRAFTIFACT"",COUNTIF(Craftifacts!A:A,A252)&gt;0,
  ""QUEST"",
   COUNTIF(
 "&amp;"   Quests!A:A,
    REGEXREPLACE(A252,""\.(accepted|finished)$"","""")
   )&gt;0,
  ""TECH"",COUNTIF(Technologies!A:A,A252)&gt;0,
  ""STATE"",COUNTIF(States!A:A,A252)&gt;0,
  FALSE
 )
)"),TRUE)</f>
        <v>1</v>
      </c>
      <c r="P252" s="64" t="str">
        <f t="shared" si="3"/>
        <v>Good</v>
      </c>
      <c r="Q252" s="65"/>
      <c r="R252" s="65"/>
      <c r="S252" s="65"/>
      <c r="T252" s="65"/>
      <c r="U252" s="6"/>
      <c r="V252" s="6" t="str">
        <f>IFERROR(__xludf.DUMMYFUNCTION("""COMPUTED_VALUE"""),"craftifact.tetrachloroaurate")</f>
        <v>craftifact.tetrachloroaurate</v>
      </c>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row>
    <row r="253" ht="14.25" customHeight="1">
      <c r="A253" s="26" t="str">
        <f t="shared" si="1"/>
        <v>craftifact.trigonometry</v>
      </c>
      <c r="B253" s="26" t="str">
        <f t="array" ref="B253">_xlfn.XLOOKUP(A253,Targets!A:A,Targets!C:C,"")</f>
        <v>CRAFTIFACT</v>
      </c>
      <c r="C253" s="64" t="b">
        <f>COUNTIF(Targets!A:A,A253)&gt;0</f>
        <v>1</v>
      </c>
      <c r="D253" s="64" t="b">
        <f>IF(
 OR(
  LEFT(A253,15)="state.character",
  RIGHT(A253,6)=".maxed"
 ),
 TRUE,
 COUNTIF(Checklist!A:A,A253)&gt;0
)</f>
        <v>1</v>
      </c>
      <c r="E253" s="64" t="b">
        <f>IF(
 OR(
  LEFT(A253,15)="state.character",
  RIGHT(A253,6)=".maxed",
  A253="building.guild@1",
  A253="quest.build_the_guild.accepted",
  A253="quest.build_the_pagoda.accepted"
 ),
 TRUE,
 COUNTIF(Dependencies!A:A,A253)&gt;0
)</f>
        <v>1</v>
      </c>
      <c r="F253" s="64" t="b">
        <f>COUNTIF(Dependencies!B:B,A253)&gt;0</f>
        <v>0</v>
      </c>
      <c r="G253" s="64" t="b">
        <f>COUNTIF(QuestObjectives!A:A,A253)&gt;0</f>
        <v>0</v>
      </c>
      <c r="H253" s="64" t="b">
        <f>COUNTIF(QuestObjectives!E:E,A253)&gt;0</f>
        <v>1</v>
      </c>
      <c r="I253" s="64" t="b">
        <f>COUNTIF(TargetStatus!A:A,A253)&gt;0</f>
        <v>1</v>
      </c>
      <c r="J253" s="64" t="b">
        <f>COUNTIF(CostStatus!B:B,A253)&gt;0</f>
        <v>1</v>
      </c>
      <c r="K253" s="64" t="b">
        <f>COUNTIF(States!A:A,A253)&gt;0</f>
        <v>0</v>
      </c>
      <c r="L253" s="64" t="b">
        <f t="shared" si="2"/>
        <v>1</v>
      </c>
      <c r="M253" s="64" t="b">
        <f>IF(A253="","",COUNTIF(Targets!A:A,A253)&gt;1)</f>
        <v>0</v>
      </c>
      <c r="N253" s="64" t="b">
        <f>IF(A253="","",COUNTIF(States!A:A,A253)&gt;1)</f>
        <v>0</v>
      </c>
      <c r="O253" s="64" t="b">
        <f>IFERROR(__xludf.DUMMYFUNCTION("IF(
 B253="""",
 """",
 SWITCH(
  B253,
  ""BUILDING"",COUNTIF(Buildings!A:A,A253)&gt;0,
  ""CITADEL"",COUNTIF(Citadel!A:A,A253)&gt;0,
  ""COLLECTION"",COUNTIF(Collections!A:A,A253)&gt;0,
  ""CRAFTIFACT"",COUNTIF(Craftifacts!A:A,A253)&gt;0,
  ""QUEST"",
   COUNTIF(
 "&amp;"   Quests!A:A,
    REGEXREPLACE(A253,""\.(accepted|finished)$"","""")
   )&gt;0,
  ""TECH"",COUNTIF(Technologies!A:A,A253)&gt;0,
  ""STATE"",COUNTIF(States!A:A,A253)&gt;0,
  FALSE
 )
)"),TRUE)</f>
        <v>1</v>
      </c>
      <c r="P253" s="64" t="str">
        <f t="shared" si="3"/>
        <v>Good</v>
      </c>
      <c r="Q253" s="65"/>
      <c r="R253" s="65"/>
      <c r="S253" s="65"/>
      <c r="T253" s="65"/>
      <c r="U253" s="6"/>
      <c r="V253" s="6" t="str">
        <f>IFERROR(__xludf.DUMMYFUNCTION("""COMPUTED_VALUE"""),"craftifact.trigonometry")</f>
        <v>craftifact.trigonometry</v>
      </c>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ht="14.25" customHeight="1">
      <c r="A254" s="26" t="str">
        <f t="shared" si="1"/>
        <v>quest.ahead_of_time_chapter_1.accepted</v>
      </c>
      <c r="B254" s="26" t="str">
        <f t="array" ref="B254">_xlfn.XLOOKUP(A254,Targets!A:A,Targets!C:C,"")</f>
        <v>QUEST</v>
      </c>
      <c r="C254" s="64" t="b">
        <f>COUNTIF(Targets!A:A,A254)&gt;0</f>
        <v>1</v>
      </c>
      <c r="D254" s="64" t="b">
        <f>IF(
 OR(
  LEFT(A254,15)="state.character",
  RIGHT(A254,6)=".maxed"
 ),
 TRUE,
 COUNTIF(Checklist!A:A,A254)&gt;0
)</f>
        <v>1</v>
      </c>
      <c r="E254" s="64" t="b">
        <f>IF(
 OR(
  LEFT(A254,15)="state.character",
  RIGHT(A254,6)=".maxed",
  A254="building.guild@1",
  A254="quest.build_the_guild.accepted",
  A254="quest.build_the_pagoda.accepted"
 ),
 TRUE,
 COUNTIF(Dependencies!A:A,A254)&gt;0
)</f>
        <v>1</v>
      </c>
      <c r="F254" s="64" t="b">
        <f>COUNTIF(Dependencies!B:B,A254)&gt;0</f>
        <v>1</v>
      </c>
      <c r="G254" s="64" t="b">
        <f>COUNTIF(QuestObjectives!A:A,A254)&gt;0</f>
        <v>0</v>
      </c>
      <c r="H254" s="64" t="b">
        <f>COUNTIF(QuestObjectives!E:E,A254)&gt;0</f>
        <v>0</v>
      </c>
      <c r="I254" s="64" t="b">
        <f>COUNTIF(TargetStatus!A:A,A254)&gt;0</f>
        <v>1</v>
      </c>
      <c r="J254" s="64" t="b">
        <f>COUNTIF(CostStatus!B:B,A254)&gt;0</f>
        <v>0</v>
      </c>
      <c r="K254" s="64" t="b">
        <f>COUNTIF(States!A:A,A254)&gt;0</f>
        <v>0</v>
      </c>
      <c r="L254" s="64" t="b">
        <f t="shared" si="2"/>
        <v>1</v>
      </c>
      <c r="M254" s="64" t="b">
        <f>IF(A254="","",COUNTIF(Targets!A:A,A254)&gt;1)</f>
        <v>0</v>
      </c>
      <c r="N254" s="64" t="b">
        <f>IF(A254="","",COUNTIF(States!A:A,A254)&gt;1)</f>
        <v>0</v>
      </c>
      <c r="O254" s="64" t="b">
        <f>IFERROR(__xludf.DUMMYFUNCTION("IF(
 B254="""",
 """",
 SWITCH(
  B254,
  ""BUILDING"",COUNTIF(Buildings!A:A,A254)&gt;0,
  ""CITADEL"",COUNTIF(Citadel!A:A,A254)&gt;0,
  ""COLLECTION"",COUNTIF(Collections!A:A,A254)&gt;0,
  ""CRAFTIFACT"",COUNTIF(Craftifacts!A:A,A254)&gt;0,
  ""QUEST"",
   COUNTIF(
 "&amp;"   Quests!A:A,
    REGEXREPLACE(A254,""\.(accepted|finished)$"","""")
   )&gt;0,
  ""TECH"",COUNTIF(Technologies!A:A,A254)&gt;0,
  ""STATE"",COUNTIF(States!A:A,A254)&gt;0,
  FALSE
 )
)"),TRUE)</f>
        <v>1</v>
      </c>
      <c r="P254" s="64" t="str">
        <f t="shared" si="3"/>
        <v>Good</v>
      </c>
      <c r="Q254" s="65"/>
      <c r="R254" s="65"/>
      <c r="S254" s="65"/>
      <c r="T254" s="65"/>
      <c r="U254" s="6"/>
      <c r="V254" s="6" t="str">
        <f>IFERROR(__xludf.DUMMYFUNCTION("""COMPUTED_VALUE"""),"quest.ahead_of_time_chapter_1.accepted")</f>
        <v>quest.ahead_of_time_chapter_1.accepted</v>
      </c>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ht="14.25" customHeight="1">
      <c r="A255" s="26" t="str">
        <f t="shared" si="1"/>
        <v>quest.ahead_of_time_chapter_1.finished</v>
      </c>
      <c r="B255" s="26" t="str">
        <f t="array" ref="B255">_xlfn.XLOOKUP(A255,Targets!A:A,Targets!C:C,"")</f>
        <v>QUEST</v>
      </c>
      <c r="C255" s="64" t="b">
        <f>COUNTIF(Targets!A:A,A255)&gt;0</f>
        <v>1</v>
      </c>
      <c r="D255" s="64" t="b">
        <f>IF(
 OR(
  LEFT(A255,15)="state.character",
  RIGHT(A255,6)=".maxed"
 ),
 TRUE,
 COUNTIF(Checklist!A:A,A255)&gt;0
)</f>
        <v>1</v>
      </c>
      <c r="E255" s="64" t="b">
        <f>IF(
 OR(
  LEFT(A255,15)="state.character",
  RIGHT(A255,6)=".maxed",
  A255="building.guild@1",
  A255="quest.build_the_guild.accepted",
  A255="quest.build_the_pagoda.accepted"
 ),
 TRUE,
 COUNTIF(Dependencies!A:A,A255)&gt;0
)</f>
        <v>1</v>
      </c>
      <c r="F255" s="64" t="b">
        <f>COUNTIF(Dependencies!B:B,A255)&gt;0</f>
        <v>1</v>
      </c>
      <c r="G255" s="64" t="b">
        <f>COUNTIF(QuestObjectives!A:A,A255)&gt;0</f>
        <v>1</v>
      </c>
      <c r="H255" s="64" t="b">
        <f>COUNTIF(QuestObjectives!E:E,A255)&gt;0</f>
        <v>0</v>
      </c>
      <c r="I255" s="64" t="b">
        <f>COUNTIF(TargetStatus!A:A,A255)&gt;0</f>
        <v>1</v>
      </c>
      <c r="J255" s="64" t="b">
        <f>COUNTIF(CostStatus!B:B,A255)&gt;0</f>
        <v>1</v>
      </c>
      <c r="K255" s="64" t="b">
        <f>COUNTIF(States!A:A,A255)&gt;0</f>
        <v>0</v>
      </c>
      <c r="L255" s="64" t="b">
        <f t="shared" si="2"/>
        <v>1</v>
      </c>
      <c r="M255" s="64" t="b">
        <f>IF(A255="","",COUNTIF(Targets!A:A,A255)&gt;1)</f>
        <v>0</v>
      </c>
      <c r="N255" s="64" t="b">
        <f>IF(A255="","",COUNTIF(States!A:A,A255)&gt;1)</f>
        <v>0</v>
      </c>
      <c r="O255" s="64" t="b">
        <f>IFERROR(__xludf.DUMMYFUNCTION("IF(
 B255="""",
 """",
 SWITCH(
  B255,
  ""BUILDING"",COUNTIF(Buildings!A:A,A255)&gt;0,
  ""CITADEL"",COUNTIF(Citadel!A:A,A255)&gt;0,
  ""COLLECTION"",COUNTIF(Collections!A:A,A255)&gt;0,
  ""CRAFTIFACT"",COUNTIF(Craftifacts!A:A,A255)&gt;0,
  ""QUEST"",
   COUNTIF(
 "&amp;"   Quests!A:A,
    REGEXREPLACE(A255,""\.(accepted|finished)$"","""")
   )&gt;0,
  ""TECH"",COUNTIF(Technologies!A:A,A255)&gt;0,
  ""STATE"",COUNTIF(States!A:A,A255)&gt;0,
  FALSE
 )
)"),TRUE)</f>
        <v>1</v>
      </c>
      <c r="P255" s="64" t="str">
        <f t="shared" si="3"/>
        <v>Good</v>
      </c>
      <c r="Q255" s="65"/>
      <c r="R255" s="65"/>
      <c r="S255" s="65"/>
      <c r="T255" s="65"/>
      <c r="U255" s="6"/>
      <c r="V255" s="6" t="str">
        <f>IFERROR(__xludf.DUMMYFUNCTION("""COMPUTED_VALUE"""),"quest.ahead_of_time_chapter_1.finished")</f>
        <v>quest.ahead_of_time_chapter_1.finished</v>
      </c>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ht="14.25" customHeight="1">
      <c r="A256" s="26" t="str">
        <f t="shared" si="1"/>
        <v>quest.ahead_of_time_chapter_2.accepted</v>
      </c>
      <c r="B256" s="26" t="str">
        <f t="array" ref="B256">_xlfn.XLOOKUP(A256,Targets!A:A,Targets!C:C,"")</f>
        <v>QUEST</v>
      </c>
      <c r="C256" s="64" t="b">
        <f>COUNTIF(Targets!A:A,A256)&gt;0</f>
        <v>1</v>
      </c>
      <c r="D256" s="64" t="b">
        <f>IF(
 OR(
  LEFT(A256,15)="state.character",
  RIGHT(A256,6)=".maxed"
 ),
 TRUE,
 COUNTIF(Checklist!A:A,A256)&gt;0
)</f>
        <v>1</v>
      </c>
      <c r="E256" s="64" t="b">
        <f>IF(
 OR(
  LEFT(A256,15)="state.character",
  RIGHT(A256,6)=".maxed",
  A256="building.guild@1",
  A256="quest.build_the_guild.accepted",
  A256="quest.build_the_pagoda.accepted"
 ),
 TRUE,
 COUNTIF(Dependencies!A:A,A256)&gt;0
)</f>
        <v>1</v>
      </c>
      <c r="F256" s="64" t="b">
        <f>COUNTIF(Dependencies!B:B,A256)&gt;0</f>
        <v>1</v>
      </c>
      <c r="G256" s="64" t="b">
        <f>COUNTIF(QuestObjectives!A:A,A256)&gt;0</f>
        <v>0</v>
      </c>
      <c r="H256" s="64" t="b">
        <f>COUNTIF(QuestObjectives!E:E,A256)&gt;0</f>
        <v>0</v>
      </c>
      <c r="I256" s="64" t="b">
        <f>COUNTIF(TargetStatus!A:A,A256)&gt;0</f>
        <v>1</v>
      </c>
      <c r="J256" s="64" t="b">
        <f>COUNTIF(CostStatus!B:B,A256)&gt;0</f>
        <v>0</v>
      </c>
      <c r="K256" s="64" t="b">
        <f>COUNTIF(States!A:A,A256)&gt;0</f>
        <v>0</v>
      </c>
      <c r="L256" s="64" t="b">
        <f t="shared" si="2"/>
        <v>1</v>
      </c>
      <c r="M256" s="64" t="b">
        <f>IF(A256="","",COUNTIF(Targets!A:A,A256)&gt;1)</f>
        <v>0</v>
      </c>
      <c r="N256" s="64" t="b">
        <f>IF(A256="","",COUNTIF(States!A:A,A256)&gt;1)</f>
        <v>0</v>
      </c>
      <c r="O256" s="64" t="b">
        <f>IFERROR(__xludf.DUMMYFUNCTION("IF(
 B256="""",
 """",
 SWITCH(
  B256,
  ""BUILDING"",COUNTIF(Buildings!A:A,A256)&gt;0,
  ""CITADEL"",COUNTIF(Citadel!A:A,A256)&gt;0,
  ""COLLECTION"",COUNTIF(Collections!A:A,A256)&gt;0,
  ""CRAFTIFACT"",COUNTIF(Craftifacts!A:A,A256)&gt;0,
  ""QUEST"",
   COUNTIF(
 "&amp;"   Quests!A:A,
    REGEXREPLACE(A256,""\.(accepted|finished)$"","""")
   )&gt;0,
  ""TECH"",COUNTIF(Technologies!A:A,A256)&gt;0,
  ""STATE"",COUNTIF(States!A:A,A256)&gt;0,
  FALSE
 )
)"),TRUE)</f>
        <v>1</v>
      </c>
      <c r="P256" s="64" t="str">
        <f t="shared" si="3"/>
        <v>Good</v>
      </c>
      <c r="Q256" s="65"/>
      <c r="R256" s="65"/>
      <c r="S256" s="65"/>
      <c r="T256" s="65"/>
      <c r="U256" s="6"/>
      <c r="V256" s="6" t="str">
        <f>IFERROR(__xludf.DUMMYFUNCTION("""COMPUTED_VALUE"""),"quest.ahead_of_time_chapter_2.accepted")</f>
        <v>quest.ahead_of_time_chapter_2.accepted</v>
      </c>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ht="14.25" customHeight="1">
      <c r="A257" s="26" t="str">
        <f t="shared" si="1"/>
        <v>quest.ahead_of_time_chapter_2.finished</v>
      </c>
      <c r="B257" s="26" t="str">
        <f t="array" ref="B257">_xlfn.XLOOKUP(A257,Targets!A:A,Targets!C:C,"")</f>
        <v>QUEST</v>
      </c>
      <c r="C257" s="64" t="b">
        <f>COUNTIF(Targets!A:A,A257)&gt;0</f>
        <v>1</v>
      </c>
      <c r="D257" s="64" t="b">
        <f>IF(
 OR(
  LEFT(A257,15)="state.character",
  RIGHT(A257,6)=".maxed"
 ),
 TRUE,
 COUNTIF(Checklist!A:A,A257)&gt;0
)</f>
        <v>1</v>
      </c>
      <c r="E257" s="64" t="b">
        <f>IF(
 OR(
  LEFT(A257,15)="state.character",
  RIGHT(A257,6)=".maxed",
  A257="building.guild@1",
  A257="quest.build_the_guild.accepted",
  A257="quest.build_the_pagoda.accepted"
 ),
 TRUE,
 COUNTIF(Dependencies!A:A,A257)&gt;0
)</f>
        <v>1</v>
      </c>
      <c r="F257" s="64" t="b">
        <f>COUNTIF(Dependencies!B:B,A257)&gt;0</f>
        <v>1</v>
      </c>
      <c r="G257" s="64" t="b">
        <f>COUNTIF(QuestObjectives!A:A,A257)&gt;0</f>
        <v>1</v>
      </c>
      <c r="H257" s="64" t="b">
        <f>COUNTIF(QuestObjectives!E:E,A257)&gt;0</f>
        <v>0</v>
      </c>
      <c r="I257" s="64" t="b">
        <f>COUNTIF(TargetStatus!A:A,A257)&gt;0</f>
        <v>1</v>
      </c>
      <c r="J257" s="64" t="b">
        <f>COUNTIF(CostStatus!B:B,A257)&gt;0</f>
        <v>0</v>
      </c>
      <c r="K257" s="64" t="b">
        <f>COUNTIF(States!A:A,A257)&gt;0</f>
        <v>0</v>
      </c>
      <c r="L257" s="64" t="b">
        <f t="shared" si="2"/>
        <v>1</v>
      </c>
      <c r="M257" s="64" t="b">
        <f>IF(A257="","",COUNTIF(Targets!A:A,A257)&gt;1)</f>
        <v>0</v>
      </c>
      <c r="N257" s="64" t="b">
        <f>IF(A257="","",COUNTIF(States!A:A,A257)&gt;1)</f>
        <v>0</v>
      </c>
      <c r="O257" s="64" t="b">
        <f>IFERROR(__xludf.DUMMYFUNCTION("IF(
 B257="""",
 """",
 SWITCH(
  B257,
  ""BUILDING"",COUNTIF(Buildings!A:A,A257)&gt;0,
  ""CITADEL"",COUNTIF(Citadel!A:A,A257)&gt;0,
  ""COLLECTION"",COUNTIF(Collections!A:A,A257)&gt;0,
  ""CRAFTIFACT"",COUNTIF(Craftifacts!A:A,A257)&gt;0,
  ""QUEST"",
   COUNTIF(
 "&amp;"   Quests!A:A,
    REGEXREPLACE(A257,""\.(accepted|finished)$"","""")
   )&gt;0,
  ""TECH"",COUNTIF(Technologies!A:A,A257)&gt;0,
  ""STATE"",COUNTIF(States!A:A,A257)&gt;0,
  FALSE
 )
)"),TRUE)</f>
        <v>1</v>
      </c>
      <c r="P257" s="64" t="str">
        <f t="shared" si="3"/>
        <v>Good</v>
      </c>
      <c r="Q257" s="65"/>
      <c r="R257" s="65"/>
      <c r="S257" s="65"/>
      <c r="T257" s="65"/>
      <c r="U257" s="6"/>
      <c r="V257" s="6" t="str">
        <f>IFERROR(__xludf.DUMMYFUNCTION("""COMPUTED_VALUE"""),"quest.ahead_of_time_chapter_2.finished")</f>
        <v>quest.ahead_of_time_chapter_2.finished</v>
      </c>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row>
    <row r="258" ht="14.25" customHeight="1">
      <c r="A258" s="26" t="str">
        <f t="shared" si="1"/>
        <v>quest.ahead_of_time_chapter_3.accepted</v>
      </c>
      <c r="B258" s="26" t="str">
        <f t="array" ref="B258">_xlfn.XLOOKUP(A258,Targets!A:A,Targets!C:C,"")</f>
        <v>QUEST</v>
      </c>
      <c r="C258" s="64" t="b">
        <f>COUNTIF(Targets!A:A,A258)&gt;0</f>
        <v>1</v>
      </c>
      <c r="D258" s="64" t="b">
        <f>IF(
 OR(
  LEFT(A258,15)="state.character",
  RIGHT(A258,6)=".maxed"
 ),
 TRUE,
 COUNTIF(Checklist!A:A,A258)&gt;0
)</f>
        <v>1</v>
      </c>
      <c r="E258" s="64" t="b">
        <f>IF(
 OR(
  LEFT(A258,15)="state.character",
  RIGHT(A258,6)=".maxed",
  A258="building.guild@1",
  A258="quest.build_the_guild.accepted",
  A258="quest.build_the_pagoda.accepted"
 ),
 TRUE,
 COUNTIF(Dependencies!A:A,A258)&gt;0
)</f>
        <v>1</v>
      </c>
      <c r="F258" s="64" t="b">
        <f>COUNTIF(Dependencies!B:B,A258)&gt;0</f>
        <v>1</v>
      </c>
      <c r="G258" s="64" t="b">
        <f>COUNTIF(QuestObjectives!A:A,A258)&gt;0</f>
        <v>0</v>
      </c>
      <c r="H258" s="64" t="b">
        <f>COUNTIF(QuestObjectives!E:E,A258)&gt;0</f>
        <v>0</v>
      </c>
      <c r="I258" s="64" t="b">
        <f>COUNTIF(TargetStatus!A:A,A258)&gt;0</f>
        <v>1</v>
      </c>
      <c r="J258" s="64" t="b">
        <f>COUNTIF(CostStatus!B:B,A258)&gt;0</f>
        <v>0</v>
      </c>
      <c r="K258" s="64" t="b">
        <f>COUNTIF(States!A:A,A258)&gt;0</f>
        <v>0</v>
      </c>
      <c r="L258" s="64" t="b">
        <f t="shared" si="2"/>
        <v>1</v>
      </c>
      <c r="M258" s="64" t="b">
        <f>IF(A258="","",COUNTIF(Targets!A:A,A258)&gt;1)</f>
        <v>0</v>
      </c>
      <c r="N258" s="64" t="b">
        <f>IF(A258="","",COUNTIF(States!A:A,A258)&gt;1)</f>
        <v>0</v>
      </c>
      <c r="O258" s="64" t="b">
        <f>IFERROR(__xludf.DUMMYFUNCTION("IF(
 B258="""",
 """",
 SWITCH(
  B258,
  ""BUILDING"",COUNTIF(Buildings!A:A,A258)&gt;0,
  ""CITADEL"",COUNTIF(Citadel!A:A,A258)&gt;0,
  ""COLLECTION"",COUNTIF(Collections!A:A,A258)&gt;0,
  ""CRAFTIFACT"",COUNTIF(Craftifacts!A:A,A258)&gt;0,
  ""QUEST"",
   COUNTIF(
 "&amp;"   Quests!A:A,
    REGEXREPLACE(A258,""\.(accepted|finished)$"","""")
   )&gt;0,
  ""TECH"",COUNTIF(Technologies!A:A,A258)&gt;0,
  ""STATE"",COUNTIF(States!A:A,A258)&gt;0,
  FALSE
 )
)"),TRUE)</f>
        <v>1</v>
      </c>
      <c r="P258" s="64" t="str">
        <f t="shared" si="3"/>
        <v>Good</v>
      </c>
      <c r="Q258" s="65"/>
      <c r="R258" s="65"/>
      <c r="S258" s="65"/>
      <c r="T258" s="65"/>
      <c r="U258" s="6"/>
      <c r="V258" s="6" t="str">
        <f>IFERROR(__xludf.DUMMYFUNCTION("""COMPUTED_VALUE"""),"quest.ahead_of_time_chapter_3.accepted")</f>
        <v>quest.ahead_of_time_chapter_3.accepted</v>
      </c>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ht="14.25" customHeight="1">
      <c r="A259" s="26" t="str">
        <f t="shared" si="1"/>
        <v>quest.ahead_of_time_chapter_3.finished</v>
      </c>
      <c r="B259" s="26" t="str">
        <f t="array" ref="B259">_xlfn.XLOOKUP(A259,Targets!A:A,Targets!C:C,"")</f>
        <v>QUEST</v>
      </c>
      <c r="C259" s="64" t="b">
        <f>COUNTIF(Targets!A:A,A259)&gt;0</f>
        <v>1</v>
      </c>
      <c r="D259" s="64" t="b">
        <f>IF(
 OR(
  LEFT(A259,15)="state.character",
  RIGHT(A259,6)=".maxed"
 ),
 TRUE,
 COUNTIF(Checklist!A:A,A259)&gt;0
)</f>
        <v>1</v>
      </c>
      <c r="E259" s="64" t="b">
        <f>IF(
 OR(
  LEFT(A259,15)="state.character",
  RIGHT(A259,6)=".maxed",
  A259="building.guild@1",
  A259="quest.build_the_guild.accepted",
  A259="quest.build_the_pagoda.accepted"
 ),
 TRUE,
 COUNTIF(Dependencies!A:A,A259)&gt;0
)</f>
        <v>1</v>
      </c>
      <c r="F259" s="64" t="b">
        <f>COUNTIF(Dependencies!B:B,A259)&gt;0</f>
        <v>1</v>
      </c>
      <c r="G259" s="64" t="b">
        <f>COUNTIF(QuestObjectives!A:A,A259)&gt;0</f>
        <v>1</v>
      </c>
      <c r="H259" s="64" t="b">
        <f>COUNTIF(QuestObjectives!E:E,A259)&gt;0</f>
        <v>0</v>
      </c>
      <c r="I259" s="64" t="b">
        <f>COUNTIF(TargetStatus!A:A,A259)&gt;0</f>
        <v>1</v>
      </c>
      <c r="J259" s="64" t="b">
        <f>COUNTIF(CostStatus!B:B,A259)&gt;0</f>
        <v>0</v>
      </c>
      <c r="K259" s="64" t="b">
        <f>COUNTIF(States!A:A,A259)&gt;0</f>
        <v>0</v>
      </c>
      <c r="L259" s="64" t="b">
        <f t="shared" si="2"/>
        <v>1</v>
      </c>
      <c r="M259" s="64" t="b">
        <f>IF(A259="","",COUNTIF(Targets!A:A,A259)&gt;1)</f>
        <v>0</v>
      </c>
      <c r="N259" s="64" t="b">
        <f>IF(A259="","",COUNTIF(States!A:A,A259)&gt;1)</f>
        <v>0</v>
      </c>
      <c r="O259" s="64" t="b">
        <f>IFERROR(__xludf.DUMMYFUNCTION("IF(
 B259="""",
 """",
 SWITCH(
  B259,
  ""BUILDING"",COUNTIF(Buildings!A:A,A259)&gt;0,
  ""CITADEL"",COUNTIF(Citadel!A:A,A259)&gt;0,
  ""COLLECTION"",COUNTIF(Collections!A:A,A259)&gt;0,
  ""CRAFTIFACT"",COUNTIF(Craftifacts!A:A,A259)&gt;0,
  ""QUEST"",
   COUNTIF(
 "&amp;"   Quests!A:A,
    REGEXREPLACE(A259,""\.(accepted|finished)$"","""")
   )&gt;0,
  ""TECH"",COUNTIF(Technologies!A:A,A259)&gt;0,
  ""STATE"",COUNTIF(States!A:A,A259)&gt;0,
  FALSE
 )
)"),TRUE)</f>
        <v>1</v>
      </c>
      <c r="P259" s="64" t="str">
        <f t="shared" si="3"/>
        <v>Good</v>
      </c>
      <c r="Q259" s="65"/>
      <c r="R259" s="65"/>
      <c r="S259" s="65"/>
      <c r="T259" s="65"/>
      <c r="U259" s="6"/>
      <c r="V259" s="6" t="str">
        <f>IFERROR(__xludf.DUMMYFUNCTION("""COMPUTED_VALUE"""),"quest.ahead_of_time_chapter_3.finished")</f>
        <v>quest.ahead_of_time_chapter_3.finished</v>
      </c>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ht="14.25" customHeight="1">
      <c r="A260" s="26" t="str">
        <f t="shared" si="1"/>
        <v>quest.ahead_of_time_chapter_4.accepted</v>
      </c>
      <c r="B260" s="26" t="str">
        <f t="array" ref="B260">_xlfn.XLOOKUP(A260,Targets!A:A,Targets!C:C,"")</f>
        <v>QUEST</v>
      </c>
      <c r="C260" s="64" t="b">
        <f>COUNTIF(Targets!A:A,A260)&gt;0</f>
        <v>1</v>
      </c>
      <c r="D260" s="64" t="b">
        <f>IF(
 OR(
  LEFT(A260,15)="state.character",
  RIGHT(A260,6)=".maxed"
 ),
 TRUE,
 COUNTIF(Checklist!A:A,A260)&gt;0
)</f>
        <v>1</v>
      </c>
      <c r="E260" s="64" t="b">
        <f>IF(
 OR(
  LEFT(A260,15)="state.character",
  RIGHT(A260,6)=".maxed",
  A260="building.guild@1",
  A260="quest.build_the_guild.accepted",
  A260="quest.build_the_pagoda.accepted"
 ),
 TRUE,
 COUNTIF(Dependencies!A:A,A260)&gt;0
)</f>
        <v>1</v>
      </c>
      <c r="F260" s="64" t="b">
        <f>COUNTIF(Dependencies!B:B,A260)&gt;0</f>
        <v>1</v>
      </c>
      <c r="G260" s="64" t="b">
        <f>COUNTIF(QuestObjectives!A:A,A260)&gt;0</f>
        <v>0</v>
      </c>
      <c r="H260" s="64" t="b">
        <f>COUNTIF(QuestObjectives!E:E,A260)&gt;0</f>
        <v>0</v>
      </c>
      <c r="I260" s="64" t="b">
        <f>COUNTIF(TargetStatus!A:A,A260)&gt;0</f>
        <v>1</v>
      </c>
      <c r="J260" s="64" t="b">
        <f>COUNTIF(CostStatus!B:B,A260)&gt;0</f>
        <v>0</v>
      </c>
      <c r="K260" s="64" t="b">
        <f>COUNTIF(States!A:A,A260)&gt;0</f>
        <v>0</v>
      </c>
      <c r="L260" s="64" t="b">
        <f t="shared" si="2"/>
        <v>1</v>
      </c>
      <c r="M260" s="64" t="b">
        <f>IF(A260="","",COUNTIF(Targets!A:A,A260)&gt;1)</f>
        <v>0</v>
      </c>
      <c r="N260" s="64" t="b">
        <f>IF(A260="","",COUNTIF(States!A:A,A260)&gt;1)</f>
        <v>0</v>
      </c>
      <c r="O260" s="64" t="b">
        <f>IFERROR(__xludf.DUMMYFUNCTION("IF(
 B260="""",
 """",
 SWITCH(
  B260,
  ""BUILDING"",COUNTIF(Buildings!A:A,A260)&gt;0,
  ""CITADEL"",COUNTIF(Citadel!A:A,A260)&gt;0,
  ""COLLECTION"",COUNTIF(Collections!A:A,A260)&gt;0,
  ""CRAFTIFACT"",COUNTIF(Craftifacts!A:A,A260)&gt;0,
  ""QUEST"",
   COUNTIF(
 "&amp;"   Quests!A:A,
    REGEXREPLACE(A260,""\.(accepted|finished)$"","""")
   )&gt;0,
  ""TECH"",COUNTIF(Technologies!A:A,A260)&gt;0,
  ""STATE"",COUNTIF(States!A:A,A260)&gt;0,
  FALSE
 )
)"),TRUE)</f>
        <v>1</v>
      </c>
      <c r="P260" s="64" t="str">
        <f t="shared" si="3"/>
        <v>Good</v>
      </c>
      <c r="Q260" s="65"/>
      <c r="R260" s="65"/>
      <c r="S260" s="65"/>
      <c r="T260" s="65"/>
      <c r="U260" s="6"/>
      <c r="V260" s="6" t="str">
        <f>IFERROR(__xludf.DUMMYFUNCTION("""COMPUTED_VALUE"""),"quest.ahead_of_time_chapter_4.accepted")</f>
        <v>quest.ahead_of_time_chapter_4.accepted</v>
      </c>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ht="14.25" customHeight="1">
      <c r="A261" s="26" t="str">
        <f t="shared" si="1"/>
        <v>quest.ahead_of_time_chapter_4.finished</v>
      </c>
      <c r="B261" s="26" t="str">
        <f t="array" ref="B261">_xlfn.XLOOKUP(A261,Targets!A:A,Targets!C:C,"")</f>
        <v>QUEST</v>
      </c>
      <c r="C261" s="64" t="b">
        <f>COUNTIF(Targets!A:A,A261)&gt;0</f>
        <v>1</v>
      </c>
      <c r="D261" s="64" t="b">
        <f>IF(
 OR(
  LEFT(A261,15)="state.character",
  RIGHT(A261,6)=".maxed"
 ),
 TRUE,
 COUNTIF(Checklist!A:A,A261)&gt;0
)</f>
        <v>1</v>
      </c>
      <c r="E261" s="64" t="b">
        <f>IF(
 OR(
  LEFT(A261,15)="state.character",
  RIGHT(A261,6)=".maxed",
  A261="building.guild@1",
  A261="quest.build_the_guild.accepted",
  A261="quest.build_the_pagoda.accepted"
 ),
 TRUE,
 COUNTIF(Dependencies!A:A,A261)&gt;0
)</f>
        <v>1</v>
      </c>
      <c r="F261" s="64" t="b">
        <f>COUNTIF(Dependencies!B:B,A261)&gt;0</f>
        <v>1</v>
      </c>
      <c r="G261" s="64" t="b">
        <f>COUNTIF(QuestObjectives!A:A,A261)&gt;0</f>
        <v>1</v>
      </c>
      <c r="H261" s="64" t="b">
        <f>COUNTIF(QuestObjectives!E:E,A261)&gt;0</f>
        <v>0</v>
      </c>
      <c r="I261" s="64" t="b">
        <f>COUNTIF(TargetStatus!A:A,A261)&gt;0</f>
        <v>1</v>
      </c>
      <c r="J261" s="64" t="b">
        <f>COUNTIF(CostStatus!B:B,A261)&gt;0</f>
        <v>0</v>
      </c>
      <c r="K261" s="64" t="b">
        <f>COUNTIF(States!A:A,A261)&gt;0</f>
        <v>0</v>
      </c>
      <c r="L261" s="64" t="b">
        <f t="shared" si="2"/>
        <v>1</v>
      </c>
      <c r="M261" s="64" t="b">
        <f>IF(A261="","",COUNTIF(Targets!A:A,A261)&gt;1)</f>
        <v>0</v>
      </c>
      <c r="N261" s="64" t="b">
        <f>IF(A261="","",COUNTIF(States!A:A,A261)&gt;1)</f>
        <v>0</v>
      </c>
      <c r="O261" s="64" t="b">
        <f>IFERROR(__xludf.DUMMYFUNCTION("IF(
 B261="""",
 """",
 SWITCH(
  B261,
  ""BUILDING"",COUNTIF(Buildings!A:A,A261)&gt;0,
  ""CITADEL"",COUNTIF(Citadel!A:A,A261)&gt;0,
  ""COLLECTION"",COUNTIF(Collections!A:A,A261)&gt;0,
  ""CRAFTIFACT"",COUNTIF(Craftifacts!A:A,A261)&gt;0,
  ""QUEST"",
   COUNTIF(
 "&amp;"   Quests!A:A,
    REGEXREPLACE(A261,""\.(accepted|finished)$"","""")
   )&gt;0,
  ""TECH"",COUNTIF(Technologies!A:A,A261)&gt;0,
  ""STATE"",COUNTIF(States!A:A,A261)&gt;0,
  FALSE
 )
)"),TRUE)</f>
        <v>1</v>
      </c>
      <c r="P261" s="64" t="str">
        <f t="shared" si="3"/>
        <v>Good</v>
      </c>
      <c r="Q261" s="65"/>
      <c r="R261" s="65"/>
      <c r="S261" s="65"/>
      <c r="T261" s="65"/>
      <c r="U261" s="6"/>
      <c r="V261" s="6" t="str">
        <f>IFERROR(__xludf.DUMMYFUNCTION("""COMPUTED_VALUE"""),"quest.ahead_of_time_chapter_4.finished")</f>
        <v>quest.ahead_of_time_chapter_4.finished</v>
      </c>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ht="14.25" customHeight="1">
      <c r="A262" s="26" t="str">
        <f t="shared" si="1"/>
        <v>quest.ahead_of_time_chapter_5.accepted</v>
      </c>
      <c r="B262" s="26" t="str">
        <f t="array" ref="B262">_xlfn.XLOOKUP(A262,Targets!A:A,Targets!C:C,"")</f>
        <v>QUEST</v>
      </c>
      <c r="C262" s="64" t="b">
        <f>COUNTIF(Targets!A:A,A262)&gt;0</f>
        <v>1</v>
      </c>
      <c r="D262" s="64" t="b">
        <f>IF(
 OR(
  LEFT(A262,15)="state.character",
  RIGHT(A262,6)=".maxed"
 ),
 TRUE,
 COUNTIF(Checklist!A:A,A262)&gt;0
)</f>
        <v>1</v>
      </c>
      <c r="E262" s="64" t="b">
        <f>IF(
 OR(
  LEFT(A262,15)="state.character",
  RIGHT(A262,6)=".maxed",
  A262="building.guild@1",
  A262="quest.build_the_guild.accepted",
  A262="quest.build_the_pagoda.accepted"
 ),
 TRUE,
 COUNTIF(Dependencies!A:A,A262)&gt;0
)</f>
        <v>1</v>
      </c>
      <c r="F262" s="64" t="b">
        <f>COUNTIF(Dependencies!B:B,A262)&gt;0</f>
        <v>1</v>
      </c>
      <c r="G262" s="64" t="b">
        <f>COUNTIF(QuestObjectives!A:A,A262)&gt;0</f>
        <v>0</v>
      </c>
      <c r="H262" s="64" t="b">
        <f>COUNTIF(QuestObjectives!E:E,A262)&gt;0</f>
        <v>0</v>
      </c>
      <c r="I262" s="64" t="b">
        <f>COUNTIF(TargetStatus!A:A,A262)&gt;0</f>
        <v>1</v>
      </c>
      <c r="J262" s="64" t="b">
        <f>COUNTIF(CostStatus!B:B,A262)&gt;0</f>
        <v>0</v>
      </c>
      <c r="K262" s="64" t="b">
        <f>COUNTIF(States!A:A,A262)&gt;0</f>
        <v>0</v>
      </c>
      <c r="L262" s="64" t="b">
        <f t="shared" si="2"/>
        <v>1</v>
      </c>
      <c r="M262" s="64" t="b">
        <f>IF(A262="","",COUNTIF(Targets!A:A,A262)&gt;1)</f>
        <v>0</v>
      </c>
      <c r="N262" s="64" t="b">
        <f>IF(A262="","",COUNTIF(States!A:A,A262)&gt;1)</f>
        <v>0</v>
      </c>
      <c r="O262" s="64" t="b">
        <f>IFERROR(__xludf.DUMMYFUNCTION("IF(
 B262="""",
 """",
 SWITCH(
  B262,
  ""BUILDING"",COUNTIF(Buildings!A:A,A262)&gt;0,
  ""CITADEL"",COUNTIF(Citadel!A:A,A262)&gt;0,
  ""COLLECTION"",COUNTIF(Collections!A:A,A262)&gt;0,
  ""CRAFTIFACT"",COUNTIF(Craftifacts!A:A,A262)&gt;0,
  ""QUEST"",
   COUNTIF(
 "&amp;"   Quests!A:A,
    REGEXREPLACE(A262,""\.(accepted|finished)$"","""")
   )&gt;0,
  ""TECH"",COUNTIF(Technologies!A:A,A262)&gt;0,
  ""STATE"",COUNTIF(States!A:A,A262)&gt;0,
  FALSE
 )
)"),TRUE)</f>
        <v>1</v>
      </c>
      <c r="P262" s="64" t="str">
        <f t="shared" si="3"/>
        <v>Good</v>
      </c>
      <c r="Q262" s="65"/>
      <c r="R262" s="65"/>
      <c r="S262" s="65"/>
      <c r="T262" s="65"/>
      <c r="U262" s="6"/>
      <c r="V262" s="6" t="str">
        <f>IFERROR(__xludf.DUMMYFUNCTION("""COMPUTED_VALUE"""),"quest.ahead_of_time_chapter_5.accepted")</f>
        <v>quest.ahead_of_time_chapter_5.accepted</v>
      </c>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ht="14.25" customHeight="1">
      <c r="A263" s="26" t="str">
        <f t="shared" si="1"/>
        <v>quest.ahead_of_time_chapter_5.finished</v>
      </c>
      <c r="B263" s="26" t="str">
        <f t="array" ref="B263">_xlfn.XLOOKUP(A263,Targets!A:A,Targets!C:C,"")</f>
        <v>QUEST</v>
      </c>
      <c r="C263" s="64" t="b">
        <f>COUNTIF(Targets!A:A,A263)&gt;0</f>
        <v>1</v>
      </c>
      <c r="D263" s="64" t="b">
        <f>IF(
 OR(
  LEFT(A263,15)="state.character",
  RIGHT(A263,6)=".maxed"
 ),
 TRUE,
 COUNTIF(Checklist!A:A,A263)&gt;0
)</f>
        <v>1</v>
      </c>
      <c r="E263" s="64" t="b">
        <f>IF(
 OR(
  LEFT(A263,15)="state.character",
  RIGHT(A263,6)=".maxed",
  A263="building.guild@1",
  A263="quest.build_the_guild.accepted",
  A263="quest.build_the_pagoda.accepted"
 ),
 TRUE,
 COUNTIF(Dependencies!A:A,A263)&gt;0
)</f>
        <v>1</v>
      </c>
      <c r="F263" s="64" t="b">
        <f>COUNTIF(Dependencies!B:B,A263)&gt;0</f>
        <v>1</v>
      </c>
      <c r="G263" s="64" t="b">
        <f>COUNTIF(QuestObjectives!A:A,A263)&gt;0</f>
        <v>1</v>
      </c>
      <c r="H263" s="64" t="b">
        <f>COUNTIF(QuestObjectives!E:E,A263)&gt;0</f>
        <v>0</v>
      </c>
      <c r="I263" s="64" t="b">
        <f>COUNTIF(TargetStatus!A:A,A263)&gt;0</f>
        <v>1</v>
      </c>
      <c r="J263" s="64" t="b">
        <f>COUNTIF(CostStatus!B:B,A263)&gt;0</f>
        <v>0</v>
      </c>
      <c r="K263" s="64" t="b">
        <f>COUNTIF(States!A:A,A263)&gt;0</f>
        <v>0</v>
      </c>
      <c r="L263" s="64" t="b">
        <f t="shared" si="2"/>
        <v>1</v>
      </c>
      <c r="M263" s="64" t="b">
        <f>IF(A263="","",COUNTIF(Targets!A:A,A263)&gt;1)</f>
        <v>0</v>
      </c>
      <c r="N263" s="64" t="b">
        <f>IF(A263="","",COUNTIF(States!A:A,A263)&gt;1)</f>
        <v>0</v>
      </c>
      <c r="O263" s="64" t="b">
        <f>IFERROR(__xludf.DUMMYFUNCTION("IF(
 B263="""",
 """",
 SWITCH(
  B263,
  ""BUILDING"",COUNTIF(Buildings!A:A,A263)&gt;0,
  ""CITADEL"",COUNTIF(Citadel!A:A,A263)&gt;0,
  ""COLLECTION"",COUNTIF(Collections!A:A,A263)&gt;0,
  ""CRAFTIFACT"",COUNTIF(Craftifacts!A:A,A263)&gt;0,
  ""QUEST"",
   COUNTIF(
 "&amp;"   Quests!A:A,
    REGEXREPLACE(A263,""\.(accepted|finished)$"","""")
   )&gt;0,
  ""TECH"",COUNTIF(Technologies!A:A,A263)&gt;0,
  ""STATE"",COUNTIF(States!A:A,A263)&gt;0,
  FALSE
 )
)"),TRUE)</f>
        <v>1</v>
      </c>
      <c r="P263" s="64" t="str">
        <f t="shared" si="3"/>
        <v>Good</v>
      </c>
      <c r="Q263" s="65"/>
      <c r="R263" s="65"/>
      <c r="S263" s="65"/>
      <c r="T263" s="65"/>
      <c r="U263" s="6"/>
      <c r="V263" s="6" t="str">
        <f>IFERROR(__xludf.DUMMYFUNCTION("""COMPUTED_VALUE"""),"quest.ahead_of_time_chapter_5.finished")</f>
        <v>quest.ahead_of_time_chapter_5.finished</v>
      </c>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ht="14.25" customHeight="1">
      <c r="A264" s="26" t="str">
        <f t="shared" si="1"/>
        <v>quest.build_the_guild.accepted</v>
      </c>
      <c r="B264" s="26" t="str">
        <f t="array" ref="B264">_xlfn.XLOOKUP(A264,Targets!A:A,Targets!C:C,"")</f>
        <v>QUEST</v>
      </c>
      <c r="C264" s="64" t="b">
        <f>COUNTIF(Targets!A:A,A264)&gt;0</f>
        <v>1</v>
      </c>
      <c r="D264" s="64" t="b">
        <f>IF(
 OR(
  LEFT(A264,15)="state.character",
  RIGHT(A264,6)=".maxed"
 ),
 TRUE,
 COUNTIF(Checklist!A:A,A264)&gt;0
)</f>
        <v>1</v>
      </c>
      <c r="E264" s="64" t="b">
        <f>IF(
 OR(
  LEFT(A264,15)="state.character",
  RIGHT(A264,6)=".maxed",
  A264="building.guild@1",
  A264="quest.build_the_guild.accepted",
  A264="quest.build_the_pagoda.accepted"
 ),
 TRUE,
 COUNTIF(Dependencies!A:A,A264)&gt;0
)</f>
        <v>1</v>
      </c>
      <c r="F264" s="64" t="b">
        <f>COUNTIF(Dependencies!B:B,A264)&gt;0</f>
        <v>1</v>
      </c>
      <c r="G264" s="64" t="b">
        <f>COUNTIF(QuestObjectives!A:A,A264)&gt;0</f>
        <v>0</v>
      </c>
      <c r="H264" s="64" t="b">
        <f>COUNTIF(QuestObjectives!E:E,A264)&gt;0</f>
        <v>0</v>
      </c>
      <c r="I264" s="64" t="b">
        <f>COUNTIF(TargetStatus!A:A,A264)&gt;0</f>
        <v>1</v>
      </c>
      <c r="J264" s="64" t="b">
        <f>COUNTIF(CostStatus!B:B,A264)&gt;0</f>
        <v>0</v>
      </c>
      <c r="K264" s="64" t="b">
        <f>COUNTIF(States!A:A,A264)&gt;0</f>
        <v>0</v>
      </c>
      <c r="L264" s="64" t="b">
        <f t="shared" si="2"/>
        <v>1</v>
      </c>
      <c r="M264" s="64" t="b">
        <f>IF(A264="","",COUNTIF(Targets!A:A,A264)&gt;1)</f>
        <v>0</v>
      </c>
      <c r="N264" s="64" t="b">
        <f>IF(A264="","",COUNTIF(States!A:A,A264)&gt;1)</f>
        <v>0</v>
      </c>
      <c r="O264" s="64" t="b">
        <f>IFERROR(__xludf.DUMMYFUNCTION("IF(
 B264="""",
 """",
 SWITCH(
  B264,
  ""BUILDING"",COUNTIF(Buildings!A:A,A264)&gt;0,
  ""CITADEL"",COUNTIF(Citadel!A:A,A264)&gt;0,
  ""COLLECTION"",COUNTIF(Collections!A:A,A264)&gt;0,
  ""CRAFTIFACT"",COUNTIF(Craftifacts!A:A,A264)&gt;0,
  ""QUEST"",
   COUNTIF(
 "&amp;"   Quests!A:A,
    REGEXREPLACE(A264,""\.(accepted|finished)$"","""")
   )&gt;0,
  ""TECH"",COUNTIF(Technologies!A:A,A264)&gt;0,
  ""STATE"",COUNTIF(States!A:A,A264)&gt;0,
  FALSE
 )
)"),TRUE)</f>
        <v>1</v>
      </c>
      <c r="P264" s="64" t="str">
        <f t="shared" si="3"/>
        <v>Good</v>
      </c>
      <c r="Q264" s="65"/>
      <c r="R264" s="65"/>
      <c r="S264" s="65"/>
      <c r="T264" s="65"/>
      <c r="U264" s="6"/>
      <c r="V264" s="6" t="str">
        <f>IFERROR(__xludf.DUMMYFUNCTION("""COMPUTED_VALUE"""),"quest.build_the_guild.accepted")</f>
        <v>quest.build_the_guild.accepted</v>
      </c>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ht="14.25" customHeight="1">
      <c r="A265" s="26" t="str">
        <f t="shared" si="1"/>
        <v>quest.build_the_guild.finished</v>
      </c>
      <c r="B265" s="26" t="str">
        <f t="array" ref="B265">_xlfn.XLOOKUP(A265,Targets!A:A,Targets!C:C,"")</f>
        <v>QUEST</v>
      </c>
      <c r="C265" s="64" t="b">
        <f>COUNTIF(Targets!A:A,A265)&gt;0</f>
        <v>1</v>
      </c>
      <c r="D265" s="64" t="b">
        <f>IF(
 OR(
  LEFT(A265,15)="state.character",
  RIGHT(A265,6)=".maxed"
 ),
 TRUE,
 COUNTIF(Checklist!A:A,A265)&gt;0
)</f>
        <v>1</v>
      </c>
      <c r="E265" s="64" t="b">
        <f>IF(
 OR(
  LEFT(A265,15)="state.character",
  RIGHT(A265,6)=".maxed",
  A265="building.guild@1",
  A265="quest.build_the_guild.accepted",
  A265="quest.build_the_pagoda.accepted"
 ),
 TRUE,
 COUNTIF(Dependencies!A:A,A265)&gt;0
)</f>
        <v>1</v>
      </c>
      <c r="F265" s="64" t="b">
        <f>COUNTIF(Dependencies!B:B,A265)&gt;0</f>
        <v>0</v>
      </c>
      <c r="G265" s="64" t="b">
        <f>COUNTIF(QuestObjectives!A:A,A265)&gt;0</f>
        <v>1</v>
      </c>
      <c r="H265" s="64" t="b">
        <f>COUNTIF(QuestObjectives!E:E,A265)&gt;0</f>
        <v>0</v>
      </c>
      <c r="I265" s="64" t="b">
        <f>COUNTIF(TargetStatus!A:A,A265)&gt;0</f>
        <v>1</v>
      </c>
      <c r="J265" s="64" t="b">
        <f>COUNTIF(CostStatus!B:B,A265)&gt;0</f>
        <v>0</v>
      </c>
      <c r="K265" s="64" t="b">
        <f>COUNTIF(States!A:A,A265)&gt;0</f>
        <v>0</v>
      </c>
      <c r="L265" s="64" t="b">
        <f t="shared" si="2"/>
        <v>1</v>
      </c>
      <c r="M265" s="64" t="b">
        <f>IF(A265="","",COUNTIF(Targets!A:A,A265)&gt;1)</f>
        <v>0</v>
      </c>
      <c r="N265" s="64" t="b">
        <f>IF(A265="","",COUNTIF(States!A:A,A265)&gt;1)</f>
        <v>0</v>
      </c>
      <c r="O265" s="64" t="b">
        <f>IFERROR(__xludf.DUMMYFUNCTION("IF(
 B265="""",
 """",
 SWITCH(
  B265,
  ""BUILDING"",COUNTIF(Buildings!A:A,A265)&gt;0,
  ""CITADEL"",COUNTIF(Citadel!A:A,A265)&gt;0,
  ""COLLECTION"",COUNTIF(Collections!A:A,A265)&gt;0,
  ""CRAFTIFACT"",COUNTIF(Craftifacts!A:A,A265)&gt;0,
  ""QUEST"",
   COUNTIF(
 "&amp;"   Quests!A:A,
    REGEXREPLACE(A265,""\.(accepted|finished)$"","""")
   )&gt;0,
  ""TECH"",COUNTIF(Technologies!A:A,A265)&gt;0,
  ""STATE"",COUNTIF(States!A:A,A265)&gt;0,
  FALSE
 )
)"),TRUE)</f>
        <v>1</v>
      </c>
      <c r="P265" s="64" t="str">
        <f t="shared" si="3"/>
        <v>Good</v>
      </c>
      <c r="Q265" s="65"/>
      <c r="R265" s="65"/>
      <c r="S265" s="65"/>
      <c r="T265" s="65"/>
      <c r="U265" s="6"/>
      <c r="V265" s="6" t="str">
        <f>IFERROR(__xludf.DUMMYFUNCTION("""COMPUTED_VALUE"""),"quest.build_the_guild.finished")</f>
        <v>quest.build_the_guild.finished</v>
      </c>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ht="14.25" customHeight="1">
      <c r="A266" s="26" t="str">
        <f t="shared" si="1"/>
        <v>quest.build_the_pagoda.accepted</v>
      </c>
      <c r="B266" s="26" t="str">
        <f t="array" ref="B266">_xlfn.XLOOKUP(A266,Targets!A:A,Targets!C:C,"")</f>
        <v>QUEST</v>
      </c>
      <c r="C266" s="64" t="b">
        <f>COUNTIF(Targets!A:A,A266)&gt;0</f>
        <v>1</v>
      </c>
      <c r="D266" s="64" t="b">
        <f>IF(
 OR(
  LEFT(A266,15)="state.character",
  RIGHT(A266,6)=".maxed"
 ),
 TRUE,
 COUNTIF(Checklist!A:A,A266)&gt;0
)</f>
        <v>1</v>
      </c>
      <c r="E266" s="64" t="b">
        <f>IF(
 OR(
  LEFT(A266,15)="state.character",
  RIGHT(A266,6)=".maxed",
  A266="building.guild@1",
  A266="quest.build_the_guild.accepted",
  A266="quest.build_the_pagoda.accepted"
 ),
 TRUE,
 COUNTIF(Dependencies!A:A,A266)&gt;0
)</f>
        <v>1</v>
      </c>
      <c r="F266" s="64" t="b">
        <f>COUNTIF(Dependencies!B:B,A266)&gt;0</f>
        <v>1</v>
      </c>
      <c r="G266" s="64" t="b">
        <f>COUNTIF(QuestObjectives!A:A,A266)&gt;0</f>
        <v>0</v>
      </c>
      <c r="H266" s="64" t="b">
        <f>COUNTIF(QuestObjectives!E:E,A266)&gt;0</f>
        <v>0</v>
      </c>
      <c r="I266" s="64" t="b">
        <f>COUNTIF(TargetStatus!A:A,A266)&gt;0</f>
        <v>1</v>
      </c>
      <c r="J266" s="64" t="b">
        <f>COUNTIF(CostStatus!B:B,A266)&gt;0</f>
        <v>0</v>
      </c>
      <c r="K266" s="64" t="b">
        <f>COUNTIF(States!A:A,A266)&gt;0</f>
        <v>0</v>
      </c>
      <c r="L266" s="64" t="b">
        <f t="shared" si="2"/>
        <v>1</v>
      </c>
      <c r="M266" s="64" t="b">
        <f>IF(A266="","",COUNTIF(Targets!A:A,A266)&gt;1)</f>
        <v>0</v>
      </c>
      <c r="N266" s="64" t="b">
        <f>IF(A266="","",COUNTIF(States!A:A,A266)&gt;1)</f>
        <v>0</v>
      </c>
      <c r="O266" s="64" t="b">
        <f>IFERROR(__xludf.DUMMYFUNCTION("IF(
 B266="""",
 """",
 SWITCH(
  B266,
  ""BUILDING"",COUNTIF(Buildings!A:A,A266)&gt;0,
  ""CITADEL"",COUNTIF(Citadel!A:A,A266)&gt;0,
  ""COLLECTION"",COUNTIF(Collections!A:A,A266)&gt;0,
  ""CRAFTIFACT"",COUNTIF(Craftifacts!A:A,A266)&gt;0,
  ""QUEST"",
   COUNTIF(
 "&amp;"   Quests!A:A,
    REGEXREPLACE(A266,""\.(accepted|finished)$"","""")
   )&gt;0,
  ""TECH"",COUNTIF(Technologies!A:A,A266)&gt;0,
  ""STATE"",COUNTIF(States!A:A,A266)&gt;0,
  FALSE
 )
)"),TRUE)</f>
        <v>1</v>
      </c>
      <c r="P266" s="64" t="str">
        <f t="shared" si="3"/>
        <v>Good</v>
      </c>
      <c r="Q266" s="65"/>
      <c r="R266" s="65"/>
      <c r="S266" s="65"/>
      <c r="T266" s="65"/>
      <c r="U266" s="6"/>
      <c r="V266" s="6" t="str">
        <f>IFERROR(__xludf.DUMMYFUNCTION("""COMPUTED_VALUE"""),"quest.build_the_pagoda.accepted")</f>
        <v>quest.build_the_pagoda.accepted</v>
      </c>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ht="14.25" customHeight="1">
      <c r="A267" s="26" t="str">
        <f t="shared" si="1"/>
        <v>quest.build_the_pagoda.finished</v>
      </c>
      <c r="B267" s="26" t="str">
        <f t="array" ref="B267">_xlfn.XLOOKUP(A267,Targets!A:A,Targets!C:C,"")</f>
        <v>QUEST</v>
      </c>
      <c r="C267" s="64" t="b">
        <f>COUNTIF(Targets!A:A,A267)&gt;0</f>
        <v>1</v>
      </c>
      <c r="D267" s="64" t="b">
        <f>IF(
 OR(
  LEFT(A267,15)="state.character",
  RIGHT(A267,6)=".maxed"
 ),
 TRUE,
 COUNTIF(Checklist!A:A,A267)&gt;0
)</f>
        <v>1</v>
      </c>
      <c r="E267" s="64" t="b">
        <f>IF(
 OR(
  LEFT(A267,15)="state.character",
  RIGHT(A267,6)=".maxed",
  A267="building.guild@1",
  A267="quest.build_the_guild.accepted",
  A267="quest.build_the_pagoda.accepted"
 ),
 TRUE,
 COUNTIF(Dependencies!A:A,A267)&gt;0
)</f>
        <v>1</v>
      </c>
      <c r="F267" s="64" t="b">
        <f>COUNTIF(Dependencies!B:B,A267)&gt;0</f>
        <v>0</v>
      </c>
      <c r="G267" s="64" t="b">
        <f>COUNTIF(QuestObjectives!A:A,A267)&gt;0</f>
        <v>1</v>
      </c>
      <c r="H267" s="64" t="b">
        <f>COUNTIF(QuestObjectives!E:E,A267)&gt;0</f>
        <v>0</v>
      </c>
      <c r="I267" s="64" t="b">
        <f>COUNTIF(TargetStatus!A:A,A267)&gt;0</f>
        <v>1</v>
      </c>
      <c r="J267" s="64" t="b">
        <f>COUNTIF(CostStatus!B:B,A267)&gt;0</f>
        <v>0</v>
      </c>
      <c r="K267" s="64" t="b">
        <f>COUNTIF(States!A:A,A267)&gt;0</f>
        <v>0</v>
      </c>
      <c r="L267" s="64" t="b">
        <f t="shared" si="2"/>
        <v>1</v>
      </c>
      <c r="M267" s="64" t="b">
        <f>IF(A267="","",COUNTIF(Targets!A:A,A267)&gt;1)</f>
        <v>0</v>
      </c>
      <c r="N267" s="64" t="b">
        <f>IF(A267="","",COUNTIF(States!A:A,A267)&gt;1)</f>
        <v>0</v>
      </c>
      <c r="O267" s="64" t="b">
        <f>IFERROR(__xludf.DUMMYFUNCTION("IF(
 B267="""",
 """",
 SWITCH(
  B267,
  ""BUILDING"",COUNTIF(Buildings!A:A,A267)&gt;0,
  ""CITADEL"",COUNTIF(Citadel!A:A,A267)&gt;0,
  ""COLLECTION"",COUNTIF(Collections!A:A,A267)&gt;0,
  ""CRAFTIFACT"",COUNTIF(Craftifacts!A:A,A267)&gt;0,
  ""QUEST"",
   COUNTIF(
 "&amp;"   Quests!A:A,
    REGEXREPLACE(A267,""\.(accepted|finished)$"","""")
   )&gt;0,
  ""TECH"",COUNTIF(Technologies!A:A,A267)&gt;0,
  ""STATE"",COUNTIF(States!A:A,A267)&gt;0,
  FALSE
 )
)"),TRUE)</f>
        <v>1</v>
      </c>
      <c r="P267" s="64" t="str">
        <f t="shared" si="3"/>
        <v>Good</v>
      </c>
      <c r="Q267" s="65"/>
      <c r="R267" s="65"/>
      <c r="S267" s="65"/>
      <c r="T267" s="65"/>
      <c r="U267" s="6"/>
      <c r="V267" s="6" t="str">
        <f>IFERROR(__xludf.DUMMYFUNCTION("""COMPUTED_VALUE"""),"quest.build_the_pagoda.finished")</f>
        <v>quest.build_the_pagoda.finished</v>
      </c>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ht="14.25" customHeight="1">
      <c r="A268" s="26" t="str">
        <f t="shared" si="1"/>
        <v>quest.culinary_battle.accepted</v>
      </c>
      <c r="B268" s="26" t="str">
        <f t="array" ref="B268">_xlfn.XLOOKUP(A268,Targets!A:A,Targets!C:C,"")</f>
        <v>QUEST</v>
      </c>
      <c r="C268" s="64" t="b">
        <f>COUNTIF(Targets!A:A,A268)&gt;0</f>
        <v>1</v>
      </c>
      <c r="D268" s="64" t="b">
        <f>IF(
 OR(
  LEFT(A268,15)="state.character",
  RIGHT(A268,6)=".maxed"
 ),
 TRUE,
 COUNTIF(Checklist!A:A,A268)&gt;0
)</f>
        <v>1</v>
      </c>
      <c r="E268" s="64" t="b">
        <f>IF(
 OR(
  LEFT(A268,15)="state.character",
  RIGHT(A268,6)=".maxed",
  A268="building.guild@1",
  A268="quest.build_the_guild.accepted",
  A268="quest.build_the_pagoda.accepted"
 ),
 TRUE,
 COUNTIF(Dependencies!A:A,A268)&gt;0
)</f>
        <v>1</v>
      </c>
      <c r="F268" s="64" t="b">
        <f>COUNTIF(Dependencies!B:B,A268)&gt;0</f>
        <v>1</v>
      </c>
      <c r="G268" s="64" t="b">
        <f>COUNTIF(QuestObjectives!A:A,A268)&gt;0</f>
        <v>0</v>
      </c>
      <c r="H268" s="64" t="b">
        <f>COUNTIF(QuestObjectives!E:E,A268)&gt;0</f>
        <v>0</v>
      </c>
      <c r="I268" s="64" t="b">
        <f>COUNTIF(TargetStatus!A:A,A268)&gt;0</f>
        <v>1</v>
      </c>
      <c r="J268" s="64" t="b">
        <f>COUNTIF(CostStatus!B:B,A268)&gt;0</f>
        <v>0</v>
      </c>
      <c r="K268" s="64" t="b">
        <f>COUNTIF(States!A:A,A268)&gt;0</f>
        <v>0</v>
      </c>
      <c r="L268" s="64" t="b">
        <f t="shared" si="2"/>
        <v>1</v>
      </c>
      <c r="M268" s="64" t="b">
        <f>IF(A268="","",COUNTIF(Targets!A:A,A268)&gt;1)</f>
        <v>0</v>
      </c>
      <c r="N268" s="64" t="b">
        <f>IF(A268="","",COUNTIF(States!A:A,A268)&gt;1)</f>
        <v>0</v>
      </c>
      <c r="O268" s="64" t="b">
        <f>IFERROR(__xludf.DUMMYFUNCTION("IF(
 B268="""",
 """",
 SWITCH(
  B268,
  ""BUILDING"",COUNTIF(Buildings!A:A,A268)&gt;0,
  ""CITADEL"",COUNTIF(Citadel!A:A,A268)&gt;0,
  ""COLLECTION"",COUNTIF(Collections!A:A,A268)&gt;0,
  ""CRAFTIFACT"",COUNTIF(Craftifacts!A:A,A268)&gt;0,
  ""QUEST"",
   COUNTIF(
 "&amp;"   Quests!A:A,
    REGEXREPLACE(A268,""\.(accepted|finished)$"","""")
   )&gt;0,
  ""TECH"",COUNTIF(Technologies!A:A,A268)&gt;0,
  ""STATE"",COUNTIF(States!A:A,A268)&gt;0,
  FALSE
 )
)"),TRUE)</f>
        <v>1</v>
      </c>
      <c r="P268" s="64" t="str">
        <f t="shared" si="3"/>
        <v>Good</v>
      </c>
      <c r="Q268" s="65"/>
      <c r="R268" s="65"/>
      <c r="S268" s="65"/>
      <c r="T268" s="65"/>
      <c r="U268" s="6"/>
      <c r="V268" s="6" t="str">
        <f>IFERROR(__xludf.DUMMYFUNCTION("""COMPUTED_VALUE"""),"quest.culinary_battle.accepted")</f>
        <v>quest.culinary_battle.accepted</v>
      </c>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ht="14.25" customHeight="1">
      <c r="A269" s="26" t="str">
        <f t="shared" si="1"/>
        <v>quest.culinary_battle.finished</v>
      </c>
      <c r="B269" s="26" t="str">
        <f t="array" ref="B269">_xlfn.XLOOKUP(A269,Targets!A:A,Targets!C:C,"")</f>
        <v>QUEST</v>
      </c>
      <c r="C269" s="64" t="b">
        <f>COUNTIF(Targets!A:A,A269)&gt;0</f>
        <v>1</v>
      </c>
      <c r="D269" s="64" t="b">
        <f>IF(
 OR(
  LEFT(A269,15)="state.character",
  RIGHT(A269,6)=".maxed"
 ),
 TRUE,
 COUNTIF(Checklist!A:A,A269)&gt;0
)</f>
        <v>1</v>
      </c>
      <c r="E269" s="64" t="b">
        <f>IF(
 OR(
  LEFT(A269,15)="state.character",
  RIGHT(A269,6)=".maxed",
  A269="building.guild@1",
  A269="quest.build_the_guild.accepted",
  A269="quest.build_the_pagoda.accepted"
 ),
 TRUE,
 COUNTIF(Dependencies!A:A,A269)&gt;0
)</f>
        <v>1</v>
      </c>
      <c r="F269" s="64" t="b">
        <f>COUNTIF(Dependencies!B:B,A269)&gt;0</f>
        <v>0</v>
      </c>
      <c r="G269" s="64" t="b">
        <f>COUNTIF(QuestObjectives!A:A,A269)&gt;0</f>
        <v>1</v>
      </c>
      <c r="H269" s="64" t="b">
        <f>COUNTIF(QuestObjectives!E:E,A269)&gt;0</f>
        <v>0</v>
      </c>
      <c r="I269" s="64" t="b">
        <f>COUNTIF(TargetStatus!A:A,A269)&gt;0</f>
        <v>1</v>
      </c>
      <c r="J269" s="64" t="b">
        <f>COUNTIF(CostStatus!B:B,A269)&gt;0</f>
        <v>1</v>
      </c>
      <c r="K269" s="64" t="b">
        <f>COUNTIF(States!A:A,A269)&gt;0</f>
        <v>0</v>
      </c>
      <c r="L269" s="64" t="b">
        <f t="shared" si="2"/>
        <v>1</v>
      </c>
      <c r="M269" s="64" t="b">
        <f>IF(A269="","",COUNTIF(Targets!A:A,A269)&gt;1)</f>
        <v>0</v>
      </c>
      <c r="N269" s="64" t="b">
        <f>IF(A269="","",COUNTIF(States!A:A,A269)&gt;1)</f>
        <v>0</v>
      </c>
      <c r="O269" s="64" t="b">
        <f>IFERROR(__xludf.DUMMYFUNCTION("IF(
 B269="""",
 """",
 SWITCH(
  B269,
  ""BUILDING"",COUNTIF(Buildings!A:A,A269)&gt;0,
  ""CITADEL"",COUNTIF(Citadel!A:A,A269)&gt;0,
  ""COLLECTION"",COUNTIF(Collections!A:A,A269)&gt;0,
  ""CRAFTIFACT"",COUNTIF(Craftifacts!A:A,A269)&gt;0,
  ""QUEST"",
   COUNTIF(
 "&amp;"   Quests!A:A,
    REGEXREPLACE(A269,""\.(accepted|finished)$"","""")
   )&gt;0,
  ""TECH"",COUNTIF(Technologies!A:A,A269)&gt;0,
  ""STATE"",COUNTIF(States!A:A,A269)&gt;0,
  FALSE
 )
)"),TRUE)</f>
        <v>1</v>
      </c>
      <c r="P269" s="64" t="str">
        <f t="shared" si="3"/>
        <v>Good</v>
      </c>
      <c r="Q269" s="65"/>
      <c r="R269" s="65"/>
      <c r="S269" s="65"/>
      <c r="T269" s="65"/>
      <c r="U269" s="6"/>
      <c r="V269" s="6" t="str">
        <f>IFERROR(__xludf.DUMMYFUNCTION("""COMPUTED_VALUE"""),"quest.culinary_battle.finished")</f>
        <v>quest.culinary_battle.finished</v>
      </c>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ht="14.25" customHeight="1">
      <c r="A270" s="26" t="str">
        <f t="shared" si="1"/>
        <v>quest.dragon_teeth.accepted</v>
      </c>
      <c r="B270" s="26" t="str">
        <f t="array" ref="B270">_xlfn.XLOOKUP(A270,Targets!A:A,Targets!C:C,"")</f>
        <v>QUEST</v>
      </c>
      <c r="C270" s="64" t="b">
        <f>COUNTIF(Targets!A:A,A270)&gt;0</f>
        <v>1</v>
      </c>
      <c r="D270" s="64" t="b">
        <f>IF(
 OR(
  LEFT(A270,15)="state.character",
  RIGHT(A270,6)=".maxed"
 ),
 TRUE,
 COUNTIF(Checklist!A:A,A270)&gt;0
)</f>
        <v>1</v>
      </c>
      <c r="E270" s="64" t="b">
        <f>IF(
 OR(
  LEFT(A270,15)="state.character",
  RIGHT(A270,6)=".maxed",
  A270="building.guild@1",
  A270="quest.build_the_guild.accepted",
  A270="quest.build_the_pagoda.accepted"
 ),
 TRUE,
 COUNTIF(Dependencies!A:A,A270)&gt;0
)</f>
        <v>1</v>
      </c>
      <c r="F270" s="64" t="b">
        <f>COUNTIF(Dependencies!B:B,A270)&gt;0</f>
        <v>1</v>
      </c>
      <c r="G270" s="64" t="b">
        <f>COUNTIF(QuestObjectives!A:A,A270)&gt;0</f>
        <v>0</v>
      </c>
      <c r="H270" s="64" t="b">
        <f>COUNTIF(QuestObjectives!E:E,A270)&gt;0</f>
        <v>0</v>
      </c>
      <c r="I270" s="64" t="b">
        <f>COUNTIF(TargetStatus!A:A,A270)&gt;0</f>
        <v>1</v>
      </c>
      <c r="J270" s="64" t="b">
        <f>COUNTIF(CostStatus!B:B,A270)&gt;0</f>
        <v>0</v>
      </c>
      <c r="K270" s="64" t="b">
        <f>COUNTIF(States!A:A,A270)&gt;0</f>
        <v>0</v>
      </c>
      <c r="L270" s="64" t="b">
        <f t="shared" si="2"/>
        <v>1</v>
      </c>
      <c r="M270" s="64" t="b">
        <f>IF(A270="","",COUNTIF(Targets!A:A,A270)&gt;1)</f>
        <v>0</v>
      </c>
      <c r="N270" s="64" t="b">
        <f>IF(A270="","",COUNTIF(States!A:A,A270)&gt;1)</f>
        <v>0</v>
      </c>
      <c r="O270" s="64" t="b">
        <f>IFERROR(__xludf.DUMMYFUNCTION("IF(
 B270="""",
 """",
 SWITCH(
  B270,
  ""BUILDING"",COUNTIF(Buildings!A:A,A270)&gt;0,
  ""CITADEL"",COUNTIF(Citadel!A:A,A270)&gt;0,
  ""COLLECTION"",COUNTIF(Collections!A:A,A270)&gt;0,
  ""CRAFTIFACT"",COUNTIF(Craftifacts!A:A,A270)&gt;0,
  ""QUEST"",
   COUNTIF(
 "&amp;"   Quests!A:A,
    REGEXREPLACE(A270,""\.(accepted|finished)$"","""")
   )&gt;0,
  ""TECH"",COUNTIF(Technologies!A:A,A270)&gt;0,
  ""STATE"",COUNTIF(States!A:A,A270)&gt;0,
  FALSE
 )
)"),TRUE)</f>
        <v>1</v>
      </c>
      <c r="P270" s="64" t="str">
        <f t="shared" si="3"/>
        <v>Good</v>
      </c>
      <c r="Q270" s="65"/>
      <c r="R270" s="65"/>
      <c r="S270" s="65"/>
      <c r="T270" s="65"/>
      <c r="U270" s="6"/>
      <c r="V270" s="6" t="str">
        <f>IFERROR(__xludf.DUMMYFUNCTION("""COMPUTED_VALUE"""),"quest.dragon_teeth.accepted")</f>
        <v>quest.dragon_teeth.accepted</v>
      </c>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ht="14.25" customHeight="1">
      <c r="A271" s="26" t="str">
        <f t="shared" si="1"/>
        <v>quest.dragon_teeth.finished</v>
      </c>
      <c r="B271" s="26" t="str">
        <f t="array" ref="B271">_xlfn.XLOOKUP(A271,Targets!A:A,Targets!C:C,"")</f>
        <v>QUEST</v>
      </c>
      <c r="C271" s="64" t="b">
        <f>COUNTIF(Targets!A:A,A271)&gt;0</f>
        <v>1</v>
      </c>
      <c r="D271" s="64" t="b">
        <f>IF(
 OR(
  LEFT(A271,15)="state.character",
  RIGHT(A271,6)=".maxed"
 ),
 TRUE,
 COUNTIF(Checklist!A:A,A271)&gt;0
)</f>
        <v>1</v>
      </c>
      <c r="E271" s="64" t="b">
        <f>IF(
 OR(
  LEFT(A271,15)="state.character",
  RIGHT(A271,6)=".maxed",
  A271="building.guild@1",
  A271="quest.build_the_guild.accepted",
  A271="quest.build_the_pagoda.accepted"
 ),
 TRUE,
 COUNTIF(Dependencies!A:A,A271)&gt;0
)</f>
        <v>1</v>
      </c>
      <c r="F271" s="64" t="b">
        <f>COUNTIF(Dependencies!B:B,A271)&gt;0</f>
        <v>1</v>
      </c>
      <c r="G271" s="64" t="b">
        <f>COUNTIF(QuestObjectives!A:A,A271)&gt;0</f>
        <v>1</v>
      </c>
      <c r="H271" s="64" t="b">
        <f>COUNTIF(QuestObjectives!E:E,A271)&gt;0</f>
        <v>0</v>
      </c>
      <c r="I271" s="64" t="b">
        <f>COUNTIF(TargetStatus!A:A,A271)&gt;0</f>
        <v>1</v>
      </c>
      <c r="J271" s="64" t="b">
        <f>COUNTIF(CostStatus!B:B,A271)&gt;0</f>
        <v>0</v>
      </c>
      <c r="K271" s="64" t="b">
        <f>COUNTIF(States!A:A,A271)&gt;0</f>
        <v>0</v>
      </c>
      <c r="L271" s="64" t="b">
        <f t="shared" si="2"/>
        <v>1</v>
      </c>
      <c r="M271" s="64" t="b">
        <f>IF(A271="","",COUNTIF(Targets!A:A,A271)&gt;1)</f>
        <v>0</v>
      </c>
      <c r="N271" s="64" t="b">
        <f>IF(A271="","",COUNTIF(States!A:A,A271)&gt;1)</f>
        <v>0</v>
      </c>
      <c r="O271" s="64" t="b">
        <f>IFERROR(__xludf.DUMMYFUNCTION("IF(
 B271="""",
 """",
 SWITCH(
  B271,
  ""BUILDING"",COUNTIF(Buildings!A:A,A271)&gt;0,
  ""CITADEL"",COUNTIF(Citadel!A:A,A271)&gt;0,
  ""COLLECTION"",COUNTIF(Collections!A:A,A271)&gt;0,
  ""CRAFTIFACT"",COUNTIF(Craftifacts!A:A,A271)&gt;0,
  ""QUEST"",
   COUNTIF(
 "&amp;"   Quests!A:A,
    REGEXREPLACE(A271,""\.(accepted|finished)$"","""")
   )&gt;0,
  ""TECH"",COUNTIF(Technologies!A:A,A271)&gt;0,
  ""STATE"",COUNTIF(States!A:A,A271)&gt;0,
  FALSE
 )
)"),TRUE)</f>
        <v>1</v>
      </c>
      <c r="P271" s="64" t="str">
        <f t="shared" si="3"/>
        <v>Good</v>
      </c>
      <c r="Q271" s="65"/>
      <c r="R271" s="65"/>
      <c r="S271" s="65"/>
      <c r="T271" s="65"/>
      <c r="U271" s="6"/>
      <c r="V271" s="6" t="str">
        <f>IFERROR(__xludf.DUMMYFUNCTION("""COMPUTED_VALUE"""),"quest.dragon_teeth.finished")</f>
        <v>quest.dragon_teeth.finished</v>
      </c>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ht="14.25" customHeight="1">
      <c r="A272" s="26" t="str">
        <f t="shared" si="1"/>
        <v>quest.festival_of_beans.accepted</v>
      </c>
      <c r="B272" s="26" t="str">
        <f t="array" ref="B272">_xlfn.XLOOKUP(A272,Targets!A:A,Targets!C:C,"")</f>
        <v>QUEST</v>
      </c>
      <c r="C272" s="64" t="b">
        <f>COUNTIF(Targets!A:A,A272)&gt;0</f>
        <v>1</v>
      </c>
      <c r="D272" s="64" t="b">
        <f>IF(
 OR(
  LEFT(A272,15)="state.character",
  RIGHT(A272,6)=".maxed"
 ),
 TRUE,
 COUNTIF(Checklist!A:A,A272)&gt;0
)</f>
        <v>1</v>
      </c>
      <c r="E272" s="64" t="b">
        <f>IF(
 OR(
  LEFT(A272,15)="state.character",
  RIGHT(A272,6)=".maxed",
  A272="building.guild@1",
  A272="quest.build_the_guild.accepted",
  A272="quest.build_the_pagoda.accepted"
 ),
 TRUE,
 COUNTIF(Dependencies!A:A,A272)&gt;0
)</f>
        <v>1</v>
      </c>
      <c r="F272" s="64" t="b">
        <f>COUNTIF(Dependencies!B:B,A272)&gt;0</f>
        <v>1</v>
      </c>
      <c r="G272" s="64" t="b">
        <f>COUNTIF(QuestObjectives!A:A,A272)&gt;0</f>
        <v>0</v>
      </c>
      <c r="H272" s="64" t="b">
        <f>COUNTIF(QuestObjectives!E:E,A272)&gt;0</f>
        <v>0</v>
      </c>
      <c r="I272" s="64" t="b">
        <f>COUNTIF(TargetStatus!A:A,A272)&gt;0</f>
        <v>1</v>
      </c>
      <c r="J272" s="64" t="b">
        <f>COUNTIF(CostStatus!B:B,A272)&gt;0</f>
        <v>0</v>
      </c>
      <c r="K272" s="64" t="b">
        <f>COUNTIF(States!A:A,A272)&gt;0</f>
        <v>0</v>
      </c>
      <c r="L272" s="64" t="b">
        <f t="shared" si="2"/>
        <v>1</v>
      </c>
      <c r="M272" s="64" t="b">
        <f>IF(A272="","",COUNTIF(Targets!A:A,A272)&gt;1)</f>
        <v>0</v>
      </c>
      <c r="N272" s="64" t="b">
        <f>IF(A272="","",COUNTIF(States!A:A,A272)&gt;1)</f>
        <v>0</v>
      </c>
      <c r="O272" s="64" t="b">
        <f>IFERROR(__xludf.DUMMYFUNCTION("IF(
 B272="""",
 """",
 SWITCH(
  B272,
  ""BUILDING"",COUNTIF(Buildings!A:A,A272)&gt;0,
  ""CITADEL"",COUNTIF(Citadel!A:A,A272)&gt;0,
  ""COLLECTION"",COUNTIF(Collections!A:A,A272)&gt;0,
  ""CRAFTIFACT"",COUNTIF(Craftifacts!A:A,A272)&gt;0,
  ""QUEST"",
   COUNTIF(
 "&amp;"   Quests!A:A,
    REGEXREPLACE(A272,""\.(accepted|finished)$"","""")
   )&gt;0,
  ""TECH"",COUNTIF(Technologies!A:A,A272)&gt;0,
  ""STATE"",COUNTIF(States!A:A,A272)&gt;0,
  FALSE
 )
)"),TRUE)</f>
        <v>1</v>
      </c>
      <c r="P272" s="64" t="str">
        <f t="shared" si="3"/>
        <v>Good</v>
      </c>
      <c r="Q272" s="65"/>
      <c r="R272" s="65"/>
      <c r="S272" s="65"/>
      <c r="T272" s="65"/>
      <c r="U272" s="6"/>
      <c r="V272" s="6" t="str">
        <f>IFERROR(__xludf.DUMMYFUNCTION("""COMPUTED_VALUE"""),"quest.festival_of_beans.accepted")</f>
        <v>quest.festival_of_beans.accepted</v>
      </c>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ht="14.25" customHeight="1">
      <c r="A273" s="26" t="str">
        <f t="shared" si="1"/>
        <v>quest.festival_of_beans.finished</v>
      </c>
      <c r="B273" s="26" t="str">
        <f t="array" ref="B273">_xlfn.XLOOKUP(A273,Targets!A:A,Targets!C:C,"")</f>
        <v>QUEST</v>
      </c>
      <c r="C273" s="64" t="b">
        <f>COUNTIF(Targets!A:A,A273)&gt;0</f>
        <v>1</v>
      </c>
      <c r="D273" s="64" t="b">
        <f>IF(
 OR(
  LEFT(A273,15)="state.character",
  RIGHT(A273,6)=".maxed"
 ),
 TRUE,
 COUNTIF(Checklist!A:A,A273)&gt;0
)</f>
        <v>1</v>
      </c>
      <c r="E273" s="64" t="b">
        <f>IF(
 OR(
  LEFT(A273,15)="state.character",
  RIGHT(A273,6)=".maxed",
  A273="building.guild@1",
  A273="quest.build_the_guild.accepted",
  A273="quest.build_the_pagoda.accepted"
 ),
 TRUE,
 COUNTIF(Dependencies!A:A,A273)&gt;0
)</f>
        <v>1</v>
      </c>
      <c r="F273" s="64" t="b">
        <f>COUNTIF(Dependencies!B:B,A273)&gt;0</f>
        <v>0</v>
      </c>
      <c r="G273" s="64" t="b">
        <f>COUNTIF(QuestObjectives!A:A,A273)&gt;0</f>
        <v>0</v>
      </c>
      <c r="H273" s="64" t="b">
        <f>COUNTIF(QuestObjectives!E:E,A273)&gt;0</f>
        <v>0</v>
      </c>
      <c r="I273" s="64" t="b">
        <f>COUNTIF(TargetStatus!A:A,A273)&gt;0</f>
        <v>1</v>
      </c>
      <c r="J273" s="64" t="b">
        <f>COUNTIF(CostStatus!B:B,A273)&gt;0</f>
        <v>1</v>
      </c>
      <c r="K273" s="64" t="b">
        <f>COUNTIF(States!A:A,A273)&gt;0</f>
        <v>0</v>
      </c>
      <c r="L273" s="64" t="b">
        <f t="shared" si="2"/>
        <v>1</v>
      </c>
      <c r="M273" s="64" t="b">
        <f>IF(A273="","",COUNTIF(Targets!A:A,A273)&gt;1)</f>
        <v>0</v>
      </c>
      <c r="N273" s="64" t="b">
        <f>IF(A273="","",COUNTIF(States!A:A,A273)&gt;1)</f>
        <v>0</v>
      </c>
      <c r="O273" s="64" t="b">
        <f>IFERROR(__xludf.DUMMYFUNCTION("IF(
 B273="""",
 """",
 SWITCH(
  B273,
  ""BUILDING"",COUNTIF(Buildings!A:A,A273)&gt;0,
  ""CITADEL"",COUNTIF(Citadel!A:A,A273)&gt;0,
  ""COLLECTION"",COUNTIF(Collections!A:A,A273)&gt;0,
  ""CRAFTIFACT"",COUNTIF(Craftifacts!A:A,A273)&gt;0,
  ""QUEST"",
   COUNTIF(
 "&amp;"   Quests!A:A,
    REGEXREPLACE(A273,""\.(accepted|finished)$"","""")
   )&gt;0,
  ""TECH"",COUNTIF(Technologies!A:A,A273)&gt;0,
  ""STATE"",COUNTIF(States!A:A,A273)&gt;0,
  FALSE
 )
)"),TRUE)</f>
        <v>1</v>
      </c>
      <c r="P273" s="64" t="str">
        <f t="shared" si="3"/>
        <v>Good</v>
      </c>
      <c r="Q273" s="65"/>
      <c r="R273" s="65"/>
      <c r="S273" s="65"/>
      <c r="T273" s="65"/>
      <c r="U273" s="6"/>
      <c r="V273" s="6" t="str">
        <f>IFERROR(__xludf.DUMMYFUNCTION("""COMPUTED_VALUE"""),"quest.festival_of_beans.finished")</f>
        <v>quest.festival_of_beans.finished</v>
      </c>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row>
    <row r="274" ht="14.25" customHeight="1">
      <c r="A274" s="26" t="str">
        <f t="shared" si="1"/>
        <v>quest.festival_returns.accepted</v>
      </c>
      <c r="B274" s="26" t="str">
        <f t="array" ref="B274">_xlfn.XLOOKUP(A274,Targets!A:A,Targets!C:C,"")</f>
        <v>QUEST</v>
      </c>
      <c r="C274" s="64" t="b">
        <f>COUNTIF(Targets!A:A,A274)&gt;0</f>
        <v>1</v>
      </c>
      <c r="D274" s="64" t="b">
        <f>IF(
 OR(
  LEFT(A274,15)="state.character",
  RIGHT(A274,6)=".maxed"
 ),
 TRUE,
 COUNTIF(Checklist!A:A,A274)&gt;0
)</f>
        <v>1</v>
      </c>
      <c r="E274" s="64" t="b">
        <f>IF(
 OR(
  LEFT(A274,15)="state.character",
  RIGHT(A274,6)=".maxed",
  A274="building.guild@1",
  A274="quest.build_the_guild.accepted",
  A274="quest.build_the_pagoda.accepted"
 ),
 TRUE,
 COUNTIF(Dependencies!A:A,A274)&gt;0
)</f>
        <v>1</v>
      </c>
      <c r="F274" s="64" t="b">
        <f>COUNTIF(Dependencies!B:B,A274)&gt;0</f>
        <v>1</v>
      </c>
      <c r="G274" s="64" t="b">
        <f>COUNTIF(QuestObjectives!A:A,A274)&gt;0</f>
        <v>0</v>
      </c>
      <c r="H274" s="64" t="b">
        <f>COUNTIF(QuestObjectives!E:E,A274)&gt;0</f>
        <v>0</v>
      </c>
      <c r="I274" s="64" t="b">
        <f>COUNTIF(TargetStatus!A:A,A274)&gt;0</f>
        <v>1</v>
      </c>
      <c r="J274" s="64" t="b">
        <f>COUNTIF(CostStatus!B:B,A274)&gt;0</f>
        <v>0</v>
      </c>
      <c r="K274" s="64" t="b">
        <f>COUNTIF(States!A:A,A274)&gt;0</f>
        <v>0</v>
      </c>
      <c r="L274" s="64" t="b">
        <f t="shared" si="2"/>
        <v>1</v>
      </c>
      <c r="M274" s="64" t="b">
        <f>IF(A274="","",COUNTIF(Targets!A:A,A274)&gt;1)</f>
        <v>0</v>
      </c>
      <c r="N274" s="64" t="b">
        <f>IF(A274="","",COUNTIF(States!A:A,A274)&gt;1)</f>
        <v>0</v>
      </c>
      <c r="O274" s="64" t="b">
        <f>IFERROR(__xludf.DUMMYFUNCTION("IF(
 B274="""",
 """",
 SWITCH(
  B274,
  ""BUILDING"",COUNTIF(Buildings!A:A,A274)&gt;0,
  ""CITADEL"",COUNTIF(Citadel!A:A,A274)&gt;0,
  ""COLLECTION"",COUNTIF(Collections!A:A,A274)&gt;0,
  ""CRAFTIFACT"",COUNTIF(Craftifacts!A:A,A274)&gt;0,
  ""QUEST"",
   COUNTIF(
 "&amp;"   Quests!A:A,
    REGEXREPLACE(A274,""\.(accepted|finished)$"","""")
   )&gt;0,
  ""TECH"",COUNTIF(Technologies!A:A,A274)&gt;0,
  ""STATE"",COUNTIF(States!A:A,A274)&gt;0,
  FALSE
 )
)"),TRUE)</f>
        <v>1</v>
      </c>
      <c r="P274" s="64" t="str">
        <f t="shared" si="3"/>
        <v>Good</v>
      </c>
      <c r="Q274" s="65"/>
      <c r="R274" s="65"/>
      <c r="S274" s="65"/>
      <c r="T274" s="65"/>
      <c r="U274" s="6"/>
      <c r="V274" s="6" t="str">
        <f>IFERROR(__xludf.DUMMYFUNCTION("""COMPUTED_VALUE"""),"quest.festival_returns.accepted")</f>
        <v>quest.festival_returns.accepted</v>
      </c>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row>
    <row r="275" ht="14.25" customHeight="1">
      <c r="A275" s="26" t="str">
        <f t="shared" si="1"/>
        <v>quest.festival_returns.finished</v>
      </c>
      <c r="B275" s="26" t="str">
        <f t="array" ref="B275">_xlfn.XLOOKUP(A275,Targets!A:A,Targets!C:C,"")</f>
        <v>QUEST</v>
      </c>
      <c r="C275" s="64" t="b">
        <f>COUNTIF(Targets!A:A,A275)&gt;0</f>
        <v>1</v>
      </c>
      <c r="D275" s="64" t="b">
        <f>IF(
 OR(
  LEFT(A275,15)="state.character",
  RIGHT(A275,6)=".maxed"
 ),
 TRUE,
 COUNTIF(Checklist!A:A,A275)&gt;0
)</f>
        <v>1</v>
      </c>
      <c r="E275" s="64" t="b">
        <f>IF(
 OR(
  LEFT(A275,15)="state.character",
  RIGHT(A275,6)=".maxed",
  A275="building.guild@1",
  A275="quest.build_the_guild.accepted",
  A275="quest.build_the_pagoda.accepted"
 ),
 TRUE,
 COUNTIF(Dependencies!A:A,A275)&gt;0
)</f>
        <v>1</v>
      </c>
      <c r="F275" s="64" t="b">
        <f>COUNTIF(Dependencies!B:B,A275)&gt;0</f>
        <v>1</v>
      </c>
      <c r="G275" s="64" t="b">
        <f>COUNTIF(QuestObjectives!A:A,A275)&gt;0</f>
        <v>0</v>
      </c>
      <c r="H275" s="64" t="b">
        <f>COUNTIF(QuestObjectives!E:E,A275)&gt;0</f>
        <v>0</v>
      </c>
      <c r="I275" s="64" t="b">
        <f>COUNTIF(TargetStatus!A:A,A275)&gt;0</f>
        <v>1</v>
      </c>
      <c r="J275" s="64" t="b">
        <f>COUNTIF(CostStatus!B:B,A275)&gt;0</f>
        <v>1</v>
      </c>
      <c r="K275" s="64" t="b">
        <f>COUNTIF(States!A:A,A275)&gt;0</f>
        <v>0</v>
      </c>
      <c r="L275" s="64" t="b">
        <f t="shared" si="2"/>
        <v>1</v>
      </c>
      <c r="M275" s="64" t="b">
        <f>IF(A275="","",COUNTIF(Targets!A:A,A275)&gt;1)</f>
        <v>0</v>
      </c>
      <c r="N275" s="64" t="b">
        <f>IF(A275="","",COUNTIF(States!A:A,A275)&gt;1)</f>
        <v>0</v>
      </c>
      <c r="O275" s="64" t="b">
        <f>IFERROR(__xludf.DUMMYFUNCTION("IF(
 B275="""",
 """",
 SWITCH(
  B275,
  ""BUILDING"",COUNTIF(Buildings!A:A,A275)&gt;0,
  ""CITADEL"",COUNTIF(Citadel!A:A,A275)&gt;0,
  ""COLLECTION"",COUNTIF(Collections!A:A,A275)&gt;0,
  ""CRAFTIFACT"",COUNTIF(Craftifacts!A:A,A275)&gt;0,
  ""QUEST"",
   COUNTIF(
 "&amp;"   Quests!A:A,
    REGEXREPLACE(A275,""\.(accepted|finished)$"","""")
   )&gt;0,
  ""TECH"",COUNTIF(Technologies!A:A,A275)&gt;0,
  ""STATE"",COUNTIF(States!A:A,A275)&gt;0,
  FALSE
 )
)"),TRUE)</f>
        <v>1</v>
      </c>
      <c r="P275" s="64" t="str">
        <f t="shared" si="3"/>
        <v>Good</v>
      </c>
      <c r="Q275" s="65"/>
      <c r="R275" s="65"/>
      <c r="S275" s="65"/>
      <c r="T275" s="65"/>
      <c r="U275" s="6"/>
      <c r="V275" s="6" t="str">
        <f>IFERROR(__xludf.DUMMYFUNCTION("""COMPUTED_VALUE"""),"quest.festival_returns.finished")</f>
        <v>quest.festival_returns.finished</v>
      </c>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row>
    <row r="276" ht="14.25" customHeight="1">
      <c r="A276" s="26" t="str">
        <f t="shared" si="1"/>
        <v>quest.festival.accepted</v>
      </c>
      <c r="B276" s="26" t="str">
        <f t="array" ref="B276">_xlfn.XLOOKUP(A276,Targets!A:A,Targets!C:C,"")</f>
        <v>QUEST</v>
      </c>
      <c r="C276" s="64" t="b">
        <f>COUNTIF(Targets!A:A,A276)&gt;0</f>
        <v>1</v>
      </c>
      <c r="D276" s="64" t="b">
        <f>IF(
 OR(
  LEFT(A276,15)="state.character",
  RIGHT(A276,6)=".maxed"
 ),
 TRUE,
 COUNTIF(Checklist!A:A,A276)&gt;0
)</f>
        <v>1</v>
      </c>
      <c r="E276" s="64" t="b">
        <f>IF(
 OR(
  LEFT(A276,15)="state.character",
  RIGHT(A276,6)=".maxed",
  A276="building.guild@1",
  A276="quest.build_the_guild.accepted",
  A276="quest.build_the_pagoda.accepted"
 ),
 TRUE,
 COUNTIF(Dependencies!A:A,A276)&gt;0
)</f>
        <v>1</v>
      </c>
      <c r="F276" s="64" t="b">
        <f>COUNTIF(Dependencies!B:B,A276)&gt;0</f>
        <v>1</v>
      </c>
      <c r="G276" s="64" t="b">
        <f>COUNTIF(QuestObjectives!A:A,A276)&gt;0</f>
        <v>0</v>
      </c>
      <c r="H276" s="64" t="b">
        <f>COUNTIF(QuestObjectives!E:E,A276)&gt;0</f>
        <v>0</v>
      </c>
      <c r="I276" s="64" t="b">
        <f>COUNTIF(TargetStatus!A:A,A276)&gt;0</f>
        <v>1</v>
      </c>
      <c r="J276" s="64" t="b">
        <f>COUNTIF(CostStatus!B:B,A276)&gt;0</f>
        <v>0</v>
      </c>
      <c r="K276" s="64" t="b">
        <f>COUNTIF(States!A:A,A276)&gt;0</f>
        <v>0</v>
      </c>
      <c r="L276" s="64" t="b">
        <f t="shared" si="2"/>
        <v>1</v>
      </c>
      <c r="M276" s="64" t="b">
        <f>IF(A276="","",COUNTIF(Targets!A:A,A276)&gt;1)</f>
        <v>0</v>
      </c>
      <c r="N276" s="64" t="b">
        <f>IF(A276="","",COUNTIF(States!A:A,A276)&gt;1)</f>
        <v>0</v>
      </c>
      <c r="O276" s="64" t="b">
        <f>IFERROR(__xludf.DUMMYFUNCTION("IF(
 B276="""",
 """",
 SWITCH(
  B276,
  ""BUILDING"",COUNTIF(Buildings!A:A,A276)&gt;0,
  ""CITADEL"",COUNTIF(Citadel!A:A,A276)&gt;0,
  ""COLLECTION"",COUNTIF(Collections!A:A,A276)&gt;0,
  ""CRAFTIFACT"",COUNTIF(Craftifacts!A:A,A276)&gt;0,
  ""QUEST"",
   COUNTIF(
 "&amp;"   Quests!A:A,
    REGEXREPLACE(A276,""\.(accepted|finished)$"","""")
   )&gt;0,
  ""TECH"",COUNTIF(Technologies!A:A,A276)&gt;0,
  ""STATE"",COUNTIF(States!A:A,A276)&gt;0,
  FALSE
 )
)"),TRUE)</f>
        <v>1</v>
      </c>
      <c r="P276" s="64" t="str">
        <f t="shared" si="3"/>
        <v>Good</v>
      </c>
      <c r="Q276" s="65"/>
      <c r="R276" s="65"/>
      <c r="S276" s="65"/>
      <c r="T276" s="65"/>
      <c r="U276" s="6"/>
      <c r="V276" s="6" t="str">
        <f>IFERROR(__xludf.DUMMYFUNCTION("""COMPUTED_VALUE"""),"quest.festival.accepted")</f>
        <v>quest.festival.accepted</v>
      </c>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row>
    <row r="277" ht="14.25" customHeight="1">
      <c r="A277" s="26" t="str">
        <f t="shared" si="1"/>
        <v>quest.festival.finished</v>
      </c>
      <c r="B277" s="26" t="str">
        <f t="array" ref="B277">_xlfn.XLOOKUP(A277,Targets!A:A,Targets!C:C,"")</f>
        <v>QUEST</v>
      </c>
      <c r="C277" s="64" t="b">
        <f>COUNTIF(Targets!A:A,A277)&gt;0</f>
        <v>1</v>
      </c>
      <c r="D277" s="64" t="b">
        <f>IF(
 OR(
  LEFT(A277,15)="state.character",
  RIGHT(A277,6)=".maxed"
 ),
 TRUE,
 COUNTIF(Checklist!A:A,A277)&gt;0
)</f>
        <v>1</v>
      </c>
      <c r="E277" s="64" t="b">
        <f>IF(
 OR(
  LEFT(A277,15)="state.character",
  RIGHT(A277,6)=".maxed",
  A277="building.guild@1",
  A277="quest.build_the_guild.accepted",
  A277="quest.build_the_pagoda.accepted"
 ),
 TRUE,
 COUNTIF(Dependencies!A:A,A277)&gt;0
)</f>
        <v>1</v>
      </c>
      <c r="F277" s="64" t="b">
        <f>COUNTIF(Dependencies!B:B,A277)&gt;0</f>
        <v>1</v>
      </c>
      <c r="G277" s="64" t="b">
        <f>COUNTIF(QuestObjectives!A:A,A277)&gt;0</f>
        <v>0</v>
      </c>
      <c r="H277" s="64" t="b">
        <f>COUNTIF(QuestObjectives!E:E,A277)&gt;0</f>
        <v>0</v>
      </c>
      <c r="I277" s="64" t="b">
        <f>COUNTIF(TargetStatus!A:A,A277)&gt;0</f>
        <v>1</v>
      </c>
      <c r="J277" s="64" t="b">
        <f>COUNTIF(CostStatus!B:B,A277)&gt;0</f>
        <v>1</v>
      </c>
      <c r="K277" s="64" t="b">
        <f>COUNTIF(States!A:A,A277)&gt;0</f>
        <v>0</v>
      </c>
      <c r="L277" s="64" t="b">
        <f t="shared" si="2"/>
        <v>1</v>
      </c>
      <c r="M277" s="64" t="b">
        <f>IF(A277="","",COUNTIF(Targets!A:A,A277)&gt;1)</f>
        <v>0</v>
      </c>
      <c r="N277" s="64" t="b">
        <f>IF(A277="","",COUNTIF(States!A:A,A277)&gt;1)</f>
        <v>0</v>
      </c>
      <c r="O277" s="64" t="b">
        <f>IFERROR(__xludf.DUMMYFUNCTION("IF(
 B277="""",
 """",
 SWITCH(
  B277,
  ""BUILDING"",COUNTIF(Buildings!A:A,A277)&gt;0,
  ""CITADEL"",COUNTIF(Citadel!A:A,A277)&gt;0,
  ""COLLECTION"",COUNTIF(Collections!A:A,A277)&gt;0,
  ""CRAFTIFACT"",COUNTIF(Craftifacts!A:A,A277)&gt;0,
  ""QUEST"",
   COUNTIF(
 "&amp;"   Quests!A:A,
    REGEXREPLACE(A277,""\.(accepted|finished)$"","""")
   )&gt;0,
  ""TECH"",COUNTIF(Technologies!A:A,A277)&gt;0,
  ""STATE"",COUNTIF(States!A:A,A277)&gt;0,
  FALSE
 )
)"),TRUE)</f>
        <v>1</v>
      </c>
      <c r="P277" s="64" t="str">
        <f t="shared" si="3"/>
        <v>Good</v>
      </c>
      <c r="Q277" s="65"/>
      <c r="R277" s="65"/>
      <c r="S277" s="65"/>
      <c r="T277" s="65"/>
      <c r="U277" s="6"/>
      <c r="V277" s="6" t="str">
        <f>IFERROR(__xludf.DUMMYFUNCTION("""COMPUTED_VALUE"""),"quest.festival.finished")</f>
        <v>quest.festival.finished</v>
      </c>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row>
    <row r="278" ht="14.25" customHeight="1">
      <c r="A278" s="26" t="str">
        <f t="shared" si="1"/>
        <v>quest.green_potion.accepted</v>
      </c>
      <c r="B278" s="26" t="str">
        <f t="array" ref="B278">_xlfn.XLOOKUP(A278,Targets!A:A,Targets!C:C,"")</f>
        <v>QUEST</v>
      </c>
      <c r="C278" s="64" t="b">
        <f>COUNTIF(Targets!A:A,A278)&gt;0</f>
        <v>1</v>
      </c>
      <c r="D278" s="64" t="b">
        <f>IF(
 OR(
  LEFT(A278,15)="state.character",
  RIGHT(A278,6)=".maxed"
 ),
 TRUE,
 COUNTIF(Checklist!A:A,A278)&gt;0
)</f>
        <v>1</v>
      </c>
      <c r="E278" s="64" t="b">
        <f>IF(
 OR(
  LEFT(A278,15)="state.character",
  RIGHT(A278,6)=".maxed",
  A278="building.guild@1",
  A278="quest.build_the_guild.accepted",
  A278="quest.build_the_pagoda.accepted"
 ),
 TRUE,
 COUNTIF(Dependencies!A:A,A278)&gt;0
)</f>
        <v>1</v>
      </c>
      <c r="F278" s="64" t="b">
        <f>COUNTIF(Dependencies!B:B,A278)&gt;0</f>
        <v>1</v>
      </c>
      <c r="G278" s="64" t="b">
        <f>COUNTIF(QuestObjectives!A:A,A278)&gt;0</f>
        <v>0</v>
      </c>
      <c r="H278" s="64" t="b">
        <f>COUNTIF(QuestObjectives!E:E,A278)&gt;0</f>
        <v>0</v>
      </c>
      <c r="I278" s="64" t="b">
        <f>COUNTIF(TargetStatus!A:A,A278)&gt;0</f>
        <v>1</v>
      </c>
      <c r="J278" s="64" t="b">
        <f>COUNTIF(CostStatus!B:B,A278)&gt;0</f>
        <v>0</v>
      </c>
      <c r="K278" s="64" t="b">
        <f>COUNTIF(States!A:A,A278)&gt;0</f>
        <v>0</v>
      </c>
      <c r="L278" s="64" t="b">
        <f t="shared" si="2"/>
        <v>1</v>
      </c>
      <c r="M278" s="64" t="b">
        <f>IF(A278="","",COUNTIF(Targets!A:A,A278)&gt;1)</f>
        <v>0</v>
      </c>
      <c r="N278" s="64" t="b">
        <f>IF(A278="","",COUNTIF(States!A:A,A278)&gt;1)</f>
        <v>0</v>
      </c>
      <c r="O278" s="64" t="b">
        <f>IFERROR(__xludf.DUMMYFUNCTION("IF(
 B278="""",
 """",
 SWITCH(
  B278,
  ""BUILDING"",COUNTIF(Buildings!A:A,A278)&gt;0,
  ""CITADEL"",COUNTIF(Citadel!A:A,A278)&gt;0,
  ""COLLECTION"",COUNTIF(Collections!A:A,A278)&gt;0,
  ""CRAFTIFACT"",COUNTIF(Craftifacts!A:A,A278)&gt;0,
  ""QUEST"",
   COUNTIF(
 "&amp;"   Quests!A:A,
    REGEXREPLACE(A278,""\.(accepted|finished)$"","""")
   )&gt;0,
  ""TECH"",COUNTIF(Technologies!A:A,A278)&gt;0,
  ""STATE"",COUNTIF(States!A:A,A278)&gt;0,
  FALSE
 )
)"),TRUE)</f>
        <v>1</v>
      </c>
      <c r="P278" s="64" t="str">
        <f t="shared" si="3"/>
        <v>Good</v>
      </c>
      <c r="Q278" s="65"/>
      <c r="R278" s="65"/>
      <c r="S278" s="65"/>
      <c r="T278" s="65"/>
      <c r="U278" s="6"/>
      <c r="V278" s="6" t="str">
        <f>IFERROR(__xludf.DUMMYFUNCTION("""COMPUTED_VALUE"""),"quest.green_potion.accepted")</f>
        <v>quest.green_potion.accepted</v>
      </c>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row>
    <row r="279" ht="14.25" customHeight="1">
      <c r="A279" s="26" t="str">
        <f t="shared" si="1"/>
        <v>quest.green_potion.finished</v>
      </c>
      <c r="B279" s="26" t="str">
        <f t="array" ref="B279">_xlfn.XLOOKUP(A279,Targets!A:A,Targets!C:C,"")</f>
        <v>QUEST</v>
      </c>
      <c r="C279" s="64" t="b">
        <f>COUNTIF(Targets!A:A,A279)&gt;0</f>
        <v>1</v>
      </c>
      <c r="D279" s="64" t="b">
        <f>IF(
 OR(
  LEFT(A279,15)="state.character",
  RIGHT(A279,6)=".maxed"
 ),
 TRUE,
 COUNTIF(Checklist!A:A,A279)&gt;0
)</f>
        <v>1</v>
      </c>
      <c r="E279" s="64" t="b">
        <f>IF(
 OR(
  LEFT(A279,15)="state.character",
  RIGHT(A279,6)=".maxed",
  A279="building.guild@1",
  A279="quest.build_the_guild.accepted",
  A279="quest.build_the_pagoda.accepted"
 ),
 TRUE,
 COUNTIF(Dependencies!A:A,A279)&gt;0
)</f>
        <v>1</v>
      </c>
      <c r="F279" s="64" t="b">
        <f>COUNTIF(Dependencies!B:B,A279)&gt;0</f>
        <v>0</v>
      </c>
      <c r="G279" s="64" t="b">
        <f>COUNTIF(QuestObjectives!A:A,A279)&gt;0</f>
        <v>1</v>
      </c>
      <c r="H279" s="64" t="b">
        <f>COUNTIF(QuestObjectives!E:E,A279)&gt;0</f>
        <v>0</v>
      </c>
      <c r="I279" s="64" t="b">
        <f>COUNTIF(TargetStatus!A:A,A279)&gt;0</f>
        <v>1</v>
      </c>
      <c r="J279" s="64" t="b">
        <f>COUNTIF(CostStatus!B:B,A279)&gt;0</f>
        <v>1</v>
      </c>
      <c r="K279" s="64" t="b">
        <f>COUNTIF(States!A:A,A279)&gt;0</f>
        <v>0</v>
      </c>
      <c r="L279" s="64" t="b">
        <f t="shared" si="2"/>
        <v>1</v>
      </c>
      <c r="M279" s="64" t="b">
        <f>IF(A279="","",COUNTIF(Targets!A:A,A279)&gt;1)</f>
        <v>0</v>
      </c>
      <c r="N279" s="64" t="b">
        <f>IF(A279="","",COUNTIF(States!A:A,A279)&gt;1)</f>
        <v>0</v>
      </c>
      <c r="O279" s="64" t="b">
        <f>IFERROR(__xludf.DUMMYFUNCTION("IF(
 B279="""",
 """",
 SWITCH(
  B279,
  ""BUILDING"",COUNTIF(Buildings!A:A,A279)&gt;0,
  ""CITADEL"",COUNTIF(Citadel!A:A,A279)&gt;0,
  ""COLLECTION"",COUNTIF(Collections!A:A,A279)&gt;0,
  ""CRAFTIFACT"",COUNTIF(Craftifacts!A:A,A279)&gt;0,
  ""QUEST"",
   COUNTIF(
 "&amp;"   Quests!A:A,
    REGEXREPLACE(A279,""\.(accepted|finished)$"","""")
   )&gt;0,
  ""TECH"",COUNTIF(Technologies!A:A,A279)&gt;0,
  ""STATE"",COUNTIF(States!A:A,A279)&gt;0,
  FALSE
 )
)"),TRUE)</f>
        <v>1</v>
      </c>
      <c r="P279" s="64" t="str">
        <f t="shared" si="3"/>
        <v>Good</v>
      </c>
      <c r="Q279" s="65"/>
      <c r="R279" s="65"/>
      <c r="S279" s="65"/>
      <c r="T279" s="65"/>
      <c r="U279" s="6"/>
      <c r="V279" s="6" t="str">
        <f>IFERROR(__xludf.DUMMYFUNCTION("""COMPUTED_VALUE"""),"quest.green_potion.finished")</f>
        <v>quest.green_potion.finished</v>
      </c>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row>
    <row r="280" ht="14.25" customHeight="1">
      <c r="A280" s="26" t="str">
        <f t="shared" si="1"/>
        <v>quest.honor_glory_sushi.accepted</v>
      </c>
      <c r="B280" s="26" t="str">
        <f t="array" ref="B280">_xlfn.XLOOKUP(A280,Targets!A:A,Targets!C:C,"")</f>
        <v>QUEST</v>
      </c>
      <c r="C280" s="64" t="b">
        <f>COUNTIF(Targets!A:A,A280)&gt;0</f>
        <v>1</v>
      </c>
      <c r="D280" s="64" t="b">
        <f>IF(
 OR(
  LEFT(A280,15)="state.character",
  RIGHT(A280,6)=".maxed"
 ),
 TRUE,
 COUNTIF(Checklist!A:A,A280)&gt;0
)</f>
        <v>1</v>
      </c>
      <c r="E280" s="64" t="b">
        <f>IF(
 OR(
  LEFT(A280,15)="state.character",
  RIGHT(A280,6)=".maxed",
  A280="building.guild@1",
  A280="quest.build_the_guild.accepted",
  A280="quest.build_the_pagoda.accepted"
 ),
 TRUE,
 COUNTIF(Dependencies!A:A,A280)&gt;0
)</f>
        <v>1</v>
      </c>
      <c r="F280" s="64" t="b">
        <f>COUNTIF(Dependencies!B:B,A280)&gt;0</f>
        <v>1</v>
      </c>
      <c r="G280" s="64" t="b">
        <f>COUNTIF(QuestObjectives!A:A,A280)&gt;0</f>
        <v>0</v>
      </c>
      <c r="H280" s="64" t="b">
        <f>COUNTIF(QuestObjectives!E:E,A280)&gt;0</f>
        <v>0</v>
      </c>
      <c r="I280" s="64" t="b">
        <f>COUNTIF(TargetStatus!A:A,A280)&gt;0</f>
        <v>1</v>
      </c>
      <c r="J280" s="64" t="b">
        <f>COUNTIF(CostStatus!B:B,A280)&gt;0</f>
        <v>0</v>
      </c>
      <c r="K280" s="64" t="b">
        <f>COUNTIF(States!A:A,A280)&gt;0</f>
        <v>0</v>
      </c>
      <c r="L280" s="64" t="b">
        <f t="shared" si="2"/>
        <v>1</v>
      </c>
      <c r="M280" s="64" t="b">
        <f>IF(A280="","",COUNTIF(Targets!A:A,A280)&gt;1)</f>
        <v>0</v>
      </c>
      <c r="N280" s="64" t="b">
        <f>IF(A280="","",COUNTIF(States!A:A,A280)&gt;1)</f>
        <v>0</v>
      </c>
      <c r="O280" s="64" t="b">
        <f>IFERROR(__xludf.DUMMYFUNCTION("IF(
 B280="""",
 """",
 SWITCH(
  B280,
  ""BUILDING"",COUNTIF(Buildings!A:A,A280)&gt;0,
  ""CITADEL"",COUNTIF(Citadel!A:A,A280)&gt;0,
  ""COLLECTION"",COUNTIF(Collections!A:A,A280)&gt;0,
  ""CRAFTIFACT"",COUNTIF(Craftifacts!A:A,A280)&gt;0,
  ""QUEST"",
   COUNTIF(
 "&amp;"   Quests!A:A,
    REGEXREPLACE(A280,""\.(accepted|finished)$"","""")
   )&gt;0,
  ""TECH"",COUNTIF(Technologies!A:A,A280)&gt;0,
  ""STATE"",COUNTIF(States!A:A,A280)&gt;0,
  FALSE
 )
)"),TRUE)</f>
        <v>1</v>
      </c>
      <c r="P280" s="64" t="str">
        <f t="shared" si="3"/>
        <v>Good</v>
      </c>
      <c r="Q280" s="65"/>
      <c r="R280" s="65"/>
      <c r="S280" s="65"/>
      <c r="T280" s="65"/>
      <c r="U280" s="6"/>
      <c r="V280" s="6" t="str">
        <f>IFERROR(__xludf.DUMMYFUNCTION("""COMPUTED_VALUE"""),"quest.honor_glory_sushi.accepted")</f>
        <v>quest.honor_glory_sushi.accepted</v>
      </c>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row>
    <row r="281" ht="14.25" customHeight="1">
      <c r="A281" s="26" t="str">
        <f t="shared" si="1"/>
        <v>quest.honor_glory_sushi.finished</v>
      </c>
      <c r="B281" s="26" t="str">
        <f t="array" ref="B281">_xlfn.XLOOKUP(A281,Targets!A:A,Targets!C:C,"")</f>
        <v>QUEST</v>
      </c>
      <c r="C281" s="64" t="b">
        <f>COUNTIF(Targets!A:A,A281)&gt;0</f>
        <v>1</v>
      </c>
      <c r="D281" s="64" t="b">
        <f>IF(
 OR(
  LEFT(A281,15)="state.character",
  RIGHT(A281,6)=".maxed"
 ),
 TRUE,
 COUNTIF(Checklist!A:A,A281)&gt;0
)</f>
        <v>1</v>
      </c>
      <c r="E281" s="64" t="b">
        <f>IF(
 OR(
  LEFT(A281,15)="state.character",
  RIGHT(A281,6)=".maxed",
  A281="building.guild@1",
  A281="quest.build_the_guild.accepted",
  A281="quest.build_the_pagoda.accepted"
 ),
 TRUE,
 COUNTIF(Dependencies!A:A,A281)&gt;0
)</f>
        <v>1</v>
      </c>
      <c r="F281" s="64" t="b">
        <f>COUNTIF(Dependencies!B:B,A281)&gt;0</f>
        <v>0</v>
      </c>
      <c r="G281" s="64" t="b">
        <f>COUNTIF(QuestObjectives!A:A,A281)&gt;0</f>
        <v>1</v>
      </c>
      <c r="H281" s="64" t="b">
        <f>COUNTIF(QuestObjectives!E:E,A281)&gt;0</f>
        <v>0</v>
      </c>
      <c r="I281" s="64" t="b">
        <f>COUNTIF(TargetStatus!A:A,A281)&gt;0</f>
        <v>1</v>
      </c>
      <c r="J281" s="64" t="b">
        <f>COUNTIF(CostStatus!B:B,A281)&gt;0</f>
        <v>0</v>
      </c>
      <c r="K281" s="64" t="b">
        <f>COUNTIF(States!A:A,A281)&gt;0</f>
        <v>0</v>
      </c>
      <c r="L281" s="64" t="b">
        <f t="shared" si="2"/>
        <v>1</v>
      </c>
      <c r="M281" s="64" t="b">
        <f>IF(A281="","",COUNTIF(Targets!A:A,A281)&gt;1)</f>
        <v>0</v>
      </c>
      <c r="N281" s="64" t="b">
        <f>IF(A281="","",COUNTIF(States!A:A,A281)&gt;1)</f>
        <v>0</v>
      </c>
      <c r="O281" s="64" t="b">
        <f>IFERROR(__xludf.DUMMYFUNCTION("IF(
 B281="""",
 """",
 SWITCH(
  B281,
  ""BUILDING"",COUNTIF(Buildings!A:A,A281)&gt;0,
  ""CITADEL"",COUNTIF(Citadel!A:A,A281)&gt;0,
  ""COLLECTION"",COUNTIF(Collections!A:A,A281)&gt;0,
  ""CRAFTIFACT"",COUNTIF(Craftifacts!A:A,A281)&gt;0,
  ""QUEST"",
   COUNTIF(
 "&amp;"   Quests!A:A,
    REGEXREPLACE(A281,""\.(accepted|finished)$"","""")
   )&gt;0,
  ""TECH"",COUNTIF(Technologies!A:A,A281)&gt;0,
  ""STATE"",COUNTIF(States!A:A,A281)&gt;0,
  FALSE
 )
)"),TRUE)</f>
        <v>1</v>
      </c>
      <c r="P281" s="64" t="str">
        <f t="shared" si="3"/>
        <v>Good</v>
      </c>
      <c r="Q281" s="65"/>
      <c r="R281" s="65"/>
      <c r="S281" s="65"/>
      <c r="T281" s="65"/>
      <c r="U281" s="6"/>
      <c r="V281" s="6" t="str">
        <f>IFERROR(__xludf.DUMMYFUNCTION("""COMPUTED_VALUE"""),"quest.honor_glory_sushi.finished")</f>
        <v>quest.honor_glory_sushi.finished</v>
      </c>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row>
    <row r="282" ht="14.25" customHeight="1">
      <c r="A282" s="26" t="str">
        <f t="shared" si="1"/>
        <v>quest.journey_through_japan_by_train.accepted</v>
      </c>
      <c r="B282" s="26" t="str">
        <f t="array" ref="B282">_xlfn.XLOOKUP(A282,Targets!A:A,Targets!C:C,"")</f>
        <v>QUEST</v>
      </c>
      <c r="C282" s="64" t="b">
        <f>COUNTIF(Targets!A:A,A282)&gt;0</f>
        <v>1</v>
      </c>
      <c r="D282" s="64" t="b">
        <f>IF(
 OR(
  LEFT(A282,15)="state.character",
  RIGHT(A282,6)=".maxed"
 ),
 TRUE,
 COUNTIF(Checklist!A:A,A282)&gt;0
)</f>
        <v>1</v>
      </c>
      <c r="E282" s="64" t="b">
        <f>IF(
 OR(
  LEFT(A282,15)="state.character",
  RIGHT(A282,6)=".maxed",
  A282="building.guild@1",
  A282="quest.build_the_guild.accepted",
  A282="quest.build_the_pagoda.accepted"
 ),
 TRUE,
 COUNTIF(Dependencies!A:A,A282)&gt;0
)</f>
        <v>1</v>
      </c>
      <c r="F282" s="64" t="b">
        <f>COUNTIF(Dependencies!B:B,A282)&gt;0</f>
        <v>1</v>
      </c>
      <c r="G282" s="64" t="b">
        <f>COUNTIF(QuestObjectives!A:A,A282)&gt;0</f>
        <v>0</v>
      </c>
      <c r="H282" s="64" t="b">
        <f>COUNTIF(QuestObjectives!E:E,A282)&gt;0</f>
        <v>0</v>
      </c>
      <c r="I282" s="64" t="b">
        <f>COUNTIF(TargetStatus!A:A,A282)&gt;0</f>
        <v>1</v>
      </c>
      <c r="J282" s="64" t="b">
        <f>COUNTIF(CostStatus!B:B,A282)&gt;0</f>
        <v>0</v>
      </c>
      <c r="K282" s="64" t="b">
        <f>COUNTIF(States!A:A,A282)&gt;0</f>
        <v>0</v>
      </c>
      <c r="L282" s="64" t="b">
        <f t="shared" si="2"/>
        <v>1</v>
      </c>
      <c r="M282" s="64" t="b">
        <f>IF(A282="","",COUNTIF(Targets!A:A,A282)&gt;1)</f>
        <v>0</v>
      </c>
      <c r="N282" s="64" t="b">
        <f>IF(A282="","",COUNTIF(States!A:A,A282)&gt;1)</f>
        <v>0</v>
      </c>
      <c r="O282" s="64" t="b">
        <f>IFERROR(__xludf.DUMMYFUNCTION("IF(
 B282="""",
 """",
 SWITCH(
  B282,
  ""BUILDING"",COUNTIF(Buildings!A:A,A282)&gt;0,
  ""CITADEL"",COUNTIF(Citadel!A:A,A282)&gt;0,
  ""COLLECTION"",COUNTIF(Collections!A:A,A282)&gt;0,
  ""CRAFTIFACT"",COUNTIF(Craftifacts!A:A,A282)&gt;0,
  ""QUEST"",
   COUNTIF(
 "&amp;"   Quests!A:A,
    REGEXREPLACE(A282,""\.(accepted|finished)$"","""")
   )&gt;0,
  ""TECH"",COUNTIF(Technologies!A:A,A282)&gt;0,
  ""STATE"",COUNTIF(States!A:A,A282)&gt;0,
  FALSE
 )
)"),TRUE)</f>
        <v>1</v>
      </c>
      <c r="P282" s="64" t="str">
        <f t="shared" si="3"/>
        <v>Good</v>
      </c>
      <c r="Q282" s="65"/>
      <c r="R282" s="65"/>
      <c r="S282" s="65"/>
      <c r="T282" s="65"/>
      <c r="U282" s="6"/>
      <c r="V282" s="6" t="str">
        <f>IFERROR(__xludf.DUMMYFUNCTION("""COMPUTED_VALUE"""),"quest.journey_through_japan_by_train.accepted")</f>
        <v>quest.journey_through_japan_by_train.accepted</v>
      </c>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row>
    <row r="283" ht="14.25" customHeight="1">
      <c r="A283" s="26" t="str">
        <f t="shared" si="1"/>
        <v>quest.journey_through_japan_by_train.finished</v>
      </c>
      <c r="B283" s="26" t="str">
        <f t="array" ref="B283">_xlfn.XLOOKUP(A283,Targets!A:A,Targets!C:C,"")</f>
        <v>QUEST</v>
      </c>
      <c r="C283" s="64" t="b">
        <f>COUNTIF(Targets!A:A,A283)&gt;0</f>
        <v>1</v>
      </c>
      <c r="D283" s="64" t="b">
        <f>IF(
 OR(
  LEFT(A283,15)="state.character",
  RIGHT(A283,6)=".maxed"
 ),
 TRUE,
 COUNTIF(Checklist!A:A,A283)&gt;0
)</f>
        <v>1</v>
      </c>
      <c r="E283" s="64" t="b">
        <f>IF(
 OR(
  LEFT(A283,15)="state.character",
  RIGHT(A283,6)=".maxed",
  A283="building.guild@1",
  A283="quest.build_the_guild.accepted",
  A283="quest.build_the_pagoda.accepted"
 ),
 TRUE,
 COUNTIF(Dependencies!A:A,A283)&gt;0
)</f>
        <v>1</v>
      </c>
      <c r="F283" s="64" t="b">
        <f>COUNTIF(Dependencies!B:B,A283)&gt;0</f>
        <v>1</v>
      </c>
      <c r="G283" s="64" t="b">
        <f>COUNTIF(QuestObjectives!A:A,A283)&gt;0</f>
        <v>1</v>
      </c>
      <c r="H283" s="64" t="b">
        <f>COUNTIF(QuestObjectives!E:E,A283)&gt;0</f>
        <v>0</v>
      </c>
      <c r="I283" s="64" t="b">
        <f>COUNTIF(TargetStatus!A:A,A283)&gt;0</f>
        <v>1</v>
      </c>
      <c r="J283" s="64" t="b">
        <f>COUNTIF(CostStatus!B:B,A283)&gt;0</f>
        <v>0</v>
      </c>
      <c r="K283" s="64" t="b">
        <f>COUNTIF(States!A:A,A283)&gt;0</f>
        <v>0</v>
      </c>
      <c r="L283" s="64" t="b">
        <f t="shared" si="2"/>
        <v>1</v>
      </c>
      <c r="M283" s="64" t="b">
        <f>IF(A283="","",COUNTIF(Targets!A:A,A283)&gt;1)</f>
        <v>0</v>
      </c>
      <c r="N283" s="64" t="b">
        <f>IF(A283="","",COUNTIF(States!A:A,A283)&gt;1)</f>
        <v>0</v>
      </c>
      <c r="O283" s="64" t="b">
        <f>IFERROR(__xludf.DUMMYFUNCTION("IF(
 B283="""",
 """",
 SWITCH(
  B283,
  ""BUILDING"",COUNTIF(Buildings!A:A,A283)&gt;0,
  ""CITADEL"",COUNTIF(Citadel!A:A,A283)&gt;0,
  ""COLLECTION"",COUNTIF(Collections!A:A,A283)&gt;0,
  ""CRAFTIFACT"",COUNTIF(Craftifacts!A:A,A283)&gt;0,
  ""QUEST"",
   COUNTIF(
 "&amp;"   Quests!A:A,
    REGEXREPLACE(A283,""\.(accepted|finished)$"","""")
   )&gt;0,
  ""TECH"",COUNTIF(Technologies!A:A,A283)&gt;0,
  ""STATE"",COUNTIF(States!A:A,A283)&gt;0,
  FALSE
 )
)"),TRUE)</f>
        <v>1</v>
      </c>
      <c r="P283" s="64" t="str">
        <f t="shared" si="3"/>
        <v>Good</v>
      </c>
      <c r="Q283" s="65"/>
      <c r="R283" s="65"/>
      <c r="S283" s="65"/>
      <c r="T283" s="65"/>
      <c r="U283" s="6"/>
      <c r="V283" s="6" t="str">
        <f>IFERROR(__xludf.DUMMYFUNCTION("""COMPUTED_VALUE"""),"quest.journey_through_japan_by_train.finished")</f>
        <v>quest.journey_through_japan_by_train.finished</v>
      </c>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row>
    <row r="284" ht="14.25" customHeight="1">
      <c r="A284" s="26" t="str">
        <f t="shared" si="1"/>
        <v>quest.letter_from_the_dark_lady.accepted</v>
      </c>
      <c r="B284" s="26" t="str">
        <f t="array" ref="B284">_xlfn.XLOOKUP(A284,Targets!A:A,Targets!C:C,"")</f>
        <v>QUEST</v>
      </c>
      <c r="C284" s="64" t="b">
        <f>COUNTIF(Targets!A:A,A284)&gt;0</f>
        <v>1</v>
      </c>
      <c r="D284" s="64" t="b">
        <f>IF(
 OR(
  LEFT(A284,15)="state.character",
  RIGHT(A284,6)=".maxed"
 ),
 TRUE,
 COUNTIF(Checklist!A:A,A284)&gt;0
)</f>
        <v>1</v>
      </c>
      <c r="E284" s="64" t="b">
        <f>IF(
 OR(
  LEFT(A284,15)="state.character",
  RIGHT(A284,6)=".maxed",
  A284="building.guild@1",
  A284="quest.build_the_guild.accepted",
  A284="quest.build_the_pagoda.accepted"
 ),
 TRUE,
 COUNTIF(Dependencies!A:A,A284)&gt;0
)</f>
        <v>1</v>
      </c>
      <c r="F284" s="64" t="b">
        <f>COUNTIF(Dependencies!B:B,A284)&gt;0</f>
        <v>1</v>
      </c>
      <c r="G284" s="64" t="b">
        <f>COUNTIF(QuestObjectives!A:A,A284)&gt;0</f>
        <v>0</v>
      </c>
      <c r="H284" s="64" t="b">
        <f>COUNTIF(QuestObjectives!E:E,A284)&gt;0</f>
        <v>0</v>
      </c>
      <c r="I284" s="64" t="b">
        <f>COUNTIF(TargetStatus!A:A,A284)&gt;0</f>
        <v>1</v>
      </c>
      <c r="J284" s="64" t="b">
        <f>COUNTIF(CostStatus!B:B,A284)&gt;0</f>
        <v>0</v>
      </c>
      <c r="K284" s="64" t="b">
        <f>COUNTIF(States!A:A,A284)&gt;0</f>
        <v>0</v>
      </c>
      <c r="L284" s="64" t="b">
        <f t="shared" si="2"/>
        <v>1</v>
      </c>
      <c r="M284" s="64" t="b">
        <f>IF(A284="","",COUNTIF(Targets!A:A,A284)&gt;1)</f>
        <v>0</v>
      </c>
      <c r="N284" s="64" t="b">
        <f>IF(A284="","",COUNTIF(States!A:A,A284)&gt;1)</f>
        <v>0</v>
      </c>
      <c r="O284" s="64" t="b">
        <f>IFERROR(__xludf.DUMMYFUNCTION("IF(
 B284="""",
 """",
 SWITCH(
  B284,
  ""BUILDING"",COUNTIF(Buildings!A:A,A284)&gt;0,
  ""CITADEL"",COUNTIF(Citadel!A:A,A284)&gt;0,
  ""COLLECTION"",COUNTIF(Collections!A:A,A284)&gt;0,
  ""CRAFTIFACT"",COUNTIF(Craftifacts!A:A,A284)&gt;0,
  ""QUEST"",
   COUNTIF(
 "&amp;"   Quests!A:A,
    REGEXREPLACE(A284,""\.(accepted|finished)$"","""")
   )&gt;0,
  ""TECH"",COUNTIF(Technologies!A:A,A284)&gt;0,
  ""STATE"",COUNTIF(States!A:A,A284)&gt;0,
  FALSE
 )
)"),TRUE)</f>
        <v>1</v>
      </c>
      <c r="P284" s="64" t="str">
        <f t="shared" si="3"/>
        <v>Good</v>
      </c>
      <c r="Q284" s="65"/>
      <c r="R284" s="65"/>
      <c r="S284" s="65"/>
      <c r="T284" s="65"/>
      <c r="U284" s="6"/>
      <c r="V284" s="6" t="str">
        <f>IFERROR(__xludf.DUMMYFUNCTION("""COMPUTED_VALUE"""),"quest.letter_from_the_dark_lady.accepted")</f>
        <v>quest.letter_from_the_dark_lady.accepted</v>
      </c>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row>
    <row r="285" ht="14.25" customHeight="1">
      <c r="A285" s="26" t="str">
        <f t="shared" si="1"/>
        <v>quest.letter_from_the_dark_lady.finished</v>
      </c>
      <c r="B285" s="26" t="str">
        <f t="array" ref="B285">_xlfn.XLOOKUP(A285,Targets!A:A,Targets!C:C,"")</f>
        <v>QUEST</v>
      </c>
      <c r="C285" s="64" t="b">
        <f>COUNTIF(Targets!A:A,A285)&gt;0</f>
        <v>1</v>
      </c>
      <c r="D285" s="64" t="b">
        <f>IF(
 OR(
  LEFT(A285,15)="state.character",
  RIGHT(A285,6)=".maxed"
 ),
 TRUE,
 COUNTIF(Checklist!A:A,A285)&gt;0
)</f>
        <v>1</v>
      </c>
      <c r="E285" s="64" t="b">
        <f>IF(
 OR(
  LEFT(A285,15)="state.character",
  RIGHT(A285,6)=".maxed",
  A285="building.guild@1",
  A285="quest.build_the_guild.accepted",
  A285="quest.build_the_pagoda.accepted"
 ),
 TRUE,
 COUNTIF(Dependencies!A:A,A285)&gt;0
)</f>
        <v>1</v>
      </c>
      <c r="F285" s="64" t="b">
        <f>COUNTIF(Dependencies!B:B,A285)&gt;0</f>
        <v>0</v>
      </c>
      <c r="G285" s="64" t="b">
        <f>COUNTIF(QuestObjectives!A:A,A285)&gt;0</f>
        <v>1</v>
      </c>
      <c r="H285" s="64" t="b">
        <f>COUNTIF(QuestObjectives!E:E,A285)&gt;0</f>
        <v>0</v>
      </c>
      <c r="I285" s="64" t="b">
        <f>COUNTIF(TargetStatus!A:A,A285)&gt;0</f>
        <v>1</v>
      </c>
      <c r="J285" s="64" t="b">
        <f>COUNTIF(CostStatus!B:B,A285)&gt;0</f>
        <v>0</v>
      </c>
      <c r="K285" s="64" t="b">
        <f>COUNTIF(States!A:A,A285)&gt;0</f>
        <v>0</v>
      </c>
      <c r="L285" s="64" t="b">
        <f t="shared" si="2"/>
        <v>1</v>
      </c>
      <c r="M285" s="64" t="b">
        <f>IF(A285="","",COUNTIF(Targets!A:A,A285)&gt;1)</f>
        <v>0</v>
      </c>
      <c r="N285" s="64" t="b">
        <f>IF(A285="","",COUNTIF(States!A:A,A285)&gt;1)</f>
        <v>0</v>
      </c>
      <c r="O285" s="64" t="b">
        <f>IFERROR(__xludf.DUMMYFUNCTION("IF(
 B285="""",
 """",
 SWITCH(
  B285,
  ""BUILDING"",COUNTIF(Buildings!A:A,A285)&gt;0,
  ""CITADEL"",COUNTIF(Citadel!A:A,A285)&gt;0,
  ""COLLECTION"",COUNTIF(Collections!A:A,A285)&gt;0,
  ""CRAFTIFACT"",COUNTIF(Craftifacts!A:A,A285)&gt;0,
  ""QUEST"",
   COUNTIF(
 "&amp;"   Quests!A:A,
    REGEXREPLACE(A285,""\.(accepted|finished)$"","""")
   )&gt;0,
  ""TECH"",COUNTIF(Technologies!A:A,A285)&gt;0,
  ""STATE"",COUNTIF(States!A:A,A285)&gt;0,
  FALSE
 )
)"),TRUE)</f>
        <v>1</v>
      </c>
      <c r="P285" s="64" t="str">
        <f t="shared" si="3"/>
        <v>Good</v>
      </c>
      <c r="Q285" s="65"/>
      <c r="R285" s="65"/>
      <c r="S285" s="65"/>
      <c r="T285" s="65"/>
      <c r="U285" s="6"/>
      <c r="V285" s="6" t="str">
        <f>IFERROR(__xludf.DUMMYFUNCTION("""COMPUTED_VALUE"""),"quest.letter_from_the_dark_lady.finished")</f>
        <v>quest.letter_from_the_dark_lady.finished</v>
      </c>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row>
    <row r="286" ht="14.25" customHeight="1">
      <c r="A286" s="26" t="str">
        <f t="shared" si="1"/>
        <v>quest.magic_beans.accepted</v>
      </c>
      <c r="B286" s="26" t="str">
        <f t="array" ref="B286">_xlfn.XLOOKUP(A286,Targets!A:A,Targets!C:C,"")</f>
        <v>QUEST</v>
      </c>
      <c r="C286" s="64" t="b">
        <f>COUNTIF(Targets!A:A,A286)&gt;0</f>
        <v>1</v>
      </c>
      <c r="D286" s="64" t="b">
        <f>IF(
 OR(
  LEFT(A286,15)="state.character",
  RIGHT(A286,6)=".maxed"
 ),
 TRUE,
 COUNTIF(Checklist!A:A,A286)&gt;0
)</f>
        <v>1</v>
      </c>
      <c r="E286" s="64" t="b">
        <f>IF(
 OR(
  LEFT(A286,15)="state.character",
  RIGHT(A286,6)=".maxed",
  A286="building.guild@1",
  A286="quest.build_the_guild.accepted",
  A286="quest.build_the_pagoda.accepted"
 ),
 TRUE,
 COUNTIF(Dependencies!A:A,A286)&gt;0
)</f>
        <v>1</v>
      </c>
      <c r="F286" s="64" t="b">
        <f>COUNTIF(Dependencies!B:B,A286)&gt;0</f>
        <v>1</v>
      </c>
      <c r="G286" s="64" t="b">
        <f>COUNTIF(QuestObjectives!A:A,A286)&gt;0</f>
        <v>0</v>
      </c>
      <c r="H286" s="64" t="b">
        <f>COUNTIF(QuestObjectives!E:E,A286)&gt;0</f>
        <v>0</v>
      </c>
      <c r="I286" s="64" t="b">
        <f>COUNTIF(TargetStatus!A:A,A286)&gt;0</f>
        <v>1</v>
      </c>
      <c r="J286" s="64" t="b">
        <f>COUNTIF(CostStatus!B:B,A286)&gt;0</f>
        <v>0</v>
      </c>
      <c r="K286" s="64" t="b">
        <f>COUNTIF(States!A:A,A286)&gt;0</f>
        <v>0</v>
      </c>
      <c r="L286" s="64" t="b">
        <f t="shared" si="2"/>
        <v>1</v>
      </c>
      <c r="M286" s="64" t="b">
        <f>IF(A286="","",COUNTIF(Targets!A:A,A286)&gt;1)</f>
        <v>0</v>
      </c>
      <c r="N286" s="64" t="b">
        <f>IF(A286="","",COUNTIF(States!A:A,A286)&gt;1)</f>
        <v>0</v>
      </c>
      <c r="O286" s="64" t="b">
        <f>IFERROR(__xludf.DUMMYFUNCTION("IF(
 B286="""",
 """",
 SWITCH(
  B286,
  ""BUILDING"",COUNTIF(Buildings!A:A,A286)&gt;0,
  ""CITADEL"",COUNTIF(Citadel!A:A,A286)&gt;0,
  ""COLLECTION"",COUNTIF(Collections!A:A,A286)&gt;0,
  ""CRAFTIFACT"",COUNTIF(Craftifacts!A:A,A286)&gt;0,
  ""QUEST"",
   COUNTIF(
 "&amp;"   Quests!A:A,
    REGEXREPLACE(A286,""\.(accepted|finished)$"","""")
   )&gt;0,
  ""TECH"",COUNTIF(Technologies!A:A,A286)&gt;0,
  ""STATE"",COUNTIF(States!A:A,A286)&gt;0,
  FALSE
 )
)"),TRUE)</f>
        <v>1</v>
      </c>
      <c r="P286" s="64" t="str">
        <f t="shared" si="3"/>
        <v>Good</v>
      </c>
      <c r="Q286" s="65"/>
      <c r="R286" s="65"/>
      <c r="S286" s="65"/>
      <c r="T286" s="65"/>
      <c r="U286" s="6"/>
      <c r="V286" s="6" t="str">
        <f>IFERROR(__xludf.DUMMYFUNCTION("""COMPUTED_VALUE"""),"quest.magic_beans.accepted")</f>
        <v>quest.magic_beans.accepted</v>
      </c>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row>
    <row r="287" ht="14.25" customHeight="1">
      <c r="A287" s="26" t="str">
        <f t="shared" si="1"/>
        <v>quest.magic_beans.finished</v>
      </c>
      <c r="B287" s="26" t="str">
        <f t="array" ref="B287">_xlfn.XLOOKUP(A287,Targets!A:A,Targets!C:C,"")</f>
        <v>QUEST</v>
      </c>
      <c r="C287" s="64" t="b">
        <f>COUNTIF(Targets!A:A,A287)&gt;0</f>
        <v>1</v>
      </c>
      <c r="D287" s="64" t="b">
        <f>IF(
 OR(
  LEFT(A287,15)="state.character",
  RIGHT(A287,6)=".maxed"
 ),
 TRUE,
 COUNTIF(Checklist!A:A,A287)&gt;0
)</f>
        <v>1</v>
      </c>
      <c r="E287" s="64" t="b">
        <f>IF(
 OR(
  LEFT(A287,15)="state.character",
  RIGHT(A287,6)=".maxed",
  A287="building.guild@1",
  A287="quest.build_the_guild.accepted",
  A287="quest.build_the_pagoda.accepted"
 ),
 TRUE,
 COUNTIF(Dependencies!A:A,A287)&gt;0
)</f>
        <v>1</v>
      </c>
      <c r="F287" s="64" t="b">
        <f>COUNTIF(Dependencies!B:B,A287)&gt;0</f>
        <v>1</v>
      </c>
      <c r="G287" s="64" t="b">
        <f>COUNTIF(QuestObjectives!A:A,A287)&gt;0</f>
        <v>1</v>
      </c>
      <c r="H287" s="64" t="b">
        <f>COUNTIF(QuestObjectives!E:E,A287)&gt;0</f>
        <v>0</v>
      </c>
      <c r="I287" s="64" t="b">
        <f>COUNTIF(TargetStatus!A:A,A287)&gt;0</f>
        <v>1</v>
      </c>
      <c r="J287" s="64" t="b">
        <f>COUNTIF(CostStatus!B:B,A287)&gt;0</f>
        <v>1</v>
      </c>
      <c r="K287" s="64" t="b">
        <f>COUNTIF(States!A:A,A287)&gt;0</f>
        <v>0</v>
      </c>
      <c r="L287" s="64" t="b">
        <f t="shared" si="2"/>
        <v>1</v>
      </c>
      <c r="M287" s="64" t="b">
        <f>IF(A287="","",COUNTIF(Targets!A:A,A287)&gt;1)</f>
        <v>0</v>
      </c>
      <c r="N287" s="64" t="b">
        <f>IF(A287="","",COUNTIF(States!A:A,A287)&gt;1)</f>
        <v>0</v>
      </c>
      <c r="O287" s="64" t="b">
        <f>IFERROR(__xludf.DUMMYFUNCTION("IF(
 B287="""",
 """",
 SWITCH(
  B287,
  ""BUILDING"",COUNTIF(Buildings!A:A,A287)&gt;0,
  ""CITADEL"",COUNTIF(Citadel!A:A,A287)&gt;0,
  ""COLLECTION"",COUNTIF(Collections!A:A,A287)&gt;0,
  ""CRAFTIFACT"",COUNTIF(Craftifacts!A:A,A287)&gt;0,
  ""QUEST"",
   COUNTIF(
 "&amp;"   Quests!A:A,
    REGEXREPLACE(A287,""\.(accepted|finished)$"","""")
   )&gt;0,
  ""TECH"",COUNTIF(Technologies!A:A,A287)&gt;0,
  ""STATE"",COUNTIF(States!A:A,A287)&gt;0,
  FALSE
 )
)"),TRUE)</f>
        <v>1</v>
      </c>
      <c r="P287" s="64" t="str">
        <f t="shared" si="3"/>
        <v>Good</v>
      </c>
      <c r="Q287" s="65"/>
      <c r="R287" s="65"/>
      <c r="S287" s="65"/>
      <c r="T287" s="65"/>
      <c r="U287" s="6"/>
      <c r="V287" s="6" t="str">
        <f>IFERROR(__xludf.DUMMYFUNCTION("""COMPUTED_VALUE"""),"quest.magic_beans.finished")</f>
        <v>quest.magic_beans.finished</v>
      </c>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row>
    <row r="288" ht="14.25" customHeight="1">
      <c r="A288" s="26" t="str">
        <f t="shared" si="1"/>
        <v>quest.once_upon_a_forest_chapter_1.accepted</v>
      </c>
      <c r="B288" s="26" t="str">
        <f t="array" ref="B288">_xlfn.XLOOKUP(A288,Targets!A:A,Targets!C:C,"")</f>
        <v>QUEST</v>
      </c>
      <c r="C288" s="64" t="b">
        <f>COUNTIF(Targets!A:A,A288)&gt;0</f>
        <v>1</v>
      </c>
      <c r="D288" s="64" t="b">
        <f>IF(
 OR(
  LEFT(A288,15)="state.character",
  RIGHT(A288,6)=".maxed"
 ),
 TRUE,
 COUNTIF(Checklist!A:A,A288)&gt;0
)</f>
        <v>1</v>
      </c>
      <c r="E288" s="64" t="b">
        <f>IF(
 OR(
  LEFT(A288,15)="state.character",
  RIGHT(A288,6)=".maxed",
  A288="building.guild@1",
  A288="quest.build_the_guild.accepted",
  A288="quest.build_the_pagoda.accepted"
 ),
 TRUE,
 COUNTIF(Dependencies!A:A,A288)&gt;0
)</f>
        <v>1</v>
      </c>
      <c r="F288" s="64" t="b">
        <f>COUNTIF(Dependencies!B:B,A288)&gt;0</f>
        <v>1</v>
      </c>
      <c r="G288" s="64" t="b">
        <f>COUNTIF(QuestObjectives!A:A,A288)&gt;0</f>
        <v>0</v>
      </c>
      <c r="H288" s="64" t="b">
        <f>COUNTIF(QuestObjectives!E:E,A288)&gt;0</f>
        <v>0</v>
      </c>
      <c r="I288" s="64" t="b">
        <f>COUNTIF(TargetStatus!A:A,A288)&gt;0</f>
        <v>1</v>
      </c>
      <c r="J288" s="64" t="b">
        <f>COUNTIF(CostStatus!B:B,A288)&gt;0</f>
        <v>0</v>
      </c>
      <c r="K288" s="64" t="b">
        <f>COUNTIF(States!A:A,A288)&gt;0</f>
        <v>0</v>
      </c>
      <c r="L288" s="64" t="b">
        <f t="shared" si="2"/>
        <v>1</v>
      </c>
      <c r="M288" s="64" t="b">
        <f>IF(A288="","",COUNTIF(Targets!A:A,A288)&gt;1)</f>
        <v>0</v>
      </c>
      <c r="N288" s="64" t="b">
        <f>IF(A288="","",COUNTIF(States!A:A,A288)&gt;1)</f>
        <v>0</v>
      </c>
      <c r="O288" s="64" t="b">
        <f>IFERROR(__xludf.DUMMYFUNCTION("IF(
 B288="""",
 """",
 SWITCH(
  B288,
  ""BUILDING"",COUNTIF(Buildings!A:A,A288)&gt;0,
  ""CITADEL"",COUNTIF(Citadel!A:A,A288)&gt;0,
  ""COLLECTION"",COUNTIF(Collections!A:A,A288)&gt;0,
  ""CRAFTIFACT"",COUNTIF(Craftifacts!A:A,A288)&gt;0,
  ""QUEST"",
   COUNTIF(
 "&amp;"   Quests!A:A,
    REGEXREPLACE(A288,""\.(accepted|finished)$"","""")
   )&gt;0,
  ""TECH"",COUNTIF(Technologies!A:A,A288)&gt;0,
  ""STATE"",COUNTIF(States!A:A,A288)&gt;0,
  FALSE
 )
)"),TRUE)</f>
        <v>1</v>
      </c>
      <c r="P288" s="64" t="str">
        <f t="shared" si="3"/>
        <v>Good</v>
      </c>
      <c r="Q288" s="65"/>
      <c r="R288" s="65"/>
      <c r="S288" s="65"/>
      <c r="T288" s="65"/>
      <c r="U288" s="6"/>
      <c r="V288" s="6" t="str">
        <f>IFERROR(__xludf.DUMMYFUNCTION("""COMPUTED_VALUE"""),"quest.once_upon_a_forest_chapter_1.accepted")</f>
        <v>quest.once_upon_a_forest_chapter_1.accepted</v>
      </c>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row>
    <row r="289" ht="14.25" customHeight="1">
      <c r="A289" s="26" t="str">
        <f t="shared" si="1"/>
        <v>quest.once_upon_a_forest_chapter_1.finished</v>
      </c>
      <c r="B289" s="26" t="str">
        <f t="array" ref="B289">_xlfn.XLOOKUP(A289,Targets!A:A,Targets!C:C,"")</f>
        <v>QUEST</v>
      </c>
      <c r="C289" s="64" t="b">
        <f>COUNTIF(Targets!A:A,A289)&gt;0</f>
        <v>1</v>
      </c>
      <c r="D289" s="64" t="b">
        <f>IF(
 OR(
  LEFT(A289,15)="state.character",
  RIGHT(A289,6)=".maxed"
 ),
 TRUE,
 COUNTIF(Checklist!A:A,A289)&gt;0
)</f>
        <v>1</v>
      </c>
      <c r="E289" s="64" t="b">
        <f>IF(
 OR(
  LEFT(A289,15)="state.character",
  RIGHT(A289,6)=".maxed",
  A289="building.guild@1",
  A289="quest.build_the_guild.accepted",
  A289="quest.build_the_pagoda.accepted"
 ),
 TRUE,
 COUNTIF(Dependencies!A:A,A289)&gt;0
)</f>
        <v>1</v>
      </c>
      <c r="F289" s="64" t="b">
        <f>COUNTIF(Dependencies!B:B,A289)&gt;0</f>
        <v>1</v>
      </c>
      <c r="G289" s="64" t="b">
        <f>COUNTIF(QuestObjectives!A:A,A289)&gt;0</f>
        <v>1</v>
      </c>
      <c r="H289" s="64" t="b">
        <f>COUNTIF(QuestObjectives!E:E,A289)&gt;0</f>
        <v>0</v>
      </c>
      <c r="I289" s="64" t="b">
        <f>COUNTIF(TargetStatus!A:A,A289)&gt;0</f>
        <v>1</v>
      </c>
      <c r="J289" s="64" t="b">
        <f>COUNTIF(CostStatus!B:B,A289)&gt;0</f>
        <v>0</v>
      </c>
      <c r="K289" s="64" t="b">
        <f>COUNTIF(States!A:A,A289)&gt;0</f>
        <v>0</v>
      </c>
      <c r="L289" s="64" t="b">
        <f t="shared" si="2"/>
        <v>1</v>
      </c>
      <c r="M289" s="64" t="b">
        <f>IF(A289="","",COUNTIF(Targets!A:A,A289)&gt;1)</f>
        <v>0</v>
      </c>
      <c r="N289" s="64" t="b">
        <f>IF(A289="","",COUNTIF(States!A:A,A289)&gt;1)</f>
        <v>0</v>
      </c>
      <c r="O289" s="64" t="b">
        <f>IFERROR(__xludf.DUMMYFUNCTION("IF(
 B289="""",
 """",
 SWITCH(
  B289,
  ""BUILDING"",COUNTIF(Buildings!A:A,A289)&gt;0,
  ""CITADEL"",COUNTIF(Citadel!A:A,A289)&gt;0,
  ""COLLECTION"",COUNTIF(Collections!A:A,A289)&gt;0,
  ""CRAFTIFACT"",COUNTIF(Craftifacts!A:A,A289)&gt;0,
  ""QUEST"",
   COUNTIF(
 "&amp;"   Quests!A:A,
    REGEXREPLACE(A289,""\.(accepted|finished)$"","""")
   )&gt;0,
  ""TECH"",COUNTIF(Technologies!A:A,A289)&gt;0,
  ""STATE"",COUNTIF(States!A:A,A289)&gt;0,
  FALSE
 )
)"),TRUE)</f>
        <v>1</v>
      </c>
      <c r="P289" s="64" t="str">
        <f t="shared" si="3"/>
        <v>Good</v>
      </c>
      <c r="Q289" s="65"/>
      <c r="R289" s="65"/>
      <c r="S289" s="65"/>
      <c r="T289" s="65"/>
      <c r="U289" s="6"/>
      <c r="V289" s="6" t="str">
        <f>IFERROR(__xludf.DUMMYFUNCTION("""COMPUTED_VALUE"""),"quest.once_upon_a_forest_chapter_1.finished")</f>
        <v>quest.once_upon_a_forest_chapter_1.finished</v>
      </c>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row>
    <row r="290" ht="14.25" customHeight="1">
      <c r="A290" s="26" t="str">
        <f t="shared" si="1"/>
        <v>quest.once_upon_a_forest_chapter_10.accepted</v>
      </c>
      <c r="B290" s="26" t="str">
        <f t="array" ref="B290">_xlfn.XLOOKUP(A290,Targets!A:A,Targets!C:C,"")</f>
        <v>QUEST</v>
      </c>
      <c r="C290" s="64" t="b">
        <f>COUNTIF(Targets!A:A,A290)&gt;0</f>
        <v>1</v>
      </c>
      <c r="D290" s="64" t="b">
        <f>IF(
 OR(
  LEFT(A290,15)="state.character",
  RIGHT(A290,6)=".maxed"
 ),
 TRUE,
 COUNTIF(Checklist!A:A,A290)&gt;0
)</f>
        <v>1</v>
      </c>
      <c r="E290" s="64" t="b">
        <f>IF(
 OR(
  LEFT(A290,15)="state.character",
  RIGHT(A290,6)=".maxed",
  A290="building.guild@1",
  A290="quest.build_the_guild.accepted",
  A290="quest.build_the_pagoda.accepted"
 ),
 TRUE,
 COUNTIF(Dependencies!A:A,A290)&gt;0
)</f>
        <v>1</v>
      </c>
      <c r="F290" s="64" t="b">
        <f>COUNTIF(Dependencies!B:B,A290)&gt;0</f>
        <v>1</v>
      </c>
      <c r="G290" s="64" t="b">
        <f>COUNTIF(QuestObjectives!A:A,A290)&gt;0</f>
        <v>0</v>
      </c>
      <c r="H290" s="64" t="b">
        <f>COUNTIF(QuestObjectives!E:E,A290)&gt;0</f>
        <v>0</v>
      </c>
      <c r="I290" s="64" t="b">
        <f>COUNTIF(TargetStatus!A:A,A290)&gt;0</f>
        <v>1</v>
      </c>
      <c r="J290" s="64" t="b">
        <f>COUNTIF(CostStatus!B:B,A290)&gt;0</f>
        <v>0</v>
      </c>
      <c r="K290" s="64" t="b">
        <f>COUNTIF(States!A:A,A290)&gt;0</f>
        <v>0</v>
      </c>
      <c r="L290" s="64" t="b">
        <f t="shared" si="2"/>
        <v>1</v>
      </c>
      <c r="M290" s="64" t="b">
        <f>IF(A290="","",COUNTIF(Targets!A:A,A290)&gt;1)</f>
        <v>0</v>
      </c>
      <c r="N290" s="64" t="b">
        <f>IF(A290="","",COUNTIF(States!A:A,A290)&gt;1)</f>
        <v>0</v>
      </c>
      <c r="O290" s="64" t="b">
        <f>IFERROR(__xludf.DUMMYFUNCTION("IF(
 B290="""",
 """",
 SWITCH(
  B290,
  ""BUILDING"",COUNTIF(Buildings!A:A,A290)&gt;0,
  ""CITADEL"",COUNTIF(Citadel!A:A,A290)&gt;0,
  ""COLLECTION"",COUNTIF(Collections!A:A,A290)&gt;0,
  ""CRAFTIFACT"",COUNTIF(Craftifacts!A:A,A290)&gt;0,
  ""QUEST"",
   COUNTIF(
 "&amp;"   Quests!A:A,
    REGEXREPLACE(A290,""\.(accepted|finished)$"","""")
   )&gt;0,
  ""TECH"",COUNTIF(Technologies!A:A,A290)&gt;0,
  ""STATE"",COUNTIF(States!A:A,A290)&gt;0,
  FALSE
 )
)"),TRUE)</f>
        <v>1</v>
      </c>
      <c r="P290" s="64" t="str">
        <f t="shared" si="3"/>
        <v>Good</v>
      </c>
      <c r="Q290" s="65"/>
      <c r="R290" s="65"/>
      <c r="S290" s="65"/>
      <c r="T290" s="65"/>
      <c r="U290" s="6"/>
      <c r="V290" s="6" t="str">
        <f>IFERROR(__xludf.DUMMYFUNCTION("""COMPUTED_VALUE"""),"quest.once_upon_a_forest_chapter_10.accepted")</f>
        <v>quest.once_upon_a_forest_chapter_10.accepted</v>
      </c>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row>
    <row r="291" ht="14.25" customHeight="1">
      <c r="A291" s="26" t="str">
        <f t="shared" si="1"/>
        <v>quest.once_upon_a_forest_chapter_10.finished</v>
      </c>
      <c r="B291" s="26" t="str">
        <f t="array" ref="B291">_xlfn.XLOOKUP(A291,Targets!A:A,Targets!C:C,"")</f>
        <v>QUEST</v>
      </c>
      <c r="C291" s="64" t="b">
        <f>COUNTIF(Targets!A:A,A291)&gt;0</f>
        <v>1</v>
      </c>
      <c r="D291" s="64" t="b">
        <f>IF(
 OR(
  LEFT(A291,15)="state.character",
  RIGHT(A291,6)=".maxed"
 ),
 TRUE,
 COUNTIF(Checklist!A:A,A291)&gt;0
)</f>
        <v>1</v>
      </c>
      <c r="E291" s="64" t="b">
        <f>IF(
 OR(
  LEFT(A291,15)="state.character",
  RIGHT(A291,6)=".maxed",
  A291="building.guild@1",
  A291="quest.build_the_guild.accepted",
  A291="quest.build_the_pagoda.accepted"
 ),
 TRUE,
 COUNTIF(Dependencies!A:A,A291)&gt;0
)</f>
        <v>1</v>
      </c>
      <c r="F291" s="64" t="b">
        <f>COUNTIF(Dependencies!B:B,A291)&gt;0</f>
        <v>1</v>
      </c>
      <c r="G291" s="64" t="b">
        <f>COUNTIF(QuestObjectives!A:A,A291)&gt;0</f>
        <v>1</v>
      </c>
      <c r="H291" s="64" t="b">
        <f>COUNTIF(QuestObjectives!E:E,A291)&gt;0</f>
        <v>0</v>
      </c>
      <c r="I291" s="64" t="b">
        <f>COUNTIF(TargetStatus!A:A,A291)&gt;0</f>
        <v>1</v>
      </c>
      <c r="J291" s="64" t="b">
        <f>COUNTIF(CostStatus!B:B,A291)&gt;0</f>
        <v>0</v>
      </c>
      <c r="K291" s="64" t="b">
        <f>COUNTIF(States!A:A,A291)&gt;0</f>
        <v>0</v>
      </c>
      <c r="L291" s="64" t="b">
        <f t="shared" si="2"/>
        <v>1</v>
      </c>
      <c r="M291" s="64" t="b">
        <f>IF(A291="","",COUNTIF(Targets!A:A,A291)&gt;1)</f>
        <v>0</v>
      </c>
      <c r="N291" s="64" t="b">
        <f>IF(A291="","",COUNTIF(States!A:A,A291)&gt;1)</f>
        <v>0</v>
      </c>
      <c r="O291" s="64" t="b">
        <f>IFERROR(__xludf.DUMMYFUNCTION("IF(
 B291="""",
 """",
 SWITCH(
  B291,
  ""BUILDING"",COUNTIF(Buildings!A:A,A291)&gt;0,
  ""CITADEL"",COUNTIF(Citadel!A:A,A291)&gt;0,
  ""COLLECTION"",COUNTIF(Collections!A:A,A291)&gt;0,
  ""CRAFTIFACT"",COUNTIF(Craftifacts!A:A,A291)&gt;0,
  ""QUEST"",
   COUNTIF(
 "&amp;"   Quests!A:A,
    REGEXREPLACE(A291,""\.(accepted|finished)$"","""")
   )&gt;0,
  ""TECH"",COUNTIF(Technologies!A:A,A291)&gt;0,
  ""STATE"",COUNTIF(States!A:A,A291)&gt;0,
  FALSE
 )
)"),TRUE)</f>
        <v>1</v>
      </c>
      <c r="P291" s="64" t="str">
        <f t="shared" si="3"/>
        <v>Good</v>
      </c>
      <c r="Q291" s="65"/>
      <c r="R291" s="65"/>
      <c r="S291" s="65"/>
      <c r="T291" s="65"/>
      <c r="U291" s="6"/>
      <c r="V291" s="6" t="str">
        <f>IFERROR(__xludf.DUMMYFUNCTION("""COMPUTED_VALUE"""),"quest.once_upon_a_forest_chapter_10.finished")</f>
        <v>quest.once_upon_a_forest_chapter_10.finished</v>
      </c>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row>
    <row r="292" ht="14.25" customHeight="1">
      <c r="A292" s="26" t="str">
        <f t="shared" si="1"/>
        <v>quest.once_upon_a_forest_chapter_11.accepted</v>
      </c>
      <c r="B292" s="26" t="str">
        <f t="array" ref="B292">_xlfn.XLOOKUP(A292,Targets!A:A,Targets!C:C,"")</f>
        <v>QUEST</v>
      </c>
      <c r="C292" s="64" t="b">
        <f>COUNTIF(Targets!A:A,A292)&gt;0</f>
        <v>1</v>
      </c>
      <c r="D292" s="64" t="b">
        <f>IF(
 OR(
  LEFT(A292,15)="state.character",
  RIGHT(A292,6)=".maxed"
 ),
 TRUE,
 COUNTIF(Checklist!A:A,A292)&gt;0
)</f>
        <v>1</v>
      </c>
      <c r="E292" s="64" t="b">
        <f>IF(
 OR(
  LEFT(A292,15)="state.character",
  RIGHT(A292,6)=".maxed",
  A292="building.guild@1",
  A292="quest.build_the_guild.accepted",
  A292="quest.build_the_pagoda.accepted"
 ),
 TRUE,
 COUNTIF(Dependencies!A:A,A292)&gt;0
)</f>
        <v>1</v>
      </c>
      <c r="F292" s="64" t="b">
        <f>COUNTIF(Dependencies!B:B,A292)&gt;0</f>
        <v>1</v>
      </c>
      <c r="G292" s="64" t="b">
        <f>COUNTIF(QuestObjectives!A:A,A292)&gt;0</f>
        <v>0</v>
      </c>
      <c r="H292" s="64" t="b">
        <f>COUNTIF(QuestObjectives!E:E,A292)&gt;0</f>
        <v>0</v>
      </c>
      <c r="I292" s="64" t="b">
        <f>COUNTIF(TargetStatus!A:A,A292)&gt;0</f>
        <v>1</v>
      </c>
      <c r="J292" s="64" t="b">
        <f>COUNTIF(CostStatus!B:B,A292)&gt;0</f>
        <v>0</v>
      </c>
      <c r="K292" s="64" t="b">
        <f>COUNTIF(States!A:A,A292)&gt;0</f>
        <v>0</v>
      </c>
      <c r="L292" s="64" t="b">
        <f t="shared" si="2"/>
        <v>1</v>
      </c>
      <c r="M292" s="64" t="b">
        <f>IF(A292="","",COUNTIF(Targets!A:A,A292)&gt;1)</f>
        <v>0</v>
      </c>
      <c r="N292" s="64" t="b">
        <f>IF(A292="","",COUNTIF(States!A:A,A292)&gt;1)</f>
        <v>0</v>
      </c>
      <c r="O292" s="64" t="b">
        <f>IFERROR(__xludf.DUMMYFUNCTION("IF(
 B292="""",
 """",
 SWITCH(
  B292,
  ""BUILDING"",COUNTIF(Buildings!A:A,A292)&gt;0,
  ""CITADEL"",COUNTIF(Citadel!A:A,A292)&gt;0,
  ""COLLECTION"",COUNTIF(Collections!A:A,A292)&gt;0,
  ""CRAFTIFACT"",COUNTIF(Craftifacts!A:A,A292)&gt;0,
  ""QUEST"",
   COUNTIF(
 "&amp;"   Quests!A:A,
    REGEXREPLACE(A292,""\.(accepted|finished)$"","""")
   )&gt;0,
  ""TECH"",COUNTIF(Technologies!A:A,A292)&gt;0,
  ""STATE"",COUNTIF(States!A:A,A292)&gt;0,
  FALSE
 )
)"),TRUE)</f>
        <v>1</v>
      </c>
      <c r="P292" s="64" t="str">
        <f t="shared" si="3"/>
        <v>Good</v>
      </c>
      <c r="Q292" s="65"/>
      <c r="R292" s="65"/>
      <c r="S292" s="65"/>
      <c r="T292" s="65"/>
      <c r="U292" s="6"/>
      <c r="V292" s="6" t="str">
        <f>IFERROR(__xludf.DUMMYFUNCTION("""COMPUTED_VALUE"""),"quest.once_upon_a_forest_chapter_11.accepted")</f>
        <v>quest.once_upon_a_forest_chapter_11.accepted</v>
      </c>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row>
    <row r="293" ht="14.25" customHeight="1">
      <c r="A293" s="26" t="str">
        <f t="shared" si="1"/>
        <v>quest.once_upon_a_forest_chapter_11.finished</v>
      </c>
      <c r="B293" s="26" t="str">
        <f t="array" ref="B293">_xlfn.XLOOKUP(A293,Targets!A:A,Targets!C:C,"")</f>
        <v>QUEST</v>
      </c>
      <c r="C293" s="64" t="b">
        <f>COUNTIF(Targets!A:A,A293)&gt;0</f>
        <v>1</v>
      </c>
      <c r="D293" s="64" t="b">
        <f>IF(
 OR(
  LEFT(A293,15)="state.character",
  RIGHT(A293,6)=".maxed"
 ),
 TRUE,
 COUNTIF(Checklist!A:A,A293)&gt;0
)</f>
        <v>1</v>
      </c>
      <c r="E293" s="64" t="b">
        <f>IF(
 OR(
  LEFT(A293,15)="state.character",
  RIGHT(A293,6)=".maxed",
  A293="building.guild@1",
  A293="quest.build_the_guild.accepted",
  A293="quest.build_the_pagoda.accepted"
 ),
 TRUE,
 COUNTIF(Dependencies!A:A,A293)&gt;0
)</f>
        <v>1</v>
      </c>
      <c r="F293" s="64" t="b">
        <f>COUNTIF(Dependencies!B:B,A293)&gt;0</f>
        <v>1</v>
      </c>
      <c r="G293" s="64" t="b">
        <f>COUNTIF(QuestObjectives!A:A,A293)&gt;0</f>
        <v>1</v>
      </c>
      <c r="H293" s="64" t="b">
        <f>COUNTIF(QuestObjectives!E:E,A293)&gt;0</f>
        <v>0</v>
      </c>
      <c r="I293" s="64" t="b">
        <f>COUNTIF(TargetStatus!A:A,A293)&gt;0</f>
        <v>1</v>
      </c>
      <c r="J293" s="64" t="b">
        <f>COUNTIF(CostStatus!B:B,A293)&gt;0</f>
        <v>0</v>
      </c>
      <c r="K293" s="64" t="b">
        <f>COUNTIF(States!A:A,A293)&gt;0</f>
        <v>0</v>
      </c>
      <c r="L293" s="64" t="b">
        <f t="shared" si="2"/>
        <v>1</v>
      </c>
      <c r="M293" s="64" t="b">
        <f>IF(A293="","",COUNTIF(Targets!A:A,A293)&gt;1)</f>
        <v>0</v>
      </c>
      <c r="N293" s="64" t="b">
        <f>IF(A293="","",COUNTIF(States!A:A,A293)&gt;1)</f>
        <v>0</v>
      </c>
      <c r="O293" s="64" t="b">
        <f>IFERROR(__xludf.DUMMYFUNCTION("IF(
 B293="""",
 """",
 SWITCH(
  B293,
  ""BUILDING"",COUNTIF(Buildings!A:A,A293)&gt;0,
  ""CITADEL"",COUNTIF(Citadel!A:A,A293)&gt;0,
  ""COLLECTION"",COUNTIF(Collections!A:A,A293)&gt;0,
  ""CRAFTIFACT"",COUNTIF(Craftifacts!A:A,A293)&gt;0,
  ""QUEST"",
   COUNTIF(
 "&amp;"   Quests!A:A,
    REGEXREPLACE(A293,""\.(accepted|finished)$"","""")
   )&gt;0,
  ""TECH"",COUNTIF(Technologies!A:A,A293)&gt;0,
  ""STATE"",COUNTIF(States!A:A,A293)&gt;0,
  FALSE
 )
)"),TRUE)</f>
        <v>1</v>
      </c>
      <c r="P293" s="64" t="str">
        <f t="shared" si="3"/>
        <v>Good</v>
      </c>
      <c r="Q293" s="65"/>
      <c r="R293" s="65"/>
      <c r="S293" s="65"/>
      <c r="T293" s="65"/>
      <c r="U293" s="6"/>
      <c r="V293" s="6" t="str">
        <f>IFERROR(__xludf.DUMMYFUNCTION("""COMPUTED_VALUE"""),"quest.once_upon_a_forest_chapter_11.finished")</f>
        <v>quest.once_upon_a_forest_chapter_11.finished</v>
      </c>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row>
    <row r="294" ht="14.25" customHeight="1">
      <c r="A294" s="26" t="str">
        <f t="shared" si="1"/>
        <v>quest.once_upon_a_forest_chapter_12.accepted</v>
      </c>
      <c r="B294" s="26" t="str">
        <f t="array" ref="B294">_xlfn.XLOOKUP(A294,Targets!A:A,Targets!C:C,"")</f>
        <v>QUEST</v>
      </c>
      <c r="C294" s="64" t="b">
        <f>COUNTIF(Targets!A:A,A294)&gt;0</f>
        <v>1</v>
      </c>
      <c r="D294" s="64" t="b">
        <f>IF(
 OR(
  LEFT(A294,15)="state.character",
  RIGHT(A294,6)=".maxed"
 ),
 TRUE,
 COUNTIF(Checklist!A:A,A294)&gt;0
)</f>
        <v>1</v>
      </c>
      <c r="E294" s="64" t="b">
        <f>IF(
 OR(
  LEFT(A294,15)="state.character",
  RIGHT(A294,6)=".maxed",
  A294="building.guild@1",
  A294="quest.build_the_guild.accepted",
  A294="quest.build_the_pagoda.accepted"
 ),
 TRUE,
 COUNTIF(Dependencies!A:A,A294)&gt;0
)</f>
        <v>1</v>
      </c>
      <c r="F294" s="64" t="b">
        <f>COUNTIF(Dependencies!B:B,A294)&gt;0</f>
        <v>1</v>
      </c>
      <c r="G294" s="64" t="b">
        <f>COUNTIF(QuestObjectives!A:A,A294)&gt;0</f>
        <v>0</v>
      </c>
      <c r="H294" s="64" t="b">
        <f>COUNTIF(QuestObjectives!E:E,A294)&gt;0</f>
        <v>0</v>
      </c>
      <c r="I294" s="64" t="b">
        <f>COUNTIF(TargetStatus!A:A,A294)&gt;0</f>
        <v>1</v>
      </c>
      <c r="J294" s="64" t="b">
        <f>COUNTIF(CostStatus!B:B,A294)&gt;0</f>
        <v>0</v>
      </c>
      <c r="K294" s="64" t="b">
        <f>COUNTIF(States!A:A,A294)&gt;0</f>
        <v>0</v>
      </c>
      <c r="L294" s="64" t="b">
        <f t="shared" si="2"/>
        <v>1</v>
      </c>
      <c r="M294" s="64" t="b">
        <f>IF(A294="","",COUNTIF(Targets!A:A,A294)&gt;1)</f>
        <v>0</v>
      </c>
      <c r="N294" s="64" t="b">
        <f>IF(A294="","",COUNTIF(States!A:A,A294)&gt;1)</f>
        <v>0</v>
      </c>
      <c r="O294" s="64" t="b">
        <f>IFERROR(__xludf.DUMMYFUNCTION("IF(
 B294="""",
 """",
 SWITCH(
  B294,
  ""BUILDING"",COUNTIF(Buildings!A:A,A294)&gt;0,
  ""CITADEL"",COUNTIF(Citadel!A:A,A294)&gt;0,
  ""COLLECTION"",COUNTIF(Collections!A:A,A294)&gt;0,
  ""CRAFTIFACT"",COUNTIF(Craftifacts!A:A,A294)&gt;0,
  ""QUEST"",
   COUNTIF(
 "&amp;"   Quests!A:A,
    REGEXREPLACE(A294,""\.(accepted|finished)$"","""")
   )&gt;0,
  ""TECH"",COUNTIF(Technologies!A:A,A294)&gt;0,
  ""STATE"",COUNTIF(States!A:A,A294)&gt;0,
  FALSE
 )
)"),TRUE)</f>
        <v>1</v>
      </c>
      <c r="P294" s="64" t="str">
        <f t="shared" si="3"/>
        <v>Good</v>
      </c>
      <c r="Q294" s="65"/>
      <c r="R294" s="65"/>
      <c r="S294" s="65"/>
      <c r="T294" s="65"/>
      <c r="U294" s="6"/>
      <c r="V294" s="6" t="str">
        <f>IFERROR(__xludf.DUMMYFUNCTION("""COMPUTED_VALUE"""),"quest.once_upon_a_forest_chapter_12.accepted")</f>
        <v>quest.once_upon_a_forest_chapter_12.accepted</v>
      </c>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row>
    <row r="295" ht="14.25" customHeight="1">
      <c r="A295" s="26" t="str">
        <f t="shared" si="1"/>
        <v>quest.once_upon_a_forest_chapter_12.finished</v>
      </c>
      <c r="B295" s="26" t="str">
        <f t="array" ref="B295">_xlfn.XLOOKUP(A295,Targets!A:A,Targets!C:C,"")</f>
        <v>QUEST</v>
      </c>
      <c r="C295" s="64" t="b">
        <f>COUNTIF(Targets!A:A,A295)&gt;0</f>
        <v>1</v>
      </c>
      <c r="D295" s="64" t="b">
        <f>IF(
 OR(
  LEFT(A295,15)="state.character",
  RIGHT(A295,6)=".maxed"
 ),
 TRUE,
 COUNTIF(Checklist!A:A,A295)&gt;0
)</f>
        <v>1</v>
      </c>
      <c r="E295" s="64" t="b">
        <f>IF(
 OR(
  LEFT(A295,15)="state.character",
  RIGHT(A295,6)=".maxed",
  A295="building.guild@1",
  A295="quest.build_the_guild.accepted",
  A295="quest.build_the_pagoda.accepted"
 ),
 TRUE,
 COUNTIF(Dependencies!A:A,A295)&gt;0
)</f>
        <v>1</v>
      </c>
      <c r="F295" s="64" t="b">
        <f>COUNTIF(Dependencies!B:B,A295)&gt;0</f>
        <v>1</v>
      </c>
      <c r="G295" s="64" t="b">
        <f>COUNTIF(QuestObjectives!A:A,A295)&gt;0</f>
        <v>1</v>
      </c>
      <c r="H295" s="64" t="b">
        <f>COUNTIF(QuestObjectives!E:E,A295)&gt;0</f>
        <v>0</v>
      </c>
      <c r="I295" s="64" t="b">
        <f>COUNTIF(TargetStatus!A:A,A295)&gt;0</f>
        <v>1</v>
      </c>
      <c r="J295" s="64" t="b">
        <f>COUNTIF(CostStatus!B:B,A295)&gt;0</f>
        <v>0</v>
      </c>
      <c r="K295" s="64" t="b">
        <f>COUNTIF(States!A:A,A295)&gt;0</f>
        <v>0</v>
      </c>
      <c r="L295" s="64" t="b">
        <f t="shared" si="2"/>
        <v>1</v>
      </c>
      <c r="M295" s="64" t="b">
        <f>IF(A295="","",COUNTIF(Targets!A:A,A295)&gt;1)</f>
        <v>0</v>
      </c>
      <c r="N295" s="64" t="b">
        <f>IF(A295="","",COUNTIF(States!A:A,A295)&gt;1)</f>
        <v>0</v>
      </c>
      <c r="O295" s="64" t="b">
        <f>IFERROR(__xludf.DUMMYFUNCTION("IF(
 B295="""",
 """",
 SWITCH(
  B295,
  ""BUILDING"",COUNTIF(Buildings!A:A,A295)&gt;0,
  ""CITADEL"",COUNTIF(Citadel!A:A,A295)&gt;0,
  ""COLLECTION"",COUNTIF(Collections!A:A,A295)&gt;0,
  ""CRAFTIFACT"",COUNTIF(Craftifacts!A:A,A295)&gt;0,
  ""QUEST"",
   COUNTIF(
 "&amp;"   Quests!A:A,
    REGEXREPLACE(A295,""\.(accepted|finished)$"","""")
   )&gt;0,
  ""TECH"",COUNTIF(Technologies!A:A,A295)&gt;0,
  ""STATE"",COUNTIF(States!A:A,A295)&gt;0,
  FALSE
 )
)"),TRUE)</f>
        <v>1</v>
      </c>
      <c r="P295" s="64" t="str">
        <f t="shared" si="3"/>
        <v>Good</v>
      </c>
      <c r="Q295" s="65"/>
      <c r="R295" s="65"/>
      <c r="S295" s="65"/>
      <c r="T295" s="65"/>
      <c r="U295" s="6"/>
      <c r="V295" s="6" t="str">
        <f>IFERROR(__xludf.DUMMYFUNCTION("""COMPUTED_VALUE"""),"quest.once_upon_a_forest_chapter_12.finished")</f>
        <v>quest.once_upon_a_forest_chapter_12.finished</v>
      </c>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row>
    <row r="296" ht="14.25" customHeight="1">
      <c r="A296" s="26" t="str">
        <f t="shared" si="1"/>
        <v>quest.once_upon_a_forest_chapter_13.accepted</v>
      </c>
      <c r="B296" s="26" t="str">
        <f t="array" ref="B296">_xlfn.XLOOKUP(A296,Targets!A:A,Targets!C:C,"")</f>
        <v>QUEST</v>
      </c>
      <c r="C296" s="64" t="b">
        <f>COUNTIF(Targets!A:A,A296)&gt;0</f>
        <v>1</v>
      </c>
      <c r="D296" s="64" t="b">
        <f>IF(
 OR(
  LEFT(A296,15)="state.character",
  RIGHT(A296,6)=".maxed"
 ),
 TRUE,
 COUNTIF(Checklist!A:A,A296)&gt;0
)</f>
        <v>1</v>
      </c>
      <c r="E296" s="64" t="b">
        <f>IF(
 OR(
  LEFT(A296,15)="state.character",
  RIGHT(A296,6)=".maxed",
  A296="building.guild@1",
  A296="quest.build_the_guild.accepted",
  A296="quest.build_the_pagoda.accepted"
 ),
 TRUE,
 COUNTIF(Dependencies!A:A,A296)&gt;0
)</f>
        <v>1</v>
      </c>
      <c r="F296" s="64" t="b">
        <f>COUNTIF(Dependencies!B:B,A296)&gt;0</f>
        <v>1</v>
      </c>
      <c r="G296" s="64" t="b">
        <f>COUNTIF(QuestObjectives!A:A,A296)&gt;0</f>
        <v>0</v>
      </c>
      <c r="H296" s="64" t="b">
        <f>COUNTIF(QuestObjectives!E:E,A296)&gt;0</f>
        <v>0</v>
      </c>
      <c r="I296" s="64" t="b">
        <f>COUNTIF(TargetStatus!A:A,A296)&gt;0</f>
        <v>1</v>
      </c>
      <c r="J296" s="64" t="b">
        <f>COUNTIF(CostStatus!B:B,A296)&gt;0</f>
        <v>0</v>
      </c>
      <c r="K296" s="64" t="b">
        <f>COUNTIF(States!A:A,A296)&gt;0</f>
        <v>0</v>
      </c>
      <c r="L296" s="64" t="b">
        <f t="shared" si="2"/>
        <v>1</v>
      </c>
      <c r="M296" s="64" t="b">
        <f>IF(A296="","",COUNTIF(Targets!A:A,A296)&gt;1)</f>
        <v>0</v>
      </c>
      <c r="N296" s="64" t="b">
        <f>IF(A296="","",COUNTIF(States!A:A,A296)&gt;1)</f>
        <v>0</v>
      </c>
      <c r="O296" s="64" t="b">
        <f>IFERROR(__xludf.DUMMYFUNCTION("IF(
 B296="""",
 """",
 SWITCH(
  B296,
  ""BUILDING"",COUNTIF(Buildings!A:A,A296)&gt;0,
  ""CITADEL"",COUNTIF(Citadel!A:A,A296)&gt;0,
  ""COLLECTION"",COUNTIF(Collections!A:A,A296)&gt;0,
  ""CRAFTIFACT"",COUNTIF(Craftifacts!A:A,A296)&gt;0,
  ""QUEST"",
   COUNTIF(
 "&amp;"   Quests!A:A,
    REGEXREPLACE(A296,""\.(accepted|finished)$"","""")
   )&gt;0,
  ""TECH"",COUNTIF(Technologies!A:A,A296)&gt;0,
  ""STATE"",COUNTIF(States!A:A,A296)&gt;0,
  FALSE
 )
)"),TRUE)</f>
        <v>1</v>
      </c>
      <c r="P296" s="64" t="str">
        <f t="shared" si="3"/>
        <v>Good</v>
      </c>
      <c r="Q296" s="65"/>
      <c r="R296" s="65"/>
      <c r="S296" s="65"/>
      <c r="T296" s="65"/>
      <c r="U296" s="6"/>
      <c r="V296" s="6" t="str">
        <f>IFERROR(__xludf.DUMMYFUNCTION("""COMPUTED_VALUE"""),"quest.once_upon_a_forest_chapter_13.accepted")</f>
        <v>quest.once_upon_a_forest_chapter_13.accepted</v>
      </c>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row>
    <row r="297" ht="14.25" customHeight="1">
      <c r="A297" s="26" t="str">
        <f t="shared" si="1"/>
        <v>quest.once_upon_a_forest_chapter_13.finished</v>
      </c>
      <c r="B297" s="26" t="str">
        <f t="array" ref="B297">_xlfn.XLOOKUP(A297,Targets!A:A,Targets!C:C,"")</f>
        <v>QUEST</v>
      </c>
      <c r="C297" s="64" t="b">
        <f>COUNTIF(Targets!A:A,A297)&gt;0</f>
        <v>1</v>
      </c>
      <c r="D297" s="64" t="b">
        <f>IF(
 OR(
  LEFT(A297,15)="state.character",
  RIGHT(A297,6)=".maxed"
 ),
 TRUE,
 COUNTIF(Checklist!A:A,A297)&gt;0
)</f>
        <v>1</v>
      </c>
      <c r="E297" s="64" t="b">
        <f>IF(
 OR(
  LEFT(A297,15)="state.character",
  RIGHT(A297,6)=".maxed",
  A297="building.guild@1",
  A297="quest.build_the_guild.accepted",
  A297="quest.build_the_pagoda.accepted"
 ),
 TRUE,
 COUNTIF(Dependencies!A:A,A297)&gt;0
)</f>
        <v>1</v>
      </c>
      <c r="F297" s="64" t="b">
        <f>COUNTIF(Dependencies!B:B,A297)&gt;0</f>
        <v>1</v>
      </c>
      <c r="G297" s="64" t="b">
        <f>COUNTIF(QuestObjectives!A:A,A297)&gt;0</f>
        <v>1</v>
      </c>
      <c r="H297" s="64" t="b">
        <f>COUNTIF(QuestObjectives!E:E,A297)&gt;0</f>
        <v>0</v>
      </c>
      <c r="I297" s="64" t="b">
        <f>COUNTIF(TargetStatus!A:A,A297)&gt;0</f>
        <v>1</v>
      </c>
      <c r="J297" s="64" t="b">
        <f>COUNTIF(CostStatus!B:B,A297)&gt;0</f>
        <v>1</v>
      </c>
      <c r="K297" s="64" t="b">
        <f>COUNTIF(States!A:A,A297)&gt;0</f>
        <v>0</v>
      </c>
      <c r="L297" s="64" t="b">
        <f t="shared" si="2"/>
        <v>1</v>
      </c>
      <c r="M297" s="64" t="b">
        <f>IF(A297="","",COUNTIF(Targets!A:A,A297)&gt;1)</f>
        <v>0</v>
      </c>
      <c r="N297" s="64" t="b">
        <f>IF(A297="","",COUNTIF(States!A:A,A297)&gt;1)</f>
        <v>0</v>
      </c>
      <c r="O297" s="64" t="b">
        <f>IFERROR(__xludf.DUMMYFUNCTION("IF(
 B297="""",
 """",
 SWITCH(
  B297,
  ""BUILDING"",COUNTIF(Buildings!A:A,A297)&gt;0,
  ""CITADEL"",COUNTIF(Citadel!A:A,A297)&gt;0,
  ""COLLECTION"",COUNTIF(Collections!A:A,A297)&gt;0,
  ""CRAFTIFACT"",COUNTIF(Craftifacts!A:A,A297)&gt;0,
  ""QUEST"",
   COUNTIF(
 "&amp;"   Quests!A:A,
    REGEXREPLACE(A297,""\.(accepted|finished)$"","""")
   )&gt;0,
  ""TECH"",COUNTIF(Technologies!A:A,A297)&gt;0,
  ""STATE"",COUNTIF(States!A:A,A297)&gt;0,
  FALSE
 )
)"),TRUE)</f>
        <v>1</v>
      </c>
      <c r="P297" s="64" t="str">
        <f t="shared" si="3"/>
        <v>Good</v>
      </c>
      <c r="Q297" s="65"/>
      <c r="R297" s="65"/>
      <c r="S297" s="65"/>
      <c r="T297" s="65"/>
      <c r="U297" s="6"/>
      <c r="V297" s="6" t="str">
        <f>IFERROR(__xludf.DUMMYFUNCTION("""COMPUTED_VALUE"""),"quest.once_upon_a_forest_chapter_13.finished")</f>
        <v>quest.once_upon_a_forest_chapter_13.finished</v>
      </c>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row>
    <row r="298" ht="14.25" customHeight="1">
      <c r="A298" s="26" t="str">
        <f t="shared" si="1"/>
        <v>quest.once_upon_a_forest_chapter_14.accepted</v>
      </c>
      <c r="B298" s="26" t="str">
        <f t="array" ref="B298">_xlfn.XLOOKUP(A298,Targets!A:A,Targets!C:C,"")</f>
        <v>QUEST</v>
      </c>
      <c r="C298" s="64" t="b">
        <f>COUNTIF(Targets!A:A,A298)&gt;0</f>
        <v>1</v>
      </c>
      <c r="D298" s="64" t="b">
        <f>IF(
 OR(
  LEFT(A298,15)="state.character",
  RIGHT(A298,6)=".maxed"
 ),
 TRUE,
 COUNTIF(Checklist!A:A,A298)&gt;0
)</f>
        <v>1</v>
      </c>
      <c r="E298" s="64" t="b">
        <f>IF(
 OR(
  LEFT(A298,15)="state.character",
  RIGHT(A298,6)=".maxed",
  A298="building.guild@1",
  A298="quest.build_the_guild.accepted",
  A298="quest.build_the_pagoda.accepted"
 ),
 TRUE,
 COUNTIF(Dependencies!A:A,A298)&gt;0
)</f>
        <v>1</v>
      </c>
      <c r="F298" s="64" t="b">
        <f>COUNTIF(Dependencies!B:B,A298)&gt;0</f>
        <v>1</v>
      </c>
      <c r="G298" s="64" t="b">
        <f>COUNTIF(QuestObjectives!A:A,A298)&gt;0</f>
        <v>0</v>
      </c>
      <c r="H298" s="64" t="b">
        <f>COUNTIF(QuestObjectives!E:E,A298)&gt;0</f>
        <v>0</v>
      </c>
      <c r="I298" s="64" t="b">
        <f>COUNTIF(TargetStatus!A:A,A298)&gt;0</f>
        <v>1</v>
      </c>
      <c r="J298" s="64" t="b">
        <f>COUNTIF(CostStatus!B:B,A298)&gt;0</f>
        <v>0</v>
      </c>
      <c r="K298" s="64" t="b">
        <f>COUNTIF(States!A:A,A298)&gt;0</f>
        <v>0</v>
      </c>
      <c r="L298" s="64" t="b">
        <f t="shared" si="2"/>
        <v>1</v>
      </c>
      <c r="M298" s="64" t="b">
        <f>IF(A298="","",COUNTIF(Targets!A:A,A298)&gt;1)</f>
        <v>0</v>
      </c>
      <c r="N298" s="64" t="b">
        <f>IF(A298="","",COUNTIF(States!A:A,A298)&gt;1)</f>
        <v>0</v>
      </c>
      <c r="O298" s="64" t="b">
        <f>IFERROR(__xludf.DUMMYFUNCTION("IF(
 B298="""",
 """",
 SWITCH(
  B298,
  ""BUILDING"",COUNTIF(Buildings!A:A,A298)&gt;0,
  ""CITADEL"",COUNTIF(Citadel!A:A,A298)&gt;0,
  ""COLLECTION"",COUNTIF(Collections!A:A,A298)&gt;0,
  ""CRAFTIFACT"",COUNTIF(Craftifacts!A:A,A298)&gt;0,
  ""QUEST"",
   COUNTIF(
 "&amp;"   Quests!A:A,
    REGEXREPLACE(A298,""\.(accepted|finished)$"","""")
   )&gt;0,
  ""TECH"",COUNTIF(Technologies!A:A,A298)&gt;0,
  ""STATE"",COUNTIF(States!A:A,A298)&gt;0,
  FALSE
 )
)"),TRUE)</f>
        <v>1</v>
      </c>
      <c r="P298" s="64" t="str">
        <f t="shared" si="3"/>
        <v>Good</v>
      </c>
      <c r="Q298" s="65"/>
      <c r="R298" s="65"/>
      <c r="S298" s="65"/>
      <c r="T298" s="65"/>
      <c r="U298" s="6"/>
      <c r="V298" s="6" t="str">
        <f>IFERROR(__xludf.DUMMYFUNCTION("""COMPUTED_VALUE"""),"quest.once_upon_a_forest_chapter_14.accepted")</f>
        <v>quest.once_upon_a_forest_chapter_14.accepted</v>
      </c>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row>
    <row r="299" ht="14.25" customHeight="1">
      <c r="A299" s="26" t="str">
        <f t="shared" si="1"/>
        <v>quest.once_upon_a_forest_chapter_14.finished</v>
      </c>
      <c r="B299" s="26" t="str">
        <f t="array" ref="B299">_xlfn.XLOOKUP(A299,Targets!A:A,Targets!C:C,"")</f>
        <v>QUEST</v>
      </c>
      <c r="C299" s="64" t="b">
        <f>COUNTIF(Targets!A:A,A299)&gt;0</f>
        <v>1</v>
      </c>
      <c r="D299" s="64" t="b">
        <f>IF(
 OR(
  LEFT(A299,15)="state.character",
  RIGHT(A299,6)=".maxed"
 ),
 TRUE,
 COUNTIF(Checklist!A:A,A299)&gt;0
)</f>
        <v>1</v>
      </c>
      <c r="E299" s="64" t="b">
        <f>IF(
 OR(
  LEFT(A299,15)="state.character",
  RIGHT(A299,6)=".maxed",
  A299="building.guild@1",
  A299="quest.build_the_guild.accepted",
  A299="quest.build_the_pagoda.accepted"
 ),
 TRUE,
 COUNTIF(Dependencies!A:A,A299)&gt;0
)</f>
        <v>1</v>
      </c>
      <c r="F299" s="64" t="b">
        <f>COUNTIF(Dependencies!B:B,A299)&gt;0</f>
        <v>1</v>
      </c>
      <c r="G299" s="64" t="b">
        <f>COUNTIF(QuestObjectives!A:A,A299)&gt;0</f>
        <v>1</v>
      </c>
      <c r="H299" s="64" t="b">
        <f>COUNTIF(QuestObjectives!E:E,A299)&gt;0</f>
        <v>0</v>
      </c>
      <c r="I299" s="64" t="b">
        <f>COUNTIF(TargetStatus!A:A,A299)&gt;0</f>
        <v>1</v>
      </c>
      <c r="J299" s="64" t="b">
        <f>COUNTIF(CostStatus!B:B,A299)&gt;0</f>
        <v>0</v>
      </c>
      <c r="K299" s="64" t="b">
        <f>COUNTIF(States!A:A,A299)&gt;0</f>
        <v>0</v>
      </c>
      <c r="L299" s="64" t="b">
        <f t="shared" si="2"/>
        <v>1</v>
      </c>
      <c r="M299" s="64" t="b">
        <f>IF(A299="","",COUNTIF(Targets!A:A,A299)&gt;1)</f>
        <v>0</v>
      </c>
      <c r="N299" s="64" t="b">
        <f>IF(A299="","",COUNTIF(States!A:A,A299)&gt;1)</f>
        <v>0</v>
      </c>
      <c r="O299" s="64" t="b">
        <f>IFERROR(__xludf.DUMMYFUNCTION("IF(
 B299="""",
 """",
 SWITCH(
  B299,
  ""BUILDING"",COUNTIF(Buildings!A:A,A299)&gt;0,
  ""CITADEL"",COUNTIF(Citadel!A:A,A299)&gt;0,
  ""COLLECTION"",COUNTIF(Collections!A:A,A299)&gt;0,
  ""CRAFTIFACT"",COUNTIF(Craftifacts!A:A,A299)&gt;0,
  ""QUEST"",
   COUNTIF(
 "&amp;"   Quests!A:A,
    REGEXREPLACE(A299,""\.(accepted|finished)$"","""")
   )&gt;0,
  ""TECH"",COUNTIF(Technologies!A:A,A299)&gt;0,
  ""STATE"",COUNTIF(States!A:A,A299)&gt;0,
  FALSE
 )
)"),TRUE)</f>
        <v>1</v>
      </c>
      <c r="P299" s="64" t="str">
        <f t="shared" si="3"/>
        <v>Good</v>
      </c>
      <c r="Q299" s="65"/>
      <c r="R299" s="65"/>
      <c r="S299" s="65"/>
      <c r="T299" s="65"/>
      <c r="U299" s="6"/>
      <c r="V299" s="6" t="str">
        <f>IFERROR(__xludf.DUMMYFUNCTION("""COMPUTED_VALUE"""),"quest.once_upon_a_forest_chapter_14.finished")</f>
        <v>quest.once_upon_a_forest_chapter_14.finished</v>
      </c>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ht="14.25" customHeight="1">
      <c r="A300" s="26" t="str">
        <f t="shared" si="1"/>
        <v>quest.once_upon_a_forest_chapter_15.accepted</v>
      </c>
      <c r="B300" s="26" t="str">
        <f t="array" ref="B300">_xlfn.XLOOKUP(A300,Targets!A:A,Targets!C:C,"")</f>
        <v>QUEST</v>
      </c>
      <c r="C300" s="64" t="b">
        <f>COUNTIF(Targets!A:A,A300)&gt;0</f>
        <v>1</v>
      </c>
      <c r="D300" s="64" t="b">
        <f>IF(
 OR(
  LEFT(A300,15)="state.character",
  RIGHT(A300,6)=".maxed"
 ),
 TRUE,
 COUNTIF(Checklist!A:A,A300)&gt;0
)</f>
        <v>1</v>
      </c>
      <c r="E300" s="64" t="b">
        <f>IF(
 OR(
  LEFT(A300,15)="state.character",
  RIGHT(A300,6)=".maxed",
  A300="building.guild@1",
  A300="quest.build_the_guild.accepted",
  A300="quest.build_the_pagoda.accepted"
 ),
 TRUE,
 COUNTIF(Dependencies!A:A,A300)&gt;0
)</f>
        <v>1</v>
      </c>
      <c r="F300" s="64" t="b">
        <f>COUNTIF(Dependencies!B:B,A300)&gt;0</f>
        <v>1</v>
      </c>
      <c r="G300" s="64" t="b">
        <f>COUNTIF(QuestObjectives!A:A,A300)&gt;0</f>
        <v>0</v>
      </c>
      <c r="H300" s="64" t="b">
        <f>COUNTIF(QuestObjectives!E:E,A300)&gt;0</f>
        <v>0</v>
      </c>
      <c r="I300" s="64" t="b">
        <f>COUNTIF(TargetStatus!A:A,A300)&gt;0</f>
        <v>1</v>
      </c>
      <c r="J300" s="64" t="b">
        <f>COUNTIF(CostStatus!B:B,A300)&gt;0</f>
        <v>0</v>
      </c>
      <c r="K300" s="64" t="b">
        <f>COUNTIF(States!A:A,A300)&gt;0</f>
        <v>0</v>
      </c>
      <c r="L300" s="64" t="b">
        <f t="shared" si="2"/>
        <v>1</v>
      </c>
      <c r="M300" s="64" t="b">
        <f>IF(A300="","",COUNTIF(Targets!A:A,A300)&gt;1)</f>
        <v>0</v>
      </c>
      <c r="N300" s="64" t="b">
        <f>IF(A300="","",COUNTIF(States!A:A,A300)&gt;1)</f>
        <v>0</v>
      </c>
      <c r="O300" s="64" t="b">
        <f>IFERROR(__xludf.DUMMYFUNCTION("IF(
 B300="""",
 """",
 SWITCH(
  B300,
  ""BUILDING"",COUNTIF(Buildings!A:A,A300)&gt;0,
  ""CITADEL"",COUNTIF(Citadel!A:A,A300)&gt;0,
  ""COLLECTION"",COUNTIF(Collections!A:A,A300)&gt;0,
  ""CRAFTIFACT"",COUNTIF(Craftifacts!A:A,A300)&gt;0,
  ""QUEST"",
   COUNTIF(
 "&amp;"   Quests!A:A,
    REGEXREPLACE(A300,""\.(accepted|finished)$"","""")
   )&gt;0,
  ""TECH"",COUNTIF(Technologies!A:A,A300)&gt;0,
  ""STATE"",COUNTIF(States!A:A,A300)&gt;0,
  FALSE
 )
)"),TRUE)</f>
        <v>1</v>
      </c>
      <c r="P300" s="64" t="str">
        <f t="shared" si="3"/>
        <v>Good</v>
      </c>
      <c r="Q300" s="65"/>
      <c r="R300" s="65"/>
      <c r="S300" s="65"/>
      <c r="T300" s="65"/>
      <c r="U300" s="6"/>
      <c r="V300" s="6" t="str">
        <f>IFERROR(__xludf.DUMMYFUNCTION("""COMPUTED_VALUE"""),"quest.once_upon_a_forest_chapter_15.accepted")</f>
        <v>quest.once_upon_a_forest_chapter_15.accepted</v>
      </c>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ht="14.25" customHeight="1">
      <c r="A301" s="26" t="str">
        <f t="shared" si="1"/>
        <v>quest.once_upon_a_forest_chapter_15.finished</v>
      </c>
      <c r="B301" s="26" t="str">
        <f t="array" ref="B301">_xlfn.XLOOKUP(A301,Targets!A:A,Targets!C:C,"")</f>
        <v>QUEST</v>
      </c>
      <c r="C301" s="64" t="b">
        <f>COUNTIF(Targets!A:A,A301)&gt;0</f>
        <v>1</v>
      </c>
      <c r="D301" s="64" t="b">
        <f>IF(
 OR(
  LEFT(A301,15)="state.character",
  RIGHT(A301,6)=".maxed"
 ),
 TRUE,
 COUNTIF(Checklist!A:A,A301)&gt;0
)</f>
        <v>1</v>
      </c>
      <c r="E301" s="64" t="b">
        <f>IF(
 OR(
  LEFT(A301,15)="state.character",
  RIGHT(A301,6)=".maxed",
  A301="building.guild@1",
  A301="quest.build_the_guild.accepted",
  A301="quest.build_the_pagoda.accepted"
 ),
 TRUE,
 COUNTIF(Dependencies!A:A,A301)&gt;0
)</f>
        <v>1</v>
      </c>
      <c r="F301" s="64" t="b">
        <f>COUNTIF(Dependencies!B:B,A301)&gt;0</f>
        <v>1</v>
      </c>
      <c r="G301" s="64" t="b">
        <f>COUNTIF(QuestObjectives!A:A,A301)&gt;0</f>
        <v>1</v>
      </c>
      <c r="H301" s="64" t="b">
        <f>COUNTIF(QuestObjectives!E:E,A301)&gt;0</f>
        <v>0</v>
      </c>
      <c r="I301" s="64" t="b">
        <f>COUNTIF(TargetStatus!A:A,A301)&gt;0</f>
        <v>1</v>
      </c>
      <c r="J301" s="64" t="b">
        <f>COUNTIF(CostStatus!B:B,A301)&gt;0</f>
        <v>0</v>
      </c>
      <c r="K301" s="64" t="b">
        <f>COUNTIF(States!A:A,A301)&gt;0</f>
        <v>0</v>
      </c>
      <c r="L301" s="64" t="b">
        <f t="shared" si="2"/>
        <v>1</v>
      </c>
      <c r="M301" s="64" t="b">
        <f>IF(A301="","",COUNTIF(Targets!A:A,A301)&gt;1)</f>
        <v>0</v>
      </c>
      <c r="N301" s="64" t="b">
        <f>IF(A301="","",COUNTIF(States!A:A,A301)&gt;1)</f>
        <v>0</v>
      </c>
      <c r="O301" s="64" t="b">
        <f>IFERROR(__xludf.DUMMYFUNCTION("IF(
 B301="""",
 """",
 SWITCH(
  B301,
  ""BUILDING"",COUNTIF(Buildings!A:A,A301)&gt;0,
  ""CITADEL"",COUNTIF(Citadel!A:A,A301)&gt;0,
  ""COLLECTION"",COUNTIF(Collections!A:A,A301)&gt;0,
  ""CRAFTIFACT"",COUNTIF(Craftifacts!A:A,A301)&gt;0,
  ""QUEST"",
   COUNTIF(
 "&amp;"   Quests!A:A,
    REGEXREPLACE(A301,""\.(accepted|finished)$"","""")
   )&gt;0,
  ""TECH"",COUNTIF(Technologies!A:A,A301)&gt;0,
  ""STATE"",COUNTIF(States!A:A,A301)&gt;0,
  FALSE
 )
)"),TRUE)</f>
        <v>1</v>
      </c>
      <c r="P301" s="64" t="str">
        <f t="shared" si="3"/>
        <v>Good</v>
      </c>
      <c r="Q301" s="65"/>
      <c r="R301" s="65"/>
      <c r="S301" s="65"/>
      <c r="T301" s="65"/>
      <c r="U301" s="6"/>
      <c r="V301" s="6" t="str">
        <f>IFERROR(__xludf.DUMMYFUNCTION("""COMPUTED_VALUE"""),"quest.once_upon_a_forest_chapter_15.finished")</f>
        <v>quest.once_upon_a_forest_chapter_15.finished</v>
      </c>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ht="14.25" customHeight="1">
      <c r="A302" s="26" t="str">
        <f t="shared" si="1"/>
        <v>quest.once_upon_a_forest_chapter_2.accepted</v>
      </c>
      <c r="B302" s="26" t="str">
        <f t="array" ref="B302">_xlfn.XLOOKUP(A302,Targets!A:A,Targets!C:C,"")</f>
        <v>QUEST</v>
      </c>
      <c r="C302" s="64" t="b">
        <f>COUNTIF(Targets!A:A,A302)&gt;0</f>
        <v>1</v>
      </c>
      <c r="D302" s="64" t="b">
        <f>IF(
 OR(
  LEFT(A302,15)="state.character",
  RIGHT(A302,6)=".maxed"
 ),
 TRUE,
 COUNTIF(Checklist!A:A,A302)&gt;0
)</f>
        <v>1</v>
      </c>
      <c r="E302" s="64" t="b">
        <f>IF(
 OR(
  LEFT(A302,15)="state.character",
  RIGHT(A302,6)=".maxed",
  A302="building.guild@1",
  A302="quest.build_the_guild.accepted",
  A302="quest.build_the_pagoda.accepted"
 ),
 TRUE,
 COUNTIF(Dependencies!A:A,A302)&gt;0
)</f>
        <v>1</v>
      </c>
      <c r="F302" s="64" t="b">
        <f>COUNTIF(Dependencies!B:B,A302)&gt;0</f>
        <v>1</v>
      </c>
      <c r="G302" s="64" t="b">
        <f>COUNTIF(QuestObjectives!A:A,A302)&gt;0</f>
        <v>0</v>
      </c>
      <c r="H302" s="64" t="b">
        <f>COUNTIF(QuestObjectives!E:E,A302)&gt;0</f>
        <v>0</v>
      </c>
      <c r="I302" s="64" t="b">
        <f>COUNTIF(TargetStatus!A:A,A302)&gt;0</f>
        <v>1</v>
      </c>
      <c r="J302" s="64" t="b">
        <f>COUNTIF(CostStatus!B:B,A302)&gt;0</f>
        <v>0</v>
      </c>
      <c r="K302" s="64" t="b">
        <f>COUNTIF(States!A:A,A302)&gt;0</f>
        <v>0</v>
      </c>
      <c r="L302" s="64" t="b">
        <f t="shared" si="2"/>
        <v>1</v>
      </c>
      <c r="M302" s="64" t="b">
        <f>IF(A302="","",COUNTIF(Targets!A:A,A302)&gt;1)</f>
        <v>0</v>
      </c>
      <c r="N302" s="64" t="b">
        <f>IF(A302="","",COUNTIF(States!A:A,A302)&gt;1)</f>
        <v>0</v>
      </c>
      <c r="O302" s="64" t="b">
        <f>IFERROR(__xludf.DUMMYFUNCTION("IF(
 B302="""",
 """",
 SWITCH(
  B302,
  ""BUILDING"",COUNTIF(Buildings!A:A,A302)&gt;0,
  ""CITADEL"",COUNTIF(Citadel!A:A,A302)&gt;0,
  ""COLLECTION"",COUNTIF(Collections!A:A,A302)&gt;0,
  ""CRAFTIFACT"",COUNTIF(Craftifacts!A:A,A302)&gt;0,
  ""QUEST"",
   COUNTIF(
 "&amp;"   Quests!A:A,
    REGEXREPLACE(A302,""\.(accepted|finished)$"","""")
   )&gt;0,
  ""TECH"",COUNTIF(Technologies!A:A,A302)&gt;0,
  ""STATE"",COUNTIF(States!A:A,A302)&gt;0,
  FALSE
 )
)"),TRUE)</f>
        <v>1</v>
      </c>
      <c r="P302" s="64" t="str">
        <f t="shared" si="3"/>
        <v>Good</v>
      </c>
      <c r="Q302" s="65"/>
      <c r="R302" s="65"/>
      <c r="S302" s="65"/>
      <c r="T302" s="65"/>
      <c r="U302" s="6"/>
      <c r="V302" s="6" t="str">
        <f>IFERROR(__xludf.DUMMYFUNCTION("""COMPUTED_VALUE"""),"quest.once_upon_a_forest_chapter_2.accepted")</f>
        <v>quest.once_upon_a_forest_chapter_2.accepted</v>
      </c>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ht="14.25" customHeight="1">
      <c r="A303" s="26" t="str">
        <f t="shared" si="1"/>
        <v>quest.once_upon_a_forest_chapter_2.finished</v>
      </c>
      <c r="B303" s="26" t="str">
        <f t="array" ref="B303">_xlfn.XLOOKUP(A303,Targets!A:A,Targets!C:C,"")</f>
        <v>QUEST</v>
      </c>
      <c r="C303" s="64" t="b">
        <f>COUNTIF(Targets!A:A,A303)&gt;0</f>
        <v>1</v>
      </c>
      <c r="D303" s="64" t="b">
        <f>IF(
 OR(
  LEFT(A303,15)="state.character",
  RIGHT(A303,6)=".maxed"
 ),
 TRUE,
 COUNTIF(Checklist!A:A,A303)&gt;0
)</f>
        <v>1</v>
      </c>
      <c r="E303" s="64" t="b">
        <f>IF(
 OR(
  LEFT(A303,15)="state.character",
  RIGHT(A303,6)=".maxed",
  A303="building.guild@1",
  A303="quest.build_the_guild.accepted",
  A303="quest.build_the_pagoda.accepted"
 ),
 TRUE,
 COUNTIF(Dependencies!A:A,A303)&gt;0
)</f>
        <v>1</v>
      </c>
      <c r="F303" s="64" t="b">
        <f>COUNTIF(Dependencies!B:B,A303)&gt;0</f>
        <v>1</v>
      </c>
      <c r="G303" s="64" t="b">
        <f>COUNTIF(QuestObjectives!A:A,A303)&gt;0</f>
        <v>1</v>
      </c>
      <c r="H303" s="64" t="b">
        <f>COUNTIF(QuestObjectives!E:E,A303)&gt;0</f>
        <v>0</v>
      </c>
      <c r="I303" s="64" t="b">
        <f>COUNTIF(TargetStatus!A:A,A303)&gt;0</f>
        <v>1</v>
      </c>
      <c r="J303" s="64" t="b">
        <f>COUNTIF(CostStatus!B:B,A303)&gt;0</f>
        <v>0</v>
      </c>
      <c r="K303" s="64" t="b">
        <f>COUNTIF(States!A:A,A303)&gt;0</f>
        <v>0</v>
      </c>
      <c r="L303" s="64" t="b">
        <f t="shared" si="2"/>
        <v>1</v>
      </c>
      <c r="M303" s="64" t="b">
        <f>IF(A303="","",COUNTIF(Targets!A:A,A303)&gt;1)</f>
        <v>0</v>
      </c>
      <c r="N303" s="64" t="b">
        <f>IF(A303="","",COUNTIF(States!A:A,A303)&gt;1)</f>
        <v>0</v>
      </c>
      <c r="O303" s="64" t="b">
        <f>IFERROR(__xludf.DUMMYFUNCTION("IF(
 B303="""",
 """",
 SWITCH(
  B303,
  ""BUILDING"",COUNTIF(Buildings!A:A,A303)&gt;0,
  ""CITADEL"",COUNTIF(Citadel!A:A,A303)&gt;0,
  ""COLLECTION"",COUNTIF(Collections!A:A,A303)&gt;0,
  ""CRAFTIFACT"",COUNTIF(Craftifacts!A:A,A303)&gt;0,
  ""QUEST"",
   COUNTIF(
 "&amp;"   Quests!A:A,
    REGEXREPLACE(A303,""\.(accepted|finished)$"","""")
   )&gt;0,
  ""TECH"",COUNTIF(Technologies!A:A,A303)&gt;0,
  ""STATE"",COUNTIF(States!A:A,A303)&gt;0,
  FALSE
 )
)"),TRUE)</f>
        <v>1</v>
      </c>
      <c r="P303" s="64" t="str">
        <f t="shared" si="3"/>
        <v>Good</v>
      </c>
      <c r="Q303" s="65"/>
      <c r="R303" s="65"/>
      <c r="S303" s="65"/>
      <c r="T303" s="65"/>
      <c r="U303" s="6"/>
      <c r="V303" s="6" t="str">
        <f>IFERROR(__xludf.DUMMYFUNCTION("""COMPUTED_VALUE"""),"quest.once_upon_a_forest_chapter_2.finished")</f>
        <v>quest.once_upon_a_forest_chapter_2.finished</v>
      </c>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ht="14.25" customHeight="1">
      <c r="A304" s="26" t="str">
        <f t="shared" si="1"/>
        <v>quest.once_upon_a_forest_chapter_3.accepted</v>
      </c>
      <c r="B304" s="26" t="str">
        <f t="array" ref="B304">_xlfn.XLOOKUP(A304,Targets!A:A,Targets!C:C,"")</f>
        <v>QUEST</v>
      </c>
      <c r="C304" s="64" t="b">
        <f>COUNTIF(Targets!A:A,A304)&gt;0</f>
        <v>1</v>
      </c>
      <c r="D304" s="64" t="b">
        <f>IF(
 OR(
  LEFT(A304,15)="state.character",
  RIGHT(A304,6)=".maxed"
 ),
 TRUE,
 COUNTIF(Checklist!A:A,A304)&gt;0
)</f>
        <v>1</v>
      </c>
      <c r="E304" s="64" t="b">
        <f>IF(
 OR(
  LEFT(A304,15)="state.character",
  RIGHT(A304,6)=".maxed",
  A304="building.guild@1",
  A304="quest.build_the_guild.accepted",
  A304="quest.build_the_pagoda.accepted"
 ),
 TRUE,
 COUNTIF(Dependencies!A:A,A304)&gt;0
)</f>
        <v>1</v>
      </c>
      <c r="F304" s="64" t="b">
        <f>COUNTIF(Dependencies!B:B,A304)&gt;0</f>
        <v>1</v>
      </c>
      <c r="G304" s="64" t="b">
        <f>COUNTIF(QuestObjectives!A:A,A304)&gt;0</f>
        <v>0</v>
      </c>
      <c r="H304" s="64" t="b">
        <f>COUNTIF(QuestObjectives!E:E,A304)&gt;0</f>
        <v>0</v>
      </c>
      <c r="I304" s="64" t="b">
        <f>COUNTIF(TargetStatus!A:A,A304)&gt;0</f>
        <v>1</v>
      </c>
      <c r="J304" s="64" t="b">
        <f>COUNTIF(CostStatus!B:B,A304)&gt;0</f>
        <v>0</v>
      </c>
      <c r="K304" s="64" t="b">
        <f>COUNTIF(States!A:A,A304)&gt;0</f>
        <v>0</v>
      </c>
      <c r="L304" s="64" t="b">
        <f t="shared" si="2"/>
        <v>1</v>
      </c>
      <c r="M304" s="64" t="b">
        <f>IF(A304="","",COUNTIF(Targets!A:A,A304)&gt;1)</f>
        <v>0</v>
      </c>
      <c r="N304" s="64" t="b">
        <f>IF(A304="","",COUNTIF(States!A:A,A304)&gt;1)</f>
        <v>0</v>
      </c>
      <c r="O304" s="64" t="b">
        <f>IFERROR(__xludf.DUMMYFUNCTION("IF(
 B304="""",
 """",
 SWITCH(
  B304,
  ""BUILDING"",COUNTIF(Buildings!A:A,A304)&gt;0,
  ""CITADEL"",COUNTIF(Citadel!A:A,A304)&gt;0,
  ""COLLECTION"",COUNTIF(Collections!A:A,A304)&gt;0,
  ""CRAFTIFACT"",COUNTIF(Craftifacts!A:A,A304)&gt;0,
  ""QUEST"",
   COUNTIF(
 "&amp;"   Quests!A:A,
    REGEXREPLACE(A304,""\.(accepted|finished)$"","""")
   )&gt;0,
  ""TECH"",COUNTIF(Technologies!A:A,A304)&gt;0,
  ""STATE"",COUNTIF(States!A:A,A304)&gt;0,
  FALSE
 )
)"),TRUE)</f>
        <v>1</v>
      </c>
      <c r="P304" s="64" t="str">
        <f t="shared" si="3"/>
        <v>Good</v>
      </c>
      <c r="Q304" s="65"/>
      <c r="R304" s="65"/>
      <c r="S304" s="65"/>
      <c r="T304" s="65"/>
      <c r="U304" s="6"/>
      <c r="V304" s="6" t="str">
        <f>IFERROR(__xludf.DUMMYFUNCTION("""COMPUTED_VALUE"""),"quest.once_upon_a_forest_chapter_3.accepted")</f>
        <v>quest.once_upon_a_forest_chapter_3.accepted</v>
      </c>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ht="14.25" customHeight="1">
      <c r="A305" s="26" t="str">
        <f t="shared" si="1"/>
        <v>quest.once_upon_a_forest_chapter_3.finished</v>
      </c>
      <c r="B305" s="26" t="str">
        <f t="array" ref="B305">_xlfn.XLOOKUP(A305,Targets!A:A,Targets!C:C,"")</f>
        <v>QUEST</v>
      </c>
      <c r="C305" s="64" t="b">
        <f>COUNTIF(Targets!A:A,A305)&gt;0</f>
        <v>1</v>
      </c>
      <c r="D305" s="64" t="b">
        <f>IF(
 OR(
  LEFT(A305,15)="state.character",
  RIGHT(A305,6)=".maxed"
 ),
 TRUE,
 COUNTIF(Checklist!A:A,A305)&gt;0
)</f>
        <v>1</v>
      </c>
      <c r="E305" s="64" t="b">
        <f>IF(
 OR(
  LEFT(A305,15)="state.character",
  RIGHT(A305,6)=".maxed",
  A305="building.guild@1",
  A305="quest.build_the_guild.accepted",
  A305="quest.build_the_pagoda.accepted"
 ),
 TRUE,
 COUNTIF(Dependencies!A:A,A305)&gt;0
)</f>
        <v>1</v>
      </c>
      <c r="F305" s="64" t="b">
        <f>COUNTIF(Dependencies!B:B,A305)&gt;0</f>
        <v>1</v>
      </c>
      <c r="G305" s="64" t="b">
        <f>COUNTIF(QuestObjectives!A:A,A305)&gt;0</f>
        <v>1</v>
      </c>
      <c r="H305" s="64" t="b">
        <f>COUNTIF(QuestObjectives!E:E,A305)&gt;0</f>
        <v>0</v>
      </c>
      <c r="I305" s="64" t="b">
        <f>COUNTIF(TargetStatus!A:A,A305)&gt;0</f>
        <v>1</v>
      </c>
      <c r="J305" s="64" t="b">
        <f>COUNTIF(CostStatus!B:B,A305)&gt;0</f>
        <v>0</v>
      </c>
      <c r="K305" s="64" t="b">
        <f>COUNTIF(States!A:A,A305)&gt;0</f>
        <v>0</v>
      </c>
      <c r="L305" s="64" t="b">
        <f t="shared" si="2"/>
        <v>1</v>
      </c>
      <c r="M305" s="64" t="b">
        <f>IF(A305="","",COUNTIF(Targets!A:A,A305)&gt;1)</f>
        <v>0</v>
      </c>
      <c r="N305" s="64" t="b">
        <f>IF(A305="","",COUNTIF(States!A:A,A305)&gt;1)</f>
        <v>0</v>
      </c>
      <c r="O305" s="64" t="b">
        <f>IFERROR(__xludf.DUMMYFUNCTION("IF(
 B305="""",
 """",
 SWITCH(
  B305,
  ""BUILDING"",COUNTIF(Buildings!A:A,A305)&gt;0,
  ""CITADEL"",COUNTIF(Citadel!A:A,A305)&gt;0,
  ""COLLECTION"",COUNTIF(Collections!A:A,A305)&gt;0,
  ""CRAFTIFACT"",COUNTIF(Craftifacts!A:A,A305)&gt;0,
  ""QUEST"",
   COUNTIF(
 "&amp;"   Quests!A:A,
    REGEXREPLACE(A305,""\.(accepted|finished)$"","""")
   )&gt;0,
  ""TECH"",COUNTIF(Technologies!A:A,A305)&gt;0,
  ""STATE"",COUNTIF(States!A:A,A305)&gt;0,
  FALSE
 )
)"),TRUE)</f>
        <v>1</v>
      </c>
      <c r="P305" s="64" t="str">
        <f t="shared" si="3"/>
        <v>Good</v>
      </c>
      <c r="Q305" s="65"/>
      <c r="R305" s="65"/>
      <c r="S305" s="65"/>
      <c r="T305" s="65"/>
      <c r="U305" s="6"/>
      <c r="V305" s="6" t="str">
        <f>IFERROR(__xludf.DUMMYFUNCTION("""COMPUTED_VALUE"""),"quest.once_upon_a_forest_chapter_3.finished")</f>
        <v>quest.once_upon_a_forest_chapter_3.finished</v>
      </c>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ht="14.25" customHeight="1">
      <c r="A306" s="26" t="str">
        <f t="shared" si="1"/>
        <v>quest.once_upon_a_forest_chapter_4.accepted</v>
      </c>
      <c r="B306" s="26" t="str">
        <f t="array" ref="B306">_xlfn.XLOOKUP(A306,Targets!A:A,Targets!C:C,"")</f>
        <v>QUEST</v>
      </c>
      <c r="C306" s="64" t="b">
        <f>COUNTIF(Targets!A:A,A306)&gt;0</f>
        <v>1</v>
      </c>
      <c r="D306" s="64" t="b">
        <f>IF(
 OR(
  LEFT(A306,15)="state.character",
  RIGHT(A306,6)=".maxed"
 ),
 TRUE,
 COUNTIF(Checklist!A:A,A306)&gt;0
)</f>
        <v>1</v>
      </c>
      <c r="E306" s="64" t="b">
        <f>IF(
 OR(
  LEFT(A306,15)="state.character",
  RIGHT(A306,6)=".maxed",
  A306="building.guild@1",
  A306="quest.build_the_guild.accepted",
  A306="quest.build_the_pagoda.accepted"
 ),
 TRUE,
 COUNTIF(Dependencies!A:A,A306)&gt;0
)</f>
        <v>1</v>
      </c>
      <c r="F306" s="64" t="b">
        <f>COUNTIF(Dependencies!B:B,A306)&gt;0</f>
        <v>1</v>
      </c>
      <c r="G306" s="64" t="b">
        <f>COUNTIF(QuestObjectives!A:A,A306)&gt;0</f>
        <v>0</v>
      </c>
      <c r="H306" s="64" t="b">
        <f>COUNTIF(QuestObjectives!E:E,A306)&gt;0</f>
        <v>0</v>
      </c>
      <c r="I306" s="64" t="b">
        <f>COUNTIF(TargetStatus!A:A,A306)&gt;0</f>
        <v>1</v>
      </c>
      <c r="J306" s="64" t="b">
        <f>COUNTIF(CostStatus!B:B,A306)&gt;0</f>
        <v>0</v>
      </c>
      <c r="K306" s="64" t="b">
        <f>COUNTIF(States!A:A,A306)&gt;0</f>
        <v>0</v>
      </c>
      <c r="L306" s="64" t="b">
        <f t="shared" si="2"/>
        <v>1</v>
      </c>
      <c r="M306" s="64" t="b">
        <f>IF(A306="","",COUNTIF(Targets!A:A,A306)&gt;1)</f>
        <v>0</v>
      </c>
      <c r="N306" s="64" t="b">
        <f>IF(A306="","",COUNTIF(States!A:A,A306)&gt;1)</f>
        <v>0</v>
      </c>
      <c r="O306" s="64" t="b">
        <f>IFERROR(__xludf.DUMMYFUNCTION("IF(
 B306="""",
 """",
 SWITCH(
  B306,
  ""BUILDING"",COUNTIF(Buildings!A:A,A306)&gt;0,
  ""CITADEL"",COUNTIF(Citadel!A:A,A306)&gt;0,
  ""COLLECTION"",COUNTIF(Collections!A:A,A306)&gt;0,
  ""CRAFTIFACT"",COUNTIF(Craftifacts!A:A,A306)&gt;0,
  ""QUEST"",
   COUNTIF(
 "&amp;"   Quests!A:A,
    REGEXREPLACE(A306,""\.(accepted|finished)$"","""")
   )&gt;0,
  ""TECH"",COUNTIF(Technologies!A:A,A306)&gt;0,
  ""STATE"",COUNTIF(States!A:A,A306)&gt;0,
  FALSE
 )
)"),TRUE)</f>
        <v>1</v>
      </c>
      <c r="P306" s="64" t="str">
        <f t="shared" si="3"/>
        <v>Good</v>
      </c>
      <c r="Q306" s="65"/>
      <c r="R306" s="65"/>
      <c r="S306" s="65"/>
      <c r="T306" s="65"/>
      <c r="U306" s="6"/>
      <c r="V306" s="6" t="str">
        <f>IFERROR(__xludf.DUMMYFUNCTION("""COMPUTED_VALUE"""),"quest.once_upon_a_forest_chapter_4.accepted")</f>
        <v>quest.once_upon_a_forest_chapter_4.accepted</v>
      </c>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ht="14.25" customHeight="1">
      <c r="A307" s="26" t="str">
        <f t="shared" si="1"/>
        <v>quest.once_upon_a_forest_chapter_4.finished</v>
      </c>
      <c r="B307" s="26" t="str">
        <f t="array" ref="B307">_xlfn.XLOOKUP(A307,Targets!A:A,Targets!C:C,"")</f>
        <v>QUEST</v>
      </c>
      <c r="C307" s="64" t="b">
        <f>COUNTIF(Targets!A:A,A307)&gt;0</f>
        <v>1</v>
      </c>
      <c r="D307" s="64" t="b">
        <f>IF(
 OR(
  LEFT(A307,15)="state.character",
  RIGHT(A307,6)=".maxed"
 ),
 TRUE,
 COUNTIF(Checklist!A:A,A307)&gt;0
)</f>
        <v>1</v>
      </c>
      <c r="E307" s="64" t="b">
        <f>IF(
 OR(
  LEFT(A307,15)="state.character",
  RIGHT(A307,6)=".maxed",
  A307="building.guild@1",
  A307="quest.build_the_guild.accepted",
  A307="quest.build_the_pagoda.accepted"
 ),
 TRUE,
 COUNTIF(Dependencies!A:A,A307)&gt;0
)</f>
        <v>1</v>
      </c>
      <c r="F307" s="64" t="b">
        <f>COUNTIF(Dependencies!B:B,A307)&gt;0</f>
        <v>1</v>
      </c>
      <c r="G307" s="64" t="b">
        <f>COUNTIF(QuestObjectives!A:A,A307)&gt;0</f>
        <v>1</v>
      </c>
      <c r="H307" s="64" t="b">
        <f>COUNTIF(QuestObjectives!E:E,A307)&gt;0</f>
        <v>0</v>
      </c>
      <c r="I307" s="64" t="b">
        <f>COUNTIF(TargetStatus!A:A,A307)&gt;0</f>
        <v>1</v>
      </c>
      <c r="J307" s="64" t="b">
        <f>COUNTIF(CostStatus!B:B,A307)&gt;0</f>
        <v>0</v>
      </c>
      <c r="K307" s="64" t="b">
        <f>COUNTIF(States!A:A,A307)&gt;0</f>
        <v>0</v>
      </c>
      <c r="L307" s="64" t="b">
        <f t="shared" si="2"/>
        <v>1</v>
      </c>
      <c r="M307" s="64" t="b">
        <f>IF(A307="","",COUNTIF(Targets!A:A,A307)&gt;1)</f>
        <v>0</v>
      </c>
      <c r="N307" s="64" t="b">
        <f>IF(A307="","",COUNTIF(States!A:A,A307)&gt;1)</f>
        <v>0</v>
      </c>
      <c r="O307" s="64" t="b">
        <f>IFERROR(__xludf.DUMMYFUNCTION("IF(
 B307="""",
 """",
 SWITCH(
  B307,
  ""BUILDING"",COUNTIF(Buildings!A:A,A307)&gt;0,
  ""CITADEL"",COUNTIF(Citadel!A:A,A307)&gt;0,
  ""COLLECTION"",COUNTIF(Collections!A:A,A307)&gt;0,
  ""CRAFTIFACT"",COUNTIF(Craftifacts!A:A,A307)&gt;0,
  ""QUEST"",
   COUNTIF(
 "&amp;"   Quests!A:A,
    REGEXREPLACE(A307,""\.(accepted|finished)$"","""")
   )&gt;0,
  ""TECH"",COUNTIF(Technologies!A:A,A307)&gt;0,
  ""STATE"",COUNTIF(States!A:A,A307)&gt;0,
  FALSE
 )
)"),TRUE)</f>
        <v>1</v>
      </c>
      <c r="P307" s="64" t="str">
        <f t="shared" si="3"/>
        <v>Good</v>
      </c>
      <c r="Q307" s="65"/>
      <c r="R307" s="65"/>
      <c r="S307" s="65"/>
      <c r="T307" s="65"/>
      <c r="U307" s="6"/>
      <c r="V307" s="6" t="str">
        <f>IFERROR(__xludf.DUMMYFUNCTION("""COMPUTED_VALUE"""),"quest.once_upon_a_forest_chapter_4.finished")</f>
        <v>quest.once_upon_a_forest_chapter_4.finished</v>
      </c>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ht="14.25" customHeight="1">
      <c r="A308" s="26" t="str">
        <f t="shared" si="1"/>
        <v>quest.once_upon_a_forest_chapter_5.accepted</v>
      </c>
      <c r="B308" s="26" t="str">
        <f t="array" ref="B308">_xlfn.XLOOKUP(A308,Targets!A:A,Targets!C:C,"")</f>
        <v>QUEST</v>
      </c>
      <c r="C308" s="64" t="b">
        <f>COUNTIF(Targets!A:A,A308)&gt;0</f>
        <v>1</v>
      </c>
      <c r="D308" s="64" t="b">
        <f>IF(
 OR(
  LEFT(A308,15)="state.character",
  RIGHT(A308,6)=".maxed"
 ),
 TRUE,
 COUNTIF(Checklist!A:A,A308)&gt;0
)</f>
        <v>1</v>
      </c>
      <c r="E308" s="64" t="b">
        <f>IF(
 OR(
  LEFT(A308,15)="state.character",
  RIGHT(A308,6)=".maxed",
  A308="building.guild@1",
  A308="quest.build_the_guild.accepted",
  A308="quest.build_the_pagoda.accepted"
 ),
 TRUE,
 COUNTIF(Dependencies!A:A,A308)&gt;0
)</f>
        <v>1</v>
      </c>
      <c r="F308" s="64" t="b">
        <f>COUNTIF(Dependencies!B:B,A308)&gt;0</f>
        <v>1</v>
      </c>
      <c r="G308" s="64" t="b">
        <f>COUNTIF(QuestObjectives!A:A,A308)&gt;0</f>
        <v>0</v>
      </c>
      <c r="H308" s="64" t="b">
        <f>COUNTIF(QuestObjectives!E:E,A308)&gt;0</f>
        <v>0</v>
      </c>
      <c r="I308" s="64" t="b">
        <f>COUNTIF(TargetStatus!A:A,A308)&gt;0</f>
        <v>1</v>
      </c>
      <c r="J308" s="64" t="b">
        <f>COUNTIF(CostStatus!B:B,A308)&gt;0</f>
        <v>0</v>
      </c>
      <c r="K308" s="64" t="b">
        <f>COUNTIF(States!A:A,A308)&gt;0</f>
        <v>0</v>
      </c>
      <c r="L308" s="64" t="b">
        <f t="shared" si="2"/>
        <v>1</v>
      </c>
      <c r="M308" s="64" t="b">
        <f>IF(A308="","",COUNTIF(Targets!A:A,A308)&gt;1)</f>
        <v>0</v>
      </c>
      <c r="N308" s="64" t="b">
        <f>IF(A308="","",COUNTIF(States!A:A,A308)&gt;1)</f>
        <v>0</v>
      </c>
      <c r="O308" s="64" t="b">
        <f>IFERROR(__xludf.DUMMYFUNCTION("IF(
 B308="""",
 """",
 SWITCH(
  B308,
  ""BUILDING"",COUNTIF(Buildings!A:A,A308)&gt;0,
  ""CITADEL"",COUNTIF(Citadel!A:A,A308)&gt;0,
  ""COLLECTION"",COUNTIF(Collections!A:A,A308)&gt;0,
  ""CRAFTIFACT"",COUNTIF(Craftifacts!A:A,A308)&gt;0,
  ""QUEST"",
   COUNTIF(
 "&amp;"   Quests!A:A,
    REGEXREPLACE(A308,""\.(accepted|finished)$"","""")
   )&gt;0,
  ""TECH"",COUNTIF(Technologies!A:A,A308)&gt;0,
  ""STATE"",COUNTIF(States!A:A,A308)&gt;0,
  FALSE
 )
)"),TRUE)</f>
        <v>1</v>
      </c>
      <c r="P308" s="64" t="str">
        <f t="shared" si="3"/>
        <v>Good</v>
      </c>
      <c r="Q308" s="65"/>
      <c r="R308" s="65"/>
      <c r="S308" s="65"/>
      <c r="T308" s="65"/>
      <c r="U308" s="6"/>
      <c r="V308" s="6" t="str">
        <f>IFERROR(__xludf.DUMMYFUNCTION("""COMPUTED_VALUE"""),"quest.once_upon_a_forest_chapter_5.accepted")</f>
        <v>quest.once_upon_a_forest_chapter_5.accepted</v>
      </c>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ht="14.25" customHeight="1">
      <c r="A309" s="26" t="str">
        <f t="shared" si="1"/>
        <v>quest.once_upon_a_forest_chapter_5.finished</v>
      </c>
      <c r="B309" s="26" t="str">
        <f t="array" ref="B309">_xlfn.XLOOKUP(A309,Targets!A:A,Targets!C:C,"")</f>
        <v>QUEST</v>
      </c>
      <c r="C309" s="64" t="b">
        <f>COUNTIF(Targets!A:A,A309)&gt;0</f>
        <v>1</v>
      </c>
      <c r="D309" s="64" t="b">
        <f>IF(
 OR(
  LEFT(A309,15)="state.character",
  RIGHT(A309,6)=".maxed"
 ),
 TRUE,
 COUNTIF(Checklist!A:A,A309)&gt;0
)</f>
        <v>1</v>
      </c>
      <c r="E309" s="64" t="b">
        <f>IF(
 OR(
  LEFT(A309,15)="state.character",
  RIGHT(A309,6)=".maxed",
  A309="building.guild@1",
  A309="quest.build_the_guild.accepted",
  A309="quest.build_the_pagoda.accepted"
 ),
 TRUE,
 COUNTIF(Dependencies!A:A,A309)&gt;0
)</f>
        <v>1</v>
      </c>
      <c r="F309" s="64" t="b">
        <f>COUNTIF(Dependencies!B:B,A309)&gt;0</f>
        <v>1</v>
      </c>
      <c r="G309" s="64" t="b">
        <f>COUNTIF(QuestObjectives!A:A,A309)&gt;0</f>
        <v>0</v>
      </c>
      <c r="H309" s="64" t="b">
        <f>COUNTIF(QuestObjectives!E:E,A309)&gt;0</f>
        <v>0</v>
      </c>
      <c r="I309" s="64" t="b">
        <f>COUNTIF(TargetStatus!A:A,A309)&gt;0</f>
        <v>1</v>
      </c>
      <c r="J309" s="64" t="b">
        <f>COUNTIF(CostStatus!B:B,A309)&gt;0</f>
        <v>1</v>
      </c>
      <c r="K309" s="64" t="b">
        <f>COUNTIF(States!A:A,A309)&gt;0</f>
        <v>0</v>
      </c>
      <c r="L309" s="64" t="b">
        <f t="shared" si="2"/>
        <v>1</v>
      </c>
      <c r="M309" s="64" t="b">
        <f>IF(A309="","",COUNTIF(Targets!A:A,A309)&gt;1)</f>
        <v>0</v>
      </c>
      <c r="N309" s="64" t="b">
        <f>IF(A309="","",COUNTIF(States!A:A,A309)&gt;1)</f>
        <v>0</v>
      </c>
      <c r="O309" s="64" t="b">
        <f>IFERROR(__xludf.DUMMYFUNCTION("IF(
 B309="""",
 """",
 SWITCH(
  B309,
  ""BUILDING"",COUNTIF(Buildings!A:A,A309)&gt;0,
  ""CITADEL"",COUNTIF(Citadel!A:A,A309)&gt;0,
  ""COLLECTION"",COUNTIF(Collections!A:A,A309)&gt;0,
  ""CRAFTIFACT"",COUNTIF(Craftifacts!A:A,A309)&gt;0,
  ""QUEST"",
   COUNTIF(
 "&amp;"   Quests!A:A,
    REGEXREPLACE(A309,""\.(accepted|finished)$"","""")
   )&gt;0,
  ""TECH"",COUNTIF(Technologies!A:A,A309)&gt;0,
  ""STATE"",COUNTIF(States!A:A,A309)&gt;0,
  FALSE
 )
)"),TRUE)</f>
        <v>1</v>
      </c>
      <c r="P309" s="64" t="str">
        <f t="shared" si="3"/>
        <v>Good</v>
      </c>
      <c r="Q309" s="65"/>
      <c r="R309" s="65"/>
      <c r="S309" s="65"/>
      <c r="T309" s="65"/>
      <c r="U309" s="6"/>
      <c r="V309" s="6" t="str">
        <f>IFERROR(__xludf.DUMMYFUNCTION("""COMPUTED_VALUE"""),"quest.once_upon_a_forest_chapter_5.finished")</f>
        <v>quest.once_upon_a_forest_chapter_5.finished</v>
      </c>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ht="14.25" customHeight="1">
      <c r="A310" s="26" t="str">
        <f t="shared" si="1"/>
        <v>quest.once_upon_a_forest_chapter_6.accepted</v>
      </c>
      <c r="B310" s="26" t="str">
        <f t="array" ref="B310">_xlfn.XLOOKUP(A310,Targets!A:A,Targets!C:C,"")</f>
        <v>QUEST</v>
      </c>
      <c r="C310" s="64" t="b">
        <f>COUNTIF(Targets!A:A,A310)&gt;0</f>
        <v>1</v>
      </c>
      <c r="D310" s="64" t="b">
        <f>IF(
 OR(
  LEFT(A310,15)="state.character",
  RIGHT(A310,6)=".maxed"
 ),
 TRUE,
 COUNTIF(Checklist!A:A,A310)&gt;0
)</f>
        <v>1</v>
      </c>
      <c r="E310" s="64" t="b">
        <f>IF(
 OR(
  LEFT(A310,15)="state.character",
  RIGHT(A310,6)=".maxed",
  A310="building.guild@1",
  A310="quest.build_the_guild.accepted",
  A310="quest.build_the_pagoda.accepted"
 ),
 TRUE,
 COUNTIF(Dependencies!A:A,A310)&gt;0
)</f>
        <v>1</v>
      </c>
      <c r="F310" s="64" t="b">
        <f>COUNTIF(Dependencies!B:B,A310)&gt;0</f>
        <v>1</v>
      </c>
      <c r="G310" s="64" t="b">
        <f>COUNTIF(QuestObjectives!A:A,A310)&gt;0</f>
        <v>0</v>
      </c>
      <c r="H310" s="64" t="b">
        <f>COUNTIF(QuestObjectives!E:E,A310)&gt;0</f>
        <v>0</v>
      </c>
      <c r="I310" s="64" t="b">
        <f>COUNTIF(TargetStatus!A:A,A310)&gt;0</f>
        <v>1</v>
      </c>
      <c r="J310" s="64" t="b">
        <f>COUNTIF(CostStatus!B:B,A310)&gt;0</f>
        <v>0</v>
      </c>
      <c r="K310" s="64" t="b">
        <f>COUNTIF(States!A:A,A310)&gt;0</f>
        <v>0</v>
      </c>
      <c r="L310" s="64" t="b">
        <f t="shared" si="2"/>
        <v>1</v>
      </c>
      <c r="M310" s="64" t="b">
        <f>IF(A310="","",COUNTIF(Targets!A:A,A310)&gt;1)</f>
        <v>0</v>
      </c>
      <c r="N310" s="64" t="b">
        <f>IF(A310="","",COUNTIF(States!A:A,A310)&gt;1)</f>
        <v>0</v>
      </c>
      <c r="O310" s="64" t="b">
        <f>IFERROR(__xludf.DUMMYFUNCTION("IF(
 B310="""",
 """",
 SWITCH(
  B310,
  ""BUILDING"",COUNTIF(Buildings!A:A,A310)&gt;0,
  ""CITADEL"",COUNTIF(Citadel!A:A,A310)&gt;0,
  ""COLLECTION"",COUNTIF(Collections!A:A,A310)&gt;0,
  ""CRAFTIFACT"",COUNTIF(Craftifacts!A:A,A310)&gt;0,
  ""QUEST"",
   COUNTIF(
 "&amp;"   Quests!A:A,
    REGEXREPLACE(A310,""\.(accepted|finished)$"","""")
   )&gt;0,
  ""TECH"",COUNTIF(Technologies!A:A,A310)&gt;0,
  ""STATE"",COUNTIF(States!A:A,A310)&gt;0,
  FALSE
 )
)"),TRUE)</f>
        <v>1</v>
      </c>
      <c r="P310" s="64" t="str">
        <f t="shared" si="3"/>
        <v>Good</v>
      </c>
      <c r="Q310" s="65"/>
      <c r="R310" s="65"/>
      <c r="S310" s="65"/>
      <c r="T310" s="65"/>
      <c r="U310" s="6"/>
      <c r="V310" s="6" t="str">
        <f>IFERROR(__xludf.DUMMYFUNCTION("""COMPUTED_VALUE"""),"quest.once_upon_a_forest_chapter_6.accepted")</f>
        <v>quest.once_upon_a_forest_chapter_6.accepted</v>
      </c>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ht="14.25" customHeight="1">
      <c r="A311" s="26" t="str">
        <f t="shared" si="1"/>
        <v>quest.once_upon_a_forest_chapter_6.finished</v>
      </c>
      <c r="B311" s="26" t="str">
        <f t="array" ref="B311">_xlfn.XLOOKUP(A311,Targets!A:A,Targets!C:C,"")</f>
        <v>QUEST</v>
      </c>
      <c r="C311" s="64" t="b">
        <f>COUNTIF(Targets!A:A,A311)&gt;0</f>
        <v>1</v>
      </c>
      <c r="D311" s="64" t="b">
        <f>IF(
 OR(
  LEFT(A311,15)="state.character",
  RIGHT(A311,6)=".maxed"
 ),
 TRUE,
 COUNTIF(Checklist!A:A,A311)&gt;0
)</f>
        <v>1</v>
      </c>
      <c r="E311" s="64" t="b">
        <f>IF(
 OR(
  LEFT(A311,15)="state.character",
  RIGHT(A311,6)=".maxed",
  A311="building.guild@1",
  A311="quest.build_the_guild.accepted",
  A311="quest.build_the_pagoda.accepted"
 ),
 TRUE,
 COUNTIF(Dependencies!A:A,A311)&gt;0
)</f>
        <v>1</v>
      </c>
      <c r="F311" s="64" t="b">
        <f>COUNTIF(Dependencies!B:B,A311)&gt;0</f>
        <v>1</v>
      </c>
      <c r="G311" s="64" t="b">
        <f>COUNTIF(QuestObjectives!A:A,A311)&gt;0</f>
        <v>1</v>
      </c>
      <c r="H311" s="64" t="b">
        <f>COUNTIF(QuestObjectives!E:E,A311)&gt;0</f>
        <v>0</v>
      </c>
      <c r="I311" s="64" t="b">
        <f>COUNTIF(TargetStatus!A:A,A311)&gt;0</f>
        <v>1</v>
      </c>
      <c r="J311" s="64" t="b">
        <f>COUNTIF(CostStatus!B:B,A311)&gt;0</f>
        <v>0</v>
      </c>
      <c r="K311" s="64" t="b">
        <f>COUNTIF(States!A:A,A311)&gt;0</f>
        <v>0</v>
      </c>
      <c r="L311" s="64" t="b">
        <f t="shared" si="2"/>
        <v>1</v>
      </c>
      <c r="M311" s="64" t="b">
        <f>IF(A311="","",COUNTIF(Targets!A:A,A311)&gt;1)</f>
        <v>0</v>
      </c>
      <c r="N311" s="64" t="b">
        <f>IF(A311="","",COUNTIF(States!A:A,A311)&gt;1)</f>
        <v>0</v>
      </c>
      <c r="O311" s="64" t="b">
        <f>IFERROR(__xludf.DUMMYFUNCTION("IF(
 B311="""",
 """",
 SWITCH(
  B311,
  ""BUILDING"",COUNTIF(Buildings!A:A,A311)&gt;0,
  ""CITADEL"",COUNTIF(Citadel!A:A,A311)&gt;0,
  ""COLLECTION"",COUNTIF(Collections!A:A,A311)&gt;0,
  ""CRAFTIFACT"",COUNTIF(Craftifacts!A:A,A311)&gt;0,
  ""QUEST"",
   COUNTIF(
 "&amp;"   Quests!A:A,
    REGEXREPLACE(A311,""\.(accepted|finished)$"","""")
   )&gt;0,
  ""TECH"",COUNTIF(Technologies!A:A,A311)&gt;0,
  ""STATE"",COUNTIF(States!A:A,A311)&gt;0,
  FALSE
 )
)"),TRUE)</f>
        <v>1</v>
      </c>
      <c r="P311" s="64" t="str">
        <f t="shared" si="3"/>
        <v>Good</v>
      </c>
      <c r="Q311" s="65"/>
      <c r="R311" s="65"/>
      <c r="S311" s="65"/>
      <c r="T311" s="65"/>
      <c r="U311" s="6"/>
      <c r="V311" s="6" t="str">
        <f>IFERROR(__xludf.DUMMYFUNCTION("""COMPUTED_VALUE"""),"quest.once_upon_a_forest_chapter_6.finished")</f>
        <v>quest.once_upon_a_forest_chapter_6.finished</v>
      </c>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ht="14.25" customHeight="1">
      <c r="A312" s="26" t="str">
        <f t="shared" si="1"/>
        <v>quest.once_upon_a_forest_chapter_7.accepted</v>
      </c>
      <c r="B312" s="26" t="str">
        <f t="array" ref="B312">_xlfn.XLOOKUP(A312,Targets!A:A,Targets!C:C,"")</f>
        <v>QUEST</v>
      </c>
      <c r="C312" s="64" t="b">
        <f>COUNTIF(Targets!A:A,A312)&gt;0</f>
        <v>1</v>
      </c>
      <c r="D312" s="64" t="b">
        <f>IF(
 OR(
  LEFT(A312,15)="state.character",
  RIGHT(A312,6)=".maxed"
 ),
 TRUE,
 COUNTIF(Checklist!A:A,A312)&gt;0
)</f>
        <v>1</v>
      </c>
      <c r="E312" s="64" t="b">
        <f>IF(
 OR(
  LEFT(A312,15)="state.character",
  RIGHT(A312,6)=".maxed",
  A312="building.guild@1",
  A312="quest.build_the_guild.accepted",
  A312="quest.build_the_pagoda.accepted"
 ),
 TRUE,
 COUNTIF(Dependencies!A:A,A312)&gt;0
)</f>
        <v>1</v>
      </c>
      <c r="F312" s="64" t="b">
        <f>COUNTIF(Dependencies!B:B,A312)&gt;0</f>
        <v>1</v>
      </c>
      <c r="G312" s="64" t="b">
        <f>COUNTIF(QuestObjectives!A:A,A312)&gt;0</f>
        <v>0</v>
      </c>
      <c r="H312" s="64" t="b">
        <f>COUNTIF(QuestObjectives!E:E,A312)&gt;0</f>
        <v>0</v>
      </c>
      <c r="I312" s="64" t="b">
        <f>COUNTIF(TargetStatus!A:A,A312)&gt;0</f>
        <v>1</v>
      </c>
      <c r="J312" s="64" t="b">
        <f>COUNTIF(CostStatus!B:B,A312)&gt;0</f>
        <v>0</v>
      </c>
      <c r="K312" s="64" t="b">
        <f>COUNTIF(States!A:A,A312)&gt;0</f>
        <v>0</v>
      </c>
      <c r="L312" s="64" t="b">
        <f t="shared" si="2"/>
        <v>1</v>
      </c>
      <c r="M312" s="64" t="b">
        <f>IF(A312="","",COUNTIF(Targets!A:A,A312)&gt;1)</f>
        <v>0</v>
      </c>
      <c r="N312" s="64" t="b">
        <f>IF(A312="","",COUNTIF(States!A:A,A312)&gt;1)</f>
        <v>0</v>
      </c>
      <c r="O312" s="64" t="b">
        <f>IFERROR(__xludf.DUMMYFUNCTION("IF(
 B312="""",
 """",
 SWITCH(
  B312,
  ""BUILDING"",COUNTIF(Buildings!A:A,A312)&gt;0,
  ""CITADEL"",COUNTIF(Citadel!A:A,A312)&gt;0,
  ""COLLECTION"",COUNTIF(Collections!A:A,A312)&gt;0,
  ""CRAFTIFACT"",COUNTIF(Craftifacts!A:A,A312)&gt;0,
  ""QUEST"",
   COUNTIF(
 "&amp;"   Quests!A:A,
    REGEXREPLACE(A312,""\.(accepted|finished)$"","""")
   )&gt;0,
  ""TECH"",COUNTIF(Technologies!A:A,A312)&gt;0,
  ""STATE"",COUNTIF(States!A:A,A312)&gt;0,
  FALSE
 )
)"),TRUE)</f>
        <v>1</v>
      </c>
      <c r="P312" s="64" t="str">
        <f t="shared" si="3"/>
        <v>Good</v>
      </c>
      <c r="Q312" s="65"/>
      <c r="R312" s="65"/>
      <c r="S312" s="65"/>
      <c r="T312" s="65"/>
      <c r="U312" s="6"/>
      <c r="V312" s="6" t="str">
        <f>IFERROR(__xludf.DUMMYFUNCTION("""COMPUTED_VALUE"""),"quest.once_upon_a_forest_chapter_7.accepted")</f>
        <v>quest.once_upon_a_forest_chapter_7.accepted</v>
      </c>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ht="14.25" customHeight="1">
      <c r="A313" s="26" t="str">
        <f t="shared" si="1"/>
        <v>quest.once_upon_a_forest_chapter_7.finished</v>
      </c>
      <c r="B313" s="26" t="str">
        <f t="array" ref="B313">_xlfn.XLOOKUP(A313,Targets!A:A,Targets!C:C,"")</f>
        <v>QUEST</v>
      </c>
      <c r="C313" s="64" t="b">
        <f>COUNTIF(Targets!A:A,A313)&gt;0</f>
        <v>1</v>
      </c>
      <c r="D313" s="64" t="b">
        <f>IF(
 OR(
  LEFT(A313,15)="state.character",
  RIGHT(A313,6)=".maxed"
 ),
 TRUE,
 COUNTIF(Checklist!A:A,A313)&gt;0
)</f>
        <v>1</v>
      </c>
      <c r="E313" s="64" t="b">
        <f>IF(
 OR(
  LEFT(A313,15)="state.character",
  RIGHT(A313,6)=".maxed",
  A313="building.guild@1",
  A313="quest.build_the_guild.accepted",
  A313="quest.build_the_pagoda.accepted"
 ),
 TRUE,
 COUNTIF(Dependencies!A:A,A313)&gt;0
)</f>
        <v>1</v>
      </c>
      <c r="F313" s="64" t="b">
        <f>COUNTIF(Dependencies!B:B,A313)&gt;0</f>
        <v>1</v>
      </c>
      <c r="G313" s="64" t="b">
        <f>COUNTIF(QuestObjectives!A:A,A313)&gt;0</f>
        <v>1</v>
      </c>
      <c r="H313" s="64" t="b">
        <f>COUNTIF(QuestObjectives!E:E,A313)&gt;0</f>
        <v>0</v>
      </c>
      <c r="I313" s="64" t="b">
        <f>COUNTIF(TargetStatus!A:A,A313)&gt;0</f>
        <v>1</v>
      </c>
      <c r="J313" s="64" t="b">
        <f>COUNTIF(CostStatus!B:B,A313)&gt;0</f>
        <v>0</v>
      </c>
      <c r="K313" s="64" t="b">
        <f>COUNTIF(States!A:A,A313)&gt;0</f>
        <v>0</v>
      </c>
      <c r="L313" s="64" t="b">
        <f t="shared" si="2"/>
        <v>1</v>
      </c>
      <c r="M313" s="64" t="b">
        <f>IF(A313="","",COUNTIF(Targets!A:A,A313)&gt;1)</f>
        <v>0</v>
      </c>
      <c r="N313" s="64" t="b">
        <f>IF(A313="","",COUNTIF(States!A:A,A313)&gt;1)</f>
        <v>0</v>
      </c>
      <c r="O313" s="64" t="b">
        <f>IFERROR(__xludf.DUMMYFUNCTION("IF(
 B313="""",
 """",
 SWITCH(
  B313,
  ""BUILDING"",COUNTIF(Buildings!A:A,A313)&gt;0,
  ""CITADEL"",COUNTIF(Citadel!A:A,A313)&gt;0,
  ""COLLECTION"",COUNTIF(Collections!A:A,A313)&gt;0,
  ""CRAFTIFACT"",COUNTIF(Craftifacts!A:A,A313)&gt;0,
  ""QUEST"",
   COUNTIF(
 "&amp;"   Quests!A:A,
    REGEXREPLACE(A313,""\.(accepted|finished)$"","""")
   )&gt;0,
  ""TECH"",COUNTIF(Technologies!A:A,A313)&gt;0,
  ""STATE"",COUNTIF(States!A:A,A313)&gt;0,
  FALSE
 )
)"),TRUE)</f>
        <v>1</v>
      </c>
      <c r="P313" s="64" t="str">
        <f t="shared" si="3"/>
        <v>Good</v>
      </c>
      <c r="Q313" s="65"/>
      <c r="R313" s="65"/>
      <c r="S313" s="65"/>
      <c r="T313" s="65"/>
      <c r="U313" s="6"/>
      <c r="V313" s="6" t="str">
        <f>IFERROR(__xludf.DUMMYFUNCTION("""COMPUTED_VALUE"""),"quest.once_upon_a_forest_chapter_7.finished")</f>
        <v>quest.once_upon_a_forest_chapter_7.finished</v>
      </c>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ht="14.25" customHeight="1">
      <c r="A314" s="26" t="str">
        <f t="shared" si="1"/>
        <v>quest.once_upon_a_forest_chapter_8.accepted</v>
      </c>
      <c r="B314" s="26" t="str">
        <f t="array" ref="B314">_xlfn.XLOOKUP(A314,Targets!A:A,Targets!C:C,"")</f>
        <v>QUEST</v>
      </c>
      <c r="C314" s="64" t="b">
        <f>COUNTIF(Targets!A:A,A314)&gt;0</f>
        <v>1</v>
      </c>
      <c r="D314" s="64" t="b">
        <f>IF(
 OR(
  LEFT(A314,15)="state.character",
  RIGHT(A314,6)=".maxed"
 ),
 TRUE,
 COUNTIF(Checklist!A:A,A314)&gt;0
)</f>
        <v>1</v>
      </c>
      <c r="E314" s="64" t="b">
        <f>IF(
 OR(
  LEFT(A314,15)="state.character",
  RIGHT(A314,6)=".maxed",
  A314="building.guild@1",
  A314="quest.build_the_guild.accepted",
  A314="quest.build_the_pagoda.accepted"
 ),
 TRUE,
 COUNTIF(Dependencies!A:A,A314)&gt;0
)</f>
        <v>1</v>
      </c>
      <c r="F314" s="64" t="b">
        <f>COUNTIF(Dependencies!B:B,A314)&gt;0</f>
        <v>1</v>
      </c>
      <c r="G314" s="64" t="b">
        <f>COUNTIF(QuestObjectives!A:A,A314)&gt;0</f>
        <v>0</v>
      </c>
      <c r="H314" s="64" t="b">
        <f>COUNTIF(QuestObjectives!E:E,A314)&gt;0</f>
        <v>0</v>
      </c>
      <c r="I314" s="64" t="b">
        <f>COUNTIF(TargetStatus!A:A,A314)&gt;0</f>
        <v>1</v>
      </c>
      <c r="J314" s="64" t="b">
        <f>COUNTIF(CostStatus!B:B,A314)&gt;0</f>
        <v>0</v>
      </c>
      <c r="K314" s="64" t="b">
        <f>COUNTIF(States!A:A,A314)&gt;0</f>
        <v>0</v>
      </c>
      <c r="L314" s="64" t="b">
        <f t="shared" si="2"/>
        <v>1</v>
      </c>
      <c r="M314" s="64" t="b">
        <f>IF(A314="","",COUNTIF(Targets!A:A,A314)&gt;1)</f>
        <v>0</v>
      </c>
      <c r="N314" s="64" t="b">
        <f>IF(A314="","",COUNTIF(States!A:A,A314)&gt;1)</f>
        <v>0</v>
      </c>
      <c r="O314" s="64" t="b">
        <f>IFERROR(__xludf.DUMMYFUNCTION("IF(
 B314="""",
 """",
 SWITCH(
  B314,
  ""BUILDING"",COUNTIF(Buildings!A:A,A314)&gt;0,
  ""CITADEL"",COUNTIF(Citadel!A:A,A314)&gt;0,
  ""COLLECTION"",COUNTIF(Collections!A:A,A314)&gt;0,
  ""CRAFTIFACT"",COUNTIF(Craftifacts!A:A,A314)&gt;0,
  ""QUEST"",
   COUNTIF(
 "&amp;"   Quests!A:A,
    REGEXREPLACE(A314,""\.(accepted|finished)$"","""")
   )&gt;0,
  ""TECH"",COUNTIF(Technologies!A:A,A314)&gt;0,
  ""STATE"",COUNTIF(States!A:A,A314)&gt;0,
  FALSE
 )
)"),TRUE)</f>
        <v>1</v>
      </c>
      <c r="P314" s="64" t="str">
        <f t="shared" si="3"/>
        <v>Good</v>
      </c>
      <c r="Q314" s="65"/>
      <c r="R314" s="65"/>
      <c r="S314" s="65"/>
      <c r="T314" s="65"/>
      <c r="U314" s="6"/>
      <c r="V314" s="6" t="str">
        <f>IFERROR(__xludf.DUMMYFUNCTION("""COMPUTED_VALUE"""),"quest.once_upon_a_forest_chapter_8.accepted")</f>
        <v>quest.once_upon_a_forest_chapter_8.accepted</v>
      </c>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row>
    <row r="315" ht="14.25" customHeight="1">
      <c r="A315" s="26" t="str">
        <f t="shared" si="1"/>
        <v>quest.once_upon_a_forest_chapter_8.finished</v>
      </c>
      <c r="B315" s="26" t="str">
        <f t="array" ref="B315">_xlfn.XLOOKUP(A315,Targets!A:A,Targets!C:C,"")</f>
        <v>QUEST</v>
      </c>
      <c r="C315" s="64" t="b">
        <f>COUNTIF(Targets!A:A,A315)&gt;0</f>
        <v>1</v>
      </c>
      <c r="D315" s="64" t="b">
        <f>IF(
 OR(
  LEFT(A315,15)="state.character",
  RIGHT(A315,6)=".maxed"
 ),
 TRUE,
 COUNTIF(Checklist!A:A,A315)&gt;0
)</f>
        <v>1</v>
      </c>
      <c r="E315" s="64" t="b">
        <f>IF(
 OR(
  LEFT(A315,15)="state.character",
  RIGHT(A315,6)=".maxed",
  A315="building.guild@1",
  A315="quest.build_the_guild.accepted",
  A315="quest.build_the_pagoda.accepted"
 ),
 TRUE,
 COUNTIF(Dependencies!A:A,A315)&gt;0
)</f>
        <v>1</v>
      </c>
      <c r="F315" s="64" t="b">
        <f>COUNTIF(Dependencies!B:B,A315)&gt;0</f>
        <v>1</v>
      </c>
      <c r="G315" s="64" t="b">
        <f>COUNTIF(QuestObjectives!A:A,A315)&gt;0</f>
        <v>0</v>
      </c>
      <c r="H315" s="64" t="b">
        <f>COUNTIF(QuestObjectives!E:E,A315)&gt;0</f>
        <v>0</v>
      </c>
      <c r="I315" s="64" t="b">
        <f>COUNTIF(TargetStatus!A:A,A315)&gt;0</f>
        <v>1</v>
      </c>
      <c r="J315" s="64" t="b">
        <f>COUNTIF(CostStatus!B:B,A315)&gt;0</f>
        <v>1</v>
      </c>
      <c r="K315" s="64" t="b">
        <f>COUNTIF(States!A:A,A315)&gt;0</f>
        <v>0</v>
      </c>
      <c r="L315" s="64" t="b">
        <f t="shared" si="2"/>
        <v>1</v>
      </c>
      <c r="M315" s="64" t="b">
        <f>IF(A315="","",COUNTIF(Targets!A:A,A315)&gt;1)</f>
        <v>0</v>
      </c>
      <c r="N315" s="64" t="b">
        <f>IF(A315="","",COUNTIF(States!A:A,A315)&gt;1)</f>
        <v>0</v>
      </c>
      <c r="O315" s="64" t="b">
        <f>IFERROR(__xludf.DUMMYFUNCTION("IF(
 B315="""",
 """",
 SWITCH(
  B315,
  ""BUILDING"",COUNTIF(Buildings!A:A,A315)&gt;0,
  ""CITADEL"",COUNTIF(Citadel!A:A,A315)&gt;0,
  ""COLLECTION"",COUNTIF(Collections!A:A,A315)&gt;0,
  ""CRAFTIFACT"",COUNTIF(Craftifacts!A:A,A315)&gt;0,
  ""QUEST"",
   COUNTIF(
 "&amp;"   Quests!A:A,
    REGEXREPLACE(A315,""\.(accepted|finished)$"","""")
   )&gt;0,
  ""TECH"",COUNTIF(Technologies!A:A,A315)&gt;0,
  ""STATE"",COUNTIF(States!A:A,A315)&gt;0,
  FALSE
 )
)"),TRUE)</f>
        <v>1</v>
      </c>
      <c r="P315" s="64" t="str">
        <f t="shared" si="3"/>
        <v>Good</v>
      </c>
      <c r="Q315" s="65"/>
      <c r="R315" s="65"/>
      <c r="S315" s="65"/>
      <c r="T315" s="65"/>
      <c r="U315" s="6"/>
      <c r="V315" s="6" t="str">
        <f>IFERROR(__xludf.DUMMYFUNCTION("""COMPUTED_VALUE"""),"quest.once_upon_a_forest_chapter_8.finished")</f>
        <v>quest.once_upon_a_forest_chapter_8.finished</v>
      </c>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row>
    <row r="316" ht="14.25" customHeight="1">
      <c r="A316" s="26" t="str">
        <f t="shared" si="1"/>
        <v>quest.once_upon_a_forest_chapter_9.accepted</v>
      </c>
      <c r="B316" s="26" t="str">
        <f t="array" ref="B316">_xlfn.XLOOKUP(A316,Targets!A:A,Targets!C:C,"")</f>
        <v>QUEST</v>
      </c>
      <c r="C316" s="64" t="b">
        <f>COUNTIF(Targets!A:A,A316)&gt;0</f>
        <v>1</v>
      </c>
      <c r="D316" s="64" t="b">
        <f>IF(
 OR(
  LEFT(A316,15)="state.character",
  RIGHT(A316,6)=".maxed"
 ),
 TRUE,
 COUNTIF(Checklist!A:A,A316)&gt;0
)</f>
        <v>1</v>
      </c>
      <c r="E316" s="64" t="b">
        <f>IF(
 OR(
  LEFT(A316,15)="state.character",
  RIGHT(A316,6)=".maxed",
  A316="building.guild@1",
  A316="quest.build_the_guild.accepted",
  A316="quest.build_the_pagoda.accepted"
 ),
 TRUE,
 COUNTIF(Dependencies!A:A,A316)&gt;0
)</f>
        <v>1</v>
      </c>
      <c r="F316" s="64" t="b">
        <f>COUNTIF(Dependencies!B:B,A316)&gt;0</f>
        <v>1</v>
      </c>
      <c r="G316" s="64" t="b">
        <f>COUNTIF(QuestObjectives!A:A,A316)&gt;0</f>
        <v>0</v>
      </c>
      <c r="H316" s="64" t="b">
        <f>COUNTIF(QuestObjectives!E:E,A316)&gt;0</f>
        <v>0</v>
      </c>
      <c r="I316" s="64" t="b">
        <f>COUNTIF(TargetStatus!A:A,A316)&gt;0</f>
        <v>1</v>
      </c>
      <c r="J316" s="64" t="b">
        <f>COUNTIF(CostStatus!B:B,A316)&gt;0</f>
        <v>0</v>
      </c>
      <c r="K316" s="64" t="b">
        <f>COUNTIF(States!A:A,A316)&gt;0</f>
        <v>0</v>
      </c>
      <c r="L316" s="64" t="b">
        <f t="shared" si="2"/>
        <v>1</v>
      </c>
      <c r="M316" s="64" t="b">
        <f>IF(A316="","",COUNTIF(Targets!A:A,A316)&gt;1)</f>
        <v>0</v>
      </c>
      <c r="N316" s="64" t="b">
        <f>IF(A316="","",COUNTIF(States!A:A,A316)&gt;1)</f>
        <v>0</v>
      </c>
      <c r="O316" s="64" t="b">
        <f>IFERROR(__xludf.DUMMYFUNCTION("IF(
 B316="""",
 """",
 SWITCH(
  B316,
  ""BUILDING"",COUNTIF(Buildings!A:A,A316)&gt;0,
  ""CITADEL"",COUNTIF(Citadel!A:A,A316)&gt;0,
  ""COLLECTION"",COUNTIF(Collections!A:A,A316)&gt;0,
  ""CRAFTIFACT"",COUNTIF(Craftifacts!A:A,A316)&gt;0,
  ""QUEST"",
   COUNTIF(
 "&amp;"   Quests!A:A,
    REGEXREPLACE(A316,""\.(accepted|finished)$"","""")
   )&gt;0,
  ""TECH"",COUNTIF(Technologies!A:A,A316)&gt;0,
  ""STATE"",COUNTIF(States!A:A,A316)&gt;0,
  FALSE
 )
)"),TRUE)</f>
        <v>1</v>
      </c>
      <c r="P316" s="64" t="str">
        <f t="shared" si="3"/>
        <v>Good</v>
      </c>
      <c r="Q316" s="65"/>
      <c r="R316" s="65"/>
      <c r="S316" s="65"/>
      <c r="T316" s="65"/>
      <c r="U316" s="6"/>
      <c r="V316" s="6" t="str">
        <f>IFERROR(__xludf.DUMMYFUNCTION("""COMPUTED_VALUE"""),"quest.once_upon_a_forest_chapter_9.accepted")</f>
        <v>quest.once_upon_a_forest_chapter_9.accepted</v>
      </c>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row>
    <row r="317" ht="14.25" customHeight="1">
      <c r="A317" s="26" t="str">
        <f t="shared" si="1"/>
        <v>quest.once_upon_a_forest_chapter_9.finished</v>
      </c>
      <c r="B317" s="26" t="str">
        <f t="array" ref="B317">_xlfn.XLOOKUP(A317,Targets!A:A,Targets!C:C,"")</f>
        <v>QUEST</v>
      </c>
      <c r="C317" s="64" t="b">
        <f>COUNTIF(Targets!A:A,A317)&gt;0</f>
        <v>1</v>
      </c>
      <c r="D317" s="64" t="b">
        <f>IF(
 OR(
  LEFT(A317,15)="state.character",
  RIGHT(A317,6)=".maxed"
 ),
 TRUE,
 COUNTIF(Checklist!A:A,A317)&gt;0
)</f>
        <v>1</v>
      </c>
      <c r="E317" s="64" t="b">
        <f>IF(
 OR(
  LEFT(A317,15)="state.character",
  RIGHT(A317,6)=".maxed",
  A317="building.guild@1",
  A317="quest.build_the_guild.accepted",
  A317="quest.build_the_pagoda.accepted"
 ),
 TRUE,
 COUNTIF(Dependencies!A:A,A317)&gt;0
)</f>
        <v>1</v>
      </c>
      <c r="F317" s="64" t="b">
        <f>COUNTIF(Dependencies!B:B,A317)&gt;0</f>
        <v>1</v>
      </c>
      <c r="G317" s="64" t="b">
        <f>COUNTIF(QuestObjectives!A:A,A317)&gt;0</f>
        <v>1</v>
      </c>
      <c r="H317" s="64" t="b">
        <f>COUNTIF(QuestObjectives!E:E,A317)&gt;0</f>
        <v>0</v>
      </c>
      <c r="I317" s="64" t="b">
        <f>COUNTIF(TargetStatus!A:A,A317)&gt;0</f>
        <v>1</v>
      </c>
      <c r="J317" s="64" t="b">
        <f>COUNTIF(CostStatus!B:B,A317)&gt;0</f>
        <v>0</v>
      </c>
      <c r="K317" s="64" t="b">
        <f>COUNTIF(States!A:A,A317)&gt;0</f>
        <v>0</v>
      </c>
      <c r="L317" s="64" t="b">
        <f t="shared" si="2"/>
        <v>1</v>
      </c>
      <c r="M317" s="64" t="b">
        <f>IF(A317="","",COUNTIF(Targets!A:A,A317)&gt;1)</f>
        <v>0</v>
      </c>
      <c r="N317" s="64" t="b">
        <f>IF(A317="","",COUNTIF(States!A:A,A317)&gt;1)</f>
        <v>0</v>
      </c>
      <c r="O317" s="64" t="b">
        <f>IFERROR(__xludf.DUMMYFUNCTION("IF(
 B317="""",
 """",
 SWITCH(
  B317,
  ""BUILDING"",COUNTIF(Buildings!A:A,A317)&gt;0,
  ""CITADEL"",COUNTIF(Citadel!A:A,A317)&gt;0,
  ""COLLECTION"",COUNTIF(Collections!A:A,A317)&gt;0,
  ""CRAFTIFACT"",COUNTIF(Craftifacts!A:A,A317)&gt;0,
  ""QUEST"",
   COUNTIF(
 "&amp;"   Quests!A:A,
    REGEXREPLACE(A317,""\.(accepted|finished)$"","""")
   )&gt;0,
  ""TECH"",COUNTIF(Technologies!A:A,A317)&gt;0,
  ""STATE"",COUNTIF(States!A:A,A317)&gt;0,
  FALSE
 )
)"),TRUE)</f>
        <v>1</v>
      </c>
      <c r="P317" s="64" t="str">
        <f t="shared" si="3"/>
        <v>Good</v>
      </c>
      <c r="Q317" s="65"/>
      <c r="R317" s="65"/>
      <c r="S317" s="65"/>
      <c r="T317" s="65"/>
      <c r="U317" s="6"/>
      <c r="V317" s="6" t="str">
        <f>IFERROR(__xludf.DUMMYFUNCTION("""COMPUTED_VALUE"""),"quest.once_upon_a_forest_chapter_9.finished")</f>
        <v>quest.once_upon_a_forest_chapter_9.finished</v>
      </c>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row>
    <row r="318" ht="14.25" customHeight="1">
      <c r="A318" s="26" t="str">
        <f t="shared" si="1"/>
        <v>quest.quest_for_knowledge_chapter_1.accepted</v>
      </c>
      <c r="B318" s="26" t="str">
        <f t="array" ref="B318">_xlfn.XLOOKUP(A318,Targets!A:A,Targets!C:C,"")</f>
        <v>QUEST</v>
      </c>
      <c r="C318" s="64" t="b">
        <f>COUNTIF(Targets!A:A,A318)&gt;0</f>
        <v>1</v>
      </c>
      <c r="D318" s="64" t="b">
        <f>IF(
 OR(
  LEFT(A318,15)="state.character",
  RIGHT(A318,6)=".maxed"
 ),
 TRUE,
 COUNTIF(Checklist!A:A,A318)&gt;0
)</f>
        <v>1</v>
      </c>
      <c r="E318" s="64" t="b">
        <f>IF(
 OR(
  LEFT(A318,15)="state.character",
  RIGHT(A318,6)=".maxed",
  A318="building.guild@1",
  A318="quest.build_the_guild.accepted",
  A318="quest.build_the_pagoda.accepted"
 ),
 TRUE,
 COUNTIF(Dependencies!A:A,A318)&gt;0
)</f>
        <v>1</v>
      </c>
      <c r="F318" s="64" t="b">
        <f>COUNTIF(Dependencies!B:B,A318)&gt;0</f>
        <v>1</v>
      </c>
      <c r="G318" s="64" t="b">
        <f>COUNTIF(QuestObjectives!A:A,A318)&gt;0</f>
        <v>0</v>
      </c>
      <c r="H318" s="64" t="b">
        <f>COUNTIF(QuestObjectives!E:E,A318)&gt;0</f>
        <v>0</v>
      </c>
      <c r="I318" s="64" t="b">
        <f>COUNTIF(TargetStatus!A:A,A318)&gt;0</f>
        <v>1</v>
      </c>
      <c r="J318" s="64" t="b">
        <f>COUNTIF(CostStatus!B:B,A318)&gt;0</f>
        <v>0</v>
      </c>
      <c r="K318" s="64" t="b">
        <f>COUNTIF(States!A:A,A318)&gt;0</f>
        <v>0</v>
      </c>
      <c r="L318" s="64" t="b">
        <f t="shared" si="2"/>
        <v>1</v>
      </c>
      <c r="M318" s="64" t="b">
        <f>IF(A318="","",COUNTIF(Targets!A:A,A318)&gt;1)</f>
        <v>0</v>
      </c>
      <c r="N318" s="64" t="b">
        <f>IF(A318="","",COUNTIF(States!A:A,A318)&gt;1)</f>
        <v>0</v>
      </c>
      <c r="O318" s="64" t="b">
        <f>IFERROR(__xludf.DUMMYFUNCTION("IF(
 B318="""",
 """",
 SWITCH(
  B318,
  ""BUILDING"",COUNTIF(Buildings!A:A,A318)&gt;0,
  ""CITADEL"",COUNTIF(Citadel!A:A,A318)&gt;0,
  ""COLLECTION"",COUNTIF(Collections!A:A,A318)&gt;0,
  ""CRAFTIFACT"",COUNTIF(Craftifacts!A:A,A318)&gt;0,
  ""QUEST"",
   COUNTIF(
 "&amp;"   Quests!A:A,
    REGEXREPLACE(A318,""\.(accepted|finished)$"","""")
   )&gt;0,
  ""TECH"",COUNTIF(Technologies!A:A,A318)&gt;0,
  ""STATE"",COUNTIF(States!A:A,A318)&gt;0,
  FALSE
 )
)"),TRUE)</f>
        <v>1</v>
      </c>
      <c r="P318" s="64" t="str">
        <f t="shared" si="3"/>
        <v>Good</v>
      </c>
      <c r="Q318" s="65"/>
      <c r="R318" s="65"/>
      <c r="S318" s="65"/>
      <c r="T318" s="65"/>
      <c r="U318" s="6"/>
      <c r="V318" s="6" t="str">
        <f>IFERROR(__xludf.DUMMYFUNCTION("""COMPUTED_VALUE"""),"quest.quest_for_knowledge_chapter_1.accepted")</f>
        <v>quest.quest_for_knowledge_chapter_1.accepted</v>
      </c>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row>
    <row r="319" ht="14.25" customHeight="1">
      <c r="A319" s="26" t="str">
        <f t="shared" si="1"/>
        <v>quest.quest_for_knowledge_chapter_1.finished</v>
      </c>
      <c r="B319" s="26" t="str">
        <f t="array" ref="B319">_xlfn.XLOOKUP(A319,Targets!A:A,Targets!C:C,"")</f>
        <v>QUEST</v>
      </c>
      <c r="C319" s="64" t="b">
        <f>COUNTIF(Targets!A:A,A319)&gt;0</f>
        <v>1</v>
      </c>
      <c r="D319" s="64" t="b">
        <f>IF(
 OR(
  LEFT(A319,15)="state.character",
  RIGHT(A319,6)=".maxed"
 ),
 TRUE,
 COUNTIF(Checklist!A:A,A319)&gt;0
)</f>
        <v>1</v>
      </c>
      <c r="E319" s="64" t="b">
        <f>IF(
 OR(
  LEFT(A319,15)="state.character",
  RIGHT(A319,6)=".maxed",
  A319="building.guild@1",
  A319="quest.build_the_guild.accepted",
  A319="quest.build_the_pagoda.accepted"
 ),
 TRUE,
 COUNTIF(Dependencies!A:A,A319)&gt;0
)</f>
        <v>1</v>
      </c>
      <c r="F319" s="64" t="b">
        <f>COUNTIF(Dependencies!B:B,A319)&gt;0</f>
        <v>1</v>
      </c>
      <c r="G319" s="64" t="b">
        <f>COUNTIF(QuestObjectives!A:A,A319)&gt;0</f>
        <v>1</v>
      </c>
      <c r="H319" s="64" t="b">
        <f>COUNTIF(QuestObjectives!E:E,A319)&gt;0</f>
        <v>0</v>
      </c>
      <c r="I319" s="64" t="b">
        <f>COUNTIF(TargetStatus!A:A,A319)&gt;0</f>
        <v>1</v>
      </c>
      <c r="J319" s="64" t="b">
        <f>COUNTIF(CostStatus!B:B,A319)&gt;0</f>
        <v>0</v>
      </c>
      <c r="K319" s="64" t="b">
        <f>COUNTIF(States!A:A,A319)&gt;0</f>
        <v>0</v>
      </c>
      <c r="L319" s="64" t="b">
        <f t="shared" si="2"/>
        <v>1</v>
      </c>
      <c r="M319" s="64" t="b">
        <f>IF(A319="","",COUNTIF(Targets!A:A,A319)&gt;1)</f>
        <v>0</v>
      </c>
      <c r="N319" s="64" t="b">
        <f>IF(A319="","",COUNTIF(States!A:A,A319)&gt;1)</f>
        <v>0</v>
      </c>
      <c r="O319" s="64" t="b">
        <f>IFERROR(__xludf.DUMMYFUNCTION("IF(
 B319="""",
 """",
 SWITCH(
  B319,
  ""BUILDING"",COUNTIF(Buildings!A:A,A319)&gt;0,
  ""CITADEL"",COUNTIF(Citadel!A:A,A319)&gt;0,
  ""COLLECTION"",COUNTIF(Collections!A:A,A319)&gt;0,
  ""CRAFTIFACT"",COUNTIF(Craftifacts!A:A,A319)&gt;0,
  ""QUEST"",
   COUNTIF(
 "&amp;"   Quests!A:A,
    REGEXREPLACE(A319,""\.(accepted|finished)$"","""")
   )&gt;0,
  ""TECH"",COUNTIF(Technologies!A:A,A319)&gt;0,
  ""STATE"",COUNTIF(States!A:A,A319)&gt;0,
  FALSE
 )
)"),TRUE)</f>
        <v>1</v>
      </c>
      <c r="P319" s="64" t="str">
        <f t="shared" si="3"/>
        <v>Good</v>
      </c>
      <c r="Q319" s="65"/>
      <c r="R319" s="65"/>
      <c r="S319" s="65"/>
      <c r="T319" s="65"/>
      <c r="U319" s="6"/>
      <c r="V319" s="6" t="str">
        <f>IFERROR(__xludf.DUMMYFUNCTION("""COMPUTED_VALUE"""),"quest.quest_for_knowledge_chapter_1.finished")</f>
        <v>quest.quest_for_knowledge_chapter_1.finished</v>
      </c>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row>
    <row r="320" ht="14.25" customHeight="1">
      <c r="A320" s="26" t="str">
        <f t="shared" si="1"/>
        <v>quest.quest_for_knowledge_chapter_2.accepted</v>
      </c>
      <c r="B320" s="26" t="str">
        <f t="array" ref="B320">_xlfn.XLOOKUP(A320,Targets!A:A,Targets!C:C,"")</f>
        <v>QUEST</v>
      </c>
      <c r="C320" s="64" t="b">
        <f>COUNTIF(Targets!A:A,A320)&gt;0</f>
        <v>1</v>
      </c>
      <c r="D320" s="64" t="b">
        <f>IF(
 OR(
  LEFT(A320,15)="state.character",
  RIGHT(A320,6)=".maxed"
 ),
 TRUE,
 COUNTIF(Checklist!A:A,A320)&gt;0
)</f>
        <v>1</v>
      </c>
      <c r="E320" s="64" t="b">
        <f>IF(
 OR(
  LEFT(A320,15)="state.character",
  RIGHT(A320,6)=".maxed",
  A320="building.guild@1",
  A320="quest.build_the_guild.accepted",
  A320="quest.build_the_pagoda.accepted"
 ),
 TRUE,
 COUNTIF(Dependencies!A:A,A320)&gt;0
)</f>
        <v>1</v>
      </c>
      <c r="F320" s="64" t="b">
        <f>COUNTIF(Dependencies!B:B,A320)&gt;0</f>
        <v>1</v>
      </c>
      <c r="G320" s="64" t="b">
        <f>COUNTIF(QuestObjectives!A:A,A320)&gt;0</f>
        <v>0</v>
      </c>
      <c r="H320" s="64" t="b">
        <f>COUNTIF(QuestObjectives!E:E,A320)&gt;0</f>
        <v>0</v>
      </c>
      <c r="I320" s="64" t="b">
        <f>COUNTIF(TargetStatus!A:A,A320)&gt;0</f>
        <v>1</v>
      </c>
      <c r="J320" s="64" t="b">
        <f>COUNTIF(CostStatus!B:B,A320)&gt;0</f>
        <v>0</v>
      </c>
      <c r="K320" s="64" t="b">
        <f>COUNTIF(States!A:A,A320)&gt;0</f>
        <v>0</v>
      </c>
      <c r="L320" s="64" t="b">
        <f t="shared" si="2"/>
        <v>1</v>
      </c>
      <c r="M320" s="64" t="b">
        <f>IF(A320="","",COUNTIF(Targets!A:A,A320)&gt;1)</f>
        <v>0</v>
      </c>
      <c r="N320" s="64" t="b">
        <f>IF(A320="","",COUNTIF(States!A:A,A320)&gt;1)</f>
        <v>0</v>
      </c>
      <c r="O320" s="64" t="b">
        <f>IFERROR(__xludf.DUMMYFUNCTION("IF(
 B320="""",
 """",
 SWITCH(
  B320,
  ""BUILDING"",COUNTIF(Buildings!A:A,A320)&gt;0,
  ""CITADEL"",COUNTIF(Citadel!A:A,A320)&gt;0,
  ""COLLECTION"",COUNTIF(Collections!A:A,A320)&gt;0,
  ""CRAFTIFACT"",COUNTIF(Craftifacts!A:A,A320)&gt;0,
  ""QUEST"",
   COUNTIF(
 "&amp;"   Quests!A:A,
    REGEXREPLACE(A320,""\.(accepted|finished)$"","""")
   )&gt;0,
  ""TECH"",COUNTIF(Technologies!A:A,A320)&gt;0,
  ""STATE"",COUNTIF(States!A:A,A320)&gt;0,
  FALSE
 )
)"),TRUE)</f>
        <v>1</v>
      </c>
      <c r="P320" s="64" t="str">
        <f t="shared" si="3"/>
        <v>Good</v>
      </c>
      <c r="Q320" s="65"/>
      <c r="R320" s="65"/>
      <c r="S320" s="65"/>
      <c r="T320" s="65"/>
      <c r="U320" s="6"/>
      <c r="V320" s="6" t="str">
        <f>IFERROR(__xludf.DUMMYFUNCTION("""COMPUTED_VALUE"""),"quest.quest_for_knowledge_chapter_2.accepted")</f>
        <v>quest.quest_for_knowledge_chapter_2.accepted</v>
      </c>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row>
    <row r="321" ht="14.25" customHeight="1">
      <c r="A321" s="26" t="str">
        <f t="shared" si="1"/>
        <v>quest.quest_for_knowledge_chapter_2.finished</v>
      </c>
      <c r="B321" s="26" t="str">
        <f t="array" ref="B321">_xlfn.XLOOKUP(A321,Targets!A:A,Targets!C:C,"")</f>
        <v>QUEST</v>
      </c>
      <c r="C321" s="64" t="b">
        <f>COUNTIF(Targets!A:A,A321)&gt;0</f>
        <v>1</v>
      </c>
      <c r="D321" s="64" t="b">
        <f>IF(
 OR(
  LEFT(A321,15)="state.character",
  RIGHT(A321,6)=".maxed"
 ),
 TRUE,
 COUNTIF(Checklist!A:A,A321)&gt;0
)</f>
        <v>1</v>
      </c>
      <c r="E321" s="64" t="b">
        <f>IF(
 OR(
  LEFT(A321,15)="state.character",
  RIGHT(A321,6)=".maxed",
  A321="building.guild@1",
  A321="quest.build_the_guild.accepted",
  A321="quest.build_the_pagoda.accepted"
 ),
 TRUE,
 COUNTIF(Dependencies!A:A,A321)&gt;0
)</f>
        <v>1</v>
      </c>
      <c r="F321" s="64" t="b">
        <f>COUNTIF(Dependencies!B:B,A321)&gt;0</f>
        <v>0</v>
      </c>
      <c r="G321" s="64" t="b">
        <f>COUNTIF(QuestObjectives!A:A,A321)&gt;0</f>
        <v>1</v>
      </c>
      <c r="H321" s="64" t="b">
        <f>COUNTIF(QuestObjectives!E:E,A321)&gt;0</f>
        <v>0</v>
      </c>
      <c r="I321" s="64" t="b">
        <f>COUNTIF(TargetStatus!A:A,A321)&gt;0</f>
        <v>1</v>
      </c>
      <c r="J321" s="64" t="b">
        <f>COUNTIF(CostStatus!B:B,A321)&gt;0</f>
        <v>0</v>
      </c>
      <c r="K321" s="64" t="b">
        <f>COUNTIF(States!A:A,A321)&gt;0</f>
        <v>0</v>
      </c>
      <c r="L321" s="64" t="b">
        <f t="shared" si="2"/>
        <v>1</v>
      </c>
      <c r="M321" s="64" t="b">
        <f>IF(A321="","",COUNTIF(Targets!A:A,A321)&gt;1)</f>
        <v>0</v>
      </c>
      <c r="N321" s="64" t="b">
        <f>IF(A321="","",COUNTIF(States!A:A,A321)&gt;1)</f>
        <v>0</v>
      </c>
      <c r="O321" s="64" t="b">
        <f>IFERROR(__xludf.DUMMYFUNCTION("IF(
 B321="""",
 """",
 SWITCH(
  B321,
  ""BUILDING"",COUNTIF(Buildings!A:A,A321)&gt;0,
  ""CITADEL"",COUNTIF(Citadel!A:A,A321)&gt;0,
  ""COLLECTION"",COUNTIF(Collections!A:A,A321)&gt;0,
  ""CRAFTIFACT"",COUNTIF(Craftifacts!A:A,A321)&gt;0,
  ""QUEST"",
   COUNTIF(
 "&amp;"   Quests!A:A,
    REGEXREPLACE(A321,""\.(accepted|finished)$"","""")
   )&gt;0,
  ""TECH"",COUNTIF(Technologies!A:A,A321)&gt;0,
  ""STATE"",COUNTIF(States!A:A,A321)&gt;0,
  FALSE
 )
)"),TRUE)</f>
        <v>1</v>
      </c>
      <c r="P321" s="64" t="str">
        <f t="shared" si="3"/>
        <v>Good</v>
      </c>
      <c r="Q321" s="65"/>
      <c r="R321" s="65"/>
      <c r="S321" s="65"/>
      <c r="T321" s="65"/>
      <c r="U321" s="6"/>
      <c r="V321" s="6" t="str">
        <f>IFERROR(__xludf.DUMMYFUNCTION("""COMPUTED_VALUE"""),"quest.quest_for_knowledge_chapter_2.finished")</f>
        <v>quest.quest_for_knowledge_chapter_2.finished</v>
      </c>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row>
    <row r="322" ht="14.25" customHeight="1">
      <c r="A322" s="26" t="str">
        <f t="shared" si="1"/>
        <v>quest.quest_for_knowledge_chapter_3.accepted</v>
      </c>
      <c r="B322" s="26" t="str">
        <f t="array" ref="B322">_xlfn.XLOOKUP(A322,Targets!A:A,Targets!C:C,"")</f>
        <v>QUEST</v>
      </c>
      <c r="C322" s="64" t="b">
        <f>COUNTIF(Targets!A:A,A322)&gt;0</f>
        <v>1</v>
      </c>
      <c r="D322" s="64" t="b">
        <f>IF(
 OR(
  LEFT(A322,15)="state.character",
  RIGHT(A322,6)=".maxed"
 ),
 TRUE,
 COUNTIF(Checklist!A:A,A322)&gt;0
)</f>
        <v>1</v>
      </c>
      <c r="E322" s="64" t="b">
        <f>IF(
 OR(
  LEFT(A322,15)="state.character",
  RIGHT(A322,6)=".maxed",
  A322="building.guild@1",
  A322="quest.build_the_guild.accepted",
  A322="quest.build_the_pagoda.accepted"
 ),
 TRUE,
 COUNTIF(Dependencies!A:A,A322)&gt;0
)</f>
        <v>1</v>
      </c>
      <c r="F322" s="64" t="b">
        <f>COUNTIF(Dependencies!B:B,A322)&gt;0</f>
        <v>1</v>
      </c>
      <c r="G322" s="64" t="b">
        <f>COUNTIF(QuestObjectives!A:A,A322)&gt;0</f>
        <v>0</v>
      </c>
      <c r="H322" s="64" t="b">
        <f>COUNTIF(QuestObjectives!E:E,A322)&gt;0</f>
        <v>0</v>
      </c>
      <c r="I322" s="64" t="b">
        <f>COUNTIF(TargetStatus!A:A,A322)&gt;0</f>
        <v>1</v>
      </c>
      <c r="J322" s="64" t="b">
        <f>COUNTIF(CostStatus!B:B,A322)&gt;0</f>
        <v>0</v>
      </c>
      <c r="K322" s="64" t="b">
        <f>COUNTIF(States!A:A,A322)&gt;0</f>
        <v>0</v>
      </c>
      <c r="L322" s="64" t="b">
        <f t="shared" si="2"/>
        <v>1</v>
      </c>
      <c r="M322" s="64" t="b">
        <f>IF(A322="","",COUNTIF(Targets!A:A,A322)&gt;1)</f>
        <v>0</v>
      </c>
      <c r="N322" s="64" t="b">
        <f>IF(A322="","",COUNTIF(States!A:A,A322)&gt;1)</f>
        <v>0</v>
      </c>
      <c r="O322" s="64" t="b">
        <f>IFERROR(__xludf.DUMMYFUNCTION("IF(
 B322="""",
 """",
 SWITCH(
  B322,
  ""BUILDING"",COUNTIF(Buildings!A:A,A322)&gt;0,
  ""CITADEL"",COUNTIF(Citadel!A:A,A322)&gt;0,
  ""COLLECTION"",COUNTIF(Collections!A:A,A322)&gt;0,
  ""CRAFTIFACT"",COUNTIF(Craftifacts!A:A,A322)&gt;0,
  ""QUEST"",
   COUNTIF(
 "&amp;"   Quests!A:A,
    REGEXREPLACE(A322,""\.(accepted|finished)$"","""")
   )&gt;0,
  ""TECH"",COUNTIF(Technologies!A:A,A322)&gt;0,
  ""STATE"",COUNTIF(States!A:A,A322)&gt;0,
  FALSE
 )
)"),TRUE)</f>
        <v>1</v>
      </c>
      <c r="P322" s="64" t="str">
        <f t="shared" si="3"/>
        <v>Good</v>
      </c>
      <c r="Q322" s="65"/>
      <c r="R322" s="65"/>
      <c r="S322" s="65"/>
      <c r="T322" s="65"/>
      <c r="U322" s="6"/>
      <c r="V322" s="6" t="str">
        <f>IFERROR(__xludf.DUMMYFUNCTION("""COMPUTED_VALUE"""),"quest.quest_for_knowledge_chapter_3.accepted")</f>
        <v>quest.quest_for_knowledge_chapter_3.accepted</v>
      </c>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row>
    <row r="323" ht="14.25" customHeight="1">
      <c r="A323" s="26" t="str">
        <f t="shared" si="1"/>
        <v>quest.quest_for_knowledge_chapter_3.finished</v>
      </c>
      <c r="B323" s="26" t="str">
        <f t="array" ref="B323">_xlfn.XLOOKUP(A323,Targets!A:A,Targets!C:C,"")</f>
        <v>QUEST</v>
      </c>
      <c r="C323" s="64" t="b">
        <f>COUNTIF(Targets!A:A,A323)&gt;0</f>
        <v>1</v>
      </c>
      <c r="D323" s="64" t="b">
        <f>IF(
 OR(
  LEFT(A323,15)="state.character",
  RIGHT(A323,6)=".maxed"
 ),
 TRUE,
 COUNTIF(Checklist!A:A,A323)&gt;0
)</f>
        <v>1</v>
      </c>
      <c r="E323" s="64" t="b">
        <f>IF(
 OR(
  LEFT(A323,15)="state.character",
  RIGHT(A323,6)=".maxed",
  A323="building.guild@1",
  A323="quest.build_the_guild.accepted",
  A323="quest.build_the_pagoda.accepted"
 ),
 TRUE,
 COUNTIF(Dependencies!A:A,A323)&gt;0
)</f>
        <v>1</v>
      </c>
      <c r="F323" s="64" t="b">
        <f>COUNTIF(Dependencies!B:B,A323)&gt;0</f>
        <v>1</v>
      </c>
      <c r="G323" s="64" t="b">
        <f>COUNTIF(QuestObjectives!A:A,A323)&gt;0</f>
        <v>1</v>
      </c>
      <c r="H323" s="64" t="b">
        <f>COUNTIF(QuestObjectives!E:E,A323)&gt;0</f>
        <v>0</v>
      </c>
      <c r="I323" s="64" t="b">
        <f>COUNTIF(TargetStatus!A:A,A323)&gt;0</f>
        <v>1</v>
      </c>
      <c r="J323" s="64" t="b">
        <f>COUNTIF(CostStatus!B:B,A323)&gt;0</f>
        <v>0</v>
      </c>
      <c r="K323" s="64" t="b">
        <f>COUNTIF(States!A:A,A323)&gt;0</f>
        <v>0</v>
      </c>
      <c r="L323" s="64" t="b">
        <f t="shared" si="2"/>
        <v>1</v>
      </c>
      <c r="M323" s="64" t="b">
        <f>IF(A323="","",COUNTIF(Targets!A:A,A323)&gt;1)</f>
        <v>0</v>
      </c>
      <c r="N323" s="64" t="b">
        <f>IF(A323="","",COUNTIF(States!A:A,A323)&gt;1)</f>
        <v>0</v>
      </c>
      <c r="O323" s="64" t="b">
        <f>IFERROR(__xludf.DUMMYFUNCTION("IF(
 B323="""",
 """",
 SWITCH(
  B323,
  ""BUILDING"",COUNTIF(Buildings!A:A,A323)&gt;0,
  ""CITADEL"",COUNTIF(Citadel!A:A,A323)&gt;0,
  ""COLLECTION"",COUNTIF(Collections!A:A,A323)&gt;0,
  ""CRAFTIFACT"",COUNTIF(Craftifacts!A:A,A323)&gt;0,
  ""QUEST"",
   COUNTIF(
 "&amp;"   Quests!A:A,
    REGEXREPLACE(A323,""\.(accepted|finished)$"","""")
   )&gt;0,
  ""TECH"",COUNTIF(Technologies!A:A,A323)&gt;0,
  ""STATE"",COUNTIF(States!A:A,A323)&gt;0,
  FALSE
 )
)"),TRUE)</f>
        <v>1</v>
      </c>
      <c r="P323" s="64" t="str">
        <f t="shared" si="3"/>
        <v>Good</v>
      </c>
      <c r="Q323" s="65"/>
      <c r="R323" s="65"/>
      <c r="S323" s="65"/>
      <c r="T323" s="65"/>
      <c r="U323" s="6"/>
      <c r="V323" s="6" t="str">
        <f>IFERROR(__xludf.DUMMYFUNCTION("""COMPUTED_VALUE"""),"quest.quest_for_knowledge_chapter_3.finished")</f>
        <v>quest.quest_for_knowledge_chapter_3.finished</v>
      </c>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row>
    <row r="324" ht="14.25" customHeight="1">
      <c r="A324" s="26" t="str">
        <f t="shared" si="1"/>
        <v>quest.quest_for_knowledge_chapter_4.accepted</v>
      </c>
      <c r="B324" s="26" t="str">
        <f t="array" ref="B324">_xlfn.XLOOKUP(A324,Targets!A:A,Targets!C:C,"")</f>
        <v>QUEST</v>
      </c>
      <c r="C324" s="64" t="b">
        <f>COUNTIF(Targets!A:A,A324)&gt;0</f>
        <v>1</v>
      </c>
      <c r="D324" s="64" t="b">
        <f>IF(
 OR(
  LEFT(A324,15)="state.character",
  RIGHT(A324,6)=".maxed"
 ),
 TRUE,
 COUNTIF(Checklist!A:A,A324)&gt;0
)</f>
        <v>1</v>
      </c>
      <c r="E324" s="64" t="b">
        <f>IF(
 OR(
  LEFT(A324,15)="state.character",
  RIGHT(A324,6)=".maxed",
  A324="building.guild@1",
  A324="quest.build_the_guild.accepted",
  A324="quest.build_the_pagoda.accepted"
 ),
 TRUE,
 COUNTIF(Dependencies!A:A,A324)&gt;0
)</f>
        <v>1</v>
      </c>
      <c r="F324" s="64" t="b">
        <f>COUNTIF(Dependencies!B:B,A324)&gt;0</f>
        <v>1</v>
      </c>
      <c r="G324" s="64" t="b">
        <f>COUNTIF(QuestObjectives!A:A,A324)&gt;0</f>
        <v>0</v>
      </c>
      <c r="H324" s="64" t="b">
        <f>COUNTIF(QuestObjectives!E:E,A324)&gt;0</f>
        <v>0</v>
      </c>
      <c r="I324" s="64" t="b">
        <f>COUNTIF(TargetStatus!A:A,A324)&gt;0</f>
        <v>1</v>
      </c>
      <c r="J324" s="64" t="b">
        <f>COUNTIF(CostStatus!B:B,A324)&gt;0</f>
        <v>0</v>
      </c>
      <c r="K324" s="64" t="b">
        <f>COUNTIF(States!A:A,A324)&gt;0</f>
        <v>0</v>
      </c>
      <c r="L324" s="64" t="b">
        <f t="shared" si="2"/>
        <v>1</v>
      </c>
      <c r="M324" s="64" t="b">
        <f>IF(A324="","",COUNTIF(Targets!A:A,A324)&gt;1)</f>
        <v>0</v>
      </c>
      <c r="N324" s="64" t="b">
        <f>IF(A324="","",COUNTIF(States!A:A,A324)&gt;1)</f>
        <v>0</v>
      </c>
      <c r="O324" s="64" t="b">
        <f>IFERROR(__xludf.DUMMYFUNCTION("IF(
 B324="""",
 """",
 SWITCH(
  B324,
  ""BUILDING"",COUNTIF(Buildings!A:A,A324)&gt;0,
  ""CITADEL"",COUNTIF(Citadel!A:A,A324)&gt;0,
  ""COLLECTION"",COUNTIF(Collections!A:A,A324)&gt;0,
  ""CRAFTIFACT"",COUNTIF(Craftifacts!A:A,A324)&gt;0,
  ""QUEST"",
   COUNTIF(
 "&amp;"   Quests!A:A,
    REGEXREPLACE(A324,""\.(accepted|finished)$"","""")
   )&gt;0,
  ""TECH"",COUNTIF(Technologies!A:A,A324)&gt;0,
  ""STATE"",COUNTIF(States!A:A,A324)&gt;0,
  FALSE
 )
)"),TRUE)</f>
        <v>1</v>
      </c>
      <c r="P324" s="64" t="str">
        <f t="shared" si="3"/>
        <v>Good</v>
      </c>
      <c r="Q324" s="65"/>
      <c r="R324" s="65"/>
      <c r="S324" s="65"/>
      <c r="T324" s="65"/>
      <c r="U324" s="6"/>
      <c r="V324" s="6" t="str">
        <f>IFERROR(__xludf.DUMMYFUNCTION("""COMPUTED_VALUE"""),"quest.quest_for_knowledge_chapter_4.accepted")</f>
        <v>quest.quest_for_knowledge_chapter_4.accepted</v>
      </c>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row>
    <row r="325" ht="14.25" customHeight="1">
      <c r="A325" s="26" t="str">
        <f t="shared" si="1"/>
        <v>quest.quest_for_knowledge_chapter_4.finished</v>
      </c>
      <c r="B325" s="26" t="str">
        <f t="array" ref="B325">_xlfn.XLOOKUP(A325,Targets!A:A,Targets!C:C,"")</f>
        <v>QUEST</v>
      </c>
      <c r="C325" s="64" t="b">
        <f>COUNTIF(Targets!A:A,A325)&gt;0</f>
        <v>1</v>
      </c>
      <c r="D325" s="64" t="b">
        <f>IF(
 OR(
  LEFT(A325,15)="state.character",
  RIGHT(A325,6)=".maxed"
 ),
 TRUE,
 COUNTIF(Checklist!A:A,A325)&gt;0
)</f>
        <v>1</v>
      </c>
      <c r="E325" s="64" t="b">
        <f>IF(
 OR(
  LEFT(A325,15)="state.character",
  RIGHT(A325,6)=".maxed",
  A325="building.guild@1",
  A325="quest.build_the_guild.accepted",
  A325="quest.build_the_pagoda.accepted"
 ),
 TRUE,
 COUNTIF(Dependencies!A:A,A325)&gt;0
)</f>
        <v>1</v>
      </c>
      <c r="F325" s="64" t="b">
        <f>COUNTIF(Dependencies!B:B,A325)&gt;0</f>
        <v>0</v>
      </c>
      <c r="G325" s="64" t="b">
        <f>COUNTIF(QuestObjectives!A:A,A325)&gt;0</f>
        <v>1</v>
      </c>
      <c r="H325" s="64" t="b">
        <f>COUNTIF(QuestObjectives!E:E,A325)&gt;0</f>
        <v>0</v>
      </c>
      <c r="I325" s="64" t="b">
        <f>COUNTIF(TargetStatus!A:A,A325)&gt;0</f>
        <v>1</v>
      </c>
      <c r="J325" s="64" t="b">
        <f>COUNTIF(CostStatus!B:B,A325)&gt;0</f>
        <v>0</v>
      </c>
      <c r="K325" s="64" t="b">
        <f>COUNTIF(States!A:A,A325)&gt;0</f>
        <v>0</v>
      </c>
      <c r="L325" s="64" t="b">
        <f t="shared" si="2"/>
        <v>1</v>
      </c>
      <c r="M325" s="64" t="b">
        <f>IF(A325="","",COUNTIF(Targets!A:A,A325)&gt;1)</f>
        <v>0</v>
      </c>
      <c r="N325" s="64" t="b">
        <f>IF(A325="","",COUNTIF(States!A:A,A325)&gt;1)</f>
        <v>0</v>
      </c>
      <c r="O325" s="64" t="b">
        <f>IFERROR(__xludf.DUMMYFUNCTION("IF(
 B325="""",
 """",
 SWITCH(
  B325,
  ""BUILDING"",COUNTIF(Buildings!A:A,A325)&gt;0,
  ""CITADEL"",COUNTIF(Citadel!A:A,A325)&gt;0,
  ""COLLECTION"",COUNTIF(Collections!A:A,A325)&gt;0,
  ""CRAFTIFACT"",COUNTIF(Craftifacts!A:A,A325)&gt;0,
  ""QUEST"",
   COUNTIF(
 "&amp;"   Quests!A:A,
    REGEXREPLACE(A325,""\.(accepted|finished)$"","""")
   )&gt;0,
  ""TECH"",COUNTIF(Technologies!A:A,A325)&gt;0,
  ""STATE"",COUNTIF(States!A:A,A325)&gt;0,
  FALSE
 )
)"),TRUE)</f>
        <v>1</v>
      </c>
      <c r="P325" s="64" t="str">
        <f t="shared" si="3"/>
        <v>Good</v>
      </c>
      <c r="Q325" s="65"/>
      <c r="R325" s="65"/>
      <c r="S325" s="65"/>
      <c r="T325" s="65"/>
      <c r="U325" s="6"/>
      <c r="V325" s="6" t="str">
        <f>IFERROR(__xludf.DUMMYFUNCTION("""COMPUTED_VALUE"""),"quest.quest_for_knowledge_chapter_4.finished")</f>
        <v>quest.quest_for_knowledge_chapter_4.finished</v>
      </c>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row>
    <row r="326" ht="14.25" customHeight="1">
      <c r="A326" s="26" t="str">
        <f t="shared" si="1"/>
        <v>quest.quest_for_knowledge_chapter_5.accepted</v>
      </c>
      <c r="B326" s="26" t="str">
        <f t="array" ref="B326">_xlfn.XLOOKUP(A326,Targets!A:A,Targets!C:C,"")</f>
        <v>QUEST</v>
      </c>
      <c r="C326" s="64" t="b">
        <f>COUNTIF(Targets!A:A,A326)&gt;0</f>
        <v>1</v>
      </c>
      <c r="D326" s="64" t="b">
        <f>IF(
 OR(
  LEFT(A326,15)="state.character",
  RIGHT(A326,6)=".maxed"
 ),
 TRUE,
 COUNTIF(Checklist!A:A,A326)&gt;0
)</f>
        <v>1</v>
      </c>
      <c r="E326" s="64" t="b">
        <f>IF(
 OR(
  LEFT(A326,15)="state.character",
  RIGHT(A326,6)=".maxed",
  A326="building.guild@1",
  A326="quest.build_the_guild.accepted",
  A326="quest.build_the_pagoda.accepted"
 ),
 TRUE,
 COUNTIF(Dependencies!A:A,A326)&gt;0
)</f>
        <v>1</v>
      </c>
      <c r="F326" s="64" t="b">
        <f>COUNTIF(Dependencies!B:B,A326)&gt;0</f>
        <v>1</v>
      </c>
      <c r="G326" s="64" t="b">
        <f>COUNTIF(QuestObjectives!A:A,A326)&gt;0</f>
        <v>0</v>
      </c>
      <c r="H326" s="64" t="b">
        <f>COUNTIF(QuestObjectives!E:E,A326)&gt;0</f>
        <v>0</v>
      </c>
      <c r="I326" s="64" t="b">
        <f>COUNTIF(TargetStatus!A:A,A326)&gt;0</f>
        <v>1</v>
      </c>
      <c r="J326" s="64" t="b">
        <f>COUNTIF(CostStatus!B:B,A326)&gt;0</f>
        <v>0</v>
      </c>
      <c r="K326" s="64" t="b">
        <f>COUNTIF(States!A:A,A326)&gt;0</f>
        <v>0</v>
      </c>
      <c r="L326" s="64" t="b">
        <f t="shared" si="2"/>
        <v>1</v>
      </c>
      <c r="M326" s="64" t="b">
        <f>IF(A326="","",COUNTIF(Targets!A:A,A326)&gt;1)</f>
        <v>0</v>
      </c>
      <c r="N326" s="64" t="b">
        <f>IF(A326="","",COUNTIF(States!A:A,A326)&gt;1)</f>
        <v>0</v>
      </c>
      <c r="O326" s="64" t="b">
        <f>IFERROR(__xludf.DUMMYFUNCTION("IF(
 B326="""",
 """",
 SWITCH(
  B326,
  ""BUILDING"",COUNTIF(Buildings!A:A,A326)&gt;0,
  ""CITADEL"",COUNTIF(Citadel!A:A,A326)&gt;0,
  ""COLLECTION"",COUNTIF(Collections!A:A,A326)&gt;0,
  ""CRAFTIFACT"",COUNTIF(Craftifacts!A:A,A326)&gt;0,
  ""QUEST"",
   COUNTIF(
 "&amp;"   Quests!A:A,
    REGEXREPLACE(A326,""\.(accepted|finished)$"","""")
   )&gt;0,
  ""TECH"",COUNTIF(Technologies!A:A,A326)&gt;0,
  ""STATE"",COUNTIF(States!A:A,A326)&gt;0,
  FALSE
 )
)"),TRUE)</f>
        <v>1</v>
      </c>
      <c r="P326" s="64" t="str">
        <f t="shared" si="3"/>
        <v>Good</v>
      </c>
      <c r="Q326" s="65"/>
      <c r="R326" s="65"/>
      <c r="S326" s="65"/>
      <c r="T326" s="65"/>
      <c r="U326" s="6"/>
      <c r="V326" s="6" t="str">
        <f>IFERROR(__xludf.DUMMYFUNCTION("""COMPUTED_VALUE"""),"quest.quest_for_knowledge_chapter_5.accepted")</f>
        <v>quest.quest_for_knowledge_chapter_5.accepted</v>
      </c>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row>
    <row r="327" ht="14.25" customHeight="1">
      <c r="A327" s="26" t="str">
        <f t="shared" si="1"/>
        <v>quest.quest_for_knowledge_chapter_5.finished</v>
      </c>
      <c r="B327" s="26" t="str">
        <f t="array" ref="B327">_xlfn.XLOOKUP(A327,Targets!A:A,Targets!C:C,"")</f>
        <v>QUEST</v>
      </c>
      <c r="C327" s="64" t="b">
        <f>COUNTIF(Targets!A:A,A327)&gt;0</f>
        <v>1</v>
      </c>
      <c r="D327" s="64" t="b">
        <f>IF(
 OR(
  LEFT(A327,15)="state.character",
  RIGHT(A327,6)=".maxed"
 ),
 TRUE,
 COUNTIF(Checklist!A:A,A327)&gt;0
)</f>
        <v>1</v>
      </c>
      <c r="E327" s="64" t="b">
        <f>IF(
 OR(
  LEFT(A327,15)="state.character",
  RIGHT(A327,6)=".maxed",
  A327="building.guild@1",
  A327="quest.build_the_guild.accepted",
  A327="quest.build_the_pagoda.accepted"
 ),
 TRUE,
 COUNTIF(Dependencies!A:A,A327)&gt;0
)</f>
        <v>1</v>
      </c>
      <c r="F327" s="64" t="b">
        <f>COUNTIF(Dependencies!B:B,A327)&gt;0</f>
        <v>0</v>
      </c>
      <c r="G327" s="64" t="b">
        <f>COUNTIF(QuestObjectives!A:A,A327)&gt;0</f>
        <v>1</v>
      </c>
      <c r="H327" s="64" t="b">
        <f>COUNTIF(QuestObjectives!E:E,A327)&gt;0</f>
        <v>0</v>
      </c>
      <c r="I327" s="64" t="b">
        <f>COUNTIF(TargetStatus!A:A,A327)&gt;0</f>
        <v>1</v>
      </c>
      <c r="J327" s="64" t="b">
        <f>COUNTIF(CostStatus!B:B,A327)&gt;0</f>
        <v>0</v>
      </c>
      <c r="K327" s="64" t="b">
        <f>COUNTIF(States!A:A,A327)&gt;0</f>
        <v>0</v>
      </c>
      <c r="L327" s="64" t="b">
        <f t="shared" si="2"/>
        <v>1</v>
      </c>
      <c r="M327" s="64" t="b">
        <f>IF(A327="","",COUNTIF(Targets!A:A,A327)&gt;1)</f>
        <v>0</v>
      </c>
      <c r="N327" s="64" t="b">
        <f>IF(A327="","",COUNTIF(States!A:A,A327)&gt;1)</f>
        <v>0</v>
      </c>
      <c r="O327" s="64" t="b">
        <f>IFERROR(__xludf.DUMMYFUNCTION("IF(
 B327="""",
 """",
 SWITCH(
  B327,
  ""BUILDING"",COUNTIF(Buildings!A:A,A327)&gt;0,
  ""CITADEL"",COUNTIF(Citadel!A:A,A327)&gt;0,
  ""COLLECTION"",COUNTIF(Collections!A:A,A327)&gt;0,
  ""CRAFTIFACT"",COUNTIF(Craftifacts!A:A,A327)&gt;0,
  ""QUEST"",
   COUNTIF(
 "&amp;"   Quests!A:A,
    REGEXREPLACE(A327,""\.(accepted|finished)$"","""")
   )&gt;0,
  ""TECH"",COUNTIF(Technologies!A:A,A327)&gt;0,
  ""STATE"",COUNTIF(States!A:A,A327)&gt;0,
  FALSE
 )
)"),TRUE)</f>
        <v>1</v>
      </c>
      <c r="P327" s="64" t="str">
        <f t="shared" si="3"/>
        <v>Good</v>
      </c>
      <c r="Q327" s="65"/>
      <c r="R327" s="65"/>
      <c r="S327" s="65"/>
      <c r="T327" s="65"/>
      <c r="U327" s="6"/>
      <c r="V327" s="6" t="str">
        <f>IFERROR(__xludf.DUMMYFUNCTION("""COMPUTED_VALUE"""),"quest.quest_for_knowledge_chapter_5.finished")</f>
        <v>quest.quest_for_knowledge_chapter_5.finished</v>
      </c>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row>
    <row r="328" ht="14.25" customHeight="1">
      <c r="A328" s="26" t="str">
        <f t="shared" si="1"/>
        <v>quest.shoguns_katana_chapter_1.accepted</v>
      </c>
      <c r="B328" s="26" t="str">
        <f t="array" ref="B328">_xlfn.XLOOKUP(A328,Targets!A:A,Targets!C:C,"")</f>
        <v>QUEST</v>
      </c>
      <c r="C328" s="64" t="b">
        <f>COUNTIF(Targets!A:A,A328)&gt;0</f>
        <v>1</v>
      </c>
      <c r="D328" s="64" t="b">
        <f>IF(
 OR(
  LEFT(A328,15)="state.character",
  RIGHT(A328,6)=".maxed"
 ),
 TRUE,
 COUNTIF(Checklist!A:A,A328)&gt;0
)</f>
        <v>1</v>
      </c>
      <c r="E328" s="64" t="b">
        <f>IF(
 OR(
  LEFT(A328,15)="state.character",
  RIGHT(A328,6)=".maxed",
  A328="building.guild@1",
  A328="quest.build_the_guild.accepted",
  A328="quest.build_the_pagoda.accepted"
 ),
 TRUE,
 COUNTIF(Dependencies!A:A,A328)&gt;0
)</f>
        <v>1</v>
      </c>
      <c r="F328" s="64" t="b">
        <f>COUNTIF(Dependencies!B:B,A328)&gt;0</f>
        <v>1</v>
      </c>
      <c r="G328" s="64" t="b">
        <f>COUNTIF(QuestObjectives!A:A,A328)&gt;0</f>
        <v>0</v>
      </c>
      <c r="H328" s="64" t="b">
        <f>COUNTIF(QuestObjectives!E:E,A328)&gt;0</f>
        <v>0</v>
      </c>
      <c r="I328" s="64" t="b">
        <f>COUNTIF(TargetStatus!A:A,A328)&gt;0</f>
        <v>1</v>
      </c>
      <c r="J328" s="64" t="b">
        <f>COUNTIF(CostStatus!B:B,A328)&gt;0</f>
        <v>0</v>
      </c>
      <c r="K328" s="64" t="b">
        <f>COUNTIF(States!A:A,A328)&gt;0</f>
        <v>0</v>
      </c>
      <c r="L328" s="64" t="b">
        <f t="shared" si="2"/>
        <v>1</v>
      </c>
      <c r="M328" s="64" t="b">
        <f>IF(A328="","",COUNTIF(Targets!A:A,A328)&gt;1)</f>
        <v>0</v>
      </c>
      <c r="N328" s="64" t="b">
        <f>IF(A328="","",COUNTIF(States!A:A,A328)&gt;1)</f>
        <v>0</v>
      </c>
      <c r="O328" s="64" t="b">
        <f>IFERROR(__xludf.DUMMYFUNCTION("IF(
 B328="""",
 """",
 SWITCH(
  B328,
  ""BUILDING"",COUNTIF(Buildings!A:A,A328)&gt;0,
  ""CITADEL"",COUNTIF(Citadel!A:A,A328)&gt;0,
  ""COLLECTION"",COUNTIF(Collections!A:A,A328)&gt;0,
  ""CRAFTIFACT"",COUNTIF(Craftifacts!A:A,A328)&gt;0,
  ""QUEST"",
   COUNTIF(
 "&amp;"   Quests!A:A,
    REGEXREPLACE(A328,""\.(accepted|finished)$"","""")
   )&gt;0,
  ""TECH"",COUNTIF(Technologies!A:A,A328)&gt;0,
  ""STATE"",COUNTIF(States!A:A,A328)&gt;0,
  FALSE
 )
)"),TRUE)</f>
        <v>1</v>
      </c>
      <c r="P328" s="64" t="str">
        <f t="shared" si="3"/>
        <v>Good</v>
      </c>
      <c r="Q328" s="65"/>
      <c r="R328" s="65"/>
      <c r="S328" s="65"/>
      <c r="T328" s="65"/>
      <c r="U328" s="6"/>
      <c r="V328" s="6" t="str">
        <f>IFERROR(__xludf.DUMMYFUNCTION("""COMPUTED_VALUE"""),"quest.shoguns_katana_chapter_1.accepted")</f>
        <v>quest.shoguns_katana_chapter_1.accepted</v>
      </c>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row>
    <row r="329" ht="14.25" customHeight="1">
      <c r="A329" s="26" t="str">
        <f t="shared" si="1"/>
        <v>quest.shoguns_katana_chapter_1.finished</v>
      </c>
      <c r="B329" s="26" t="str">
        <f t="array" ref="B329">_xlfn.XLOOKUP(A329,Targets!A:A,Targets!C:C,"")</f>
        <v>QUEST</v>
      </c>
      <c r="C329" s="64" t="b">
        <f>COUNTIF(Targets!A:A,A329)&gt;0</f>
        <v>1</v>
      </c>
      <c r="D329" s="64" t="b">
        <f>IF(
 OR(
  LEFT(A329,15)="state.character",
  RIGHT(A329,6)=".maxed"
 ),
 TRUE,
 COUNTIF(Checklist!A:A,A329)&gt;0
)</f>
        <v>1</v>
      </c>
      <c r="E329" s="64" t="b">
        <f>IF(
 OR(
  LEFT(A329,15)="state.character",
  RIGHT(A329,6)=".maxed",
  A329="building.guild@1",
  A329="quest.build_the_guild.accepted",
  A329="quest.build_the_pagoda.accepted"
 ),
 TRUE,
 COUNTIF(Dependencies!A:A,A329)&gt;0
)</f>
        <v>1</v>
      </c>
      <c r="F329" s="64" t="b">
        <f>COUNTIF(Dependencies!B:B,A329)&gt;0</f>
        <v>1</v>
      </c>
      <c r="G329" s="64" t="b">
        <f>COUNTIF(QuestObjectives!A:A,A329)&gt;0</f>
        <v>1</v>
      </c>
      <c r="H329" s="64" t="b">
        <f>COUNTIF(QuestObjectives!E:E,A329)&gt;0</f>
        <v>0</v>
      </c>
      <c r="I329" s="64" t="b">
        <f>COUNTIF(TargetStatus!A:A,A329)&gt;0</f>
        <v>1</v>
      </c>
      <c r="J329" s="64" t="b">
        <f>COUNTIF(CostStatus!B:B,A329)&gt;0</f>
        <v>1</v>
      </c>
      <c r="K329" s="64" t="b">
        <f>COUNTIF(States!A:A,A329)&gt;0</f>
        <v>0</v>
      </c>
      <c r="L329" s="64" t="b">
        <f t="shared" si="2"/>
        <v>1</v>
      </c>
      <c r="M329" s="64" t="b">
        <f>IF(A329="","",COUNTIF(Targets!A:A,A329)&gt;1)</f>
        <v>0</v>
      </c>
      <c r="N329" s="64" t="b">
        <f>IF(A329="","",COUNTIF(States!A:A,A329)&gt;1)</f>
        <v>0</v>
      </c>
      <c r="O329" s="64" t="b">
        <f>IFERROR(__xludf.DUMMYFUNCTION("IF(
 B329="""",
 """",
 SWITCH(
  B329,
  ""BUILDING"",COUNTIF(Buildings!A:A,A329)&gt;0,
  ""CITADEL"",COUNTIF(Citadel!A:A,A329)&gt;0,
  ""COLLECTION"",COUNTIF(Collections!A:A,A329)&gt;0,
  ""CRAFTIFACT"",COUNTIF(Craftifacts!A:A,A329)&gt;0,
  ""QUEST"",
   COUNTIF(
 "&amp;"   Quests!A:A,
    REGEXREPLACE(A329,""\.(accepted|finished)$"","""")
   )&gt;0,
  ""TECH"",COUNTIF(Technologies!A:A,A329)&gt;0,
  ""STATE"",COUNTIF(States!A:A,A329)&gt;0,
  FALSE
 )
)"),TRUE)</f>
        <v>1</v>
      </c>
      <c r="P329" s="64" t="str">
        <f t="shared" si="3"/>
        <v>Good</v>
      </c>
      <c r="Q329" s="65"/>
      <c r="R329" s="65"/>
      <c r="S329" s="65"/>
      <c r="T329" s="65"/>
      <c r="U329" s="6"/>
      <c r="V329" s="6" t="str">
        <f>IFERROR(__xludf.DUMMYFUNCTION("""COMPUTED_VALUE"""),"quest.shoguns_katana_chapter_1.finished")</f>
        <v>quest.shoguns_katana_chapter_1.finished</v>
      </c>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row>
    <row r="330" ht="14.25" customHeight="1">
      <c r="A330" s="26" t="str">
        <f t="shared" si="1"/>
        <v>quest.shoguns_katana_chapter_2.accepted</v>
      </c>
      <c r="B330" s="26" t="str">
        <f t="array" ref="B330">_xlfn.XLOOKUP(A330,Targets!A:A,Targets!C:C,"")</f>
        <v>QUEST</v>
      </c>
      <c r="C330" s="64" t="b">
        <f>COUNTIF(Targets!A:A,A330)&gt;0</f>
        <v>1</v>
      </c>
      <c r="D330" s="64" t="b">
        <f>IF(
 OR(
  LEFT(A330,15)="state.character",
  RIGHT(A330,6)=".maxed"
 ),
 TRUE,
 COUNTIF(Checklist!A:A,A330)&gt;0
)</f>
        <v>1</v>
      </c>
      <c r="E330" s="64" t="b">
        <f>IF(
 OR(
  LEFT(A330,15)="state.character",
  RIGHT(A330,6)=".maxed",
  A330="building.guild@1",
  A330="quest.build_the_guild.accepted",
  A330="quest.build_the_pagoda.accepted"
 ),
 TRUE,
 COUNTIF(Dependencies!A:A,A330)&gt;0
)</f>
        <v>1</v>
      </c>
      <c r="F330" s="64" t="b">
        <f>COUNTIF(Dependencies!B:B,A330)&gt;0</f>
        <v>1</v>
      </c>
      <c r="G330" s="64" t="b">
        <f>COUNTIF(QuestObjectives!A:A,A330)&gt;0</f>
        <v>0</v>
      </c>
      <c r="H330" s="64" t="b">
        <f>COUNTIF(QuestObjectives!E:E,A330)&gt;0</f>
        <v>0</v>
      </c>
      <c r="I330" s="64" t="b">
        <f>COUNTIF(TargetStatus!A:A,A330)&gt;0</f>
        <v>1</v>
      </c>
      <c r="J330" s="64" t="b">
        <f>COUNTIF(CostStatus!B:B,A330)&gt;0</f>
        <v>0</v>
      </c>
      <c r="K330" s="64" t="b">
        <f>COUNTIF(States!A:A,A330)&gt;0</f>
        <v>0</v>
      </c>
      <c r="L330" s="64" t="b">
        <f t="shared" si="2"/>
        <v>1</v>
      </c>
      <c r="M330" s="64" t="b">
        <f>IF(A330="","",COUNTIF(Targets!A:A,A330)&gt;1)</f>
        <v>0</v>
      </c>
      <c r="N330" s="64" t="b">
        <f>IF(A330="","",COUNTIF(States!A:A,A330)&gt;1)</f>
        <v>0</v>
      </c>
      <c r="O330" s="64" t="b">
        <f>IFERROR(__xludf.DUMMYFUNCTION("IF(
 B330="""",
 """",
 SWITCH(
  B330,
  ""BUILDING"",COUNTIF(Buildings!A:A,A330)&gt;0,
  ""CITADEL"",COUNTIF(Citadel!A:A,A330)&gt;0,
  ""COLLECTION"",COUNTIF(Collections!A:A,A330)&gt;0,
  ""CRAFTIFACT"",COUNTIF(Craftifacts!A:A,A330)&gt;0,
  ""QUEST"",
   COUNTIF(
 "&amp;"   Quests!A:A,
    REGEXREPLACE(A330,""\.(accepted|finished)$"","""")
   )&gt;0,
  ""TECH"",COUNTIF(Technologies!A:A,A330)&gt;0,
  ""STATE"",COUNTIF(States!A:A,A330)&gt;0,
  FALSE
 )
)"),TRUE)</f>
        <v>1</v>
      </c>
      <c r="P330" s="64" t="str">
        <f t="shared" si="3"/>
        <v>Good</v>
      </c>
      <c r="Q330" s="65"/>
      <c r="R330" s="65"/>
      <c r="S330" s="65"/>
      <c r="T330" s="65"/>
      <c r="U330" s="6"/>
      <c r="V330" s="6" t="str">
        <f>IFERROR(__xludf.DUMMYFUNCTION("""COMPUTED_VALUE"""),"quest.shoguns_katana_chapter_2.accepted")</f>
        <v>quest.shoguns_katana_chapter_2.accepted</v>
      </c>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row>
    <row r="331" ht="14.25" customHeight="1">
      <c r="A331" s="26" t="str">
        <f t="shared" si="1"/>
        <v>quest.shoguns_katana_chapter_2.finished</v>
      </c>
      <c r="B331" s="26" t="str">
        <f t="array" ref="B331">_xlfn.XLOOKUP(A331,Targets!A:A,Targets!C:C,"")</f>
        <v>QUEST</v>
      </c>
      <c r="C331" s="64" t="b">
        <f>COUNTIF(Targets!A:A,A331)&gt;0</f>
        <v>1</v>
      </c>
      <c r="D331" s="64" t="b">
        <f>IF(
 OR(
  LEFT(A331,15)="state.character",
  RIGHT(A331,6)=".maxed"
 ),
 TRUE,
 COUNTIF(Checklist!A:A,A331)&gt;0
)</f>
        <v>1</v>
      </c>
      <c r="E331" s="64" t="b">
        <f>IF(
 OR(
  LEFT(A331,15)="state.character",
  RIGHT(A331,6)=".maxed",
  A331="building.guild@1",
  A331="quest.build_the_guild.accepted",
  A331="quest.build_the_pagoda.accepted"
 ),
 TRUE,
 COUNTIF(Dependencies!A:A,A331)&gt;0
)</f>
        <v>1</v>
      </c>
      <c r="F331" s="64" t="b">
        <f>COUNTIF(Dependencies!B:B,A331)&gt;0</f>
        <v>1</v>
      </c>
      <c r="G331" s="64" t="b">
        <f>COUNTIF(QuestObjectives!A:A,A331)&gt;0</f>
        <v>1</v>
      </c>
      <c r="H331" s="64" t="b">
        <f>COUNTIF(QuestObjectives!E:E,A331)&gt;0</f>
        <v>0</v>
      </c>
      <c r="I331" s="64" t="b">
        <f>COUNTIF(TargetStatus!A:A,A331)&gt;0</f>
        <v>1</v>
      </c>
      <c r="J331" s="64" t="b">
        <f>COUNTIF(CostStatus!B:B,A331)&gt;0</f>
        <v>1</v>
      </c>
      <c r="K331" s="64" t="b">
        <f>COUNTIF(States!A:A,A331)&gt;0</f>
        <v>0</v>
      </c>
      <c r="L331" s="64" t="b">
        <f t="shared" si="2"/>
        <v>1</v>
      </c>
      <c r="M331" s="64" t="b">
        <f>IF(A331="","",COUNTIF(Targets!A:A,A331)&gt;1)</f>
        <v>0</v>
      </c>
      <c r="N331" s="64" t="b">
        <f>IF(A331="","",COUNTIF(States!A:A,A331)&gt;1)</f>
        <v>0</v>
      </c>
      <c r="O331" s="64" t="b">
        <f>IFERROR(__xludf.DUMMYFUNCTION("IF(
 B331="""",
 """",
 SWITCH(
  B331,
  ""BUILDING"",COUNTIF(Buildings!A:A,A331)&gt;0,
  ""CITADEL"",COUNTIF(Citadel!A:A,A331)&gt;0,
  ""COLLECTION"",COUNTIF(Collections!A:A,A331)&gt;0,
  ""CRAFTIFACT"",COUNTIF(Craftifacts!A:A,A331)&gt;0,
  ""QUEST"",
   COUNTIF(
 "&amp;"   Quests!A:A,
    REGEXREPLACE(A331,""\.(accepted|finished)$"","""")
   )&gt;0,
  ""TECH"",COUNTIF(Technologies!A:A,A331)&gt;0,
  ""STATE"",COUNTIF(States!A:A,A331)&gt;0,
  FALSE
 )
)"),TRUE)</f>
        <v>1</v>
      </c>
      <c r="P331" s="64" t="str">
        <f t="shared" si="3"/>
        <v>Good</v>
      </c>
      <c r="Q331" s="65"/>
      <c r="R331" s="65"/>
      <c r="S331" s="65"/>
      <c r="T331" s="65"/>
      <c r="U331" s="6"/>
      <c r="V331" s="6" t="str">
        <f>IFERROR(__xludf.DUMMYFUNCTION("""COMPUTED_VALUE"""),"quest.shoguns_katana_chapter_2.finished")</f>
        <v>quest.shoguns_katana_chapter_2.finished</v>
      </c>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row>
    <row r="332" ht="14.25" customHeight="1">
      <c r="A332" s="26" t="str">
        <f t="shared" si="1"/>
        <v>quest.shoguns_katana_chapter_3.accepted</v>
      </c>
      <c r="B332" s="26" t="str">
        <f t="array" ref="B332">_xlfn.XLOOKUP(A332,Targets!A:A,Targets!C:C,"")</f>
        <v>QUEST</v>
      </c>
      <c r="C332" s="64" t="b">
        <f>COUNTIF(Targets!A:A,A332)&gt;0</f>
        <v>1</v>
      </c>
      <c r="D332" s="64" t="b">
        <f>IF(
 OR(
  LEFT(A332,15)="state.character",
  RIGHT(A332,6)=".maxed"
 ),
 TRUE,
 COUNTIF(Checklist!A:A,A332)&gt;0
)</f>
        <v>1</v>
      </c>
      <c r="E332" s="64" t="b">
        <f>IF(
 OR(
  LEFT(A332,15)="state.character",
  RIGHT(A332,6)=".maxed",
  A332="building.guild@1",
  A332="quest.build_the_guild.accepted",
  A332="quest.build_the_pagoda.accepted"
 ),
 TRUE,
 COUNTIF(Dependencies!A:A,A332)&gt;0
)</f>
        <v>1</v>
      </c>
      <c r="F332" s="64" t="b">
        <f>COUNTIF(Dependencies!B:B,A332)&gt;0</f>
        <v>1</v>
      </c>
      <c r="G332" s="64" t="b">
        <f>COUNTIF(QuestObjectives!A:A,A332)&gt;0</f>
        <v>0</v>
      </c>
      <c r="H332" s="64" t="b">
        <f>COUNTIF(QuestObjectives!E:E,A332)&gt;0</f>
        <v>0</v>
      </c>
      <c r="I332" s="64" t="b">
        <f>COUNTIF(TargetStatus!A:A,A332)&gt;0</f>
        <v>1</v>
      </c>
      <c r="J332" s="64" t="b">
        <f>COUNTIF(CostStatus!B:B,A332)&gt;0</f>
        <v>0</v>
      </c>
      <c r="K332" s="64" t="b">
        <f>COUNTIF(States!A:A,A332)&gt;0</f>
        <v>0</v>
      </c>
      <c r="L332" s="64" t="b">
        <f t="shared" si="2"/>
        <v>1</v>
      </c>
      <c r="M332" s="64" t="b">
        <f>IF(A332="","",COUNTIF(Targets!A:A,A332)&gt;1)</f>
        <v>0</v>
      </c>
      <c r="N332" s="64" t="b">
        <f>IF(A332="","",COUNTIF(States!A:A,A332)&gt;1)</f>
        <v>0</v>
      </c>
      <c r="O332" s="64" t="b">
        <f>IFERROR(__xludf.DUMMYFUNCTION("IF(
 B332="""",
 """",
 SWITCH(
  B332,
  ""BUILDING"",COUNTIF(Buildings!A:A,A332)&gt;0,
  ""CITADEL"",COUNTIF(Citadel!A:A,A332)&gt;0,
  ""COLLECTION"",COUNTIF(Collections!A:A,A332)&gt;0,
  ""CRAFTIFACT"",COUNTIF(Craftifacts!A:A,A332)&gt;0,
  ""QUEST"",
   COUNTIF(
 "&amp;"   Quests!A:A,
    REGEXREPLACE(A332,""\.(accepted|finished)$"","""")
   )&gt;0,
  ""TECH"",COUNTIF(Technologies!A:A,A332)&gt;0,
  ""STATE"",COUNTIF(States!A:A,A332)&gt;0,
  FALSE
 )
)"),TRUE)</f>
        <v>1</v>
      </c>
      <c r="P332" s="64" t="str">
        <f t="shared" si="3"/>
        <v>Good</v>
      </c>
      <c r="Q332" s="65"/>
      <c r="R332" s="65"/>
      <c r="S332" s="65"/>
      <c r="T332" s="65"/>
      <c r="U332" s="6"/>
      <c r="V332" s="6" t="str">
        <f>IFERROR(__xludf.DUMMYFUNCTION("""COMPUTED_VALUE"""),"quest.shoguns_katana_chapter_3.accepted")</f>
        <v>quest.shoguns_katana_chapter_3.accepted</v>
      </c>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row>
    <row r="333" ht="14.25" customHeight="1">
      <c r="A333" s="26" t="str">
        <f t="shared" si="1"/>
        <v>quest.shoguns_katana_chapter_3.finished</v>
      </c>
      <c r="B333" s="26" t="str">
        <f t="array" ref="B333">_xlfn.XLOOKUP(A333,Targets!A:A,Targets!C:C,"")</f>
        <v>QUEST</v>
      </c>
      <c r="C333" s="64" t="b">
        <f>COUNTIF(Targets!A:A,A333)&gt;0</f>
        <v>1</v>
      </c>
      <c r="D333" s="64" t="b">
        <f>IF(
 OR(
  LEFT(A333,15)="state.character",
  RIGHT(A333,6)=".maxed"
 ),
 TRUE,
 COUNTIF(Checklist!A:A,A333)&gt;0
)</f>
        <v>1</v>
      </c>
      <c r="E333" s="64" t="b">
        <f>IF(
 OR(
  LEFT(A333,15)="state.character",
  RIGHT(A333,6)=".maxed",
  A333="building.guild@1",
  A333="quest.build_the_guild.accepted",
  A333="quest.build_the_pagoda.accepted"
 ),
 TRUE,
 COUNTIF(Dependencies!A:A,A333)&gt;0
)</f>
        <v>1</v>
      </c>
      <c r="F333" s="64" t="b">
        <f>COUNTIF(Dependencies!B:B,A333)&gt;0</f>
        <v>1</v>
      </c>
      <c r="G333" s="64" t="b">
        <f>COUNTIF(QuestObjectives!A:A,A333)&gt;0</f>
        <v>1</v>
      </c>
      <c r="H333" s="64" t="b">
        <f>COUNTIF(QuestObjectives!E:E,A333)&gt;0</f>
        <v>0</v>
      </c>
      <c r="I333" s="64" t="b">
        <f>COUNTIF(TargetStatus!A:A,A333)&gt;0</f>
        <v>1</v>
      </c>
      <c r="J333" s="64" t="b">
        <f>COUNTIF(CostStatus!B:B,A333)&gt;0</f>
        <v>1</v>
      </c>
      <c r="K333" s="64" t="b">
        <f>COUNTIF(States!A:A,A333)&gt;0</f>
        <v>0</v>
      </c>
      <c r="L333" s="64" t="b">
        <f t="shared" si="2"/>
        <v>1</v>
      </c>
      <c r="M333" s="64" t="b">
        <f>IF(A333="","",COUNTIF(Targets!A:A,A333)&gt;1)</f>
        <v>0</v>
      </c>
      <c r="N333" s="64" t="b">
        <f>IF(A333="","",COUNTIF(States!A:A,A333)&gt;1)</f>
        <v>0</v>
      </c>
      <c r="O333" s="64" t="b">
        <f>IFERROR(__xludf.DUMMYFUNCTION("IF(
 B333="""",
 """",
 SWITCH(
  B333,
  ""BUILDING"",COUNTIF(Buildings!A:A,A333)&gt;0,
  ""CITADEL"",COUNTIF(Citadel!A:A,A333)&gt;0,
  ""COLLECTION"",COUNTIF(Collections!A:A,A333)&gt;0,
  ""CRAFTIFACT"",COUNTIF(Craftifacts!A:A,A333)&gt;0,
  ""QUEST"",
   COUNTIF(
 "&amp;"   Quests!A:A,
    REGEXREPLACE(A333,""\.(accepted|finished)$"","""")
   )&gt;0,
  ""TECH"",COUNTIF(Technologies!A:A,A333)&gt;0,
  ""STATE"",COUNTIF(States!A:A,A333)&gt;0,
  FALSE
 )
)"),TRUE)</f>
        <v>1</v>
      </c>
      <c r="P333" s="64" t="str">
        <f t="shared" si="3"/>
        <v>Good</v>
      </c>
      <c r="Q333" s="65"/>
      <c r="R333" s="65"/>
      <c r="S333" s="65"/>
      <c r="T333" s="65"/>
      <c r="U333" s="6"/>
      <c r="V333" s="6" t="str">
        <f>IFERROR(__xludf.DUMMYFUNCTION("""COMPUTED_VALUE"""),"quest.shoguns_katana_chapter_3.finished")</f>
        <v>quest.shoguns_katana_chapter_3.finished</v>
      </c>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row>
    <row r="334" ht="14.25" customHeight="1">
      <c r="A334" s="26" t="str">
        <f t="shared" si="1"/>
        <v>quest.shoguns_katana_chapter_4.accepted</v>
      </c>
      <c r="B334" s="26" t="str">
        <f t="array" ref="B334">_xlfn.XLOOKUP(A334,Targets!A:A,Targets!C:C,"")</f>
        <v>QUEST</v>
      </c>
      <c r="C334" s="64" t="b">
        <f>COUNTIF(Targets!A:A,A334)&gt;0</f>
        <v>1</v>
      </c>
      <c r="D334" s="64" t="b">
        <f>IF(
 OR(
  LEFT(A334,15)="state.character",
  RIGHT(A334,6)=".maxed"
 ),
 TRUE,
 COUNTIF(Checklist!A:A,A334)&gt;0
)</f>
        <v>1</v>
      </c>
      <c r="E334" s="64" t="b">
        <f>IF(
 OR(
  LEFT(A334,15)="state.character",
  RIGHT(A334,6)=".maxed",
  A334="building.guild@1",
  A334="quest.build_the_guild.accepted",
  A334="quest.build_the_pagoda.accepted"
 ),
 TRUE,
 COUNTIF(Dependencies!A:A,A334)&gt;0
)</f>
        <v>1</v>
      </c>
      <c r="F334" s="64" t="b">
        <f>COUNTIF(Dependencies!B:B,A334)&gt;0</f>
        <v>1</v>
      </c>
      <c r="G334" s="64" t="b">
        <f>COUNTIF(QuestObjectives!A:A,A334)&gt;0</f>
        <v>0</v>
      </c>
      <c r="H334" s="64" t="b">
        <f>COUNTIF(QuestObjectives!E:E,A334)&gt;0</f>
        <v>0</v>
      </c>
      <c r="I334" s="64" t="b">
        <f>COUNTIF(TargetStatus!A:A,A334)&gt;0</f>
        <v>1</v>
      </c>
      <c r="J334" s="64" t="b">
        <f>COUNTIF(CostStatus!B:B,A334)&gt;0</f>
        <v>0</v>
      </c>
      <c r="K334" s="64" t="b">
        <f>COUNTIF(States!A:A,A334)&gt;0</f>
        <v>0</v>
      </c>
      <c r="L334" s="64" t="b">
        <f t="shared" si="2"/>
        <v>1</v>
      </c>
      <c r="M334" s="64" t="b">
        <f>IF(A334="","",COUNTIF(Targets!A:A,A334)&gt;1)</f>
        <v>0</v>
      </c>
      <c r="N334" s="64" t="b">
        <f>IF(A334="","",COUNTIF(States!A:A,A334)&gt;1)</f>
        <v>0</v>
      </c>
      <c r="O334" s="64" t="b">
        <f>IFERROR(__xludf.DUMMYFUNCTION("IF(
 B334="""",
 """",
 SWITCH(
  B334,
  ""BUILDING"",COUNTIF(Buildings!A:A,A334)&gt;0,
  ""CITADEL"",COUNTIF(Citadel!A:A,A334)&gt;0,
  ""COLLECTION"",COUNTIF(Collections!A:A,A334)&gt;0,
  ""CRAFTIFACT"",COUNTIF(Craftifacts!A:A,A334)&gt;0,
  ""QUEST"",
   COUNTIF(
 "&amp;"   Quests!A:A,
    REGEXREPLACE(A334,""\.(accepted|finished)$"","""")
   )&gt;0,
  ""TECH"",COUNTIF(Technologies!A:A,A334)&gt;0,
  ""STATE"",COUNTIF(States!A:A,A334)&gt;0,
  FALSE
 )
)"),TRUE)</f>
        <v>1</v>
      </c>
      <c r="P334" s="64" t="str">
        <f t="shared" si="3"/>
        <v>Good</v>
      </c>
      <c r="Q334" s="65"/>
      <c r="R334" s="65"/>
      <c r="S334" s="65"/>
      <c r="T334" s="65"/>
      <c r="U334" s="6"/>
      <c r="V334" s="6" t="str">
        <f>IFERROR(__xludf.DUMMYFUNCTION("""COMPUTED_VALUE"""),"quest.shoguns_katana_chapter_4.accepted")</f>
        <v>quest.shoguns_katana_chapter_4.accepted</v>
      </c>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row>
    <row r="335" ht="14.25" customHeight="1">
      <c r="A335" s="26" t="str">
        <f t="shared" si="1"/>
        <v>quest.shoguns_katana_chapter_4.finished</v>
      </c>
      <c r="B335" s="26" t="str">
        <f t="array" ref="B335">_xlfn.XLOOKUP(A335,Targets!A:A,Targets!C:C,"")</f>
        <v>QUEST</v>
      </c>
      <c r="C335" s="64" t="b">
        <f>COUNTIF(Targets!A:A,A335)&gt;0</f>
        <v>1</v>
      </c>
      <c r="D335" s="64" t="b">
        <f>IF(
 OR(
  LEFT(A335,15)="state.character",
  RIGHT(A335,6)=".maxed"
 ),
 TRUE,
 COUNTIF(Checklist!A:A,A335)&gt;0
)</f>
        <v>1</v>
      </c>
      <c r="E335" s="64" t="b">
        <f>IF(
 OR(
  LEFT(A335,15)="state.character",
  RIGHT(A335,6)=".maxed",
  A335="building.guild@1",
  A335="quest.build_the_guild.accepted",
  A335="quest.build_the_pagoda.accepted"
 ),
 TRUE,
 COUNTIF(Dependencies!A:A,A335)&gt;0
)</f>
        <v>1</v>
      </c>
      <c r="F335" s="64" t="b">
        <f>COUNTIF(Dependencies!B:B,A335)&gt;0</f>
        <v>1</v>
      </c>
      <c r="G335" s="64" t="b">
        <f>COUNTIF(QuestObjectives!A:A,A335)&gt;0</f>
        <v>1</v>
      </c>
      <c r="H335" s="64" t="b">
        <f>COUNTIF(QuestObjectives!E:E,A335)&gt;0</f>
        <v>0</v>
      </c>
      <c r="I335" s="64" t="b">
        <f>COUNTIF(TargetStatus!A:A,A335)&gt;0</f>
        <v>1</v>
      </c>
      <c r="J335" s="64" t="b">
        <f>COUNTIF(CostStatus!B:B,A335)&gt;0</f>
        <v>1</v>
      </c>
      <c r="K335" s="64" t="b">
        <f>COUNTIF(States!A:A,A335)&gt;0</f>
        <v>0</v>
      </c>
      <c r="L335" s="64" t="b">
        <f t="shared" si="2"/>
        <v>1</v>
      </c>
      <c r="M335" s="64" t="b">
        <f>IF(A335="","",COUNTIF(Targets!A:A,A335)&gt;1)</f>
        <v>0</v>
      </c>
      <c r="N335" s="64" t="b">
        <f>IF(A335="","",COUNTIF(States!A:A,A335)&gt;1)</f>
        <v>0</v>
      </c>
      <c r="O335" s="64" t="b">
        <f>IFERROR(__xludf.DUMMYFUNCTION("IF(
 B335="""",
 """",
 SWITCH(
  B335,
  ""BUILDING"",COUNTIF(Buildings!A:A,A335)&gt;0,
  ""CITADEL"",COUNTIF(Citadel!A:A,A335)&gt;0,
  ""COLLECTION"",COUNTIF(Collections!A:A,A335)&gt;0,
  ""CRAFTIFACT"",COUNTIF(Craftifacts!A:A,A335)&gt;0,
  ""QUEST"",
   COUNTIF(
 "&amp;"   Quests!A:A,
    REGEXREPLACE(A335,""\.(accepted|finished)$"","""")
   )&gt;0,
  ""TECH"",COUNTIF(Technologies!A:A,A335)&gt;0,
  ""STATE"",COUNTIF(States!A:A,A335)&gt;0,
  FALSE
 )
)"),TRUE)</f>
        <v>1</v>
      </c>
      <c r="P335" s="64" t="str">
        <f t="shared" si="3"/>
        <v>Good</v>
      </c>
      <c r="Q335" s="65"/>
      <c r="R335" s="65"/>
      <c r="S335" s="65"/>
      <c r="T335" s="65"/>
      <c r="U335" s="6"/>
      <c r="V335" s="6" t="str">
        <f>IFERROR(__xludf.DUMMYFUNCTION("""COMPUTED_VALUE"""),"quest.shoguns_katana_chapter_4.finished")</f>
        <v>quest.shoguns_katana_chapter_4.finished</v>
      </c>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row>
    <row r="336" ht="14.25" customHeight="1">
      <c r="A336" s="26" t="str">
        <f t="shared" si="1"/>
        <v>quest.shoguns_katana_chapter_5.accepted</v>
      </c>
      <c r="B336" s="26" t="str">
        <f t="array" ref="B336">_xlfn.XLOOKUP(A336,Targets!A:A,Targets!C:C,"")</f>
        <v>QUEST</v>
      </c>
      <c r="C336" s="64" t="b">
        <f>COUNTIF(Targets!A:A,A336)&gt;0</f>
        <v>1</v>
      </c>
      <c r="D336" s="64" t="b">
        <f>IF(
 OR(
  LEFT(A336,15)="state.character",
  RIGHT(A336,6)=".maxed"
 ),
 TRUE,
 COUNTIF(Checklist!A:A,A336)&gt;0
)</f>
        <v>1</v>
      </c>
      <c r="E336" s="64" t="b">
        <f>IF(
 OR(
  LEFT(A336,15)="state.character",
  RIGHT(A336,6)=".maxed",
  A336="building.guild@1",
  A336="quest.build_the_guild.accepted",
  A336="quest.build_the_pagoda.accepted"
 ),
 TRUE,
 COUNTIF(Dependencies!A:A,A336)&gt;0
)</f>
        <v>1</v>
      </c>
      <c r="F336" s="64" t="b">
        <f>COUNTIF(Dependencies!B:B,A336)&gt;0</f>
        <v>1</v>
      </c>
      <c r="G336" s="64" t="b">
        <f>COUNTIF(QuestObjectives!A:A,A336)&gt;0</f>
        <v>0</v>
      </c>
      <c r="H336" s="64" t="b">
        <f>COUNTIF(QuestObjectives!E:E,A336)&gt;0</f>
        <v>0</v>
      </c>
      <c r="I336" s="64" t="b">
        <f>COUNTIF(TargetStatus!A:A,A336)&gt;0</f>
        <v>1</v>
      </c>
      <c r="J336" s="64" t="b">
        <f>COUNTIF(CostStatus!B:B,A336)&gt;0</f>
        <v>0</v>
      </c>
      <c r="K336" s="64" t="b">
        <f>COUNTIF(States!A:A,A336)&gt;0</f>
        <v>0</v>
      </c>
      <c r="L336" s="64" t="b">
        <f t="shared" si="2"/>
        <v>1</v>
      </c>
      <c r="M336" s="64" t="b">
        <f>IF(A336="","",COUNTIF(Targets!A:A,A336)&gt;1)</f>
        <v>0</v>
      </c>
      <c r="N336" s="64" t="b">
        <f>IF(A336="","",COUNTIF(States!A:A,A336)&gt;1)</f>
        <v>0</v>
      </c>
      <c r="O336" s="64" t="b">
        <f>IFERROR(__xludf.DUMMYFUNCTION("IF(
 B336="""",
 """",
 SWITCH(
  B336,
  ""BUILDING"",COUNTIF(Buildings!A:A,A336)&gt;0,
  ""CITADEL"",COUNTIF(Citadel!A:A,A336)&gt;0,
  ""COLLECTION"",COUNTIF(Collections!A:A,A336)&gt;0,
  ""CRAFTIFACT"",COUNTIF(Craftifacts!A:A,A336)&gt;0,
  ""QUEST"",
   COUNTIF(
 "&amp;"   Quests!A:A,
    REGEXREPLACE(A336,""\.(accepted|finished)$"","""")
   )&gt;0,
  ""TECH"",COUNTIF(Technologies!A:A,A336)&gt;0,
  ""STATE"",COUNTIF(States!A:A,A336)&gt;0,
  FALSE
 )
)"),TRUE)</f>
        <v>1</v>
      </c>
      <c r="P336" s="64" t="str">
        <f t="shared" si="3"/>
        <v>Good</v>
      </c>
      <c r="Q336" s="65"/>
      <c r="R336" s="65"/>
      <c r="S336" s="65"/>
      <c r="T336" s="65"/>
      <c r="U336" s="6"/>
      <c r="V336" s="6" t="str">
        <f>IFERROR(__xludf.DUMMYFUNCTION("""COMPUTED_VALUE"""),"quest.shoguns_katana_chapter_5.accepted")</f>
        <v>quest.shoguns_katana_chapter_5.accepted</v>
      </c>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row>
    <row r="337" ht="14.25" customHeight="1">
      <c r="A337" s="26" t="str">
        <f t="shared" si="1"/>
        <v>quest.shoguns_katana_chapter_5.finished</v>
      </c>
      <c r="B337" s="26" t="str">
        <f t="array" ref="B337">_xlfn.XLOOKUP(A337,Targets!A:A,Targets!C:C,"")</f>
        <v>QUEST</v>
      </c>
      <c r="C337" s="64" t="b">
        <f>COUNTIF(Targets!A:A,A337)&gt;0</f>
        <v>1</v>
      </c>
      <c r="D337" s="64" t="b">
        <f>IF(
 OR(
  LEFT(A337,15)="state.character",
  RIGHT(A337,6)=".maxed"
 ),
 TRUE,
 COUNTIF(Checklist!A:A,A337)&gt;0
)</f>
        <v>1</v>
      </c>
      <c r="E337" s="64" t="b">
        <f>IF(
 OR(
  LEFT(A337,15)="state.character",
  RIGHT(A337,6)=".maxed",
  A337="building.guild@1",
  A337="quest.build_the_guild.accepted",
  A337="quest.build_the_pagoda.accepted"
 ),
 TRUE,
 COUNTIF(Dependencies!A:A,A337)&gt;0
)</f>
        <v>1</v>
      </c>
      <c r="F337" s="64" t="b">
        <f>COUNTIF(Dependencies!B:B,A337)&gt;0</f>
        <v>1</v>
      </c>
      <c r="G337" s="64" t="b">
        <f>COUNTIF(QuestObjectives!A:A,A337)&gt;0</f>
        <v>1</v>
      </c>
      <c r="H337" s="64" t="b">
        <f>COUNTIF(QuestObjectives!E:E,A337)&gt;0</f>
        <v>0</v>
      </c>
      <c r="I337" s="64" t="b">
        <f>COUNTIF(TargetStatus!A:A,A337)&gt;0</f>
        <v>1</v>
      </c>
      <c r="J337" s="64" t="b">
        <f>COUNTIF(CostStatus!B:B,A337)&gt;0</f>
        <v>1</v>
      </c>
      <c r="K337" s="64" t="b">
        <f>COUNTIF(States!A:A,A337)&gt;0</f>
        <v>0</v>
      </c>
      <c r="L337" s="64" t="b">
        <f t="shared" si="2"/>
        <v>1</v>
      </c>
      <c r="M337" s="64" t="b">
        <f>IF(A337="","",COUNTIF(Targets!A:A,A337)&gt;1)</f>
        <v>0</v>
      </c>
      <c r="N337" s="64" t="b">
        <f>IF(A337="","",COUNTIF(States!A:A,A337)&gt;1)</f>
        <v>0</v>
      </c>
      <c r="O337" s="64" t="b">
        <f>IFERROR(__xludf.DUMMYFUNCTION("IF(
 B337="""",
 """",
 SWITCH(
  B337,
  ""BUILDING"",COUNTIF(Buildings!A:A,A337)&gt;0,
  ""CITADEL"",COUNTIF(Citadel!A:A,A337)&gt;0,
  ""COLLECTION"",COUNTIF(Collections!A:A,A337)&gt;0,
  ""CRAFTIFACT"",COUNTIF(Craftifacts!A:A,A337)&gt;0,
  ""QUEST"",
   COUNTIF(
 "&amp;"   Quests!A:A,
    REGEXREPLACE(A337,""\.(accepted|finished)$"","""")
   )&gt;0,
  ""TECH"",COUNTIF(Technologies!A:A,A337)&gt;0,
  ""STATE"",COUNTIF(States!A:A,A337)&gt;0,
  FALSE
 )
)"),TRUE)</f>
        <v>1</v>
      </c>
      <c r="P337" s="64" t="str">
        <f t="shared" si="3"/>
        <v>Good</v>
      </c>
      <c r="Q337" s="65"/>
      <c r="R337" s="65"/>
      <c r="S337" s="65"/>
      <c r="T337" s="65"/>
      <c r="U337" s="6"/>
      <c r="V337" s="6" t="str">
        <f>IFERROR(__xludf.DUMMYFUNCTION("""COMPUTED_VALUE"""),"quest.shoguns_katana_chapter_5.finished")</f>
        <v>quest.shoguns_katana_chapter_5.finished</v>
      </c>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row>
    <row r="338" ht="14.25" customHeight="1">
      <c r="A338" s="26" t="str">
        <f t="shared" si="1"/>
        <v>quest.shoguns_katana_chapter_6.accepted</v>
      </c>
      <c r="B338" s="26" t="str">
        <f t="array" ref="B338">_xlfn.XLOOKUP(A338,Targets!A:A,Targets!C:C,"")</f>
        <v>QUEST</v>
      </c>
      <c r="C338" s="64" t="b">
        <f>COUNTIF(Targets!A:A,A338)&gt;0</f>
        <v>1</v>
      </c>
      <c r="D338" s="64" t="b">
        <f>IF(
 OR(
  LEFT(A338,15)="state.character",
  RIGHT(A338,6)=".maxed"
 ),
 TRUE,
 COUNTIF(Checklist!A:A,A338)&gt;0
)</f>
        <v>1</v>
      </c>
      <c r="E338" s="64" t="b">
        <f>IF(
 OR(
  LEFT(A338,15)="state.character",
  RIGHT(A338,6)=".maxed",
  A338="building.guild@1",
  A338="quest.build_the_guild.accepted",
  A338="quest.build_the_pagoda.accepted"
 ),
 TRUE,
 COUNTIF(Dependencies!A:A,A338)&gt;0
)</f>
        <v>1</v>
      </c>
      <c r="F338" s="64" t="b">
        <f>COUNTIF(Dependencies!B:B,A338)&gt;0</f>
        <v>1</v>
      </c>
      <c r="G338" s="64" t="b">
        <f>COUNTIF(QuestObjectives!A:A,A338)&gt;0</f>
        <v>0</v>
      </c>
      <c r="H338" s="64" t="b">
        <f>COUNTIF(QuestObjectives!E:E,A338)&gt;0</f>
        <v>0</v>
      </c>
      <c r="I338" s="64" t="b">
        <f>COUNTIF(TargetStatus!A:A,A338)&gt;0</f>
        <v>1</v>
      </c>
      <c r="J338" s="64" t="b">
        <f>COUNTIF(CostStatus!B:B,A338)&gt;0</f>
        <v>0</v>
      </c>
      <c r="K338" s="64" t="b">
        <f>COUNTIF(States!A:A,A338)&gt;0</f>
        <v>0</v>
      </c>
      <c r="L338" s="64" t="b">
        <f t="shared" si="2"/>
        <v>1</v>
      </c>
      <c r="M338" s="64" t="b">
        <f>IF(A338="","",COUNTIF(Targets!A:A,A338)&gt;1)</f>
        <v>0</v>
      </c>
      <c r="N338" s="64" t="b">
        <f>IF(A338="","",COUNTIF(States!A:A,A338)&gt;1)</f>
        <v>0</v>
      </c>
      <c r="O338" s="64" t="b">
        <f>IFERROR(__xludf.DUMMYFUNCTION("IF(
 B338="""",
 """",
 SWITCH(
  B338,
  ""BUILDING"",COUNTIF(Buildings!A:A,A338)&gt;0,
  ""CITADEL"",COUNTIF(Citadel!A:A,A338)&gt;0,
  ""COLLECTION"",COUNTIF(Collections!A:A,A338)&gt;0,
  ""CRAFTIFACT"",COUNTIF(Craftifacts!A:A,A338)&gt;0,
  ""QUEST"",
   COUNTIF(
 "&amp;"   Quests!A:A,
    REGEXREPLACE(A338,""\.(accepted|finished)$"","""")
   )&gt;0,
  ""TECH"",COUNTIF(Technologies!A:A,A338)&gt;0,
  ""STATE"",COUNTIF(States!A:A,A338)&gt;0,
  FALSE
 )
)"),TRUE)</f>
        <v>1</v>
      </c>
      <c r="P338" s="64" t="str">
        <f t="shared" si="3"/>
        <v>Good</v>
      </c>
      <c r="Q338" s="65"/>
      <c r="R338" s="65"/>
      <c r="S338" s="65"/>
      <c r="T338" s="65"/>
      <c r="U338" s="6"/>
      <c r="V338" s="6" t="str">
        <f>IFERROR(__xludf.DUMMYFUNCTION("""COMPUTED_VALUE"""),"quest.shoguns_katana_chapter_6.accepted")</f>
        <v>quest.shoguns_katana_chapter_6.accepted</v>
      </c>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row>
    <row r="339" ht="14.25" customHeight="1">
      <c r="A339" s="26" t="str">
        <f t="shared" si="1"/>
        <v>quest.shoguns_katana_chapter_6.finished</v>
      </c>
      <c r="B339" s="26" t="str">
        <f t="array" ref="B339">_xlfn.XLOOKUP(A339,Targets!A:A,Targets!C:C,"")</f>
        <v>QUEST</v>
      </c>
      <c r="C339" s="64" t="b">
        <f>COUNTIF(Targets!A:A,A339)&gt;0</f>
        <v>1</v>
      </c>
      <c r="D339" s="64" t="b">
        <f>IF(
 OR(
  LEFT(A339,15)="state.character",
  RIGHT(A339,6)=".maxed"
 ),
 TRUE,
 COUNTIF(Checklist!A:A,A339)&gt;0
)</f>
        <v>1</v>
      </c>
      <c r="E339" s="64" t="b">
        <f>IF(
 OR(
  LEFT(A339,15)="state.character",
  RIGHT(A339,6)=".maxed",
  A339="building.guild@1",
  A339="quest.build_the_guild.accepted",
  A339="quest.build_the_pagoda.accepted"
 ),
 TRUE,
 COUNTIF(Dependencies!A:A,A339)&gt;0
)</f>
        <v>1</v>
      </c>
      <c r="F339" s="64" t="b">
        <f>COUNTIF(Dependencies!B:B,A339)&gt;0</f>
        <v>1</v>
      </c>
      <c r="G339" s="64" t="b">
        <f>COUNTIF(QuestObjectives!A:A,A339)&gt;0</f>
        <v>1</v>
      </c>
      <c r="H339" s="64" t="b">
        <f>COUNTIF(QuestObjectives!E:E,A339)&gt;0</f>
        <v>0</v>
      </c>
      <c r="I339" s="64" t="b">
        <f>COUNTIF(TargetStatus!A:A,A339)&gt;0</f>
        <v>1</v>
      </c>
      <c r="J339" s="64" t="b">
        <f>COUNTIF(CostStatus!B:B,A339)&gt;0</f>
        <v>1</v>
      </c>
      <c r="K339" s="64" t="b">
        <f>COUNTIF(States!A:A,A339)&gt;0</f>
        <v>0</v>
      </c>
      <c r="L339" s="64" t="b">
        <f t="shared" si="2"/>
        <v>1</v>
      </c>
      <c r="M339" s="64" t="b">
        <f>IF(A339="","",COUNTIF(Targets!A:A,A339)&gt;1)</f>
        <v>0</v>
      </c>
      <c r="N339" s="64" t="b">
        <f>IF(A339="","",COUNTIF(States!A:A,A339)&gt;1)</f>
        <v>0</v>
      </c>
      <c r="O339" s="64" t="b">
        <f>IFERROR(__xludf.DUMMYFUNCTION("IF(
 B339="""",
 """",
 SWITCH(
  B339,
  ""BUILDING"",COUNTIF(Buildings!A:A,A339)&gt;0,
  ""CITADEL"",COUNTIF(Citadel!A:A,A339)&gt;0,
  ""COLLECTION"",COUNTIF(Collections!A:A,A339)&gt;0,
  ""CRAFTIFACT"",COUNTIF(Craftifacts!A:A,A339)&gt;0,
  ""QUEST"",
   COUNTIF(
 "&amp;"   Quests!A:A,
    REGEXREPLACE(A339,""\.(accepted|finished)$"","""")
   )&gt;0,
  ""TECH"",COUNTIF(Technologies!A:A,A339)&gt;0,
  ""STATE"",COUNTIF(States!A:A,A339)&gt;0,
  FALSE
 )
)"),TRUE)</f>
        <v>1</v>
      </c>
      <c r="P339" s="64" t="str">
        <f t="shared" si="3"/>
        <v>Good</v>
      </c>
      <c r="Q339" s="65"/>
      <c r="R339" s="65"/>
      <c r="S339" s="65"/>
      <c r="T339" s="65"/>
      <c r="U339" s="6"/>
      <c r="V339" s="6" t="str">
        <f>IFERROR(__xludf.DUMMYFUNCTION("""COMPUTED_VALUE"""),"quest.shoguns_katana_chapter_6.finished")</f>
        <v>quest.shoguns_katana_chapter_6.finished</v>
      </c>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row>
    <row r="340" ht="14.25" customHeight="1">
      <c r="A340" s="26" t="str">
        <f t="shared" si="1"/>
        <v>quest.shoguns_katana_chapter_7.accepted</v>
      </c>
      <c r="B340" s="26" t="str">
        <f t="array" ref="B340">_xlfn.XLOOKUP(A340,Targets!A:A,Targets!C:C,"")</f>
        <v>QUEST</v>
      </c>
      <c r="C340" s="64" t="b">
        <f>COUNTIF(Targets!A:A,A340)&gt;0</f>
        <v>1</v>
      </c>
      <c r="D340" s="64" t="b">
        <f>IF(
 OR(
  LEFT(A340,15)="state.character",
  RIGHT(A340,6)=".maxed"
 ),
 TRUE,
 COUNTIF(Checklist!A:A,A340)&gt;0
)</f>
        <v>1</v>
      </c>
      <c r="E340" s="64" t="b">
        <f>IF(
 OR(
  LEFT(A340,15)="state.character",
  RIGHT(A340,6)=".maxed",
  A340="building.guild@1",
  A340="quest.build_the_guild.accepted",
  A340="quest.build_the_pagoda.accepted"
 ),
 TRUE,
 COUNTIF(Dependencies!A:A,A340)&gt;0
)</f>
        <v>1</v>
      </c>
      <c r="F340" s="64" t="b">
        <f>COUNTIF(Dependencies!B:B,A340)&gt;0</f>
        <v>1</v>
      </c>
      <c r="G340" s="64" t="b">
        <f>COUNTIF(QuestObjectives!A:A,A340)&gt;0</f>
        <v>0</v>
      </c>
      <c r="H340" s="64" t="b">
        <f>COUNTIF(QuestObjectives!E:E,A340)&gt;0</f>
        <v>0</v>
      </c>
      <c r="I340" s="64" t="b">
        <f>COUNTIF(TargetStatus!A:A,A340)&gt;0</f>
        <v>1</v>
      </c>
      <c r="J340" s="64" t="b">
        <f>COUNTIF(CostStatus!B:B,A340)&gt;0</f>
        <v>0</v>
      </c>
      <c r="K340" s="64" t="b">
        <f>COUNTIF(States!A:A,A340)&gt;0</f>
        <v>0</v>
      </c>
      <c r="L340" s="64" t="b">
        <f t="shared" si="2"/>
        <v>1</v>
      </c>
      <c r="M340" s="64" t="b">
        <f>IF(A340="","",COUNTIF(Targets!A:A,A340)&gt;1)</f>
        <v>0</v>
      </c>
      <c r="N340" s="64" t="b">
        <f>IF(A340="","",COUNTIF(States!A:A,A340)&gt;1)</f>
        <v>0</v>
      </c>
      <c r="O340" s="64" t="b">
        <f>IFERROR(__xludf.DUMMYFUNCTION("IF(
 B340="""",
 """",
 SWITCH(
  B340,
  ""BUILDING"",COUNTIF(Buildings!A:A,A340)&gt;0,
  ""CITADEL"",COUNTIF(Citadel!A:A,A340)&gt;0,
  ""COLLECTION"",COUNTIF(Collections!A:A,A340)&gt;0,
  ""CRAFTIFACT"",COUNTIF(Craftifacts!A:A,A340)&gt;0,
  ""QUEST"",
   COUNTIF(
 "&amp;"   Quests!A:A,
    REGEXREPLACE(A340,""\.(accepted|finished)$"","""")
   )&gt;0,
  ""TECH"",COUNTIF(Technologies!A:A,A340)&gt;0,
  ""STATE"",COUNTIF(States!A:A,A340)&gt;0,
  FALSE
 )
)"),TRUE)</f>
        <v>1</v>
      </c>
      <c r="P340" s="64" t="str">
        <f t="shared" si="3"/>
        <v>Good</v>
      </c>
      <c r="Q340" s="65"/>
      <c r="R340" s="65"/>
      <c r="S340" s="65"/>
      <c r="T340" s="65"/>
      <c r="U340" s="6"/>
      <c r="V340" s="6" t="str">
        <f>IFERROR(__xludf.DUMMYFUNCTION("""COMPUTED_VALUE"""),"quest.shoguns_katana_chapter_7.accepted")</f>
        <v>quest.shoguns_katana_chapter_7.accepted</v>
      </c>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row>
    <row r="341" ht="14.25" customHeight="1">
      <c r="A341" s="26" t="str">
        <f t="shared" si="1"/>
        <v>quest.shoguns_katana_chapter_7.finished</v>
      </c>
      <c r="B341" s="26" t="str">
        <f t="array" ref="B341">_xlfn.XLOOKUP(A341,Targets!A:A,Targets!C:C,"")</f>
        <v>QUEST</v>
      </c>
      <c r="C341" s="64" t="b">
        <f>COUNTIF(Targets!A:A,A341)&gt;0</f>
        <v>1</v>
      </c>
      <c r="D341" s="64" t="b">
        <f>IF(
 OR(
  LEFT(A341,15)="state.character",
  RIGHT(A341,6)=".maxed"
 ),
 TRUE,
 COUNTIF(Checklist!A:A,A341)&gt;0
)</f>
        <v>1</v>
      </c>
      <c r="E341" s="64" t="b">
        <f>IF(
 OR(
  LEFT(A341,15)="state.character",
  RIGHT(A341,6)=".maxed",
  A341="building.guild@1",
  A341="quest.build_the_guild.accepted",
  A341="quest.build_the_pagoda.accepted"
 ),
 TRUE,
 COUNTIF(Dependencies!A:A,A341)&gt;0
)</f>
        <v>1</v>
      </c>
      <c r="F341" s="64" t="b">
        <f>COUNTIF(Dependencies!B:B,A341)&gt;0</f>
        <v>1</v>
      </c>
      <c r="G341" s="64" t="b">
        <f>COUNTIF(QuestObjectives!A:A,A341)&gt;0</f>
        <v>1</v>
      </c>
      <c r="H341" s="64" t="b">
        <f>COUNTIF(QuestObjectives!E:E,A341)&gt;0</f>
        <v>0</v>
      </c>
      <c r="I341" s="64" t="b">
        <f>COUNTIF(TargetStatus!A:A,A341)&gt;0</f>
        <v>1</v>
      </c>
      <c r="J341" s="64" t="b">
        <f>COUNTIF(CostStatus!B:B,A341)&gt;0</f>
        <v>1</v>
      </c>
      <c r="K341" s="64" t="b">
        <f>COUNTIF(States!A:A,A341)&gt;0</f>
        <v>0</v>
      </c>
      <c r="L341" s="64" t="b">
        <f t="shared" si="2"/>
        <v>1</v>
      </c>
      <c r="M341" s="64" t="b">
        <f>IF(A341="","",COUNTIF(Targets!A:A,A341)&gt;1)</f>
        <v>0</v>
      </c>
      <c r="N341" s="64" t="b">
        <f>IF(A341="","",COUNTIF(States!A:A,A341)&gt;1)</f>
        <v>0</v>
      </c>
      <c r="O341" s="64" t="b">
        <f>IFERROR(__xludf.DUMMYFUNCTION("IF(
 B341="""",
 """",
 SWITCH(
  B341,
  ""BUILDING"",COUNTIF(Buildings!A:A,A341)&gt;0,
  ""CITADEL"",COUNTIF(Citadel!A:A,A341)&gt;0,
  ""COLLECTION"",COUNTIF(Collections!A:A,A341)&gt;0,
  ""CRAFTIFACT"",COUNTIF(Craftifacts!A:A,A341)&gt;0,
  ""QUEST"",
   COUNTIF(
 "&amp;"   Quests!A:A,
    REGEXREPLACE(A341,""\.(accepted|finished)$"","""")
   )&gt;0,
  ""TECH"",COUNTIF(Technologies!A:A,A341)&gt;0,
  ""STATE"",COUNTIF(States!A:A,A341)&gt;0,
  FALSE
 )
)"),TRUE)</f>
        <v>1</v>
      </c>
      <c r="P341" s="64" t="str">
        <f t="shared" si="3"/>
        <v>Good</v>
      </c>
      <c r="Q341" s="65"/>
      <c r="R341" s="65"/>
      <c r="S341" s="65"/>
      <c r="T341" s="65"/>
      <c r="U341" s="6"/>
      <c r="V341" s="6" t="str">
        <f>IFERROR(__xludf.DUMMYFUNCTION("""COMPUTED_VALUE"""),"quest.shoguns_katana_chapter_7.finished")</f>
        <v>quest.shoguns_katana_chapter_7.finished</v>
      </c>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row>
    <row r="342" ht="14.25" customHeight="1">
      <c r="A342" s="26" t="str">
        <f t="shared" si="1"/>
        <v>quest.silk_road.accepted</v>
      </c>
      <c r="B342" s="26" t="str">
        <f t="array" ref="B342">_xlfn.XLOOKUP(A342,Targets!A:A,Targets!C:C,"")</f>
        <v>QUEST</v>
      </c>
      <c r="C342" s="64" t="b">
        <f>COUNTIF(Targets!A:A,A342)&gt;0</f>
        <v>1</v>
      </c>
      <c r="D342" s="64" t="b">
        <f>IF(
 OR(
  LEFT(A342,15)="state.character",
  RIGHT(A342,6)=".maxed"
 ),
 TRUE,
 COUNTIF(Checklist!A:A,A342)&gt;0
)</f>
        <v>1</v>
      </c>
      <c r="E342" s="64" t="b">
        <f>IF(
 OR(
  LEFT(A342,15)="state.character",
  RIGHT(A342,6)=".maxed",
  A342="building.guild@1",
  A342="quest.build_the_guild.accepted",
  A342="quest.build_the_pagoda.accepted"
 ),
 TRUE,
 COUNTIF(Dependencies!A:A,A342)&gt;0
)</f>
        <v>1</v>
      </c>
      <c r="F342" s="64" t="b">
        <f>COUNTIF(Dependencies!B:B,A342)&gt;0</f>
        <v>1</v>
      </c>
      <c r="G342" s="64" t="b">
        <f>COUNTIF(QuestObjectives!A:A,A342)&gt;0</f>
        <v>0</v>
      </c>
      <c r="H342" s="64" t="b">
        <f>COUNTIF(QuestObjectives!E:E,A342)&gt;0</f>
        <v>0</v>
      </c>
      <c r="I342" s="64" t="b">
        <f>COUNTIF(TargetStatus!A:A,A342)&gt;0</f>
        <v>1</v>
      </c>
      <c r="J342" s="64" t="b">
        <f>COUNTIF(CostStatus!B:B,A342)&gt;0</f>
        <v>0</v>
      </c>
      <c r="K342" s="64" t="b">
        <f>COUNTIF(States!A:A,A342)&gt;0</f>
        <v>0</v>
      </c>
      <c r="L342" s="64" t="b">
        <f t="shared" si="2"/>
        <v>1</v>
      </c>
      <c r="M342" s="64" t="b">
        <f>IF(A342="","",COUNTIF(Targets!A:A,A342)&gt;1)</f>
        <v>0</v>
      </c>
      <c r="N342" s="64" t="b">
        <f>IF(A342="","",COUNTIF(States!A:A,A342)&gt;1)</f>
        <v>0</v>
      </c>
      <c r="O342" s="64" t="b">
        <f>IFERROR(__xludf.DUMMYFUNCTION("IF(
 B342="""",
 """",
 SWITCH(
  B342,
  ""BUILDING"",COUNTIF(Buildings!A:A,A342)&gt;0,
  ""CITADEL"",COUNTIF(Citadel!A:A,A342)&gt;0,
  ""COLLECTION"",COUNTIF(Collections!A:A,A342)&gt;0,
  ""CRAFTIFACT"",COUNTIF(Craftifacts!A:A,A342)&gt;0,
  ""QUEST"",
   COUNTIF(
 "&amp;"   Quests!A:A,
    REGEXREPLACE(A342,""\.(accepted|finished)$"","""")
   )&gt;0,
  ""TECH"",COUNTIF(Technologies!A:A,A342)&gt;0,
  ""STATE"",COUNTIF(States!A:A,A342)&gt;0,
  FALSE
 )
)"),TRUE)</f>
        <v>1</v>
      </c>
      <c r="P342" s="64" t="str">
        <f t="shared" si="3"/>
        <v>Good</v>
      </c>
      <c r="Q342" s="65"/>
      <c r="R342" s="65"/>
      <c r="S342" s="65"/>
      <c r="T342" s="65"/>
      <c r="U342" s="6"/>
      <c r="V342" s="6" t="str">
        <f>IFERROR(__xludf.DUMMYFUNCTION("""COMPUTED_VALUE"""),"quest.silk_road.accepted")</f>
        <v>quest.silk_road.accepted</v>
      </c>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row>
    <row r="343" ht="14.25" customHeight="1">
      <c r="A343" s="26" t="str">
        <f t="shared" si="1"/>
        <v>quest.silk_road.finished</v>
      </c>
      <c r="B343" s="26" t="str">
        <f t="array" ref="B343">_xlfn.XLOOKUP(A343,Targets!A:A,Targets!C:C,"")</f>
        <v>QUEST</v>
      </c>
      <c r="C343" s="64" t="b">
        <f>COUNTIF(Targets!A:A,A343)&gt;0</f>
        <v>1</v>
      </c>
      <c r="D343" s="64" t="b">
        <f>IF(
 OR(
  LEFT(A343,15)="state.character",
  RIGHT(A343,6)=".maxed"
 ),
 TRUE,
 COUNTIF(Checklist!A:A,A343)&gt;0
)</f>
        <v>1</v>
      </c>
      <c r="E343" s="64" t="b">
        <f>IF(
 OR(
  LEFT(A343,15)="state.character",
  RIGHT(A343,6)=".maxed",
  A343="building.guild@1",
  A343="quest.build_the_guild.accepted",
  A343="quest.build_the_pagoda.accepted"
 ),
 TRUE,
 COUNTIF(Dependencies!A:A,A343)&gt;0
)</f>
        <v>1</v>
      </c>
      <c r="F343" s="64" t="b">
        <f>COUNTIF(Dependencies!B:B,A343)&gt;0</f>
        <v>0</v>
      </c>
      <c r="G343" s="64" t="b">
        <f>COUNTIF(QuestObjectives!A:A,A343)&gt;0</f>
        <v>1</v>
      </c>
      <c r="H343" s="64" t="b">
        <f>COUNTIF(QuestObjectives!E:E,A343)&gt;0</f>
        <v>0</v>
      </c>
      <c r="I343" s="64" t="b">
        <f>COUNTIF(TargetStatus!A:A,A343)&gt;0</f>
        <v>1</v>
      </c>
      <c r="J343" s="64" t="b">
        <f>COUNTIF(CostStatus!B:B,A343)&gt;0</f>
        <v>0</v>
      </c>
      <c r="K343" s="64" t="b">
        <f>COUNTIF(States!A:A,A343)&gt;0</f>
        <v>0</v>
      </c>
      <c r="L343" s="64" t="b">
        <f t="shared" si="2"/>
        <v>1</v>
      </c>
      <c r="M343" s="64" t="b">
        <f>IF(A343="","",COUNTIF(Targets!A:A,A343)&gt;1)</f>
        <v>0</v>
      </c>
      <c r="N343" s="64" t="b">
        <f>IF(A343="","",COUNTIF(States!A:A,A343)&gt;1)</f>
        <v>0</v>
      </c>
      <c r="O343" s="64" t="b">
        <f>IFERROR(__xludf.DUMMYFUNCTION("IF(
 B343="""",
 """",
 SWITCH(
  B343,
  ""BUILDING"",COUNTIF(Buildings!A:A,A343)&gt;0,
  ""CITADEL"",COUNTIF(Citadel!A:A,A343)&gt;0,
  ""COLLECTION"",COUNTIF(Collections!A:A,A343)&gt;0,
  ""CRAFTIFACT"",COUNTIF(Craftifacts!A:A,A343)&gt;0,
  ""QUEST"",
   COUNTIF(
 "&amp;"   Quests!A:A,
    REGEXREPLACE(A343,""\.(accepted|finished)$"","""")
   )&gt;0,
  ""TECH"",COUNTIF(Technologies!A:A,A343)&gt;0,
  ""STATE"",COUNTIF(States!A:A,A343)&gt;0,
  FALSE
 )
)"),TRUE)</f>
        <v>1</v>
      </c>
      <c r="P343" s="64" t="str">
        <f t="shared" si="3"/>
        <v>Good</v>
      </c>
      <c r="Q343" s="65"/>
      <c r="R343" s="65"/>
      <c r="S343" s="65"/>
      <c r="T343" s="65"/>
      <c r="U343" s="6"/>
      <c r="V343" s="6" t="str">
        <f>IFERROR(__xludf.DUMMYFUNCTION("""COMPUTED_VALUE"""),"quest.silk_road.finished")</f>
        <v>quest.silk_road.finished</v>
      </c>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row>
    <row r="344" ht="14.25" customHeight="1">
      <c r="A344" s="26" t="str">
        <f t="shared" si="1"/>
        <v>quest.spicy_odyssey.accepted</v>
      </c>
      <c r="B344" s="26" t="str">
        <f t="array" ref="B344">_xlfn.XLOOKUP(A344,Targets!A:A,Targets!C:C,"")</f>
        <v>QUEST</v>
      </c>
      <c r="C344" s="64" t="b">
        <f>COUNTIF(Targets!A:A,A344)&gt;0</f>
        <v>1</v>
      </c>
      <c r="D344" s="64" t="b">
        <f>IF(
 OR(
  LEFT(A344,15)="state.character",
  RIGHT(A344,6)=".maxed"
 ),
 TRUE,
 COUNTIF(Checklist!A:A,A344)&gt;0
)</f>
        <v>1</v>
      </c>
      <c r="E344" s="64" t="b">
        <f>IF(
 OR(
  LEFT(A344,15)="state.character",
  RIGHT(A344,6)=".maxed",
  A344="building.guild@1",
  A344="quest.build_the_guild.accepted",
  A344="quest.build_the_pagoda.accepted"
 ),
 TRUE,
 COUNTIF(Dependencies!A:A,A344)&gt;0
)</f>
        <v>1</v>
      </c>
      <c r="F344" s="64" t="b">
        <f>COUNTIF(Dependencies!B:B,A344)&gt;0</f>
        <v>1</v>
      </c>
      <c r="G344" s="64" t="b">
        <f>COUNTIF(QuestObjectives!A:A,A344)&gt;0</f>
        <v>0</v>
      </c>
      <c r="H344" s="64" t="b">
        <f>COUNTIF(QuestObjectives!E:E,A344)&gt;0</f>
        <v>0</v>
      </c>
      <c r="I344" s="64" t="b">
        <f>COUNTIF(TargetStatus!A:A,A344)&gt;0</f>
        <v>1</v>
      </c>
      <c r="J344" s="64" t="b">
        <f>COUNTIF(CostStatus!B:B,A344)&gt;0</f>
        <v>0</v>
      </c>
      <c r="K344" s="64" t="b">
        <f>COUNTIF(States!A:A,A344)&gt;0</f>
        <v>0</v>
      </c>
      <c r="L344" s="64" t="b">
        <f t="shared" si="2"/>
        <v>1</v>
      </c>
      <c r="M344" s="64" t="b">
        <f>IF(A344="","",COUNTIF(Targets!A:A,A344)&gt;1)</f>
        <v>0</v>
      </c>
      <c r="N344" s="64" t="b">
        <f>IF(A344="","",COUNTIF(States!A:A,A344)&gt;1)</f>
        <v>0</v>
      </c>
      <c r="O344" s="64" t="b">
        <f>IFERROR(__xludf.DUMMYFUNCTION("IF(
 B344="""",
 """",
 SWITCH(
  B344,
  ""BUILDING"",COUNTIF(Buildings!A:A,A344)&gt;0,
  ""CITADEL"",COUNTIF(Citadel!A:A,A344)&gt;0,
  ""COLLECTION"",COUNTIF(Collections!A:A,A344)&gt;0,
  ""CRAFTIFACT"",COUNTIF(Craftifacts!A:A,A344)&gt;0,
  ""QUEST"",
   COUNTIF(
 "&amp;"   Quests!A:A,
    REGEXREPLACE(A344,""\.(accepted|finished)$"","""")
   )&gt;0,
  ""TECH"",COUNTIF(Technologies!A:A,A344)&gt;0,
  ""STATE"",COUNTIF(States!A:A,A344)&gt;0,
  FALSE
 )
)"),TRUE)</f>
        <v>1</v>
      </c>
      <c r="P344" s="64" t="str">
        <f t="shared" si="3"/>
        <v>Good</v>
      </c>
      <c r="Q344" s="65"/>
      <c r="R344" s="65"/>
      <c r="S344" s="65"/>
      <c r="T344" s="65"/>
      <c r="U344" s="6"/>
      <c r="V344" s="6" t="str">
        <f>IFERROR(__xludf.DUMMYFUNCTION("""COMPUTED_VALUE"""),"quest.spicy_odyssey.accepted")</f>
        <v>quest.spicy_odyssey.accepted</v>
      </c>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row>
    <row r="345" ht="14.25" customHeight="1">
      <c r="A345" s="26" t="str">
        <f t="shared" si="1"/>
        <v>quest.spicy_odyssey.finished</v>
      </c>
      <c r="B345" s="26" t="str">
        <f t="array" ref="B345">_xlfn.XLOOKUP(A345,Targets!A:A,Targets!C:C,"")</f>
        <v>QUEST</v>
      </c>
      <c r="C345" s="64" t="b">
        <f>COUNTIF(Targets!A:A,A345)&gt;0</f>
        <v>1</v>
      </c>
      <c r="D345" s="64" t="b">
        <f>IF(
 OR(
  LEFT(A345,15)="state.character",
  RIGHT(A345,6)=".maxed"
 ),
 TRUE,
 COUNTIF(Checklist!A:A,A345)&gt;0
)</f>
        <v>1</v>
      </c>
      <c r="E345" s="64" t="b">
        <f>IF(
 OR(
  LEFT(A345,15)="state.character",
  RIGHT(A345,6)=".maxed",
  A345="building.guild@1",
  A345="quest.build_the_guild.accepted",
  A345="quest.build_the_pagoda.accepted"
 ),
 TRUE,
 COUNTIF(Dependencies!A:A,A345)&gt;0
)</f>
        <v>1</v>
      </c>
      <c r="F345" s="64" t="b">
        <f>COUNTIF(Dependencies!B:B,A345)&gt;0</f>
        <v>1</v>
      </c>
      <c r="G345" s="64" t="b">
        <f>COUNTIF(QuestObjectives!A:A,A345)&gt;0</f>
        <v>1</v>
      </c>
      <c r="H345" s="64" t="b">
        <f>COUNTIF(QuestObjectives!E:E,A345)&gt;0</f>
        <v>0</v>
      </c>
      <c r="I345" s="64" t="b">
        <f>COUNTIF(TargetStatus!A:A,A345)&gt;0</f>
        <v>1</v>
      </c>
      <c r="J345" s="64" t="b">
        <f>COUNTIF(CostStatus!B:B,A345)&gt;0</f>
        <v>0</v>
      </c>
      <c r="K345" s="64" t="b">
        <f>COUNTIF(States!A:A,A345)&gt;0</f>
        <v>0</v>
      </c>
      <c r="L345" s="64" t="b">
        <f t="shared" si="2"/>
        <v>1</v>
      </c>
      <c r="M345" s="64" t="b">
        <f>IF(A345="","",COUNTIF(Targets!A:A,A345)&gt;1)</f>
        <v>0</v>
      </c>
      <c r="N345" s="64" t="b">
        <f>IF(A345="","",COUNTIF(States!A:A,A345)&gt;1)</f>
        <v>0</v>
      </c>
      <c r="O345" s="64" t="b">
        <f>IFERROR(__xludf.DUMMYFUNCTION("IF(
 B345="""",
 """",
 SWITCH(
  B345,
  ""BUILDING"",COUNTIF(Buildings!A:A,A345)&gt;0,
  ""CITADEL"",COUNTIF(Citadel!A:A,A345)&gt;0,
  ""COLLECTION"",COUNTIF(Collections!A:A,A345)&gt;0,
  ""CRAFTIFACT"",COUNTIF(Craftifacts!A:A,A345)&gt;0,
  ""QUEST"",
   COUNTIF(
 "&amp;"   Quests!A:A,
    REGEXREPLACE(A345,""\.(accepted|finished)$"","""")
   )&gt;0,
  ""TECH"",COUNTIF(Technologies!A:A,A345)&gt;0,
  ""STATE"",COUNTIF(States!A:A,A345)&gt;0,
  FALSE
 )
)"),TRUE)</f>
        <v>1</v>
      </c>
      <c r="P345" s="64" t="str">
        <f t="shared" si="3"/>
        <v>Good</v>
      </c>
      <c r="Q345" s="65"/>
      <c r="R345" s="65"/>
      <c r="S345" s="65"/>
      <c r="T345" s="65"/>
      <c r="U345" s="6"/>
      <c r="V345" s="6" t="str">
        <f>IFERROR(__xludf.DUMMYFUNCTION("""COMPUTED_VALUE"""),"quest.spicy_odyssey.finished")</f>
        <v>quest.spicy_odyssey.finished</v>
      </c>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row>
    <row r="346" ht="14.25" customHeight="1">
      <c r="A346" s="26" t="str">
        <f t="shared" si="1"/>
        <v>quest.the_ordinary_days_of_an_adventurer_chapter_1.accepted</v>
      </c>
      <c r="B346" s="26" t="str">
        <f t="array" ref="B346">_xlfn.XLOOKUP(A346,Targets!A:A,Targets!C:C,"")</f>
        <v>QUEST</v>
      </c>
      <c r="C346" s="64" t="b">
        <f>COUNTIF(Targets!A:A,A346)&gt;0</f>
        <v>1</v>
      </c>
      <c r="D346" s="64" t="b">
        <f>IF(
 OR(
  LEFT(A346,15)="state.character",
  RIGHT(A346,6)=".maxed"
 ),
 TRUE,
 COUNTIF(Checklist!A:A,A346)&gt;0
)</f>
        <v>1</v>
      </c>
      <c r="E346" s="64" t="b">
        <f>IF(
 OR(
  LEFT(A346,15)="state.character",
  RIGHT(A346,6)=".maxed",
  A346="building.guild@1",
  A346="quest.build_the_guild.accepted",
  A346="quest.build_the_pagoda.accepted"
 ),
 TRUE,
 COUNTIF(Dependencies!A:A,A346)&gt;0
)</f>
        <v>1</v>
      </c>
      <c r="F346" s="64" t="b">
        <f>COUNTIF(Dependencies!B:B,A346)&gt;0</f>
        <v>1</v>
      </c>
      <c r="G346" s="64" t="b">
        <f>COUNTIF(QuestObjectives!A:A,A346)&gt;0</f>
        <v>0</v>
      </c>
      <c r="H346" s="64" t="b">
        <f>COUNTIF(QuestObjectives!E:E,A346)&gt;0</f>
        <v>0</v>
      </c>
      <c r="I346" s="64" t="b">
        <f>COUNTIF(TargetStatus!A:A,A346)&gt;0</f>
        <v>1</v>
      </c>
      <c r="J346" s="64" t="b">
        <f>COUNTIF(CostStatus!B:B,A346)&gt;0</f>
        <v>0</v>
      </c>
      <c r="K346" s="64" t="b">
        <f>COUNTIF(States!A:A,A346)&gt;0</f>
        <v>0</v>
      </c>
      <c r="L346" s="64" t="b">
        <f t="shared" si="2"/>
        <v>1</v>
      </c>
      <c r="M346" s="64" t="b">
        <f>IF(A346="","",COUNTIF(Targets!A:A,A346)&gt;1)</f>
        <v>0</v>
      </c>
      <c r="N346" s="64" t="b">
        <f>IF(A346="","",COUNTIF(States!A:A,A346)&gt;1)</f>
        <v>0</v>
      </c>
      <c r="O346" s="64" t="b">
        <f>IFERROR(__xludf.DUMMYFUNCTION("IF(
 B346="""",
 """",
 SWITCH(
  B346,
  ""BUILDING"",COUNTIF(Buildings!A:A,A346)&gt;0,
  ""CITADEL"",COUNTIF(Citadel!A:A,A346)&gt;0,
  ""COLLECTION"",COUNTIF(Collections!A:A,A346)&gt;0,
  ""CRAFTIFACT"",COUNTIF(Craftifacts!A:A,A346)&gt;0,
  ""QUEST"",
   COUNTIF(
 "&amp;"   Quests!A:A,
    REGEXREPLACE(A346,""\.(accepted|finished)$"","""")
   )&gt;0,
  ""TECH"",COUNTIF(Technologies!A:A,A346)&gt;0,
  ""STATE"",COUNTIF(States!A:A,A346)&gt;0,
  FALSE
 )
)"),TRUE)</f>
        <v>1</v>
      </c>
      <c r="P346" s="64" t="str">
        <f t="shared" si="3"/>
        <v>Good</v>
      </c>
      <c r="Q346" s="65"/>
      <c r="R346" s="65"/>
      <c r="S346" s="65"/>
      <c r="T346" s="65"/>
      <c r="U346" s="6"/>
      <c r="V346" s="6" t="str">
        <f>IFERROR(__xludf.DUMMYFUNCTION("""COMPUTED_VALUE"""),"quest.the_ordinary_days_of_an_adventurer_chapter_1.accepted")</f>
        <v>quest.the_ordinary_days_of_an_adventurer_chapter_1.accepted</v>
      </c>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row>
    <row r="347" ht="14.25" customHeight="1">
      <c r="A347" s="26" t="str">
        <f t="shared" si="1"/>
        <v>quest.the_ordinary_days_of_an_adventurer_chapter_1.finished</v>
      </c>
      <c r="B347" s="26" t="str">
        <f t="array" ref="B347">_xlfn.XLOOKUP(A347,Targets!A:A,Targets!C:C,"")</f>
        <v>QUEST</v>
      </c>
      <c r="C347" s="64" t="b">
        <f>COUNTIF(Targets!A:A,A347)&gt;0</f>
        <v>1</v>
      </c>
      <c r="D347" s="64" t="b">
        <f>IF(
 OR(
  LEFT(A347,15)="state.character",
  RIGHT(A347,6)=".maxed"
 ),
 TRUE,
 COUNTIF(Checklist!A:A,A347)&gt;0
)</f>
        <v>1</v>
      </c>
      <c r="E347" s="64" t="b">
        <f>IF(
 OR(
  LEFT(A347,15)="state.character",
  RIGHT(A347,6)=".maxed",
  A347="building.guild@1",
  A347="quest.build_the_guild.accepted",
  A347="quest.build_the_pagoda.accepted"
 ),
 TRUE,
 COUNTIF(Dependencies!A:A,A347)&gt;0
)</f>
        <v>1</v>
      </c>
      <c r="F347" s="64" t="b">
        <f>COUNTIF(Dependencies!B:B,A347)&gt;0</f>
        <v>0</v>
      </c>
      <c r="G347" s="64" t="b">
        <f>COUNTIF(QuestObjectives!A:A,A347)&gt;0</f>
        <v>1</v>
      </c>
      <c r="H347" s="64" t="b">
        <f>COUNTIF(QuestObjectives!E:E,A347)&gt;0</f>
        <v>0</v>
      </c>
      <c r="I347" s="64" t="b">
        <f>COUNTIF(TargetStatus!A:A,A347)&gt;0</f>
        <v>1</v>
      </c>
      <c r="J347" s="64" t="b">
        <f>COUNTIF(CostStatus!B:B,A347)&gt;0</f>
        <v>0</v>
      </c>
      <c r="K347" s="64" t="b">
        <f>COUNTIF(States!A:A,A347)&gt;0</f>
        <v>0</v>
      </c>
      <c r="L347" s="64" t="b">
        <f t="shared" si="2"/>
        <v>1</v>
      </c>
      <c r="M347" s="64" t="b">
        <f>IF(A347="","",COUNTIF(Targets!A:A,A347)&gt;1)</f>
        <v>0</v>
      </c>
      <c r="N347" s="64" t="b">
        <f>IF(A347="","",COUNTIF(States!A:A,A347)&gt;1)</f>
        <v>0</v>
      </c>
      <c r="O347" s="64" t="b">
        <f>IFERROR(__xludf.DUMMYFUNCTION("IF(
 B347="""",
 """",
 SWITCH(
  B347,
  ""BUILDING"",COUNTIF(Buildings!A:A,A347)&gt;0,
  ""CITADEL"",COUNTIF(Citadel!A:A,A347)&gt;0,
  ""COLLECTION"",COUNTIF(Collections!A:A,A347)&gt;0,
  ""CRAFTIFACT"",COUNTIF(Craftifacts!A:A,A347)&gt;0,
  ""QUEST"",
   COUNTIF(
 "&amp;"   Quests!A:A,
    REGEXREPLACE(A347,""\.(accepted|finished)$"","""")
   )&gt;0,
  ""TECH"",COUNTIF(Technologies!A:A,A347)&gt;0,
  ""STATE"",COUNTIF(States!A:A,A347)&gt;0,
  FALSE
 )
)"),TRUE)</f>
        <v>1</v>
      </c>
      <c r="P347" s="64" t="str">
        <f t="shared" si="3"/>
        <v>Good</v>
      </c>
      <c r="Q347" s="65"/>
      <c r="R347" s="65"/>
      <c r="S347" s="65"/>
      <c r="T347" s="65"/>
      <c r="U347" s="6"/>
      <c r="V347" s="6" t="str">
        <f>IFERROR(__xludf.DUMMYFUNCTION("""COMPUTED_VALUE"""),"quest.the_ordinary_days_of_an_adventurer_chapter_1.finished")</f>
        <v>quest.the_ordinary_days_of_an_adventurer_chapter_1.finished</v>
      </c>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row>
    <row r="348" ht="14.25" customHeight="1">
      <c r="A348" s="26" t="str">
        <f t="shared" si="1"/>
        <v>quest.the_ordinary_days_of_an_adventurer_chapter_2.accepted</v>
      </c>
      <c r="B348" s="26" t="str">
        <f t="array" ref="B348">_xlfn.XLOOKUP(A348,Targets!A:A,Targets!C:C,"")</f>
        <v>QUEST</v>
      </c>
      <c r="C348" s="64" t="b">
        <f>COUNTIF(Targets!A:A,A348)&gt;0</f>
        <v>1</v>
      </c>
      <c r="D348" s="64" t="b">
        <f>IF(
 OR(
  LEFT(A348,15)="state.character",
  RIGHT(A348,6)=".maxed"
 ),
 TRUE,
 COUNTIF(Checklist!A:A,A348)&gt;0
)</f>
        <v>1</v>
      </c>
      <c r="E348" s="64" t="b">
        <f>IF(
 OR(
  LEFT(A348,15)="state.character",
  RIGHT(A348,6)=".maxed",
  A348="building.guild@1",
  A348="quest.build_the_guild.accepted",
  A348="quest.build_the_pagoda.accepted"
 ),
 TRUE,
 COUNTIF(Dependencies!A:A,A348)&gt;0
)</f>
        <v>1</v>
      </c>
      <c r="F348" s="64" t="b">
        <f>COUNTIF(Dependencies!B:B,A348)&gt;0</f>
        <v>1</v>
      </c>
      <c r="G348" s="64" t="b">
        <f>COUNTIF(QuestObjectives!A:A,A348)&gt;0</f>
        <v>0</v>
      </c>
      <c r="H348" s="64" t="b">
        <f>COUNTIF(QuestObjectives!E:E,A348)&gt;0</f>
        <v>0</v>
      </c>
      <c r="I348" s="64" t="b">
        <f>COUNTIF(TargetStatus!A:A,A348)&gt;0</f>
        <v>1</v>
      </c>
      <c r="J348" s="64" t="b">
        <f>COUNTIF(CostStatus!B:B,A348)&gt;0</f>
        <v>0</v>
      </c>
      <c r="K348" s="64" t="b">
        <f>COUNTIF(States!A:A,A348)&gt;0</f>
        <v>0</v>
      </c>
      <c r="L348" s="64" t="b">
        <f t="shared" si="2"/>
        <v>1</v>
      </c>
      <c r="M348" s="64" t="b">
        <f>IF(A348="","",COUNTIF(Targets!A:A,A348)&gt;1)</f>
        <v>0</v>
      </c>
      <c r="N348" s="64" t="b">
        <f>IF(A348="","",COUNTIF(States!A:A,A348)&gt;1)</f>
        <v>0</v>
      </c>
      <c r="O348" s="64" t="b">
        <f>IFERROR(__xludf.DUMMYFUNCTION("IF(
 B348="""",
 """",
 SWITCH(
  B348,
  ""BUILDING"",COUNTIF(Buildings!A:A,A348)&gt;0,
  ""CITADEL"",COUNTIF(Citadel!A:A,A348)&gt;0,
  ""COLLECTION"",COUNTIF(Collections!A:A,A348)&gt;0,
  ""CRAFTIFACT"",COUNTIF(Craftifacts!A:A,A348)&gt;0,
  ""QUEST"",
   COUNTIF(
 "&amp;"   Quests!A:A,
    REGEXREPLACE(A348,""\.(accepted|finished)$"","""")
   )&gt;0,
  ""TECH"",COUNTIF(Technologies!A:A,A348)&gt;0,
  ""STATE"",COUNTIF(States!A:A,A348)&gt;0,
  FALSE
 )
)"),TRUE)</f>
        <v>1</v>
      </c>
      <c r="P348" s="64" t="str">
        <f t="shared" si="3"/>
        <v>Good</v>
      </c>
      <c r="Q348" s="65"/>
      <c r="R348" s="65"/>
      <c r="S348" s="65"/>
      <c r="T348" s="65"/>
      <c r="U348" s="6"/>
      <c r="V348" s="6" t="str">
        <f>IFERROR(__xludf.DUMMYFUNCTION("""COMPUTED_VALUE"""),"quest.the_ordinary_days_of_an_adventurer_chapter_2.accepted")</f>
        <v>quest.the_ordinary_days_of_an_adventurer_chapter_2.accepted</v>
      </c>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row>
    <row r="349" ht="14.25" customHeight="1">
      <c r="A349" s="26" t="str">
        <f t="shared" si="1"/>
        <v>quest.the_ordinary_days_of_an_adventurer_chapter_2.finished</v>
      </c>
      <c r="B349" s="26" t="str">
        <f t="array" ref="B349">_xlfn.XLOOKUP(A349,Targets!A:A,Targets!C:C,"")</f>
        <v>QUEST</v>
      </c>
      <c r="C349" s="64" t="b">
        <f>COUNTIF(Targets!A:A,A349)&gt;0</f>
        <v>1</v>
      </c>
      <c r="D349" s="64" t="b">
        <f>IF(
 OR(
  LEFT(A349,15)="state.character",
  RIGHT(A349,6)=".maxed"
 ),
 TRUE,
 COUNTIF(Checklist!A:A,A349)&gt;0
)</f>
        <v>1</v>
      </c>
      <c r="E349" s="64" t="b">
        <f>IF(
 OR(
  LEFT(A349,15)="state.character",
  RIGHT(A349,6)=".maxed",
  A349="building.guild@1",
  A349="quest.build_the_guild.accepted",
  A349="quest.build_the_pagoda.accepted"
 ),
 TRUE,
 COUNTIF(Dependencies!A:A,A349)&gt;0
)</f>
        <v>1</v>
      </c>
      <c r="F349" s="64" t="b">
        <f>COUNTIF(Dependencies!B:B,A349)&gt;0</f>
        <v>1</v>
      </c>
      <c r="G349" s="64" t="b">
        <f>COUNTIF(QuestObjectives!A:A,A349)&gt;0</f>
        <v>0</v>
      </c>
      <c r="H349" s="64" t="b">
        <f>COUNTIF(QuestObjectives!E:E,A349)&gt;0</f>
        <v>0</v>
      </c>
      <c r="I349" s="64" t="b">
        <f>COUNTIF(TargetStatus!A:A,A349)&gt;0</f>
        <v>1</v>
      </c>
      <c r="J349" s="64" t="b">
        <f>COUNTIF(CostStatus!B:B,A349)&gt;0</f>
        <v>1</v>
      </c>
      <c r="K349" s="64" t="b">
        <f>COUNTIF(States!A:A,A349)&gt;0</f>
        <v>0</v>
      </c>
      <c r="L349" s="64" t="b">
        <f t="shared" si="2"/>
        <v>1</v>
      </c>
      <c r="M349" s="64" t="b">
        <f>IF(A349="","",COUNTIF(Targets!A:A,A349)&gt;1)</f>
        <v>0</v>
      </c>
      <c r="N349" s="64" t="b">
        <f>IF(A349="","",COUNTIF(States!A:A,A349)&gt;1)</f>
        <v>0</v>
      </c>
      <c r="O349" s="64" t="b">
        <f>IFERROR(__xludf.DUMMYFUNCTION("IF(
 B349="""",
 """",
 SWITCH(
  B349,
  ""BUILDING"",COUNTIF(Buildings!A:A,A349)&gt;0,
  ""CITADEL"",COUNTIF(Citadel!A:A,A349)&gt;0,
  ""COLLECTION"",COUNTIF(Collections!A:A,A349)&gt;0,
  ""CRAFTIFACT"",COUNTIF(Craftifacts!A:A,A349)&gt;0,
  ""QUEST"",
   COUNTIF(
 "&amp;"   Quests!A:A,
    REGEXREPLACE(A349,""\.(accepted|finished)$"","""")
   )&gt;0,
  ""TECH"",COUNTIF(Technologies!A:A,A349)&gt;0,
  ""STATE"",COUNTIF(States!A:A,A349)&gt;0,
  FALSE
 )
)"),TRUE)</f>
        <v>1</v>
      </c>
      <c r="P349" s="64" t="str">
        <f t="shared" si="3"/>
        <v>Good</v>
      </c>
      <c r="Q349" s="65"/>
      <c r="R349" s="65"/>
      <c r="S349" s="65"/>
      <c r="T349" s="65"/>
      <c r="U349" s="6"/>
      <c r="V349" s="6" t="str">
        <f>IFERROR(__xludf.DUMMYFUNCTION("""COMPUTED_VALUE"""),"quest.the_ordinary_days_of_an_adventurer_chapter_2.finished")</f>
        <v>quest.the_ordinary_days_of_an_adventurer_chapter_2.finished</v>
      </c>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row>
    <row r="350" ht="14.25" customHeight="1">
      <c r="A350" s="26" t="str">
        <f t="shared" si="1"/>
        <v>quest.the_ordinary_days_of_an_adventurer_chapter_3.accepted</v>
      </c>
      <c r="B350" s="26" t="str">
        <f t="array" ref="B350">_xlfn.XLOOKUP(A350,Targets!A:A,Targets!C:C,"")</f>
        <v>QUEST</v>
      </c>
      <c r="C350" s="64" t="b">
        <f>COUNTIF(Targets!A:A,A350)&gt;0</f>
        <v>1</v>
      </c>
      <c r="D350" s="64" t="b">
        <f>IF(
 OR(
  LEFT(A350,15)="state.character",
  RIGHT(A350,6)=".maxed"
 ),
 TRUE,
 COUNTIF(Checklist!A:A,A350)&gt;0
)</f>
        <v>1</v>
      </c>
      <c r="E350" s="64" t="b">
        <f>IF(
 OR(
  LEFT(A350,15)="state.character",
  RIGHT(A350,6)=".maxed",
  A350="building.guild@1",
  A350="quest.build_the_guild.accepted",
  A350="quest.build_the_pagoda.accepted"
 ),
 TRUE,
 COUNTIF(Dependencies!A:A,A350)&gt;0
)</f>
        <v>1</v>
      </c>
      <c r="F350" s="64" t="b">
        <f>COUNTIF(Dependencies!B:B,A350)&gt;0</f>
        <v>1</v>
      </c>
      <c r="G350" s="64" t="b">
        <f>COUNTIF(QuestObjectives!A:A,A350)&gt;0</f>
        <v>0</v>
      </c>
      <c r="H350" s="64" t="b">
        <f>COUNTIF(QuestObjectives!E:E,A350)&gt;0</f>
        <v>0</v>
      </c>
      <c r="I350" s="64" t="b">
        <f>COUNTIF(TargetStatus!A:A,A350)&gt;0</f>
        <v>1</v>
      </c>
      <c r="J350" s="64" t="b">
        <f>COUNTIF(CostStatus!B:B,A350)&gt;0</f>
        <v>0</v>
      </c>
      <c r="K350" s="64" t="b">
        <f>COUNTIF(States!A:A,A350)&gt;0</f>
        <v>0</v>
      </c>
      <c r="L350" s="64" t="b">
        <f t="shared" si="2"/>
        <v>1</v>
      </c>
      <c r="M350" s="64" t="b">
        <f>IF(A350="","",COUNTIF(Targets!A:A,A350)&gt;1)</f>
        <v>0</v>
      </c>
      <c r="N350" s="64" t="b">
        <f>IF(A350="","",COUNTIF(States!A:A,A350)&gt;1)</f>
        <v>0</v>
      </c>
      <c r="O350" s="64" t="b">
        <f>IFERROR(__xludf.DUMMYFUNCTION("IF(
 B350="""",
 """",
 SWITCH(
  B350,
  ""BUILDING"",COUNTIF(Buildings!A:A,A350)&gt;0,
  ""CITADEL"",COUNTIF(Citadel!A:A,A350)&gt;0,
  ""COLLECTION"",COUNTIF(Collections!A:A,A350)&gt;0,
  ""CRAFTIFACT"",COUNTIF(Craftifacts!A:A,A350)&gt;0,
  ""QUEST"",
   COUNTIF(
 "&amp;"   Quests!A:A,
    REGEXREPLACE(A350,""\.(accepted|finished)$"","""")
   )&gt;0,
  ""TECH"",COUNTIF(Technologies!A:A,A350)&gt;0,
  ""STATE"",COUNTIF(States!A:A,A350)&gt;0,
  FALSE
 )
)"),TRUE)</f>
        <v>1</v>
      </c>
      <c r="P350" s="64" t="str">
        <f t="shared" si="3"/>
        <v>Good</v>
      </c>
      <c r="Q350" s="65"/>
      <c r="R350" s="65"/>
      <c r="S350" s="65"/>
      <c r="T350" s="65"/>
      <c r="U350" s="6"/>
      <c r="V350" s="6" t="str">
        <f>IFERROR(__xludf.DUMMYFUNCTION("""COMPUTED_VALUE"""),"quest.the_ordinary_days_of_an_adventurer_chapter_3.accepted")</f>
        <v>quest.the_ordinary_days_of_an_adventurer_chapter_3.accepted</v>
      </c>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row>
    <row r="351" ht="14.25" customHeight="1">
      <c r="A351" s="26" t="str">
        <f t="shared" si="1"/>
        <v>quest.the_ordinary_days_of_an_adventurer_chapter_3.finished</v>
      </c>
      <c r="B351" s="26" t="str">
        <f t="array" ref="B351">_xlfn.XLOOKUP(A351,Targets!A:A,Targets!C:C,"")</f>
        <v>QUEST</v>
      </c>
      <c r="C351" s="64" t="b">
        <f>COUNTIF(Targets!A:A,A351)&gt;0</f>
        <v>1</v>
      </c>
      <c r="D351" s="64" t="b">
        <f>IF(
 OR(
  LEFT(A351,15)="state.character",
  RIGHT(A351,6)=".maxed"
 ),
 TRUE,
 COUNTIF(Checklist!A:A,A351)&gt;0
)</f>
        <v>1</v>
      </c>
      <c r="E351" s="64" t="b">
        <f>IF(
 OR(
  LEFT(A351,15)="state.character",
  RIGHT(A351,6)=".maxed",
  A351="building.guild@1",
  A351="quest.build_the_guild.accepted",
  A351="quest.build_the_pagoda.accepted"
 ),
 TRUE,
 COUNTIF(Dependencies!A:A,A351)&gt;0
)</f>
        <v>1</v>
      </c>
      <c r="F351" s="64" t="b">
        <f>COUNTIF(Dependencies!B:B,A351)&gt;0</f>
        <v>1</v>
      </c>
      <c r="G351" s="64" t="b">
        <f>COUNTIF(QuestObjectives!A:A,A351)&gt;0</f>
        <v>1</v>
      </c>
      <c r="H351" s="64" t="b">
        <f>COUNTIF(QuestObjectives!E:E,A351)&gt;0</f>
        <v>0</v>
      </c>
      <c r="I351" s="64" t="b">
        <f>COUNTIF(TargetStatus!A:A,A351)&gt;0</f>
        <v>1</v>
      </c>
      <c r="J351" s="64" t="b">
        <f>COUNTIF(CostStatus!B:B,A351)&gt;0</f>
        <v>0</v>
      </c>
      <c r="K351" s="64" t="b">
        <f>COUNTIF(States!A:A,A351)&gt;0</f>
        <v>0</v>
      </c>
      <c r="L351" s="64" t="b">
        <f t="shared" si="2"/>
        <v>1</v>
      </c>
      <c r="M351" s="64" t="b">
        <f>IF(A351="","",COUNTIF(Targets!A:A,A351)&gt;1)</f>
        <v>0</v>
      </c>
      <c r="N351" s="64" t="b">
        <f>IF(A351="","",COUNTIF(States!A:A,A351)&gt;1)</f>
        <v>0</v>
      </c>
      <c r="O351" s="64" t="b">
        <f>IFERROR(__xludf.DUMMYFUNCTION("IF(
 B351="""",
 """",
 SWITCH(
  B351,
  ""BUILDING"",COUNTIF(Buildings!A:A,A351)&gt;0,
  ""CITADEL"",COUNTIF(Citadel!A:A,A351)&gt;0,
  ""COLLECTION"",COUNTIF(Collections!A:A,A351)&gt;0,
  ""CRAFTIFACT"",COUNTIF(Craftifacts!A:A,A351)&gt;0,
  ""QUEST"",
   COUNTIF(
 "&amp;"   Quests!A:A,
    REGEXREPLACE(A351,""\.(accepted|finished)$"","""")
   )&gt;0,
  ""TECH"",COUNTIF(Technologies!A:A,A351)&gt;0,
  ""STATE"",COUNTIF(States!A:A,A351)&gt;0,
  FALSE
 )
)"),TRUE)</f>
        <v>1</v>
      </c>
      <c r="P351" s="64" t="str">
        <f t="shared" si="3"/>
        <v>Good</v>
      </c>
      <c r="Q351" s="65"/>
      <c r="R351" s="65"/>
      <c r="S351" s="65"/>
      <c r="T351" s="65"/>
      <c r="U351" s="6"/>
      <c r="V351" s="6" t="str">
        <f>IFERROR(__xludf.DUMMYFUNCTION("""COMPUTED_VALUE"""),"quest.the_ordinary_days_of_an_adventurer_chapter_3.finished")</f>
        <v>quest.the_ordinary_days_of_an_adventurer_chapter_3.finished</v>
      </c>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row>
    <row r="352" ht="14.25" customHeight="1">
      <c r="A352" s="26" t="str">
        <f t="shared" si="1"/>
        <v>quest.the_ordinary_days_of_an_adventurer_chapter_4.accepted</v>
      </c>
      <c r="B352" s="26" t="str">
        <f t="array" ref="B352">_xlfn.XLOOKUP(A352,Targets!A:A,Targets!C:C,"")</f>
        <v>QUEST</v>
      </c>
      <c r="C352" s="64" t="b">
        <f>COUNTIF(Targets!A:A,A352)&gt;0</f>
        <v>1</v>
      </c>
      <c r="D352" s="64" t="b">
        <f>IF(
 OR(
  LEFT(A352,15)="state.character",
  RIGHT(A352,6)=".maxed"
 ),
 TRUE,
 COUNTIF(Checklist!A:A,A352)&gt;0
)</f>
        <v>1</v>
      </c>
      <c r="E352" s="64" t="b">
        <f>IF(
 OR(
  LEFT(A352,15)="state.character",
  RIGHT(A352,6)=".maxed",
  A352="building.guild@1",
  A352="quest.build_the_guild.accepted",
  A352="quest.build_the_pagoda.accepted"
 ),
 TRUE,
 COUNTIF(Dependencies!A:A,A352)&gt;0
)</f>
        <v>1</v>
      </c>
      <c r="F352" s="64" t="b">
        <f>COUNTIF(Dependencies!B:B,A352)&gt;0</f>
        <v>1</v>
      </c>
      <c r="G352" s="64" t="b">
        <f>COUNTIF(QuestObjectives!A:A,A352)&gt;0</f>
        <v>0</v>
      </c>
      <c r="H352" s="64" t="b">
        <f>COUNTIF(QuestObjectives!E:E,A352)&gt;0</f>
        <v>0</v>
      </c>
      <c r="I352" s="64" t="b">
        <f>COUNTIF(TargetStatus!A:A,A352)&gt;0</f>
        <v>1</v>
      </c>
      <c r="J352" s="64" t="b">
        <f>COUNTIF(CostStatus!B:B,A352)&gt;0</f>
        <v>0</v>
      </c>
      <c r="K352" s="64" t="b">
        <f>COUNTIF(States!A:A,A352)&gt;0</f>
        <v>0</v>
      </c>
      <c r="L352" s="64" t="b">
        <f t="shared" si="2"/>
        <v>1</v>
      </c>
      <c r="M352" s="64" t="b">
        <f>IF(A352="","",COUNTIF(Targets!A:A,A352)&gt;1)</f>
        <v>0</v>
      </c>
      <c r="N352" s="64" t="b">
        <f>IF(A352="","",COUNTIF(States!A:A,A352)&gt;1)</f>
        <v>0</v>
      </c>
      <c r="O352" s="64" t="b">
        <f>IFERROR(__xludf.DUMMYFUNCTION("IF(
 B352="""",
 """",
 SWITCH(
  B352,
  ""BUILDING"",COUNTIF(Buildings!A:A,A352)&gt;0,
  ""CITADEL"",COUNTIF(Citadel!A:A,A352)&gt;0,
  ""COLLECTION"",COUNTIF(Collections!A:A,A352)&gt;0,
  ""CRAFTIFACT"",COUNTIF(Craftifacts!A:A,A352)&gt;0,
  ""QUEST"",
   COUNTIF(
 "&amp;"   Quests!A:A,
    REGEXREPLACE(A352,""\.(accepted|finished)$"","""")
   )&gt;0,
  ""TECH"",COUNTIF(Technologies!A:A,A352)&gt;0,
  ""STATE"",COUNTIF(States!A:A,A352)&gt;0,
  FALSE
 )
)"),TRUE)</f>
        <v>1</v>
      </c>
      <c r="P352" s="64" t="str">
        <f t="shared" si="3"/>
        <v>Good</v>
      </c>
      <c r="Q352" s="65"/>
      <c r="R352" s="65"/>
      <c r="S352" s="65"/>
      <c r="T352" s="65"/>
      <c r="U352" s="6"/>
      <c r="V352" s="6" t="str">
        <f>IFERROR(__xludf.DUMMYFUNCTION("""COMPUTED_VALUE"""),"quest.the_ordinary_days_of_an_adventurer_chapter_4.accepted")</f>
        <v>quest.the_ordinary_days_of_an_adventurer_chapter_4.accepted</v>
      </c>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row>
    <row r="353" ht="14.25" customHeight="1">
      <c r="A353" s="26" t="str">
        <f t="shared" si="1"/>
        <v>quest.the_ordinary_days_of_an_adventurer_chapter_4.finished</v>
      </c>
      <c r="B353" s="26" t="str">
        <f t="array" ref="B353">_xlfn.XLOOKUP(A353,Targets!A:A,Targets!C:C,"")</f>
        <v>QUEST</v>
      </c>
      <c r="C353" s="64" t="b">
        <f>COUNTIF(Targets!A:A,A353)&gt;0</f>
        <v>1</v>
      </c>
      <c r="D353" s="64" t="b">
        <f>IF(
 OR(
  LEFT(A353,15)="state.character",
  RIGHT(A353,6)=".maxed"
 ),
 TRUE,
 COUNTIF(Checklist!A:A,A353)&gt;0
)</f>
        <v>1</v>
      </c>
      <c r="E353" s="64" t="b">
        <f>IF(
 OR(
  LEFT(A353,15)="state.character",
  RIGHT(A353,6)=".maxed",
  A353="building.guild@1",
  A353="quest.build_the_guild.accepted",
  A353="quest.build_the_pagoda.accepted"
 ),
 TRUE,
 COUNTIF(Dependencies!A:A,A353)&gt;0
)</f>
        <v>1</v>
      </c>
      <c r="F353" s="64" t="b">
        <f>COUNTIF(Dependencies!B:B,A353)&gt;0</f>
        <v>1</v>
      </c>
      <c r="G353" s="64" t="b">
        <f>COUNTIF(QuestObjectives!A:A,A353)&gt;0</f>
        <v>1</v>
      </c>
      <c r="H353" s="64" t="b">
        <f>COUNTIF(QuestObjectives!E:E,A353)&gt;0</f>
        <v>0</v>
      </c>
      <c r="I353" s="64" t="b">
        <f>COUNTIF(TargetStatus!A:A,A353)&gt;0</f>
        <v>1</v>
      </c>
      <c r="J353" s="64" t="b">
        <f>COUNTIF(CostStatus!B:B,A353)&gt;0</f>
        <v>0</v>
      </c>
      <c r="K353" s="64" t="b">
        <f>COUNTIF(States!A:A,A353)&gt;0</f>
        <v>0</v>
      </c>
      <c r="L353" s="64" t="b">
        <f t="shared" si="2"/>
        <v>1</v>
      </c>
      <c r="M353" s="64" t="b">
        <f>IF(A353="","",COUNTIF(Targets!A:A,A353)&gt;1)</f>
        <v>0</v>
      </c>
      <c r="N353" s="64" t="b">
        <f>IF(A353="","",COUNTIF(States!A:A,A353)&gt;1)</f>
        <v>0</v>
      </c>
      <c r="O353" s="64" t="b">
        <f>IFERROR(__xludf.DUMMYFUNCTION("IF(
 B353="""",
 """",
 SWITCH(
  B353,
  ""BUILDING"",COUNTIF(Buildings!A:A,A353)&gt;0,
  ""CITADEL"",COUNTIF(Citadel!A:A,A353)&gt;0,
  ""COLLECTION"",COUNTIF(Collections!A:A,A353)&gt;0,
  ""CRAFTIFACT"",COUNTIF(Craftifacts!A:A,A353)&gt;0,
  ""QUEST"",
   COUNTIF(
 "&amp;"   Quests!A:A,
    REGEXREPLACE(A353,""\.(accepted|finished)$"","""")
   )&gt;0,
  ""TECH"",COUNTIF(Technologies!A:A,A353)&gt;0,
  ""STATE"",COUNTIF(States!A:A,A353)&gt;0,
  FALSE
 )
)"),TRUE)</f>
        <v>1</v>
      </c>
      <c r="P353" s="64" t="str">
        <f t="shared" si="3"/>
        <v>Good</v>
      </c>
      <c r="Q353" s="65"/>
      <c r="R353" s="65"/>
      <c r="S353" s="65"/>
      <c r="T353" s="65"/>
      <c r="U353" s="6"/>
      <c r="V353" s="6" t="str">
        <f>IFERROR(__xludf.DUMMYFUNCTION("""COMPUTED_VALUE"""),"quest.the_ordinary_days_of_an_adventurer_chapter_4.finished")</f>
        <v>quest.the_ordinary_days_of_an_adventurer_chapter_4.finished</v>
      </c>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row>
    <row r="354" ht="14.25" customHeight="1">
      <c r="A354" s="26" t="str">
        <f t="shared" si="1"/>
        <v>quest.the_ordinary_days_of_an_adventurer_chapter_5.accepted</v>
      </c>
      <c r="B354" s="26" t="str">
        <f t="array" ref="B354">_xlfn.XLOOKUP(A354,Targets!A:A,Targets!C:C,"")</f>
        <v>QUEST</v>
      </c>
      <c r="C354" s="64" t="b">
        <f>COUNTIF(Targets!A:A,A354)&gt;0</f>
        <v>1</v>
      </c>
      <c r="D354" s="64" t="b">
        <f>IF(
 OR(
  LEFT(A354,15)="state.character",
  RIGHT(A354,6)=".maxed"
 ),
 TRUE,
 COUNTIF(Checklist!A:A,A354)&gt;0
)</f>
        <v>1</v>
      </c>
      <c r="E354" s="64" t="b">
        <f>IF(
 OR(
  LEFT(A354,15)="state.character",
  RIGHT(A354,6)=".maxed",
  A354="building.guild@1",
  A354="quest.build_the_guild.accepted",
  A354="quest.build_the_pagoda.accepted"
 ),
 TRUE,
 COUNTIF(Dependencies!A:A,A354)&gt;0
)</f>
        <v>1</v>
      </c>
      <c r="F354" s="64" t="b">
        <f>COUNTIF(Dependencies!B:B,A354)&gt;0</f>
        <v>1</v>
      </c>
      <c r="G354" s="64" t="b">
        <f>COUNTIF(QuestObjectives!A:A,A354)&gt;0</f>
        <v>0</v>
      </c>
      <c r="H354" s="64" t="b">
        <f>COUNTIF(QuestObjectives!E:E,A354)&gt;0</f>
        <v>0</v>
      </c>
      <c r="I354" s="64" t="b">
        <f>COUNTIF(TargetStatus!A:A,A354)&gt;0</f>
        <v>1</v>
      </c>
      <c r="J354" s="64" t="b">
        <f>COUNTIF(CostStatus!B:B,A354)&gt;0</f>
        <v>0</v>
      </c>
      <c r="K354" s="64" t="b">
        <f>COUNTIF(States!A:A,A354)&gt;0</f>
        <v>0</v>
      </c>
      <c r="L354" s="64" t="b">
        <f t="shared" si="2"/>
        <v>1</v>
      </c>
      <c r="M354" s="64" t="b">
        <f>IF(A354="","",COUNTIF(Targets!A:A,A354)&gt;1)</f>
        <v>0</v>
      </c>
      <c r="N354" s="64" t="b">
        <f>IF(A354="","",COUNTIF(States!A:A,A354)&gt;1)</f>
        <v>0</v>
      </c>
      <c r="O354" s="64" t="b">
        <f>IFERROR(__xludf.DUMMYFUNCTION("IF(
 B354="""",
 """",
 SWITCH(
  B354,
  ""BUILDING"",COUNTIF(Buildings!A:A,A354)&gt;0,
  ""CITADEL"",COUNTIF(Citadel!A:A,A354)&gt;0,
  ""COLLECTION"",COUNTIF(Collections!A:A,A354)&gt;0,
  ""CRAFTIFACT"",COUNTIF(Craftifacts!A:A,A354)&gt;0,
  ""QUEST"",
   COUNTIF(
 "&amp;"   Quests!A:A,
    REGEXREPLACE(A354,""\.(accepted|finished)$"","""")
   )&gt;0,
  ""TECH"",COUNTIF(Technologies!A:A,A354)&gt;0,
  ""STATE"",COUNTIF(States!A:A,A354)&gt;0,
  FALSE
 )
)"),TRUE)</f>
        <v>1</v>
      </c>
      <c r="P354" s="64" t="str">
        <f t="shared" si="3"/>
        <v>Good</v>
      </c>
      <c r="Q354" s="65"/>
      <c r="R354" s="65"/>
      <c r="S354" s="65"/>
      <c r="T354" s="65"/>
      <c r="U354" s="6"/>
      <c r="V354" s="6" t="str">
        <f>IFERROR(__xludf.DUMMYFUNCTION("""COMPUTED_VALUE"""),"quest.the_ordinary_days_of_an_adventurer_chapter_5.accepted")</f>
        <v>quest.the_ordinary_days_of_an_adventurer_chapter_5.accepted</v>
      </c>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row>
    <row r="355" ht="14.25" customHeight="1">
      <c r="A355" s="26" t="str">
        <f t="shared" si="1"/>
        <v>quest.the_ordinary_days_of_an_adventurer_chapter_5.finished</v>
      </c>
      <c r="B355" s="26" t="str">
        <f t="array" ref="B355">_xlfn.XLOOKUP(A355,Targets!A:A,Targets!C:C,"")</f>
        <v>QUEST</v>
      </c>
      <c r="C355" s="64" t="b">
        <f>COUNTIF(Targets!A:A,A355)&gt;0</f>
        <v>1</v>
      </c>
      <c r="D355" s="64" t="b">
        <f>IF(
 OR(
  LEFT(A355,15)="state.character",
  RIGHT(A355,6)=".maxed"
 ),
 TRUE,
 COUNTIF(Checklist!A:A,A355)&gt;0
)</f>
        <v>1</v>
      </c>
      <c r="E355" s="64" t="b">
        <f>IF(
 OR(
  LEFT(A355,15)="state.character",
  RIGHT(A355,6)=".maxed",
  A355="building.guild@1",
  A355="quest.build_the_guild.accepted",
  A355="quest.build_the_pagoda.accepted"
 ),
 TRUE,
 COUNTIF(Dependencies!A:A,A355)&gt;0
)</f>
        <v>1</v>
      </c>
      <c r="F355" s="64" t="b">
        <f>COUNTIF(Dependencies!B:B,A355)&gt;0</f>
        <v>1</v>
      </c>
      <c r="G355" s="64" t="b">
        <f>COUNTIF(QuestObjectives!A:A,A355)&gt;0</f>
        <v>0</v>
      </c>
      <c r="H355" s="64" t="b">
        <f>COUNTIF(QuestObjectives!E:E,A355)&gt;0</f>
        <v>0</v>
      </c>
      <c r="I355" s="64" t="b">
        <f>COUNTIF(TargetStatus!A:A,A355)&gt;0</f>
        <v>1</v>
      </c>
      <c r="J355" s="64" t="b">
        <f>COUNTIF(CostStatus!B:B,A355)&gt;0</f>
        <v>1</v>
      </c>
      <c r="K355" s="64" t="b">
        <f>COUNTIF(States!A:A,A355)&gt;0</f>
        <v>0</v>
      </c>
      <c r="L355" s="64" t="b">
        <f t="shared" si="2"/>
        <v>1</v>
      </c>
      <c r="M355" s="64" t="b">
        <f>IF(A355="","",COUNTIF(Targets!A:A,A355)&gt;1)</f>
        <v>0</v>
      </c>
      <c r="N355" s="64" t="b">
        <f>IF(A355="","",COUNTIF(States!A:A,A355)&gt;1)</f>
        <v>0</v>
      </c>
      <c r="O355" s="64" t="b">
        <f>IFERROR(__xludf.DUMMYFUNCTION("IF(
 B355="""",
 """",
 SWITCH(
  B355,
  ""BUILDING"",COUNTIF(Buildings!A:A,A355)&gt;0,
  ""CITADEL"",COUNTIF(Citadel!A:A,A355)&gt;0,
  ""COLLECTION"",COUNTIF(Collections!A:A,A355)&gt;0,
  ""CRAFTIFACT"",COUNTIF(Craftifacts!A:A,A355)&gt;0,
  ""QUEST"",
   COUNTIF(
 "&amp;"   Quests!A:A,
    REGEXREPLACE(A355,""\.(accepted|finished)$"","""")
   )&gt;0,
  ""TECH"",COUNTIF(Technologies!A:A,A355)&gt;0,
  ""STATE"",COUNTIF(States!A:A,A355)&gt;0,
  FALSE
 )
)"),TRUE)</f>
        <v>1</v>
      </c>
      <c r="P355" s="64" t="str">
        <f t="shared" si="3"/>
        <v>Good</v>
      </c>
      <c r="Q355" s="65"/>
      <c r="R355" s="65"/>
      <c r="S355" s="65"/>
      <c r="T355" s="65"/>
      <c r="U355" s="6"/>
      <c r="V355" s="6" t="str">
        <f>IFERROR(__xludf.DUMMYFUNCTION("""COMPUTED_VALUE"""),"quest.the_ordinary_days_of_an_adventurer_chapter_5.finished")</f>
        <v>quest.the_ordinary_days_of_an_adventurer_chapter_5.finished</v>
      </c>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row>
    <row r="356" ht="14.25" customHeight="1">
      <c r="A356" s="26" t="str">
        <f t="shared" si="1"/>
        <v>quest.the_ordinary_days_of_an_adventurer_chapter_6.accepted</v>
      </c>
      <c r="B356" s="26" t="str">
        <f t="array" ref="B356">_xlfn.XLOOKUP(A356,Targets!A:A,Targets!C:C,"")</f>
        <v>QUEST</v>
      </c>
      <c r="C356" s="64" t="b">
        <f>COUNTIF(Targets!A:A,A356)&gt;0</f>
        <v>1</v>
      </c>
      <c r="D356" s="64" t="b">
        <f>IF(
 OR(
  LEFT(A356,15)="state.character",
  RIGHT(A356,6)=".maxed"
 ),
 TRUE,
 COUNTIF(Checklist!A:A,A356)&gt;0
)</f>
        <v>1</v>
      </c>
      <c r="E356" s="64" t="b">
        <f>IF(
 OR(
  LEFT(A356,15)="state.character",
  RIGHT(A356,6)=".maxed",
  A356="building.guild@1",
  A356="quest.build_the_guild.accepted",
  A356="quest.build_the_pagoda.accepted"
 ),
 TRUE,
 COUNTIF(Dependencies!A:A,A356)&gt;0
)</f>
        <v>1</v>
      </c>
      <c r="F356" s="64" t="b">
        <f>COUNTIF(Dependencies!B:B,A356)&gt;0</f>
        <v>1</v>
      </c>
      <c r="G356" s="64" t="b">
        <f>COUNTIF(QuestObjectives!A:A,A356)&gt;0</f>
        <v>0</v>
      </c>
      <c r="H356" s="64" t="b">
        <f>COUNTIF(QuestObjectives!E:E,A356)&gt;0</f>
        <v>0</v>
      </c>
      <c r="I356" s="64" t="b">
        <f>COUNTIF(TargetStatus!A:A,A356)&gt;0</f>
        <v>1</v>
      </c>
      <c r="J356" s="64" t="b">
        <f>COUNTIF(CostStatus!B:B,A356)&gt;0</f>
        <v>0</v>
      </c>
      <c r="K356" s="64" t="b">
        <f>COUNTIF(States!A:A,A356)&gt;0</f>
        <v>0</v>
      </c>
      <c r="L356" s="64" t="b">
        <f t="shared" si="2"/>
        <v>1</v>
      </c>
      <c r="M356" s="64" t="b">
        <f>IF(A356="","",COUNTIF(Targets!A:A,A356)&gt;1)</f>
        <v>0</v>
      </c>
      <c r="N356" s="64" t="b">
        <f>IF(A356="","",COUNTIF(States!A:A,A356)&gt;1)</f>
        <v>0</v>
      </c>
      <c r="O356" s="64" t="b">
        <f>IFERROR(__xludf.DUMMYFUNCTION("IF(
 B356="""",
 """",
 SWITCH(
  B356,
  ""BUILDING"",COUNTIF(Buildings!A:A,A356)&gt;0,
  ""CITADEL"",COUNTIF(Citadel!A:A,A356)&gt;0,
  ""COLLECTION"",COUNTIF(Collections!A:A,A356)&gt;0,
  ""CRAFTIFACT"",COUNTIF(Craftifacts!A:A,A356)&gt;0,
  ""QUEST"",
   COUNTIF(
 "&amp;"   Quests!A:A,
    REGEXREPLACE(A356,""\.(accepted|finished)$"","""")
   )&gt;0,
  ""TECH"",COUNTIF(Technologies!A:A,A356)&gt;0,
  ""STATE"",COUNTIF(States!A:A,A356)&gt;0,
  FALSE
 )
)"),TRUE)</f>
        <v>1</v>
      </c>
      <c r="P356" s="64" t="str">
        <f t="shared" si="3"/>
        <v>Good</v>
      </c>
      <c r="Q356" s="65"/>
      <c r="R356" s="65"/>
      <c r="S356" s="65"/>
      <c r="T356" s="65"/>
      <c r="U356" s="6"/>
      <c r="V356" s="6" t="str">
        <f>IFERROR(__xludf.DUMMYFUNCTION("""COMPUTED_VALUE"""),"quest.the_ordinary_days_of_an_adventurer_chapter_6.accepted")</f>
        <v>quest.the_ordinary_days_of_an_adventurer_chapter_6.accepted</v>
      </c>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row>
    <row r="357" ht="14.25" customHeight="1">
      <c r="A357" s="26" t="str">
        <f t="shared" si="1"/>
        <v>quest.the_ordinary_days_of_an_adventurer_chapter_6.finished</v>
      </c>
      <c r="B357" s="26" t="str">
        <f t="array" ref="B357">_xlfn.XLOOKUP(A357,Targets!A:A,Targets!C:C,"")</f>
        <v>QUEST</v>
      </c>
      <c r="C357" s="64" t="b">
        <f>COUNTIF(Targets!A:A,A357)&gt;0</f>
        <v>1</v>
      </c>
      <c r="D357" s="64" t="b">
        <f>IF(
 OR(
  LEFT(A357,15)="state.character",
  RIGHT(A357,6)=".maxed"
 ),
 TRUE,
 COUNTIF(Checklist!A:A,A357)&gt;0
)</f>
        <v>1</v>
      </c>
      <c r="E357" s="64" t="b">
        <f>IF(
 OR(
  LEFT(A357,15)="state.character",
  RIGHT(A357,6)=".maxed",
  A357="building.guild@1",
  A357="quest.build_the_guild.accepted",
  A357="quest.build_the_pagoda.accepted"
 ),
 TRUE,
 COUNTIF(Dependencies!A:A,A357)&gt;0
)</f>
        <v>1</v>
      </c>
      <c r="F357" s="64" t="b">
        <f>COUNTIF(Dependencies!B:B,A357)&gt;0</f>
        <v>1</v>
      </c>
      <c r="G357" s="64" t="b">
        <f>COUNTIF(QuestObjectives!A:A,A357)&gt;0</f>
        <v>1</v>
      </c>
      <c r="H357" s="64" t="b">
        <f>COUNTIF(QuestObjectives!E:E,A357)&gt;0</f>
        <v>0</v>
      </c>
      <c r="I357" s="64" t="b">
        <f>COUNTIF(TargetStatus!A:A,A357)&gt;0</f>
        <v>1</v>
      </c>
      <c r="J357" s="64" t="b">
        <f>COUNTIF(CostStatus!B:B,A357)&gt;0</f>
        <v>1</v>
      </c>
      <c r="K357" s="64" t="b">
        <f>COUNTIF(States!A:A,A357)&gt;0</f>
        <v>0</v>
      </c>
      <c r="L357" s="64" t="b">
        <f t="shared" si="2"/>
        <v>1</v>
      </c>
      <c r="M357" s="64" t="b">
        <f>IF(A357="","",COUNTIF(Targets!A:A,A357)&gt;1)</f>
        <v>0</v>
      </c>
      <c r="N357" s="64" t="b">
        <f>IF(A357="","",COUNTIF(States!A:A,A357)&gt;1)</f>
        <v>0</v>
      </c>
      <c r="O357" s="64" t="b">
        <f>IFERROR(__xludf.DUMMYFUNCTION("IF(
 B357="""",
 """",
 SWITCH(
  B357,
  ""BUILDING"",COUNTIF(Buildings!A:A,A357)&gt;0,
  ""CITADEL"",COUNTIF(Citadel!A:A,A357)&gt;0,
  ""COLLECTION"",COUNTIF(Collections!A:A,A357)&gt;0,
  ""CRAFTIFACT"",COUNTIF(Craftifacts!A:A,A357)&gt;0,
  ""QUEST"",
   COUNTIF(
 "&amp;"   Quests!A:A,
    REGEXREPLACE(A357,""\.(accepted|finished)$"","""")
   )&gt;0,
  ""TECH"",COUNTIF(Technologies!A:A,A357)&gt;0,
  ""STATE"",COUNTIF(States!A:A,A357)&gt;0,
  FALSE
 )
)"),TRUE)</f>
        <v>1</v>
      </c>
      <c r="P357" s="64" t="str">
        <f t="shared" si="3"/>
        <v>Good</v>
      </c>
      <c r="Q357" s="65"/>
      <c r="R357" s="65"/>
      <c r="S357" s="65"/>
      <c r="T357" s="65"/>
      <c r="U357" s="6"/>
      <c r="V357" s="6" t="str">
        <f>IFERROR(__xludf.DUMMYFUNCTION("""COMPUTED_VALUE"""),"quest.the_ordinary_days_of_an_adventurer_chapter_6.finished")</f>
        <v>quest.the_ordinary_days_of_an_adventurer_chapter_6.finished</v>
      </c>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row>
    <row r="358" ht="14.25" customHeight="1">
      <c r="A358" s="26" t="str">
        <f t="shared" si="1"/>
        <v>quest.the_ordinary_days_of_an_adventurer_chapter_7.accepted</v>
      </c>
      <c r="B358" s="26" t="str">
        <f t="array" ref="B358">_xlfn.XLOOKUP(A358,Targets!A:A,Targets!C:C,"")</f>
        <v>QUEST</v>
      </c>
      <c r="C358" s="64" t="b">
        <f>COUNTIF(Targets!A:A,A358)&gt;0</f>
        <v>1</v>
      </c>
      <c r="D358" s="64" t="b">
        <f>IF(
 OR(
  LEFT(A358,15)="state.character",
  RIGHT(A358,6)=".maxed"
 ),
 TRUE,
 COUNTIF(Checklist!A:A,A358)&gt;0
)</f>
        <v>1</v>
      </c>
      <c r="E358" s="64" t="b">
        <f>IF(
 OR(
  LEFT(A358,15)="state.character",
  RIGHT(A358,6)=".maxed",
  A358="building.guild@1",
  A358="quest.build_the_guild.accepted",
  A358="quest.build_the_pagoda.accepted"
 ),
 TRUE,
 COUNTIF(Dependencies!A:A,A358)&gt;0
)</f>
        <v>1</v>
      </c>
      <c r="F358" s="64" t="b">
        <f>COUNTIF(Dependencies!B:B,A358)&gt;0</f>
        <v>1</v>
      </c>
      <c r="G358" s="64" t="b">
        <f>COUNTIF(QuestObjectives!A:A,A358)&gt;0</f>
        <v>0</v>
      </c>
      <c r="H358" s="64" t="b">
        <f>COUNTIF(QuestObjectives!E:E,A358)&gt;0</f>
        <v>0</v>
      </c>
      <c r="I358" s="64" t="b">
        <f>COUNTIF(TargetStatus!A:A,A358)&gt;0</f>
        <v>1</v>
      </c>
      <c r="J358" s="64" t="b">
        <f>COUNTIF(CostStatus!B:B,A358)&gt;0</f>
        <v>0</v>
      </c>
      <c r="K358" s="64" t="b">
        <f>COUNTIF(States!A:A,A358)&gt;0</f>
        <v>0</v>
      </c>
      <c r="L358" s="64" t="b">
        <f t="shared" si="2"/>
        <v>1</v>
      </c>
      <c r="M358" s="64" t="b">
        <f>IF(A358="","",COUNTIF(Targets!A:A,A358)&gt;1)</f>
        <v>0</v>
      </c>
      <c r="N358" s="64" t="b">
        <f>IF(A358="","",COUNTIF(States!A:A,A358)&gt;1)</f>
        <v>0</v>
      </c>
      <c r="O358" s="64" t="b">
        <f>IFERROR(__xludf.DUMMYFUNCTION("IF(
 B358="""",
 """",
 SWITCH(
  B358,
  ""BUILDING"",COUNTIF(Buildings!A:A,A358)&gt;0,
  ""CITADEL"",COUNTIF(Citadel!A:A,A358)&gt;0,
  ""COLLECTION"",COUNTIF(Collections!A:A,A358)&gt;0,
  ""CRAFTIFACT"",COUNTIF(Craftifacts!A:A,A358)&gt;0,
  ""QUEST"",
   COUNTIF(
 "&amp;"   Quests!A:A,
    REGEXREPLACE(A358,""\.(accepted|finished)$"","""")
   )&gt;0,
  ""TECH"",COUNTIF(Technologies!A:A,A358)&gt;0,
  ""STATE"",COUNTIF(States!A:A,A358)&gt;0,
  FALSE
 )
)"),TRUE)</f>
        <v>1</v>
      </c>
      <c r="P358" s="64" t="str">
        <f t="shared" si="3"/>
        <v>Good</v>
      </c>
      <c r="Q358" s="65"/>
      <c r="R358" s="65"/>
      <c r="S358" s="65"/>
      <c r="T358" s="65"/>
      <c r="U358" s="6"/>
      <c r="V358" s="6" t="str">
        <f>IFERROR(__xludf.DUMMYFUNCTION("""COMPUTED_VALUE"""),"quest.the_ordinary_days_of_an_adventurer_chapter_7.accepted")</f>
        <v>quest.the_ordinary_days_of_an_adventurer_chapter_7.accepted</v>
      </c>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row>
    <row r="359" ht="14.25" customHeight="1">
      <c r="A359" s="26" t="str">
        <f t="shared" si="1"/>
        <v>quest.the_ordinary_days_of_an_adventurer_chapter_7.finished</v>
      </c>
      <c r="B359" s="26" t="str">
        <f t="array" ref="B359">_xlfn.XLOOKUP(A359,Targets!A:A,Targets!C:C,"")</f>
        <v>QUEST</v>
      </c>
      <c r="C359" s="64" t="b">
        <f>COUNTIF(Targets!A:A,A359)&gt;0</f>
        <v>1</v>
      </c>
      <c r="D359" s="64" t="b">
        <f>IF(
 OR(
  LEFT(A359,15)="state.character",
  RIGHT(A359,6)=".maxed"
 ),
 TRUE,
 COUNTIF(Checklist!A:A,A359)&gt;0
)</f>
        <v>1</v>
      </c>
      <c r="E359" s="64" t="b">
        <f>IF(
 OR(
  LEFT(A359,15)="state.character",
  RIGHT(A359,6)=".maxed",
  A359="building.guild@1",
  A359="quest.build_the_guild.accepted",
  A359="quest.build_the_pagoda.accepted"
 ),
 TRUE,
 COUNTIF(Dependencies!A:A,A359)&gt;0
)</f>
        <v>1</v>
      </c>
      <c r="F359" s="64" t="b">
        <f>COUNTIF(Dependencies!B:B,A359)&gt;0</f>
        <v>1</v>
      </c>
      <c r="G359" s="64" t="b">
        <f>COUNTIF(QuestObjectives!A:A,A359)&gt;0</f>
        <v>1</v>
      </c>
      <c r="H359" s="64" t="b">
        <f>COUNTIF(QuestObjectives!E:E,A359)&gt;0</f>
        <v>0</v>
      </c>
      <c r="I359" s="64" t="b">
        <f>COUNTIF(TargetStatus!A:A,A359)&gt;0</f>
        <v>1</v>
      </c>
      <c r="J359" s="64" t="b">
        <f>COUNTIF(CostStatus!B:B,A359)&gt;0</f>
        <v>0</v>
      </c>
      <c r="K359" s="64" t="b">
        <f>COUNTIF(States!A:A,A359)&gt;0</f>
        <v>0</v>
      </c>
      <c r="L359" s="64" t="b">
        <f t="shared" si="2"/>
        <v>1</v>
      </c>
      <c r="M359" s="64" t="b">
        <f>IF(A359="","",COUNTIF(Targets!A:A,A359)&gt;1)</f>
        <v>0</v>
      </c>
      <c r="N359" s="64" t="b">
        <f>IF(A359="","",COUNTIF(States!A:A,A359)&gt;1)</f>
        <v>0</v>
      </c>
      <c r="O359" s="64" t="b">
        <f>IFERROR(__xludf.DUMMYFUNCTION("IF(
 B359="""",
 """",
 SWITCH(
  B359,
  ""BUILDING"",COUNTIF(Buildings!A:A,A359)&gt;0,
  ""CITADEL"",COUNTIF(Citadel!A:A,A359)&gt;0,
  ""COLLECTION"",COUNTIF(Collections!A:A,A359)&gt;0,
  ""CRAFTIFACT"",COUNTIF(Craftifacts!A:A,A359)&gt;0,
  ""QUEST"",
   COUNTIF(
 "&amp;"   Quests!A:A,
    REGEXREPLACE(A359,""\.(accepted|finished)$"","""")
   )&gt;0,
  ""TECH"",COUNTIF(Technologies!A:A,A359)&gt;0,
  ""STATE"",COUNTIF(States!A:A,A359)&gt;0,
  FALSE
 )
)"),TRUE)</f>
        <v>1</v>
      </c>
      <c r="P359" s="64" t="str">
        <f t="shared" si="3"/>
        <v>Good</v>
      </c>
      <c r="Q359" s="65"/>
      <c r="R359" s="65"/>
      <c r="S359" s="65"/>
      <c r="T359" s="65"/>
      <c r="U359" s="6"/>
      <c r="V359" s="6" t="str">
        <f>IFERROR(__xludf.DUMMYFUNCTION("""COMPUTED_VALUE"""),"quest.the_ordinary_days_of_an_adventurer_chapter_7.finished")</f>
        <v>quest.the_ordinary_days_of_an_adventurer_chapter_7.finished</v>
      </c>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row>
    <row r="360" ht="14.25" customHeight="1">
      <c r="A360" s="26" t="str">
        <f t="shared" si="1"/>
        <v>quest.the_ordinary_days_of_an_adventurer_chapter_8.accepted</v>
      </c>
      <c r="B360" s="26" t="str">
        <f t="array" ref="B360">_xlfn.XLOOKUP(A360,Targets!A:A,Targets!C:C,"")</f>
        <v>QUEST</v>
      </c>
      <c r="C360" s="64" t="b">
        <f>COUNTIF(Targets!A:A,A360)&gt;0</f>
        <v>1</v>
      </c>
      <c r="D360" s="64" t="b">
        <f>IF(
 OR(
  LEFT(A360,15)="state.character",
  RIGHT(A360,6)=".maxed"
 ),
 TRUE,
 COUNTIF(Checklist!A:A,A360)&gt;0
)</f>
        <v>1</v>
      </c>
      <c r="E360" s="64" t="b">
        <f>IF(
 OR(
  LEFT(A360,15)="state.character",
  RIGHT(A360,6)=".maxed",
  A360="building.guild@1",
  A360="quest.build_the_guild.accepted",
  A360="quest.build_the_pagoda.accepted"
 ),
 TRUE,
 COUNTIF(Dependencies!A:A,A360)&gt;0
)</f>
        <v>1</v>
      </c>
      <c r="F360" s="64" t="b">
        <f>COUNTIF(Dependencies!B:B,A360)&gt;0</f>
        <v>1</v>
      </c>
      <c r="G360" s="64" t="b">
        <f>COUNTIF(QuestObjectives!A:A,A360)&gt;0</f>
        <v>0</v>
      </c>
      <c r="H360" s="64" t="b">
        <f>COUNTIF(QuestObjectives!E:E,A360)&gt;0</f>
        <v>0</v>
      </c>
      <c r="I360" s="64" t="b">
        <f>COUNTIF(TargetStatus!A:A,A360)&gt;0</f>
        <v>1</v>
      </c>
      <c r="J360" s="64" t="b">
        <f>COUNTIF(CostStatus!B:B,A360)&gt;0</f>
        <v>0</v>
      </c>
      <c r="K360" s="64" t="b">
        <f>COUNTIF(States!A:A,A360)&gt;0</f>
        <v>0</v>
      </c>
      <c r="L360" s="64" t="b">
        <f t="shared" si="2"/>
        <v>1</v>
      </c>
      <c r="M360" s="64" t="b">
        <f>IF(A360="","",COUNTIF(Targets!A:A,A360)&gt;1)</f>
        <v>0</v>
      </c>
      <c r="N360" s="64" t="b">
        <f>IF(A360="","",COUNTIF(States!A:A,A360)&gt;1)</f>
        <v>0</v>
      </c>
      <c r="O360" s="64" t="b">
        <f>IFERROR(__xludf.DUMMYFUNCTION("IF(
 B360="""",
 """",
 SWITCH(
  B360,
  ""BUILDING"",COUNTIF(Buildings!A:A,A360)&gt;0,
  ""CITADEL"",COUNTIF(Citadel!A:A,A360)&gt;0,
  ""COLLECTION"",COUNTIF(Collections!A:A,A360)&gt;0,
  ""CRAFTIFACT"",COUNTIF(Craftifacts!A:A,A360)&gt;0,
  ""QUEST"",
   COUNTIF(
 "&amp;"   Quests!A:A,
    REGEXREPLACE(A360,""\.(accepted|finished)$"","""")
   )&gt;0,
  ""TECH"",COUNTIF(Technologies!A:A,A360)&gt;0,
  ""STATE"",COUNTIF(States!A:A,A360)&gt;0,
  FALSE
 )
)"),TRUE)</f>
        <v>1</v>
      </c>
      <c r="P360" s="64" t="str">
        <f t="shared" si="3"/>
        <v>Good</v>
      </c>
      <c r="Q360" s="65"/>
      <c r="R360" s="65"/>
      <c r="S360" s="65"/>
      <c r="T360" s="65"/>
      <c r="U360" s="6"/>
      <c r="V360" s="6" t="str">
        <f>IFERROR(__xludf.DUMMYFUNCTION("""COMPUTED_VALUE"""),"quest.the_ordinary_days_of_an_adventurer_chapter_8.accepted")</f>
        <v>quest.the_ordinary_days_of_an_adventurer_chapter_8.accepted</v>
      </c>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row>
    <row r="361" ht="14.25" customHeight="1">
      <c r="A361" s="26" t="str">
        <f t="shared" si="1"/>
        <v>quest.the_ordinary_days_of_an_adventurer_chapter_8.finished</v>
      </c>
      <c r="B361" s="26" t="str">
        <f t="array" ref="B361">_xlfn.XLOOKUP(A361,Targets!A:A,Targets!C:C,"")</f>
        <v>QUEST</v>
      </c>
      <c r="C361" s="64" t="b">
        <f>COUNTIF(Targets!A:A,A361)&gt;0</f>
        <v>1</v>
      </c>
      <c r="D361" s="64" t="b">
        <f>IF(
 OR(
  LEFT(A361,15)="state.character",
  RIGHT(A361,6)=".maxed"
 ),
 TRUE,
 COUNTIF(Checklist!A:A,A361)&gt;0
)</f>
        <v>1</v>
      </c>
      <c r="E361" s="64" t="b">
        <f>IF(
 OR(
  LEFT(A361,15)="state.character",
  RIGHT(A361,6)=".maxed",
  A361="building.guild@1",
  A361="quest.build_the_guild.accepted",
  A361="quest.build_the_pagoda.accepted"
 ),
 TRUE,
 COUNTIF(Dependencies!A:A,A361)&gt;0
)</f>
        <v>1</v>
      </c>
      <c r="F361" s="64" t="b">
        <f>COUNTIF(Dependencies!B:B,A361)&gt;0</f>
        <v>1</v>
      </c>
      <c r="G361" s="64" t="b">
        <f>COUNTIF(QuestObjectives!A:A,A361)&gt;0</f>
        <v>1</v>
      </c>
      <c r="H361" s="64" t="b">
        <f>COUNTIF(QuestObjectives!E:E,A361)&gt;0</f>
        <v>0</v>
      </c>
      <c r="I361" s="64" t="b">
        <f>COUNTIF(TargetStatus!A:A,A361)&gt;0</f>
        <v>1</v>
      </c>
      <c r="J361" s="64" t="b">
        <f>COUNTIF(CostStatus!B:B,A361)&gt;0</f>
        <v>0</v>
      </c>
      <c r="K361" s="64" t="b">
        <f>COUNTIF(States!A:A,A361)&gt;0</f>
        <v>0</v>
      </c>
      <c r="L361" s="64" t="b">
        <f t="shared" si="2"/>
        <v>1</v>
      </c>
      <c r="M361" s="64" t="b">
        <f>IF(A361="","",COUNTIF(Targets!A:A,A361)&gt;1)</f>
        <v>0</v>
      </c>
      <c r="N361" s="64" t="b">
        <f>IF(A361="","",COUNTIF(States!A:A,A361)&gt;1)</f>
        <v>0</v>
      </c>
      <c r="O361" s="64" t="b">
        <f>IFERROR(__xludf.DUMMYFUNCTION("IF(
 B361="""",
 """",
 SWITCH(
  B361,
  ""BUILDING"",COUNTIF(Buildings!A:A,A361)&gt;0,
  ""CITADEL"",COUNTIF(Citadel!A:A,A361)&gt;0,
  ""COLLECTION"",COUNTIF(Collections!A:A,A361)&gt;0,
  ""CRAFTIFACT"",COUNTIF(Craftifacts!A:A,A361)&gt;0,
  ""QUEST"",
   COUNTIF(
 "&amp;"   Quests!A:A,
    REGEXREPLACE(A361,""\.(accepted|finished)$"","""")
   )&gt;0,
  ""TECH"",COUNTIF(Technologies!A:A,A361)&gt;0,
  ""STATE"",COUNTIF(States!A:A,A361)&gt;0,
  FALSE
 )
)"),TRUE)</f>
        <v>1</v>
      </c>
      <c r="P361" s="64" t="str">
        <f t="shared" si="3"/>
        <v>Good</v>
      </c>
      <c r="Q361" s="65"/>
      <c r="R361" s="65"/>
      <c r="S361" s="65"/>
      <c r="T361" s="65"/>
      <c r="U361" s="6"/>
      <c r="V361" s="6" t="str">
        <f>IFERROR(__xludf.DUMMYFUNCTION("""COMPUTED_VALUE"""),"quest.the_ordinary_days_of_an_adventurer_chapter_8.finished")</f>
        <v>quest.the_ordinary_days_of_an_adventurer_chapter_8.finished</v>
      </c>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row>
    <row r="362" ht="14.25" customHeight="1">
      <c r="A362" s="26" t="str">
        <f t="shared" si="1"/>
        <v>quest.the_ring_of_the_dark_lady.accepted</v>
      </c>
      <c r="B362" s="26" t="str">
        <f t="array" ref="B362">_xlfn.XLOOKUP(A362,Targets!A:A,Targets!C:C,"")</f>
        <v>QUEST</v>
      </c>
      <c r="C362" s="64" t="b">
        <f>COUNTIF(Targets!A:A,A362)&gt;0</f>
        <v>1</v>
      </c>
      <c r="D362" s="64" t="b">
        <f>IF(
 OR(
  LEFT(A362,15)="state.character",
  RIGHT(A362,6)=".maxed"
 ),
 TRUE,
 COUNTIF(Checklist!A:A,A362)&gt;0
)</f>
        <v>1</v>
      </c>
      <c r="E362" s="64" t="b">
        <f>IF(
 OR(
  LEFT(A362,15)="state.character",
  RIGHT(A362,6)=".maxed",
  A362="building.guild@1",
  A362="quest.build_the_guild.accepted",
  A362="quest.build_the_pagoda.accepted"
 ),
 TRUE,
 COUNTIF(Dependencies!A:A,A362)&gt;0
)</f>
        <v>1</v>
      </c>
      <c r="F362" s="64" t="b">
        <f>COUNTIF(Dependencies!B:B,A362)&gt;0</f>
        <v>1</v>
      </c>
      <c r="G362" s="64" t="b">
        <f>COUNTIF(QuestObjectives!A:A,A362)&gt;0</f>
        <v>0</v>
      </c>
      <c r="H362" s="64" t="b">
        <f>COUNTIF(QuestObjectives!E:E,A362)&gt;0</f>
        <v>0</v>
      </c>
      <c r="I362" s="64" t="b">
        <f>COUNTIF(TargetStatus!A:A,A362)&gt;0</f>
        <v>1</v>
      </c>
      <c r="J362" s="64" t="b">
        <f>COUNTIF(CostStatus!B:B,A362)&gt;0</f>
        <v>0</v>
      </c>
      <c r="K362" s="64" t="b">
        <f>COUNTIF(States!A:A,A362)&gt;0</f>
        <v>0</v>
      </c>
      <c r="L362" s="64" t="b">
        <f t="shared" si="2"/>
        <v>1</v>
      </c>
      <c r="M362" s="64" t="b">
        <f>IF(A362="","",COUNTIF(Targets!A:A,A362)&gt;1)</f>
        <v>0</v>
      </c>
      <c r="N362" s="64" t="b">
        <f>IF(A362="","",COUNTIF(States!A:A,A362)&gt;1)</f>
        <v>0</v>
      </c>
      <c r="O362" s="64" t="b">
        <f>IFERROR(__xludf.DUMMYFUNCTION("IF(
 B362="""",
 """",
 SWITCH(
  B362,
  ""BUILDING"",COUNTIF(Buildings!A:A,A362)&gt;0,
  ""CITADEL"",COUNTIF(Citadel!A:A,A362)&gt;0,
  ""COLLECTION"",COUNTIF(Collections!A:A,A362)&gt;0,
  ""CRAFTIFACT"",COUNTIF(Craftifacts!A:A,A362)&gt;0,
  ""QUEST"",
   COUNTIF(
 "&amp;"   Quests!A:A,
    REGEXREPLACE(A362,""\.(accepted|finished)$"","""")
   )&gt;0,
  ""TECH"",COUNTIF(Technologies!A:A,A362)&gt;0,
  ""STATE"",COUNTIF(States!A:A,A362)&gt;0,
  FALSE
 )
)"),TRUE)</f>
        <v>1</v>
      </c>
      <c r="P362" s="64" t="str">
        <f t="shared" si="3"/>
        <v>Good</v>
      </c>
      <c r="Q362" s="65"/>
      <c r="R362" s="65"/>
      <c r="S362" s="65"/>
      <c r="T362" s="65"/>
      <c r="U362" s="6"/>
      <c r="V362" s="6" t="str">
        <f>IFERROR(__xludf.DUMMYFUNCTION("""COMPUTED_VALUE"""),"quest.the_ring_of_the_dark_lady.accepted")</f>
        <v>quest.the_ring_of_the_dark_lady.accepted</v>
      </c>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row>
    <row r="363" ht="14.25" customHeight="1">
      <c r="A363" s="26" t="str">
        <f t="shared" si="1"/>
        <v>quest.the_ring_of_the_dark_lady.finished</v>
      </c>
      <c r="B363" s="26" t="str">
        <f t="array" ref="B363">_xlfn.XLOOKUP(A363,Targets!A:A,Targets!C:C,"")</f>
        <v>QUEST</v>
      </c>
      <c r="C363" s="64" t="b">
        <f>COUNTIF(Targets!A:A,A363)&gt;0</f>
        <v>1</v>
      </c>
      <c r="D363" s="64" t="b">
        <f>IF(
 OR(
  LEFT(A363,15)="state.character",
  RIGHT(A363,6)=".maxed"
 ),
 TRUE,
 COUNTIF(Checklist!A:A,A363)&gt;0
)</f>
        <v>1</v>
      </c>
      <c r="E363" s="64" t="b">
        <f>IF(
 OR(
  LEFT(A363,15)="state.character",
  RIGHT(A363,6)=".maxed",
  A363="building.guild@1",
  A363="quest.build_the_guild.accepted",
  A363="quest.build_the_pagoda.accepted"
 ),
 TRUE,
 COUNTIF(Dependencies!A:A,A363)&gt;0
)</f>
        <v>1</v>
      </c>
      <c r="F363" s="64" t="b">
        <f>COUNTIF(Dependencies!B:B,A363)&gt;0</f>
        <v>1</v>
      </c>
      <c r="G363" s="64" t="b">
        <f>COUNTIF(QuestObjectives!A:A,A363)&gt;0</f>
        <v>1</v>
      </c>
      <c r="H363" s="64" t="b">
        <f>COUNTIF(QuestObjectives!E:E,A363)&gt;0</f>
        <v>0</v>
      </c>
      <c r="I363" s="64" t="b">
        <f>COUNTIF(TargetStatus!A:A,A363)&gt;0</f>
        <v>1</v>
      </c>
      <c r="J363" s="64" t="b">
        <f>COUNTIF(CostStatus!B:B,A363)&gt;0</f>
        <v>0</v>
      </c>
      <c r="K363" s="64" t="b">
        <f>COUNTIF(States!A:A,A363)&gt;0</f>
        <v>0</v>
      </c>
      <c r="L363" s="64" t="b">
        <f t="shared" si="2"/>
        <v>1</v>
      </c>
      <c r="M363" s="64" t="b">
        <f>IF(A363="","",COUNTIF(Targets!A:A,A363)&gt;1)</f>
        <v>0</v>
      </c>
      <c r="N363" s="64" t="b">
        <f>IF(A363="","",COUNTIF(States!A:A,A363)&gt;1)</f>
        <v>0</v>
      </c>
      <c r="O363" s="64" t="b">
        <f>IFERROR(__xludf.DUMMYFUNCTION("IF(
 B363="""",
 """",
 SWITCH(
  B363,
  ""BUILDING"",COUNTIF(Buildings!A:A,A363)&gt;0,
  ""CITADEL"",COUNTIF(Citadel!A:A,A363)&gt;0,
  ""COLLECTION"",COUNTIF(Collections!A:A,A363)&gt;0,
  ""CRAFTIFACT"",COUNTIF(Craftifacts!A:A,A363)&gt;0,
  ""QUEST"",
   COUNTIF(
 "&amp;"   Quests!A:A,
    REGEXREPLACE(A363,""\.(accepted|finished)$"","""")
   )&gt;0,
  ""TECH"",COUNTIF(Technologies!A:A,A363)&gt;0,
  ""STATE"",COUNTIF(States!A:A,A363)&gt;0,
  FALSE
 )
)"),TRUE)</f>
        <v>1</v>
      </c>
      <c r="P363" s="64" t="str">
        <f t="shared" si="3"/>
        <v>Good</v>
      </c>
      <c r="Q363" s="65"/>
      <c r="R363" s="65"/>
      <c r="S363" s="65"/>
      <c r="T363" s="65"/>
      <c r="U363" s="6"/>
      <c r="V363" s="6" t="str">
        <f>IFERROR(__xludf.DUMMYFUNCTION("""COMPUTED_VALUE"""),"quest.the_ring_of_the_dark_lady.finished")</f>
        <v>quest.the_ring_of_the_dark_lady.finished</v>
      </c>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row>
    <row r="364" ht="14.25" customHeight="1">
      <c r="A364" s="26" t="str">
        <f t="shared" si="1"/>
        <v>quest.treasure_island.accepted</v>
      </c>
      <c r="B364" s="26" t="str">
        <f t="array" ref="B364">_xlfn.XLOOKUP(A364,Targets!A:A,Targets!C:C,"")</f>
        <v>QUEST</v>
      </c>
      <c r="C364" s="64" t="b">
        <f>COUNTIF(Targets!A:A,A364)&gt;0</f>
        <v>1</v>
      </c>
      <c r="D364" s="64" t="b">
        <f>IF(
 OR(
  LEFT(A364,15)="state.character",
  RIGHT(A364,6)=".maxed"
 ),
 TRUE,
 COUNTIF(Checklist!A:A,A364)&gt;0
)</f>
        <v>1</v>
      </c>
      <c r="E364" s="64" t="b">
        <f>IF(
 OR(
  LEFT(A364,15)="state.character",
  RIGHT(A364,6)=".maxed",
  A364="building.guild@1",
  A364="quest.build_the_guild.accepted",
  A364="quest.build_the_pagoda.accepted"
 ),
 TRUE,
 COUNTIF(Dependencies!A:A,A364)&gt;0
)</f>
        <v>1</v>
      </c>
      <c r="F364" s="64" t="b">
        <f>COUNTIF(Dependencies!B:B,A364)&gt;0</f>
        <v>1</v>
      </c>
      <c r="G364" s="64" t="b">
        <f>COUNTIF(QuestObjectives!A:A,A364)&gt;0</f>
        <v>0</v>
      </c>
      <c r="H364" s="64" t="b">
        <f>COUNTIF(QuestObjectives!E:E,A364)&gt;0</f>
        <v>0</v>
      </c>
      <c r="I364" s="64" t="b">
        <f>COUNTIF(TargetStatus!A:A,A364)&gt;0</f>
        <v>1</v>
      </c>
      <c r="J364" s="64" t="b">
        <f>COUNTIF(CostStatus!B:B,A364)&gt;0</f>
        <v>0</v>
      </c>
      <c r="K364" s="64" t="b">
        <f>COUNTIF(States!A:A,A364)&gt;0</f>
        <v>0</v>
      </c>
      <c r="L364" s="64" t="b">
        <f t="shared" si="2"/>
        <v>1</v>
      </c>
      <c r="M364" s="64" t="b">
        <f>IF(A364="","",COUNTIF(Targets!A:A,A364)&gt;1)</f>
        <v>0</v>
      </c>
      <c r="N364" s="64" t="b">
        <f>IF(A364="","",COUNTIF(States!A:A,A364)&gt;1)</f>
        <v>0</v>
      </c>
      <c r="O364" s="64" t="b">
        <f>IFERROR(__xludf.DUMMYFUNCTION("IF(
 B364="""",
 """",
 SWITCH(
  B364,
  ""BUILDING"",COUNTIF(Buildings!A:A,A364)&gt;0,
  ""CITADEL"",COUNTIF(Citadel!A:A,A364)&gt;0,
  ""COLLECTION"",COUNTIF(Collections!A:A,A364)&gt;0,
  ""CRAFTIFACT"",COUNTIF(Craftifacts!A:A,A364)&gt;0,
  ""QUEST"",
   COUNTIF(
 "&amp;"   Quests!A:A,
    REGEXREPLACE(A364,""\.(accepted|finished)$"","""")
   )&gt;0,
  ""TECH"",COUNTIF(Technologies!A:A,A364)&gt;0,
  ""STATE"",COUNTIF(States!A:A,A364)&gt;0,
  FALSE
 )
)"),TRUE)</f>
        <v>1</v>
      </c>
      <c r="P364" s="64" t="str">
        <f t="shared" si="3"/>
        <v>Good</v>
      </c>
      <c r="Q364" s="65"/>
      <c r="R364" s="65"/>
      <c r="S364" s="65"/>
      <c r="T364" s="65"/>
      <c r="U364" s="6"/>
      <c r="V364" s="6" t="str">
        <f>IFERROR(__xludf.DUMMYFUNCTION("""COMPUTED_VALUE"""),"quest.treasure_island.accepted")</f>
        <v>quest.treasure_island.accepted</v>
      </c>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row>
    <row r="365" ht="14.25" customHeight="1">
      <c r="A365" s="26" t="str">
        <f t="shared" si="1"/>
        <v>quest.treasure_island.finished</v>
      </c>
      <c r="B365" s="26" t="str">
        <f t="array" ref="B365">_xlfn.XLOOKUP(A365,Targets!A:A,Targets!C:C,"")</f>
        <v>QUEST</v>
      </c>
      <c r="C365" s="64" t="b">
        <f>COUNTIF(Targets!A:A,A365)&gt;0</f>
        <v>1</v>
      </c>
      <c r="D365" s="64" t="b">
        <f>IF(
 OR(
  LEFT(A365,15)="state.character",
  RIGHT(A365,6)=".maxed"
 ),
 TRUE,
 COUNTIF(Checklist!A:A,A365)&gt;0
)</f>
        <v>1</v>
      </c>
      <c r="E365" s="64" t="b">
        <f>IF(
 OR(
  LEFT(A365,15)="state.character",
  RIGHT(A365,6)=".maxed",
  A365="building.guild@1",
  A365="quest.build_the_guild.accepted",
  A365="quest.build_the_pagoda.accepted"
 ),
 TRUE,
 COUNTIF(Dependencies!A:A,A365)&gt;0
)</f>
        <v>1</v>
      </c>
      <c r="F365" s="64" t="b">
        <f>COUNTIF(Dependencies!B:B,A365)&gt;0</f>
        <v>0</v>
      </c>
      <c r="G365" s="64" t="b">
        <f>COUNTIF(QuestObjectives!A:A,A365)&gt;0</f>
        <v>1</v>
      </c>
      <c r="H365" s="64" t="b">
        <f>COUNTIF(QuestObjectives!E:E,A365)&gt;0</f>
        <v>0</v>
      </c>
      <c r="I365" s="64" t="b">
        <f>COUNTIF(TargetStatus!A:A,A365)&gt;0</f>
        <v>1</v>
      </c>
      <c r="J365" s="64" t="b">
        <f>COUNTIF(CostStatus!B:B,A365)&gt;0</f>
        <v>0</v>
      </c>
      <c r="K365" s="64" t="b">
        <f>COUNTIF(States!A:A,A365)&gt;0</f>
        <v>0</v>
      </c>
      <c r="L365" s="64" t="b">
        <f t="shared" si="2"/>
        <v>1</v>
      </c>
      <c r="M365" s="64" t="b">
        <f>IF(A365="","",COUNTIF(Targets!A:A,A365)&gt;1)</f>
        <v>0</v>
      </c>
      <c r="N365" s="64" t="b">
        <f>IF(A365="","",COUNTIF(States!A:A,A365)&gt;1)</f>
        <v>0</v>
      </c>
      <c r="O365" s="64" t="b">
        <f>IFERROR(__xludf.DUMMYFUNCTION("IF(
 B365="""",
 """",
 SWITCH(
  B365,
  ""BUILDING"",COUNTIF(Buildings!A:A,A365)&gt;0,
  ""CITADEL"",COUNTIF(Citadel!A:A,A365)&gt;0,
  ""COLLECTION"",COUNTIF(Collections!A:A,A365)&gt;0,
  ""CRAFTIFACT"",COUNTIF(Craftifacts!A:A,A365)&gt;0,
  ""QUEST"",
   COUNTIF(
 "&amp;"   Quests!A:A,
    REGEXREPLACE(A365,""\.(accepted|finished)$"","""")
   )&gt;0,
  ""TECH"",COUNTIF(Technologies!A:A,A365)&gt;0,
  ""STATE"",COUNTIF(States!A:A,A365)&gt;0,
  FALSE
 )
)"),TRUE)</f>
        <v>1</v>
      </c>
      <c r="P365" s="64" t="str">
        <f t="shared" si="3"/>
        <v>Good</v>
      </c>
      <c r="Q365" s="65"/>
      <c r="R365" s="65"/>
      <c r="S365" s="65"/>
      <c r="T365" s="65"/>
      <c r="U365" s="6"/>
      <c r="V365" s="6" t="str">
        <f>IFERROR(__xludf.DUMMYFUNCTION("""COMPUTED_VALUE"""),"quest.treasure_island.finished")</f>
        <v>quest.treasure_island.finished</v>
      </c>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row>
    <row r="366" ht="14.25" customHeight="1">
      <c r="A366" s="26" t="str">
        <f t="shared" si="1"/>
        <v>quest.undead_revenge.accepted</v>
      </c>
      <c r="B366" s="26" t="str">
        <f t="array" ref="B366">_xlfn.XLOOKUP(A366,Targets!A:A,Targets!C:C,"")</f>
        <v>QUEST</v>
      </c>
      <c r="C366" s="64" t="b">
        <f>COUNTIF(Targets!A:A,A366)&gt;0</f>
        <v>1</v>
      </c>
      <c r="D366" s="64" t="b">
        <f>IF(
 OR(
  LEFT(A366,15)="state.character",
  RIGHT(A366,6)=".maxed"
 ),
 TRUE,
 COUNTIF(Checklist!A:A,A366)&gt;0
)</f>
        <v>1</v>
      </c>
      <c r="E366" s="64" t="b">
        <f>IF(
 OR(
  LEFT(A366,15)="state.character",
  RIGHT(A366,6)=".maxed",
  A366="building.guild@1",
  A366="quest.build_the_guild.accepted",
  A366="quest.build_the_pagoda.accepted"
 ),
 TRUE,
 COUNTIF(Dependencies!A:A,A366)&gt;0
)</f>
        <v>1</v>
      </c>
      <c r="F366" s="64" t="b">
        <f>COUNTIF(Dependencies!B:B,A366)&gt;0</f>
        <v>1</v>
      </c>
      <c r="G366" s="64" t="b">
        <f>COUNTIF(QuestObjectives!A:A,A366)&gt;0</f>
        <v>0</v>
      </c>
      <c r="H366" s="64" t="b">
        <f>COUNTIF(QuestObjectives!E:E,A366)&gt;0</f>
        <v>0</v>
      </c>
      <c r="I366" s="64" t="b">
        <f>COUNTIF(TargetStatus!A:A,A366)&gt;0</f>
        <v>1</v>
      </c>
      <c r="J366" s="64" t="b">
        <f>COUNTIF(CostStatus!B:B,A366)&gt;0</f>
        <v>0</v>
      </c>
      <c r="K366" s="64" t="b">
        <f>COUNTIF(States!A:A,A366)&gt;0</f>
        <v>0</v>
      </c>
      <c r="L366" s="64" t="b">
        <f t="shared" si="2"/>
        <v>1</v>
      </c>
      <c r="M366" s="64" t="b">
        <f>IF(A366="","",COUNTIF(Targets!A:A,A366)&gt;1)</f>
        <v>0</v>
      </c>
      <c r="N366" s="64" t="b">
        <f>IF(A366="","",COUNTIF(States!A:A,A366)&gt;1)</f>
        <v>0</v>
      </c>
      <c r="O366" s="64" t="b">
        <f>IFERROR(__xludf.DUMMYFUNCTION("IF(
 B366="""",
 """",
 SWITCH(
  B366,
  ""BUILDING"",COUNTIF(Buildings!A:A,A366)&gt;0,
  ""CITADEL"",COUNTIF(Citadel!A:A,A366)&gt;0,
  ""COLLECTION"",COUNTIF(Collections!A:A,A366)&gt;0,
  ""CRAFTIFACT"",COUNTIF(Craftifacts!A:A,A366)&gt;0,
  ""QUEST"",
   COUNTIF(
 "&amp;"   Quests!A:A,
    REGEXREPLACE(A366,""\.(accepted|finished)$"","""")
   )&gt;0,
  ""TECH"",COUNTIF(Technologies!A:A,A366)&gt;0,
  ""STATE"",COUNTIF(States!A:A,A366)&gt;0,
  FALSE
 )
)"),TRUE)</f>
        <v>1</v>
      </c>
      <c r="P366" s="64" t="str">
        <f t="shared" si="3"/>
        <v>Good</v>
      </c>
      <c r="Q366" s="65"/>
      <c r="R366" s="65"/>
      <c r="S366" s="65"/>
      <c r="T366" s="65"/>
      <c r="U366" s="6"/>
      <c r="V366" s="6" t="str">
        <f>IFERROR(__xludf.DUMMYFUNCTION("""COMPUTED_VALUE"""),"quest.undead_revenge.accepted")</f>
        <v>quest.undead_revenge.accepted</v>
      </c>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row>
    <row r="367" ht="14.25" customHeight="1">
      <c r="A367" s="26" t="str">
        <f t="shared" si="1"/>
        <v>quest.undead_revenge.finished</v>
      </c>
      <c r="B367" s="26" t="str">
        <f t="array" ref="B367">_xlfn.XLOOKUP(A367,Targets!A:A,Targets!C:C,"")</f>
        <v>QUEST</v>
      </c>
      <c r="C367" s="64" t="b">
        <f>COUNTIF(Targets!A:A,A367)&gt;0</f>
        <v>1</v>
      </c>
      <c r="D367" s="64" t="b">
        <f>IF(
 OR(
  LEFT(A367,15)="state.character",
  RIGHT(A367,6)=".maxed"
 ),
 TRUE,
 COUNTIF(Checklist!A:A,A367)&gt;0
)</f>
        <v>1</v>
      </c>
      <c r="E367" s="64" t="b">
        <f>IF(
 OR(
  LEFT(A367,15)="state.character",
  RIGHT(A367,6)=".maxed",
  A367="building.guild@1",
  A367="quest.build_the_guild.accepted",
  A367="quest.build_the_pagoda.accepted"
 ),
 TRUE,
 COUNTIF(Dependencies!A:A,A367)&gt;0
)</f>
        <v>1</v>
      </c>
      <c r="F367" s="64" t="b">
        <f>COUNTIF(Dependencies!B:B,A367)&gt;0</f>
        <v>0</v>
      </c>
      <c r="G367" s="64" t="b">
        <f>COUNTIF(QuestObjectives!A:A,A367)&gt;0</f>
        <v>1</v>
      </c>
      <c r="H367" s="64" t="b">
        <f>COUNTIF(QuestObjectives!E:E,A367)&gt;0</f>
        <v>0</v>
      </c>
      <c r="I367" s="64" t="b">
        <f>COUNTIF(TargetStatus!A:A,A367)&gt;0</f>
        <v>1</v>
      </c>
      <c r="J367" s="64" t="b">
        <f>COUNTIF(CostStatus!B:B,A367)&gt;0</f>
        <v>0</v>
      </c>
      <c r="K367" s="64" t="b">
        <f>COUNTIF(States!A:A,A367)&gt;0</f>
        <v>0</v>
      </c>
      <c r="L367" s="64" t="b">
        <f t="shared" si="2"/>
        <v>1</v>
      </c>
      <c r="M367" s="64" t="b">
        <f>IF(A367="","",COUNTIF(Targets!A:A,A367)&gt;1)</f>
        <v>0</v>
      </c>
      <c r="N367" s="64" t="b">
        <f>IF(A367="","",COUNTIF(States!A:A,A367)&gt;1)</f>
        <v>0</v>
      </c>
      <c r="O367" s="64" t="b">
        <f>IFERROR(__xludf.DUMMYFUNCTION("IF(
 B367="""",
 """",
 SWITCH(
  B367,
  ""BUILDING"",COUNTIF(Buildings!A:A,A367)&gt;0,
  ""CITADEL"",COUNTIF(Citadel!A:A,A367)&gt;0,
  ""COLLECTION"",COUNTIF(Collections!A:A,A367)&gt;0,
  ""CRAFTIFACT"",COUNTIF(Craftifacts!A:A,A367)&gt;0,
  ""QUEST"",
   COUNTIF(
 "&amp;"   Quests!A:A,
    REGEXREPLACE(A367,""\.(accepted|finished)$"","""")
   )&gt;0,
  ""TECH"",COUNTIF(Technologies!A:A,A367)&gt;0,
  ""STATE"",COUNTIF(States!A:A,A367)&gt;0,
  FALSE
 )
)"),TRUE)</f>
        <v>1</v>
      </c>
      <c r="P367" s="64" t="str">
        <f t="shared" si="3"/>
        <v>Good</v>
      </c>
      <c r="Q367" s="65"/>
      <c r="R367" s="65"/>
      <c r="S367" s="65"/>
      <c r="T367" s="65"/>
      <c r="U367" s="6"/>
      <c r="V367" s="6" t="str">
        <f>IFERROR(__xludf.DUMMYFUNCTION("""COMPUTED_VALUE"""),"quest.undead_revenge.finished")</f>
        <v>quest.undead_revenge.finished</v>
      </c>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row>
    <row r="368" ht="14.25" customHeight="1">
      <c r="A368" s="26" t="str">
        <f t="shared" si="1"/>
        <v>state.action_defeat_bone_dragon_4c</v>
      </c>
      <c r="B368" s="26" t="str">
        <f t="array" ref="B368">_xlfn.XLOOKUP(A368,Targets!A:A,Targets!C:C,"")</f>
        <v>STATE</v>
      </c>
      <c r="C368" s="64" t="b">
        <f>COUNTIF(Targets!A:A,A368)&gt;0</f>
        <v>1</v>
      </c>
      <c r="D368" s="64" t="b">
        <f>IF(
 OR(
  LEFT(A368,15)="state.character",
  RIGHT(A368,6)=".maxed"
 ),
 TRUE,
 COUNTIF(Checklist!A:A,A368)&gt;0
)</f>
        <v>1</v>
      </c>
      <c r="E368" s="64" t="b">
        <f>IF(
 OR(
  LEFT(A368,15)="state.character",
  RIGHT(A368,6)=".maxed",
  A368="building.guild@1",
  A368="quest.build_the_guild.accepted",
  A368="quest.build_the_pagoda.accepted"
 ),
 TRUE,
 COUNTIF(Dependencies!A:A,A368)&gt;0
)</f>
        <v>1</v>
      </c>
      <c r="F368" s="64" t="b">
        <f>COUNTIF(Dependencies!B:B,A368)&gt;0</f>
        <v>0</v>
      </c>
      <c r="G368" s="64" t="b">
        <f>COUNTIF(QuestObjectives!A:A,A368)&gt;0</f>
        <v>0</v>
      </c>
      <c r="H368" s="64" t="b">
        <f>COUNTIF(QuestObjectives!E:E,A368)&gt;0</f>
        <v>1</v>
      </c>
      <c r="I368" s="64" t="b">
        <f>COUNTIF(TargetStatus!A:A,A368)&gt;0</f>
        <v>1</v>
      </c>
      <c r="J368" s="64" t="b">
        <f>COUNTIF(CostStatus!B:B,A368)&gt;0</f>
        <v>0</v>
      </c>
      <c r="K368" s="64" t="b">
        <f>COUNTIF(States!A:A,A368)&gt;0</f>
        <v>1</v>
      </c>
      <c r="L368" s="64" t="b">
        <f t="shared" si="2"/>
        <v>1</v>
      </c>
      <c r="M368" s="64" t="b">
        <f>IF(A368="","",COUNTIF(Targets!A:A,A368)&gt;1)</f>
        <v>0</v>
      </c>
      <c r="N368" s="64" t="b">
        <f>IF(A368="","",COUNTIF(States!A:A,A368)&gt;1)</f>
        <v>0</v>
      </c>
      <c r="O368" s="64" t="b">
        <f>IFERROR(__xludf.DUMMYFUNCTION("IF(
 B368="""",
 """",
 SWITCH(
  B368,
  ""BUILDING"",COUNTIF(Buildings!A:A,A368)&gt;0,
  ""CITADEL"",COUNTIF(Citadel!A:A,A368)&gt;0,
  ""COLLECTION"",COUNTIF(Collections!A:A,A368)&gt;0,
  ""CRAFTIFACT"",COUNTIF(Craftifacts!A:A,A368)&gt;0,
  ""QUEST"",
   COUNTIF(
 "&amp;"   Quests!A:A,
    REGEXREPLACE(A368,""\.(accepted|finished)$"","""")
   )&gt;0,
  ""TECH"",COUNTIF(Technologies!A:A,A368)&gt;0,
  ""STATE"",COUNTIF(States!A:A,A368)&gt;0,
  FALSE
 )
)"),TRUE)</f>
        <v>1</v>
      </c>
      <c r="P368" s="64" t="str">
        <f t="shared" si="3"/>
        <v>Good</v>
      </c>
      <c r="Q368" s="65"/>
      <c r="R368" s="65"/>
      <c r="S368" s="65"/>
      <c r="T368" s="65"/>
      <c r="U368" s="6"/>
      <c r="V368" s="6" t="str">
        <f>IFERROR(__xludf.DUMMYFUNCTION("""COMPUTED_VALUE"""),"state.action_defeat_bone_dragon_4c")</f>
        <v>state.action_defeat_bone_dragon_4c</v>
      </c>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row>
    <row r="369" ht="14.25" customHeight="1">
      <c r="A369" s="26" t="str">
        <f t="shared" si="1"/>
        <v>state.action_reenter_guild</v>
      </c>
      <c r="B369" s="26" t="str">
        <f t="array" ref="B369">_xlfn.XLOOKUP(A369,Targets!A:A,Targets!C:C,"")</f>
        <v>STATE</v>
      </c>
      <c r="C369" s="64" t="b">
        <f>COUNTIF(Targets!A:A,A369)&gt;0</f>
        <v>1</v>
      </c>
      <c r="D369" s="64" t="b">
        <f>IF(
 OR(
  LEFT(A369,15)="state.character",
  RIGHT(A369,6)=".maxed"
 ),
 TRUE,
 COUNTIF(Checklist!A:A,A369)&gt;0
)</f>
        <v>1</v>
      </c>
      <c r="E369" s="64" t="b">
        <f>IF(
 OR(
  LEFT(A369,15)="state.character",
  RIGHT(A369,6)=".maxed",
  A369="building.guild@1",
  A369="quest.build_the_guild.accepted",
  A369="quest.build_the_pagoda.accepted"
 ),
 TRUE,
 COUNTIF(Dependencies!A:A,A369)&gt;0
)</f>
        <v>1</v>
      </c>
      <c r="F369" s="64" t="b">
        <f>COUNTIF(Dependencies!B:B,A369)&gt;0</f>
        <v>1</v>
      </c>
      <c r="G369" s="64" t="b">
        <f>COUNTIF(QuestObjectives!A:A,A369)&gt;0</f>
        <v>0</v>
      </c>
      <c r="H369" s="64" t="b">
        <f>COUNTIF(QuestObjectives!E:E,A369)&gt;0</f>
        <v>0</v>
      </c>
      <c r="I369" s="64" t="b">
        <f>COUNTIF(TargetStatus!A:A,A369)&gt;0</f>
        <v>1</v>
      </c>
      <c r="J369" s="64" t="b">
        <f>COUNTIF(CostStatus!B:B,A369)&gt;0</f>
        <v>0</v>
      </c>
      <c r="K369" s="64" t="b">
        <f>COUNTIF(States!A:A,A369)&gt;0</f>
        <v>1</v>
      </c>
      <c r="L369" s="64" t="b">
        <f t="shared" si="2"/>
        <v>1</v>
      </c>
      <c r="M369" s="64" t="b">
        <f>IF(A369="","",COUNTIF(Targets!A:A,A369)&gt;1)</f>
        <v>0</v>
      </c>
      <c r="N369" s="64" t="b">
        <f>IF(A369="","",COUNTIF(States!A:A,A369)&gt;1)</f>
        <v>0</v>
      </c>
      <c r="O369" s="64" t="b">
        <f>IFERROR(__xludf.DUMMYFUNCTION("IF(
 B369="""",
 """",
 SWITCH(
  B369,
  ""BUILDING"",COUNTIF(Buildings!A:A,A369)&gt;0,
  ""CITADEL"",COUNTIF(Citadel!A:A,A369)&gt;0,
  ""COLLECTION"",COUNTIF(Collections!A:A,A369)&gt;0,
  ""CRAFTIFACT"",COUNTIF(Craftifacts!A:A,A369)&gt;0,
  ""QUEST"",
   COUNTIF(
 "&amp;"   Quests!A:A,
    REGEXREPLACE(A369,""\.(accepted|finished)$"","""")
   )&gt;0,
  ""TECH"",COUNTIF(Technologies!A:A,A369)&gt;0,
  ""STATE"",COUNTIF(States!A:A,A369)&gt;0,
  FALSE
 )
)"),TRUE)</f>
        <v>1</v>
      </c>
      <c r="P369" s="64" t="str">
        <f t="shared" si="3"/>
        <v>Good</v>
      </c>
      <c r="Q369" s="65"/>
      <c r="R369" s="65"/>
      <c r="S369" s="65"/>
      <c r="T369" s="65"/>
      <c r="U369" s="6"/>
      <c r="V369" s="6" t="str">
        <f>IFERROR(__xludf.DUMMYFUNCTION("""COMPUTED_VALUE"""),"state.action_reenter_guild")</f>
        <v>state.action_reenter_guild</v>
      </c>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row>
    <row r="370" ht="14.25" customHeight="1">
      <c r="A370" s="26" t="str">
        <f t="shared" si="1"/>
        <v>state.action_send_train_to_sapporo</v>
      </c>
      <c r="B370" s="26" t="str">
        <f t="array" ref="B370">_xlfn.XLOOKUP(A370,Targets!A:A,Targets!C:C,"")</f>
        <v>STATE</v>
      </c>
      <c r="C370" s="64" t="b">
        <f>COUNTIF(Targets!A:A,A370)&gt;0</f>
        <v>1</v>
      </c>
      <c r="D370" s="64" t="b">
        <f>IF(
 OR(
  LEFT(A370,15)="state.character",
  RIGHT(A370,6)=".maxed"
 ),
 TRUE,
 COUNTIF(Checklist!A:A,A370)&gt;0
)</f>
        <v>1</v>
      </c>
      <c r="E370" s="64" t="b">
        <f>IF(
 OR(
  LEFT(A370,15)="state.character",
  RIGHT(A370,6)=".maxed",
  A370="building.guild@1",
  A370="quest.build_the_guild.accepted",
  A370="quest.build_the_pagoda.accepted"
 ),
 TRUE,
 COUNTIF(Dependencies!A:A,A370)&gt;0
)</f>
        <v>1</v>
      </c>
      <c r="F370" s="64" t="b">
        <f>COUNTIF(Dependencies!B:B,A370)&gt;0</f>
        <v>1</v>
      </c>
      <c r="G370" s="64" t="b">
        <f>COUNTIF(QuestObjectives!A:A,A370)&gt;0</f>
        <v>0</v>
      </c>
      <c r="H370" s="64" t="b">
        <f>COUNTIF(QuestObjectives!E:E,A370)&gt;0</f>
        <v>1</v>
      </c>
      <c r="I370" s="64" t="b">
        <f>COUNTIF(TargetStatus!A:A,A370)&gt;0</f>
        <v>1</v>
      </c>
      <c r="J370" s="64" t="b">
        <f>COUNTIF(CostStatus!B:B,A370)&gt;0</f>
        <v>0</v>
      </c>
      <c r="K370" s="64" t="b">
        <f>COUNTIF(States!A:A,A370)&gt;0</f>
        <v>1</v>
      </c>
      <c r="L370" s="64" t="b">
        <f t="shared" si="2"/>
        <v>1</v>
      </c>
      <c r="M370" s="64" t="b">
        <f>IF(A370="","",COUNTIF(Targets!A:A,A370)&gt;1)</f>
        <v>0</v>
      </c>
      <c r="N370" s="64" t="b">
        <f>IF(A370="","",COUNTIF(States!A:A,A370)&gt;1)</f>
        <v>0</v>
      </c>
      <c r="O370" s="64" t="b">
        <f>IFERROR(__xludf.DUMMYFUNCTION("IF(
 B370="""",
 """",
 SWITCH(
  B370,
  ""BUILDING"",COUNTIF(Buildings!A:A,A370)&gt;0,
  ""CITADEL"",COUNTIF(Citadel!A:A,A370)&gt;0,
  ""COLLECTION"",COUNTIF(Collections!A:A,A370)&gt;0,
  ""CRAFTIFACT"",COUNTIF(Craftifacts!A:A,A370)&gt;0,
  ""QUEST"",
   COUNTIF(
 "&amp;"   Quests!A:A,
    REGEXREPLACE(A370,""\.(accepted|finished)$"","""")
   )&gt;0,
  ""TECH"",COUNTIF(Technologies!A:A,A370)&gt;0,
  ""STATE"",COUNTIF(States!A:A,A370)&gt;0,
  FALSE
 )
)"),TRUE)</f>
        <v>1</v>
      </c>
      <c r="P370" s="64" t="str">
        <f t="shared" si="3"/>
        <v>Good</v>
      </c>
      <c r="Q370" s="65"/>
      <c r="R370" s="65"/>
      <c r="S370" s="65"/>
      <c r="T370" s="65"/>
      <c r="U370" s="6"/>
      <c r="V370" s="6" t="str">
        <f>IFERROR(__xludf.DUMMYFUNCTION("""COMPUTED_VALUE"""),"state.action_send_train_to_sapporo")</f>
        <v>state.action_send_train_to_sapporo</v>
      </c>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row>
    <row r="371" ht="14.25" customHeight="1">
      <c r="A371" s="26" t="str">
        <f t="shared" si="1"/>
        <v>state.action_tame_a_critter</v>
      </c>
      <c r="B371" s="26" t="str">
        <f t="array" ref="B371">_xlfn.XLOOKUP(A371,Targets!A:A,Targets!C:C,"")</f>
        <v>STATE</v>
      </c>
      <c r="C371" s="64" t="b">
        <f>COUNTIF(Targets!A:A,A371)&gt;0</f>
        <v>1</v>
      </c>
      <c r="D371" s="64" t="b">
        <f>IF(
 OR(
  LEFT(A371,15)="state.character",
  RIGHT(A371,6)=".maxed"
 ),
 TRUE,
 COUNTIF(Checklist!A:A,A371)&gt;0
)</f>
        <v>1</v>
      </c>
      <c r="E371" s="64" t="b">
        <f>IF(
 OR(
  LEFT(A371,15)="state.character",
  RIGHT(A371,6)=".maxed",
  A371="building.guild@1",
  A371="quest.build_the_guild.accepted",
  A371="quest.build_the_pagoda.accepted"
 ),
 TRUE,
 COUNTIF(Dependencies!A:A,A371)&gt;0
)</f>
        <v>1</v>
      </c>
      <c r="F371" s="64" t="b">
        <f>COUNTIF(Dependencies!B:B,A371)&gt;0</f>
        <v>1</v>
      </c>
      <c r="G371" s="64" t="b">
        <f>COUNTIF(QuestObjectives!A:A,A371)&gt;0</f>
        <v>0</v>
      </c>
      <c r="H371" s="64" t="b">
        <f>COUNTIF(QuestObjectives!E:E,A371)&gt;0</f>
        <v>0</v>
      </c>
      <c r="I371" s="64" t="b">
        <f>COUNTIF(TargetStatus!A:A,A371)&gt;0</f>
        <v>1</v>
      </c>
      <c r="J371" s="64" t="b">
        <f>COUNTIF(CostStatus!B:B,A371)&gt;0</f>
        <v>0</v>
      </c>
      <c r="K371" s="64" t="b">
        <f>COUNTIF(States!A:A,A371)&gt;0</f>
        <v>1</v>
      </c>
      <c r="L371" s="64" t="b">
        <f t="shared" si="2"/>
        <v>1</v>
      </c>
      <c r="M371" s="64" t="b">
        <f>IF(A371="","",COUNTIF(Targets!A:A,A371)&gt;1)</f>
        <v>0</v>
      </c>
      <c r="N371" s="64" t="b">
        <f>IF(A371="","",COUNTIF(States!A:A,A371)&gt;1)</f>
        <v>0</v>
      </c>
      <c r="O371" s="64" t="b">
        <f>IFERROR(__xludf.DUMMYFUNCTION("IF(
 B371="""",
 """",
 SWITCH(
  B371,
  ""BUILDING"",COUNTIF(Buildings!A:A,A371)&gt;0,
  ""CITADEL"",COUNTIF(Citadel!A:A,A371)&gt;0,
  ""COLLECTION"",COUNTIF(Collections!A:A,A371)&gt;0,
  ""CRAFTIFACT"",COUNTIF(Craftifacts!A:A,A371)&gt;0,
  ""QUEST"",
   COUNTIF(
 "&amp;"   Quests!A:A,
    REGEXREPLACE(A371,""\.(accepted|finished)$"","""")
   )&gt;0,
  ""TECH"",COUNTIF(Technologies!A:A,A371)&gt;0,
  ""STATE"",COUNTIF(States!A:A,A371)&gt;0,
  FALSE
 )
)"),TRUE)</f>
        <v>1</v>
      </c>
      <c r="P371" s="64" t="str">
        <f t="shared" si="3"/>
        <v>Good</v>
      </c>
      <c r="Q371" s="65"/>
      <c r="R371" s="65"/>
      <c r="S371" s="65"/>
      <c r="T371" s="65"/>
      <c r="U371" s="6"/>
      <c r="V371" s="6" t="str">
        <f>IFERROR(__xludf.DUMMYFUNCTION("""COMPUTED_VALUE"""),"state.action_tame_a_critter")</f>
        <v>state.action_tame_a_critter</v>
      </c>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row>
    <row r="372" ht="14.25" customHeight="1">
      <c r="A372" s="26" t="str">
        <f t="shared" si="1"/>
        <v>state.character_cartographer@1</v>
      </c>
      <c r="B372" s="26" t="str">
        <f t="array" ref="B372">_xlfn.XLOOKUP(A372,Targets!A:A,Targets!C:C,"")</f>
        <v>STATE</v>
      </c>
      <c r="C372" s="64" t="b">
        <f>COUNTIF(Targets!A:A,A372)&gt;0</f>
        <v>1</v>
      </c>
      <c r="D372" s="64" t="b">
        <f>IF(
 OR(
  LEFT(A372,15)="state.character",
  RIGHT(A372,6)=".maxed"
 ),
 TRUE,
 COUNTIF(Checklist!A:A,A372)&gt;0
)</f>
        <v>1</v>
      </c>
      <c r="E372" s="64" t="b">
        <f>IF(
 OR(
  LEFT(A372,15)="state.character",
  RIGHT(A372,6)=".maxed",
  A372="building.guild@1",
  A372="quest.build_the_guild.accepted",
  A372="quest.build_the_pagoda.accepted"
 ),
 TRUE,
 COUNTIF(Dependencies!A:A,A372)&gt;0
)</f>
        <v>1</v>
      </c>
      <c r="F372" s="64" t="b">
        <f>COUNTIF(Dependencies!B:B,A372)&gt;0</f>
        <v>0</v>
      </c>
      <c r="G372" s="64" t="b">
        <f>COUNTIF(QuestObjectives!A:A,A372)&gt;0</f>
        <v>0</v>
      </c>
      <c r="H372" s="64" t="b">
        <f>COUNTIF(QuestObjectives!E:E,A372)&gt;0</f>
        <v>0</v>
      </c>
      <c r="I372" s="64" t="b">
        <f>COUNTIF(TargetStatus!A:A,A372)&gt;0</f>
        <v>1</v>
      </c>
      <c r="J372" s="64" t="b">
        <f>COUNTIF(CostStatus!B:B,A372)&gt;0</f>
        <v>0</v>
      </c>
      <c r="K372" s="64" t="b">
        <f>COUNTIF(States!A:A,A372)&gt;0</f>
        <v>0</v>
      </c>
      <c r="L372" s="64" t="b">
        <f t="shared" si="2"/>
        <v>1</v>
      </c>
      <c r="M372" s="64" t="b">
        <f>IF(A372="","",COUNTIF(Targets!A:A,A372)&gt;1)</f>
        <v>0</v>
      </c>
      <c r="N372" s="64" t="b">
        <f>IF(A372="","",COUNTIF(States!A:A,A372)&gt;1)</f>
        <v>0</v>
      </c>
      <c r="O372" s="64" t="b">
        <f>IFERROR(__xludf.DUMMYFUNCTION("IF(
 B372="""",
 """",
 SWITCH(
  B372,
  ""BUILDING"",COUNTIF(Buildings!A:A,A372)&gt;0,
  ""CITADEL"",COUNTIF(Citadel!A:A,A372)&gt;0,
  ""COLLECTION"",COUNTIF(Collections!A:A,A372)&gt;0,
  ""CRAFTIFACT"",COUNTIF(Craftifacts!A:A,A372)&gt;0,
  ""QUEST"",
   COUNTIF(
 "&amp;"   Quests!A:A,
    REGEXREPLACE(A372,""\.(accepted|finished)$"","""")
   )&gt;0,
  ""TECH"",COUNTIF(Technologies!A:A,A372)&gt;0,
  ""STATE"",COUNTIF(States!A:A,A372)&gt;0,
  FALSE
 )
)"),FALSE)</f>
        <v>0</v>
      </c>
      <c r="P372" s="64" t="str">
        <f t="shared" si="3"/>
        <v>Good</v>
      </c>
      <c r="Q372" s="65"/>
      <c r="R372" s="65"/>
      <c r="S372" s="65"/>
      <c r="T372" s="65"/>
      <c r="U372" s="6"/>
      <c r="V372" s="6" t="str">
        <f>IFERROR(__xludf.DUMMYFUNCTION("""COMPUTED_VALUE"""),"state.character_cartographer@1")</f>
        <v>state.character_cartographer@1</v>
      </c>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row>
    <row r="373" ht="14.25" customHeight="1">
      <c r="A373" s="26" t="str">
        <f t="shared" si="1"/>
        <v>state.character_cartographer@2</v>
      </c>
      <c r="B373" s="26" t="str">
        <f t="array" ref="B373">_xlfn.XLOOKUP(A373,Targets!A:A,Targets!C:C,"")</f>
        <v>STATE</v>
      </c>
      <c r="C373" s="64" t="b">
        <f>COUNTIF(Targets!A:A,A373)&gt;0</f>
        <v>1</v>
      </c>
      <c r="D373" s="64" t="b">
        <f>IF(
 OR(
  LEFT(A373,15)="state.character",
  RIGHT(A373,6)=".maxed"
 ),
 TRUE,
 COUNTIF(Checklist!A:A,A373)&gt;0
)</f>
        <v>1</v>
      </c>
      <c r="E373" s="64" t="b">
        <f>IF(
 OR(
  LEFT(A373,15)="state.character",
  RIGHT(A373,6)=".maxed",
  A373="building.guild@1",
  A373="quest.build_the_guild.accepted",
  A373="quest.build_the_pagoda.accepted"
 ),
 TRUE,
 COUNTIF(Dependencies!A:A,A373)&gt;0
)</f>
        <v>1</v>
      </c>
      <c r="F373" s="64" t="b">
        <f>COUNTIF(Dependencies!B:B,A373)&gt;0</f>
        <v>0</v>
      </c>
      <c r="G373" s="64" t="b">
        <f>COUNTIF(QuestObjectives!A:A,A373)&gt;0</f>
        <v>0</v>
      </c>
      <c r="H373" s="64" t="b">
        <f>COUNTIF(QuestObjectives!E:E,A373)&gt;0</f>
        <v>1</v>
      </c>
      <c r="I373" s="64" t="b">
        <f>COUNTIF(TargetStatus!A:A,A373)&gt;0</f>
        <v>1</v>
      </c>
      <c r="J373" s="64" t="b">
        <f>COUNTIF(CostStatus!B:B,A373)&gt;0</f>
        <v>0</v>
      </c>
      <c r="K373" s="64" t="b">
        <f>COUNTIF(States!A:A,A373)&gt;0</f>
        <v>1</v>
      </c>
      <c r="L373" s="64" t="b">
        <f t="shared" si="2"/>
        <v>1</v>
      </c>
      <c r="M373" s="64" t="b">
        <f>IF(A373="","",COUNTIF(Targets!A:A,A373)&gt;1)</f>
        <v>0</v>
      </c>
      <c r="N373" s="64" t="b">
        <f>IF(A373="","",COUNTIF(States!A:A,A373)&gt;1)</f>
        <v>0</v>
      </c>
      <c r="O373" s="64" t="b">
        <f>IFERROR(__xludf.DUMMYFUNCTION("IF(
 B373="""",
 """",
 SWITCH(
  B373,
  ""BUILDING"",COUNTIF(Buildings!A:A,A373)&gt;0,
  ""CITADEL"",COUNTIF(Citadel!A:A,A373)&gt;0,
  ""COLLECTION"",COUNTIF(Collections!A:A,A373)&gt;0,
  ""CRAFTIFACT"",COUNTIF(Craftifacts!A:A,A373)&gt;0,
  ""QUEST"",
   COUNTIF(
 "&amp;"   Quests!A:A,
    REGEXREPLACE(A373,""\.(accepted|finished)$"","""")
   )&gt;0,
  ""TECH"",COUNTIF(Technologies!A:A,A373)&gt;0,
  ""STATE"",COUNTIF(States!A:A,A373)&gt;0,
  FALSE
 )
)"),TRUE)</f>
        <v>1</v>
      </c>
      <c r="P373" s="64" t="str">
        <f t="shared" si="3"/>
        <v>Good</v>
      </c>
      <c r="Q373" s="65"/>
      <c r="R373" s="65"/>
      <c r="S373" s="65"/>
      <c r="T373" s="65"/>
      <c r="U373" s="6"/>
      <c r="V373" s="6" t="str">
        <f>IFERROR(__xludf.DUMMYFUNCTION("""COMPUTED_VALUE"""),"state.character_cartographer@2")</f>
        <v>state.character_cartographer@2</v>
      </c>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row>
    <row r="374" ht="14.25" customHeight="1">
      <c r="A374" s="26" t="str">
        <f t="shared" si="1"/>
        <v>state.character_cartographer@3</v>
      </c>
      <c r="B374" s="26" t="str">
        <f t="array" ref="B374">_xlfn.XLOOKUP(A374,Targets!A:A,Targets!C:C,"")</f>
        <v>STATE</v>
      </c>
      <c r="C374" s="64" t="b">
        <f>COUNTIF(Targets!A:A,A374)&gt;0</f>
        <v>1</v>
      </c>
      <c r="D374" s="64" t="b">
        <f>IF(
 OR(
  LEFT(A374,15)="state.character",
  RIGHT(A374,6)=".maxed"
 ),
 TRUE,
 COUNTIF(Checklist!A:A,A374)&gt;0
)</f>
        <v>1</v>
      </c>
      <c r="E374" s="64" t="b">
        <f>IF(
 OR(
  LEFT(A374,15)="state.character",
  RIGHT(A374,6)=".maxed",
  A374="building.guild@1",
  A374="quest.build_the_guild.accepted",
  A374="quest.build_the_pagoda.accepted"
 ),
 TRUE,
 COUNTIF(Dependencies!A:A,A374)&gt;0
)</f>
        <v>1</v>
      </c>
      <c r="F374" s="64" t="b">
        <f>COUNTIF(Dependencies!B:B,A374)&gt;0</f>
        <v>0</v>
      </c>
      <c r="G374" s="64" t="b">
        <f>COUNTIF(QuestObjectives!A:A,A374)&gt;0</f>
        <v>0</v>
      </c>
      <c r="H374" s="64" t="b">
        <f>COUNTIF(QuestObjectives!E:E,A374)&gt;0</f>
        <v>0</v>
      </c>
      <c r="I374" s="64" t="b">
        <f>COUNTIF(TargetStatus!A:A,A374)&gt;0</f>
        <v>1</v>
      </c>
      <c r="J374" s="64" t="b">
        <f>COUNTIF(CostStatus!B:B,A374)&gt;0</f>
        <v>0</v>
      </c>
      <c r="K374" s="64" t="b">
        <f>COUNTIF(States!A:A,A374)&gt;0</f>
        <v>0</v>
      </c>
      <c r="L374" s="64" t="b">
        <f t="shared" si="2"/>
        <v>1</v>
      </c>
      <c r="M374" s="64" t="b">
        <f>IF(A374="","",COUNTIF(Targets!A:A,A374)&gt;1)</f>
        <v>0</v>
      </c>
      <c r="N374" s="64" t="b">
        <f>IF(A374="","",COUNTIF(States!A:A,A374)&gt;1)</f>
        <v>0</v>
      </c>
      <c r="O374" s="64" t="b">
        <f>IFERROR(__xludf.DUMMYFUNCTION("IF(
 B374="""",
 """",
 SWITCH(
  B374,
  ""BUILDING"",COUNTIF(Buildings!A:A,A374)&gt;0,
  ""CITADEL"",COUNTIF(Citadel!A:A,A374)&gt;0,
  ""COLLECTION"",COUNTIF(Collections!A:A,A374)&gt;0,
  ""CRAFTIFACT"",COUNTIF(Craftifacts!A:A,A374)&gt;0,
  ""QUEST"",
   COUNTIF(
 "&amp;"   Quests!A:A,
    REGEXREPLACE(A374,""\.(accepted|finished)$"","""")
   )&gt;0,
  ""TECH"",COUNTIF(Technologies!A:A,A374)&gt;0,
  ""STATE"",COUNTIF(States!A:A,A374)&gt;0,
  FALSE
 )
)"),FALSE)</f>
        <v>0</v>
      </c>
      <c r="P374" s="64" t="str">
        <f t="shared" si="3"/>
        <v>Good</v>
      </c>
      <c r="Q374" s="65"/>
      <c r="R374" s="65"/>
      <c r="S374" s="65"/>
      <c r="T374" s="65"/>
      <c r="U374" s="6"/>
      <c r="V374" s="6" t="str">
        <f>IFERROR(__xludf.DUMMYFUNCTION("""COMPUTED_VALUE"""),"state.character_cartographer@3")</f>
        <v>state.character_cartographer@3</v>
      </c>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row>
    <row r="375" ht="14.25" customHeight="1">
      <c r="A375" s="26" t="str">
        <f t="shared" si="1"/>
        <v>state.character_cartographer@4</v>
      </c>
      <c r="B375" s="26" t="str">
        <f t="array" ref="B375">_xlfn.XLOOKUP(A375,Targets!A:A,Targets!C:C,"")</f>
        <v>STATE</v>
      </c>
      <c r="C375" s="64" t="b">
        <f>COUNTIF(Targets!A:A,A375)&gt;0</f>
        <v>1</v>
      </c>
      <c r="D375" s="64" t="b">
        <f>IF(
 OR(
  LEFT(A375,15)="state.character",
  RIGHT(A375,6)=".maxed"
 ),
 TRUE,
 COUNTIF(Checklist!A:A,A375)&gt;0
)</f>
        <v>1</v>
      </c>
      <c r="E375" s="64" t="b">
        <f>IF(
 OR(
  LEFT(A375,15)="state.character",
  RIGHT(A375,6)=".maxed",
  A375="building.guild@1",
  A375="quest.build_the_guild.accepted",
  A375="quest.build_the_pagoda.accepted"
 ),
 TRUE,
 COUNTIF(Dependencies!A:A,A375)&gt;0
)</f>
        <v>1</v>
      </c>
      <c r="F375" s="64" t="b">
        <f>COUNTIF(Dependencies!B:B,A375)&gt;0</f>
        <v>0</v>
      </c>
      <c r="G375" s="64" t="b">
        <f>COUNTIF(QuestObjectives!A:A,A375)&gt;0</f>
        <v>0</v>
      </c>
      <c r="H375" s="64" t="b">
        <f>COUNTIF(QuestObjectives!E:E,A375)&gt;0</f>
        <v>1</v>
      </c>
      <c r="I375" s="64" t="b">
        <f>COUNTIF(TargetStatus!A:A,A375)&gt;0</f>
        <v>1</v>
      </c>
      <c r="J375" s="64" t="b">
        <f>COUNTIF(CostStatus!B:B,A375)&gt;0</f>
        <v>0</v>
      </c>
      <c r="K375" s="64" t="b">
        <f>COUNTIF(States!A:A,A375)&gt;0</f>
        <v>1</v>
      </c>
      <c r="L375" s="64" t="b">
        <f t="shared" si="2"/>
        <v>1</v>
      </c>
      <c r="M375" s="64" t="b">
        <f>IF(A375="","",COUNTIF(Targets!A:A,A375)&gt;1)</f>
        <v>0</v>
      </c>
      <c r="N375" s="64" t="b">
        <f>IF(A375="","",COUNTIF(States!A:A,A375)&gt;1)</f>
        <v>0</v>
      </c>
      <c r="O375" s="64" t="b">
        <f>IFERROR(__xludf.DUMMYFUNCTION("IF(
 B375="""",
 """",
 SWITCH(
  B375,
  ""BUILDING"",COUNTIF(Buildings!A:A,A375)&gt;0,
  ""CITADEL"",COUNTIF(Citadel!A:A,A375)&gt;0,
  ""COLLECTION"",COUNTIF(Collections!A:A,A375)&gt;0,
  ""CRAFTIFACT"",COUNTIF(Craftifacts!A:A,A375)&gt;0,
  ""QUEST"",
   COUNTIF(
 "&amp;"   Quests!A:A,
    REGEXREPLACE(A375,""\.(accepted|finished)$"","""")
   )&gt;0,
  ""TECH"",COUNTIF(Technologies!A:A,A375)&gt;0,
  ""STATE"",COUNTIF(States!A:A,A375)&gt;0,
  FALSE
 )
)"),TRUE)</f>
        <v>1</v>
      </c>
      <c r="P375" s="64" t="str">
        <f t="shared" si="3"/>
        <v>Good</v>
      </c>
      <c r="Q375" s="65"/>
      <c r="R375" s="65"/>
      <c r="S375" s="65"/>
      <c r="T375" s="65"/>
      <c r="U375" s="6"/>
      <c r="V375" s="6" t="str">
        <f>IFERROR(__xludf.DUMMYFUNCTION("""COMPUTED_VALUE"""),"state.character_cartographer@4")</f>
        <v>state.character_cartographer@4</v>
      </c>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row>
    <row r="376" ht="14.25" customHeight="1">
      <c r="A376" s="26" t="str">
        <f t="shared" si="1"/>
        <v>state.character_cooking@1</v>
      </c>
      <c r="B376" s="26" t="str">
        <f t="array" ref="B376">_xlfn.XLOOKUP(A376,Targets!A:A,Targets!C:C,"")</f>
        <v>STATE</v>
      </c>
      <c r="C376" s="64" t="b">
        <f>COUNTIF(Targets!A:A,A376)&gt;0</f>
        <v>1</v>
      </c>
      <c r="D376" s="64" t="b">
        <f>IF(
 OR(
  LEFT(A376,15)="state.character",
  RIGHT(A376,6)=".maxed"
 ),
 TRUE,
 COUNTIF(Checklist!A:A,A376)&gt;0
)</f>
        <v>1</v>
      </c>
      <c r="E376" s="64" t="b">
        <f>IF(
 OR(
  LEFT(A376,15)="state.character",
  RIGHT(A376,6)=".maxed",
  A376="building.guild@1",
  A376="quest.build_the_guild.accepted",
  A376="quest.build_the_pagoda.accepted"
 ),
 TRUE,
 COUNTIF(Dependencies!A:A,A376)&gt;0
)</f>
        <v>1</v>
      </c>
      <c r="F376" s="64" t="b">
        <f>COUNTIF(Dependencies!B:B,A376)&gt;0</f>
        <v>0</v>
      </c>
      <c r="G376" s="64" t="b">
        <f>COUNTIF(QuestObjectives!A:A,A376)&gt;0</f>
        <v>0</v>
      </c>
      <c r="H376" s="64" t="b">
        <f>COUNTIF(QuestObjectives!E:E,A376)&gt;0</f>
        <v>0</v>
      </c>
      <c r="I376" s="64" t="b">
        <f>COUNTIF(TargetStatus!A:A,A376)&gt;0</f>
        <v>1</v>
      </c>
      <c r="J376" s="64" t="b">
        <f>COUNTIF(CostStatus!B:B,A376)&gt;0</f>
        <v>0</v>
      </c>
      <c r="K376" s="64" t="b">
        <f>COUNTIF(States!A:A,A376)&gt;0</f>
        <v>0</v>
      </c>
      <c r="L376" s="64" t="b">
        <f t="shared" si="2"/>
        <v>1</v>
      </c>
      <c r="M376" s="64" t="b">
        <f>IF(A376="","",COUNTIF(Targets!A:A,A376)&gt;1)</f>
        <v>0</v>
      </c>
      <c r="N376" s="64" t="b">
        <f>IF(A376="","",COUNTIF(States!A:A,A376)&gt;1)</f>
        <v>0</v>
      </c>
      <c r="O376" s="64" t="b">
        <f>IFERROR(__xludf.DUMMYFUNCTION("IF(
 B376="""",
 """",
 SWITCH(
  B376,
  ""BUILDING"",COUNTIF(Buildings!A:A,A376)&gt;0,
  ""CITADEL"",COUNTIF(Citadel!A:A,A376)&gt;0,
  ""COLLECTION"",COUNTIF(Collections!A:A,A376)&gt;0,
  ""CRAFTIFACT"",COUNTIF(Craftifacts!A:A,A376)&gt;0,
  ""QUEST"",
   COUNTIF(
 "&amp;"   Quests!A:A,
    REGEXREPLACE(A376,""\.(accepted|finished)$"","""")
   )&gt;0,
  ""TECH"",COUNTIF(Technologies!A:A,A376)&gt;0,
  ""STATE"",COUNTIF(States!A:A,A376)&gt;0,
  FALSE
 )
)"),FALSE)</f>
        <v>0</v>
      </c>
      <c r="P376" s="64" t="str">
        <f t="shared" si="3"/>
        <v>Good</v>
      </c>
      <c r="Q376" s="65"/>
      <c r="R376" s="65"/>
      <c r="S376" s="65"/>
      <c r="T376" s="65"/>
      <c r="U376" s="6"/>
      <c r="V376" s="6" t="str">
        <f>IFERROR(__xludf.DUMMYFUNCTION("""COMPUTED_VALUE"""),"state.character_cooking@1")</f>
        <v>state.character_cooking@1</v>
      </c>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row>
    <row r="377" ht="14.25" customHeight="1">
      <c r="A377" s="26" t="str">
        <f t="shared" si="1"/>
        <v>state.character_cooking@12</v>
      </c>
      <c r="B377" s="26" t="str">
        <f t="array" ref="B377">_xlfn.XLOOKUP(A377,Targets!A:A,Targets!C:C,"")</f>
        <v>STATE</v>
      </c>
      <c r="C377" s="64" t="b">
        <f>COUNTIF(Targets!A:A,A377)&gt;0</f>
        <v>1</v>
      </c>
      <c r="D377" s="64" t="b">
        <f>IF(
 OR(
  LEFT(A377,15)="state.character",
  RIGHT(A377,6)=".maxed"
 ),
 TRUE,
 COUNTIF(Checklist!A:A,A377)&gt;0
)</f>
        <v>1</v>
      </c>
      <c r="E377" s="64" t="b">
        <f>IF(
 OR(
  LEFT(A377,15)="state.character",
  RIGHT(A377,6)=".maxed",
  A377="building.guild@1",
  A377="quest.build_the_guild.accepted",
  A377="quest.build_the_pagoda.accepted"
 ),
 TRUE,
 COUNTIF(Dependencies!A:A,A377)&gt;0
)</f>
        <v>1</v>
      </c>
      <c r="F377" s="64" t="b">
        <f>COUNTIF(Dependencies!B:B,A377)&gt;0</f>
        <v>0</v>
      </c>
      <c r="G377" s="64" t="b">
        <f>COUNTIF(QuestObjectives!A:A,A377)&gt;0</f>
        <v>0</v>
      </c>
      <c r="H377" s="64" t="b">
        <f>COUNTIF(QuestObjectives!E:E,A377)&gt;0</f>
        <v>0</v>
      </c>
      <c r="I377" s="64" t="b">
        <f>COUNTIF(TargetStatus!A:A,A377)&gt;0</f>
        <v>1</v>
      </c>
      <c r="J377" s="64" t="b">
        <f>COUNTIF(CostStatus!B:B,A377)&gt;0</f>
        <v>0</v>
      </c>
      <c r="K377" s="64" t="b">
        <f>COUNTIF(States!A:A,A377)&gt;0</f>
        <v>0</v>
      </c>
      <c r="L377" s="64" t="b">
        <f t="shared" si="2"/>
        <v>1</v>
      </c>
      <c r="M377" s="64" t="b">
        <f>IF(A377="","",COUNTIF(Targets!A:A,A377)&gt;1)</f>
        <v>0</v>
      </c>
      <c r="N377" s="64" t="b">
        <f>IF(A377="","",COUNTIF(States!A:A,A377)&gt;1)</f>
        <v>0</v>
      </c>
      <c r="O377" s="64" t="b">
        <f>IFERROR(__xludf.DUMMYFUNCTION("IF(
 B377="""",
 """",
 SWITCH(
  B377,
  ""BUILDING"",COUNTIF(Buildings!A:A,A377)&gt;0,
  ""CITADEL"",COUNTIF(Citadel!A:A,A377)&gt;0,
  ""COLLECTION"",COUNTIF(Collections!A:A,A377)&gt;0,
  ""CRAFTIFACT"",COUNTIF(Craftifacts!A:A,A377)&gt;0,
  ""QUEST"",
   COUNTIF(
 "&amp;"   Quests!A:A,
    REGEXREPLACE(A377,""\.(accepted|finished)$"","""")
   )&gt;0,
  ""TECH"",COUNTIF(Technologies!A:A,A377)&gt;0,
  ""STATE"",COUNTIF(States!A:A,A377)&gt;0,
  FALSE
 )
)"),FALSE)</f>
        <v>0</v>
      </c>
      <c r="P377" s="64" t="str">
        <f t="shared" si="3"/>
        <v>Good</v>
      </c>
      <c r="Q377" s="65"/>
      <c r="R377" s="65"/>
      <c r="S377" s="65"/>
      <c r="T377" s="65"/>
      <c r="U377" s="6"/>
      <c r="V377" s="6" t="str">
        <f>IFERROR(__xludf.DUMMYFUNCTION("""COMPUTED_VALUE"""),"state.character_cooking@12")</f>
        <v>state.character_cooking@12</v>
      </c>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row>
    <row r="378" ht="14.25" customHeight="1">
      <c r="A378" s="26" t="str">
        <f t="shared" si="1"/>
        <v>state.character_cooking@13</v>
      </c>
      <c r="B378" s="26" t="str">
        <f t="array" ref="B378">_xlfn.XLOOKUP(A378,Targets!A:A,Targets!C:C,"")</f>
        <v>STATE</v>
      </c>
      <c r="C378" s="64" t="b">
        <f>COUNTIF(Targets!A:A,A378)&gt;0</f>
        <v>1</v>
      </c>
      <c r="D378" s="64" t="b">
        <f>IF(
 OR(
  LEFT(A378,15)="state.character",
  RIGHT(A378,6)=".maxed"
 ),
 TRUE,
 COUNTIF(Checklist!A:A,A378)&gt;0
)</f>
        <v>1</v>
      </c>
      <c r="E378" s="64" t="b">
        <f>IF(
 OR(
  LEFT(A378,15)="state.character",
  RIGHT(A378,6)=".maxed",
  A378="building.guild@1",
  A378="quest.build_the_guild.accepted",
  A378="quest.build_the_pagoda.accepted"
 ),
 TRUE,
 COUNTIF(Dependencies!A:A,A378)&gt;0
)</f>
        <v>1</v>
      </c>
      <c r="F378" s="64" t="b">
        <f>COUNTIF(Dependencies!B:B,A378)&gt;0</f>
        <v>1</v>
      </c>
      <c r="G378" s="64" t="b">
        <f>COUNTIF(QuestObjectives!A:A,A378)&gt;0</f>
        <v>0</v>
      </c>
      <c r="H378" s="64" t="b">
        <f>COUNTIF(QuestObjectives!E:E,A378)&gt;0</f>
        <v>1</v>
      </c>
      <c r="I378" s="64" t="b">
        <f>COUNTIF(TargetStatus!A:A,A378)&gt;0</f>
        <v>1</v>
      </c>
      <c r="J378" s="64" t="b">
        <f>COUNTIF(CostStatus!B:B,A378)&gt;0</f>
        <v>0</v>
      </c>
      <c r="K378" s="64" t="b">
        <f>COUNTIF(States!A:A,A378)&gt;0</f>
        <v>1</v>
      </c>
      <c r="L378" s="64" t="b">
        <f t="shared" si="2"/>
        <v>1</v>
      </c>
      <c r="M378" s="64" t="b">
        <f>IF(A378="","",COUNTIF(Targets!A:A,A378)&gt;1)</f>
        <v>0</v>
      </c>
      <c r="N378" s="64" t="b">
        <f>IF(A378="","",COUNTIF(States!A:A,A378)&gt;1)</f>
        <v>0</v>
      </c>
      <c r="O378" s="64" t="b">
        <f>IFERROR(__xludf.DUMMYFUNCTION("IF(
 B378="""",
 """",
 SWITCH(
  B378,
  ""BUILDING"",COUNTIF(Buildings!A:A,A378)&gt;0,
  ""CITADEL"",COUNTIF(Citadel!A:A,A378)&gt;0,
  ""COLLECTION"",COUNTIF(Collections!A:A,A378)&gt;0,
  ""CRAFTIFACT"",COUNTIF(Craftifacts!A:A,A378)&gt;0,
  ""QUEST"",
   COUNTIF(
 "&amp;"   Quests!A:A,
    REGEXREPLACE(A378,""\.(accepted|finished)$"","""")
   )&gt;0,
  ""TECH"",COUNTIF(Technologies!A:A,A378)&gt;0,
  ""STATE"",COUNTIF(States!A:A,A378)&gt;0,
  FALSE
 )
)"),TRUE)</f>
        <v>1</v>
      </c>
      <c r="P378" s="64" t="str">
        <f t="shared" si="3"/>
        <v>Good</v>
      </c>
      <c r="Q378" s="65"/>
      <c r="R378" s="65"/>
      <c r="S378" s="65"/>
      <c r="T378" s="65"/>
      <c r="U378" s="6"/>
      <c r="V378" s="6" t="str">
        <f>IFERROR(__xludf.DUMMYFUNCTION("""COMPUTED_VALUE"""),"state.character_cooking@13")</f>
        <v>state.character_cooking@13</v>
      </c>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row>
    <row r="379" ht="14.25" customHeight="1">
      <c r="A379" s="26" t="str">
        <f t="shared" si="1"/>
        <v>state.character_cooking@2</v>
      </c>
      <c r="B379" s="26" t="str">
        <f t="array" ref="B379">_xlfn.XLOOKUP(A379,Targets!A:A,Targets!C:C,"")</f>
        <v>STATE</v>
      </c>
      <c r="C379" s="64" t="b">
        <f>COUNTIF(Targets!A:A,A379)&gt;0</f>
        <v>1</v>
      </c>
      <c r="D379" s="64" t="b">
        <f>IF(
 OR(
  LEFT(A379,15)="state.character",
  RIGHT(A379,6)=".maxed"
 ),
 TRUE,
 COUNTIF(Checklist!A:A,A379)&gt;0
)</f>
        <v>1</v>
      </c>
      <c r="E379" s="64" t="b">
        <f>IF(
 OR(
  LEFT(A379,15)="state.character",
  RIGHT(A379,6)=".maxed",
  A379="building.guild@1",
  A379="quest.build_the_guild.accepted",
  A379="quest.build_the_pagoda.accepted"
 ),
 TRUE,
 COUNTIF(Dependencies!A:A,A379)&gt;0
)</f>
        <v>1</v>
      </c>
      <c r="F379" s="64" t="b">
        <f>COUNTIF(Dependencies!B:B,A379)&gt;0</f>
        <v>0</v>
      </c>
      <c r="G379" s="64" t="b">
        <f>COUNTIF(QuestObjectives!A:A,A379)&gt;0</f>
        <v>0</v>
      </c>
      <c r="H379" s="64" t="b">
        <f>COUNTIF(QuestObjectives!E:E,A379)&gt;0</f>
        <v>1</v>
      </c>
      <c r="I379" s="64" t="b">
        <f>COUNTIF(TargetStatus!A:A,A379)&gt;0</f>
        <v>1</v>
      </c>
      <c r="J379" s="64" t="b">
        <f>COUNTIF(CostStatus!B:B,A379)&gt;0</f>
        <v>0</v>
      </c>
      <c r="K379" s="64" t="b">
        <f>COUNTIF(States!A:A,A379)&gt;0</f>
        <v>1</v>
      </c>
      <c r="L379" s="64" t="b">
        <f t="shared" si="2"/>
        <v>1</v>
      </c>
      <c r="M379" s="64" t="b">
        <f>IF(A379="","",COUNTIF(Targets!A:A,A379)&gt;1)</f>
        <v>0</v>
      </c>
      <c r="N379" s="64" t="b">
        <f>IF(A379="","",COUNTIF(States!A:A,A379)&gt;1)</f>
        <v>0</v>
      </c>
      <c r="O379" s="64" t="b">
        <f>IFERROR(__xludf.DUMMYFUNCTION("IF(
 B379="""",
 """",
 SWITCH(
  B379,
  ""BUILDING"",COUNTIF(Buildings!A:A,A379)&gt;0,
  ""CITADEL"",COUNTIF(Citadel!A:A,A379)&gt;0,
  ""COLLECTION"",COUNTIF(Collections!A:A,A379)&gt;0,
  ""CRAFTIFACT"",COUNTIF(Craftifacts!A:A,A379)&gt;0,
  ""QUEST"",
   COUNTIF(
 "&amp;"   Quests!A:A,
    REGEXREPLACE(A379,""\.(accepted|finished)$"","""")
   )&gt;0,
  ""TECH"",COUNTIF(Technologies!A:A,A379)&gt;0,
  ""STATE"",COUNTIF(States!A:A,A379)&gt;0,
  FALSE
 )
)"),TRUE)</f>
        <v>1</v>
      </c>
      <c r="P379" s="64" t="str">
        <f t="shared" si="3"/>
        <v>Good</v>
      </c>
      <c r="Q379" s="65"/>
      <c r="R379" s="65"/>
      <c r="S379" s="65"/>
      <c r="T379" s="65"/>
      <c r="U379" s="6"/>
      <c r="V379" s="6" t="str">
        <f>IFERROR(__xludf.DUMMYFUNCTION("""COMPUTED_VALUE"""),"state.character_cooking@2")</f>
        <v>state.character_cooking@2</v>
      </c>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row>
    <row r="380" ht="14.25" customHeight="1">
      <c r="A380" s="26" t="str">
        <f t="shared" si="1"/>
        <v>state.character_cooking@3</v>
      </c>
      <c r="B380" s="26" t="str">
        <f t="array" ref="B380">_xlfn.XLOOKUP(A380,Targets!A:A,Targets!C:C,"")</f>
        <v>STATE</v>
      </c>
      <c r="C380" s="64" t="b">
        <f>COUNTIF(Targets!A:A,A380)&gt;0</f>
        <v>1</v>
      </c>
      <c r="D380" s="64" t="b">
        <f>IF(
 OR(
  LEFT(A380,15)="state.character",
  RIGHT(A380,6)=".maxed"
 ),
 TRUE,
 COUNTIF(Checklist!A:A,A380)&gt;0
)</f>
        <v>1</v>
      </c>
      <c r="E380" s="64" t="b">
        <f>IF(
 OR(
  LEFT(A380,15)="state.character",
  RIGHT(A380,6)=".maxed",
  A380="building.guild@1",
  A380="quest.build_the_guild.accepted",
  A380="quest.build_the_pagoda.accepted"
 ),
 TRUE,
 COUNTIF(Dependencies!A:A,A380)&gt;0
)</f>
        <v>1</v>
      </c>
      <c r="F380" s="64" t="b">
        <f>COUNTIF(Dependencies!B:B,A380)&gt;0</f>
        <v>0</v>
      </c>
      <c r="G380" s="64" t="b">
        <f>COUNTIF(QuestObjectives!A:A,A380)&gt;0</f>
        <v>0</v>
      </c>
      <c r="H380" s="64" t="b">
        <f>COUNTIF(QuestObjectives!E:E,A380)&gt;0</f>
        <v>1</v>
      </c>
      <c r="I380" s="64" t="b">
        <f>COUNTIF(TargetStatus!A:A,A380)&gt;0</f>
        <v>1</v>
      </c>
      <c r="J380" s="64" t="b">
        <f>COUNTIF(CostStatus!B:B,A380)&gt;0</f>
        <v>0</v>
      </c>
      <c r="K380" s="64" t="b">
        <f>COUNTIF(States!A:A,A380)&gt;0</f>
        <v>1</v>
      </c>
      <c r="L380" s="64" t="b">
        <f t="shared" si="2"/>
        <v>1</v>
      </c>
      <c r="M380" s="64" t="b">
        <f>IF(A380="","",COUNTIF(Targets!A:A,A380)&gt;1)</f>
        <v>0</v>
      </c>
      <c r="N380" s="64" t="b">
        <f>IF(A380="","",COUNTIF(States!A:A,A380)&gt;1)</f>
        <v>0</v>
      </c>
      <c r="O380" s="64" t="b">
        <f>IFERROR(__xludf.DUMMYFUNCTION("IF(
 B380="""",
 """",
 SWITCH(
  B380,
  ""BUILDING"",COUNTIF(Buildings!A:A,A380)&gt;0,
  ""CITADEL"",COUNTIF(Citadel!A:A,A380)&gt;0,
  ""COLLECTION"",COUNTIF(Collections!A:A,A380)&gt;0,
  ""CRAFTIFACT"",COUNTIF(Craftifacts!A:A,A380)&gt;0,
  ""QUEST"",
   COUNTIF(
 "&amp;"   Quests!A:A,
    REGEXREPLACE(A380,""\.(accepted|finished)$"","""")
   )&gt;0,
  ""TECH"",COUNTIF(Technologies!A:A,A380)&gt;0,
  ""STATE"",COUNTIF(States!A:A,A380)&gt;0,
  FALSE
 )
)"),TRUE)</f>
        <v>1</v>
      </c>
      <c r="P380" s="64" t="str">
        <f t="shared" si="3"/>
        <v>Good</v>
      </c>
      <c r="Q380" s="65"/>
      <c r="R380" s="65"/>
      <c r="S380" s="65"/>
      <c r="T380" s="65"/>
      <c r="U380" s="6"/>
      <c r="V380" s="6" t="str">
        <f>IFERROR(__xludf.DUMMYFUNCTION("""COMPUTED_VALUE"""),"state.character_cooking@3")</f>
        <v>state.character_cooking@3</v>
      </c>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row>
    <row r="381" ht="14.25" customHeight="1">
      <c r="A381" s="26" t="str">
        <f t="shared" si="1"/>
        <v>state.character_level@10</v>
      </c>
      <c r="B381" s="26" t="str">
        <f t="array" ref="B381">_xlfn.XLOOKUP(A381,Targets!A:A,Targets!C:C,"")</f>
        <v>STATE</v>
      </c>
      <c r="C381" s="64" t="b">
        <f>COUNTIF(Targets!A:A,A381)&gt;0</f>
        <v>1</v>
      </c>
      <c r="D381" s="64" t="b">
        <f>IF(
 OR(
  LEFT(A381,15)="state.character",
  RIGHT(A381,6)=".maxed"
 ),
 TRUE,
 COUNTIF(Checklist!A:A,A381)&gt;0
)</f>
        <v>1</v>
      </c>
      <c r="E381" s="64" t="b">
        <f>IF(
 OR(
  LEFT(A381,15)="state.character",
  RIGHT(A381,6)=".maxed",
  A381="building.guild@1",
  A381="quest.build_the_guild.accepted",
  A381="quest.build_the_pagoda.accepted"
 ),
 TRUE,
 COUNTIF(Dependencies!A:A,A381)&gt;0
)</f>
        <v>1</v>
      </c>
      <c r="F381" s="64" t="b">
        <f>COUNTIF(Dependencies!B:B,A381)&gt;0</f>
        <v>1</v>
      </c>
      <c r="G381" s="64" t="b">
        <f>COUNTIF(QuestObjectives!A:A,A381)&gt;0</f>
        <v>0</v>
      </c>
      <c r="H381" s="64" t="b">
        <f>COUNTIF(QuestObjectives!E:E,A381)&gt;0</f>
        <v>0</v>
      </c>
      <c r="I381" s="64" t="b">
        <f>COUNTIF(TargetStatus!A:A,A381)&gt;0</f>
        <v>1</v>
      </c>
      <c r="J381" s="64" t="b">
        <f>COUNTIF(CostStatus!B:B,A381)&gt;0</f>
        <v>0</v>
      </c>
      <c r="K381" s="64" t="b">
        <f>COUNTIF(States!A:A,A381)&gt;0</f>
        <v>1</v>
      </c>
      <c r="L381" s="64" t="b">
        <f t="shared" si="2"/>
        <v>1</v>
      </c>
      <c r="M381" s="64" t="b">
        <f>IF(A381="","",COUNTIF(Targets!A:A,A381)&gt;1)</f>
        <v>0</v>
      </c>
      <c r="N381" s="64" t="b">
        <f>IF(A381="","",COUNTIF(States!A:A,A381)&gt;1)</f>
        <v>0</v>
      </c>
      <c r="O381" s="64" t="b">
        <f>IFERROR(__xludf.DUMMYFUNCTION("IF(
 B381="""",
 """",
 SWITCH(
  B381,
  ""BUILDING"",COUNTIF(Buildings!A:A,A381)&gt;0,
  ""CITADEL"",COUNTIF(Citadel!A:A,A381)&gt;0,
  ""COLLECTION"",COUNTIF(Collections!A:A,A381)&gt;0,
  ""CRAFTIFACT"",COUNTIF(Craftifacts!A:A,A381)&gt;0,
  ""QUEST"",
   COUNTIF(
 "&amp;"   Quests!A:A,
    REGEXREPLACE(A381,""\.(accepted|finished)$"","""")
   )&gt;0,
  ""TECH"",COUNTIF(Technologies!A:A,A381)&gt;0,
  ""STATE"",COUNTIF(States!A:A,A381)&gt;0,
  FALSE
 )
)"),TRUE)</f>
        <v>1</v>
      </c>
      <c r="P381" s="64" t="str">
        <f t="shared" si="3"/>
        <v>Good</v>
      </c>
      <c r="Q381" s="65"/>
      <c r="R381" s="65"/>
      <c r="S381" s="65"/>
      <c r="T381" s="65"/>
      <c r="U381" s="6"/>
      <c r="V381" s="6" t="str">
        <f>IFERROR(__xludf.DUMMYFUNCTION("""COMPUTED_VALUE"""),"state.character_level@10")</f>
        <v>state.character_level@10</v>
      </c>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row>
    <row r="382" ht="14.25" customHeight="1">
      <c r="A382" s="26" t="str">
        <f t="shared" si="1"/>
        <v>state.character_level@11</v>
      </c>
      <c r="B382" s="26" t="str">
        <f t="array" ref="B382">_xlfn.XLOOKUP(A382,Targets!A:A,Targets!C:C,"")</f>
        <v>STATE</v>
      </c>
      <c r="C382" s="64" t="b">
        <f>COUNTIF(Targets!A:A,A382)&gt;0</f>
        <v>1</v>
      </c>
      <c r="D382" s="64" t="b">
        <f>IF(
 OR(
  LEFT(A382,15)="state.character",
  RIGHT(A382,6)=".maxed"
 ),
 TRUE,
 COUNTIF(Checklist!A:A,A382)&gt;0
)</f>
        <v>1</v>
      </c>
      <c r="E382" s="64" t="b">
        <f>IF(
 OR(
  LEFT(A382,15)="state.character",
  RIGHT(A382,6)=".maxed",
  A382="building.guild@1",
  A382="quest.build_the_guild.accepted",
  A382="quest.build_the_pagoda.accepted"
 ),
 TRUE,
 COUNTIF(Dependencies!A:A,A382)&gt;0
)</f>
        <v>1</v>
      </c>
      <c r="F382" s="64" t="b">
        <f>COUNTIF(Dependencies!B:B,A382)&gt;0</f>
        <v>1</v>
      </c>
      <c r="G382" s="64" t="b">
        <f>COUNTIF(QuestObjectives!A:A,A382)&gt;0</f>
        <v>0</v>
      </c>
      <c r="H382" s="64" t="b">
        <f>COUNTIF(QuestObjectives!E:E,A382)&gt;0</f>
        <v>0</v>
      </c>
      <c r="I382" s="64" t="b">
        <f>COUNTIF(TargetStatus!A:A,A382)&gt;0</f>
        <v>1</v>
      </c>
      <c r="J382" s="64" t="b">
        <f>COUNTIF(CostStatus!B:B,A382)&gt;0</f>
        <v>0</v>
      </c>
      <c r="K382" s="64" t="b">
        <f>COUNTIF(States!A:A,A382)&gt;0</f>
        <v>1</v>
      </c>
      <c r="L382" s="64" t="b">
        <f t="shared" si="2"/>
        <v>1</v>
      </c>
      <c r="M382" s="64" t="b">
        <f>IF(A382="","",COUNTIF(Targets!A:A,A382)&gt;1)</f>
        <v>0</v>
      </c>
      <c r="N382" s="64" t="b">
        <f>IF(A382="","",COUNTIF(States!A:A,A382)&gt;1)</f>
        <v>0</v>
      </c>
      <c r="O382" s="64" t="b">
        <f>IFERROR(__xludf.DUMMYFUNCTION("IF(
 B382="""",
 """",
 SWITCH(
  B382,
  ""BUILDING"",COUNTIF(Buildings!A:A,A382)&gt;0,
  ""CITADEL"",COUNTIF(Citadel!A:A,A382)&gt;0,
  ""COLLECTION"",COUNTIF(Collections!A:A,A382)&gt;0,
  ""CRAFTIFACT"",COUNTIF(Craftifacts!A:A,A382)&gt;0,
  ""QUEST"",
   COUNTIF(
 "&amp;"   Quests!A:A,
    REGEXREPLACE(A382,""\.(accepted|finished)$"","""")
   )&gt;0,
  ""TECH"",COUNTIF(Technologies!A:A,A382)&gt;0,
  ""STATE"",COUNTIF(States!A:A,A382)&gt;0,
  FALSE
 )
)"),TRUE)</f>
        <v>1</v>
      </c>
      <c r="P382" s="64" t="str">
        <f t="shared" si="3"/>
        <v>Good</v>
      </c>
      <c r="Q382" s="65"/>
      <c r="R382" s="65"/>
      <c r="S382" s="65"/>
      <c r="T382" s="65"/>
      <c r="U382" s="6"/>
      <c r="V382" s="6" t="str">
        <f>IFERROR(__xludf.DUMMYFUNCTION("""COMPUTED_VALUE"""),"state.character_level@11")</f>
        <v>state.character_level@11</v>
      </c>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row>
    <row r="383" ht="14.25" customHeight="1">
      <c r="A383" s="26" t="str">
        <f t="shared" si="1"/>
        <v>state.character_level@12</v>
      </c>
      <c r="B383" s="26" t="str">
        <f t="array" ref="B383">_xlfn.XLOOKUP(A383,Targets!A:A,Targets!C:C,"")</f>
        <v>STATE</v>
      </c>
      <c r="C383" s="64" t="b">
        <f>COUNTIF(Targets!A:A,A383)&gt;0</f>
        <v>1</v>
      </c>
      <c r="D383" s="64" t="b">
        <f>IF(
 OR(
  LEFT(A383,15)="state.character",
  RIGHT(A383,6)=".maxed"
 ),
 TRUE,
 COUNTIF(Checklist!A:A,A383)&gt;0
)</f>
        <v>1</v>
      </c>
      <c r="E383" s="64" t="b">
        <f>IF(
 OR(
  LEFT(A383,15)="state.character",
  RIGHT(A383,6)=".maxed",
  A383="building.guild@1",
  A383="quest.build_the_guild.accepted",
  A383="quest.build_the_pagoda.accepted"
 ),
 TRUE,
 COUNTIF(Dependencies!A:A,A383)&gt;0
)</f>
        <v>1</v>
      </c>
      <c r="F383" s="64" t="b">
        <f>COUNTIF(Dependencies!B:B,A383)&gt;0</f>
        <v>1</v>
      </c>
      <c r="G383" s="64" t="b">
        <f>COUNTIF(QuestObjectives!A:A,A383)&gt;0</f>
        <v>0</v>
      </c>
      <c r="H383" s="64" t="b">
        <f>COUNTIF(QuestObjectives!E:E,A383)&gt;0</f>
        <v>0</v>
      </c>
      <c r="I383" s="64" t="b">
        <f>COUNTIF(TargetStatus!A:A,A383)&gt;0</f>
        <v>1</v>
      </c>
      <c r="J383" s="64" t="b">
        <f>COUNTIF(CostStatus!B:B,A383)&gt;0</f>
        <v>0</v>
      </c>
      <c r="K383" s="64" t="b">
        <f>COUNTIF(States!A:A,A383)&gt;0</f>
        <v>1</v>
      </c>
      <c r="L383" s="64" t="b">
        <f t="shared" si="2"/>
        <v>1</v>
      </c>
      <c r="M383" s="64" t="b">
        <f>IF(A383="","",COUNTIF(Targets!A:A,A383)&gt;1)</f>
        <v>0</v>
      </c>
      <c r="N383" s="64" t="b">
        <f>IF(A383="","",COUNTIF(States!A:A,A383)&gt;1)</f>
        <v>0</v>
      </c>
      <c r="O383" s="64" t="b">
        <f>IFERROR(__xludf.DUMMYFUNCTION("IF(
 B383="""",
 """",
 SWITCH(
  B383,
  ""BUILDING"",COUNTIF(Buildings!A:A,A383)&gt;0,
  ""CITADEL"",COUNTIF(Citadel!A:A,A383)&gt;0,
  ""COLLECTION"",COUNTIF(Collections!A:A,A383)&gt;0,
  ""CRAFTIFACT"",COUNTIF(Craftifacts!A:A,A383)&gt;0,
  ""QUEST"",
   COUNTIF(
 "&amp;"   Quests!A:A,
    REGEXREPLACE(A383,""\.(accepted|finished)$"","""")
   )&gt;0,
  ""TECH"",COUNTIF(Technologies!A:A,A383)&gt;0,
  ""STATE"",COUNTIF(States!A:A,A383)&gt;0,
  FALSE
 )
)"),TRUE)</f>
        <v>1</v>
      </c>
      <c r="P383" s="64" t="str">
        <f t="shared" si="3"/>
        <v>Good</v>
      </c>
      <c r="Q383" s="65"/>
      <c r="R383" s="65"/>
      <c r="S383" s="65"/>
      <c r="T383" s="65"/>
      <c r="U383" s="6"/>
      <c r="V383" s="6" t="str">
        <f>IFERROR(__xludf.DUMMYFUNCTION("""COMPUTED_VALUE"""),"state.character_level@12")</f>
        <v>state.character_level@12</v>
      </c>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row>
    <row r="384" ht="14.25" customHeight="1">
      <c r="A384" s="26" t="str">
        <f t="shared" si="1"/>
        <v>state.character_level@13</v>
      </c>
      <c r="B384" s="26" t="str">
        <f t="array" ref="B384">_xlfn.XLOOKUP(A384,Targets!A:A,Targets!C:C,"")</f>
        <v>STATE</v>
      </c>
      <c r="C384" s="64" t="b">
        <f>COUNTIF(Targets!A:A,A384)&gt;0</f>
        <v>1</v>
      </c>
      <c r="D384" s="64" t="b">
        <f>IF(
 OR(
  LEFT(A384,15)="state.character",
  RIGHT(A384,6)=".maxed"
 ),
 TRUE,
 COUNTIF(Checklist!A:A,A384)&gt;0
)</f>
        <v>1</v>
      </c>
      <c r="E384" s="64" t="b">
        <f>IF(
 OR(
  LEFT(A384,15)="state.character",
  RIGHT(A384,6)=".maxed",
  A384="building.guild@1",
  A384="quest.build_the_guild.accepted",
  A384="quest.build_the_pagoda.accepted"
 ),
 TRUE,
 COUNTIF(Dependencies!A:A,A384)&gt;0
)</f>
        <v>1</v>
      </c>
      <c r="F384" s="64" t="b">
        <f>COUNTIF(Dependencies!B:B,A384)&gt;0</f>
        <v>1</v>
      </c>
      <c r="G384" s="64" t="b">
        <f>COUNTIF(QuestObjectives!A:A,A384)&gt;0</f>
        <v>0</v>
      </c>
      <c r="H384" s="64" t="b">
        <f>COUNTIF(QuestObjectives!E:E,A384)&gt;0</f>
        <v>0</v>
      </c>
      <c r="I384" s="64" t="b">
        <f>COUNTIF(TargetStatus!A:A,A384)&gt;0</f>
        <v>1</v>
      </c>
      <c r="J384" s="64" t="b">
        <f>COUNTIF(CostStatus!B:B,A384)&gt;0</f>
        <v>0</v>
      </c>
      <c r="K384" s="64" t="b">
        <f>COUNTIF(States!A:A,A384)&gt;0</f>
        <v>1</v>
      </c>
      <c r="L384" s="64" t="b">
        <f t="shared" si="2"/>
        <v>1</v>
      </c>
      <c r="M384" s="64" t="b">
        <f>IF(A384="","",COUNTIF(Targets!A:A,A384)&gt;1)</f>
        <v>0</v>
      </c>
      <c r="N384" s="64" t="b">
        <f>IF(A384="","",COUNTIF(States!A:A,A384)&gt;1)</f>
        <v>0</v>
      </c>
      <c r="O384" s="64" t="b">
        <f>IFERROR(__xludf.DUMMYFUNCTION("IF(
 B384="""",
 """",
 SWITCH(
  B384,
  ""BUILDING"",COUNTIF(Buildings!A:A,A384)&gt;0,
  ""CITADEL"",COUNTIF(Citadel!A:A,A384)&gt;0,
  ""COLLECTION"",COUNTIF(Collections!A:A,A384)&gt;0,
  ""CRAFTIFACT"",COUNTIF(Craftifacts!A:A,A384)&gt;0,
  ""QUEST"",
   COUNTIF(
 "&amp;"   Quests!A:A,
    REGEXREPLACE(A384,""\.(accepted|finished)$"","""")
   )&gt;0,
  ""TECH"",COUNTIF(Technologies!A:A,A384)&gt;0,
  ""STATE"",COUNTIF(States!A:A,A384)&gt;0,
  FALSE
 )
)"),TRUE)</f>
        <v>1</v>
      </c>
      <c r="P384" s="64" t="str">
        <f t="shared" si="3"/>
        <v>Good</v>
      </c>
      <c r="Q384" s="65"/>
      <c r="R384" s="65"/>
      <c r="S384" s="65"/>
      <c r="T384" s="65"/>
      <c r="U384" s="6"/>
      <c r="V384" s="6" t="str">
        <f>IFERROR(__xludf.DUMMYFUNCTION("""COMPUTED_VALUE"""),"state.character_level@13")</f>
        <v>state.character_level@13</v>
      </c>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row>
    <row r="385" ht="14.25" customHeight="1">
      <c r="A385" s="26" t="str">
        <f t="shared" si="1"/>
        <v>state.character_level@14</v>
      </c>
      <c r="B385" s="26" t="str">
        <f t="array" ref="B385">_xlfn.XLOOKUP(A385,Targets!A:A,Targets!C:C,"")</f>
        <v>STATE</v>
      </c>
      <c r="C385" s="64" t="b">
        <f>COUNTIF(Targets!A:A,A385)&gt;0</f>
        <v>1</v>
      </c>
      <c r="D385" s="64" t="b">
        <f>IF(
 OR(
  LEFT(A385,15)="state.character",
  RIGHT(A385,6)=".maxed"
 ),
 TRUE,
 COUNTIF(Checklist!A:A,A385)&gt;0
)</f>
        <v>1</v>
      </c>
      <c r="E385" s="64" t="b">
        <f>IF(
 OR(
  LEFT(A385,15)="state.character",
  RIGHT(A385,6)=".maxed",
  A385="building.guild@1",
  A385="quest.build_the_guild.accepted",
  A385="quest.build_the_pagoda.accepted"
 ),
 TRUE,
 COUNTIF(Dependencies!A:A,A385)&gt;0
)</f>
        <v>1</v>
      </c>
      <c r="F385" s="64" t="b">
        <f>COUNTIF(Dependencies!B:B,A385)&gt;0</f>
        <v>1</v>
      </c>
      <c r="G385" s="64" t="b">
        <f>COUNTIF(QuestObjectives!A:A,A385)&gt;0</f>
        <v>0</v>
      </c>
      <c r="H385" s="64" t="b">
        <f>COUNTIF(QuestObjectives!E:E,A385)&gt;0</f>
        <v>0</v>
      </c>
      <c r="I385" s="64" t="b">
        <f>COUNTIF(TargetStatus!A:A,A385)&gt;0</f>
        <v>1</v>
      </c>
      <c r="J385" s="64" t="b">
        <f>COUNTIF(CostStatus!B:B,A385)&gt;0</f>
        <v>0</v>
      </c>
      <c r="K385" s="64" t="b">
        <f>COUNTIF(States!A:A,A385)&gt;0</f>
        <v>1</v>
      </c>
      <c r="L385" s="64" t="b">
        <f t="shared" si="2"/>
        <v>1</v>
      </c>
      <c r="M385" s="64" t="b">
        <f>IF(A385="","",COUNTIF(Targets!A:A,A385)&gt;1)</f>
        <v>0</v>
      </c>
      <c r="N385" s="64" t="b">
        <f>IF(A385="","",COUNTIF(States!A:A,A385)&gt;1)</f>
        <v>0</v>
      </c>
      <c r="O385" s="64" t="b">
        <f>IFERROR(__xludf.DUMMYFUNCTION("IF(
 B385="""",
 """",
 SWITCH(
  B385,
  ""BUILDING"",COUNTIF(Buildings!A:A,A385)&gt;0,
  ""CITADEL"",COUNTIF(Citadel!A:A,A385)&gt;0,
  ""COLLECTION"",COUNTIF(Collections!A:A,A385)&gt;0,
  ""CRAFTIFACT"",COUNTIF(Craftifacts!A:A,A385)&gt;0,
  ""QUEST"",
   COUNTIF(
 "&amp;"   Quests!A:A,
    REGEXREPLACE(A385,""\.(accepted|finished)$"","""")
   )&gt;0,
  ""TECH"",COUNTIF(Technologies!A:A,A385)&gt;0,
  ""STATE"",COUNTIF(States!A:A,A385)&gt;0,
  FALSE
 )
)"),TRUE)</f>
        <v>1</v>
      </c>
      <c r="P385" s="64" t="str">
        <f t="shared" si="3"/>
        <v>Good</v>
      </c>
      <c r="Q385" s="65"/>
      <c r="R385" s="65"/>
      <c r="S385" s="65"/>
      <c r="T385" s="65"/>
      <c r="U385" s="6"/>
      <c r="V385" s="6" t="str">
        <f>IFERROR(__xludf.DUMMYFUNCTION("""COMPUTED_VALUE"""),"state.character_level@14")</f>
        <v>state.character_level@14</v>
      </c>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row>
    <row r="386" ht="14.25" customHeight="1">
      <c r="A386" s="26" t="str">
        <f t="shared" si="1"/>
        <v>state.character_level@15</v>
      </c>
      <c r="B386" s="26" t="str">
        <f t="array" ref="B386">_xlfn.XLOOKUP(A386,Targets!A:A,Targets!C:C,"")</f>
        <v>STATE</v>
      </c>
      <c r="C386" s="64" t="b">
        <f>COUNTIF(Targets!A:A,A386)&gt;0</f>
        <v>1</v>
      </c>
      <c r="D386" s="64" t="b">
        <f>IF(
 OR(
  LEFT(A386,15)="state.character",
  RIGHT(A386,6)=".maxed"
 ),
 TRUE,
 COUNTIF(Checklist!A:A,A386)&gt;0
)</f>
        <v>1</v>
      </c>
      <c r="E386" s="64" t="b">
        <f>IF(
 OR(
  LEFT(A386,15)="state.character",
  RIGHT(A386,6)=".maxed",
  A386="building.guild@1",
  A386="quest.build_the_guild.accepted",
  A386="quest.build_the_pagoda.accepted"
 ),
 TRUE,
 COUNTIF(Dependencies!A:A,A386)&gt;0
)</f>
        <v>1</v>
      </c>
      <c r="F386" s="64" t="b">
        <f>COUNTIF(Dependencies!B:B,A386)&gt;0</f>
        <v>1</v>
      </c>
      <c r="G386" s="64" t="b">
        <f>COUNTIF(QuestObjectives!A:A,A386)&gt;0</f>
        <v>0</v>
      </c>
      <c r="H386" s="64" t="b">
        <f>COUNTIF(QuestObjectives!E:E,A386)&gt;0</f>
        <v>0</v>
      </c>
      <c r="I386" s="64" t="b">
        <f>COUNTIF(TargetStatus!A:A,A386)&gt;0</f>
        <v>1</v>
      </c>
      <c r="J386" s="64" t="b">
        <f>COUNTIF(CostStatus!B:B,A386)&gt;0</f>
        <v>0</v>
      </c>
      <c r="K386" s="64" t="b">
        <f>COUNTIF(States!A:A,A386)&gt;0</f>
        <v>1</v>
      </c>
      <c r="L386" s="64" t="b">
        <f t="shared" si="2"/>
        <v>1</v>
      </c>
      <c r="M386" s="64" t="b">
        <f>IF(A386="","",COUNTIF(Targets!A:A,A386)&gt;1)</f>
        <v>0</v>
      </c>
      <c r="N386" s="64" t="b">
        <f>IF(A386="","",COUNTIF(States!A:A,A386)&gt;1)</f>
        <v>0</v>
      </c>
      <c r="O386" s="64" t="b">
        <f>IFERROR(__xludf.DUMMYFUNCTION("IF(
 B386="""",
 """",
 SWITCH(
  B386,
  ""BUILDING"",COUNTIF(Buildings!A:A,A386)&gt;0,
  ""CITADEL"",COUNTIF(Citadel!A:A,A386)&gt;0,
  ""COLLECTION"",COUNTIF(Collections!A:A,A386)&gt;0,
  ""CRAFTIFACT"",COUNTIF(Craftifacts!A:A,A386)&gt;0,
  ""QUEST"",
   COUNTIF(
 "&amp;"   Quests!A:A,
    REGEXREPLACE(A386,""\.(accepted|finished)$"","""")
   )&gt;0,
  ""TECH"",COUNTIF(Technologies!A:A,A386)&gt;0,
  ""STATE"",COUNTIF(States!A:A,A386)&gt;0,
  FALSE
 )
)"),TRUE)</f>
        <v>1</v>
      </c>
      <c r="P386" s="64" t="str">
        <f t="shared" si="3"/>
        <v>Good</v>
      </c>
      <c r="Q386" s="65"/>
      <c r="R386" s="65"/>
      <c r="S386" s="65"/>
      <c r="T386" s="65"/>
      <c r="U386" s="6"/>
      <c r="V386" s="6" t="str">
        <f>IFERROR(__xludf.DUMMYFUNCTION("""COMPUTED_VALUE"""),"state.character_level@15")</f>
        <v>state.character_level@15</v>
      </c>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row>
    <row r="387" ht="14.25" customHeight="1">
      <c r="A387" s="26" t="str">
        <f t="shared" si="1"/>
        <v>state.character_level@18</v>
      </c>
      <c r="B387" s="26" t="str">
        <f t="array" ref="B387">_xlfn.XLOOKUP(A387,Targets!A:A,Targets!C:C,"")</f>
        <v>STATE</v>
      </c>
      <c r="C387" s="64" t="b">
        <f>COUNTIF(Targets!A:A,A387)&gt;0</f>
        <v>1</v>
      </c>
      <c r="D387" s="64" t="b">
        <f>IF(
 OR(
  LEFT(A387,15)="state.character",
  RIGHT(A387,6)=".maxed"
 ),
 TRUE,
 COUNTIF(Checklist!A:A,A387)&gt;0
)</f>
        <v>1</v>
      </c>
      <c r="E387" s="64" t="b">
        <f>IF(
 OR(
  LEFT(A387,15)="state.character",
  RIGHT(A387,6)=".maxed",
  A387="building.guild@1",
  A387="quest.build_the_guild.accepted",
  A387="quest.build_the_pagoda.accepted"
 ),
 TRUE,
 COUNTIF(Dependencies!A:A,A387)&gt;0
)</f>
        <v>1</v>
      </c>
      <c r="F387" s="64" t="b">
        <f>COUNTIF(Dependencies!B:B,A387)&gt;0</f>
        <v>1</v>
      </c>
      <c r="G387" s="64" t="b">
        <f>COUNTIF(QuestObjectives!A:A,A387)&gt;0</f>
        <v>0</v>
      </c>
      <c r="H387" s="64" t="b">
        <f>COUNTIF(QuestObjectives!E:E,A387)&gt;0</f>
        <v>0</v>
      </c>
      <c r="I387" s="64" t="b">
        <f>COUNTIF(TargetStatus!A:A,A387)&gt;0</f>
        <v>1</v>
      </c>
      <c r="J387" s="64" t="b">
        <f>COUNTIF(CostStatus!B:B,A387)&gt;0</f>
        <v>0</v>
      </c>
      <c r="K387" s="64" t="b">
        <f>COUNTIF(States!A:A,A387)&gt;0</f>
        <v>1</v>
      </c>
      <c r="L387" s="64" t="b">
        <f t="shared" si="2"/>
        <v>1</v>
      </c>
      <c r="M387" s="64" t="b">
        <f>IF(A387="","",COUNTIF(Targets!A:A,A387)&gt;1)</f>
        <v>0</v>
      </c>
      <c r="N387" s="64" t="b">
        <f>IF(A387="","",COUNTIF(States!A:A,A387)&gt;1)</f>
        <v>0</v>
      </c>
      <c r="O387" s="64" t="b">
        <f>IFERROR(__xludf.DUMMYFUNCTION("IF(
 B387="""",
 """",
 SWITCH(
  B387,
  ""BUILDING"",COUNTIF(Buildings!A:A,A387)&gt;0,
  ""CITADEL"",COUNTIF(Citadel!A:A,A387)&gt;0,
  ""COLLECTION"",COUNTIF(Collections!A:A,A387)&gt;0,
  ""CRAFTIFACT"",COUNTIF(Craftifacts!A:A,A387)&gt;0,
  ""QUEST"",
   COUNTIF(
 "&amp;"   Quests!A:A,
    REGEXREPLACE(A387,""\.(accepted|finished)$"","""")
   )&gt;0,
  ""TECH"",COUNTIF(Technologies!A:A,A387)&gt;0,
  ""STATE"",COUNTIF(States!A:A,A387)&gt;0,
  FALSE
 )
)"),TRUE)</f>
        <v>1</v>
      </c>
      <c r="P387" s="64" t="str">
        <f t="shared" si="3"/>
        <v>Good</v>
      </c>
      <c r="Q387" s="65"/>
      <c r="R387" s="65"/>
      <c r="S387" s="65"/>
      <c r="T387" s="65"/>
      <c r="U387" s="6"/>
      <c r="V387" s="6" t="str">
        <f>IFERROR(__xludf.DUMMYFUNCTION("""COMPUTED_VALUE"""),"state.character_level@18")</f>
        <v>state.character_level@18</v>
      </c>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row>
    <row r="388" ht="14.25" customHeight="1">
      <c r="A388" s="26" t="str">
        <f t="shared" si="1"/>
        <v>state.character_level@2</v>
      </c>
      <c r="B388" s="26" t="str">
        <f t="array" ref="B388">_xlfn.XLOOKUP(A388,Targets!A:A,Targets!C:C,"")</f>
        <v>STATE</v>
      </c>
      <c r="C388" s="64" t="b">
        <f>COUNTIF(Targets!A:A,A388)&gt;0</f>
        <v>1</v>
      </c>
      <c r="D388" s="64" t="b">
        <f>IF(
 OR(
  LEFT(A388,15)="state.character",
  RIGHT(A388,6)=".maxed"
 ),
 TRUE,
 COUNTIF(Checklist!A:A,A388)&gt;0
)</f>
        <v>1</v>
      </c>
      <c r="E388" s="64" t="b">
        <f>IF(
 OR(
  LEFT(A388,15)="state.character",
  RIGHT(A388,6)=".maxed",
  A388="building.guild@1",
  A388="quest.build_the_guild.accepted",
  A388="quest.build_the_pagoda.accepted"
 ),
 TRUE,
 COUNTIF(Dependencies!A:A,A388)&gt;0
)</f>
        <v>1</v>
      </c>
      <c r="F388" s="64" t="b">
        <f>COUNTIF(Dependencies!B:B,A388)&gt;0</f>
        <v>1</v>
      </c>
      <c r="G388" s="64" t="b">
        <f>COUNTIF(QuestObjectives!A:A,A388)&gt;0</f>
        <v>0</v>
      </c>
      <c r="H388" s="64" t="b">
        <f>COUNTIF(QuestObjectives!E:E,A388)&gt;0</f>
        <v>0</v>
      </c>
      <c r="I388" s="64" t="b">
        <f>COUNTIF(TargetStatus!A:A,A388)&gt;0</f>
        <v>1</v>
      </c>
      <c r="J388" s="64" t="b">
        <f>COUNTIF(CostStatus!B:B,A388)&gt;0</f>
        <v>0</v>
      </c>
      <c r="K388" s="64" t="b">
        <f>COUNTIF(States!A:A,A388)&gt;0</f>
        <v>1</v>
      </c>
      <c r="L388" s="64" t="b">
        <f t="shared" si="2"/>
        <v>1</v>
      </c>
      <c r="M388" s="64" t="b">
        <f>IF(A388="","",COUNTIF(Targets!A:A,A388)&gt;1)</f>
        <v>0</v>
      </c>
      <c r="N388" s="64" t="b">
        <f>IF(A388="","",COUNTIF(States!A:A,A388)&gt;1)</f>
        <v>0</v>
      </c>
      <c r="O388" s="64" t="b">
        <f>IFERROR(__xludf.DUMMYFUNCTION("IF(
 B388="""",
 """",
 SWITCH(
  B388,
  ""BUILDING"",COUNTIF(Buildings!A:A,A388)&gt;0,
  ""CITADEL"",COUNTIF(Citadel!A:A,A388)&gt;0,
  ""COLLECTION"",COUNTIF(Collections!A:A,A388)&gt;0,
  ""CRAFTIFACT"",COUNTIF(Craftifacts!A:A,A388)&gt;0,
  ""QUEST"",
   COUNTIF(
 "&amp;"   Quests!A:A,
    REGEXREPLACE(A388,""\.(accepted|finished)$"","""")
   )&gt;0,
  ""TECH"",COUNTIF(Technologies!A:A,A388)&gt;0,
  ""STATE"",COUNTIF(States!A:A,A388)&gt;0,
  FALSE
 )
)"),TRUE)</f>
        <v>1</v>
      </c>
      <c r="P388" s="64" t="str">
        <f t="shared" si="3"/>
        <v>Good</v>
      </c>
      <c r="Q388" s="65"/>
      <c r="R388" s="65"/>
      <c r="S388" s="65"/>
      <c r="T388" s="65"/>
      <c r="U388" s="6"/>
      <c r="V388" s="6" t="str">
        <f>IFERROR(__xludf.DUMMYFUNCTION("""COMPUTED_VALUE"""),"state.character_level@2")</f>
        <v>state.character_level@2</v>
      </c>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row>
    <row r="389" ht="14.25" customHeight="1">
      <c r="A389" s="26" t="str">
        <f t="shared" si="1"/>
        <v>state.character_level@20</v>
      </c>
      <c r="B389" s="26" t="str">
        <f t="array" ref="B389">_xlfn.XLOOKUP(A389,Targets!A:A,Targets!C:C,"")</f>
        <v>STATE</v>
      </c>
      <c r="C389" s="64" t="b">
        <f>COUNTIF(Targets!A:A,A389)&gt;0</f>
        <v>1</v>
      </c>
      <c r="D389" s="64" t="b">
        <f>IF(
 OR(
  LEFT(A389,15)="state.character",
  RIGHT(A389,6)=".maxed"
 ),
 TRUE,
 COUNTIF(Checklist!A:A,A389)&gt;0
)</f>
        <v>1</v>
      </c>
      <c r="E389" s="64" t="b">
        <f>IF(
 OR(
  LEFT(A389,15)="state.character",
  RIGHT(A389,6)=".maxed",
  A389="building.guild@1",
  A389="quest.build_the_guild.accepted",
  A389="quest.build_the_pagoda.accepted"
 ),
 TRUE,
 COUNTIF(Dependencies!A:A,A389)&gt;0
)</f>
        <v>1</v>
      </c>
      <c r="F389" s="64" t="b">
        <f>COUNTIF(Dependencies!B:B,A389)&gt;0</f>
        <v>1</v>
      </c>
      <c r="G389" s="64" t="b">
        <f>COUNTIF(QuestObjectives!A:A,A389)&gt;0</f>
        <v>0</v>
      </c>
      <c r="H389" s="64" t="b">
        <f>COUNTIF(QuestObjectives!E:E,A389)&gt;0</f>
        <v>0</v>
      </c>
      <c r="I389" s="64" t="b">
        <f>COUNTIF(TargetStatus!A:A,A389)&gt;0</f>
        <v>1</v>
      </c>
      <c r="J389" s="64" t="b">
        <f>COUNTIF(CostStatus!B:B,A389)&gt;0</f>
        <v>0</v>
      </c>
      <c r="K389" s="64" t="b">
        <f>COUNTIF(States!A:A,A389)&gt;0</f>
        <v>1</v>
      </c>
      <c r="L389" s="64" t="b">
        <f t="shared" si="2"/>
        <v>1</v>
      </c>
      <c r="M389" s="64" t="b">
        <f>IF(A389="","",COUNTIF(Targets!A:A,A389)&gt;1)</f>
        <v>0</v>
      </c>
      <c r="N389" s="64" t="b">
        <f>IF(A389="","",COUNTIF(States!A:A,A389)&gt;1)</f>
        <v>0</v>
      </c>
      <c r="O389" s="64" t="b">
        <f>IFERROR(__xludf.DUMMYFUNCTION("IF(
 B389="""",
 """",
 SWITCH(
  B389,
  ""BUILDING"",COUNTIF(Buildings!A:A,A389)&gt;0,
  ""CITADEL"",COUNTIF(Citadel!A:A,A389)&gt;0,
  ""COLLECTION"",COUNTIF(Collections!A:A,A389)&gt;0,
  ""CRAFTIFACT"",COUNTIF(Craftifacts!A:A,A389)&gt;0,
  ""QUEST"",
   COUNTIF(
 "&amp;"   Quests!A:A,
    REGEXREPLACE(A389,""\.(accepted|finished)$"","""")
   )&gt;0,
  ""TECH"",COUNTIF(Technologies!A:A,A389)&gt;0,
  ""STATE"",COUNTIF(States!A:A,A389)&gt;0,
  FALSE
 )
)"),TRUE)</f>
        <v>1</v>
      </c>
      <c r="P389" s="64" t="str">
        <f t="shared" si="3"/>
        <v>Good</v>
      </c>
      <c r="Q389" s="65"/>
      <c r="R389" s="65"/>
      <c r="S389" s="65"/>
      <c r="T389" s="65"/>
      <c r="U389" s="6"/>
      <c r="V389" s="6" t="str">
        <f>IFERROR(__xludf.DUMMYFUNCTION("""COMPUTED_VALUE"""),"state.character_level@20")</f>
        <v>state.character_level@20</v>
      </c>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row>
    <row r="390" ht="14.25" customHeight="1">
      <c r="A390" s="26" t="str">
        <f t="shared" si="1"/>
        <v>state.character_level@21</v>
      </c>
      <c r="B390" s="26" t="str">
        <f t="array" ref="B390">_xlfn.XLOOKUP(A390,Targets!A:A,Targets!C:C,"")</f>
        <v>STATE</v>
      </c>
      <c r="C390" s="64" t="b">
        <f>COUNTIF(Targets!A:A,A390)&gt;0</f>
        <v>1</v>
      </c>
      <c r="D390" s="64" t="b">
        <f>IF(
 OR(
  LEFT(A390,15)="state.character",
  RIGHT(A390,6)=".maxed"
 ),
 TRUE,
 COUNTIF(Checklist!A:A,A390)&gt;0
)</f>
        <v>1</v>
      </c>
      <c r="E390" s="64" t="b">
        <f>IF(
 OR(
  LEFT(A390,15)="state.character",
  RIGHT(A390,6)=".maxed",
  A390="building.guild@1",
  A390="quest.build_the_guild.accepted",
  A390="quest.build_the_pagoda.accepted"
 ),
 TRUE,
 COUNTIF(Dependencies!A:A,A390)&gt;0
)</f>
        <v>1</v>
      </c>
      <c r="F390" s="64" t="b">
        <f>COUNTIF(Dependencies!B:B,A390)&gt;0</f>
        <v>1</v>
      </c>
      <c r="G390" s="64" t="b">
        <f>COUNTIF(QuestObjectives!A:A,A390)&gt;0</f>
        <v>0</v>
      </c>
      <c r="H390" s="64" t="b">
        <f>COUNTIF(QuestObjectives!E:E,A390)&gt;0</f>
        <v>0</v>
      </c>
      <c r="I390" s="64" t="b">
        <f>COUNTIF(TargetStatus!A:A,A390)&gt;0</f>
        <v>1</v>
      </c>
      <c r="J390" s="64" t="b">
        <f>COUNTIF(CostStatus!B:B,A390)&gt;0</f>
        <v>0</v>
      </c>
      <c r="K390" s="64" t="b">
        <f>COUNTIF(States!A:A,A390)&gt;0</f>
        <v>1</v>
      </c>
      <c r="L390" s="64" t="b">
        <f t="shared" si="2"/>
        <v>1</v>
      </c>
      <c r="M390" s="64" t="b">
        <f>IF(A390="","",COUNTIF(Targets!A:A,A390)&gt;1)</f>
        <v>0</v>
      </c>
      <c r="N390" s="64" t="b">
        <f>IF(A390="","",COUNTIF(States!A:A,A390)&gt;1)</f>
        <v>0</v>
      </c>
      <c r="O390" s="64" t="b">
        <f>IFERROR(__xludf.DUMMYFUNCTION("IF(
 B390="""",
 """",
 SWITCH(
  B390,
  ""BUILDING"",COUNTIF(Buildings!A:A,A390)&gt;0,
  ""CITADEL"",COUNTIF(Citadel!A:A,A390)&gt;0,
  ""COLLECTION"",COUNTIF(Collections!A:A,A390)&gt;0,
  ""CRAFTIFACT"",COUNTIF(Craftifacts!A:A,A390)&gt;0,
  ""QUEST"",
   COUNTIF(
 "&amp;"   Quests!A:A,
    REGEXREPLACE(A390,""\.(accepted|finished)$"","""")
   )&gt;0,
  ""TECH"",COUNTIF(Technologies!A:A,A390)&gt;0,
  ""STATE"",COUNTIF(States!A:A,A390)&gt;0,
  FALSE
 )
)"),TRUE)</f>
        <v>1</v>
      </c>
      <c r="P390" s="64" t="str">
        <f t="shared" si="3"/>
        <v>Good</v>
      </c>
      <c r="Q390" s="65"/>
      <c r="R390" s="65"/>
      <c r="S390" s="65"/>
      <c r="T390" s="65"/>
      <c r="U390" s="6"/>
      <c r="V390" s="6" t="str">
        <f>IFERROR(__xludf.DUMMYFUNCTION("""COMPUTED_VALUE"""),"state.character_level@21")</f>
        <v>state.character_level@21</v>
      </c>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row>
    <row r="391" ht="14.25" customHeight="1">
      <c r="A391" s="26" t="str">
        <f t="shared" si="1"/>
        <v>state.character_level@22</v>
      </c>
      <c r="B391" s="26" t="str">
        <f t="array" ref="B391">_xlfn.XLOOKUP(A391,Targets!A:A,Targets!C:C,"")</f>
        <v>STATE</v>
      </c>
      <c r="C391" s="64" t="b">
        <f>COUNTIF(Targets!A:A,A391)&gt;0</f>
        <v>1</v>
      </c>
      <c r="D391" s="64" t="b">
        <f>IF(
 OR(
  LEFT(A391,15)="state.character",
  RIGHT(A391,6)=".maxed"
 ),
 TRUE,
 COUNTIF(Checklist!A:A,A391)&gt;0
)</f>
        <v>1</v>
      </c>
      <c r="E391" s="64" t="b">
        <f>IF(
 OR(
  LEFT(A391,15)="state.character",
  RIGHT(A391,6)=".maxed",
  A391="building.guild@1",
  A391="quest.build_the_guild.accepted",
  A391="quest.build_the_pagoda.accepted"
 ),
 TRUE,
 COUNTIF(Dependencies!A:A,A391)&gt;0
)</f>
        <v>1</v>
      </c>
      <c r="F391" s="64" t="b">
        <f>COUNTIF(Dependencies!B:B,A391)&gt;0</f>
        <v>1</v>
      </c>
      <c r="G391" s="64" t="b">
        <f>COUNTIF(QuestObjectives!A:A,A391)&gt;0</f>
        <v>0</v>
      </c>
      <c r="H391" s="64" t="b">
        <f>COUNTIF(QuestObjectives!E:E,A391)&gt;0</f>
        <v>1</v>
      </c>
      <c r="I391" s="64" t="b">
        <f>COUNTIF(TargetStatus!A:A,A391)&gt;0</f>
        <v>1</v>
      </c>
      <c r="J391" s="64" t="b">
        <f>COUNTIF(CostStatus!B:B,A391)&gt;0</f>
        <v>0</v>
      </c>
      <c r="K391" s="64" t="b">
        <f>COUNTIF(States!A:A,A391)&gt;0</f>
        <v>1</v>
      </c>
      <c r="L391" s="64" t="b">
        <f t="shared" si="2"/>
        <v>1</v>
      </c>
      <c r="M391" s="64" t="b">
        <f>IF(A391="","",COUNTIF(Targets!A:A,A391)&gt;1)</f>
        <v>0</v>
      </c>
      <c r="N391" s="64" t="b">
        <f>IF(A391="","",COUNTIF(States!A:A,A391)&gt;1)</f>
        <v>0</v>
      </c>
      <c r="O391" s="64" t="b">
        <f>IFERROR(__xludf.DUMMYFUNCTION("IF(
 B391="""",
 """",
 SWITCH(
  B391,
  ""BUILDING"",COUNTIF(Buildings!A:A,A391)&gt;0,
  ""CITADEL"",COUNTIF(Citadel!A:A,A391)&gt;0,
  ""COLLECTION"",COUNTIF(Collections!A:A,A391)&gt;0,
  ""CRAFTIFACT"",COUNTIF(Craftifacts!A:A,A391)&gt;0,
  ""QUEST"",
   COUNTIF(
 "&amp;"   Quests!A:A,
    REGEXREPLACE(A391,""\.(accepted|finished)$"","""")
   )&gt;0,
  ""TECH"",COUNTIF(Technologies!A:A,A391)&gt;0,
  ""STATE"",COUNTIF(States!A:A,A391)&gt;0,
  FALSE
 )
)"),TRUE)</f>
        <v>1</v>
      </c>
      <c r="P391" s="64" t="str">
        <f t="shared" si="3"/>
        <v>Good</v>
      </c>
      <c r="Q391" s="65"/>
      <c r="R391" s="65"/>
      <c r="S391" s="65"/>
      <c r="T391" s="65"/>
      <c r="U391" s="6"/>
      <c r="V391" s="6" t="str">
        <f>IFERROR(__xludf.DUMMYFUNCTION("""COMPUTED_VALUE"""),"state.character_level@22")</f>
        <v>state.character_level@22</v>
      </c>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row>
    <row r="392" ht="14.25" customHeight="1">
      <c r="A392" s="26" t="str">
        <f t="shared" si="1"/>
        <v>state.character_level@23</v>
      </c>
      <c r="B392" s="26" t="str">
        <f t="array" ref="B392">_xlfn.XLOOKUP(A392,Targets!A:A,Targets!C:C,"")</f>
        <v>STATE</v>
      </c>
      <c r="C392" s="64" t="b">
        <f>COUNTIF(Targets!A:A,A392)&gt;0</f>
        <v>1</v>
      </c>
      <c r="D392" s="64" t="b">
        <f>IF(
 OR(
  LEFT(A392,15)="state.character",
  RIGHT(A392,6)=".maxed"
 ),
 TRUE,
 COUNTIF(Checklist!A:A,A392)&gt;0
)</f>
        <v>1</v>
      </c>
      <c r="E392" s="64" t="b">
        <f>IF(
 OR(
  LEFT(A392,15)="state.character",
  RIGHT(A392,6)=".maxed",
  A392="building.guild@1",
  A392="quest.build_the_guild.accepted",
  A392="quest.build_the_pagoda.accepted"
 ),
 TRUE,
 COUNTIF(Dependencies!A:A,A392)&gt;0
)</f>
        <v>1</v>
      </c>
      <c r="F392" s="64" t="b">
        <f>COUNTIF(Dependencies!B:B,A392)&gt;0</f>
        <v>1</v>
      </c>
      <c r="G392" s="64" t="b">
        <f>COUNTIF(QuestObjectives!A:A,A392)&gt;0</f>
        <v>0</v>
      </c>
      <c r="H392" s="64" t="b">
        <f>COUNTIF(QuestObjectives!E:E,A392)&gt;0</f>
        <v>0</v>
      </c>
      <c r="I392" s="64" t="b">
        <f>COUNTIF(TargetStatus!A:A,A392)&gt;0</f>
        <v>1</v>
      </c>
      <c r="J392" s="64" t="b">
        <f>COUNTIF(CostStatus!B:B,A392)&gt;0</f>
        <v>0</v>
      </c>
      <c r="K392" s="64" t="b">
        <f>COUNTIF(States!A:A,A392)&gt;0</f>
        <v>1</v>
      </c>
      <c r="L392" s="64" t="b">
        <f t="shared" si="2"/>
        <v>1</v>
      </c>
      <c r="M392" s="64" t="b">
        <f>IF(A392="","",COUNTIF(Targets!A:A,A392)&gt;1)</f>
        <v>0</v>
      </c>
      <c r="N392" s="64" t="b">
        <f>IF(A392="","",COUNTIF(States!A:A,A392)&gt;1)</f>
        <v>0</v>
      </c>
      <c r="O392" s="64" t="b">
        <f>IFERROR(__xludf.DUMMYFUNCTION("IF(
 B392="""",
 """",
 SWITCH(
  B392,
  ""BUILDING"",COUNTIF(Buildings!A:A,A392)&gt;0,
  ""CITADEL"",COUNTIF(Citadel!A:A,A392)&gt;0,
  ""COLLECTION"",COUNTIF(Collections!A:A,A392)&gt;0,
  ""CRAFTIFACT"",COUNTIF(Craftifacts!A:A,A392)&gt;0,
  ""QUEST"",
   COUNTIF(
 "&amp;"   Quests!A:A,
    REGEXREPLACE(A392,""\.(accepted|finished)$"","""")
   )&gt;0,
  ""TECH"",COUNTIF(Technologies!A:A,A392)&gt;0,
  ""STATE"",COUNTIF(States!A:A,A392)&gt;0,
  FALSE
 )
)"),TRUE)</f>
        <v>1</v>
      </c>
      <c r="P392" s="64" t="str">
        <f t="shared" si="3"/>
        <v>Good</v>
      </c>
      <c r="Q392" s="65"/>
      <c r="R392" s="65"/>
      <c r="S392" s="65"/>
      <c r="T392" s="65"/>
      <c r="U392" s="6"/>
      <c r="V392" s="6" t="str">
        <f>IFERROR(__xludf.DUMMYFUNCTION("""COMPUTED_VALUE"""),"state.character_level@23")</f>
        <v>state.character_level@23</v>
      </c>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row>
    <row r="393" ht="14.25" customHeight="1">
      <c r="A393" s="26" t="str">
        <f t="shared" si="1"/>
        <v>state.character_level@24</v>
      </c>
      <c r="B393" s="26" t="str">
        <f t="array" ref="B393">_xlfn.XLOOKUP(A393,Targets!A:A,Targets!C:C,"")</f>
        <v>STATE</v>
      </c>
      <c r="C393" s="64" t="b">
        <f>COUNTIF(Targets!A:A,A393)&gt;0</f>
        <v>1</v>
      </c>
      <c r="D393" s="64" t="b">
        <f>IF(
 OR(
  LEFT(A393,15)="state.character",
  RIGHT(A393,6)=".maxed"
 ),
 TRUE,
 COUNTIF(Checklist!A:A,A393)&gt;0
)</f>
        <v>1</v>
      </c>
      <c r="E393" s="64" t="b">
        <f>IF(
 OR(
  LEFT(A393,15)="state.character",
  RIGHT(A393,6)=".maxed",
  A393="building.guild@1",
  A393="quest.build_the_guild.accepted",
  A393="quest.build_the_pagoda.accepted"
 ),
 TRUE,
 COUNTIF(Dependencies!A:A,A393)&gt;0
)</f>
        <v>1</v>
      </c>
      <c r="F393" s="64" t="b">
        <f>COUNTIF(Dependencies!B:B,A393)&gt;0</f>
        <v>1</v>
      </c>
      <c r="G393" s="64" t="b">
        <f>COUNTIF(QuestObjectives!A:A,A393)&gt;0</f>
        <v>0</v>
      </c>
      <c r="H393" s="64" t="b">
        <f>COUNTIF(QuestObjectives!E:E,A393)&gt;0</f>
        <v>1</v>
      </c>
      <c r="I393" s="64" t="b">
        <f>COUNTIF(TargetStatus!A:A,A393)&gt;0</f>
        <v>1</v>
      </c>
      <c r="J393" s="64" t="b">
        <f>COUNTIF(CostStatus!B:B,A393)&gt;0</f>
        <v>0</v>
      </c>
      <c r="K393" s="64" t="b">
        <f>COUNTIF(States!A:A,A393)&gt;0</f>
        <v>1</v>
      </c>
      <c r="L393" s="64" t="b">
        <f t="shared" si="2"/>
        <v>1</v>
      </c>
      <c r="M393" s="64" t="b">
        <f>IF(A393="","",COUNTIF(Targets!A:A,A393)&gt;1)</f>
        <v>0</v>
      </c>
      <c r="N393" s="64" t="b">
        <f>IF(A393="","",COUNTIF(States!A:A,A393)&gt;1)</f>
        <v>0</v>
      </c>
      <c r="O393" s="64" t="b">
        <f>IFERROR(__xludf.DUMMYFUNCTION("IF(
 B393="""",
 """",
 SWITCH(
  B393,
  ""BUILDING"",COUNTIF(Buildings!A:A,A393)&gt;0,
  ""CITADEL"",COUNTIF(Citadel!A:A,A393)&gt;0,
  ""COLLECTION"",COUNTIF(Collections!A:A,A393)&gt;0,
  ""CRAFTIFACT"",COUNTIF(Craftifacts!A:A,A393)&gt;0,
  ""QUEST"",
   COUNTIF(
 "&amp;"   Quests!A:A,
    REGEXREPLACE(A393,""\.(accepted|finished)$"","""")
   )&gt;0,
  ""TECH"",COUNTIF(Technologies!A:A,A393)&gt;0,
  ""STATE"",COUNTIF(States!A:A,A393)&gt;0,
  FALSE
 )
)"),TRUE)</f>
        <v>1</v>
      </c>
      <c r="P393" s="64" t="str">
        <f t="shared" si="3"/>
        <v>Good</v>
      </c>
      <c r="Q393" s="65"/>
      <c r="R393" s="65"/>
      <c r="S393" s="65"/>
      <c r="T393" s="65"/>
      <c r="U393" s="6"/>
      <c r="V393" s="6" t="str">
        <f>IFERROR(__xludf.DUMMYFUNCTION("""COMPUTED_VALUE"""),"state.character_level@24")</f>
        <v>state.character_level@24</v>
      </c>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row>
    <row r="394" ht="14.25" customHeight="1">
      <c r="A394" s="26" t="str">
        <f t="shared" si="1"/>
        <v>state.character_level@28</v>
      </c>
      <c r="B394" s="26" t="str">
        <f t="array" ref="B394">_xlfn.XLOOKUP(A394,Targets!A:A,Targets!C:C,"")</f>
        <v>STATE</v>
      </c>
      <c r="C394" s="64" t="b">
        <f>COUNTIF(Targets!A:A,A394)&gt;0</f>
        <v>1</v>
      </c>
      <c r="D394" s="64" t="b">
        <f>IF(
 OR(
  LEFT(A394,15)="state.character",
  RIGHT(A394,6)=".maxed"
 ),
 TRUE,
 COUNTIF(Checklist!A:A,A394)&gt;0
)</f>
        <v>1</v>
      </c>
      <c r="E394" s="64" t="b">
        <f>IF(
 OR(
  LEFT(A394,15)="state.character",
  RIGHT(A394,6)=".maxed",
  A394="building.guild@1",
  A394="quest.build_the_guild.accepted",
  A394="quest.build_the_pagoda.accepted"
 ),
 TRUE,
 COUNTIF(Dependencies!A:A,A394)&gt;0
)</f>
        <v>1</v>
      </c>
      <c r="F394" s="64" t="b">
        <f>COUNTIF(Dependencies!B:B,A394)&gt;0</f>
        <v>1</v>
      </c>
      <c r="G394" s="64" t="b">
        <f>COUNTIF(QuestObjectives!A:A,A394)&gt;0</f>
        <v>0</v>
      </c>
      <c r="H394" s="64" t="b">
        <f>COUNTIF(QuestObjectives!E:E,A394)&gt;0</f>
        <v>0</v>
      </c>
      <c r="I394" s="64" t="b">
        <f>COUNTIF(TargetStatus!A:A,A394)&gt;0</f>
        <v>1</v>
      </c>
      <c r="J394" s="64" t="b">
        <f>COUNTIF(CostStatus!B:B,A394)&gt;0</f>
        <v>0</v>
      </c>
      <c r="K394" s="64" t="b">
        <f>COUNTIF(States!A:A,A394)&gt;0</f>
        <v>1</v>
      </c>
      <c r="L394" s="64" t="b">
        <f t="shared" si="2"/>
        <v>1</v>
      </c>
      <c r="M394" s="64" t="b">
        <f>IF(A394="","",COUNTIF(Targets!A:A,A394)&gt;1)</f>
        <v>0</v>
      </c>
      <c r="N394" s="64" t="b">
        <f>IF(A394="","",COUNTIF(States!A:A,A394)&gt;1)</f>
        <v>0</v>
      </c>
      <c r="O394" s="64" t="b">
        <f>IFERROR(__xludf.DUMMYFUNCTION("IF(
 B394="""",
 """",
 SWITCH(
  B394,
  ""BUILDING"",COUNTIF(Buildings!A:A,A394)&gt;0,
  ""CITADEL"",COUNTIF(Citadel!A:A,A394)&gt;0,
  ""COLLECTION"",COUNTIF(Collections!A:A,A394)&gt;0,
  ""CRAFTIFACT"",COUNTIF(Craftifacts!A:A,A394)&gt;0,
  ""QUEST"",
   COUNTIF(
 "&amp;"   Quests!A:A,
    REGEXREPLACE(A394,""\.(accepted|finished)$"","""")
   )&gt;0,
  ""TECH"",COUNTIF(Technologies!A:A,A394)&gt;0,
  ""STATE"",COUNTIF(States!A:A,A394)&gt;0,
  FALSE
 )
)"),TRUE)</f>
        <v>1</v>
      </c>
      <c r="P394" s="64" t="str">
        <f t="shared" si="3"/>
        <v>Good</v>
      </c>
      <c r="Q394" s="65"/>
      <c r="R394" s="65"/>
      <c r="S394" s="65"/>
      <c r="T394" s="65"/>
      <c r="U394" s="6"/>
      <c r="V394" s="6" t="str">
        <f>IFERROR(__xludf.DUMMYFUNCTION("""COMPUTED_VALUE"""),"state.character_level@28")</f>
        <v>state.character_level@28</v>
      </c>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row>
    <row r="395" ht="14.25" customHeight="1">
      <c r="A395" s="26" t="str">
        <f t="shared" si="1"/>
        <v>state.character_level@3</v>
      </c>
      <c r="B395" s="26" t="str">
        <f t="array" ref="B395">_xlfn.XLOOKUP(A395,Targets!A:A,Targets!C:C,"")</f>
        <v>STATE</v>
      </c>
      <c r="C395" s="64" t="b">
        <f>COUNTIF(Targets!A:A,A395)&gt;0</f>
        <v>1</v>
      </c>
      <c r="D395" s="64" t="b">
        <f>IF(
 OR(
  LEFT(A395,15)="state.character",
  RIGHT(A395,6)=".maxed"
 ),
 TRUE,
 COUNTIF(Checklist!A:A,A395)&gt;0
)</f>
        <v>1</v>
      </c>
      <c r="E395" s="64" t="b">
        <f>IF(
 OR(
  LEFT(A395,15)="state.character",
  RIGHT(A395,6)=".maxed",
  A395="building.guild@1",
  A395="quest.build_the_guild.accepted",
  A395="quest.build_the_pagoda.accepted"
 ),
 TRUE,
 COUNTIF(Dependencies!A:A,A395)&gt;0
)</f>
        <v>1</v>
      </c>
      <c r="F395" s="64" t="b">
        <f>COUNTIF(Dependencies!B:B,A395)&gt;0</f>
        <v>1</v>
      </c>
      <c r="G395" s="64" t="b">
        <f>COUNTIF(QuestObjectives!A:A,A395)&gt;0</f>
        <v>0</v>
      </c>
      <c r="H395" s="64" t="b">
        <f>COUNTIF(QuestObjectives!E:E,A395)&gt;0</f>
        <v>0</v>
      </c>
      <c r="I395" s="64" t="b">
        <f>COUNTIF(TargetStatus!A:A,A395)&gt;0</f>
        <v>1</v>
      </c>
      <c r="J395" s="64" t="b">
        <f>COUNTIF(CostStatus!B:B,A395)&gt;0</f>
        <v>0</v>
      </c>
      <c r="K395" s="64" t="b">
        <f>COUNTIF(States!A:A,A395)&gt;0</f>
        <v>1</v>
      </c>
      <c r="L395" s="64" t="b">
        <f t="shared" si="2"/>
        <v>1</v>
      </c>
      <c r="M395" s="64" t="b">
        <f>IF(A395="","",COUNTIF(Targets!A:A,A395)&gt;1)</f>
        <v>0</v>
      </c>
      <c r="N395" s="64" t="b">
        <f>IF(A395="","",COUNTIF(States!A:A,A395)&gt;1)</f>
        <v>0</v>
      </c>
      <c r="O395" s="64" t="b">
        <f>IFERROR(__xludf.DUMMYFUNCTION("IF(
 B395="""",
 """",
 SWITCH(
  B395,
  ""BUILDING"",COUNTIF(Buildings!A:A,A395)&gt;0,
  ""CITADEL"",COUNTIF(Citadel!A:A,A395)&gt;0,
  ""COLLECTION"",COUNTIF(Collections!A:A,A395)&gt;0,
  ""CRAFTIFACT"",COUNTIF(Craftifacts!A:A,A395)&gt;0,
  ""QUEST"",
   COUNTIF(
 "&amp;"   Quests!A:A,
    REGEXREPLACE(A395,""\.(accepted|finished)$"","""")
   )&gt;0,
  ""TECH"",COUNTIF(Technologies!A:A,A395)&gt;0,
  ""STATE"",COUNTIF(States!A:A,A395)&gt;0,
  FALSE
 )
)"),TRUE)</f>
        <v>1</v>
      </c>
      <c r="P395" s="64" t="str">
        <f t="shared" si="3"/>
        <v>Good</v>
      </c>
      <c r="Q395" s="65"/>
      <c r="R395" s="65"/>
      <c r="S395" s="65"/>
      <c r="T395" s="65"/>
      <c r="U395" s="6"/>
      <c r="V395" s="6" t="str">
        <f>IFERROR(__xludf.DUMMYFUNCTION("""COMPUTED_VALUE"""),"state.character_level@3")</f>
        <v>state.character_level@3</v>
      </c>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row>
    <row r="396" ht="14.25" customHeight="1">
      <c r="A396" s="26" t="str">
        <f t="shared" si="1"/>
        <v>state.character_level@30</v>
      </c>
      <c r="B396" s="26" t="str">
        <f t="array" ref="B396">_xlfn.XLOOKUP(A396,Targets!A:A,Targets!C:C,"")</f>
        <v>STATE</v>
      </c>
      <c r="C396" s="64" t="b">
        <f>COUNTIF(Targets!A:A,A396)&gt;0</f>
        <v>1</v>
      </c>
      <c r="D396" s="64" t="b">
        <f>IF(
 OR(
  LEFT(A396,15)="state.character",
  RIGHT(A396,6)=".maxed"
 ),
 TRUE,
 COUNTIF(Checklist!A:A,A396)&gt;0
)</f>
        <v>1</v>
      </c>
      <c r="E396" s="64" t="b">
        <f>IF(
 OR(
  LEFT(A396,15)="state.character",
  RIGHT(A396,6)=".maxed",
  A396="building.guild@1",
  A396="quest.build_the_guild.accepted",
  A396="quest.build_the_pagoda.accepted"
 ),
 TRUE,
 COUNTIF(Dependencies!A:A,A396)&gt;0
)</f>
        <v>1</v>
      </c>
      <c r="F396" s="64" t="b">
        <f>COUNTIF(Dependencies!B:B,A396)&gt;0</f>
        <v>1</v>
      </c>
      <c r="G396" s="64" t="b">
        <f>COUNTIF(QuestObjectives!A:A,A396)&gt;0</f>
        <v>0</v>
      </c>
      <c r="H396" s="64" t="b">
        <f>COUNTIF(QuestObjectives!E:E,A396)&gt;0</f>
        <v>0</v>
      </c>
      <c r="I396" s="64" t="b">
        <f>COUNTIF(TargetStatus!A:A,A396)&gt;0</f>
        <v>1</v>
      </c>
      <c r="J396" s="64" t="b">
        <f>COUNTIF(CostStatus!B:B,A396)&gt;0</f>
        <v>0</v>
      </c>
      <c r="K396" s="64" t="b">
        <f>COUNTIF(States!A:A,A396)&gt;0</f>
        <v>1</v>
      </c>
      <c r="L396" s="64" t="b">
        <f t="shared" si="2"/>
        <v>1</v>
      </c>
      <c r="M396" s="64" t="b">
        <f>IF(A396="","",COUNTIF(Targets!A:A,A396)&gt;1)</f>
        <v>0</v>
      </c>
      <c r="N396" s="64" t="b">
        <f>IF(A396="","",COUNTIF(States!A:A,A396)&gt;1)</f>
        <v>0</v>
      </c>
      <c r="O396" s="64" t="b">
        <f>IFERROR(__xludf.DUMMYFUNCTION("IF(
 B396="""",
 """",
 SWITCH(
  B396,
  ""BUILDING"",COUNTIF(Buildings!A:A,A396)&gt;0,
  ""CITADEL"",COUNTIF(Citadel!A:A,A396)&gt;0,
  ""COLLECTION"",COUNTIF(Collections!A:A,A396)&gt;0,
  ""CRAFTIFACT"",COUNTIF(Craftifacts!A:A,A396)&gt;0,
  ""QUEST"",
   COUNTIF(
 "&amp;"   Quests!A:A,
    REGEXREPLACE(A396,""\.(accepted|finished)$"","""")
   )&gt;0,
  ""TECH"",COUNTIF(Technologies!A:A,A396)&gt;0,
  ""STATE"",COUNTIF(States!A:A,A396)&gt;0,
  FALSE
 )
)"),TRUE)</f>
        <v>1</v>
      </c>
      <c r="P396" s="64" t="str">
        <f t="shared" si="3"/>
        <v>Good</v>
      </c>
      <c r="Q396" s="65"/>
      <c r="R396" s="65"/>
      <c r="S396" s="65"/>
      <c r="T396" s="65"/>
      <c r="U396" s="6"/>
      <c r="V396" s="6" t="str">
        <f>IFERROR(__xludf.DUMMYFUNCTION("""COMPUTED_VALUE"""),"state.character_level@30")</f>
        <v>state.character_level@30</v>
      </c>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row>
    <row r="397" ht="14.25" customHeight="1">
      <c r="A397" s="26" t="str">
        <f t="shared" si="1"/>
        <v>state.character_level@31</v>
      </c>
      <c r="B397" s="26" t="str">
        <f t="array" ref="B397">_xlfn.XLOOKUP(A397,Targets!A:A,Targets!C:C,"")</f>
        <v>STATE</v>
      </c>
      <c r="C397" s="64" t="b">
        <f>COUNTIF(Targets!A:A,A397)&gt;0</f>
        <v>1</v>
      </c>
      <c r="D397" s="64" t="b">
        <f>IF(
 OR(
  LEFT(A397,15)="state.character",
  RIGHT(A397,6)=".maxed"
 ),
 TRUE,
 COUNTIF(Checklist!A:A,A397)&gt;0
)</f>
        <v>1</v>
      </c>
      <c r="E397" s="64" t="b">
        <f>IF(
 OR(
  LEFT(A397,15)="state.character",
  RIGHT(A397,6)=".maxed",
  A397="building.guild@1",
  A397="quest.build_the_guild.accepted",
  A397="quest.build_the_pagoda.accepted"
 ),
 TRUE,
 COUNTIF(Dependencies!A:A,A397)&gt;0
)</f>
        <v>1</v>
      </c>
      <c r="F397" s="64" t="b">
        <f>COUNTIF(Dependencies!B:B,A397)&gt;0</f>
        <v>1</v>
      </c>
      <c r="G397" s="64" t="b">
        <f>COUNTIF(QuestObjectives!A:A,A397)&gt;0</f>
        <v>0</v>
      </c>
      <c r="H397" s="64" t="b">
        <f>COUNTIF(QuestObjectives!E:E,A397)&gt;0</f>
        <v>0</v>
      </c>
      <c r="I397" s="64" t="b">
        <f>COUNTIF(TargetStatus!A:A,A397)&gt;0</f>
        <v>1</v>
      </c>
      <c r="J397" s="64" t="b">
        <f>COUNTIF(CostStatus!B:B,A397)&gt;0</f>
        <v>0</v>
      </c>
      <c r="K397" s="64" t="b">
        <f>COUNTIF(States!A:A,A397)&gt;0</f>
        <v>1</v>
      </c>
      <c r="L397" s="64" t="b">
        <f t="shared" si="2"/>
        <v>1</v>
      </c>
      <c r="M397" s="64" t="b">
        <f>IF(A397="","",COUNTIF(Targets!A:A,A397)&gt;1)</f>
        <v>0</v>
      </c>
      <c r="N397" s="64" t="b">
        <f>IF(A397="","",COUNTIF(States!A:A,A397)&gt;1)</f>
        <v>0</v>
      </c>
      <c r="O397" s="64" t="b">
        <f>IFERROR(__xludf.DUMMYFUNCTION("IF(
 B397="""",
 """",
 SWITCH(
  B397,
  ""BUILDING"",COUNTIF(Buildings!A:A,A397)&gt;0,
  ""CITADEL"",COUNTIF(Citadel!A:A,A397)&gt;0,
  ""COLLECTION"",COUNTIF(Collections!A:A,A397)&gt;0,
  ""CRAFTIFACT"",COUNTIF(Craftifacts!A:A,A397)&gt;0,
  ""QUEST"",
   COUNTIF(
 "&amp;"   Quests!A:A,
    REGEXREPLACE(A397,""\.(accepted|finished)$"","""")
   )&gt;0,
  ""TECH"",COUNTIF(Technologies!A:A,A397)&gt;0,
  ""STATE"",COUNTIF(States!A:A,A397)&gt;0,
  FALSE
 )
)"),TRUE)</f>
        <v>1</v>
      </c>
      <c r="P397" s="64" t="str">
        <f t="shared" si="3"/>
        <v>Good</v>
      </c>
      <c r="Q397" s="65"/>
      <c r="R397" s="65"/>
      <c r="S397" s="65"/>
      <c r="T397" s="65"/>
      <c r="U397" s="6"/>
      <c r="V397" s="6" t="str">
        <f>IFERROR(__xludf.DUMMYFUNCTION("""COMPUTED_VALUE"""),"state.character_level@31")</f>
        <v>state.character_level@31</v>
      </c>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row>
    <row r="398" ht="14.25" customHeight="1">
      <c r="A398" s="26" t="str">
        <f t="shared" si="1"/>
        <v>state.character_level@32</v>
      </c>
      <c r="B398" s="26" t="str">
        <f t="array" ref="B398">_xlfn.XLOOKUP(A398,Targets!A:A,Targets!C:C,"")</f>
        <v>STATE</v>
      </c>
      <c r="C398" s="64" t="b">
        <f>COUNTIF(Targets!A:A,A398)&gt;0</f>
        <v>1</v>
      </c>
      <c r="D398" s="64" t="b">
        <f>IF(
 OR(
  LEFT(A398,15)="state.character",
  RIGHT(A398,6)=".maxed"
 ),
 TRUE,
 COUNTIF(Checklist!A:A,A398)&gt;0
)</f>
        <v>1</v>
      </c>
      <c r="E398" s="64" t="b">
        <f>IF(
 OR(
  LEFT(A398,15)="state.character",
  RIGHT(A398,6)=".maxed",
  A398="building.guild@1",
  A398="quest.build_the_guild.accepted",
  A398="quest.build_the_pagoda.accepted"
 ),
 TRUE,
 COUNTIF(Dependencies!A:A,A398)&gt;0
)</f>
        <v>1</v>
      </c>
      <c r="F398" s="64" t="b">
        <f>COUNTIF(Dependencies!B:B,A398)&gt;0</f>
        <v>1</v>
      </c>
      <c r="G398" s="64" t="b">
        <f>COUNTIF(QuestObjectives!A:A,A398)&gt;0</f>
        <v>0</v>
      </c>
      <c r="H398" s="64" t="b">
        <f>COUNTIF(QuestObjectives!E:E,A398)&gt;0</f>
        <v>0</v>
      </c>
      <c r="I398" s="64" t="b">
        <f>COUNTIF(TargetStatus!A:A,A398)&gt;0</f>
        <v>1</v>
      </c>
      <c r="J398" s="64" t="b">
        <f>COUNTIF(CostStatus!B:B,A398)&gt;0</f>
        <v>0</v>
      </c>
      <c r="K398" s="64" t="b">
        <f>COUNTIF(States!A:A,A398)&gt;0</f>
        <v>1</v>
      </c>
      <c r="L398" s="64" t="b">
        <f t="shared" si="2"/>
        <v>1</v>
      </c>
      <c r="M398" s="64" t="b">
        <f>IF(A398="","",COUNTIF(Targets!A:A,A398)&gt;1)</f>
        <v>0</v>
      </c>
      <c r="N398" s="64" t="b">
        <f>IF(A398="","",COUNTIF(States!A:A,A398)&gt;1)</f>
        <v>0</v>
      </c>
      <c r="O398" s="64" t="b">
        <f>IFERROR(__xludf.DUMMYFUNCTION("IF(
 B398="""",
 """",
 SWITCH(
  B398,
  ""BUILDING"",COUNTIF(Buildings!A:A,A398)&gt;0,
  ""CITADEL"",COUNTIF(Citadel!A:A,A398)&gt;0,
  ""COLLECTION"",COUNTIF(Collections!A:A,A398)&gt;0,
  ""CRAFTIFACT"",COUNTIF(Craftifacts!A:A,A398)&gt;0,
  ""QUEST"",
   COUNTIF(
 "&amp;"   Quests!A:A,
    REGEXREPLACE(A398,""\.(accepted|finished)$"","""")
   )&gt;0,
  ""TECH"",COUNTIF(Technologies!A:A,A398)&gt;0,
  ""STATE"",COUNTIF(States!A:A,A398)&gt;0,
  FALSE
 )
)"),TRUE)</f>
        <v>1</v>
      </c>
      <c r="P398" s="64" t="str">
        <f t="shared" si="3"/>
        <v>Good</v>
      </c>
      <c r="Q398" s="65"/>
      <c r="R398" s="65"/>
      <c r="S398" s="65"/>
      <c r="T398" s="65"/>
      <c r="U398" s="6"/>
      <c r="V398" s="6" t="str">
        <f>IFERROR(__xludf.DUMMYFUNCTION("""COMPUTED_VALUE"""),"state.character_level@32")</f>
        <v>state.character_level@32</v>
      </c>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row>
    <row r="399" ht="14.25" customHeight="1">
      <c r="A399" s="26" t="str">
        <f t="shared" si="1"/>
        <v>state.character_level@4</v>
      </c>
      <c r="B399" s="26" t="str">
        <f t="array" ref="B399">_xlfn.XLOOKUP(A399,Targets!A:A,Targets!C:C,"")</f>
        <v>STATE</v>
      </c>
      <c r="C399" s="64" t="b">
        <f>COUNTIF(Targets!A:A,A399)&gt;0</f>
        <v>1</v>
      </c>
      <c r="D399" s="64" t="b">
        <f>IF(
 OR(
  LEFT(A399,15)="state.character",
  RIGHT(A399,6)=".maxed"
 ),
 TRUE,
 COUNTIF(Checklist!A:A,A399)&gt;0
)</f>
        <v>1</v>
      </c>
      <c r="E399" s="64" t="b">
        <f>IF(
 OR(
  LEFT(A399,15)="state.character",
  RIGHT(A399,6)=".maxed",
  A399="building.guild@1",
  A399="quest.build_the_guild.accepted",
  A399="quest.build_the_pagoda.accepted"
 ),
 TRUE,
 COUNTIF(Dependencies!A:A,A399)&gt;0
)</f>
        <v>1</v>
      </c>
      <c r="F399" s="64" t="b">
        <f>COUNTIF(Dependencies!B:B,A399)&gt;0</f>
        <v>1</v>
      </c>
      <c r="G399" s="64" t="b">
        <f>COUNTIF(QuestObjectives!A:A,A399)&gt;0</f>
        <v>0</v>
      </c>
      <c r="H399" s="64" t="b">
        <f>COUNTIF(QuestObjectives!E:E,A399)&gt;0</f>
        <v>0</v>
      </c>
      <c r="I399" s="64" t="b">
        <f>COUNTIF(TargetStatus!A:A,A399)&gt;0</f>
        <v>1</v>
      </c>
      <c r="J399" s="64" t="b">
        <f>COUNTIF(CostStatus!B:B,A399)&gt;0</f>
        <v>0</v>
      </c>
      <c r="K399" s="64" t="b">
        <f>COUNTIF(States!A:A,A399)&gt;0</f>
        <v>1</v>
      </c>
      <c r="L399" s="64" t="b">
        <f t="shared" si="2"/>
        <v>1</v>
      </c>
      <c r="M399" s="64" t="b">
        <f>IF(A399="","",COUNTIF(Targets!A:A,A399)&gt;1)</f>
        <v>0</v>
      </c>
      <c r="N399" s="64" t="b">
        <f>IF(A399="","",COUNTIF(States!A:A,A399)&gt;1)</f>
        <v>0</v>
      </c>
      <c r="O399" s="64" t="b">
        <f>IFERROR(__xludf.DUMMYFUNCTION("IF(
 B399="""",
 """",
 SWITCH(
  B399,
  ""BUILDING"",COUNTIF(Buildings!A:A,A399)&gt;0,
  ""CITADEL"",COUNTIF(Citadel!A:A,A399)&gt;0,
  ""COLLECTION"",COUNTIF(Collections!A:A,A399)&gt;0,
  ""CRAFTIFACT"",COUNTIF(Craftifacts!A:A,A399)&gt;0,
  ""QUEST"",
   COUNTIF(
 "&amp;"   Quests!A:A,
    REGEXREPLACE(A399,""\.(accepted|finished)$"","""")
   )&gt;0,
  ""TECH"",COUNTIF(Technologies!A:A,A399)&gt;0,
  ""STATE"",COUNTIF(States!A:A,A399)&gt;0,
  FALSE
 )
)"),TRUE)</f>
        <v>1</v>
      </c>
      <c r="P399" s="64" t="str">
        <f t="shared" si="3"/>
        <v>Good</v>
      </c>
      <c r="Q399" s="65"/>
      <c r="R399" s="65"/>
      <c r="S399" s="65"/>
      <c r="T399" s="65"/>
      <c r="U399" s="6"/>
      <c r="V399" s="6" t="str">
        <f>IFERROR(__xludf.DUMMYFUNCTION("""COMPUTED_VALUE"""),"state.character_level@4")</f>
        <v>state.character_level@4</v>
      </c>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row>
    <row r="400" ht="14.25" customHeight="1">
      <c r="A400" s="26" t="str">
        <f t="shared" si="1"/>
        <v>state.character_level@40</v>
      </c>
      <c r="B400" s="26" t="str">
        <f t="array" ref="B400">_xlfn.XLOOKUP(A400,Targets!A:A,Targets!C:C,"")</f>
        <v>STATE</v>
      </c>
      <c r="C400" s="64" t="b">
        <f>COUNTIF(Targets!A:A,A400)&gt;0</f>
        <v>1</v>
      </c>
      <c r="D400" s="64" t="b">
        <f>IF(
 OR(
  LEFT(A400,15)="state.character",
  RIGHT(A400,6)=".maxed"
 ),
 TRUE,
 COUNTIF(Checklist!A:A,A400)&gt;0
)</f>
        <v>1</v>
      </c>
      <c r="E400" s="64" t="b">
        <f>IF(
 OR(
  LEFT(A400,15)="state.character",
  RIGHT(A400,6)=".maxed",
  A400="building.guild@1",
  A400="quest.build_the_guild.accepted",
  A400="quest.build_the_pagoda.accepted"
 ),
 TRUE,
 COUNTIF(Dependencies!A:A,A400)&gt;0
)</f>
        <v>1</v>
      </c>
      <c r="F400" s="64" t="b">
        <f>COUNTIF(Dependencies!B:B,A400)&gt;0</f>
        <v>1</v>
      </c>
      <c r="G400" s="64" t="b">
        <f>COUNTIF(QuestObjectives!A:A,A400)&gt;0</f>
        <v>0</v>
      </c>
      <c r="H400" s="64" t="b">
        <f>COUNTIF(QuestObjectives!E:E,A400)&gt;0</f>
        <v>0</v>
      </c>
      <c r="I400" s="64" t="b">
        <f>COUNTIF(TargetStatus!A:A,A400)&gt;0</f>
        <v>1</v>
      </c>
      <c r="J400" s="64" t="b">
        <f>COUNTIF(CostStatus!B:B,A400)&gt;0</f>
        <v>0</v>
      </c>
      <c r="K400" s="64" t="b">
        <f>COUNTIF(States!A:A,A400)&gt;0</f>
        <v>1</v>
      </c>
      <c r="L400" s="64" t="b">
        <f t="shared" si="2"/>
        <v>1</v>
      </c>
      <c r="M400" s="64" t="b">
        <f>IF(A400="","",COUNTIF(Targets!A:A,A400)&gt;1)</f>
        <v>0</v>
      </c>
      <c r="N400" s="64" t="b">
        <f>IF(A400="","",COUNTIF(States!A:A,A400)&gt;1)</f>
        <v>0</v>
      </c>
      <c r="O400" s="64" t="b">
        <f>IFERROR(__xludf.DUMMYFUNCTION("IF(
 B400="""",
 """",
 SWITCH(
  B400,
  ""BUILDING"",COUNTIF(Buildings!A:A,A400)&gt;0,
  ""CITADEL"",COUNTIF(Citadel!A:A,A400)&gt;0,
  ""COLLECTION"",COUNTIF(Collections!A:A,A400)&gt;0,
  ""CRAFTIFACT"",COUNTIF(Craftifacts!A:A,A400)&gt;0,
  ""QUEST"",
   COUNTIF(
 "&amp;"   Quests!A:A,
    REGEXREPLACE(A400,""\.(accepted|finished)$"","""")
   )&gt;0,
  ""TECH"",COUNTIF(Technologies!A:A,A400)&gt;0,
  ""STATE"",COUNTIF(States!A:A,A400)&gt;0,
  FALSE
 )
)"),TRUE)</f>
        <v>1</v>
      </c>
      <c r="P400" s="64" t="str">
        <f t="shared" si="3"/>
        <v>Good</v>
      </c>
      <c r="Q400" s="65"/>
      <c r="R400" s="65"/>
      <c r="S400" s="65"/>
      <c r="T400" s="65"/>
      <c r="U400" s="6"/>
      <c r="V400" s="6" t="str">
        <f>IFERROR(__xludf.DUMMYFUNCTION("""COMPUTED_VALUE"""),"state.character_level@40")</f>
        <v>state.character_level@40</v>
      </c>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row>
    <row r="401" ht="14.25" customHeight="1">
      <c r="A401" s="26" t="str">
        <f t="shared" si="1"/>
        <v>state.character_level@5</v>
      </c>
      <c r="B401" s="26" t="str">
        <f t="array" ref="B401">_xlfn.XLOOKUP(A401,Targets!A:A,Targets!C:C,"")</f>
        <v>STATE</v>
      </c>
      <c r="C401" s="64" t="b">
        <f>COUNTIF(Targets!A:A,A401)&gt;0</f>
        <v>1</v>
      </c>
      <c r="D401" s="64" t="b">
        <f>IF(
 OR(
  LEFT(A401,15)="state.character",
  RIGHT(A401,6)=".maxed"
 ),
 TRUE,
 COUNTIF(Checklist!A:A,A401)&gt;0
)</f>
        <v>1</v>
      </c>
      <c r="E401" s="64" t="b">
        <f>IF(
 OR(
  LEFT(A401,15)="state.character",
  RIGHT(A401,6)=".maxed",
  A401="building.guild@1",
  A401="quest.build_the_guild.accepted",
  A401="quest.build_the_pagoda.accepted"
 ),
 TRUE,
 COUNTIF(Dependencies!A:A,A401)&gt;0
)</f>
        <v>1</v>
      </c>
      <c r="F401" s="64" t="b">
        <f>COUNTIF(Dependencies!B:B,A401)&gt;0</f>
        <v>1</v>
      </c>
      <c r="G401" s="64" t="b">
        <f>COUNTIF(QuestObjectives!A:A,A401)&gt;0</f>
        <v>0</v>
      </c>
      <c r="H401" s="64" t="b">
        <f>COUNTIF(QuestObjectives!E:E,A401)&gt;0</f>
        <v>0</v>
      </c>
      <c r="I401" s="64" t="b">
        <f>COUNTIF(TargetStatus!A:A,A401)&gt;0</f>
        <v>1</v>
      </c>
      <c r="J401" s="64" t="b">
        <f>COUNTIF(CostStatus!B:B,A401)&gt;0</f>
        <v>0</v>
      </c>
      <c r="K401" s="64" t="b">
        <f>COUNTIF(States!A:A,A401)&gt;0</f>
        <v>1</v>
      </c>
      <c r="L401" s="64" t="b">
        <f t="shared" si="2"/>
        <v>1</v>
      </c>
      <c r="M401" s="64" t="b">
        <f>IF(A401="","",COUNTIF(Targets!A:A,A401)&gt;1)</f>
        <v>0</v>
      </c>
      <c r="N401" s="64" t="b">
        <f>IF(A401="","",COUNTIF(States!A:A,A401)&gt;1)</f>
        <v>0</v>
      </c>
      <c r="O401" s="64" t="b">
        <f>IFERROR(__xludf.DUMMYFUNCTION("IF(
 B401="""",
 """",
 SWITCH(
  B401,
  ""BUILDING"",COUNTIF(Buildings!A:A,A401)&gt;0,
  ""CITADEL"",COUNTIF(Citadel!A:A,A401)&gt;0,
  ""COLLECTION"",COUNTIF(Collections!A:A,A401)&gt;0,
  ""CRAFTIFACT"",COUNTIF(Craftifacts!A:A,A401)&gt;0,
  ""QUEST"",
   COUNTIF(
 "&amp;"   Quests!A:A,
    REGEXREPLACE(A401,""\.(accepted|finished)$"","""")
   )&gt;0,
  ""TECH"",COUNTIF(Technologies!A:A,A401)&gt;0,
  ""STATE"",COUNTIF(States!A:A,A401)&gt;0,
  FALSE
 )
)"),TRUE)</f>
        <v>1</v>
      </c>
      <c r="P401" s="64" t="str">
        <f t="shared" si="3"/>
        <v>Good</v>
      </c>
      <c r="Q401" s="65"/>
      <c r="R401" s="65"/>
      <c r="S401" s="65"/>
      <c r="T401" s="65"/>
      <c r="U401" s="6"/>
      <c r="V401" s="6" t="str">
        <f>IFERROR(__xludf.DUMMYFUNCTION("""COMPUTED_VALUE"""),"state.character_level@5")</f>
        <v>state.character_level@5</v>
      </c>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row>
    <row r="402" ht="14.25" customHeight="1">
      <c r="A402" s="26" t="str">
        <f t="shared" si="1"/>
        <v>state.character_level@50</v>
      </c>
      <c r="B402" s="26" t="str">
        <f t="array" ref="B402">_xlfn.XLOOKUP(A402,Targets!A:A,Targets!C:C,"")</f>
        <v>STATE</v>
      </c>
      <c r="C402" s="64" t="b">
        <f>COUNTIF(Targets!A:A,A402)&gt;0</f>
        <v>1</v>
      </c>
      <c r="D402" s="64" t="b">
        <f>IF(
 OR(
  LEFT(A402,15)="state.character",
  RIGHT(A402,6)=".maxed"
 ),
 TRUE,
 COUNTIF(Checklist!A:A,A402)&gt;0
)</f>
        <v>1</v>
      </c>
      <c r="E402" s="64" t="b">
        <f>IF(
 OR(
  LEFT(A402,15)="state.character",
  RIGHT(A402,6)=".maxed",
  A402="building.guild@1",
  A402="quest.build_the_guild.accepted",
  A402="quest.build_the_pagoda.accepted"
 ),
 TRUE,
 COUNTIF(Dependencies!A:A,A402)&gt;0
)</f>
        <v>1</v>
      </c>
      <c r="F402" s="64" t="b">
        <f>COUNTIF(Dependencies!B:B,A402)&gt;0</f>
        <v>1</v>
      </c>
      <c r="G402" s="64" t="b">
        <f>COUNTIF(QuestObjectives!A:A,A402)&gt;0</f>
        <v>0</v>
      </c>
      <c r="H402" s="64" t="b">
        <f>COUNTIF(QuestObjectives!E:E,A402)&gt;0</f>
        <v>0</v>
      </c>
      <c r="I402" s="64" t="b">
        <f>COUNTIF(TargetStatus!A:A,A402)&gt;0</f>
        <v>1</v>
      </c>
      <c r="J402" s="64" t="b">
        <f>COUNTIF(CostStatus!B:B,A402)&gt;0</f>
        <v>0</v>
      </c>
      <c r="K402" s="64" t="b">
        <f>COUNTIF(States!A:A,A402)&gt;0</f>
        <v>1</v>
      </c>
      <c r="L402" s="64" t="b">
        <f t="shared" si="2"/>
        <v>1</v>
      </c>
      <c r="M402" s="64" t="b">
        <f>IF(A402="","",COUNTIF(Targets!A:A,A402)&gt;1)</f>
        <v>0</v>
      </c>
      <c r="N402" s="64" t="b">
        <f>IF(A402="","",COUNTIF(States!A:A,A402)&gt;1)</f>
        <v>0</v>
      </c>
      <c r="O402" s="64" t="b">
        <f>IFERROR(__xludf.DUMMYFUNCTION("IF(
 B402="""",
 """",
 SWITCH(
  B402,
  ""BUILDING"",COUNTIF(Buildings!A:A,A402)&gt;0,
  ""CITADEL"",COUNTIF(Citadel!A:A,A402)&gt;0,
  ""COLLECTION"",COUNTIF(Collections!A:A,A402)&gt;0,
  ""CRAFTIFACT"",COUNTIF(Craftifacts!A:A,A402)&gt;0,
  ""QUEST"",
   COUNTIF(
 "&amp;"   Quests!A:A,
    REGEXREPLACE(A402,""\.(accepted|finished)$"","""")
   )&gt;0,
  ""TECH"",COUNTIF(Technologies!A:A,A402)&gt;0,
  ""STATE"",COUNTIF(States!A:A,A402)&gt;0,
  FALSE
 )
)"),TRUE)</f>
        <v>1</v>
      </c>
      <c r="P402" s="64" t="str">
        <f t="shared" si="3"/>
        <v>Good</v>
      </c>
      <c r="Q402" s="65"/>
      <c r="R402" s="65"/>
      <c r="S402" s="65"/>
      <c r="T402" s="65"/>
      <c r="U402" s="6"/>
      <c r="V402" s="6" t="str">
        <f>IFERROR(__xludf.DUMMYFUNCTION("""COMPUTED_VALUE"""),"state.character_level@50")</f>
        <v>state.character_level@50</v>
      </c>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row>
    <row r="403" ht="14.25" customHeight="1">
      <c r="A403" s="26" t="str">
        <f t="shared" si="1"/>
        <v>state.character_level@55</v>
      </c>
      <c r="B403" s="26" t="str">
        <f t="array" ref="B403">_xlfn.XLOOKUP(A403,Targets!A:A,Targets!C:C,"")</f>
        <v>STATE</v>
      </c>
      <c r="C403" s="64" t="b">
        <f>COUNTIF(Targets!A:A,A403)&gt;0</f>
        <v>1</v>
      </c>
      <c r="D403" s="64" t="b">
        <f>IF(
 OR(
  LEFT(A403,15)="state.character",
  RIGHT(A403,6)=".maxed"
 ),
 TRUE,
 COUNTIF(Checklist!A:A,A403)&gt;0
)</f>
        <v>1</v>
      </c>
      <c r="E403" s="64" t="b">
        <f>IF(
 OR(
  LEFT(A403,15)="state.character",
  RIGHT(A403,6)=".maxed",
  A403="building.guild@1",
  A403="quest.build_the_guild.accepted",
  A403="quest.build_the_pagoda.accepted"
 ),
 TRUE,
 COUNTIF(Dependencies!A:A,A403)&gt;0
)</f>
        <v>1</v>
      </c>
      <c r="F403" s="64" t="b">
        <f>COUNTIF(Dependencies!B:B,A403)&gt;0</f>
        <v>1</v>
      </c>
      <c r="G403" s="64" t="b">
        <f>COUNTIF(QuestObjectives!A:A,A403)&gt;0</f>
        <v>0</v>
      </c>
      <c r="H403" s="64" t="b">
        <f>COUNTIF(QuestObjectives!E:E,A403)&gt;0</f>
        <v>0</v>
      </c>
      <c r="I403" s="64" t="b">
        <f>COUNTIF(TargetStatus!A:A,A403)&gt;0</f>
        <v>1</v>
      </c>
      <c r="J403" s="64" t="b">
        <f>COUNTIF(CostStatus!B:B,A403)&gt;0</f>
        <v>0</v>
      </c>
      <c r="K403" s="64" t="b">
        <f>COUNTIF(States!A:A,A403)&gt;0</f>
        <v>1</v>
      </c>
      <c r="L403" s="64" t="b">
        <f t="shared" si="2"/>
        <v>1</v>
      </c>
      <c r="M403" s="64" t="b">
        <f>IF(A403="","",COUNTIF(Targets!A:A,A403)&gt;1)</f>
        <v>0</v>
      </c>
      <c r="N403" s="64" t="b">
        <f>IF(A403="","",COUNTIF(States!A:A,A403)&gt;1)</f>
        <v>0</v>
      </c>
      <c r="O403" s="64" t="b">
        <f>IFERROR(__xludf.DUMMYFUNCTION("IF(
 B403="""",
 """",
 SWITCH(
  B403,
  ""BUILDING"",COUNTIF(Buildings!A:A,A403)&gt;0,
  ""CITADEL"",COUNTIF(Citadel!A:A,A403)&gt;0,
  ""COLLECTION"",COUNTIF(Collections!A:A,A403)&gt;0,
  ""CRAFTIFACT"",COUNTIF(Craftifacts!A:A,A403)&gt;0,
  ""QUEST"",
   COUNTIF(
 "&amp;"   Quests!A:A,
    REGEXREPLACE(A403,""\.(accepted|finished)$"","""")
   )&gt;0,
  ""TECH"",COUNTIF(Technologies!A:A,A403)&gt;0,
  ""STATE"",COUNTIF(States!A:A,A403)&gt;0,
  FALSE
 )
)"),TRUE)</f>
        <v>1</v>
      </c>
      <c r="P403" s="64" t="str">
        <f t="shared" si="3"/>
        <v>Good</v>
      </c>
      <c r="Q403" s="65"/>
      <c r="R403" s="65"/>
      <c r="S403" s="65"/>
      <c r="T403" s="65"/>
      <c r="U403" s="6"/>
      <c r="V403" s="6" t="str">
        <f>IFERROR(__xludf.DUMMYFUNCTION("""COMPUTED_VALUE"""),"state.character_level@55")</f>
        <v>state.character_level@55</v>
      </c>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row>
    <row r="404" ht="14.25" customHeight="1">
      <c r="A404" s="26" t="str">
        <f t="shared" si="1"/>
        <v>state.character_level@6</v>
      </c>
      <c r="B404" s="26" t="str">
        <f t="array" ref="B404">_xlfn.XLOOKUP(A404,Targets!A:A,Targets!C:C,"")</f>
        <v>STATE</v>
      </c>
      <c r="C404" s="64" t="b">
        <f>COUNTIF(Targets!A:A,A404)&gt;0</f>
        <v>1</v>
      </c>
      <c r="D404" s="64" t="b">
        <f>IF(
 OR(
  LEFT(A404,15)="state.character",
  RIGHT(A404,6)=".maxed"
 ),
 TRUE,
 COUNTIF(Checklist!A:A,A404)&gt;0
)</f>
        <v>1</v>
      </c>
      <c r="E404" s="64" t="b">
        <f>IF(
 OR(
  LEFT(A404,15)="state.character",
  RIGHT(A404,6)=".maxed",
  A404="building.guild@1",
  A404="quest.build_the_guild.accepted",
  A404="quest.build_the_pagoda.accepted"
 ),
 TRUE,
 COUNTIF(Dependencies!A:A,A404)&gt;0
)</f>
        <v>1</v>
      </c>
      <c r="F404" s="64" t="b">
        <f>COUNTIF(Dependencies!B:B,A404)&gt;0</f>
        <v>1</v>
      </c>
      <c r="G404" s="64" t="b">
        <f>COUNTIF(QuestObjectives!A:A,A404)&gt;0</f>
        <v>0</v>
      </c>
      <c r="H404" s="64" t="b">
        <f>COUNTIF(QuestObjectives!E:E,A404)&gt;0</f>
        <v>0</v>
      </c>
      <c r="I404" s="64" t="b">
        <f>COUNTIF(TargetStatus!A:A,A404)&gt;0</f>
        <v>1</v>
      </c>
      <c r="J404" s="64" t="b">
        <f>COUNTIF(CostStatus!B:B,A404)&gt;0</f>
        <v>0</v>
      </c>
      <c r="K404" s="64" t="b">
        <f>COUNTIF(States!A:A,A404)&gt;0</f>
        <v>1</v>
      </c>
      <c r="L404" s="64" t="b">
        <f t="shared" si="2"/>
        <v>1</v>
      </c>
      <c r="M404" s="64" t="b">
        <f>IF(A404="","",COUNTIF(Targets!A:A,A404)&gt;1)</f>
        <v>0</v>
      </c>
      <c r="N404" s="64" t="b">
        <f>IF(A404="","",COUNTIF(States!A:A,A404)&gt;1)</f>
        <v>0</v>
      </c>
      <c r="O404" s="64" t="b">
        <f>IFERROR(__xludf.DUMMYFUNCTION("IF(
 B404="""",
 """",
 SWITCH(
  B404,
  ""BUILDING"",COUNTIF(Buildings!A:A,A404)&gt;0,
  ""CITADEL"",COUNTIF(Citadel!A:A,A404)&gt;0,
  ""COLLECTION"",COUNTIF(Collections!A:A,A404)&gt;0,
  ""CRAFTIFACT"",COUNTIF(Craftifacts!A:A,A404)&gt;0,
  ""QUEST"",
   COUNTIF(
 "&amp;"   Quests!A:A,
    REGEXREPLACE(A404,""\.(accepted|finished)$"","""")
   )&gt;0,
  ""TECH"",COUNTIF(Technologies!A:A,A404)&gt;0,
  ""STATE"",COUNTIF(States!A:A,A404)&gt;0,
  FALSE
 )
)"),TRUE)</f>
        <v>1</v>
      </c>
      <c r="P404" s="64" t="str">
        <f t="shared" si="3"/>
        <v>Good</v>
      </c>
      <c r="Q404" s="65"/>
      <c r="R404" s="65"/>
      <c r="S404" s="65"/>
      <c r="T404" s="65"/>
      <c r="U404" s="6"/>
      <c r="V404" s="6" t="str">
        <f>IFERROR(__xludf.DUMMYFUNCTION("""COMPUTED_VALUE"""),"state.character_level@6")</f>
        <v>state.character_level@6</v>
      </c>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row>
    <row r="405" ht="14.25" customHeight="1">
      <c r="A405" s="26" t="str">
        <f t="shared" si="1"/>
        <v>state.character_level@7</v>
      </c>
      <c r="B405" s="26" t="str">
        <f t="array" ref="B405">_xlfn.XLOOKUP(A405,Targets!A:A,Targets!C:C,"")</f>
        <v>STATE</v>
      </c>
      <c r="C405" s="64" t="b">
        <f>COUNTIF(Targets!A:A,A405)&gt;0</f>
        <v>1</v>
      </c>
      <c r="D405" s="64" t="b">
        <f>IF(
 OR(
  LEFT(A405,15)="state.character",
  RIGHT(A405,6)=".maxed"
 ),
 TRUE,
 COUNTIF(Checklist!A:A,A405)&gt;0
)</f>
        <v>1</v>
      </c>
      <c r="E405" s="64" t="b">
        <f>IF(
 OR(
  LEFT(A405,15)="state.character",
  RIGHT(A405,6)=".maxed",
  A405="building.guild@1",
  A405="quest.build_the_guild.accepted",
  A405="quest.build_the_pagoda.accepted"
 ),
 TRUE,
 COUNTIF(Dependencies!A:A,A405)&gt;0
)</f>
        <v>1</v>
      </c>
      <c r="F405" s="64" t="b">
        <f>COUNTIF(Dependencies!B:B,A405)&gt;0</f>
        <v>1</v>
      </c>
      <c r="G405" s="64" t="b">
        <f>COUNTIF(QuestObjectives!A:A,A405)&gt;0</f>
        <v>0</v>
      </c>
      <c r="H405" s="64" t="b">
        <f>COUNTIF(QuestObjectives!E:E,A405)&gt;0</f>
        <v>0</v>
      </c>
      <c r="I405" s="64" t="b">
        <f>COUNTIF(TargetStatus!A:A,A405)&gt;0</f>
        <v>1</v>
      </c>
      <c r="J405" s="64" t="b">
        <f>COUNTIF(CostStatus!B:B,A405)&gt;0</f>
        <v>0</v>
      </c>
      <c r="K405" s="64" t="b">
        <f>COUNTIF(States!A:A,A405)&gt;0</f>
        <v>1</v>
      </c>
      <c r="L405" s="64" t="b">
        <f t="shared" si="2"/>
        <v>1</v>
      </c>
      <c r="M405" s="64" t="b">
        <f>IF(A405="","",COUNTIF(Targets!A:A,A405)&gt;1)</f>
        <v>0</v>
      </c>
      <c r="N405" s="64" t="b">
        <f>IF(A405="","",COUNTIF(States!A:A,A405)&gt;1)</f>
        <v>0</v>
      </c>
      <c r="O405" s="64" t="b">
        <f>IFERROR(__xludf.DUMMYFUNCTION("IF(
 B405="""",
 """",
 SWITCH(
  B405,
  ""BUILDING"",COUNTIF(Buildings!A:A,A405)&gt;0,
  ""CITADEL"",COUNTIF(Citadel!A:A,A405)&gt;0,
  ""COLLECTION"",COUNTIF(Collections!A:A,A405)&gt;0,
  ""CRAFTIFACT"",COUNTIF(Craftifacts!A:A,A405)&gt;0,
  ""QUEST"",
   COUNTIF(
 "&amp;"   Quests!A:A,
    REGEXREPLACE(A405,""\.(accepted|finished)$"","""")
   )&gt;0,
  ""TECH"",COUNTIF(Technologies!A:A,A405)&gt;0,
  ""STATE"",COUNTIF(States!A:A,A405)&gt;0,
  FALSE
 )
)"),TRUE)</f>
        <v>1</v>
      </c>
      <c r="P405" s="64" t="str">
        <f t="shared" si="3"/>
        <v>Good</v>
      </c>
      <c r="Q405" s="65"/>
      <c r="R405" s="65"/>
      <c r="S405" s="65"/>
      <c r="T405" s="65"/>
      <c r="U405" s="6"/>
      <c r="V405" s="6" t="str">
        <f>IFERROR(__xludf.DUMMYFUNCTION("""COMPUTED_VALUE"""),"state.character_level@7")</f>
        <v>state.character_level@7</v>
      </c>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row>
    <row r="406" ht="14.25" customHeight="1">
      <c r="A406" s="26" t="str">
        <f t="shared" si="1"/>
        <v>state.character_level@8</v>
      </c>
      <c r="B406" s="26" t="str">
        <f t="array" ref="B406">_xlfn.XLOOKUP(A406,Targets!A:A,Targets!C:C,"")</f>
        <v>STATE</v>
      </c>
      <c r="C406" s="64" t="b">
        <f>COUNTIF(Targets!A:A,A406)&gt;0</f>
        <v>1</v>
      </c>
      <c r="D406" s="64" t="b">
        <f>IF(
 OR(
  LEFT(A406,15)="state.character",
  RIGHT(A406,6)=".maxed"
 ),
 TRUE,
 COUNTIF(Checklist!A:A,A406)&gt;0
)</f>
        <v>1</v>
      </c>
      <c r="E406" s="64" t="b">
        <f>IF(
 OR(
  LEFT(A406,15)="state.character",
  RIGHT(A406,6)=".maxed",
  A406="building.guild@1",
  A406="quest.build_the_guild.accepted",
  A406="quest.build_the_pagoda.accepted"
 ),
 TRUE,
 COUNTIF(Dependencies!A:A,A406)&gt;0
)</f>
        <v>1</v>
      </c>
      <c r="F406" s="64" t="b">
        <f>COUNTIF(Dependencies!B:B,A406)&gt;0</f>
        <v>1</v>
      </c>
      <c r="G406" s="64" t="b">
        <f>COUNTIF(QuestObjectives!A:A,A406)&gt;0</f>
        <v>0</v>
      </c>
      <c r="H406" s="64" t="b">
        <f>COUNTIF(QuestObjectives!E:E,A406)&gt;0</f>
        <v>0</v>
      </c>
      <c r="I406" s="64" t="b">
        <f>COUNTIF(TargetStatus!A:A,A406)&gt;0</f>
        <v>1</v>
      </c>
      <c r="J406" s="64" t="b">
        <f>COUNTIF(CostStatus!B:B,A406)&gt;0</f>
        <v>0</v>
      </c>
      <c r="K406" s="64" t="b">
        <f>COUNTIF(States!A:A,A406)&gt;0</f>
        <v>1</v>
      </c>
      <c r="L406" s="64" t="b">
        <f t="shared" si="2"/>
        <v>1</v>
      </c>
      <c r="M406" s="64" t="b">
        <f>IF(A406="","",COUNTIF(Targets!A:A,A406)&gt;1)</f>
        <v>0</v>
      </c>
      <c r="N406" s="64" t="b">
        <f>IF(A406="","",COUNTIF(States!A:A,A406)&gt;1)</f>
        <v>0</v>
      </c>
      <c r="O406" s="64" t="b">
        <f>IFERROR(__xludf.DUMMYFUNCTION("IF(
 B406="""",
 """",
 SWITCH(
  B406,
  ""BUILDING"",COUNTIF(Buildings!A:A,A406)&gt;0,
  ""CITADEL"",COUNTIF(Citadel!A:A,A406)&gt;0,
  ""COLLECTION"",COUNTIF(Collections!A:A,A406)&gt;0,
  ""CRAFTIFACT"",COUNTIF(Craftifacts!A:A,A406)&gt;0,
  ""QUEST"",
   COUNTIF(
 "&amp;"   Quests!A:A,
    REGEXREPLACE(A406,""\.(accepted|finished)$"","""")
   )&gt;0,
  ""TECH"",COUNTIF(Technologies!A:A,A406)&gt;0,
  ""STATE"",COUNTIF(States!A:A,A406)&gt;0,
  FALSE
 )
)"),TRUE)</f>
        <v>1</v>
      </c>
      <c r="P406" s="64" t="str">
        <f t="shared" si="3"/>
        <v>Good</v>
      </c>
      <c r="Q406" s="65"/>
      <c r="R406" s="65"/>
      <c r="S406" s="65"/>
      <c r="T406" s="65"/>
      <c r="U406" s="6"/>
      <c r="V406" s="6" t="str">
        <f>IFERROR(__xludf.DUMMYFUNCTION("""COMPUTED_VALUE"""),"state.character_level@8")</f>
        <v>state.character_level@8</v>
      </c>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row>
    <row r="407" ht="14.25" customHeight="1">
      <c r="A407" s="26" t="str">
        <f t="shared" si="1"/>
        <v>state.character_level@80</v>
      </c>
      <c r="B407" s="26" t="str">
        <f t="array" ref="B407">_xlfn.XLOOKUP(A407,Targets!A:A,Targets!C:C,"")</f>
        <v>STATE</v>
      </c>
      <c r="C407" s="64" t="b">
        <f>COUNTIF(Targets!A:A,A407)&gt;0</f>
        <v>1</v>
      </c>
      <c r="D407" s="64" t="b">
        <f>IF(
 OR(
  LEFT(A407,15)="state.character",
  RIGHT(A407,6)=".maxed"
 ),
 TRUE,
 COUNTIF(Checklist!A:A,A407)&gt;0
)</f>
        <v>1</v>
      </c>
      <c r="E407" s="64" t="b">
        <f>IF(
 OR(
  LEFT(A407,15)="state.character",
  RIGHT(A407,6)=".maxed",
  A407="building.guild@1",
  A407="quest.build_the_guild.accepted",
  A407="quest.build_the_pagoda.accepted"
 ),
 TRUE,
 COUNTIF(Dependencies!A:A,A407)&gt;0
)</f>
        <v>1</v>
      </c>
      <c r="F407" s="64" t="b">
        <f>COUNTIF(Dependencies!B:B,A407)&gt;0</f>
        <v>1</v>
      </c>
      <c r="G407" s="64" t="b">
        <f>COUNTIF(QuestObjectives!A:A,A407)&gt;0</f>
        <v>0</v>
      </c>
      <c r="H407" s="64" t="b">
        <f>COUNTIF(QuestObjectives!E:E,A407)&gt;0</f>
        <v>0</v>
      </c>
      <c r="I407" s="64" t="b">
        <f>COUNTIF(TargetStatus!A:A,A407)&gt;0</f>
        <v>1</v>
      </c>
      <c r="J407" s="64" t="b">
        <f>COUNTIF(CostStatus!B:B,A407)&gt;0</f>
        <v>0</v>
      </c>
      <c r="K407" s="64" t="b">
        <f>COUNTIF(States!A:A,A407)&gt;0</f>
        <v>1</v>
      </c>
      <c r="L407" s="64" t="b">
        <f t="shared" si="2"/>
        <v>1</v>
      </c>
      <c r="M407" s="64" t="b">
        <f>IF(A407="","",COUNTIF(Targets!A:A,A407)&gt;1)</f>
        <v>0</v>
      </c>
      <c r="N407" s="64" t="b">
        <f>IF(A407="","",COUNTIF(States!A:A,A407)&gt;1)</f>
        <v>0</v>
      </c>
      <c r="O407" s="64" t="b">
        <f>IFERROR(__xludf.DUMMYFUNCTION("IF(
 B407="""",
 """",
 SWITCH(
  B407,
  ""BUILDING"",COUNTIF(Buildings!A:A,A407)&gt;0,
  ""CITADEL"",COUNTIF(Citadel!A:A,A407)&gt;0,
  ""COLLECTION"",COUNTIF(Collections!A:A,A407)&gt;0,
  ""CRAFTIFACT"",COUNTIF(Craftifacts!A:A,A407)&gt;0,
  ""QUEST"",
   COUNTIF(
 "&amp;"   Quests!A:A,
    REGEXREPLACE(A407,""\.(accepted|finished)$"","""")
   )&gt;0,
  ""TECH"",COUNTIF(Technologies!A:A,A407)&gt;0,
  ""STATE"",COUNTIF(States!A:A,A407)&gt;0,
  FALSE
 )
)"),TRUE)</f>
        <v>1</v>
      </c>
      <c r="P407" s="64" t="str">
        <f t="shared" si="3"/>
        <v>Good</v>
      </c>
      <c r="Q407" s="65"/>
      <c r="R407" s="65"/>
      <c r="S407" s="65"/>
      <c r="T407" s="65"/>
      <c r="U407" s="6"/>
      <c r="V407" s="6" t="str">
        <f>IFERROR(__xludf.DUMMYFUNCTION("""COMPUTED_VALUE"""),"state.character_level@80")</f>
        <v>state.character_level@80</v>
      </c>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row>
    <row r="408" ht="14.25" customHeight="1">
      <c r="A408" s="26" t="str">
        <f t="shared" si="1"/>
        <v>state.character_level@9</v>
      </c>
      <c r="B408" s="26" t="str">
        <f t="array" ref="B408">_xlfn.XLOOKUP(A408,Targets!A:A,Targets!C:C,"")</f>
        <v>STATE</v>
      </c>
      <c r="C408" s="64" t="b">
        <f>COUNTIF(Targets!A:A,A408)&gt;0</f>
        <v>1</v>
      </c>
      <c r="D408" s="64" t="b">
        <f>IF(
 OR(
  LEFT(A408,15)="state.character",
  RIGHT(A408,6)=".maxed"
 ),
 TRUE,
 COUNTIF(Checklist!A:A,A408)&gt;0
)</f>
        <v>1</v>
      </c>
      <c r="E408" s="64" t="b">
        <f>IF(
 OR(
  LEFT(A408,15)="state.character",
  RIGHT(A408,6)=".maxed",
  A408="building.guild@1",
  A408="quest.build_the_guild.accepted",
  A408="quest.build_the_pagoda.accepted"
 ),
 TRUE,
 COUNTIF(Dependencies!A:A,A408)&gt;0
)</f>
        <v>1</v>
      </c>
      <c r="F408" s="64" t="b">
        <f>COUNTIF(Dependencies!B:B,A408)&gt;0</f>
        <v>1</v>
      </c>
      <c r="G408" s="64" t="b">
        <f>COUNTIF(QuestObjectives!A:A,A408)&gt;0</f>
        <v>0</v>
      </c>
      <c r="H408" s="64" t="b">
        <f>COUNTIF(QuestObjectives!E:E,A408)&gt;0</f>
        <v>0</v>
      </c>
      <c r="I408" s="64" t="b">
        <f>COUNTIF(TargetStatus!A:A,A408)&gt;0</f>
        <v>1</v>
      </c>
      <c r="J408" s="64" t="b">
        <f>COUNTIF(CostStatus!B:B,A408)&gt;0</f>
        <v>0</v>
      </c>
      <c r="K408" s="64" t="b">
        <f>COUNTIF(States!A:A,A408)&gt;0</f>
        <v>1</v>
      </c>
      <c r="L408" s="64" t="b">
        <f t="shared" si="2"/>
        <v>1</v>
      </c>
      <c r="M408" s="64" t="b">
        <f>IF(A408="","",COUNTIF(Targets!A:A,A408)&gt;1)</f>
        <v>0</v>
      </c>
      <c r="N408" s="64" t="b">
        <f>IF(A408="","",COUNTIF(States!A:A,A408)&gt;1)</f>
        <v>0</v>
      </c>
      <c r="O408" s="64" t="b">
        <f>IFERROR(__xludf.DUMMYFUNCTION("IF(
 B408="""",
 """",
 SWITCH(
  B408,
  ""BUILDING"",COUNTIF(Buildings!A:A,A408)&gt;0,
  ""CITADEL"",COUNTIF(Citadel!A:A,A408)&gt;0,
  ""COLLECTION"",COUNTIF(Collections!A:A,A408)&gt;0,
  ""CRAFTIFACT"",COUNTIF(Craftifacts!A:A,A408)&gt;0,
  ""QUEST"",
   COUNTIF(
 "&amp;"   Quests!A:A,
    REGEXREPLACE(A408,""\.(accepted|finished)$"","""")
   )&gt;0,
  ""TECH"",COUNTIF(Technologies!A:A,A408)&gt;0,
  ""STATE"",COUNTIF(States!A:A,A408)&gt;0,
  FALSE
 )
)"),TRUE)</f>
        <v>1</v>
      </c>
      <c r="P408" s="64" t="str">
        <f t="shared" si="3"/>
        <v>Good</v>
      </c>
      <c r="Q408" s="65"/>
      <c r="R408" s="65"/>
      <c r="S408" s="65"/>
      <c r="T408" s="65"/>
      <c r="U408" s="6"/>
      <c r="V408" s="6" t="str">
        <f>IFERROR(__xludf.DUMMYFUNCTION("""COMPUTED_VALUE"""),"state.character_level@9")</f>
        <v>state.character_level@9</v>
      </c>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row>
    <row r="409" ht="14.25" customHeight="1">
      <c r="A409" s="26" t="str">
        <f t="shared" si="1"/>
        <v>state.complete_dungeon_5c</v>
      </c>
      <c r="B409" s="26" t="str">
        <f t="array" ref="B409">_xlfn.XLOOKUP(A409,Targets!A:A,Targets!C:C,"")</f>
        <v>STATE</v>
      </c>
      <c r="C409" s="64" t="b">
        <f>COUNTIF(Targets!A:A,A409)&gt;0</f>
        <v>1</v>
      </c>
      <c r="D409" s="64" t="b">
        <f>IF(
 OR(
  LEFT(A409,15)="state.character",
  RIGHT(A409,6)=".maxed"
 ),
 TRUE,
 COUNTIF(Checklist!A:A,A409)&gt;0
)</f>
        <v>1</v>
      </c>
      <c r="E409" s="64" t="b">
        <f>IF(
 OR(
  LEFT(A409,15)="state.character",
  RIGHT(A409,6)=".maxed",
  A409="building.guild@1",
  A409="quest.build_the_guild.accepted",
  A409="quest.build_the_pagoda.accepted"
 ),
 TRUE,
 COUNTIF(Dependencies!A:A,A409)&gt;0
)</f>
        <v>1</v>
      </c>
      <c r="F409" s="64" t="b">
        <f>COUNTIF(Dependencies!B:B,A409)&gt;0</f>
        <v>1</v>
      </c>
      <c r="G409" s="64" t="b">
        <f>COUNTIF(QuestObjectives!A:A,A409)&gt;0</f>
        <v>0</v>
      </c>
      <c r="H409" s="64" t="b">
        <f>COUNTIF(QuestObjectives!E:E,A409)&gt;0</f>
        <v>1</v>
      </c>
      <c r="I409" s="64" t="b">
        <f>COUNTIF(TargetStatus!A:A,A409)&gt;0</f>
        <v>1</v>
      </c>
      <c r="J409" s="64" t="b">
        <f>COUNTIF(CostStatus!B:B,A409)&gt;0</f>
        <v>0</v>
      </c>
      <c r="K409" s="64" t="b">
        <f>COUNTIF(States!A:A,A409)&gt;0</f>
        <v>1</v>
      </c>
      <c r="L409" s="64" t="b">
        <f t="shared" si="2"/>
        <v>1</v>
      </c>
      <c r="M409" s="64" t="b">
        <f>IF(A409="","",COUNTIF(Targets!A:A,A409)&gt;1)</f>
        <v>0</v>
      </c>
      <c r="N409" s="64" t="b">
        <f>IF(A409="","",COUNTIF(States!A:A,A409)&gt;1)</f>
        <v>0</v>
      </c>
      <c r="O409" s="64" t="b">
        <f>IFERROR(__xludf.DUMMYFUNCTION("IF(
 B409="""",
 """",
 SWITCH(
  B409,
  ""BUILDING"",COUNTIF(Buildings!A:A,A409)&gt;0,
  ""CITADEL"",COUNTIF(Citadel!A:A,A409)&gt;0,
  ""COLLECTION"",COUNTIF(Collections!A:A,A409)&gt;0,
  ""CRAFTIFACT"",COUNTIF(Craftifacts!A:A,A409)&gt;0,
  ""QUEST"",
   COUNTIF(
 "&amp;"   Quests!A:A,
    REGEXREPLACE(A409,""\.(accepted|finished)$"","""")
   )&gt;0,
  ""TECH"",COUNTIF(Technologies!A:A,A409)&gt;0,
  ""STATE"",COUNTIF(States!A:A,A409)&gt;0,
  FALSE
 )
)"),TRUE)</f>
        <v>1</v>
      </c>
      <c r="P409" s="64" t="str">
        <f t="shared" si="3"/>
        <v>Good</v>
      </c>
      <c r="Q409" s="65"/>
      <c r="R409" s="65"/>
      <c r="S409" s="65"/>
      <c r="T409" s="65"/>
      <c r="U409" s="6"/>
      <c r="V409" s="6" t="str">
        <f>IFERROR(__xludf.DUMMYFUNCTION("""COMPUTED_VALUE"""),"state.complete_dungeon_5c")</f>
        <v>state.complete_dungeon_5c</v>
      </c>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row>
    <row r="410" ht="14.25" customHeight="1">
      <c r="A410" s="26" t="str">
        <f t="shared" si="1"/>
        <v>state.complete_dungeon_5c_second</v>
      </c>
      <c r="B410" s="26" t="str">
        <f t="array" ref="B410">_xlfn.XLOOKUP(A410,Targets!A:A,Targets!C:C,"")</f>
        <v>STATE</v>
      </c>
      <c r="C410" s="64" t="b">
        <f>COUNTIF(Targets!A:A,A410)&gt;0</f>
        <v>1</v>
      </c>
      <c r="D410" s="64" t="b">
        <f>IF(
 OR(
  LEFT(A410,15)="state.character",
  RIGHT(A410,6)=".maxed"
 ),
 TRUE,
 COUNTIF(Checklist!A:A,A410)&gt;0
)</f>
        <v>1</v>
      </c>
      <c r="E410" s="64" t="b">
        <f>IF(
 OR(
  LEFT(A410,15)="state.character",
  RIGHT(A410,6)=".maxed",
  A410="building.guild@1",
  A410="quest.build_the_guild.accepted",
  A410="quest.build_the_pagoda.accepted"
 ),
 TRUE,
 COUNTIF(Dependencies!A:A,A410)&gt;0
)</f>
        <v>1</v>
      </c>
      <c r="F410" s="64" t="b">
        <f>COUNTIF(Dependencies!B:B,A410)&gt;0</f>
        <v>0</v>
      </c>
      <c r="G410" s="64" t="b">
        <f>COUNTIF(QuestObjectives!A:A,A410)&gt;0</f>
        <v>0</v>
      </c>
      <c r="H410" s="64" t="b">
        <f>COUNTIF(QuestObjectives!E:E,A410)&gt;0</f>
        <v>1</v>
      </c>
      <c r="I410" s="64" t="b">
        <f>COUNTIF(TargetStatus!A:A,A410)&gt;0</f>
        <v>1</v>
      </c>
      <c r="J410" s="64" t="b">
        <f>COUNTIF(CostStatus!B:B,A410)&gt;0</f>
        <v>0</v>
      </c>
      <c r="K410" s="64" t="b">
        <f>COUNTIF(States!A:A,A410)&gt;0</f>
        <v>0</v>
      </c>
      <c r="L410" s="64" t="b">
        <f t="shared" si="2"/>
        <v>1</v>
      </c>
      <c r="M410" s="64" t="b">
        <f>IF(A410="","",COUNTIF(Targets!A:A,A410)&gt;1)</f>
        <v>0</v>
      </c>
      <c r="N410" s="64" t="b">
        <f>IF(A410="","",COUNTIF(States!A:A,A410)&gt;1)</f>
        <v>0</v>
      </c>
      <c r="O410" s="64" t="b">
        <f>IFERROR(__xludf.DUMMYFUNCTION("IF(
 B410="""",
 """",
 SWITCH(
  B410,
  ""BUILDING"",COUNTIF(Buildings!A:A,A410)&gt;0,
  ""CITADEL"",COUNTIF(Citadel!A:A,A410)&gt;0,
  ""COLLECTION"",COUNTIF(Collections!A:A,A410)&gt;0,
  ""CRAFTIFACT"",COUNTIF(Craftifacts!A:A,A410)&gt;0,
  ""QUEST"",
   COUNTIF(
 "&amp;"   Quests!A:A,
    REGEXREPLACE(A410,""\.(accepted|finished)$"","""")
   )&gt;0,
  ""TECH"",COUNTIF(Technologies!A:A,A410)&gt;0,
  ""STATE"",COUNTIF(States!A:A,A410)&gt;0,
  FALSE
 )
)"),FALSE)</f>
        <v>0</v>
      </c>
      <c r="P410" s="64" t="str">
        <f t="shared" si="3"/>
        <v>Good</v>
      </c>
      <c r="Q410" s="65"/>
      <c r="R410" s="65"/>
      <c r="S410" s="65"/>
      <c r="T410" s="65"/>
      <c r="U410" s="6"/>
      <c r="V410" s="6" t="str">
        <f>IFERROR(__xludf.DUMMYFUNCTION("""COMPUTED_VALUE"""),"state.complete_dungeon_5c_second")</f>
        <v>state.complete_dungeon_5c_second</v>
      </c>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row>
    <row r="411" ht="14.25" customHeight="1">
      <c r="A411" s="26" t="str">
        <f t="shared" si="1"/>
        <v>state.complete_dungeon_6c</v>
      </c>
      <c r="B411" s="26" t="str">
        <f t="array" ref="B411">_xlfn.XLOOKUP(A411,Targets!A:A,Targets!C:C,"")</f>
        <v>STATE</v>
      </c>
      <c r="C411" s="64" t="b">
        <f>COUNTIF(Targets!A:A,A411)&gt;0</f>
        <v>1</v>
      </c>
      <c r="D411" s="64" t="b">
        <f>IF(
 OR(
  LEFT(A411,15)="state.character",
  RIGHT(A411,6)=".maxed"
 ),
 TRUE,
 COUNTIF(Checklist!A:A,A411)&gt;0
)</f>
        <v>1</v>
      </c>
      <c r="E411" s="64" t="b">
        <f>IF(
 OR(
  LEFT(A411,15)="state.character",
  RIGHT(A411,6)=".maxed",
  A411="building.guild@1",
  A411="quest.build_the_guild.accepted",
  A411="quest.build_the_pagoda.accepted"
 ),
 TRUE,
 COUNTIF(Dependencies!A:A,A411)&gt;0
)</f>
        <v>1</v>
      </c>
      <c r="F411" s="64" t="b">
        <f>COUNTIF(Dependencies!B:B,A411)&gt;0</f>
        <v>0</v>
      </c>
      <c r="G411" s="64" t="b">
        <f>COUNTIF(QuestObjectives!A:A,A411)&gt;0</f>
        <v>0</v>
      </c>
      <c r="H411" s="64" t="b">
        <f>COUNTIF(QuestObjectives!E:E,A411)&gt;0</f>
        <v>1</v>
      </c>
      <c r="I411" s="64" t="b">
        <f>COUNTIF(TargetStatus!A:A,A411)&gt;0</f>
        <v>1</v>
      </c>
      <c r="J411" s="64" t="b">
        <f>COUNTIF(CostStatus!B:B,A411)&gt;0</f>
        <v>0</v>
      </c>
      <c r="K411" s="64" t="b">
        <f>COUNTIF(States!A:A,A411)&gt;0</f>
        <v>1</v>
      </c>
      <c r="L411" s="64" t="b">
        <f t="shared" si="2"/>
        <v>1</v>
      </c>
      <c r="M411" s="64" t="b">
        <f>IF(A411="","",COUNTIF(Targets!A:A,A411)&gt;1)</f>
        <v>0</v>
      </c>
      <c r="N411" s="64" t="b">
        <f>IF(A411="","",COUNTIF(States!A:A,A411)&gt;1)</f>
        <v>0</v>
      </c>
      <c r="O411" s="64" t="b">
        <f>IFERROR(__xludf.DUMMYFUNCTION("IF(
 B411="""",
 """",
 SWITCH(
  B411,
  ""BUILDING"",COUNTIF(Buildings!A:A,A411)&gt;0,
  ""CITADEL"",COUNTIF(Citadel!A:A,A411)&gt;0,
  ""COLLECTION"",COUNTIF(Collections!A:A,A411)&gt;0,
  ""CRAFTIFACT"",COUNTIF(Craftifacts!A:A,A411)&gt;0,
  ""QUEST"",
   COUNTIF(
 "&amp;"   Quests!A:A,
    REGEXREPLACE(A411,""\.(accepted|finished)$"","""")
   )&gt;0,
  ""TECH"",COUNTIF(Technologies!A:A,A411)&gt;0,
  ""STATE"",COUNTIF(States!A:A,A411)&gt;0,
  FALSE
 )
)"),TRUE)</f>
        <v>1</v>
      </c>
      <c r="P411" s="64" t="str">
        <f t="shared" si="3"/>
        <v>Good</v>
      </c>
      <c r="Q411" s="65"/>
      <c r="R411" s="65"/>
      <c r="S411" s="65"/>
      <c r="T411" s="65"/>
      <c r="U411" s="6"/>
      <c r="V411" s="6" t="str">
        <f>IFERROR(__xludf.DUMMYFUNCTION("""COMPUTED_VALUE"""),"state.complete_dungeon_6c")</f>
        <v>state.complete_dungeon_6c</v>
      </c>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row>
    <row r="412" ht="14.25" customHeight="1">
      <c r="A412" s="26" t="str">
        <f t="shared" si="1"/>
        <v>state.complete_dungeon@1a</v>
      </c>
      <c r="B412" s="26" t="str">
        <f t="array" ref="B412">_xlfn.XLOOKUP(A412,Targets!A:A,Targets!C:C,"")</f>
        <v>STATE</v>
      </c>
      <c r="C412" s="64" t="b">
        <f>COUNTIF(Targets!A:A,A412)&gt;0</f>
        <v>1</v>
      </c>
      <c r="D412" s="64" t="b">
        <f>IF(
 OR(
  LEFT(A412,15)="state.character",
  RIGHT(A412,6)=".maxed"
 ),
 TRUE,
 COUNTIF(Checklist!A:A,A412)&gt;0
)</f>
        <v>1</v>
      </c>
      <c r="E412" s="64" t="b">
        <f>IF(
 OR(
  LEFT(A412,15)="state.character",
  RIGHT(A412,6)=".maxed",
  A412="building.guild@1",
  A412="quest.build_the_guild.accepted",
  A412="quest.build_the_pagoda.accepted"
 ),
 TRUE,
 COUNTIF(Dependencies!A:A,A412)&gt;0
)</f>
        <v>1</v>
      </c>
      <c r="F412" s="64" t="b">
        <f>COUNTIF(Dependencies!B:B,A412)&gt;0</f>
        <v>0</v>
      </c>
      <c r="G412" s="64" t="b">
        <f>COUNTIF(QuestObjectives!A:A,A412)&gt;0</f>
        <v>0</v>
      </c>
      <c r="H412" s="64" t="b">
        <f>COUNTIF(QuestObjectives!E:E,A412)&gt;0</f>
        <v>1</v>
      </c>
      <c r="I412" s="64" t="b">
        <f>COUNTIF(TargetStatus!A:A,A412)&gt;0</f>
        <v>1</v>
      </c>
      <c r="J412" s="64" t="b">
        <f>COUNTIF(CostStatus!B:B,A412)&gt;0</f>
        <v>0</v>
      </c>
      <c r="K412" s="64" t="b">
        <f>COUNTIF(States!A:A,A412)&gt;0</f>
        <v>0</v>
      </c>
      <c r="L412" s="64" t="b">
        <f t="shared" si="2"/>
        <v>1</v>
      </c>
      <c r="M412" s="64" t="b">
        <f>IF(A412="","",COUNTIF(Targets!A:A,A412)&gt;1)</f>
        <v>0</v>
      </c>
      <c r="N412" s="64" t="b">
        <f>IF(A412="","",COUNTIF(States!A:A,A412)&gt;1)</f>
        <v>0</v>
      </c>
      <c r="O412" s="64" t="b">
        <f>IFERROR(__xludf.DUMMYFUNCTION("IF(
 B412="""",
 """",
 SWITCH(
  B412,
  ""BUILDING"",COUNTIF(Buildings!A:A,A412)&gt;0,
  ""CITADEL"",COUNTIF(Citadel!A:A,A412)&gt;0,
  ""COLLECTION"",COUNTIF(Collections!A:A,A412)&gt;0,
  ""CRAFTIFACT"",COUNTIF(Craftifacts!A:A,A412)&gt;0,
  ""QUEST"",
   COUNTIF(
 "&amp;"   Quests!A:A,
    REGEXREPLACE(A412,""\.(accepted|finished)$"","""")
   )&gt;0,
  ""TECH"",COUNTIF(Technologies!A:A,A412)&gt;0,
  ""STATE"",COUNTIF(States!A:A,A412)&gt;0,
  FALSE
 )
)"),FALSE)</f>
        <v>0</v>
      </c>
      <c r="P412" s="64" t="str">
        <f t="shared" si="3"/>
        <v>Good</v>
      </c>
      <c r="Q412" s="65"/>
      <c r="R412" s="65"/>
      <c r="S412" s="65"/>
      <c r="T412" s="65"/>
      <c r="U412" s="6"/>
      <c r="V412" s="6" t="str">
        <f>IFERROR(__xludf.DUMMYFUNCTION("""COMPUTED_VALUE"""),"state.complete_dungeon@1a")</f>
        <v>state.complete_dungeon@1a</v>
      </c>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row>
    <row r="413" ht="14.25" customHeight="1">
      <c r="A413" s="26" t="str">
        <f t="shared" si="1"/>
        <v>state.complete_dungeon@6D</v>
      </c>
      <c r="B413" s="26" t="str">
        <f t="array" ref="B413">_xlfn.XLOOKUP(A413,Targets!A:A,Targets!C:C,"")</f>
        <v>STATE</v>
      </c>
      <c r="C413" s="64" t="b">
        <f>COUNTIF(Targets!A:A,A413)&gt;0</f>
        <v>1</v>
      </c>
      <c r="D413" s="64" t="b">
        <f>IF(
 OR(
  LEFT(A413,15)="state.character",
  RIGHT(A413,6)=".maxed"
 ),
 TRUE,
 COUNTIF(Checklist!A:A,A413)&gt;0
)</f>
        <v>1</v>
      </c>
      <c r="E413" s="64" t="b">
        <f>IF(
 OR(
  LEFT(A413,15)="state.character",
  RIGHT(A413,6)=".maxed",
  A413="building.guild@1",
  A413="quest.build_the_guild.accepted",
  A413="quest.build_the_pagoda.accepted"
 ),
 TRUE,
 COUNTIF(Dependencies!A:A,A413)&gt;0
)</f>
        <v>1</v>
      </c>
      <c r="F413" s="64" t="b">
        <f>COUNTIF(Dependencies!B:B,A413)&gt;0</f>
        <v>0</v>
      </c>
      <c r="G413" s="64" t="b">
        <f>COUNTIF(QuestObjectives!A:A,A413)&gt;0</f>
        <v>0</v>
      </c>
      <c r="H413" s="64" t="b">
        <f>COUNTIF(QuestObjectives!E:E,A413)&gt;0</f>
        <v>1</v>
      </c>
      <c r="I413" s="64" t="b">
        <f>COUNTIF(TargetStatus!A:A,A413)&gt;0</f>
        <v>1</v>
      </c>
      <c r="J413" s="64" t="b">
        <f>COUNTIF(CostStatus!B:B,A413)&gt;0</f>
        <v>0</v>
      </c>
      <c r="K413" s="64" t="b">
        <f>COUNTIF(States!A:A,A413)&gt;0</f>
        <v>0</v>
      </c>
      <c r="L413" s="64" t="b">
        <f t="shared" si="2"/>
        <v>1</v>
      </c>
      <c r="M413" s="64" t="b">
        <f>IF(A413="","",COUNTIF(Targets!A:A,A413)&gt;1)</f>
        <v>0</v>
      </c>
      <c r="N413" s="64" t="b">
        <f>IF(A413="","",COUNTIF(States!A:A,A413)&gt;1)</f>
        <v>0</v>
      </c>
      <c r="O413" s="64" t="b">
        <f>IFERROR(__xludf.DUMMYFUNCTION("IF(
 B413="""",
 """",
 SWITCH(
  B413,
  ""BUILDING"",COUNTIF(Buildings!A:A,A413)&gt;0,
  ""CITADEL"",COUNTIF(Citadel!A:A,A413)&gt;0,
  ""COLLECTION"",COUNTIF(Collections!A:A,A413)&gt;0,
  ""CRAFTIFACT"",COUNTIF(Craftifacts!A:A,A413)&gt;0,
  ""QUEST"",
   COUNTIF(
 "&amp;"   Quests!A:A,
    REGEXREPLACE(A413,""\.(accepted|finished)$"","""")
   )&gt;0,
  ""TECH"",COUNTIF(Technologies!A:A,A413)&gt;0,
  ""STATE"",COUNTIF(States!A:A,A413)&gt;0,
  FALSE
 )
)"),FALSE)</f>
        <v>0</v>
      </c>
      <c r="P413" s="64" t="str">
        <f t="shared" si="3"/>
        <v>Good</v>
      </c>
      <c r="Q413" s="65"/>
      <c r="R413" s="65"/>
      <c r="S413" s="65"/>
      <c r="T413" s="65"/>
      <c r="U413" s="6"/>
      <c r="V413" s="6" t="str">
        <f>IFERROR(__xludf.DUMMYFUNCTION("""COMPUTED_VALUE"""),"state.complete_dungeon@6D")</f>
        <v>state.complete_dungeon@6D</v>
      </c>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row>
    <row r="414" ht="14.25" customHeight="1">
      <c r="A414" s="26" t="str">
        <f t="shared" si="1"/>
        <v>state.complete_f1_first_time</v>
      </c>
      <c r="B414" s="26" t="str">
        <f t="array" ref="B414">_xlfn.XLOOKUP(A414,Targets!A:A,Targets!C:C,"")</f>
        <v>STATE</v>
      </c>
      <c r="C414" s="64" t="b">
        <f>COUNTIF(Targets!A:A,A414)&gt;0</f>
        <v>1</v>
      </c>
      <c r="D414" s="64" t="b">
        <f>IF(
 OR(
  LEFT(A414,15)="state.character",
  RIGHT(A414,6)=".maxed"
 ),
 TRUE,
 COUNTIF(Checklist!A:A,A414)&gt;0
)</f>
        <v>1</v>
      </c>
      <c r="E414" s="64" t="b">
        <f>IF(
 OR(
  LEFT(A414,15)="state.character",
  RIGHT(A414,6)=".maxed",
  A414="building.guild@1",
  A414="quest.build_the_guild.accepted",
  A414="quest.build_the_pagoda.accepted"
 ),
 TRUE,
 COUNTIF(Dependencies!A:A,A414)&gt;0
)</f>
        <v>1</v>
      </c>
      <c r="F414" s="64" t="b">
        <f>COUNTIF(Dependencies!B:B,A414)&gt;0</f>
        <v>0</v>
      </c>
      <c r="G414" s="64" t="b">
        <f>COUNTIF(QuestObjectives!A:A,A414)&gt;0</f>
        <v>0</v>
      </c>
      <c r="H414" s="64" t="b">
        <f>COUNTIF(QuestObjectives!E:E,A414)&gt;0</f>
        <v>1</v>
      </c>
      <c r="I414" s="64" t="b">
        <f>COUNTIF(TargetStatus!A:A,A414)&gt;0</f>
        <v>1</v>
      </c>
      <c r="J414" s="64" t="b">
        <f>COUNTIF(CostStatus!B:B,A414)&gt;0</f>
        <v>0</v>
      </c>
      <c r="K414" s="64" t="b">
        <f>COUNTIF(States!A:A,A414)&gt;0</f>
        <v>1</v>
      </c>
      <c r="L414" s="64" t="b">
        <f t="shared" si="2"/>
        <v>1</v>
      </c>
      <c r="M414" s="64" t="b">
        <f>IF(A414="","",COUNTIF(Targets!A:A,A414)&gt;1)</f>
        <v>0</v>
      </c>
      <c r="N414" s="64" t="b">
        <f>IF(A414="","",COUNTIF(States!A:A,A414)&gt;1)</f>
        <v>0</v>
      </c>
      <c r="O414" s="64" t="b">
        <f>IFERROR(__xludf.DUMMYFUNCTION("IF(
 B414="""",
 """",
 SWITCH(
  B414,
  ""BUILDING"",COUNTIF(Buildings!A:A,A414)&gt;0,
  ""CITADEL"",COUNTIF(Citadel!A:A,A414)&gt;0,
  ""COLLECTION"",COUNTIF(Collections!A:A,A414)&gt;0,
  ""CRAFTIFACT"",COUNTIF(Craftifacts!A:A,A414)&gt;0,
  ""QUEST"",
   COUNTIF(
 "&amp;"   Quests!A:A,
    REGEXREPLACE(A414,""\.(accepted|finished)$"","""")
   )&gt;0,
  ""TECH"",COUNTIF(Technologies!A:A,A414)&gt;0,
  ""STATE"",COUNTIF(States!A:A,A414)&gt;0,
  FALSE
 )
)"),TRUE)</f>
        <v>1</v>
      </c>
      <c r="P414" s="64" t="str">
        <f t="shared" si="3"/>
        <v>Good</v>
      </c>
      <c r="Q414" s="65"/>
      <c r="R414" s="65"/>
      <c r="S414" s="65"/>
      <c r="T414" s="65"/>
      <c r="U414" s="6"/>
      <c r="V414" s="6" t="str">
        <f>IFERROR(__xludf.DUMMYFUNCTION("""COMPUTED_VALUE"""),"state.complete_f1_first_time")</f>
        <v>state.complete_f1_first_time</v>
      </c>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row>
    <row r="415" ht="14.25" customHeight="1">
      <c r="A415" s="26" t="str">
        <f t="shared" si="1"/>
        <v>state.complete_f1_with_diligence</v>
      </c>
      <c r="B415" s="26" t="str">
        <f t="array" ref="B415">_xlfn.XLOOKUP(A415,Targets!A:A,Targets!C:C,"")</f>
        <v>STATE</v>
      </c>
      <c r="C415" s="64" t="b">
        <f>COUNTIF(Targets!A:A,A415)&gt;0</f>
        <v>1</v>
      </c>
      <c r="D415" s="64" t="b">
        <f>IF(
 OR(
  LEFT(A415,15)="state.character",
  RIGHT(A415,6)=".maxed"
 ),
 TRUE,
 COUNTIF(Checklist!A:A,A415)&gt;0
)</f>
        <v>1</v>
      </c>
      <c r="E415" s="64" t="b">
        <f>IF(
 OR(
  LEFT(A415,15)="state.character",
  RIGHT(A415,6)=".maxed",
  A415="building.guild@1",
  A415="quest.build_the_guild.accepted",
  A415="quest.build_the_pagoda.accepted"
 ),
 TRUE,
 COUNTIF(Dependencies!A:A,A415)&gt;0
)</f>
        <v>1</v>
      </c>
      <c r="F415" s="64" t="b">
        <f>COUNTIF(Dependencies!B:B,A415)&gt;0</f>
        <v>0</v>
      </c>
      <c r="G415" s="64" t="b">
        <f>COUNTIF(QuestObjectives!A:A,A415)&gt;0</f>
        <v>0</v>
      </c>
      <c r="H415" s="64" t="b">
        <f>COUNTIF(QuestObjectives!E:E,A415)&gt;0</f>
        <v>1</v>
      </c>
      <c r="I415" s="64" t="b">
        <f>COUNTIF(TargetStatus!A:A,A415)&gt;0</f>
        <v>1</v>
      </c>
      <c r="J415" s="64" t="b">
        <f>COUNTIF(CostStatus!B:B,A415)&gt;0</f>
        <v>0</v>
      </c>
      <c r="K415" s="64" t="b">
        <f>COUNTIF(States!A:A,A415)&gt;0</f>
        <v>1</v>
      </c>
      <c r="L415" s="64" t="b">
        <f t="shared" si="2"/>
        <v>1</v>
      </c>
      <c r="M415" s="64" t="b">
        <f>IF(A415="","",COUNTIF(Targets!A:A,A415)&gt;1)</f>
        <v>0</v>
      </c>
      <c r="N415" s="64" t="b">
        <f>IF(A415="","",COUNTIF(States!A:A,A415)&gt;1)</f>
        <v>0</v>
      </c>
      <c r="O415" s="64" t="b">
        <f>IFERROR(__xludf.DUMMYFUNCTION("IF(
 B415="""",
 """",
 SWITCH(
  B415,
  ""BUILDING"",COUNTIF(Buildings!A:A,A415)&gt;0,
  ""CITADEL"",COUNTIF(Citadel!A:A,A415)&gt;0,
  ""COLLECTION"",COUNTIF(Collections!A:A,A415)&gt;0,
  ""CRAFTIFACT"",COUNTIF(Craftifacts!A:A,A415)&gt;0,
  ""QUEST"",
   COUNTIF(
 "&amp;"   Quests!A:A,
    REGEXREPLACE(A415,""\.(accepted|finished)$"","""")
   )&gt;0,
  ""TECH"",COUNTIF(Technologies!A:A,A415)&gt;0,
  ""STATE"",COUNTIF(States!A:A,A415)&gt;0,
  FALSE
 )
)"),TRUE)</f>
        <v>1</v>
      </c>
      <c r="P415" s="64" t="str">
        <f t="shared" si="3"/>
        <v>Good</v>
      </c>
      <c r="Q415" s="65"/>
      <c r="R415" s="65"/>
      <c r="S415" s="65"/>
      <c r="T415" s="65"/>
      <c r="U415" s="6"/>
      <c r="V415" s="6" t="str">
        <f>IFERROR(__xludf.DUMMYFUNCTION("""COMPUTED_VALUE"""),"state.complete_f1_with_diligence")</f>
        <v>state.complete_f1_with_diligence</v>
      </c>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row>
    <row r="416" ht="14.25" customHeight="1">
      <c r="A416" s="26" t="str">
        <f t="shared" si="1"/>
        <v>state.complete_f2_with_diligence</v>
      </c>
      <c r="B416" s="26" t="str">
        <f t="array" ref="B416">_xlfn.XLOOKUP(A416,Targets!A:A,Targets!C:C,"")</f>
        <v>STATE</v>
      </c>
      <c r="C416" s="64" t="b">
        <f>COUNTIF(Targets!A:A,A416)&gt;0</f>
        <v>1</v>
      </c>
      <c r="D416" s="64" t="b">
        <f>IF(
 OR(
  LEFT(A416,15)="state.character",
  RIGHT(A416,6)=".maxed"
 ),
 TRUE,
 COUNTIF(Checklist!A:A,A416)&gt;0
)</f>
        <v>1</v>
      </c>
      <c r="E416" s="64" t="b">
        <f>IF(
 OR(
  LEFT(A416,15)="state.character",
  RIGHT(A416,6)=".maxed",
  A416="building.guild@1",
  A416="quest.build_the_guild.accepted",
  A416="quest.build_the_pagoda.accepted"
 ),
 TRUE,
 COUNTIF(Dependencies!A:A,A416)&gt;0
)</f>
        <v>1</v>
      </c>
      <c r="F416" s="64" t="b">
        <f>COUNTIF(Dependencies!B:B,A416)&gt;0</f>
        <v>0</v>
      </c>
      <c r="G416" s="64" t="b">
        <f>COUNTIF(QuestObjectives!A:A,A416)&gt;0</f>
        <v>0</v>
      </c>
      <c r="H416" s="64" t="b">
        <f>COUNTIF(QuestObjectives!E:E,A416)&gt;0</f>
        <v>1</v>
      </c>
      <c r="I416" s="64" t="b">
        <f>COUNTIF(TargetStatus!A:A,A416)&gt;0</f>
        <v>1</v>
      </c>
      <c r="J416" s="64" t="b">
        <f>COUNTIF(CostStatus!B:B,A416)&gt;0</f>
        <v>0</v>
      </c>
      <c r="K416" s="64" t="b">
        <f>COUNTIF(States!A:A,A416)&gt;0</f>
        <v>1</v>
      </c>
      <c r="L416" s="64" t="b">
        <f t="shared" si="2"/>
        <v>1</v>
      </c>
      <c r="M416" s="64" t="b">
        <f>IF(A416="","",COUNTIF(Targets!A:A,A416)&gt;1)</f>
        <v>0</v>
      </c>
      <c r="N416" s="64" t="b">
        <f>IF(A416="","",COUNTIF(States!A:A,A416)&gt;1)</f>
        <v>0</v>
      </c>
      <c r="O416" s="64" t="b">
        <f>IFERROR(__xludf.DUMMYFUNCTION("IF(
 B416="""",
 """",
 SWITCH(
  B416,
  ""BUILDING"",COUNTIF(Buildings!A:A,A416)&gt;0,
  ""CITADEL"",COUNTIF(Citadel!A:A,A416)&gt;0,
  ""COLLECTION"",COUNTIF(Collections!A:A,A416)&gt;0,
  ""CRAFTIFACT"",COUNTIF(Craftifacts!A:A,A416)&gt;0,
  ""QUEST"",
   COUNTIF(
 "&amp;"   Quests!A:A,
    REGEXREPLACE(A416,""\.(accepted|finished)$"","""")
   )&gt;0,
  ""TECH"",COUNTIF(Technologies!A:A,A416)&gt;0,
  ""STATE"",COUNTIF(States!A:A,A416)&gt;0,
  FALSE
 )
)"),TRUE)</f>
        <v>1</v>
      </c>
      <c r="P416" s="64" t="str">
        <f t="shared" si="3"/>
        <v>Good</v>
      </c>
      <c r="Q416" s="65"/>
      <c r="R416" s="65"/>
      <c r="S416" s="65"/>
      <c r="T416" s="65"/>
      <c r="U416" s="6"/>
      <c r="V416" s="6" t="str">
        <f>IFERROR(__xludf.DUMMYFUNCTION("""COMPUTED_VALUE"""),"state.complete_f2_with_diligence")</f>
        <v>state.complete_f2_with_diligence</v>
      </c>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row>
    <row r="417" ht="14.25" customHeight="1">
      <c r="A417" s="26" t="str">
        <f t="shared" si="1"/>
        <v>state.complete_f3_with_diligence</v>
      </c>
      <c r="B417" s="26" t="str">
        <f t="array" ref="B417">_xlfn.XLOOKUP(A417,Targets!A:A,Targets!C:C,"")</f>
        <v>STATE</v>
      </c>
      <c r="C417" s="64" t="b">
        <f>COUNTIF(Targets!A:A,A417)&gt;0</f>
        <v>1</v>
      </c>
      <c r="D417" s="64" t="b">
        <f>IF(
 OR(
  LEFT(A417,15)="state.character",
  RIGHT(A417,6)=".maxed"
 ),
 TRUE,
 COUNTIF(Checklist!A:A,A417)&gt;0
)</f>
        <v>1</v>
      </c>
      <c r="E417" s="64" t="b">
        <f>IF(
 OR(
  LEFT(A417,15)="state.character",
  RIGHT(A417,6)=".maxed",
  A417="building.guild@1",
  A417="quest.build_the_guild.accepted",
  A417="quest.build_the_pagoda.accepted"
 ),
 TRUE,
 COUNTIF(Dependencies!A:A,A417)&gt;0
)</f>
        <v>1</v>
      </c>
      <c r="F417" s="64" t="b">
        <f>COUNTIF(Dependencies!B:B,A417)&gt;0</f>
        <v>0</v>
      </c>
      <c r="G417" s="64" t="b">
        <f>COUNTIF(QuestObjectives!A:A,A417)&gt;0</f>
        <v>0</v>
      </c>
      <c r="H417" s="64" t="b">
        <f>COUNTIF(QuestObjectives!E:E,A417)&gt;0</f>
        <v>1</v>
      </c>
      <c r="I417" s="64" t="b">
        <f>COUNTIF(TargetStatus!A:A,A417)&gt;0</f>
        <v>1</v>
      </c>
      <c r="J417" s="64" t="b">
        <f>COUNTIF(CostStatus!B:B,A417)&gt;0</f>
        <v>0</v>
      </c>
      <c r="K417" s="64" t="b">
        <f>COUNTIF(States!A:A,A417)&gt;0</f>
        <v>1</v>
      </c>
      <c r="L417" s="64" t="b">
        <f t="shared" si="2"/>
        <v>1</v>
      </c>
      <c r="M417" s="64" t="b">
        <f>IF(A417="","",COUNTIF(Targets!A:A,A417)&gt;1)</f>
        <v>0</v>
      </c>
      <c r="N417" s="64" t="b">
        <f>IF(A417="","",COUNTIF(States!A:A,A417)&gt;1)</f>
        <v>0</v>
      </c>
      <c r="O417" s="64" t="b">
        <f>IFERROR(__xludf.DUMMYFUNCTION("IF(
 B417="""",
 """",
 SWITCH(
  B417,
  ""BUILDING"",COUNTIF(Buildings!A:A,A417)&gt;0,
  ""CITADEL"",COUNTIF(Citadel!A:A,A417)&gt;0,
  ""COLLECTION"",COUNTIF(Collections!A:A,A417)&gt;0,
  ""CRAFTIFACT"",COUNTIF(Craftifacts!A:A,A417)&gt;0,
  ""QUEST"",
   COUNTIF(
 "&amp;"   Quests!A:A,
    REGEXREPLACE(A417,""\.(accepted|finished)$"","""")
   )&gt;0,
  ""TECH"",COUNTIF(Technologies!A:A,A417)&gt;0,
  ""STATE"",COUNTIF(States!A:A,A417)&gt;0,
  FALSE
 )
)"),TRUE)</f>
        <v>1</v>
      </c>
      <c r="P417" s="64" t="str">
        <f t="shared" si="3"/>
        <v>Good</v>
      </c>
      <c r="Q417" s="65"/>
      <c r="R417" s="65"/>
      <c r="S417" s="65"/>
      <c r="T417" s="65"/>
      <c r="U417" s="6"/>
      <c r="V417" s="6" t="str">
        <f>IFERROR(__xludf.DUMMYFUNCTION("""COMPUTED_VALUE"""),"state.complete_f3_with_diligence")</f>
        <v>state.complete_f3_with_diligence</v>
      </c>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row>
    <row r="418" ht="14.25" customHeight="1">
      <c r="A418" s="26" t="str">
        <f t="shared" si="1"/>
        <v>state.complete_f4_with_diligence</v>
      </c>
      <c r="B418" s="26" t="str">
        <f t="array" ref="B418">_xlfn.XLOOKUP(A418,Targets!A:A,Targets!C:C,"")</f>
        <v>STATE</v>
      </c>
      <c r="C418" s="64" t="b">
        <f>COUNTIF(Targets!A:A,A418)&gt;0</f>
        <v>1</v>
      </c>
      <c r="D418" s="64" t="b">
        <f>IF(
 OR(
  LEFT(A418,15)="state.character",
  RIGHT(A418,6)=".maxed"
 ),
 TRUE,
 COUNTIF(Checklist!A:A,A418)&gt;0
)</f>
        <v>1</v>
      </c>
      <c r="E418" s="64" t="b">
        <f>IF(
 OR(
  LEFT(A418,15)="state.character",
  RIGHT(A418,6)=".maxed",
  A418="building.guild@1",
  A418="quest.build_the_guild.accepted",
  A418="quest.build_the_pagoda.accepted"
 ),
 TRUE,
 COUNTIF(Dependencies!A:A,A418)&gt;0
)</f>
        <v>1</v>
      </c>
      <c r="F418" s="64" t="b">
        <f>COUNTIF(Dependencies!B:B,A418)&gt;0</f>
        <v>0</v>
      </c>
      <c r="G418" s="64" t="b">
        <f>COUNTIF(QuestObjectives!A:A,A418)&gt;0</f>
        <v>0</v>
      </c>
      <c r="H418" s="64" t="b">
        <f>COUNTIF(QuestObjectives!E:E,A418)&gt;0</f>
        <v>1</v>
      </c>
      <c r="I418" s="64" t="b">
        <f>COUNTIF(TargetStatus!A:A,A418)&gt;0</f>
        <v>1</v>
      </c>
      <c r="J418" s="64" t="b">
        <f>COUNTIF(CostStatus!B:B,A418)&gt;0</f>
        <v>0</v>
      </c>
      <c r="K418" s="64" t="b">
        <f>COUNTIF(States!A:A,A418)&gt;0</f>
        <v>1</v>
      </c>
      <c r="L418" s="64" t="b">
        <f t="shared" si="2"/>
        <v>1</v>
      </c>
      <c r="M418" s="64" t="b">
        <f>IF(A418="","",COUNTIF(Targets!A:A,A418)&gt;1)</f>
        <v>0</v>
      </c>
      <c r="N418" s="64" t="b">
        <f>IF(A418="","",COUNTIF(States!A:A,A418)&gt;1)</f>
        <v>0</v>
      </c>
      <c r="O418" s="64" t="b">
        <f>IFERROR(__xludf.DUMMYFUNCTION("IF(
 B418="""",
 """",
 SWITCH(
  B418,
  ""BUILDING"",COUNTIF(Buildings!A:A,A418)&gt;0,
  ""CITADEL"",COUNTIF(Citadel!A:A,A418)&gt;0,
  ""COLLECTION"",COUNTIF(Collections!A:A,A418)&gt;0,
  ""CRAFTIFACT"",COUNTIF(Craftifacts!A:A,A418)&gt;0,
  ""QUEST"",
   COUNTIF(
 "&amp;"   Quests!A:A,
    REGEXREPLACE(A418,""\.(accepted|finished)$"","""")
   )&gt;0,
  ""TECH"",COUNTIF(Technologies!A:A,A418)&gt;0,
  ""STATE"",COUNTIF(States!A:A,A418)&gt;0,
  FALSE
 )
)"),TRUE)</f>
        <v>1</v>
      </c>
      <c r="P418" s="64" t="str">
        <f t="shared" si="3"/>
        <v>Good</v>
      </c>
      <c r="Q418" s="65"/>
      <c r="R418" s="65"/>
      <c r="S418" s="65"/>
      <c r="T418" s="65"/>
      <c r="U418" s="6"/>
      <c r="V418" s="6" t="str">
        <f>IFERROR(__xludf.DUMMYFUNCTION("""COMPUTED_VALUE"""),"state.complete_f4_with_diligence")</f>
        <v>state.complete_f4_with_diligence</v>
      </c>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row>
    <row r="419" ht="14.25" customHeight="1">
      <c r="A419" s="26" t="str">
        <f t="shared" si="1"/>
        <v>state.complete_lvl1_any_project</v>
      </c>
      <c r="B419" s="26" t="str">
        <f t="array" ref="B419">_xlfn.XLOOKUP(A419,Targets!A:A,Targets!C:C,"")</f>
        <v>STATE</v>
      </c>
      <c r="C419" s="64" t="b">
        <f>COUNTIF(Targets!A:A,A419)&gt;0</f>
        <v>1</v>
      </c>
      <c r="D419" s="64" t="b">
        <f>IF(
 OR(
  LEFT(A419,15)="state.character",
  RIGHT(A419,6)=".maxed"
 ),
 TRUE,
 COUNTIF(Checklist!A:A,A419)&gt;0
)</f>
        <v>1</v>
      </c>
      <c r="E419" s="64" t="b">
        <f>IF(
 OR(
  LEFT(A419,15)="state.character",
  RIGHT(A419,6)=".maxed",
  A419="building.guild@1",
  A419="quest.build_the_guild.accepted",
  A419="quest.build_the_pagoda.accepted"
 ),
 TRUE,
 COUNTIF(Dependencies!A:A,A419)&gt;0
)</f>
        <v>1</v>
      </c>
      <c r="F419" s="64" t="b">
        <f>COUNTIF(Dependencies!B:B,A419)&gt;0</f>
        <v>1</v>
      </c>
      <c r="G419" s="64" t="b">
        <f>COUNTIF(QuestObjectives!A:A,A419)&gt;0</f>
        <v>0</v>
      </c>
      <c r="H419" s="64" t="b">
        <f>COUNTIF(QuestObjectives!E:E,A419)&gt;0</f>
        <v>0</v>
      </c>
      <c r="I419" s="64" t="b">
        <f>COUNTIF(TargetStatus!A:A,A419)&gt;0</f>
        <v>1</v>
      </c>
      <c r="J419" s="64" t="b">
        <f>COUNTIF(CostStatus!B:B,A419)&gt;0</f>
        <v>0</v>
      </c>
      <c r="K419" s="64" t="b">
        <f>COUNTIF(States!A:A,A419)&gt;0</f>
        <v>1</v>
      </c>
      <c r="L419" s="64" t="b">
        <f t="shared" si="2"/>
        <v>1</v>
      </c>
      <c r="M419" s="64" t="b">
        <f>IF(A419="","",COUNTIF(Targets!A:A,A419)&gt;1)</f>
        <v>0</v>
      </c>
      <c r="N419" s="64" t="b">
        <f>IF(A419="","",COUNTIF(States!A:A,A419)&gt;1)</f>
        <v>0</v>
      </c>
      <c r="O419" s="64" t="b">
        <f>IFERROR(__xludf.DUMMYFUNCTION("IF(
 B419="""",
 """",
 SWITCH(
  B419,
  ""BUILDING"",COUNTIF(Buildings!A:A,A419)&gt;0,
  ""CITADEL"",COUNTIF(Citadel!A:A,A419)&gt;0,
  ""COLLECTION"",COUNTIF(Collections!A:A,A419)&gt;0,
  ""CRAFTIFACT"",COUNTIF(Craftifacts!A:A,A419)&gt;0,
  ""QUEST"",
   COUNTIF(
 "&amp;"   Quests!A:A,
    REGEXREPLACE(A419,""\.(accepted|finished)$"","""")
   )&gt;0,
  ""TECH"",COUNTIF(Technologies!A:A,A419)&gt;0,
  ""STATE"",COUNTIF(States!A:A,A419)&gt;0,
  FALSE
 )
)"),TRUE)</f>
        <v>1</v>
      </c>
      <c r="P419" s="64" t="str">
        <f t="shared" si="3"/>
        <v>Good</v>
      </c>
      <c r="Q419" s="65"/>
      <c r="R419" s="65"/>
      <c r="S419" s="65"/>
      <c r="T419" s="65"/>
      <c r="U419" s="6"/>
      <c r="V419" s="6" t="str">
        <f>IFERROR(__xludf.DUMMYFUNCTION("""COMPUTED_VALUE"""),"state.complete_lvl1_any_project")</f>
        <v>state.complete_lvl1_any_project</v>
      </c>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row>
    <row r="420" ht="14.25" customHeight="1">
      <c r="A420" s="26" t="str">
        <f t="shared" si="1"/>
        <v>state.deliver_ambrosia@f3</v>
      </c>
      <c r="B420" s="26" t="str">
        <f t="array" ref="B420">_xlfn.XLOOKUP(A420,Targets!A:A,Targets!C:C,"")</f>
        <v>STATE</v>
      </c>
      <c r="C420" s="64" t="b">
        <f>COUNTIF(Targets!A:A,A420)&gt;0</f>
        <v>1</v>
      </c>
      <c r="D420" s="64" t="b">
        <f>IF(
 OR(
  LEFT(A420,15)="state.character",
  RIGHT(A420,6)=".maxed"
 ),
 TRUE,
 COUNTIF(Checklist!A:A,A420)&gt;0
)</f>
        <v>1</v>
      </c>
      <c r="E420" s="64" t="b">
        <f>IF(
 OR(
  LEFT(A420,15)="state.character",
  RIGHT(A420,6)=".maxed",
  A420="building.guild@1",
  A420="quest.build_the_guild.accepted",
  A420="quest.build_the_pagoda.accepted"
 ),
 TRUE,
 COUNTIF(Dependencies!A:A,A420)&gt;0
)</f>
        <v>1</v>
      </c>
      <c r="F420" s="64" t="b">
        <f>COUNTIF(Dependencies!B:B,A420)&gt;0</f>
        <v>0</v>
      </c>
      <c r="G420" s="64" t="b">
        <f>COUNTIF(QuestObjectives!A:A,A420)&gt;0</f>
        <v>0</v>
      </c>
      <c r="H420" s="64" t="b">
        <f>COUNTIF(QuestObjectives!E:E,A420)&gt;0</f>
        <v>1</v>
      </c>
      <c r="I420" s="64" t="b">
        <f>COUNTIF(TargetStatus!A:A,A420)&gt;0</f>
        <v>1</v>
      </c>
      <c r="J420" s="64" t="b">
        <f>COUNTIF(CostStatus!B:B,A420)&gt;0</f>
        <v>0</v>
      </c>
      <c r="K420" s="64" t="b">
        <f>COUNTIF(States!A:A,A420)&gt;0</f>
        <v>1</v>
      </c>
      <c r="L420" s="64" t="b">
        <f t="shared" si="2"/>
        <v>1</v>
      </c>
      <c r="M420" s="64" t="b">
        <f>IF(A420="","",COUNTIF(Targets!A:A,A420)&gt;1)</f>
        <v>0</v>
      </c>
      <c r="N420" s="64" t="b">
        <f>IF(A420="","",COUNTIF(States!A:A,A420)&gt;1)</f>
        <v>0</v>
      </c>
      <c r="O420" s="64" t="b">
        <f>IFERROR(__xludf.DUMMYFUNCTION("IF(
 B420="""",
 """",
 SWITCH(
  B420,
  ""BUILDING"",COUNTIF(Buildings!A:A,A420)&gt;0,
  ""CITADEL"",COUNTIF(Citadel!A:A,A420)&gt;0,
  ""COLLECTION"",COUNTIF(Collections!A:A,A420)&gt;0,
  ""CRAFTIFACT"",COUNTIF(Craftifacts!A:A,A420)&gt;0,
  ""QUEST"",
   COUNTIF(
 "&amp;"   Quests!A:A,
    REGEXREPLACE(A420,""\.(accepted|finished)$"","""")
   )&gt;0,
  ""TECH"",COUNTIF(Technologies!A:A,A420)&gt;0,
  ""STATE"",COUNTIF(States!A:A,A420)&gt;0,
  FALSE
 )
)"),TRUE)</f>
        <v>1</v>
      </c>
      <c r="P420" s="64" t="str">
        <f t="shared" si="3"/>
        <v>Good</v>
      </c>
      <c r="Q420" s="65"/>
      <c r="R420" s="65"/>
      <c r="S420" s="65"/>
      <c r="T420" s="65"/>
      <c r="U420" s="6"/>
      <c r="V420" s="6" t="str">
        <f>IFERROR(__xludf.DUMMYFUNCTION("""COMPUTED_VALUE"""),"state.deliver_ambrosia@f3")</f>
        <v>state.deliver_ambrosia@f3</v>
      </c>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row>
    <row r="421" ht="14.25" customHeight="1">
      <c r="A421" s="26" t="str">
        <f t="shared" si="1"/>
        <v>state.deliver_balm_to_hunter@f2</v>
      </c>
      <c r="B421" s="26" t="str">
        <f t="array" ref="B421">_xlfn.XLOOKUP(A421,Targets!A:A,Targets!C:C,"")</f>
        <v>STATE</v>
      </c>
      <c r="C421" s="64" t="b">
        <f>COUNTIF(Targets!A:A,A421)&gt;0</f>
        <v>1</v>
      </c>
      <c r="D421" s="64" t="b">
        <f>IF(
 OR(
  LEFT(A421,15)="state.character",
  RIGHT(A421,6)=".maxed"
 ),
 TRUE,
 COUNTIF(Checklist!A:A,A421)&gt;0
)</f>
        <v>1</v>
      </c>
      <c r="E421" s="64" t="b">
        <f>IF(
 OR(
  LEFT(A421,15)="state.character",
  RIGHT(A421,6)=".maxed",
  A421="building.guild@1",
  A421="quest.build_the_guild.accepted",
  A421="quest.build_the_pagoda.accepted"
 ),
 TRUE,
 COUNTIF(Dependencies!A:A,A421)&gt;0
)</f>
        <v>1</v>
      </c>
      <c r="F421" s="64" t="b">
        <f>COUNTIF(Dependencies!B:B,A421)&gt;0</f>
        <v>0</v>
      </c>
      <c r="G421" s="64" t="b">
        <f>COUNTIF(QuestObjectives!A:A,A421)&gt;0</f>
        <v>0</v>
      </c>
      <c r="H421" s="64" t="b">
        <f>COUNTIF(QuestObjectives!E:E,A421)&gt;0</f>
        <v>1</v>
      </c>
      <c r="I421" s="64" t="b">
        <f>COUNTIF(TargetStatus!A:A,A421)&gt;0</f>
        <v>1</v>
      </c>
      <c r="J421" s="64" t="b">
        <f>COUNTIF(CostStatus!B:B,A421)&gt;0</f>
        <v>0</v>
      </c>
      <c r="K421" s="64" t="b">
        <f>COUNTIF(States!A:A,A421)&gt;0</f>
        <v>1</v>
      </c>
      <c r="L421" s="64" t="b">
        <f t="shared" si="2"/>
        <v>1</v>
      </c>
      <c r="M421" s="64" t="b">
        <f>IF(A421="","",COUNTIF(Targets!A:A,A421)&gt;1)</f>
        <v>0</v>
      </c>
      <c r="N421" s="64" t="b">
        <f>IF(A421="","",COUNTIF(States!A:A,A421)&gt;1)</f>
        <v>0</v>
      </c>
      <c r="O421" s="64" t="b">
        <f>IFERROR(__xludf.DUMMYFUNCTION("IF(
 B421="""",
 """",
 SWITCH(
  B421,
  ""BUILDING"",COUNTIF(Buildings!A:A,A421)&gt;0,
  ""CITADEL"",COUNTIF(Citadel!A:A,A421)&gt;0,
  ""COLLECTION"",COUNTIF(Collections!A:A,A421)&gt;0,
  ""CRAFTIFACT"",COUNTIF(Craftifacts!A:A,A421)&gt;0,
  ""QUEST"",
   COUNTIF(
 "&amp;"   Quests!A:A,
    REGEXREPLACE(A421,""\.(accepted|finished)$"","""")
   )&gt;0,
  ""TECH"",COUNTIF(Technologies!A:A,A421)&gt;0,
  ""STATE"",COUNTIF(States!A:A,A421)&gt;0,
  FALSE
 )
)"),TRUE)</f>
        <v>1</v>
      </c>
      <c r="P421" s="64" t="str">
        <f t="shared" si="3"/>
        <v>Good</v>
      </c>
      <c r="Q421" s="65"/>
      <c r="R421" s="65"/>
      <c r="S421" s="65"/>
      <c r="T421" s="65"/>
      <c r="U421" s="6"/>
      <c r="V421" s="6" t="str">
        <f>IFERROR(__xludf.DUMMYFUNCTION("""COMPUTED_VALUE"""),"state.deliver_balm_to_hunter@f2")</f>
        <v>state.deliver_balm_to_hunter@f2</v>
      </c>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row>
    <row r="422" ht="14.25" customHeight="1">
      <c r="A422" s="26" t="str">
        <f t="shared" si="1"/>
        <v>state.deliver_bedroll_4b</v>
      </c>
      <c r="B422" s="26" t="str">
        <f t="array" ref="B422">_xlfn.XLOOKUP(A422,Targets!A:A,Targets!C:C,"")</f>
        <v>STATE</v>
      </c>
      <c r="C422" s="64" t="b">
        <f>COUNTIF(Targets!A:A,A422)&gt;0</f>
        <v>1</v>
      </c>
      <c r="D422" s="64" t="b">
        <f>IF(
 OR(
  LEFT(A422,15)="state.character",
  RIGHT(A422,6)=".maxed"
 ),
 TRUE,
 COUNTIF(Checklist!A:A,A422)&gt;0
)</f>
        <v>1</v>
      </c>
      <c r="E422" s="64" t="b">
        <f>IF(
 OR(
  LEFT(A422,15)="state.character",
  RIGHT(A422,6)=".maxed",
  A422="building.guild@1",
  A422="quest.build_the_guild.accepted",
  A422="quest.build_the_pagoda.accepted"
 ),
 TRUE,
 COUNTIF(Dependencies!A:A,A422)&gt;0
)</f>
        <v>1</v>
      </c>
      <c r="F422" s="64" t="b">
        <f>COUNTIF(Dependencies!B:B,A422)&gt;0</f>
        <v>0</v>
      </c>
      <c r="G422" s="64" t="b">
        <f>COUNTIF(QuestObjectives!A:A,A422)&gt;0</f>
        <v>0</v>
      </c>
      <c r="H422" s="64" t="b">
        <f>COUNTIF(QuestObjectives!E:E,A422)&gt;0</f>
        <v>1</v>
      </c>
      <c r="I422" s="64" t="b">
        <f>COUNTIF(TargetStatus!A:A,A422)&gt;0</f>
        <v>1</v>
      </c>
      <c r="J422" s="64" t="b">
        <f>COUNTIF(CostStatus!B:B,A422)&gt;0</f>
        <v>0</v>
      </c>
      <c r="K422" s="64" t="b">
        <f>COUNTIF(States!A:A,A422)&gt;0</f>
        <v>1</v>
      </c>
      <c r="L422" s="64" t="b">
        <f t="shared" si="2"/>
        <v>1</v>
      </c>
      <c r="M422" s="64" t="b">
        <f>IF(A422="","",COUNTIF(Targets!A:A,A422)&gt;1)</f>
        <v>0</v>
      </c>
      <c r="N422" s="64" t="b">
        <f>IF(A422="","",COUNTIF(States!A:A,A422)&gt;1)</f>
        <v>0</v>
      </c>
      <c r="O422" s="64" t="b">
        <f>IFERROR(__xludf.DUMMYFUNCTION("IF(
 B422="""",
 """",
 SWITCH(
  B422,
  ""BUILDING"",COUNTIF(Buildings!A:A,A422)&gt;0,
  ""CITADEL"",COUNTIF(Citadel!A:A,A422)&gt;0,
  ""COLLECTION"",COUNTIF(Collections!A:A,A422)&gt;0,
  ""CRAFTIFACT"",COUNTIF(Craftifacts!A:A,A422)&gt;0,
  ""QUEST"",
   COUNTIF(
 "&amp;"   Quests!A:A,
    REGEXREPLACE(A422,""\.(accepted|finished)$"","""")
   )&gt;0,
  ""TECH"",COUNTIF(Technologies!A:A,A422)&gt;0,
  ""STATE"",COUNTIF(States!A:A,A422)&gt;0,
  FALSE
 )
)"),TRUE)</f>
        <v>1</v>
      </c>
      <c r="P422" s="64" t="str">
        <f t="shared" si="3"/>
        <v>Good</v>
      </c>
      <c r="Q422" s="65"/>
      <c r="R422" s="65"/>
      <c r="S422" s="65"/>
      <c r="T422" s="65"/>
      <c r="U422" s="6"/>
      <c r="V422" s="6" t="str">
        <f>IFERROR(__xludf.DUMMYFUNCTION("""COMPUTED_VALUE"""),"state.deliver_bedroll_4b")</f>
        <v>state.deliver_bedroll_4b</v>
      </c>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row>
    <row r="423" ht="14.25" customHeight="1">
      <c r="A423" s="26" t="str">
        <f t="shared" si="1"/>
        <v>state.deliver_cheese_6b</v>
      </c>
      <c r="B423" s="26" t="str">
        <f t="array" ref="B423">_xlfn.XLOOKUP(A423,Targets!A:A,Targets!C:C,"")</f>
        <v>STATE</v>
      </c>
      <c r="C423" s="64" t="b">
        <f>COUNTIF(Targets!A:A,A423)&gt;0</f>
        <v>1</v>
      </c>
      <c r="D423" s="64" t="b">
        <f>IF(
 OR(
  LEFT(A423,15)="state.character",
  RIGHT(A423,6)=".maxed"
 ),
 TRUE,
 COUNTIF(Checklist!A:A,A423)&gt;0
)</f>
        <v>1</v>
      </c>
      <c r="E423" s="64" t="b">
        <f>IF(
 OR(
  LEFT(A423,15)="state.character",
  RIGHT(A423,6)=".maxed",
  A423="building.guild@1",
  A423="quest.build_the_guild.accepted",
  A423="quest.build_the_pagoda.accepted"
 ),
 TRUE,
 COUNTIF(Dependencies!A:A,A423)&gt;0
)</f>
        <v>1</v>
      </c>
      <c r="F423" s="64" t="b">
        <f>COUNTIF(Dependencies!B:B,A423)&gt;0</f>
        <v>0</v>
      </c>
      <c r="G423" s="64" t="b">
        <f>COUNTIF(QuestObjectives!A:A,A423)&gt;0</f>
        <v>0</v>
      </c>
      <c r="H423" s="64" t="b">
        <f>COUNTIF(QuestObjectives!E:E,A423)&gt;0</f>
        <v>1</v>
      </c>
      <c r="I423" s="64" t="b">
        <f>COUNTIF(TargetStatus!A:A,A423)&gt;0</f>
        <v>1</v>
      </c>
      <c r="J423" s="64" t="b">
        <f>COUNTIF(CostStatus!B:B,A423)&gt;0</f>
        <v>0</v>
      </c>
      <c r="K423" s="64" t="b">
        <f>COUNTIF(States!A:A,A423)&gt;0</f>
        <v>1</v>
      </c>
      <c r="L423" s="64" t="b">
        <f t="shared" si="2"/>
        <v>1</v>
      </c>
      <c r="M423" s="64" t="b">
        <f>IF(A423="","",COUNTIF(Targets!A:A,A423)&gt;1)</f>
        <v>0</v>
      </c>
      <c r="N423" s="64" t="b">
        <f>IF(A423="","",COUNTIF(States!A:A,A423)&gt;1)</f>
        <v>0</v>
      </c>
      <c r="O423" s="64" t="b">
        <f>IFERROR(__xludf.DUMMYFUNCTION("IF(
 B423="""",
 """",
 SWITCH(
  B423,
  ""BUILDING"",COUNTIF(Buildings!A:A,A423)&gt;0,
  ""CITADEL"",COUNTIF(Citadel!A:A,A423)&gt;0,
  ""COLLECTION"",COUNTIF(Collections!A:A,A423)&gt;0,
  ""CRAFTIFACT"",COUNTIF(Craftifacts!A:A,A423)&gt;0,
  ""QUEST"",
   COUNTIF(
 "&amp;"   Quests!A:A,
    REGEXREPLACE(A423,""\.(accepted|finished)$"","""")
   )&gt;0,
  ""TECH"",COUNTIF(Technologies!A:A,A423)&gt;0,
  ""STATE"",COUNTIF(States!A:A,A423)&gt;0,
  FALSE
 )
)"),TRUE)</f>
        <v>1</v>
      </c>
      <c r="P423" s="64" t="str">
        <f t="shared" si="3"/>
        <v>Good</v>
      </c>
      <c r="Q423" s="65"/>
      <c r="R423" s="65"/>
      <c r="S423" s="65"/>
      <c r="T423" s="65"/>
      <c r="U423" s="6"/>
      <c r="V423" s="6" t="str">
        <f>IFERROR(__xludf.DUMMYFUNCTION("""COMPUTED_VALUE"""),"state.deliver_cheese_6b")</f>
        <v>state.deliver_cheese_6b</v>
      </c>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row>
    <row r="424" ht="14.25" customHeight="1">
      <c r="A424" s="26" t="str">
        <f t="shared" si="1"/>
        <v>state.deliver_horn_ 2c</v>
      </c>
      <c r="B424" s="26" t="str">
        <f t="array" ref="B424">_xlfn.XLOOKUP(A424,Targets!A:A,Targets!C:C,"")</f>
        <v>STATE</v>
      </c>
      <c r="C424" s="64" t="b">
        <f>COUNTIF(Targets!A:A,A424)&gt;0</f>
        <v>1</v>
      </c>
      <c r="D424" s="64" t="b">
        <f>IF(
 OR(
  LEFT(A424,15)="state.character",
  RIGHT(A424,6)=".maxed"
 ),
 TRUE,
 COUNTIF(Checklist!A:A,A424)&gt;0
)</f>
        <v>1</v>
      </c>
      <c r="E424" s="64" t="b">
        <f>IF(
 OR(
  LEFT(A424,15)="state.character",
  RIGHT(A424,6)=".maxed",
  A424="building.guild@1",
  A424="quest.build_the_guild.accepted",
  A424="quest.build_the_pagoda.accepted"
 ),
 TRUE,
 COUNTIF(Dependencies!A:A,A424)&gt;0
)</f>
        <v>1</v>
      </c>
      <c r="F424" s="64" t="b">
        <f>COUNTIF(Dependencies!B:B,A424)&gt;0</f>
        <v>0</v>
      </c>
      <c r="G424" s="64" t="b">
        <f>COUNTIF(QuestObjectives!A:A,A424)&gt;0</f>
        <v>0</v>
      </c>
      <c r="H424" s="64" t="b">
        <f>COUNTIF(QuestObjectives!E:E,A424)&gt;0</f>
        <v>1</v>
      </c>
      <c r="I424" s="64" t="b">
        <f>COUNTIF(TargetStatus!A:A,A424)&gt;0</f>
        <v>1</v>
      </c>
      <c r="J424" s="64" t="b">
        <f>COUNTIF(CostStatus!B:B,A424)&gt;0</f>
        <v>0</v>
      </c>
      <c r="K424" s="64" t="b">
        <f>COUNTIF(States!A:A,A424)&gt;0</f>
        <v>1</v>
      </c>
      <c r="L424" s="64" t="b">
        <f t="shared" si="2"/>
        <v>1</v>
      </c>
      <c r="M424" s="64" t="b">
        <f>IF(A424="","",COUNTIF(Targets!A:A,A424)&gt;1)</f>
        <v>0</v>
      </c>
      <c r="N424" s="64" t="b">
        <f>IF(A424="","",COUNTIF(States!A:A,A424)&gt;1)</f>
        <v>0</v>
      </c>
      <c r="O424" s="64" t="b">
        <f>IFERROR(__xludf.DUMMYFUNCTION("IF(
 B424="""",
 """",
 SWITCH(
  B424,
  ""BUILDING"",COUNTIF(Buildings!A:A,A424)&gt;0,
  ""CITADEL"",COUNTIF(Citadel!A:A,A424)&gt;0,
  ""COLLECTION"",COUNTIF(Collections!A:A,A424)&gt;0,
  ""CRAFTIFACT"",COUNTIF(Craftifacts!A:A,A424)&gt;0,
  ""QUEST"",
   COUNTIF(
 "&amp;"   Quests!A:A,
    REGEXREPLACE(A424,""\.(accepted|finished)$"","""")
   )&gt;0,
  ""TECH"",COUNTIF(Technologies!A:A,A424)&gt;0,
  ""STATE"",COUNTIF(States!A:A,A424)&gt;0,
  FALSE
 )
)"),TRUE)</f>
        <v>1</v>
      </c>
      <c r="P424" s="64" t="str">
        <f t="shared" si="3"/>
        <v>Good</v>
      </c>
      <c r="Q424" s="65"/>
      <c r="R424" s="65"/>
      <c r="S424" s="65"/>
      <c r="T424" s="65"/>
      <c r="U424" s="6"/>
      <c r="V424" s="6" t="str">
        <f>IFERROR(__xludf.DUMMYFUNCTION("""COMPUTED_VALUE"""),"state.deliver_horn_ 2c")</f>
        <v>state.deliver_horn_ 2c</v>
      </c>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row>
    <row r="425" ht="14.25" customHeight="1">
      <c r="A425" s="26" t="str">
        <f t="shared" si="1"/>
        <v>state.deliver_inarizushi_4b</v>
      </c>
      <c r="B425" s="26" t="str">
        <f t="array" ref="B425">_xlfn.XLOOKUP(A425,Targets!A:A,Targets!C:C,"")</f>
        <v>STATE</v>
      </c>
      <c r="C425" s="64" t="b">
        <f>COUNTIF(Targets!A:A,A425)&gt;0</f>
        <v>1</v>
      </c>
      <c r="D425" s="64" t="b">
        <f>IF(
 OR(
  LEFT(A425,15)="state.character",
  RIGHT(A425,6)=".maxed"
 ),
 TRUE,
 COUNTIF(Checklist!A:A,A425)&gt;0
)</f>
        <v>1</v>
      </c>
      <c r="E425" s="64" t="b">
        <f>IF(
 OR(
  LEFT(A425,15)="state.character",
  RIGHT(A425,6)=".maxed",
  A425="building.guild@1",
  A425="quest.build_the_guild.accepted",
  A425="quest.build_the_pagoda.accepted"
 ),
 TRUE,
 COUNTIF(Dependencies!A:A,A425)&gt;0
)</f>
        <v>1</v>
      </c>
      <c r="F425" s="64" t="b">
        <f>COUNTIF(Dependencies!B:B,A425)&gt;0</f>
        <v>0</v>
      </c>
      <c r="G425" s="64" t="b">
        <f>COUNTIF(QuestObjectives!A:A,A425)&gt;0</f>
        <v>0</v>
      </c>
      <c r="H425" s="64" t="b">
        <f>COUNTIF(QuestObjectives!E:E,A425)&gt;0</f>
        <v>1</v>
      </c>
      <c r="I425" s="64" t="b">
        <f>COUNTIF(TargetStatus!A:A,A425)&gt;0</f>
        <v>1</v>
      </c>
      <c r="J425" s="64" t="b">
        <f>COUNTIF(CostStatus!B:B,A425)&gt;0</f>
        <v>0</v>
      </c>
      <c r="K425" s="64" t="b">
        <f>COUNTIF(States!A:A,A425)&gt;0</f>
        <v>1</v>
      </c>
      <c r="L425" s="64" t="b">
        <f t="shared" si="2"/>
        <v>1</v>
      </c>
      <c r="M425" s="64" t="b">
        <f>IF(A425="","",COUNTIF(Targets!A:A,A425)&gt;1)</f>
        <v>0</v>
      </c>
      <c r="N425" s="64" t="b">
        <f>IF(A425="","",COUNTIF(States!A:A,A425)&gt;1)</f>
        <v>0</v>
      </c>
      <c r="O425" s="64" t="b">
        <f>IFERROR(__xludf.DUMMYFUNCTION("IF(
 B425="""",
 """",
 SWITCH(
  B425,
  ""BUILDING"",COUNTIF(Buildings!A:A,A425)&gt;0,
  ""CITADEL"",COUNTIF(Citadel!A:A,A425)&gt;0,
  ""COLLECTION"",COUNTIF(Collections!A:A,A425)&gt;0,
  ""CRAFTIFACT"",COUNTIF(Craftifacts!A:A,A425)&gt;0,
  ""QUEST"",
   COUNTIF(
 "&amp;"   Quests!A:A,
    REGEXREPLACE(A425,""\.(accepted|finished)$"","""")
   )&gt;0,
  ""TECH"",COUNTIF(Technologies!A:A,A425)&gt;0,
  ""STATE"",COUNTIF(States!A:A,A425)&gt;0,
  FALSE
 )
)"),TRUE)</f>
        <v>1</v>
      </c>
      <c r="P425" s="64" t="str">
        <f t="shared" si="3"/>
        <v>Good</v>
      </c>
      <c r="Q425" s="65"/>
      <c r="R425" s="65"/>
      <c r="S425" s="65"/>
      <c r="T425" s="65"/>
      <c r="U425" s="6"/>
      <c r="V425" s="6" t="str">
        <f>IFERROR(__xludf.DUMMYFUNCTION("""COMPUTED_VALUE"""),"state.deliver_inarizushi_4b")</f>
        <v>state.deliver_inarizushi_4b</v>
      </c>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row>
    <row r="426" ht="14.25" customHeight="1">
      <c r="A426" s="26" t="str">
        <f t="shared" si="1"/>
        <v>state.deliver_pizza_diavola_ 5b</v>
      </c>
      <c r="B426" s="26" t="str">
        <f t="array" ref="B426">_xlfn.XLOOKUP(A426,Targets!A:A,Targets!C:C,"")</f>
        <v>STATE</v>
      </c>
      <c r="C426" s="64" t="b">
        <f>COUNTIF(Targets!A:A,A426)&gt;0</f>
        <v>1</v>
      </c>
      <c r="D426" s="64" t="b">
        <f>IF(
 OR(
  LEFT(A426,15)="state.character",
  RIGHT(A426,6)=".maxed"
 ),
 TRUE,
 COUNTIF(Checklist!A:A,A426)&gt;0
)</f>
        <v>1</v>
      </c>
      <c r="E426" s="64" t="b">
        <f>IF(
 OR(
  LEFT(A426,15)="state.character",
  RIGHT(A426,6)=".maxed",
  A426="building.guild@1",
  A426="quest.build_the_guild.accepted",
  A426="quest.build_the_pagoda.accepted"
 ),
 TRUE,
 COUNTIF(Dependencies!A:A,A426)&gt;0
)</f>
        <v>1</v>
      </c>
      <c r="F426" s="64" t="b">
        <f>COUNTIF(Dependencies!B:B,A426)&gt;0</f>
        <v>0</v>
      </c>
      <c r="G426" s="64" t="b">
        <f>COUNTIF(QuestObjectives!A:A,A426)&gt;0</f>
        <v>0</v>
      </c>
      <c r="H426" s="64" t="b">
        <f>COUNTIF(QuestObjectives!E:E,A426)&gt;0</f>
        <v>1</v>
      </c>
      <c r="I426" s="64" t="b">
        <f>COUNTIF(TargetStatus!A:A,A426)&gt;0</f>
        <v>1</v>
      </c>
      <c r="J426" s="64" t="b">
        <f>COUNTIF(CostStatus!B:B,A426)&gt;0</f>
        <v>0</v>
      </c>
      <c r="K426" s="64" t="b">
        <f>COUNTIF(States!A:A,A426)&gt;0</f>
        <v>1</v>
      </c>
      <c r="L426" s="64" t="b">
        <f t="shared" si="2"/>
        <v>1</v>
      </c>
      <c r="M426" s="64" t="b">
        <f>IF(A426="","",COUNTIF(Targets!A:A,A426)&gt;1)</f>
        <v>0</v>
      </c>
      <c r="N426" s="64" t="b">
        <f>IF(A426="","",COUNTIF(States!A:A,A426)&gt;1)</f>
        <v>0</v>
      </c>
      <c r="O426" s="64" t="b">
        <f>IFERROR(__xludf.DUMMYFUNCTION("IF(
 B426="""",
 """",
 SWITCH(
  B426,
  ""BUILDING"",COUNTIF(Buildings!A:A,A426)&gt;0,
  ""CITADEL"",COUNTIF(Citadel!A:A,A426)&gt;0,
  ""COLLECTION"",COUNTIF(Collections!A:A,A426)&gt;0,
  ""CRAFTIFACT"",COUNTIF(Craftifacts!A:A,A426)&gt;0,
  ""QUEST"",
   COUNTIF(
 "&amp;"   Quests!A:A,
    REGEXREPLACE(A426,""\.(accepted|finished)$"","""")
   )&gt;0,
  ""TECH"",COUNTIF(Technologies!A:A,A426)&gt;0,
  ""STATE"",COUNTIF(States!A:A,A426)&gt;0,
  FALSE
 )
)"),TRUE)</f>
        <v>1</v>
      </c>
      <c r="P426" s="64" t="str">
        <f t="shared" si="3"/>
        <v>Good</v>
      </c>
      <c r="Q426" s="65"/>
      <c r="R426" s="65"/>
      <c r="S426" s="65"/>
      <c r="T426" s="65"/>
      <c r="U426" s="6"/>
      <c r="V426" s="6" t="str">
        <f>IFERROR(__xludf.DUMMYFUNCTION("""COMPUTED_VALUE"""),"state.deliver_pizza_diavola_ 5b")</f>
        <v>state.deliver_pizza_diavola_ 5b</v>
      </c>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row>
    <row r="427" ht="14.25" customHeight="1">
      <c r="A427" s="26" t="str">
        <f t="shared" si="1"/>
        <v>state.deliver_pizza_diavola_ 5c</v>
      </c>
      <c r="B427" s="26" t="str">
        <f t="array" ref="B427">_xlfn.XLOOKUP(A427,Targets!A:A,Targets!C:C,"")</f>
        <v>STATE</v>
      </c>
      <c r="C427" s="64" t="b">
        <f>COUNTIF(Targets!A:A,A427)&gt;0</f>
        <v>1</v>
      </c>
      <c r="D427" s="64" t="b">
        <f>IF(
 OR(
  LEFT(A427,15)="state.character",
  RIGHT(A427,6)=".maxed"
 ),
 TRUE,
 COUNTIF(Checklist!A:A,A427)&gt;0
)</f>
        <v>1</v>
      </c>
      <c r="E427" s="64" t="b">
        <f>IF(
 OR(
  LEFT(A427,15)="state.character",
  RIGHT(A427,6)=".maxed",
  A427="building.guild@1",
  A427="quest.build_the_guild.accepted",
  A427="quest.build_the_pagoda.accepted"
 ),
 TRUE,
 COUNTIF(Dependencies!A:A,A427)&gt;0
)</f>
        <v>1</v>
      </c>
      <c r="F427" s="64" t="b">
        <f>COUNTIF(Dependencies!B:B,A427)&gt;0</f>
        <v>0</v>
      </c>
      <c r="G427" s="64" t="b">
        <f>COUNTIF(QuestObjectives!A:A,A427)&gt;0</f>
        <v>0</v>
      </c>
      <c r="H427" s="64" t="b">
        <f>COUNTIF(QuestObjectives!E:E,A427)&gt;0</f>
        <v>1</v>
      </c>
      <c r="I427" s="64" t="b">
        <f>COUNTIF(TargetStatus!A:A,A427)&gt;0</f>
        <v>1</v>
      </c>
      <c r="J427" s="64" t="b">
        <f>COUNTIF(CostStatus!B:B,A427)&gt;0</f>
        <v>0</v>
      </c>
      <c r="K427" s="64" t="b">
        <f>COUNTIF(States!A:A,A427)&gt;0</f>
        <v>1</v>
      </c>
      <c r="L427" s="64" t="b">
        <f t="shared" si="2"/>
        <v>1</v>
      </c>
      <c r="M427" s="64" t="b">
        <f>IF(A427="","",COUNTIF(Targets!A:A,A427)&gt;1)</f>
        <v>0</v>
      </c>
      <c r="N427" s="64" t="b">
        <f>IF(A427="","",COUNTIF(States!A:A,A427)&gt;1)</f>
        <v>0</v>
      </c>
      <c r="O427" s="64" t="b">
        <f>IFERROR(__xludf.DUMMYFUNCTION("IF(
 B427="""",
 """",
 SWITCH(
  B427,
  ""BUILDING"",COUNTIF(Buildings!A:A,A427)&gt;0,
  ""CITADEL"",COUNTIF(Citadel!A:A,A427)&gt;0,
  ""COLLECTION"",COUNTIF(Collections!A:A,A427)&gt;0,
  ""CRAFTIFACT"",COUNTIF(Craftifacts!A:A,A427)&gt;0,
  ""QUEST"",
   COUNTIF(
 "&amp;"   Quests!A:A,
    REGEXREPLACE(A427,""\.(accepted|finished)$"","""")
   )&gt;0,
  ""TECH"",COUNTIF(Technologies!A:A,A427)&gt;0,
  ""STATE"",COUNTIF(States!A:A,A427)&gt;0,
  FALSE
 )
)"),TRUE)</f>
        <v>1</v>
      </c>
      <c r="P427" s="64" t="str">
        <f t="shared" si="3"/>
        <v>Good</v>
      </c>
      <c r="Q427" s="65"/>
      <c r="R427" s="65"/>
      <c r="S427" s="65"/>
      <c r="T427" s="65"/>
      <c r="U427" s="6"/>
      <c r="V427" s="6" t="str">
        <f>IFERROR(__xludf.DUMMYFUNCTION("""COMPUTED_VALUE"""),"state.deliver_pizza_diavola_ 5c")</f>
        <v>state.deliver_pizza_diavola_ 5c</v>
      </c>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row>
    <row r="428" ht="14.25" customHeight="1">
      <c r="A428" s="26" t="str">
        <f t="shared" si="1"/>
        <v>state.deliver_porcini_pasta_ 3c</v>
      </c>
      <c r="B428" s="26" t="str">
        <f t="array" ref="B428">_xlfn.XLOOKUP(A428,Targets!A:A,Targets!C:C,"")</f>
        <v>STATE</v>
      </c>
      <c r="C428" s="64" t="b">
        <f>COUNTIF(Targets!A:A,A428)&gt;0</f>
        <v>1</v>
      </c>
      <c r="D428" s="64" t="b">
        <f>IF(
 OR(
  LEFT(A428,15)="state.character",
  RIGHT(A428,6)=".maxed"
 ),
 TRUE,
 COUNTIF(Checklist!A:A,A428)&gt;0
)</f>
        <v>1</v>
      </c>
      <c r="E428" s="64" t="b">
        <f>IF(
 OR(
  LEFT(A428,15)="state.character",
  RIGHT(A428,6)=".maxed",
  A428="building.guild@1",
  A428="quest.build_the_guild.accepted",
  A428="quest.build_the_pagoda.accepted"
 ),
 TRUE,
 COUNTIF(Dependencies!A:A,A428)&gt;0
)</f>
        <v>1</v>
      </c>
      <c r="F428" s="64" t="b">
        <f>COUNTIF(Dependencies!B:B,A428)&gt;0</f>
        <v>0</v>
      </c>
      <c r="G428" s="64" t="b">
        <f>COUNTIF(QuestObjectives!A:A,A428)&gt;0</f>
        <v>0</v>
      </c>
      <c r="H428" s="64" t="b">
        <f>COUNTIF(QuestObjectives!E:E,A428)&gt;0</f>
        <v>1</v>
      </c>
      <c r="I428" s="64" t="b">
        <f>COUNTIF(TargetStatus!A:A,A428)&gt;0</f>
        <v>1</v>
      </c>
      <c r="J428" s="64" t="b">
        <f>COUNTIF(CostStatus!B:B,A428)&gt;0</f>
        <v>0</v>
      </c>
      <c r="K428" s="64" t="b">
        <f>COUNTIF(States!A:A,A428)&gt;0</f>
        <v>1</v>
      </c>
      <c r="L428" s="64" t="b">
        <f t="shared" si="2"/>
        <v>1</v>
      </c>
      <c r="M428" s="64" t="b">
        <f>IF(A428="","",COUNTIF(Targets!A:A,A428)&gt;1)</f>
        <v>0</v>
      </c>
      <c r="N428" s="64" t="b">
        <f>IF(A428="","",COUNTIF(States!A:A,A428)&gt;1)</f>
        <v>0</v>
      </c>
      <c r="O428" s="64" t="b">
        <f>IFERROR(__xludf.DUMMYFUNCTION("IF(
 B428="""",
 """",
 SWITCH(
  B428,
  ""BUILDING"",COUNTIF(Buildings!A:A,A428)&gt;0,
  ""CITADEL"",COUNTIF(Citadel!A:A,A428)&gt;0,
  ""COLLECTION"",COUNTIF(Collections!A:A,A428)&gt;0,
  ""CRAFTIFACT"",COUNTIF(Craftifacts!A:A,A428)&gt;0,
  ""QUEST"",
   COUNTIF(
 "&amp;"   Quests!A:A,
    REGEXREPLACE(A428,""\.(accepted|finished)$"","""")
   )&gt;0,
  ""TECH"",COUNTIF(Technologies!A:A,A428)&gt;0,
  ""STATE"",COUNTIF(States!A:A,A428)&gt;0,
  FALSE
 )
)"),TRUE)</f>
        <v>1</v>
      </c>
      <c r="P428" s="64" t="str">
        <f t="shared" si="3"/>
        <v>Good</v>
      </c>
      <c r="Q428" s="65"/>
      <c r="R428" s="65"/>
      <c r="S428" s="65"/>
      <c r="T428" s="65"/>
      <c r="U428" s="6"/>
      <c r="V428" s="6" t="str">
        <f>IFERROR(__xludf.DUMMYFUNCTION("""COMPUTED_VALUE"""),"state.deliver_porcini_pasta_ 3c")</f>
        <v>state.deliver_porcini_pasta_ 3c</v>
      </c>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row>
    <row r="429" ht="14.25" customHeight="1">
      <c r="A429" s="26" t="str">
        <f t="shared" si="1"/>
        <v>state.deliver_potion_ambrosia_ 3b</v>
      </c>
      <c r="B429" s="26" t="str">
        <f t="array" ref="B429">_xlfn.XLOOKUP(A429,Targets!A:A,Targets!C:C,"")</f>
        <v>STATE</v>
      </c>
      <c r="C429" s="64" t="b">
        <f>COUNTIF(Targets!A:A,A429)&gt;0</f>
        <v>1</v>
      </c>
      <c r="D429" s="64" t="b">
        <f>IF(
 OR(
  LEFT(A429,15)="state.character",
  RIGHT(A429,6)=".maxed"
 ),
 TRUE,
 COUNTIF(Checklist!A:A,A429)&gt;0
)</f>
        <v>1</v>
      </c>
      <c r="E429" s="64" t="b">
        <f>IF(
 OR(
  LEFT(A429,15)="state.character",
  RIGHT(A429,6)=".maxed",
  A429="building.guild@1",
  A429="quest.build_the_guild.accepted",
  A429="quest.build_the_pagoda.accepted"
 ),
 TRUE,
 COUNTIF(Dependencies!A:A,A429)&gt;0
)</f>
        <v>1</v>
      </c>
      <c r="F429" s="64" t="b">
        <f>COUNTIF(Dependencies!B:B,A429)&gt;0</f>
        <v>0</v>
      </c>
      <c r="G429" s="64" t="b">
        <f>COUNTIF(QuestObjectives!A:A,A429)&gt;0</f>
        <v>0</v>
      </c>
      <c r="H429" s="64" t="b">
        <f>COUNTIF(QuestObjectives!E:E,A429)&gt;0</f>
        <v>1</v>
      </c>
      <c r="I429" s="64" t="b">
        <f>COUNTIF(TargetStatus!A:A,A429)&gt;0</f>
        <v>1</v>
      </c>
      <c r="J429" s="64" t="b">
        <f>COUNTIF(CostStatus!B:B,A429)&gt;0</f>
        <v>0</v>
      </c>
      <c r="K429" s="64" t="b">
        <f>COUNTIF(States!A:A,A429)&gt;0</f>
        <v>1</v>
      </c>
      <c r="L429" s="64" t="b">
        <f t="shared" si="2"/>
        <v>1</v>
      </c>
      <c r="M429" s="64" t="b">
        <f>IF(A429="","",COUNTIF(Targets!A:A,A429)&gt;1)</f>
        <v>0</v>
      </c>
      <c r="N429" s="64" t="b">
        <f>IF(A429="","",COUNTIF(States!A:A,A429)&gt;1)</f>
        <v>0</v>
      </c>
      <c r="O429" s="64" t="b">
        <f>IFERROR(__xludf.DUMMYFUNCTION("IF(
 B429="""",
 """",
 SWITCH(
  B429,
  ""BUILDING"",COUNTIF(Buildings!A:A,A429)&gt;0,
  ""CITADEL"",COUNTIF(Citadel!A:A,A429)&gt;0,
  ""COLLECTION"",COUNTIF(Collections!A:A,A429)&gt;0,
  ""CRAFTIFACT"",COUNTIF(Craftifacts!A:A,A429)&gt;0,
  ""QUEST"",
   COUNTIF(
 "&amp;"   Quests!A:A,
    REGEXREPLACE(A429,""\.(accepted|finished)$"","""")
   )&gt;0,
  ""TECH"",COUNTIF(Technologies!A:A,A429)&gt;0,
  ""STATE"",COUNTIF(States!A:A,A429)&gt;0,
  FALSE
 )
)"),TRUE)</f>
        <v>1</v>
      </c>
      <c r="P429" s="64" t="str">
        <f t="shared" si="3"/>
        <v>Good</v>
      </c>
      <c r="Q429" s="65"/>
      <c r="R429" s="65"/>
      <c r="S429" s="65"/>
      <c r="T429" s="65"/>
      <c r="U429" s="6"/>
      <c r="V429" s="6" t="str">
        <f>IFERROR(__xludf.DUMMYFUNCTION("""COMPUTED_VALUE"""),"state.deliver_potion_ambrosia_ 3b")</f>
        <v>state.deliver_potion_ambrosia_ 3b</v>
      </c>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row>
    <row r="430" ht="14.25" customHeight="1">
      <c r="A430" s="26" t="str">
        <f t="shared" si="1"/>
        <v>state.deliver_potion_berserker_rage_ 1c</v>
      </c>
      <c r="B430" s="26" t="str">
        <f t="array" ref="B430">_xlfn.XLOOKUP(A430,Targets!A:A,Targets!C:C,"")</f>
        <v>STATE</v>
      </c>
      <c r="C430" s="64" t="b">
        <f>COUNTIF(Targets!A:A,A430)&gt;0</f>
        <v>1</v>
      </c>
      <c r="D430" s="64" t="b">
        <f>IF(
 OR(
  LEFT(A430,15)="state.character",
  RIGHT(A430,6)=".maxed"
 ),
 TRUE,
 COUNTIF(Checklist!A:A,A430)&gt;0
)</f>
        <v>1</v>
      </c>
      <c r="E430" s="64" t="b">
        <f>IF(
 OR(
  LEFT(A430,15)="state.character",
  RIGHT(A430,6)=".maxed",
  A430="building.guild@1",
  A430="quest.build_the_guild.accepted",
  A430="quest.build_the_pagoda.accepted"
 ),
 TRUE,
 COUNTIF(Dependencies!A:A,A430)&gt;0
)</f>
        <v>1</v>
      </c>
      <c r="F430" s="64" t="b">
        <f>COUNTIF(Dependencies!B:B,A430)&gt;0</f>
        <v>0</v>
      </c>
      <c r="G430" s="64" t="b">
        <f>COUNTIF(QuestObjectives!A:A,A430)&gt;0</f>
        <v>0</v>
      </c>
      <c r="H430" s="64" t="b">
        <f>COUNTIF(QuestObjectives!E:E,A430)&gt;0</f>
        <v>1</v>
      </c>
      <c r="I430" s="64" t="b">
        <f>COUNTIF(TargetStatus!A:A,A430)&gt;0</f>
        <v>1</v>
      </c>
      <c r="J430" s="64" t="b">
        <f>COUNTIF(CostStatus!B:B,A430)&gt;0</f>
        <v>0</v>
      </c>
      <c r="K430" s="64" t="b">
        <f>COUNTIF(States!A:A,A430)&gt;0</f>
        <v>1</v>
      </c>
      <c r="L430" s="64" t="b">
        <f t="shared" si="2"/>
        <v>1</v>
      </c>
      <c r="M430" s="64" t="b">
        <f>IF(A430="","",COUNTIF(Targets!A:A,A430)&gt;1)</f>
        <v>0</v>
      </c>
      <c r="N430" s="64" t="b">
        <f>IF(A430="","",COUNTIF(States!A:A,A430)&gt;1)</f>
        <v>0</v>
      </c>
      <c r="O430" s="64" t="b">
        <f>IFERROR(__xludf.DUMMYFUNCTION("IF(
 B430="""",
 """",
 SWITCH(
  B430,
  ""BUILDING"",COUNTIF(Buildings!A:A,A430)&gt;0,
  ""CITADEL"",COUNTIF(Citadel!A:A,A430)&gt;0,
  ""COLLECTION"",COUNTIF(Collections!A:A,A430)&gt;0,
  ""CRAFTIFACT"",COUNTIF(Craftifacts!A:A,A430)&gt;0,
  ""QUEST"",
   COUNTIF(
 "&amp;"   Quests!A:A,
    REGEXREPLACE(A430,""\.(accepted|finished)$"","""")
   )&gt;0,
  ""TECH"",COUNTIF(Technologies!A:A,A430)&gt;0,
  ""STATE"",COUNTIF(States!A:A,A430)&gt;0,
  FALSE
 )
)"),TRUE)</f>
        <v>1</v>
      </c>
      <c r="P430" s="64" t="str">
        <f t="shared" si="3"/>
        <v>Good</v>
      </c>
      <c r="Q430" s="65"/>
      <c r="R430" s="65"/>
      <c r="S430" s="65"/>
      <c r="T430" s="65"/>
      <c r="U430" s="6"/>
      <c r="V430" s="6" t="str">
        <f>IFERROR(__xludf.DUMMYFUNCTION("""COMPUTED_VALUE"""),"state.deliver_potion_berserker_rage_ 1c")</f>
        <v>state.deliver_potion_berserker_rage_ 1c</v>
      </c>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row>
    <row r="431" ht="14.25" customHeight="1">
      <c r="A431" s="26" t="str">
        <f t="shared" si="1"/>
        <v>state.deliver_potion_mental_power@f2</v>
      </c>
      <c r="B431" s="26" t="str">
        <f t="array" ref="B431">_xlfn.XLOOKUP(A431,Targets!A:A,Targets!C:C,"")</f>
        <v>STATE</v>
      </c>
      <c r="C431" s="64" t="b">
        <f>COUNTIF(Targets!A:A,A431)&gt;0</f>
        <v>1</v>
      </c>
      <c r="D431" s="64" t="b">
        <f>IF(
 OR(
  LEFT(A431,15)="state.character",
  RIGHT(A431,6)=".maxed"
 ),
 TRUE,
 COUNTIF(Checklist!A:A,A431)&gt;0
)</f>
        <v>1</v>
      </c>
      <c r="E431" s="64" t="b">
        <f>IF(
 OR(
  LEFT(A431,15)="state.character",
  RIGHT(A431,6)=".maxed",
  A431="building.guild@1",
  A431="quest.build_the_guild.accepted",
  A431="quest.build_the_pagoda.accepted"
 ),
 TRUE,
 COUNTIF(Dependencies!A:A,A431)&gt;0
)</f>
        <v>1</v>
      </c>
      <c r="F431" s="64" t="b">
        <f>COUNTIF(Dependencies!B:B,A431)&gt;0</f>
        <v>0</v>
      </c>
      <c r="G431" s="64" t="b">
        <f>COUNTIF(QuestObjectives!A:A,A431)&gt;0</f>
        <v>0</v>
      </c>
      <c r="H431" s="64" t="b">
        <f>COUNTIF(QuestObjectives!E:E,A431)&gt;0</f>
        <v>1</v>
      </c>
      <c r="I431" s="64" t="b">
        <f>COUNTIF(TargetStatus!A:A,A431)&gt;0</f>
        <v>1</v>
      </c>
      <c r="J431" s="64" t="b">
        <f>COUNTIF(CostStatus!B:B,A431)&gt;0</f>
        <v>0</v>
      </c>
      <c r="K431" s="64" t="b">
        <f>COUNTIF(States!A:A,A431)&gt;0</f>
        <v>1</v>
      </c>
      <c r="L431" s="64" t="b">
        <f t="shared" si="2"/>
        <v>1</v>
      </c>
      <c r="M431" s="64" t="b">
        <f>IF(A431="","",COUNTIF(Targets!A:A,A431)&gt;1)</f>
        <v>0</v>
      </c>
      <c r="N431" s="64" t="b">
        <f>IF(A431="","",COUNTIF(States!A:A,A431)&gt;1)</f>
        <v>0</v>
      </c>
      <c r="O431" s="64" t="b">
        <f>IFERROR(__xludf.DUMMYFUNCTION("IF(
 B431="""",
 """",
 SWITCH(
  B431,
  ""BUILDING"",COUNTIF(Buildings!A:A,A431)&gt;0,
  ""CITADEL"",COUNTIF(Citadel!A:A,A431)&gt;0,
  ""COLLECTION"",COUNTIF(Collections!A:A,A431)&gt;0,
  ""CRAFTIFACT"",COUNTIF(Craftifacts!A:A,A431)&gt;0,
  ""QUEST"",
   COUNTIF(
 "&amp;"   Quests!A:A,
    REGEXREPLACE(A431,""\.(accepted|finished)$"","""")
   )&gt;0,
  ""TECH"",COUNTIF(Technologies!A:A,A431)&gt;0,
  ""STATE"",COUNTIF(States!A:A,A431)&gt;0,
  FALSE
 )
)"),TRUE)</f>
        <v>1</v>
      </c>
      <c r="P431" s="64" t="str">
        <f t="shared" si="3"/>
        <v>Good</v>
      </c>
      <c r="Q431" s="65"/>
      <c r="R431" s="65"/>
      <c r="S431" s="65"/>
      <c r="T431" s="65"/>
      <c r="U431" s="6"/>
      <c r="V431" s="6" t="str">
        <f>IFERROR(__xludf.DUMMYFUNCTION("""COMPUTED_VALUE"""),"state.deliver_potion_mental_power@f2")</f>
        <v>state.deliver_potion_mental_power@f2</v>
      </c>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row>
    <row r="432" ht="14.25" customHeight="1">
      <c r="A432" s="26" t="str">
        <f t="shared" si="1"/>
        <v>state.deliver_potion_mental_power@F2</v>
      </c>
      <c r="B432" s="26" t="str">
        <f t="array" ref="B432">_xlfn.XLOOKUP(A432,Targets!A:A,Targets!C:C,"")</f>
        <v>STATE</v>
      </c>
      <c r="C432" s="64" t="b">
        <f>COUNTIF(Targets!A:A,A432)&gt;0</f>
        <v>1</v>
      </c>
      <c r="D432" s="64" t="b">
        <f>IF(
 OR(
  LEFT(A432,15)="state.character",
  RIGHT(A432,6)=".maxed"
 ),
 TRUE,
 COUNTIF(Checklist!A:A,A432)&gt;0
)</f>
        <v>1</v>
      </c>
      <c r="E432" s="64" t="b">
        <f>IF(
 OR(
  LEFT(A432,15)="state.character",
  RIGHT(A432,6)=".maxed",
  A432="building.guild@1",
  A432="quest.build_the_guild.accepted",
  A432="quest.build_the_pagoda.accepted"
 ),
 TRUE,
 COUNTIF(Dependencies!A:A,A432)&gt;0
)</f>
        <v>1</v>
      </c>
      <c r="F432" s="64" t="b">
        <f>COUNTIF(Dependencies!B:B,A432)&gt;0</f>
        <v>0</v>
      </c>
      <c r="G432" s="64" t="b">
        <f>COUNTIF(QuestObjectives!A:A,A432)&gt;0</f>
        <v>0</v>
      </c>
      <c r="H432" s="64" t="b">
        <f>COUNTIF(QuestObjectives!E:E,A432)&gt;0</f>
        <v>1</v>
      </c>
      <c r="I432" s="64" t="b">
        <f>COUNTIF(TargetStatus!A:A,A432)&gt;0</f>
        <v>1</v>
      </c>
      <c r="J432" s="64" t="b">
        <f>COUNTIF(CostStatus!B:B,A432)&gt;0</f>
        <v>0</v>
      </c>
      <c r="K432" s="64" t="b">
        <f>COUNTIF(States!A:A,A432)&gt;0</f>
        <v>1</v>
      </c>
      <c r="L432" s="64" t="b">
        <f t="shared" si="2"/>
        <v>1</v>
      </c>
      <c r="M432" s="64" t="b">
        <f>IF(A432="","",COUNTIF(Targets!A:A,A432)&gt;1)</f>
        <v>0</v>
      </c>
      <c r="N432" s="64" t="b">
        <f>IF(A432="","",COUNTIF(States!A:A,A432)&gt;1)</f>
        <v>0</v>
      </c>
      <c r="O432" s="64" t="b">
        <f>IFERROR(__xludf.DUMMYFUNCTION("IF(
 B432="""",
 """",
 SWITCH(
  B432,
  ""BUILDING"",COUNTIF(Buildings!A:A,A432)&gt;0,
  ""CITADEL"",COUNTIF(Citadel!A:A,A432)&gt;0,
  ""COLLECTION"",COUNTIF(Collections!A:A,A432)&gt;0,
  ""CRAFTIFACT"",COUNTIF(Craftifacts!A:A,A432)&gt;0,
  ""QUEST"",
   COUNTIF(
 "&amp;"   Quests!A:A,
    REGEXREPLACE(A432,""\.(accepted|finished)$"","""")
   )&gt;0,
  ""TECH"",COUNTIF(Technologies!A:A,A432)&gt;0,
  ""STATE"",COUNTIF(States!A:A,A432)&gt;0,
  FALSE
 )
)"),TRUE)</f>
        <v>1</v>
      </c>
      <c r="P432" s="64" t="str">
        <f t="shared" si="3"/>
        <v>Good</v>
      </c>
      <c r="Q432" s="65"/>
      <c r="R432" s="65"/>
      <c r="S432" s="65"/>
      <c r="T432" s="65"/>
      <c r="U432" s="6"/>
      <c r="V432" s="6" t="str">
        <f>IFERROR(__xludf.DUMMYFUNCTION("""COMPUTED_VALUE"""),"state.deliver_potion_mental_power@F2")</f>
        <v>state.deliver_potion_mental_power@F2</v>
      </c>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row>
    <row r="433" ht="14.25" customHeight="1">
      <c r="A433" s="26" t="str">
        <f t="shared" si="1"/>
        <v>state.deliver_ring</v>
      </c>
      <c r="B433" s="26" t="str">
        <f t="array" ref="B433">_xlfn.XLOOKUP(A433,Targets!A:A,Targets!C:C,"")</f>
        <v>STATE</v>
      </c>
      <c r="C433" s="64" t="b">
        <f>COUNTIF(Targets!A:A,A433)&gt;0</f>
        <v>1</v>
      </c>
      <c r="D433" s="64" t="b">
        <f>IF(
 OR(
  LEFT(A433,15)="state.character",
  RIGHT(A433,6)=".maxed"
 ),
 TRUE,
 COUNTIF(Checklist!A:A,A433)&gt;0
)</f>
        <v>1</v>
      </c>
      <c r="E433" s="64" t="b">
        <f>IF(
 OR(
  LEFT(A433,15)="state.character",
  RIGHT(A433,6)=".maxed",
  A433="building.guild@1",
  A433="quest.build_the_guild.accepted",
  A433="quest.build_the_pagoda.accepted"
 ),
 TRUE,
 COUNTIF(Dependencies!A:A,A433)&gt;0
)</f>
        <v>1</v>
      </c>
      <c r="F433" s="64" t="b">
        <f>COUNTIF(Dependencies!B:B,A433)&gt;0</f>
        <v>0</v>
      </c>
      <c r="G433" s="64" t="b">
        <f>COUNTIF(QuestObjectives!A:A,A433)&gt;0</f>
        <v>0</v>
      </c>
      <c r="H433" s="64" t="b">
        <f>COUNTIF(QuestObjectives!E:E,A433)&gt;0</f>
        <v>1</v>
      </c>
      <c r="I433" s="64" t="b">
        <f>COUNTIF(TargetStatus!A:A,A433)&gt;0</f>
        <v>1</v>
      </c>
      <c r="J433" s="64" t="b">
        <f>COUNTIF(CostStatus!B:B,A433)&gt;0</f>
        <v>0</v>
      </c>
      <c r="K433" s="64" t="b">
        <f>COUNTIF(States!A:A,A433)&gt;0</f>
        <v>1</v>
      </c>
      <c r="L433" s="64" t="b">
        <f t="shared" si="2"/>
        <v>1</v>
      </c>
      <c r="M433" s="64" t="b">
        <f>IF(A433="","",COUNTIF(Targets!A:A,A433)&gt;1)</f>
        <v>0</v>
      </c>
      <c r="N433" s="64" t="b">
        <f>IF(A433="","",COUNTIF(States!A:A,A433)&gt;1)</f>
        <v>0</v>
      </c>
      <c r="O433" s="64" t="b">
        <f>IFERROR(__xludf.DUMMYFUNCTION("IF(
 B433="""",
 """",
 SWITCH(
  B433,
  ""BUILDING"",COUNTIF(Buildings!A:A,A433)&gt;0,
  ""CITADEL"",COUNTIF(Citadel!A:A,A433)&gt;0,
  ""COLLECTION"",COUNTIF(Collections!A:A,A433)&gt;0,
  ""CRAFTIFACT"",COUNTIF(Craftifacts!A:A,A433)&gt;0,
  ""QUEST"",
   COUNTIF(
 "&amp;"   Quests!A:A,
    REGEXREPLACE(A433,""\.(accepted|finished)$"","""")
   )&gt;0,
  ""TECH"",COUNTIF(Technologies!A:A,A433)&gt;0,
  ""STATE"",COUNTIF(States!A:A,A433)&gt;0,
  FALSE
 )
)"),TRUE)</f>
        <v>1</v>
      </c>
      <c r="P433" s="64" t="str">
        <f t="shared" si="3"/>
        <v>Good</v>
      </c>
      <c r="Q433" s="65"/>
      <c r="R433" s="65"/>
      <c r="S433" s="65"/>
      <c r="T433" s="65"/>
      <c r="U433" s="6"/>
      <c r="V433" s="6" t="str">
        <f>IFERROR(__xludf.DUMMYFUNCTION("""COMPUTED_VALUE"""),"state.deliver_ring")</f>
        <v>state.deliver_ring</v>
      </c>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row>
    <row r="434" ht="14.25" customHeight="1">
      <c r="A434" s="26" t="str">
        <f t="shared" si="1"/>
        <v>state.deliver_teriyaki_salmon_4c</v>
      </c>
      <c r="B434" s="26" t="str">
        <f t="array" ref="B434">_xlfn.XLOOKUP(A434,Targets!A:A,Targets!C:C,"")</f>
        <v>STATE</v>
      </c>
      <c r="C434" s="64" t="b">
        <f>COUNTIF(Targets!A:A,A434)&gt;0</f>
        <v>1</v>
      </c>
      <c r="D434" s="64" t="b">
        <f>IF(
 OR(
  LEFT(A434,15)="state.character",
  RIGHT(A434,6)=".maxed"
 ),
 TRUE,
 COUNTIF(Checklist!A:A,A434)&gt;0
)</f>
        <v>1</v>
      </c>
      <c r="E434" s="64" t="b">
        <f>IF(
 OR(
  LEFT(A434,15)="state.character",
  RIGHT(A434,6)=".maxed",
  A434="building.guild@1",
  A434="quest.build_the_guild.accepted",
  A434="quest.build_the_pagoda.accepted"
 ),
 TRUE,
 COUNTIF(Dependencies!A:A,A434)&gt;0
)</f>
        <v>1</v>
      </c>
      <c r="F434" s="64" t="b">
        <f>COUNTIF(Dependencies!B:B,A434)&gt;0</f>
        <v>0</v>
      </c>
      <c r="G434" s="64" t="b">
        <f>COUNTIF(QuestObjectives!A:A,A434)&gt;0</f>
        <v>0</v>
      </c>
      <c r="H434" s="64" t="b">
        <f>COUNTIF(QuestObjectives!E:E,A434)&gt;0</f>
        <v>1</v>
      </c>
      <c r="I434" s="64" t="b">
        <f>COUNTIF(TargetStatus!A:A,A434)&gt;0</f>
        <v>1</v>
      </c>
      <c r="J434" s="64" t="b">
        <f>COUNTIF(CostStatus!B:B,A434)&gt;0</f>
        <v>0</v>
      </c>
      <c r="K434" s="64" t="b">
        <f>COUNTIF(States!A:A,A434)&gt;0</f>
        <v>1</v>
      </c>
      <c r="L434" s="64" t="b">
        <f t="shared" si="2"/>
        <v>1</v>
      </c>
      <c r="M434" s="64" t="b">
        <f>IF(A434="","",COUNTIF(Targets!A:A,A434)&gt;1)</f>
        <v>0</v>
      </c>
      <c r="N434" s="64" t="b">
        <f>IF(A434="","",COUNTIF(States!A:A,A434)&gt;1)</f>
        <v>0</v>
      </c>
      <c r="O434" s="64" t="b">
        <f>IFERROR(__xludf.DUMMYFUNCTION("IF(
 B434="""",
 """",
 SWITCH(
  B434,
  ""BUILDING"",COUNTIF(Buildings!A:A,A434)&gt;0,
  ""CITADEL"",COUNTIF(Citadel!A:A,A434)&gt;0,
  ""COLLECTION"",COUNTIF(Collections!A:A,A434)&gt;0,
  ""CRAFTIFACT"",COUNTIF(Craftifacts!A:A,A434)&gt;0,
  ""QUEST"",
   COUNTIF(
 "&amp;"   Quests!A:A,
    REGEXREPLACE(A434,""\.(accepted|finished)$"","""")
   )&gt;0,
  ""TECH"",COUNTIF(Technologies!A:A,A434)&gt;0,
  ""STATE"",COUNTIF(States!A:A,A434)&gt;0,
  FALSE
 )
)"),TRUE)</f>
        <v>1</v>
      </c>
      <c r="P434" s="64" t="str">
        <f t="shared" si="3"/>
        <v>Good</v>
      </c>
      <c r="Q434" s="65"/>
      <c r="R434" s="65"/>
      <c r="S434" s="65"/>
      <c r="T434" s="65"/>
      <c r="U434" s="6"/>
      <c r="V434" s="6" t="str">
        <f>IFERROR(__xludf.DUMMYFUNCTION("""COMPUTED_VALUE"""),"state.deliver_teriyaki_salmon_4c")</f>
        <v>state.deliver_teriyaki_salmon_4c</v>
      </c>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row>
    <row r="435" ht="14.25" customHeight="1">
      <c r="A435" s="26" t="str">
        <f t="shared" si="1"/>
        <v>state.deliver_tofu_4a</v>
      </c>
      <c r="B435" s="26" t="str">
        <f t="array" ref="B435">_xlfn.XLOOKUP(A435,Targets!A:A,Targets!C:C,"")</f>
        <v>STATE</v>
      </c>
      <c r="C435" s="64" t="b">
        <f>COUNTIF(Targets!A:A,A435)&gt;0</f>
        <v>1</v>
      </c>
      <c r="D435" s="64" t="b">
        <f>IF(
 OR(
  LEFT(A435,15)="state.character",
  RIGHT(A435,6)=".maxed"
 ),
 TRUE,
 COUNTIF(Checklist!A:A,A435)&gt;0
)</f>
        <v>1</v>
      </c>
      <c r="E435" s="64" t="b">
        <f>IF(
 OR(
  LEFT(A435,15)="state.character",
  RIGHT(A435,6)=".maxed",
  A435="building.guild@1",
  A435="quest.build_the_guild.accepted",
  A435="quest.build_the_pagoda.accepted"
 ),
 TRUE,
 COUNTIF(Dependencies!A:A,A435)&gt;0
)</f>
        <v>1</v>
      </c>
      <c r="F435" s="64" t="b">
        <f>COUNTIF(Dependencies!B:B,A435)&gt;0</f>
        <v>0</v>
      </c>
      <c r="G435" s="64" t="b">
        <f>COUNTIF(QuestObjectives!A:A,A435)&gt;0</f>
        <v>0</v>
      </c>
      <c r="H435" s="64" t="b">
        <f>COUNTIF(QuestObjectives!E:E,A435)&gt;0</f>
        <v>1</v>
      </c>
      <c r="I435" s="64" t="b">
        <f>COUNTIF(TargetStatus!A:A,A435)&gt;0</f>
        <v>1</v>
      </c>
      <c r="J435" s="64" t="b">
        <f>COUNTIF(CostStatus!B:B,A435)&gt;0</f>
        <v>0</v>
      </c>
      <c r="K435" s="64" t="b">
        <f>COUNTIF(States!A:A,A435)&gt;0</f>
        <v>1</v>
      </c>
      <c r="L435" s="64" t="b">
        <f t="shared" si="2"/>
        <v>1</v>
      </c>
      <c r="M435" s="64" t="b">
        <f>IF(A435="","",COUNTIF(Targets!A:A,A435)&gt;1)</f>
        <v>0</v>
      </c>
      <c r="N435" s="64" t="b">
        <f>IF(A435="","",COUNTIF(States!A:A,A435)&gt;1)</f>
        <v>0</v>
      </c>
      <c r="O435" s="64" t="b">
        <f>IFERROR(__xludf.DUMMYFUNCTION("IF(
 B435="""",
 """",
 SWITCH(
  B435,
  ""BUILDING"",COUNTIF(Buildings!A:A,A435)&gt;0,
  ""CITADEL"",COUNTIF(Citadel!A:A,A435)&gt;0,
  ""COLLECTION"",COUNTIF(Collections!A:A,A435)&gt;0,
  ""CRAFTIFACT"",COUNTIF(Craftifacts!A:A,A435)&gt;0,
  ""QUEST"",
   COUNTIF(
 "&amp;"   Quests!A:A,
    REGEXREPLACE(A435,""\.(accepted|finished)$"","""")
   )&gt;0,
  ""TECH"",COUNTIF(Technologies!A:A,A435)&gt;0,
  ""STATE"",COUNTIF(States!A:A,A435)&gt;0,
  FALSE
 )
)"),TRUE)</f>
        <v>1</v>
      </c>
      <c r="P435" s="64" t="str">
        <f t="shared" si="3"/>
        <v>Good</v>
      </c>
      <c r="Q435" s="65"/>
      <c r="R435" s="65"/>
      <c r="S435" s="65"/>
      <c r="T435" s="65"/>
      <c r="U435" s="6"/>
      <c r="V435" s="6" t="str">
        <f>IFERROR(__xludf.DUMMYFUNCTION("""COMPUTED_VALUE"""),"state.deliver_tofu_4a")</f>
        <v>state.deliver_tofu_4a</v>
      </c>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row>
    <row r="436" ht="14.25" customHeight="1">
      <c r="A436" s="26" t="str">
        <f t="shared" si="1"/>
        <v>state.deliver_yuba_4c</v>
      </c>
      <c r="B436" s="26" t="str">
        <f t="array" ref="B436">_xlfn.XLOOKUP(A436,Targets!A:A,Targets!C:C,"")</f>
        <v>STATE</v>
      </c>
      <c r="C436" s="64" t="b">
        <f>COUNTIF(Targets!A:A,A436)&gt;0</f>
        <v>1</v>
      </c>
      <c r="D436" s="64" t="b">
        <f>IF(
 OR(
  LEFT(A436,15)="state.character",
  RIGHT(A436,6)=".maxed"
 ),
 TRUE,
 COUNTIF(Checklist!A:A,A436)&gt;0
)</f>
        <v>1</v>
      </c>
      <c r="E436" s="64" t="b">
        <f>IF(
 OR(
  LEFT(A436,15)="state.character",
  RIGHT(A436,6)=".maxed",
  A436="building.guild@1",
  A436="quest.build_the_guild.accepted",
  A436="quest.build_the_pagoda.accepted"
 ),
 TRUE,
 COUNTIF(Dependencies!A:A,A436)&gt;0
)</f>
        <v>1</v>
      </c>
      <c r="F436" s="64" t="b">
        <f>COUNTIF(Dependencies!B:B,A436)&gt;0</f>
        <v>0</v>
      </c>
      <c r="G436" s="64" t="b">
        <f>COUNTIF(QuestObjectives!A:A,A436)&gt;0</f>
        <v>0</v>
      </c>
      <c r="H436" s="64" t="b">
        <f>COUNTIF(QuestObjectives!E:E,A436)&gt;0</f>
        <v>1</v>
      </c>
      <c r="I436" s="64" t="b">
        <f>COUNTIF(TargetStatus!A:A,A436)&gt;0</f>
        <v>1</v>
      </c>
      <c r="J436" s="64" t="b">
        <f>COUNTIF(CostStatus!B:B,A436)&gt;0</f>
        <v>0</v>
      </c>
      <c r="K436" s="64" t="b">
        <f>COUNTIF(States!A:A,A436)&gt;0</f>
        <v>1</v>
      </c>
      <c r="L436" s="64" t="b">
        <f t="shared" si="2"/>
        <v>1</v>
      </c>
      <c r="M436" s="64" t="b">
        <f>IF(A436="","",COUNTIF(Targets!A:A,A436)&gt;1)</f>
        <v>0</v>
      </c>
      <c r="N436" s="64" t="b">
        <f>IF(A436="","",COUNTIF(States!A:A,A436)&gt;1)</f>
        <v>0</v>
      </c>
      <c r="O436" s="64" t="b">
        <f>IFERROR(__xludf.DUMMYFUNCTION("IF(
 B436="""",
 """",
 SWITCH(
  B436,
  ""BUILDING"",COUNTIF(Buildings!A:A,A436)&gt;0,
  ""CITADEL"",COUNTIF(Citadel!A:A,A436)&gt;0,
  ""COLLECTION"",COUNTIF(Collections!A:A,A436)&gt;0,
  ""CRAFTIFACT"",COUNTIF(Craftifacts!A:A,A436)&gt;0,
  ""QUEST"",
   COUNTIF(
 "&amp;"   Quests!A:A,
    REGEXREPLACE(A436,""\.(accepted|finished)$"","""")
   )&gt;0,
  ""TECH"",COUNTIF(Technologies!A:A,A436)&gt;0,
  ""STATE"",COUNTIF(States!A:A,A436)&gt;0,
  FALSE
 )
)"),TRUE)</f>
        <v>1</v>
      </c>
      <c r="P436" s="64" t="str">
        <f t="shared" si="3"/>
        <v>Good</v>
      </c>
      <c r="Q436" s="65"/>
      <c r="R436" s="65"/>
      <c r="S436" s="65"/>
      <c r="T436" s="65"/>
      <c r="U436" s="6"/>
      <c r="V436" s="6" t="str">
        <f>IFERROR(__xludf.DUMMYFUNCTION("""COMPUTED_VALUE"""),"state.deliver_yuba_4c")</f>
        <v>state.deliver_yuba_4c</v>
      </c>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row>
    <row r="437" ht="14.25" customHeight="1">
      <c r="A437" s="26" t="str">
        <f t="shared" si="1"/>
        <v>state.find_gate_3c</v>
      </c>
      <c r="B437" s="26" t="str">
        <f t="array" ref="B437">_xlfn.XLOOKUP(A437,Targets!A:A,Targets!C:C,"")</f>
        <v>STATE</v>
      </c>
      <c r="C437" s="64" t="b">
        <f>COUNTIF(Targets!A:A,A437)&gt;0</f>
        <v>1</v>
      </c>
      <c r="D437" s="64" t="b">
        <f>IF(
 OR(
  LEFT(A437,15)="state.character",
  RIGHT(A437,6)=".maxed"
 ),
 TRUE,
 COUNTIF(Checklist!A:A,A437)&gt;0
)</f>
        <v>1</v>
      </c>
      <c r="E437" s="64" t="b">
        <f>IF(
 OR(
  LEFT(A437,15)="state.character",
  RIGHT(A437,6)=".maxed",
  A437="building.guild@1",
  A437="quest.build_the_guild.accepted",
  A437="quest.build_the_pagoda.accepted"
 ),
 TRUE,
 COUNTIF(Dependencies!A:A,A437)&gt;0
)</f>
        <v>1</v>
      </c>
      <c r="F437" s="64" t="b">
        <f>COUNTIF(Dependencies!B:B,A437)&gt;0</f>
        <v>0</v>
      </c>
      <c r="G437" s="64" t="b">
        <f>COUNTIF(QuestObjectives!A:A,A437)&gt;0</f>
        <v>0</v>
      </c>
      <c r="H437" s="64" t="b">
        <f>COUNTIF(QuestObjectives!E:E,A437)&gt;0</f>
        <v>1</v>
      </c>
      <c r="I437" s="64" t="b">
        <f>COUNTIF(TargetStatus!A:A,A437)&gt;0</f>
        <v>1</v>
      </c>
      <c r="J437" s="64" t="b">
        <f>COUNTIF(CostStatus!B:B,A437)&gt;0</f>
        <v>0</v>
      </c>
      <c r="K437" s="64" t="b">
        <f>COUNTIF(States!A:A,A437)&gt;0</f>
        <v>1</v>
      </c>
      <c r="L437" s="64" t="b">
        <f t="shared" si="2"/>
        <v>1</v>
      </c>
      <c r="M437" s="64" t="b">
        <f>IF(A437="","",COUNTIF(Targets!A:A,A437)&gt;1)</f>
        <v>0</v>
      </c>
      <c r="N437" s="64" t="b">
        <f>IF(A437="","",COUNTIF(States!A:A,A437)&gt;1)</f>
        <v>0</v>
      </c>
      <c r="O437" s="64" t="b">
        <f>IFERROR(__xludf.DUMMYFUNCTION("IF(
 B437="""",
 """",
 SWITCH(
  B437,
  ""BUILDING"",COUNTIF(Buildings!A:A,A437)&gt;0,
  ""CITADEL"",COUNTIF(Citadel!A:A,A437)&gt;0,
  ""COLLECTION"",COUNTIF(Collections!A:A,A437)&gt;0,
  ""CRAFTIFACT"",COUNTIF(Craftifacts!A:A,A437)&gt;0,
  ""QUEST"",
   COUNTIF(
 "&amp;"   Quests!A:A,
    REGEXREPLACE(A437,""\.(accepted|finished)$"","""")
   )&gt;0,
  ""TECH"",COUNTIF(Technologies!A:A,A437)&gt;0,
  ""STATE"",COUNTIF(States!A:A,A437)&gt;0,
  FALSE
 )
)"),TRUE)</f>
        <v>1</v>
      </c>
      <c r="P437" s="64" t="str">
        <f t="shared" si="3"/>
        <v>Good</v>
      </c>
      <c r="Q437" s="65"/>
      <c r="R437" s="65"/>
      <c r="S437" s="65"/>
      <c r="T437" s="65"/>
      <c r="U437" s="6"/>
      <c r="V437" s="6" t="str">
        <f>IFERROR(__xludf.DUMMYFUNCTION("""COMPUTED_VALUE"""),"state.find_gate_3c")</f>
        <v>state.find_gate_3c</v>
      </c>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row>
    <row r="438" ht="14.25" customHeight="1">
      <c r="A438" s="26" t="str">
        <f t="shared" si="1"/>
        <v>state.find_gate_4c</v>
      </c>
      <c r="B438" s="26" t="str">
        <f t="array" ref="B438">_xlfn.XLOOKUP(A438,Targets!A:A,Targets!C:C,"")</f>
        <v>STATE</v>
      </c>
      <c r="C438" s="64" t="b">
        <f>COUNTIF(Targets!A:A,A438)&gt;0</f>
        <v>1</v>
      </c>
      <c r="D438" s="64" t="b">
        <f>IF(
 OR(
  LEFT(A438,15)="state.character",
  RIGHT(A438,6)=".maxed"
 ),
 TRUE,
 COUNTIF(Checklist!A:A,A438)&gt;0
)</f>
        <v>1</v>
      </c>
      <c r="E438" s="64" t="b">
        <f>IF(
 OR(
  LEFT(A438,15)="state.character",
  RIGHT(A438,6)=".maxed",
  A438="building.guild@1",
  A438="quest.build_the_guild.accepted",
  A438="quest.build_the_pagoda.accepted"
 ),
 TRUE,
 COUNTIF(Dependencies!A:A,A438)&gt;0
)</f>
        <v>1</v>
      </c>
      <c r="F438" s="64" t="b">
        <f>COUNTIF(Dependencies!B:B,A438)&gt;0</f>
        <v>0</v>
      </c>
      <c r="G438" s="64" t="b">
        <f>COUNTIF(QuestObjectives!A:A,A438)&gt;0</f>
        <v>0</v>
      </c>
      <c r="H438" s="64" t="b">
        <f>COUNTIF(QuestObjectives!E:E,A438)&gt;0</f>
        <v>1</v>
      </c>
      <c r="I438" s="64" t="b">
        <f>COUNTIF(TargetStatus!A:A,A438)&gt;0</f>
        <v>1</v>
      </c>
      <c r="J438" s="64" t="b">
        <f>COUNTIF(CostStatus!B:B,A438)&gt;0</f>
        <v>0</v>
      </c>
      <c r="K438" s="64" t="b">
        <f>COUNTIF(States!A:A,A438)&gt;0</f>
        <v>1</v>
      </c>
      <c r="L438" s="64" t="b">
        <f t="shared" si="2"/>
        <v>1</v>
      </c>
      <c r="M438" s="64" t="b">
        <f>IF(A438="","",COUNTIF(Targets!A:A,A438)&gt;1)</f>
        <v>0</v>
      </c>
      <c r="N438" s="64" t="b">
        <f>IF(A438="","",COUNTIF(States!A:A,A438)&gt;1)</f>
        <v>0</v>
      </c>
      <c r="O438" s="64" t="b">
        <f>IFERROR(__xludf.DUMMYFUNCTION("IF(
 B438="""",
 """",
 SWITCH(
  B438,
  ""BUILDING"",COUNTIF(Buildings!A:A,A438)&gt;0,
  ""CITADEL"",COUNTIF(Citadel!A:A,A438)&gt;0,
  ""COLLECTION"",COUNTIF(Collections!A:A,A438)&gt;0,
  ""CRAFTIFACT"",COUNTIF(Craftifacts!A:A,A438)&gt;0,
  ""QUEST"",
   COUNTIF(
 "&amp;"   Quests!A:A,
    REGEXREPLACE(A438,""\.(accepted|finished)$"","""")
   )&gt;0,
  ""TECH"",COUNTIF(Technologies!A:A,A438)&gt;0,
  ""STATE"",COUNTIF(States!A:A,A438)&gt;0,
  FALSE
 )
)"),TRUE)</f>
        <v>1</v>
      </c>
      <c r="P438" s="64" t="str">
        <f t="shared" si="3"/>
        <v>Good</v>
      </c>
      <c r="Q438" s="65"/>
      <c r="R438" s="65"/>
      <c r="S438" s="65"/>
      <c r="T438" s="65"/>
      <c r="U438" s="6"/>
      <c r="V438" s="6" t="str">
        <f>IFERROR(__xludf.DUMMYFUNCTION("""COMPUTED_VALUE"""),"state.find_gate_4c")</f>
        <v>state.find_gate_4c</v>
      </c>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row>
    <row r="439" ht="14.25" customHeight="1">
      <c r="A439" s="26" t="str">
        <f t="shared" si="1"/>
        <v>state.find_gate_5c</v>
      </c>
      <c r="B439" s="26" t="str">
        <f t="array" ref="B439">_xlfn.XLOOKUP(A439,Targets!A:A,Targets!C:C,"")</f>
        <v>STATE</v>
      </c>
      <c r="C439" s="64" t="b">
        <f>COUNTIF(Targets!A:A,A439)&gt;0</f>
        <v>1</v>
      </c>
      <c r="D439" s="64" t="b">
        <f>IF(
 OR(
  LEFT(A439,15)="state.character",
  RIGHT(A439,6)=".maxed"
 ),
 TRUE,
 COUNTIF(Checklist!A:A,A439)&gt;0
)</f>
        <v>1</v>
      </c>
      <c r="E439" s="64" t="b">
        <f>IF(
 OR(
  LEFT(A439,15)="state.character",
  RIGHT(A439,6)=".maxed",
  A439="building.guild@1",
  A439="quest.build_the_guild.accepted",
  A439="quest.build_the_pagoda.accepted"
 ),
 TRUE,
 COUNTIF(Dependencies!A:A,A439)&gt;0
)</f>
        <v>1</v>
      </c>
      <c r="F439" s="64" t="b">
        <f>COUNTIF(Dependencies!B:B,A439)&gt;0</f>
        <v>0</v>
      </c>
      <c r="G439" s="64" t="b">
        <f>COUNTIF(QuestObjectives!A:A,A439)&gt;0</f>
        <v>0</v>
      </c>
      <c r="H439" s="64" t="b">
        <f>COUNTIF(QuestObjectives!E:E,A439)&gt;0</f>
        <v>1</v>
      </c>
      <c r="I439" s="64" t="b">
        <f>COUNTIF(TargetStatus!A:A,A439)&gt;0</f>
        <v>1</v>
      </c>
      <c r="J439" s="64" t="b">
        <f>COUNTIF(CostStatus!B:B,A439)&gt;0</f>
        <v>0</v>
      </c>
      <c r="K439" s="64" t="b">
        <f>COUNTIF(States!A:A,A439)&gt;0</f>
        <v>1</v>
      </c>
      <c r="L439" s="64" t="b">
        <f t="shared" si="2"/>
        <v>1</v>
      </c>
      <c r="M439" s="64" t="b">
        <f>IF(A439="","",COUNTIF(Targets!A:A,A439)&gt;1)</f>
        <v>0</v>
      </c>
      <c r="N439" s="64" t="b">
        <f>IF(A439="","",COUNTIF(States!A:A,A439)&gt;1)</f>
        <v>0</v>
      </c>
      <c r="O439" s="64" t="b">
        <f>IFERROR(__xludf.DUMMYFUNCTION("IF(
 B439="""",
 """",
 SWITCH(
  B439,
  ""BUILDING"",COUNTIF(Buildings!A:A,A439)&gt;0,
  ""CITADEL"",COUNTIF(Citadel!A:A,A439)&gt;0,
  ""COLLECTION"",COUNTIF(Collections!A:A,A439)&gt;0,
  ""CRAFTIFACT"",COUNTIF(Craftifacts!A:A,A439)&gt;0,
  ""QUEST"",
   COUNTIF(
 "&amp;"   Quests!A:A,
    REGEXREPLACE(A439,""\.(accepted|finished)$"","""")
   )&gt;0,
  ""TECH"",COUNTIF(Technologies!A:A,A439)&gt;0,
  ""STATE"",COUNTIF(States!A:A,A439)&gt;0,
  FALSE
 )
)"),TRUE)</f>
        <v>1</v>
      </c>
      <c r="P439" s="64" t="str">
        <f t="shared" si="3"/>
        <v>Good</v>
      </c>
      <c r="Q439" s="65"/>
      <c r="R439" s="65"/>
      <c r="S439" s="65"/>
      <c r="T439" s="65"/>
      <c r="U439" s="6"/>
      <c r="V439" s="6" t="str">
        <f>IFERROR(__xludf.DUMMYFUNCTION("""COMPUTED_VALUE"""),"state.find_gate_5c")</f>
        <v>state.find_gate_5c</v>
      </c>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row>
    <row r="440" ht="14.25" customHeight="1">
      <c r="A440" s="26" t="str">
        <f t="shared" si="1"/>
        <v>state.find_goat_6b</v>
      </c>
      <c r="B440" s="26" t="str">
        <f t="array" ref="B440">_xlfn.XLOOKUP(A440,Targets!A:A,Targets!C:C,"")</f>
        <v>STATE</v>
      </c>
      <c r="C440" s="64" t="b">
        <f>COUNTIF(Targets!A:A,A440)&gt;0</f>
        <v>1</v>
      </c>
      <c r="D440" s="64" t="b">
        <f>IF(
 OR(
  LEFT(A440,15)="state.character",
  RIGHT(A440,6)=".maxed"
 ),
 TRUE,
 COUNTIF(Checklist!A:A,A440)&gt;0
)</f>
        <v>1</v>
      </c>
      <c r="E440" s="64" t="b">
        <f>IF(
 OR(
  LEFT(A440,15)="state.character",
  RIGHT(A440,6)=".maxed",
  A440="building.guild@1",
  A440="quest.build_the_guild.accepted",
  A440="quest.build_the_pagoda.accepted"
 ),
 TRUE,
 COUNTIF(Dependencies!A:A,A440)&gt;0
)</f>
        <v>1</v>
      </c>
      <c r="F440" s="64" t="b">
        <f>COUNTIF(Dependencies!B:B,A440)&gt;0</f>
        <v>0</v>
      </c>
      <c r="G440" s="64" t="b">
        <f>COUNTIF(QuestObjectives!A:A,A440)&gt;0</f>
        <v>0</v>
      </c>
      <c r="H440" s="64" t="b">
        <f>COUNTIF(QuestObjectives!E:E,A440)&gt;0</f>
        <v>1</v>
      </c>
      <c r="I440" s="64" t="b">
        <f>COUNTIF(TargetStatus!A:A,A440)&gt;0</f>
        <v>1</v>
      </c>
      <c r="J440" s="64" t="b">
        <f>COUNTIF(CostStatus!B:B,A440)&gt;0</f>
        <v>0</v>
      </c>
      <c r="K440" s="64" t="b">
        <f>COUNTIF(States!A:A,A440)&gt;0</f>
        <v>1</v>
      </c>
      <c r="L440" s="64" t="b">
        <f t="shared" si="2"/>
        <v>1</v>
      </c>
      <c r="M440" s="64" t="b">
        <f>IF(A440="","",COUNTIF(Targets!A:A,A440)&gt;1)</f>
        <v>0</v>
      </c>
      <c r="N440" s="64" t="b">
        <f>IF(A440="","",COUNTIF(States!A:A,A440)&gt;1)</f>
        <v>0</v>
      </c>
      <c r="O440" s="64" t="b">
        <f>IFERROR(__xludf.DUMMYFUNCTION("IF(
 B440="""",
 """",
 SWITCH(
  B440,
  ""BUILDING"",COUNTIF(Buildings!A:A,A440)&gt;0,
  ""CITADEL"",COUNTIF(Citadel!A:A,A440)&gt;0,
  ""COLLECTION"",COUNTIF(Collections!A:A,A440)&gt;0,
  ""CRAFTIFACT"",COUNTIF(Craftifacts!A:A,A440)&gt;0,
  ""QUEST"",
   COUNTIF(
 "&amp;"   Quests!A:A,
    REGEXREPLACE(A440,""\.(accepted|finished)$"","""")
   )&gt;0,
  ""TECH"",COUNTIF(Technologies!A:A,A440)&gt;0,
  ""STATE"",COUNTIF(States!A:A,A440)&gt;0,
  FALSE
 )
)"),TRUE)</f>
        <v>1</v>
      </c>
      <c r="P440" s="64" t="str">
        <f t="shared" si="3"/>
        <v>Good</v>
      </c>
      <c r="Q440" s="65"/>
      <c r="R440" s="65"/>
      <c r="S440" s="65"/>
      <c r="T440" s="65"/>
      <c r="U440" s="6"/>
      <c r="V440" s="6" t="str">
        <f>IFERROR(__xludf.DUMMYFUNCTION("""COMPUTED_VALUE"""),"state.find_goat_6b")</f>
        <v>state.find_goat_6b</v>
      </c>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row>
    <row r="441" ht="14.25" customHeight="1">
      <c r="A441" s="26" t="str">
        <f t="shared" si="1"/>
        <v>state.find_jade_gate_2c</v>
      </c>
      <c r="B441" s="26" t="str">
        <f t="array" ref="B441">_xlfn.XLOOKUP(A441,Targets!A:A,Targets!C:C,"")</f>
        <v>STATE</v>
      </c>
      <c r="C441" s="64" t="b">
        <f>COUNTIF(Targets!A:A,A441)&gt;0</f>
        <v>1</v>
      </c>
      <c r="D441" s="64" t="b">
        <f>IF(
 OR(
  LEFT(A441,15)="state.character",
  RIGHT(A441,6)=".maxed"
 ),
 TRUE,
 COUNTIF(Checklist!A:A,A441)&gt;0
)</f>
        <v>1</v>
      </c>
      <c r="E441" s="64" t="b">
        <f>IF(
 OR(
  LEFT(A441,15)="state.character",
  RIGHT(A441,6)=".maxed",
  A441="building.guild@1",
  A441="quest.build_the_guild.accepted",
  A441="quest.build_the_pagoda.accepted"
 ),
 TRUE,
 COUNTIF(Dependencies!A:A,A441)&gt;0
)</f>
        <v>1</v>
      </c>
      <c r="F441" s="64" t="b">
        <f>COUNTIF(Dependencies!B:B,A441)&gt;0</f>
        <v>1</v>
      </c>
      <c r="G441" s="64" t="b">
        <f>COUNTIF(QuestObjectives!A:A,A441)&gt;0</f>
        <v>0</v>
      </c>
      <c r="H441" s="64" t="b">
        <f>COUNTIF(QuestObjectives!E:E,A441)&gt;0</f>
        <v>1</v>
      </c>
      <c r="I441" s="64" t="b">
        <f>COUNTIF(TargetStatus!A:A,A441)&gt;0</f>
        <v>1</v>
      </c>
      <c r="J441" s="64" t="b">
        <f>COUNTIF(CostStatus!B:B,A441)&gt;0</f>
        <v>0</v>
      </c>
      <c r="K441" s="64" t="b">
        <f>COUNTIF(States!A:A,A441)&gt;0</f>
        <v>1</v>
      </c>
      <c r="L441" s="64" t="b">
        <f t="shared" si="2"/>
        <v>1</v>
      </c>
      <c r="M441" s="64" t="b">
        <f>IF(A441="","",COUNTIF(Targets!A:A,A441)&gt;1)</f>
        <v>0</v>
      </c>
      <c r="N441" s="64" t="b">
        <f>IF(A441="","",COUNTIF(States!A:A,A441)&gt;1)</f>
        <v>0</v>
      </c>
      <c r="O441" s="64" t="b">
        <f>IFERROR(__xludf.DUMMYFUNCTION("IF(
 B441="""",
 """",
 SWITCH(
  B441,
  ""BUILDING"",COUNTIF(Buildings!A:A,A441)&gt;0,
  ""CITADEL"",COUNTIF(Citadel!A:A,A441)&gt;0,
  ""COLLECTION"",COUNTIF(Collections!A:A,A441)&gt;0,
  ""CRAFTIFACT"",COUNTIF(Craftifacts!A:A,A441)&gt;0,
  ""QUEST"",
   COUNTIF(
 "&amp;"   Quests!A:A,
    REGEXREPLACE(A441,""\.(accepted|finished)$"","""")
   )&gt;0,
  ""TECH"",COUNTIF(Technologies!A:A,A441)&gt;0,
  ""STATE"",COUNTIF(States!A:A,A441)&gt;0,
  FALSE
 )
)"),TRUE)</f>
        <v>1</v>
      </c>
      <c r="P441" s="64" t="str">
        <f t="shared" si="3"/>
        <v>Good</v>
      </c>
      <c r="Q441" s="65"/>
      <c r="R441" s="65"/>
      <c r="S441" s="65"/>
      <c r="T441" s="65"/>
      <c r="U441" s="6"/>
      <c r="V441" s="6" t="str">
        <f>IFERROR(__xludf.DUMMYFUNCTION("""COMPUTED_VALUE"""),"state.find_jade_gate_2c")</f>
        <v>state.find_jade_gate_2c</v>
      </c>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row>
    <row r="442" ht="14.25" customHeight="1">
      <c r="A442" s="26" t="str">
        <f t="shared" si="1"/>
        <v>state.meet_alchemist_6d</v>
      </c>
      <c r="B442" s="26" t="str">
        <f t="array" ref="B442">_xlfn.XLOOKUP(A442,Targets!A:A,Targets!C:C,"")</f>
        <v>STATE</v>
      </c>
      <c r="C442" s="64" t="b">
        <f>COUNTIF(Targets!A:A,A442)&gt;0</f>
        <v>1</v>
      </c>
      <c r="D442" s="64" t="b">
        <f>IF(
 OR(
  LEFT(A442,15)="state.character",
  RIGHT(A442,6)=".maxed"
 ),
 TRUE,
 COUNTIF(Checklist!A:A,A442)&gt;0
)</f>
        <v>1</v>
      </c>
      <c r="E442" s="64" t="b">
        <f>IF(
 OR(
  LEFT(A442,15)="state.character",
  RIGHT(A442,6)=".maxed",
  A442="building.guild@1",
  A442="quest.build_the_guild.accepted",
  A442="quest.build_the_pagoda.accepted"
 ),
 TRUE,
 COUNTIF(Dependencies!A:A,A442)&gt;0
)</f>
        <v>1</v>
      </c>
      <c r="F442" s="64" t="b">
        <f>COUNTIF(Dependencies!B:B,A442)&gt;0</f>
        <v>0</v>
      </c>
      <c r="G442" s="64" t="b">
        <f>COUNTIF(QuestObjectives!A:A,A442)&gt;0</f>
        <v>0</v>
      </c>
      <c r="H442" s="64" t="b">
        <f>COUNTIF(QuestObjectives!E:E,A442)&gt;0</f>
        <v>1</v>
      </c>
      <c r="I442" s="64" t="b">
        <f>COUNTIF(TargetStatus!A:A,A442)&gt;0</f>
        <v>1</v>
      </c>
      <c r="J442" s="64" t="b">
        <f>COUNTIF(CostStatus!B:B,A442)&gt;0</f>
        <v>0</v>
      </c>
      <c r="K442" s="64" t="b">
        <f>COUNTIF(States!A:A,A442)&gt;0</f>
        <v>1</v>
      </c>
      <c r="L442" s="64" t="b">
        <f t="shared" si="2"/>
        <v>1</v>
      </c>
      <c r="M442" s="64" t="b">
        <f>IF(A442="","",COUNTIF(Targets!A:A,A442)&gt;1)</f>
        <v>0</v>
      </c>
      <c r="N442" s="64" t="b">
        <f>IF(A442="","",COUNTIF(States!A:A,A442)&gt;1)</f>
        <v>0</v>
      </c>
      <c r="O442" s="64" t="b">
        <f>IFERROR(__xludf.DUMMYFUNCTION("IF(
 B442="""",
 """",
 SWITCH(
  B442,
  ""BUILDING"",COUNTIF(Buildings!A:A,A442)&gt;0,
  ""CITADEL"",COUNTIF(Citadel!A:A,A442)&gt;0,
  ""COLLECTION"",COUNTIF(Collections!A:A,A442)&gt;0,
  ""CRAFTIFACT"",COUNTIF(Craftifacts!A:A,A442)&gt;0,
  ""QUEST"",
   COUNTIF(
 "&amp;"   Quests!A:A,
    REGEXREPLACE(A442,""\.(accepted|finished)$"","""")
   )&gt;0,
  ""TECH"",COUNTIF(Technologies!A:A,A442)&gt;0,
  ""STATE"",COUNTIF(States!A:A,A442)&gt;0,
  FALSE
 )
)"),TRUE)</f>
        <v>1</v>
      </c>
      <c r="P442" s="64" t="str">
        <f t="shared" si="3"/>
        <v>Good</v>
      </c>
      <c r="Q442" s="65"/>
      <c r="R442" s="65"/>
      <c r="S442" s="65"/>
      <c r="T442" s="65"/>
      <c r="U442" s="6"/>
      <c r="V442" s="6" t="str">
        <f>IFERROR(__xludf.DUMMYFUNCTION("""COMPUTED_VALUE"""),"state.meet_alchemist_6d")</f>
        <v>state.meet_alchemist_6d</v>
      </c>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row>
    <row r="443" ht="14.25" customHeight="1">
      <c r="A443" s="26" t="str">
        <f t="shared" si="1"/>
        <v>state.meet_dark_lady_6d</v>
      </c>
      <c r="B443" s="26" t="str">
        <f t="array" ref="B443">_xlfn.XLOOKUP(A443,Targets!A:A,Targets!C:C,"")</f>
        <v>STATE</v>
      </c>
      <c r="C443" s="64" t="b">
        <f>COUNTIF(Targets!A:A,A443)&gt;0</f>
        <v>1</v>
      </c>
      <c r="D443" s="64" t="b">
        <f>IF(
 OR(
  LEFT(A443,15)="state.character",
  RIGHT(A443,6)=".maxed"
 ),
 TRUE,
 COUNTIF(Checklist!A:A,A443)&gt;0
)</f>
        <v>1</v>
      </c>
      <c r="E443" s="64" t="b">
        <f>IF(
 OR(
  LEFT(A443,15)="state.character",
  RIGHT(A443,6)=".maxed",
  A443="building.guild@1",
  A443="quest.build_the_guild.accepted",
  A443="quest.build_the_pagoda.accepted"
 ),
 TRUE,
 COUNTIF(Dependencies!A:A,A443)&gt;0
)</f>
        <v>1</v>
      </c>
      <c r="F443" s="64" t="b">
        <f>COUNTIF(Dependencies!B:B,A443)&gt;0</f>
        <v>0</v>
      </c>
      <c r="G443" s="64" t="b">
        <f>COUNTIF(QuestObjectives!A:A,A443)&gt;0</f>
        <v>0</v>
      </c>
      <c r="H443" s="64" t="b">
        <f>COUNTIF(QuestObjectives!E:E,A443)&gt;0</f>
        <v>1</v>
      </c>
      <c r="I443" s="64" t="b">
        <f>COUNTIF(TargetStatus!A:A,A443)&gt;0</f>
        <v>1</v>
      </c>
      <c r="J443" s="64" t="b">
        <f>COUNTIF(CostStatus!B:B,A443)&gt;0</f>
        <v>0</v>
      </c>
      <c r="K443" s="64" t="b">
        <f>COUNTIF(States!A:A,A443)&gt;0</f>
        <v>1</v>
      </c>
      <c r="L443" s="64" t="b">
        <f t="shared" si="2"/>
        <v>1</v>
      </c>
      <c r="M443" s="64" t="b">
        <f>IF(A443="","",COUNTIF(Targets!A:A,A443)&gt;1)</f>
        <v>0</v>
      </c>
      <c r="N443" s="64" t="b">
        <f>IF(A443="","",COUNTIF(States!A:A,A443)&gt;1)</f>
        <v>0</v>
      </c>
      <c r="O443" s="64" t="b">
        <f>IFERROR(__xludf.DUMMYFUNCTION("IF(
 B443="""",
 """",
 SWITCH(
  B443,
  ""BUILDING"",COUNTIF(Buildings!A:A,A443)&gt;0,
  ""CITADEL"",COUNTIF(Citadel!A:A,A443)&gt;0,
  ""COLLECTION"",COUNTIF(Collections!A:A,A443)&gt;0,
  ""CRAFTIFACT"",COUNTIF(Craftifacts!A:A,A443)&gt;0,
  ""QUEST"",
   COUNTIF(
 "&amp;"   Quests!A:A,
    REGEXREPLACE(A443,""\.(accepted|finished)$"","""")
   )&gt;0,
  ""TECH"",COUNTIF(Technologies!A:A,A443)&gt;0,
  ""STATE"",COUNTIF(States!A:A,A443)&gt;0,
  FALSE
 )
)"),TRUE)</f>
        <v>1</v>
      </c>
      <c r="P443" s="64" t="str">
        <f t="shared" si="3"/>
        <v>Good</v>
      </c>
      <c r="Q443" s="65"/>
      <c r="R443" s="65"/>
      <c r="S443" s="65"/>
      <c r="T443" s="65"/>
      <c r="U443" s="6"/>
      <c r="V443" s="6" t="str">
        <f>IFERROR(__xludf.DUMMYFUNCTION("""COMPUTED_VALUE"""),"state.meet_dark_lady_6d")</f>
        <v>state.meet_dark_lady_6d</v>
      </c>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row>
    <row r="444" ht="14.25" customHeight="1">
      <c r="A444" s="26" t="str">
        <f t="shared" si="1"/>
        <v>state.meet_dark_lady@4a</v>
      </c>
      <c r="B444" s="26" t="str">
        <f t="array" ref="B444">_xlfn.XLOOKUP(A444,Targets!A:A,Targets!C:C,"")</f>
        <v>STATE</v>
      </c>
      <c r="C444" s="64" t="b">
        <f>COUNTIF(Targets!A:A,A444)&gt;0</f>
        <v>1</v>
      </c>
      <c r="D444" s="64" t="b">
        <f>IF(
 OR(
  LEFT(A444,15)="state.character",
  RIGHT(A444,6)=".maxed"
 ),
 TRUE,
 COUNTIF(Checklist!A:A,A444)&gt;0
)</f>
        <v>1</v>
      </c>
      <c r="E444" s="64" t="b">
        <f>IF(
 OR(
  LEFT(A444,15)="state.character",
  RIGHT(A444,6)=".maxed",
  A444="building.guild@1",
  A444="quest.build_the_guild.accepted",
  A444="quest.build_the_pagoda.accepted"
 ),
 TRUE,
 COUNTIF(Dependencies!A:A,A444)&gt;0
)</f>
        <v>1</v>
      </c>
      <c r="F444" s="64" t="b">
        <f>COUNTIF(Dependencies!B:B,A444)&gt;0</f>
        <v>1</v>
      </c>
      <c r="G444" s="64" t="b">
        <f>COUNTIF(QuestObjectives!A:A,A444)&gt;0</f>
        <v>0</v>
      </c>
      <c r="H444" s="64" t="b">
        <f>COUNTIF(QuestObjectives!E:E,A444)&gt;0</f>
        <v>0</v>
      </c>
      <c r="I444" s="64" t="b">
        <f>COUNTIF(TargetStatus!A:A,A444)&gt;0</f>
        <v>1</v>
      </c>
      <c r="J444" s="64" t="b">
        <f>COUNTIF(CostStatus!B:B,A444)&gt;0</f>
        <v>0</v>
      </c>
      <c r="K444" s="64" t="b">
        <f>COUNTIF(States!A:A,A444)&gt;0</f>
        <v>1</v>
      </c>
      <c r="L444" s="64" t="b">
        <f t="shared" si="2"/>
        <v>1</v>
      </c>
      <c r="M444" s="64" t="b">
        <f>IF(A444="","",COUNTIF(Targets!A:A,A444)&gt;1)</f>
        <v>0</v>
      </c>
      <c r="N444" s="64" t="b">
        <f>IF(A444="","",COUNTIF(States!A:A,A444)&gt;1)</f>
        <v>0</v>
      </c>
      <c r="O444" s="64" t="b">
        <f>IFERROR(__xludf.DUMMYFUNCTION("IF(
 B444="""",
 """",
 SWITCH(
  B444,
  ""BUILDING"",COUNTIF(Buildings!A:A,A444)&gt;0,
  ""CITADEL"",COUNTIF(Citadel!A:A,A444)&gt;0,
  ""COLLECTION"",COUNTIF(Collections!A:A,A444)&gt;0,
  ""CRAFTIFACT"",COUNTIF(Craftifacts!A:A,A444)&gt;0,
  ""QUEST"",
   COUNTIF(
 "&amp;"   Quests!A:A,
    REGEXREPLACE(A444,""\.(accepted|finished)$"","""")
   )&gt;0,
  ""TECH"",COUNTIF(Technologies!A:A,A444)&gt;0,
  ""STATE"",COUNTIF(States!A:A,A444)&gt;0,
  FALSE
 )
)"),TRUE)</f>
        <v>1</v>
      </c>
      <c r="P444" s="64" t="str">
        <f t="shared" si="3"/>
        <v>Good</v>
      </c>
      <c r="Q444" s="65"/>
      <c r="R444" s="65"/>
      <c r="S444" s="65"/>
      <c r="T444" s="65"/>
      <c r="U444" s="6"/>
      <c r="V444" s="6" t="str">
        <f>IFERROR(__xludf.DUMMYFUNCTION("""COMPUTED_VALUE"""),"state.meet_dark_lady@4a")</f>
        <v>state.meet_dark_lady@4a</v>
      </c>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row>
    <row r="445" ht="14.25" customHeight="1">
      <c r="A445" s="26" t="str">
        <f t="shared" si="1"/>
        <v>state.meet_dark_lady@6a</v>
      </c>
      <c r="B445" s="26" t="str">
        <f t="array" ref="B445">_xlfn.XLOOKUP(A445,Targets!A:A,Targets!C:C,"")</f>
        <v>STATE</v>
      </c>
      <c r="C445" s="64" t="b">
        <f>COUNTIF(Targets!A:A,A445)&gt;0</f>
        <v>1</v>
      </c>
      <c r="D445" s="64" t="b">
        <f>IF(
 OR(
  LEFT(A445,15)="state.character",
  RIGHT(A445,6)=".maxed"
 ),
 TRUE,
 COUNTIF(Checklist!A:A,A445)&gt;0
)</f>
        <v>1</v>
      </c>
      <c r="E445" s="64" t="b">
        <f>IF(
 OR(
  LEFT(A445,15)="state.character",
  RIGHT(A445,6)=".maxed",
  A445="building.guild@1",
  A445="quest.build_the_guild.accepted",
  A445="quest.build_the_pagoda.accepted"
 ),
 TRUE,
 COUNTIF(Dependencies!A:A,A445)&gt;0
)</f>
        <v>1</v>
      </c>
      <c r="F445" s="64" t="b">
        <f>COUNTIF(Dependencies!B:B,A445)&gt;0</f>
        <v>1</v>
      </c>
      <c r="G445" s="64" t="b">
        <f>COUNTIF(QuestObjectives!A:A,A445)&gt;0</f>
        <v>0</v>
      </c>
      <c r="H445" s="64" t="b">
        <f>COUNTIF(QuestObjectives!E:E,A445)&gt;0</f>
        <v>0</v>
      </c>
      <c r="I445" s="64" t="b">
        <f>COUNTIF(TargetStatus!A:A,A445)&gt;0</f>
        <v>1</v>
      </c>
      <c r="J445" s="64" t="b">
        <f>COUNTIF(CostStatus!B:B,A445)&gt;0</f>
        <v>0</v>
      </c>
      <c r="K445" s="64" t="b">
        <f>COUNTIF(States!A:A,A445)&gt;0</f>
        <v>1</v>
      </c>
      <c r="L445" s="64" t="b">
        <f t="shared" si="2"/>
        <v>1</v>
      </c>
      <c r="M445" s="64" t="b">
        <f>IF(A445="","",COUNTIF(Targets!A:A,A445)&gt;1)</f>
        <v>0</v>
      </c>
      <c r="N445" s="64" t="b">
        <f>IF(A445="","",COUNTIF(States!A:A,A445)&gt;1)</f>
        <v>0</v>
      </c>
      <c r="O445" s="64" t="b">
        <f>IFERROR(__xludf.DUMMYFUNCTION("IF(
 B445="""",
 """",
 SWITCH(
  B445,
  ""BUILDING"",COUNTIF(Buildings!A:A,A445)&gt;0,
  ""CITADEL"",COUNTIF(Citadel!A:A,A445)&gt;0,
  ""COLLECTION"",COUNTIF(Collections!A:A,A445)&gt;0,
  ""CRAFTIFACT"",COUNTIF(Craftifacts!A:A,A445)&gt;0,
  ""QUEST"",
   COUNTIF(
 "&amp;"   Quests!A:A,
    REGEXREPLACE(A445,""\.(accepted|finished)$"","""")
   )&gt;0,
  ""TECH"",COUNTIF(Technologies!A:A,A445)&gt;0,
  ""STATE"",COUNTIF(States!A:A,A445)&gt;0,
  FALSE
 )
)"),TRUE)</f>
        <v>1</v>
      </c>
      <c r="P445" s="64" t="str">
        <f t="shared" si="3"/>
        <v>Good</v>
      </c>
      <c r="Q445" s="65"/>
      <c r="R445" s="65"/>
      <c r="S445" s="65"/>
      <c r="T445" s="65"/>
      <c r="U445" s="6"/>
      <c r="V445" s="6" t="str">
        <f>IFERROR(__xludf.DUMMYFUNCTION("""COMPUTED_VALUE"""),"state.meet_dark_lady@6a")</f>
        <v>state.meet_dark_lady@6a</v>
      </c>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row>
    <row r="446" ht="14.25" customHeight="1">
      <c r="A446" s="26" t="str">
        <f t="shared" si="1"/>
        <v>state.meet_dark_lady@6b</v>
      </c>
      <c r="B446" s="26" t="str">
        <f t="array" ref="B446">_xlfn.XLOOKUP(A446,Targets!A:A,Targets!C:C,"")</f>
        <v>STATE</v>
      </c>
      <c r="C446" s="64" t="b">
        <f>COUNTIF(Targets!A:A,A446)&gt;0</f>
        <v>1</v>
      </c>
      <c r="D446" s="64" t="b">
        <f>IF(
 OR(
  LEFT(A446,15)="state.character",
  RIGHT(A446,6)=".maxed"
 ),
 TRUE,
 COUNTIF(Checklist!A:A,A446)&gt;0
)</f>
        <v>1</v>
      </c>
      <c r="E446" s="64" t="b">
        <f>IF(
 OR(
  LEFT(A446,15)="state.character",
  RIGHT(A446,6)=".maxed",
  A446="building.guild@1",
  A446="quest.build_the_guild.accepted",
  A446="quest.build_the_pagoda.accepted"
 ),
 TRUE,
 COUNTIF(Dependencies!A:A,A446)&gt;0
)</f>
        <v>1</v>
      </c>
      <c r="F446" s="64" t="b">
        <f>COUNTIF(Dependencies!B:B,A446)&gt;0</f>
        <v>1</v>
      </c>
      <c r="G446" s="64" t="b">
        <f>COUNTIF(QuestObjectives!A:A,A446)&gt;0</f>
        <v>0</v>
      </c>
      <c r="H446" s="64" t="b">
        <f>COUNTIF(QuestObjectives!E:E,A446)&gt;0</f>
        <v>0</v>
      </c>
      <c r="I446" s="64" t="b">
        <f>COUNTIF(TargetStatus!A:A,A446)&gt;0</f>
        <v>1</v>
      </c>
      <c r="J446" s="64" t="b">
        <f>COUNTIF(CostStatus!B:B,A446)&gt;0</f>
        <v>0</v>
      </c>
      <c r="K446" s="64" t="b">
        <f>COUNTIF(States!A:A,A446)&gt;0</f>
        <v>1</v>
      </c>
      <c r="L446" s="64" t="b">
        <f t="shared" si="2"/>
        <v>1</v>
      </c>
      <c r="M446" s="64" t="b">
        <f>IF(A446="","",COUNTIF(Targets!A:A,A446)&gt;1)</f>
        <v>0</v>
      </c>
      <c r="N446" s="64" t="b">
        <f>IF(A446="","",COUNTIF(States!A:A,A446)&gt;1)</f>
        <v>0</v>
      </c>
      <c r="O446" s="64" t="b">
        <f>IFERROR(__xludf.DUMMYFUNCTION("IF(
 B446="""",
 """",
 SWITCH(
  B446,
  ""BUILDING"",COUNTIF(Buildings!A:A,A446)&gt;0,
  ""CITADEL"",COUNTIF(Citadel!A:A,A446)&gt;0,
  ""COLLECTION"",COUNTIF(Collections!A:A,A446)&gt;0,
  ""CRAFTIFACT"",COUNTIF(Craftifacts!A:A,A446)&gt;0,
  ""QUEST"",
   COUNTIF(
 "&amp;"   Quests!A:A,
    REGEXREPLACE(A446,""\.(accepted|finished)$"","""")
   )&gt;0,
  ""TECH"",COUNTIF(Technologies!A:A,A446)&gt;0,
  ""STATE"",COUNTIF(States!A:A,A446)&gt;0,
  FALSE
 )
)"),TRUE)</f>
        <v>1</v>
      </c>
      <c r="P446" s="64" t="str">
        <f t="shared" si="3"/>
        <v>Good</v>
      </c>
      <c r="Q446" s="65"/>
      <c r="R446" s="65"/>
      <c r="S446" s="65"/>
      <c r="T446" s="65"/>
      <c r="U446" s="6"/>
      <c r="V446" s="6" t="str">
        <f>IFERROR(__xludf.DUMMYFUNCTION("""COMPUTED_VALUE"""),"state.meet_dark_lady@6b")</f>
        <v>state.meet_dark_lady@6b</v>
      </c>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row>
    <row r="447" ht="14.25" customHeight="1">
      <c r="A447" s="26" t="str">
        <f t="shared" si="1"/>
        <v>state.meet_dark_lady@6b_second</v>
      </c>
      <c r="B447" s="26" t="str">
        <f t="array" ref="B447">_xlfn.XLOOKUP(A447,Targets!A:A,Targets!C:C,"")</f>
        <v>STATE</v>
      </c>
      <c r="C447" s="64" t="b">
        <f>COUNTIF(Targets!A:A,A447)&gt;0</f>
        <v>1</v>
      </c>
      <c r="D447" s="64" t="b">
        <f>IF(
 OR(
  LEFT(A447,15)="state.character",
  RIGHT(A447,6)=".maxed"
 ),
 TRUE,
 COUNTIF(Checklist!A:A,A447)&gt;0
)</f>
        <v>1</v>
      </c>
      <c r="E447" s="64" t="b">
        <f>IF(
 OR(
  LEFT(A447,15)="state.character",
  RIGHT(A447,6)=".maxed",
  A447="building.guild@1",
  A447="quest.build_the_guild.accepted",
  A447="quest.build_the_pagoda.accepted"
 ),
 TRUE,
 COUNTIF(Dependencies!A:A,A447)&gt;0
)</f>
        <v>1</v>
      </c>
      <c r="F447" s="64" t="b">
        <f>COUNTIF(Dependencies!B:B,A447)&gt;0</f>
        <v>1</v>
      </c>
      <c r="G447" s="64" t="b">
        <f>COUNTIF(QuestObjectives!A:A,A447)&gt;0</f>
        <v>0</v>
      </c>
      <c r="H447" s="64" t="b">
        <f>COUNTIF(QuestObjectives!E:E,A447)&gt;0</f>
        <v>0</v>
      </c>
      <c r="I447" s="64" t="b">
        <f>COUNTIF(TargetStatus!A:A,A447)&gt;0</f>
        <v>1</v>
      </c>
      <c r="J447" s="64" t="b">
        <f>COUNTIF(CostStatus!B:B,A447)&gt;0</f>
        <v>0</v>
      </c>
      <c r="K447" s="64" t="b">
        <f>COUNTIF(States!A:A,A447)&gt;0</f>
        <v>0</v>
      </c>
      <c r="L447" s="64" t="b">
        <f t="shared" si="2"/>
        <v>1</v>
      </c>
      <c r="M447" s="64" t="b">
        <f>IF(A447="","",COUNTIF(Targets!A:A,A447)&gt;1)</f>
        <v>0</v>
      </c>
      <c r="N447" s="64" t="b">
        <f>IF(A447="","",COUNTIF(States!A:A,A447)&gt;1)</f>
        <v>0</v>
      </c>
      <c r="O447" s="64" t="b">
        <f>IFERROR(__xludf.DUMMYFUNCTION("IF(
 B447="""",
 """",
 SWITCH(
  B447,
  ""BUILDING"",COUNTIF(Buildings!A:A,A447)&gt;0,
  ""CITADEL"",COUNTIF(Citadel!A:A,A447)&gt;0,
  ""COLLECTION"",COUNTIF(Collections!A:A,A447)&gt;0,
  ""CRAFTIFACT"",COUNTIF(Craftifacts!A:A,A447)&gt;0,
  ""QUEST"",
   COUNTIF(
 "&amp;"   Quests!A:A,
    REGEXREPLACE(A447,""\.(accepted|finished)$"","""")
   )&gt;0,
  ""TECH"",COUNTIF(Technologies!A:A,A447)&gt;0,
  ""STATE"",COUNTIF(States!A:A,A447)&gt;0,
  FALSE
 )
)"),FALSE)</f>
        <v>0</v>
      </c>
      <c r="P447" s="64" t="str">
        <f t="shared" si="3"/>
        <v>Good</v>
      </c>
      <c r="Q447" s="65"/>
      <c r="R447" s="65"/>
      <c r="S447" s="65"/>
      <c r="T447" s="65"/>
      <c r="U447" s="6"/>
      <c r="V447" s="6" t="str">
        <f>IFERROR(__xludf.DUMMYFUNCTION("""COMPUTED_VALUE"""),"state.meet_dark_lady@6b_second")</f>
        <v>state.meet_dark_lady@6b_second</v>
      </c>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row>
    <row r="448" ht="14.25" customHeight="1">
      <c r="A448" s="26" t="str">
        <f t="shared" si="1"/>
        <v>state.meet_dark_lady@f2</v>
      </c>
      <c r="B448" s="26" t="str">
        <f t="array" ref="B448">_xlfn.XLOOKUP(A448,Targets!A:A,Targets!C:C,"")</f>
        <v>STATE</v>
      </c>
      <c r="C448" s="64" t="b">
        <f>COUNTIF(Targets!A:A,A448)&gt;0</f>
        <v>1</v>
      </c>
      <c r="D448" s="64" t="b">
        <f>IF(
 OR(
  LEFT(A448,15)="state.character",
  RIGHT(A448,6)=".maxed"
 ),
 TRUE,
 COUNTIF(Checklist!A:A,A448)&gt;0
)</f>
        <v>1</v>
      </c>
      <c r="E448" s="64" t="b">
        <f>IF(
 OR(
  LEFT(A448,15)="state.character",
  RIGHT(A448,6)=".maxed",
  A448="building.guild@1",
  A448="quest.build_the_guild.accepted",
  A448="quest.build_the_pagoda.accepted"
 ),
 TRUE,
 COUNTIF(Dependencies!A:A,A448)&gt;0
)</f>
        <v>1</v>
      </c>
      <c r="F448" s="64" t="b">
        <f>COUNTIF(Dependencies!B:B,A448)&gt;0</f>
        <v>1</v>
      </c>
      <c r="G448" s="64" t="b">
        <f>COUNTIF(QuestObjectives!A:A,A448)&gt;0</f>
        <v>0</v>
      </c>
      <c r="H448" s="64" t="b">
        <f>COUNTIF(QuestObjectives!E:E,A448)&gt;0</f>
        <v>0</v>
      </c>
      <c r="I448" s="64" t="b">
        <f>COUNTIF(TargetStatus!A:A,A448)&gt;0</f>
        <v>1</v>
      </c>
      <c r="J448" s="64" t="b">
        <f>COUNTIF(CostStatus!B:B,A448)&gt;0</f>
        <v>0</v>
      </c>
      <c r="K448" s="64" t="b">
        <f>COUNTIF(States!A:A,A448)&gt;0</f>
        <v>1</v>
      </c>
      <c r="L448" s="64" t="b">
        <f t="shared" si="2"/>
        <v>1</v>
      </c>
      <c r="M448" s="64" t="b">
        <f>IF(A448="","",COUNTIF(Targets!A:A,A448)&gt;1)</f>
        <v>0</v>
      </c>
      <c r="N448" s="64" t="b">
        <f>IF(A448="","",COUNTIF(States!A:A,A448)&gt;1)</f>
        <v>0</v>
      </c>
      <c r="O448" s="64" t="b">
        <f>IFERROR(__xludf.DUMMYFUNCTION("IF(
 B448="""",
 """",
 SWITCH(
  B448,
  ""BUILDING"",COUNTIF(Buildings!A:A,A448)&gt;0,
  ""CITADEL"",COUNTIF(Citadel!A:A,A448)&gt;0,
  ""COLLECTION"",COUNTIF(Collections!A:A,A448)&gt;0,
  ""CRAFTIFACT"",COUNTIF(Craftifacts!A:A,A448)&gt;0,
  ""QUEST"",
   COUNTIF(
 "&amp;"   Quests!A:A,
    REGEXREPLACE(A448,""\.(accepted|finished)$"","""")
   )&gt;0,
  ""TECH"",COUNTIF(Technologies!A:A,A448)&gt;0,
  ""STATE"",COUNTIF(States!A:A,A448)&gt;0,
  FALSE
 )
)"),TRUE)</f>
        <v>1</v>
      </c>
      <c r="P448" s="64" t="str">
        <f t="shared" si="3"/>
        <v>Good</v>
      </c>
      <c r="Q448" s="65"/>
      <c r="R448" s="65"/>
      <c r="S448" s="65"/>
      <c r="T448" s="65"/>
      <c r="U448" s="6"/>
      <c r="V448" s="6" t="str">
        <f>IFERROR(__xludf.DUMMYFUNCTION("""COMPUTED_VALUE"""),"state.meet_dark_lady@f2")</f>
        <v>state.meet_dark_lady@f2</v>
      </c>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row>
    <row r="449" ht="14.25" customHeight="1">
      <c r="A449" s="26" t="str">
        <f t="shared" si="1"/>
        <v>state.meet_fat_demon@4a</v>
      </c>
      <c r="B449" s="26" t="str">
        <f t="array" ref="B449">_xlfn.XLOOKUP(A449,Targets!A:A,Targets!C:C,"")</f>
        <v>STATE</v>
      </c>
      <c r="C449" s="64" t="b">
        <f>COUNTIF(Targets!A:A,A449)&gt;0</f>
        <v>1</v>
      </c>
      <c r="D449" s="64" t="b">
        <f>IF(
 OR(
  LEFT(A449,15)="state.character",
  RIGHT(A449,6)=".maxed"
 ),
 TRUE,
 COUNTIF(Checklist!A:A,A449)&gt;0
)</f>
        <v>1</v>
      </c>
      <c r="E449" s="64" t="b">
        <f>IF(
 OR(
  LEFT(A449,15)="state.character",
  RIGHT(A449,6)=".maxed",
  A449="building.guild@1",
  A449="quest.build_the_guild.accepted",
  A449="quest.build_the_pagoda.accepted"
 ),
 TRUE,
 COUNTIF(Dependencies!A:A,A449)&gt;0
)</f>
        <v>1</v>
      </c>
      <c r="F449" s="64" t="b">
        <f>COUNTIF(Dependencies!B:B,A449)&gt;0</f>
        <v>1</v>
      </c>
      <c r="G449" s="64" t="b">
        <f>COUNTIF(QuestObjectives!A:A,A449)&gt;0</f>
        <v>0</v>
      </c>
      <c r="H449" s="64" t="b">
        <f>COUNTIF(QuestObjectives!E:E,A449)&gt;0</f>
        <v>0</v>
      </c>
      <c r="I449" s="64" t="b">
        <f>COUNTIF(TargetStatus!A:A,A449)&gt;0</f>
        <v>1</v>
      </c>
      <c r="J449" s="64" t="b">
        <f>COUNTIF(CostStatus!B:B,A449)&gt;0</f>
        <v>0</v>
      </c>
      <c r="K449" s="64" t="b">
        <f>COUNTIF(States!A:A,A449)&gt;0</f>
        <v>1</v>
      </c>
      <c r="L449" s="64" t="b">
        <f t="shared" si="2"/>
        <v>1</v>
      </c>
      <c r="M449" s="64" t="b">
        <f>IF(A449="","",COUNTIF(Targets!A:A,A449)&gt;1)</f>
        <v>0</v>
      </c>
      <c r="N449" s="64" t="b">
        <f>IF(A449="","",COUNTIF(States!A:A,A449)&gt;1)</f>
        <v>0</v>
      </c>
      <c r="O449" s="64" t="b">
        <f>IFERROR(__xludf.DUMMYFUNCTION("IF(
 B449="""",
 """",
 SWITCH(
  B449,
  ""BUILDING"",COUNTIF(Buildings!A:A,A449)&gt;0,
  ""CITADEL"",COUNTIF(Citadel!A:A,A449)&gt;0,
  ""COLLECTION"",COUNTIF(Collections!A:A,A449)&gt;0,
  ""CRAFTIFACT"",COUNTIF(Craftifacts!A:A,A449)&gt;0,
  ""QUEST"",
   COUNTIF(
 "&amp;"   Quests!A:A,
    REGEXREPLACE(A449,""\.(accepted|finished)$"","""")
   )&gt;0,
  ""TECH"",COUNTIF(Technologies!A:A,A449)&gt;0,
  ""STATE"",COUNTIF(States!A:A,A449)&gt;0,
  FALSE
 )
)"),TRUE)</f>
        <v>1</v>
      </c>
      <c r="P449" s="64" t="str">
        <f t="shared" si="3"/>
        <v>Good</v>
      </c>
      <c r="Q449" s="65"/>
      <c r="R449" s="65"/>
      <c r="S449" s="65"/>
      <c r="T449" s="65"/>
      <c r="U449" s="6"/>
      <c r="V449" s="6" t="str">
        <f>IFERROR(__xludf.DUMMYFUNCTION("""COMPUTED_VALUE"""),"state.meet_fat_demon@4a")</f>
        <v>state.meet_fat_demon@4a</v>
      </c>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row>
    <row r="450" ht="14.25" customHeight="1">
      <c r="A450" s="26" t="str">
        <f t="shared" si="1"/>
        <v>state.meet_foodie_demon@f2</v>
      </c>
      <c r="B450" s="26" t="str">
        <f t="array" ref="B450">_xlfn.XLOOKUP(A450,Targets!A:A,Targets!C:C,"")</f>
        <v>STATE</v>
      </c>
      <c r="C450" s="64" t="b">
        <f>COUNTIF(Targets!A:A,A450)&gt;0</f>
        <v>1</v>
      </c>
      <c r="D450" s="64" t="b">
        <f>IF(
 OR(
  LEFT(A450,15)="state.character",
  RIGHT(A450,6)=".maxed"
 ),
 TRUE,
 COUNTIF(Checklist!A:A,A450)&gt;0
)</f>
        <v>1</v>
      </c>
      <c r="E450" s="64" t="b">
        <f>IF(
 OR(
  LEFT(A450,15)="state.character",
  RIGHT(A450,6)=".maxed",
  A450="building.guild@1",
  A450="quest.build_the_guild.accepted",
  A450="quest.build_the_pagoda.accepted"
 ),
 TRUE,
 COUNTIF(Dependencies!A:A,A450)&gt;0
)</f>
        <v>1</v>
      </c>
      <c r="F450" s="64" t="b">
        <f>COUNTIF(Dependencies!B:B,A450)&gt;0</f>
        <v>1</v>
      </c>
      <c r="G450" s="64" t="b">
        <f>COUNTIF(QuestObjectives!A:A,A450)&gt;0</f>
        <v>0</v>
      </c>
      <c r="H450" s="64" t="b">
        <f>COUNTIF(QuestObjectives!E:E,A450)&gt;0</f>
        <v>1</v>
      </c>
      <c r="I450" s="64" t="b">
        <f>COUNTIF(TargetStatus!A:A,A450)&gt;0</f>
        <v>1</v>
      </c>
      <c r="J450" s="64" t="b">
        <f>COUNTIF(CostStatus!B:B,A450)&gt;0</f>
        <v>0</v>
      </c>
      <c r="K450" s="64" t="b">
        <f>COUNTIF(States!A:A,A450)&gt;0</f>
        <v>1</v>
      </c>
      <c r="L450" s="64" t="b">
        <f t="shared" si="2"/>
        <v>1</v>
      </c>
      <c r="M450" s="64" t="b">
        <f>IF(A450="","",COUNTIF(Targets!A:A,A450)&gt;1)</f>
        <v>0</v>
      </c>
      <c r="N450" s="64" t="b">
        <f>IF(A450="","",COUNTIF(States!A:A,A450)&gt;1)</f>
        <v>0</v>
      </c>
      <c r="O450" s="64" t="b">
        <f>IFERROR(__xludf.DUMMYFUNCTION("IF(
 B450="""",
 """",
 SWITCH(
  B450,
  ""BUILDING"",COUNTIF(Buildings!A:A,A450)&gt;0,
  ""CITADEL"",COUNTIF(Citadel!A:A,A450)&gt;0,
  ""COLLECTION"",COUNTIF(Collections!A:A,A450)&gt;0,
  ""CRAFTIFACT"",COUNTIF(Craftifacts!A:A,A450)&gt;0,
  ""QUEST"",
   COUNTIF(
 "&amp;"   Quests!A:A,
    REGEXREPLACE(A450,""\.(accepted|finished)$"","""")
   )&gt;0,
  ""TECH"",COUNTIF(Technologies!A:A,A450)&gt;0,
  ""STATE"",COUNTIF(States!A:A,A450)&gt;0,
  FALSE
 )
)"),TRUE)</f>
        <v>1</v>
      </c>
      <c r="P450" s="64" t="str">
        <f t="shared" si="3"/>
        <v>Good</v>
      </c>
      <c r="Q450" s="65"/>
      <c r="R450" s="65"/>
      <c r="S450" s="65"/>
      <c r="T450" s="65"/>
      <c r="U450" s="6"/>
      <c r="V450" s="6" t="str">
        <f>IFERROR(__xludf.DUMMYFUNCTION("""COMPUTED_VALUE"""),"state.meet_foodie_demon@f2")</f>
        <v>state.meet_foodie_demon@f2</v>
      </c>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row>
    <row r="451" ht="14.25" customHeight="1">
      <c r="A451" s="26" t="str">
        <f t="shared" si="1"/>
        <v>state.meet_forest_fairy@f2</v>
      </c>
      <c r="B451" s="26" t="str">
        <f t="array" ref="B451">_xlfn.XLOOKUP(A451,Targets!A:A,Targets!C:C,"")</f>
        <v>STATE</v>
      </c>
      <c r="C451" s="64" t="b">
        <f>COUNTIF(Targets!A:A,A451)&gt;0</f>
        <v>1</v>
      </c>
      <c r="D451" s="64" t="b">
        <f>IF(
 OR(
  LEFT(A451,15)="state.character",
  RIGHT(A451,6)=".maxed"
 ),
 TRUE,
 COUNTIF(Checklist!A:A,A451)&gt;0
)</f>
        <v>1</v>
      </c>
      <c r="E451" s="64" t="b">
        <f>IF(
 OR(
  LEFT(A451,15)="state.character",
  RIGHT(A451,6)=".maxed",
  A451="building.guild@1",
  A451="quest.build_the_guild.accepted",
  A451="quest.build_the_pagoda.accepted"
 ),
 TRUE,
 COUNTIF(Dependencies!A:A,A451)&gt;0
)</f>
        <v>1</v>
      </c>
      <c r="F451" s="64" t="b">
        <f>COUNTIF(Dependencies!B:B,A451)&gt;0</f>
        <v>1</v>
      </c>
      <c r="G451" s="64" t="b">
        <f>COUNTIF(QuestObjectives!A:A,A451)&gt;0</f>
        <v>0</v>
      </c>
      <c r="H451" s="64" t="b">
        <f>COUNTIF(QuestObjectives!E:E,A451)&gt;0</f>
        <v>0</v>
      </c>
      <c r="I451" s="64" t="b">
        <f>COUNTIF(TargetStatus!A:A,A451)&gt;0</f>
        <v>1</v>
      </c>
      <c r="J451" s="64" t="b">
        <f>COUNTIF(CostStatus!B:B,A451)&gt;0</f>
        <v>0</v>
      </c>
      <c r="K451" s="64" t="b">
        <f>COUNTIF(States!A:A,A451)&gt;0</f>
        <v>1</v>
      </c>
      <c r="L451" s="64" t="b">
        <f t="shared" si="2"/>
        <v>1</v>
      </c>
      <c r="M451" s="64" t="b">
        <f>IF(A451="","",COUNTIF(Targets!A:A,A451)&gt;1)</f>
        <v>0</v>
      </c>
      <c r="N451" s="64" t="b">
        <f>IF(A451="","",COUNTIF(States!A:A,A451)&gt;1)</f>
        <v>0</v>
      </c>
      <c r="O451" s="64" t="b">
        <f>IFERROR(__xludf.DUMMYFUNCTION("IF(
 B451="""",
 """",
 SWITCH(
  B451,
  ""BUILDING"",COUNTIF(Buildings!A:A,A451)&gt;0,
  ""CITADEL"",COUNTIF(Citadel!A:A,A451)&gt;0,
  ""COLLECTION"",COUNTIF(Collections!A:A,A451)&gt;0,
  ""CRAFTIFACT"",COUNTIF(Craftifacts!A:A,A451)&gt;0,
  ""QUEST"",
   COUNTIF(
 "&amp;"   Quests!A:A,
    REGEXREPLACE(A451,""\.(accepted|finished)$"","""")
   )&gt;0,
  ""TECH"",COUNTIF(Technologies!A:A,A451)&gt;0,
  ""STATE"",COUNTIF(States!A:A,A451)&gt;0,
  FALSE
 )
)"),TRUE)</f>
        <v>1</v>
      </c>
      <c r="P451" s="64" t="str">
        <f t="shared" si="3"/>
        <v>Good</v>
      </c>
      <c r="Q451" s="65"/>
      <c r="R451" s="65"/>
      <c r="S451" s="65"/>
      <c r="T451" s="65"/>
      <c r="U451" s="6"/>
      <c r="V451" s="6" t="str">
        <f>IFERROR(__xludf.DUMMYFUNCTION("""COMPUTED_VALUE"""),"state.meet_forest_fairy@f2")</f>
        <v>state.meet_forest_fairy@f2</v>
      </c>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row>
    <row r="452" ht="14.25" customHeight="1">
      <c r="A452" s="26" t="str">
        <f t="shared" si="1"/>
        <v>state.meet_hunter@f1</v>
      </c>
      <c r="B452" s="26" t="str">
        <f t="array" ref="B452">_xlfn.XLOOKUP(A452,Targets!A:A,Targets!C:C,"")</f>
        <v>STATE</v>
      </c>
      <c r="C452" s="64" t="b">
        <f>COUNTIF(Targets!A:A,A452)&gt;0</f>
        <v>1</v>
      </c>
      <c r="D452" s="64" t="b">
        <f>IF(
 OR(
  LEFT(A452,15)="state.character",
  RIGHT(A452,6)=".maxed"
 ),
 TRUE,
 COUNTIF(Checklist!A:A,A452)&gt;0
)</f>
        <v>1</v>
      </c>
      <c r="E452" s="64" t="b">
        <f>IF(
 OR(
  LEFT(A452,15)="state.character",
  RIGHT(A452,6)=".maxed",
  A452="building.guild@1",
  A452="quest.build_the_guild.accepted",
  A452="quest.build_the_pagoda.accepted"
 ),
 TRUE,
 COUNTIF(Dependencies!A:A,A452)&gt;0
)</f>
        <v>1</v>
      </c>
      <c r="F452" s="64" t="b">
        <f>COUNTIF(Dependencies!B:B,A452)&gt;0</f>
        <v>1</v>
      </c>
      <c r="G452" s="64" t="b">
        <f>COUNTIF(QuestObjectives!A:A,A452)&gt;0</f>
        <v>0</v>
      </c>
      <c r="H452" s="64" t="b">
        <f>COUNTIF(QuestObjectives!E:E,A452)&gt;0</f>
        <v>0</v>
      </c>
      <c r="I452" s="64" t="b">
        <f>COUNTIF(TargetStatus!A:A,A452)&gt;0</f>
        <v>1</v>
      </c>
      <c r="J452" s="64" t="b">
        <f>COUNTIF(CostStatus!B:B,A452)&gt;0</f>
        <v>0</v>
      </c>
      <c r="K452" s="64" t="b">
        <f>COUNTIF(States!A:A,A452)&gt;0</f>
        <v>1</v>
      </c>
      <c r="L452" s="64" t="b">
        <f t="shared" si="2"/>
        <v>1</v>
      </c>
      <c r="M452" s="64" t="b">
        <f>IF(A452="","",COUNTIF(Targets!A:A,A452)&gt;1)</f>
        <v>0</v>
      </c>
      <c r="N452" s="64" t="b">
        <f>IF(A452="","",COUNTIF(States!A:A,A452)&gt;1)</f>
        <v>0</v>
      </c>
      <c r="O452" s="64" t="b">
        <f>IFERROR(__xludf.DUMMYFUNCTION("IF(
 B452="""",
 """",
 SWITCH(
  B452,
  ""BUILDING"",COUNTIF(Buildings!A:A,A452)&gt;0,
  ""CITADEL"",COUNTIF(Citadel!A:A,A452)&gt;0,
  ""COLLECTION"",COUNTIF(Collections!A:A,A452)&gt;0,
  ""CRAFTIFACT"",COUNTIF(Craftifacts!A:A,A452)&gt;0,
  ""QUEST"",
   COUNTIF(
 "&amp;"   Quests!A:A,
    REGEXREPLACE(A452,""\.(accepted|finished)$"","""")
   )&gt;0,
  ""TECH"",COUNTIF(Technologies!A:A,A452)&gt;0,
  ""STATE"",COUNTIF(States!A:A,A452)&gt;0,
  FALSE
 )
)"),TRUE)</f>
        <v>1</v>
      </c>
      <c r="P452" s="64" t="str">
        <f t="shared" si="3"/>
        <v>Good</v>
      </c>
      <c r="Q452" s="65"/>
      <c r="R452" s="65"/>
      <c r="S452" s="65"/>
      <c r="T452" s="65"/>
      <c r="U452" s="6"/>
      <c r="V452" s="6" t="str">
        <f>IFERROR(__xludf.DUMMYFUNCTION("""COMPUTED_VALUE"""),"state.meet_hunter@f1")</f>
        <v>state.meet_hunter@f1</v>
      </c>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row>
    <row r="453" ht="14.25" customHeight="1">
      <c r="A453" s="26" t="str">
        <f t="shared" si="1"/>
        <v>state.meet_inventor@5b</v>
      </c>
      <c r="B453" s="26" t="str">
        <f t="array" ref="B453">_xlfn.XLOOKUP(A453,Targets!A:A,Targets!C:C,"")</f>
        <v>STATE</v>
      </c>
      <c r="C453" s="64" t="b">
        <f>COUNTIF(Targets!A:A,A453)&gt;0</f>
        <v>1</v>
      </c>
      <c r="D453" s="64" t="b">
        <f>IF(
 OR(
  LEFT(A453,15)="state.character",
  RIGHT(A453,6)=".maxed"
 ),
 TRUE,
 COUNTIF(Checklist!A:A,A453)&gt;0
)</f>
        <v>1</v>
      </c>
      <c r="E453" s="64" t="b">
        <f>IF(
 OR(
  LEFT(A453,15)="state.character",
  RIGHT(A453,6)=".maxed",
  A453="building.guild@1",
  A453="quest.build_the_guild.accepted",
  A453="quest.build_the_pagoda.accepted"
 ),
 TRUE,
 COUNTIF(Dependencies!A:A,A453)&gt;0
)</f>
        <v>1</v>
      </c>
      <c r="F453" s="64" t="b">
        <f>COUNTIF(Dependencies!B:B,A453)&gt;0</f>
        <v>1</v>
      </c>
      <c r="G453" s="64" t="b">
        <f>COUNTIF(QuestObjectives!A:A,A453)&gt;0</f>
        <v>0</v>
      </c>
      <c r="H453" s="64" t="b">
        <f>COUNTIF(QuestObjectives!E:E,A453)&gt;0</f>
        <v>0</v>
      </c>
      <c r="I453" s="64" t="b">
        <f>COUNTIF(TargetStatus!A:A,A453)&gt;0</f>
        <v>1</v>
      </c>
      <c r="J453" s="64" t="b">
        <f>COUNTIF(CostStatus!B:B,A453)&gt;0</f>
        <v>0</v>
      </c>
      <c r="K453" s="64" t="b">
        <f>COUNTIF(States!A:A,A453)&gt;0</f>
        <v>1</v>
      </c>
      <c r="L453" s="64" t="b">
        <f t="shared" si="2"/>
        <v>1</v>
      </c>
      <c r="M453" s="64" t="b">
        <f>IF(A453="","",COUNTIF(Targets!A:A,A453)&gt;1)</f>
        <v>0</v>
      </c>
      <c r="N453" s="64" t="b">
        <f>IF(A453="","",COUNTIF(States!A:A,A453)&gt;1)</f>
        <v>0</v>
      </c>
      <c r="O453" s="64" t="b">
        <f>IFERROR(__xludf.DUMMYFUNCTION("IF(
 B453="""",
 """",
 SWITCH(
  B453,
  ""BUILDING"",COUNTIF(Buildings!A:A,A453)&gt;0,
  ""CITADEL"",COUNTIF(Citadel!A:A,A453)&gt;0,
  ""COLLECTION"",COUNTIF(Collections!A:A,A453)&gt;0,
  ""CRAFTIFACT"",COUNTIF(Craftifacts!A:A,A453)&gt;0,
  ""QUEST"",
   COUNTIF(
 "&amp;"   Quests!A:A,
    REGEXREPLACE(A453,""\.(accepted|finished)$"","""")
   )&gt;0,
  ""TECH"",COUNTIF(Technologies!A:A,A453)&gt;0,
  ""STATE"",COUNTIF(States!A:A,A453)&gt;0,
  FALSE
 )
)"),TRUE)</f>
        <v>1</v>
      </c>
      <c r="P453" s="64" t="str">
        <f t="shared" si="3"/>
        <v>Good</v>
      </c>
      <c r="Q453" s="65"/>
      <c r="R453" s="65"/>
      <c r="S453" s="65"/>
      <c r="T453" s="65"/>
      <c r="U453" s="6"/>
      <c r="V453" s="6" t="str">
        <f>IFERROR(__xludf.DUMMYFUNCTION("""COMPUTED_VALUE"""),"state.meet_inventor@5b")</f>
        <v>state.meet_inventor@5b</v>
      </c>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row>
    <row r="454" ht="14.25" customHeight="1">
      <c r="A454" s="26" t="str">
        <f t="shared" si="1"/>
        <v>state.meet_mech_adventurer_3a</v>
      </c>
      <c r="B454" s="26" t="str">
        <f t="array" ref="B454">_xlfn.XLOOKUP(A454,Targets!A:A,Targets!C:C,"")</f>
        <v>STATE</v>
      </c>
      <c r="C454" s="64" t="b">
        <f>COUNTIF(Targets!A:A,A454)&gt;0</f>
        <v>1</v>
      </c>
      <c r="D454" s="64" t="b">
        <f>IF(
 OR(
  LEFT(A454,15)="state.character",
  RIGHT(A454,6)=".maxed"
 ),
 TRUE,
 COUNTIF(Checklist!A:A,A454)&gt;0
)</f>
        <v>1</v>
      </c>
      <c r="E454" s="64" t="b">
        <f>IF(
 OR(
  LEFT(A454,15)="state.character",
  RIGHT(A454,6)=".maxed",
  A454="building.guild@1",
  A454="quest.build_the_guild.accepted",
  A454="quest.build_the_pagoda.accepted"
 ),
 TRUE,
 COUNTIF(Dependencies!A:A,A454)&gt;0
)</f>
        <v>1</v>
      </c>
      <c r="F454" s="64" t="b">
        <f>COUNTIF(Dependencies!B:B,A454)&gt;0</f>
        <v>1</v>
      </c>
      <c r="G454" s="64" t="b">
        <f>COUNTIF(QuestObjectives!A:A,A454)&gt;0</f>
        <v>0</v>
      </c>
      <c r="H454" s="64" t="b">
        <f>COUNTIF(QuestObjectives!E:E,A454)&gt;0</f>
        <v>0</v>
      </c>
      <c r="I454" s="64" t="b">
        <f>COUNTIF(TargetStatus!A:A,A454)&gt;0</f>
        <v>1</v>
      </c>
      <c r="J454" s="64" t="b">
        <f>COUNTIF(CostStatus!B:B,A454)&gt;0</f>
        <v>0</v>
      </c>
      <c r="K454" s="64" t="b">
        <f>COUNTIF(States!A:A,A454)&gt;0</f>
        <v>1</v>
      </c>
      <c r="L454" s="64" t="b">
        <f t="shared" si="2"/>
        <v>1</v>
      </c>
      <c r="M454" s="64" t="b">
        <f>IF(A454="","",COUNTIF(Targets!A:A,A454)&gt;1)</f>
        <v>0</v>
      </c>
      <c r="N454" s="64" t="b">
        <f>IF(A454="","",COUNTIF(States!A:A,A454)&gt;1)</f>
        <v>0</v>
      </c>
      <c r="O454" s="64" t="b">
        <f>IFERROR(__xludf.DUMMYFUNCTION("IF(
 B454="""",
 """",
 SWITCH(
  B454,
  ""BUILDING"",COUNTIF(Buildings!A:A,A454)&gt;0,
  ""CITADEL"",COUNTIF(Citadel!A:A,A454)&gt;0,
  ""COLLECTION"",COUNTIF(Collections!A:A,A454)&gt;0,
  ""CRAFTIFACT"",COUNTIF(Craftifacts!A:A,A454)&gt;0,
  ""QUEST"",
   COUNTIF(
 "&amp;"   Quests!A:A,
    REGEXREPLACE(A454,""\.(accepted|finished)$"","""")
   )&gt;0,
  ""TECH"",COUNTIF(Technologies!A:A,A454)&gt;0,
  ""STATE"",COUNTIF(States!A:A,A454)&gt;0,
  FALSE
 )
)"),TRUE)</f>
        <v>1</v>
      </c>
      <c r="P454" s="64" t="str">
        <f t="shared" si="3"/>
        <v>Good</v>
      </c>
      <c r="Q454" s="65"/>
      <c r="R454" s="65"/>
      <c r="S454" s="65"/>
      <c r="T454" s="65"/>
      <c r="U454" s="6"/>
      <c r="V454" s="6" t="str">
        <f>IFERROR(__xludf.DUMMYFUNCTION("""COMPUTED_VALUE"""),"state.meet_mech_adventurer_3a")</f>
        <v>state.meet_mech_adventurer_3a</v>
      </c>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row>
    <row r="455" ht="14.25" customHeight="1">
      <c r="A455" s="26" t="str">
        <f t="shared" si="1"/>
        <v>state.meet_mech_adventurer_f1</v>
      </c>
      <c r="B455" s="26" t="str">
        <f t="array" ref="B455">_xlfn.XLOOKUP(A455,Targets!A:A,Targets!C:C,"")</f>
        <v>STATE</v>
      </c>
      <c r="C455" s="64" t="b">
        <f>COUNTIF(Targets!A:A,A455)&gt;0</f>
        <v>1</v>
      </c>
      <c r="D455" s="64" t="b">
        <f>IF(
 OR(
  LEFT(A455,15)="state.character",
  RIGHT(A455,6)=".maxed"
 ),
 TRUE,
 COUNTIF(Checklist!A:A,A455)&gt;0
)</f>
        <v>1</v>
      </c>
      <c r="E455" s="64" t="b">
        <f>IF(
 OR(
  LEFT(A455,15)="state.character",
  RIGHT(A455,6)=".maxed",
  A455="building.guild@1",
  A455="quest.build_the_guild.accepted",
  A455="quest.build_the_pagoda.accepted"
 ),
 TRUE,
 COUNTIF(Dependencies!A:A,A455)&gt;0
)</f>
        <v>1</v>
      </c>
      <c r="F455" s="64" t="b">
        <f>COUNTIF(Dependencies!B:B,A455)&gt;0</f>
        <v>1</v>
      </c>
      <c r="G455" s="64" t="b">
        <f>COUNTIF(QuestObjectives!A:A,A455)&gt;0</f>
        <v>0</v>
      </c>
      <c r="H455" s="64" t="b">
        <f>COUNTIF(QuestObjectives!E:E,A455)&gt;0</f>
        <v>0</v>
      </c>
      <c r="I455" s="64" t="b">
        <f>COUNTIF(TargetStatus!A:A,A455)&gt;0</f>
        <v>1</v>
      </c>
      <c r="J455" s="64" t="b">
        <f>COUNTIF(CostStatus!B:B,A455)&gt;0</f>
        <v>0</v>
      </c>
      <c r="K455" s="64" t="b">
        <f>COUNTIF(States!A:A,A455)&gt;0</f>
        <v>1</v>
      </c>
      <c r="L455" s="64" t="b">
        <f t="shared" si="2"/>
        <v>1</v>
      </c>
      <c r="M455" s="64" t="b">
        <f>IF(A455="","",COUNTIF(Targets!A:A,A455)&gt;1)</f>
        <v>0</v>
      </c>
      <c r="N455" s="64" t="b">
        <f>IF(A455="","",COUNTIF(States!A:A,A455)&gt;1)</f>
        <v>0</v>
      </c>
      <c r="O455" s="64" t="b">
        <f>IFERROR(__xludf.DUMMYFUNCTION("IF(
 B455="""",
 """",
 SWITCH(
  B455,
  ""BUILDING"",COUNTIF(Buildings!A:A,A455)&gt;0,
  ""CITADEL"",COUNTIF(Citadel!A:A,A455)&gt;0,
  ""COLLECTION"",COUNTIF(Collections!A:A,A455)&gt;0,
  ""CRAFTIFACT"",COUNTIF(Craftifacts!A:A,A455)&gt;0,
  ""QUEST"",
   COUNTIF(
 "&amp;"   Quests!A:A,
    REGEXREPLACE(A455,""\.(accepted|finished)$"","""")
   )&gt;0,
  ""TECH"",COUNTIF(Technologies!A:A,A455)&gt;0,
  ""STATE"",COUNTIF(States!A:A,A455)&gt;0,
  FALSE
 )
)"),TRUE)</f>
        <v>1</v>
      </c>
      <c r="P455" s="64" t="str">
        <f t="shared" si="3"/>
        <v>Good</v>
      </c>
      <c r="Q455" s="65"/>
      <c r="R455" s="65"/>
      <c r="S455" s="65"/>
      <c r="T455" s="65"/>
      <c r="U455" s="6"/>
      <c r="V455" s="6" t="str">
        <f>IFERROR(__xludf.DUMMYFUNCTION("""COMPUTED_VALUE"""),"state.meet_mech_adventurer_f1")</f>
        <v>state.meet_mech_adventurer_f1</v>
      </c>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row>
    <row r="456" ht="14.25" customHeight="1">
      <c r="A456" s="26" t="str">
        <f t="shared" si="1"/>
        <v>state.meet_mech_adventurer@2b</v>
      </c>
      <c r="B456" s="26" t="str">
        <f t="array" ref="B456">_xlfn.XLOOKUP(A456,Targets!A:A,Targets!C:C,"")</f>
        <v>STATE</v>
      </c>
      <c r="C456" s="64" t="b">
        <f>COUNTIF(Targets!A:A,A456)&gt;0</f>
        <v>1</v>
      </c>
      <c r="D456" s="64" t="b">
        <f>IF(
 OR(
  LEFT(A456,15)="state.character",
  RIGHT(A456,6)=".maxed"
 ),
 TRUE,
 COUNTIF(Checklist!A:A,A456)&gt;0
)</f>
        <v>1</v>
      </c>
      <c r="E456" s="64" t="b">
        <f>IF(
 OR(
  LEFT(A456,15)="state.character",
  RIGHT(A456,6)=".maxed",
  A456="building.guild@1",
  A456="quest.build_the_guild.accepted",
  A456="quest.build_the_pagoda.accepted"
 ),
 TRUE,
 COUNTIF(Dependencies!A:A,A456)&gt;0
)</f>
        <v>1</v>
      </c>
      <c r="F456" s="64" t="b">
        <f>COUNTIF(Dependencies!B:B,A456)&gt;0</f>
        <v>1</v>
      </c>
      <c r="G456" s="64" t="b">
        <f>COUNTIF(QuestObjectives!A:A,A456)&gt;0</f>
        <v>0</v>
      </c>
      <c r="H456" s="64" t="b">
        <f>COUNTIF(QuestObjectives!E:E,A456)&gt;0</f>
        <v>0</v>
      </c>
      <c r="I456" s="64" t="b">
        <f>COUNTIF(TargetStatus!A:A,A456)&gt;0</f>
        <v>1</v>
      </c>
      <c r="J456" s="64" t="b">
        <f>COUNTIF(CostStatus!B:B,A456)&gt;0</f>
        <v>0</v>
      </c>
      <c r="K456" s="64" t="b">
        <f>COUNTIF(States!A:A,A456)&gt;0</f>
        <v>1</v>
      </c>
      <c r="L456" s="64" t="b">
        <f t="shared" si="2"/>
        <v>1</v>
      </c>
      <c r="M456" s="64" t="b">
        <f>IF(A456="","",COUNTIF(Targets!A:A,A456)&gt;1)</f>
        <v>0</v>
      </c>
      <c r="N456" s="64" t="b">
        <f>IF(A456="","",COUNTIF(States!A:A,A456)&gt;1)</f>
        <v>0</v>
      </c>
      <c r="O456" s="64" t="b">
        <f>IFERROR(__xludf.DUMMYFUNCTION("IF(
 B456="""",
 """",
 SWITCH(
  B456,
  ""BUILDING"",COUNTIF(Buildings!A:A,A456)&gt;0,
  ""CITADEL"",COUNTIF(Citadel!A:A,A456)&gt;0,
  ""COLLECTION"",COUNTIF(Collections!A:A,A456)&gt;0,
  ""CRAFTIFACT"",COUNTIF(Craftifacts!A:A,A456)&gt;0,
  ""QUEST"",
   COUNTIF(
 "&amp;"   Quests!A:A,
    REGEXREPLACE(A456,""\.(accepted|finished)$"","""")
   )&gt;0,
  ""TECH"",COUNTIF(Technologies!A:A,A456)&gt;0,
  ""STATE"",COUNTIF(States!A:A,A456)&gt;0,
  FALSE
 )
)"),TRUE)</f>
        <v>1</v>
      </c>
      <c r="P456" s="64" t="str">
        <f t="shared" si="3"/>
        <v>Good</v>
      </c>
      <c r="Q456" s="65"/>
      <c r="R456" s="65"/>
      <c r="S456" s="65"/>
      <c r="T456" s="65"/>
      <c r="U456" s="6"/>
      <c r="V456" s="6" t="str">
        <f>IFERROR(__xludf.DUMMYFUNCTION("""COMPUTED_VALUE"""),"state.meet_mech_adventurer@2b")</f>
        <v>state.meet_mech_adventurer@2b</v>
      </c>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row>
    <row r="457" ht="14.25" customHeight="1">
      <c r="A457" s="26" t="str">
        <f t="shared" si="1"/>
        <v>state.meet_methusalem@f3</v>
      </c>
      <c r="B457" s="26" t="str">
        <f t="array" ref="B457">_xlfn.XLOOKUP(A457,Targets!A:A,Targets!C:C,"")</f>
        <v>STATE</v>
      </c>
      <c r="C457" s="64" t="b">
        <f>COUNTIF(Targets!A:A,A457)&gt;0</f>
        <v>1</v>
      </c>
      <c r="D457" s="64" t="b">
        <f>IF(
 OR(
  LEFT(A457,15)="state.character",
  RIGHT(A457,6)=".maxed"
 ),
 TRUE,
 COUNTIF(Checklist!A:A,A457)&gt;0
)</f>
        <v>1</v>
      </c>
      <c r="E457" s="64" t="b">
        <f>IF(
 OR(
  LEFT(A457,15)="state.character",
  RIGHT(A457,6)=".maxed",
  A457="building.guild@1",
  A457="quest.build_the_guild.accepted",
  A457="quest.build_the_pagoda.accepted"
 ),
 TRUE,
 COUNTIF(Dependencies!A:A,A457)&gt;0
)</f>
        <v>1</v>
      </c>
      <c r="F457" s="64" t="b">
        <f>COUNTIF(Dependencies!B:B,A457)&gt;0</f>
        <v>1</v>
      </c>
      <c r="G457" s="64" t="b">
        <f>COUNTIF(QuestObjectives!A:A,A457)&gt;0</f>
        <v>0</v>
      </c>
      <c r="H457" s="64" t="b">
        <f>COUNTIF(QuestObjectives!E:E,A457)&gt;0</f>
        <v>0</v>
      </c>
      <c r="I457" s="64" t="b">
        <f>COUNTIF(TargetStatus!A:A,A457)&gt;0</f>
        <v>1</v>
      </c>
      <c r="J457" s="64" t="b">
        <f>COUNTIF(CostStatus!B:B,A457)&gt;0</f>
        <v>0</v>
      </c>
      <c r="K457" s="64" t="b">
        <f>COUNTIF(States!A:A,A457)&gt;0</f>
        <v>1</v>
      </c>
      <c r="L457" s="64" t="b">
        <f t="shared" si="2"/>
        <v>1</v>
      </c>
      <c r="M457" s="64" t="b">
        <f>IF(A457="","",COUNTIF(Targets!A:A,A457)&gt;1)</f>
        <v>0</v>
      </c>
      <c r="N457" s="64" t="b">
        <f>IF(A457="","",COUNTIF(States!A:A,A457)&gt;1)</f>
        <v>0</v>
      </c>
      <c r="O457" s="64" t="b">
        <f>IFERROR(__xludf.DUMMYFUNCTION("IF(
 B457="""",
 """",
 SWITCH(
  B457,
  ""BUILDING"",COUNTIF(Buildings!A:A,A457)&gt;0,
  ""CITADEL"",COUNTIF(Citadel!A:A,A457)&gt;0,
  ""COLLECTION"",COUNTIF(Collections!A:A,A457)&gt;0,
  ""CRAFTIFACT"",COUNTIF(Craftifacts!A:A,A457)&gt;0,
  ""QUEST"",
   COUNTIF(
 "&amp;"   Quests!A:A,
    REGEXREPLACE(A457,""\.(accepted|finished)$"","""")
   )&gt;0,
  ""TECH"",COUNTIF(Technologies!A:A,A457)&gt;0,
  ""STATE"",COUNTIF(States!A:A,A457)&gt;0,
  FALSE
 )
)"),TRUE)</f>
        <v>1</v>
      </c>
      <c r="P457" s="64" t="str">
        <f t="shared" si="3"/>
        <v>Good</v>
      </c>
      <c r="Q457" s="65"/>
      <c r="R457" s="65"/>
      <c r="S457" s="65"/>
      <c r="T457" s="65"/>
      <c r="U457" s="6"/>
      <c r="V457" s="6" t="str">
        <f>IFERROR(__xludf.DUMMYFUNCTION("""COMPUTED_VALUE"""),"state.meet_methusalem@f3")</f>
        <v>state.meet_methusalem@f3</v>
      </c>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row>
    <row r="458" ht="14.25" customHeight="1">
      <c r="A458" s="26" t="str">
        <f t="shared" si="1"/>
        <v>state.meet_mr_diligence@f1</v>
      </c>
      <c r="B458" s="26" t="str">
        <f t="array" ref="B458">_xlfn.XLOOKUP(A458,Targets!A:A,Targets!C:C,"")</f>
        <v>STATE</v>
      </c>
      <c r="C458" s="64" t="b">
        <f>COUNTIF(Targets!A:A,A458)&gt;0</f>
        <v>1</v>
      </c>
      <c r="D458" s="64" t="b">
        <f>IF(
 OR(
  LEFT(A458,15)="state.character",
  RIGHT(A458,6)=".maxed"
 ),
 TRUE,
 COUNTIF(Checklist!A:A,A458)&gt;0
)</f>
        <v>1</v>
      </c>
      <c r="E458" s="64" t="b">
        <f>IF(
 OR(
  LEFT(A458,15)="state.character",
  RIGHT(A458,6)=".maxed",
  A458="building.guild@1",
  A458="quest.build_the_guild.accepted",
  A458="quest.build_the_pagoda.accepted"
 ),
 TRUE,
 COUNTIF(Dependencies!A:A,A458)&gt;0
)</f>
        <v>1</v>
      </c>
      <c r="F458" s="64" t="b">
        <f>COUNTIF(Dependencies!B:B,A458)&gt;0</f>
        <v>1</v>
      </c>
      <c r="G458" s="64" t="b">
        <f>COUNTIF(QuestObjectives!A:A,A458)&gt;0</f>
        <v>0</v>
      </c>
      <c r="H458" s="64" t="b">
        <f>COUNTIF(QuestObjectives!E:E,A458)&gt;0</f>
        <v>0</v>
      </c>
      <c r="I458" s="64" t="b">
        <f>COUNTIF(TargetStatus!A:A,A458)&gt;0</f>
        <v>1</v>
      </c>
      <c r="J458" s="64" t="b">
        <f>COUNTIF(CostStatus!B:B,A458)&gt;0</f>
        <v>0</v>
      </c>
      <c r="K458" s="64" t="b">
        <f>COUNTIF(States!A:A,A458)&gt;0</f>
        <v>1</v>
      </c>
      <c r="L458" s="64" t="b">
        <f t="shared" si="2"/>
        <v>1</v>
      </c>
      <c r="M458" s="64" t="b">
        <f>IF(A458="","",COUNTIF(Targets!A:A,A458)&gt;1)</f>
        <v>0</v>
      </c>
      <c r="N458" s="64" t="b">
        <f>IF(A458="","",COUNTIF(States!A:A,A458)&gt;1)</f>
        <v>0</v>
      </c>
      <c r="O458" s="64" t="b">
        <f>IFERROR(__xludf.DUMMYFUNCTION("IF(
 B458="""",
 """",
 SWITCH(
  B458,
  ""BUILDING"",COUNTIF(Buildings!A:A,A458)&gt;0,
  ""CITADEL"",COUNTIF(Citadel!A:A,A458)&gt;0,
  ""COLLECTION"",COUNTIF(Collections!A:A,A458)&gt;0,
  ""CRAFTIFACT"",COUNTIF(Craftifacts!A:A,A458)&gt;0,
  ""QUEST"",
   COUNTIF(
 "&amp;"   Quests!A:A,
    REGEXREPLACE(A458,""\.(accepted|finished)$"","""")
   )&gt;0,
  ""TECH"",COUNTIF(Technologies!A:A,A458)&gt;0,
  ""STATE"",COUNTIF(States!A:A,A458)&gt;0,
  FALSE
 )
)"),TRUE)</f>
        <v>1</v>
      </c>
      <c r="P458" s="64" t="str">
        <f t="shared" si="3"/>
        <v>Good</v>
      </c>
      <c r="Q458" s="65"/>
      <c r="R458" s="65"/>
      <c r="S458" s="65"/>
      <c r="T458" s="65"/>
      <c r="U458" s="6"/>
      <c r="V458" s="6" t="str">
        <f>IFERROR(__xludf.DUMMYFUNCTION("""COMPUTED_VALUE"""),"state.meet_mr_diligence@f1")</f>
        <v>state.meet_mr_diligence@f1</v>
      </c>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row>
    <row r="459" ht="14.25" customHeight="1">
      <c r="A459" s="26" t="str">
        <f t="shared" si="1"/>
        <v>state.meet_mrs_diligance@f2</v>
      </c>
      <c r="B459" s="26" t="str">
        <f t="array" ref="B459">_xlfn.XLOOKUP(A459,Targets!A:A,Targets!C:C,"")</f>
        <v>STATE</v>
      </c>
      <c r="C459" s="64" t="b">
        <f>COUNTIF(Targets!A:A,A459)&gt;0</f>
        <v>1</v>
      </c>
      <c r="D459" s="64" t="b">
        <f>IF(
 OR(
  LEFT(A459,15)="state.character",
  RIGHT(A459,6)=".maxed"
 ),
 TRUE,
 COUNTIF(Checklist!A:A,A459)&gt;0
)</f>
        <v>1</v>
      </c>
      <c r="E459" s="64" t="b">
        <f>IF(
 OR(
  LEFT(A459,15)="state.character",
  RIGHT(A459,6)=".maxed",
  A459="building.guild@1",
  A459="quest.build_the_guild.accepted",
  A459="quest.build_the_pagoda.accepted"
 ),
 TRUE,
 COUNTIF(Dependencies!A:A,A459)&gt;0
)</f>
        <v>1</v>
      </c>
      <c r="F459" s="64" t="b">
        <f>COUNTIF(Dependencies!B:B,A459)&gt;0</f>
        <v>1</v>
      </c>
      <c r="G459" s="64" t="b">
        <f>COUNTIF(QuestObjectives!A:A,A459)&gt;0</f>
        <v>0</v>
      </c>
      <c r="H459" s="64" t="b">
        <f>COUNTIF(QuestObjectives!E:E,A459)&gt;0</f>
        <v>0</v>
      </c>
      <c r="I459" s="64" t="b">
        <f>COUNTIF(TargetStatus!A:A,A459)&gt;0</f>
        <v>1</v>
      </c>
      <c r="J459" s="64" t="b">
        <f>COUNTIF(CostStatus!B:B,A459)&gt;0</f>
        <v>0</v>
      </c>
      <c r="K459" s="64" t="b">
        <f>COUNTIF(States!A:A,A459)&gt;0</f>
        <v>1</v>
      </c>
      <c r="L459" s="64" t="b">
        <f t="shared" si="2"/>
        <v>1</v>
      </c>
      <c r="M459" s="64" t="b">
        <f>IF(A459="","",COUNTIF(Targets!A:A,A459)&gt;1)</f>
        <v>0</v>
      </c>
      <c r="N459" s="64" t="b">
        <f>IF(A459="","",COUNTIF(States!A:A,A459)&gt;1)</f>
        <v>0</v>
      </c>
      <c r="O459" s="64" t="b">
        <f>IFERROR(__xludf.DUMMYFUNCTION("IF(
 B459="""",
 """",
 SWITCH(
  B459,
  ""BUILDING"",COUNTIF(Buildings!A:A,A459)&gt;0,
  ""CITADEL"",COUNTIF(Citadel!A:A,A459)&gt;0,
  ""COLLECTION"",COUNTIF(Collections!A:A,A459)&gt;0,
  ""CRAFTIFACT"",COUNTIF(Craftifacts!A:A,A459)&gt;0,
  ""QUEST"",
   COUNTIF(
 "&amp;"   Quests!A:A,
    REGEXREPLACE(A459,""\.(accepted|finished)$"","""")
   )&gt;0,
  ""TECH"",COUNTIF(Technologies!A:A,A459)&gt;0,
  ""STATE"",COUNTIF(States!A:A,A459)&gt;0,
  FALSE
 )
)"),TRUE)</f>
        <v>1</v>
      </c>
      <c r="P459" s="64" t="str">
        <f t="shared" si="3"/>
        <v>Good</v>
      </c>
      <c r="Q459" s="65"/>
      <c r="R459" s="65"/>
      <c r="S459" s="65"/>
      <c r="T459" s="65"/>
      <c r="U459" s="6"/>
      <c r="V459" s="6" t="str">
        <f>IFERROR(__xludf.DUMMYFUNCTION("""COMPUTED_VALUE"""),"state.meet_mrs_diligance@f2")</f>
        <v>state.meet_mrs_diligance@f2</v>
      </c>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row>
    <row r="460" ht="14.25" customHeight="1">
      <c r="A460" s="26" t="str">
        <f t="shared" si="1"/>
        <v>state.meet_old_man@4c</v>
      </c>
      <c r="B460" s="26" t="str">
        <f t="array" ref="B460">_xlfn.XLOOKUP(A460,Targets!A:A,Targets!C:C,"")</f>
        <v>STATE</v>
      </c>
      <c r="C460" s="64" t="b">
        <f>COUNTIF(Targets!A:A,A460)&gt;0</f>
        <v>1</v>
      </c>
      <c r="D460" s="64" t="b">
        <f>IF(
 OR(
  LEFT(A460,15)="state.character",
  RIGHT(A460,6)=".maxed"
 ),
 TRUE,
 COUNTIF(Checklist!A:A,A460)&gt;0
)</f>
        <v>1</v>
      </c>
      <c r="E460" s="64" t="b">
        <f>IF(
 OR(
  LEFT(A460,15)="state.character",
  RIGHT(A460,6)=".maxed",
  A460="building.guild@1",
  A460="quest.build_the_guild.accepted",
  A460="quest.build_the_pagoda.accepted"
 ),
 TRUE,
 COUNTIF(Dependencies!A:A,A460)&gt;0
)</f>
        <v>1</v>
      </c>
      <c r="F460" s="64" t="b">
        <f>COUNTIF(Dependencies!B:B,A460)&gt;0</f>
        <v>1</v>
      </c>
      <c r="G460" s="64" t="b">
        <f>COUNTIF(QuestObjectives!A:A,A460)&gt;0</f>
        <v>0</v>
      </c>
      <c r="H460" s="64" t="b">
        <f>COUNTIF(QuestObjectives!E:E,A460)&gt;0</f>
        <v>0</v>
      </c>
      <c r="I460" s="64" t="b">
        <f>COUNTIF(TargetStatus!A:A,A460)&gt;0</f>
        <v>1</v>
      </c>
      <c r="J460" s="64" t="b">
        <f>COUNTIF(CostStatus!B:B,A460)&gt;0</f>
        <v>0</v>
      </c>
      <c r="K460" s="64" t="b">
        <f>COUNTIF(States!A:A,A460)&gt;0</f>
        <v>1</v>
      </c>
      <c r="L460" s="64" t="b">
        <f t="shared" si="2"/>
        <v>1</v>
      </c>
      <c r="M460" s="64" t="b">
        <f>IF(A460="","",COUNTIF(Targets!A:A,A460)&gt;1)</f>
        <v>0</v>
      </c>
      <c r="N460" s="64" t="b">
        <f>IF(A460="","",COUNTIF(States!A:A,A460)&gt;1)</f>
        <v>0</v>
      </c>
      <c r="O460" s="64" t="b">
        <f>IFERROR(__xludf.DUMMYFUNCTION("IF(
 B460="""",
 """",
 SWITCH(
  B460,
  ""BUILDING"",COUNTIF(Buildings!A:A,A460)&gt;0,
  ""CITADEL"",COUNTIF(Citadel!A:A,A460)&gt;0,
  ""COLLECTION"",COUNTIF(Collections!A:A,A460)&gt;0,
  ""CRAFTIFACT"",COUNTIF(Craftifacts!A:A,A460)&gt;0,
  ""QUEST"",
   COUNTIF(
 "&amp;"   Quests!A:A,
    REGEXREPLACE(A460,""\.(accepted|finished)$"","""")
   )&gt;0,
  ""TECH"",COUNTIF(Technologies!A:A,A460)&gt;0,
  ""STATE"",COUNTIF(States!A:A,A460)&gt;0,
  FALSE
 )
)"),TRUE)</f>
        <v>1</v>
      </c>
      <c r="P460" s="64" t="str">
        <f t="shared" si="3"/>
        <v>Good</v>
      </c>
      <c r="Q460" s="65"/>
      <c r="R460" s="65"/>
      <c r="S460" s="65"/>
      <c r="T460" s="65"/>
      <c r="U460" s="6"/>
      <c r="V460" s="6" t="str">
        <f>IFERROR(__xludf.DUMMYFUNCTION("""COMPUTED_VALUE"""),"state.meet_old_man@4c")</f>
        <v>state.meet_old_man@4c</v>
      </c>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row>
    <row r="461" ht="14.25" customHeight="1">
      <c r="A461" s="26" t="str">
        <f t="shared" si="1"/>
        <v>state.meet_pilot@f3</v>
      </c>
      <c r="B461" s="26" t="str">
        <f t="array" ref="B461">_xlfn.XLOOKUP(A461,Targets!A:A,Targets!C:C,"")</f>
        <v>STATE</v>
      </c>
      <c r="C461" s="64" t="b">
        <f>COUNTIF(Targets!A:A,A461)&gt;0</f>
        <v>1</v>
      </c>
      <c r="D461" s="64" t="b">
        <f>IF(
 OR(
  LEFT(A461,15)="state.character",
  RIGHT(A461,6)=".maxed"
 ),
 TRUE,
 COUNTIF(Checklist!A:A,A461)&gt;0
)</f>
        <v>1</v>
      </c>
      <c r="E461" s="64" t="b">
        <f>IF(
 OR(
  LEFT(A461,15)="state.character",
  RIGHT(A461,6)=".maxed",
  A461="building.guild@1",
  A461="quest.build_the_guild.accepted",
  A461="quest.build_the_pagoda.accepted"
 ),
 TRUE,
 COUNTIF(Dependencies!A:A,A461)&gt;0
)</f>
        <v>1</v>
      </c>
      <c r="F461" s="64" t="b">
        <f>COUNTIF(Dependencies!B:B,A461)&gt;0</f>
        <v>1</v>
      </c>
      <c r="G461" s="64" t="b">
        <f>COUNTIF(QuestObjectives!A:A,A461)&gt;0</f>
        <v>0</v>
      </c>
      <c r="H461" s="64" t="b">
        <f>COUNTIF(QuestObjectives!E:E,A461)&gt;0</f>
        <v>0</v>
      </c>
      <c r="I461" s="64" t="b">
        <f>COUNTIF(TargetStatus!A:A,A461)&gt;0</f>
        <v>1</v>
      </c>
      <c r="J461" s="64" t="b">
        <f>COUNTIF(CostStatus!B:B,A461)&gt;0</f>
        <v>0</v>
      </c>
      <c r="K461" s="64" t="b">
        <f>COUNTIF(States!A:A,A461)&gt;0</f>
        <v>1</v>
      </c>
      <c r="L461" s="64" t="b">
        <f t="shared" si="2"/>
        <v>1</v>
      </c>
      <c r="M461" s="64" t="b">
        <f>IF(A461="","",COUNTIF(Targets!A:A,A461)&gt;1)</f>
        <v>0</v>
      </c>
      <c r="N461" s="64" t="b">
        <f>IF(A461="","",COUNTIF(States!A:A,A461)&gt;1)</f>
        <v>0</v>
      </c>
      <c r="O461" s="64" t="b">
        <f>IFERROR(__xludf.DUMMYFUNCTION("IF(
 B461="""",
 """",
 SWITCH(
  B461,
  ""BUILDING"",COUNTIF(Buildings!A:A,A461)&gt;0,
  ""CITADEL"",COUNTIF(Citadel!A:A,A461)&gt;0,
  ""COLLECTION"",COUNTIF(Collections!A:A,A461)&gt;0,
  ""CRAFTIFACT"",COUNTIF(Craftifacts!A:A,A461)&gt;0,
  ""QUEST"",
   COUNTIF(
 "&amp;"   Quests!A:A,
    REGEXREPLACE(A461,""\.(accepted|finished)$"","""")
   )&gt;0,
  ""TECH"",COUNTIF(Technologies!A:A,A461)&gt;0,
  ""STATE"",COUNTIF(States!A:A,A461)&gt;0,
  FALSE
 )
)"),TRUE)</f>
        <v>1</v>
      </c>
      <c r="P461" s="64" t="str">
        <f t="shared" si="3"/>
        <v>Good</v>
      </c>
      <c r="Q461" s="65"/>
      <c r="R461" s="65"/>
      <c r="S461" s="65"/>
      <c r="T461" s="65"/>
      <c r="U461" s="6"/>
      <c r="V461" s="6" t="str">
        <f>IFERROR(__xludf.DUMMYFUNCTION("""COMPUTED_VALUE"""),"state.meet_pilot@f3")</f>
        <v>state.meet_pilot@f3</v>
      </c>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row>
    <row r="462" ht="14.25" customHeight="1">
      <c r="A462" s="26" t="str">
        <f t="shared" si="1"/>
        <v>state.meet_pirate_skeleton@3a</v>
      </c>
      <c r="B462" s="26" t="str">
        <f t="array" ref="B462">_xlfn.XLOOKUP(A462,Targets!A:A,Targets!C:C,"")</f>
        <v>STATE</v>
      </c>
      <c r="C462" s="64" t="b">
        <f>COUNTIF(Targets!A:A,A462)&gt;0</f>
        <v>1</v>
      </c>
      <c r="D462" s="64" t="b">
        <f>IF(
 OR(
  LEFT(A462,15)="state.character",
  RIGHT(A462,6)=".maxed"
 ),
 TRUE,
 COUNTIF(Checklist!A:A,A462)&gt;0
)</f>
        <v>1</v>
      </c>
      <c r="E462" s="64" t="b">
        <f>IF(
 OR(
  LEFT(A462,15)="state.character",
  RIGHT(A462,6)=".maxed",
  A462="building.guild@1",
  A462="quest.build_the_guild.accepted",
  A462="quest.build_the_pagoda.accepted"
 ),
 TRUE,
 COUNTIF(Dependencies!A:A,A462)&gt;0
)</f>
        <v>1</v>
      </c>
      <c r="F462" s="64" t="b">
        <f>COUNTIF(Dependencies!B:B,A462)&gt;0</f>
        <v>1</v>
      </c>
      <c r="G462" s="64" t="b">
        <f>COUNTIF(QuestObjectives!A:A,A462)&gt;0</f>
        <v>0</v>
      </c>
      <c r="H462" s="64" t="b">
        <f>COUNTIF(QuestObjectives!E:E,A462)&gt;0</f>
        <v>0</v>
      </c>
      <c r="I462" s="64" t="b">
        <f>COUNTIF(TargetStatus!A:A,A462)&gt;0</f>
        <v>1</v>
      </c>
      <c r="J462" s="64" t="b">
        <f>COUNTIF(CostStatus!B:B,A462)&gt;0</f>
        <v>0</v>
      </c>
      <c r="K462" s="64" t="b">
        <f>COUNTIF(States!A:A,A462)&gt;0</f>
        <v>1</v>
      </c>
      <c r="L462" s="64" t="b">
        <f t="shared" si="2"/>
        <v>1</v>
      </c>
      <c r="M462" s="64" t="b">
        <f>IF(A462="","",COUNTIF(Targets!A:A,A462)&gt;1)</f>
        <v>0</v>
      </c>
      <c r="N462" s="64" t="b">
        <f>IF(A462="","",COUNTIF(States!A:A,A462)&gt;1)</f>
        <v>0</v>
      </c>
      <c r="O462" s="64" t="b">
        <f>IFERROR(__xludf.DUMMYFUNCTION("IF(
 B462="""",
 """",
 SWITCH(
  B462,
  ""BUILDING"",COUNTIF(Buildings!A:A,A462)&gt;0,
  ""CITADEL"",COUNTIF(Citadel!A:A,A462)&gt;0,
  ""COLLECTION"",COUNTIF(Collections!A:A,A462)&gt;0,
  ""CRAFTIFACT"",COUNTIF(Craftifacts!A:A,A462)&gt;0,
  ""QUEST"",
   COUNTIF(
 "&amp;"   Quests!A:A,
    REGEXREPLACE(A462,""\.(accepted|finished)$"","""")
   )&gt;0,
  ""TECH"",COUNTIF(Technologies!A:A,A462)&gt;0,
  ""STATE"",COUNTIF(States!A:A,A462)&gt;0,
  FALSE
 )
)"),TRUE)</f>
        <v>1</v>
      </c>
      <c r="P462" s="64" t="str">
        <f t="shared" si="3"/>
        <v>Good</v>
      </c>
      <c r="Q462" s="65"/>
      <c r="R462" s="65"/>
      <c r="S462" s="65"/>
      <c r="T462" s="65"/>
      <c r="U462" s="6"/>
      <c r="V462" s="6" t="str">
        <f>IFERROR(__xludf.DUMMYFUNCTION("""COMPUTED_VALUE"""),"state.meet_pirate_skeleton@3a")</f>
        <v>state.meet_pirate_skeleton@3a</v>
      </c>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row>
    <row r="463" ht="14.25" customHeight="1">
      <c r="A463" s="26" t="str">
        <f t="shared" si="1"/>
        <v>state.meet_raven@f1_first_time</v>
      </c>
      <c r="B463" s="26" t="str">
        <f t="array" ref="B463">_xlfn.XLOOKUP(A463,Targets!A:A,Targets!C:C,"")</f>
        <v>STATE</v>
      </c>
      <c r="C463" s="64" t="b">
        <f>COUNTIF(Targets!A:A,A463)&gt;0</f>
        <v>1</v>
      </c>
      <c r="D463" s="64" t="b">
        <f>IF(
 OR(
  LEFT(A463,15)="state.character",
  RIGHT(A463,6)=".maxed"
 ),
 TRUE,
 COUNTIF(Checklist!A:A,A463)&gt;0
)</f>
        <v>1</v>
      </c>
      <c r="E463" s="64" t="b">
        <f>IF(
 OR(
  LEFT(A463,15)="state.character",
  RIGHT(A463,6)=".maxed",
  A463="building.guild@1",
  A463="quest.build_the_guild.accepted",
  A463="quest.build_the_pagoda.accepted"
 ),
 TRUE,
 COUNTIF(Dependencies!A:A,A463)&gt;0
)</f>
        <v>1</v>
      </c>
      <c r="F463" s="64" t="b">
        <f>COUNTIF(Dependencies!B:B,A463)&gt;0</f>
        <v>1</v>
      </c>
      <c r="G463" s="64" t="b">
        <f>COUNTIF(QuestObjectives!A:A,A463)&gt;0</f>
        <v>0</v>
      </c>
      <c r="H463" s="64" t="b">
        <f>COUNTIF(QuestObjectives!E:E,A463)&gt;0</f>
        <v>0</v>
      </c>
      <c r="I463" s="64" t="b">
        <f>COUNTIF(TargetStatus!A:A,A463)&gt;0</f>
        <v>1</v>
      </c>
      <c r="J463" s="64" t="b">
        <f>COUNTIF(CostStatus!B:B,A463)&gt;0</f>
        <v>0</v>
      </c>
      <c r="K463" s="64" t="b">
        <f>COUNTIF(States!A:A,A463)&gt;0</f>
        <v>1</v>
      </c>
      <c r="L463" s="64" t="b">
        <f t="shared" si="2"/>
        <v>1</v>
      </c>
      <c r="M463" s="64" t="b">
        <f>IF(A463="","",COUNTIF(Targets!A:A,A463)&gt;1)</f>
        <v>0</v>
      </c>
      <c r="N463" s="64" t="b">
        <f>IF(A463="","",COUNTIF(States!A:A,A463)&gt;1)</f>
        <v>0</v>
      </c>
      <c r="O463" s="64" t="b">
        <f>IFERROR(__xludf.DUMMYFUNCTION("IF(
 B463="""",
 """",
 SWITCH(
  B463,
  ""BUILDING"",COUNTIF(Buildings!A:A,A463)&gt;0,
  ""CITADEL"",COUNTIF(Citadel!A:A,A463)&gt;0,
  ""COLLECTION"",COUNTIF(Collections!A:A,A463)&gt;0,
  ""CRAFTIFACT"",COUNTIF(Craftifacts!A:A,A463)&gt;0,
  ""QUEST"",
   COUNTIF(
 "&amp;"   Quests!A:A,
    REGEXREPLACE(A463,""\.(accepted|finished)$"","""")
   )&gt;0,
  ""TECH"",COUNTIF(Technologies!A:A,A463)&gt;0,
  ""STATE"",COUNTIF(States!A:A,A463)&gt;0,
  FALSE
 )
)"),TRUE)</f>
        <v>1</v>
      </c>
      <c r="P463" s="64" t="str">
        <f t="shared" si="3"/>
        <v>Good</v>
      </c>
      <c r="Q463" s="65"/>
      <c r="R463" s="65"/>
      <c r="S463" s="65"/>
      <c r="T463" s="65"/>
      <c r="U463" s="6"/>
      <c r="V463" s="6" t="str">
        <f>IFERROR(__xludf.DUMMYFUNCTION("""COMPUTED_VALUE"""),"state.meet_raven@f1_first_time")</f>
        <v>state.meet_raven@f1_first_time</v>
      </c>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row>
    <row r="464" ht="14.25" customHeight="1">
      <c r="A464" s="26" t="str">
        <f t="shared" si="1"/>
        <v>state.meet_raven@f1_second_time</v>
      </c>
      <c r="B464" s="26" t="str">
        <f t="array" ref="B464">_xlfn.XLOOKUP(A464,Targets!A:A,Targets!C:C,"")</f>
        <v>STATE</v>
      </c>
      <c r="C464" s="64" t="b">
        <f>COUNTIF(Targets!A:A,A464)&gt;0</f>
        <v>1</v>
      </c>
      <c r="D464" s="64" t="b">
        <f>IF(
 OR(
  LEFT(A464,15)="state.character",
  RIGHT(A464,6)=".maxed"
 ),
 TRUE,
 COUNTIF(Checklist!A:A,A464)&gt;0
)</f>
        <v>1</v>
      </c>
      <c r="E464" s="64" t="b">
        <f>IF(
 OR(
  LEFT(A464,15)="state.character",
  RIGHT(A464,6)=".maxed",
  A464="building.guild@1",
  A464="quest.build_the_guild.accepted",
  A464="quest.build_the_pagoda.accepted"
 ),
 TRUE,
 COUNTIF(Dependencies!A:A,A464)&gt;0
)</f>
        <v>1</v>
      </c>
      <c r="F464" s="64" t="b">
        <f>COUNTIF(Dependencies!B:B,A464)&gt;0</f>
        <v>1</v>
      </c>
      <c r="G464" s="64" t="b">
        <f>COUNTIF(QuestObjectives!A:A,A464)&gt;0</f>
        <v>0</v>
      </c>
      <c r="H464" s="64" t="b">
        <f>COUNTIF(QuestObjectives!E:E,A464)&gt;0</f>
        <v>0</v>
      </c>
      <c r="I464" s="64" t="b">
        <f>COUNTIF(TargetStatus!A:A,A464)&gt;0</f>
        <v>1</v>
      </c>
      <c r="J464" s="64" t="b">
        <f>COUNTIF(CostStatus!B:B,A464)&gt;0</f>
        <v>0</v>
      </c>
      <c r="K464" s="64" t="b">
        <f>COUNTIF(States!A:A,A464)&gt;0</f>
        <v>1</v>
      </c>
      <c r="L464" s="64" t="b">
        <f t="shared" si="2"/>
        <v>1</v>
      </c>
      <c r="M464" s="64" t="b">
        <f>IF(A464="","",COUNTIF(Targets!A:A,A464)&gt;1)</f>
        <v>0</v>
      </c>
      <c r="N464" s="64" t="b">
        <f>IF(A464="","",COUNTIF(States!A:A,A464)&gt;1)</f>
        <v>0</v>
      </c>
      <c r="O464" s="64" t="b">
        <f>IFERROR(__xludf.DUMMYFUNCTION("IF(
 B464="""",
 """",
 SWITCH(
  B464,
  ""BUILDING"",COUNTIF(Buildings!A:A,A464)&gt;0,
  ""CITADEL"",COUNTIF(Citadel!A:A,A464)&gt;0,
  ""COLLECTION"",COUNTIF(Collections!A:A,A464)&gt;0,
  ""CRAFTIFACT"",COUNTIF(Craftifacts!A:A,A464)&gt;0,
  ""QUEST"",
   COUNTIF(
 "&amp;"   Quests!A:A,
    REGEXREPLACE(A464,""\.(accepted|finished)$"","""")
   )&gt;0,
  ""TECH"",COUNTIF(Technologies!A:A,A464)&gt;0,
  ""STATE"",COUNTIF(States!A:A,A464)&gt;0,
  FALSE
 )
)"),TRUE)</f>
        <v>1</v>
      </c>
      <c r="P464" s="64" t="str">
        <f t="shared" si="3"/>
        <v>Good</v>
      </c>
      <c r="Q464" s="65"/>
      <c r="R464" s="65"/>
      <c r="S464" s="65"/>
      <c r="T464" s="65"/>
      <c r="U464" s="6"/>
      <c r="V464" s="6" t="str">
        <f>IFERROR(__xludf.DUMMYFUNCTION("""COMPUTED_VALUE"""),"state.meet_raven@f1_second_time")</f>
        <v>state.meet_raven@f1_second_time</v>
      </c>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row>
    <row r="465" ht="14.25" customHeight="1">
      <c r="A465" s="26" t="str">
        <f t="shared" si="1"/>
        <v>state.meet_raven@f1_third_time</v>
      </c>
      <c r="B465" s="26" t="str">
        <f t="array" ref="B465">_xlfn.XLOOKUP(A465,Targets!A:A,Targets!C:C,"")</f>
        <v>STATE</v>
      </c>
      <c r="C465" s="64" t="b">
        <f>COUNTIF(Targets!A:A,A465)&gt;0</f>
        <v>1</v>
      </c>
      <c r="D465" s="64" t="b">
        <f>IF(
 OR(
  LEFT(A465,15)="state.character",
  RIGHT(A465,6)=".maxed"
 ),
 TRUE,
 COUNTIF(Checklist!A:A,A465)&gt;0
)</f>
        <v>1</v>
      </c>
      <c r="E465" s="64" t="b">
        <f>IF(
 OR(
  LEFT(A465,15)="state.character",
  RIGHT(A465,6)=".maxed",
  A465="building.guild@1",
  A465="quest.build_the_guild.accepted",
  A465="quest.build_the_pagoda.accepted"
 ),
 TRUE,
 COUNTIF(Dependencies!A:A,A465)&gt;0
)</f>
        <v>1</v>
      </c>
      <c r="F465" s="64" t="b">
        <f>COUNTIF(Dependencies!B:B,A465)&gt;0</f>
        <v>1</v>
      </c>
      <c r="G465" s="64" t="b">
        <f>COUNTIF(QuestObjectives!A:A,A465)&gt;0</f>
        <v>0</v>
      </c>
      <c r="H465" s="64" t="b">
        <f>COUNTIF(QuestObjectives!E:E,A465)&gt;0</f>
        <v>0</v>
      </c>
      <c r="I465" s="64" t="b">
        <f>COUNTIF(TargetStatus!A:A,A465)&gt;0</f>
        <v>1</v>
      </c>
      <c r="J465" s="64" t="b">
        <f>COUNTIF(CostStatus!B:B,A465)&gt;0</f>
        <v>0</v>
      </c>
      <c r="K465" s="64" t="b">
        <f>COUNTIF(States!A:A,A465)&gt;0</f>
        <v>1</v>
      </c>
      <c r="L465" s="64" t="b">
        <f t="shared" si="2"/>
        <v>1</v>
      </c>
      <c r="M465" s="64" t="b">
        <f>IF(A465="","",COUNTIF(Targets!A:A,A465)&gt;1)</f>
        <v>0</v>
      </c>
      <c r="N465" s="64" t="b">
        <f>IF(A465="","",COUNTIF(States!A:A,A465)&gt;1)</f>
        <v>0</v>
      </c>
      <c r="O465" s="64" t="b">
        <f>IFERROR(__xludf.DUMMYFUNCTION("IF(
 B465="""",
 """",
 SWITCH(
  B465,
  ""BUILDING"",COUNTIF(Buildings!A:A,A465)&gt;0,
  ""CITADEL"",COUNTIF(Citadel!A:A,A465)&gt;0,
  ""COLLECTION"",COUNTIF(Collections!A:A,A465)&gt;0,
  ""CRAFTIFACT"",COUNTIF(Craftifacts!A:A,A465)&gt;0,
  ""QUEST"",
   COUNTIF(
 "&amp;"   Quests!A:A,
    REGEXREPLACE(A465,""\.(accepted|finished)$"","""")
   )&gt;0,
  ""TECH"",COUNTIF(Technologies!A:A,A465)&gt;0,
  ""STATE"",COUNTIF(States!A:A,A465)&gt;0,
  FALSE
 )
)"),TRUE)</f>
        <v>1</v>
      </c>
      <c r="P465" s="64" t="str">
        <f t="shared" si="3"/>
        <v>Good</v>
      </c>
      <c r="Q465" s="65"/>
      <c r="R465" s="65"/>
      <c r="S465" s="65"/>
      <c r="T465" s="65"/>
      <c r="U465" s="6"/>
      <c r="V465" s="6" t="str">
        <f>IFERROR(__xludf.DUMMYFUNCTION("""COMPUTED_VALUE"""),"state.meet_raven@f1_third_time")</f>
        <v>state.meet_raven@f1_third_time</v>
      </c>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row>
    <row r="466" ht="14.25" customHeight="1">
      <c r="A466" s="26" t="str">
        <f t="shared" si="1"/>
        <v>state.meet_raven@f2</v>
      </c>
      <c r="B466" s="26" t="str">
        <f t="array" ref="B466">_xlfn.XLOOKUP(A466,Targets!A:A,Targets!C:C,"")</f>
        <v>STATE</v>
      </c>
      <c r="C466" s="64" t="b">
        <f>COUNTIF(Targets!A:A,A466)&gt;0</f>
        <v>1</v>
      </c>
      <c r="D466" s="64" t="b">
        <f>IF(
 OR(
  LEFT(A466,15)="state.character",
  RIGHT(A466,6)=".maxed"
 ),
 TRUE,
 COUNTIF(Checklist!A:A,A466)&gt;0
)</f>
        <v>1</v>
      </c>
      <c r="E466" s="64" t="b">
        <f>IF(
 OR(
  LEFT(A466,15)="state.character",
  RIGHT(A466,6)=".maxed",
  A466="building.guild@1",
  A466="quest.build_the_guild.accepted",
  A466="quest.build_the_pagoda.accepted"
 ),
 TRUE,
 COUNTIF(Dependencies!A:A,A466)&gt;0
)</f>
        <v>1</v>
      </c>
      <c r="F466" s="64" t="b">
        <f>COUNTIF(Dependencies!B:B,A466)&gt;0</f>
        <v>0</v>
      </c>
      <c r="G466" s="64" t="b">
        <f>COUNTIF(QuestObjectives!A:A,A466)&gt;0</f>
        <v>0</v>
      </c>
      <c r="H466" s="64" t="b">
        <f>COUNTIF(QuestObjectives!E:E,A466)&gt;0</f>
        <v>1</v>
      </c>
      <c r="I466" s="64" t="b">
        <f>COUNTIF(TargetStatus!A:A,A466)&gt;0</f>
        <v>1</v>
      </c>
      <c r="J466" s="64" t="b">
        <f>COUNTIF(CostStatus!B:B,A466)&gt;0</f>
        <v>0</v>
      </c>
      <c r="K466" s="64" t="b">
        <f>COUNTIF(States!A:A,A466)&gt;0</f>
        <v>1</v>
      </c>
      <c r="L466" s="64" t="b">
        <f t="shared" si="2"/>
        <v>1</v>
      </c>
      <c r="M466" s="64" t="b">
        <f>IF(A466="","",COUNTIF(Targets!A:A,A466)&gt;1)</f>
        <v>0</v>
      </c>
      <c r="N466" s="64" t="b">
        <f>IF(A466="","",COUNTIF(States!A:A,A466)&gt;1)</f>
        <v>0</v>
      </c>
      <c r="O466" s="64" t="b">
        <f>IFERROR(__xludf.DUMMYFUNCTION("IF(
 B466="""",
 """",
 SWITCH(
  B466,
  ""BUILDING"",COUNTIF(Buildings!A:A,A466)&gt;0,
  ""CITADEL"",COUNTIF(Citadel!A:A,A466)&gt;0,
  ""COLLECTION"",COUNTIF(Collections!A:A,A466)&gt;0,
  ""CRAFTIFACT"",COUNTIF(Craftifacts!A:A,A466)&gt;0,
  ""QUEST"",
   COUNTIF(
 "&amp;"   Quests!A:A,
    REGEXREPLACE(A466,""\.(accepted|finished)$"","""")
   )&gt;0,
  ""TECH"",COUNTIF(Technologies!A:A,A466)&gt;0,
  ""STATE"",COUNTIF(States!A:A,A466)&gt;0,
  FALSE
 )
)"),TRUE)</f>
        <v>1</v>
      </c>
      <c r="P466" s="64" t="str">
        <f t="shared" si="3"/>
        <v>Good</v>
      </c>
      <c r="Q466" s="65"/>
      <c r="R466" s="65"/>
      <c r="S466" s="65"/>
      <c r="T466" s="65"/>
      <c r="U466" s="6"/>
      <c r="V466" s="6" t="str">
        <f>IFERROR(__xludf.DUMMYFUNCTION("""COMPUTED_VALUE"""),"state.meet_raven@f2")</f>
        <v>state.meet_raven@f2</v>
      </c>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row>
    <row r="467" ht="14.25" customHeight="1">
      <c r="A467" s="26" t="str">
        <f t="shared" si="1"/>
        <v>state.meet_raven@f3</v>
      </c>
      <c r="B467" s="26" t="str">
        <f t="array" ref="B467">_xlfn.XLOOKUP(A467,Targets!A:A,Targets!C:C,"")</f>
        <v>STATE</v>
      </c>
      <c r="C467" s="64" t="b">
        <f>COUNTIF(Targets!A:A,A467)&gt;0</f>
        <v>1</v>
      </c>
      <c r="D467" s="64" t="b">
        <f>IF(
 OR(
  LEFT(A467,15)="state.character",
  RIGHT(A467,6)=".maxed"
 ),
 TRUE,
 COUNTIF(Checklist!A:A,A467)&gt;0
)</f>
        <v>1</v>
      </c>
      <c r="E467" s="64" t="b">
        <f>IF(
 OR(
  LEFT(A467,15)="state.character",
  RIGHT(A467,6)=".maxed",
  A467="building.guild@1",
  A467="quest.build_the_guild.accepted",
  A467="quest.build_the_pagoda.accepted"
 ),
 TRUE,
 COUNTIF(Dependencies!A:A,A467)&gt;0
)</f>
        <v>1</v>
      </c>
      <c r="F467" s="64" t="b">
        <f>COUNTIF(Dependencies!B:B,A467)&gt;0</f>
        <v>1</v>
      </c>
      <c r="G467" s="64" t="b">
        <f>COUNTIF(QuestObjectives!A:A,A467)&gt;0</f>
        <v>0</v>
      </c>
      <c r="H467" s="64" t="b">
        <f>COUNTIF(QuestObjectives!E:E,A467)&gt;0</f>
        <v>0</v>
      </c>
      <c r="I467" s="64" t="b">
        <f>COUNTIF(TargetStatus!A:A,A467)&gt;0</f>
        <v>1</v>
      </c>
      <c r="J467" s="64" t="b">
        <f>COUNTIF(CostStatus!B:B,A467)&gt;0</f>
        <v>0</v>
      </c>
      <c r="K467" s="64" t="b">
        <f>COUNTIF(States!A:A,A467)&gt;0</f>
        <v>1</v>
      </c>
      <c r="L467" s="64" t="b">
        <f t="shared" si="2"/>
        <v>1</v>
      </c>
      <c r="M467" s="64" t="b">
        <f>IF(A467="","",COUNTIF(Targets!A:A,A467)&gt;1)</f>
        <v>0</v>
      </c>
      <c r="N467" s="64" t="b">
        <f>IF(A467="","",COUNTIF(States!A:A,A467)&gt;1)</f>
        <v>0</v>
      </c>
      <c r="O467" s="64" t="b">
        <f>IFERROR(__xludf.DUMMYFUNCTION("IF(
 B467="""",
 """",
 SWITCH(
  B467,
  ""BUILDING"",COUNTIF(Buildings!A:A,A467)&gt;0,
  ""CITADEL"",COUNTIF(Citadel!A:A,A467)&gt;0,
  ""COLLECTION"",COUNTIF(Collections!A:A,A467)&gt;0,
  ""CRAFTIFACT"",COUNTIF(Craftifacts!A:A,A467)&gt;0,
  ""QUEST"",
   COUNTIF(
 "&amp;"   Quests!A:A,
    REGEXREPLACE(A467,""\.(accepted|finished)$"","""")
   )&gt;0,
  ""TECH"",COUNTIF(Technologies!A:A,A467)&gt;0,
  ""STATE"",COUNTIF(States!A:A,A467)&gt;0,
  FALSE
 )
)"),TRUE)</f>
        <v>1</v>
      </c>
      <c r="P467" s="64" t="str">
        <f t="shared" si="3"/>
        <v>Good</v>
      </c>
      <c r="Q467" s="65"/>
      <c r="R467" s="65"/>
      <c r="S467" s="65"/>
      <c r="T467" s="65"/>
      <c r="U467" s="6"/>
      <c r="V467" s="6" t="str">
        <f>IFERROR(__xludf.DUMMYFUNCTION("""COMPUTED_VALUE"""),"state.meet_raven@f3")</f>
        <v>state.meet_raven@f3</v>
      </c>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row>
    <row r="468" ht="14.25" customHeight="1">
      <c r="A468" s="26" t="str">
        <f t="shared" si="1"/>
        <v>state.meet_royal_rat@6b</v>
      </c>
      <c r="B468" s="26" t="str">
        <f t="array" ref="B468">_xlfn.XLOOKUP(A468,Targets!A:A,Targets!C:C,"")</f>
        <v>STATE</v>
      </c>
      <c r="C468" s="64" t="b">
        <f>COUNTIF(Targets!A:A,A468)&gt;0</f>
        <v>1</v>
      </c>
      <c r="D468" s="64" t="b">
        <f>IF(
 OR(
  LEFT(A468,15)="state.character",
  RIGHT(A468,6)=".maxed"
 ),
 TRUE,
 COUNTIF(Checklist!A:A,A468)&gt;0
)</f>
        <v>1</v>
      </c>
      <c r="E468" s="64" t="b">
        <f>IF(
 OR(
  LEFT(A468,15)="state.character",
  RIGHT(A468,6)=".maxed",
  A468="building.guild@1",
  A468="quest.build_the_guild.accepted",
  A468="quest.build_the_pagoda.accepted"
 ),
 TRUE,
 COUNTIF(Dependencies!A:A,A468)&gt;0
)</f>
        <v>1</v>
      </c>
      <c r="F468" s="64" t="b">
        <f>COUNTIF(Dependencies!B:B,A468)&gt;0</f>
        <v>1</v>
      </c>
      <c r="G468" s="64" t="b">
        <f>COUNTIF(QuestObjectives!A:A,A468)&gt;0</f>
        <v>0</v>
      </c>
      <c r="H468" s="64" t="b">
        <f>COUNTIF(QuestObjectives!E:E,A468)&gt;0</f>
        <v>0</v>
      </c>
      <c r="I468" s="64" t="b">
        <f>COUNTIF(TargetStatus!A:A,A468)&gt;0</f>
        <v>1</v>
      </c>
      <c r="J468" s="64" t="b">
        <f>COUNTIF(CostStatus!B:B,A468)&gt;0</f>
        <v>0</v>
      </c>
      <c r="K468" s="64" t="b">
        <f>COUNTIF(States!A:A,A468)&gt;0</f>
        <v>1</v>
      </c>
      <c r="L468" s="64" t="b">
        <f t="shared" si="2"/>
        <v>1</v>
      </c>
      <c r="M468" s="64" t="b">
        <f>IF(A468="","",COUNTIF(Targets!A:A,A468)&gt;1)</f>
        <v>0</v>
      </c>
      <c r="N468" s="64" t="b">
        <f>IF(A468="","",COUNTIF(States!A:A,A468)&gt;1)</f>
        <v>0</v>
      </c>
      <c r="O468" s="64" t="b">
        <f>IFERROR(__xludf.DUMMYFUNCTION("IF(
 B468="""",
 """",
 SWITCH(
  B468,
  ""BUILDING"",COUNTIF(Buildings!A:A,A468)&gt;0,
  ""CITADEL"",COUNTIF(Citadel!A:A,A468)&gt;0,
  ""COLLECTION"",COUNTIF(Collections!A:A,A468)&gt;0,
  ""CRAFTIFACT"",COUNTIF(Craftifacts!A:A,A468)&gt;0,
  ""QUEST"",
   COUNTIF(
 "&amp;"   Quests!A:A,
    REGEXREPLACE(A468,""\.(accepted|finished)$"","""")
   )&gt;0,
  ""TECH"",COUNTIF(Technologies!A:A,A468)&gt;0,
  ""STATE"",COUNTIF(States!A:A,A468)&gt;0,
  FALSE
 )
)"),TRUE)</f>
        <v>1</v>
      </c>
      <c r="P468" s="64" t="str">
        <f t="shared" si="3"/>
        <v>Good</v>
      </c>
      <c r="Q468" s="65"/>
      <c r="R468" s="65"/>
      <c r="S468" s="65"/>
      <c r="T468" s="65"/>
      <c r="U468" s="6"/>
      <c r="V468" s="6" t="str">
        <f>IFERROR(__xludf.DUMMYFUNCTION("""COMPUTED_VALUE"""),"state.meet_royal_rat@6b")</f>
        <v>state.meet_royal_rat@6b</v>
      </c>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row>
    <row r="469" ht="14.25" customHeight="1">
      <c r="A469" s="26" t="str">
        <f t="shared" si="1"/>
        <v>state.meet_samurai_panda@6a</v>
      </c>
      <c r="B469" s="26" t="str">
        <f t="array" ref="B469">_xlfn.XLOOKUP(A469,Targets!A:A,Targets!C:C,"")</f>
        <v>STATE</v>
      </c>
      <c r="C469" s="64" t="b">
        <f>COUNTIF(Targets!A:A,A469)&gt;0</f>
        <v>1</v>
      </c>
      <c r="D469" s="64" t="b">
        <f>IF(
 OR(
  LEFT(A469,15)="state.character",
  RIGHT(A469,6)=".maxed"
 ),
 TRUE,
 COUNTIF(Checklist!A:A,A469)&gt;0
)</f>
        <v>1</v>
      </c>
      <c r="E469" s="64" t="b">
        <f>IF(
 OR(
  LEFT(A469,15)="state.character",
  RIGHT(A469,6)=".maxed",
  A469="building.guild@1",
  A469="quest.build_the_guild.accepted",
  A469="quest.build_the_pagoda.accepted"
 ),
 TRUE,
 COUNTIF(Dependencies!A:A,A469)&gt;0
)</f>
        <v>1</v>
      </c>
      <c r="F469" s="64" t="b">
        <f>COUNTIF(Dependencies!B:B,A469)&gt;0</f>
        <v>1</v>
      </c>
      <c r="G469" s="64" t="b">
        <f>COUNTIF(QuestObjectives!A:A,A469)&gt;0</f>
        <v>0</v>
      </c>
      <c r="H469" s="64" t="b">
        <f>COUNTIF(QuestObjectives!E:E,A469)&gt;0</f>
        <v>0</v>
      </c>
      <c r="I469" s="64" t="b">
        <f>COUNTIF(TargetStatus!A:A,A469)&gt;0</f>
        <v>1</v>
      </c>
      <c r="J469" s="64" t="b">
        <f>COUNTIF(CostStatus!B:B,A469)&gt;0</f>
        <v>0</v>
      </c>
      <c r="K469" s="64" t="b">
        <f>COUNTIF(States!A:A,A469)&gt;0</f>
        <v>1</v>
      </c>
      <c r="L469" s="64" t="b">
        <f t="shared" si="2"/>
        <v>1</v>
      </c>
      <c r="M469" s="64" t="b">
        <f>IF(A469="","",COUNTIF(Targets!A:A,A469)&gt;1)</f>
        <v>0</v>
      </c>
      <c r="N469" s="64" t="b">
        <f>IF(A469="","",COUNTIF(States!A:A,A469)&gt;1)</f>
        <v>0</v>
      </c>
      <c r="O469" s="64" t="b">
        <f>IFERROR(__xludf.DUMMYFUNCTION("IF(
 B469="""",
 """",
 SWITCH(
  B469,
  ""BUILDING"",COUNTIF(Buildings!A:A,A469)&gt;0,
  ""CITADEL"",COUNTIF(Citadel!A:A,A469)&gt;0,
  ""COLLECTION"",COUNTIF(Collections!A:A,A469)&gt;0,
  ""CRAFTIFACT"",COUNTIF(Craftifacts!A:A,A469)&gt;0,
  ""QUEST"",
   COUNTIF(
 "&amp;"   Quests!A:A,
    REGEXREPLACE(A469,""\.(accepted|finished)$"","""")
   )&gt;0,
  ""TECH"",COUNTIF(Technologies!A:A,A469)&gt;0,
  ""STATE"",COUNTIF(States!A:A,A469)&gt;0,
  FALSE
 )
)"),TRUE)</f>
        <v>1</v>
      </c>
      <c r="P469" s="64" t="str">
        <f t="shared" si="3"/>
        <v>Good</v>
      </c>
      <c r="Q469" s="65"/>
      <c r="R469" s="65"/>
      <c r="S469" s="65"/>
      <c r="T469" s="65"/>
      <c r="U469" s="6"/>
      <c r="V469" s="6" t="str">
        <f>IFERROR(__xludf.DUMMYFUNCTION("""COMPUTED_VALUE"""),"state.meet_samurai_panda@6a")</f>
        <v>state.meet_samurai_panda@6a</v>
      </c>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row>
    <row r="470" ht="14.25" customHeight="1">
      <c r="A470" s="26" t="str">
        <f t="shared" si="1"/>
        <v>state.meet_traveling_merchant@1b</v>
      </c>
      <c r="B470" s="26" t="str">
        <f t="array" ref="B470">_xlfn.XLOOKUP(A470,Targets!A:A,Targets!C:C,"")</f>
        <v>STATE</v>
      </c>
      <c r="C470" s="64" t="b">
        <f>COUNTIF(Targets!A:A,A470)&gt;0</f>
        <v>1</v>
      </c>
      <c r="D470" s="64" t="b">
        <f>IF(
 OR(
  LEFT(A470,15)="state.character",
  RIGHT(A470,6)=".maxed"
 ),
 TRUE,
 COUNTIF(Checklist!A:A,A470)&gt;0
)</f>
        <v>1</v>
      </c>
      <c r="E470" s="64" t="b">
        <f>IF(
 OR(
  LEFT(A470,15)="state.character",
  RIGHT(A470,6)=".maxed",
  A470="building.guild@1",
  A470="quest.build_the_guild.accepted",
  A470="quest.build_the_pagoda.accepted"
 ),
 TRUE,
 COUNTIF(Dependencies!A:A,A470)&gt;0
)</f>
        <v>1</v>
      </c>
      <c r="F470" s="64" t="b">
        <f>COUNTIF(Dependencies!B:B,A470)&gt;0</f>
        <v>1</v>
      </c>
      <c r="G470" s="64" t="b">
        <f>COUNTIF(QuestObjectives!A:A,A470)&gt;0</f>
        <v>0</v>
      </c>
      <c r="H470" s="64" t="b">
        <f>COUNTIF(QuestObjectives!E:E,A470)&gt;0</f>
        <v>0</v>
      </c>
      <c r="I470" s="64" t="b">
        <f>COUNTIF(TargetStatus!A:A,A470)&gt;0</f>
        <v>1</v>
      </c>
      <c r="J470" s="64" t="b">
        <f>COUNTIF(CostStatus!B:B,A470)&gt;0</f>
        <v>0</v>
      </c>
      <c r="K470" s="64" t="b">
        <f>COUNTIF(States!A:A,A470)&gt;0</f>
        <v>1</v>
      </c>
      <c r="L470" s="64" t="b">
        <f t="shared" si="2"/>
        <v>1</v>
      </c>
      <c r="M470" s="64" t="b">
        <f>IF(A470="","",COUNTIF(Targets!A:A,A470)&gt;1)</f>
        <v>0</v>
      </c>
      <c r="N470" s="64" t="b">
        <f>IF(A470="","",COUNTIF(States!A:A,A470)&gt;1)</f>
        <v>0</v>
      </c>
      <c r="O470" s="64" t="b">
        <f>IFERROR(__xludf.DUMMYFUNCTION("IF(
 B470="""",
 """",
 SWITCH(
  B470,
  ""BUILDING"",COUNTIF(Buildings!A:A,A470)&gt;0,
  ""CITADEL"",COUNTIF(Citadel!A:A,A470)&gt;0,
  ""COLLECTION"",COUNTIF(Collections!A:A,A470)&gt;0,
  ""CRAFTIFACT"",COUNTIF(Craftifacts!A:A,A470)&gt;0,
  ""QUEST"",
   COUNTIF(
 "&amp;"   Quests!A:A,
    REGEXREPLACE(A470,""\.(accepted|finished)$"","""")
   )&gt;0,
  ""TECH"",COUNTIF(Technologies!A:A,A470)&gt;0,
  ""STATE"",COUNTIF(States!A:A,A470)&gt;0,
  FALSE
 )
)"),TRUE)</f>
        <v>1</v>
      </c>
      <c r="P470" s="64" t="str">
        <f t="shared" si="3"/>
        <v>Good</v>
      </c>
      <c r="Q470" s="65"/>
      <c r="R470" s="65"/>
      <c r="S470" s="65"/>
      <c r="T470" s="65"/>
      <c r="U470" s="6"/>
      <c r="V470" s="6" t="str">
        <f>IFERROR(__xludf.DUMMYFUNCTION("""COMPUTED_VALUE"""),"state.meet_traveling_merchant@1b")</f>
        <v>state.meet_traveling_merchant@1b</v>
      </c>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row>
    <row r="471" ht="14.25" customHeight="1">
      <c r="A471" s="26" t="str">
        <f t="shared" si="1"/>
        <v>state.obtain_8_malu</v>
      </c>
      <c r="B471" s="26" t="str">
        <f t="array" ref="B471">_xlfn.XLOOKUP(A471,Targets!A:A,Targets!C:C,"")</f>
        <v>STATE</v>
      </c>
      <c r="C471" s="64" t="b">
        <f>COUNTIF(Targets!A:A,A471)&gt;0</f>
        <v>1</v>
      </c>
      <c r="D471" s="64" t="b">
        <f>IF(
 OR(
  LEFT(A471,15)="state.character",
  RIGHT(A471,6)=".maxed"
 ),
 TRUE,
 COUNTIF(Checklist!A:A,A471)&gt;0
)</f>
        <v>1</v>
      </c>
      <c r="E471" s="64" t="b">
        <f>IF(
 OR(
  LEFT(A471,15)="state.character",
  RIGHT(A471,6)=".maxed",
  A471="building.guild@1",
  A471="quest.build_the_guild.accepted",
  A471="quest.build_the_pagoda.accepted"
 ),
 TRUE,
 COUNTIF(Dependencies!A:A,A471)&gt;0
)</f>
        <v>1</v>
      </c>
      <c r="F471" s="64" t="b">
        <f>COUNTIF(Dependencies!B:B,A471)&gt;0</f>
        <v>0</v>
      </c>
      <c r="G471" s="64" t="b">
        <f>COUNTIF(QuestObjectives!A:A,A471)&gt;0</f>
        <v>0</v>
      </c>
      <c r="H471" s="64" t="b">
        <f>COUNTIF(QuestObjectives!E:E,A471)&gt;0</f>
        <v>1</v>
      </c>
      <c r="I471" s="64" t="b">
        <f>COUNTIF(TargetStatus!A:A,A471)&gt;0</f>
        <v>1</v>
      </c>
      <c r="J471" s="64" t="b">
        <f>COUNTIF(CostStatus!B:B,A471)&gt;0</f>
        <v>0</v>
      </c>
      <c r="K471" s="64" t="b">
        <f>COUNTIF(States!A:A,A471)&gt;0</f>
        <v>1</v>
      </c>
      <c r="L471" s="64" t="b">
        <f t="shared" si="2"/>
        <v>1</v>
      </c>
      <c r="M471" s="64" t="b">
        <f>IF(A471="","",COUNTIF(Targets!A:A,A471)&gt;1)</f>
        <v>0</v>
      </c>
      <c r="N471" s="64" t="b">
        <f>IF(A471="","",COUNTIF(States!A:A,A471)&gt;1)</f>
        <v>0</v>
      </c>
      <c r="O471" s="64" t="b">
        <f>IFERROR(__xludf.DUMMYFUNCTION("IF(
 B471="""",
 """",
 SWITCH(
  B471,
  ""BUILDING"",COUNTIF(Buildings!A:A,A471)&gt;0,
  ""CITADEL"",COUNTIF(Citadel!A:A,A471)&gt;0,
  ""COLLECTION"",COUNTIF(Collections!A:A,A471)&gt;0,
  ""CRAFTIFACT"",COUNTIF(Craftifacts!A:A,A471)&gt;0,
  ""QUEST"",
   COUNTIF(
 "&amp;"   Quests!A:A,
    REGEXREPLACE(A471,""\.(accepted|finished)$"","""")
   )&gt;0,
  ""TECH"",COUNTIF(Technologies!A:A,A471)&gt;0,
  ""STATE"",COUNTIF(States!A:A,A471)&gt;0,
  FALSE
 )
)"),TRUE)</f>
        <v>1</v>
      </c>
      <c r="P471" s="64" t="str">
        <f t="shared" si="3"/>
        <v>Good</v>
      </c>
      <c r="Q471" s="65"/>
      <c r="R471" s="65"/>
      <c r="S471" s="65"/>
      <c r="T471" s="65"/>
      <c r="U471" s="6"/>
      <c r="V471" s="6" t="str">
        <f>IFERROR(__xludf.DUMMYFUNCTION("""COMPUTED_VALUE"""),"state.obtain_8_malu")</f>
        <v>state.obtain_8_malu</v>
      </c>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row>
    <row r="472" ht="14.25" customHeight="1">
      <c r="A472" s="26" t="str">
        <f t="shared" si="1"/>
        <v>state.obtain_all_emerald_shards</v>
      </c>
      <c r="B472" s="26" t="str">
        <f t="array" ref="B472">_xlfn.XLOOKUP(A472,Targets!A:A,Targets!C:C,"")</f>
        <v>STATE</v>
      </c>
      <c r="C472" s="64" t="b">
        <f>COUNTIF(Targets!A:A,A472)&gt;0</f>
        <v>1</v>
      </c>
      <c r="D472" s="64" t="b">
        <f>IF(
 OR(
  LEFT(A472,15)="state.character",
  RIGHT(A472,6)=".maxed"
 ),
 TRUE,
 COUNTIF(Checklist!A:A,A472)&gt;0
)</f>
        <v>1</v>
      </c>
      <c r="E472" s="64" t="b">
        <f>IF(
 OR(
  LEFT(A472,15)="state.character",
  RIGHT(A472,6)=".maxed",
  A472="building.guild@1",
  A472="quest.build_the_guild.accepted",
  A472="quest.build_the_pagoda.accepted"
 ),
 TRUE,
 COUNTIF(Dependencies!A:A,A472)&gt;0
)</f>
        <v>1</v>
      </c>
      <c r="F472" s="64" t="b">
        <f>COUNTIF(Dependencies!B:B,A472)&gt;0</f>
        <v>0</v>
      </c>
      <c r="G472" s="64" t="b">
        <f>COUNTIF(QuestObjectives!A:A,A472)&gt;0</f>
        <v>0</v>
      </c>
      <c r="H472" s="64" t="b">
        <f>COUNTIF(QuestObjectives!E:E,A472)&gt;0</f>
        <v>1</v>
      </c>
      <c r="I472" s="64" t="b">
        <f>COUNTIF(TargetStatus!A:A,A472)&gt;0</f>
        <v>1</v>
      </c>
      <c r="J472" s="64" t="b">
        <f>COUNTIF(CostStatus!B:B,A472)&gt;0</f>
        <v>0</v>
      </c>
      <c r="K472" s="64" t="b">
        <f>COUNTIF(States!A:A,A472)&gt;0</f>
        <v>1</v>
      </c>
      <c r="L472" s="64" t="b">
        <f t="shared" si="2"/>
        <v>1</v>
      </c>
      <c r="M472" s="64" t="b">
        <f>IF(A472="","",COUNTIF(Targets!A:A,A472)&gt;1)</f>
        <v>0</v>
      </c>
      <c r="N472" s="64" t="b">
        <f>IF(A472="","",COUNTIF(States!A:A,A472)&gt;1)</f>
        <v>0</v>
      </c>
      <c r="O472" s="64" t="b">
        <f>IFERROR(__xludf.DUMMYFUNCTION("IF(
 B472="""",
 """",
 SWITCH(
  B472,
  ""BUILDING"",COUNTIF(Buildings!A:A,A472)&gt;0,
  ""CITADEL"",COUNTIF(Citadel!A:A,A472)&gt;0,
  ""COLLECTION"",COUNTIF(Collections!A:A,A472)&gt;0,
  ""CRAFTIFACT"",COUNTIF(Craftifacts!A:A,A472)&gt;0,
  ""QUEST"",
   COUNTIF(
 "&amp;"   Quests!A:A,
    REGEXREPLACE(A472,""\.(accepted|finished)$"","""")
   )&gt;0,
  ""TECH"",COUNTIF(Technologies!A:A,A472)&gt;0,
  ""STATE"",COUNTIF(States!A:A,A472)&gt;0,
  FALSE
 )
)"),TRUE)</f>
        <v>1</v>
      </c>
      <c r="P472" s="64" t="str">
        <f t="shared" si="3"/>
        <v>Good</v>
      </c>
      <c r="Q472" s="65"/>
      <c r="R472" s="65"/>
      <c r="S472" s="65"/>
      <c r="T472" s="65"/>
      <c r="U472" s="6"/>
      <c r="V472" s="6" t="str">
        <f>IFERROR(__xludf.DUMMYFUNCTION("""COMPUTED_VALUE"""),"state.obtain_all_emerald_shards")</f>
        <v>state.obtain_all_emerald_shards</v>
      </c>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row>
    <row r="473" ht="14.25" customHeight="1">
      <c r="A473" s="26" t="str">
        <f t="shared" si="1"/>
        <v>state.obtain_any_artifact</v>
      </c>
      <c r="B473" s="26" t="str">
        <f t="array" ref="B473">_xlfn.XLOOKUP(A473,Targets!A:A,Targets!C:C,"")</f>
        <v>STATE</v>
      </c>
      <c r="C473" s="64" t="b">
        <f>COUNTIF(Targets!A:A,A473)&gt;0</f>
        <v>1</v>
      </c>
      <c r="D473" s="64" t="b">
        <f>IF(
 OR(
  LEFT(A473,15)="state.character",
  RIGHT(A473,6)=".maxed"
 ),
 TRUE,
 COUNTIF(Checklist!A:A,A473)&gt;0
)</f>
        <v>1</v>
      </c>
      <c r="E473" s="64" t="b">
        <f>IF(
 OR(
  LEFT(A473,15)="state.character",
  RIGHT(A473,6)=".maxed",
  A473="building.guild@1",
  A473="quest.build_the_guild.accepted",
  A473="quest.build_the_pagoda.accepted"
 ),
 TRUE,
 COUNTIF(Dependencies!A:A,A473)&gt;0
)</f>
        <v>1</v>
      </c>
      <c r="F473" s="64" t="b">
        <f>COUNTIF(Dependencies!B:B,A473)&gt;0</f>
        <v>1</v>
      </c>
      <c r="G473" s="64" t="b">
        <f>COUNTIF(QuestObjectives!A:A,A473)&gt;0</f>
        <v>0</v>
      </c>
      <c r="H473" s="64" t="b">
        <f>COUNTIF(QuestObjectives!E:E,A473)&gt;0</f>
        <v>0</v>
      </c>
      <c r="I473" s="64" t="b">
        <f>COUNTIF(TargetStatus!A:A,A473)&gt;0</f>
        <v>1</v>
      </c>
      <c r="J473" s="64" t="b">
        <f>COUNTIF(CostStatus!B:B,A473)&gt;0</f>
        <v>0</v>
      </c>
      <c r="K473" s="64" t="b">
        <f>COUNTIF(States!A:A,A473)&gt;0</f>
        <v>1</v>
      </c>
      <c r="L473" s="64" t="b">
        <f t="shared" si="2"/>
        <v>1</v>
      </c>
      <c r="M473" s="64" t="b">
        <f>IF(A473="","",COUNTIF(Targets!A:A,A473)&gt;1)</f>
        <v>0</v>
      </c>
      <c r="N473" s="64" t="b">
        <f>IF(A473="","",COUNTIF(States!A:A,A473)&gt;1)</f>
        <v>0</v>
      </c>
      <c r="O473" s="64" t="b">
        <f>IFERROR(__xludf.DUMMYFUNCTION("IF(
 B473="""",
 """",
 SWITCH(
  B473,
  ""BUILDING"",COUNTIF(Buildings!A:A,A473)&gt;0,
  ""CITADEL"",COUNTIF(Citadel!A:A,A473)&gt;0,
  ""COLLECTION"",COUNTIF(Collections!A:A,A473)&gt;0,
  ""CRAFTIFACT"",COUNTIF(Craftifacts!A:A,A473)&gt;0,
  ""QUEST"",
   COUNTIF(
 "&amp;"   Quests!A:A,
    REGEXREPLACE(A473,""\.(accepted|finished)$"","""")
   )&gt;0,
  ""TECH"",COUNTIF(Technologies!A:A,A473)&gt;0,
  ""STATE"",COUNTIF(States!A:A,A473)&gt;0,
  FALSE
 )
)"),TRUE)</f>
        <v>1</v>
      </c>
      <c r="P473" s="64" t="str">
        <f t="shared" si="3"/>
        <v>Good</v>
      </c>
      <c r="Q473" s="65"/>
      <c r="R473" s="65"/>
      <c r="S473" s="65"/>
      <c r="T473" s="65"/>
      <c r="U473" s="6"/>
      <c r="V473" s="6" t="str">
        <f>IFERROR(__xludf.DUMMYFUNCTION("""COMPUTED_VALUE"""),"state.obtain_any_artifact")</f>
        <v>state.obtain_any_artifact</v>
      </c>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row>
    <row r="474" ht="14.25" customHeight="1">
      <c r="A474" s="26" t="str">
        <f t="shared" si="1"/>
        <v>state.obtain_armor4</v>
      </c>
      <c r="B474" s="26" t="str">
        <f t="array" ref="B474">_xlfn.XLOOKUP(A474,Targets!A:A,Targets!C:C,"")</f>
        <v>STATE</v>
      </c>
      <c r="C474" s="64" t="b">
        <f>COUNTIF(Targets!A:A,A474)&gt;0</f>
        <v>1</v>
      </c>
      <c r="D474" s="64" t="b">
        <f>IF(
 OR(
  LEFT(A474,15)="state.character",
  RIGHT(A474,6)=".maxed"
 ),
 TRUE,
 COUNTIF(Checklist!A:A,A474)&gt;0
)</f>
        <v>1</v>
      </c>
      <c r="E474" s="64" t="b">
        <f>IF(
 OR(
  LEFT(A474,15)="state.character",
  RIGHT(A474,6)=".maxed",
  A474="building.guild@1",
  A474="quest.build_the_guild.accepted",
  A474="quest.build_the_pagoda.accepted"
 ),
 TRUE,
 COUNTIF(Dependencies!A:A,A474)&gt;0
)</f>
        <v>1</v>
      </c>
      <c r="F474" s="64" t="b">
        <f>COUNTIF(Dependencies!B:B,A474)&gt;0</f>
        <v>0</v>
      </c>
      <c r="G474" s="64" t="b">
        <f>COUNTIF(QuestObjectives!A:A,A474)&gt;0</f>
        <v>0</v>
      </c>
      <c r="H474" s="64" t="b">
        <f>COUNTIF(QuestObjectives!E:E,A474)&gt;0</f>
        <v>1</v>
      </c>
      <c r="I474" s="64" t="b">
        <f>COUNTIF(TargetStatus!A:A,A474)&gt;0</f>
        <v>1</v>
      </c>
      <c r="J474" s="64" t="b">
        <f>COUNTIF(CostStatus!B:B,A474)&gt;0</f>
        <v>0</v>
      </c>
      <c r="K474" s="64" t="b">
        <f>COUNTIF(States!A:A,A474)&gt;0</f>
        <v>1</v>
      </c>
      <c r="L474" s="64" t="b">
        <f t="shared" si="2"/>
        <v>1</v>
      </c>
      <c r="M474" s="64" t="b">
        <f>IF(A474="","",COUNTIF(Targets!A:A,A474)&gt;1)</f>
        <v>0</v>
      </c>
      <c r="N474" s="64" t="b">
        <f>IF(A474="","",COUNTIF(States!A:A,A474)&gt;1)</f>
        <v>0</v>
      </c>
      <c r="O474" s="64" t="b">
        <f>IFERROR(__xludf.DUMMYFUNCTION("IF(
 B474="""",
 """",
 SWITCH(
  B474,
  ""BUILDING"",COUNTIF(Buildings!A:A,A474)&gt;0,
  ""CITADEL"",COUNTIF(Citadel!A:A,A474)&gt;0,
  ""COLLECTION"",COUNTIF(Collections!A:A,A474)&gt;0,
  ""CRAFTIFACT"",COUNTIF(Craftifacts!A:A,A474)&gt;0,
  ""QUEST"",
   COUNTIF(
 "&amp;"   Quests!A:A,
    REGEXREPLACE(A474,""\.(accepted|finished)$"","""")
   )&gt;0,
  ""TECH"",COUNTIF(Technologies!A:A,A474)&gt;0,
  ""STATE"",COUNTIF(States!A:A,A474)&gt;0,
  FALSE
 )
)"),TRUE)</f>
        <v>1</v>
      </c>
      <c r="P474" s="64" t="str">
        <f t="shared" si="3"/>
        <v>Good</v>
      </c>
      <c r="Q474" s="65"/>
      <c r="R474" s="65"/>
      <c r="S474" s="65"/>
      <c r="T474" s="65"/>
      <c r="U474" s="6"/>
      <c r="V474" s="6" t="str">
        <f>IFERROR(__xludf.DUMMYFUNCTION("""COMPUTED_VALUE"""),"state.obtain_armor4")</f>
        <v>state.obtain_armor4</v>
      </c>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row>
    <row r="475" ht="14.25" customHeight="1">
      <c r="A475" s="26" t="str">
        <f t="shared" si="1"/>
        <v>state.obtain_armor4+</v>
      </c>
      <c r="B475" s="26" t="str">
        <f t="array" ref="B475">_xlfn.XLOOKUP(A475,Targets!A:A,Targets!C:C,"")</f>
        <v>STATE</v>
      </c>
      <c r="C475" s="64" t="b">
        <f>COUNTIF(Targets!A:A,A475)&gt;0</f>
        <v>1</v>
      </c>
      <c r="D475" s="64" t="b">
        <f>IF(
 OR(
  LEFT(A475,15)="state.character",
  RIGHT(A475,6)=".maxed"
 ),
 TRUE,
 COUNTIF(Checklist!A:A,A475)&gt;0
)</f>
        <v>1</v>
      </c>
      <c r="E475" s="64" t="b">
        <f>IF(
 OR(
  LEFT(A475,15)="state.character",
  RIGHT(A475,6)=".maxed",
  A475="building.guild@1",
  A475="quest.build_the_guild.accepted",
  A475="quest.build_the_pagoda.accepted"
 ),
 TRUE,
 COUNTIF(Dependencies!A:A,A475)&gt;0
)</f>
        <v>1</v>
      </c>
      <c r="F475" s="64" t="b">
        <f>COUNTIF(Dependencies!B:B,A475)&gt;0</f>
        <v>0</v>
      </c>
      <c r="G475" s="64" t="b">
        <f>COUNTIF(QuestObjectives!A:A,A475)&gt;0</f>
        <v>0</v>
      </c>
      <c r="H475" s="64" t="b">
        <f>COUNTIF(QuestObjectives!E:E,A475)&gt;0</f>
        <v>1</v>
      </c>
      <c r="I475" s="64" t="b">
        <f>COUNTIF(TargetStatus!A:A,A475)&gt;0</f>
        <v>1</v>
      </c>
      <c r="J475" s="64" t="b">
        <f>COUNTIF(CostStatus!B:B,A475)&gt;0</f>
        <v>0</v>
      </c>
      <c r="K475" s="64" t="b">
        <f>COUNTIF(States!A:A,A475)&gt;0</f>
        <v>1</v>
      </c>
      <c r="L475" s="64" t="b">
        <f t="shared" si="2"/>
        <v>1</v>
      </c>
      <c r="M475" s="64" t="b">
        <f>IF(A475="","",COUNTIF(Targets!A:A,A475)&gt;1)</f>
        <v>0</v>
      </c>
      <c r="N475" s="64" t="b">
        <f>IF(A475="","",COUNTIF(States!A:A,A475)&gt;1)</f>
        <v>0</v>
      </c>
      <c r="O475" s="64" t="b">
        <f>IFERROR(__xludf.DUMMYFUNCTION("IF(
 B475="""",
 """",
 SWITCH(
  B475,
  ""BUILDING"",COUNTIF(Buildings!A:A,A475)&gt;0,
  ""CITADEL"",COUNTIF(Citadel!A:A,A475)&gt;0,
  ""COLLECTION"",COUNTIF(Collections!A:A,A475)&gt;0,
  ""CRAFTIFACT"",COUNTIF(Craftifacts!A:A,A475)&gt;0,
  ""QUEST"",
   COUNTIF(
 "&amp;"   Quests!A:A,
    REGEXREPLACE(A475,""\.(accepted|finished)$"","""")
   )&gt;0,
  ""TECH"",COUNTIF(Technologies!A:A,A475)&gt;0,
  ""STATE"",COUNTIF(States!A:A,A475)&gt;0,
  FALSE
 )
)"),TRUE)</f>
        <v>1</v>
      </c>
      <c r="P475" s="64" t="str">
        <f t="shared" si="3"/>
        <v>Good</v>
      </c>
      <c r="Q475" s="65"/>
      <c r="R475" s="65"/>
      <c r="S475" s="65"/>
      <c r="T475" s="65"/>
      <c r="U475" s="6"/>
      <c r="V475" s="6" t="str">
        <f>IFERROR(__xludf.DUMMYFUNCTION("""COMPUTED_VALUE"""),"state.obtain_armor4+")</f>
        <v>state.obtain_armor4+</v>
      </c>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row>
    <row r="476" ht="14.25" customHeight="1">
      <c r="A476" s="26" t="str">
        <f t="shared" si="1"/>
        <v>state.obtain_black_pearl</v>
      </c>
      <c r="B476" s="26" t="str">
        <f t="array" ref="B476">_xlfn.XLOOKUP(A476,Targets!A:A,Targets!C:C,"")</f>
        <v>STATE</v>
      </c>
      <c r="C476" s="64" t="b">
        <f>COUNTIF(Targets!A:A,A476)&gt;0</f>
        <v>1</v>
      </c>
      <c r="D476" s="64" t="b">
        <f>IF(
 OR(
  LEFT(A476,15)="state.character",
  RIGHT(A476,6)=".maxed"
 ),
 TRUE,
 COUNTIF(Checklist!A:A,A476)&gt;0
)</f>
        <v>1</v>
      </c>
      <c r="E476" s="64" t="b">
        <f>IF(
 OR(
  LEFT(A476,15)="state.character",
  RIGHT(A476,6)=".maxed",
  A476="building.guild@1",
  A476="quest.build_the_guild.accepted",
  A476="quest.build_the_pagoda.accepted"
 ),
 TRUE,
 COUNTIF(Dependencies!A:A,A476)&gt;0
)</f>
        <v>1</v>
      </c>
      <c r="F476" s="64" t="b">
        <f>COUNTIF(Dependencies!B:B,A476)&gt;0</f>
        <v>0</v>
      </c>
      <c r="G476" s="64" t="b">
        <f>COUNTIF(QuestObjectives!A:A,A476)&gt;0</f>
        <v>0</v>
      </c>
      <c r="H476" s="64" t="b">
        <f>COUNTIF(QuestObjectives!E:E,A476)&gt;0</f>
        <v>1</v>
      </c>
      <c r="I476" s="64" t="b">
        <f>COUNTIF(TargetStatus!A:A,A476)&gt;0</f>
        <v>1</v>
      </c>
      <c r="J476" s="64" t="b">
        <f>COUNTIF(CostStatus!B:B,A476)&gt;0</f>
        <v>0</v>
      </c>
      <c r="K476" s="64" t="b">
        <f>COUNTIF(States!A:A,A476)&gt;0</f>
        <v>0</v>
      </c>
      <c r="L476" s="64" t="b">
        <f t="shared" si="2"/>
        <v>1</v>
      </c>
      <c r="M476" s="64" t="b">
        <f>IF(A476="","",COUNTIF(Targets!A:A,A476)&gt;1)</f>
        <v>0</v>
      </c>
      <c r="N476" s="64" t="b">
        <f>IF(A476="","",COUNTIF(States!A:A,A476)&gt;1)</f>
        <v>0</v>
      </c>
      <c r="O476" s="64" t="b">
        <f>IFERROR(__xludf.DUMMYFUNCTION("IF(
 B476="""",
 """",
 SWITCH(
  B476,
  ""BUILDING"",COUNTIF(Buildings!A:A,A476)&gt;0,
  ""CITADEL"",COUNTIF(Citadel!A:A,A476)&gt;0,
  ""COLLECTION"",COUNTIF(Collections!A:A,A476)&gt;0,
  ""CRAFTIFACT"",COUNTIF(Craftifacts!A:A,A476)&gt;0,
  ""QUEST"",
   COUNTIF(
 "&amp;"   Quests!A:A,
    REGEXREPLACE(A476,""\.(accepted|finished)$"","""")
   )&gt;0,
  ""TECH"",COUNTIF(Technologies!A:A,A476)&gt;0,
  ""STATE"",COUNTIF(States!A:A,A476)&gt;0,
  FALSE
 )
)"),FALSE)</f>
        <v>0</v>
      </c>
      <c r="P476" s="64" t="str">
        <f t="shared" si="3"/>
        <v>Good</v>
      </c>
      <c r="Q476" s="65"/>
      <c r="R476" s="65"/>
      <c r="S476" s="65"/>
      <c r="T476" s="65"/>
      <c r="U476" s="6"/>
      <c r="V476" s="6" t="str">
        <f>IFERROR(__xludf.DUMMYFUNCTION("""COMPUTED_VALUE"""),"state.obtain_black_pearl")</f>
        <v>state.obtain_black_pearl</v>
      </c>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row>
    <row r="477" ht="14.25" customHeight="1">
      <c r="A477" s="26" t="str">
        <f t="shared" si="1"/>
        <v>state.obtain_Black_Pearl</v>
      </c>
      <c r="B477" s="26" t="str">
        <f t="array" ref="B477">_xlfn.XLOOKUP(A477,Targets!A:A,Targets!C:C,"")</f>
        <v>STATE</v>
      </c>
      <c r="C477" s="64" t="b">
        <f>COUNTIF(Targets!A:A,A477)&gt;0</f>
        <v>1</v>
      </c>
      <c r="D477" s="64" t="b">
        <f>IF(
 OR(
  LEFT(A477,15)="state.character",
  RIGHT(A477,6)=".maxed"
 ),
 TRUE,
 COUNTIF(Checklist!A:A,A477)&gt;0
)</f>
        <v>1</v>
      </c>
      <c r="E477" s="64" t="b">
        <f>IF(
 OR(
  LEFT(A477,15)="state.character",
  RIGHT(A477,6)=".maxed",
  A477="building.guild@1",
  A477="quest.build_the_guild.accepted",
  A477="quest.build_the_pagoda.accepted"
 ),
 TRUE,
 COUNTIF(Dependencies!A:A,A477)&gt;0
)</f>
        <v>1</v>
      </c>
      <c r="F477" s="64" t="b">
        <f>COUNTIF(Dependencies!B:B,A477)&gt;0</f>
        <v>0</v>
      </c>
      <c r="G477" s="64" t="b">
        <f>COUNTIF(QuestObjectives!A:A,A477)&gt;0</f>
        <v>0</v>
      </c>
      <c r="H477" s="64" t="b">
        <f>COUNTIF(QuestObjectives!E:E,A477)&gt;0</f>
        <v>1</v>
      </c>
      <c r="I477" s="64" t="b">
        <f>COUNTIF(TargetStatus!A:A,A477)&gt;0</f>
        <v>1</v>
      </c>
      <c r="J477" s="64" t="b">
        <f>COUNTIF(CostStatus!B:B,A477)&gt;0</f>
        <v>0</v>
      </c>
      <c r="K477" s="64" t="b">
        <f>COUNTIF(States!A:A,A477)&gt;0</f>
        <v>0</v>
      </c>
      <c r="L477" s="64" t="b">
        <f t="shared" si="2"/>
        <v>1</v>
      </c>
      <c r="M477" s="64" t="b">
        <f>IF(A477="","",COUNTIF(Targets!A:A,A477)&gt;1)</f>
        <v>0</v>
      </c>
      <c r="N477" s="64" t="b">
        <f>IF(A477="","",COUNTIF(States!A:A,A477)&gt;1)</f>
        <v>0</v>
      </c>
      <c r="O477" s="64" t="b">
        <f>IFERROR(__xludf.DUMMYFUNCTION("IF(
 B477="""",
 """",
 SWITCH(
  B477,
  ""BUILDING"",COUNTIF(Buildings!A:A,A477)&gt;0,
  ""CITADEL"",COUNTIF(Citadel!A:A,A477)&gt;0,
  ""COLLECTION"",COUNTIF(Collections!A:A,A477)&gt;0,
  ""CRAFTIFACT"",COUNTIF(Craftifacts!A:A,A477)&gt;0,
  ""QUEST"",
   COUNTIF(
 "&amp;"   Quests!A:A,
    REGEXREPLACE(A477,""\.(accepted|finished)$"","""")
   )&gt;0,
  ""TECH"",COUNTIF(Technologies!A:A,A477)&gt;0,
  ""STATE"",COUNTIF(States!A:A,A477)&gt;0,
  FALSE
 )
)"),FALSE)</f>
        <v>0</v>
      </c>
      <c r="P477" s="64" t="str">
        <f t="shared" si="3"/>
        <v>Good</v>
      </c>
      <c r="Q477" s="65"/>
      <c r="R477" s="65"/>
      <c r="S477" s="65"/>
      <c r="T477" s="65"/>
      <c r="U477" s="6"/>
      <c r="V477" s="6" t="str">
        <f>IFERROR(__xludf.DUMMYFUNCTION("""COMPUTED_VALUE"""),"state.obtain_Black_Pearl")</f>
        <v>state.obtain_Black_Pearl</v>
      </c>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row>
    <row r="478" ht="14.25" customHeight="1">
      <c r="A478" s="26" t="str">
        <f t="shared" si="1"/>
        <v>state.obtain_blueprint</v>
      </c>
      <c r="B478" s="26" t="str">
        <f t="array" ref="B478">_xlfn.XLOOKUP(A478,Targets!A:A,Targets!C:C,"")</f>
        <v>STATE</v>
      </c>
      <c r="C478" s="64" t="b">
        <f>COUNTIF(Targets!A:A,A478)&gt;0</f>
        <v>1</v>
      </c>
      <c r="D478" s="64" t="b">
        <f>IF(
 OR(
  LEFT(A478,15)="state.character",
  RIGHT(A478,6)=".maxed"
 ),
 TRUE,
 COUNTIF(Checklist!A:A,A478)&gt;0
)</f>
        <v>1</v>
      </c>
      <c r="E478" s="64" t="b">
        <f>IF(
 OR(
  LEFT(A478,15)="state.character",
  RIGHT(A478,6)=".maxed",
  A478="building.guild@1",
  A478="quest.build_the_guild.accepted",
  A478="quest.build_the_pagoda.accepted"
 ),
 TRUE,
 COUNTIF(Dependencies!A:A,A478)&gt;0
)</f>
        <v>1</v>
      </c>
      <c r="F478" s="64" t="b">
        <f>COUNTIF(Dependencies!B:B,A478)&gt;0</f>
        <v>0</v>
      </c>
      <c r="G478" s="64" t="b">
        <f>COUNTIF(QuestObjectives!A:A,A478)&gt;0</f>
        <v>0</v>
      </c>
      <c r="H478" s="64" t="b">
        <f>COUNTIF(QuestObjectives!E:E,A478)&gt;0</f>
        <v>1</v>
      </c>
      <c r="I478" s="64" t="b">
        <f>COUNTIF(TargetStatus!A:A,A478)&gt;0</f>
        <v>1</v>
      </c>
      <c r="J478" s="64" t="b">
        <f>COUNTIF(CostStatus!B:B,A478)&gt;0</f>
        <v>0</v>
      </c>
      <c r="K478" s="64" t="b">
        <f>COUNTIF(States!A:A,A478)&gt;0</f>
        <v>1</v>
      </c>
      <c r="L478" s="64" t="b">
        <f t="shared" si="2"/>
        <v>1</v>
      </c>
      <c r="M478" s="64" t="b">
        <f>IF(A478="","",COUNTIF(Targets!A:A,A478)&gt;1)</f>
        <v>0</v>
      </c>
      <c r="N478" s="64" t="b">
        <f>IF(A478="","",COUNTIF(States!A:A,A478)&gt;1)</f>
        <v>0</v>
      </c>
      <c r="O478" s="64" t="b">
        <f>IFERROR(__xludf.DUMMYFUNCTION("IF(
 B478="""",
 """",
 SWITCH(
  B478,
  ""BUILDING"",COUNTIF(Buildings!A:A,A478)&gt;0,
  ""CITADEL"",COUNTIF(Citadel!A:A,A478)&gt;0,
  ""COLLECTION"",COUNTIF(Collections!A:A,A478)&gt;0,
  ""CRAFTIFACT"",COUNTIF(Craftifacts!A:A,A478)&gt;0,
  ""QUEST"",
   COUNTIF(
 "&amp;"   Quests!A:A,
    REGEXREPLACE(A478,""\.(accepted|finished)$"","""")
   )&gt;0,
  ""TECH"",COUNTIF(Technologies!A:A,A478)&gt;0,
  ""STATE"",COUNTIF(States!A:A,A478)&gt;0,
  FALSE
 )
)"),TRUE)</f>
        <v>1</v>
      </c>
      <c r="P478" s="64" t="str">
        <f t="shared" si="3"/>
        <v>Good</v>
      </c>
      <c r="Q478" s="65"/>
      <c r="R478" s="65"/>
      <c r="S478" s="65"/>
      <c r="T478" s="65"/>
      <c r="U478" s="6"/>
      <c r="V478" s="6" t="str">
        <f>IFERROR(__xludf.DUMMYFUNCTION("""COMPUTED_VALUE"""),"state.obtain_blueprint")</f>
        <v>state.obtain_blueprint</v>
      </c>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row>
    <row r="479" ht="14.25" customHeight="1">
      <c r="A479" s="26" t="str">
        <f t="shared" si="1"/>
        <v>state.obtain_hide</v>
      </c>
      <c r="B479" s="26" t="str">
        <f t="array" ref="B479">_xlfn.XLOOKUP(A479,Targets!A:A,Targets!C:C,"")</f>
        <v>STATE</v>
      </c>
      <c r="C479" s="64" t="b">
        <f>COUNTIF(Targets!A:A,A479)&gt;0</f>
        <v>1</v>
      </c>
      <c r="D479" s="64" t="b">
        <f>IF(
 OR(
  LEFT(A479,15)="state.character",
  RIGHT(A479,6)=".maxed"
 ),
 TRUE,
 COUNTIF(Checklist!A:A,A479)&gt;0
)</f>
        <v>1</v>
      </c>
      <c r="E479" s="64" t="b">
        <f>IF(
 OR(
  LEFT(A479,15)="state.character",
  RIGHT(A479,6)=".maxed",
  A479="building.guild@1",
  A479="quest.build_the_guild.accepted",
  A479="quest.build_the_pagoda.accepted"
 ),
 TRUE,
 COUNTIF(Dependencies!A:A,A479)&gt;0
)</f>
        <v>1</v>
      </c>
      <c r="F479" s="64" t="b">
        <f>COUNTIF(Dependencies!B:B,A479)&gt;0</f>
        <v>0</v>
      </c>
      <c r="G479" s="64" t="b">
        <f>COUNTIF(QuestObjectives!A:A,A479)&gt;0</f>
        <v>0</v>
      </c>
      <c r="H479" s="64" t="b">
        <f>COUNTIF(QuestObjectives!E:E,A479)&gt;0</f>
        <v>1</v>
      </c>
      <c r="I479" s="64" t="b">
        <f>COUNTIF(TargetStatus!A:A,A479)&gt;0</f>
        <v>1</v>
      </c>
      <c r="J479" s="64" t="b">
        <f>COUNTIF(CostStatus!B:B,A479)&gt;0</f>
        <v>0</v>
      </c>
      <c r="K479" s="64" t="b">
        <f>COUNTIF(States!A:A,A479)&gt;0</f>
        <v>1</v>
      </c>
      <c r="L479" s="64" t="b">
        <f t="shared" si="2"/>
        <v>1</v>
      </c>
      <c r="M479" s="64" t="b">
        <f>IF(A479="","",COUNTIF(Targets!A:A,A479)&gt;1)</f>
        <v>0</v>
      </c>
      <c r="N479" s="64" t="b">
        <f>IF(A479="","",COUNTIF(States!A:A,A479)&gt;1)</f>
        <v>0</v>
      </c>
      <c r="O479" s="64" t="b">
        <f>IFERROR(__xludf.DUMMYFUNCTION("IF(
 B479="""",
 """",
 SWITCH(
  B479,
  ""BUILDING"",COUNTIF(Buildings!A:A,A479)&gt;0,
  ""CITADEL"",COUNTIF(Citadel!A:A,A479)&gt;0,
  ""COLLECTION"",COUNTIF(Collections!A:A,A479)&gt;0,
  ""CRAFTIFACT"",COUNTIF(Craftifacts!A:A,A479)&gt;0,
  ""QUEST"",
   COUNTIF(
 "&amp;"   Quests!A:A,
    REGEXREPLACE(A479,""\.(accepted|finished)$"","""")
   )&gt;0,
  ""TECH"",COUNTIF(Technologies!A:A,A479)&gt;0,
  ""STATE"",COUNTIF(States!A:A,A479)&gt;0,
  FALSE
 )
)"),TRUE)</f>
        <v>1</v>
      </c>
      <c r="P479" s="64" t="str">
        <f t="shared" si="3"/>
        <v>Good</v>
      </c>
      <c r="Q479" s="65"/>
      <c r="R479" s="65"/>
      <c r="S479" s="65"/>
      <c r="T479" s="65"/>
      <c r="U479" s="6"/>
      <c r="V479" s="6" t="str">
        <f>IFERROR(__xludf.DUMMYFUNCTION("""COMPUTED_VALUE"""),"state.obtain_hide")</f>
        <v>state.obtain_hide</v>
      </c>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row>
    <row r="480" ht="14.25" customHeight="1">
      <c r="A480" s="26" t="str">
        <f t="shared" si="1"/>
        <v>state.obtain_level_2_artifact</v>
      </c>
      <c r="B480" s="26" t="str">
        <f t="array" ref="B480">_xlfn.XLOOKUP(A480,Targets!A:A,Targets!C:C,"")</f>
        <v>STATE</v>
      </c>
      <c r="C480" s="64" t="b">
        <f>COUNTIF(Targets!A:A,A480)&gt;0</f>
        <v>1</v>
      </c>
      <c r="D480" s="64" t="b">
        <f>IF(
 OR(
  LEFT(A480,15)="state.character",
  RIGHT(A480,6)=".maxed"
 ),
 TRUE,
 COUNTIF(Checklist!A:A,A480)&gt;0
)</f>
        <v>1</v>
      </c>
      <c r="E480" s="64" t="b">
        <f>IF(
 OR(
  LEFT(A480,15)="state.character",
  RIGHT(A480,6)=".maxed",
  A480="building.guild@1",
  A480="quest.build_the_guild.accepted",
  A480="quest.build_the_pagoda.accepted"
 ),
 TRUE,
 COUNTIF(Dependencies!A:A,A480)&gt;0
)</f>
        <v>1</v>
      </c>
      <c r="F480" s="64" t="b">
        <f>COUNTIF(Dependencies!B:B,A480)&gt;0</f>
        <v>0</v>
      </c>
      <c r="G480" s="64" t="b">
        <f>COUNTIF(QuestObjectives!A:A,A480)&gt;0</f>
        <v>0</v>
      </c>
      <c r="H480" s="64" t="b">
        <f>COUNTIF(QuestObjectives!E:E,A480)&gt;0</f>
        <v>1</v>
      </c>
      <c r="I480" s="64" t="b">
        <f>COUNTIF(TargetStatus!A:A,A480)&gt;0</f>
        <v>1</v>
      </c>
      <c r="J480" s="64" t="b">
        <f>COUNTIF(CostStatus!B:B,A480)&gt;0</f>
        <v>0</v>
      </c>
      <c r="K480" s="64" t="b">
        <f>COUNTIF(States!A:A,A480)&gt;0</f>
        <v>1</v>
      </c>
      <c r="L480" s="64" t="b">
        <f t="shared" si="2"/>
        <v>1</v>
      </c>
      <c r="M480" s="64" t="b">
        <f>IF(A480="","",COUNTIF(Targets!A:A,A480)&gt;1)</f>
        <v>0</v>
      </c>
      <c r="N480" s="64" t="b">
        <f>IF(A480="","",COUNTIF(States!A:A,A480)&gt;1)</f>
        <v>0</v>
      </c>
      <c r="O480" s="64" t="b">
        <f>IFERROR(__xludf.DUMMYFUNCTION("IF(
 B480="""",
 """",
 SWITCH(
  B480,
  ""BUILDING"",COUNTIF(Buildings!A:A,A480)&gt;0,
  ""CITADEL"",COUNTIF(Citadel!A:A,A480)&gt;0,
  ""COLLECTION"",COUNTIF(Collections!A:A,A480)&gt;0,
  ""CRAFTIFACT"",COUNTIF(Craftifacts!A:A,A480)&gt;0,
  ""QUEST"",
   COUNTIF(
 "&amp;"   Quests!A:A,
    REGEXREPLACE(A480,""\.(accepted|finished)$"","""")
   )&gt;0,
  ""TECH"",COUNTIF(Technologies!A:A,A480)&gt;0,
  ""STATE"",COUNTIF(States!A:A,A480)&gt;0,
  FALSE
 )
)"),TRUE)</f>
        <v>1</v>
      </c>
      <c r="P480" s="64" t="str">
        <f t="shared" si="3"/>
        <v>Good</v>
      </c>
      <c r="Q480" s="65"/>
      <c r="R480" s="65"/>
      <c r="S480" s="65"/>
      <c r="T480" s="65"/>
      <c r="U480" s="6"/>
      <c r="V480" s="6" t="str">
        <f>IFERROR(__xludf.DUMMYFUNCTION("""COMPUTED_VALUE"""),"state.obtain_level_2_artifact")</f>
        <v>state.obtain_level_2_artifact</v>
      </c>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row>
    <row r="481" ht="14.25" customHeight="1">
      <c r="A481" s="26" t="str">
        <f t="shared" si="1"/>
        <v>state.obtain_level_2_map</v>
      </c>
      <c r="B481" s="26" t="str">
        <f t="array" ref="B481">_xlfn.XLOOKUP(A481,Targets!A:A,Targets!C:C,"")</f>
        <v>STATE</v>
      </c>
      <c r="C481" s="64" t="b">
        <f>COUNTIF(Targets!A:A,A481)&gt;0</f>
        <v>1</v>
      </c>
      <c r="D481" s="64" t="b">
        <f>IF(
 OR(
  LEFT(A481,15)="state.character",
  RIGHT(A481,6)=".maxed"
 ),
 TRUE,
 COUNTIF(Checklist!A:A,A481)&gt;0
)</f>
        <v>1</v>
      </c>
      <c r="E481" s="64" t="b">
        <f>IF(
 OR(
  LEFT(A481,15)="state.character",
  RIGHT(A481,6)=".maxed",
  A481="building.guild@1",
  A481="quest.build_the_guild.accepted",
  A481="quest.build_the_pagoda.accepted"
 ),
 TRUE,
 COUNTIF(Dependencies!A:A,A481)&gt;0
)</f>
        <v>1</v>
      </c>
      <c r="F481" s="64" t="b">
        <f>COUNTIF(Dependencies!B:B,A481)&gt;0</f>
        <v>0</v>
      </c>
      <c r="G481" s="64" t="b">
        <f>COUNTIF(QuestObjectives!A:A,A481)&gt;0</f>
        <v>0</v>
      </c>
      <c r="H481" s="64" t="b">
        <f>COUNTIF(QuestObjectives!E:E,A481)&gt;0</f>
        <v>1</v>
      </c>
      <c r="I481" s="64" t="b">
        <f>COUNTIF(TargetStatus!A:A,A481)&gt;0</f>
        <v>1</v>
      </c>
      <c r="J481" s="64" t="b">
        <f>COUNTIF(CostStatus!B:B,A481)&gt;0</f>
        <v>0</v>
      </c>
      <c r="K481" s="64" t="b">
        <f>COUNTIF(States!A:A,A481)&gt;0</f>
        <v>1</v>
      </c>
      <c r="L481" s="64" t="b">
        <f t="shared" si="2"/>
        <v>1</v>
      </c>
      <c r="M481" s="64" t="b">
        <f>IF(A481="","",COUNTIF(Targets!A:A,A481)&gt;1)</f>
        <v>0</v>
      </c>
      <c r="N481" s="64" t="b">
        <f>IF(A481="","",COUNTIF(States!A:A,A481)&gt;1)</f>
        <v>0</v>
      </c>
      <c r="O481" s="64" t="b">
        <f>IFERROR(__xludf.DUMMYFUNCTION("IF(
 B481="""",
 """",
 SWITCH(
  B481,
  ""BUILDING"",COUNTIF(Buildings!A:A,A481)&gt;0,
  ""CITADEL"",COUNTIF(Citadel!A:A,A481)&gt;0,
  ""COLLECTION"",COUNTIF(Collections!A:A,A481)&gt;0,
  ""CRAFTIFACT"",COUNTIF(Craftifacts!A:A,A481)&gt;0,
  ""QUEST"",
   COUNTIF(
 "&amp;"   Quests!A:A,
    REGEXREPLACE(A481,""\.(accepted|finished)$"","""")
   )&gt;0,
  ""TECH"",COUNTIF(Technologies!A:A,A481)&gt;0,
  ""STATE"",COUNTIF(States!A:A,A481)&gt;0,
  FALSE
 )
)"),TRUE)</f>
        <v>1</v>
      </c>
      <c r="P481" s="64" t="str">
        <f t="shared" si="3"/>
        <v>Good</v>
      </c>
      <c r="Q481" s="65"/>
      <c r="R481" s="65"/>
      <c r="S481" s="65"/>
      <c r="T481" s="65"/>
      <c r="U481" s="6"/>
      <c r="V481" s="6" t="str">
        <f>IFERROR(__xludf.DUMMYFUNCTION("""COMPUTED_VALUE"""),"state.obtain_level_2_map")</f>
        <v>state.obtain_level_2_map</v>
      </c>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row>
    <row r="482" ht="14.25" customHeight="1">
      <c r="A482" s="26" t="str">
        <f t="shared" si="1"/>
        <v>state.obtain_level_3_artifact</v>
      </c>
      <c r="B482" s="26" t="str">
        <f t="array" ref="B482">_xlfn.XLOOKUP(A482,Targets!A:A,Targets!C:C,"")</f>
        <v>STATE</v>
      </c>
      <c r="C482" s="64" t="b">
        <f>COUNTIF(Targets!A:A,A482)&gt;0</f>
        <v>1</v>
      </c>
      <c r="D482" s="64" t="b">
        <f>IF(
 OR(
  LEFT(A482,15)="state.character",
  RIGHT(A482,6)=".maxed"
 ),
 TRUE,
 COUNTIF(Checklist!A:A,A482)&gt;0
)</f>
        <v>1</v>
      </c>
      <c r="E482" s="64" t="b">
        <f>IF(
 OR(
  LEFT(A482,15)="state.character",
  RIGHT(A482,6)=".maxed",
  A482="building.guild@1",
  A482="quest.build_the_guild.accepted",
  A482="quest.build_the_pagoda.accepted"
 ),
 TRUE,
 COUNTIF(Dependencies!A:A,A482)&gt;0
)</f>
        <v>1</v>
      </c>
      <c r="F482" s="64" t="b">
        <f>COUNTIF(Dependencies!B:B,A482)&gt;0</f>
        <v>0</v>
      </c>
      <c r="G482" s="64" t="b">
        <f>COUNTIF(QuestObjectives!A:A,A482)&gt;0</f>
        <v>0</v>
      </c>
      <c r="H482" s="64" t="b">
        <f>COUNTIF(QuestObjectives!E:E,A482)&gt;0</f>
        <v>1</v>
      </c>
      <c r="I482" s="64" t="b">
        <f>COUNTIF(TargetStatus!A:A,A482)&gt;0</f>
        <v>1</v>
      </c>
      <c r="J482" s="64" t="b">
        <f>COUNTIF(CostStatus!B:B,A482)&gt;0</f>
        <v>0</v>
      </c>
      <c r="K482" s="64" t="b">
        <f>COUNTIF(States!A:A,A482)&gt;0</f>
        <v>1</v>
      </c>
      <c r="L482" s="64" t="b">
        <f t="shared" si="2"/>
        <v>1</v>
      </c>
      <c r="M482" s="64" t="b">
        <f>IF(A482="","",COUNTIF(Targets!A:A,A482)&gt;1)</f>
        <v>0</v>
      </c>
      <c r="N482" s="64" t="b">
        <f>IF(A482="","",COUNTIF(States!A:A,A482)&gt;1)</f>
        <v>0</v>
      </c>
      <c r="O482" s="64" t="b">
        <f>IFERROR(__xludf.DUMMYFUNCTION("IF(
 B482="""",
 """",
 SWITCH(
  B482,
  ""BUILDING"",COUNTIF(Buildings!A:A,A482)&gt;0,
  ""CITADEL"",COUNTIF(Citadel!A:A,A482)&gt;0,
  ""COLLECTION"",COUNTIF(Collections!A:A,A482)&gt;0,
  ""CRAFTIFACT"",COUNTIF(Craftifacts!A:A,A482)&gt;0,
  ""QUEST"",
   COUNTIF(
 "&amp;"   Quests!A:A,
    REGEXREPLACE(A482,""\.(accepted|finished)$"","""")
   )&gt;0,
  ""TECH"",COUNTIF(Technologies!A:A,A482)&gt;0,
  ""STATE"",COUNTIF(States!A:A,A482)&gt;0,
  FALSE
 )
)"),TRUE)</f>
        <v>1</v>
      </c>
      <c r="P482" s="64" t="str">
        <f t="shared" si="3"/>
        <v>Good</v>
      </c>
      <c r="Q482" s="65"/>
      <c r="R482" s="65"/>
      <c r="S482" s="65"/>
      <c r="T482" s="65"/>
      <c r="U482" s="6"/>
      <c r="V482" s="6" t="str">
        <f>IFERROR(__xludf.DUMMYFUNCTION("""COMPUTED_VALUE"""),"state.obtain_level_3_artifact")</f>
        <v>state.obtain_level_3_artifact</v>
      </c>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row>
    <row r="483" ht="14.25" customHeight="1">
      <c r="A483" s="26" t="str">
        <f t="shared" si="1"/>
        <v>state.obtain_map_catacombs</v>
      </c>
      <c r="B483" s="26" t="str">
        <f t="array" ref="B483">_xlfn.XLOOKUP(A483,Targets!A:A,Targets!C:C,"")</f>
        <v>STATE</v>
      </c>
      <c r="C483" s="64" t="b">
        <f>COUNTIF(Targets!A:A,A483)&gt;0</f>
        <v>1</v>
      </c>
      <c r="D483" s="64" t="b">
        <f>IF(
 OR(
  LEFT(A483,15)="state.character",
  RIGHT(A483,6)=".maxed"
 ),
 TRUE,
 COUNTIF(Checklist!A:A,A483)&gt;0
)</f>
        <v>1</v>
      </c>
      <c r="E483" s="64" t="b">
        <f>IF(
 OR(
  LEFT(A483,15)="state.character",
  RIGHT(A483,6)=".maxed",
  A483="building.guild@1",
  A483="quest.build_the_guild.accepted",
  A483="quest.build_the_pagoda.accepted"
 ),
 TRUE,
 COUNTIF(Dependencies!A:A,A483)&gt;0
)</f>
        <v>1</v>
      </c>
      <c r="F483" s="64" t="b">
        <f>COUNTIF(Dependencies!B:B,A483)&gt;0</f>
        <v>1</v>
      </c>
      <c r="G483" s="64" t="b">
        <f>COUNTIF(QuestObjectives!A:A,A483)&gt;0</f>
        <v>0</v>
      </c>
      <c r="H483" s="64" t="b">
        <f>COUNTIF(QuestObjectives!E:E,A483)&gt;0</f>
        <v>0</v>
      </c>
      <c r="I483" s="64" t="b">
        <f>COUNTIF(TargetStatus!A:A,A483)&gt;0</f>
        <v>1</v>
      </c>
      <c r="J483" s="64" t="b">
        <f>COUNTIF(CostStatus!B:B,A483)&gt;0</f>
        <v>0</v>
      </c>
      <c r="K483" s="64" t="b">
        <f>COUNTIF(States!A:A,A483)&gt;0</f>
        <v>1</v>
      </c>
      <c r="L483" s="64" t="b">
        <f t="shared" si="2"/>
        <v>1</v>
      </c>
      <c r="M483" s="64" t="b">
        <f>IF(A483="","",COUNTIF(Targets!A:A,A483)&gt;1)</f>
        <v>0</v>
      </c>
      <c r="N483" s="64" t="b">
        <f>IF(A483="","",COUNTIF(States!A:A,A483)&gt;1)</f>
        <v>0</v>
      </c>
      <c r="O483" s="64" t="b">
        <f>IFERROR(__xludf.DUMMYFUNCTION("IF(
 B483="""",
 """",
 SWITCH(
  B483,
  ""BUILDING"",COUNTIF(Buildings!A:A,A483)&gt;0,
  ""CITADEL"",COUNTIF(Citadel!A:A,A483)&gt;0,
  ""COLLECTION"",COUNTIF(Collections!A:A,A483)&gt;0,
  ""CRAFTIFACT"",COUNTIF(Craftifacts!A:A,A483)&gt;0,
  ""QUEST"",
   COUNTIF(
 "&amp;"   Quests!A:A,
    REGEXREPLACE(A483,""\.(accepted|finished)$"","""")
   )&gt;0,
  ""TECH"",COUNTIF(Technologies!A:A,A483)&gt;0,
  ""STATE"",COUNTIF(States!A:A,A483)&gt;0,
  FALSE
 )
)"),TRUE)</f>
        <v>1</v>
      </c>
      <c r="P483" s="64" t="str">
        <f t="shared" si="3"/>
        <v>Good</v>
      </c>
      <c r="Q483" s="65"/>
      <c r="R483" s="65"/>
      <c r="S483" s="65"/>
      <c r="T483" s="65"/>
      <c r="U483" s="6"/>
      <c r="V483" s="6" t="str">
        <f>IFERROR(__xludf.DUMMYFUNCTION("""COMPUTED_VALUE"""),"state.obtain_map_catacombs")</f>
        <v>state.obtain_map_catacombs</v>
      </c>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row>
    <row r="484" ht="14.25" customHeight="1">
      <c r="A484" s="26" t="str">
        <f t="shared" si="1"/>
        <v>state.obtain_map4</v>
      </c>
      <c r="B484" s="26" t="str">
        <f t="array" ref="B484">_xlfn.XLOOKUP(A484,Targets!A:A,Targets!C:C,"")</f>
        <v>STATE</v>
      </c>
      <c r="C484" s="64" t="b">
        <f>COUNTIF(Targets!A:A,A484)&gt;0</f>
        <v>1</v>
      </c>
      <c r="D484" s="64" t="b">
        <f>IF(
 OR(
  LEFT(A484,15)="state.character",
  RIGHT(A484,6)=".maxed"
 ),
 TRUE,
 COUNTIF(Checklist!A:A,A484)&gt;0
)</f>
        <v>1</v>
      </c>
      <c r="E484" s="64" t="b">
        <f>IF(
 OR(
  LEFT(A484,15)="state.character",
  RIGHT(A484,6)=".maxed",
  A484="building.guild@1",
  A484="quest.build_the_guild.accepted",
  A484="quest.build_the_pagoda.accepted"
 ),
 TRUE,
 COUNTIF(Dependencies!A:A,A484)&gt;0
)</f>
        <v>1</v>
      </c>
      <c r="F484" s="64" t="b">
        <f>COUNTIF(Dependencies!B:B,A484)&gt;0</f>
        <v>1</v>
      </c>
      <c r="G484" s="64" t="b">
        <f>COUNTIF(QuestObjectives!A:A,A484)&gt;0</f>
        <v>0</v>
      </c>
      <c r="H484" s="64" t="b">
        <f>COUNTIF(QuestObjectives!E:E,A484)&gt;0</f>
        <v>1</v>
      </c>
      <c r="I484" s="64" t="b">
        <f>COUNTIF(TargetStatus!A:A,A484)&gt;0</f>
        <v>1</v>
      </c>
      <c r="J484" s="64" t="b">
        <f>COUNTIF(CostStatus!B:B,A484)&gt;0</f>
        <v>0</v>
      </c>
      <c r="K484" s="64" t="b">
        <f>COUNTIF(States!A:A,A484)&gt;0</f>
        <v>1</v>
      </c>
      <c r="L484" s="64" t="b">
        <f t="shared" si="2"/>
        <v>1</v>
      </c>
      <c r="M484" s="64" t="b">
        <f>IF(A484="","",COUNTIF(Targets!A:A,A484)&gt;1)</f>
        <v>0</v>
      </c>
      <c r="N484" s="64" t="b">
        <f>IF(A484="","",COUNTIF(States!A:A,A484)&gt;1)</f>
        <v>0</v>
      </c>
      <c r="O484" s="64" t="b">
        <f>IFERROR(__xludf.DUMMYFUNCTION("IF(
 B484="""",
 """",
 SWITCH(
  B484,
  ""BUILDING"",COUNTIF(Buildings!A:A,A484)&gt;0,
  ""CITADEL"",COUNTIF(Citadel!A:A,A484)&gt;0,
  ""COLLECTION"",COUNTIF(Collections!A:A,A484)&gt;0,
  ""CRAFTIFACT"",COUNTIF(Craftifacts!A:A,A484)&gt;0,
  ""QUEST"",
   COUNTIF(
 "&amp;"   Quests!A:A,
    REGEXREPLACE(A484,""\.(accepted|finished)$"","""")
   )&gt;0,
  ""TECH"",COUNTIF(Technologies!A:A,A484)&gt;0,
  ""STATE"",COUNTIF(States!A:A,A484)&gt;0,
  FALSE
 )
)"),TRUE)</f>
        <v>1</v>
      </c>
      <c r="P484" s="64" t="str">
        <f t="shared" si="3"/>
        <v>Good</v>
      </c>
      <c r="Q484" s="65"/>
      <c r="R484" s="65"/>
      <c r="S484" s="65"/>
      <c r="T484" s="65"/>
      <c r="U484" s="6"/>
      <c r="V484" s="6" t="str">
        <f>IFERROR(__xludf.DUMMYFUNCTION("""COMPUTED_VALUE"""),"state.obtain_map4")</f>
        <v>state.obtain_map4</v>
      </c>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row>
    <row r="485" ht="14.25" customHeight="1">
      <c r="A485" s="26" t="str">
        <f t="shared" si="1"/>
        <v>state.obtain_map4_x2</v>
      </c>
      <c r="B485" s="26" t="str">
        <f t="array" ref="B485">_xlfn.XLOOKUP(A485,Targets!A:A,Targets!C:C,"")</f>
        <v>STATE</v>
      </c>
      <c r="C485" s="64" t="b">
        <f>COUNTIF(Targets!A:A,A485)&gt;0</f>
        <v>1</v>
      </c>
      <c r="D485" s="64" t="b">
        <f>IF(
 OR(
  LEFT(A485,15)="state.character",
  RIGHT(A485,6)=".maxed"
 ),
 TRUE,
 COUNTIF(Checklist!A:A,A485)&gt;0
)</f>
        <v>1</v>
      </c>
      <c r="E485" s="64" t="b">
        <f>IF(
 OR(
  LEFT(A485,15)="state.character",
  RIGHT(A485,6)=".maxed",
  A485="building.guild@1",
  A485="quest.build_the_guild.accepted",
  A485="quest.build_the_pagoda.accepted"
 ),
 TRUE,
 COUNTIF(Dependencies!A:A,A485)&gt;0
)</f>
        <v>1</v>
      </c>
      <c r="F485" s="64" t="b">
        <f>COUNTIF(Dependencies!B:B,A485)&gt;0</f>
        <v>0</v>
      </c>
      <c r="G485" s="64" t="b">
        <f>COUNTIF(QuestObjectives!A:A,A485)&gt;0</f>
        <v>0</v>
      </c>
      <c r="H485" s="64" t="b">
        <f>COUNTIF(QuestObjectives!E:E,A485)&gt;0</f>
        <v>1</v>
      </c>
      <c r="I485" s="64" t="b">
        <f>COUNTIF(TargetStatus!A:A,A485)&gt;0</f>
        <v>1</v>
      </c>
      <c r="J485" s="64" t="b">
        <f>COUNTIF(CostStatus!B:B,A485)&gt;0</f>
        <v>0</v>
      </c>
      <c r="K485" s="64" t="b">
        <f>COUNTIF(States!A:A,A485)&gt;0</f>
        <v>1</v>
      </c>
      <c r="L485" s="64" t="b">
        <f t="shared" si="2"/>
        <v>1</v>
      </c>
      <c r="M485" s="64" t="b">
        <f>IF(A485="","",COUNTIF(Targets!A:A,A485)&gt;1)</f>
        <v>0</v>
      </c>
      <c r="N485" s="64" t="b">
        <f>IF(A485="","",COUNTIF(States!A:A,A485)&gt;1)</f>
        <v>0</v>
      </c>
      <c r="O485" s="64" t="b">
        <f>IFERROR(__xludf.DUMMYFUNCTION("IF(
 B485="""",
 """",
 SWITCH(
  B485,
  ""BUILDING"",COUNTIF(Buildings!A:A,A485)&gt;0,
  ""CITADEL"",COUNTIF(Citadel!A:A,A485)&gt;0,
  ""COLLECTION"",COUNTIF(Collections!A:A,A485)&gt;0,
  ""CRAFTIFACT"",COUNTIF(Craftifacts!A:A,A485)&gt;0,
  ""QUEST"",
   COUNTIF(
 "&amp;"   Quests!A:A,
    REGEXREPLACE(A485,""\.(accepted|finished)$"","""")
   )&gt;0,
  ""TECH"",COUNTIF(Technologies!A:A,A485)&gt;0,
  ""STATE"",COUNTIF(States!A:A,A485)&gt;0,
  FALSE
 )
)"),TRUE)</f>
        <v>1</v>
      </c>
      <c r="P485" s="64" t="str">
        <f t="shared" si="3"/>
        <v>Good</v>
      </c>
      <c r="Q485" s="65"/>
      <c r="R485" s="65"/>
      <c r="S485" s="65"/>
      <c r="T485" s="65"/>
      <c r="U485" s="6"/>
      <c r="V485" s="6" t="str">
        <f>IFERROR(__xludf.DUMMYFUNCTION("""COMPUTED_VALUE"""),"state.obtain_map4_x2")</f>
        <v>state.obtain_map4_x2</v>
      </c>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row>
    <row r="486" ht="14.25" customHeight="1">
      <c r="A486" s="26" t="str">
        <f t="shared" si="1"/>
        <v>state.obtain_mechanism</v>
      </c>
      <c r="B486" s="26" t="str">
        <f t="array" ref="B486">_xlfn.XLOOKUP(A486,Targets!A:A,Targets!C:C,"")</f>
        <v>STATE</v>
      </c>
      <c r="C486" s="64" t="b">
        <f>COUNTIF(Targets!A:A,A486)&gt;0</f>
        <v>1</v>
      </c>
      <c r="D486" s="64" t="b">
        <f>IF(
 OR(
  LEFT(A486,15)="state.character",
  RIGHT(A486,6)=".maxed"
 ),
 TRUE,
 COUNTIF(Checklist!A:A,A486)&gt;0
)</f>
        <v>1</v>
      </c>
      <c r="E486" s="64" t="b">
        <f>IF(
 OR(
  LEFT(A486,15)="state.character",
  RIGHT(A486,6)=".maxed",
  A486="building.guild@1",
  A486="quest.build_the_guild.accepted",
  A486="quest.build_the_pagoda.accepted"
 ),
 TRUE,
 COUNTIF(Dependencies!A:A,A486)&gt;0
)</f>
        <v>1</v>
      </c>
      <c r="F486" s="64" t="b">
        <f>COUNTIF(Dependencies!B:B,A486)&gt;0</f>
        <v>0</v>
      </c>
      <c r="G486" s="64" t="b">
        <f>COUNTIF(QuestObjectives!A:A,A486)&gt;0</f>
        <v>0</v>
      </c>
      <c r="H486" s="64" t="b">
        <f>COUNTIF(QuestObjectives!E:E,A486)&gt;0</f>
        <v>1</v>
      </c>
      <c r="I486" s="64" t="b">
        <f>COUNTIF(TargetStatus!A:A,A486)&gt;0</f>
        <v>1</v>
      </c>
      <c r="J486" s="64" t="b">
        <f>COUNTIF(CostStatus!B:B,A486)&gt;0</f>
        <v>0</v>
      </c>
      <c r="K486" s="64" t="b">
        <f>COUNTIF(States!A:A,A486)&gt;0</f>
        <v>1</v>
      </c>
      <c r="L486" s="64" t="b">
        <f t="shared" si="2"/>
        <v>1</v>
      </c>
      <c r="M486" s="64" t="b">
        <f>IF(A486="","",COUNTIF(Targets!A:A,A486)&gt;1)</f>
        <v>0</v>
      </c>
      <c r="N486" s="64" t="b">
        <f>IF(A486="","",COUNTIF(States!A:A,A486)&gt;1)</f>
        <v>0</v>
      </c>
      <c r="O486" s="64" t="b">
        <f>IFERROR(__xludf.DUMMYFUNCTION("IF(
 B486="""",
 """",
 SWITCH(
  B486,
  ""BUILDING"",COUNTIF(Buildings!A:A,A486)&gt;0,
  ""CITADEL"",COUNTIF(Citadel!A:A,A486)&gt;0,
  ""COLLECTION"",COUNTIF(Collections!A:A,A486)&gt;0,
  ""CRAFTIFACT"",COUNTIF(Craftifacts!A:A,A486)&gt;0,
  ""QUEST"",
   COUNTIF(
 "&amp;"   Quests!A:A,
    REGEXREPLACE(A486,""\.(accepted|finished)$"","""")
   )&gt;0,
  ""TECH"",COUNTIF(Technologies!A:A,A486)&gt;0,
  ""STATE"",COUNTIF(States!A:A,A486)&gt;0,
  FALSE
 )
)"),TRUE)</f>
        <v>1</v>
      </c>
      <c r="P486" s="64" t="str">
        <f t="shared" si="3"/>
        <v>Good</v>
      </c>
      <c r="Q486" s="65"/>
      <c r="R486" s="65"/>
      <c r="S486" s="65"/>
      <c r="T486" s="65"/>
      <c r="U486" s="6"/>
      <c r="V486" s="6" t="str">
        <f>IFERROR(__xludf.DUMMYFUNCTION("""COMPUTED_VALUE"""),"state.obtain_mechanism")</f>
        <v>state.obtain_mechanism</v>
      </c>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row>
    <row r="487" ht="14.25" customHeight="1">
      <c r="A487" s="26" t="str">
        <f t="shared" si="1"/>
        <v>state.obtain_pirate_hat</v>
      </c>
      <c r="B487" s="26" t="str">
        <f t="array" ref="B487">_xlfn.XLOOKUP(A487,Targets!A:A,Targets!C:C,"")</f>
        <v>STATE</v>
      </c>
      <c r="C487" s="64" t="b">
        <f>COUNTIF(Targets!A:A,A487)&gt;0</f>
        <v>1</v>
      </c>
      <c r="D487" s="64" t="b">
        <f>IF(
 OR(
  LEFT(A487,15)="state.character",
  RIGHT(A487,6)=".maxed"
 ),
 TRUE,
 COUNTIF(Checklist!A:A,A487)&gt;0
)</f>
        <v>1</v>
      </c>
      <c r="E487" s="64" t="b">
        <f>IF(
 OR(
  LEFT(A487,15)="state.character",
  RIGHT(A487,6)=".maxed",
  A487="building.guild@1",
  A487="quest.build_the_guild.accepted",
  A487="quest.build_the_pagoda.accepted"
 ),
 TRUE,
 COUNTIF(Dependencies!A:A,A487)&gt;0
)</f>
        <v>1</v>
      </c>
      <c r="F487" s="64" t="b">
        <f>COUNTIF(Dependencies!B:B,A487)&gt;0</f>
        <v>0</v>
      </c>
      <c r="G487" s="64" t="b">
        <f>COUNTIF(QuestObjectives!A:A,A487)&gt;0</f>
        <v>0</v>
      </c>
      <c r="H487" s="64" t="b">
        <f>COUNTIF(QuestObjectives!E:E,A487)&gt;0</f>
        <v>1</v>
      </c>
      <c r="I487" s="64" t="b">
        <f>COUNTIF(TargetStatus!A:A,A487)&gt;0</f>
        <v>1</v>
      </c>
      <c r="J487" s="64" t="b">
        <f>COUNTIF(CostStatus!B:B,A487)&gt;0</f>
        <v>0</v>
      </c>
      <c r="K487" s="64" t="b">
        <f>COUNTIF(States!A:A,A487)&gt;0</f>
        <v>0</v>
      </c>
      <c r="L487" s="64" t="b">
        <f t="shared" si="2"/>
        <v>1</v>
      </c>
      <c r="M487" s="64" t="b">
        <f>IF(A487="","",COUNTIF(Targets!A:A,A487)&gt;1)</f>
        <v>0</v>
      </c>
      <c r="N487" s="64" t="b">
        <f>IF(A487="","",COUNTIF(States!A:A,A487)&gt;1)</f>
        <v>0</v>
      </c>
      <c r="O487" s="64" t="b">
        <f>IFERROR(__xludf.DUMMYFUNCTION("IF(
 B487="""",
 """",
 SWITCH(
  B487,
  ""BUILDING"",COUNTIF(Buildings!A:A,A487)&gt;0,
  ""CITADEL"",COUNTIF(Citadel!A:A,A487)&gt;0,
  ""COLLECTION"",COUNTIF(Collections!A:A,A487)&gt;0,
  ""CRAFTIFACT"",COUNTIF(Craftifacts!A:A,A487)&gt;0,
  ""QUEST"",
   COUNTIF(
 "&amp;"   Quests!A:A,
    REGEXREPLACE(A487,""\.(accepted|finished)$"","""")
   )&gt;0,
  ""TECH"",COUNTIF(Technologies!A:A,A487)&gt;0,
  ""STATE"",COUNTIF(States!A:A,A487)&gt;0,
  FALSE
 )
)"),FALSE)</f>
        <v>0</v>
      </c>
      <c r="P487" s="64" t="str">
        <f t="shared" si="3"/>
        <v>Good</v>
      </c>
      <c r="Q487" s="65"/>
      <c r="R487" s="65"/>
      <c r="S487" s="65"/>
      <c r="T487" s="65"/>
      <c r="U487" s="6"/>
      <c r="V487" s="6" t="str">
        <f>IFERROR(__xludf.DUMMYFUNCTION("""COMPUTED_VALUE"""),"state.obtain_pirate_hat")</f>
        <v>state.obtain_pirate_hat</v>
      </c>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row>
    <row r="488" ht="14.25" customHeight="1">
      <c r="A488" s="26" t="str">
        <f t="shared" si="1"/>
        <v>state.obtain_Pirate_hat</v>
      </c>
      <c r="B488" s="26" t="str">
        <f t="array" ref="B488">_xlfn.XLOOKUP(A488,Targets!A:A,Targets!C:C,"")</f>
        <v>STATE</v>
      </c>
      <c r="C488" s="64" t="b">
        <f>COUNTIF(Targets!A:A,A488)&gt;0</f>
        <v>1</v>
      </c>
      <c r="D488" s="64" t="b">
        <f>IF(
 OR(
  LEFT(A488,15)="state.character",
  RIGHT(A488,6)=".maxed"
 ),
 TRUE,
 COUNTIF(Checklist!A:A,A488)&gt;0
)</f>
        <v>1</v>
      </c>
      <c r="E488" s="64" t="b">
        <f>IF(
 OR(
  LEFT(A488,15)="state.character",
  RIGHT(A488,6)=".maxed",
  A488="building.guild@1",
  A488="quest.build_the_guild.accepted",
  A488="quest.build_the_pagoda.accepted"
 ),
 TRUE,
 COUNTIF(Dependencies!A:A,A488)&gt;0
)</f>
        <v>1</v>
      </c>
      <c r="F488" s="64" t="b">
        <f>COUNTIF(Dependencies!B:B,A488)&gt;0</f>
        <v>0</v>
      </c>
      <c r="G488" s="64" t="b">
        <f>COUNTIF(QuestObjectives!A:A,A488)&gt;0</f>
        <v>0</v>
      </c>
      <c r="H488" s="64" t="b">
        <f>COUNTIF(QuestObjectives!E:E,A488)&gt;0</f>
        <v>1</v>
      </c>
      <c r="I488" s="64" t="b">
        <f>COUNTIF(TargetStatus!A:A,A488)&gt;0</f>
        <v>1</v>
      </c>
      <c r="J488" s="64" t="b">
        <f>COUNTIF(CostStatus!B:B,A488)&gt;0</f>
        <v>0</v>
      </c>
      <c r="K488" s="64" t="b">
        <f>COUNTIF(States!A:A,A488)&gt;0</f>
        <v>0</v>
      </c>
      <c r="L488" s="64" t="b">
        <f t="shared" si="2"/>
        <v>1</v>
      </c>
      <c r="M488" s="64" t="b">
        <f>IF(A488="","",COUNTIF(Targets!A:A,A488)&gt;1)</f>
        <v>0</v>
      </c>
      <c r="N488" s="64" t="b">
        <f>IF(A488="","",COUNTIF(States!A:A,A488)&gt;1)</f>
        <v>0</v>
      </c>
      <c r="O488" s="64" t="b">
        <f>IFERROR(__xludf.DUMMYFUNCTION("IF(
 B488="""",
 """",
 SWITCH(
  B488,
  ""BUILDING"",COUNTIF(Buildings!A:A,A488)&gt;0,
  ""CITADEL"",COUNTIF(Citadel!A:A,A488)&gt;0,
  ""COLLECTION"",COUNTIF(Collections!A:A,A488)&gt;0,
  ""CRAFTIFACT"",COUNTIF(Craftifacts!A:A,A488)&gt;0,
  ""QUEST"",
   COUNTIF(
 "&amp;"   Quests!A:A,
    REGEXREPLACE(A488,""\.(accepted|finished)$"","""")
   )&gt;0,
  ""TECH"",COUNTIF(Technologies!A:A,A488)&gt;0,
  ""STATE"",COUNTIF(States!A:A,A488)&gt;0,
  FALSE
 )
)"),FALSE)</f>
        <v>0</v>
      </c>
      <c r="P488" s="64" t="str">
        <f t="shared" si="3"/>
        <v>Good</v>
      </c>
      <c r="Q488" s="65"/>
      <c r="R488" s="65"/>
      <c r="S488" s="65"/>
      <c r="T488" s="65"/>
      <c r="U488" s="6"/>
      <c r="V488" s="6" t="str">
        <f>IFERROR(__xludf.DUMMYFUNCTION("""COMPUTED_VALUE"""),"state.obtain_Pirate_hat")</f>
        <v>state.obtain_Pirate_hat</v>
      </c>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row>
    <row r="489" ht="14.25" customHeight="1">
      <c r="A489" s="26" t="str">
        <f t="shared" si="1"/>
        <v>state.obtain_potion_of_mental_power</v>
      </c>
      <c r="B489" s="26" t="str">
        <f t="array" ref="B489">_xlfn.XLOOKUP(A489,Targets!A:A,Targets!C:C,"")</f>
        <v>STATE</v>
      </c>
      <c r="C489" s="64" t="b">
        <f>COUNTIF(Targets!A:A,A489)&gt;0</f>
        <v>1</v>
      </c>
      <c r="D489" s="64" t="b">
        <f>IF(
 OR(
  LEFT(A489,15)="state.character",
  RIGHT(A489,6)=".maxed"
 ),
 TRUE,
 COUNTIF(Checklist!A:A,A489)&gt;0
)</f>
        <v>1</v>
      </c>
      <c r="E489" s="64" t="b">
        <f>IF(
 OR(
  LEFT(A489,15)="state.character",
  RIGHT(A489,6)=".maxed",
  A489="building.guild@1",
  A489="quest.build_the_guild.accepted",
  A489="quest.build_the_pagoda.accepted"
 ),
 TRUE,
 COUNTIF(Dependencies!A:A,A489)&gt;0
)</f>
        <v>1</v>
      </c>
      <c r="F489" s="64" t="b">
        <f>COUNTIF(Dependencies!B:B,A489)&gt;0</f>
        <v>0</v>
      </c>
      <c r="G489" s="64" t="b">
        <f>COUNTIF(QuestObjectives!A:A,A489)&gt;0</f>
        <v>0</v>
      </c>
      <c r="H489" s="64" t="b">
        <f>COUNTIF(QuestObjectives!E:E,A489)&gt;0</f>
        <v>1</v>
      </c>
      <c r="I489" s="64" t="b">
        <f>COUNTIF(TargetStatus!A:A,A489)&gt;0</f>
        <v>1</v>
      </c>
      <c r="J489" s="64" t="b">
        <f>COUNTIF(CostStatus!B:B,A489)&gt;0</f>
        <v>0</v>
      </c>
      <c r="K489" s="64" t="b">
        <f>COUNTIF(States!A:A,A489)&gt;0</f>
        <v>1</v>
      </c>
      <c r="L489" s="64" t="b">
        <f t="shared" si="2"/>
        <v>1</v>
      </c>
      <c r="M489" s="64" t="b">
        <f>IF(A489="","",COUNTIF(Targets!A:A,A489)&gt;1)</f>
        <v>0</v>
      </c>
      <c r="N489" s="64" t="b">
        <f>IF(A489="","",COUNTIF(States!A:A,A489)&gt;1)</f>
        <v>0</v>
      </c>
      <c r="O489" s="64" t="b">
        <f>IFERROR(__xludf.DUMMYFUNCTION("IF(
 B489="""",
 """",
 SWITCH(
  B489,
  ""BUILDING"",COUNTIF(Buildings!A:A,A489)&gt;0,
  ""CITADEL"",COUNTIF(Citadel!A:A,A489)&gt;0,
  ""COLLECTION"",COUNTIF(Collections!A:A,A489)&gt;0,
  ""CRAFTIFACT"",COUNTIF(Craftifacts!A:A,A489)&gt;0,
  ""QUEST"",
   COUNTIF(
 "&amp;"   Quests!A:A,
    REGEXREPLACE(A489,""\.(accepted|finished)$"","""")
   )&gt;0,
  ""TECH"",COUNTIF(Technologies!A:A,A489)&gt;0,
  ""STATE"",COUNTIF(States!A:A,A489)&gt;0,
  FALSE
 )
)"),TRUE)</f>
        <v>1</v>
      </c>
      <c r="P489" s="64" t="str">
        <f t="shared" si="3"/>
        <v>Good</v>
      </c>
      <c r="Q489" s="65"/>
      <c r="R489" s="65"/>
      <c r="S489" s="65"/>
      <c r="T489" s="65"/>
      <c r="U489" s="6"/>
      <c r="V489" s="6" t="str">
        <f>IFERROR(__xludf.DUMMYFUNCTION("""COMPUTED_VALUE"""),"state.obtain_potion_of_mental_power")</f>
        <v>state.obtain_potion_of_mental_power</v>
      </c>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row>
    <row r="490" ht="14.25" customHeight="1">
      <c r="A490" s="26" t="str">
        <f t="shared" si="1"/>
        <v>state.obtain_reagent</v>
      </c>
      <c r="B490" s="26" t="str">
        <f t="array" ref="B490">_xlfn.XLOOKUP(A490,Targets!A:A,Targets!C:C,"")</f>
        <v>STATE</v>
      </c>
      <c r="C490" s="64" t="b">
        <f>COUNTIF(Targets!A:A,A490)&gt;0</f>
        <v>1</v>
      </c>
      <c r="D490" s="64" t="b">
        <f>IF(
 OR(
  LEFT(A490,15)="state.character",
  RIGHT(A490,6)=".maxed"
 ),
 TRUE,
 COUNTIF(Checklist!A:A,A490)&gt;0
)</f>
        <v>1</v>
      </c>
      <c r="E490" s="64" t="b">
        <f>IF(
 OR(
  LEFT(A490,15)="state.character",
  RIGHT(A490,6)=".maxed",
  A490="building.guild@1",
  A490="quest.build_the_guild.accepted",
  A490="quest.build_the_pagoda.accepted"
 ),
 TRUE,
 COUNTIF(Dependencies!A:A,A490)&gt;0
)</f>
        <v>1</v>
      </c>
      <c r="F490" s="64" t="b">
        <f>COUNTIF(Dependencies!B:B,A490)&gt;0</f>
        <v>0</v>
      </c>
      <c r="G490" s="64" t="b">
        <f>COUNTIF(QuestObjectives!A:A,A490)&gt;0</f>
        <v>0</v>
      </c>
      <c r="H490" s="64" t="b">
        <f>COUNTIF(QuestObjectives!E:E,A490)&gt;0</f>
        <v>1</v>
      </c>
      <c r="I490" s="64" t="b">
        <f>COUNTIF(TargetStatus!A:A,A490)&gt;0</f>
        <v>1</v>
      </c>
      <c r="J490" s="64" t="b">
        <f>COUNTIF(CostStatus!B:B,A490)&gt;0</f>
        <v>0</v>
      </c>
      <c r="K490" s="64" t="b">
        <f>COUNTIF(States!A:A,A490)&gt;0</f>
        <v>1</v>
      </c>
      <c r="L490" s="64" t="b">
        <f t="shared" si="2"/>
        <v>1</v>
      </c>
      <c r="M490" s="64" t="b">
        <f>IF(A490="","",COUNTIF(Targets!A:A,A490)&gt;1)</f>
        <v>0</v>
      </c>
      <c r="N490" s="64" t="b">
        <f>IF(A490="","",COUNTIF(States!A:A,A490)&gt;1)</f>
        <v>0</v>
      </c>
      <c r="O490" s="64" t="b">
        <f>IFERROR(__xludf.DUMMYFUNCTION("IF(
 B490="""",
 """",
 SWITCH(
  B490,
  ""BUILDING"",COUNTIF(Buildings!A:A,A490)&gt;0,
  ""CITADEL"",COUNTIF(Citadel!A:A,A490)&gt;0,
  ""COLLECTION"",COUNTIF(Collections!A:A,A490)&gt;0,
  ""CRAFTIFACT"",COUNTIF(Craftifacts!A:A,A490)&gt;0,
  ""QUEST"",
   COUNTIF(
 "&amp;"   Quests!A:A,
    REGEXREPLACE(A490,""\.(accepted|finished)$"","""")
   )&gt;0,
  ""TECH"",COUNTIF(Technologies!A:A,A490)&gt;0,
  ""STATE"",COUNTIF(States!A:A,A490)&gt;0,
  FALSE
 )
)"),TRUE)</f>
        <v>1</v>
      </c>
      <c r="P490" s="64" t="str">
        <f t="shared" si="3"/>
        <v>Good</v>
      </c>
      <c r="Q490" s="65"/>
      <c r="R490" s="65"/>
      <c r="S490" s="65"/>
      <c r="T490" s="65"/>
      <c r="U490" s="6"/>
      <c r="V490" s="6" t="str">
        <f>IFERROR(__xludf.DUMMYFUNCTION("""COMPUTED_VALUE"""),"state.obtain_reagent")</f>
        <v>state.obtain_reagent</v>
      </c>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row>
    <row r="491" ht="14.25" customHeight="1">
      <c r="A491" s="26" t="str">
        <f t="shared" si="1"/>
        <v>state.obtain_red_diamond_6a</v>
      </c>
      <c r="B491" s="26" t="str">
        <f t="array" ref="B491">_xlfn.XLOOKUP(A491,Targets!A:A,Targets!C:C,"")</f>
        <v>STATE</v>
      </c>
      <c r="C491" s="64" t="b">
        <f>COUNTIF(Targets!A:A,A491)&gt;0</f>
        <v>1</v>
      </c>
      <c r="D491" s="64" t="b">
        <f>IF(
 OR(
  LEFT(A491,15)="state.character",
  RIGHT(A491,6)=".maxed"
 ),
 TRUE,
 COUNTIF(Checklist!A:A,A491)&gt;0
)</f>
        <v>1</v>
      </c>
      <c r="E491" s="64" t="b">
        <f>IF(
 OR(
  LEFT(A491,15)="state.character",
  RIGHT(A491,6)=".maxed",
  A491="building.guild@1",
  A491="quest.build_the_guild.accepted",
  A491="quest.build_the_pagoda.accepted"
 ),
 TRUE,
 COUNTIF(Dependencies!A:A,A491)&gt;0
)</f>
        <v>1</v>
      </c>
      <c r="F491" s="64" t="b">
        <f>COUNTIF(Dependencies!B:B,A491)&gt;0</f>
        <v>0</v>
      </c>
      <c r="G491" s="64" t="b">
        <f>COUNTIF(QuestObjectives!A:A,A491)&gt;0</f>
        <v>0</v>
      </c>
      <c r="H491" s="64" t="b">
        <f>COUNTIF(QuestObjectives!E:E,A491)&gt;0</f>
        <v>1</v>
      </c>
      <c r="I491" s="64" t="b">
        <f>COUNTIF(TargetStatus!A:A,A491)&gt;0</f>
        <v>1</v>
      </c>
      <c r="J491" s="64" t="b">
        <f>COUNTIF(CostStatus!B:B,A491)&gt;0</f>
        <v>0</v>
      </c>
      <c r="K491" s="64" t="b">
        <f>COUNTIF(States!A:A,A491)&gt;0</f>
        <v>1</v>
      </c>
      <c r="L491" s="64" t="b">
        <f t="shared" si="2"/>
        <v>1</v>
      </c>
      <c r="M491" s="64" t="b">
        <f>IF(A491="","",COUNTIF(Targets!A:A,A491)&gt;1)</f>
        <v>0</v>
      </c>
      <c r="N491" s="64" t="b">
        <f>IF(A491="","",COUNTIF(States!A:A,A491)&gt;1)</f>
        <v>0</v>
      </c>
      <c r="O491" s="64" t="b">
        <f>IFERROR(__xludf.DUMMYFUNCTION("IF(
 B491="""",
 """",
 SWITCH(
  B491,
  ""BUILDING"",COUNTIF(Buildings!A:A,A491)&gt;0,
  ""CITADEL"",COUNTIF(Citadel!A:A,A491)&gt;0,
  ""COLLECTION"",COUNTIF(Collections!A:A,A491)&gt;0,
  ""CRAFTIFACT"",COUNTIF(Craftifacts!A:A,A491)&gt;0,
  ""QUEST"",
   COUNTIF(
 "&amp;"   Quests!A:A,
    REGEXREPLACE(A491,""\.(accepted|finished)$"","""")
   )&gt;0,
  ""TECH"",COUNTIF(Technologies!A:A,A491)&gt;0,
  ""STATE"",COUNTIF(States!A:A,A491)&gt;0,
  FALSE
 )
)"),TRUE)</f>
        <v>1</v>
      </c>
      <c r="P491" s="64" t="str">
        <f t="shared" si="3"/>
        <v>Good</v>
      </c>
      <c r="Q491" s="65"/>
      <c r="R491" s="65"/>
      <c r="S491" s="65"/>
      <c r="T491" s="65"/>
      <c r="U491" s="6"/>
      <c r="V491" s="6" t="str">
        <f>IFERROR(__xludf.DUMMYFUNCTION("""COMPUTED_VALUE"""),"state.obtain_red_diamond_6a")</f>
        <v>state.obtain_red_diamond_6a</v>
      </c>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row>
    <row r="492" ht="14.25" customHeight="1">
      <c r="A492" s="26" t="str">
        <f t="shared" si="1"/>
        <v>state.obtain_red_diamond_6b</v>
      </c>
      <c r="B492" s="26" t="str">
        <f t="array" ref="B492">_xlfn.XLOOKUP(A492,Targets!A:A,Targets!C:C,"")</f>
        <v>STATE</v>
      </c>
      <c r="C492" s="64" t="b">
        <f>COUNTIF(Targets!A:A,A492)&gt;0</f>
        <v>1</v>
      </c>
      <c r="D492" s="64" t="b">
        <f>IF(
 OR(
  LEFT(A492,15)="state.character",
  RIGHT(A492,6)=".maxed"
 ),
 TRUE,
 COUNTIF(Checklist!A:A,A492)&gt;0
)</f>
        <v>1</v>
      </c>
      <c r="E492" s="64" t="b">
        <f>IF(
 OR(
  LEFT(A492,15)="state.character",
  RIGHT(A492,6)=".maxed",
  A492="building.guild@1",
  A492="quest.build_the_guild.accepted",
  A492="quest.build_the_pagoda.accepted"
 ),
 TRUE,
 COUNTIF(Dependencies!A:A,A492)&gt;0
)</f>
        <v>1</v>
      </c>
      <c r="F492" s="64" t="b">
        <f>COUNTIF(Dependencies!B:B,A492)&gt;0</f>
        <v>0</v>
      </c>
      <c r="G492" s="64" t="b">
        <f>COUNTIF(QuestObjectives!A:A,A492)&gt;0</f>
        <v>0</v>
      </c>
      <c r="H492" s="64" t="b">
        <f>COUNTIF(QuestObjectives!E:E,A492)&gt;0</f>
        <v>1</v>
      </c>
      <c r="I492" s="64" t="b">
        <f>COUNTIF(TargetStatus!A:A,A492)&gt;0</f>
        <v>1</v>
      </c>
      <c r="J492" s="64" t="b">
        <f>COUNTIF(CostStatus!B:B,A492)&gt;0</f>
        <v>0</v>
      </c>
      <c r="K492" s="64" t="b">
        <f>COUNTIF(States!A:A,A492)&gt;0</f>
        <v>1</v>
      </c>
      <c r="L492" s="64" t="b">
        <f t="shared" si="2"/>
        <v>1</v>
      </c>
      <c r="M492" s="64" t="b">
        <f>IF(A492="","",COUNTIF(Targets!A:A,A492)&gt;1)</f>
        <v>0</v>
      </c>
      <c r="N492" s="64" t="b">
        <f>IF(A492="","",COUNTIF(States!A:A,A492)&gt;1)</f>
        <v>0</v>
      </c>
      <c r="O492" s="64" t="b">
        <f>IFERROR(__xludf.DUMMYFUNCTION("IF(
 B492="""",
 """",
 SWITCH(
  B492,
  ""BUILDING"",COUNTIF(Buildings!A:A,A492)&gt;0,
  ""CITADEL"",COUNTIF(Citadel!A:A,A492)&gt;0,
  ""COLLECTION"",COUNTIF(Collections!A:A,A492)&gt;0,
  ""CRAFTIFACT"",COUNTIF(Craftifacts!A:A,A492)&gt;0,
  ""QUEST"",
   COUNTIF(
 "&amp;"   Quests!A:A,
    REGEXREPLACE(A492,""\.(accepted|finished)$"","""")
   )&gt;0,
  ""TECH"",COUNTIF(Technologies!A:A,A492)&gt;0,
  ""STATE"",COUNTIF(States!A:A,A492)&gt;0,
  FALSE
 )
)"),TRUE)</f>
        <v>1</v>
      </c>
      <c r="P492" s="64" t="str">
        <f t="shared" si="3"/>
        <v>Good</v>
      </c>
      <c r="Q492" s="65"/>
      <c r="R492" s="65"/>
      <c r="S492" s="65"/>
      <c r="T492" s="65"/>
      <c r="U492" s="6"/>
      <c r="V492" s="6" t="str">
        <f>IFERROR(__xludf.DUMMYFUNCTION("""COMPUTED_VALUE"""),"state.obtain_red_diamond_6b")</f>
        <v>state.obtain_red_diamond_6b</v>
      </c>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row>
    <row r="493" ht="14.25" customHeight="1">
      <c r="A493" s="26" t="str">
        <f t="shared" si="1"/>
        <v>state.obtain_red_diamond_6c</v>
      </c>
      <c r="B493" s="26" t="str">
        <f t="array" ref="B493">_xlfn.XLOOKUP(A493,Targets!A:A,Targets!C:C,"")</f>
        <v>STATE</v>
      </c>
      <c r="C493" s="64" t="b">
        <f>COUNTIF(Targets!A:A,A493)&gt;0</f>
        <v>1</v>
      </c>
      <c r="D493" s="64" t="b">
        <f>IF(
 OR(
  LEFT(A493,15)="state.character",
  RIGHT(A493,6)=".maxed"
 ),
 TRUE,
 COUNTIF(Checklist!A:A,A493)&gt;0
)</f>
        <v>1</v>
      </c>
      <c r="E493" s="64" t="b">
        <f>IF(
 OR(
  LEFT(A493,15)="state.character",
  RIGHT(A493,6)=".maxed",
  A493="building.guild@1",
  A493="quest.build_the_guild.accepted",
  A493="quest.build_the_pagoda.accepted"
 ),
 TRUE,
 COUNTIF(Dependencies!A:A,A493)&gt;0
)</f>
        <v>1</v>
      </c>
      <c r="F493" s="64" t="b">
        <f>COUNTIF(Dependencies!B:B,A493)&gt;0</f>
        <v>0</v>
      </c>
      <c r="G493" s="64" t="b">
        <f>COUNTIF(QuestObjectives!A:A,A493)&gt;0</f>
        <v>0</v>
      </c>
      <c r="H493" s="64" t="b">
        <f>COUNTIF(QuestObjectives!E:E,A493)&gt;0</f>
        <v>1</v>
      </c>
      <c r="I493" s="64" t="b">
        <f>COUNTIF(TargetStatus!A:A,A493)&gt;0</f>
        <v>1</v>
      </c>
      <c r="J493" s="64" t="b">
        <f>COUNTIF(CostStatus!B:B,A493)&gt;0</f>
        <v>0</v>
      </c>
      <c r="K493" s="64" t="b">
        <f>COUNTIF(States!A:A,A493)&gt;0</f>
        <v>1</v>
      </c>
      <c r="L493" s="64" t="b">
        <f t="shared" si="2"/>
        <v>1</v>
      </c>
      <c r="M493" s="64" t="b">
        <f>IF(A493="","",COUNTIF(Targets!A:A,A493)&gt;1)</f>
        <v>0</v>
      </c>
      <c r="N493" s="64" t="b">
        <f>IF(A493="","",COUNTIF(States!A:A,A493)&gt;1)</f>
        <v>0</v>
      </c>
      <c r="O493" s="64" t="b">
        <f>IFERROR(__xludf.DUMMYFUNCTION("IF(
 B493="""",
 """",
 SWITCH(
  B493,
  ""BUILDING"",COUNTIF(Buildings!A:A,A493)&gt;0,
  ""CITADEL"",COUNTIF(Citadel!A:A,A493)&gt;0,
  ""COLLECTION"",COUNTIF(Collections!A:A,A493)&gt;0,
  ""CRAFTIFACT"",COUNTIF(Craftifacts!A:A,A493)&gt;0,
  ""QUEST"",
   COUNTIF(
 "&amp;"   Quests!A:A,
    REGEXREPLACE(A493,""\.(accepted|finished)$"","""")
   )&gt;0,
  ""TECH"",COUNTIF(Technologies!A:A,A493)&gt;0,
  ""STATE"",COUNTIF(States!A:A,A493)&gt;0,
  FALSE
 )
)"),TRUE)</f>
        <v>1</v>
      </c>
      <c r="P493" s="64" t="str">
        <f t="shared" si="3"/>
        <v>Good</v>
      </c>
      <c r="Q493" s="65"/>
      <c r="R493" s="65"/>
      <c r="S493" s="65"/>
      <c r="T493" s="65"/>
      <c r="U493" s="6"/>
      <c r="V493" s="6" t="str">
        <f>IFERROR(__xludf.DUMMYFUNCTION("""COMPUTED_VALUE"""),"state.obtain_red_diamond_6c")</f>
        <v>state.obtain_red_diamond_6c</v>
      </c>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row>
    <row r="494" ht="14.25" customHeight="1">
      <c r="A494" s="26" t="str">
        <f t="shared" si="1"/>
        <v>state.obtain_shield4+</v>
      </c>
      <c r="B494" s="26" t="str">
        <f t="array" ref="B494">_xlfn.XLOOKUP(A494,Targets!A:A,Targets!C:C,"")</f>
        <v>STATE</v>
      </c>
      <c r="C494" s="64" t="b">
        <f>COUNTIF(Targets!A:A,A494)&gt;0</f>
        <v>1</v>
      </c>
      <c r="D494" s="64" t="b">
        <f>IF(
 OR(
  LEFT(A494,15)="state.character",
  RIGHT(A494,6)=".maxed"
 ),
 TRUE,
 COUNTIF(Checklist!A:A,A494)&gt;0
)</f>
        <v>1</v>
      </c>
      <c r="E494" s="64" t="b">
        <f>IF(
 OR(
  LEFT(A494,15)="state.character",
  RIGHT(A494,6)=".maxed",
  A494="building.guild@1",
  A494="quest.build_the_guild.accepted",
  A494="quest.build_the_pagoda.accepted"
 ),
 TRUE,
 COUNTIF(Dependencies!A:A,A494)&gt;0
)</f>
        <v>1</v>
      </c>
      <c r="F494" s="64" t="b">
        <f>COUNTIF(Dependencies!B:B,A494)&gt;0</f>
        <v>0</v>
      </c>
      <c r="G494" s="64" t="b">
        <f>COUNTIF(QuestObjectives!A:A,A494)&gt;0</f>
        <v>0</v>
      </c>
      <c r="H494" s="64" t="b">
        <f>COUNTIF(QuestObjectives!E:E,A494)&gt;0</f>
        <v>1</v>
      </c>
      <c r="I494" s="64" t="b">
        <f>COUNTIF(TargetStatus!A:A,A494)&gt;0</f>
        <v>1</v>
      </c>
      <c r="J494" s="64" t="b">
        <f>COUNTIF(CostStatus!B:B,A494)&gt;0</f>
        <v>0</v>
      </c>
      <c r="K494" s="64" t="b">
        <f>COUNTIF(States!A:A,A494)&gt;0</f>
        <v>1</v>
      </c>
      <c r="L494" s="64" t="b">
        <f t="shared" si="2"/>
        <v>1</v>
      </c>
      <c r="M494" s="64" t="b">
        <f>IF(A494="","",COUNTIF(Targets!A:A,A494)&gt;1)</f>
        <v>0</v>
      </c>
      <c r="N494" s="64" t="b">
        <f>IF(A494="","",COUNTIF(States!A:A,A494)&gt;1)</f>
        <v>0</v>
      </c>
      <c r="O494" s="64" t="b">
        <f>IFERROR(__xludf.DUMMYFUNCTION("IF(
 B494="""",
 """",
 SWITCH(
  B494,
  ""BUILDING"",COUNTIF(Buildings!A:A,A494)&gt;0,
  ""CITADEL"",COUNTIF(Citadel!A:A,A494)&gt;0,
  ""COLLECTION"",COUNTIF(Collections!A:A,A494)&gt;0,
  ""CRAFTIFACT"",COUNTIF(Craftifacts!A:A,A494)&gt;0,
  ""QUEST"",
   COUNTIF(
 "&amp;"   Quests!A:A,
    REGEXREPLACE(A494,""\.(accepted|finished)$"","""")
   )&gt;0,
  ""TECH"",COUNTIF(Technologies!A:A,A494)&gt;0,
  ""STATE"",COUNTIF(States!A:A,A494)&gt;0,
  FALSE
 )
)"),TRUE)</f>
        <v>1</v>
      </c>
      <c r="P494" s="64" t="str">
        <f t="shared" si="3"/>
        <v>Good</v>
      </c>
      <c r="Q494" s="65"/>
      <c r="R494" s="65"/>
      <c r="S494" s="65"/>
      <c r="T494" s="65"/>
      <c r="U494" s="6"/>
      <c r="V494" s="6" t="str">
        <f>IFERROR(__xludf.DUMMYFUNCTION("""COMPUTED_VALUE"""),"state.obtain_shield4+")</f>
        <v>state.obtain_shield4+</v>
      </c>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row>
    <row r="495" ht="14.25" customHeight="1">
      <c r="A495" s="26" t="str">
        <f t="shared" si="1"/>
        <v>state.obtain_ship_in_a_bottle</v>
      </c>
      <c r="B495" s="26" t="str">
        <f t="array" ref="B495">_xlfn.XLOOKUP(A495,Targets!A:A,Targets!C:C,"")</f>
        <v>STATE</v>
      </c>
      <c r="C495" s="64" t="b">
        <f>COUNTIF(Targets!A:A,A495)&gt;0</f>
        <v>1</v>
      </c>
      <c r="D495" s="64" t="b">
        <f>IF(
 OR(
  LEFT(A495,15)="state.character",
  RIGHT(A495,6)=".maxed"
 ),
 TRUE,
 COUNTIF(Checklist!A:A,A495)&gt;0
)</f>
        <v>1</v>
      </c>
      <c r="E495" s="64" t="b">
        <f>IF(
 OR(
  LEFT(A495,15)="state.character",
  RIGHT(A495,6)=".maxed",
  A495="building.guild@1",
  A495="quest.build_the_guild.accepted",
  A495="quest.build_the_pagoda.accepted"
 ),
 TRUE,
 COUNTIF(Dependencies!A:A,A495)&gt;0
)</f>
        <v>1</v>
      </c>
      <c r="F495" s="64" t="b">
        <f>COUNTIF(Dependencies!B:B,A495)&gt;0</f>
        <v>0</v>
      </c>
      <c r="G495" s="64" t="b">
        <f>COUNTIF(QuestObjectives!A:A,A495)&gt;0</f>
        <v>0</v>
      </c>
      <c r="H495" s="64" t="b">
        <f>COUNTIF(QuestObjectives!E:E,A495)&gt;0</f>
        <v>1</v>
      </c>
      <c r="I495" s="64" t="b">
        <f>COUNTIF(TargetStatus!A:A,A495)&gt;0</f>
        <v>1</v>
      </c>
      <c r="J495" s="64" t="b">
        <f>COUNTIF(CostStatus!B:B,A495)&gt;0</f>
        <v>0</v>
      </c>
      <c r="K495" s="64" t="b">
        <f>COUNTIF(States!A:A,A495)&gt;0</f>
        <v>1</v>
      </c>
      <c r="L495" s="64" t="b">
        <f t="shared" si="2"/>
        <v>1</v>
      </c>
      <c r="M495" s="64" t="b">
        <f>IF(A495="","",COUNTIF(Targets!A:A,A495)&gt;1)</f>
        <v>0</v>
      </c>
      <c r="N495" s="64" t="b">
        <f>IF(A495="","",COUNTIF(States!A:A,A495)&gt;1)</f>
        <v>0</v>
      </c>
      <c r="O495" s="64" t="b">
        <f>IFERROR(__xludf.DUMMYFUNCTION("IF(
 B495="""",
 """",
 SWITCH(
  B495,
  ""BUILDING"",COUNTIF(Buildings!A:A,A495)&gt;0,
  ""CITADEL"",COUNTIF(Citadel!A:A,A495)&gt;0,
  ""COLLECTION"",COUNTIF(Collections!A:A,A495)&gt;0,
  ""CRAFTIFACT"",COUNTIF(Craftifacts!A:A,A495)&gt;0,
  ""QUEST"",
   COUNTIF(
 "&amp;"   Quests!A:A,
    REGEXREPLACE(A495,""\.(accepted|finished)$"","""")
   )&gt;0,
  ""TECH"",COUNTIF(Technologies!A:A,A495)&gt;0,
  ""STATE"",COUNTIF(States!A:A,A495)&gt;0,
  FALSE
 )
)"),TRUE)</f>
        <v>1</v>
      </c>
      <c r="P495" s="64" t="str">
        <f t="shared" si="3"/>
        <v>Good</v>
      </c>
      <c r="Q495" s="65"/>
      <c r="R495" s="65"/>
      <c r="S495" s="65"/>
      <c r="T495" s="65"/>
      <c r="U495" s="6"/>
      <c r="V495" s="6" t="str">
        <f>IFERROR(__xludf.DUMMYFUNCTION("""COMPUTED_VALUE"""),"state.obtain_ship_in_a_bottle")</f>
        <v>state.obtain_ship_in_a_bottle</v>
      </c>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row>
    <row r="496" ht="14.25" customHeight="1">
      <c r="A496" s="26" t="str">
        <f t="shared" si="1"/>
        <v>state.obtain_shoguns_katana</v>
      </c>
      <c r="B496" s="26" t="str">
        <f t="array" ref="B496">_xlfn.XLOOKUP(A496,Targets!A:A,Targets!C:C,"")</f>
        <v>STATE</v>
      </c>
      <c r="C496" s="64" t="b">
        <f>COUNTIF(Targets!A:A,A496)&gt;0</f>
        <v>1</v>
      </c>
      <c r="D496" s="64" t="b">
        <f>IF(
 OR(
  LEFT(A496,15)="state.character",
  RIGHT(A496,6)=".maxed"
 ),
 TRUE,
 COUNTIF(Checklist!A:A,A496)&gt;0
)</f>
        <v>1</v>
      </c>
      <c r="E496" s="64" t="b">
        <f>IF(
 OR(
  LEFT(A496,15)="state.character",
  RIGHT(A496,6)=".maxed",
  A496="building.guild@1",
  A496="quest.build_the_guild.accepted",
  A496="quest.build_the_pagoda.accepted"
 ),
 TRUE,
 COUNTIF(Dependencies!A:A,A496)&gt;0
)</f>
        <v>1</v>
      </c>
      <c r="F496" s="64" t="b">
        <f>COUNTIF(Dependencies!B:B,A496)&gt;0</f>
        <v>0</v>
      </c>
      <c r="G496" s="64" t="b">
        <f>COUNTIF(QuestObjectives!A:A,A496)&gt;0</f>
        <v>0</v>
      </c>
      <c r="H496" s="64" t="b">
        <f>COUNTIF(QuestObjectives!E:E,A496)&gt;0</f>
        <v>1</v>
      </c>
      <c r="I496" s="64" t="b">
        <f>COUNTIF(TargetStatus!A:A,A496)&gt;0</f>
        <v>1</v>
      </c>
      <c r="J496" s="64" t="b">
        <f>COUNTIF(CostStatus!B:B,A496)&gt;0</f>
        <v>0</v>
      </c>
      <c r="K496" s="64" t="b">
        <f>COUNTIF(States!A:A,A496)&gt;0</f>
        <v>1</v>
      </c>
      <c r="L496" s="64" t="b">
        <f t="shared" si="2"/>
        <v>1</v>
      </c>
      <c r="M496" s="64" t="b">
        <f>IF(A496="","",COUNTIF(Targets!A:A,A496)&gt;1)</f>
        <v>0</v>
      </c>
      <c r="N496" s="64" t="b">
        <f>IF(A496="","",COUNTIF(States!A:A,A496)&gt;1)</f>
        <v>0</v>
      </c>
      <c r="O496" s="64" t="b">
        <f>IFERROR(__xludf.DUMMYFUNCTION("IF(
 B496="""",
 """",
 SWITCH(
  B496,
  ""BUILDING"",COUNTIF(Buildings!A:A,A496)&gt;0,
  ""CITADEL"",COUNTIF(Citadel!A:A,A496)&gt;0,
  ""COLLECTION"",COUNTIF(Collections!A:A,A496)&gt;0,
  ""CRAFTIFACT"",COUNTIF(Craftifacts!A:A,A496)&gt;0,
  ""QUEST"",
   COUNTIF(
 "&amp;"   Quests!A:A,
    REGEXREPLACE(A496,""\.(accepted|finished)$"","""")
   )&gt;0,
  ""TECH"",COUNTIF(Technologies!A:A,A496)&gt;0,
  ""STATE"",COUNTIF(States!A:A,A496)&gt;0,
  FALSE
 )
)"),TRUE)</f>
        <v>1</v>
      </c>
      <c r="P496" s="64" t="str">
        <f t="shared" si="3"/>
        <v>Good</v>
      </c>
      <c r="Q496" s="65"/>
      <c r="R496" s="65"/>
      <c r="S496" s="65"/>
      <c r="T496" s="65"/>
      <c r="U496" s="6"/>
      <c r="V496" s="6" t="str">
        <f>IFERROR(__xludf.DUMMYFUNCTION("""COMPUTED_VALUE"""),"state.obtain_shoguns_katana")</f>
        <v>state.obtain_shoguns_katana</v>
      </c>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row>
    <row r="497" ht="14.25" customHeight="1">
      <c r="A497" s="26" t="str">
        <f t="shared" si="1"/>
        <v>state.obtain_shoguns_mortar</v>
      </c>
      <c r="B497" s="26" t="str">
        <f t="array" ref="B497">_xlfn.XLOOKUP(A497,Targets!A:A,Targets!C:C,"")</f>
        <v>STATE</v>
      </c>
      <c r="C497" s="64" t="b">
        <f>COUNTIF(Targets!A:A,A497)&gt;0</f>
        <v>1</v>
      </c>
      <c r="D497" s="64" t="b">
        <f>IF(
 OR(
  LEFT(A497,15)="state.character",
  RIGHT(A497,6)=".maxed"
 ),
 TRUE,
 COUNTIF(Checklist!A:A,A497)&gt;0
)</f>
        <v>1</v>
      </c>
      <c r="E497" s="64" t="b">
        <f>IF(
 OR(
  LEFT(A497,15)="state.character",
  RIGHT(A497,6)=".maxed",
  A497="building.guild@1",
  A497="quest.build_the_guild.accepted",
  A497="quest.build_the_pagoda.accepted"
 ),
 TRUE,
 COUNTIF(Dependencies!A:A,A497)&gt;0
)</f>
        <v>1</v>
      </c>
      <c r="F497" s="64" t="b">
        <f>COUNTIF(Dependencies!B:B,A497)&gt;0</f>
        <v>0</v>
      </c>
      <c r="G497" s="64" t="b">
        <f>COUNTIF(QuestObjectives!A:A,A497)&gt;0</f>
        <v>0</v>
      </c>
      <c r="H497" s="64" t="b">
        <f>COUNTIF(QuestObjectives!E:E,A497)&gt;0</f>
        <v>1</v>
      </c>
      <c r="I497" s="64" t="b">
        <f>COUNTIF(TargetStatus!A:A,A497)&gt;0</f>
        <v>1</v>
      </c>
      <c r="J497" s="64" t="b">
        <f>COUNTIF(CostStatus!B:B,A497)&gt;0</f>
        <v>0</v>
      </c>
      <c r="K497" s="64" t="b">
        <f>COUNTIF(States!A:A,A497)&gt;0</f>
        <v>0</v>
      </c>
      <c r="L497" s="64" t="b">
        <f t="shared" si="2"/>
        <v>1</v>
      </c>
      <c r="M497" s="64" t="b">
        <f>IF(A497="","",COUNTIF(Targets!A:A,A497)&gt;1)</f>
        <v>0</v>
      </c>
      <c r="N497" s="64" t="b">
        <f>IF(A497="","",COUNTIF(States!A:A,A497)&gt;1)</f>
        <v>0</v>
      </c>
      <c r="O497" s="64" t="b">
        <f>IFERROR(__xludf.DUMMYFUNCTION("IF(
 B497="""",
 """",
 SWITCH(
  B497,
  ""BUILDING"",COUNTIF(Buildings!A:A,A497)&gt;0,
  ""CITADEL"",COUNTIF(Citadel!A:A,A497)&gt;0,
  ""COLLECTION"",COUNTIF(Collections!A:A,A497)&gt;0,
  ""CRAFTIFACT"",COUNTIF(Craftifacts!A:A,A497)&gt;0,
  ""QUEST"",
   COUNTIF(
 "&amp;"   Quests!A:A,
    REGEXREPLACE(A497,""\.(accepted|finished)$"","""")
   )&gt;0,
  ""TECH"",COUNTIF(Technologies!A:A,A497)&gt;0,
  ""STATE"",COUNTIF(States!A:A,A497)&gt;0,
  FALSE
 )
)"),FALSE)</f>
        <v>0</v>
      </c>
      <c r="P497" s="64" t="str">
        <f t="shared" si="3"/>
        <v>Good</v>
      </c>
      <c r="Q497" s="65"/>
      <c r="R497" s="65"/>
      <c r="S497" s="65"/>
      <c r="T497" s="65"/>
      <c r="U497" s="6"/>
      <c r="V497" s="6" t="str">
        <f>IFERROR(__xludf.DUMMYFUNCTION("""COMPUTED_VALUE"""),"state.obtain_shoguns_mortar")</f>
        <v>state.obtain_shoguns_mortar</v>
      </c>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row>
    <row r="498" ht="14.25" customHeight="1">
      <c r="A498" s="26" t="str">
        <f t="shared" si="1"/>
        <v>state.obtain_Shoguns_Mortar</v>
      </c>
      <c r="B498" s="26" t="str">
        <f t="array" ref="B498">_xlfn.XLOOKUP(A498,Targets!A:A,Targets!C:C,"")</f>
        <v>STATE</v>
      </c>
      <c r="C498" s="64" t="b">
        <f>COUNTIF(Targets!A:A,A498)&gt;0</f>
        <v>1</v>
      </c>
      <c r="D498" s="64" t="b">
        <f>IF(
 OR(
  LEFT(A498,15)="state.character",
  RIGHT(A498,6)=".maxed"
 ),
 TRUE,
 COUNTIF(Checklist!A:A,A498)&gt;0
)</f>
        <v>1</v>
      </c>
      <c r="E498" s="64" t="b">
        <f>IF(
 OR(
  LEFT(A498,15)="state.character",
  RIGHT(A498,6)=".maxed",
  A498="building.guild@1",
  A498="quest.build_the_guild.accepted",
  A498="quest.build_the_pagoda.accepted"
 ),
 TRUE,
 COUNTIF(Dependencies!A:A,A498)&gt;0
)</f>
        <v>1</v>
      </c>
      <c r="F498" s="64" t="b">
        <f>COUNTIF(Dependencies!B:B,A498)&gt;0</f>
        <v>0</v>
      </c>
      <c r="G498" s="64" t="b">
        <f>COUNTIF(QuestObjectives!A:A,A498)&gt;0</f>
        <v>0</v>
      </c>
      <c r="H498" s="64" t="b">
        <f>COUNTIF(QuestObjectives!E:E,A498)&gt;0</f>
        <v>1</v>
      </c>
      <c r="I498" s="64" t="b">
        <f>COUNTIF(TargetStatus!A:A,A498)&gt;0</f>
        <v>1</v>
      </c>
      <c r="J498" s="64" t="b">
        <f>COUNTIF(CostStatus!B:B,A498)&gt;0</f>
        <v>0</v>
      </c>
      <c r="K498" s="64" t="b">
        <f>COUNTIF(States!A:A,A498)&gt;0</f>
        <v>0</v>
      </c>
      <c r="L498" s="64" t="b">
        <f t="shared" si="2"/>
        <v>1</v>
      </c>
      <c r="M498" s="64" t="b">
        <f>IF(A498="","",COUNTIF(Targets!A:A,A498)&gt;1)</f>
        <v>0</v>
      </c>
      <c r="N498" s="64" t="b">
        <f>IF(A498="","",COUNTIF(States!A:A,A498)&gt;1)</f>
        <v>0</v>
      </c>
      <c r="O498" s="64" t="b">
        <f>IFERROR(__xludf.DUMMYFUNCTION("IF(
 B498="""",
 """",
 SWITCH(
  B498,
  ""BUILDING"",COUNTIF(Buildings!A:A,A498)&gt;0,
  ""CITADEL"",COUNTIF(Citadel!A:A,A498)&gt;0,
  ""COLLECTION"",COUNTIF(Collections!A:A,A498)&gt;0,
  ""CRAFTIFACT"",COUNTIF(Craftifacts!A:A,A498)&gt;0,
  ""QUEST"",
   COUNTIF(
 "&amp;"   Quests!A:A,
    REGEXREPLACE(A498,""\.(accepted|finished)$"","""")
   )&gt;0,
  ""TECH"",COUNTIF(Technologies!A:A,A498)&gt;0,
  ""STATE"",COUNTIF(States!A:A,A498)&gt;0,
  FALSE
 )
)"),FALSE)</f>
        <v>0</v>
      </c>
      <c r="P498" s="64" t="str">
        <f t="shared" si="3"/>
        <v>Good</v>
      </c>
      <c r="Q498" s="65"/>
      <c r="R498" s="65"/>
      <c r="S498" s="65"/>
      <c r="T498" s="65"/>
      <c r="U498" s="6"/>
      <c r="V498" s="6" t="str">
        <f>IFERROR(__xludf.DUMMYFUNCTION("""COMPUTED_VALUE"""),"state.obtain_Shoguns_Mortar")</f>
        <v>state.obtain_Shoguns_Mortar</v>
      </c>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row>
    <row r="499" ht="14.25" customHeight="1">
      <c r="A499" s="26" t="str">
        <f t="shared" si="1"/>
        <v>state.obtain_smugglers_map_10_spices</v>
      </c>
      <c r="B499" s="26" t="str">
        <f t="array" ref="B499">_xlfn.XLOOKUP(A499,Targets!A:A,Targets!C:C,"")</f>
        <v>STATE</v>
      </c>
      <c r="C499" s="64" t="b">
        <f>COUNTIF(Targets!A:A,A499)&gt;0</f>
        <v>1</v>
      </c>
      <c r="D499" s="64" t="b">
        <f>IF(
 OR(
  LEFT(A499,15)="state.character",
  RIGHT(A499,6)=".maxed"
 ),
 TRUE,
 COUNTIF(Checklist!A:A,A499)&gt;0
)</f>
        <v>1</v>
      </c>
      <c r="E499" s="64" t="b">
        <f>IF(
 OR(
  LEFT(A499,15)="state.character",
  RIGHT(A499,6)=".maxed",
  A499="building.guild@1",
  A499="quest.build_the_guild.accepted",
  A499="quest.build_the_pagoda.accepted"
 ),
 TRUE,
 COUNTIF(Dependencies!A:A,A499)&gt;0
)</f>
        <v>1</v>
      </c>
      <c r="F499" s="64" t="b">
        <f>COUNTIF(Dependencies!B:B,A499)&gt;0</f>
        <v>0</v>
      </c>
      <c r="G499" s="64" t="b">
        <f>COUNTIF(QuestObjectives!A:A,A499)&gt;0</f>
        <v>0</v>
      </c>
      <c r="H499" s="64" t="b">
        <f>COUNTIF(QuestObjectives!E:E,A499)&gt;0</f>
        <v>1</v>
      </c>
      <c r="I499" s="64" t="b">
        <f>COUNTIF(TargetStatus!A:A,A499)&gt;0</f>
        <v>1</v>
      </c>
      <c r="J499" s="64" t="b">
        <f>COUNTIF(CostStatus!B:B,A499)&gt;0</f>
        <v>0</v>
      </c>
      <c r="K499" s="64" t="b">
        <f>COUNTIF(States!A:A,A499)&gt;0</f>
        <v>1</v>
      </c>
      <c r="L499" s="64" t="b">
        <f t="shared" si="2"/>
        <v>1</v>
      </c>
      <c r="M499" s="64" t="b">
        <f>IF(A499="","",COUNTIF(Targets!A:A,A499)&gt;1)</f>
        <v>0</v>
      </c>
      <c r="N499" s="64" t="b">
        <f>IF(A499="","",COUNTIF(States!A:A,A499)&gt;1)</f>
        <v>0</v>
      </c>
      <c r="O499" s="64" t="b">
        <f>IFERROR(__xludf.DUMMYFUNCTION("IF(
 B499="""",
 """",
 SWITCH(
  B499,
  ""BUILDING"",COUNTIF(Buildings!A:A,A499)&gt;0,
  ""CITADEL"",COUNTIF(Citadel!A:A,A499)&gt;0,
  ""COLLECTION"",COUNTIF(Collections!A:A,A499)&gt;0,
  ""CRAFTIFACT"",COUNTIF(Craftifacts!A:A,A499)&gt;0,
  ""QUEST"",
   COUNTIF(
 "&amp;"   Quests!A:A,
    REGEXREPLACE(A499,""\.(accepted|finished)$"","""")
   )&gt;0,
  ""TECH"",COUNTIF(Technologies!A:A,A499)&gt;0,
  ""STATE"",COUNTIF(States!A:A,A499)&gt;0,
  FALSE
 )
)"),TRUE)</f>
        <v>1</v>
      </c>
      <c r="P499" s="64" t="str">
        <f t="shared" si="3"/>
        <v>Good</v>
      </c>
      <c r="Q499" s="65"/>
      <c r="R499" s="65"/>
      <c r="S499" s="65"/>
      <c r="T499" s="65"/>
      <c r="U499" s="6"/>
      <c r="V499" s="6" t="str">
        <f>IFERROR(__xludf.DUMMYFUNCTION("""COMPUTED_VALUE"""),"state.obtain_smugglers_map_10_spices")</f>
        <v>state.obtain_smugglers_map_10_spices</v>
      </c>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row>
    <row r="500" ht="14.25" customHeight="1">
      <c r="A500" s="26" t="str">
        <f t="shared" si="1"/>
        <v>state.obtain_smugglers_map_100_beans</v>
      </c>
      <c r="B500" s="26" t="str">
        <f t="array" ref="B500">_xlfn.XLOOKUP(A500,Targets!A:A,Targets!C:C,"")</f>
        <v>STATE</v>
      </c>
      <c r="C500" s="64" t="b">
        <f>COUNTIF(Targets!A:A,A500)&gt;0</f>
        <v>1</v>
      </c>
      <c r="D500" s="64" t="b">
        <f>IF(
 OR(
  LEFT(A500,15)="state.character",
  RIGHT(A500,6)=".maxed"
 ),
 TRUE,
 COUNTIF(Checklist!A:A,A500)&gt;0
)</f>
        <v>1</v>
      </c>
      <c r="E500" s="64" t="b">
        <f>IF(
 OR(
  LEFT(A500,15)="state.character",
  RIGHT(A500,6)=".maxed",
  A500="building.guild@1",
  A500="quest.build_the_guild.accepted",
  A500="quest.build_the_pagoda.accepted"
 ),
 TRUE,
 COUNTIF(Dependencies!A:A,A500)&gt;0
)</f>
        <v>1</v>
      </c>
      <c r="F500" s="64" t="b">
        <f>COUNTIF(Dependencies!B:B,A500)&gt;0</f>
        <v>1</v>
      </c>
      <c r="G500" s="64" t="b">
        <f>COUNTIF(QuestObjectives!A:A,A500)&gt;0</f>
        <v>0</v>
      </c>
      <c r="H500" s="64" t="b">
        <f>COUNTIF(QuestObjectives!E:E,A500)&gt;0</f>
        <v>1</v>
      </c>
      <c r="I500" s="64" t="b">
        <f>COUNTIF(TargetStatus!A:A,A500)&gt;0</f>
        <v>1</v>
      </c>
      <c r="J500" s="64" t="b">
        <f>COUNTIF(CostStatus!B:B,A500)&gt;0</f>
        <v>0</v>
      </c>
      <c r="K500" s="64" t="b">
        <f>COUNTIF(States!A:A,A500)&gt;0</f>
        <v>1</v>
      </c>
      <c r="L500" s="64" t="b">
        <f t="shared" si="2"/>
        <v>1</v>
      </c>
      <c r="M500" s="64" t="b">
        <f>IF(A500="","",COUNTIF(Targets!A:A,A500)&gt;1)</f>
        <v>0</v>
      </c>
      <c r="N500" s="64" t="b">
        <f>IF(A500="","",COUNTIF(States!A:A,A500)&gt;1)</f>
        <v>0</v>
      </c>
      <c r="O500" s="64" t="b">
        <f>IFERROR(__xludf.DUMMYFUNCTION("IF(
 B500="""",
 """",
 SWITCH(
  B500,
  ""BUILDING"",COUNTIF(Buildings!A:A,A500)&gt;0,
  ""CITADEL"",COUNTIF(Citadel!A:A,A500)&gt;0,
  ""COLLECTION"",COUNTIF(Collections!A:A,A500)&gt;0,
  ""CRAFTIFACT"",COUNTIF(Craftifacts!A:A,A500)&gt;0,
  ""QUEST"",
   COUNTIF(
 "&amp;"   Quests!A:A,
    REGEXREPLACE(A500,""\.(accepted|finished)$"","""")
   )&gt;0,
  ""TECH"",COUNTIF(Technologies!A:A,A500)&gt;0,
  ""STATE"",COUNTIF(States!A:A,A500)&gt;0,
  FALSE
 )
)"),TRUE)</f>
        <v>1</v>
      </c>
      <c r="P500" s="64" t="str">
        <f t="shared" si="3"/>
        <v>Good</v>
      </c>
      <c r="Q500" s="65"/>
      <c r="R500" s="65"/>
      <c r="S500" s="65"/>
      <c r="T500" s="65"/>
      <c r="U500" s="6"/>
      <c r="V500" s="6" t="str">
        <f>IFERROR(__xludf.DUMMYFUNCTION("""COMPUTED_VALUE"""),"state.obtain_smugglers_map_100_beans")</f>
        <v>state.obtain_smugglers_map_100_beans</v>
      </c>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row>
    <row r="501" ht="14.25" customHeight="1">
      <c r="A501" s="26" t="str">
        <f t="shared" si="1"/>
        <v>state.obtain_smugglers_map_15_pearl</v>
      </c>
      <c r="B501" s="26" t="str">
        <f t="array" ref="B501">_xlfn.XLOOKUP(A501,Targets!A:A,Targets!C:C,"")</f>
        <v>STATE</v>
      </c>
      <c r="C501" s="64" t="b">
        <f>COUNTIF(Targets!A:A,A501)&gt;0</f>
        <v>1</v>
      </c>
      <c r="D501" s="64" t="b">
        <f>IF(
 OR(
  LEFT(A501,15)="state.character",
  RIGHT(A501,6)=".maxed"
 ),
 TRUE,
 COUNTIF(Checklist!A:A,A501)&gt;0
)</f>
        <v>1</v>
      </c>
      <c r="E501" s="64" t="b">
        <f>IF(
 OR(
  LEFT(A501,15)="state.character",
  RIGHT(A501,6)=".maxed",
  A501="building.guild@1",
  A501="quest.build_the_guild.accepted",
  A501="quest.build_the_pagoda.accepted"
 ),
 TRUE,
 COUNTIF(Dependencies!A:A,A501)&gt;0
)</f>
        <v>1</v>
      </c>
      <c r="F501" s="64" t="b">
        <f>COUNTIF(Dependencies!B:B,A501)&gt;0</f>
        <v>1</v>
      </c>
      <c r="G501" s="64" t="b">
        <f>COUNTIF(QuestObjectives!A:A,A501)&gt;0</f>
        <v>0</v>
      </c>
      <c r="H501" s="64" t="b">
        <f>COUNTIF(QuestObjectives!E:E,A501)&gt;0</f>
        <v>1</v>
      </c>
      <c r="I501" s="64" t="b">
        <f>COUNTIF(TargetStatus!A:A,A501)&gt;0</f>
        <v>1</v>
      </c>
      <c r="J501" s="64" t="b">
        <f>COUNTIF(CostStatus!B:B,A501)&gt;0</f>
        <v>0</v>
      </c>
      <c r="K501" s="64" t="b">
        <f>COUNTIF(States!A:A,A501)&gt;0</f>
        <v>1</v>
      </c>
      <c r="L501" s="64" t="b">
        <f t="shared" si="2"/>
        <v>1</v>
      </c>
      <c r="M501" s="64" t="b">
        <f>IF(A501="","",COUNTIF(Targets!A:A,A501)&gt;1)</f>
        <v>0</v>
      </c>
      <c r="N501" s="64" t="b">
        <f>IF(A501="","",COUNTIF(States!A:A,A501)&gt;1)</f>
        <v>0</v>
      </c>
      <c r="O501" s="64" t="b">
        <f>IFERROR(__xludf.DUMMYFUNCTION("IF(
 B501="""",
 """",
 SWITCH(
  B501,
  ""BUILDING"",COUNTIF(Buildings!A:A,A501)&gt;0,
  ""CITADEL"",COUNTIF(Citadel!A:A,A501)&gt;0,
  ""COLLECTION"",COUNTIF(Collections!A:A,A501)&gt;0,
  ""CRAFTIFACT"",COUNTIF(Craftifacts!A:A,A501)&gt;0,
  ""QUEST"",
   COUNTIF(
 "&amp;"   Quests!A:A,
    REGEXREPLACE(A501,""\.(accepted|finished)$"","""")
   )&gt;0,
  ""TECH"",COUNTIF(Technologies!A:A,A501)&gt;0,
  ""STATE"",COUNTIF(States!A:A,A501)&gt;0,
  FALSE
 )
)"),TRUE)</f>
        <v>1</v>
      </c>
      <c r="P501" s="64" t="str">
        <f t="shared" si="3"/>
        <v>Good</v>
      </c>
      <c r="Q501" s="65"/>
      <c r="R501" s="65"/>
      <c r="S501" s="65"/>
      <c r="T501" s="65"/>
      <c r="U501" s="6"/>
      <c r="V501" s="6" t="str">
        <f>IFERROR(__xludf.DUMMYFUNCTION("""COMPUTED_VALUE"""),"state.obtain_smugglers_map_15_pearl")</f>
        <v>state.obtain_smugglers_map_15_pearl</v>
      </c>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row>
    <row r="502" ht="14.25" customHeight="1">
      <c r="A502" s="26" t="str">
        <f t="shared" si="1"/>
        <v>state.obtain_spices</v>
      </c>
      <c r="B502" s="26" t="str">
        <f t="array" ref="B502">_xlfn.XLOOKUP(A502,Targets!A:A,Targets!C:C,"")</f>
        <v>STATE</v>
      </c>
      <c r="C502" s="64" t="b">
        <f>COUNTIF(Targets!A:A,A502)&gt;0</f>
        <v>1</v>
      </c>
      <c r="D502" s="64" t="b">
        <f>IF(
 OR(
  LEFT(A502,15)="state.character",
  RIGHT(A502,6)=".maxed"
 ),
 TRUE,
 COUNTIF(Checklist!A:A,A502)&gt;0
)</f>
        <v>1</v>
      </c>
      <c r="E502" s="64" t="b">
        <f>IF(
 OR(
  LEFT(A502,15)="state.character",
  RIGHT(A502,6)=".maxed",
  A502="building.guild@1",
  A502="quest.build_the_guild.accepted",
  A502="quest.build_the_pagoda.accepted"
 ),
 TRUE,
 COUNTIF(Dependencies!A:A,A502)&gt;0
)</f>
        <v>1</v>
      </c>
      <c r="F502" s="64" t="b">
        <f>COUNTIF(Dependencies!B:B,A502)&gt;0</f>
        <v>0</v>
      </c>
      <c r="G502" s="64" t="b">
        <f>COUNTIF(QuestObjectives!A:A,A502)&gt;0</f>
        <v>0</v>
      </c>
      <c r="H502" s="64" t="b">
        <f>COUNTIF(QuestObjectives!E:E,A502)&gt;0</f>
        <v>1</v>
      </c>
      <c r="I502" s="64" t="b">
        <f>COUNTIF(TargetStatus!A:A,A502)&gt;0</f>
        <v>1</v>
      </c>
      <c r="J502" s="64" t="b">
        <f>COUNTIF(CostStatus!B:B,A502)&gt;0</f>
        <v>0</v>
      </c>
      <c r="K502" s="64" t="b">
        <f>COUNTIF(States!A:A,A502)&gt;0</f>
        <v>1</v>
      </c>
      <c r="L502" s="64" t="b">
        <f t="shared" si="2"/>
        <v>1</v>
      </c>
      <c r="M502" s="64" t="b">
        <f>IF(A502="","",COUNTIF(Targets!A:A,A502)&gt;1)</f>
        <v>0</v>
      </c>
      <c r="N502" s="64" t="b">
        <f>IF(A502="","",COUNTIF(States!A:A,A502)&gt;1)</f>
        <v>0</v>
      </c>
      <c r="O502" s="64" t="b">
        <f>IFERROR(__xludf.DUMMYFUNCTION("IF(
 B502="""",
 """",
 SWITCH(
  B502,
  ""BUILDING"",COUNTIF(Buildings!A:A,A502)&gt;0,
  ""CITADEL"",COUNTIF(Citadel!A:A,A502)&gt;0,
  ""COLLECTION"",COUNTIF(Collections!A:A,A502)&gt;0,
  ""CRAFTIFACT"",COUNTIF(Craftifacts!A:A,A502)&gt;0,
  ""QUEST"",
   COUNTIF(
 "&amp;"   Quests!A:A,
    REGEXREPLACE(A502,""\.(accepted|finished)$"","""")
   )&gt;0,
  ""TECH"",COUNTIF(Technologies!A:A,A502)&gt;0,
  ""STATE"",COUNTIF(States!A:A,A502)&gt;0,
  FALSE
 )
)"),TRUE)</f>
        <v>1</v>
      </c>
      <c r="P502" s="64" t="str">
        <f t="shared" si="3"/>
        <v>Good</v>
      </c>
      <c r="Q502" s="65"/>
      <c r="R502" s="65"/>
      <c r="S502" s="65"/>
      <c r="T502" s="65"/>
      <c r="U502" s="6"/>
      <c r="V502" s="6" t="str">
        <f>IFERROR(__xludf.DUMMYFUNCTION("""COMPUTED_VALUE"""),"state.obtain_spices")</f>
        <v>state.obtain_spices</v>
      </c>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row>
    <row r="503" ht="14.25" customHeight="1">
      <c r="A503" s="26" t="str">
        <f t="shared" si="1"/>
        <v>state.obtain_steamobile</v>
      </c>
      <c r="B503" s="26" t="str">
        <f t="array" ref="B503">_xlfn.XLOOKUP(A503,Targets!A:A,Targets!C:C,"")</f>
        <v>STATE</v>
      </c>
      <c r="C503" s="64" t="b">
        <f>COUNTIF(Targets!A:A,A503)&gt;0</f>
        <v>1</v>
      </c>
      <c r="D503" s="64" t="b">
        <f>IF(
 OR(
  LEFT(A503,15)="state.character",
  RIGHT(A503,6)=".maxed"
 ),
 TRUE,
 COUNTIF(Checklist!A:A,A503)&gt;0
)</f>
        <v>1</v>
      </c>
      <c r="E503" s="64" t="b">
        <f>IF(
 OR(
  LEFT(A503,15)="state.character",
  RIGHT(A503,6)=".maxed",
  A503="building.guild@1",
  A503="quest.build_the_guild.accepted",
  A503="quest.build_the_pagoda.accepted"
 ),
 TRUE,
 COUNTIF(Dependencies!A:A,A503)&gt;0
)</f>
        <v>1</v>
      </c>
      <c r="F503" s="64" t="b">
        <f>COUNTIF(Dependencies!B:B,A503)&gt;0</f>
        <v>0</v>
      </c>
      <c r="G503" s="64" t="b">
        <f>COUNTIF(QuestObjectives!A:A,A503)&gt;0</f>
        <v>0</v>
      </c>
      <c r="H503" s="64" t="b">
        <f>COUNTIF(QuestObjectives!E:E,A503)&gt;0</f>
        <v>1</v>
      </c>
      <c r="I503" s="64" t="b">
        <f>COUNTIF(TargetStatus!A:A,A503)&gt;0</f>
        <v>1</v>
      </c>
      <c r="J503" s="64" t="b">
        <f>COUNTIF(CostStatus!B:B,A503)&gt;0</f>
        <v>0</v>
      </c>
      <c r="K503" s="64" t="b">
        <f>COUNTIF(States!A:A,A503)&gt;0</f>
        <v>1</v>
      </c>
      <c r="L503" s="64" t="b">
        <f t="shared" si="2"/>
        <v>1</v>
      </c>
      <c r="M503" s="64" t="b">
        <f>IF(A503="","",COUNTIF(Targets!A:A,A503)&gt;1)</f>
        <v>0</v>
      </c>
      <c r="N503" s="64" t="b">
        <f>IF(A503="","",COUNTIF(States!A:A,A503)&gt;1)</f>
        <v>0</v>
      </c>
      <c r="O503" s="64" t="b">
        <f>IFERROR(__xludf.DUMMYFUNCTION("IF(
 B503="""",
 """",
 SWITCH(
  B503,
  ""BUILDING"",COUNTIF(Buildings!A:A,A503)&gt;0,
  ""CITADEL"",COUNTIF(Citadel!A:A,A503)&gt;0,
  ""COLLECTION"",COUNTIF(Collections!A:A,A503)&gt;0,
  ""CRAFTIFACT"",COUNTIF(Craftifacts!A:A,A503)&gt;0,
  ""QUEST"",
   COUNTIF(
 "&amp;"   Quests!A:A,
    REGEXREPLACE(A503,""\.(accepted|finished)$"","""")
   )&gt;0,
  ""TECH"",COUNTIF(Technologies!A:A,A503)&gt;0,
  ""STATE"",COUNTIF(States!A:A,A503)&gt;0,
  FALSE
 )
)"),TRUE)</f>
        <v>1</v>
      </c>
      <c r="P503" s="64" t="str">
        <f t="shared" si="3"/>
        <v>Good</v>
      </c>
      <c r="Q503" s="65"/>
      <c r="R503" s="65"/>
      <c r="S503" s="65"/>
      <c r="T503" s="65"/>
      <c r="U503" s="6"/>
      <c r="V503" s="6" t="str">
        <f>IFERROR(__xludf.DUMMYFUNCTION("""COMPUTED_VALUE"""),"state.obtain_steamobile")</f>
        <v>state.obtain_steamobile</v>
      </c>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row>
    <row r="504" ht="14.25" customHeight="1">
      <c r="A504" s="26" t="str">
        <f t="shared" si="1"/>
        <v>state.obtain_strawberry@f1</v>
      </c>
      <c r="B504" s="26" t="str">
        <f t="array" ref="B504">_xlfn.XLOOKUP(A504,Targets!A:A,Targets!C:C,"")</f>
        <v>STATE</v>
      </c>
      <c r="C504" s="64" t="b">
        <f>COUNTIF(Targets!A:A,A504)&gt;0</f>
        <v>1</v>
      </c>
      <c r="D504" s="64" t="b">
        <f>IF(
 OR(
  LEFT(A504,15)="state.character",
  RIGHT(A504,6)=".maxed"
 ),
 TRUE,
 COUNTIF(Checklist!A:A,A504)&gt;0
)</f>
        <v>1</v>
      </c>
      <c r="E504" s="64" t="b">
        <f>IF(
 OR(
  LEFT(A504,15)="state.character",
  RIGHT(A504,6)=".maxed",
  A504="building.guild@1",
  A504="quest.build_the_guild.accepted",
  A504="quest.build_the_pagoda.accepted"
 ),
 TRUE,
 COUNTIF(Dependencies!A:A,A504)&gt;0
)</f>
        <v>1</v>
      </c>
      <c r="F504" s="64" t="b">
        <f>COUNTIF(Dependencies!B:B,A504)&gt;0</f>
        <v>1</v>
      </c>
      <c r="G504" s="64" t="b">
        <f>COUNTIF(QuestObjectives!A:A,A504)&gt;0</f>
        <v>0</v>
      </c>
      <c r="H504" s="64" t="b">
        <f>COUNTIF(QuestObjectives!E:E,A504)&gt;0</f>
        <v>0</v>
      </c>
      <c r="I504" s="64" t="b">
        <f>COUNTIF(TargetStatus!A:A,A504)&gt;0</f>
        <v>1</v>
      </c>
      <c r="J504" s="64" t="b">
        <f>COUNTIF(CostStatus!B:B,A504)&gt;0</f>
        <v>0</v>
      </c>
      <c r="K504" s="64" t="b">
        <f>COUNTIF(States!A:A,A504)&gt;0</f>
        <v>1</v>
      </c>
      <c r="L504" s="64" t="b">
        <f t="shared" si="2"/>
        <v>1</v>
      </c>
      <c r="M504" s="64" t="b">
        <f>IF(A504="","",COUNTIF(Targets!A:A,A504)&gt;1)</f>
        <v>0</v>
      </c>
      <c r="N504" s="64" t="b">
        <f>IF(A504="","",COUNTIF(States!A:A,A504)&gt;1)</f>
        <v>0</v>
      </c>
      <c r="O504" s="64" t="b">
        <f>IFERROR(__xludf.DUMMYFUNCTION("IF(
 B504="""",
 """",
 SWITCH(
  B504,
  ""BUILDING"",COUNTIF(Buildings!A:A,A504)&gt;0,
  ""CITADEL"",COUNTIF(Citadel!A:A,A504)&gt;0,
  ""COLLECTION"",COUNTIF(Collections!A:A,A504)&gt;0,
  ""CRAFTIFACT"",COUNTIF(Craftifacts!A:A,A504)&gt;0,
  ""QUEST"",
   COUNTIF(
 "&amp;"   Quests!A:A,
    REGEXREPLACE(A504,""\.(accepted|finished)$"","""")
   )&gt;0,
  ""TECH"",COUNTIF(Technologies!A:A,A504)&gt;0,
  ""STATE"",COUNTIF(States!A:A,A504)&gt;0,
  FALSE
 )
)"),TRUE)</f>
        <v>1</v>
      </c>
      <c r="P504" s="64" t="str">
        <f t="shared" si="3"/>
        <v>Good</v>
      </c>
      <c r="Q504" s="65"/>
      <c r="R504" s="65"/>
      <c r="S504" s="65"/>
      <c r="T504" s="65"/>
      <c r="U504" s="6"/>
      <c r="V504" s="6" t="str">
        <f>IFERROR(__xludf.DUMMYFUNCTION("""COMPUTED_VALUE"""),"state.obtain_strawberry@f1")</f>
        <v>state.obtain_strawberry@f1</v>
      </c>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row>
    <row r="505" ht="14.25" customHeight="1">
      <c r="A505" s="26" t="str">
        <f t="shared" si="1"/>
        <v>state.obtain_sword4</v>
      </c>
      <c r="B505" s="26" t="str">
        <f t="array" ref="B505">_xlfn.XLOOKUP(A505,Targets!A:A,Targets!C:C,"")</f>
        <v>STATE</v>
      </c>
      <c r="C505" s="64" t="b">
        <f>COUNTIF(Targets!A:A,A505)&gt;0</f>
        <v>1</v>
      </c>
      <c r="D505" s="64" t="b">
        <f>IF(
 OR(
  LEFT(A505,15)="state.character",
  RIGHT(A505,6)=".maxed"
 ),
 TRUE,
 COUNTIF(Checklist!A:A,A505)&gt;0
)</f>
        <v>1</v>
      </c>
      <c r="E505" s="64" t="b">
        <f>IF(
 OR(
  LEFT(A505,15)="state.character",
  RIGHT(A505,6)=".maxed",
  A505="building.guild@1",
  A505="quest.build_the_guild.accepted",
  A505="quest.build_the_pagoda.accepted"
 ),
 TRUE,
 COUNTIF(Dependencies!A:A,A505)&gt;0
)</f>
        <v>1</v>
      </c>
      <c r="F505" s="64" t="b">
        <f>COUNTIF(Dependencies!B:B,A505)&gt;0</f>
        <v>0</v>
      </c>
      <c r="G505" s="64" t="b">
        <f>COUNTIF(QuestObjectives!A:A,A505)&gt;0</f>
        <v>0</v>
      </c>
      <c r="H505" s="64" t="b">
        <f>COUNTIF(QuestObjectives!E:E,A505)&gt;0</f>
        <v>1</v>
      </c>
      <c r="I505" s="64" t="b">
        <f>COUNTIF(TargetStatus!A:A,A505)&gt;0</f>
        <v>1</v>
      </c>
      <c r="J505" s="64" t="b">
        <f>COUNTIF(CostStatus!B:B,A505)&gt;0</f>
        <v>0</v>
      </c>
      <c r="K505" s="64" t="b">
        <f>COUNTIF(States!A:A,A505)&gt;0</f>
        <v>1</v>
      </c>
      <c r="L505" s="64" t="b">
        <f t="shared" si="2"/>
        <v>1</v>
      </c>
      <c r="M505" s="64" t="b">
        <f>IF(A505="","",COUNTIF(Targets!A:A,A505)&gt;1)</f>
        <v>0</v>
      </c>
      <c r="N505" s="64" t="b">
        <f>IF(A505="","",COUNTIF(States!A:A,A505)&gt;1)</f>
        <v>0</v>
      </c>
      <c r="O505" s="64" t="b">
        <f>IFERROR(__xludf.DUMMYFUNCTION("IF(
 B505="""",
 """",
 SWITCH(
  B505,
  ""BUILDING"",COUNTIF(Buildings!A:A,A505)&gt;0,
  ""CITADEL"",COUNTIF(Citadel!A:A,A505)&gt;0,
  ""COLLECTION"",COUNTIF(Collections!A:A,A505)&gt;0,
  ""CRAFTIFACT"",COUNTIF(Craftifacts!A:A,A505)&gt;0,
  ""QUEST"",
   COUNTIF(
 "&amp;"   Quests!A:A,
    REGEXREPLACE(A505,""\.(accepted|finished)$"","""")
   )&gt;0,
  ""TECH"",COUNTIF(Technologies!A:A,A505)&gt;0,
  ""STATE"",COUNTIF(States!A:A,A505)&gt;0,
  FALSE
 )
)"),TRUE)</f>
        <v>1</v>
      </c>
      <c r="P505" s="64" t="str">
        <f t="shared" si="3"/>
        <v>Good</v>
      </c>
      <c r="Q505" s="65"/>
      <c r="R505" s="65"/>
      <c r="S505" s="65"/>
      <c r="T505" s="65"/>
      <c r="U505" s="6"/>
      <c r="V505" s="6" t="str">
        <f>IFERROR(__xludf.DUMMYFUNCTION("""COMPUTED_VALUE"""),"state.obtain_sword4")</f>
        <v>state.obtain_sword4</v>
      </c>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row>
    <row r="506" ht="14.25" customHeight="1">
      <c r="A506" s="26" t="str">
        <f t="shared" si="1"/>
        <v>state.obtain_sword4+</v>
      </c>
      <c r="B506" s="26" t="str">
        <f t="array" ref="B506">_xlfn.XLOOKUP(A506,Targets!A:A,Targets!C:C,"")</f>
        <v>STATE</v>
      </c>
      <c r="C506" s="64" t="b">
        <f>COUNTIF(Targets!A:A,A506)&gt;0</f>
        <v>1</v>
      </c>
      <c r="D506" s="64" t="b">
        <f>IF(
 OR(
  LEFT(A506,15)="state.character",
  RIGHT(A506,6)=".maxed"
 ),
 TRUE,
 COUNTIF(Checklist!A:A,A506)&gt;0
)</f>
        <v>1</v>
      </c>
      <c r="E506" s="64" t="b">
        <f>IF(
 OR(
  LEFT(A506,15)="state.character",
  RIGHT(A506,6)=".maxed",
  A506="building.guild@1",
  A506="quest.build_the_guild.accepted",
  A506="quest.build_the_pagoda.accepted"
 ),
 TRUE,
 COUNTIF(Dependencies!A:A,A506)&gt;0
)</f>
        <v>1</v>
      </c>
      <c r="F506" s="64" t="b">
        <f>COUNTIF(Dependencies!B:B,A506)&gt;0</f>
        <v>0</v>
      </c>
      <c r="G506" s="64" t="b">
        <f>COUNTIF(QuestObjectives!A:A,A506)&gt;0</f>
        <v>0</v>
      </c>
      <c r="H506" s="64" t="b">
        <f>COUNTIF(QuestObjectives!E:E,A506)&gt;0</f>
        <v>1</v>
      </c>
      <c r="I506" s="64" t="b">
        <f>COUNTIF(TargetStatus!A:A,A506)&gt;0</f>
        <v>1</v>
      </c>
      <c r="J506" s="64" t="b">
        <f>COUNTIF(CostStatus!B:B,A506)&gt;0</f>
        <v>0</v>
      </c>
      <c r="K506" s="64" t="b">
        <f>COUNTIF(States!A:A,A506)&gt;0</f>
        <v>1</v>
      </c>
      <c r="L506" s="64" t="b">
        <f t="shared" si="2"/>
        <v>1</v>
      </c>
      <c r="M506" s="64" t="b">
        <f>IF(A506="","",COUNTIF(Targets!A:A,A506)&gt;1)</f>
        <v>0</v>
      </c>
      <c r="N506" s="64" t="b">
        <f>IF(A506="","",COUNTIF(States!A:A,A506)&gt;1)</f>
        <v>0</v>
      </c>
      <c r="O506" s="64" t="b">
        <f>IFERROR(__xludf.DUMMYFUNCTION("IF(
 B506="""",
 """",
 SWITCH(
  B506,
  ""BUILDING"",COUNTIF(Buildings!A:A,A506)&gt;0,
  ""CITADEL"",COUNTIF(Citadel!A:A,A506)&gt;0,
  ""COLLECTION"",COUNTIF(Collections!A:A,A506)&gt;0,
  ""CRAFTIFACT"",COUNTIF(Craftifacts!A:A,A506)&gt;0,
  ""QUEST"",
   COUNTIF(
 "&amp;"   Quests!A:A,
    REGEXREPLACE(A506,""\.(accepted|finished)$"","""")
   )&gt;0,
  ""TECH"",COUNTIF(Technologies!A:A,A506)&gt;0,
  ""STATE"",COUNTIF(States!A:A,A506)&gt;0,
  FALSE
 )
)"),TRUE)</f>
        <v>1</v>
      </c>
      <c r="P506" s="64" t="str">
        <f t="shared" si="3"/>
        <v>Good</v>
      </c>
      <c r="Q506" s="65"/>
      <c r="R506" s="65"/>
      <c r="S506" s="65"/>
      <c r="T506" s="65"/>
      <c r="U506" s="6"/>
      <c r="V506" s="6" t="str">
        <f>IFERROR(__xludf.DUMMYFUNCTION("""COMPUTED_VALUE"""),"state.obtain_sword4+")</f>
        <v>state.obtain_sword4+</v>
      </c>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row>
    <row r="507" ht="14.25" customHeight="1">
      <c r="A507" s="26" t="str">
        <f t="shared" si="1"/>
        <v>state.obtain_titanium</v>
      </c>
      <c r="B507" s="26" t="str">
        <f t="array" ref="B507">_xlfn.XLOOKUP(A507,Targets!A:A,Targets!C:C,"")</f>
        <v>STATE</v>
      </c>
      <c r="C507" s="64" t="b">
        <f>COUNTIF(Targets!A:A,A507)&gt;0</f>
        <v>1</v>
      </c>
      <c r="D507" s="64" t="b">
        <f>IF(
 OR(
  LEFT(A507,15)="state.character",
  RIGHT(A507,6)=".maxed"
 ),
 TRUE,
 COUNTIF(Checklist!A:A,A507)&gt;0
)</f>
        <v>1</v>
      </c>
      <c r="E507" s="64" t="b">
        <f>IF(
 OR(
  LEFT(A507,15)="state.character",
  RIGHT(A507,6)=".maxed",
  A507="building.guild@1",
  A507="quest.build_the_guild.accepted",
  A507="quest.build_the_pagoda.accepted"
 ),
 TRUE,
 COUNTIF(Dependencies!A:A,A507)&gt;0
)</f>
        <v>1</v>
      </c>
      <c r="F507" s="64" t="b">
        <f>COUNTIF(Dependencies!B:B,A507)&gt;0</f>
        <v>0</v>
      </c>
      <c r="G507" s="64" t="b">
        <f>COUNTIF(QuestObjectives!A:A,A507)&gt;0</f>
        <v>0</v>
      </c>
      <c r="H507" s="64" t="b">
        <f>COUNTIF(QuestObjectives!E:E,A507)&gt;0</f>
        <v>1</v>
      </c>
      <c r="I507" s="64" t="b">
        <f>COUNTIF(TargetStatus!A:A,A507)&gt;0</f>
        <v>1</v>
      </c>
      <c r="J507" s="64" t="b">
        <f>COUNTIF(CostStatus!B:B,A507)&gt;0</f>
        <v>0</v>
      </c>
      <c r="K507" s="64" t="b">
        <f>COUNTIF(States!A:A,A507)&gt;0</f>
        <v>1</v>
      </c>
      <c r="L507" s="64" t="b">
        <f t="shared" si="2"/>
        <v>1</v>
      </c>
      <c r="M507" s="64" t="b">
        <f>IF(A507="","",COUNTIF(Targets!A:A,A507)&gt;1)</f>
        <v>0</v>
      </c>
      <c r="N507" s="64" t="b">
        <f>IF(A507="","",COUNTIF(States!A:A,A507)&gt;1)</f>
        <v>0</v>
      </c>
      <c r="O507" s="64" t="b">
        <f>IFERROR(__xludf.DUMMYFUNCTION("IF(
 B507="""",
 """",
 SWITCH(
  B507,
  ""BUILDING"",COUNTIF(Buildings!A:A,A507)&gt;0,
  ""CITADEL"",COUNTIF(Citadel!A:A,A507)&gt;0,
  ""COLLECTION"",COUNTIF(Collections!A:A,A507)&gt;0,
  ""CRAFTIFACT"",COUNTIF(Craftifacts!A:A,A507)&gt;0,
  ""QUEST"",
   COUNTIF(
 "&amp;"   Quests!A:A,
    REGEXREPLACE(A507,""\.(accepted|finished)$"","""")
   )&gt;0,
  ""TECH"",COUNTIF(Technologies!A:A,A507)&gt;0,
  ""STATE"",COUNTIF(States!A:A,A507)&gt;0,
  FALSE
 )
)"),TRUE)</f>
        <v>1</v>
      </c>
      <c r="P507" s="64" t="str">
        <f t="shared" si="3"/>
        <v>Good</v>
      </c>
      <c r="Q507" s="65"/>
      <c r="R507" s="65"/>
      <c r="S507" s="65"/>
      <c r="T507" s="65"/>
      <c r="U507" s="6"/>
      <c r="V507" s="6" t="str">
        <f>IFERROR(__xludf.DUMMYFUNCTION("""COMPUTED_VALUE"""),"state.obtain_titanium")</f>
        <v>state.obtain_titanium</v>
      </c>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row>
    <row r="508" ht="14.25" customHeight="1">
      <c r="A508" s="26" t="str">
        <f t="shared" si="1"/>
        <v>state.obtain_treasure</v>
      </c>
      <c r="B508" s="26" t="str">
        <f t="array" ref="B508">_xlfn.XLOOKUP(A508,Targets!A:A,Targets!C:C,"")</f>
        <v>STATE</v>
      </c>
      <c r="C508" s="64" t="b">
        <f>COUNTIF(Targets!A:A,A508)&gt;0</f>
        <v>1</v>
      </c>
      <c r="D508" s="64" t="b">
        <f>IF(
 OR(
  LEFT(A508,15)="state.character",
  RIGHT(A508,6)=".maxed"
 ),
 TRUE,
 COUNTIF(Checklist!A:A,A508)&gt;0
)</f>
        <v>1</v>
      </c>
      <c r="E508" s="64" t="b">
        <f>IF(
 OR(
  LEFT(A508,15)="state.character",
  RIGHT(A508,6)=".maxed",
  A508="building.guild@1",
  A508="quest.build_the_guild.accepted",
  A508="quest.build_the_pagoda.accepted"
 ),
 TRUE,
 COUNTIF(Dependencies!A:A,A508)&gt;0
)</f>
        <v>1</v>
      </c>
      <c r="F508" s="64" t="b">
        <f>COUNTIF(Dependencies!B:B,A508)&gt;0</f>
        <v>0</v>
      </c>
      <c r="G508" s="64" t="b">
        <f>COUNTIF(QuestObjectives!A:A,A508)&gt;0</f>
        <v>0</v>
      </c>
      <c r="H508" s="64" t="b">
        <f>COUNTIF(QuestObjectives!E:E,A508)&gt;0</f>
        <v>1</v>
      </c>
      <c r="I508" s="64" t="b">
        <f>COUNTIF(TargetStatus!A:A,A508)&gt;0</f>
        <v>1</v>
      </c>
      <c r="J508" s="64" t="b">
        <f>COUNTIF(CostStatus!B:B,A508)&gt;0</f>
        <v>0</v>
      </c>
      <c r="K508" s="64" t="b">
        <f>COUNTIF(States!A:A,A508)&gt;0</f>
        <v>1</v>
      </c>
      <c r="L508" s="64" t="b">
        <f t="shared" si="2"/>
        <v>1</v>
      </c>
      <c r="M508" s="64" t="b">
        <f>IF(A508="","",COUNTIF(Targets!A:A,A508)&gt;1)</f>
        <v>0</v>
      </c>
      <c r="N508" s="64" t="b">
        <f>IF(A508="","",COUNTIF(States!A:A,A508)&gt;1)</f>
        <v>0</v>
      </c>
      <c r="O508" s="64" t="b">
        <f>IFERROR(__xludf.DUMMYFUNCTION("IF(
 B508="""",
 """",
 SWITCH(
  B508,
  ""BUILDING"",COUNTIF(Buildings!A:A,A508)&gt;0,
  ""CITADEL"",COUNTIF(Citadel!A:A,A508)&gt;0,
  ""COLLECTION"",COUNTIF(Collections!A:A,A508)&gt;0,
  ""CRAFTIFACT"",COUNTIF(Craftifacts!A:A,A508)&gt;0,
  ""QUEST"",
   COUNTIF(
 "&amp;"   Quests!A:A,
    REGEXREPLACE(A508,""\.(accepted|finished)$"","""")
   )&gt;0,
  ""TECH"",COUNTIF(Technologies!A:A,A508)&gt;0,
  ""STATE"",COUNTIF(States!A:A,A508)&gt;0,
  FALSE
 )
)"),TRUE)</f>
        <v>1</v>
      </c>
      <c r="P508" s="64" t="str">
        <f t="shared" si="3"/>
        <v>Good</v>
      </c>
      <c r="Q508" s="65"/>
      <c r="R508" s="65"/>
      <c r="S508" s="65"/>
      <c r="T508" s="65"/>
      <c r="U508" s="6"/>
      <c r="V508" s="6" t="str">
        <f>IFERROR(__xludf.DUMMYFUNCTION("""COMPUTED_VALUE"""),"state.obtain_treasure")</f>
        <v>state.obtain_treasure</v>
      </c>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row>
    <row r="509" ht="14.25" customHeight="1">
      <c r="A509" s="26" t="str">
        <f t="shared" si="1"/>
        <v>state.visit_aomori</v>
      </c>
      <c r="B509" s="26" t="str">
        <f t="array" ref="B509">_xlfn.XLOOKUP(A509,Targets!A:A,Targets!C:C,"")</f>
        <v>STATE</v>
      </c>
      <c r="C509" s="64" t="b">
        <f>COUNTIF(Targets!A:A,A509)&gt;0</f>
        <v>1</v>
      </c>
      <c r="D509" s="64" t="b">
        <f>IF(
 OR(
  LEFT(A509,15)="state.character",
  RIGHT(A509,6)=".maxed"
 ),
 TRUE,
 COUNTIF(Checklist!A:A,A509)&gt;0
)</f>
        <v>1</v>
      </c>
      <c r="E509" s="64" t="b">
        <f>IF(
 OR(
  LEFT(A509,15)="state.character",
  RIGHT(A509,6)=".maxed",
  A509="building.guild@1",
  A509="quest.build_the_guild.accepted",
  A509="quest.build_the_pagoda.accepted"
 ),
 TRUE,
 COUNTIF(Dependencies!A:A,A509)&gt;0
)</f>
        <v>1</v>
      </c>
      <c r="F509" s="64" t="b">
        <f>COUNTIF(Dependencies!B:B,A509)&gt;0</f>
        <v>0</v>
      </c>
      <c r="G509" s="64" t="b">
        <f>COUNTIF(QuestObjectives!A:A,A509)&gt;0</f>
        <v>0</v>
      </c>
      <c r="H509" s="64" t="b">
        <f>COUNTIF(QuestObjectives!E:E,A509)&gt;0</f>
        <v>1</v>
      </c>
      <c r="I509" s="64" t="b">
        <f>COUNTIF(TargetStatus!A:A,A509)&gt;0</f>
        <v>1</v>
      </c>
      <c r="J509" s="64" t="b">
        <f>COUNTIF(CostStatus!B:B,A509)&gt;0</f>
        <v>0</v>
      </c>
      <c r="K509" s="64" t="b">
        <f>COUNTIF(States!A:A,A509)&gt;0</f>
        <v>1</v>
      </c>
      <c r="L509" s="64" t="b">
        <f t="shared" si="2"/>
        <v>1</v>
      </c>
      <c r="M509" s="64" t="b">
        <f>IF(A509="","",COUNTIF(Targets!A:A,A509)&gt;1)</f>
        <v>0</v>
      </c>
      <c r="N509" s="64" t="b">
        <f>IF(A509="","",COUNTIF(States!A:A,A509)&gt;1)</f>
        <v>0</v>
      </c>
      <c r="O509" s="64" t="b">
        <f>IFERROR(__xludf.DUMMYFUNCTION("IF(
 B509="""",
 """",
 SWITCH(
  B509,
  ""BUILDING"",COUNTIF(Buildings!A:A,A509)&gt;0,
  ""CITADEL"",COUNTIF(Citadel!A:A,A509)&gt;0,
  ""COLLECTION"",COUNTIF(Collections!A:A,A509)&gt;0,
  ""CRAFTIFACT"",COUNTIF(Craftifacts!A:A,A509)&gt;0,
  ""QUEST"",
   COUNTIF(
 "&amp;"   Quests!A:A,
    REGEXREPLACE(A509,""\.(accepted|finished)$"","""")
   )&gt;0,
  ""TECH"",COUNTIF(Technologies!A:A,A509)&gt;0,
  ""STATE"",COUNTIF(States!A:A,A509)&gt;0,
  FALSE
 )
)"),TRUE)</f>
        <v>1</v>
      </c>
      <c r="P509" s="64" t="str">
        <f t="shared" si="3"/>
        <v>Good</v>
      </c>
      <c r="Q509" s="65"/>
      <c r="R509" s="65"/>
      <c r="S509" s="65"/>
      <c r="T509" s="65"/>
      <c r="U509" s="6"/>
      <c r="V509" s="6" t="str">
        <f>IFERROR(__xludf.DUMMYFUNCTION("""COMPUTED_VALUE"""),"state.visit_aomori")</f>
        <v>state.visit_aomori</v>
      </c>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row>
    <row r="510" ht="14.25" customHeight="1">
      <c r="A510" s="26" t="str">
        <f t="shared" si="1"/>
        <v>state.visit_athens</v>
      </c>
      <c r="B510" s="26" t="str">
        <f t="array" ref="B510">_xlfn.XLOOKUP(A510,Targets!A:A,Targets!C:C,"")</f>
        <v>STATE</v>
      </c>
      <c r="C510" s="64" t="b">
        <f>COUNTIF(Targets!A:A,A510)&gt;0</f>
        <v>1</v>
      </c>
      <c r="D510" s="64" t="b">
        <f>IF(
 OR(
  LEFT(A510,15)="state.character",
  RIGHT(A510,6)=".maxed"
 ),
 TRUE,
 COUNTIF(Checklist!A:A,A510)&gt;0
)</f>
        <v>1</v>
      </c>
      <c r="E510" s="64" t="b">
        <f>IF(
 OR(
  LEFT(A510,15)="state.character",
  RIGHT(A510,6)=".maxed",
  A510="building.guild@1",
  A510="quest.build_the_guild.accepted",
  A510="quest.build_the_pagoda.accepted"
 ),
 TRUE,
 COUNTIF(Dependencies!A:A,A510)&gt;0
)</f>
        <v>1</v>
      </c>
      <c r="F510" s="64" t="b">
        <f>COUNTIF(Dependencies!B:B,A510)&gt;0</f>
        <v>0</v>
      </c>
      <c r="G510" s="64" t="b">
        <f>COUNTIF(QuestObjectives!A:A,A510)&gt;0</f>
        <v>0</v>
      </c>
      <c r="H510" s="64" t="b">
        <f>COUNTIF(QuestObjectives!E:E,A510)&gt;0</f>
        <v>1</v>
      </c>
      <c r="I510" s="64" t="b">
        <f>COUNTIF(TargetStatus!A:A,A510)&gt;0</f>
        <v>1</v>
      </c>
      <c r="J510" s="64" t="b">
        <f>COUNTIF(CostStatus!B:B,A510)&gt;0</f>
        <v>0</v>
      </c>
      <c r="K510" s="64" t="b">
        <f>COUNTIF(States!A:A,A510)&gt;0</f>
        <v>1</v>
      </c>
      <c r="L510" s="64" t="b">
        <f t="shared" si="2"/>
        <v>1</v>
      </c>
      <c r="M510" s="64" t="b">
        <f>IF(A510="","",COUNTIF(Targets!A:A,A510)&gt;1)</f>
        <v>0</v>
      </c>
      <c r="N510" s="64" t="b">
        <f>IF(A510="","",COUNTIF(States!A:A,A510)&gt;1)</f>
        <v>0</v>
      </c>
      <c r="O510" s="64" t="b">
        <f>IFERROR(__xludf.DUMMYFUNCTION("IF(
 B510="""",
 """",
 SWITCH(
  B510,
  ""BUILDING"",COUNTIF(Buildings!A:A,A510)&gt;0,
  ""CITADEL"",COUNTIF(Citadel!A:A,A510)&gt;0,
  ""COLLECTION"",COUNTIF(Collections!A:A,A510)&gt;0,
  ""CRAFTIFACT"",COUNTIF(Craftifacts!A:A,A510)&gt;0,
  ""QUEST"",
   COUNTIF(
 "&amp;"   Quests!A:A,
    REGEXREPLACE(A510,""\.(accepted|finished)$"","""")
   )&gt;0,
  ""TECH"",COUNTIF(Technologies!A:A,A510)&gt;0,
  ""STATE"",COUNTIF(States!A:A,A510)&gt;0,
  FALSE
 )
)"),TRUE)</f>
        <v>1</v>
      </c>
      <c r="P510" s="64" t="str">
        <f t="shared" si="3"/>
        <v>Good</v>
      </c>
      <c r="Q510" s="65"/>
      <c r="R510" s="65"/>
      <c r="S510" s="65"/>
      <c r="T510" s="65"/>
      <c r="U510" s="6"/>
      <c r="V510" s="6" t="str">
        <f>IFERROR(__xludf.DUMMYFUNCTION("""COMPUTED_VALUE"""),"state.visit_athens")</f>
        <v>state.visit_athens</v>
      </c>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row>
    <row r="511" ht="14.25" customHeight="1">
      <c r="A511" s="26" t="str">
        <f t="shared" si="1"/>
        <v>state.visit_baghdad</v>
      </c>
      <c r="B511" s="26" t="str">
        <f t="array" ref="B511">_xlfn.XLOOKUP(A511,Targets!A:A,Targets!C:C,"")</f>
        <v>STATE</v>
      </c>
      <c r="C511" s="64" t="b">
        <f>COUNTIF(Targets!A:A,A511)&gt;0</f>
        <v>1</v>
      </c>
      <c r="D511" s="64" t="b">
        <f>IF(
 OR(
  LEFT(A511,15)="state.character",
  RIGHT(A511,6)=".maxed"
 ),
 TRUE,
 COUNTIF(Checklist!A:A,A511)&gt;0
)</f>
        <v>1</v>
      </c>
      <c r="E511" s="64" t="b">
        <f>IF(
 OR(
  LEFT(A511,15)="state.character",
  RIGHT(A511,6)=".maxed",
  A511="building.guild@1",
  A511="quest.build_the_guild.accepted",
  A511="quest.build_the_pagoda.accepted"
 ),
 TRUE,
 COUNTIF(Dependencies!A:A,A511)&gt;0
)</f>
        <v>1</v>
      </c>
      <c r="F511" s="64" t="b">
        <f>COUNTIF(Dependencies!B:B,A511)&gt;0</f>
        <v>0</v>
      </c>
      <c r="G511" s="64" t="b">
        <f>COUNTIF(QuestObjectives!A:A,A511)&gt;0</f>
        <v>0</v>
      </c>
      <c r="H511" s="64" t="b">
        <f>COUNTIF(QuestObjectives!E:E,A511)&gt;0</f>
        <v>1</v>
      </c>
      <c r="I511" s="64" t="b">
        <f>COUNTIF(TargetStatus!A:A,A511)&gt;0</f>
        <v>1</v>
      </c>
      <c r="J511" s="64" t="b">
        <f>COUNTIF(CostStatus!B:B,A511)&gt;0</f>
        <v>0</v>
      </c>
      <c r="K511" s="64" t="b">
        <f>COUNTIF(States!A:A,A511)&gt;0</f>
        <v>1</v>
      </c>
      <c r="L511" s="64" t="b">
        <f t="shared" si="2"/>
        <v>1</v>
      </c>
      <c r="M511" s="64" t="b">
        <f>IF(A511="","",COUNTIF(Targets!A:A,A511)&gt;1)</f>
        <v>0</v>
      </c>
      <c r="N511" s="64" t="b">
        <f>IF(A511="","",COUNTIF(States!A:A,A511)&gt;1)</f>
        <v>0</v>
      </c>
      <c r="O511" s="64" t="b">
        <f>IFERROR(__xludf.DUMMYFUNCTION("IF(
 B511="""",
 """",
 SWITCH(
  B511,
  ""BUILDING"",COUNTIF(Buildings!A:A,A511)&gt;0,
  ""CITADEL"",COUNTIF(Citadel!A:A,A511)&gt;0,
  ""COLLECTION"",COUNTIF(Collections!A:A,A511)&gt;0,
  ""CRAFTIFACT"",COUNTIF(Craftifacts!A:A,A511)&gt;0,
  ""QUEST"",
   COUNTIF(
 "&amp;"   Quests!A:A,
    REGEXREPLACE(A511,""\.(accepted|finished)$"","""")
   )&gt;0,
  ""TECH"",COUNTIF(Technologies!A:A,A511)&gt;0,
  ""STATE"",COUNTIF(States!A:A,A511)&gt;0,
  FALSE
 )
)"),TRUE)</f>
        <v>1</v>
      </c>
      <c r="P511" s="64" t="str">
        <f t="shared" si="3"/>
        <v>Good</v>
      </c>
      <c r="Q511" s="65"/>
      <c r="R511" s="65"/>
      <c r="S511" s="65"/>
      <c r="T511" s="65"/>
      <c r="U511" s="6"/>
      <c r="V511" s="6" t="str">
        <f>IFERROR(__xludf.DUMMYFUNCTION("""COMPUTED_VALUE"""),"state.visit_baghdad")</f>
        <v>state.visit_baghdad</v>
      </c>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row>
    <row r="512" ht="14.25" customHeight="1">
      <c r="A512" s="26" t="str">
        <f t="shared" si="1"/>
        <v>state.visit_beijing</v>
      </c>
      <c r="B512" s="26" t="str">
        <f t="array" ref="B512">_xlfn.XLOOKUP(A512,Targets!A:A,Targets!C:C,"")</f>
        <v>STATE</v>
      </c>
      <c r="C512" s="64" t="b">
        <f>COUNTIF(Targets!A:A,A512)&gt;0</f>
        <v>1</v>
      </c>
      <c r="D512" s="64" t="b">
        <f>IF(
 OR(
  LEFT(A512,15)="state.character",
  RIGHT(A512,6)=".maxed"
 ),
 TRUE,
 COUNTIF(Checklist!A:A,A512)&gt;0
)</f>
        <v>1</v>
      </c>
      <c r="E512" s="64" t="b">
        <f>IF(
 OR(
  LEFT(A512,15)="state.character",
  RIGHT(A512,6)=".maxed",
  A512="building.guild@1",
  A512="quest.build_the_guild.accepted",
  A512="quest.build_the_pagoda.accepted"
 ),
 TRUE,
 COUNTIF(Dependencies!A:A,A512)&gt;0
)</f>
        <v>1</v>
      </c>
      <c r="F512" s="64" t="b">
        <f>COUNTIF(Dependencies!B:B,A512)&gt;0</f>
        <v>0</v>
      </c>
      <c r="G512" s="64" t="b">
        <f>COUNTIF(QuestObjectives!A:A,A512)&gt;0</f>
        <v>0</v>
      </c>
      <c r="H512" s="64" t="b">
        <f>COUNTIF(QuestObjectives!E:E,A512)&gt;0</f>
        <v>1</v>
      </c>
      <c r="I512" s="64" t="b">
        <f>COUNTIF(TargetStatus!A:A,A512)&gt;0</f>
        <v>1</v>
      </c>
      <c r="J512" s="64" t="b">
        <f>COUNTIF(CostStatus!B:B,A512)&gt;0</f>
        <v>0</v>
      </c>
      <c r="K512" s="64" t="b">
        <f>COUNTIF(States!A:A,A512)&gt;0</f>
        <v>1</v>
      </c>
      <c r="L512" s="64" t="b">
        <f t="shared" si="2"/>
        <v>1</v>
      </c>
      <c r="M512" s="64" t="b">
        <f>IF(A512="","",COUNTIF(Targets!A:A,A512)&gt;1)</f>
        <v>0</v>
      </c>
      <c r="N512" s="64" t="b">
        <f>IF(A512="","",COUNTIF(States!A:A,A512)&gt;1)</f>
        <v>0</v>
      </c>
      <c r="O512" s="64" t="b">
        <f>IFERROR(__xludf.DUMMYFUNCTION("IF(
 B512="""",
 """",
 SWITCH(
  B512,
  ""BUILDING"",COUNTIF(Buildings!A:A,A512)&gt;0,
  ""CITADEL"",COUNTIF(Citadel!A:A,A512)&gt;0,
  ""COLLECTION"",COUNTIF(Collections!A:A,A512)&gt;0,
  ""CRAFTIFACT"",COUNTIF(Craftifacts!A:A,A512)&gt;0,
  ""QUEST"",
   COUNTIF(
 "&amp;"   Quests!A:A,
    REGEXREPLACE(A512,""\.(accepted|finished)$"","""")
   )&gt;0,
  ""TECH"",COUNTIF(Technologies!A:A,A512)&gt;0,
  ""STATE"",COUNTIF(States!A:A,A512)&gt;0,
  FALSE
 )
)"),TRUE)</f>
        <v>1</v>
      </c>
      <c r="P512" s="64" t="str">
        <f t="shared" si="3"/>
        <v>Good</v>
      </c>
      <c r="Q512" s="65"/>
      <c r="R512" s="65"/>
      <c r="S512" s="65"/>
      <c r="T512" s="65"/>
      <c r="U512" s="6"/>
      <c r="V512" s="6" t="str">
        <f>IFERROR(__xludf.DUMMYFUNCTION("""COMPUTED_VALUE"""),"state.visit_beijing")</f>
        <v>state.visit_beijing</v>
      </c>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row>
    <row r="513" ht="14.25" customHeight="1">
      <c r="A513" s="26" t="str">
        <f t="shared" si="1"/>
        <v>state.visit_cairo</v>
      </c>
      <c r="B513" s="26" t="str">
        <f t="array" ref="B513">_xlfn.XLOOKUP(A513,Targets!A:A,Targets!C:C,"")</f>
        <v>STATE</v>
      </c>
      <c r="C513" s="64" t="b">
        <f>COUNTIF(Targets!A:A,A513)&gt;0</f>
        <v>1</v>
      </c>
      <c r="D513" s="64" t="b">
        <f>IF(
 OR(
  LEFT(A513,15)="state.character",
  RIGHT(A513,6)=".maxed"
 ),
 TRUE,
 COUNTIF(Checklist!A:A,A513)&gt;0
)</f>
        <v>1</v>
      </c>
      <c r="E513" s="64" t="b">
        <f>IF(
 OR(
  LEFT(A513,15)="state.character",
  RIGHT(A513,6)=".maxed",
  A513="building.guild@1",
  A513="quest.build_the_guild.accepted",
  A513="quest.build_the_pagoda.accepted"
 ),
 TRUE,
 COUNTIF(Dependencies!A:A,A513)&gt;0
)</f>
        <v>1</v>
      </c>
      <c r="F513" s="64" t="b">
        <f>COUNTIF(Dependencies!B:B,A513)&gt;0</f>
        <v>0</v>
      </c>
      <c r="G513" s="64" t="b">
        <f>COUNTIF(QuestObjectives!A:A,A513)&gt;0</f>
        <v>0</v>
      </c>
      <c r="H513" s="64" t="b">
        <f>COUNTIF(QuestObjectives!E:E,A513)&gt;0</f>
        <v>1</v>
      </c>
      <c r="I513" s="64" t="b">
        <f>COUNTIF(TargetStatus!A:A,A513)&gt;0</f>
        <v>1</v>
      </c>
      <c r="J513" s="64" t="b">
        <f>COUNTIF(CostStatus!B:B,A513)&gt;0</f>
        <v>0</v>
      </c>
      <c r="K513" s="64" t="b">
        <f>COUNTIF(States!A:A,A513)&gt;0</f>
        <v>1</v>
      </c>
      <c r="L513" s="64" t="b">
        <f t="shared" si="2"/>
        <v>1</v>
      </c>
      <c r="M513" s="64" t="b">
        <f>IF(A513="","",COUNTIF(Targets!A:A,A513)&gt;1)</f>
        <v>0</v>
      </c>
      <c r="N513" s="64" t="b">
        <f>IF(A513="","",COUNTIF(States!A:A,A513)&gt;1)</f>
        <v>0</v>
      </c>
      <c r="O513" s="64" t="b">
        <f>IFERROR(__xludf.DUMMYFUNCTION("IF(
 B513="""",
 """",
 SWITCH(
  B513,
  ""BUILDING"",COUNTIF(Buildings!A:A,A513)&gt;0,
  ""CITADEL"",COUNTIF(Citadel!A:A,A513)&gt;0,
  ""COLLECTION"",COUNTIF(Collections!A:A,A513)&gt;0,
  ""CRAFTIFACT"",COUNTIF(Craftifacts!A:A,A513)&gt;0,
  ""QUEST"",
   COUNTIF(
 "&amp;"   Quests!A:A,
    REGEXREPLACE(A513,""\.(accepted|finished)$"","""")
   )&gt;0,
  ""TECH"",COUNTIF(Technologies!A:A,A513)&gt;0,
  ""STATE"",COUNTIF(States!A:A,A513)&gt;0,
  FALSE
 )
)"),TRUE)</f>
        <v>1</v>
      </c>
      <c r="P513" s="64" t="str">
        <f t="shared" si="3"/>
        <v>Good</v>
      </c>
      <c r="Q513" s="65"/>
      <c r="R513" s="65"/>
      <c r="S513" s="65"/>
      <c r="T513" s="65"/>
      <c r="U513" s="6"/>
      <c r="V513" s="6" t="str">
        <f>IFERROR(__xludf.DUMMYFUNCTION("""COMPUTED_VALUE"""),"state.visit_cairo")</f>
        <v>state.visit_cairo</v>
      </c>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row>
    <row r="514" ht="14.25" customHeight="1">
      <c r="A514" s="26" t="str">
        <f t="shared" si="1"/>
        <v>state.visit_delhi</v>
      </c>
      <c r="B514" s="26" t="str">
        <f t="array" ref="B514">_xlfn.XLOOKUP(A514,Targets!A:A,Targets!C:C,"")</f>
        <v>STATE</v>
      </c>
      <c r="C514" s="64" t="b">
        <f>COUNTIF(Targets!A:A,A514)&gt;0</f>
        <v>1</v>
      </c>
      <c r="D514" s="64" t="b">
        <f>IF(
 OR(
  LEFT(A514,15)="state.character",
  RIGHT(A514,6)=".maxed"
 ),
 TRUE,
 COUNTIF(Checklist!A:A,A514)&gt;0
)</f>
        <v>1</v>
      </c>
      <c r="E514" s="64" t="b">
        <f>IF(
 OR(
  LEFT(A514,15)="state.character",
  RIGHT(A514,6)=".maxed",
  A514="building.guild@1",
  A514="quest.build_the_guild.accepted",
  A514="quest.build_the_pagoda.accepted"
 ),
 TRUE,
 COUNTIF(Dependencies!A:A,A514)&gt;0
)</f>
        <v>1</v>
      </c>
      <c r="F514" s="64" t="b">
        <f>COUNTIF(Dependencies!B:B,A514)&gt;0</f>
        <v>0</v>
      </c>
      <c r="G514" s="64" t="b">
        <f>COUNTIF(QuestObjectives!A:A,A514)&gt;0</f>
        <v>0</v>
      </c>
      <c r="H514" s="64" t="b">
        <f>COUNTIF(QuestObjectives!E:E,A514)&gt;0</f>
        <v>1</v>
      </c>
      <c r="I514" s="64" t="b">
        <f>COUNTIF(TargetStatus!A:A,A514)&gt;0</f>
        <v>1</v>
      </c>
      <c r="J514" s="64" t="b">
        <f>COUNTIF(CostStatus!B:B,A514)&gt;0</f>
        <v>0</v>
      </c>
      <c r="K514" s="64" t="b">
        <f>COUNTIF(States!A:A,A514)&gt;0</f>
        <v>1</v>
      </c>
      <c r="L514" s="64" t="b">
        <f t="shared" si="2"/>
        <v>1</v>
      </c>
      <c r="M514" s="64" t="b">
        <f>IF(A514="","",COUNTIF(Targets!A:A,A514)&gt;1)</f>
        <v>0</v>
      </c>
      <c r="N514" s="64" t="b">
        <f>IF(A514="","",COUNTIF(States!A:A,A514)&gt;1)</f>
        <v>0</v>
      </c>
      <c r="O514" s="64" t="b">
        <f>IFERROR(__xludf.DUMMYFUNCTION("IF(
 B514="""",
 """",
 SWITCH(
  B514,
  ""BUILDING"",COUNTIF(Buildings!A:A,A514)&gt;0,
  ""CITADEL"",COUNTIF(Citadel!A:A,A514)&gt;0,
  ""COLLECTION"",COUNTIF(Collections!A:A,A514)&gt;0,
  ""CRAFTIFACT"",COUNTIF(Craftifacts!A:A,A514)&gt;0,
  ""QUEST"",
   COUNTIF(
 "&amp;"   Quests!A:A,
    REGEXREPLACE(A514,""\.(accepted|finished)$"","""")
   )&gt;0,
  ""TECH"",COUNTIF(Technologies!A:A,A514)&gt;0,
  ""STATE"",COUNTIF(States!A:A,A514)&gt;0,
  FALSE
 )
)"),TRUE)</f>
        <v>1</v>
      </c>
      <c r="P514" s="64" t="str">
        <f t="shared" si="3"/>
        <v>Good</v>
      </c>
      <c r="Q514" s="65"/>
      <c r="R514" s="65"/>
      <c r="S514" s="65"/>
      <c r="T514" s="65"/>
      <c r="U514" s="6"/>
      <c r="V514" s="6" t="str">
        <f>IFERROR(__xludf.DUMMYFUNCTION("""COMPUTED_VALUE"""),"state.visit_delhi")</f>
        <v>state.visit_delhi</v>
      </c>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row>
    <row r="515" ht="14.25" customHeight="1">
      <c r="A515" s="26" t="str">
        <f t="shared" si="1"/>
        <v>state.visit_dungeon@4a</v>
      </c>
      <c r="B515" s="26" t="str">
        <f t="array" ref="B515">_xlfn.XLOOKUP(A515,Targets!A:A,Targets!C:C,"")</f>
        <v>STATE</v>
      </c>
      <c r="C515" s="64" t="b">
        <f>COUNTIF(Targets!A:A,A515)&gt;0</f>
        <v>1</v>
      </c>
      <c r="D515" s="64" t="b">
        <f>IF(
 OR(
  LEFT(A515,15)="state.character",
  RIGHT(A515,6)=".maxed"
 ),
 TRUE,
 COUNTIF(Checklist!A:A,A515)&gt;0
)</f>
        <v>1</v>
      </c>
      <c r="E515" s="64" t="b">
        <f>IF(
 OR(
  LEFT(A515,15)="state.character",
  RIGHT(A515,6)=".maxed",
  A515="building.guild@1",
  A515="quest.build_the_guild.accepted",
  A515="quest.build_the_pagoda.accepted"
 ),
 TRUE,
 COUNTIF(Dependencies!A:A,A515)&gt;0
)</f>
        <v>1</v>
      </c>
      <c r="F515" s="64" t="b">
        <f>COUNTIF(Dependencies!B:B,A515)&gt;0</f>
        <v>1</v>
      </c>
      <c r="G515" s="64" t="b">
        <f>COUNTIF(QuestObjectives!A:A,A515)&gt;0</f>
        <v>0</v>
      </c>
      <c r="H515" s="64" t="b">
        <f>COUNTIF(QuestObjectives!E:E,A515)&gt;0</f>
        <v>0</v>
      </c>
      <c r="I515" s="64" t="b">
        <f>COUNTIF(TargetStatus!A:A,A515)&gt;0</f>
        <v>1</v>
      </c>
      <c r="J515" s="64" t="b">
        <f>COUNTIF(CostStatus!B:B,A515)&gt;0</f>
        <v>0</v>
      </c>
      <c r="K515" s="64" t="b">
        <f>COUNTIF(States!A:A,A515)&gt;0</f>
        <v>1</v>
      </c>
      <c r="L515" s="64" t="b">
        <f t="shared" si="2"/>
        <v>1</v>
      </c>
      <c r="M515" s="64" t="b">
        <f>IF(A515="","",COUNTIF(Targets!A:A,A515)&gt;1)</f>
        <v>0</v>
      </c>
      <c r="N515" s="64" t="b">
        <f>IF(A515="","",COUNTIF(States!A:A,A515)&gt;1)</f>
        <v>0</v>
      </c>
      <c r="O515" s="64" t="b">
        <f>IFERROR(__xludf.DUMMYFUNCTION("IF(
 B515="""",
 """",
 SWITCH(
  B515,
  ""BUILDING"",COUNTIF(Buildings!A:A,A515)&gt;0,
  ""CITADEL"",COUNTIF(Citadel!A:A,A515)&gt;0,
  ""COLLECTION"",COUNTIF(Collections!A:A,A515)&gt;0,
  ""CRAFTIFACT"",COUNTIF(Craftifacts!A:A,A515)&gt;0,
  ""QUEST"",
   COUNTIF(
 "&amp;"   Quests!A:A,
    REGEXREPLACE(A515,""\.(accepted|finished)$"","""")
   )&gt;0,
  ""TECH"",COUNTIF(Technologies!A:A,A515)&gt;0,
  ""STATE"",COUNTIF(States!A:A,A515)&gt;0,
  FALSE
 )
)"),TRUE)</f>
        <v>1</v>
      </c>
      <c r="P515" s="64" t="str">
        <f t="shared" si="3"/>
        <v>Good</v>
      </c>
      <c r="Q515" s="65"/>
      <c r="R515" s="65"/>
      <c r="S515" s="65"/>
      <c r="T515" s="65"/>
      <c r="U515" s="6"/>
      <c r="V515" s="6" t="str">
        <f>IFERROR(__xludf.DUMMYFUNCTION("""COMPUTED_VALUE"""),"state.visit_dungeon@4a")</f>
        <v>state.visit_dungeon@4a</v>
      </c>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row>
    <row r="516" ht="14.25" customHeight="1">
      <c r="A516" s="26" t="str">
        <f t="shared" si="1"/>
        <v>state.visit_dungeon@5a</v>
      </c>
      <c r="B516" s="26" t="str">
        <f t="array" ref="B516">_xlfn.XLOOKUP(A516,Targets!A:A,Targets!C:C,"")</f>
        <v>STATE</v>
      </c>
      <c r="C516" s="64" t="b">
        <f>COUNTIF(Targets!A:A,A516)&gt;0</f>
        <v>1</v>
      </c>
      <c r="D516" s="64" t="b">
        <f>IF(
 OR(
  LEFT(A516,15)="state.character",
  RIGHT(A516,6)=".maxed"
 ),
 TRUE,
 COUNTIF(Checklist!A:A,A516)&gt;0
)</f>
        <v>1</v>
      </c>
      <c r="E516" s="64" t="b">
        <f>IF(
 OR(
  LEFT(A516,15)="state.character",
  RIGHT(A516,6)=".maxed",
  A516="building.guild@1",
  A516="quest.build_the_guild.accepted",
  A516="quest.build_the_pagoda.accepted"
 ),
 TRUE,
 COUNTIF(Dependencies!A:A,A516)&gt;0
)</f>
        <v>1</v>
      </c>
      <c r="F516" s="64" t="b">
        <f>COUNTIF(Dependencies!B:B,A516)&gt;0</f>
        <v>1</v>
      </c>
      <c r="G516" s="64" t="b">
        <f>COUNTIF(QuestObjectives!A:A,A516)&gt;0</f>
        <v>0</v>
      </c>
      <c r="H516" s="64" t="b">
        <f>COUNTIF(QuestObjectives!E:E,A516)&gt;0</f>
        <v>0</v>
      </c>
      <c r="I516" s="64" t="b">
        <f>COUNTIF(TargetStatus!A:A,A516)&gt;0</f>
        <v>1</v>
      </c>
      <c r="J516" s="64" t="b">
        <f>COUNTIF(CostStatus!B:B,A516)&gt;0</f>
        <v>0</v>
      </c>
      <c r="K516" s="64" t="b">
        <f>COUNTIF(States!A:A,A516)&gt;0</f>
        <v>1</v>
      </c>
      <c r="L516" s="64" t="b">
        <f t="shared" si="2"/>
        <v>1</v>
      </c>
      <c r="M516" s="64" t="b">
        <f>IF(A516="","",COUNTIF(Targets!A:A,A516)&gt;1)</f>
        <v>0</v>
      </c>
      <c r="N516" s="64" t="b">
        <f>IF(A516="","",COUNTIF(States!A:A,A516)&gt;1)</f>
        <v>0</v>
      </c>
      <c r="O516" s="64" t="b">
        <f>IFERROR(__xludf.DUMMYFUNCTION("IF(
 B516="""",
 """",
 SWITCH(
  B516,
  ""BUILDING"",COUNTIF(Buildings!A:A,A516)&gt;0,
  ""CITADEL"",COUNTIF(Citadel!A:A,A516)&gt;0,
  ""COLLECTION"",COUNTIF(Collections!A:A,A516)&gt;0,
  ""CRAFTIFACT"",COUNTIF(Craftifacts!A:A,A516)&gt;0,
  ""QUEST"",
   COUNTIF(
 "&amp;"   Quests!A:A,
    REGEXREPLACE(A516,""\.(accepted|finished)$"","""")
   )&gt;0,
  ""TECH"",COUNTIF(Technologies!A:A,A516)&gt;0,
  ""STATE"",COUNTIF(States!A:A,A516)&gt;0,
  FALSE
 )
)"),TRUE)</f>
        <v>1</v>
      </c>
      <c r="P516" s="64" t="str">
        <f t="shared" si="3"/>
        <v>Good</v>
      </c>
      <c r="Q516" s="65"/>
      <c r="R516" s="65"/>
      <c r="S516" s="65"/>
      <c r="T516" s="65"/>
      <c r="U516" s="6"/>
      <c r="V516" s="6" t="str">
        <f>IFERROR(__xludf.DUMMYFUNCTION("""COMPUTED_VALUE"""),"state.visit_dungeon@5a")</f>
        <v>state.visit_dungeon@5a</v>
      </c>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row>
    <row r="517" ht="14.25" customHeight="1">
      <c r="A517" s="26" t="str">
        <f t="shared" si="1"/>
        <v>state.visit_dungeon@6a</v>
      </c>
      <c r="B517" s="26" t="str">
        <f t="array" ref="B517">_xlfn.XLOOKUP(A517,Targets!A:A,Targets!C:C,"")</f>
        <v>STATE</v>
      </c>
      <c r="C517" s="64" t="b">
        <f>COUNTIF(Targets!A:A,A517)&gt;0</f>
        <v>1</v>
      </c>
      <c r="D517" s="64" t="b">
        <f>IF(
 OR(
  LEFT(A517,15)="state.character",
  RIGHT(A517,6)=".maxed"
 ),
 TRUE,
 COUNTIF(Checklist!A:A,A517)&gt;0
)</f>
        <v>1</v>
      </c>
      <c r="E517" s="64" t="b">
        <f>IF(
 OR(
  LEFT(A517,15)="state.character",
  RIGHT(A517,6)=".maxed",
  A517="building.guild@1",
  A517="quest.build_the_guild.accepted",
  A517="quest.build_the_pagoda.accepted"
 ),
 TRUE,
 COUNTIF(Dependencies!A:A,A517)&gt;0
)</f>
        <v>1</v>
      </c>
      <c r="F517" s="64" t="b">
        <f>COUNTIF(Dependencies!B:B,A517)&gt;0</f>
        <v>1</v>
      </c>
      <c r="G517" s="64" t="b">
        <f>COUNTIF(QuestObjectives!A:A,A517)&gt;0</f>
        <v>0</v>
      </c>
      <c r="H517" s="64" t="b">
        <f>COUNTIF(QuestObjectives!E:E,A517)&gt;0</f>
        <v>0</v>
      </c>
      <c r="I517" s="64" t="b">
        <f>COUNTIF(TargetStatus!A:A,A517)&gt;0</f>
        <v>1</v>
      </c>
      <c r="J517" s="64" t="b">
        <f>COUNTIF(CostStatus!B:B,A517)&gt;0</f>
        <v>0</v>
      </c>
      <c r="K517" s="64" t="b">
        <f>COUNTIF(States!A:A,A517)&gt;0</f>
        <v>1</v>
      </c>
      <c r="L517" s="64" t="b">
        <f t="shared" si="2"/>
        <v>1</v>
      </c>
      <c r="M517" s="64" t="b">
        <f>IF(A517="","",COUNTIF(Targets!A:A,A517)&gt;1)</f>
        <v>0</v>
      </c>
      <c r="N517" s="64" t="b">
        <f>IF(A517="","",COUNTIF(States!A:A,A517)&gt;1)</f>
        <v>0</v>
      </c>
      <c r="O517" s="64" t="b">
        <f>IFERROR(__xludf.DUMMYFUNCTION("IF(
 B517="""",
 """",
 SWITCH(
  B517,
  ""BUILDING"",COUNTIF(Buildings!A:A,A517)&gt;0,
  ""CITADEL"",COUNTIF(Citadel!A:A,A517)&gt;0,
  ""COLLECTION"",COUNTIF(Collections!A:A,A517)&gt;0,
  ""CRAFTIFACT"",COUNTIF(Craftifacts!A:A,A517)&gt;0,
  ""QUEST"",
   COUNTIF(
 "&amp;"   Quests!A:A,
    REGEXREPLACE(A517,""\.(accepted|finished)$"","""")
   )&gt;0,
  ""TECH"",COUNTIF(Technologies!A:A,A517)&gt;0,
  ""STATE"",COUNTIF(States!A:A,A517)&gt;0,
  FALSE
 )
)"),TRUE)</f>
        <v>1</v>
      </c>
      <c r="P517" s="64" t="str">
        <f t="shared" si="3"/>
        <v>Good</v>
      </c>
      <c r="Q517" s="65"/>
      <c r="R517" s="65"/>
      <c r="S517" s="65"/>
      <c r="T517" s="65"/>
      <c r="U517" s="6"/>
      <c r="V517" s="6" t="str">
        <f>IFERROR(__xludf.DUMMYFUNCTION("""COMPUTED_VALUE"""),"state.visit_dungeon@6a")</f>
        <v>state.visit_dungeon@6a</v>
      </c>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row>
    <row r="518" ht="14.25" customHeight="1">
      <c r="A518" s="26" t="str">
        <f t="shared" si="1"/>
        <v>state.visit_fukushima</v>
      </c>
      <c r="B518" s="26" t="str">
        <f t="array" ref="B518">_xlfn.XLOOKUP(A518,Targets!A:A,Targets!C:C,"")</f>
        <v>STATE</v>
      </c>
      <c r="C518" s="64" t="b">
        <f>COUNTIF(Targets!A:A,A518)&gt;0</f>
        <v>1</v>
      </c>
      <c r="D518" s="64" t="b">
        <f>IF(
 OR(
  LEFT(A518,15)="state.character",
  RIGHT(A518,6)=".maxed"
 ),
 TRUE,
 COUNTIF(Checklist!A:A,A518)&gt;0
)</f>
        <v>1</v>
      </c>
      <c r="E518" s="64" t="b">
        <f>IF(
 OR(
  LEFT(A518,15)="state.character",
  RIGHT(A518,6)=".maxed",
  A518="building.guild@1",
  A518="quest.build_the_guild.accepted",
  A518="quest.build_the_pagoda.accepted"
 ),
 TRUE,
 COUNTIF(Dependencies!A:A,A518)&gt;0
)</f>
        <v>1</v>
      </c>
      <c r="F518" s="64" t="b">
        <f>COUNTIF(Dependencies!B:B,A518)&gt;0</f>
        <v>0</v>
      </c>
      <c r="G518" s="64" t="b">
        <f>COUNTIF(QuestObjectives!A:A,A518)&gt;0</f>
        <v>0</v>
      </c>
      <c r="H518" s="64" t="b">
        <f>COUNTIF(QuestObjectives!E:E,A518)&gt;0</f>
        <v>1</v>
      </c>
      <c r="I518" s="64" t="b">
        <f>COUNTIF(TargetStatus!A:A,A518)&gt;0</f>
        <v>1</v>
      </c>
      <c r="J518" s="64" t="b">
        <f>COUNTIF(CostStatus!B:B,A518)&gt;0</f>
        <v>0</v>
      </c>
      <c r="K518" s="64" t="b">
        <f>COUNTIF(States!A:A,A518)&gt;0</f>
        <v>1</v>
      </c>
      <c r="L518" s="64" t="b">
        <f t="shared" si="2"/>
        <v>1</v>
      </c>
      <c r="M518" s="64" t="b">
        <f>IF(A518="","",COUNTIF(Targets!A:A,A518)&gt;1)</f>
        <v>0</v>
      </c>
      <c r="N518" s="64" t="b">
        <f>IF(A518="","",COUNTIF(States!A:A,A518)&gt;1)</f>
        <v>0</v>
      </c>
      <c r="O518" s="64" t="b">
        <f>IFERROR(__xludf.DUMMYFUNCTION("IF(
 B518="""",
 """",
 SWITCH(
  B518,
  ""BUILDING"",COUNTIF(Buildings!A:A,A518)&gt;0,
  ""CITADEL"",COUNTIF(Citadel!A:A,A518)&gt;0,
  ""COLLECTION"",COUNTIF(Collections!A:A,A518)&gt;0,
  ""CRAFTIFACT"",COUNTIF(Craftifacts!A:A,A518)&gt;0,
  ""QUEST"",
   COUNTIF(
 "&amp;"   Quests!A:A,
    REGEXREPLACE(A518,""\.(accepted|finished)$"","""")
   )&gt;0,
  ""TECH"",COUNTIF(Technologies!A:A,A518)&gt;0,
  ""STATE"",COUNTIF(States!A:A,A518)&gt;0,
  FALSE
 )
)"),TRUE)</f>
        <v>1</v>
      </c>
      <c r="P518" s="64" t="str">
        <f t="shared" si="3"/>
        <v>Good</v>
      </c>
      <c r="Q518" s="65"/>
      <c r="R518" s="65"/>
      <c r="S518" s="65"/>
      <c r="T518" s="65"/>
      <c r="U518" s="6"/>
      <c r="V518" s="6" t="str">
        <f>IFERROR(__xludf.DUMMYFUNCTION("""COMPUTED_VALUE"""),"state.visit_fukushima")</f>
        <v>state.visit_fukushima</v>
      </c>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row>
    <row r="519" ht="14.25" customHeight="1">
      <c r="A519" s="26" t="str">
        <f t="shared" si="1"/>
        <v>state.visit_kyiv</v>
      </c>
      <c r="B519" s="26" t="str">
        <f t="array" ref="B519">_xlfn.XLOOKUP(A519,Targets!A:A,Targets!C:C,"")</f>
        <v>STATE</v>
      </c>
      <c r="C519" s="64" t="b">
        <f>COUNTIF(Targets!A:A,A519)&gt;0</f>
        <v>1</v>
      </c>
      <c r="D519" s="64" t="b">
        <f>IF(
 OR(
  LEFT(A519,15)="state.character",
  RIGHT(A519,6)=".maxed"
 ),
 TRUE,
 COUNTIF(Checklist!A:A,A519)&gt;0
)</f>
        <v>1</v>
      </c>
      <c r="E519" s="64" t="b">
        <f>IF(
 OR(
  LEFT(A519,15)="state.character",
  RIGHT(A519,6)=".maxed",
  A519="building.guild@1",
  A519="quest.build_the_guild.accepted",
  A519="quest.build_the_pagoda.accepted"
 ),
 TRUE,
 COUNTIF(Dependencies!A:A,A519)&gt;0
)</f>
        <v>1</v>
      </c>
      <c r="F519" s="64" t="b">
        <f>COUNTIF(Dependencies!B:B,A519)&gt;0</f>
        <v>0</v>
      </c>
      <c r="G519" s="64" t="b">
        <f>COUNTIF(QuestObjectives!A:A,A519)&gt;0</f>
        <v>0</v>
      </c>
      <c r="H519" s="64" t="b">
        <f>COUNTIF(QuestObjectives!E:E,A519)&gt;0</f>
        <v>1</v>
      </c>
      <c r="I519" s="64" t="b">
        <f>COUNTIF(TargetStatus!A:A,A519)&gt;0</f>
        <v>1</v>
      </c>
      <c r="J519" s="64" t="b">
        <f>COUNTIF(CostStatus!B:B,A519)&gt;0</f>
        <v>0</v>
      </c>
      <c r="K519" s="64" t="b">
        <f>COUNTIF(States!A:A,A519)&gt;0</f>
        <v>1</v>
      </c>
      <c r="L519" s="64" t="b">
        <f t="shared" si="2"/>
        <v>1</v>
      </c>
      <c r="M519" s="64" t="b">
        <f>IF(A519="","",COUNTIF(Targets!A:A,A519)&gt;1)</f>
        <v>0</v>
      </c>
      <c r="N519" s="64" t="b">
        <f>IF(A519="","",COUNTIF(States!A:A,A519)&gt;1)</f>
        <v>0</v>
      </c>
      <c r="O519" s="64" t="b">
        <f>IFERROR(__xludf.DUMMYFUNCTION("IF(
 B519="""",
 """",
 SWITCH(
  B519,
  ""BUILDING"",COUNTIF(Buildings!A:A,A519)&gt;0,
  ""CITADEL"",COUNTIF(Citadel!A:A,A519)&gt;0,
  ""COLLECTION"",COUNTIF(Collections!A:A,A519)&gt;0,
  ""CRAFTIFACT"",COUNTIF(Craftifacts!A:A,A519)&gt;0,
  ""QUEST"",
   COUNTIF(
 "&amp;"   Quests!A:A,
    REGEXREPLACE(A519,""\.(accepted|finished)$"","""")
   )&gt;0,
  ""TECH"",COUNTIF(Technologies!A:A,A519)&gt;0,
  ""STATE"",COUNTIF(States!A:A,A519)&gt;0,
  FALSE
 )
)"),TRUE)</f>
        <v>1</v>
      </c>
      <c r="P519" s="64" t="str">
        <f t="shared" si="3"/>
        <v>Good</v>
      </c>
      <c r="Q519" s="65"/>
      <c r="R519" s="65"/>
      <c r="S519" s="65"/>
      <c r="T519" s="65"/>
      <c r="U519" s="6"/>
      <c r="V519" s="6" t="str">
        <f>IFERROR(__xludf.DUMMYFUNCTION("""COMPUTED_VALUE"""),"state.visit_kyiv")</f>
        <v>state.visit_kyiv</v>
      </c>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row>
    <row r="520" ht="14.25" customHeight="1">
      <c r="A520" s="26" t="str">
        <f t="shared" si="1"/>
        <v>state.visit_kyoto</v>
      </c>
      <c r="B520" s="26" t="str">
        <f t="array" ref="B520">_xlfn.XLOOKUP(A520,Targets!A:A,Targets!C:C,"")</f>
        <v>STATE</v>
      </c>
      <c r="C520" s="64" t="b">
        <f>COUNTIF(Targets!A:A,A520)&gt;0</f>
        <v>1</v>
      </c>
      <c r="D520" s="64" t="b">
        <f>IF(
 OR(
  LEFT(A520,15)="state.character",
  RIGHT(A520,6)=".maxed"
 ),
 TRUE,
 COUNTIF(Checklist!A:A,A520)&gt;0
)</f>
        <v>1</v>
      </c>
      <c r="E520" s="64" t="b">
        <f>IF(
 OR(
  LEFT(A520,15)="state.character",
  RIGHT(A520,6)=".maxed",
  A520="building.guild@1",
  A520="quest.build_the_guild.accepted",
  A520="quest.build_the_pagoda.accepted"
 ),
 TRUE,
 COUNTIF(Dependencies!A:A,A520)&gt;0
)</f>
        <v>1</v>
      </c>
      <c r="F520" s="64" t="b">
        <f>COUNTIF(Dependencies!B:B,A520)&gt;0</f>
        <v>0</v>
      </c>
      <c r="G520" s="64" t="b">
        <f>COUNTIF(QuestObjectives!A:A,A520)&gt;0</f>
        <v>0</v>
      </c>
      <c r="H520" s="64" t="b">
        <f>COUNTIF(QuestObjectives!E:E,A520)&gt;0</f>
        <v>1</v>
      </c>
      <c r="I520" s="64" t="b">
        <f>COUNTIF(TargetStatus!A:A,A520)&gt;0</f>
        <v>1</v>
      </c>
      <c r="J520" s="64" t="b">
        <f>COUNTIF(CostStatus!B:B,A520)&gt;0</f>
        <v>0</v>
      </c>
      <c r="K520" s="64" t="b">
        <f>COUNTIF(States!A:A,A520)&gt;0</f>
        <v>1</v>
      </c>
      <c r="L520" s="64" t="b">
        <f t="shared" si="2"/>
        <v>1</v>
      </c>
      <c r="M520" s="64" t="b">
        <f>IF(A520="","",COUNTIF(Targets!A:A,A520)&gt;1)</f>
        <v>0</v>
      </c>
      <c r="N520" s="64" t="b">
        <f>IF(A520="","",COUNTIF(States!A:A,A520)&gt;1)</f>
        <v>0</v>
      </c>
      <c r="O520" s="64" t="b">
        <f>IFERROR(__xludf.DUMMYFUNCTION("IF(
 B520="""",
 """",
 SWITCH(
  B520,
  ""BUILDING"",COUNTIF(Buildings!A:A,A520)&gt;0,
  ""CITADEL"",COUNTIF(Citadel!A:A,A520)&gt;0,
  ""COLLECTION"",COUNTIF(Collections!A:A,A520)&gt;0,
  ""CRAFTIFACT"",COUNTIF(Craftifacts!A:A,A520)&gt;0,
  ""QUEST"",
   COUNTIF(
 "&amp;"   Quests!A:A,
    REGEXREPLACE(A520,""\.(accepted|finished)$"","""")
   )&gt;0,
  ""TECH"",COUNTIF(Technologies!A:A,A520)&gt;0,
  ""STATE"",COUNTIF(States!A:A,A520)&gt;0,
  FALSE
 )
)"),TRUE)</f>
        <v>1</v>
      </c>
      <c r="P520" s="64" t="str">
        <f t="shared" si="3"/>
        <v>Good</v>
      </c>
      <c r="Q520" s="65"/>
      <c r="R520" s="65"/>
      <c r="S520" s="65"/>
      <c r="T520" s="65"/>
      <c r="U520" s="6"/>
      <c r="V520" s="6" t="str">
        <f>IFERROR(__xludf.DUMMYFUNCTION("""COMPUTED_VALUE"""),"state.visit_kyoto")</f>
        <v>state.visit_kyoto</v>
      </c>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row>
    <row r="521" ht="14.25" customHeight="1">
      <c r="A521" s="26" t="str">
        <f t="shared" si="1"/>
        <v>state.visit_melbourne</v>
      </c>
      <c r="B521" s="26" t="str">
        <f t="array" ref="B521">_xlfn.XLOOKUP(A521,Targets!A:A,Targets!C:C,"")</f>
        <v>STATE</v>
      </c>
      <c r="C521" s="64" t="b">
        <f>COUNTIF(Targets!A:A,A521)&gt;0</f>
        <v>1</v>
      </c>
      <c r="D521" s="64" t="b">
        <f>IF(
 OR(
  LEFT(A521,15)="state.character",
  RIGHT(A521,6)=".maxed"
 ),
 TRUE,
 COUNTIF(Checklist!A:A,A521)&gt;0
)</f>
        <v>1</v>
      </c>
      <c r="E521" s="64" t="b">
        <f>IF(
 OR(
  LEFT(A521,15)="state.character",
  RIGHT(A521,6)=".maxed",
  A521="building.guild@1",
  A521="quest.build_the_guild.accepted",
  A521="quest.build_the_pagoda.accepted"
 ),
 TRUE,
 COUNTIF(Dependencies!A:A,A521)&gt;0
)</f>
        <v>1</v>
      </c>
      <c r="F521" s="64" t="b">
        <f>COUNTIF(Dependencies!B:B,A521)&gt;0</f>
        <v>0</v>
      </c>
      <c r="G521" s="64" t="b">
        <f>COUNTIF(QuestObjectives!A:A,A521)&gt;0</f>
        <v>0</v>
      </c>
      <c r="H521" s="64" t="b">
        <f>COUNTIF(QuestObjectives!E:E,A521)&gt;0</f>
        <v>1</v>
      </c>
      <c r="I521" s="64" t="b">
        <f>COUNTIF(TargetStatus!A:A,A521)&gt;0</f>
        <v>1</v>
      </c>
      <c r="J521" s="64" t="b">
        <f>COUNTIF(CostStatus!B:B,A521)&gt;0</f>
        <v>0</v>
      </c>
      <c r="K521" s="64" t="b">
        <f>COUNTIF(States!A:A,A521)&gt;0</f>
        <v>1</v>
      </c>
      <c r="L521" s="64" t="b">
        <f t="shared" si="2"/>
        <v>1</v>
      </c>
      <c r="M521" s="64" t="b">
        <f>IF(A521="","",COUNTIF(Targets!A:A,A521)&gt;1)</f>
        <v>0</v>
      </c>
      <c r="N521" s="64" t="b">
        <f>IF(A521="","",COUNTIF(States!A:A,A521)&gt;1)</f>
        <v>0</v>
      </c>
      <c r="O521" s="64" t="b">
        <f>IFERROR(__xludf.DUMMYFUNCTION("IF(
 B521="""",
 """",
 SWITCH(
  B521,
  ""BUILDING"",COUNTIF(Buildings!A:A,A521)&gt;0,
  ""CITADEL"",COUNTIF(Citadel!A:A,A521)&gt;0,
  ""COLLECTION"",COUNTIF(Collections!A:A,A521)&gt;0,
  ""CRAFTIFACT"",COUNTIF(Craftifacts!A:A,A521)&gt;0,
  ""QUEST"",
   COUNTIF(
 "&amp;"   Quests!A:A,
    REGEXREPLACE(A521,""\.(accepted|finished)$"","""")
   )&gt;0,
  ""TECH"",COUNTIF(Technologies!A:A,A521)&gt;0,
  ""STATE"",COUNTIF(States!A:A,A521)&gt;0,
  FALSE
 )
)"),TRUE)</f>
        <v>1</v>
      </c>
      <c r="P521" s="64" t="str">
        <f t="shared" si="3"/>
        <v>Good</v>
      </c>
      <c r="Q521" s="65"/>
      <c r="R521" s="65"/>
      <c r="S521" s="65"/>
      <c r="T521" s="65"/>
      <c r="U521" s="6"/>
      <c r="V521" s="6" t="str">
        <f>IFERROR(__xludf.DUMMYFUNCTION("""COMPUTED_VALUE"""),"state.visit_melbourne")</f>
        <v>state.visit_melbourne</v>
      </c>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row>
    <row r="522" ht="14.25" customHeight="1">
      <c r="A522" s="26" t="str">
        <f t="shared" si="1"/>
        <v>state.visit_nagasaki</v>
      </c>
      <c r="B522" s="26" t="str">
        <f t="array" ref="B522">_xlfn.XLOOKUP(A522,Targets!A:A,Targets!C:C,"")</f>
        <v>STATE</v>
      </c>
      <c r="C522" s="64" t="b">
        <f>COUNTIF(Targets!A:A,A522)&gt;0</f>
        <v>1</v>
      </c>
      <c r="D522" s="64" t="b">
        <f>IF(
 OR(
  LEFT(A522,15)="state.character",
  RIGHT(A522,6)=".maxed"
 ),
 TRUE,
 COUNTIF(Checklist!A:A,A522)&gt;0
)</f>
        <v>1</v>
      </c>
      <c r="E522" s="64" t="b">
        <f>IF(
 OR(
  LEFT(A522,15)="state.character",
  RIGHT(A522,6)=".maxed",
  A522="building.guild@1",
  A522="quest.build_the_guild.accepted",
  A522="quest.build_the_pagoda.accepted"
 ),
 TRUE,
 COUNTIF(Dependencies!A:A,A522)&gt;0
)</f>
        <v>1</v>
      </c>
      <c r="F522" s="64" t="b">
        <f>COUNTIF(Dependencies!B:B,A522)&gt;0</f>
        <v>0</v>
      </c>
      <c r="G522" s="64" t="b">
        <f>COUNTIF(QuestObjectives!A:A,A522)&gt;0</f>
        <v>0</v>
      </c>
      <c r="H522" s="64" t="b">
        <f>COUNTIF(QuestObjectives!E:E,A522)&gt;0</f>
        <v>1</v>
      </c>
      <c r="I522" s="64" t="b">
        <f>COUNTIF(TargetStatus!A:A,A522)&gt;0</f>
        <v>1</v>
      </c>
      <c r="J522" s="64" t="b">
        <f>COUNTIF(CostStatus!B:B,A522)&gt;0</f>
        <v>0</v>
      </c>
      <c r="K522" s="64" t="b">
        <f>COUNTIF(States!A:A,A522)&gt;0</f>
        <v>1</v>
      </c>
      <c r="L522" s="64" t="b">
        <f t="shared" si="2"/>
        <v>1</v>
      </c>
      <c r="M522" s="64" t="b">
        <f>IF(A522="","",COUNTIF(Targets!A:A,A522)&gt;1)</f>
        <v>0</v>
      </c>
      <c r="N522" s="64" t="b">
        <f>IF(A522="","",COUNTIF(States!A:A,A522)&gt;1)</f>
        <v>0</v>
      </c>
      <c r="O522" s="64" t="b">
        <f>IFERROR(__xludf.DUMMYFUNCTION("IF(
 B522="""",
 """",
 SWITCH(
  B522,
  ""BUILDING"",COUNTIF(Buildings!A:A,A522)&gt;0,
  ""CITADEL"",COUNTIF(Citadel!A:A,A522)&gt;0,
  ""COLLECTION"",COUNTIF(Collections!A:A,A522)&gt;0,
  ""CRAFTIFACT"",COUNTIF(Craftifacts!A:A,A522)&gt;0,
  ""QUEST"",
   COUNTIF(
 "&amp;"   Quests!A:A,
    REGEXREPLACE(A522,""\.(accepted|finished)$"","""")
   )&gt;0,
  ""TECH"",COUNTIF(Technologies!A:A,A522)&gt;0,
  ""STATE"",COUNTIF(States!A:A,A522)&gt;0,
  FALSE
 )
)"),TRUE)</f>
        <v>1</v>
      </c>
      <c r="P522" s="64" t="str">
        <f t="shared" si="3"/>
        <v>Good</v>
      </c>
      <c r="Q522" s="65"/>
      <c r="R522" s="65"/>
      <c r="S522" s="65"/>
      <c r="T522" s="65"/>
      <c r="U522" s="6"/>
      <c r="V522" s="6" t="str">
        <f>IFERROR(__xludf.DUMMYFUNCTION("""COMPUTED_VALUE"""),"state.visit_nagasaki")</f>
        <v>state.visit_nagasaki</v>
      </c>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row>
    <row r="523" ht="14.25" customHeight="1">
      <c r="A523" s="26" t="str">
        <f t="shared" si="1"/>
        <v>state.visit_osaka</v>
      </c>
      <c r="B523" s="26" t="str">
        <f t="array" ref="B523">_xlfn.XLOOKUP(A523,Targets!A:A,Targets!C:C,"")</f>
        <v>STATE</v>
      </c>
      <c r="C523" s="64" t="b">
        <f>COUNTIF(Targets!A:A,A523)&gt;0</f>
        <v>1</v>
      </c>
      <c r="D523" s="64" t="b">
        <f>IF(
 OR(
  LEFT(A523,15)="state.character",
  RIGHT(A523,6)=".maxed"
 ),
 TRUE,
 COUNTIF(Checklist!A:A,A523)&gt;0
)</f>
        <v>1</v>
      </c>
      <c r="E523" s="64" t="b">
        <f>IF(
 OR(
  LEFT(A523,15)="state.character",
  RIGHT(A523,6)=".maxed",
  A523="building.guild@1",
  A523="quest.build_the_guild.accepted",
  A523="quest.build_the_pagoda.accepted"
 ),
 TRUE,
 COUNTIF(Dependencies!A:A,A523)&gt;0
)</f>
        <v>1</v>
      </c>
      <c r="F523" s="64" t="b">
        <f>COUNTIF(Dependencies!B:B,A523)&gt;0</f>
        <v>0</v>
      </c>
      <c r="G523" s="64" t="b">
        <f>COUNTIF(QuestObjectives!A:A,A523)&gt;0</f>
        <v>0</v>
      </c>
      <c r="H523" s="64" t="b">
        <f>COUNTIF(QuestObjectives!E:E,A523)&gt;0</f>
        <v>1</v>
      </c>
      <c r="I523" s="64" t="b">
        <f>COUNTIF(TargetStatus!A:A,A523)&gt;0</f>
        <v>1</v>
      </c>
      <c r="J523" s="64" t="b">
        <f>COUNTIF(CostStatus!B:B,A523)&gt;0</f>
        <v>0</v>
      </c>
      <c r="K523" s="64" t="b">
        <f>COUNTIF(States!A:A,A523)&gt;0</f>
        <v>1</v>
      </c>
      <c r="L523" s="64" t="b">
        <f t="shared" si="2"/>
        <v>1</v>
      </c>
      <c r="M523" s="64" t="b">
        <f>IF(A523="","",COUNTIF(Targets!A:A,A523)&gt;1)</f>
        <v>0</v>
      </c>
      <c r="N523" s="64" t="b">
        <f>IF(A523="","",COUNTIF(States!A:A,A523)&gt;1)</f>
        <v>0</v>
      </c>
      <c r="O523" s="64" t="b">
        <f>IFERROR(__xludf.DUMMYFUNCTION("IF(
 B523="""",
 """",
 SWITCH(
  B523,
  ""BUILDING"",COUNTIF(Buildings!A:A,A523)&gt;0,
  ""CITADEL"",COUNTIF(Citadel!A:A,A523)&gt;0,
  ""COLLECTION"",COUNTIF(Collections!A:A,A523)&gt;0,
  ""CRAFTIFACT"",COUNTIF(Craftifacts!A:A,A523)&gt;0,
  ""QUEST"",
   COUNTIF(
 "&amp;"   Quests!A:A,
    REGEXREPLACE(A523,""\.(accepted|finished)$"","""")
   )&gt;0,
  ""TECH"",COUNTIF(Technologies!A:A,A523)&gt;0,
  ""STATE"",COUNTIF(States!A:A,A523)&gt;0,
  FALSE
 )
)"),TRUE)</f>
        <v>1</v>
      </c>
      <c r="P523" s="64" t="str">
        <f t="shared" si="3"/>
        <v>Good</v>
      </c>
      <c r="Q523" s="65"/>
      <c r="R523" s="65"/>
      <c r="S523" s="65"/>
      <c r="T523" s="65"/>
      <c r="U523" s="6"/>
      <c r="V523" s="6" t="str">
        <f>IFERROR(__xludf.DUMMYFUNCTION("""COMPUTED_VALUE"""),"state.visit_osaka")</f>
        <v>state.visit_osaka</v>
      </c>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row>
    <row r="524" ht="14.25" customHeight="1">
      <c r="A524" s="26" t="str">
        <f t="shared" si="1"/>
        <v>state.visit_paris</v>
      </c>
      <c r="B524" s="26" t="str">
        <f t="array" ref="B524">_xlfn.XLOOKUP(A524,Targets!A:A,Targets!C:C,"")</f>
        <v>STATE</v>
      </c>
      <c r="C524" s="64" t="b">
        <f>COUNTIF(Targets!A:A,A524)&gt;0</f>
        <v>1</v>
      </c>
      <c r="D524" s="64" t="b">
        <f>IF(
 OR(
  LEFT(A524,15)="state.character",
  RIGHT(A524,6)=".maxed"
 ),
 TRUE,
 COUNTIF(Checklist!A:A,A524)&gt;0
)</f>
        <v>1</v>
      </c>
      <c r="E524" s="64" t="b">
        <f>IF(
 OR(
  LEFT(A524,15)="state.character",
  RIGHT(A524,6)=".maxed",
  A524="building.guild@1",
  A524="quest.build_the_guild.accepted",
  A524="quest.build_the_pagoda.accepted"
 ),
 TRUE,
 COUNTIF(Dependencies!A:A,A524)&gt;0
)</f>
        <v>1</v>
      </c>
      <c r="F524" s="64" t="b">
        <f>COUNTIF(Dependencies!B:B,A524)&gt;0</f>
        <v>0</v>
      </c>
      <c r="G524" s="64" t="b">
        <f>COUNTIF(QuestObjectives!A:A,A524)&gt;0</f>
        <v>0</v>
      </c>
      <c r="H524" s="64" t="b">
        <f>COUNTIF(QuestObjectives!E:E,A524)&gt;0</f>
        <v>1</v>
      </c>
      <c r="I524" s="64" t="b">
        <f>COUNTIF(TargetStatus!A:A,A524)&gt;0</f>
        <v>1</v>
      </c>
      <c r="J524" s="64" t="b">
        <f>COUNTIF(CostStatus!B:B,A524)&gt;0</f>
        <v>0</v>
      </c>
      <c r="K524" s="64" t="b">
        <f>COUNTIF(States!A:A,A524)&gt;0</f>
        <v>1</v>
      </c>
      <c r="L524" s="64" t="b">
        <f t="shared" si="2"/>
        <v>1</v>
      </c>
      <c r="M524" s="64" t="b">
        <f>IF(A524="","",COUNTIF(Targets!A:A,A524)&gt;1)</f>
        <v>0</v>
      </c>
      <c r="N524" s="64" t="b">
        <f>IF(A524="","",COUNTIF(States!A:A,A524)&gt;1)</f>
        <v>0</v>
      </c>
      <c r="O524" s="64" t="b">
        <f>IFERROR(__xludf.DUMMYFUNCTION("IF(
 B524="""",
 """",
 SWITCH(
  B524,
  ""BUILDING"",COUNTIF(Buildings!A:A,A524)&gt;0,
  ""CITADEL"",COUNTIF(Citadel!A:A,A524)&gt;0,
  ""COLLECTION"",COUNTIF(Collections!A:A,A524)&gt;0,
  ""CRAFTIFACT"",COUNTIF(Craftifacts!A:A,A524)&gt;0,
  ""QUEST"",
   COUNTIF(
 "&amp;"   Quests!A:A,
    REGEXREPLACE(A524,""\.(accepted|finished)$"","""")
   )&gt;0,
  ""TECH"",COUNTIF(Technologies!A:A,A524)&gt;0,
  ""STATE"",COUNTIF(States!A:A,A524)&gt;0,
  FALSE
 )
)"),TRUE)</f>
        <v>1</v>
      </c>
      <c r="P524" s="64" t="str">
        <f t="shared" si="3"/>
        <v>Good</v>
      </c>
      <c r="Q524" s="65"/>
      <c r="R524" s="65"/>
      <c r="S524" s="65"/>
      <c r="T524" s="65"/>
      <c r="U524" s="6"/>
      <c r="V524" s="6" t="str">
        <f>IFERROR(__xludf.DUMMYFUNCTION("""COMPUTED_VALUE"""),"state.visit_paris")</f>
        <v>state.visit_paris</v>
      </c>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row>
    <row r="525" ht="14.25" customHeight="1">
      <c r="A525" s="26" t="str">
        <f t="shared" si="1"/>
        <v>state.visit_rome</v>
      </c>
      <c r="B525" s="26" t="str">
        <f t="array" ref="B525">_xlfn.XLOOKUP(A525,Targets!A:A,Targets!C:C,"")</f>
        <v>STATE</v>
      </c>
      <c r="C525" s="64" t="b">
        <f>COUNTIF(Targets!A:A,A525)&gt;0</f>
        <v>1</v>
      </c>
      <c r="D525" s="64" t="b">
        <f>IF(
 OR(
  LEFT(A525,15)="state.character",
  RIGHT(A525,6)=".maxed"
 ),
 TRUE,
 COUNTIF(Checklist!A:A,A525)&gt;0
)</f>
        <v>1</v>
      </c>
      <c r="E525" s="64" t="b">
        <f>IF(
 OR(
  LEFT(A525,15)="state.character",
  RIGHT(A525,6)=".maxed",
  A525="building.guild@1",
  A525="quest.build_the_guild.accepted",
  A525="quest.build_the_pagoda.accepted"
 ),
 TRUE,
 COUNTIF(Dependencies!A:A,A525)&gt;0
)</f>
        <v>1</v>
      </c>
      <c r="F525" s="64" t="b">
        <f>COUNTIF(Dependencies!B:B,A525)&gt;0</f>
        <v>0</v>
      </c>
      <c r="G525" s="64" t="b">
        <f>COUNTIF(QuestObjectives!A:A,A525)&gt;0</f>
        <v>0</v>
      </c>
      <c r="H525" s="64" t="b">
        <f>COUNTIF(QuestObjectives!E:E,A525)&gt;0</f>
        <v>1</v>
      </c>
      <c r="I525" s="64" t="b">
        <f>COUNTIF(TargetStatus!A:A,A525)&gt;0</f>
        <v>1</v>
      </c>
      <c r="J525" s="64" t="b">
        <f>COUNTIF(CostStatus!B:B,A525)&gt;0</f>
        <v>0</v>
      </c>
      <c r="K525" s="64" t="b">
        <f>COUNTIF(States!A:A,A525)&gt;0</f>
        <v>1</v>
      </c>
      <c r="L525" s="64" t="b">
        <f t="shared" si="2"/>
        <v>1</v>
      </c>
      <c r="M525" s="64" t="b">
        <f>IF(A525="","",COUNTIF(Targets!A:A,A525)&gt;1)</f>
        <v>0</v>
      </c>
      <c r="N525" s="64" t="b">
        <f>IF(A525="","",COUNTIF(States!A:A,A525)&gt;1)</f>
        <v>0</v>
      </c>
      <c r="O525" s="64" t="b">
        <f>IFERROR(__xludf.DUMMYFUNCTION("IF(
 B525="""",
 """",
 SWITCH(
  B525,
  ""BUILDING"",COUNTIF(Buildings!A:A,A525)&gt;0,
  ""CITADEL"",COUNTIF(Citadel!A:A,A525)&gt;0,
  ""COLLECTION"",COUNTIF(Collections!A:A,A525)&gt;0,
  ""CRAFTIFACT"",COUNTIF(Craftifacts!A:A,A525)&gt;0,
  ""QUEST"",
   COUNTIF(
 "&amp;"   Quests!A:A,
    REGEXREPLACE(A525,""\.(accepted|finished)$"","""")
   )&gt;0,
  ""TECH"",COUNTIF(Technologies!A:A,A525)&gt;0,
  ""STATE"",COUNTIF(States!A:A,A525)&gt;0,
  FALSE
 )
)"),TRUE)</f>
        <v>1</v>
      </c>
      <c r="P525" s="64" t="str">
        <f t="shared" si="3"/>
        <v>Good</v>
      </c>
      <c r="Q525" s="65"/>
      <c r="R525" s="65"/>
      <c r="S525" s="65"/>
      <c r="T525" s="65"/>
      <c r="U525" s="6"/>
      <c r="V525" s="6" t="str">
        <f>IFERROR(__xludf.DUMMYFUNCTION("""COMPUTED_VALUE"""),"state.visit_rome")</f>
        <v>state.visit_rome</v>
      </c>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row>
    <row r="526" ht="14.25" customHeight="1">
      <c r="A526" s="26" t="str">
        <f t="shared" si="1"/>
        <v>state.visit_tokyo</v>
      </c>
      <c r="B526" s="26" t="str">
        <f t="array" ref="B526">_xlfn.XLOOKUP(A526,Targets!A:A,Targets!C:C,"")</f>
        <v>STATE</v>
      </c>
      <c r="C526" s="64" t="b">
        <f>COUNTIF(Targets!A:A,A526)&gt;0</f>
        <v>1</v>
      </c>
      <c r="D526" s="64" t="b">
        <f>IF(
 OR(
  LEFT(A526,15)="state.character",
  RIGHT(A526,6)=".maxed"
 ),
 TRUE,
 COUNTIF(Checklist!A:A,A526)&gt;0
)</f>
        <v>1</v>
      </c>
      <c r="E526" s="64" t="b">
        <f>IF(
 OR(
  LEFT(A526,15)="state.character",
  RIGHT(A526,6)=".maxed",
  A526="building.guild@1",
  A526="quest.build_the_guild.accepted",
  A526="quest.build_the_pagoda.accepted"
 ),
 TRUE,
 COUNTIF(Dependencies!A:A,A526)&gt;0
)</f>
        <v>1</v>
      </c>
      <c r="F526" s="64" t="b">
        <f>COUNTIF(Dependencies!B:B,A526)&gt;0</f>
        <v>0</v>
      </c>
      <c r="G526" s="64" t="b">
        <f>COUNTIF(QuestObjectives!A:A,A526)&gt;0</f>
        <v>0</v>
      </c>
      <c r="H526" s="64" t="b">
        <f>COUNTIF(QuestObjectives!E:E,A526)&gt;0</f>
        <v>1</v>
      </c>
      <c r="I526" s="64" t="b">
        <f>COUNTIF(TargetStatus!A:A,A526)&gt;0</f>
        <v>1</v>
      </c>
      <c r="J526" s="64" t="b">
        <f>COUNTIF(CostStatus!B:B,A526)&gt;0</f>
        <v>0</v>
      </c>
      <c r="K526" s="64" t="b">
        <f>COUNTIF(States!A:A,A526)&gt;0</f>
        <v>1</v>
      </c>
      <c r="L526" s="64" t="b">
        <f t="shared" si="2"/>
        <v>1</v>
      </c>
      <c r="M526" s="64" t="b">
        <f>IF(A526="","",COUNTIF(Targets!A:A,A526)&gt;1)</f>
        <v>0</v>
      </c>
      <c r="N526" s="64" t="b">
        <f>IF(A526="","",COUNTIF(States!A:A,A526)&gt;1)</f>
        <v>0</v>
      </c>
      <c r="O526" s="64" t="b">
        <f>IFERROR(__xludf.DUMMYFUNCTION("IF(
 B526="""",
 """",
 SWITCH(
  B526,
  ""BUILDING"",COUNTIF(Buildings!A:A,A526)&gt;0,
  ""CITADEL"",COUNTIF(Citadel!A:A,A526)&gt;0,
  ""COLLECTION"",COUNTIF(Collections!A:A,A526)&gt;0,
  ""CRAFTIFACT"",COUNTIF(Craftifacts!A:A,A526)&gt;0,
  ""QUEST"",
   COUNTIF(
 "&amp;"   Quests!A:A,
    REGEXREPLACE(A526,""\.(accepted|finished)$"","""")
   )&gt;0,
  ""TECH"",COUNTIF(Technologies!A:A,A526)&gt;0,
  ""STATE"",COUNTIF(States!A:A,A526)&gt;0,
  FALSE
 )
)"),TRUE)</f>
        <v>1</v>
      </c>
      <c r="P526" s="64" t="str">
        <f t="shared" si="3"/>
        <v>Good</v>
      </c>
      <c r="Q526" s="65"/>
      <c r="R526" s="65"/>
      <c r="S526" s="65"/>
      <c r="T526" s="65"/>
      <c r="U526" s="6"/>
      <c r="V526" s="6" t="str">
        <f>IFERROR(__xludf.DUMMYFUNCTION("""COMPUTED_VALUE"""),"state.visit_tokyo")</f>
        <v>state.visit_tokyo</v>
      </c>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row>
    <row r="527" ht="14.25" customHeight="1">
      <c r="A527" s="26" t="str">
        <f t="shared" si="1"/>
        <v>state.visit_wakayama</v>
      </c>
      <c r="B527" s="26" t="str">
        <f t="array" ref="B527">_xlfn.XLOOKUP(A527,Targets!A:A,Targets!C:C,"")</f>
        <v>STATE</v>
      </c>
      <c r="C527" s="64" t="b">
        <f>COUNTIF(Targets!A:A,A527)&gt;0</f>
        <v>1</v>
      </c>
      <c r="D527" s="64" t="b">
        <f>IF(
 OR(
  LEFT(A527,15)="state.character",
  RIGHT(A527,6)=".maxed"
 ),
 TRUE,
 COUNTIF(Checklist!A:A,A527)&gt;0
)</f>
        <v>1</v>
      </c>
      <c r="E527" s="64" t="b">
        <f>IF(
 OR(
  LEFT(A527,15)="state.character",
  RIGHT(A527,6)=".maxed",
  A527="building.guild@1",
  A527="quest.build_the_guild.accepted",
  A527="quest.build_the_pagoda.accepted"
 ),
 TRUE,
 COUNTIF(Dependencies!A:A,A527)&gt;0
)</f>
        <v>1</v>
      </c>
      <c r="F527" s="64" t="b">
        <f>COUNTIF(Dependencies!B:B,A527)&gt;0</f>
        <v>0</v>
      </c>
      <c r="G527" s="64" t="b">
        <f>COUNTIF(QuestObjectives!A:A,A527)&gt;0</f>
        <v>0</v>
      </c>
      <c r="H527" s="64" t="b">
        <f>COUNTIF(QuestObjectives!E:E,A527)&gt;0</f>
        <v>1</v>
      </c>
      <c r="I527" s="64" t="b">
        <f>COUNTIF(TargetStatus!A:A,A527)&gt;0</f>
        <v>1</v>
      </c>
      <c r="J527" s="64" t="b">
        <f>COUNTIF(CostStatus!B:B,A527)&gt;0</f>
        <v>0</v>
      </c>
      <c r="K527" s="64" t="b">
        <f>COUNTIF(States!A:A,A527)&gt;0</f>
        <v>1</v>
      </c>
      <c r="L527" s="64" t="b">
        <f t="shared" si="2"/>
        <v>1</v>
      </c>
      <c r="M527" s="64" t="b">
        <f>IF(A527="","",COUNTIF(Targets!A:A,A527)&gt;1)</f>
        <v>0</v>
      </c>
      <c r="N527" s="64" t="b">
        <f>IF(A527="","",COUNTIF(States!A:A,A527)&gt;1)</f>
        <v>0</v>
      </c>
      <c r="O527" s="64" t="b">
        <f>IFERROR(__xludf.DUMMYFUNCTION("IF(
 B527="""",
 """",
 SWITCH(
  B527,
  ""BUILDING"",COUNTIF(Buildings!A:A,A527)&gt;0,
  ""CITADEL"",COUNTIF(Citadel!A:A,A527)&gt;0,
  ""COLLECTION"",COUNTIF(Collections!A:A,A527)&gt;0,
  ""CRAFTIFACT"",COUNTIF(Craftifacts!A:A,A527)&gt;0,
  ""QUEST"",
   COUNTIF(
 "&amp;"   Quests!A:A,
    REGEXREPLACE(A527,""\.(accepted|finished)$"","""")
   )&gt;0,
  ""TECH"",COUNTIF(Technologies!A:A,A527)&gt;0,
  ""STATE"",COUNTIF(States!A:A,A527)&gt;0,
  FALSE
 )
)"),TRUE)</f>
        <v>1</v>
      </c>
      <c r="P527" s="64" t="str">
        <f t="shared" si="3"/>
        <v>Good</v>
      </c>
      <c r="Q527" s="65"/>
      <c r="R527" s="65"/>
      <c r="S527" s="65"/>
      <c r="T527" s="65"/>
      <c r="U527" s="6"/>
      <c r="V527" s="6" t="str">
        <f>IFERROR(__xludf.DUMMYFUNCTION("""COMPUTED_VALUE"""),"state.visit_wakayama")</f>
        <v>state.visit_wakayama</v>
      </c>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row>
    <row r="528" ht="14.25" customHeight="1">
      <c r="A528" s="26" t="str">
        <f t="shared" si="1"/>
        <v>state.visit_xian</v>
      </c>
      <c r="B528" s="26" t="str">
        <f t="array" ref="B528">_xlfn.XLOOKUP(A528,Targets!A:A,Targets!C:C,"")</f>
        <v>STATE</v>
      </c>
      <c r="C528" s="64" t="b">
        <f>COUNTIF(Targets!A:A,A528)&gt;0</f>
        <v>1</v>
      </c>
      <c r="D528" s="64" t="b">
        <f>IF(
 OR(
  LEFT(A528,15)="state.character",
  RIGHT(A528,6)=".maxed"
 ),
 TRUE,
 COUNTIF(Checklist!A:A,A528)&gt;0
)</f>
        <v>1</v>
      </c>
      <c r="E528" s="64" t="b">
        <f>IF(
 OR(
  LEFT(A528,15)="state.character",
  RIGHT(A528,6)=".maxed",
  A528="building.guild@1",
  A528="quest.build_the_guild.accepted",
  A528="quest.build_the_pagoda.accepted"
 ),
 TRUE,
 COUNTIF(Dependencies!A:A,A528)&gt;0
)</f>
        <v>1</v>
      </c>
      <c r="F528" s="64" t="b">
        <f>COUNTIF(Dependencies!B:B,A528)&gt;0</f>
        <v>0</v>
      </c>
      <c r="G528" s="64" t="b">
        <f>COUNTIF(QuestObjectives!A:A,A528)&gt;0</f>
        <v>0</v>
      </c>
      <c r="H528" s="64" t="b">
        <f>COUNTIF(QuestObjectives!E:E,A528)&gt;0</f>
        <v>1</v>
      </c>
      <c r="I528" s="64" t="b">
        <f>COUNTIF(TargetStatus!A:A,A528)&gt;0</f>
        <v>1</v>
      </c>
      <c r="J528" s="64" t="b">
        <f>COUNTIF(CostStatus!B:B,A528)&gt;0</f>
        <v>0</v>
      </c>
      <c r="K528" s="64" t="b">
        <f>COUNTIF(States!A:A,A528)&gt;0</f>
        <v>1</v>
      </c>
      <c r="L528" s="64" t="b">
        <f t="shared" si="2"/>
        <v>1</v>
      </c>
      <c r="M528" s="64" t="b">
        <f>IF(A528="","",COUNTIF(Targets!A:A,A528)&gt;1)</f>
        <v>0</v>
      </c>
      <c r="N528" s="64" t="b">
        <f>IF(A528="","",COUNTIF(States!A:A,A528)&gt;1)</f>
        <v>0</v>
      </c>
      <c r="O528" s="64" t="b">
        <f>IFERROR(__xludf.DUMMYFUNCTION("IF(
 B528="""",
 """",
 SWITCH(
  B528,
  ""BUILDING"",COUNTIF(Buildings!A:A,A528)&gt;0,
  ""CITADEL"",COUNTIF(Citadel!A:A,A528)&gt;0,
  ""COLLECTION"",COUNTIF(Collections!A:A,A528)&gt;0,
  ""CRAFTIFACT"",COUNTIF(Craftifacts!A:A,A528)&gt;0,
  ""QUEST"",
   COUNTIF(
 "&amp;"   Quests!A:A,
    REGEXREPLACE(A528,""\.(accepted|finished)$"","""")
   )&gt;0,
  ""TECH"",COUNTIF(Technologies!A:A,A528)&gt;0,
  ""STATE"",COUNTIF(States!A:A,A528)&gt;0,
  FALSE
 )
)"),TRUE)</f>
        <v>1</v>
      </c>
      <c r="P528" s="64" t="str">
        <f t="shared" si="3"/>
        <v>Good</v>
      </c>
      <c r="Q528" s="65"/>
      <c r="R528" s="65"/>
      <c r="S528" s="65"/>
      <c r="T528" s="65"/>
      <c r="U528" s="6"/>
      <c r="V528" s="6" t="str">
        <f>IFERROR(__xludf.DUMMYFUNCTION("""COMPUTED_VALUE"""),"state.visit_xian")</f>
        <v>state.visit_xian</v>
      </c>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row>
    <row r="529" ht="14.25" customHeight="1">
      <c r="A529" s="26" t="str">
        <f t="shared" si="1"/>
        <v>tech.airship.titanium_longerons</v>
      </c>
      <c r="B529" s="26" t="str">
        <f t="array" ref="B529">_xlfn.XLOOKUP(A529,Targets!A:A,Targets!C:C,"")</f>
        <v>TECH</v>
      </c>
      <c r="C529" s="64" t="b">
        <f>COUNTIF(Targets!A:A,A529)&gt;0</f>
        <v>1</v>
      </c>
      <c r="D529" s="64" t="b">
        <f>IF(
 OR(
  LEFT(A529,15)="state.character",
  RIGHT(A529,6)=".maxed"
 ),
 TRUE,
 COUNTIF(Checklist!A:A,A529)&gt;0
)</f>
        <v>1</v>
      </c>
      <c r="E529" s="64" t="b">
        <f>IF(
 OR(
  LEFT(A529,15)="state.character",
  RIGHT(A529,6)=".maxed",
  A529="building.guild@1",
  A529="quest.build_the_guild.accepted",
  A529="quest.build_the_pagoda.accepted"
 ),
 TRUE,
 COUNTIF(Dependencies!A:A,A529)&gt;0
)</f>
        <v>1</v>
      </c>
      <c r="F529" s="64" t="b">
        <f>COUNTIF(Dependencies!B:B,A529)&gt;0</f>
        <v>0</v>
      </c>
      <c r="G529" s="64" t="b">
        <f>COUNTIF(QuestObjectives!A:A,A529)&gt;0</f>
        <v>0</v>
      </c>
      <c r="H529" s="64" t="b">
        <f>COUNTIF(QuestObjectives!E:E,A529)&gt;0</f>
        <v>0</v>
      </c>
      <c r="I529" s="64" t="b">
        <f>COUNTIF(TargetStatus!A:A,A529)&gt;0</f>
        <v>1</v>
      </c>
      <c r="J529" s="64" t="b">
        <f>COUNTIF(CostStatus!B:B,A529)&gt;0</f>
        <v>1</v>
      </c>
      <c r="K529" s="64" t="b">
        <f>COUNTIF(States!A:A,A529)&gt;0</f>
        <v>0</v>
      </c>
      <c r="L529" s="64" t="b">
        <f t="shared" si="2"/>
        <v>1</v>
      </c>
      <c r="M529" s="64" t="b">
        <f>IF(A529="","",COUNTIF(Targets!A:A,A529)&gt;1)</f>
        <v>0</v>
      </c>
      <c r="N529" s="64" t="b">
        <f>IF(A529="","",COUNTIF(States!A:A,A529)&gt;1)</f>
        <v>0</v>
      </c>
      <c r="O529" s="64" t="b">
        <f>IFERROR(__xludf.DUMMYFUNCTION("IF(
 B529="""",
 """",
 SWITCH(
  B529,
  ""BUILDING"",COUNTIF(Buildings!A:A,A529)&gt;0,
  ""CITADEL"",COUNTIF(Citadel!A:A,A529)&gt;0,
  ""COLLECTION"",COUNTIF(Collections!A:A,A529)&gt;0,
  ""CRAFTIFACT"",COUNTIF(Craftifacts!A:A,A529)&gt;0,
  ""QUEST"",
   COUNTIF(
 "&amp;"   Quests!A:A,
    REGEXREPLACE(A529,""\.(accepted|finished)$"","""")
   )&gt;0,
  ""TECH"",COUNTIF(Technologies!A:A,A529)&gt;0,
  ""STATE"",COUNTIF(States!A:A,A529)&gt;0,
  FALSE
 )
)"),TRUE)</f>
        <v>1</v>
      </c>
      <c r="P529" s="64" t="str">
        <f t="shared" si="3"/>
        <v>Good</v>
      </c>
      <c r="Q529" s="65"/>
      <c r="R529" s="65"/>
      <c r="S529" s="65"/>
      <c r="T529" s="65"/>
      <c r="U529" s="6"/>
      <c r="V529" s="6" t="str">
        <f>IFERROR(__xludf.DUMMYFUNCTION("""COMPUTED_VALUE"""),"tech.airship.titanium_longerons")</f>
        <v>tech.airship.titanium_longerons</v>
      </c>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row>
    <row r="530" ht="14.25" customHeight="1">
      <c r="A530" s="26" t="str">
        <f t="shared" si="1"/>
        <v>tech.alchemists_hut.advanced_fertilizer</v>
      </c>
      <c r="B530" s="26" t="str">
        <f t="array" ref="B530">_xlfn.XLOOKUP(A530,Targets!A:A,Targets!C:C,"")</f>
        <v>TECH</v>
      </c>
      <c r="C530" s="64" t="b">
        <f>COUNTIF(Targets!A:A,A530)&gt;0</f>
        <v>1</v>
      </c>
      <c r="D530" s="64" t="b">
        <f>IF(
 OR(
  LEFT(A530,15)="state.character",
  RIGHT(A530,6)=".maxed"
 ),
 TRUE,
 COUNTIF(Checklist!A:A,A530)&gt;0
)</f>
        <v>1</v>
      </c>
      <c r="E530" s="64" t="b">
        <f>IF(
 OR(
  LEFT(A530,15)="state.character",
  RIGHT(A530,6)=".maxed",
  A530="building.guild@1",
  A530="quest.build_the_guild.accepted",
  A530="quest.build_the_pagoda.accepted"
 ),
 TRUE,
 COUNTIF(Dependencies!A:A,A530)&gt;0
)</f>
        <v>1</v>
      </c>
      <c r="F530" s="64" t="b">
        <f>COUNTIF(Dependencies!B:B,A530)&gt;0</f>
        <v>0</v>
      </c>
      <c r="G530" s="64" t="b">
        <f>COUNTIF(QuestObjectives!A:A,A530)&gt;0</f>
        <v>0</v>
      </c>
      <c r="H530" s="64" t="b">
        <f>COUNTIF(QuestObjectives!E:E,A530)&gt;0</f>
        <v>0</v>
      </c>
      <c r="I530" s="64" t="b">
        <f>COUNTIF(TargetStatus!A:A,A530)&gt;0</f>
        <v>1</v>
      </c>
      <c r="J530" s="64" t="b">
        <f>COUNTIF(CostStatus!B:B,A530)&gt;0</f>
        <v>1</v>
      </c>
      <c r="K530" s="64" t="b">
        <f>COUNTIF(States!A:A,A530)&gt;0</f>
        <v>0</v>
      </c>
      <c r="L530" s="64" t="b">
        <f t="shared" si="2"/>
        <v>1</v>
      </c>
      <c r="M530" s="64" t="b">
        <f>IF(A530="","",COUNTIF(Targets!A:A,A530)&gt;1)</f>
        <v>0</v>
      </c>
      <c r="N530" s="64" t="b">
        <f>IF(A530="","",COUNTIF(States!A:A,A530)&gt;1)</f>
        <v>0</v>
      </c>
      <c r="O530" s="64" t="b">
        <f>IFERROR(__xludf.DUMMYFUNCTION("IF(
 B530="""",
 """",
 SWITCH(
  B530,
  ""BUILDING"",COUNTIF(Buildings!A:A,A530)&gt;0,
  ""CITADEL"",COUNTIF(Citadel!A:A,A530)&gt;0,
  ""COLLECTION"",COUNTIF(Collections!A:A,A530)&gt;0,
  ""CRAFTIFACT"",COUNTIF(Craftifacts!A:A,A530)&gt;0,
  ""QUEST"",
   COUNTIF(
 "&amp;"   Quests!A:A,
    REGEXREPLACE(A530,""\.(accepted|finished)$"","""")
   )&gt;0,
  ""TECH"",COUNTIF(Technologies!A:A,A530)&gt;0,
  ""STATE"",COUNTIF(States!A:A,A530)&gt;0,
  FALSE
 )
)"),TRUE)</f>
        <v>1</v>
      </c>
      <c r="P530" s="64" t="str">
        <f t="shared" si="3"/>
        <v>Good</v>
      </c>
      <c r="Q530" s="65"/>
      <c r="R530" s="65"/>
      <c r="S530" s="65"/>
      <c r="T530" s="65"/>
      <c r="U530" s="6"/>
      <c r="V530" s="6" t="str">
        <f>IFERROR(__xludf.DUMMYFUNCTION("""COMPUTED_VALUE"""),"tech.alchemists_hut.advanced_fertilizer")</f>
        <v>tech.alchemists_hut.advanced_fertilizer</v>
      </c>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row>
    <row r="531" ht="14.25" customHeight="1">
      <c r="A531" s="26" t="str">
        <f t="shared" si="1"/>
        <v>tech.alchemists_hut.balm</v>
      </c>
      <c r="B531" s="26" t="str">
        <f t="array" ref="B531">_xlfn.XLOOKUP(A531,Targets!A:A,Targets!C:C,"")</f>
        <v>TECH</v>
      </c>
      <c r="C531" s="64" t="b">
        <f>COUNTIF(Targets!A:A,A531)&gt;0</f>
        <v>1</v>
      </c>
      <c r="D531" s="64" t="b">
        <f>IF(
 OR(
  LEFT(A531,15)="state.character",
  RIGHT(A531,6)=".maxed"
 ),
 TRUE,
 COUNTIF(Checklist!A:A,A531)&gt;0
)</f>
        <v>1</v>
      </c>
      <c r="E531" s="64" t="b">
        <f>IF(
 OR(
  LEFT(A531,15)="state.character",
  RIGHT(A531,6)=".maxed",
  A531="building.guild@1",
  A531="quest.build_the_guild.accepted",
  A531="quest.build_the_pagoda.accepted"
 ),
 TRUE,
 COUNTIF(Dependencies!A:A,A531)&gt;0
)</f>
        <v>1</v>
      </c>
      <c r="F531" s="64" t="b">
        <f>COUNTIF(Dependencies!B:B,A531)&gt;0</f>
        <v>0</v>
      </c>
      <c r="G531" s="64" t="b">
        <f>COUNTIF(QuestObjectives!A:A,A531)&gt;0</f>
        <v>0</v>
      </c>
      <c r="H531" s="64" t="b">
        <f>COUNTIF(QuestObjectives!E:E,A531)&gt;0</f>
        <v>0</v>
      </c>
      <c r="I531" s="64" t="b">
        <f>COUNTIF(TargetStatus!A:A,A531)&gt;0</f>
        <v>1</v>
      </c>
      <c r="J531" s="64" t="b">
        <f>COUNTIF(CostStatus!B:B,A531)&gt;0</f>
        <v>1</v>
      </c>
      <c r="K531" s="64" t="b">
        <f>COUNTIF(States!A:A,A531)&gt;0</f>
        <v>0</v>
      </c>
      <c r="L531" s="64" t="b">
        <f t="shared" si="2"/>
        <v>1</v>
      </c>
      <c r="M531" s="64" t="b">
        <f>IF(A531="","",COUNTIF(Targets!A:A,A531)&gt;1)</f>
        <v>0</v>
      </c>
      <c r="N531" s="64" t="b">
        <f>IF(A531="","",COUNTIF(States!A:A,A531)&gt;1)</f>
        <v>0</v>
      </c>
      <c r="O531" s="64" t="b">
        <f>IFERROR(__xludf.DUMMYFUNCTION("IF(
 B531="""",
 """",
 SWITCH(
  B531,
  ""BUILDING"",COUNTIF(Buildings!A:A,A531)&gt;0,
  ""CITADEL"",COUNTIF(Citadel!A:A,A531)&gt;0,
  ""COLLECTION"",COUNTIF(Collections!A:A,A531)&gt;0,
  ""CRAFTIFACT"",COUNTIF(Craftifacts!A:A,A531)&gt;0,
  ""QUEST"",
   COUNTIF(
 "&amp;"   Quests!A:A,
    REGEXREPLACE(A531,""\.(accepted|finished)$"","""")
   )&gt;0,
  ""TECH"",COUNTIF(Technologies!A:A,A531)&gt;0,
  ""STATE"",COUNTIF(States!A:A,A531)&gt;0,
  FALSE
 )
)"),TRUE)</f>
        <v>1</v>
      </c>
      <c r="P531" s="64" t="str">
        <f t="shared" si="3"/>
        <v>Good</v>
      </c>
      <c r="Q531" s="65"/>
      <c r="R531" s="65"/>
      <c r="S531" s="65"/>
      <c r="T531" s="65"/>
      <c r="U531" s="6"/>
      <c r="V531" s="6" t="str">
        <f>IFERROR(__xludf.DUMMYFUNCTION("""COMPUTED_VALUE"""),"tech.alchemists_hut.balm")</f>
        <v>tech.alchemists_hut.balm</v>
      </c>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row>
    <row r="532" ht="14.25" customHeight="1">
      <c r="A532" s="26" t="str">
        <f t="shared" si="1"/>
        <v>tech.alchemists_hut.conveyor_lvl_1</v>
      </c>
      <c r="B532" s="26" t="str">
        <f t="array" ref="B532">_xlfn.XLOOKUP(A532,Targets!A:A,Targets!C:C,"")</f>
        <v>TECH</v>
      </c>
      <c r="C532" s="64" t="b">
        <f>COUNTIF(Targets!A:A,A532)&gt;0</f>
        <v>1</v>
      </c>
      <c r="D532" s="64" t="b">
        <f>IF(
 OR(
  LEFT(A532,15)="state.character",
  RIGHT(A532,6)=".maxed"
 ),
 TRUE,
 COUNTIF(Checklist!A:A,A532)&gt;0
)</f>
        <v>1</v>
      </c>
      <c r="E532" s="64" t="b">
        <f>IF(
 OR(
  LEFT(A532,15)="state.character",
  RIGHT(A532,6)=".maxed",
  A532="building.guild@1",
  A532="quest.build_the_guild.accepted",
  A532="quest.build_the_pagoda.accepted"
 ),
 TRUE,
 COUNTIF(Dependencies!A:A,A532)&gt;0
)</f>
        <v>1</v>
      </c>
      <c r="F532" s="64" t="b">
        <f>COUNTIF(Dependencies!B:B,A532)&gt;0</f>
        <v>1</v>
      </c>
      <c r="G532" s="64" t="b">
        <f>COUNTIF(QuestObjectives!A:A,A532)&gt;0</f>
        <v>0</v>
      </c>
      <c r="H532" s="64" t="b">
        <f>COUNTIF(QuestObjectives!E:E,A532)&gt;0</f>
        <v>0</v>
      </c>
      <c r="I532" s="64" t="b">
        <f>COUNTIF(TargetStatus!A:A,A532)&gt;0</f>
        <v>1</v>
      </c>
      <c r="J532" s="64" t="b">
        <f>COUNTIF(CostStatus!B:B,A532)&gt;0</f>
        <v>1</v>
      </c>
      <c r="K532" s="64" t="b">
        <f>COUNTIF(States!A:A,A532)&gt;0</f>
        <v>0</v>
      </c>
      <c r="L532" s="64" t="b">
        <f t="shared" si="2"/>
        <v>1</v>
      </c>
      <c r="M532" s="64" t="b">
        <f>IF(A532="","",COUNTIF(Targets!A:A,A532)&gt;1)</f>
        <v>0</v>
      </c>
      <c r="N532" s="64" t="b">
        <f>IF(A532="","",COUNTIF(States!A:A,A532)&gt;1)</f>
        <v>0</v>
      </c>
      <c r="O532" s="64" t="b">
        <f>IFERROR(__xludf.DUMMYFUNCTION("IF(
 B532="""",
 """",
 SWITCH(
  B532,
  ""BUILDING"",COUNTIF(Buildings!A:A,A532)&gt;0,
  ""CITADEL"",COUNTIF(Citadel!A:A,A532)&gt;0,
  ""COLLECTION"",COUNTIF(Collections!A:A,A532)&gt;0,
  ""CRAFTIFACT"",COUNTIF(Craftifacts!A:A,A532)&gt;0,
  ""QUEST"",
   COUNTIF(
 "&amp;"   Quests!A:A,
    REGEXREPLACE(A532,""\.(accepted|finished)$"","""")
   )&gt;0,
  ""TECH"",COUNTIF(Technologies!A:A,A532)&gt;0,
  ""STATE"",COUNTIF(States!A:A,A532)&gt;0,
  FALSE
 )
)"),TRUE)</f>
        <v>1</v>
      </c>
      <c r="P532" s="64" t="str">
        <f t="shared" si="3"/>
        <v>Good</v>
      </c>
      <c r="Q532" s="65"/>
      <c r="R532" s="65"/>
      <c r="S532" s="65"/>
      <c r="T532" s="65"/>
      <c r="U532" s="6"/>
      <c r="V532" s="6" t="str">
        <f>IFERROR(__xludf.DUMMYFUNCTION("""COMPUTED_VALUE"""),"tech.alchemists_hut.conveyor_lvl_1")</f>
        <v>tech.alchemists_hut.conveyor_lvl_1</v>
      </c>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row>
    <row r="533" ht="14.25" customHeight="1">
      <c r="A533" s="26" t="str">
        <f t="shared" si="1"/>
        <v>tech.alchemists_hut.conveyor_lvl_2</v>
      </c>
      <c r="B533" s="26" t="str">
        <f t="array" ref="B533">_xlfn.XLOOKUP(A533,Targets!A:A,Targets!C:C,"")</f>
        <v>TECH</v>
      </c>
      <c r="C533" s="64" t="b">
        <f>COUNTIF(Targets!A:A,A533)&gt;0</f>
        <v>1</v>
      </c>
      <c r="D533" s="64" t="b">
        <f>IF(
 OR(
  LEFT(A533,15)="state.character",
  RIGHT(A533,6)=".maxed"
 ),
 TRUE,
 COUNTIF(Checklist!A:A,A533)&gt;0
)</f>
        <v>1</v>
      </c>
      <c r="E533" s="64" t="b">
        <f>IF(
 OR(
  LEFT(A533,15)="state.character",
  RIGHT(A533,6)=".maxed",
  A533="building.guild@1",
  A533="quest.build_the_guild.accepted",
  A533="quest.build_the_pagoda.accepted"
 ),
 TRUE,
 COUNTIF(Dependencies!A:A,A533)&gt;0
)</f>
        <v>1</v>
      </c>
      <c r="F533" s="64" t="b">
        <f>COUNTIF(Dependencies!B:B,A533)&gt;0</f>
        <v>0</v>
      </c>
      <c r="G533" s="64" t="b">
        <f>COUNTIF(QuestObjectives!A:A,A533)&gt;0</f>
        <v>0</v>
      </c>
      <c r="H533" s="64" t="b">
        <f>COUNTIF(QuestObjectives!E:E,A533)&gt;0</f>
        <v>0</v>
      </c>
      <c r="I533" s="64" t="b">
        <f>COUNTIF(TargetStatus!A:A,A533)&gt;0</f>
        <v>1</v>
      </c>
      <c r="J533" s="64" t="b">
        <f>COUNTIF(CostStatus!B:B,A533)&gt;0</f>
        <v>1</v>
      </c>
      <c r="K533" s="64" t="b">
        <f>COUNTIF(States!A:A,A533)&gt;0</f>
        <v>0</v>
      </c>
      <c r="L533" s="64" t="b">
        <f t="shared" si="2"/>
        <v>1</v>
      </c>
      <c r="M533" s="64" t="b">
        <f>IF(A533="","",COUNTIF(Targets!A:A,A533)&gt;1)</f>
        <v>0</v>
      </c>
      <c r="N533" s="64" t="b">
        <f>IF(A533="","",COUNTIF(States!A:A,A533)&gt;1)</f>
        <v>0</v>
      </c>
      <c r="O533" s="64" t="b">
        <f>IFERROR(__xludf.DUMMYFUNCTION("IF(
 B533="""",
 """",
 SWITCH(
  B533,
  ""BUILDING"",COUNTIF(Buildings!A:A,A533)&gt;0,
  ""CITADEL"",COUNTIF(Citadel!A:A,A533)&gt;0,
  ""COLLECTION"",COUNTIF(Collections!A:A,A533)&gt;0,
  ""CRAFTIFACT"",COUNTIF(Craftifacts!A:A,A533)&gt;0,
  ""QUEST"",
   COUNTIF(
 "&amp;"   Quests!A:A,
    REGEXREPLACE(A533,""\.(accepted|finished)$"","""")
   )&gt;0,
  ""TECH"",COUNTIF(Technologies!A:A,A533)&gt;0,
  ""STATE"",COUNTIF(States!A:A,A533)&gt;0,
  FALSE
 )
)"),TRUE)</f>
        <v>1</v>
      </c>
      <c r="P533" s="64" t="str">
        <f t="shared" si="3"/>
        <v>Good</v>
      </c>
      <c r="Q533" s="65"/>
      <c r="R533" s="65"/>
      <c r="S533" s="65"/>
      <c r="T533" s="65"/>
      <c r="U533" s="6"/>
      <c r="V533" s="6" t="str">
        <f>IFERROR(__xludf.DUMMYFUNCTION("""COMPUTED_VALUE"""),"tech.alchemists_hut.conveyor_lvl_2")</f>
        <v>tech.alchemists_hut.conveyor_lvl_2</v>
      </c>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row>
    <row r="534" ht="14.25" customHeight="1">
      <c r="A534" s="26" t="str">
        <f t="shared" si="1"/>
        <v>tech.alchemists_hut.galvanization</v>
      </c>
      <c r="B534" s="26" t="str">
        <f t="array" ref="B534">_xlfn.XLOOKUP(A534,Targets!A:A,Targets!C:C,"")</f>
        <v>TECH</v>
      </c>
      <c r="C534" s="64" t="b">
        <f>COUNTIF(Targets!A:A,A534)&gt;0</f>
        <v>1</v>
      </c>
      <c r="D534" s="64" t="b">
        <f>IF(
 OR(
  LEFT(A534,15)="state.character",
  RIGHT(A534,6)=".maxed"
 ),
 TRUE,
 COUNTIF(Checklist!A:A,A534)&gt;0
)</f>
        <v>1</v>
      </c>
      <c r="E534" s="64" t="b">
        <f>IF(
 OR(
  LEFT(A534,15)="state.character",
  RIGHT(A534,6)=".maxed",
  A534="building.guild@1",
  A534="quest.build_the_guild.accepted",
  A534="quest.build_the_pagoda.accepted"
 ),
 TRUE,
 COUNTIF(Dependencies!A:A,A534)&gt;0
)</f>
        <v>1</v>
      </c>
      <c r="F534" s="64" t="b">
        <f>COUNTIF(Dependencies!B:B,A534)&gt;0</f>
        <v>0</v>
      </c>
      <c r="G534" s="64" t="b">
        <f>COUNTIF(QuestObjectives!A:A,A534)&gt;0</f>
        <v>0</v>
      </c>
      <c r="H534" s="64" t="b">
        <f>COUNTIF(QuestObjectives!E:E,A534)&gt;0</f>
        <v>0</v>
      </c>
      <c r="I534" s="64" t="b">
        <f>COUNTIF(TargetStatus!A:A,A534)&gt;0</f>
        <v>1</v>
      </c>
      <c r="J534" s="64" t="b">
        <f>COUNTIF(CostStatus!B:B,A534)&gt;0</f>
        <v>1</v>
      </c>
      <c r="K534" s="64" t="b">
        <f>COUNTIF(States!A:A,A534)&gt;0</f>
        <v>0</v>
      </c>
      <c r="L534" s="64" t="b">
        <f t="shared" si="2"/>
        <v>1</v>
      </c>
      <c r="M534" s="64" t="b">
        <f>IF(A534="","",COUNTIF(Targets!A:A,A534)&gt;1)</f>
        <v>0</v>
      </c>
      <c r="N534" s="64" t="b">
        <f>IF(A534="","",COUNTIF(States!A:A,A534)&gt;1)</f>
        <v>0</v>
      </c>
      <c r="O534" s="64" t="b">
        <f>IFERROR(__xludf.DUMMYFUNCTION("IF(
 B534="""",
 """",
 SWITCH(
  B534,
  ""BUILDING"",COUNTIF(Buildings!A:A,A534)&gt;0,
  ""CITADEL"",COUNTIF(Citadel!A:A,A534)&gt;0,
  ""COLLECTION"",COUNTIF(Collections!A:A,A534)&gt;0,
  ""CRAFTIFACT"",COUNTIF(Craftifacts!A:A,A534)&gt;0,
  ""QUEST"",
   COUNTIF(
 "&amp;"   Quests!A:A,
    REGEXREPLACE(A534,""\.(accepted|finished)$"","""")
   )&gt;0,
  ""TECH"",COUNTIF(Technologies!A:A,A534)&gt;0,
  ""STATE"",COUNTIF(States!A:A,A534)&gt;0,
  FALSE
 )
)"),TRUE)</f>
        <v>1</v>
      </c>
      <c r="P534" s="64" t="str">
        <f t="shared" si="3"/>
        <v>Good</v>
      </c>
      <c r="Q534" s="65"/>
      <c r="R534" s="65"/>
      <c r="S534" s="65"/>
      <c r="T534" s="65"/>
      <c r="U534" s="6"/>
      <c r="V534" s="6" t="str">
        <f>IFERROR(__xludf.DUMMYFUNCTION("""COMPUTED_VALUE"""),"tech.alchemists_hut.galvanization")</f>
        <v>tech.alchemists_hut.galvanization</v>
      </c>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row>
    <row r="535" ht="14.25" customHeight="1">
      <c r="A535" s="26" t="str">
        <f t="shared" si="1"/>
        <v>tech.alchemists_hut.gold_ingot</v>
      </c>
      <c r="B535" s="26" t="str">
        <f t="array" ref="B535">_xlfn.XLOOKUP(A535,Targets!A:A,Targets!C:C,"")</f>
        <v>TECH</v>
      </c>
      <c r="C535" s="64" t="b">
        <f>COUNTIF(Targets!A:A,A535)&gt;0</f>
        <v>1</v>
      </c>
      <c r="D535" s="64" t="b">
        <f>IF(
 OR(
  LEFT(A535,15)="state.character",
  RIGHT(A535,6)=".maxed"
 ),
 TRUE,
 COUNTIF(Checklist!A:A,A535)&gt;0
)</f>
        <v>1</v>
      </c>
      <c r="E535" s="64" t="b">
        <f>IF(
 OR(
  LEFT(A535,15)="state.character",
  RIGHT(A535,6)=".maxed",
  A535="building.guild@1",
  A535="quest.build_the_guild.accepted",
  A535="quest.build_the_pagoda.accepted"
 ),
 TRUE,
 COUNTIF(Dependencies!A:A,A535)&gt;0
)</f>
        <v>1</v>
      </c>
      <c r="F535" s="64" t="b">
        <f>COUNTIF(Dependencies!B:B,A535)&gt;0</f>
        <v>0</v>
      </c>
      <c r="G535" s="64" t="b">
        <f>COUNTIF(QuestObjectives!A:A,A535)&gt;0</f>
        <v>0</v>
      </c>
      <c r="H535" s="64" t="b">
        <f>COUNTIF(QuestObjectives!E:E,A535)&gt;0</f>
        <v>0</v>
      </c>
      <c r="I535" s="64" t="b">
        <f>COUNTIF(TargetStatus!A:A,A535)&gt;0</f>
        <v>1</v>
      </c>
      <c r="J535" s="64" t="b">
        <f>COUNTIF(CostStatus!B:B,A535)&gt;0</f>
        <v>1</v>
      </c>
      <c r="K535" s="64" t="b">
        <f>COUNTIF(States!A:A,A535)&gt;0</f>
        <v>0</v>
      </c>
      <c r="L535" s="64" t="b">
        <f t="shared" si="2"/>
        <v>1</v>
      </c>
      <c r="M535" s="64" t="b">
        <f>IF(A535="","",COUNTIF(Targets!A:A,A535)&gt;1)</f>
        <v>0</v>
      </c>
      <c r="N535" s="64" t="b">
        <f>IF(A535="","",COUNTIF(States!A:A,A535)&gt;1)</f>
        <v>0</v>
      </c>
      <c r="O535" s="64" t="b">
        <f>IFERROR(__xludf.DUMMYFUNCTION("IF(
 B535="""",
 """",
 SWITCH(
  B535,
  ""BUILDING"",COUNTIF(Buildings!A:A,A535)&gt;0,
  ""CITADEL"",COUNTIF(Citadel!A:A,A535)&gt;0,
  ""COLLECTION"",COUNTIF(Collections!A:A,A535)&gt;0,
  ""CRAFTIFACT"",COUNTIF(Craftifacts!A:A,A535)&gt;0,
  ""QUEST"",
   COUNTIF(
 "&amp;"   Quests!A:A,
    REGEXREPLACE(A535,""\.(accepted|finished)$"","""")
   )&gt;0,
  ""TECH"",COUNTIF(Technologies!A:A,A535)&gt;0,
  ""STATE"",COUNTIF(States!A:A,A535)&gt;0,
  FALSE
 )
)"),TRUE)</f>
        <v>1</v>
      </c>
      <c r="P535" s="64" t="str">
        <f t="shared" si="3"/>
        <v>Good</v>
      </c>
      <c r="Q535" s="65"/>
      <c r="R535" s="65"/>
      <c r="S535" s="65"/>
      <c r="T535" s="65"/>
      <c r="U535" s="6"/>
      <c r="V535" s="6" t="str">
        <f>IFERROR(__xludf.DUMMYFUNCTION("""COMPUTED_VALUE"""),"tech.alchemists_hut.gold_ingot")</f>
        <v>tech.alchemists_hut.gold_ingot</v>
      </c>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row>
    <row r="536" ht="14.25" customHeight="1">
      <c r="A536" s="26" t="str">
        <f t="shared" si="1"/>
        <v>tech.alchemists_hut.greek_grenade</v>
      </c>
      <c r="B536" s="26" t="str">
        <f t="array" ref="B536">_xlfn.XLOOKUP(A536,Targets!A:A,Targets!C:C,"")</f>
        <v>TECH</v>
      </c>
      <c r="C536" s="64" t="b">
        <f>COUNTIF(Targets!A:A,A536)&gt;0</f>
        <v>1</v>
      </c>
      <c r="D536" s="64" t="b">
        <f>IF(
 OR(
  LEFT(A536,15)="state.character",
  RIGHT(A536,6)=".maxed"
 ),
 TRUE,
 COUNTIF(Checklist!A:A,A536)&gt;0
)</f>
        <v>1</v>
      </c>
      <c r="E536" s="64" t="b">
        <f>IF(
 OR(
  LEFT(A536,15)="state.character",
  RIGHT(A536,6)=".maxed",
  A536="building.guild@1",
  A536="quest.build_the_guild.accepted",
  A536="quest.build_the_pagoda.accepted"
 ),
 TRUE,
 COUNTIF(Dependencies!A:A,A536)&gt;0
)</f>
        <v>1</v>
      </c>
      <c r="F536" s="64" t="b">
        <f>COUNTIF(Dependencies!B:B,A536)&gt;0</f>
        <v>0</v>
      </c>
      <c r="G536" s="64" t="b">
        <f>COUNTIF(QuestObjectives!A:A,A536)&gt;0</f>
        <v>0</v>
      </c>
      <c r="H536" s="64" t="b">
        <f>COUNTIF(QuestObjectives!E:E,A536)&gt;0</f>
        <v>0</v>
      </c>
      <c r="I536" s="64" t="b">
        <f>COUNTIF(TargetStatus!A:A,A536)&gt;0</f>
        <v>1</v>
      </c>
      <c r="J536" s="64" t="b">
        <f>COUNTIF(CostStatus!B:B,A536)&gt;0</f>
        <v>1</v>
      </c>
      <c r="K536" s="64" t="b">
        <f>COUNTIF(States!A:A,A536)&gt;0</f>
        <v>0</v>
      </c>
      <c r="L536" s="64" t="b">
        <f t="shared" si="2"/>
        <v>1</v>
      </c>
      <c r="M536" s="64" t="b">
        <f>IF(A536="","",COUNTIF(Targets!A:A,A536)&gt;1)</f>
        <v>0</v>
      </c>
      <c r="N536" s="64" t="b">
        <f>IF(A536="","",COUNTIF(States!A:A,A536)&gt;1)</f>
        <v>0</v>
      </c>
      <c r="O536" s="64" t="b">
        <f>IFERROR(__xludf.DUMMYFUNCTION("IF(
 B536="""",
 """",
 SWITCH(
  B536,
  ""BUILDING"",COUNTIF(Buildings!A:A,A536)&gt;0,
  ""CITADEL"",COUNTIF(Citadel!A:A,A536)&gt;0,
  ""COLLECTION"",COUNTIF(Collections!A:A,A536)&gt;0,
  ""CRAFTIFACT"",COUNTIF(Craftifacts!A:A,A536)&gt;0,
  ""QUEST"",
   COUNTIF(
 "&amp;"   Quests!A:A,
    REGEXREPLACE(A536,""\.(accepted|finished)$"","""")
   )&gt;0,
  ""TECH"",COUNTIF(Technologies!A:A,A536)&gt;0,
  ""STATE"",COUNTIF(States!A:A,A536)&gt;0,
  FALSE
 )
)"),TRUE)</f>
        <v>1</v>
      </c>
      <c r="P536" s="64" t="str">
        <f t="shared" si="3"/>
        <v>Good</v>
      </c>
      <c r="Q536" s="65"/>
      <c r="R536" s="65"/>
      <c r="S536" s="65"/>
      <c r="T536" s="65"/>
      <c r="U536" s="6"/>
      <c r="V536" s="6" t="str">
        <f>IFERROR(__xludf.DUMMYFUNCTION("""COMPUTED_VALUE"""),"tech.alchemists_hut.greek_grenade")</f>
        <v>tech.alchemists_hut.greek_grenade</v>
      </c>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row>
    <row r="537" ht="14.25" customHeight="1">
      <c r="A537" s="26" t="str">
        <f t="shared" si="1"/>
        <v>tech.alchemists_hut.madness_grenade</v>
      </c>
      <c r="B537" s="26" t="str">
        <f t="array" ref="B537">_xlfn.XLOOKUP(A537,Targets!A:A,Targets!C:C,"")</f>
        <v>TECH</v>
      </c>
      <c r="C537" s="64" t="b">
        <f>COUNTIF(Targets!A:A,A537)&gt;0</f>
        <v>1</v>
      </c>
      <c r="D537" s="64" t="b">
        <f>IF(
 OR(
  LEFT(A537,15)="state.character",
  RIGHT(A537,6)=".maxed"
 ),
 TRUE,
 COUNTIF(Checklist!A:A,A537)&gt;0
)</f>
        <v>1</v>
      </c>
      <c r="E537" s="64" t="b">
        <f>IF(
 OR(
  LEFT(A537,15)="state.character",
  RIGHT(A537,6)=".maxed",
  A537="building.guild@1",
  A537="quest.build_the_guild.accepted",
  A537="quest.build_the_pagoda.accepted"
 ),
 TRUE,
 COUNTIF(Dependencies!A:A,A537)&gt;0
)</f>
        <v>1</v>
      </c>
      <c r="F537" s="64" t="b">
        <f>COUNTIF(Dependencies!B:B,A537)&gt;0</f>
        <v>0</v>
      </c>
      <c r="G537" s="64" t="b">
        <f>COUNTIF(QuestObjectives!A:A,A537)&gt;0</f>
        <v>0</v>
      </c>
      <c r="H537" s="64" t="b">
        <f>COUNTIF(QuestObjectives!E:E,A537)&gt;0</f>
        <v>0</v>
      </c>
      <c r="I537" s="64" t="b">
        <f>COUNTIF(TargetStatus!A:A,A537)&gt;0</f>
        <v>1</v>
      </c>
      <c r="J537" s="64" t="b">
        <f>COUNTIF(CostStatus!B:B,A537)&gt;0</f>
        <v>1</v>
      </c>
      <c r="K537" s="64" t="b">
        <f>COUNTIF(States!A:A,A537)&gt;0</f>
        <v>0</v>
      </c>
      <c r="L537" s="64" t="b">
        <f t="shared" si="2"/>
        <v>1</v>
      </c>
      <c r="M537" s="64" t="b">
        <f>IF(A537="","",COUNTIF(Targets!A:A,A537)&gt;1)</f>
        <v>0</v>
      </c>
      <c r="N537" s="64" t="b">
        <f>IF(A537="","",COUNTIF(States!A:A,A537)&gt;1)</f>
        <v>0</v>
      </c>
      <c r="O537" s="64" t="b">
        <f>IFERROR(__xludf.DUMMYFUNCTION("IF(
 B537="""",
 """",
 SWITCH(
  B537,
  ""BUILDING"",COUNTIF(Buildings!A:A,A537)&gt;0,
  ""CITADEL"",COUNTIF(Citadel!A:A,A537)&gt;0,
  ""COLLECTION"",COUNTIF(Collections!A:A,A537)&gt;0,
  ""CRAFTIFACT"",COUNTIF(Craftifacts!A:A,A537)&gt;0,
  ""QUEST"",
   COUNTIF(
 "&amp;"   Quests!A:A,
    REGEXREPLACE(A537,""\.(accepted|finished)$"","""")
   )&gt;0,
  ""TECH"",COUNTIF(Technologies!A:A,A537)&gt;0,
  ""STATE"",COUNTIF(States!A:A,A537)&gt;0,
  FALSE
 )
)"),TRUE)</f>
        <v>1</v>
      </c>
      <c r="P537" s="64" t="str">
        <f t="shared" si="3"/>
        <v>Good</v>
      </c>
      <c r="Q537" s="65"/>
      <c r="R537" s="65"/>
      <c r="S537" s="65"/>
      <c r="T537" s="65"/>
      <c r="U537" s="6"/>
      <c r="V537" s="6" t="str">
        <f>IFERROR(__xludf.DUMMYFUNCTION("""COMPUTED_VALUE"""),"tech.alchemists_hut.madness_grenade")</f>
        <v>tech.alchemists_hut.madness_grenade</v>
      </c>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row>
    <row r="538" ht="14.25" customHeight="1">
      <c r="A538" s="26" t="str">
        <f t="shared" si="1"/>
        <v>tech.alchemists_hut.mercury</v>
      </c>
      <c r="B538" s="26" t="str">
        <f t="array" ref="B538">_xlfn.XLOOKUP(A538,Targets!A:A,Targets!C:C,"")</f>
        <v>TECH</v>
      </c>
      <c r="C538" s="64" t="b">
        <f>COUNTIF(Targets!A:A,A538)&gt;0</f>
        <v>1</v>
      </c>
      <c r="D538" s="64" t="b">
        <f>IF(
 OR(
  LEFT(A538,15)="state.character",
  RIGHT(A538,6)=".maxed"
 ),
 TRUE,
 COUNTIF(Checklist!A:A,A538)&gt;0
)</f>
        <v>1</v>
      </c>
      <c r="E538" s="64" t="b">
        <f>IF(
 OR(
  LEFT(A538,15)="state.character",
  RIGHT(A538,6)=".maxed",
  A538="building.guild@1",
  A538="quest.build_the_guild.accepted",
  A538="quest.build_the_pagoda.accepted"
 ),
 TRUE,
 COUNTIF(Dependencies!A:A,A538)&gt;0
)</f>
        <v>1</v>
      </c>
      <c r="F538" s="64" t="b">
        <f>COUNTIF(Dependencies!B:B,A538)&gt;0</f>
        <v>1</v>
      </c>
      <c r="G538" s="64" t="b">
        <f>COUNTIF(QuestObjectives!A:A,A538)&gt;0</f>
        <v>0</v>
      </c>
      <c r="H538" s="64" t="b">
        <f>COUNTIF(QuestObjectives!E:E,A538)&gt;0</f>
        <v>0</v>
      </c>
      <c r="I538" s="64" t="b">
        <f>COUNTIF(TargetStatus!A:A,A538)&gt;0</f>
        <v>1</v>
      </c>
      <c r="J538" s="64" t="b">
        <f>COUNTIF(CostStatus!B:B,A538)&gt;0</f>
        <v>1</v>
      </c>
      <c r="K538" s="64" t="b">
        <f>COUNTIF(States!A:A,A538)&gt;0</f>
        <v>0</v>
      </c>
      <c r="L538" s="64" t="b">
        <f t="shared" si="2"/>
        <v>1</v>
      </c>
      <c r="M538" s="64" t="b">
        <f>IF(A538="","",COUNTIF(Targets!A:A,A538)&gt;1)</f>
        <v>0</v>
      </c>
      <c r="N538" s="64" t="b">
        <f>IF(A538="","",COUNTIF(States!A:A,A538)&gt;1)</f>
        <v>0</v>
      </c>
      <c r="O538" s="64" t="b">
        <f>IFERROR(__xludf.DUMMYFUNCTION("IF(
 B538="""",
 """",
 SWITCH(
  B538,
  ""BUILDING"",COUNTIF(Buildings!A:A,A538)&gt;0,
  ""CITADEL"",COUNTIF(Citadel!A:A,A538)&gt;0,
  ""COLLECTION"",COUNTIF(Collections!A:A,A538)&gt;0,
  ""CRAFTIFACT"",COUNTIF(Craftifacts!A:A,A538)&gt;0,
  ""QUEST"",
   COUNTIF(
 "&amp;"   Quests!A:A,
    REGEXREPLACE(A538,""\.(accepted|finished)$"","""")
   )&gt;0,
  ""TECH"",COUNTIF(Technologies!A:A,A538)&gt;0,
  ""STATE"",COUNTIF(States!A:A,A538)&gt;0,
  FALSE
 )
)"),TRUE)</f>
        <v>1</v>
      </c>
      <c r="P538" s="64" t="str">
        <f t="shared" si="3"/>
        <v>Good</v>
      </c>
      <c r="Q538" s="65"/>
      <c r="R538" s="65"/>
      <c r="S538" s="65"/>
      <c r="T538" s="65"/>
      <c r="U538" s="6"/>
      <c r="V538" s="6" t="str">
        <f>IFERROR(__xludf.DUMMYFUNCTION("""COMPUTED_VALUE"""),"tech.alchemists_hut.mercury")</f>
        <v>tech.alchemists_hut.mercury</v>
      </c>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row>
    <row r="539" ht="14.25" customHeight="1">
      <c r="A539" s="26" t="str">
        <f t="shared" si="1"/>
        <v>tech.alchemists_hut.metamorphosis</v>
      </c>
      <c r="B539" s="26" t="str">
        <f t="array" ref="B539">_xlfn.XLOOKUP(A539,Targets!A:A,Targets!C:C,"")</f>
        <v>TECH</v>
      </c>
      <c r="C539" s="64" t="b">
        <f>COUNTIF(Targets!A:A,A539)&gt;0</f>
        <v>1</v>
      </c>
      <c r="D539" s="64" t="b">
        <f>IF(
 OR(
  LEFT(A539,15)="state.character",
  RIGHT(A539,6)=".maxed"
 ),
 TRUE,
 COUNTIF(Checklist!A:A,A539)&gt;0
)</f>
        <v>1</v>
      </c>
      <c r="E539" s="64" t="b">
        <f>IF(
 OR(
  LEFT(A539,15)="state.character",
  RIGHT(A539,6)=".maxed",
  A539="building.guild@1",
  A539="quest.build_the_guild.accepted",
  A539="quest.build_the_pagoda.accepted"
 ),
 TRUE,
 COUNTIF(Dependencies!A:A,A539)&gt;0
)</f>
        <v>1</v>
      </c>
      <c r="F539" s="64" t="b">
        <f>COUNTIF(Dependencies!B:B,A539)&gt;0</f>
        <v>0</v>
      </c>
      <c r="G539" s="64" t="b">
        <f>COUNTIF(QuestObjectives!A:A,A539)&gt;0</f>
        <v>0</v>
      </c>
      <c r="H539" s="64" t="b">
        <f>COUNTIF(QuestObjectives!E:E,A539)&gt;0</f>
        <v>0</v>
      </c>
      <c r="I539" s="64" t="b">
        <f>COUNTIF(TargetStatus!A:A,A539)&gt;0</f>
        <v>1</v>
      </c>
      <c r="J539" s="64" t="b">
        <f>COUNTIF(CostStatus!B:B,A539)&gt;0</f>
        <v>1</v>
      </c>
      <c r="K539" s="64" t="b">
        <f>COUNTIF(States!A:A,A539)&gt;0</f>
        <v>0</v>
      </c>
      <c r="L539" s="64" t="b">
        <f t="shared" si="2"/>
        <v>1</v>
      </c>
      <c r="M539" s="64" t="b">
        <f>IF(A539="","",COUNTIF(Targets!A:A,A539)&gt;1)</f>
        <v>0</v>
      </c>
      <c r="N539" s="64" t="b">
        <f>IF(A539="","",COUNTIF(States!A:A,A539)&gt;1)</f>
        <v>0</v>
      </c>
      <c r="O539" s="64" t="b">
        <f>IFERROR(__xludf.DUMMYFUNCTION("IF(
 B539="""",
 """",
 SWITCH(
  B539,
  ""BUILDING"",COUNTIF(Buildings!A:A,A539)&gt;0,
  ""CITADEL"",COUNTIF(Citadel!A:A,A539)&gt;0,
  ""COLLECTION"",COUNTIF(Collections!A:A,A539)&gt;0,
  ""CRAFTIFACT"",COUNTIF(Craftifacts!A:A,A539)&gt;0,
  ""QUEST"",
   COUNTIF(
 "&amp;"   Quests!A:A,
    REGEXREPLACE(A539,""\.(accepted|finished)$"","""")
   )&gt;0,
  ""TECH"",COUNTIF(Technologies!A:A,A539)&gt;0,
  ""STATE"",COUNTIF(States!A:A,A539)&gt;0,
  FALSE
 )
)"),TRUE)</f>
        <v>1</v>
      </c>
      <c r="P539" s="64" t="str">
        <f t="shared" si="3"/>
        <v>Good</v>
      </c>
      <c r="Q539" s="65"/>
      <c r="R539" s="65"/>
      <c r="S539" s="65"/>
      <c r="T539" s="65"/>
      <c r="U539" s="6"/>
      <c r="V539" s="6" t="str">
        <f>IFERROR(__xludf.DUMMYFUNCTION("""COMPUTED_VALUE"""),"tech.alchemists_hut.metamorphosis")</f>
        <v>tech.alchemists_hut.metamorphosis</v>
      </c>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row>
    <row r="540" ht="14.25" customHeight="1">
      <c r="A540" s="26" t="str">
        <f t="shared" si="1"/>
        <v>tech.alchemists_hut.perfect_fertilizer</v>
      </c>
      <c r="B540" s="26" t="str">
        <f t="array" ref="B540">_xlfn.XLOOKUP(A540,Targets!A:A,Targets!C:C,"")</f>
        <v>TECH</v>
      </c>
      <c r="C540" s="64" t="b">
        <f>COUNTIF(Targets!A:A,A540)&gt;0</f>
        <v>1</v>
      </c>
      <c r="D540" s="64" t="b">
        <f>IF(
 OR(
  LEFT(A540,15)="state.character",
  RIGHT(A540,6)=".maxed"
 ),
 TRUE,
 COUNTIF(Checklist!A:A,A540)&gt;0
)</f>
        <v>1</v>
      </c>
      <c r="E540" s="64" t="b">
        <f>IF(
 OR(
  LEFT(A540,15)="state.character",
  RIGHT(A540,6)=".maxed",
  A540="building.guild@1",
  A540="quest.build_the_guild.accepted",
  A540="quest.build_the_pagoda.accepted"
 ),
 TRUE,
 COUNTIF(Dependencies!A:A,A540)&gt;0
)</f>
        <v>1</v>
      </c>
      <c r="F540" s="64" t="b">
        <f>COUNTIF(Dependencies!B:B,A540)&gt;0</f>
        <v>0</v>
      </c>
      <c r="G540" s="64" t="b">
        <f>COUNTIF(QuestObjectives!A:A,A540)&gt;0</f>
        <v>0</v>
      </c>
      <c r="H540" s="64" t="b">
        <f>COUNTIF(QuestObjectives!E:E,A540)&gt;0</f>
        <v>0</v>
      </c>
      <c r="I540" s="64" t="b">
        <f>COUNTIF(TargetStatus!A:A,A540)&gt;0</f>
        <v>1</v>
      </c>
      <c r="J540" s="64" t="b">
        <f>COUNTIF(CostStatus!B:B,A540)&gt;0</f>
        <v>1</v>
      </c>
      <c r="K540" s="64" t="b">
        <f>COUNTIF(States!A:A,A540)&gt;0</f>
        <v>0</v>
      </c>
      <c r="L540" s="64" t="b">
        <f t="shared" si="2"/>
        <v>1</v>
      </c>
      <c r="M540" s="64" t="b">
        <f>IF(A540="","",COUNTIF(Targets!A:A,A540)&gt;1)</f>
        <v>0</v>
      </c>
      <c r="N540" s="64" t="b">
        <f>IF(A540="","",COUNTIF(States!A:A,A540)&gt;1)</f>
        <v>0</v>
      </c>
      <c r="O540" s="64" t="b">
        <f>IFERROR(__xludf.DUMMYFUNCTION("IF(
 B540="""",
 """",
 SWITCH(
  B540,
  ""BUILDING"",COUNTIF(Buildings!A:A,A540)&gt;0,
  ""CITADEL"",COUNTIF(Citadel!A:A,A540)&gt;0,
  ""COLLECTION"",COUNTIF(Collections!A:A,A540)&gt;0,
  ""CRAFTIFACT"",COUNTIF(Craftifacts!A:A,A540)&gt;0,
  ""QUEST"",
   COUNTIF(
 "&amp;"   Quests!A:A,
    REGEXREPLACE(A540,""\.(accepted|finished)$"","""")
   )&gt;0,
  ""TECH"",COUNTIF(Technologies!A:A,A540)&gt;0,
  ""STATE"",COUNTIF(States!A:A,A540)&gt;0,
  FALSE
 )
)"),TRUE)</f>
        <v>1</v>
      </c>
      <c r="P540" s="64" t="str">
        <f t="shared" si="3"/>
        <v>Good</v>
      </c>
      <c r="Q540" s="65"/>
      <c r="R540" s="65"/>
      <c r="S540" s="65"/>
      <c r="T540" s="65"/>
      <c r="U540" s="6"/>
      <c r="V540" s="6" t="str">
        <f>IFERROR(__xludf.DUMMYFUNCTION("""COMPUTED_VALUE"""),"tech.alchemists_hut.perfect_fertilizer")</f>
        <v>tech.alchemists_hut.perfect_fertilizer</v>
      </c>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row>
    <row r="541" ht="14.25" customHeight="1">
      <c r="A541" s="26" t="str">
        <f t="shared" si="1"/>
        <v>tech.alchemists_hut.potion_ambrosia</v>
      </c>
      <c r="B541" s="26" t="str">
        <f t="array" ref="B541">_xlfn.XLOOKUP(A541,Targets!A:A,Targets!C:C,"")</f>
        <v>TECH</v>
      </c>
      <c r="C541" s="64" t="b">
        <f>COUNTIF(Targets!A:A,A541)&gt;0</f>
        <v>1</v>
      </c>
      <c r="D541" s="64" t="b">
        <f>IF(
 OR(
  LEFT(A541,15)="state.character",
  RIGHT(A541,6)=".maxed"
 ),
 TRUE,
 COUNTIF(Checklist!A:A,A541)&gt;0
)</f>
        <v>1</v>
      </c>
      <c r="E541" s="64" t="b">
        <f>IF(
 OR(
  LEFT(A541,15)="state.character",
  RIGHT(A541,6)=".maxed",
  A541="building.guild@1",
  A541="quest.build_the_guild.accepted",
  A541="quest.build_the_pagoda.accepted"
 ),
 TRUE,
 COUNTIF(Dependencies!A:A,A541)&gt;0
)</f>
        <v>1</v>
      </c>
      <c r="F541" s="64" t="b">
        <f>COUNTIF(Dependencies!B:B,A541)&gt;0</f>
        <v>0</v>
      </c>
      <c r="G541" s="64" t="b">
        <f>COUNTIF(QuestObjectives!A:A,A541)&gt;0</f>
        <v>0</v>
      </c>
      <c r="H541" s="64" t="b">
        <f>COUNTIF(QuestObjectives!E:E,A541)&gt;0</f>
        <v>0</v>
      </c>
      <c r="I541" s="64" t="b">
        <f>COUNTIF(TargetStatus!A:A,A541)&gt;0</f>
        <v>1</v>
      </c>
      <c r="J541" s="64" t="b">
        <f>COUNTIF(CostStatus!B:B,A541)&gt;0</f>
        <v>1</v>
      </c>
      <c r="K541" s="64" t="b">
        <f>COUNTIF(States!A:A,A541)&gt;0</f>
        <v>0</v>
      </c>
      <c r="L541" s="64" t="b">
        <f t="shared" si="2"/>
        <v>1</v>
      </c>
      <c r="M541" s="64" t="b">
        <f>IF(A541="","",COUNTIF(Targets!A:A,A541)&gt;1)</f>
        <v>0</v>
      </c>
      <c r="N541" s="64" t="b">
        <f>IF(A541="","",COUNTIF(States!A:A,A541)&gt;1)</f>
        <v>0</v>
      </c>
      <c r="O541" s="64" t="b">
        <f>IFERROR(__xludf.DUMMYFUNCTION("IF(
 B541="""",
 """",
 SWITCH(
  B541,
  ""BUILDING"",COUNTIF(Buildings!A:A,A541)&gt;0,
  ""CITADEL"",COUNTIF(Citadel!A:A,A541)&gt;0,
  ""COLLECTION"",COUNTIF(Collections!A:A,A541)&gt;0,
  ""CRAFTIFACT"",COUNTIF(Craftifacts!A:A,A541)&gt;0,
  ""QUEST"",
   COUNTIF(
 "&amp;"   Quests!A:A,
    REGEXREPLACE(A541,""\.(accepted|finished)$"","""")
   )&gt;0,
  ""TECH"",COUNTIF(Technologies!A:A,A541)&gt;0,
  ""STATE"",COUNTIF(States!A:A,A541)&gt;0,
  FALSE
 )
)"),TRUE)</f>
        <v>1</v>
      </c>
      <c r="P541" s="64" t="str">
        <f t="shared" si="3"/>
        <v>Good</v>
      </c>
      <c r="Q541" s="65"/>
      <c r="R541" s="65"/>
      <c r="S541" s="65"/>
      <c r="T541" s="65"/>
      <c r="U541" s="6"/>
      <c r="V541" s="6" t="str">
        <f>IFERROR(__xludf.DUMMYFUNCTION("""COMPUTED_VALUE"""),"tech.alchemists_hut.potion_ambrosia")</f>
        <v>tech.alchemists_hut.potion_ambrosia</v>
      </c>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row>
    <row r="542" ht="14.25" customHeight="1">
      <c r="A542" s="26" t="str">
        <f t="shared" si="1"/>
        <v>tech.alchemists_hut.potion_berserker_rage</v>
      </c>
      <c r="B542" s="26" t="str">
        <f t="array" ref="B542">_xlfn.XLOOKUP(A542,Targets!A:A,Targets!C:C,"")</f>
        <v>TECH</v>
      </c>
      <c r="C542" s="64" t="b">
        <f>COUNTIF(Targets!A:A,A542)&gt;0</f>
        <v>1</v>
      </c>
      <c r="D542" s="64" t="b">
        <f>IF(
 OR(
  LEFT(A542,15)="state.character",
  RIGHT(A542,6)=".maxed"
 ),
 TRUE,
 COUNTIF(Checklist!A:A,A542)&gt;0
)</f>
        <v>1</v>
      </c>
      <c r="E542" s="64" t="b">
        <f>IF(
 OR(
  LEFT(A542,15)="state.character",
  RIGHT(A542,6)=".maxed",
  A542="building.guild@1",
  A542="quest.build_the_guild.accepted",
  A542="quest.build_the_pagoda.accepted"
 ),
 TRUE,
 COUNTIF(Dependencies!A:A,A542)&gt;0
)</f>
        <v>1</v>
      </c>
      <c r="F542" s="64" t="b">
        <f>COUNTIF(Dependencies!B:B,A542)&gt;0</f>
        <v>1</v>
      </c>
      <c r="G542" s="64" t="b">
        <f>COUNTIF(QuestObjectives!A:A,A542)&gt;0</f>
        <v>0</v>
      </c>
      <c r="H542" s="64" t="b">
        <f>COUNTIF(QuestObjectives!E:E,A542)&gt;0</f>
        <v>0</v>
      </c>
      <c r="I542" s="64" t="b">
        <f>COUNTIF(TargetStatus!A:A,A542)&gt;0</f>
        <v>1</v>
      </c>
      <c r="J542" s="64" t="b">
        <f>COUNTIF(CostStatus!B:B,A542)&gt;0</f>
        <v>1</v>
      </c>
      <c r="K542" s="64" t="b">
        <f>COUNTIF(States!A:A,A542)&gt;0</f>
        <v>0</v>
      </c>
      <c r="L542" s="64" t="b">
        <f t="shared" si="2"/>
        <v>1</v>
      </c>
      <c r="M542" s="64" t="b">
        <f>IF(A542="","",COUNTIF(Targets!A:A,A542)&gt;1)</f>
        <v>0</v>
      </c>
      <c r="N542" s="64" t="b">
        <f>IF(A542="","",COUNTIF(States!A:A,A542)&gt;1)</f>
        <v>0</v>
      </c>
      <c r="O542" s="64" t="b">
        <f>IFERROR(__xludf.DUMMYFUNCTION("IF(
 B542="""",
 """",
 SWITCH(
  B542,
  ""BUILDING"",COUNTIF(Buildings!A:A,A542)&gt;0,
  ""CITADEL"",COUNTIF(Citadel!A:A,A542)&gt;0,
  ""COLLECTION"",COUNTIF(Collections!A:A,A542)&gt;0,
  ""CRAFTIFACT"",COUNTIF(Craftifacts!A:A,A542)&gt;0,
  ""QUEST"",
   COUNTIF(
 "&amp;"   Quests!A:A,
    REGEXREPLACE(A542,""\.(accepted|finished)$"","""")
   )&gt;0,
  ""TECH"",COUNTIF(Technologies!A:A,A542)&gt;0,
  ""STATE"",COUNTIF(States!A:A,A542)&gt;0,
  FALSE
 )
)"),TRUE)</f>
        <v>1</v>
      </c>
      <c r="P542" s="64" t="str">
        <f t="shared" si="3"/>
        <v>Good</v>
      </c>
      <c r="Q542" s="65"/>
      <c r="R542" s="65"/>
      <c r="S542" s="65"/>
      <c r="T542" s="65"/>
      <c r="U542" s="6"/>
      <c r="V542" s="6" t="str">
        <f>IFERROR(__xludf.DUMMYFUNCTION("""COMPUTED_VALUE"""),"tech.alchemists_hut.potion_berserker_rage")</f>
        <v>tech.alchemists_hut.potion_berserker_rage</v>
      </c>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row>
    <row r="543" ht="14.25" customHeight="1">
      <c r="A543" s="26" t="str">
        <f t="shared" si="1"/>
        <v>tech.alchemists_hut.potion_of_energy</v>
      </c>
      <c r="B543" s="26" t="str">
        <f t="array" ref="B543">_xlfn.XLOOKUP(A543,Targets!A:A,Targets!C:C,"")</f>
        <v>TECH</v>
      </c>
      <c r="C543" s="64" t="b">
        <f>COUNTIF(Targets!A:A,A543)&gt;0</f>
        <v>1</v>
      </c>
      <c r="D543" s="64" t="b">
        <f>IF(
 OR(
  LEFT(A543,15)="state.character",
  RIGHT(A543,6)=".maxed"
 ),
 TRUE,
 COUNTIF(Checklist!A:A,A543)&gt;0
)</f>
        <v>1</v>
      </c>
      <c r="E543" s="64" t="b">
        <f>IF(
 OR(
  LEFT(A543,15)="state.character",
  RIGHT(A543,6)=".maxed",
  A543="building.guild@1",
  A543="quest.build_the_guild.accepted",
  A543="quest.build_the_pagoda.accepted"
 ),
 TRUE,
 COUNTIF(Dependencies!A:A,A543)&gt;0
)</f>
        <v>1</v>
      </c>
      <c r="F543" s="64" t="b">
        <f>COUNTIF(Dependencies!B:B,A543)&gt;0</f>
        <v>0</v>
      </c>
      <c r="G543" s="64" t="b">
        <f>COUNTIF(QuestObjectives!A:A,A543)&gt;0</f>
        <v>0</v>
      </c>
      <c r="H543" s="64" t="b">
        <f>COUNTIF(QuestObjectives!E:E,A543)&gt;0</f>
        <v>0</v>
      </c>
      <c r="I543" s="64" t="b">
        <f>COUNTIF(TargetStatus!A:A,A543)&gt;0</f>
        <v>1</v>
      </c>
      <c r="J543" s="64" t="b">
        <f>COUNTIF(CostStatus!B:B,A543)&gt;0</f>
        <v>1</v>
      </c>
      <c r="K543" s="64" t="b">
        <f>COUNTIF(States!A:A,A543)&gt;0</f>
        <v>0</v>
      </c>
      <c r="L543" s="64" t="b">
        <f t="shared" si="2"/>
        <v>1</v>
      </c>
      <c r="M543" s="64" t="b">
        <f>IF(A543="","",COUNTIF(Targets!A:A,A543)&gt;1)</f>
        <v>0</v>
      </c>
      <c r="N543" s="64" t="b">
        <f>IF(A543="","",COUNTIF(States!A:A,A543)&gt;1)</f>
        <v>0</v>
      </c>
      <c r="O543" s="64" t="b">
        <f>IFERROR(__xludf.DUMMYFUNCTION("IF(
 B543="""",
 """",
 SWITCH(
  B543,
  ""BUILDING"",COUNTIF(Buildings!A:A,A543)&gt;0,
  ""CITADEL"",COUNTIF(Citadel!A:A,A543)&gt;0,
  ""COLLECTION"",COUNTIF(Collections!A:A,A543)&gt;0,
  ""CRAFTIFACT"",COUNTIF(Craftifacts!A:A,A543)&gt;0,
  ""QUEST"",
   COUNTIF(
 "&amp;"   Quests!A:A,
    REGEXREPLACE(A543,""\.(accepted|finished)$"","""")
   )&gt;0,
  ""TECH"",COUNTIF(Technologies!A:A,A543)&gt;0,
  ""STATE"",COUNTIF(States!A:A,A543)&gt;0,
  FALSE
 )
)"),TRUE)</f>
        <v>1</v>
      </c>
      <c r="P543" s="64" t="str">
        <f t="shared" si="3"/>
        <v>Good</v>
      </c>
      <c r="Q543" s="65"/>
      <c r="R543" s="65"/>
      <c r="S543" s="65"/>
      <c r="T543" s="65"/>
      <c r="U543" s="6"/>
      <c r="V543" s="6" t="str">
        <f>IFERROR(__xludf.DUMMYFUNCTION("""COMPUTED_VALUE"""),"tech.alchemists_hut.potion_of_energy")</f>
        <v>tech.alchemists_hut.potion_of_energy</v>
      </c>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row>
    <row r="544" ht="14.25" customHeight="1">
      <c r="A544" s="26" t="str">
        <f t="shared" si="1"/>
        <v>tech.alchemists_hut.potion_of_healing</v>
      </c>
      <c r="B544" s="26" t="str">
        <f t="array" ref="B544">_xlfn.XLOOKUP(A544,Targets!A:A,Targets!C:C,"")</f>
        <v>TECH</v>
      </c>
      <c r="C544" s="64" t="b">
        <f>COUNTIF(Targets!A:A,A544)&gt;0</f>
        <v>1</v>
      </c>
      <c r="D544" s="64" t="b">
        <f>IF(
 OR(
  LEFT(A544,15)="state.character",
  RIGHT(A544,6)=".maxed"
 ),
 TRUE,
 COUNTIF(Checklist!A:A,A544)&gt;0
)</f>
        <v>1</v>
      </c>
      <c r="E544" s="64" t="b">
        <f>IF(
 OR(
  LEFT(A544,15)="state.character",
  RIGHT(A544,6)=".maxed",
  A544="building.guild@1",
  A544="quest.build_the_guild.accepted",
  A544="quest.build_the_pagoda.accepted"
 ),
 TRUE,
 COUNTIF(Dependencies!A:A,A544)&gt;0
)</f>
        <v>1</v>
      </c>
      <c r="F544" s="64" t="b">
        <f>COUNTIF(Dependencies!B:B,A544)&gt;0</f>
        <v>1</v>
      </c>
      <c r="G544" s="64" t="b">
        <f>COUNTIF(QuestObjectives!A:A,A544)&gt;0</f>
        <v>0</v>
      </c>
      <c r="H544" s="64" t="b">
        <f>COUNTIF(QuestObjectives!E:E,A544)&gt;0</f>
        <v>0</v>
      </c>
      <c r="I544" s="64" t="b">
        <f>COUNTIF(TargetStatus!A:A,A544)&gt;0</f>
        <v>1</v>
      </c>
      <c r="J544" s="64" t="b">
        <f>COUNTIF(CostStatus!B:B,A544)&gt;0</f>
        <v>1</v>
      </c>
      <c r="K544" s="64" t="b">
        <f>COUNTIF(States!A:A,A544)&gt;0</f>
        <v>0</v>
      </c>
      <c r="L544" s="64" t="b">
        <f t="shared" si="2"/>
        <v>1</v>
      </c>
      <c r="M544" s="64" t="b">
        <f>IF(A544="","",COUNTIF(Targets!A:A,A544)&gt;1)</f>
        <v>0</v>
      </c>
      <c r="N544" s="64" t="b">
        <f>IF(A544="","",COUNTIF(States!A:A,A544)&gt;1)</f>
        <v>0</v>
      </c>
      <c r="O544" s="64" t="b">
        <f>IFERROR(__xludf.DUMMYFUNCTION("IF(
 B544="""",
 """",
 SWITCH(
  B544,
  ""BUILDING"",COUNTIF(Buildings!A:A,A544)&gt;0,
  ""CITADEL"",COUNTIF(Citadel!A:A,A544)&gt;0,
  ""COLLECTION"",COUNTIF(Collections!A:A,A544)&gt;0,
  ""CRAFTIFACT"",COUNTIF(Craftifacts!A:A,A544)&gt;0,
  ""QUEST"",
   COUNTIF(
 "&amp;"   Quests!A:A,
    REGEXREPLACE(A544,""\.(accepted|finished)$"","""")
   )&gt;0,
  ""TECH"",COUNTIF(Technologies!A:A,A544)&gt;0,
  ""STATE"",COUNTIF(States!A:A,A544)&gt;0,
  FALSE
 )
)"),TRUE)</f>
        <v>1</v>
      </c>
      <c r="P544" s="64" t="str">
        <f t="shared" si="3"/>
        <v>Good</v>
      </c>
      <c r="Q544" s="65"/>
      <c r="R544" s="65"/>
      <c r="S544" s="65"/>
      <c r="T544" s="65"/>
      <c r="U544" s="6"/>
      <c r="V544" s="6" t="str">
        <f>IFERROR(__xludf.DUMMYFUNCTION("""COMPUTED_VALUE"""),"tech.alchemists_hut.potion_of_healing")</f>
        <v>tech.alchemists_hut.potion_of_healing</v>
      </c>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row>
    <row r="545" ht="14.25" customHeight="1">
      <c r="A545" s="26" t="str">
        <f t="shared" si="1"/>
        <v>tech.alchemists_hut.potion_of_healing_lvl_2</v>
      </c>
      <c r="B545" s="26" t="str">
        <f t="array" ref="B545">_xlfn.XLOOKUP(A545,Targets!A:A,Targets!C:C,"")</f>
        <v>TECH</v>
      </c>
      <c r="C545" s="64" t="b">
        <f>COUNTIF(Targets!A:A,A545)&gt;0</f>
        <v>1</v>
      </c>
      <c r="D545" s="64" t="b">
        <f>IF(
 OR(
  LEFT(A545,15)="state.character",
  RIGHT(A545,6)=".maxed"
 ),
 TRUE,
 COUNTIF(Checklist!A:A,A545)&gt;0
)</f>
        <v>1</v>
      </c>
      <c r="E545" s="64" t="b">
        <f>IF(
 OR(
  LEFT(A545,15)="state.character",
  RIGHT(A545,6)=".maxed",
  A545="building.guild@1",
  A545="quest.build_the_guild.accepted",
  A545="quest.build_the_pagoda.accepted"
 ),
 TRUE,
 COUNTIF(Dependencies!A:A,A545)&gt;0
)</f>
        <v>1</v>
      </c>
      <c r="F545" s="64" t="b">
        <f>COUNTIF(Dependencies!B:B,A545)&gt;0</f>
        <v>1</v>
      </c>
      <c r="G545" s="64" t="b">
        <f>COUNTIF(QuestObjectives!A:A,A545)&gt;0</f>
        <v>0</v>
      </c>
      <c r="H545" s="64" t="b">
        <f>COUNTIF(QuestObjectives!E:E,A545)&gt;0</f>
        <v>0</v>
      </c>
      <c r="I545" s="64" t="b">
        <f>COUNTIF(TargetStatus!A:A,A545)&gt;0</f>
        <v>1</v>
      </c>
      <c r="J545" s="64" t="b">
        <f>COUNTIF(CostStatus!B:B,A545)&gt;0</f>
        <v>1</v>
      </c>
      <c r="K545" s="64" t="b">
        <f>COUNTIF(States!A:A,A545)&gt;0</f>
        <v>0</v>
      </c>
      <c r="L545" s="64" t="b">
        <f t="shared" si="2"/>
        <v>1</v>
      </c>
      <c r="M545" s="64" t="b">
        <f>IF(A545="","",COUNTIF(Targets!A:A,A545)&gt;1)</f>
        <v>0</v>
      </c>
      <c r="N545" s="64" t="b">
        <f>IF(A545="","",COUNTIF(States!A:A,A545)&gt;1)</f>
        <v>0</v>
      </c>
      <c r="O545" s="64" t="b">
        <f>IFERROR(__xludf.DUMMYFUNCTION("IF(
 B545="""",
 """",
 SWITCH(
  B545,
  ""BUILDING"",COUNTIF(Buildings!A:A,A545)&gt;0,
  ""CITADEL"",COUNTIF(Citadel!A:A,A545)&gt;0,
  ""COLLECTION"",COUNTIF(Collections!A:A,A545)&gt;0,
  ""CRAFTIFACT"",COUNTIF(Craftifacts!A:A,A545)&gt;0,
  ""QUEST"",
   COUNTIF(
 "&amp;"   Quests!A:A,
    REGEXREPLACE(A545,""\.(accepted|finished)$"","""")
   )&gt;0,
  ""TECH"",COUNTIF(Technologies!A:A,A545)&gt;0,
  ""STATE"",COUNTIF(States!A:A,A545)&gt;0,
  FALSE
 )
)"),TRUE)</f>
        <v>1</v>
      </c>
      <c r="P545" s="64" t="str">
        <f t="shared" si="3"/>
        <v>Good</v>
      </c>
      <c r="Q545" s="65"/>
      <c r="R545" s="65"/>
      <c r="S545" s="65"/>
      <c r="T545" s="65"/>
      <c r="U545" s="6"/>
      <c r="V545" s="6" t="str">
        <f>IFERROR(__xludf.DUMMYFUNCTION("""COMPUTED_VALUE"""),"tech.alchemists_hut.potion_of_healing_lvl_2")</f>
        <v>tech.alchemists_hut.potion_of_healing_lvl_2</v>
      </c>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row>
    <row r="546" ht="14.25" customHeight="1">
      <c r="A546" s="26" t="str">
        <f t="shared" si="1"/>
        <v>tech.alchemists_hut.potion_of_mental_power</v>
      </c>
      <c r="B546" s="26" t="str">
        <f t="array" ref="B546">_xlfn.XLOOKUP(A546,Targets!A:A,Targets!C:C,"")</f>
        <v>TECH</v>
      </c>
      <c r="C546" s="64" t="b">
        <f>COUNTIF(Targets!A:A,A546)&gt;0</f>
        <v>1</v>
      </c>
      <c r="D546" s="64" t="b">
        <f>IF(
 OR(
  LEFT(A546,15)="state.character",
  RIGHT(A546,6)=".maxed"
 ),
 TRUE,
 COUNTIF(Checklist!A:A,A546)&gt;0
)</f>
        <v>1</v>
      </c>
      <c r="E546" s="64" t="b">
        <f>IF(
 OR(
  LEFT(A546,15)="state.character",
  RIGHT(A546,6)=".maxed",
  A546="building.guild@1",
  A546="quest.build_the_guild.accepted",
  A546="quest.build_the_pagoda.accepted"
 ),
 TRUE,
 COUNTIF(Dependencies!A:A,A546)&gt;0
)</f>
        <v>1</v>
      </c>
      <c r="F546" s="64" t="b">
        <f>COUNTIF(Dependencies!B:B,A546)&gt;0</f>
        <v>1</v>
      </c>
      <c r="G546" s="64" t="b">
        <f>COUNTIF(QuestObjectives!A:A,A546)&gt;0</f>
        <v>0</v>
      </c>
      <c r="H546" s="64" t="b">
        <f>COUNTIF(QuestObjectives!E:E,A546)&gt;0</f>
        <v>1</v>
      </c>
      <c r="I546" s="64" t="b">
        <f>COUNTIF(TargetStatus!A:A,A546)&gt;0</f>
        <v>1</v>
      </c>
      <c r="J546" s="64" t="b">
        <f>COUNTIF(CostStatus!B:B,A546)&gt;0</f>
        <v>1</v>
      </c>
      <c r="K546" s="64" t="b">
        <f>COUNTIF(States!A:A,A546)&gt;0</f>
        <v>0</v>
      </c>
      <c r="L546" s="64" t="b">
        <f t="shared" si="2"/>
        <v>1</v>
      </c>
      <c r="M546" s="64" t="b">
        <f>IF(A546="","",COUNTIF(Targets!A:A,A546)&gt;1)</f>
        <v>0</v>
      </c>
      <c r="N546" s="64" t="b">
        <f>IF(A546="","",COUNTIF(States!A:A,A546)&gt;1)</f>
        <v>0</v>
      </c>
      <c r="O546" s="64" t="b">
        <f>IFERROR(__xludf.DUMMYFUNCTION("IF(
 B546="""",
 """",
 SWITCH(
  B546,
  ""BUILDING"",COUNTIF(Buildings!A:A,A546)&gt;0,
  ""CITADEL"",COUNTIF(Citadel!A:A,A546)&gt;0,
  ""COLLECTION"",COUNTIF(Collections!A:A,A546)&gt;0,
  ""CRAFTIFACT"",COUNTIF(Craftifacts!A:A,A546)&gt;0,
  ""QUEST"",
   COUNTIF(
 "&amp;"   Quests!A:A,
    REGEXREPLACE(A546,""\.(accepted|finished)$"","""")
   )&gt;0,
  ""TECH"",COUNTIF(Technologies!A:A,A546)&gt;0,
  ""STATE"",COUNTIF(States!A:A,A546)&gt;0,
  FALSE
 )
)"),TRUE)</f>
        <v>1</v>
      </c>
      <c r="P546" s="64" t="str">
        <f t="shared" si="3"/>
        <v>Good</v>
      </c>
      <c r="Q546" s="65"/>
      <c r="R546" s="65"/>
      <c r="S546" s="65"/>
      <c r="T546" s="65"/>
      <c r="U546" s="6"/>
      <c r="V546" s="6" t="str">
        <f>IFERROR(__xludf.DUMMYFUNCTION("""COMPUTED_VALUE"""),"tech.alchemists_hut.potion_of_mental_power")</f>
        <v>tech.alchemists_hut.potion_of_mental_power</v>
      </c>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row>
    <row r="547" ht="14.25" customHeight="1">
      <c r="A547" s="26" t="str">
        <f t="shared" si="1"/>
        <v>tech.alchemists_hut.synthetic_fertilizer</v>
      </c>
      <c r="B547" s="26" t="str">
        <f t="array" ref="B547">_xlfn.XLOOKUP(A547,Targets!A:A,Targets!C:C,"")</f>
        <v>TECH</v>
      </c>
      <c r="C547" s="64" t="b">
        <f>COUNTIF(Targets!A:A,A547)&gt;0</f>
        <v>1</v>
      </c>
      <c r="D547" s="64" t="b">
        <f>IF(
 OR(
  LEFT(A547,15)="state.character",
  RIGHT(A547,6)=".maxed"
 ),
 TRUE,
 COUNTIF(Checklist!A:A,A547)&gt;0
)</f>
        <v>1</v>
      </c>
      <c r="E547" s="64" t="b">
        <f>IF(
 OR(
  LEFT(A547,15)="state.character",
  RIGHT(A547,6)=".maxed",
  A547="building.guild@1",
  A547="quest.build_the_guild.accepted",
  A547="quest.build_the_pagoda.accepted"
 ),
 TRUE,
 COUNTIF(Dependencies!A:A,A547)&gt;0
)</f>
        <v>1</v>
      </c>
      <c r="F547" s="64" t="b">
        <f>COUNTIF(Dependencies!B:B,A547)&gt;0</f>
        <v>1</v>
      </c>
      <c r="G547" s="64" t="b">
        <f>COUNTIF(QuestObjectives!A:A,A547)&gt;0</f>
        <v>0</v>
      </c>
      <c r="H547" s="64" t="b">
        <f>COUNTIF(QuestObjectives!E:E,A547)&gt;0</f>
        <v>0</v>
      </c>
      <c r="I547" s="64" t="b">
        <f>COUNTIF(TargetStatus!A:A,A547)&gt;0</f>
        <v>1</v>
      </c>
      <c r="J547" s="64" t="b">
        <f>COUNTIF(CostStatus!B:B,A547)&gt;0</f>
        <v>1</v>
      </c>
      <c r="K547" s="64" t="b">
        <f>COUNTIF(States!A:A,A547)&gt;0</f>
        <v>0</v>
      </c>
      <c r="L547" s="64" t="b">
        <f t="shared" si="2"/>
        <v>1</v>
      </c>
      <c r="M547" s="64" t="b">
        <f>IF(A547="","",COUNTIF(Targets!A:A,A547)&gt;1)</f>
        <v>0</v>
      </c>
      <c r="N547" s="64" t="b">
        <f>IF(A547="","",COUNTIF(States!A:A,A547)&gt;1)</f>
        <v>0</v>
      </c>
      <c r="O547" s="64" t="b">
        <f>IFERROR(__xludf.DUMMYFUNCTION("IF(
 B547="""",
 """",
 SWITCH(
  B547,
  ""BUILDING"",COUNTIF(Buildings!A:A,A547)&gt;0,
  ""CITADEL"",COUNTIF(Citadel!A:A,A547)&gt;0,
  ""COLLECTION"",COUNTIF(Collections!A:A,A547)&gt;0,
  ""CRAFTIFACT"",COUNTIF(Craftifacts!A:A,A547)&gt;0,
  ""QUEST"",
   COUNTIF(
 "&amp;"   Quests!A:A,
    REGEXREPLACE(A547,""\.(accepted|finished)$"","""")
   )&gt;0,
  ""TECH"",COUNTIF(Technologies!A:A,A547)&gt;0,
  ""STATE"",COUNTIF(States!A:A,A547)&gt;0,
  FALSE
 )
)"),TRUE)</f>
        <v>1</v>
      </c>
      <c r="P547" s="64" t="str">
        <f t="shared" si="3"/>
        <v>Good</v>
      </c>
      <c r="Q547" s="65"/>
      <c r="R547" s="65"/>
      <c r="S547" s="65"/>
      <c r="T547" s="65"/>
      <c r="U547" s="6"/>
      <c r="V547" s="6" t="str">
        <f>IFERROR(__xludf.DUMMYFUNCTION("""COMPUTED_VALUE"""),"tech.alchemists_hut.synthetic_fertilizer")</f>
        <v>tech.alchemists_hut.synthetic_fertilizer</v>
      </c>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row>
    <row r="548" ht="14.25" customHeight="1">
      <c r="A548" s="26" t="str">
        <f t="shared" si="1"/>
        <v>tech.bridge.koi_fish</v>
      </c>
      <c r="B548" s="26" t="str">
        <f t="array" ref="B548">_xlfn.XLOOKUP(A548,Targets!A:A,Targets!C:C,"")</f>
        <v>TECH</v>
      </c>
      <c r="C548" s="64" t="b">
        <f>COUNTIF(Targets!A:A,A548)&gt;0</f>
        <v>1</v>
      </c>
      <c r="D548" s="64" t="b">
        <f>IF(
 OR(
  LEFT(A548,15)="state.character",
  RIGHT(A548,6)=".maxed"
 ),
 TRUE,
 COUNTIF(Checklist!A:A,A548)&gt;0
)</f>
        <v>1</v>
      </c>
      <c r="E548" s="64" t="b">
        <f>IF(
 OR(
  LEFT(A548,15)="state.character",
  RIGHT(A548,6)=".maxed",
  A548="building.guild@1",
  A548="quest.build_the_guild.accepted",
  A548="quest.build_the_pagoda.accepted"
 ),
 TRUE,
 COUNTIF(Dependencies!A:A,A548)&gt;0
)</f>
        <v>1</v>
      </c>
      <c r="F548" s="64" t="b">
        <f>COUNTIF(Dependencies!B:B,A548)&gt;0</f>
        <v>0</v>
      </c>
      <c r="G548" s="64" t="b">
        <f>COUNTIF(QuestObjectives!A:A,A548)&gt;0</f>
        <v>0</v>
      </c>
      <c r="H548" s="64" t="b">
        <f>COUNTIF(QuestObjectives!E:E,A548)&gt;0</f>
        <v>0</v>
      </c>
      <c r="I548" s="64" t="b">
        <f>COUNTIF(TargetStatus!A:A,A548)&gt;0</f>
        <v>1</v>
      </c>
      <c r="J548" s="64" t="b">
        <f>COUNTIF(CostStatus!B:B,A548)&gt;0</f>
        <v>1</v>
      </c>
      <c r="K548" s="64" t="b">
        <f>COUNTIF(States!A:A,A548)&gt;0</f>
        <v>0</v>
      </c>
      <c r="L548" s="64" t="b">
        <f t="shared" si="2"/>
        <v>1</v>
      </c>
      <c r="M548" s="64" t="b">
        <f>IF(A548="","",COUNTIF(Targets!A:A,A548)&gt;1)</f>
        <v>0</v>
      </c>
      <c r="N548" s="64" t="b">
        <f>IF(A548="","",COUNTIF(States!A:A,A548)&gt;1)</f>
        <v>0</v>
      </c>
      <c r="O548" s="64" t="b">
        <f>IFERROR(__xludf.DUMMYFUNCTION("IF(
 B548="""",
 """",
 SWITCH(
  B548,
  ""BUILDING"",COUNTIF(Buildings!A:A,A548)&gt;0,
  ""CITADEL"",COUNTIF(Citadel!A:A,A548)&gt;0,
  ""COLLECTION"",COUNTIF(Collections!A:A,A548)&gt;0,
  ""CRAFTIFACT"",COUNTIF(Craftifacts!A:A,A548)&gt;0,
  ""QUEST"",
   COUNTIF(
 "&amp;"   Quests!A:A,
    REGEXREPLACE(A548,""\.(accepted|finished)$"","""")
   )&gt;0,
  ""TECH"",COUNTIF(Technologies!A:A,A548)&gt;0,
  ""STATE"",COUNTIF(States!A:A,A548)&gt;0,
  FALSE
 )
)"),TRUE)</f>
        <v>1</v>
      </c>
      <c r="P548" s="64" t="str">
        <f t="shared" si="3"/>
        <v>Good</v>
      </c>
      <c r="Q548" s="65"/>
      <c r="R548" s="65"/>
      <c r="S548" s="65"/>
      <c r="T548" s="65"/>
      <c r="U548" s="6"/>
      <c r="V548" s="6" t="str">
        <f>IFERROR(__xludf.DUMMYFUNCTION("""COMPUTED_VALUE"""),"tech.bridge.koi_fish")</f>
        <v>tech.bridge.koi_fish</v>
      </c>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row>
    <row r="549" ht="14.25" customHeight="1">
      <c r="A549" s="26" t="str">
        <f t="shared" si="1"/>
        <v>tech.bridge.salmon_farming</v>
      </c>
      <c r="B549" s="26" t="str">
        <f t="array" ref="B549">_xlfn.XLOOKUP(A549,Targets!A:A,Targets!C:C,"")</f>
        <v>TECH</v>
      </c>
      <c r="C549" s="64" t="b">
        <f>COUNTIF(Targets!A:A,A549)&gt;0</f>
        <v>1</v>
      </c>
      <c r="D549" s="64" t="b">
        <f>IF(
 OR(
  LEFT(A549,15)="state.character",
  RIGHT(A549,6)=".maxed"
 ),
 TRUE,
 COUNTIF(Checklist!A:A,A549)&gt;0
)</f>
        <v>1</v>
      </c>
      <c r="E549" s="64" t="b">
        <f>IF(
 OR(
  LEFT(A549,15)="state.character",
  RIGHT(A549,6)=".maxed",
  A549="building.guild@1",
  A549="quest.build_the_guild.accepted",
  A549="quest.build_the_pagoda.accepted"
 ),
 TRUE,
 COUNTIF(Dependencies!A:A,A549)&gt;0
)</f>
        <v>1</v>
      </c>
      <c r="F549" s="64" t="b">
        <f>COUNTIF(Dependencies!B:B,A549)&gt;0</f>
        <v>0</v>
      </c>
      <c r="G549" s="64" t="b">
        <f>COUNTIF(QuestObjectives!A:A,A549)&gt;0</f>
        <v>0</v>
      </c>
      <c r="H549" s="64" t="b">
        <f>COUNTIF(QuestObjectives!E:E,A549)&gt;0</f>
        <v>0</v>
      </c>
      <c r="I549" s="64" t="b">
        <f>COUNTIF(TargetStatus!A:A,A549)&gt;0</f>
        <v>1</v>
      </c>
      <c r="J549" s="64" t="b">
        <f>COUNTIF(CostStatus!B:B,A549)&gt;0</f>
        <v>1</v>
      </c>
      <c r="K549" s="64" t="b">
        <f>COUNTIF(States!A:A,A549)&gt;0</f>
        <v>0</v>
      </c>
      <c r="L549" s="64" t="b">
        <f t="shared" si="2"/>
        <v>1</v>
      </c>
      <c r="M549" s="64" t="b">
        <f>IF(A549="","",COUNTIF(Targets!A:A,A549)&gt;1)</f>
        <v>0</v>
      </c>
      <c r="N549" s="64" t="b">
        <f>IF(A549="","",COUNTIF(States!A:A,A549)&gt;1)</f>
        <v>0</v>
      </c>
      <c r="O549" s="64" t="b">
        <f>IFERROR(__xludf.DUMMYFUNCTION("IF(
 B549="""",
 """",
 SWITCH(
  B549,
  ""BUILDING"",COUNTIF(Buildings!A:A,A549)&gt;0,
  ""CITADEL"",COUNTIF(Citadel!A:A,A549)&gt;0,
  ""COLLECTION"",COUNTIF(Collections!A:A,A549)&gt;0,
  ""CRAFTIFACT"",COUNTIF(Craftifacts!A:A,A549)&gt;0,
  ""QUEST"",
   COUNTIF(
 "&amp;"   Quests!A:A,
    REGEXREPLACE(A549,""\.(accepted|finished)$"","""")
   )&gt;0,
  ""TECH"",COUNTIF(Technologies!A:A,A549)&gt;0,
  ""STATE"",COUNTIF(States!A:A,A549)&gt;0,
  FALSE
 )
)"),TRUE)</f>
        <v>1</v>
      </c>
      <c r="P549" s="64" t="str">
        <f t="shared" si="3"/>
        <v>Good</v>
      </c>
      <c r="Q549" s="65"/>
      <c r="R549" s="65"/>
      <c r="S549" s="65"/>
      <c r="T549" s="65"/>
      <c r="U549" s="6"/>
      <c r="V549" s="6" t="str">
        <f>IFERROR(__xludf.DUMMYFUNCTION("""COMPUTED_VALUE"""),"tech.bridge.salmon_farming")</f>
        <v>tech.bridge.salmon_farming</v>
      </c>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row>
    <row r="550" ht="14.25" customHeight="1">
      <c r="A550" s="26" t="str">
        <f t="shared" si="1"/>
        <v>tech.dairy.big_data_farming</v>
      </c>
      <c r="B550" s="26" t="str">
        <f t="array" ref="B550">_xlfn.XLOOKUP(A550,Targets!A:A,Targets!C:C,"")</f>
        <v>TECH</v>
      </c>
      <c r="C550" s="64" t="b">
        <f>COUNTIF(Targets!A:A,A550)&gt;0</f>
        <v>1</v>
      </c>
      <c r="D550" s="64" t="b">
        <f>IF(
 OR(
  LEFT(A550,15)="state.character",
  RIGHT(A550,6)=".maxed"
 ),
 TRUE,
 COUNTIF(Checklist!A:A,A550)&gt;0
)</f>
        <v>1</v>
      </c>
      <c r="E550" s="64" t="b">
        <f>IF(
 OR(
  LEFT(A550,15)="state.character",
  RIGHT(A550,6)=".maxed",
  A550="building.guild@1",
  A550="quest.build_the_guild.accepted",
  A550="quest.build_the_pagoda.accepted"
 ),
 TRUE,
 COUNTIF(Dependencies!A:A,A550)&gt;0
)</f>
        <v>1</v>
      </c>
      <c r="F550" s="64" t="b">
        <f>COUNTIF(Dependencies!B:B,A550)&gt;0</f>
        <v>0</v>
      </c>
      <c r="G550" s="64" t="b">
        <f>COUNTIF(QuestObjectives!A:A,A550)&gt;0</f>
        <v>0</v>
      </c>
      <c r="H550" s="64" t="b">
        <f>COUNTIF(QuestObjectives!E:E,A550)&gt;0</f>
        <v>0</v>
      </c>
      <c r="I550" s="64" t="b">
        <f>COUNTIF(TargetStatus!A:A,A550)&gt;0</f>
        <v>1</v>
      </c>
      <c r="J550" s="64" t="b">
        <f>COUNTIF(CostStatus!B:B,A550)&gt;0</f>
        <v>1</v>
      </c>
      <c r="K550" s="64" t="b">
        <f>COUNTIF(States!A:A,A550)&gt;0</f>
        <v>0</v>
      </c>
      <c r="L550" s="64" t="b">
        <f t="shared" si="2"/>
        <v>1</v>
      </c>
      <c r="M550" s="64" t="b">
        <f>IF(A550="","",COUNTIF(Targets!A:A,A550)&gt;1)</f>
        <v>0</v>
      </c>
      <c r="N550" s="64" t="b">
        <f>IF(A550="","",COUNTIF(States!A:A,A550)&gt;1)</f>
        <v>0</v>
      </c>
      <c r="O550" s="64" t="b">
        <f>IFERROR(__xludf.DUMMYFUNCTION("IF(
 B550="""",
 """",
 SWITCH(
  B550,
  ""BUILDING"",COUNTIF(Buildings!A:A,A550)&gt;0,
  ""CITADEL"",COUNTIF(Citadel!A:A,A550)&gt;0,
  ""COLLECTION"",COUNTIF(Collections!A:A,A550)&gt;0,
  ""CRAFTIFACT"",COUNTIF(Craftifacts!A:A,A550)&gt;0,
  ""QUEST"",
   COUNTIF(
 "&amp;"   Quests!A:A,
    REGEXREPLACE(A550,""\.(accepted|finished)$"","""")
   )&gt;0,
  ""TECH"",COUNTIF(Technologies!A:A,A550)&gt;0,
  ""STATE"",COUNTIF(States!A:A,A550)&gt;0,
  FALSE
 )
)"),TRUE)</f>
        <v>1</v>
      </c>
      <c r="P550" s="64" t="str">
        <f t="shared" si="3"/>
        <v>Good</v>
      </c>
      <c r="Q550" s="65"/>
      <c r="R550" s="65"/>
      <c r="S550" s="65"/>
      <c r="T550" s="65"/>
      <c r="U550" s="6"/>
      <c r="V550" s="6" t="str">
        <f>IFERROR(__xludf.DUMMYFUNCTION("""COMPUTED_VALUE"""),"tech.dairy.big_data_farming")</f>
        <v>tech.dairy.big_data_farming</v>
      </c>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row>
    <row r="551" ht="14.25" customHeight="1">
      <c r="A551" s="26" t="str">
        <f t="shared" si="1"/>
        <v>tech.dairy.classical_music_for_the_farm</v>
      </c>
      <c r="B551" s="26" t="str">
        <f t="array" ref="B551">_xlfn.XLOOKUP(A551,Targets!A:A,Targets!C:C,"")</f>
        <v>TECH</v>
      </c>
      <c r="C551" s="64" t="b">
        <f>COUNTIF(Targets!A:A,A551)&gt;0</f>
        <v>1</v>
      </c>
      <c r="D551" s="64" t="b">
        <f>IF(
 OR(
  LEFT(A551,15)="state.character",
  RIGHT(A551,6)=".maxed"
 ),
 TRUE,
 COUNTIF(Checklist!A:A,A551)&gt;0
)</f>
        <v>1</v>
      </c>
      <c r="E551" s="64" t="b">
        <f>IF(
 OR(
  LEFT(A551,15)="state.character",
  RIGHT(A551,6)=".maxed",
  A551="building.guild@1",
  A551="quest.build_the_guild.accepted",
  A551="quest.build_the_pagoda.accepted"
 ),
 TRUE,
 COUNTIF(Dependencies!A:A,A551)&gt;0
)</f>
        <v>1</v>
      </c>
      <c r="F551" s="64" t="b">
        <f>COUNTIF(Dependencies!B:B,A551)&gt;0</f>
        <v>1</v>
      </c>
      <c r="G551" s="64" t="b">
        <f>COUNTIF(QuestObjectives!A:A,A551)&gt;0</f>
        <v>0</v>
      </c>
      <c r="H551" s="64" t="b">
        <f>COUNTIF(QuestObjectives!E:E,A551)&gt;0</f>
        <v>0</v>
      </c>
      <c r="I551" s="64" t="b">
        <f>COUNTIF(TargetStatus!A:A,A551)&gt;0</f>
        <v>1</v>
      </c>
      <c r="J551" s="64" t="b">
        <f>COUNTIF(CostStatus!B:B,A551)&gt;0</f>
        <v>1</v>
      </c>
      <c r="K551" s="64" t="b">
        <f>COUNTIF(States!A:A,A551)&gt;0</f>
        <v>0</v>
      </c>
      <c r="L551" s="64" t="b">
        <f t="shared" si="2"/>
        <v>1</v>
      </c>
      <c r="M551" s="64" t="b">
        <f>IF(A551="","",COUNTIF(Targets!A:A,A551)&gt;1)</f>
        <v>0</v>
      </c>
      <c r="N551" s="64" t="b">
        <f>IF(A551="","",COUNTIF(States!A:A,A551)&gt;1)</f>
        <v>0</v>
      </c>
      <c r="O551" s="64" t="b">
        <f>IFERROR(__xludf.DUMMYFUNCTION("IF(
 B551="""",
 """",
 SWITCH(
  B551,
  ""BUILDING"",COUNTIF(Buildings!A:A,A551)&gt;0,
  ""CITADEL"",COUNTIF(Citadel!A:A,A551)&gt;0,
  ""COLLECTION"",COUNTIF(Collections!A:A,A551)&gt;0,
  ""CRAFTIFACT"",COUNTIF(Craftifacts!A:A,A551)&gt;0,
  ""QUEST"",
   COUNTIF(
 "&amp;"   Quests!A:A,
    REGEXREPLACE(A551,""\.(accepted|finished)$"","""")
   )&gt;0,
  ""TECH"",COUNTIF(Technologies!A:A,A551)&gt;0,
  ""STATE"",COUNTIF(States!A:A,A551)&gt;0,
  FALSE
 )
)"),TRUE)</f>
        <v>1</v>
      </c>
      <c r="P551" s="64" t="str">
        <f t="shared" si="3"/>
        <v>Good</v>
      </c>
      <c r="Q551" s="65"/>
      <c r="R551" s="65"/>
      <c r="S551" s="65"/>
      <c r="T551" s="65"/>
      <c r="U551" s="6"/>
      <c r="V551" s="6" t="str">
        <f>IFERROR(__xludf.DUMMYFUNCTION("""COMPUTED_VALUE"""),"tech.dairy.classical_music_for_the_farm")</f>
        <v>tech.dairy.classical_music_for_the_farm</v>
      </c>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row>
    <row r="552" ht="14.25" customHeight="1">
      <c r="A552" s="26" t="str">
        <f t="shared" si="1"/>
        <v>tech.dungeon.great_hall</v>
      </c>
      <c r="B552" s="26" t="str">
        <f t="array" ref="B552">_xlfn.XLOOKUP(A552,Targets!A:A,Targets!C:C,"")</f>
        <v>TECH</v>
      </c>
      <c r="C552" s="64" t="b">
        <f>COUNTIF(Targets!A:A,A552)&gt;0</f>
        <v>1</v>
      </c>
      <c r="D552" s="64" t="b">
        <f>IF(
 OR(
  LEFT(A552,15)="state.character",
  RIGHT(A552,6)=".maxed"
 ),
 TRUE,
 COUNTIF(Checklist!A:A,A552)&gt;0
)</f>
        <v>1</v>
      </c>
      <c r="E552" s="64" t="b">
        <f>IF(
 OR(
  LEFT(A552,15)="state.character",
  RIGHT(A552,6)=".maxed",
  A552="building.guild@1",
  A552="quest.build_the_guild.accepted",
  A552="quest.build_the_pagoda.accepted"
 ),
 TRUE,
 COUNTIF(Dependencies!A:A,A552)&gt;0
)</f>
        <v>1</v>
      </c>
      <c r="F552" s="64" t="b">
        <f>COUNTIF(Dependencies!B:B,A552)&gt;0</f>
        <v>1</v>
      </c>
      <c r="G552" s="64" t="b">
        <f>COUNTIF(QuestObjectives!A:A,A552)&gt;0</f>
        <v>0</v>
      </c>
      <c r="H552" s="64" t="b">
        <f>COUNTIF(QuestObjectives!E:E,A552)&gt;0</f>
        <v>0</v>
      </c>
      <c r="I552" s="64" t="b">
        <f>COUNTIF(TargetStatus!A:A,A552)&gt;0</f>
        <v>1</v>
      </c>
      <c r="J552" s="64" t="b">
        <f>COUNTIF(CostStatus!B:B,A552)&gt;0</f>
        <v>1</v>
      </c>
      <c r="K552" s="64" t="b">
        <f>COUNTIF(States!A:A,A552)&gt;0</f>
        <v>0</v>
      </c>
      <c r="L552" s="64" t="b">
        <f t="shared" si="2"/>
        <v>1</v>
      </c>
      <c r="M552" s="64" t="b">
        <f>IF(A552="","",COUNTIF(Targets!A:A,A552)&gt;1)</f>
        <v>0</v>
      </c>
      <c r="N552" s="64" t="b">
        <f>IF(A552="","",COUNTIF(States!A:A,A552)&gt;1)</f>
        <v>0</v>
      </c>
      <c r="O552" s="64" t="b">
        <f>IFERROR(__xludf.DUMMYFUNCTION("IF(
 B552="""",
 """",
 SWITCH(
  B552,
  ""BUILDING"",COUNTIF(Buildings!A:A,A552)&gt;0,
  ""CITADEL"",COUNTIF(Citadel!A:A,A552)&gt;0,
  ""COLLECTION"",COUNTIF(Collections!A:A,A552)&gt;0,
  ""CRAFTIFACT"",COUNTIF(Craftifacts!A:A,A552)&gt;0,
  ""QUEST"",
   COUNTIF(
 "&amp;"   Quests!A:A,
    REGEXREPLACE(A552,""\.(accepted|finished)$"","""")
   )&gt;0,
  ""TECH"",COUNTIF(Technologies!A:A,A552)&gt;0,
  ""STATE"",COUNTIF(States!A:A,A552)&gt;0,
  FALSE
 )
)"),TRUE)</f>
        <v>1</v>
      </c>
      <c r="P552" s="64" t="str">
        <f t="shared" si="3"/>
        <v>Good</v>
      </c>
      <c r="Q552" s="65"/>
      <c r="R552" s="65"/>
      <c r="S552" s="65"/>
      <c r="T552" s="65"/>
      <c r="U552" s="6"/>
      <c r="V552" s="6" t="str">
        <f>IFERROR(__xludf.DUMMYFUNCTION("""COMPUTED_VALUE"""),"tech.dungeon.great_hall")</f>
        <v>tech.dungeon.great_hall</v>
      </c>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row>
    <row r="553" ht="14.25" customHeight="1">
      <c r="A553" s="26" t="str">
        <f t="shared" si="1"/>
        <v>tech.fermentory.pasteurization</v>
      </c>
      <c r="B553" s="26" t="str">
        <f t="array" ref="B553">_xlfn.XLOOKUP(A553,Targets!A:A,Targets!C:C,"")</f>
        <v>TECH</v>
      </c>
      <c r="C553" s="64" t="b">
        <f>COUNTIF(Targets!A:A,A553)&gt;0</f>
        <v>1</v>
      </c>
      <c r="D553" s="64" t="b">
        <f>IF(
 OR(
  LEFT(A553,15)="state.character",
  RIGHT(A553,6)=".maxed"
 ),
 TRUE,
 COUNTIF(Checklist!A:A,A553)&gt;0
)</f>
        <v>1</v>
      </c>
      <c r="E553" s="64" t="b">
        <f>IF(
 OR(
  LEFT(A553,15)="state.character",
  RIGHT(A553,6)=".maxed",
  A553="building.guild@1",
  A553="quest.build_the_guild.accepted",
  A553="quest.build_the_pagoda.accepted"
 ),
 TRUE,
 COUNTIF(Dependencies!A:A,A553)&gt;0
)</f>
        <v>1</v>
      </c>
      <c r="F553" s="64" t="b">
        <f>COUNTIF(Dependencies!B:B,A553)&gt;0</f>
        <v>0</v>
      </c>
      <c r="G553" s="64" t="b">
        <f>COUNTIF(QuestObjectives!A:A,A553)&gt;0</f>
        <v>0</v>
      </c>
      <c r="H553" s="64" t="b">
        <f>COUNTIF(QuestObjectives!E:E,A553)&gt;0</f>
        <v>0</v>
      </c>
      <c r="I553" s="64" t="b">
        <f>COUNTIF(TargetStatus!A:A,A553)&gt;0</f>
        <v>1</v>
      </c>
      <c r="J553" s="64" t="b">
        <f>COUNTIF(CostStatus!B:B,A553)&gt;0</f>
        <v>1</v>
      </c>
      <c r="K553" s="64" t="b">
        <f>COUNTIF(States!A:A,A553)&gt;0</f>
        <v>0</v>
      </c>
      <c r="L553" s="64" t="b">
        <f t="shared" si="2"/>
        <v>1</v>
      </c>
      <c r="M553" s="64" t="b">
        <f>IF(A553="","",COUNTIF(Targets!A:A,A553)&gt;1)</f>
        <v>0</v>
      </c>
      <c r="N553" s="64" t="b">
        <f>IF(A553="","",COUNTIF(States!A:A,A553)&gt;1)</f>
        <v>0</v>
      </c>
      <c r="O553" s="64" t="b">
        <f>IFERROR(__xludf.DUMMYFUNCTION("IF(
 B553="""",
 """",
 SWITCH(
  B553,
  ""BUILDING"",COUNTIF(Buildings!A:A,A553)&gt;0,
  ""CITADEL"",COUNTIF(Citadel!A:A,A553)&gt;0,
  ""COLLECTION"",COUNTIF(Collections!A:A,A553)&gt;0,
  ""CRAFTIFACT"",COUNTIF(Craftifacts!A:A,A553)&gt;0,
  ""QUEST"",
   COUNTIF(
 "&amp;"   Quests!A:A,
    REGEXREPLACE(A553,""\.(accepted|finished)$"","""")
   )&gt;0,
  ""TECH"",COUNTIF(Technologies!A:A,A553)&gt;0,
  ""STATE"",COUNTIF(States!A:A,A553)&gt;0,
  FALSE
 )
)"),TRUE)</f>
        <v>1</v>
      </c>
      <c r="P553" s="64" t="str">
        <f t="shared" si="3"/>
        <v>Good</v>
      </c>
      <c r="Q553" s="65"/>
      <c r="R553" s="65"/>
      <c r="S553" s="65"/>
      <c r="T553" s="65"/>
      <c r="U553" s="6"/>
      <c r="V553" s="6" t="str">
        <f>IFERROR(__xludf.DUMMYFUNCTION("""COMPUTED_VALUE"""),"tech.fermentory.pasteurization")</f>
        <v>tech.fermentory.pasteurization</v>
      </c>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row>
    <row r="554" ht="14.25" customHeight="1">
      <c r="A554" s="26" t="str">
        <f t="shared" si="1"/>
        <v>tech.field.combine_harvester</v>
      </c>
      <c r="B554" s="26" t="str">
        <f t="array" ref="B554">_xlfn.XLOOKUP(A554,Targets!A:A,Targets!C:C,"")</f>
        <v>TECH</v>
      </c>
      <c r="C554" s="64" t="b">
        <f>COUNTIF(Targets!A:A,A554)&gt;0</f>
        <v>1</v>
      </c>
      <c r="D554" s="64" t="b">
        <f>IF(
 OR(
  LEFT(A554,15)="state.character",
  RIGHT(A554,6)=".maxed"
 ),
 TRUE,
 COUNTIF(Checklist!A:A,A554)&gt;0
)</f>
        <v>1</v>
      </c>
      <c r="E554" s="64" t="b">
        <f>IF(
 OR(
  LEFT(A554,15)="state.character",
  RIGHT(A554,6)=".maxed",
  A554="building.guild@1",
  A554="quest.build_the_guild.accepted",
  A554="quest.build_the_pagoda.accepted"
 ),
 TRUE,
 COUNTIF(Dependencies!A:A,A554)&gt;0
)</f>
        <v>1</v>
      </c>
      <c r="F554" s="64" t="b">
        <f>COUNTIF(Dependencies!B:B,A554)&gt;0</f>
        <v>0</v>
      </c>
      <c r="G554" s="64" t="b">
        <f>COUNTIF(QuestObjectives!A:A,A554)&gt;0</f>
        <v>0</v>
      </c>
      <c r="H554" s="64" t="b">
        <f>COUNTIF(QuestObjectives!E:E,A554)&gt;0</f>
        <v>0</v>
      </c>
      <c r="I554" s="64" t="b">
        <f>COUNTIF(TargetStatus!A:A,A554)&gt;0</f>
        <v>1</v>
      </c>
      <c r="J554" s="64" t="b">
        <f>COUNTIF(CostStatus!B:B,A554)&gt;0</f>
        <v>1</v>
      </c>
      <c r="K554" s="64" t="b">
        <f>COUNTIF(States!A:A,A554)&gt;0</f>
        <v>0</v>
      </c>
      <c r="L554" s="64" t="b">
        <f t="shared" si="2"/>
        <v>1</v>
      </c>
      <c r="M554" s="64" t="b">
        <f>IF(A554="","",COUNTIF(Targets!A:A,A554)&gt;1)</f>
        <v>0</v>
      </c>
      <c r="N554" s="64" t="b">
        <f>IF(A554="","",COUNTIF(States!A:A,A554)&gt;1)</f>
        <v>0</v>
      </c>
      <c r="O554" s="64" t="b">
        <f>IFERROR(__xludf.DUMMYFUNCTION("IF(
 B554="""",
 """",
 SWITCH(
  B554,
  ""BUILDING"",COUNTIF(Buildings!A:A,A554)&gt;0,
  ""CITADEL"",COUNTIF(Citadel!A:A,A554)&gt;0,
  ""COLLECTION"",COUNTIF(Collections!A:A,A554)&gt;0,
  ""CRAFTIFACT"",COUNTIF(Craftifacts!A:A,A554)&gt;0,
  ""QUEST"",
   COUNTIF(
 "&amp;"   Quests!A:A,
    REGEXREPLACE(A554,""\.(accepted|finished)$"","""")
   )&gt;0,
  ""TECH"",COUNTIF(Technologies!A:A,A554)&gt;0,
  ""STATE"",COUNTIF(States!A:A,A554)&gt;0,
  FALSE
 )
)"),TRUE)</f>
        <v>1</v>
      </c>
      <c r="P554" s="64" t="str">
        <f t="shared" si="3"/>
        <v>Good</v>
      </c>
      <c r="Q554" s="65"/>
      <c r="R554" s="65"/>
      <c r="S554" s="65"/>
      <c r="T554" s="65"/>
      <c r="U554" s="6"/>
      <c r="V554" s="6" t="str">
        <f>IFERROR(__xludf.DUMMYFUNCTION("""COMPUTED_VALUE"""),"tech.field.combine_harvester")</f>
        <v>tech.field.combine_harvester</v>
      </c>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row>
    <row r="555" ht="14.25" customHeight="1">
      <c r="A555" s="26" t="str">
        <f t="shared" si="1"/>
        <v>tech.field.seed_drill</v>
      </c>
      <c r="B555" s="26" t="str">
        <f t="array" ref="B555">_xlfn.XLOOKUP(A555,Targets!A:A,Targets!C:C,"")</f>
        <v>TECH</v>
      </c>
      <c r="C555" s="64" t="b">
        <f>COUNTIF(Targets!A:A,A555)&gt;0</f>
        <v>1</v>
      </c>
      <c r="D555" s="64" t="b">
        <f>IF(
 OR(
  LEFT(A555,15)="state.character",
  RIGHT(A555,6)=".maxed"
 ),
 TRUE,
 COUNTIF(Checklist!A:A,A555)&gt;0
)</f>
        <v>1</v>
      </c>
      <c r="E555" s="64" t="b">
        <f>IF(
 OR(
  LEFT(A555,15)="state.character",
  RIGHT(A555,6)=".maxed",
  A555="building.guild@1",
  A555="quest.build_the_guild.accepted",
  A555="quest.build_the_pagoda.accepted"
 ),
 TRUE,
 COUNTIF(Dependencies!A:A,A555)&gt;0
)</f>
        <v>1</v>
      </c>
      <c r="F555" s="64" t="b">
        <f>COUNTIF(Dependencies!B:B,A555)&gt;0</f>
        <v>1</v>
      </c>
      <c r="G555" s="64" t="b">
        <f>COUNTIF(QuestObjectives!A:A,A555)&gt;0</f>
        <v>0</v>
      </c>
      <c r="H555" s="64" t="b">
        <f>COUNTIF(QuestObjectives!E:E,A555)&gt;0</f>
        <v>0</v>
      </c>
      <c r="I555" s="64" t="b">
        <f>COUNTIF(TargetStatus!A:A,A555)&gt;0</f>
        <v>1</v>
      </c>
      <c r="J555" s="64" t="b">
        <f>COUNTIF(CostStatus!B:B,A555)&gt;0</f>
        <v>1</v>
      </c>
      <c r="K555" s="64" t="b">
        <f>COUNTIF(States!A:A,A555)&gt;0</f>
        <v>0</v>
      </c>
      <c r="L555" s="64" t="b">
        <f t="shared" si="2"/>
        <v>1</v>
      </c>
      <c r="M555" s="64" t="b">
        <f>IF(A555="","",COUNTIF(Targets!A:A,A555)&gt;1)</f>
        <v>0</v>
      </c>
      <c r="N555" s="64" t="b">
        <f>IF(A555="","",COUNTIF(States!A:A,A555)&gt;1)</f>
        <v>0</v>
      </c>
      <c r="O555" s="64" t="b">
        <f>IFERROR(__xludf.DUMMYFUNCTION("IF(
 B555="""",
 """",
 SWITCH(
  B555,
  ""BUILDING"",COUNTIF(Buildings!A:A,A555)&gt;0,
  ""CITADEL"",COUNTIF(Citadel!A:A,A555)&gt;0,
  ""COLLECTION"",COUNTIF(Collections!A:A,A555)&gt;0,
  ""CRAFTIFACT"",COUNTIF(Craftifacts!A:A,A555)&gt;0,
  ""QUEST"",
   COUNTIF(
 "&amp;"   Quests!A:A,
    REGEXREPLACE(A555,""\.(accepted|finished)$"","""")
   )&gt;0,
  ""TECH"",COUNTIF(Technologies!A:A,A555)&gt;0,
  ""STATE"",COUNTIF(States!A:A,A555)&gt;0,
  FALSE
 )
)"),TRUE)</f>
        <v>1</v>
      </c>
      <c r="P555" s="64" t="str">
        <f t="shared" si="3"/>
        <v>Good</v>
      </c>
      <c r="Q555" s="65"/>
      <c r="R555" s="65"/>
      <c r="S555" s="65"/>
      <c r="T555" s="65"/>
      <c r="U555" s="6"/>
      <c r="V555" s="6" t="str">
        <f>IFERROR(__xludf.DUMMYFUNCTION("""COMPUTED_VALUE"""),"tech.field.seed_drill")</f>
        <v>tech.field.seed_drill</v>
      </c>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row>
    <row r="556" ht="14.25" customHeight="1">
      <c r="A556" s="26" t="str">
        <f t="shared" si="1"/>
        <v>tech.field.soybean</v>
      </c>
      <c r="B556" s="26" t="str">
        <f t="array" ref="B556">_xlfn.XLOOKUP(A556,Targets!A:A,Targets!C:C,"")</f>
        <v>TECH</v>
      </c>
      <c r="C556" s="64" t="b">
        <f>COUNTIF(Targets!A:A,A556)&gt;0</f>
        <v>1</v>
      </c>
      <c r="D556" s="64" t="b">
        <f>IF(
 OR(
  LEFT(A556,15)="state.character",
  RIGHT(A556,6)=".maxed"
 ),
 TRUE,
 COUNTIF(Checklist!A:A,A556)&gt;0
)</f>
        <v>1</v>
      </c>
      <c r="E556" s="64" t="b">
        <f>IF(
 OR(
  LEFT(A556,15)="state.character",
  RIGHT(A556,6)=".maxed",
  A556="building.guild@1",
  A556="quest.build_the_guild.accepted",
  A556="quest.build_the_pagoda.accepted"
 ),
 TRUE,
 COUNTIF(Dependencies!A:A,A556)&gt;0
)</f>
        <v>1</v>
      </c>
      <c r="F556" s="64" t="b">
        <f>COUNTIF(Dependencies!B:B,A556)&gt;0</f>
        <v>0</v>
      </c>
      <c r="G556" s="64" t="b">
        <f>COUNTIF(QuestObjectives!A:A,A556)&gt;0</f>
        <v>0</v>
      </c>
      <c r="H556" s="64" t="b">
        <f>COUNTIF(QuestObjectives!E:E,A556)&gt;0</f>
        <v>0</v>
      </c>
      <c r="I556" s="64" t="b">
        <f>COUNTIF(TargetStatus!A:A,A556)&gt;0</f>
        <v>1</v>
      </c>
      <c r="J556" s="64" t="b">
        <f>COUNTIF(CostStatus!B:B,A556)&gt;0</f>
        <v>1</v>
      </c>
      <c r="K556" s="64" t="b">
        <f>COUNTIF(States!A:A,A556)&gt;0</f>
        <v>0</v>
      </c>
      <c r="L556" s="64" t="b">
        <f t="shared" si="2"/>
        <v>1</v>
      </c>
      <c r="M556" s="64" t="b">
        <f>IF(A556="","",COUNTIF(Targets!A:A,A556)&gt;1)</f>
        <v>0</v>
      </c>
      <c r="N556" s="64" t="b">
        <f>IF(A556="","",COUNTIF(States!A:A,A556)&gt;1)</f>
        <v>0</v>
      </c>
      <c r="O556" s="64" t="b">
        <f>IFERROR(__xludf.DUMMYFUNCTION("IF(
 B556="""",
 """",
 SWITCH(
  B556,
  ""BUILDING"",COUNTIF(Buildings!A:A,A556)&gt;0,
  ""CITADEL"",COUNTIF(Citadel!A:A,A556)&gt;0,
  ""COLLECTION"",COUNTIF(Collections!A:A,A556)&gt;0,
  ""CRAFTIFACT"",COUNTIF(Craftifacts!A:A,A556)&gt;0,
  ""QUEST"",
   COUNTIF(
 "&amp;"   Quests!A:A,
    REGEXREPLACE(A556,""\.(accepted|finished)$"","""")
   )&gt;0,
  ""TECH"",COUNTIF(Technologies!A:A,A556)&gt;0,
  ""STATE"",COUNTIF(States!A:A,A556)&gt;0,
  FALSE
 )
)"),TRUE)</f>
        <v>1</v>
      </c>
      <c r="P556" s="64" t="str">
        <f t="shared" si="3"/>
        <v>Good</v>
      </c>
      <c r="Q556" s="65"/>
      <c r="R556" s="65"/>
      <c r="S556" s="65"/>
      <c r="T556" s="65"/>
      <c r="U556" s="6"/>
      <c r="V556" s="6" t="str">
        <f>IFERROR(__xludf.DUMMYFUNCTION("""COMPUTED_VALUE"""),"tech.field.soybean")</f>
        <v>tech.field.soybean</v>
      </c>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row>
    <row r="557" ht="14.25" customHeight="1">
      <c r="A557" s="26" t="str">
        <f t="shared" si="1"/>
        <v>tech.food_stall.conveyor_belt_sushi</v>
      </c>
      <c r="B557" s="26" t="str">
        <f t="array" ref="B557">_xlfn.XLOOKUP(A557,Targets!A:A,Targets!C:C,"")</f>
        <v>TECH</v>
      </c>
      <c r="C557" s="64" t="b">
        <f>COUNTIF(Targets!A:A,A557)&gt;0</f>
        <v>1</v>
      </c>
      <c r="D557" s="64" t="b">
        <f>IF(
 OR(
  LEFT(A557,15)="state.character",
  RIGHT(A557,6)=".maxed"
 ),
 TRUE,
 COUNTIF(Checklist!A:A,A557)&gt;0
)</f>
        <v>1</v>
      </c>
      <c r="E557" s="64" t="b">
        <f>IF(
 OR(
  LEFT(A557,15)="state.character",
  RIGHT(A557,6)=".maxed",
  A557="building.guild@1",
  A557="quest.build_the_guild.accepted",
  A557="quest.build_the_pagoda.accepted"
 ),
 TRUE,
 COUNTIF(Dependencies!A:A,A557)&gt;0
)</f>
        <v>1</v>
      </c>
      <c r="F557" s="64" t="b">
        <f>COUNTIF(Dependencies!B:B,A557)&gt;0</f>
        <v>0</v>
      </c>
      <c r="G557" s="64" t="b">
        <f>COUNTIF(QuestObjectives!A:A,A557)&gt;0</f>
        <v>0</v>
      </c>
      <c r="H557" s="64" t="b">
        <f>COUNTIF(QuestObjectives!E:E,A557)&gt;0</f>
        <v>0</v>
      </c>
      <c r="I557" s="64" t="b">
        <f>COUNTIF(TargetStatus!A:A,A557)&gt;0</f>
        <v>1</v>
      </c>
      <c r="J557" s="64" t="b">
        <f>COUNTIF(CostStatus!B:B,A557)&gt;0</f>
        <v>1</v>
      </c>
      <c r="K557" s="64" t="b">
        <f>COUNTIF(States!A:A,A557)&gt;0</f>
        <v>0</v>
      </c>
      <c r="L557" s="64" t="b">
        <f t="shared" si="2"/>
        <v>1</v>
      </c>
      <c r="M557" s="64" t="b">
        <f>IF(A557="","",COUNTIF(Targets!A:A,A557)&gt;1)</f>
        <v>0</v>
      </c>
      <c r="N557" s="64" t="b">
        <f>IF(A557="","",COUNTIF(States!A:A,A557)&gt;1)</f>
        <v>0</v>
      </c>
      <c r="O557" s="64" t="b">
        <f>IFERROR(__xludf.DUMMYFUNCTION("IF(
 B557="""",
 """",
 SWITCH(
  B557,
  ""BUILDING"",COUNTIF(Buildings!A:A,A557)&gt;0,
  ""CITADEL"",COUNTIF(Citadel!A:A,A557)&gt;0,
  ""COLLECTION"",COUNTIF(Collections!A:A,A557)&gt;0,
  ""CRAFTIFACT"",COUNTIF(Craftifacts!A:A,A557)&gt;0,
  ""QUEST"",
   COUNTIF(
 "&amp;"   Quests!A:A,
    REGEXREPLACE(A557,""\.(accepted|finished)$"","""")
   )&gt;0,
  ""TECH"",COUNTIF(Technologies!A:A,A557)&gt;0,
  ""STATE"",COUNTIF(States!A:A,A557)&gt;0,
  FALSE
 )
)"),TRUE)</f>
        <v>1</v>
      </c>
      <c r="P557" s="64" t="str">
        <f t="shared" si="3"/>
        <v>Good</v>
      </c>
      <c r="Q557" s="65"/>
      <c r="R557" s="65"/>
      <c r="S557" s="65"/>
      <c r="T557" s="65"/>
      <c r="U557" s="6"/>
      <c r="V557" s="6" t="str">
        <f>IFERROR(__xludf.DUMMYFUNCTION("""COMPUTED_VALUE"""),"tech.food_stall.conveyor_belt_sushi")</f>
        <v>tech.food_stall.conveyor_belt_sushi</v>
      </c>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row>
    <row r="558" ht="14.25" customHeight="1">
      <c r="A558" s="26" t="str">
        <f t="shared" si="1"/>
        <v>tech.food_stall.inarizushi</v>
      </c>
      <c r="B558" s="26" t="str">
        <f t="array" ref="B558">_xlfn.XLOOKUP(A558,Targets!A:A,Targets!C:C,"")</f>
        <v>TECH</v>
      </c>
      <c r="C558" s="64" t="b">
        <f>COUNTIF(Targets!A:A,A558)&gt;0</f>
        <v>1</v>
      </c>
      <c r="D558" s="64" t="b">
        <f>IF(
 OR(
  LEFT(A558,15)="state.character",
  RIGHT(A558,6)=".maxed"
 ),
 TRUE,
 COUNTIF(Checklist!A:A,A558)&gt;0
)</f>
        <v>1</v>
      </c>
      <c r="E558" s="64" t="b">
        <f>IF(
 OR(
  LEFT(A558,15)="state.character",
  RIGHT(A558,6)=".maxed",
  A558="building.guild@1",
  A558="quest.build_the_guild.accepted",
  A558="quest.build_the_pagoda.accepted"
 ),
 TRUE,
 COUNTIF(Dependencies!A:A,A558)&gt;0
)</f>
        <v>1</v>
      </c>
      <c r="F558" s="64" t="b">
        <f>COUNTIF(Dependencies!B:B,A558)&gt;0</f>
        <v>0</v>
      </c>
      <c r="G558" s="64" t="b">
        <f>COUNTIF(QuestObjectives!A:A,A558)&gt;0</f>
        <v>0</v>
      </c>
      <c r="H558" s="64" t="b">
        <f>COUNTIF(QuestObjectives!E:E,A558)&gt;0</f>
        <v>0</v>
      </c>
      <c r="I558" s="64" t="b">
        <f>COUNTIF(TargetStatus!A:A,A558)&gt;0</f>
        <v>1</v>
      </c>
      <c r="J558" s="64" t="b">
        <f>COUNTIF(CostStatus!B:B,A558)&gt;0</f>
        <v>1</v>
      </c>
      <c r="K558" s="64" t="b">
        <f>COUNTIF(States!A:A,A558)&gt;0</f>
        <v>0</v>
      </c>
      <c r="L558" s="64" t="b">
        <f t="shared" si="2"/>
        <v>1</v>
      </c>
      <c r="M558" s="64" t="b">
        <f>IF(A558="","",COUNTIF(Targets!A:A,A558)&gt;1)</f>
        <v>0</v>
      </c>
      <c r="N558" s="64" t="b">
        <f>IF(A558="","",COUNTIF(States!A:A,A558)&gt;1)</f>
        <v>0</v>
      </c>
      <c r="O558" s="64" t="b">
        <f>IFERROR(__xludf.DUMMYFUNCTION("IF(
 B558="""",
 """",
 SWITCH(
  B558,
  ""BUILDING"",COUNTIF(Buildings!A:A,A558)&gt;0,
  ""CITADEL"",COUNTIF(Citadel!A:A,A558)&gt;0,
  ""COLLECTION"",COUNTIF(Collections!A:A,A558)&gt;0,
  ""CRAFTIFACT"",COUNTIF(Craftifacts!A:A,A558)&gt;0,
  ""QUEST"",
   COUNTIF(
 "&amp;"   Quests!A:A,
    REGEXREPLACE(A558,""\.(accepted|finished)$"","""")
   )&gt;0,
  ""TECH"",COUNTIF(Technologies!A:A,A558)&gt;0,
  ""STATE"",COUNTIF(States!A:A,A558)&gt;0,
  FALSE
 )
)"),TRUE)</f>
        <v>1</v>
      </c>
      <c r="P558" s="64" t="str">
        <f t="shared" si="3"/>
        <v>Good</v>
      </c>
      <c r="Q558" s="65"/>
      <c r="R558" s="65"/>
      <c r="S558" s="65"/>
      <c r="T558" s="65"/>
      <c r="U558" s="6"/>
      <c r="V558" s="6" t="str">
        <f>IFERROR(__xludf.DUMMYFUNCTION("""COMPUTED_VALUE"""),"tech.food_stall.inarizushi")</f>
        <v>tech.food_stall.inarizushi</v>
      </c>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row>
    <row r="559" ht="14.25" customHeight="1">
      <c r="A559" s="26" t="str">
        <f t="shared" si="1"/>
        <v>tech.food_stall.jam</v>
      </c>
      <c r="B559" s="26" t="str">
        <f t="array" ref="B559">_xlfn.XLOOKUP(A559,Targets!A:A,Targets!C:C,"")</f>
        <v>TECH</v>
      </c>
      <c r="C559" s="64" t="b">
        <f>COUNTIF(Targets!A:A,A559)&gt;0</f>
        <v>1</v>
      </c>
      <c r="D559" s="64" t="b">
        <f>IF(
 OR(
  LEFT(A559,15)="state.character",
  RIGHT(A559,6)=".maxed"
 ),
 TRUE,
 COUNTIF(Checklist!A:A,A559)&gt;0
)</f>
        <v>1</v>
      </c>
      <c r="E559" s="64" t="b">
        <f>IF(
 OR(
  LEFT(A559,15)="state.character",
  RIGHT(A559,6)=".maxed",
  A559="building.guild@1",
  A559="quest.build_the_guild.accepted",
  A559="quest.build_the_pagoda.accepted"
 ),
 TRUE,
 COUNTIF(Dependencies!A:A,A559)&gt;0
)</f>
        <v>1</v>
      </c>
      <c r="F559" s="64" t="b">
        <f>COUNTIF(Dependencies!B:B,A559)&gt;0</f>
        <v>0</v>
      </c>
      <c r="G559" s="64" t="b">
        <f>COUNTIF(QuestObjectives!A:A,A559)&gt;0</f>
        <v>0</v>
      </c>
      <c r="H559" s="64" t="b">
        <f>COUNTIF(QuestObjectives!E:E,A559)&gt;0</f>
        <v>1</v>
      </c>
      <c r="I559" s="64" t="b">
        <f>COUNTIF(TargetStatus!A:A,A559)&gt;0</f>
        <v>1</v>
      </c>
      <c r="J559" s="64" t="b">
        <f>COUNTIF(CostStatus!B:B,A559)&gt;0</f>
        <v>1</v>
      </c>
      <c r="K559" s="64" t="b">
        <f>COUNTIF(States!A:A,A559)&gt;0</f>
        <v>0</v>
      </c>
      <c r="L559" s="64" t="b">
        <f t="shared" si="2"/>
        <v>1</v>
      </c>
      <c r="M559" s="64" t="b">
        <f>IF(A559="","",COUNTIF(Targets!A:A,A559)&gt;1)</f>
        <v>0</v>
      </c>
      <c r="N559" s="64" t="b">
        <f>IF(A559="","",COUNTIF(States!A:A,A559)&gt;1)</f>
        <v>0</v>
      </c>
      <c r="O559" s="64" t="b">
        <f>IFERROR(__xludf.DUMMYFUNCTION("IF(
 B559="""",
 """",
 SWITCH(
  B559,
  ""BUILDING"",COUNTIF(Buildings!A:A,A559)&gt;0,
  ""CITADEL"",COUNTIF(Citadel!A:A,A559)&gt;0,
  ""COLLECTION"",COUNTIF(Collections!A:A,A559)&gt;0,
  ""CRAFTIFACT"",COUNTIF(Craftifacts!A:A,A559)&gt;0,
  ""QUEST"",
   COUNTIF(
 "&amp;"   Quests!A:A,
    REGEXREPLACE(A559,""\.(accepted|finished)$"","""")
   )&gt;0,
  ""TECH"",COUNTIF(Technologies!A:A,A559)&gt;0,
  ""STATE"",COUNTIF(States!A:A,A559)&gt;0,
  FALSE
 )
)"),TRUE)</f>
        <v>1</v>
      </c>
      <c r="P559" s="64" t="str">
        <f t="shared" si="3"/>
        <v>Good</v>
      </c>
      <c r="Q559" s="65"/>
      <c r="R559" s="65"/>
      <c r="S559" s="65"/>
      <c r="T559" s="65"/>
      <c r="U559" s="6"/>
      <c r="V559" s="6" t="str">
        <f>IFERROR(__xludf.DUMMYFUNCTION("""COMPUTED_VALUE"""),"tech.food_stall.jam")</f>
        <v>tech.food_stall.jam</v>
      </c>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row>
    <row r="560" ht="14.25" customHeight="1">
      <c r="A560" s="26" t="str">
        <f t="shared" si="1"/>
        <v>tech.food_stall.mandra_cola</v>
      </c>
      <c r="B560" s="26" t="str">
        <f t="array" ref="B560">_xlfn.XLOOKUP(A560,Targets!A:A,Targets!C:C,"")</f>
        <v>TECH</v>
      </c>
      <c r="C560" s="64" t="b">
        <f>COUNTIF(Targets!A:A,A560)&gt;0</f>
        <v>1</v>
      </c>
      <c r="D560" s="64" t="b">
        <f>IF(
 OR(
  LEFT(A560,15)="state.character",
  RIGHT(A560,6)=".maxed"
 ),
 TRUE,
 COUNTIF(Checklist!A:A,A560)&gt;0
)</f>
        <v>1</v>
      </c>
      <c r="E560" s="64" t="b">
        <f>IF(
 OR(
  LEFT(A560,15)="state.character",
  RIGHT(A560,6)=".maxed",
  A560="building.guild@1",
  A560="quest.build_the_guild.accepted",
  A560="quest.build_the_pagoda.accepted"
 ),
 TRUE,
 COUNTIF(Dependencies!A:A,A560)&gt;0
)</f>
        <v>1</v>
      </c>
      <c r="F560" s="64" t="b">
        <f>COUNTIF(Dependencies!B:B,A560)&gt;0</f>
        <v>0</v>
      </c>
      <c r="G560" s="64" t="b">
        <f>COUNTIF(QuestObjectives!A:A,A560)&gt;0</f>
        <v>0</v>
      </c>
      <c r="H560" s="64" t="b">
        <f>COUNTIF(QuestObjectives!E:E,A560)&gt;0</f>
        <v>1</v>
      </c>
      <c r="I560" s="64" t="b">
        <f>COUNTIF(TargetStatus!A:A,A560)&gt;0</f>
        <v>1</v>
      </c>
      <c r="J560" s="64" t="b">
        <f>COUNTIF(CostStatus!B:B,A560)&gt;0</f>
        <v>1</v>
      </c>
      <c r="K560" s="64" t="b">
        <f>COUNTIF(States!A:A,A560)&gt;0</f>
        <v>0</v>
      </c>
      <c r="L560" s="64" t="b">
        <f t="shared" si="2"/>
        <v>1</v>
      </c>
      <c r="M560" s="64" t="b">
        <f>IF(A560="","",COUNTIF(Targets!A:A,A560)&gt;1)</f>
        <v>0</v>
      </c>
      <c r="N560" s="64" t="b">
        <f>IF(A560="","",COUNTIF(States!A:A,A560)&gt;1)</f>
        <v>0</v>
      </c>
      <c r="O560" s="64" t="b">
        <f>IFERROR(__xludf.DUMMYFUNCTION("IF(
 B560="""",
 """",
 SWITCH(
  B560,
  ""BUILDING"",COUNTIF(Buildings!A:A,A560)&gt;0,
  ""CITADEL"",COUNTIF(Citadel!A:A,A560)&gt;0,
  ""COLLECTION"",COUNTIF(Collections!A:A,A560)&gt;0,
  ""CRAFTIFACT"",COUNTIF(Craftifacts!A:A,A560)&gt;0,
  ""QUEST"",
   COUNTIF(
 "&amp;"   Quests!A:A,
    REGEXREPLACE(A560,""\.(accepted|finished)$"","""")
   )&gt;0,
  ""TECH"",COUNTIF(Technologies!A:A,A560)&gt;0,
  ""STATE"",COUNTIF(States!A:A,A560)&gt;0,
  FALSE
 )
)"),TRUE)</f>
        <v>1</v>
      </c>
      <c r="P560" s="64" t="str">
        <f t="shared" si="3"/>
        <v>Good</v>
      </c>
      <c r="Q560" s="65"/>
      <c r="R560" s="65"/>
      <c r="S560" s="65"/>
      <c r="T560" s="65"/>
      <c r="U560" s="6"/>
      <c r="V560" s="6" t="str">
        <f>IFERROR(__xludf.DUMMYFUNCTION("""COMPUTED_VALUE"""),"tech.food_stall.mandra_cola")</f>
        <v>tech.food_stall.mandra_cola</v>
      </c>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row>
    <row r="561" ht="14.25" customHeight="1">
      <c r="A561" s="26" t="str">
        <f t="shared" si="1"/>
        <v>tech.food_stall.mayonnaise</v>
      </c>
      <c r="B561" s="26" t="str">
        <f t="array" ref="B561">_xlfn.XLOOKUP(A561,Targets!A:A,Targets!C:C,"")</f>
        <v>TECH</v>
      </c>
      <c r="C561" s="64" t="b">
        <f>COUNTIF(Targets!A:A,A561)&gt;0</f>
        <v>1</v>
      </c>
      <c r="D561" s="64" t="b">
        <f>IF(
 OR(
  LEFT(A561,15)="state.character",
  RIGHT(A561,6)=".maxed"
 ),
 TRUE,
 COUNTIF(Checklist!A:A,A561)&gt;0
)</f>
        <v>1</v>
      </c>
      <c r="E561" s="64" t="b">
        <f>IF(
 OR(
  LEFT(A561,15)="state.character",
  RIGHT(A561,6)=".maxed",
  A561="building.guild@1",
  A561="quest.build_the_guild.accepted",
  A561="quest.build_the_pagoda.accepted"
 ),
 TRUE,
 COUNTIF(Dependencies!A:A,A561)&gt;0
)</f>
        <v>1</v>
      </c>
      <c r="F561" s="64" t="b">
        <f>COUNTIF(Dependencies!B:B,A561)&gt;0</f>
        <v>0</v>
      </c>
      <c r="G561" s="64" t="b">
        <f>COUNTIF(QuestObjectives!A:A,A561)&gt;0</f>
        <v>0</v>
      </c>
      <c r="H561" s="64" t="b">
        <f>COUNTIF(QuestObjectives!E:E,A561)&gt;0</f>
        <v>1</v>
      </c>
      <c r="I561" s="64" t="b">
        <f>COUNTIF(TargetStatus!A:A,A561)&gt;0</f>
        <v>1</v>
      </c>
      <c r="J561" s="64" t="b">
        <f>COUNTIF(CostStatus!B:B,A561)&gt;0</f>
        <v>1</v>
      </c>
      <c r="K561" s="64" t="b">
        <f>COUNTIF(States!A:A,A561)&gt;0</f>
        <v>0</v>
      </c>
      <c r="L561" s="64" t="b">
        <f t="shared" si="2"/>
        <v>1</v>
      </c>
      <c r="M561" s="64" t="b">
        <f>IF(A561="","",COUNTIF(Targets!A:A,A561)&gt;1)</f>
        <v>0</v>
      </c>
      <c r="N561" s="64" t="b">
        <f>IF(A561="","",COUNTIF(States!A:A,A561)&gt;1)</f>
        <v>0</v>
      </c>
      <c r="O561" s="64" t="b">
        <f>IFERROR(__xludf.DUMMYFUNCTION("IF(
 B561="""",
 """",
 SWITCH(
  B561,
  ""BUILDING"",COUNTIF(Buildings!A:A,A561)&gt;0,
  ""CITADEL"",COUNTIF(Citadel!A:A,A561)&gt;0,
  ""COLLECTION"",COUNTIF(Collections!A:A,A561)&gt;0,
  ""CRAFTIFACT"",COUNTIF(Craftifacts!A:A,A561)&gt;0,
  ""QUEST"",
   COUNTIF(
 "&amp;"   Quests!A:A,
    REGEXREPLACE(A561,""\.(accepted|finished)$"","""")
   )&gt;0,
  ""TECH"",COUNTIF(Technologies!A:A,A561)&gt;0,
  ""STATE"",COUNTIF(States!A:A,A561)&gt;0,
  FALSE
 )
)"),TRUE)</f>
        <v>1</v>
      </c>
      <c r="P561" s="64" t="str">
        <f t="shared" si="3"/>
        <v>Good</v>
      </c>
      <c r="Q561" s="65"/>
      <c r="R561" s="65"/>
      <c r="S561" s="65"/>
      <c r="T561" s="65"/>
      <c r="U561" s="6"/>
      <c r="V561" s="6" t="str">
        <f>IFERROR(__xludf.DUMMYFUNCTION("""COMPUTED_VALUE"""),"tech.food_stall.mayonnaise")</f>
        <v>tech.food_stall.mayonnaise</v>
      </c>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row>
    <row r="562" ht="14.25" customHeight="1">
      <c r="A562" s="26" t="str">
        <f t="shared" si="1"/>
        <v>tech.food_stall.miso_soup</v>
      </c>
      <c r="B562" s="26" t="str">
        <f t="array" ref="B562">_xlfn.XLOOKUP(A562,Targets!A:A,Targets!C:C,"")</f>
        <v>TECH</v>
      </c>
      <c r="C562" s="64" t="b">
        <f>COUNTIF(Targets!A:A,A562)&gt;0</f>
        <v>1</v>
      </c>
      <c r="D562" s="64" t="b">
        <f>IF(
 OR(
  LEFT(A562,15)="state.character",
  RIGHT(A562,6)=".maxed"
 ),
 TRUE,
 COUNTIF(Checklist!A:A,A562)&gt;0
)</f>
        <v>1</v>
      </c>
      <c r="E562" s="64" t="b">
        <f>IF(
 OR(
  LEFT(A562,15)="state.character",
  RIGHT(A562,6)=".maxed",
  A562="building.guild@1",
  A562="quest.build_the_guild.accepted",
  A562="quest.build_the_pagoda.accepted"
 ),
 TRUE,
 COUNTIF(Dependencies!A:A,A562)&gt;0
)</f>
        <v>1</v>
      </c>
      <c r="F562" s="64" t="b">
        <f>COUNTIF(Dependencies!B:B,A562)&gt;0</f>
        <v>0</v>
      </c>
      <c r="G562" s="64" t="b">
        <f>COUNTIF(QuestObjectives!A:A,A562)&gt;0</f>
        <v>0</v>
      </c>
      <c r="H562" s="64" t="b">
        <f>COUNTIF(QuestObjectives!E:E,A562)&gt;0</f>
        <v>0</v>
      </c>
      <c r="I562" s="64" t="b">
        <f>COUNTIF(TargetStatus!A:A,A562)&gt;0</f>
        <v>1</v>
      </c>
      <c r="J562" s="64" t="b">
        <f>COUNTIF(CostStatus!B:B,A562)&gt;0</f>
        <v>1</v>
      </c>
      <c r="K562" s="64" t="b">
        <f>COUNTIF(States!A:A,A562)&gt;0</f>
        <v>0</v>
      </c>
      <c r="L562" s="64" t="b">
        <f t="shared" si="2"/>
        <v>1</v>
      </c>
      <c r="M562" s="64" t="b">
        <f>IF(A562="","",COUNTIF(Targets!A:A,A562)&gt;1)</f>
        <v>0</v>
      </c>
      <c r="N562" s="64" t="b">
        <f>IF(A562="","",COUNTIF(States!A:A,A562)&gt;1)</f>
        <v>0</v>
      </c>
      <c r="O562" s="64" t="b">
        <f>IFERROR(__xludf.DUMMYFUNCTION("IF(
 B562="""",
 """",
 SWITCH(
  B562,
  ""BUILDING"",COUNTIF(Buildings!A:A,A562)&gt;0,
  ""CITADEL"",COUNTIF(Citadel!A:A,A562)&gt;0,
  ""COLLECTION"",COUNTIF(Collections!A:A,A562)&gt;0,
  ""CRAFTIFACT"",COUNTIF(Craftifacts!A:A,A562)&gt;0,
  ""QUEST"",
   COUNTIF(
 "&amp;"   Quests!A:A,
    REGEXREPLACE(A562,""\.(accepted|finished)$"","""")
   )&gt;0,
  ""TECH"",COUNTIF(Technologies!A:A,A562)&gt;0,
  ""STATE"",COUNTIF(States!A:A,A562)&gt;0,
  FALSE
 )
)"),TRUE)</f>
        <v>1</v>
      </c>
      <c r="P562" s="64" t="str">
        <f t="shared" si="3"/>
        <v>Good</v>
      </c>
      <c r="Q562" s="65"/>
      <c r="R562" s="65"/>
      <c r="S562" s="65"/>
      <c r="T562" s="65"/>
      <c r="U562" s="6"/>
      <c r="V562" s="6" t="str">
        <f>IFERROR(__xludf.DUMMYFUNCTION("""COMPUTED_VALUE"""),"tech.food_stall.miso_soup")</f>
        <v>tech.food_stall.miso_soup</v>
      </c>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row>
    <row r="563" ht="14.25" customHeight="1">
      <c r="A563" s="26" t="str">
        <f t="shared" si="1"/>
        <v>tech.food_stall.quintessence_of_taste</v>
      </c>
      <c r="B563" s="26" t="str">
        <f t="array" ref="B563">_xlfn.XLOOKUP(A563,Targets!A:A,Targets!C:C,"")</f>
        <v>TECH</v>
      </c>
      <c r="C563" s="64" t="b">
        <f>COUNTIF(Targets!A:A,A563)&gt;0</f>
        <v>1</v>
      </c>
      <c r="D563" s="64" t="b">
        <f>IF(
 OR(
  LEFT(A563,15)="state.character",
  RIGHT(A563,6)=".maxed"
 ),
 TRUE,
 COUNTIF(Checklist!A:A,A563)&gt;0
)</f>
        <v>1</v>
      </c>
      <c r="E563" s="64" t="b">
        <f>IF(
 OR(
  LEFT(A563,15)="state.character",
  RIGHT(A563,6)=".maxed",
  A563="building.guild@1",
  A563="quest.build_the_guild.accepted",
  A563="quest.build_the_pagoda.accepted"
 ),
 TRUE,
 COUNTIF(Dependencies!A:A,A563)&gt;0
)</f>
        <v>1</v>
      </c>
      <c r="F563" s="64" t="b">
        <f>COUNTIF(Dependencies!B:B,A563)&gt;0</f>
        <v>0</v>
      </c>
      <c r="G563" s="64" t="b">
        <f>COUNTIF(QuestObjectives!A:A,A563)&gt;0</f>
        <v>0</v>
      </c>
      <c r="H563" s="64" t="b">
        <f>COUNTIF(QuestObjectives!E:E,A563)&gt;0</f>
        <v>1</v>
      </c>
      <c r="I563" s="64" t="b">
        <f>COUNTIF(TargetStatus!A:A,A563)&gt;0</f>
        <v>1</v>
      </c>
      <c r="J563" s="64" t="b">
        <f>COUNTIF(CostStatus!B:B,A563)&gt;0</f>
        <v>1</v>
      </c>
      <c r="K563" s="64" t="b">
        <f>COUNTIF(States!A:A,A563)&gt;0</f>
        <v>0</v>
      </c>
      <c r="L563" s="64" t="b">
        <f t="shared" si="2"/>
        <v>1</v>
      </c>
      <c r="M563" s="64" t="b">
        <f>IF(A563="","",COUNTIF(Targets!A:A,A563)&gt;1)</f>
        <v>0</v>
      </c>
      <c r="N563" s="64" t="b">
        <f>IF(A563="","",COUNTIF(States!A:A,A563)&gt;1)</f>
        <v>0</v>
      </c>
      <c r="O563" s="64" t="b">
        <f>IFERROR(__xludf.DUMMYFUNCTION("IF(
 B563="""",
 """",
 SWITCH(
  B563,
  ""BUILDING"",COUNTIF(Buildings!A:A,A563)&gt;0,
  ""CITADEL"",COUNTIF(Citadel!A:A,A563)&gt;0,
  ""COLLECTION"",COUNTIF(Collections!A:A,A563)&gt;0,
  ""CRAFTIFACT"",COUNTIF(Craftifacts!A:A,A563)&gt;0,
  ""QUEST"",
   COUNTIF(
 "&amp;"   Quests!A:A,
    REGEXREPLACE(A563,""\.(accepted|finished)$"","""")
   )&gt;0,
  ""TECH"",COUNTIF(Technologies!A:A,A563)&gt;0,
  ""STATE"",COUNTIF(States!A:A,A563)&gt;0,
  FALSE
 )
)"),TRUE)</f>
        <v>1</v>
      </c>
      <c r="P563" s="64" t="str">
        <f t="shared" si="3"/>
        <v>Good</v>
      </c>
      <c r="Q563" s="65"/>
      <c r="R563" s="65"/>
      <c r="S563" s="65"/>
      <c r="T563" s="65"/>
      <c r="U563" s="6"/>
      <c r="V563" s="6" t="str">
        <f>IFERROR(__xludf.DUMMYFUNCTION("""COMPUTED_VALUE"""),"tech.food_stall.quintessence_of_taste")</f>
        <v>tech.food_stall.quintessence_of_taste</v>
      </c>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row>
    <row r="564" ht="14.25" customHeight="1">
      <c r="A564" s="26" t="str">
        <f t="shared" si="1"/>
        <v>tech.furnace.conveyor</v>
      </c>
      <c r="B564" s="26" t="str">
        <f t="array" ref="B564">_xlfn.XLOOKUP(A564,Targets!A:A,Targets!C:C,"")</f>
        <v>TECH</v>
      </c>
      <c r="C564" s="64" t="b">
        <f>COUNTIF(Targets!A:A,A564)&gt;0</f>
        <v>1</v>
      </c>
      <c r="D564" s="64" t="b">
        <f>IF(
 OR(
  LEFT(A564,15)="state.character",
  RIGHT(A564,6)=".maxed"
 ),
 TRUE,
 COUNTIF(Checklist!A:A,A564)&gt;0
)</f>
        <v>1</v>
      </c>
      <c r="E564" s="64" t="b">
        <f>IF(
 OR(
  LEFT(A564,15)="state.character",
  RIGHT(A564,6)=".maxed",
  A564="building.guild@1",
  A564="quest.build_the_guild.accepted",
  A564="quest.build_the_pagoda.accepted"
 ),
 TRUE,
 COUNTIF(Dependencies!A:A,A564)&gt;0
)</f>
        <v>1</v>
      </c>
      <c r="F564" s="64" t="b">
        <f>COUNTIF(Dependencies!B:B,A564)&gt;0</f>
        <v>0</v>
      </c>
      <c r="G564" s="64" t="b">
        <f>COUNTIF(QuestObjectives!A:A,A564)&gt;0</f>
        <v>0</v>
      </c>
      <c r="H564" s="64" t="b">
        <f>COUNTIF(QuestObjectives!E:E,A564)&gt;0</f>
        <v>0</v>
      </c>
      <c r="I564" s="64" t="b">
        <f>COUNTIF(TargetStatus!A:A,A564)&gt;0</f>
        <v>1</v>
      </c>
      <c r="J564" s="64" t="b">
        <f>COUNTIF(CostStatus!B:B,A564)&gt;0</f>
        <v>1</v>
      </c>
      <c r="K564" s="64" t="b">
        <f>COUNTIF(States!A:A,A564)&gt;0</f>
        <v>0</v>
      </c>
      <c r="L564" s="64" t="b">
        <f t="shared" si="2"/>
        <v>1</v>
      </c>
      <c r="M564" s="64" t="b">
        <f>IF(A564="","",COUNTIF(Targets!A:A,A564)&gt;1)</f>
        <v>0</v>
      </c>
      <c r="N564" s="64" t="b">
        <f>IF(A564="","",COUNTIF(States!A:A,A564)&gt;1)</f>
        <v>0</v>
      </c>
      <c r="O564" s="64" t="b">
        <f>IFERROR(__xludf.DUMMYFUNCTION("IF(
 B564="""",
 """",
 SWITCH(
  B564,
  ""BUILDING"",COUNTIF(Buildings!A:A,A564)&gt;0,
  ""CITADEL"",COUNTIF(Citadel!A:A,A564)&gt;0,
  ""COLLECTION"",COUNTIF(Collections!A:A,A564)&gt;0,
  ""CRAFTIFACT"",COUNTIF(Craftifacts!A:A,A564)&gt;0,
  ""QUEST"",
   COUNTIF(
 "&amp;"   Quests!A:A,
    REGEXREPLACE(A564,""\.(accepted|finished)$"","""")
   )&gt;0,
  ""TECH"",COUNTIF(Technologies!A:A,A564)&gt;0,
  ""STATE"",COUNTIF(States!A:A,A564)&gt;0,
  FALSE
 )
)"),TRUE)</f>
        <v>1</v>
      </c>
      <c r="P564" s="64" t="str">
        <f t="shared" si="3"/>
        <v>Good</v>
      </c>
      <c r="Q564" s="65"/>
      <c r="R564" s="65"/>
      <c r="S564" s="65"/>
      <c r="T564" s="65"/>
      <c r="U564" s="6"/>
      <c r="V564" s="6" t="str">
        <f>IFERROR(__xludf.DUMMYFUNCTION("""COMPUTED_VALUE"""),"tech.furnace.conveyor")</f>
        <v>tech.furnace.conveyor</v>
      </c>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row>
    <row r="565" ht="14.25" customHeight="1">
      <c r="A565" s="26" t="str">
        <f t="shared" si="1"/>
        <v>tech.furnace.glass</v>
      </c>
      <c r="B565" s="26" t="str">
        <f t="array" ref="B565">_xlfn.XLOOKUP(A565,Targets!A:A,Targets!C:C,"")</f>
        <v>TECH</v>
      </c>
      <c r="C565" s="64" t="b">
        <f>COUNTIF(Targets!A:A,A565)&gt;0</f>
        <v>1</v>
      </c>
      <c r="D565" s="64" t="b">
        <f>IF(
 OR(
  LEFT(A565,15)="state.character",
  RIGHT(A565,6)=".maxed"
 ),
 TRUE,
 COUNTIF(Checklist!A:A,A565)&gt;0
)</f>
        <v>1</v>
      </c>
      <c r="E565" s="64" t="b">
        <f>IF(
 OR(
  LEFT(A565,15)="state.character",
  RIGHT(A565,6)=".maxed",
  A565="building.guild@1",
  A565="quest.build_the_guild.accepted",
  A565="quest.build_the_pagoda.accepted"
 ),
 TRUE,
 COUNTIF(Dependencies!A:A,A565)&gt;0
)</f>
        <v>1</v>
      </c>
      <c r="F565" s="64" t="b">
        <f>COUNTIF(Dependencies!B:B,A565)&gt;0</f>
        <v>0</v>
      </c>
      <c r="G565" s="64" t="b">
        <f>COUNTIF(QuestObjectives!A:A,A565)&gt;0</f>
        <v>0</v>
      </c>
      <c r="H565" s="64" t="b">
        <f>COUNTIF(QuestObjectives!E:E,A565)&gt;0</f>
        <v>0</v>
      </c>
      <c r="I565" s="64" t="b">
        <f>COUNTIF(TargetStatus!A:A,A565)&gt;0</f>
        <v>1</v>
      </c>
      <c r="J565" s="64" t="b">
        <f>COUNTIF(CostStatus!B:B,A565)&gt;0</f>
        <v>1</v>
      </c>
      <c r="K565" s="64" t="b">
        <f>COUNTIF(States!A:A,A565)&gt;0</f>
        <v>0</v>
      </c>
      <c r="L565" s="64" t="b">
        <f t="shared" si="2"/>
        <v>1</v>
      </c>
      <c r="M565" s="64" t="b">
        <f>IF(A565="","",COUNTIF(Targets!A:A,A565)&gt;1)</f>
        <v>0</v>
      </c>
      <c r="N565" s="64" t="b">
        <f>IF(A565="","",COUNTIF(States!A:A,A565)&gt;1)</f>
        <v>0</v>
      </c>
      <c r="O565" s="64" t="b">
        <f>IFERROR(__xludf.DUMMYFUNCTION("IF(
 B565="""",
 """",
 SWITCH(
  B565,
  ""BUILDING"",COUNTIF(Buildings!A:A,A565)&gt;0,
  ""CITADEL"",COUNTIF(Citadel!A:A,A565)&gt;0,
  ""COLLECTION"",COUNTIF(Collections!A:A,A565)&gt;0,
  ""CRAFTIFACT"",COUNTIF(Craftifacts!A:A,A565)&gt;0,
  ""QUEST"",
   COUNTIF(
 "&amp;"   Quests!A:A,
    REGEXREPLACE(A565,""\.(accepted|finished)$"","""")
   )&gt;0,
  ""TECH"",COUNTIF(Technologies!A:A,A565)&gt;0,
  ""STATE"",COUNTIF(States!A:A,A565)&gt;0,
  FALSE
 )
)"),TRUE)</f>
        <v>1</v>
      </c>
      <c r="P565" s="64" t="str">
        <f t="shared" si="3"/>
        <v>Good</v>
      </c>
      <c r="Q565" s="65"/>
      <c r="R565" s="65"/>
      <c r="S565" s="65"/>
      <c r="T565" s="65"/>
      <c r="U565" s="6"/>
      <c r="V565" s="6" t="str">
        <f>IFERROR(__xludf.DUMMYFUNCTION("""COMPUTED_VALUE"""),"tech.furnace.glass")</f>
        <v>tech.furnace.glass</v>
      </c>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row>
    <row r="566" ht="14.25" customHeight="1">
      <c r="A566" s="26" t="str">
        <f t="shared" si="1"/>
        <v>tech.furnace.meteoric_steel</v>
      </c>
      <c r="B566" s="26" t="str">
        <f t="array" ref="B566">_xlfn.XLOOKUP(A566,Targets!A:A,Targets!C:C,"")</f>
        <v>TECH</v>
      </c>
      <c r="C566" s="64" t="b">
        <f>COUNTIF(Targets!A:A,A566)&gt;0</f>
        <v>1</v>
      </c>
      <c r="D566" s="64" t="b">
        <f>IF(
 OR(
  LEFT(A566,15)="state.character",
  RIGHT(A566,6)=".maxed"
 ),
 TRUE,
 COUNTIF(Checklist!A:A,A566)&gt;0
)</f>
        <v>1</v>
      </c>
      <c r="E566" s="64" t="b">
        <f>IF(
 OR(
  LEFT(A566,15)="state.character",
  RIGHT(A566,6)=".maxed",
  A566="building.guild@1",
  A566="quest.build_the_guild.accepted",
  A566="quest.build_the_pagoda.accepted"
 ),
 TRUE,
 COUNTIF(Dependencies!A:A,A566)&gt;0
)</f>
        <v>1</v>
      </c>
      <c r="F566" s="64" t="b">
        <f>COUNTIF(Dependencies!B:B,A566)&gt;0</f>
        <v>0</v>
      </c>
      <c r="G566" s="64" t="b">
        <f>COUNTIF(QuestObjectives!A:A,A566)&gt;0</f>
        <v>0</v>
      </c>
      <c r="H566" s="64" t="b">
        <f>COUNTIF(QuestObjectives!E:E,A566)&gt;0</f>
        <v>0</v>
      </c>
      <c r="I566" s="64" t="b">
        <f>COUNTIF(TargetStatus!A:A,A566)&gt;0</f>
        <v>1</v>
      </c>
      <c r="J566" s="64" t="b">
        <f>COUNTIF(CostStatus!B:B,A566)&gt;0</f>
        <v>1</v>
      </c>
      <c r="K566" s="64" t="b">
        <f>COUNTIF(States!A:A,A566)&gt;0</f>
        <v>0</v>
      </c>
      <c r="L566" s="64" t="b">
        <f t="shared" si="2"/>
        <v>1</v>
      </c>
      <c r="M566" s="64" t="b">
        <f>IF(A566="","",COUNTIF(Targets!A:A,A566)&gt;1)</f>
        <v>0</v>
      </c>
      <c r="N566" s="64" t="b">
        <f>IF(A566="","",COUNTIF(States!A:A,A566)&gt;1)</f>
        <v>0</v>
      </c>
      <c r="O566" s="64" t="b">
        <f>IFERROR(__xludf.DUMMYFUNCTION("IF(
 B566="""",
 """",
 SWITCH(
  B566,
  ""BUILDING"",COUNTIF(Buildings!A:A,A566)&gt;0,
  ""CITADEL"",COUNTIF(Citadel!A:A,A566)&gt;0,
  ""COLLECTION"",COUNTIF(Collections!A:A,A566)&gt;0,
  ""CRAFTIFACT"",COUNTIF(Craftifacts!A:A,A566)&gt;0,
  ""QUEST"",
   COUNTIF(
 "&amp;"   Quests!A:A,
    REGEXREPLACE(A566,""\.(accepted|finished)$"","""")
   )&gt;0,
  ""TECH"",COUNTIF(Technologies!A:A,A566)&gt;0,
  ""STATE"",COUNTIF(States!A:A,A566)&gt;0,
  FALSE
 )
)"),TRUE)</f>
        <v>1</v>
      </c>
      <c r="P566" s="64" t="str">
        <f t="shared" si="3"/>
        <v>Good</v>
      </c>
      <c r="Q566" s="65"/>
      <c r="R566" s="65"/>
      <c r="S566" s="65"/>
      <c r="T566" s="65"/>
      <c r="U566" s="6"/>
      <c r="V566" s="6" t="str">
        <f>IFERROR(__xludf.DUMMYFUNCTION("""COMPUTED_VALUE"""),"tech.furnace.meteoric_steel")</f>
        <v>tech.furnace.meteoric_steel</v>
      </c>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row>
    <row r="567" ht="14.25" customHeight="1">
      <c r="A567" s="26" t="str">
        <f t="shared" si="1"/>
        <v>tech.furnace.titanium_parts</v>
      </c>
      <c r="B567" s="26" t="str">
        <f t="array" ref="B567">_xlfn.XLOOKUP(A567,Targets!A:A,Targets!C:C,"")</f>
        <v>TECH</v>
      </c>
      <c r="C567" s="64" t="b">
        <f>COUNTIF(Targets!A:A,A567)&gt;0</f>
        <v>1</v>
      </c>
      <c r="D567" s="64" t="b">
        <f>IF(
 OR(
  LEFT(A567,15)="state.character",
  RIGHT(A567,6)=".maxed"
 ),
 TRUE,
 COUNTIF(Checklist!A:A,A567)&gt;0
)</f>
        <v>1</v>
      </c>
      <c r="E567" s="64" t="b">
        <f>IF(
 OR(
  LEFT(A567,15)="state.character",
  RIGHT(A567,6)=".maxed",
  A567="building.guild@1",
  A567="quest.build_the_guild.accepted",
  A567="quest.build_the_pagoda.accepted"
 ),
 TRUE,
 COUNTIF(Dependencies!A:A,A567)&gt;0
)</f>
        <v>1</v>
      </c>
      <c r="F567" s="64" t="b">
        <f>COUNTIF(Dependencies!B:B,A567)&gt;0</f>
        <v>1</v>
      </c>
      <c r="G567" s="64" t="b">
        <f>COUNTIF(QuestObjectives!A:A,A567)&gt;0</f>
        <v>0</v>
      </c>
      <c r="H567" s="64" t="b">
        <f>COUNTIF(QuestObjectives!E:E,A567)&gt;0</f>
        <v>0</v>
      </c>
      <c r="I567" s="64" t="b">
        <f>COUNTIF(TargetStatus!A:A,A567)&gt;0</f>
        <v>1</v>
      </c>
      <c r="J567" s="64" t="b">
        <f>COUNTIF(CostStatus!B:B,A567)&gt;0</f>
        <v>1</v>
      </c>
      <c r="K567" s="64" t="b">
        <f>COUNTIF(States!A:A,A567)&gt;0</f>
        <v>0</v>
      </c>
      <c r="L567" s="64" t="b">
        <f t="shared" si="2"/>
        <v>1</v>
      </c>
      <c r="M567" s="64" t="b">
        <f>IF(A567="","",COUNTIF(Targets!A:A,A567)&gt;1)</f>
        <v>0</v>
      </c>
      <c r="N567" s="64" t="b">
        <f>IF(A567="","",COUNTIF(States!A:A,A567)&gt;1)</f>
        <v>0</v>
      </c>
      <c r="O567" s="64" t="b">
        <f>IFERROR(__xludf.DUMMYFUNCTION("IF(
 B567="""",
 """",
 SWITCH(
  B567,
  ""BUILDING"",COUNTIF(Buildings!A:A,A567)&gt;0,
  ""CITADEL"",COUNTIF(Citadel!A:A,A567)&gt;0,
  ""COLLECTION"",COUNTIF(Collections!A:A,A567)&gt;0,
  ""CRAFTIFACT"",COUNTIF(Craftifacts!A:A,A567)&gt;0,
  ""QUEST"",
   COUNTIF(
 "&amp;"   Quests!A:A,
    REGEXREPLACE(A567,""\.(accepted|finished)$"","""")
   )&gt;0,
  ""TECH"",COUNTIF(Technologies!A:A,A567)&gt;0,
  ""STATE"",COUNTIF(States!A:A,A567)&gt;0,
  FALSE
 )
)"),TRUE)</f>
        <v>1</v>
      </c>
      <c r="P567" s="64" t="str">
        <f t="shared" si="3"/>
        <v>Good</v>
      </c>
      <c r="Q567" s="65"/>
      <c r="R567" s="65"/>
      <c r="S567" s="65"/>
      <c r="T567" s="65"/>
      <c r="U567" s="6"/>
      <c r="V567" s="6" t="str">
        <f>IFERROR(__xludf.DUMMYFUNCTION("""COMPUTED_VALUE"""),"tech.furnace.titanium_parts")</f>
        <v>tech.furnace.titanium_parts</v>
      </c>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row>
    <row r="568" ht="14.25" customHeight="1">
      <c r="A568" s="26" t="str">
        <f t="shared" si="1"/>
        <v>tech.garden.sprinkler</v>
      </c>
      <c r="B568" s="26" t="str">
        <f t="array" ref="B568">_xlfn.XLOOKUP(A568,Targets!A:A,Targets!C:C,"")</f>
        <v>TECH</v>
      </c>
      <c r="C568" s="64" t="b">
        <f>COUNTIF(Targets!A:A,A568)&gt;0</f>
        <v>1</v>
      </c>
      <c r="D568" s="64" t="b">
        <f>IF(
 OR(
  LEFT(A568,15)="state.character",
  RIGHT(A568,6)=".maxed"
 ),
 TRUE,
 COUNTIF(Checklist!A:A,A568)&gt;0
)</f>
        <v>1</v>
      </c>
      <c r="E568" s="64" t="b">
        <f>IF(
 OR(
  LEFT(A568,15)="state.character",
  RIGHT(A568,6)=".maxed",
  A568="building.guild@1",
  A568="quest.build_the_guild.accepted",
  A568="quest.build_the_pagoda.accepted"
 ),
 TRUE,
 COUNTIF(Dependencies!A:A,A568)&gt;0
)</f>
        <v>1</v>
      </c>
      <c r="F568" s="64" t="b">
        <f>COUNTIF(Dependencies!B:B,A568)&gt;0</f>
        <v>0</v>
      </c>
      <c r="G568" s="64" t="b">
        <f>COUNTIF(QuestObjectives!A:A,A568)&gt;0</f>
        <v>0</v>
      </c>
      <c r="H568" s="64" t="b">
        <f>COUNTIF(QuestObjectives!E:E,A568)&gt;0</f>
        <v>0</v>
      </c>
      <c r="I568" s="64" t="b">
        <f>COUNTIF(TargetStatus!A:A,A568)&gt;0</f>
        <v>1</v>
      </c>
      <c r="J568" s="64" t="b">
        <f>COUNTIF(CostStatus!B:B,A568)&gt;0</f>
        <v>1</v>
      </c>
      <c r="K568" s="64" t="b">
        <f>COUNTIF(States!A:A,A568)&gt;0</f>
        <v>0</v>
      </c>
      <c r="L568" s="64" t="b">
        <f t="shared" si="2"/>
        <v>1</v>
      </c>
      <c r="M568" s="64" t="b">
        <f>IF(A568="","",COUNTIF(Targets!A:A,A568)&gt;1)</f>
        <v>0</v>
      </c>
      <c r="N568" s="64" t="b">
        <f>IF(A568="","",COUNTIF(States!A:A,A568)&gt;1)</f>
        <v>0</v>
      </c>
      <c r="O568" s="64" t="b">
        <f>IFERROR(__xludf.DUMMYFUNCTION("IF(
 B568="""",
 """",
 SWITCH(
  B568,
  ""BUILDING"",COUNTIF(Buildings!A:A,A568)&gt;0,
  ""CITADEL"",COUNTIF(Citadel!A:A,A568)&gt;0,
  ""COLLECTION"",COUNTIF(Collections!A:A,A568)&gt;0,
  ""CRAFTIFACT"",COUNTIF(Craftifacts!A:A,A568)&gt;0,
  ""QUEST"",
   COUNTIF(
 "&amp;"   Quests!A:A,
    REGEXREPLACE(A568,""\.(accepted|finished)$"","""")
   )&gt;0,
  ""TECH"",COUNTIF(Technologies!A:A,A568)&gt;0,
  ""STATE"",COUNTIF(States!A:A,A568)&gt;0,
  FALSE
 )
)"),TRUE)</f>
        <v>1</v>
      </c>
      <c r="P568" s="64" t="str">
        <f t="shared" si="3"/>
        <v>Good</v>
      </c>
      <c r="Q568" s="65"/>
      <c r="R568" s="65"/>
      <c r="S568" s="65"/>
      <c r="T568" s="65"/>
      <c r="U568" s="6"/>
      <c r="V568" s="6" t="str">
        <f>IFERROR(__xludf.DUMMYFUNCTION("""COMPUTED_VALUE"""),"tech.garden.sprinkler")</f>
        <v>tech.garden.sprinkler</v>
      </c>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row>
    <row r="569" ht="14.25" customHeight="1">
      <c r="A569" s="26" t="str">
        <f t="shared" si="1"/>
        <v>tech.laboratory.digitization</v>
      </c>
      <c r="B569" s="26" t="str">
        <f t="array" ref="B569">_xlfn.XLOOKUP(A569,Targets!A:A,Targets!C:C,"")</f>
        <v>TECH</v>
      </c>
      <c r="C569" s="64" t="b">
        <f>COUNTIF(Targets!A:A,A569)&gt;0</f>
        <v>1</v>
      </c>
      <c r="D569" s="64" t="b">
        <f>IF(
 OR(
  LEFT(A569,15)="state.character",
  RIGHT(A569,6)=".maxed"
 ),
 TRUE,
 COUNTIF(Checklist!A:A,A569)&gt;0
)</f>
        <v>1</v>
      </c>
      <c r="E569" s="64" t="b">
        <f>IF(
 OR(
  LEFT(A569,15)="state.character",
  RIGHT(A569,6)=".maxed",
  A569="building.guild@1",
  A569="quest.build_the_guild.accepted",
  A569="quest.build_the_pagoda.accepted"
 ),
 TRUE,
 COUNTIF(Dependencies!A:A,A569)&gt;0
)</f>
        <v>1</v>
      </c>
      <c r="F569" s="64" t="b">
        <f>COUNTIF(Dependencies!B:B,A569)&gt;0</f>
        <v>0</v>
      </c>
      <c r="G569" s="64" t="b">
        <f>COUNTIF(QuestObjectives!A:A,A569)&gt;0</f>
        <v>0</v>
      </c>
      <c r="H569" s="64" t="b">
        <f>COUNTIF(QuestObjectives!E:E,A569)&gt;0</f>
        <v>1</v>
      </c>
      <c r="I569" s="64" t="b">
        <f>COUNTIF(TargetStatus!A:A,A569)&gt;0</f>
        <v>1</v>
      </c>
      <c r="J569" s="64" t="b">
        <f>COUNTIF(CostStatus!B:B,A569)&gt;0</f>
        <v>1</v>
      </c>
      <c r="K569" s="64" t="b">
        <f>COUNTIF(States!A:A,A569)&gt;0</f>
        <v>0</v>
      </c>
      <c r="L569" s="64" t="b">
        <f t="shared" si="2"/>
        <v>1</v>
      </c>
      <c r="M569" s="64" t="b">
        <f>IF(A569="","",COUNTIF(Targets!A:A,A569)&gt;1)</f>
        <v>0</v>
      </c>
      <c r="N569" s="64" t="b">
        <f>IF(A569="","",COUNTIF(States!A:A,A569)&gt;1)</f>
        <v>0</v>
      </c>
      <c r="O569" s="64" t="b">
        <f>IFERROR(__xludf.DUMMYFUNCTION("IF(
 B569="""",
 """",
 SWITCH(
  B569,
  ""BUILDING"",COUNTIF(Buildings!A:A,A569)&gt;0,
  ""CITADEL"",COUNTIF(Citadel!A:A,A569)&gt;0,
  ""COLLECTION"",COUNTIF(Collections!A:A,A569)&gt;0,
  ""CRAFTIFACT"",COUNTIF(Craftifacts!A:A,A569)&gt;0,
  ""QUEST"",
   COUNTIF(
 "&amp;"   Quests!A:A,
    REGEXREPLACE(A569,""\.(accepted|finished)$"","""")
   )&gt;0,
  ""TECH"",COUNTIF(Technologies!A:A,A569)&gt;0,
  ""STATE"",COUNTIF(States!A:A,A569)&gt;0,
  FALSE
 )
)"),TRUE)</f>
        <v>1</v>
      </c>
      <c r="P569" s="64" t="str">
        <f t="shared" si="3"/>
        <v>Good</v>
      </c>
      <c r="Q569" s="65"/>
      <c r="R569" s="65"/>
      <c r="S569" s="65"/>
      <c r="T569" s="65"/>
      <c r="U569" s="6"/>
      <c r="V569" s="6" t="str">
        <f>IFERROR(__xludf.DUMMYFUNCTION("""COMPUTED_VALUE"""),"tech.laboratory.digitization")</f>
        <v>tech.laboratory.digitization</v>
      </c>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row>
    <row r="570" ht="14.25" customHeight="1">
      <c r="A570" s="26" t="str">
        <f t="shared" si="1"/>
        <v>tech.laboratory.experiments</v>
      </c>
      <c r="B570" s="26" t="str">
        <f t="array" ref="B570">_xlfn.XLOOKUP(A570,Targets!A:A,Targets!C:C,"")</f>
        <v>TECH</v>
      </c>
      <c r="C570" s="64" t="b">
        <f>COUNTIF(Targets!A:A,A570)&gt;0</f>
        <v>1</v>
      </c>
      <c r="D570" s="64" t="b">
        <f>IF(
 OR(
  LEFT(A570,15)="state.character",
  RIGHT(A570,6)=".maxed"
 ),
 TRUE,
 COUNTIF(Checklist!A:A,A570)&gt;0
)</f>
        <v>1</v>
      </c>
      <c r="E570" s="64" t="b">
        <f>IF(
 OR(
  LEFT(A570,15)="state.character",
  RIGHT(A570,6)=".maxed",
  A570="building.guild@1",
  A570="quest.build_the_guild.accepted",
  A570="quest.build_the_pagoda.accepted"
 ),
 TRUE,
 COUNTIF(Dependencies!A:A,A570)&gt;0
)</f>
        <v>1</v>
      </c>
      <c r="F570" s="64" t="b">
        <f>COUNTIF(Dependencies!B:B,A570)&gt;0</f>
        <v>0</v>
      </c>
      <c r="G570" s="64" t="b">
        <f>COUNTIF(QuestObjectives!A:A,A570)&gt;0</f>
        <v>0</v>
      </c>
      <c r="H570" s="64" t="b">
        <f>COUNTIF(QuestObjectives!E:E,A570)&gt;0</f>
        <v>1</v>
      </c>
      <c r="I570" s="64" t="b">
        <f>COUNTIF(TargetStatus!A:A,A570)&gt;0</f>
        <v>1</v>
      </c>
      <c r="J570" s="64" t="b">
        <f>COUNTIF(CostStatus!B:B,A570)&gt;0</f>
        <v>1</v>
      </c>
      <c r="K570" s="64" t="b">
        <f>COUNTIF(States!A:A,A570)&gt;0</f>
        <v>0</v>
      </c>
      <c r="L570" s="64" t="b">
        <f t="shared" si="2"/>
        <v>1</v>
      </c>
      <c r="M570" s="64" t="b">
        <f>IF(A570="","",COUNTIF(Targets!A:A,A570)&gt;1)</f>
        <v>0</v>
      </c>
      <c r="N570" s="64" t="b">
        <f>IF(A570="","",COUNTIF(States!A:A,A570)&gt;1)</f>
        <v>0</v>
      </c>
      <c r="O570" s="64" t="b">
        <f>IFERROR(__xludf.DUMMYFUNCTION("IF(
 B570="""",
 """",
 SWITCH(
  B570,
  ""BUILDING"",COUNTIF(Buildings!A:A,A570)&gt;0,
  ""CITADEL"",COUNTIF(Citadel!A:A,A570)&gt;0,
  ""COLLECTION"",COUNTIF(Collections!A:A,A570)&gt;0,
  ""CRAFTIFACT"",COUNTIF(Craftifacts!A:A,A570)&gt;0,
  ""QUEST"",
   COUNTIF(
 "&amp;"   Quests!A:A,
    REGEXREPLACE(A570,""\.(accepted|finished)$"","""")
   )&gt;0,
  ""TECH"",COUNTIF(Technologies!A:A,A570)&gt;0,
  ""STATE"",COUNTIF(States!A:A,A570)&gt;0,
  FALSE
 )
)"),TRUE)</f>
        <v>1</v>
      </c>
      <c r="P570" s="64" t="str">
        <f t="shared" si="3"/>
        <v>Good</v>
      </c>
      <c r="Q570" s="65"/>
      <c r="R570" s="65"/>
      <c r="S570" s="65"/>
      <c r="T570" s="65"/>
      <c r="U570" s="6"/>
      <c r="V570" s="6" t="str">
        <f>IFERROR(__xludf.DUMMYFUNCTION("""COMPUTED_VALUE"""),"tech.laboratory.experiments")</f>
        <v>tech.laboratory.experiments</v>
      </c>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row>
    <row r="571" ht="14.25" customHeight="1">
      <c r="A571" s="26" t="str">
        <f t="shared" si="1"/>
        <v>tech.laboratory.research_and_development</v>
      </c>
      <c r="B571" s="26" t="str">
        <f t="array" ref="B571">_xlfn.XLOOKUP(A571,Targets!A:A,Targets!C:C,"")</f>
        <v>TECH</v>
      </c>
      <c r="C571" s="64" t="b">
        <f>COUNTIF(Targets!A:A,A571)&gt;0</f>
        <v>1</v>
      </c>
      <c r="D571" s="64" t="b">
        <f>IF(
 OR(
  LEFT(A571,15)="state.character",
  RIGHT(A571,6)=".maxed"
 ),
 TRUE,
 COUNTIF(Checklist!A:A,A571)&gt;0
)</f>
        <v>1</v>
      </c>
      <c r="E571" s="64" t="b">
        <f>IF(
 OR(
  LEFT(A571,15)="state.character",
  RIGHT(A571,6)=".maxed",
  A571="building.guild@1",
  A571="quest.build_the_guild.accepted",
  A571="quest.build_the_pagoda.accepted"
 ),
 TRUE,
 COUNTIF(Dependencies!A:A,A571)&gt;0
)</f>
        <v>1</v>
      </c>
      <c r="F571" s="64" t="b">
        <f>COUNTIF(Dependencies!B:B,A571)&gt;0</f>
        <v>1</v>
      </c>
      <c r="G571" s="64" t="b">
        <f>COUNTIF(QuestObjectives!A:A,A571)&gt;0</f>
        <v>0</v>
      </c>
      <c r="H571" s="64" t="b">
        <f>COUNTIF(QuestObjectives!E:E,A571)&gt;0</f>
        <v>1</v>
      </c>
      <c r="I571" s="64" t="b">
        <f>COUNTIF(TargetStatus!A:A,A571)&gt;0</f>
        <v>1</v>
      </c>
      <c r="J571" s="64" t="b">
        <f>COUNTIF(CostStatus!B:B,A571)&gt;0</f>
        <v>1</v>
      </c>
      <c r="K571" s="64" t="b">
        <f>COUNTIF(States!A:A,A571)&gt;0</f>
        <v>0</v>
      </c>
      <c r="L571" s="64" t="b">
        <f t="shared" si="2"/>
        <v>1</v>
      </c>
      <c r="M571" s="64" t="b">
        <f>IF(A571="","",COUNTIF(Targets!A:A,A571)&gt;1)</f>
        <v>0</v>
      </c>
      <c r="N571" s="64" t="b">
        <f>IF(A571="","",COUNTIF(States!A:A,A571)&gt;1)</f>
        <v>0</v>
      </c>
      <c r="O571" s="64" t="b">
        <f>IFERROR(__xludf.DUMMYFUNCTION("IF(
 B571="""",
 """",
 SWITCH(
  B571,
  ""BUILDING"",COUNTIF(Buildings!A:A,A571)&gt;0,
  ""CITADEL"",COUNTIF(Citadel!A:A,A571)&gt;0,
  ""COLLECTION"",COUNTIF(Collections!A:A,A571)&gt;0,
  ""CRAFTIFACT"",COUNTIF(Craftifacts!A:A,A571)&gt;0,
  ""QUEST"",
   COUNTIF(
 "&amp;"   Quests!A:A,
    REGEXREPLACE(A571,""\.(accepted|finished)$"","""")
   )&gt;0,
  ""TECH"",COUNTIF(Technologies!A:A,A571)&gt;0,
  ""STATE"",COUNTIF(States!A:A,A571)&gt;0,
  FALSE
 )
)"),TRUE)</f>
        <v>1</v>
      </c>
      <c r="P571" s="64" t="str">
        <f t="shared" si="3"/>
        <v>Good</v>
      </c>
      <c r="Q571" s="65"/>
      <c r="R571" s="65"/>
      <c r="S571" s="65"/>
      <c r="T571" s="65"/>
      <c r="U571" s="6"/>
      <c r="V571" s="6" t="str">
        <f>IFERROR(__xludf.DUMMYFUNCTION("""COMPUTED_VALUE"""),"tech.laboratory.research_and_development")</f>
        <v>tech.laboratory.research_and_development</v>
      </c>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row>
    <row r="572" ht="14.25" customHeight="1">
      <c r="A572" s="26" t="str">
        <f t="shared" si="1"/>
        <v>tech.outpost.arsenal_lvl_1</v>
      </c>
      <c r="B572" s="26" t="str">
        <f t="array" ref="B572">_xlfn.XLOOKUP(A572,Targets!A:A,Targets!C:C,"")</f>
        <v>TECH</v>
      </c>
      <c r="C572" s="64" t="b">
        <f>COUNTIF(Targets!A:A,A572)&gt;0</f>
        <v>1</v>
      </c>
      <c r="D572" s="64" t="b">
        <f>IF(
 OR(
  LEFT(A572,15)="state.character",
  RIGHT(A572,6)=".maxed"
 ),
 TRUE,
 COUNTIF(Checklist!A:A,A572)&gt;0
)</f>
        <v>1</v>
      </c>
      <c r="E572" s="64" t="b">
        <f>IF(
 OR(
  LEFT(A572,15)="state.character",
  RIGHT(A572,6)=".maxed",
  A572="building.guild@1",
  A572="quest.build_the_guild.accepted",
  A572="quest.build_the_pagoda.accepted"
 ),
 TRUE,
 COUNTIF(Dependencies!A:A,A572)&gt;0
)</f>
        <v>1</v>
      </c>
      <c r="F572" s="64" t="b">
        <f>COUNTIF(Dependencies!B:B,A572)&gt;0</f>
        <v>1</v>
      </c>
      <c r="G572" s="64" t="b">
        <f>COUNTIF(QuestObjectives!A:A,A572)&gt;0</f>
        <v>0</v>
      </c>
      <c r="H572" s="64" t="b">
        <f>COUNTIF(QuestObjectives!E:E,A572)&gt;0</f>
        <v>0</v>
      </c>
      <c r="I572" s="64" t="b">
        <f>COUNTIF(TargetStatus!A:A,A572)&gt;0</f>
        <v>1</v>
      </c>
      <c r="J572" s="64" t="b">
        <f>COUNTIF(CostStatus!B:B,A572)&gt;0</f>
        <v>1</v>
      </c>
      <c r="K572" s="64" t="b">
        <f>COUNTIF(States!A:A,A572)&gt;0</f>
        <v>0</v>
      </c>
      <c r="L572" s="64" t="b">
        <f t="shared" si="2"/>
        <v>1</v>
      </c>
      <c r="M572" s="64" t="b">
        <f>IF(A572="","",COUNTIF(Targets!A:A,A572)&gt;1)</f>
        <v>0</v>
      </c>
      <c r="N572" s="64" t="b">
        <f>IF(A572="","",COUNTIF(States!A:A,A572)&gt;1)</f>
        <v>0</v>
      </c>
      <c r="O572" s="64" t="b">
        <f>IFERROR(__xludf.DUMMYFUNCTION("IF(
 B572="""",
 """",
 SWITCH(
  B572,
  ""BUILDING"",COUNTIF(Buildings!A:A,A572)&gt;0,
  ""CITADEL"",COUNTIF(Citadel!A:A,A572)&gt;0,
  ""COLLECTION"",COUNTIF(Collections!A:A,A572)&gt;0,
  ""CRAFTIFACT"",COUNTIF(Craftifacts!A:A,A572)&gt;0,
  ""QUEST"",
   COUNTIF(
 "&amp;"   Quests!A:A,
    REGEXREPLACE(A572,""\.(accepted|finished)$"","""")
   )&gt;0,
  ""TECH"",COUNTIF(Technologies!A:A,A572)&gt;0,
  ""STATE"",COUNTIF(States!A:A,A572)&gt;0,
  FALSE
 )
)"),TRUE)</f>
        <v>1</v>
      </c>
      <c r="P572" s="64" t="str">
        <f t="shared" si="3"/>
        <v>Good</v>
      </c>
      <c r="Q572" s="65"/>
      <c r="R572" s="65"/>
      <c r="S572" s="65"/>
      <c r="T572" s="65"/>
      <c r="U572" s="6"/>
      <c r="V572" s="6" t="str">
        <f>IFERROR(__xludf.DUMMYFUNCTION("""COMPUTED_VALUE"""),"tech.outpost.arsenal_lvl_1")</f>
        <v>tech.outpost.arsenal_lvl_1</v>
      </c>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row>
    <row r="573" ht="14.25" customHeight="1">
      <c r="A573" s="26" t="str">
        <f t="shared" si="1"/>
        <v>tech.outpost.arsenal_lvl_2</v>
      </c>
      <c r="B573" s="26" t="str">
        <f t="array" ref="B573">_xlfn.XLOOKUP(A573,Targets!A:A,Targets!C:C,"")</f>
        <v>TECH</v>
      </c>
      <c r="C573" s="64" t="b">
        <f>COUNTIF(Targets!A:A,A573)&gt;0</f>
        <v>1</v>
      </c>
      <c r="D573" s="64" t="b">
        <f>IF(
 OR(
  LEFT(A573,15)="state.character",
  RIGHT(A573,6)=".maxed"
 ),
 TRUE,
 COUNTIF(Checklist!A:A,A573)&gt;0
)</f>
        <v>1</v>
      </c>
      <c r="E573" s="64" t="b">
        <f>IF(
 OR(
  LEFT(A573,15)="state.character",
  RIGHT(A573,6)=".maxed",
  A573="building.guild@1",
  A573="quest.build_the_guild.accepted",
  A573="quest.build_the_pagoda.accepted"
 ),
 TRUE,
 COUNTIF(Dependencies!A:A,A573)&gt;0
)</f>
        <v>1</v>
      </c>
      <c r="F573" s="64" t="b">
        <f>COUNTIF(Dependencies!B:B,A573)&gt;0</f>
        <v>0</v>
      </c>
      <c r="G573" s="64" t="b">
        <f>COUNTIF(QuestObjectives!A:A,A573)&gt;0</f>
        <v>0</v>
      </c>
      <c r="H573" s="64" t="b">
        <f>COUNTIF(QuestObjectives!E:E,A573)&gt;0</f>
        <v>0</v>
      </c>
      <c r="I573" s="64" t="b">
        <f>COUNTIF(TargetStatus!A:A,A573)&gt;0</f>
        <v>1</v>
      </c>
      <c r="J573" s="64" t="b">
        <f>COUNTIF(CostStatus!B:B,A573)&gt;0</f>
        <v>1</v>
      </c>
      <c r="K573" s="64" t="b">
        <f>COUNTIF(States!A:A,A573)&gt;0</f>
        <v>0</v>
      </c>
      <c r="L573" s="64" t="b">
        <f t="shared" si="2"/>
        <v>1</v>
      </c>
      <c r="M573" s="64" t="b">
        <f>IF(A573="","",COUNTIF(Targets!A:A,A573)&gt;1)</f>
        <v>0</v>
      </c>
      <c r="N573" s="64" t="b">
        <f>IF(A573="","",COUNTIF(States!A:A,A573)&gt;1)</f>
        <v>0</v>
      </c>
      <c r="O573" s="64" t="b">
        <f>IFERROR(__xludf.DUMMYFUNCTION("IF(
 B573="""",
 """",
 SWITCH(
  B573,
  ""BUILDING"",COUNTIF(Buildings!A:A,A573)&gt;0,
  ""CITADEL"",COUNTIF(Citadel!A:A,A573)&gt;0,
  ""COLLECTION"",COUNTIF(Collections!A:A,A573)&gt;0,
  ""CRAFTIFACT"",COUNTIF(Craftifacts!A:A,A573)&gt;0,
  ""QUEST"",
   COUNTIF(
 "&amp;"   Quests!A:A,
    REGEXREPLACE(A573,""\.(accepted|finished)$"","""")
   )&gt;0,
  ""TECH"",COUNTIF(Technologies!A:A,A573)&gt;0,
  ""STATE"",COUNTIF(States!A:A,A573)&gt;0,
  FALSE
 )
)"),TRUE)</f>
        <v>1</v>
      </c>
      <c r="P573" s="64" t="str">
        <f t="shared" si="3"/>
        <v>Good</v>
      </c>
      <c r="Q573" s="65"/>
      <c r="R573" s="65"/>
      <c r="S573" s="65"/>
      <c r="T573" s="65"/>
      <c r="U573" s="6"/>
      <c r="V573" s="6" t="str">
        <f>IFERROR(__xludf.DUMMYFUNCTION("""COMPUTED_VALUE"""),"tech.outpost.arsenal_lvl_2")</f>
        <v>tech.outpost.arsenal_lvl_2</v>
      </c>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row>
    <row r="574" ht="14.25" customHeight="1">
      <c r="A574" s="26" t="str">
        <f t="shared" si="1"/>
        <v>tech.outpost.futures_contracts</v>
      </c>
      <c r="B574" s="26" t="str">
        <f t="array" ref="B574">_xlfn.XLOOKUP(A574,Targets!A:A,Targets!C:C,"")</f>
        <v>TECH</v>
      </c>
      <c r="C574" s="64" t="b">
        <f>COUNTIF(Targets!A:A,A574)&gt;0</f>
        <v>1</v>
      </c>
      <c r="D574" s="64" t="b">
        <f>IF(
 OR(
  LEFT(A574,15)="state.character",
  RIGHT(A574,6)=".maxed"
 ),
 TRUE,
 COUNTIF(Checklist!A:A,A574)&gt;0
)</f>
        <v>1</v>
      </c>
      <c r="E574" s="64" t="b">
        <f>IF(
 OR(
  LEFT(A574,15)="state.character",
  RIGHT(A574,6)=".maxed",
  A574="building.guild@1",
  A574="quest.build_the_guild.accepted",
  A574="quest.build_the_pagoda.accepted"
 ),
 TRUE,
 COUNTIF(Dependencies!A:A,A574)&gt;0
)</f>
        <v>1</v>
      </c>
      <c r="F574" s="64" t="b">
        <f>COUNTIF(Dependencies!B:B,A574)&gt;0</f>
        <v>0</v>
      </c>
      <c r="G574" s="64" t="b">
        <f>COUNTIF(QuestObjectives!A:A,A574)&gt;0</f>
        <v>0</v>
      </c>
      <c r="H574" s="64" t="b">
        <f>COUNTIF(QuestObjectives!E:E,A574)&gt;0</f>
        <v>0</v>
      </c>
      <c r="I574" s="64" t="b">
        <f>COUNTIF(TargetStatus!A:A,A574)&gt;0</f>
        <v>1</v>
      </c>
      <c r="J574" s="64" t="b">
        <f>COUNTIF(CostStatus!B:B,A574)&gt;0</f>
        <v>1</v>
      </c>
      <c r="K574" s="64" t="b">
        <f>COUNTIF(States!A:A,A574)&gt;0</f>
        <v>0</v>
      </c>
      <c r="L574" s="64" t="b">
        <f t="shared" si="2"/>
        <v>1</v>
      </c>
      <c r="M574" s="64" t="b">
        <f>IF(A574="","",COUNTIF(Targets!A:A,A574)&gt;1)</f>
        <v>0</v>
      </c>
      <c r="N574" s="64" t="b">
        <f>IF(A574="","",COUNTIF(States!A:A,A574)&gt;1)</f>
        <v>0</v>
      </c>
      <c r="O574" s="64" t="b">
        <f>IFERROR(__xludf.DUMMYFUNCTION("IF(
 B574="""",
 """",
 SWITCH(
  B574,
  ""BUILDING"",COUNTIF(Buildings!A:A,A574)&gt;0,
  ""CITADEL"",COUNTIF(Citadel!A:A,A574)&gt;0,
  ""COLLECTION"",COUNTIF(Collections!A:A,A574)&gt;0,
  ""CRAFTIFACT"",COUNTIF(Craftifacts!A:A,A574)&gt;0,
  ""QUEST"",
   COUNTIF(
 "&amp;"   Quests!A:A,
    REGEXREPLACE(A574,""\.(accepted|finished)$"","""")
   )&gt;0,
  ""TECH"",COUNTIF(Technologies!A:A,A574)&gt;0,
  ""STATE"",COUNTIF(States!A:A,A574)&gt;0,
  FALSE
 )
)"),TRUE)</f>
        <v>1</v>
      </c>
      <c r="P574" s="64" t="str">
        <f t="shared" si="3"/>
        <v>Good</v>
      </c>
      <c r="Q574" s="65"/>
      <c r="R574" s="65"/>
      <c r="S574" s="65"/>
      <c r="T574" s="65"/>
      <c r="U574" s="6"/>
      <c r="V574" s="6" t="str">
        <f>IFERROR(__xludf.DUMMYFUNCTION("""COMPUTED_VALUE"""),"tech.outpost.futures_contracts")</f>
        <v>tech.outpost.futures_contracts</v>
      </c>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row>
    <row r="575" ht="14.25" customHeight="1">
      <c r="A575" s="26" t="str">
        <f t="shared" si="1"/>
        <v>tech.outpost.optional_contracts</v>
      </c>
      <c r="B575" s="26" t="str">
        <f t="array" ref="B575">_xlfn.XLOOKUP(A575,Targets!A:A,Targets!C:C,"")</f>
        <v>TECH</v>
      </c>
      <c r="C575" s="64" t="b">
        <f>COUNTIF(Targets!A:A,A575)&gt;0</f>
        <v>1</v>
      </c>
      <c r="D575" s="64" t="b">
        <f>IF(
 OR(
  LEFT(A575,15)="state.character",
  RIGHT(A575,6)=".maxed"
 ),
 TRUE,
 COUNTIF(Checklist!A:A,A575)&gt;0
)</f>
        <v>1</v>
      </c>
      <c r="E575" s="64" t="b">
        <f>IF(
 OR(
  LEFT(A575,15)="state.character",
  RIGHT(A575,6)=".maxed",
  A575="building.guild@1",
  A575="quest.build_the_guild.accepted",
  A575="quest.build_the_pagoda.accepted"
 ),
 TRUE,
 COUNTIF(Dependencies!A:A,A575)&gt;0
)</f>
        <v>1</v>
      </c>
      <c r="F575" s="64" t="b">
        <f>COUNTIF(Dependencies!B:B,A575)&gt;0</f>
        <v>1</v>
      </c>
      <c r="G575" s="64" t="b">
        <f>COUNTIF(QuestObjectives!A:A,A575)&gt;0</f>
        <v>0</v>
      </c>
      <c r="H575" s="64" t="b">
        <f>COUNTIF(QuestObjectives!E:E,A575)&gt;0</f>
        <v>0</v>
      </c>
      <c r="I575" s="64" t="b">
        <f>COUNTIF(TargetStatus!A:A,A575)&gt;0</f>
        <v>1</v>
      </c>
      <c r="J575" s="64" t="b">
        <f>COUNTIF(CostStatus!B:B,A575)&gt;0</f>
        <v>1</v>
      </c>
      <c r="K575" s="64" t="b">
        <f>COUNTIF(States!A:A,A575)&gt;0</f>
        <v>0</v>
      </c>
      <c r="L575" s="64" t="b">
        <f t="shared" si="2"/>
        <v>1</v>
      </c>
      <c r="M575" s="64" t="b">
        <f>IF(A575="","",COUNTIF(Targets!A:A,A575)&gt;1)</f>
        <v>0</v>
      </c>
      <c r="N575" s="64" t="b">
        <f>IF(A575="","",COUNTIF(States!A:A,A575)&gt;1)</f>
        <v>0</v>
      </c>
      <c r="O575" s="64" t="b">
        <f>IFERROR(__xludf.DUMMYFUNCTION("IF(
 B575="""",
 """",
 SWITCH(
  B575,
  ""BUILDING"",COUNTIF(Buildings!A:A,A575)&gt;0,
  ""CITADEL"",COUNTIF(Citadel!A:A,A575)&gt;0,
  ""COLLECTION"",COUNTIF(Collections!A:A,A575)&gt;0,
  ""CRAFTIFACT"",COUNTIF(Craftifacts!A:A,A575)&gt;0,
  ""QUEST"",
   COUNTIF(
 "&amp;"   Quests!A:A,
    REGEXREPLACE(A575,""\.(accepted|finished)$"","""")
   )&gt;0,
  ""TECH"",COUNTIF(Technologies!A:A,A575)&gt;0,
  ""STATE"",COUNTIF(States!A:A,A575)&gt;0,
  FALSE
 )
)"),TRUE)</f>
        <v>1</v>
      </c>
      <c r="P575" s="64" t="str">
        <f t="shared" si="3"/>
        <v>Good</v>
      </c>
      <c r="Q575" s="65"/>
      <c r="R575" s="65"/>
      <c r="S575" s="65"/>
      <c r="T575" s="65"/>
      <c r="U575" s="6"/>
      <c r="V575" s="6" t="str">
        <f>IFERROR(__xludf.DUMMYFUNCTION("""COMPUTED_VALUE"""),"tech.outpost.optional_contracts")</f>
        <v>tech.outpost.optional_contracts</v>
      </c>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row>
    <row r="576" ht="14.25" customHeight="1">
      <c r="A576" s="26" t="str">
        <f t="shared" si="1"/>
        <v>tech.outpost.sayonara_tax</v>
      </c>
      <c r="B576" s="26" t="str">
        <f t="array" ref="B576">_xlfn.XLOOKUP(A576,Targets!A:A,Targets!C:C,"")</f>
        <v>TECH</v>
      </c>
      <c r="C576" s="64" t="b">
        <f>COUNTIF(Targets!A:A,A576)&gt;0</f>
        <v>1</v>
      </c>
      <c r="D576" s="64" t="b">
        <f>IF(
 OR(
  LEFT(A576,15)="state.character",
  RIGHT(A576,6)=".maxed"
 ),
 TRUE,
 COUNTIF(Checklist!A:A,A576)&gt;0
)</f>
        <v>1</v>
      </c>
      <c r="E576" s="64" t="b">
        <f>IF(
 OR(
  LEFT(A576,15)="state.character",
  RIGHT(A576,6)=".maxed",
  A576="building.guild@1",
  A576="quest.build_the_guild.accepted",
  A576="quest.build_the_pagoda.accepted"
 ),
 TRUE,
 COUNTIF(Dependencies!A:A,A576)&gt;0
)</f>
        <v>1</v>
      </c>
      <c r="F576" s="64" t="b">
        <f>COUNTIF(Dependencies!B:B,A576)&gt;0</f>
        <v>0</v>
      </c>
      <c r="G576" s="64" t="b">
        <f>COUNTIF(QuestObjectives!A:A,A576)&gt;0</f>
        <v>0</v>
      </c>
      <c r="H576" s="64" t="b">
        <f>COUNTIF(QuestObjectives!E:E,A576)&gt;0</f>
        <v>0</v>
      </c>
      <c r="I576" s="64" t="b">
        <f>COUNTIF(TargetStatus!A:A,A576)&gt;0</f>
        <v>1</v>
      </c>
      <c r="J576" s="64" t="b">
        <f>COUNTIF(CostStatus!B:B,A576)&gt;0</f>
        <v>1</v>
      </c>
      <c r="K576" s="64" t="b">
        <f>COUNTIF(States!A:A,A576)&gt;0</f>
        <v>0</v>
      </c>
      <c r="L576" s="64" t="b">
        <f t="shared" si="2"/>
        <v>1</v>
      </c>
      <c r="M576" s="64" t="b">
        <f>IF(A576="","",COUNTIF(Targets!A:A,A576)&gt;1)</f>
        <v>0</v>
      </c>
      <c r="N576" s="64" t="b">
        <f>IF(A576="","",COUNTIF(States!A:A,A576)&gt;1)</f>
        <v>0</v>
      </c>
      <c r="O576" s="64" t="b">
        <f>IFERROR(__xludf.DUMMYFUNCTION("IF(
 B576="""",
 """",
 SWITCH(
  B576,
  ""BUILDING"",COUNTIF(Buildings!A:A,A576)&gt;0,
  ""CITADEL"",COUNTIF(Citadel!A:A,A576)&gt;0,
  ""COLLECTION"",COUNTIF(Collections!A:A,A576)&gt;0,
  ""CRAFTIFACT"",COUNTIF(Craftifacts!A:A,A576)&gt;0,
  ""QUEST"",
   COUNTIF(
 "&amp;"   Quests!A:A,
    REGEXREPLACE(A576,""\.(accepted|finished)$"","""")
   )&gt;0,
  ""TECH"",COUNTIF(Technologies!A:A,A576)&gt;0,
  ""STATE"",COUNTIF(States!A:A,A576)&gt;0,
  FALSE
 )
)"),TRUE)</f>
        <v>1</v>
      </c>
      <c r="P576" s="64" t="str">
        <f t="shared" si="3"/>
        <v>Good</v>
      </c>
      <c r="Q576" s="65"/>
      <c r="R576" s="65"/>
      <c r="S576" s="65"/>
      <c r="T576" s="65"/>
      <c r="U576" s="6"/>
      <c r="V576" s="6" t="str">
        <f>IFERROR(__xludf.DUMMYFUNCTION("""COMPUTED_VALUE"""),"tech.outpost.sayonara_tax")</f>
        <v>tech.outpost.sayonara_tax</v>
      </c>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row>
    <row r="577" ht="14.25" customHeight="1">
      <c r="A577" s="26" t="str">
        <f t="shared" si="1"/>
        <v>tech.outpost.tax_return_on_floppy_disk</v>
      </c>
      <c r="B577" s="26" t="str">
        <f t="array" ref="B577">_xlfn.XLOOKUP(A577,Targets!A:A,Targets!C:C,"")</f>
        <v>TECH</v>
      </c>
      <c r="C577" s="64" t="b">
        <f>COUNTIF(Targets!A:A,A577)&gt;0</f>
        <v>1</v>
      </c>
      <c r="D577" s="64" t="b">
        <f>IF(
 OR(
  LEFT(A577,15)="state.character",
  RIGHT(A577,6)=".maxed"
 ),
 TRUE,
 COUNTIF(Checklist!A:A,A577)&gt;0
)</f>
        <v>1</v>
      </c>
      <c r="E577" s="64" t="b">
        <f>IF(
 OR(
  LEFT(A577,15)="state.character",
  RIGHT(A577,6)=".maxed",
  A577="building.guild@1",
  A577="quest.build_the_guild.accepted",
  A577="quest.build_the_pagoda.accepted"
 ),
 TRUE,
 COUNTIF(Dependencies!A:A,A577)&gt;0
)</f>
        <v>1</v>
      </c>
      <c r="F577" s="64" t="b">
        <f>COUNTIF(Dependencies!B:B,A577)&gt;0</f>
        <v>0</v>
      </c>
      <c r="G577" s="64" t="b">
        <f>COUNTIF(QuestObjectives!A:A,A577)&gt;0</f>
        <v>0</v>
      </c>
      <c r="H577" s="64" t="b">
        <f>COUNTIF(QuestObjectives!E:E,A577)&gt;0</f>
        <v>0</v>
      </c>
      <c r="I577" s="64" t="b">
        <f>COUNTIF(TargetStatus!A:A,A577)&gt;0</f>
        <v>1</v>
      </c>
      <c r="J577" s="64" t="b">
        <f>COUNTIF(CostStatus!B:B,A577)&gt;0</f>
        <v>1</v>
      </c>
      <c r="K577" s="64" t="b">
        <f>COUNTIF(States!A:A,A577)&gt;0</f>
        <v>0</v>
      </c>
      <c r="L577" s="64" t="b">
        <f t="shared" si="2"/>
        <v>1</v>
      </c>
      <c r="M577" s="64" t="b">
        <f>IF(A577="","",COUNTIF(Targets!A:A,A577)&gt;1)</f>
        <v>0</v>
      </c>
      <c r="N577" s="64" t="b">
        <f>IF(A577="","",COUNTIF(States!A:A,A577)&gt;1)</f>
        <v>0</v>
      </c>
      <c r="O577" s="64" t="b">
        <f>IFERROR(__xludf.DUMMYFUNCTION("IF(
 B577="""",
 """",
 SWITCH(
  B577,
  ""BUILDING"",COUNTIF(Buildings!A:A,A577)&gt;0,
  ""CITADEL"",COUNTIF(Citadel!A:A,A577)&gt;0,
  ""COLLECTION"",COUNTIF(Collections!A:A,A577)&gt;0,
  ""CRAFTIFACT"",COUNTIF(Craftifacts!A:A,A577)&gt;0,
  ""QUEST"",
   COUNTIF(
 "&amp;"   Quests!A:A,
    REGEXREPLACE(A577,""\.(accepted|finished)$"","""")
   )&gt;0,
  ""TECH"",COUNTIF(Technologies!A:A,A577)&gt;0,
  ""STATE"",COUNTIF(States!A:A,A577)&gt;0,
  FALSE
 )
)"),TRUE)</f>
        <v>1</v>
      </c>
      <c r="P577" s="64" t="str">
        <f t="shared" si="3"/>
        <v>Good</v>
      </c>
      <c r="Q577" s="65"/>
      <c r="R577" s="65"/>
      <c r="S577" s="65"/>
      <c r="T577" s="65"/>
      <c r="U577" s="6"/>
      <c r="V577" s="6" t="str">
        <f>IFERROR(__xludf.DUMMYFUNCTION("""COMPUTED_VALUE"""),"tech.outpost.tax_return_on_floppy_disk")</f>
        <v>tech.outpost.tax_return_on_floppy_disk</v>
      </c>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row>
    <row r="578" ht="14.25" customHeight="1">
      <c r="A578" s="26" t="str">
        <f t="shared" si="1"/>
        <v>tech.rock_garden.rake</v>
      </c>
      <c r="B578" s="26" t="str">
        <f t="array" ref="B578">_xlfn.XLOOKUP(A578,Targets!A:A,Targets!C:C,"")</f>
        <v>TECH</v>
      </c>
      <c r="C578" s="64" t="b">
        <f>COUNTIF(Targets!A:A,A578)&gt;0</f>
        <v>1</v>
      </c>
      <c r="D578" s="64" t="b">
        <f>IF(
 OR(
  LEFT(A578,15)="state.character",
  RIGHT(A578,6)=".maxed"
 ),
 TRUE,
 COUNTIF(Checklist!A:A,A578)&gt;0
)</f>
        <v>1</v>
      </c>
      <c r="E578" s="64" t="b">
        <f>IF(
 OR(
  LEFT(A578,15)="state.character",
  RIGHT(A578,6)=".maxed",
  A578="building.guild@1",
  A578="quest.build_the_guild.accepted",
  A578="quest.build_the_pagoda.accepted"
 ),
 TRUE,
 COUNTIF(Dependencies!A:A,A578)&gt;0
)</f>
        <v>1</v>
      </c>
      <c r="F578" s="64" t="b">
        <f>COUNTIF(Dependencies!B:B,A578)&gt;0</f>
        <v>0</v>
      </c>
      <c r="G578" s="64" t="b">
        <f>COUNTIF(QuestObjectives!A:A,A578)&gt;0</f>
        <v>0</v>
      </c>
      <c r="H578" s="64" t="b">
        <f>COUNTIF(QuestObjectives!E:E,A578)&gt;0</f>
        <v>0</v>
      </c>
      <c r="I578" s="64" t="b">
        <f>COUNTIF(TargetStatus!A:A,A578)&gt;0</f>
        <v>1</v>
      </c>
      <c r="J578" s="64" t="b">
        <f>COUNTIF(CostStatus!B:B,A578)&gt;0</f>
        <v>1</v>
      </c>
      <c r="K578" s="64" t="b">
        <f>COUNTIF(States!A:A,A578)&gt;0</f>
        <v>0</v>
      </c>
      <c r="L578" s="64" t="b">
        <f t="shared" si="2"/>
        <v>1</v>
      </c>
      <c r="M578" s="64" t="b">
        <f>IF(A578="","",COUNTIF(Targets!A:A,A578)&gt;1)</f>
        <v>0</v>
      </c>
      <c r="N578" s="64" t="b">
        <f>IF(A578="","",COUNTIF(States!A:A,A578)&gt;1)</f>
        <v>0</v>
      </c>
      <c r="O578" s="64" t="b">
        <f>IFERROR(__xludf.DUMMYFUNCTION("IF(
 B578="""",
 """",
 SWITCH(
  B578,
  ""BUILDING"",COUNTIF(Buildings!A:A,A578)&gt;0,
  ""CITADEL"",COUNTIF(Citadel!A:A,A578)&gt;0,
  ""COLLECTION"",COUNTIF(Collections!A:A,A578)&gt;0,
  ""CRAFTIFACT"",COUNTIF(Craftifacts!A:A,A578)&gt;0,
  ""QUEST"",
   COUNTIF(
 "&amp;"   Quests!A:A,
    REGEXREPLACE(A578,""\.(accepted|finished)$"","""")
   )&gt;0,
  ""TECH"",COUNTIF(Technologies!A:A,A578)&gt;0,
  ""STATE"",COUNTIF(States!A:A,A578)&gt;0,
  FALSE
 )
)"),TRUE)</f>
        <v>1</v>
      </c>
      <c r="P578" s="64" t="str">
        <f t="shared" si="3"/>
        <v>Good</v>
      </c>
      <c r="Q578" s="65"/>
      <c r="R578" s="65"/>
      <c r="S578" s="65"/>
      <c r="T578" s="65"/>
      <c r="U578" s="6"/>
      <c r="V578" s="6" t="str">
        <f>IFERROR(__xludf.DUMMYFUNCTION("""COMPUTED_VALUE"""),"tech.rock_garden.rake")</f>
        <v>tech.rock_garden.rake</v>
      </c>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row>
    <row r="579" ht="14.25" customHeight="1">
      <c r="A579" s="26" t="str">
        <f t="shared" si="1"/>
        <v>tech.shop.glass_recycling</v>
      </c>
      <c r="B579" s="26" t="str">
        <f t="array" ref="B579">_xlfn.XLOOKUP(A579,Targets!A:A,Targets!C:C,"")</f>
        <v>TECH</v>
      </c>
      <c r="C579" s="64" t="b">
        <f>COUNTIF(Targets!A:A,A579)&gt;0</f>
        <v>1</v>
      </c>
      <c r="D579" s="64" t="b">
        <f>IF(
 OR(
  LEFT(A579,15)="state.character",
  RIGHT(A579,6)=".maxed"
 ),
 TRUE,
 COUNTIF(Checklist!A:A,A579)&gt;0
)</f>
        <v>1</v>
      </c>
      <c r="E579" s="64" t="b">
        <f>IF(
 OR(
  LEFT(A579,15)="state.character",
  RIGHT(A579,6)=".maxed",
  A579="building.guild@1",
  A579="quest.build_the_guild.accepted",
  A579="quest.build_the_pagoda.accepted"
 ),
 TRUE,
 COUNTIF(Dependencies!A:A,A579)&gt;0
)</f>
        <v>1</v>
      </c>
      <c r="F579" s="64" t="b">
        <f>COUNTIF(Dependencies!B:B,A579)&gt;0</f>
        <v>0</v>
      </c>
      <c r="G579" s="64" t="b">
        <f>COUNTIF(QuestObjectives!A:A,A579)&gt;0</f>
        <v>0</v>
      </c>
      <c r="H579" s="64" t="b">
        <f>COUNTIF(QuestObjectives!E:E,A579)&gt;0</f>
        <v>0</v>
      </c>
      <c r="I579" s="64" t="b">
        <f>COUNTIF(TargetStatus!A:A,A579)&gt;0</f>
        <v>1</v>
      </c>
      <c r="J579" s="64" t="b">
        <f>COUNTIF(CostStatus!B:B,A579)&gt;0</f>
        <v>1</v>
      </c>
      <c r="K579" s="64" t="b">
        <f>COUNTIF(States!A:A,A579)&gt;0</f>
        <v>0</v>
      </c>
      <c r="L579" s="64" t="b">
        <f t="shared" si="2"/>
        <v>1</v>
      </c>
      <c r="M579" s="64" t="b">
        <f>IF(A579="","",COUNTIF(Targets!A:A,A579)&gt;1)</f>
        <v>0</v>
      </c>
      <c r="N579" s="64" t="b">
        <f>IF(A579="","",COUNTIF(States!A:A,A579)&gt;1)</f>
        <v>0</v>
      </c>
      <c r="O579" s="64" t="b">
        <f>IFERROR(__xludf.DUMMYFUNCTION("IF(
 B579="""",
 """",
 SWITCH(
  B579,
  ""BUILDING"",COUNTIF(Buildings!A:A,A579)&gt;0,
  ""CITADEL"",COUNTIF(Citadel!A:A,A579)&gt;0,
  ""COLLECTION"",COUNTIF(Collections!A:A,A579)&gt;0,
  ""CRAFTIFACT"",COUNTIF(Craftifacts!A:A,A579)&gt;0,
  ""QUEST"",
   COUNTIF(
 "&amp;"   Quests!A:A,
    REGEXREPLACE(A579,""\.(accepted|finished)$"","""")
   )&gt;0,
  ""TECH"",COUNTIF(Technologies!A:A,A579)&gt;0,
  ""STATE"",COUNTIF(States!A:A,A579)&gt;0,
  FALSE
 )
)"),TRUE)</f>
        <v>1</v>
      </c>
      <c r="P579" s="64" t="str">
        <f t="shared" si="3"/>
        <v>Good</v>
      </c>
      <c r="Q579" s="65"/>
      <c r="R579" s="65"/>
      <c r="S579" s="65"/>
      <c r="T579" s="65"/>
      <c r="U579" s="6"/>
      <c r="V579" s="6" t="str">
        <f>IFERROR(__xludf.DUMMYFUNCTION("""COMPUTED_VALUE"""),"tech.shop.glass_recycling")</f>
        <v>tech.shop.glass_recycling</v>
      </c>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row>
    <row r="580" ht="14.25" customHeight="1">
      <c r="A580" s="26" t="str">
        <f t="shared" si="1"/>
        <v>tech.shop.pre_orders</v>
      </c>
      <c r="B580" s="26" t="str">
        <f t="array" ref="B580">_xlfn.XLOOKUP(A580,Targets!A:A,Targets!C:C,"")</f>
        <v>TECH</v>
      </c>
      <c r="C580" s="64" t="b">
        <f>COUNTIF(Targets!A:A,A580)&gt;0</f>
        <v>1</v>
      </c>
      <c r="D580" s="64" t="b">
        <f>IF(
 OR(
  LEFT(A580,15)="state.character",
  RIGHT(A580,6)=".maxed"
 ),
 TRUE,
 COUNTIF(Checklist!A:A,A580)&gt;0
)</f>
        <v>1</v>
      </c>
      <c r="E580" s="64" t="b">
        <f>IF(
 OR(
  LEFT(A580,15)="state.character",
  RIGHT(A580,6)=".maxed",
  A580="building.guild@1",
  A580="quest.build_the_guild.accepted",
  A580="quest.build_the_pagoda.accepted"
 ),
 TRUE,
 COUNTIF(Dependencies!A:A,A580)&gt;0
)</f>
        <v>1</v>
      </c>
      <c r="F580" s="64" t="b">
        <f>COUNTIF(Dependencies!B:B,A580)&gt;0</f>
        <v>0</v>
      </c>
      <c r="G580" s="64" t="b">
        <f>COUNTIF(QuestObjectives!A:A,A580)&gt;0</f>
        <v>0</v>
      </c>
      <c r="H580" s="64" t="b">
        <f>COUNTIF(QuestObjectives!E:E,A580)&gt;0</f>
        <v>0</v>
      </c>
      <c r="I580" s="64" t="b">
        <f>COUNTIF(TargetStatus!A:A,A580)&gt;0</f>
        <v>1</v>
      </c>
      <c r="J580" s="64" t="b">
        <f>COUNTIF(CostStatus!B:B,A580)&gt;0</f>
        <v>1</v>
      </c>
      <c r="K580" s="64" t="b">
        <f>COUNTIF(States!A:A,A580)&gt;0</f>
        <v>0</v>
      </c>
      <c r="L580" s="64" t="b">
        <f t="shared" si="2"/>
        <v>1</v>
      </c>
      <c r="M580" s="64" t="b">
        <f>IF(A580="","",COUNTIF(Targets!A:A,A580)&gt;1)</f>
        <v>0</v>
      </c>
      <c r="N580" s="64" t="b">
        <f>IF(A580="","",COUNTIF(States!A:A,A580)&gt;1)</f>
        <v>0</v>
      </c>
      <c r="O580" s="64" t="b">
        <f>IFERROR(__xludf.DUMMYFUNCTION("IF(
 B580="""",
 """",
 SWITCH(
  B580,
  ""BUILDING"",COUNTIF(Buildings!A:A,A580)&gt;0,
  ""CITADEL"",COUNTIF(Citadel!A:A,A580)&gt;0,
  ""COLLECTION"",COUNTIF(Collections!A:A,A580)&gt;0,
  ""CRAFTIFACT"",COUNTIF(Craftifacts!A:A,A580)&gt;0,
  ""QUEST"",
   COUNTIF(
 "&amp;"   Quests!A:A,
    REGEXREPLACE(A580,""\.(accepted|finished)$"","""")
   )&gt;0,
  ""TECH"",COUNTIF(Technologies!A:A,A580)&gt;0,
  ""STATE"",COUNTIF(States!A:A,A580)&gt;0,
  FALSE
 )
)"),TRUE)</f>
        <v>1</v>
      </c>
      <c r="P580" s="64" t="str">
        <f t="shared" si="3"/>
        <v>Good</v>
      </c>
      <c r="Q580" s="65"/>
      <c r="R580" s="65"/>
      <c r="S580" s="65"/>
      <c r="T580" s="65"/>
      <c r="U580" s="6"/>
      <c r="V580" s="6" t="str">
        <f>IFERROR(__xludf.DUMMYFUNCTION("""COMPUTED_VALUE"""),"tech.shop.pre_orders")</f>
        <v>tech.shop.pre_orders</v>
      </c>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row>
    <row r="581" ht="14.25" customHeight="1">
      <c r="A581" s="26" t="str">
        <f t="shared" si="1"/>
        <v>tech.smithy.gears</v>
      </c>
      <c r="B581" s="26" t="str">
        <f t="array" ref="B581">_xlfn.XLOOKUP(A581,Targets!A:A,Targets!C:C,"")</f>
        <v>TECH</v>
      </c>
      <c r="C581" s="64" t="b">
        <f>COUNTIF(Targets!A:A,A581)&gt;0</f>
        <v>1</v>
      </c>
      <c r="D581" s="64" t="b">
        <f>IF(
 OR(
  LEFT(A581,15)="state.character",
  RIGHT(A581,6)=".maxed"
 ),
 TRUE,
 COUNTIF(Checklist!A:A,A581)&gt;0
)</f>
        <v>1</v>
      </c>
      <c r="E581" s="64" t="b">
        <f>IF(
 OR(
  LEFT(A581,15)="state.character",
  RIGHT(A581,6)=".maxed",
  A581="building.guild@1",
  A581="quest.build_the_guild.accepted",
  A581="quest.build_the_pagoda.accepted"
 ),
 TRUE,
 COUNTIF(Dependencies!A:A,A581)&gt;0
)</f>
        <v>1</v>
      </c>
      <c r="F581" s="64" t="b">
        <f>COUNTIF(Dependencies!B:B,A581)&gt;0</f>
        <v>0</v>
      </c>
      <c r="G581" s="64" t="b">
        <f>COUNTIF(QuestObjectives!A:A,A581)&gt;0</f>
        <v>0</v>
      </c>
      <c r="H581" s="64" t="b">
        <f>COUNTIF(QuestObjectives!E:E,A581)&gt;0</f>
        <v>0</v>
      </c>
      <c r="I581" s="64" t="b">
        <f>COUNTIF(TargetStatus!A:A,A581)&gt;0</f>
        <v>1</v>
      </c>
      <c r="J581" s="64" t="b">
        <f>COUNTIF(CostStatus!B:B,A581)&gt;0</f>
        <v>1</v>
      </c>
      <c r="K581" s="64" t="b">
        <f>COUNTIF(States!A:A,A581)&gt;0</f>
        <v>0</v>
      </c>
      <c r="L581" s="64" t="b">
        <f t="shared" si="2"/>
        <v>1</v>
      </c>
      <c r="M581" s="64" t="b">
        <f>IF(A581="","",COUNTIF(Targets!A:A,A581)&gt;1)</f>
        <v>0</v>
      </c>
      <c r="N581" s="64" t="b">
        <f>IF(A581="","",COUNTIF(States!A:A,A581)&gt;1)</f>
        <v>0</v>
      </c>
      <c r="O581" s="64" t="b">
        <f>IFERROR(__xludf.DUMMYFUNCTION("IF(
 B581="""",
 """",
 SWITCH(
  B581,
  ""BUILDING"",COUNTIF(Buildings!A:A,A581)&gt;0,
  ""CITADEL"",COUNTIF(Citadel!A:A,A581)&gt;0,
  ""COLLECTION"",COUNTIF(Collections!A:A,A581)&gt;0,
  ""CRAFTIFACT"",COUNTIF(Craftifacts!A:A,A581)&gt;0,
  ""QUEST"",
   COUNTIF(
 "&amp;"   Quests!A:A,
    REGEXREPLACE(A581,""\.(accepted|finished)$"","""")
   )&gt;0,
  ""TECH"",COUNTIF(Technologies!A:A,A581)&gt;0,
  ""STATE"",COUNTIF(States!A:A,A581)&gt;0,
  FALSE
 )
)"),TRUE)</f>
        <v>1</v>
      </c>
      <c r="P581" s="64" t="str">
        <f t="shared" si="3"/>
        <v>Good</v>
      </c>
      <c r="Q581" s="65"/>
      <c r="R581" s="65"/>
      <c r="S581" s="65"/>
      <c r="T581" s="65"/>
      <c r="U581" s="6"/>
      <c r="V581" s="6" t="str">
        <f>IFERROR(__xludf.DUMMYFUNCTION("""COMPUTED_VALUE"""),"tech.smithy.gears")</f>
        <v>tech.smithy.gears</v>
      </c>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row>
    <row r="582" ht="14.25" customHeight="1">
      <c r="A582" s="26" t="str">
        <f t="shared" si="1"/>
        <v>tech.smithy.sword_for_a_hero_lvl_1</v>
      </c>
      <c r="B582" s="26" t="str">
        <f t="array" ref="B582">_xlfn.XLOOKUP(A582,Targets!A:A,Targets!C:C,"")</f>
        <v>TECH</v>
      </c>
      <c r="C582" s="64" t="b">
        <f>COUNTIF(Targets!A:A,A582)&gt;0</f>
        <v>1</v>
      </c>
      <c r="D582" s="64" t="b">
        <f>IF(
 OR(
  LEFT(A582,15)="state.character",
  RIGHT(A582,6)=".maxed"
 ),
 TRUE,
 COUNTIF(Checklist!A:A,A582)&gt;0
)</f>
        <v>1</v>
      </c>
      <c r="E582" s="64" t="b">
        <f>IF(
 OR(
  LEFT(A582,15)="state.character",
  RIGHT(A582,6)=".maxed",
  A582="building.guild@1",
  A582="quest.build_the_guild.accepted",
  A582="quest.build_the_pagoda.accepted"
 ),
 TRUE,
 COUNTIF(Dependencies!A:A,A582)&gt;0
)</f>
        <v>1</v>
      </c>
      <c r="F582" s="64" t="b">
        <f>COUNTIF(Dependencies!B:B,A582)&gt;0</f>
        <v>1</v>
      </c>
      <c r="G582" s="64" t="b">
        <f>COUNTIF(QuestObjectives!A:A,A582)&gt;0</f>
        <v>0</v>
      </c>
      <c r="H582" s="64" t="b">
        <f>COUNTIF(QuestObjectives!E:E,A582)&gt;0</f>
        <v>0</v>
      </c>
      <c r="I582" s="64" t="b">
        <f>COUNTIF(TargetStatus!A:A,A582)&gt;0</f>
        <v>1</v>
      </c>
      <c r="J582" s="64" t="b">
        <f>COUNTIF(CostStatus!B:B,A582)&gt;0</f>
        <v>1</v>
      </c>
      <c r="K582" s="64" t="b">
        <f>COUNTIF(States!A:A,A582)&gt;0</f>
        <v>0</v>
      </c>
      <c r="L582" s="64" t="b">
        <f t="shared" si="2"/>
        <v>1</v>
      </c>
      <c r="M582" s="64" t="b">
        <f>IF(A582="","",COUNTIF(Targets!A:A,A582)&gt;1)</f>
        <v>0</v>
      </c>
      <c r="N582" s="64" t="b">
        <f>IF(A582="","",COUNTIF(States!A:A,A582)&gt;1)</f>
        <v>0</v>
      </c>
      <c r="O582" s="64" t="b">
        <f>IFERROR(__xludf.DUMMYFUNCTION("IF(
 B582="""",
 """",
 SWITCH(
  B582,
  ""BUILDING"",COUNTIF(Buildings!A:A,A582)&gt;0,
  ""CITADEL"",COUNTIF(Citadel!A:A,A582)&gt;0,
  ""COLLECTION"",COUNTIF(Collections!A:A,A582)&gt;0,
  ""CRAFTIFACT"",COUNTIF(Craftifacts!A:A,A582)&gt;0,
  ""QUEST"",
   COUNTIF(
 "&amp;"   Quests!A:A,
    REGEXREPLACE(A582,""\.(accepted|finished)$"","""")
   )&gt;0,
  ""TECH"",COUNTIF(Technologies!A:A,A582)&gt;0,
  ""STATE"",COUNTIF(States!A:A,A582)&gt;0,
  FALSE
 )
)"),TRUE)</f>
        <v>1</v>
      </c>
      <c r="P582" s="64" t="str">
        <f t="shared" si="3"/>
        <v>Good</v>
      </c>
      <c r="Q582" s="65"/>
      <c r="R582" s="65"/>
      <c r="S582" s="65"/>
      <c r="T582" s="65"/>
      <c r="U582" s="6"/>
      <c r="V582" s="6" t="str">
        <f>IFERROR(__xludf.DUMMYFUNCTION("""COMPUTED_VALUE"""),"tech.smithy.sword_for_a_hero_lvl_1")</f>
        <v>tech.smithy.sword_for_a_hero_lvl_1</v>
      </c>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row>
    <row r="583" ht="14.25" customHeight="1">
      <c r="A583" s="26" t="str">
        <f t="shared" si="1"/>
        <v>tech.smithy.sword_for_a_hero_lvl_2</v>
      </c>
      <c r="B583" s="26" t="str">
        <f t="array" ref="B583">_xlfn.XLOOKUP(A583,Targets!A:A,Targets!C:C,"")</f>
        <v>TECH</v>
      </c>
      <c r="C583" s="64" t="b">
        <f>COUNTIF(Targets!A:A,A583)&gt;0</f>
        <v>1</v>
      </c>
      <c r="D583" s="64" t="b">
        <f>IF(
 OR(
  LEFT(A583,15)="state.character",
  RIGHT(A583,6)=".maxed"
 ),
 TRUE,
 COUNTIF(Checklist!A:A,A583)&gt;0
)</f>
        <v>1</v>
      </c>
      <c r="E583" s="64" t="b">
        <f>IF(
 OR(
  LEFT(A583,15)="state.character",
  RIGHT(A583,6)=".maxed",
  A583="building.guild@1",
  A583="quest.build_the_guild.accepted",
  A583="quest.build_the_pagoda.accepted"
 ),
 TRUE,
 COUNTIF(Dependencies!A:A,A583)&gt;0
)</f>
        <v>1</v>
      </c>
      <c r="F583" s="64" t="b">
        <f>COUNTIF(Dependencies!B:B,A583)&gt;0</f>
        <v>1</v>
      </c>
      <c r="G583" s="64" t="b">
        <f>COUNTIF(QuestObjectives!A:A,A583)&gt;0</f>
        <v>0</v>
      </c>
      <c r="H583" s="64" t="b">
        <f>COUNTIF(QuestObjectives!E:E,A583)&gt;0</f>
        <v>0</v>
      </c>
      <c r="I583" s="64" t="b">
        <f>COUNTIF(TargetStatus!A:A,A583)&gt;0</f>
        <v>1</v>
      </c>
      <c r="J583" s="64" t="b">
        <f>COUNTIF(CostStatus!B:B,A583)&gt;0</f>
        <v>1</v>
      </c>
      <c r="K583" s="64" t="b">
        <f>COUNTIF(States!A:A,A583)&gt;0</f>
        <v>0</v>
      </c>
      <c r="L583" s="64" t="b">
        <f t="shared" si="2"/>
        <v>1</v>
      </c>
      <c r="M583" s="64" t="b">
        <f>IF(A583="","",COUNTIF(Targets!A:A,A583)&gt;1)</f>
        <v>0</v>
      </c>
      <c r="N583" s="64" t="b">
        <f>IF(A583="","",COUNTIF(States!A:A,A583)&gt;1)</f>
        <v>0</v>
      </c>
      <c r="O583" s="64" t="b">
        <f>IFERROR(__xludf.DUMMYFUNCTION("IF(
 B583="""",
 """",
 SWITCH(
  B583,
  ""BUILDING"",COUNTIF(Buildings!A:A,A583)&gt;0,
  ""CITADEL"",COUNTIF(Citadel!A:A,A583)&gt;0,
  ""COLLECTION"",COUNTIF(Collections!A:A,A583)&gt;0,
  ""CRAFTIFACT"",COUNTIF(Craftifacts!A:A,A583)&gt;0,
  ""QUEST"",
   COUNTIF(
 "&amp;"   Quests!A:A,
    REGEXREPLACE(A583,""\.(accepted|finished)$"","""")
   )&gt;0,
  ""TECH"",COUNTIF(Technologies!A:A,A583)&gt;0,
  ""STATE"",COUNTIF(States!A:A,A583)&gt;0,
  FALSE
 )
)"),TRUE)</f>
        <v>1</v>
      </c>
      <c r="P583" s="64" t="str">
        <f t="shared" si="3"/>
        <v>Good</v>
      </c>
      <c r="Q583" s="65"/>
      <c r="R583" s="65"/>
      <c r="S583" s="65"/>
      <c r="T583" s="65"/>
      <c r="U583" s="6"/>
      <c r="V583" s="6" t="str">
        <f>IFERROR(__xludf.DUMMYFUNCTION("""COMPUTED_VALUE"""),"tech.smithy.sword_for_a_hero_lvl_2")</f>
        <v>tech.smithy.sword_for_a_hero_lvl_2</v>
      </c>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row>
    <row r="584" ht="14.25" customHeight="1">
      <c r="A584" s="26" t="str">
        <f t="shared" si="1"/>
        <v>tech.smithy.sword_for_a_hero_lvl_3</v>
      </c>
      <c r="B584" s="26" t="str">
        <f t="array" ref="B584">_xlfn.XLOOKUP(A584,Targets!A:A,Targets!C:C,"")</f>
        <v>TECH</v>
      </c>
      <c r="C584" s="64" t="b">
        <f>COUNTIF(Targets!A:A,A584)&gt;0</f>
        <v>1</v>
      </c>
      <c r="D584" s="64" t="b">
        <f>IF(
 OR(
  LEFT(A584,15)="state.character",
  RIGHT(A584,6)=".maxed"
 ),
 TRUE,
 COUNTIF(Checklist!A:A,A584)&gt;0
)</f>
        <v>1</v>
      </c>
      <c r="E584" s="64" t="b">
        <f>IF(
 OR(
  LEFT(A584,15)="state.character",
  RIGHT(A584,6)=".maxed",
  A584="building.guild@1",
  A584="quest.build_the_guild.accepted",
  A584="quest.build_the_pagoda.accepted"
 ),
 TRUE,
 COUNTIF(Dependencies!A:A,A584)&gt;0
)</f>
        <v>1</v>
      </c>
      <c r="F584" s="64" t="b">
        <f>COUNTIF(Dependencies!B:B,A584)&gt;0</f>
        <v>1</v>
      </c>
      <c r="G584" s="64" t="b">
        <f>COUNTIF(QuestObjectives!A:A,A584)&gt;0</f>
        <v>0</v>
      </c>
      <c r="H584" s="64" t="b">
        <f>COUNTIF(QuestObjectives!E:E,A584)&gt;0</f>
        <v>0</v>
      </c>
      <c r="I584" s="64" t="b">
        <f>COUNTIF(TargetStatus!A:A,A584)&gt;0</f>
        <v>1</v>
      </c>
      <c r="J584" s="64" t="b">
        <f>COUNTIF(CostStatus!B:B,A584)&gt;0</f>
        <v>1</v>
      </c>
      <c r="K584" s="64" t="b">
        <f>COUNTIF(States!A:A,A584)&gt;0</f>
        <v>0</v>
      </c>
      <c r="L584" s="64" t="b">
        <f t="shared" si="2"/>
        <v>1</v>
      </c>
      <c r="M584" s="64" t="b">
        <f>IF(A584="","",COUNTIF(Targets!A:A,A584)&gt;1)</f>
        <v>0</v>
      </c>
      <c r="N584" s="64" t="b">
        <f>IF(A584="","",COUNTIF(States!A:A,A584)&gt;1)</f>
        <v>0</v>
      </c>
      <c r="O584" s="64" t="b">
        <f>IFERROR(__xludf.DUMMYFUNCTION("IF(
 B584="""",
 """",
 SWITCH(
  B584,
  ""BUILDING"",COUNTIF(Buildings!A:A,A584)&gt;0,
  ""CITADEL"",COUNTIF(Citadel!A:A,A584)&gt;0,
  ""COLLECTION"",COUNTIF(Collections!A:A,A584)&gt;0,
  ""CRAFTIFACT"",COUNTIF(Craftifacts!A:A,A584)&gt;0,
  ""QUEST"",
   COUNTIF(
 "&amp;"   Quests!A:A,
    REGEXREPLACE(A584,""\.(accepted|finished)$"","""")
   )&gt;0,
  ""TECH"",COUNTIF(Technologies!A:A,A584)&gt;0,
  ""STATE"",COUNTIF(States!A:A,A584)&gt;0,
  FALSE
 )
)"),TRUE)</f>
        <v>1</v>
      </c>
      <c r="P584" s="64" t="str">
        <f t="shared" si="3"/>
        <v>Good</v>
      </c>
      <c r="Q584" s="65"/>
      <c r="R584" s="65"/>
      <c r="S584" s="65"/>
      <c r="T584" s="65"/>
      <c r="U584" s="6"/>
      <c r="V584" s="6" t="str">
        <f>IFERROR(__xludf.DUMMYFUNCTION("""COMPUTED_VALUE"""),"tech.smithy.sword_for_a_hero_lvl_3")</f>
        <v>tech.smithy.sword_for_a_hero_lvl_3</v>
      </c>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row>
    <row r="585" ht="14.25" customHeight="1">
      <c r="A585" s="26" t="str">
        <f t="shared" si="1"/>
        <v>tech.smithy.sword_for_a_hero_lvl_4</v>
      </c>
      <c r="B585" s="26" t="str">
        <f t="array" ref="B585">_xlfn.XLOOKUP(A585,Targets!A:A,Targets!C:C,"")</f>
        <v>TECH</v>
      </c>
      <c r="C585" s="64" t="b">
        <f>COUNTIF(Targets!A:A,A585)&gt;0</f>
        <v>1</v>
      </c>
      <c r="D585" s="64" t="b">
        <f>IF(
 OR(
  LEFT(A585,15)="state.character",
  RIGHT(A585,6)=".maxed"
 ),
 TRUE,
 COUNTIF(Checklist!A:A,A585)&gt;0
)</f>
        <v>1</v>
      </c>
      <c r="E585" s="64" t="b">
        <f>IF(
 OR(
  LEFT(A585,15)="state.character",
  RIGHT(A585,6)=".maxed",
  A585="building.guild@1",
  A585="quest.build_the_guild.accepted",
  A585="quest.build_the_pagoda.accepted"
 ),
 TRUE,
 COUNTIF(Dependencies!A:A,A585)&gt;0
)</f>
        <v>1</v>
      </c>
      <c r="F585" s="64" t="b">
        <f>COUNTIF(Dependencies!B:B,A585)&gt;0</f>
        <v>1</v>
      </c>
      <c r="G585" s="64" t="b">
        <f>COUNTIF(QuestObjectives!A:A,A585)&gt;0</f>
        <v>0</v>
      </c>
      <c r="H585" s="64" t="b">
        <f>COUNTIF(QuestObjectives!E:E,A585)&gt;0</f>
        <v>1</v>
      </c>
      <c r="I585" s="64" t="b">
        <f>COUNTIF(TargetStatus!A:A,A585)&gt;0</f>
        <v>1</v>
      </c>
      <c r="J585" s="64" t="b">
        <f>COUNTIF(CostStatus!B:B,A585)&gt;0</f>
        <v>1</v>
      </c>
      <c r="K585" s="64" t="b">
        <f>COUNTIF(States!A:A,A585)&gt;0</f>
        <v>0</v>
      </c>
      <c r="L585" s="64" t="b">
        <f t="shared" si="2"/>
        <v>1</v>
      </c>
      <c r="M585" s="64" t="b">
        <f>IF(A585="","",COUNTIF(Targets!A:A,A585)&gt;1)</f>
        <v>0</v>
      </c>
      <c r="N585" s="64" t="b">
        <f>IF(A585="","",COUNTIF(States!A:A,A585)&gt;1)</f>
        <v>0</v>
      </c>
      <c r="O585" s="64" t="b">
        <f>IFERROR(__xludf.DUMMYFUNCTION("IF(
 B585="""",
 """",
 SWITCH(
  B585,
  ""BUILDING"",COUNTIF(Buildings!A:A,A585)&gt;0,
  ""CITADEL"",COUNTIF(Citadel!A:A,A585)&gt;0,
  ""COLLECTION"",COUNTIF(Collections!A:A,A585)&gt;0,
  ""CRAFTIFACT"",COUNTIF(Craftifacts!A:A,A585)&gt;0,
  ""QUEST"",
   COUNTIF(
 "&amp;"   Quests!A:A,
    REGEXREPLACE(A585,""\.(accepted|finished)$"","""")
   )&gt;0,
  ""TECH"",COUNTIF(Technologies!A:A,A585)&gt;0,
  ""STATE"",COUNTIF(States!A:A,A585)&gt;0,
  FALSE
 )
)"),TRUE)</f>
        <v>1</v>
      </c>
      <c r="P585" s="64" t="str">
        <f t="shared" si="3"/>
        <v>Good</v>
      </c>
      <c r="Q585" s="65"/>
      <c r="R585" s="65"/>
      <c r="S585" s="65"/>
      <c r="T585" s="65"/>
      <c r="U585" s="6"/>
      <c r="V585" s="6" t="str">
        <f>IFERROR(__xludf.DUMMYFUNCTION("""COMPUTED_VALUE"""),"tech.smithy.sword_for_a_hero_lvl_4")</f>
        <v>tech.smithy.sword_for_a_hero_lvl_4</v>
      </c>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row>
    <row r="586" ht="14.25" customHeight="1">
      <c r="A586" s="26" t="str">
        <f t="shared" si="1"/>
        <v>tech.smithy.sword_for_a_hero_lvl_4+</v>
      </c>
      <c r="B586" s="26" t="str">
        <f t="array" ref="B586">_xlfn.XLOOKUP(A586,Targets!A:A,Targets!C:C,"")</f>
        <v>TECH</v>
      </c>
      <c r="C586" s="64" t="b">
        <f>COUNTIF(Targets!A:A,A586)&gt;0</f>
        <v>1</v>
      </c>
      <c r="D586" s="64" t="b">
        <f>IF(
 OR(
  LEFT(A586,15)="state.character",
  RIGHT(A586,6)=".maxed"
 ),
 TRUE,
 COUNTIF(Checklist!A:A,A586)&gt;0
)</f>
        <v>1</v>
      </c>
      <c r="E586" s="64" t="b">
        <f>IF(
 OR(
  LEFT(A586,15)="state.character",
  RIGHT(A586,6)=".maxed",
  A586="building.guild@1",
  A586="quest.build_the_guild.accepted",
  A586="quest.build_the_pagoda.accepted"
 ),
 TRUE,
 COUNTIF(Dependencies!A:A,A586)&gt;0
)</f>
        <v>1</v>
      </c>
      <c r="F586" s="64" t="b">
        <f>COUNTIF(Dependencies!B:B,A586)&gt;0</f>
        <v>1</v>
      </c>
      <c r="G586" s="64" t="b">
        <f>COUNTIF(QuestObjectives!A:A,A586)&gt;0</f>
        <v>0</v>
      </c>
      <c r="H586" s="64" t="b">
        <f>COUNTIF(QuestObjectives!E:E,A586)&gt;0</f>
        <v>0</v>
      </c>
      <c r="I586" s="64" t="b">
        <f>COUNTIF(TargetStatus!A:A,A586)&gt;0</f>
        <v>1</v>
      </c>
      <c r="J586" s="64" t="b">
        <f>COUNTIF(CostStatus!B:B,A586)&gt;0</f>
        <v>1</v>
      </c>
      <c r="K586" s="64" t="b">
        <f>COUNTIF(States!A:A,A586)&gt;0</f>
        <v>0</v>
      </c>
      <c r="L586" s="64" t="b">
        <f t="shared" si="2"/>
        <v>1</v>
      </c>
      <c r="M586" s="64" t="b">
        <f>IF(A586="","",COUNTIF(Targets!A:A,A586)&gt;1)</f>
        <v>0</v>
      </c>
      <c r="N586" s="64" t="b">
        <f>IF(A586="","",COUNTIF(States!A:A,A586)&gt;1)</f>
        <v>0</v>
      </c>
      <c r="O586" s="64" t="b">
        <f>IFERROR(__xludf.DUMMYFUNCTION("IF(
 B586="""",
 """",
 SWITCH(
  B586,
  ""BUILDING"",COUNTIF(Buildings!A:A,A586)&gt;0,
  ""CITADEL"",COUNTIF(Citadel!A:A,A586)&gt;0,
  ""COLLECTION"",COUNTIF(Collections!A:A,A586)&gt;0,
  ""CRAFTIFACT"",COUNTIF(Craftifacts!A:A,A586)&gt;0,
  ""QUEST"",
   COUNTIF(
 "&amp;"   Quests!A:A,
    REGEXREPLACE(A586,""\.(accepted|finished)$"","""")
   )&gt;0,
  ""TECH"",COUNTIF(Technologies!A:A,A586)&gt;0,
  ""STATE"",COUNTIF(States!A:A,A586)&gt;0,
  FALSE
 )
)"),TRUE)</f>
        <v>1</v>
      </c>
      <c r="P586" s="64" t="str">
        <f t="shared" si="3"/>
        <v>Good</v>
      </c>
      <c r="Q586" s="65"/>
      <c r="R586" s="65"/>
      <c r="S586" s="65"/>
      <c r="T586" s="65"/>
      <c r="U586" s="6"/>
      <c r="V586" s="6" t="str">
        <f>IFERROR(__xludf.DUMMYFUNCTION("""COMPUTED_VALUE"""),"tech.smithy.sword_for_a_hero_lvl_4+")</f>
        <v>tech.smithy.sword_for_a_hero_lvl_4+</v>
      </c>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row>
    <row r="587" ht="14.25" customHeight="1">
      <c r="A587" s="26" t="str">
        <f t="shared" si="1"/>
        <v>tech.smithy.throwing_knife</v>
      </c>
      <c r="B587" s="26" t="str">
        <f t="array" ref="B587">_xlfn.XLOOKUP(A587,Targets!A:A,Targets!C:C,"")</f>
        <v>TECH</v>
      </c>
      <c r="C587" s="64" t="b">
        <f>COUNTIF(Targets!A:A,A587)&gt;0</f>
        <v>1</v>
      </c>
      <c r="D587" s="64" t="b">
        <f>IF(
 OR(
  LEFT(A587,15)="state.character",
  RIGHT(A587,6)=".maxed"
 ),
 TRUE,
 COUNTIF(Checklist!A:A,A587)&gt;0
)</f>
        <v>1</v>
      </c>
      <c r="E587" s="64" t="b">
        <f>IF(
 OR(
  LEFT(A587,15)="state.character",
  RIGHT(A587,6)=".maxed",
  A587="building.guild@1",
  A587="quest.build_the_guild.accepted",
  A587="quest.build_the_pagoda.accepted"
 ),
 TRUE,
 COUNTIF(Dependencies!A:A,A587)&gt;0
)</f>
        <v>1</v>
      </c>
      <c r="F587" s="64" t="b">
        <f>COUNTIF(Dependencies!B:B,A587)&gt;0</f>
        <v>0</v>
      </c>
      <c r="G587" s="64" t="b">
        <f>COUNTIF(QuestObjectives!A:A,A587)&gt;0</f>
        <v>0</v>
      </c>
      <c r="H587" s="64" t="b">
        <f>COUNTIF(QuestObjectives!E:E,A587)&gt;0</f>
        <v>1</v>
      </c>
      <c r="I587" s="64" t="b">
        <f>COUNTIF(TargetStatus!A:A,A587)&gt;0</f>
        <v>1</v>
      </c>
      <c r="J587" s="64" t="b">
        <f>COUNTIF(CostStatus!B:B,A587)&gt;0</f>
        <v>1</v>
      </c>
      <c r="K587" s="64" t="b">
        <f>COUNTIF(States!A:A,A587)&gt;0</f>
        <v>0</v>
      </c>
      <c r="L587" s="64" t="b">
        <f t="shared" si="2"/>
        <v>1</v>
      </c>
      <c r="M587" s="64" t="b">
        <f>IF(A587="","",COUNTIF(Targets!A:A,A587)&gt;1)</f>
        <v>0</v>
      </c>
      <c r="N587" s="64" t="b">
        <f>IF(A587="","",COUNTIF(States!A:A,A587)&gt;1)</f>
        <v>0</v>
      </c>
      <c r="O587" s="64" t="b">
        <f>IFERROR(__xludf.DUMMYFUNCTION("IF(
 B587="""",
 """",
 SWITCH(
  B587,
  ""BUILDING"",COUNTIF(Buildings!A:A,A587)&gt;0,
  ""CITADEL"",COUNTIF(Citadel!A:A,A587)&gt;0,
  ""COLLECTION"",COUNTIF(Collections!A:A,A587)&gt;0,
  ""CRAFTIFACT"",COUNTIF(Craftifacts!A:A,A587)&gt;0,
  ""QUEST"",
   COUNTIF(
 "&amp;"   Quests!A:A,
    REGEXREPLACE(A587,""\.(accepted|finished)$"","""")
   )&gt;0,
  ""TECH"",COUNTIF(Technologies!A:A,A587)&gt;0,
  ""STATE"",COUNTIF(States!A:A,A587)&gt;0,
  FALSE
 )
)"),TRUE)</f>
        <v>1</v>
      </c>
      <c r="P587" s="64" t="str">
        <f t="shared" si="3"/>
        <v>Good</v>
      </c>
      <c r="Q587" s="65"/>
      <c r="R587" s="65"/>
      <c r="S587" s="65"/>
      <c r="T587" s="65"/>
      <c r="U587" s="6"/>
      <c r="V587" s="6" t="str">
        <f>IFERROR(__xludf.DUMMYFUNCTION("""COMPUTED_VALUE"""),"tech.smithy.throwing_knife")</f>
        <v>tech.smithy.throwing_knife</v>
      </c>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row>
    <row r="588" ht="14.25" customHeight="1">
      <c r="A588" s="26" t="str">
        <f t="shared" si="1"/>
        <v>tech.smithy.treasure</v>
      </c>
      <c r="B588" s="26" t="str">
        <f t="array" ref="B588">_xlfn.XLOOKUP(A588,Targets!A:A,Targets!C:C,"")</f>
        <v>TECH</v>
      </c>
      <c r="C588" s="64" t="b">
        <f>COUNTIF(Targets!A:A,A588)&gt;0</f>
        <v>1</v>
      </c>
      <c r="D588" s="64" t="b">
        <f>IF(
 OR(
  LEFT(A588,15)="state.character",
  RIGHT(A588,6)=".maxed"
 ),
 TRUE,
 COUNTIF(Checklist!A:A,A588)&gt;0
)</f>
        <v>1</v>
      </c>
      <c r="E588" s="64" t="b">
        <f>IF(
 OR(
  LEFT(A588,15)="state.character",
  RIGHT(A588,6)=".maxed",
  A588="building.guild@1",
  A588="quest.build_the_guild.accepted",
  A588="quest.build_the_pagoda.accepted"
 ),
 TRUE,
 COUNTIF(Dependencies!A:A,A588)&gt;0
)</f>
        <v>1</v>
      </c>
      <c r="F588" s="64" t="b">
        <f>COUNTIF(Dependencies!B:B,A588)&gt;0</f>
        <v>0</v>
      </c>
      <c r="G588" s="64" t="b">
        <f>COUNTIF(QuestObjectives!A:A,A588)&gt;0</f>
        <v>0</v>
      </c>
      <c r="H588" s="64" t="b">
        <f>COUNTIF(QuestObjectives!E:E,A588)&gt;0</f>
        <v>0</v>
      </c>
      <c r="I588" s="64" t="b">
        <f>COUNTIF(TargetStatus!A:A,A588)&gt;0</f>
        <v>1</v>
      </c>
      <c r="J588" s="64" t="b">
        <f>COUNTIF(CostStatus!B:B,A588)&gt;0</f>
        <v>1</v>
      </c>
      <c r="K588" s="64" t="b">
        <f>COUNTIF(States!A:A,A588)&gt;0</f>
        <v>0</v>
      </c>
      <c r="L588" s="64" t="b">
        <f t="shared" si="2"/>
        <v>1</v>
      </c>
      <c r="M588" s="64" t="b">
        <f>IF(A588="","",COUNTIF(Targets!A:A,A588)&gt;1)</f>
        <v>0</v>
      </c>
      <c r="N588" s="64" t="b">
        <f>IF(A588="","",COUNTIF(States!A:A,A588)&gt;1)</f>
        <v>0</v>
      </c>
      <c r="O588" s="64" t="b">
        <f>IFERROR(__xludf.DUMMYFUNCTION("IF(
 B588="""",
 """",
 SWITCH(
  B588,
  ""BUILDING"",COUNTIF(Buildings!A:A,A588)&gt;0,
  ""CITADEL"",COUNTIF(Citadel!A:A,A588)&gt;0,
  ""COLLECTION"",COUNTIF(Collections!A:A,A588)&gt;0,
  ""CRAFTIFACT"",COUNTIF(Craftifacts!A:A,A588)&gt;0,
  ""QUEST"",
   COUNTIF(
 "&amp;"   Quests!A:A,
    REGEXREPLACE(A588,""\.(accepted|finished)$"","""")
   )&gt;0,
  ""TECH"",COUNTIF(Technologies!A:A,A588)&gt;0,
  ""STATE"",COUNTIF(States!A:A,A588)&gt;0,
  FALSE
 )
)"),TRUE)</f>
        <v>1</v>
      </c>
      <c r="P588" s="64" t="str">
        <f t="shared" si="3"/>
        <v>Good</v>
      </c>
      <c r="Q588" s="65"/>
      <c r="R588" s="65"/>
      <c r="S588" s="65"/>
      <c r="T588" s="65"/>
      <c r="U588" s="6"/>
      <c r="V588" s="6" t="str">
        <f>IFERROR(__xludf.DUMMYFUNCTION("""COMPUTED_VALUE"""),"tech.smithy.treasure")</f>
        <v>tech.smithy.treasure</v>
      </c>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row>
    <row r="589" ht="14.25" customHeight="1">
      <c r="A589" s="26" t="str">
        <f t="shared" si="1"/>
        <v>tech.smithy.weapon_grease</v>
      </c>
      <c r="B589" s="26" t="str">
        <f t="array" ref="B589">_xlfn.XLOOKUP(A589,Targets!A:A,Targets!C:C,"")</f>
        <v>TECH</v>
      </c>
      <c r="C589" s="64" t="b">
        <f>COUNTIF(Targets!A:A,A589)&gt;0</f>
        <v>1</v>
      </c>
      <c r="D589" s="64" t="b">
        <f>IF(
 OR(
  LEFT(A589,15)="state.character",
  RIGHT(A589,6)=".maxed"
 ),
 TRUE,
 COUNTIF(Checklist!A:A,A589)&gt;0
)</f>
        <v>1</v>
      </c>
      <c r="E589" s="64" t="b">
        <f>IF(
 OR(
  LEFT(A589,15)="state.character",
  RIGHT(A589,6)=".maxed",
  A589="building.guild@1",
  A589="quest.build_the_guild.accepted",
  A589="quest.build_the_pagoda.accepted"
 ),
 TRUE,
 COUNTIF(Dependencies!A:A,A589)&gt;0
)</f>
        <v>1</v>
      </c>
      <c r="F589" s="64" t="b">
        <f>COUNTIF(Dependencies!B:B,A589)&gt;0</f>
        <v>0</v>
      </c>
      <c r="G589" s="64" t="b">
        <f>COUNTIF(QuestObjectives!A:A,A589)&gt;0</f>
        <v>0</v>
      </c>
      <c r="H589" s="64" t="b">
        <f>COUNTIF(QuestObjectives!E:E,A589)&gt;0</f>
        <v>0</v>
      </c>
      <c r="I589" s="64" t="b">
        <f>COUNTIF(TargetStatus!A:A,A589)&gt;0</f>
        <v>1</v>
      </c>
      <c r="J589" s="64" t="b">
        <f>COUNTIF(CostStatus!B:B,A589)&gt;0</f>
        <v>1</v>
      </c>
      <c r="K589" s="64" t="b">
        <f>COUNTIF(States!A:A,A589)&gt;0</f>
        <v>0</v>
      </c>
      <c r="L589" s="64" t="b">
        <f t="shared" si="2"/>
        <v>1</v>
      </c>
      <c r="M589" s="64" t="b">
        <f>IF(A589="","",COUNTIF(Targets!A:A,A589)&gt;1)</f>
        <v>0</v>
      </c>
      <c r="N589" s="64" t="b">
        <f>IF(A589="","",COUNTIF(States!A:A,A589)&gt;1)</f>
        <v>0</v>
      </c>
      <c r="O589" s="64" t="b">
        <f>IFERROR(__xludf.DUMMYFUNCTION("IF(
 B589="""",
 """",
 SWITCH(
  B589,
  ""BUILDING"",COUNTIF(Buildings!A:A,A589)&gt;0,
  ""CITADEL"",COUNTIF(Citadel!A:A,A589)&gt;0,
  ""COLLECTION"",COUNTIF(Collections!A:A,A589)&gt;0,
  ""CRAFTIFACT"",COUNTIF(Craftifacts!A:A,A589)&gt;0,
  ""QUEST"",
   COUNTIF(
 "&amp;"   Quests!A:A,
    REGEXREPLACE(A589,""\.(accepted|finished)$"","""")
   )&gt;0,
  ""TECH"",COUNTIF(Technologies!A:A,A589)&gt;0,
  ""STATE"",COUNTIF(States!A:A,A589)&gt;0,
  FALSE
 )
)"),TRUE)</f>
        <v>1</v>
      </c>
      <c r="P589" s="64" t="str">
        <f t="shared" si="3"/>
        <v>Good</v>
      </c>
      <c r="Q589" s="65"/>
      <c r="R589" s="65"/>
      <c r="S589" s="65"/>
      <c r="T589" s="65"/>
      <c r="U589" s="6"/>
      <c r="V589" s="6" t="str">
        <f>IFERROR(__xludf.DUMMYFUNCTION("""COMPUTED_VALUE"""),"tech.smithy.weapon_grease")</f>
        <v>tech.smithy.weapon_grease</v>
      </c>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row>
    <row r="590" ht="14.25" customHeight="1">
      <c r="A590" s="26" t="str">
        <f t="shared" si="1"/>
        <v>tech.tailor.ariadnes_thread</v>
      </c>
      <c r="B590" s="26" t="str">
        <f t="array" ref="B590">_xlfn.XLOOKUP(A590,Targets!A:A,Targets!C:C,"")</f>
        <v>TECH</v>
      </c>
      <c r="C590" s="64" t="b">
        <f>COUNTIF(Targets!A:A,A590)&gt;0</f>
        <v>1</v>
      </c>
      <c r="D590" s="64" t="b">
        <f>IF(
 OR(
  LEFT(A590,15)="state.character",
  RIGHT(A590,6)=".maxed"
 ),
 TRUE,
 COUNTIF(Checklist!A:A,A590)&gt;0
)</f>
        <v>1</v>
      </c>
      <c r="E590" s="64" t="b">
        <f>IF(
 OR(
  LEFT(A590,15)="state.character",
  RIGHT(A590,6)=".maxed",
  A590="building.guild@1",
  A590="quest.build_the_guild.accepted",
  A590="quest.build_the_pagoda.accepted"
 ),
 TRUE,
 COUNTIF(Dependencies!A:A,A590)&gt;0
)</f>
        <v>1</v>
      </c>
      <c r="F590" s="64" t="b">
        <f>COUNTIF(Dependencies!B:B,A590)&gt;0</f>
        <v>0</v>
      </c>
      <c r="G590" s="64" t="b">
        <f>COUNTIF(QuestObjectives!A:A,A590)&gt;0</f>
        <v>0</v>
      </c>
      <c r="H590" s="64" t="b">
        <f>COUNTIF(QuestObjectives!E:E,A590)&gt;0</f>
        <v>0</v>
      </c>
      <c r="I590" s="64" t="b">
        <f>COUNTIF(TargetStatus!A:A,A590)&gt;0</f>
        <v>1</v>
      </c>
      <c r="J590" s="64" t="b">
        <f>COUNTIF(CostStatus!B:B,A590)&gt;0</f>
        <v>1</v>
      </c>
      <c r="K590" s="64" t="b">
        <f>COUNTIF(States!A:A,A590)&gt;0</f>
        <v>0</v>
      </c>
      <c r="L590" s="64" t="b">
        <f t="shared" si="2"/>
        <v>1</v>
      </c>
      <c r="M590" s="64" t="b">
        <f>IF(A590="","",COUNTIF(Targets!A:A,A590)&gt;1)</f>
        <v>0</v>
      </c>
      <c r="N590" s="64" t="b">
        <f>IF(A590="","",COUNTIF(States!A:A,A590)&gt;1)</f>
        <v>0</v>
      </c>
      <c r="O590" s="64" t="b">
        <f>IFERROR(__xludf.DUMMYFUNCTION("IF(
 B590="""",
 """",
 SWITCH(
  B590,
  ""BUILDING"",COUNTIF(Buildings!A:A,A590)&gt;0,
  ""CITADEL"",COUNTIF(Citadel!A:A,A590)&gt;0,
  ""COLLECTION"",COUNTIF(Collections!A:A,A590)&gt;0,
  ""CRAFTIFACT"",COUNTIF(Craftifacts!A:A,A590)&gt;0,
  ""QUEST"",
   COUNTIF(
 "&amp;"   Quests!A:A,
    REGEXREPLACE(A590,""\.(accepted|finished)$"","""")
   )&gt;0,
  ""TECH"",COUNTIF(Technologies!A:A,A590)&gt;0,
  ""STATE"",COUNTIF(States!A:A,A590)&gt;0,
  FALSE
 )
)"),TRUE)</f>
        <v>1</v>
      </c>
      <c r="P590" s="64" t="str">
        <f t="shared" si="3"/>
        <v>Good</v>
      </c>
      <c r="Q590" s="65"/>
      <c r="R590" s="65"/>
      <c r="S590" s="65"/>
      <c r="T590" s="65"/>
      <c r="U590" s="6"/>
      <c r="V590" s="6" t="str">
        <f>IFERROR(__xludf.DUMMYFUNCTION("""COMPUTED_VALUE"""),"tech.tailor.ariadnes_thread")</f>
        <v>tech.tailor.ariadnes_thread</v>
      </c>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row>
    <row r="591" ht="14.25" customHeight="1">
      <c r="A591" s="26" t="str">
        <f t="shared" si="1"/>
        <v>tech.tailor.armor_for_a_hero_lvl_1</v>
      </c>
      <c r="B591" s="26" t="str">
        <f t="array" ref="B591">_xlfn.XLOOKUP(A591,Targets!A:A,Targets!C:C,"")</f>
        <v>TECH</v>
      </c>
      <c r="C591" s="64" t="b">
        <f>COUNTIF(Targets!A:A,A591)&gt;0</f>
        <v>1</v>
      </c>
      <c r="D591" s="64" t="b">
        <f>IF(
 OR(
  LEFT(A591,15)="state.character",
  RIGHT(A591,6)=".maxed"
 ),
 TRUE,
 COUNTIF(Checklist!A:A,A591)&gt;0
)</f>
        <v>1</v>
      </c>
      <c r="E591" s="64" t="b">
        <f>IF(
 OR(
  LEFT(A591,15)="state.character",
  RIGHT(A591,6)=".maxed",
  A591="building.guild@1",
  A591="quest.build_the_guild.accepted",
  A591="quest.build_the_pagoda.accepted"
 ),
 TRUE,
 COUNTIF(Dependencies!A:A,A591)&gt;0
)</f>
        <v>1</v>
      </c>
      <c r="F591" s="64" t="b">
        <f>COUNTIF(Dependencies!B:B,A591)&gt;0</f>
        <v>1</v>
      </c>
      <c r="G591" s="64" t="b">
        <f>COUNTIF(QuestObjectives!A:A,A591)&gt;0</f>
        <v>0</v>
      </c>
      <c r="H591" s="64" t="b">
        <f>COUNTIF(QuestObjectives!E:E,A591)&gt;0</f>
        <v>0</v>
      </c>
      <c r="I591" s="64" t="b">
        <f>COUNTIF(TargetStatus!A:A,A591)&gt;0</f>
        <v>1</v>
      </c>
      <c r="J591" s="64" t="b">
        <f>COUNTIF(CostStatus!B:B,A591)&gt;0</f>
        <v>1</v>
      </c>
      <c r="K591" s="64" t="b">
        <f>COUNTIF(States!A:A,A591)&gt;0</f>
        <v>0</v>
      </c>
      <c r="L591" s="64" t="b">
        <f t="shared" si="2"/>
        <v>1</v>
      </c>
      <c r="M591" s="64" t="b">
        <f>IF(A591="","",COUNTIF(Targets!A:A,A591)&gt;1)</f>
        <v>0</v>
      </c>
      <c r="N591" s="64" t="b">
        <f>IF(A591="","",COUNTIF(States!A:A,A591)&gt;1)</f>
        <v>0</v>
      </c>
      <c r="O591" s="64" t="b">
        <f>IFERROR(__xludf.DUMMYFUNCTION("IF(
 B591="""",
 """",
 SWITCH(
  B591,
  ""BUILDING"",COUNTIF(Buildings!A:A,A591)&gt;0,
  ""CITADEL"",COUNTIF(Citadel!A:A,A591)&gt;0,
  ""COLLECTION"",COUNTIF(Collections!A:A,A591)&gt;0,
  ""CRAFTIFACT"",COUNTIF(Craftifacts!A:A,A591)&gt;0,
  ""QUEST"",
   COUNTIF(
 "&amp;"   Quests!A:A,
    REGEXREPLACE(A591,""\.(accepted|finished)$"","""")
   )&gt;0,
  ""TECH"",COUNTIF(Technologies!A:A,A591)&gt;0,
  ""STATE"",COUNTIF(States!A:A,A591)&gt;0,
  FALSE
 )
)"),TRUE)</f>
        <v>1</v>
      </c>
      <c r="P591" s="64" t="str">
        <f t="shared" si="3"/>
        <v>Good</v>
      </c>
      <c r="Q591" s="65"/>
      <c r="R591" s="65"/>
      <c r="S591" s="65"/>
      <c r="T591" s="65"/>
      <c r="U591" s="6"/>
      <c r="V591" s="6" t="str">
        <f>IFERROR(__xludf.DUMMYFUNCTION("""COMPUTED_VALUE"""),"tech.tailor.armor_for_a_hero_lvl_1")</f>
        <v>tech.tailor.armor_for_a_hero_lvl_1</v>
      </c>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row>
    <row r="592" ht="14.25" customHeight="1">
      <c r="A592" s="26" t="str">
        <f t="shared" si="1"/>
        <v>tech.tailor.armor_for_a_hero_lvl_2</v>
      </c>
      <c r="B592" s="26" t="str">
        <f t="array" ref="B592">_xlfn.XLOOKUP(A592,Targets!A:A,Targets!C:C,"")</f>
        <v>TECH</v>
      </c>
      <c r="C592" s="64" t="b">
        <f>COUNTIF(Targets!A:A,A592)&gt;0</f>
        <v>1</v>
      </c>
      <c r="D592" s="64" t="b">
        <f>IF(
 OR(
  LEFT(A592,15)="state.character",
  RIGHT(A592,6)=".maxed"
 ),
 TRUE,
 COUNTIF(Checklist!A:A,A592)&gt;0
)</f>
        <v>1</v>
      </c>
      <c r="E592" s="64" t="b">
        <f>IF(
 OR(
  LEFT(A592,15)="state.character",
  RIGHT(A592,6)=".maxed",
  A592="building.guild@1",
  A592="quest.build_the_guild.accepted",
  A592="quest.build_the_pagoda.accepted"
 ),
 TRUE,
 COUNTIF(Dependencies!A:A,A592)&gt;0
)</f>
        <v>1</v>
      </c>
      <c r="F592" s="64" t="b">
        <f>COUNTIF(Dependencies!B:B,A592)&gt;0</f>
        <v>1</v>
      </c>
      <c r="G592" s="64" t="b">
        <f>COUNTIF(QuestObjectives!A:A,A592)&gt;0</f>
        <v>0</v>
      </c>
      <c r="H592" s="64" t="b">
        <f>COUNTIF(QuestObjectives!E:E,A592)&gt;0</f>
        <v>0</v>
      </c>
      <c r="I592" s="64" t="b">
        <f>COUNTIF(TargetStatus!A:A,A592)&gt;0</f>
        <v>1</v>
      </c>
      <c r="J592" s="64" t="b">
        <f>COUNTIF(CostStatus!B:B,A592)&gt;0</f>
        <v>1</v>
      </c>
      <c r="K592" s="64" t="b">
        <f>COUNTIF(States!A:A,A592)&gt;0</f>
        <v>0</v>
      </c>
      <c r="L592" s="64" t="b">
        <f t="shared" si="2"/>
        <v>1</v>
      </c>
      <c r="M592" s="64" t="b">
        <f>IF(A592="","",COUNTIF(Targets!A:A,A592)&gt;1)</f>
        <v>0</v>
      </c>
      <c r="N592" s="64" t="b">
        <f>IF(A592="","",COUNTIF(States!A:A,A592)&gt;1)</f>
        <v>0</v>
      </c>
      <c r="O592" s="64" t="b">
        <f>IFERROR(__xludf.DUMMYFUNCTION("IF(
 B592="""",
 """",
 SWITCH(
  B592,
  ""BUILDING"",COUNTIF(Buildings!A:A,A592)&gt;0,
  ""CITADEL"",COUNTIF(Citadel!A:A,A592)&gt;0,
  ""COLLECTION"",COUNTIF(Collections!A:A,A592)&gt;0,
  ""CRAFTIFACT"",COUNTIF(Craftifacts!A:A,A592)&gt;0,
  ""QUEST"",
   COUNTIF(
 "&amp;"   Quests!A:A,
    REGEXREPLACE(A592,""\.(accepted|finished)$"","""")
   )&gt;0,
  ""TECH"",COUNTIF(Technologies!A:A,A592)&gt;0,
  ""STATE"",COUNTIF(States!A:A,A592)&gt;0,
  FALSE
 )
)"),TRUE)</f>
        <v>1</v>
      </c>
      <c r="P592" s="64" t="str">
        <f t="shared" si="3"/>
        <v>Good</v>
      </c>
      <c r="Q592" s="65"/>
      <c r="R592" s="65"/>
      <c r="S592" s="65"/>
      <c r="T592" s="65"/>
      <c r="U592" s="6"/>
      <c r="V592" s="6" t="str">
        <f>IFERROR(__xludf.DUMMYFUNCTION("""COMPUTED_VALUE"""),"tech.tailor.armor_for_a_hero_lvl_2")</f>
        <v>tech.tailor.armor_for_a_hero_lvl_2</v>
      </c>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row>
    <row r="593" ht="14.25" customHeight="1">
      <c r="A593" s="26" t="str">
        <f t="shared" si="1"/>
        <v>tech.tailor.armor_for_a_hero_lvl_3</v>
      </c>
      <c r="B593" s="26" t="str">
        <f t="array" ref="B593">_xlfn.XLOOKUP(A593,Targets!A:A,Targets!C:C,"")</f>
        <v>TECH</v>
      </c>
      <c r="C593" s="64" t="b">
        <f>COUNTIF(Targets!A:A,A593)&gt;0</f>
        <v>1</v>
      </c>
      <c r="D593" s="64" t="b">
        <f>IF(
 OR(
  LEFT(A593,15)="state.character",
  RIGHT(A593,6)=".maxed"
 ),
 TRUE,
 COUNTIF(Checklist!A:A,A593)&gt;0
)</f>
        <v>1</v>
      </c>
      <c r="E593" s="64" t="b">
        <f>IF(
 OR(
  LEFT(A593,15)="state.character",
  RIGHT(A593,6)=".maxed",
  A593="building.guild@1",
  A593="quest.build_the_guild.accepted",
  A593="quest.build_the_pagoda.accepted"
 ),
 TRUE,
 COUNTIF(Dependencies!A:A,A593)&gt;0
)</f>
        <v>1</v>
      </c>
      <c r="F593" s="64" t="b">
        <f>COUNTIF(Dependencies!B:B,A593)&gt;0</f>
        <v>0</v>
      </c>
      <c r="G593" s="64" t="b">
        <f>COUNTIF(QuestObjectives!A:A,A593)&gt;0</f>
        <v>0</v>
      </c>
      <c r="H593" s="64" t="b">
        <f>COUNTIF(QuestObjectives!E:E,A593)&gt;0</f>
        <v>0</v>
      </c>
      <c r="I593" s="64" t="b">
        <f>COUNTIF(TargetStatus!A:A,A593)&gt;0</f>
        <v>1</v>
      </c>
      <c r="J593" s="64" t="b">
        <f>COUNTIF(CostStatus!B:B,A593)&gt;0</f>
        <v>1</v>
      </c>
      <c r="K593" s="64" t="b">
        <f>COUNTIF(States!A:A,A593)&gt;0</f>
        <v>0</v>
      </c>
      <c r="L593" s="64" t="b">
        <f t="shared" si="2"/>
        <v>1</v>
      </c>
      <c r="M593" s="64" t="b">
        <f>IF(A593="","",COUNTIF(Targets!A:A,A593)&gt;1)</f>
        <v>0</v>
      </c>
      <c r="N593" s="64" t="b">
        <f>IF(A593="","",COUNTIF(States!A:A,A593)&gt;1)</f>
        <v>0</v>
      </c>
      <c r="O593" s="64" t="b">
        <f>IFERROR(__xludf.DUMMYFUNCTION("IF(
 B593="""",
 """",
 SWITCH(
  B593,
  ""BUILDING"",COUNTIF(Buildings!A:A,A593)&gt;0,
  ""CITADEL"",COUNTIF(Citadel!A:A,A593)&gt;0,
  ""COLLECTION"",COUNTIF(Collections!A:A,A593)&gt;0,
  ""CRAFTIFACT"",COUNTIF(Craftifacts!A:A,A593)&gt;0,
  ""QUEST"",
   COUNTIF(
 "&amp;"   Quests!A:A,
    REGEXREPLACE(A593,""\.(accepted|finished)$"","""")
   )&gt;0,
  ""TECH"",COUNTIF(Technologies!A:A,A593)&gt;0,
  ""STATE"",COUNTIF(States!A:A,A593)&gt;0,
  FALSE
 )
)"),TRUE)</f>
        <v>1</v>
      </c>
      <c r="P593" s="64" t="str">
        <f t="shared" si="3"/>
        <v>Good</v>
      </c>
      <c r="Q593" s="65"/>
      <c r="R593" s="65"/>
      <c r="S593" s="65"/>
      <c r="T593" s="65"/>
      <c r="U593" s="6"/>
      <c r="V593" s="6" t="str">
        <f>IFERROR(__xludf.DUMMYFUNCTION("""COMPUTED_VALUE"""),"tech.tailor.armor_for_a_hero_lvl_3")</f>
        <v>tech.tailor.armor_for_a_hero_lvl_3</v>
      </c>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row>
    <row r="594" ht="14.25" customHeight="1">
      <c r="A594" s="26" t="str">
        <f t="shared" si="1"/>
        <v>tech.tailor.armor_for_a_hero_lvl_4</v>
      </c>
      <c r="B594" s="26" t="str">
        <f t="array" ref="B594">_xlfn.XLOOKUP(A594,Targets!A:A,Targets!C:C,"")</f>
        <v>TECH</v>
      </c>
      <c r="C594" s="64" t="b">
        <f>COUNTIF(Targets!A:A,A594)&gt;0</f>
        <v>1</v>
      </c>
      <c r="D594" s="64" t="b">
        <f>IF(
 OR(
  LEFT(A594,15)="state.character",
  RIGHT(A594,6)=".maxed"
 ),
 TRUE,
 COUNTIF(Checklist!A:A,A594)&gt;0
)</f>
        <v>1</v>
      </c>
      <c r="E594" s="64" t="b">
        <f>IF(
 OR(
  LEFT(A594,15)="state.character",
  RIGHT(A594,6)=".maxed",
  A594="building.guild@1",
  A594="quest.build_the_guild.accepted",
  A594="quest.build_the_pagoda.accepted"
 ),
 TRUE,
 COUNTIF(Dependencies!A:A,A594)&gt;0
)</f>
        <v>1</v>
      </c>
      <c r="F594" s="64" t="b">
        <f>COUNTIF(Dependencies!B:B,A594)&gt;0</f>
        <v>1</v>
      </c>
      <c r="G594" s="64" t="b">
        <f>COUNTIF(QuestObjectives!A:A,A594)&gt;0</f>
        <v>0</v>
      </c>
      <c r="H594" s="64" t="b">
        <f>COUNTIF(QuestObjectives!E:E,A594)&gt;0</f>
        <v>1</v>
      </c>
      <c r="I594" s="64" t="b">
        <f>COUNTIF(TargetStatus!A:A,A594)&gt;0</f>
        <v>1</v>
      </c>
      <c r="J594" s="64" t="b">
        <f>COUNTIF(CostStatus!B:B,A594)&gt;0</f>
        <v>1</v>
      </c>
      <c r="K594" s="64" t="b">
        <f>COUNTIF(States!A:A,A594)&gt;0</f>
        <v>0</v>
      </c>
      <c r="L594" s="64" t="b">
        <f t="shared" si="2"/>
        <v>1</v>
      </c>
      <c r="M594" s="64" t="b">
        <f>IF(A594="","",COUNTIF(Targets!A:A,A594)&gt;1)</f>
        <v>0</v>
      </c>
      <c r="N594" s="64" t="b">
        <f>IF(A594="","",COUNTIF(States!A:A,A594)&gt;1)</f>
        <v>0</v>
      </c>
      <c r="O594" s="64" t="b">
        <f>IFERROR(__xludf.DUMMYFUNCTION("IF(
 B594="""",
 """",
 SWITCH(
  B594,
  ""BUILDING"",COUNTIF(Buildings!A:A,A594)&gt;0,
  ""CITADEL"",COUNTIF(Citadel!A:A,A594)&gt;0,
  ""COLLECTION"",COUNTIF(Collections!A:A,A594)&gt;0,
  ""CRAFTIFACT"",COUNTIF(Craftifacts!A:A,A594)&gt;0,
  ""QUEST"",
   COUNTIF(
 "&amp;"   Quests!A:A,
    REGEXREPLACE(A594,""\.(accepted|finished)$"","""")
   )&gt;0,
  ""TECH"",COUNTIF(Technologies!A:A,A594)&gt;0,
  ""STATE"",COUNTIF(States!A:A,A594)&gt;0,
  FALSE
 )
)"),TRUE)</f>
        <v>1</v>
      </c>
      <c r="P594" s="64" t="str">
        <f t="shared" si="3"/>
        <v>Good</v>
      </c>
      <c r="Q594" s="65"/>
      <c r="R594" s="65"/>
      <c r="S594" s="65"/>
      <c r="T594" s="65"/>
      <c r="U594" s="6"/>
      <c r="V594" s="6" t="str">
        <f>IFERROR(__xludf.DUMMYFUNCTION("""COMPUTED_VALUE"""),"tech.tailor.armor_for_a_hero_lvl_4")</f>
        <v>tech.tailor.armor_for_a_hero_lvl_4</v>
      </c>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row>
    <row r="595" ht="14.25" customHeight="1">
      <c r="A595" s="26" t="str">
        <f t="shared" si="1"/>
        <v>tech.tailor.armor_for_a_hero_lvl_4+</v>
      </c>
      <c r="B595" s="26" t="str">
        <f t="array" ref="B595">_xlfn.XLOOKUP(A595,Targets!A:A,Targets!C:C,"")</f>
        <v>TECH</v>
      </c>
      <c r="C595" s="64" t="b">
        <f>COUNTIF(Targets!A:A,A595)&gt;0</f>
        <v>1</v>
      </c>
      <c r="D595" s="64" t="b">
        <f>IF(
 OR(
  LEFT(A595,15)="state.character",
  RIGHT(A595,6)=".maxed"
 ),
 TRUE,
 COUNTIF(Checklist!A:A,A595)&gt;0
)</f>
        <v>1</v>
      </c>
      <c r="E595" s="64" t="b">
        <f>IF(
 OR(
  LEFT(A595,15)="state.character",
  RIGHT(A595,6)=".maxed",
  A595="building.guild@1",
  A595="quest.build_the_guild.accepted",
  A595="quest.build_the_pagoda.accepted"
 ),
 TRUE,
 COUNTIF(Dependencies!A:A,A595)&gt;0
)</f>
        <v>1</v>
      </c>
      <c r="F595" s="64" t="b">
        <f>COUNTIF(Dependencies!B:B,A595)&gt;0</f>
        <v>1</v>
      </c>
      <c r="G595" s="64" t="b">
        <f>COUNTIF(QuestObjectives!A:A,A595)&gt;0</f>
        <v>0</v>
      </c>
      <c r="H595" s="64" t="b">
        <f>COUNTIF(QuestObjectives!E:E,A595)&gt;0</f>
        <v>0</v>
      </c>
      <c r="I595" s="64" t="b">
        <f>COUNTIF(TargetStatus!A:A,A595)&gt;0</f>
        <v>1</v>
      </c>
      <c r="J595" s="64" t="b">
        <f>COUNTIF(CostStatus!B:B,A595)&gt;0</f>
        <v>1</v>
      </c>
      <c r="K595" s="64" t="b">
        <f>COUNTIF(States!A:A,A595)&gt;0</f>
        <v>0</v>
      </c>
      <c r="L595" s="64" t="b">
        <f t="shared" si="2"/>
        <v>1</v>
      </c>
      <c r="M595" s="64" t="b">
        <f>IF(A595="","",COUNTIF(Targets!A:A,A595)&gt;1)</f>
        <v>0</v>
      </c>
      <c r="N595" s="64" t="b">
        <f>IF(A595="","",COUNTIF(States!A:A,A595)&gt;1)</f>
        <v>0</v>
      </c>
      <c r="O595" s="64" t="b">
        <f>IFERROR(__xludf.DUMMYFUNCTION("IF(
 B595="""",
 """",
 SWITCH(
  B595,
  ""BUILDING"",COUNTIF(Buildings!A:A,A595)&gt;0,
  ""CITADEL"",COUNTIF(Citadel!A:A,A595)&gt;0,
  ""COLLECTION"",COUNTIF(Collections!A:A,A595)&gt;0,
  ""CRAFTIFACT"",COUNTIF(Craftifacts!A:A,A595)&gt;0,
  ""QUEST"",
   COUNTIF(
 "&amp;"   Quests!A:A,
    REGEXREPLACE(A595,""\.(accepted|finished)$"","""")
   )&gt;0,
  ""TECH"",COUNTIF(Technologies!A:A,A595)&gt;0,
  ""STATE"",COUNTIF(States!A:A,A595)&gt;0,
  FALSE
 )
)"),TRUE)</f>
        <v>1</v>
      </c>
      <c r="P595" s="64" t="str">
        <f t="shared" si="3"/>
        <v>Good</v>
      </c>
      <c r="Q595" s="65"/>
      <c r="R595" s="65"/>
      <c r="S595" s="65"/>
      <c r="T595" s="65"/>
      <c r="U595" s="6"/>
      <c r="V595" s="6" t="str">
        <f>IFERROR(__xludf.DUMMYFUNCTION("""COMPUTED_VALUE"""),"tech.tailor.armor_for_a_hero_lvl_4+")</f>
        <v>tech.tailor.armor_for_a_hero_lvl_4+</v>
      </c>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row>
    <row r="596" ht="14.25" customHeight="1">
      <c r="A596" s="26" t="str">
        <f t="shared" si="1"/>
        <v>tech.tailor.bedroll</v>
      </c>
      <c r="B596" s="26" t="str">
        <f t="array" ref="B596">_xlfn.XLOOKUP(A596,Targets!A:A,Targets!C:C,"")</f>
        <v>TECH</v>
      </c>
      <c r="C596" s="64" t="b">
        <f>COUNTIF(Targets!A:A,A596)&gt;0</f>
        <v>1</v>
      </c>
      <c r="D596" s="64" t="b">
        <f>IF(
 OR(
  LEFT(A596,15)="state.character",
  RIGHT(A596,6)=".maxed"
 ),
 TRUE,
 COUNTIF(Checklist!A:A,A596)&gt;0
)</f>
        <v>1</v>
      </c>
      <c r="E596" s="64" t="b">
        <f>IF(
 OR(
  LEFT(A596,15)="state.character",
  RIGHT(A596,6)=".maxed",
  A596="building.guild@1",
  A596="quest.build_the_guild.accepted",
  A596="quest.build_the_pagoda.accepted"
 ),
 TRUE,
 COUNTIF(Dependencies!A:A,A596)&gt;0
)</f>
        <v>1</v>
      </c>
      <c r="F596" s="64" t="b">
        <f>COUNTIF(Dependencies!B:B,A596)&gt;0</f>
        <v>0</v>
      </c>
      <c r="G596" s="64" t="b">
        <f>COUNTIF(QuestObjectives!A:A,A596)&gt;0</f>
        <v>0</v>
      </c>
      <c r="H596" s="64" t="b">
        <f>COUNTIF(QuestObjectives!E:E,A596)&gt;0</f>
        <v>0</v>
      </c>
      <c r="I596" s="64" t="b">
        <f>COUNTIF(TargetStatus!A:A,A596)&gt;0</f>
        <v>1</v>
      </c>
      <c r="J596" s="64" t="b">
        <f>COUNTIF(CostStatus!B:B,A596)&gt;0</f>
        <v>1</v>
      </c>
      <c r="K596" s="64" t="b">
        <f>COUNTIF(States!A:A,A596)&gt;0</f>
        <v>0</v>
      </c>
      <c r="L596" s="64" t="b">
        <f t="shared" si="2"/>
        <v>1</v>
      </c>
      <c r="M596" s="64" t="b">
        <f>IF(A596="","",COUNTIF(Targets!A:A,A596)&gt;1)</f>
        <v>0</v>
      </c>
      <c r="N596" s="64" t="b">
        <f>IF(A596="","",COUNTIF(States!A:A,A596)&gt;1)</f>
        <v>0</v>
      </c>
      <c r="O596" s="64" t="b">
        <f>IFERROR(__xludf.DUMMYFUNCTION("IF(
 B596="""",
 """",
 SWITCH(
  B596,
  ""BUILDING"",COUNTIF(Buildings!A:A,A596)&gt;0,
  ""CITADEL"",COUNTIF(Citadel!A:A,A596)&gt;0,
  ""COLLECTION"",COUNTIF(Collections!A:A,A596)&gt;0,
  ""CRAFTIFACT"",COUNTIF(Craftifacts!A:A,A596)&gt;0,
  ""QUEST"",
   COUNTIF(
 "&amp;"   Quests!A:A,
    REGEXREPLACE(A596,""\.(accepted|finished)$"","""")
   )&gt;0,
  ""TECH"",COUNTIF(Technologies!A:A,A596)&gt;0,
  ""STATE"",COUNTIF(States!A:A,A596)&gt;0,
  FALSE
 )
)"),TRUE)</f>
        <v>1</v>
      </c>
      <c r="P596" s="64" t="str">
        <f t="shared" si="3"/>
        <v>Good</v>
      </c>
      <c r="Q596" s="65"/>
      <c r="R596" s="65"/>
      <c r="S596" s="65"/>
      <c r="T596" s="65"/>
      <c r="U596" s="6"/>
      <c r="V596" s="6" t="str">
        <f>IFERROR(__xludf.DUMMYFUNCTION("""COMPUTED_VALUE"""),"tech.tailor.bedroll")</f>
        <v>tech.tailor.bedroll</v>
      </c>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row>
    <row r="597" ht="14.25" customHeight="1">
      <c r="A597" s="26" t="str">
        <f t="shared" si="1"/>
        <v>tech.tailor.colored_threads</v>
      </c>
      <c r="B597" s="26" t="str">
        <f t="array" ref="B597">_xlfn.XLOOKUP(A597,Targets!A:A,Targets!C:C,"")</f>
        <v>TECH</v>
      </c>
      <c r="C597" s="64" t="b">
        <f>COUNTIF(Targets!A:A,A597)&gt;0</f>
        <v>1</v>
      </c>
      <c r="D597" s="64" t="b">
        <f>IF(
 OR(
  LEFT(A597,15)="state.character",
  RIGHT(A597,6)=".maxed"
 ),
 TRUE,
 COUNTIF(Checklist!A:A,A597)&gt;0
)</f>
        <v>1</v>
      </c>
      <c r="E597" s="64" t="b">
        <f>IF(
 OR(
  LEFT(A597,15)="state.character",
  RIGHT(A597,6)=".maxed",
  A597="building.guild@1",
  A597="quest.build_the_guild.accepted",
  A597="quest.build_the_pagoda.accepted"
 ),
 TRUE,
 COUNTIF(Dependencies!A:A,A597)&gt;0
)</f>
        <v>1</v>
      </c>
      <c r="F597" s="64" t="b">
        <f>COUNTIF(Dependencies!B:B,A597)&gt;0</f>
        <v>0</v>
      </c>
      <c r="G597" s="64" t="b">
        <f>COUNTIF(QuestObjectives!A:A,A597)&gt;0</f>
        <v>0</v>
      </c>
      <c r="H597" s="64" t="b">
        <f>COUNTIF(QuestObjectives!E:E,A597)&gt;0</f>
        <v>0</v>
      </c>
      <c r="I597" s="64" t="b">
        <f>COUNTIF(TargetStatus!A:A,A597)&gt;0</f>
        <v>1</v>
      </c>
      <c r="J597" s="64" t="b">
        <f>COUNTIF(CostStatus!B:B,A597)&gt;0</f>
        <v>1</v>
      </c>
      <c r="K597" s="64" t="b">
        <f>COUNTIF(States!A:A,A597)&gt;0</f>
        <v>0</v>
      </c>
      <c r="L597" s="64" t="b">
        <f t="shared" si="2"/>
        <v>1</v>
      </c>
      <c r="M597" s="64" t="b">
        <f>IF(A597="","",COUNTIF(Targets!A:A,A597)&gt;1)</f>
        <v>0</v>
      </c>
      <c r="N597" s="64" t="b">
        <f>IF(A597="","",COUNTIF(States!A:A,A597)&gt;1)</f>
        <v>0</v>
      </c>
      <c r="O597" s="64" t="b">
        <f>IFERROR(__xludf.DUMMYFUNCTION("IF(
 B597="""",
 """",
 SWITCH(
  B597,
  ""BUILDING"",COUNTIF(Buildings!A:A,A597)&gt;0,
  ""CITADEL"",COUNTIF(Citadel!A:A,A597)&gt;0,
  ""COLLECTION"",COUNTIF(Collections!A:A,A597)&gt;0,
  ""CRAFTIFACT"",COUNTIF(Craftifacts!A:A,A597)&gt;0,
  ""QUEST"",
   COUNTIF(
 "&amp;"   Quests!A:A,
    REGEXREPLACE(A597,""\.(accepted|finished)$"","""")
   )&gt;0,
  ""TECH"",COUNTIF(Technologies!A:A,A597)&gt;0,
  ""STATE"",COUNTIF(States!A:A,A597)&gt;0,
  FALSE
 )
)"),TRUE)</f>
        <v>1</v>
      </c>
      <c r="P597" s="64" t="str">
        <f t="shared" si="3"/>
        <v>Good</v>
      </c>
      <c r="Q597" s="65"/>
      <c r="R597" s="65"/>
      <c r="S597" s="65"/>
      <c r="T597" s="65"/>
      <c r="U597" s="6"/>
      <c r="V597" s="6" t="str">
        <f>IFERROR(__xludf.DUMMYFUNCTION("""COMPUTED_VALUE"""),"tech.tailor.colored_threads")</f>
        <v>tech.tailor.colored_threads</v>
      </c>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row>
    <row r="598" ht="14.25" customHeight="1">
      <c r="A598" s="26" t="str">
        <f t="shared" si="1"/>
        <v>tech.tailor.salamander_velour</v>
      </c>
      <c r="B598" s="26" t="str">
        <f t="array" ref="B598">_xlfn.XLOOKUP(A598,Targets!A:A,Targets!C:C,"")</f>
        <v>TECH</v>
      </c>
      <c r="C598" s="64" t="b">
        <f>COUNTIF(Targets!A:A,A598)&gt;0</f>
        <v>1</v>
      </c>
      <c r="D598" s="64" t="b">
        <f>IF(
 OR(
  LEFT(A598,15)="state.character",
  RIGHT(A598,6)=".maxed"
 ),
 TRUE,
 COUNTIF(Checklist!A:A,A598)&gt;0
)</f>
        <v>1</v>
      </c>
      <c r="E598" s="64" t="b">
        <f>IF(
 OR(
  LEFT(A598,15)="state.character",
  RIGHT(A598,6)=".maxed",
  A598="building.guild@1",
  A598="quest.build_the_guild.accepted",
  A598="quest.build_the_pagoda.accepted"
 ),
 TRUE,
 COUNTIF(Dependencies!A:A,A598)&gt;0
)</f>
        <v>1</v>
      </c>
      <c r="F598" s="64" t="b">
        <f>COUNTIF(Dependencies!B:B,A598)&gt;0</f>
        <v>1</v>
      </c>
      <c r="G598" s="64" t="b">
        <f>COUNTIF(QuestObjectives!A:A,A598)&gt;0</f>
        <v>0</v>
      </c>
      <c r="H598" s="64" t="b">
        <f>COUNTIF(QuestObjectives!E:E,A598)&gt;0</f>
        <v>0</v>
      </c>
      <c r="I598" s="64" t="b">
        <f>COUNTIF(TargetStatus!A:A,A598)&gt;0</f>
        <v>1</v>
      </c>
      <c r="J598" s="64" t="b">
        <f>COUNTIF(CostStatus!B:B,A598)&gt;0</f>
        <v>1</v>
      </c>
      <c r="K598" s="64" t="b">
        <f>COUNTIF(States!A:A,A598)&gt;0</f>
        <v>0</v>
      </c>
      <c r="L598" s="64" t="b">
        <f t="shared" si="2"/>
        <v>1</v>
      </c>
      <c r="M598" s="64" t="b">
        <f>IF(A598="","",COUNTIF(Targets!A:A,A598)&gt;1)</f>
        <v>0</v>
      </c>
      <c r="N598" s="64" t="b">
        <f>IF(A598="","",COUNTIF(States!A:A,A598)&gt;1)</f>
        <v>0</v>
      </c>
      <c r="O598" s="64" t="b">
        <f>IFERROR(__xludf.DUMMYFUNCTION("IF(
 B598="""",
 """",
 SWITCH(
  B598,
  ""BUILDING"",COUNTIF(Buildings!A:A,A598)&gt;0,
  ""CITADEL"",COUNTIF(Citadel!A:A,A598)&gt;0,
  ""COLLECTION"",COUNTIF(Collections!A:A,A598)&gt;0,
  ""CRAFTIFACT"",COUNTIF(Craftifacts!A:A,A598)&gt;0,
  ""QUEST"",
   COUNTIF(
 "&amp;"   Quests!A:A,
    REGEXREPLACE(A598,""\.(accepted|finished)$"","""")
   )&gt;0,
  ""TECH"",COUNTIF(Technologies!A:A,A598)&gt;0,
  ""STATE"",COUNTIF(States!A:A,A598)&gt;0,
  FALSE
 )
)"),TRUE)</f>
        <v>1</v>
      </c>
      <c r="P598" s="64" t="str">
        <f t="shared" si="3"/>
        <v>Good</v>
      </c>
      <c r="Q598" s="65"/>
      <c r="R598" s="65"/>
      <c r="S598" s="65"/>
      <c r="T598" s="65"/>
      <c r="U598" s="6"/>
      <c r="V598" s="6" t="str">
        <f>IFERROR(__xludf.DUMMYFUNCTION("""COMPUTED_VALUE"""),"tech.tailor.salamander_velour")</f>
        <v>tech.tailor.salamander_velour</v>
      </c>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row>
    <row r="599" ht="14.25" customHeight="1">
      <c r="A599" s="26" t="str">
        <f t="shared" si="1"/>
        <v>tech.tailor.strong_rivets</v>
      </c>
      <c r="B599" s="26" t="str">
        <f t="array" ref="B599">_xlfn.XLOOKUP(A599,Targets!A:A,Targets!C:C,"")</f>
        <v>TECH</v>
      </c>
      <c r="C599" s="64" t="b">
        <f>COUNTIF(Targets!A:A,A599)&gt;0</f>
        <v>1</v>
      </c>
      <c r="D599" s="64" t="b">
        <f>IF(
 OR(
  LEFT(A599,15)="state.character",
  RIGHT(A599,6)=".maxed"
 ),
 TRUE,
 COUNTIF(Checklist!A:A,A599)&gt;0
)</f>
        <v>1</v>
      </c>
      <c r="E599" s="64" t="b">
        <f>IF(
 OR(
  LEFT(A599,15)="state.character",
  RIGHT(A599,6)=".maxed",
  A599="building.guild@1",
  A599="quest.build_the_guild.accepted",
  A599="quest.build_the_pagoda.accepted"
 ),
 TRUE,
 COUNTIF(Dependencies!A:A,A599)&gt;0
)</f>
        <v>1</v>
      </c>
      <c r="F599" s="64" t="b">
        <f>COUNTIF(Dependencies!B:B,A599)&gt;0</f>
        <v>0</v>
      </c>
      <c r="G599" s="64" t="b">
        <f>COUNTIF(QuestObjectives!A:A,A599)&gt;0</f>
        <v>0</v>
      </c>
      <c r="H599" s="64" t="b">
        <f>COUNTIF(QuestObjectives!E:E,A599)&gt;0</f>
        <v>0</v>
      </c>
      <c r="I599" s="64" t="b">
        <f>COUNTIF(TargetStatus!A:A,A599)&gt;0</f>
        <v>1</v>
      </c>
      <c r="J599" s="64" t="b">
        <f>COUNTIF(CostStatus!B:B,A599)&gt;0</f>
        <v>1</v>
      </c>
      <c r="K599" s="64" t="b">
        <f>COUNTIF(States!A:A,A599)&gt;0</f>
        <v>0</v>
      </c>
      <c r="L599" s="64" t="b">
        <f t="shared" si="2"/>
        <v>1</v>
      </c>
      <c r="M599" s="64" t="b">
        <f>IF(A599="","",COUNTIF(Targets!A:A,A599)&gt;1)</f>
        <v>0</v>
      </c>
      <c r="N599" s="64" t="b">
        <f>IF(A599="","",COUNTIF(States!A:A,A599)&gt;1)</f>
        <v>0</v>
      </c>
      <c r="O599" s="64" t="b">
        <f>IFERROR(__xludf.DUMMYFUNCTION("IF(
 B599="""",
 """",
 SWITCH(
  B599,
  ""BUILDING"",COUNTIF(Buildings!A:A,A599)&gt;0,
  ""CITADEL"",COUNTIF(Citadel!A:A,A599)&gt;0,
  ""COLLECTION"",COUNTIF(Collections!A:A,A599)&gt;0,
  ""CRAFTIFACT"",COUNTIF(Craftifacts!A:A,A599)&gt;0,
  ""QUEST"",
   COUNTIF(
 "&amp;"   Quests!A:A,
    REGEXREPLACE(A599,""\.(accepted|finished)$"","""")
   )&gt;0,
  ""TECH"",COUNTIF(Technologies!A:A,A599)&gt;0,
  ""STATE"",COUNTIF(States!A:A,A599)&gt;0,
  FALSE
 )
)"),TRUE)</f>
        <v>1</v>
      </c>
      <c r="P599" s="64" t="str">
        <f t="shared" si="3"/>
        <v>Good</v>
      </c>
      <c r="Q599" s="65"/>
      <c r="R599" s="65"/>
      <c r="S599" s="65"/>
      <c r="T599" s="65"/>
      <c r="U599" s="6"/>
      <c r="V599" s="6" t="str">
        <f>IFERROR(__xludf.DUMMYFUNCTION("""COMPUTED_VALUE"""),"tech.tailor.strong_rivets")</f>
        <v>tech.tailor.strong_rivets</v>
      </c>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row>
    <row r="600" ht="14.25" customHeight="1">
      <c r="A600" s="26" t="str">
        <f t="shared" si="1"/>
        <v>tech.tailor.strong_stitch</v>
      </c>
      <c r="B600" s="26" t="str">
        <f t="array" ref="B600">_xlfn.XLOOKUP(A600,Targets!A:A,Targets!C:C,"")</f>
        <v>TECH</v>
      </c>
      <c r="C600" s="64" t="b">
        <f>COUNTIF(Targets!A:A,A600)&gt;0</f>
        <v>1</v>
      </c>
      <c r="D600" s="64" t="b">
        <f>IF(
 OR(
  LEFT(A600,15)="state.character",
  RIGHT(A600,6)=".maxed"
 ),
 TRUE,
 COUNTIF(Checklist!A:A,A600)&gt;0
)</f>
        <v>1</v>
      </c>
      <c r="E600" s="64" t="b">
        <f>IF(
 OR(
  LEFT(A600,15)="state.character",
  RIGHT(A600,6)=".maxed",
  A600="building.guild@1",
  A600="quest.build_the_guild.accepted",
  A600="quest.build_the_pagoda.accepted"
 ),
 TRUE,
 COUNTIF(Dependencies!A:A,A600)&gt;0
)</f>
        <v>1</v>
      </c>
      <c r="F600" s="64" t="b">
        <f>COUNTIF(Dependencies!B:B,A600)&gt;0</f>
        <v>0</v>
      </c>
      <c r="G600" s="64" t="b">
        <f>COUNTIF(QuestObjectives!A:A,A600)&gt;0</f>
        <v>0</v>
      </c>
      <c r="H600" s="64" t="b">
        <f>COUNTIF(QuestObjectives!E:E,A600)&gt;0</f>
        <v>0</v>
      </c>
      <c r="I600" s="64" t="b">
        <f>COUNTIF(TargetStatus!A:A,A600)&gt;0</f>
        <v>1</v>
      </c>
      <c r="J600" s="64" t="b">
        <f>COUNTIF(CostStatus!B:B,A600)&gt;0</f>
        <v>1</v>
      </c>
      <c r="K600" s="64" t="b">
        <f>COUNTIF(States!A:A,A600)&gt;0</f>
        <v>0</v>
      </c>
      <c r="L600" s="64" t="b">
        <f t="shared" si="2"/>
        <v>1</v>
      </c>
      <c r="M600" s="64" t="b">
        <f>IF(A600="","",COUNTIF(Targets!A:A,A600)&gt;1)</f>
        <v>0</v>
      </c>
      <c r="N600" s="64" t="b">
        <f>IF(A600="","",COUNTIF(States!A:A,A600)&gt;1)</f>
        <v>0</v>
      </c>
      <c r="O600" s="64" t="b">
        <f>IFERROR(__xludf.DUMMYFUNCTION("IF(
 B600="""",
 """",
 SWITCH(
  B600,
  ""BUILDING"",COUNTIF(Buildings!A:A,A600)&gt;0,
  ""CITADEL"",COUNTIF(Citadel!A:A,A600)&gt;0,
  ""COLLECTION"",COUNTIF(Collections!A:A,A600)&gt;0,
  ""CRAFTIFACT"",COUNTIF(Craftifacts!A:A,A600)&gt;0,
  ""QUEST"",
   COUNTIF(
 "&amp;"   Quests!A:A,
    REGEXREPLACE(A600,""\.(accepted|finished)$"","""")
   )&gt;0,
  ""TECH"",COUNTIF(Technologies!A:A,A600)&gt;0,
  ""STATE"",COUNTIF(States!A:A,A600)&gt;0,
  FALSE
 )
)"),TRUE)</f>
        <v>1</v>
      </c>
      <c r="P600" s="64" t="str">
        <f t="shared" si="3"/>
        <v>Good</v>
      </c>
      <c r="Q600" s="65"/>
      <c r="R600" s="65"/>
      <c r="S600" s="65"/>
      <c r="T600" s="65"/>
      <c r="U600" s="6"/>
      <c r="V600" s="6" t="str">
        <f>IFERROR(__xludf.DUMMYFUNCTION("""COMPUTED_VALUE"""),"tech.tailor.strong_stitch")</f>
        <v>tech.tailor.strong_stitch</v>
      </c>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row>
    <row r="601" ht="14.25" customHeight="1">
      <c r="A601" s="26" t="str">
        <f t="shared" si="1"/>
        <v>tech.train.automatic_lubricator</v>
      </c>
      <c r="B601" s="26" t="str">
        <f t="array" ref="B601">_xlfn.XLOOKUP(A601,Targets!A:A,Targets!C:C,"")</f>
        <v>TECH</v>
      </c>
      <c r="C601" s="64" t="b">
        <f>COUNTIF(Targets!A:A,A601)&gt;0</f>
        <v>1</v>
      </c>
      <c r="D601" s="64" t="b">
        <f>IF(
 OR(
  LEFT(A601,15)="state.character",
  RIGHT(A601,6)=".maxed"
 ),
 TRUE,
 COUNTIF(Checklist!A:A,A601)&gt;0
)</f>
        <v>1</v>
      </c>
      <c r="E601" s="64" t="b">
        <f>IF(
 OR(
  LEFT(A601,15)="state.character",
  RIGHT(A601,6)=".maxed",
  A601="building.guild@1",
  A601="quest.build_the_guild.accepted",
  A601="quest.build_the_pagoda.accepted"
 ),
 TRUE,
 COUNTIF(Dependencies!A:A,A601)&gt;0
)</f>
        <v>1</v>
      </c>
      <c r="F601" s="64" t="b">
        <f>COUNTIF(Dependencies!B:B,A601)&gt;0</f>
        <v>0</v>
      </c>
      <c r="G601" s="64" t="b">
        <f>COUNTIF(QuestObjectives!A:A,A601)&gt;0</f>
        <v>0</v>
      </c>
      <c r="H601" s="64" t="b">
        <f>COUNTIF(QuestObjectives!E:E,A601)&gt;0</f>
        <v>0</v>
      </c>
      <c r="I601" s="64" t="b">
        <f>COUNTIF(TargetStatus!A:A,A601)&gt;0</f>
        <v>1</v>
      </c>
      <c r="J601" s="64" t="b">
        <f>COUNTIF(CostStatus!B:B,A601)&gt;0</f>
        <v>1</v>
      </c>
      <c r="K601" s="64" t="b">
        <f>COUNTIF(States!A:A,A601)&gt;0</f>
        <v>0</v>
      </c>
      <c r="L601" s="64" t="b">
        <f t="shared" si="2"/>
        <v>1</v>
      </c>
      <c r="M601" s="64" t="b">
        <f>IF(A601="","",COUNTIF(Targets!A:A,A601)&gt;1)</f>
        <v>0</v>
      </c>
      <c r="N601" s="64" t="b">
        <f>IF(A601="","",COUNTIF(States!A:A,A601)&gt;1)</f>
        <v>0</v>
      </c>
      <c r="O601" s="64" t="b">
        <f>IFERROR(__xludf.DUMMYFUNCTION("IF(
 B601="""",
 """",
 SWITCH(
  B601,
  ""BUILDING"",COUNTIF(Buildings!A:A,A601)&gt;0,
  ""CITADEL"",COUNTIF(Citadel!A:A,A601)&gt;0,
  ""COLLECTION"",COUNTIF(Collections!A:A,A601)&gt;0,
  ""CRAFTIFACT"",COUNTIF(Craftifacts!A:A,A601)&gt;0,
  ""QUEST"",
   COUNTIF(
 "&amp;"   Quests!A:A,
    REGEXREPLACE(A601,""\.(accepted|finished)$"","""")
   )&gt;0,
  ""TECH"",COUNTIF(Technologies!A:A,A601)&gt;0,
  ""STATE"",COUNTIF(States!A:A,A601)&gt;0,
  FALSE
 )
)"),TRUE)</f>
        <v>1</v>
      </c>
      <c r="P601" s="64" t="str">
        <f t="shared" si="3"/>
        <v>Good</v>
      </c>
      <c r="Q601" s="65"/>
      <c r="R601" s="65"/>
      <c r="S601" s="65"/>
      <c r="T601" s="65"/>
      <c r="U601" s="6"/>
      <c r="V601" s="6" t="str">
        <f>IFERROR(__xludf.DUMMYFUNCTION("""COMPUTED_VALUE"""),"tech.train.automatic_lubricator")</f>
        <v>tech.train.automatic_lubricator</v>
      </c>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row>
    <row r="602" ht="14.25" customHeight="1">
      <c r="A602" s="26" t="str">
        <f t="shared" si="1"/>
        <v>tech.train.compound_engine</v>
      </c>
      <c r="B602" s="26" t="str">
        <f t="array" ref="B602">_xlfn.XLOOKUP(A602,Targets!A:A,Targets!C:C,"")</f>
        <v>TECH</v>
      </c>
      <c r="C602" s="64" t="b">
        <f>COUNTIF(Targets!A:A,A602)&gt;0</f>
        <v>1</v>
      </c>
      <c r="D602" s="64" t="b">
        <f>IF(
 OR(
  LEFT(A602,15)="state.character",
  RIGHT(A602,6)=".maxed"
 ),
 TRUE,
 COUNTIF(Checklist!A:A,A602)&gt;0
)</f>
        <v>1</v>
      </c>
      <c r="E602" s="64" t="b">
        <f>IF(
 OR(
  LEFT(A602,15)="state.character",
  RIGHT(A602,6)=".maxed",
  A602="building.guild@1",
  A602="quest.build_the_guild.accepted",
  A602="quest.build_the_pagoda.accepted"
 ),
 TRUE,
 COUNTIF(Dependencies!A:A,A602)&gt;0
)</f>
        <v>1</v>
      </c>
      <c r="F602" s="64" t="b">
        <f>COUNTIF(Dependencies!B:B,A602)&gt;0</f>
        <v>0</v>
      </c>
      <c r="G602" s="64" t="b">
        <f>COUNTIF(QuestObjectives!A:A,A602)&gt;0</f>
        <v>0</v>
      </c>
      <c r="H602" s="64" t="b">
        <f>COUNTIF(QuestObjectives!E:E,A602)&gt;0</f>
        <v>0</v>
      </c>
      <c r="I602" s="64" t="b">
        <f>COUNTIF(TargetStatus!A:A,A602)&gt;0</f>
        <v>1</v>
      </c>
      <c r="J602" s="64" t="b">
        <f>COUNTIF(CostStatus!B:B,A602)&gt;0</f>
        <v>1</v>
      </c>
      <c r="K602" s="64" t="b">
        <f>COUNTIF(States!A:A,A602)&gt;0</f>
        <v>0</v>
      </c>
      <c r="L602" s="64" t="b">
        <f t="shared" si="2"/>
        <v>1</v>
      </c>
      <c r="M602" s="64" t="b">
        <f>IF(A602="","",COUNTIF(Targets!A:A,A602)&gt;1)</f>
        <v>0</v>
      </c>
      <c r="N602" s="64" t="b">
        <f>IF(A602="","",COUNTIF(States!A:A,A602)&gt;1)</f>
        <v>0</v>
      </c>
      <c r="O602" s="64" t="b">
        <f>IFERROR(__xludf.DUMMYFUNCTION("IF(
 B602="""",
 """",
 SWITCH(
  B602,
  ""BUILDING"",COUNTIF(Buildings!A:A,A602)&gt;0,
  ""CITADEL"",COUNTIF(Citadel!A:A,A602)&gt;0,
  ""COLLECTION"",COUNTIF(Collections!A:A,A602)&gt;0,
  ""CRAFTIFACT"",COUNTIF(Craftifacts!A:A,A602)&gt;0,
  ""QUEST"",
   COUNTIF(
 "&amp;"   Quests!A:A,
    REGEXREPLACE(A602,""\.(accepted|finished)$"","""")
   )&gt;0,
  ""TECH"",COUNTIF(Technologies!A:A,A602)&gt;0,
  ""STATE"",COUNTIF(States!A:A,A602)&gt;0,
  FALSE
 )
)"),TRUE)</f>
        <v>1</v>
      </c>
      <c r="P602" s="64" t="str">
        <f t="shared" si="3"/>
        <v>Good</v>
      </c>
      <c r="Q602" s="65"/>
      <c r="R602" s="65"/>
      <c r="S602" s="65"/>
      <c r="T602" s="65"/>
      <c r="U602" s="6"/>
      <c r="V602" s="6" t="str">
        <f>IFERROR(__xludf.DUMMYFUNCTION("""COMPUTED_VALUE"""),"tech.train.compound_engine")</f>
        <v>tech.train.compound_engine</v>
      </c>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row>
    <row r="603" ht="14.25" customHeight="1">
      <c r="A603" s="26" t="str">
        <f t="shared" si="1"/>
        <v>tech.train.onboard_computer</v>
      </c>
      <c r="B603" s="26" t="str">
        <f t="array" ref="B603">_xlfn.XLOOKUP(A603,Targets!A:A,Targets!C:C,"")</f>
        <v>TECH</v>
      </c>
      <c r="C603" s="64" t="b">
        <f>COUNTIF(Targets!A:A,A603)&gt;0</f>
        <v>1</v>
      </c>
      <c r="D603" s="64" t="b">
        <f>IF(
 OR(
  LEFT(A603,15)="state.character",
  RIGHT(A603,6)=".maxed"
 ),
 TRUE,
 COUNTIF(Checklist!A:A,A603)&gt;0
)</f>
        <v>1</v>
      </c>
      <c r="E603" s="64" t="b">
        <f>IF(
 OR(
  LEFT(A603,15)="state.character",
  RIGHT(A603,6)=".maxed",
  A603="building.guild@1",
  A603="quest.build_the_guild.accepted",
  A603="quest.build_the_pagoda.accepted"
 ),
 TRUE,
 COUNTIF(Dependencies!A:A,A603)&gt;0
)</f>
        <v>1</v>
      </c>
      <c r="F603" s="64" t="b">
        <f>COUNTIF(Dependencies!B:B,A603)&gt;0</f>
        <v>0</v>
      </c>
      <c r="G603" s="64" t="b">
        <f>COUNTIF(QuestObjectives!A:A,A603)&gt;0</f>
        <v>0</v>
      </c>
      <c r="H603" s="64" t="b">
        <f>COUNTIF(QuestObjectives!E:E,A603)&gt;0</f>
        <v>0</v>
      </c>
      <c r="I603" s="64" t="b">
        <f>COUNTIF(TargetStatus!A:A,A603)&gt;0</f>
        <v>1</v>
      </c>
      <c r="J603" s="64" t="b">
        <f>COUNTIF(CostStatus!B:B,A603)&gt;0</f>
        <v>1</v>
      </c>
      <c r="K603" s="64" t="b">
        <f>COUNTIF(States!A:A,A603)&gt;0</f>
        <v>0</v>
      </c>
      <c r="L603" s="64" t="b">
        <f t="shared" si="2"/>
        <v>1</v>
      </c>
      <c r="M603" s="64" t="b">
        <f>IF(A603="","",COUNTIF(Targets!A:A,A603)&gt;1)</f>
        <v>0</v>
      </c>
      <c r="N603" s="64" t="b">
        <f>IF(A603="","",COUNTIF(States!A:A,A603)&gt;1)</f>
        <v>0</v>
      </c>
      <c r="O603" s="64" t="b">
        <f>IFERROR(__xludf.DUMMYFUNCTION("IF(
 B603="""",
 """",
 SWITCH(
  B603,
  ""BUILDING"",COUNTIF(Buildings!A:A,A603)&gt;0,
  ""CITADEL"",COUNTIF(Citadel!A:A,A603)&gt;0,
  ""COLLECTION"",COUNTIF(Collections!A:A,A603)&gt;0,
  ""CRAFTIFACT"",COUNTIF(Craftifacts!A:A,A603)&gt;0,
  ""QUEST"",
   COUNTIF(
 "&amp;"   Quests!A:A,
    REGEXREPLACE(A603,""\.(accepted|finished)$"","""")
   )&gt;0,
  ""TECH"",COUNTIF(Technologies!A:A,A603)&gt;0,
  ""STATE"",COUNTIF(States!A:A,A603)&gt;0,
  FALSE
 )
)"),TRUE)</f>
        <v>1</v>
      </c>
      <c r="P603" s="64" t="str">
        <f t="shared" si="3"/>
        <v>Good</v>
      </c>
      <c r="Q603" s="65"/>
      <c r="R603" s="65"/>
      <c r="S603" s="65"/>
      <c r="T603" s="65"/>
      <c r="U603" s="6"/>
      <c r="V603" s="6" t="str">
        <f>IFERROR(__xludf.DUMMYFUNCTION("""COMPUTED_VALUE"""),"tech.train.onboard_computer")</f>
        <v>tech.train.onboard_computer</v>
      </c>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row>
    <row r="604" ht="14.25" customHeight="1">
      <c r="A604" s="26" t="str">
        <f t="shared" si="1"/>
        <v>tech.train.superheater</v>
      </c>
      <c r="B604" s="26" t="str">
        <f t="array" ref="B604">_xlfn.XLOOKUP(A604,Targets!A:A,Targets!C:C,"")</f>
        <v>TECH</v>
      </c>
      <c r="C604" s="64" t="b">
        <f>COUNTIF(Targets!A:A,A604)&gt;0</f>
        <v>1</v>
      </c>
      <c r="D604" s="64" t="b">
        <f>IF(
 OR(
  LEFT(A604,15)="state.character",
  RIGHT(A604,6)=".maxed"
 ),
 TRUE,
 COUNTIF(Checklist!A:A,A604)&gt;0
)</f>
        <v>1</v>
      </c>
      <c r="E604" s="64" t="b">
        <f>IF(
 OR(
  LEFT(A604,15)="state.character",
  RIGHT(A604,6)=".maxed",
  A604="building.guild@1",
  A604="quest.build_the_guild.accepted",
  A604="quest.build_the_pagoda.accepted"
 ),
 TRUE,
 COUNTIF(Dependencies!A:A,A604)&gt;0
)</f>
        <v>1</v>
      </c>
      <c r="F604" s="64" t="b">
        <f>COUNTIF(Dependencies!B:B,A604)&gt;0</f>
        <v>0</v>
      </c>
      <c r="G604" s="64" t="b">
        <f>COUNTIF(QuestObjectives!A:A,A604)&gt;0</f>
        <v>0</v>
      </c>
      <c r="H604" s="64" t="b">
        <f>COUNTIF(QuestObjectives!E:E,A604)&gt;0</f>
        <v>0</v>
      </c>
      <c r="I604" s="64" t="b">
        <f>COUNTIF(TargetStatus!A:A,A604)&gt;0</f>
        <v>1</v>
      </c>
      <c r="J604" s="64" t="b">
        <f>COUNTIF(CostStatus!B:B,A604)&gt;0</f>
        <v>1</v>
      </c>
      <c r="K604" s="64" t="b">
        <f>COUNTIF(States!A:A,A604)&gt;0</f>
        <v>0</v>
      </c>
      <c r="L604" s="64" t="b">
        <f t="shared" si="2"/>
        <v>1</v>
      </c>
      <c r="M604" s="64" t="b">
        <f>IF(A604="","",COUNTIF(Targets!A:A,A604)&gt;1)</f>
        <v>0</v>
      </c>
      <c r="N604" s="64" t="b">
        <f>IF(A604="","",COUNTIF(States!A:A,A604)&gt;1)</f>
        <v>0</v>
      </c>
      <c r="O604" s="64" t="b">
        <f>IFERROR(__xludf.DUMMYFUNCTION("IF(
 B604="""",
 """",
 SWITCH(
  B604,
  ""BUILDING"",COUNTIF(Buildings!A:A,A604)&gt;0,
  ""CITADEL"",COUNTIF(Citadel!A:A,A604)&gt;0,
  ""COLLECTION"",COUNTIF(Collections!A:A,A604)&gt;0,
  ""CRAFTIFACT"",COUNTIF(Craftifacts!A:A,A604)&gt;0,
  ""QUEST"",
   COUNTIF(
 "&amp;"   Quests!A:A,
    REGEXREPLACE(A604,""\.(accepted|finished)$"","""")
   )&gt;0,
  ""TECH"",COUNTIF(Technologies!A:A,A604)&gt;0,
  ""STATE"",COUNTIF(States!A:A,A604)&gt;0,
  FALSE
 )
)"),TRUE)</f>
        <v>1</v>
      </c>
      <c r="P604" s="64" t="str">
        <f t="shared" si="3"/>
        <v>Good</v>
      </c>
      <c r="Q604" s="65"/>
      <c r="R604" s="65"/>
      <c r="S604" s="65"/>
      <c r="T604" s="65"/>
      <c r="U604" s="6"/>
      <c r="V604" s="6" t="str">
        <f>IFERROR(__xludf.DUMMYFUNCTION("""COMPUTED_VALUE"""),"tech.train.superheater")</f>
        <v>tech.train.superheater</v>
      </c>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row>
    <row r="605" ht="14.25" customHeight="1">
      <c r="A605" s="26" t="str">
        <f t="shared" si="1"/>
        <v>tech.train.titanium_components</v>
      </c>
      <c r="B605" s="26" t="str">
        <f t="array" ref="B605">_xlfn.XLOOKUP(A605,Targets!A:A,Targets!C:C,"")</f>
        <v>TECH</v>
      </c>
      <c r="C605" s="64" t="b">
        <f>COUNTIF(Targets!A:A,A605)&gt;0</f>
        <v>1</v>
      </c>
      <c r="D605" s="64" t="b">
        <f>IF(
 OR(
  LEFT(A605,15)="state.character",
  RIGHT(A605,6)=".maxed"
 ),
 TRUE,
 COUNTIF(Checklist!A:A,A605)&gt;0
)</f>
        <v>1</v>
      </c>
      <c r="E605" s="64" t="b">
        <f>IF(
 OR(
  LEFT(A605,15)="state.character",
  RIGHT(A605,6)=".maxed",
  A605="building.guild@1",
  A605="quest.build_the_guild.accepted",
  A605="quest.build_the_pagoda.accepted"
 ),
 TRUE,
 COUNTIF(Dependencies!A:A,A605)&gt;0
)</f>
        <v>1</v>
      </c>
      <c r="F605" s="64" t="b">
        <f>COUNTIF(Dependencies!B:B,A605)&gt;0</f>
        <v>0</v>
      </c>
      <c r="G605" s="64" t="b">
        <f>COUNTIF(QuestObjectives!A:A,A605)&gt;0</f>
        <v>0</v>
      </c>
      <c r="H605" s="64" t="b">
        <f>COUNTIF(QuestObjectives!E:E,A605)&gt;0</f>
        <v>0</v>
      </c>
      <c r="I605" s="64" t="b">
        <f>COUNTIF(TargetStatus!A:A,A605)&gt;0</f>
        <v>1</v>
      </c>
      <c r="J605" s="64" t="b">
        <f>COUNTIF(CostStatus!B:B,A605)&gt;0</f>
        <v>1</v>
      </c>
      <c r="K605" s="64" t="b">
        <f>COUNTIF(States!A:A,A605)&gt;0</f>
        <v>0</v>
      </c>
      <c r="L605" s="64" t="b">
        <f t="shared" si="2"/>
        <v>1</v>
      </c>
      <c r="M605" s="64" t="b">
        <f>IF(A605="","",COUNTIF(Targets!A:A,A605)&gt;1)</f>
        <v>0</v>
      </c>
      <c r="N605" s="64" t="b">
        <f>IF(A605="","",COUNTIF(States!A:A,A605)&gt;1)</f>
        <v>0</v>
      </c>
      <c r="O605" s="64" t="b">
        <f>IFERROR(__xludf.DUMMYFUNCTION("IF(
 B605="""",
 """",
 SWITCH(
  B605,
  ""BUILDING"",COUNTIF(Buildings!A:A,A605)&gt;0,
  ""CITADEL"",COUNTIF(Citadel!A:A,A605)&gt;0,
  ""COLLECTION"",COUNTIF(Collections!A:A,A605)&gt;0,
  ""CRAFTIFACT"",COUNTIF(Craftifacts!A:A,A605)&gt;0,
  ""QUEST"",
   COUNTIF(
 "&amp;"   Quests!A:A,
    REGEXREPLACE(A605,""\.(accepted|finished)$"","""")
   )&gt;0,
  ""TECH"",COUNTIF(Technologies!A:A,A605)&gt;0,
  ""STATE"",COUNTIF(States!A:A,A605)&gt;0,
  FALSE
 )
)"),TRUE)</f>
        <v>1</v>
      </c>
      <c r="P605" s="64" t="str">
        <f t="shared" si="3"/>
        <v>Good</v>
      </c>
      <c r="Q605" s="65"/>
      <c r="R605" s="65"/>
      <c r="S605" s="65"/>
      <c r="T605" s="65"/>
      <c r="U605" s="6"/>
      <c r="V605" s="6" t="str">
        <f>IFERROR(__xludf.DUMMYFUNCTION("""COMPUTED_VALUE"""),"tech.train.titanium_components")</f>
        <v>tech.train.titanium_components</v>
      </c>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row>
    <row r="606" ht="14.25" customHeight="1">
      <c r="A606" s="26" t="str">
        <f t="shared" si="1"/>
        <v>tech.warehouse.stackable_racks_lvl_1</v>
      </c>
      <c r="B606" s="26" t="str">
        <f t="array" ref="B606">_xlfn.XLOOKUP(A606,Targets!A:A,Targets!C:C,"")</f>
        <v>TECH</v>
      </c>
      <c r="C606" s="64" t="b">
        <f>COUNTIF(Targets!A:A,A606)&gt;0</f>
        <v>1</v>
      </c>
      <c r="D606" s="64" t="b">
        <f>IF(
 OR(
  LEFT(A606,15)="state.character",
  RIGHT(A606,6)=".maxed"
 ),
 TRUE,
 COUNTIF(Checklist!A:A,A606)&gt;0
)</f>
        <v>1</v>
      </c>
      <c r="E606" s="64" t="b">
        <f>IF(
 OR(
  LEFT(A606,15)="state.character",
  RIGHT(A606,6)=".maxed",
  A606="building.guild@1",
  A606="quest.build_the_guild.accepted",
  A606="quest.build_the_pagoda.accepted"
 ),
 TRUE,
 COUNTIF(Dependencies!A:A,A606)&gt;0
)</f>
        <v>1</v>
      </c>
      <c r="F606" s="64" t="b">
        <f>COUNTIF(Dependencies!B:B,A606)&gt;0</f>
        <v>1</v>
      </c>
      <c r="G606" s="64" t="b">
        <f>COUNTIF(QuestObjectives!A:A,A606)&gt;0</f>
        <v>0</v>
      </c>
      <c r="H606" s="64" t="b">
        <f>COUNTIF(QuestObjectives!E:E,A606)&gt;0</f>
        <v>0</v>
      </c>
      <c r="I606" s="64" t="b">
        <f>COUNTIF(TargetStatus!A:A,A606)&gt;0</f>
        <v>1</v>
      </c>
      <c r="J606" s="64" t="b">
        <f>COUNTIF(CostStatus!B:B,A606)&gt;0</f>
        <v>1</v>
      </c>
      <c r="K606" s="64" t="b">
        <f>COUNTIF(States!A:A,A606)&gt;0</f>
        <v>0</v>
      </c>
      <c r="L606" s="64" t="b">
        <f t="shared" si="2"/>
        <v>1</v>
      </c>
      <c r="M606" s="64" t="b">
        <f>IF(A606="","",COUNTIF(Targets!A:A,A606)&gt;1)</f>
        <v>0</v>
      </c>
      <c r="N606" s="64" t="b">
        <f>IF(A606="","",COUNTIF(States!A:A,A606)&gt;1)</f>
        <v>0</v>
      </c>
      <c r="O606" s="64" t="b">
        <f>IFERROR(__xludf.DUMMYFUNCTION("IF(
 B606="""",
 """",
 SWITCH(
  B606,
  ""BUILDING"",COUNTIF(Buildings!A:A,A606)&gt;0,
  ""CITADEL"",COUNTIF(Citadel!A:A,A606)&gt;0,
  ""COLLECTION"",COUNTIF(Collections!A:A,A606)&gt;0,
  ""CRAFTIFACT"",COUNTIF(Craftifacts!A:A,A606)&gt;0,
  ""QUEST"",
   COUNTIF(
 "&amp;"   Quests!A:A,
    REGEXREPLACE(A606,""\.(accepted|finished)$"","""")
   )&gt;0,
  ""TECH"",COUNTIF(Technologies!A:A,A606)&gt;0,
  ""STATE"",COUNTIF(States!A:A,A606)&gt;0,
  FALSE
 )
)"),TRUE)</f>
        <v>1</v>
      </c>
      <c r="P606" s="64" t="str">
        <f t="shared" si="3"/>
        <v>Good</v>
      </c>
      <c r="Q606" s="65"/>
      <c r="R606" s="65"/>
      <c r="S606" s="65"/>
      <c r="T606" s="65"/>
      <c r="U606" s="6"/>
      <c r="V606" s="6" t="str">
        <f>IFERROR(__xludf.DUMMYFUNCTION("""COMPUTED_VALUE"""),"tech.warehouse.stackable_racks_lvl_1")</f>
        <v>tech.warehouse.stackable_racks_lvl_1</v>
      </c>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row>
    <row r="607" ht="14.25" customHeight="1">
      <c r="A607" s="26" t="str">
        <f t="shared" si="1"/>
        <v>tech.warehouse.stackable_racks_lvl_2</v>
      </c>
      <c r="B607" s="26" t="str">
        <f t="array" ref="B607">_xlfn.XLOOKUP(A607,Targets!A:A,Targets!C:C,"")</f>
        <v>TECH</v>
      </c>
      <c r="C607" s="64" t="b">
        <f>COUNTIF(Targets!A:A,A607)&gt;0</f>
        <v>1</v>
      </c>
      <c r="D607" s="64" t="b">
        <f>IF(
 OR(
  LEFT(A607,15)="state.character",
  RIGHT(A607,6)=".maxed"
 ),
 TRUE,
 COUNTIF(Checklist!A:A,A607)&gt;0
)</f>
        <v>1</v>
      </c>
      <c r="E607" s="64" t="b">
        <f>IF(
 OR(
  LEFT(A607,15)="state.character",
  RIGHT(A607,6)=".maxed",
  A607="building.guild@1",
  A607="quest.build_the_guild.accepted",
  A607="quest.build_the_pagoda.accepted"
 ),
 TRUE,
 COUNTIF(Dependencies!A:A,A607)&gt;0
)</f>
        <v>1</v>
      </c>
      <c r="F607" s="64" t="b">
        <f>COUNTIF(Dependencies!B:B,A607)&gt;0</f>
        <v>1</v>
      </c>
      <c r="G607" s="64" t="b">
        <f>COUNTIF(QuestObjectives!A:A,A607)&gt;0</f>
        <v>0</v>
      </c>
      <c r="H607" s="64" t="b">
        <f>COUNTIF(QuestObjectives!E:E,A607)&gt;0</f>
        <v>0</v>
      </c>
      <c r="I607" s="64" t="b">
        <f>COUNTIF(TargetStatus!A:A,A607)&gt;0</f>
        <v>1</v>
      </c>
      <c r="J607" s="64" t="b">
        <f>COUNTIF(CostStatus!B:B,A607)&gt;0</f>
        <v>1</v>
      </c>
      <c r="K607" s="64" t="b">
        <f>COUNTIF(States!A:A,A607)&gt;0</f>
        <v>0</v>
      </c>
      <c r="L607" s="64" t="b">
        <f t="shared" si="2"/>
        <v>1</v>
      </c>
      <c r="M607" s="64" t="b">
        <f>IF(A607="","",COUNTIF(Targets!A:A,A607)&gt;1)</f>
        <v>0</v>
      </c>
      <c r="N607" s="64" t="b">
        <f>IF(A607="","",COUNTIF(States!A:A,A607)&gt;1)</f>
        <v>0</v>
      </c>
      <c r="O607" s="64" t="b">
        <f>IFERROR(__xludf.DUMMYFUNCTION("IF(
 B607="""",
 """",
 SWITCH(
  B607,
  ""BUILDING"",COUNTIF(Buildings!A:A,A607)&gt;0,
  ""CITADEL"",COUNTIF(Citadel!A:A,A607)&gt;0,
  ""COLLECTION"",COUNTIF(Collections!A:A,A607)&gt;0,
  ""CRAFTIFACT"",COUNTIF(Craftifacts!A:A,A607)&gt;0,
  ""QUEST"",
   COUNTIF(
 "&amp;"   Quests!A:A,
    REGEXREPLACE(A607,""\.(accepted|finished)$"","""")
   )&gt;0,
  ""TECH"",COUNTIF(Technologies!A:A,A607)&gt;0,
  ""STATE"",COUNTIF(States!A:A,A607)&gt;0,
  FALSE
 )
)"),TRUE)</f>
        <v>1</v>
      </c>
      <c r="P607" s="64" t="str">
        <f t="shared" si="3"/>
        <v>Good</v>
      </c>
      <c r="Q607" s="65"/>
      <c r="R607" s="65"/>
      <c r="S607" s="65"/>
      <c r="T607" s="65"/>
      <c r="U607" s="6"/>
      <c r="V607" s="6" t="str">
        <f>IFERROR(__xludf.DUMMYFUNCTION("""COMPUTED_VALUE"""),"tech.warehouse.stackable_racks_lvl_2")</f>
        <v>tech.warehouse.stackable_racks_lvl_2</v>
      </c>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row>
    <row r="608" ht="14.25" customHeight="1">
      <c r="A608" s="26" t="str">
        <f t="shared" si="1"/>
        <v>tech.warehouse.stackable_racks_lvl_3</v>
      </c>
      <c r="B608" s="26" t="str">
        <f t="array" ref="B608">_xlfn.XLOOKUP(A608,Targets!A:A,Targets!C:C,"")</f>
        <v>TECH</v>
      </c>
      <c r="C608" s="64" t="b">
        <f>COUNTIF(Targets!A:A,A608)&gt;0</f>
        <v>1</v>
      </c>
      <c r="D608" s="64" t="b">
        <f>IF(
 OR(
  LEFT(A608,15)="state.character",
  RIGHT(A608,6)=".maxed"
 ),
 TRUE,
 COUNTIF(Checklist!A:A,A608)&gt;0
)</f>
        <v>1</v>
      </c>
      <c r="E608" s="64" t="b">
        <f>IF(
 OR(
  LEFT(A608,15)="state.character",
  RIGHT(A608,6)=".maxed",
  A608="building.guild@1",
  A608="quest.build_the_guild.accepted",
  A608="quest.build_the_pagoda.accepted"
 ),
 TRUE,
 COUNTIF(Dependencies!A:A,A608)&gt;0
)</f>
        <v>1</v>
      </c>
      <c r="F608" s="64" t="b">
        <f>COUNTIF(Dependencies!B:B,A608)&gt;0</f>
        <v>0</v>
      </c>
      <c r="G608" s="64" t="b">
        <f>COUNTIF(QuestObjectives!A:A,A608)&gt;0</f>
        <v>0</v>
      </c>
      <c r="H608" s="64" t="b">
        <f>COUNTIF(QuestObjectives!E:E,A608)&gt;0</f>
        <v>0</v>
      </c>
      <c r="I608" s="64" t="b">
        <f>COUNTIF(TargetStatus!A:A,A608)&gt;0</f>
        <v>1</v>
      </c>
      <c r="J608" s="64" t="b">
        <f>COUNTIF(CostStatus!B:B,A608)&gt;0</f>
        <v>1</v>
      </c>
      <c r="K608" s="64" t="b">
        <f>COUNTIF(States!A:A,A608)&gt;0</f>
        <v>0</v>
      </c>
      <c r="L608" s="64" t="b">
        <f t="shared" si="2"/>
        <v>1</v>
      </c>
      <c r="M608" s="64" t="b">
        <f>IF(A608="","",COUNTIF(Targets!A:A,A608)&gt;1)</f>
        <v>0</v>
      </c>
      <c r="N608" s="64" t="b">
        <f>IF(A608="","",COUNTIF(States!A:A,A608)&gt;1)</f>
        <v>0</v>
      </c>
      <c r="O608" s="64" t="b">
        <f>IFERROR(__xludf.DUMMYFUNCTION("IF(
 B608="""",
 """",
 SWITCH(
  B608,
  ""BUILDING"",COUNTIF(Buildings!A:A,A608)&gt;0,
  ""CITADEL"",COUNTIF(Citadel!A:A,A608)&gt;0,
  ""COLLECTION"",COUNTIF(Collections!A:A,A608)&gt;0,
  ""CRAFTIFACT"",COUNTIF(Craftifacts!A:A,A608)&gt;0,
  ""QUEST"",
   COUNTIF(
 "&amp;"   Quests!A:A,
    REGEXREPLACE(A608,""\.(accepted|finished)$"","""")
   )&gt;0,
  ""TECH"",COUNTIF(Technologies!A:A,A608)&gt;0,
  ""STATE"",COUNTIF(States!A:A,A608)&gt;0,
  FALSE
 )
)"),TRUE)</f>
        <v>1</v>
      </c>
      <c r="P608" s="64" t="str">
        <f t="shared" si="3"/>
        <v>Good</v>
      </c>
      <c r="Q608" s="65"/>
      <c r="R608" s="65"/>
      <c r="S608" s="65"/>
      <c r="T608" s="65"/>
      <c r="U608" s="6"/>
      <c r="V608" s="6" t="str">
        <f>IFERROR(__xludf.DUMMYFUNCTION("""COMPUTED_VALUE"""),"tech.warehouse.stackable_racks_lvl_3")</f>
        <v>tech.warehouse.stackable_racks_lvl_3</v>
      </c>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row>
    <row r="609" ht="14.25" customHeight="1">
      <c r="A609" s="26" t="str">
        <f t="shared" si="1"/>
        <v>tech.windmill.bone_meal</v>
      </c>
      <c r="B609" s="26" t="str">
        <f t="array" ref="B609">_xlfn.XLOOKUP(A609,Targets!A:A,Targets!C:C,"")</f>
        <v>TECH</v>
      </c>
      <c r="C609" s="64" t="b">
        <f>COUNTIF(Targets!A:A,A609)&gt;0</f>
        <v>1</v>
      </c>
      <c r="D609" s="64" t="b">
        <f>IF(
 OR(
  LEFT(A609,15)="state.character",
  RIGHT(A609,6)=".maxed"
 ),
 TRUE,
 COUNTIF(Checklist!A:A,A609)&gt;0
)</f>
        <v>1</v>
      </c>
      <c r="E609" s="64" t="b">
        <f>IF(
 OR(
  LEFT(A609,15)="state.character",
  RIGHT(A609,6)=".maxed",
  A609="building.guild@1",
  A609="quest.build_the_guild.accepted",
  A609="quest.build_the_pagoda.accepted"
 ),
 TRUE,
 COUNTIF(Dependencies!A:A,A609)&gt;0
)</f>
        <v>1</v>
      </c>
      <c r="F609" s="64" t="b">
        <f>COUNTIF(Dependencies!B:B,A609)&gt;0</f>
        <v>0</v>
      </c>
      <c r="G609" s="64" t="b">
        <f>COUNTIF(QuestObjectives!A:A,A609)&gt;0</f>
        <v>0</v>
      </c>
      <c r="H609" s="64" t="b">
        <f>COUNTIF(QuestObjectives!E:E,A609)&gt;0</f>
        <v>0</v>
      </c>
      <c r="I609" s="64" t="b">
        <f>COUNTIF(TargetStatus!A:A,A609)&gt;0</f>
        <v>1</v>
      </c>
      <c r="J609" s="64" t="b">
        <f>COUNTIF(CostStatus!B:B,A609)&gt;0</f>
        <v>1</v>
      </c>
      <c r="K609" s="64" t="b">
        <f>COUNTIF(States!A:A,A609)&gt;0</f>
        <v>0</v>
      </c>
      <c r="L609" s="64" t="b">
        <f t="shared" si="2"/>
        <v>1</v>
      </c>
      <c r="M609" s="64" t="b">
        <f>IF(A609="","",COUNTIF(Targets!A:A,A609)&gt;1)</f>
        <v>0</v>
      </c>
      <c r="N609" s="64" t="b">
        <f>IF(A609="","",COUNTIF(States!A:A,A609)&gt;1)</f>
        <v>0</v>
      </c>
      <c r="O609" s="64" t="b">
        <f>IFERROR(__xludf.DUMMYFUNCTION("IF(
 B609="""",
 """",
 SWITCH(
  B609,
  ""BUILDING"",COUNTIF(Buildings!A:A,A609)&gt;0,
  ""CITADEL"",COUNTIF(Citadel!A:A,A609)&gt;0,
  ""COLLECTION"",COUNTIF(Collections!A:A,A609)&gt;0,
  ""CRAFTIFACT"",COUNTIF(Craftifacts!A:A,A609)&gt;0,
  ""QUEST"",
   COUNTIF(
 "&amp;"   Quests!A:A,
    REGEXREPLACE(A609,""\.(accepted|finished)$"","""")
   )&gt;0,
  ""TECH"",COUNTIF(Technologies!A:A,A609)&gt;0,
  ""STATE"",COUNTIF(States!A:A,A609)&gt;0,
  FALSE
 )
)"),TRUE)</f>
        <v>1</v>
      </c>
      <c r="P609" s="64" t="str">
        <f t="shared" si="3"/>
        <v>Good</v>
      </c>
      <c r="Q609" s="65"/>
      <c r="R609" s="65"/>
      <c r="S609" s="65"/>
      <c r="T609" s="65"/>
      <c r="U609" s="6"/>
      <c r="V609" s="6" t="str">
        <f>IFERROR(__xludf.DUMMYFUNCTION("""COMPUTED_VALUE"""),"tech.windmill.bone_meal")</f>
        <v>tech.windmill.bone_meal</v>
      </c>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row>
    <row r="610" ht="14.25" customHeight="1">
      <c r="A610" s="26" t="str">
        <f t="shared" si="1"/>
        <v>tech.workshop.conveyor_lvl_1</v>
      </c>
      <c r="B610" s="26" t="str">
        <f t="array" ref="B610">_xlfn.XLOOKUP(A610,Targets!A:A,Targets!C:C,"")</f>
        <v>TECH</v>
      </c>
      <c r="C610" s="64" t="b">
        <f>COUNTIF(Targets!A:A,A610)&gt;0</f>
        <v>1</v>
      </c>
      <c r="D610" s="64" t="b">
        <f>IF(
 OR(
  LEFT(A610,15)="state.character",
  RIGHT(A610,6)=".maxed"
 ),
 TRUE,
 COUNTIF(Checklist!A:A,A610)&gt;0
)</f>
        <v>1</v>
      </c>
      <c r="E610" s="64" t="b">
        <f>IF(
 OR(
  LEFT(A610,15)="state.character",
  RIGHT(A610,6)=".maxed",
  A610="building.guild@1",
  A610="quest.build_the_guild.accepted",
  A610="quest.build_the_pagoda.accepted"
 ),
 TRUE,
 COUNTIF(Dependencies!A:A,A610)&gt;0
)</f>
        <v>1</v>
      </c>
      <c r="F610" s="64" t="b">
        <f>COUNTIF(Dependencies!B:B,A610)&gt;0</f>
        <v>1</v>
      </c>
      <c r="G610" s="64" t="b">
        <f>COUNTIF(QuestObjectives!A:A,A610)&gt;0</f>
        <v>0</v>
      </c>
      <c r="H610" s="64" t="b">
        <f>COUNTIF(QuestObjectives!E:E,A610)&gt;0</f>
        <v>0</v>
      </c>
      <c r="I610" s="64" t="b">
        <f>COUNTIF(TargetStatus!A:A,A610)&gt;0</f>
        <v>1</v>
      </c>
      <c r="J610" s="64" t="b">
        <f>COUNTIF(CostStatus!B:B,A610)&gt;0</f>
        <v>1</v>
      </c>
      <c r="K610" s="64" t="b">
        <f>COUNTIF(States!A:A,A610)&gt;0</f>
        <v>0</v>
      </c>
      <c r="L610" s="64" t="b">
        <f t="shared" si="2"/>
        <v>1</v>
      </c>
      <c r="M610" s="64" t="b">
        <f>IF(A610="","",COUNTIF(Targets!A:A,A610)&gt;1)</f>
        <v>0</v>
      </c>
      <c r="N610" s="64" t="b">
        <f>IF(A610="","",COUNTIF(States!A:A,A610)&gt;1)</f>
        <v>0</v>
      </c>
      <c r="O610" s="64" t="b">
        <f>IFERROR(__xludf.DUMMYFUNCTION("IF(
 B610="""",
 """",
 SWITCH(
  B610,
  ""BUILDING"",COUNTIF(Buildings!A:A,A610)&gt;0,
  ""CITADEL"",COUNTIF(Citadel!A:A,A610)&gt;0,
  ""COLLECTION"",COUNTIF(Collections!A:A,A610)&gt;0,
  ""CRAFTIFACT"",COUNTIF(Craftifacts!A:A,A610)&gt;0,
  ""QUEST"",
   COUNTIF(
 "&amp;"   Quests!A:A,
    REGEXREPLACE(A610,""\.(accepted|finished)$"","""")
   )&gt;0,
  ""TECH"",COUNTIF(Technologies!A:A,A610)&gt;0,
  ""STATE"",COUNTIF(States!A:A,A610)&gt;0,
  FALSE
 )
)"),TRUE)</f>
        <v>1</v>
      </c>
      <c r="P610" s="64" t="str">
        <f t="shared" si="3"/>
        <v>Good</v>
      </c>
      <c r="Q610" s="65"/>
      <c r="R610" s="65"/>
      <c r="S610" s="65"/>
      <c r="T610" s="65"/>
      <c r="U610" s="6"/>
      <c r="V610" s="6" t="str">
        <f>IFERROR(__xludf.DUMMYFUNCTION("""COMPUTED_VALUE"""),"tech.workshop.conveyor_lvl_1")</f>
        <v>tech.workshop.conveyor_lvl_1</v>
      </c>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row>
    <row r="611" ht="14.25" customHeight="1">
      <c r="A611" s="26" t="str">
        <f t="shared" si="1"/>
        <v>tech.workshop.conveyor_lvl_2</v>
      </c>
      <c r="B611" s="26" t="str">
        <f t="array" ref="B611">_xlfn.XLOOKUP(A611,Targets!A:A,Targets!C:C,"")</f>
        <v>TECH</v>
      </c>
      <c r="C611" s="64" t="b">
        <f>COUNTIF(Targets!A:A,A611)&gt;0</f>
        <v>1</v>
      </c>
      <c r="D611" s="64" t="b">
        <f>IF(
 OR(
  LEFT(A611,15)="state.character",
  RIGHT(A611,6)=".maxed"
 ),
 TRUE,
 COUNTIF(Checklist!A:A,A611)&gt;0
)</f>
        <v>1</v>
      </c>
      <c r="E611" s="64" t="b">
        <f>IF(
 OR(
  LEFT(A611,15)="state.character",
  RIGHT(A611,6)=".maxed",
  A611="building.guild@1",
  A611="quest.build_the_guild.accepted",
  A611="quest.build_the_pagoda.accepted"
 ),
 TRUE,
 COUNTIF(Dependencies!A:A,A611)&gt;0
)</f>
        <v>1</v>
      </c>
      <c r="F611" s="64" t="b">
        <f>COUNTIF(Dependencies!B:B,A611)&gt;0</f>
        <v>0</v>
      </c>
      <c r="G611" s="64" t="b">
        <f>COUNTIF(QuestObjectives!A:A,A611)&gt;0</f>
        <v>0</v>
      </c>
      <c r="H611" s="64" t="b">
        <f>COUNTIF(QuestObjectives!E:E,A611)&gt;0</f>
        <v>0</v>
      </c>
      <c r="I611" s="64" t="b">
        <f>COUNTIF(TargetStatus!A:A,A611)&gt;0</f>
        <v>1</v>
      </c>
      <c r="J611" s="64" t="b">
        <f>COUNTIF(CostStatus!B:B,A611)&gt;0</f>
        <v>1</v>
      </c>
      <c r="K611" s="64" t="b">
        <f>COUNTIF(States!A:A,A611)&gt;0</f>
        <v>0</v>
      </c>
      <c r="L611" s="64" t="b">
        <f t="shared" si="2"/>
        <v>1</v>
      </c>
      <c r="M611" s="64" t="b">
        <f>IF(A611="","",COUNTIF(Targets!A:A,A611)&gt;1)</f>
        <v>0</v>
      </c>
      <c r="N611" s="64" t="b">
        <f>IF(A611="","",COUNTIF(States!A:A,A611)&gt;1)</f>
        <v>0</v>
      </c>
      <c r="O611" s="64" t="b">
        <f>IFERROR(__xludf.DUMMYFUNCTION("IF(
 B611="""",
 """",
 SWITCH(
  B611,
  ""BUILDING"",COUNTIF(Buildings!A:A,A611)&gt;0,
  ""CITADEL"",COUNTIF(Citadel!A:A,A611)&gt;0,
  ""COLLECTION"",COUNTIF(Collections!A:A,A611)&gt;0,
  ""CRAFTIFACT"",COUNTIF(Craftifacts!A:A,A611)&gt;0,
  ""QUEST"",
   COUNTIF(
 "&amp;"   Quests!A:A,
    REGEXREPLACE(A611,""\.(accepted|finished)$"","""")
   )&gt;0,
  ""TECH"",COUNTIF(Technologies!A:A,A611)&gt;0,
  ""STATE"",COUNTIF(States!A:A,A611)&gt;0,
  FALSE
 )
)"),TRUE)</f>
        <v>1</v>
      </c>
      <c r="P611" s="64" t="str">
        <f t="shared" si="3"/>
        <v>Good</v>
      </c>
      <c r="Q611" s="65"/>
      <c r="R611" s="65"/>
      <c r="S611" s="65"/>
      <c r="T611" s="65"/>
      <c r="U611" s="6"/>
      <c r="V611" s="6" t="str">
        <f>IFERROR(__xludf.DUMMYFUNCTION("""COMPUTED_VALUE"""),"tech.workshop.conveyor_lvl_2")</f>
        <v>tech.workshop.conveyor_lvl_2</v>
      </c>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row>
    <row r="612" ht="14.25" customHeight="1">
      <c r="A612" s="26" t="str">
        <f t="shared" si="1"/>
        <v>tech.workshop.explosive_mechanical_spider</v>
      </c>
      <c r="B612" s="26" t="str">
        <f t="array" ref="B612">_xlfn.XLOOKUP(A612,Targets!A:A,Targets!C:C,"")</f>
        <v>TECH</v>
      </c>
      <c r="C612" s="64" t="b">
        <f>COUNTIF(Targets!A:A,A612)&gt;0</f>
        <v>1</v>
      </c>
      <c r="D612" s="64" t="b">
        <f>IF(
 OR(
  LEFT(A612,15)="state.character",
  RIGHT(A612,6)=".maxed"
 ),
 TRUE,
 COUNTIF(Checklist!A:A,A612)&gt;0
)</f>
        <v>1</v>
      </c>
      <c r="E612" s="64" t="b">
        <f>IF(
 OR(
  LEFT(A612,15)="state.character",
  RIGHT(A612,6)=".maxed",
  A612="building.guild@1",
  A612="quest.build_the_guild.accepted",
  A612="quest.build_the_pagoda.accepted"
 ),
 TRUE,
 COUNTIF(Dependencies!A:A,A612)&gt;0
)</f>
        <v>1</v>
      </c>
      <c r="F612" s="64" t="b">
        <f>COUNTIF(Dependencies!B:B,A612)&gt;0</f>
        <v>0</v>
      </c>
      <c r="G612" s="64" t="b">
        <f>COUNTIF(QuestObjectives!A:A,A612)&gt;0</f>
        <v>0</v>
      </c>
      <c r="H612" s="64" t="b">
        <f>COUNTIF(QuestObjectives!E:E,A612)&gt;0</f>
        <v>0</v>
      </c>
      <c r="I612" s="64" t="b">
        <f>COUNTIF(TargetStatus!A:A,A612)&gt;0</f>
        <v>1</v>
      </c>
      <c r="J612" s="64" t="b">
        <f>COUNTIF(CostStatus!B:B,A612)&gt;0</f>
        <v>1</v>
      </c>
      <c r="K612" s="64" t="b">
        <f>COUNTIF(States!A:A,A612)&gt;0</f>
        <v>0</v>
      </c>
      <c r="L612" s="64" t="b">
        <f t="shared" si="2"/>
        <v>1</v>
      </c>
      <c r="M612" s="64" t="b">
        <f>IF(A612="","",COUNTIF(Targets!A:A,A612)&gt;1)</f>
        <v>0</v>
      </c>
      <c r="N612" s="64" t="b">
        <f>IF(A612="","",COUNTIF(States!A:A,A612)&gt;1)</f>
        <v>0</v>
      </c>
      <c r="O612" s="64" t="b">
        <f>IFERROR(__xludf.DUMMYFUNCTION("IF(
 B612="""",
 """",
 SWITCH(
  B612,
  ""BUILDING"",COUNTIF(Buildings!A:A,A612)&gt;0,
  ""CITADEL"",COUNTIF(Citadel!A:A,A612)&gt;0,
  ""COLLECTION"",COUNTIF(Collections!A:A,A612)&gt;0,
  ""CRAFTIFACT"",COUNTIF(Craftifacts!A:A,A612)&gt;0,
  ""QUEST"",
   COUNTIF(
 "&amp;"   Quests!A:A,
    REGEXREPLACE(A612,""\.(accepted|finished)$"","""")
   )&gt;0,
  ""TECH"",COUNTIF(Technologies!A:A,A612)&gt;0,
  ""STATE"",COUNTIF(States!A:A,A612)&gt;0,
  FALSE
 )
)"),TRUE)</f>
        <v>1</v>
      </c>
      <c r="P612" s="64" t="str">
        <f t="shared" si="3"/>
        <v>Good</v>
      </c>
      <c r="Q612" s="65"/>
      <c r="R612" s="65"/>
      <c r="S612" s="65"/>
      <c r="T612" s="65"/>
      <c r="U612" s="6"/>
      <c r="V612" s="6" t="str">
        <f>IFERROR(__xludf.DUMMYFUNCTION("""COMPUTED_VALUE"""),"tech.workshop.explosive_mechanical_spider")</f>
        <v>tech.workshop.explosive_mechanical_spider</v>
      </c>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row>
    <row r="613" ht="14.25" customHeight="1">
      <c r="A613" s="26" t="str">
        <f t="shared" si="1"/>
        <v>tech.workshop.mechanical_spider</v>
      </c>
      <c r="B613" s="26" t="str">
        <f t="array" ref="B613">_xlfn.XLOOKUP(A613,Targets!A:A,Targets!C:C,"")</f>
        <v>TECH</v>
      </c>
      <c r="C613" s="64" t="b">
        <f>COUNTIF(Targets!A:A,A613)&gt;0</f>
        <v>1</v>
      </c>
      <c r="D613" s="64" t="b">
        <f>IF(
 OR(
  LEFT(A613,15)="state.character",
  RIGHT(A613,6)=".maxed"
 ),
 TRUE,
 COUNTIF(Checklist!A:A,A613)&gt;0
)</f>
        <v>1</v>
      </c>
      <c r="E613" s="64" t="b">
        <f>IF(
 OR(
  LEFT(A613,15)="state.character",
  RIGHT(A613,6)=".maxed",
  A613="building.guild@1",
  A613="quest.build_the_guild.accepted",
  A613="quest.build_the_pagoda.accepted"
 ),
 TRUE,
 COUNTIF(Dependencies!A:A,A613)&gt;0
)</f>
        <v>1</v>
      </c>
      <c r="F613" s="64" t="b">
        <f>COUNTIF(Dependencies!B:B,A613)&gt;0</f>
        <v>1</v>
      </c>
      <c r="G613" s="64" t="b">
        <f>COUNTIF(QuestObjectives!A:A,A613)&gt;0</f>
        <v>0</v>
      </c>
      <c r="H613" s="64" t="b">
        <f>COUNTIF(QuestObjectives!E:E,A613)&gt;0</f>
        <v>0</v>
      </c>
      <c r="I613" s="64" t="b">
        <f>COUNTIF(TargetStatus!A:A,A613)&gt;0</f>
        <v>1</v>
      </c>
      <c r="J613" s="64" t="b">
        <f>COUNTIF(CostStatus!B:B,A613)&gt;0</f>
        <v>1</v>
      </c>
      <c r="K613" s="64" t="b">
        <f>COUNTIF(States!A:A,A613)&gt;0</f>
        <v>0</v>
      </c>
      <c r="L613" s="64" t="b">
        <f t="shared" si="2"/>
        <v>1</v>
      </c>
      <c r="M613" s="64" t="b">
        <f>IF(A613="","",COUNTIF(Targets!A:A,A613)&gt;1)</f>
        <v>0</v>
      </c>
      <c r="N613" s="64" t="b">
        <f>IF(A613="","",COUNTIF(States!A:A,A613)&gt;1)</f>
        <v>0</v>
      </c>
      <c r="O613" s="64" t="b">
        <f>IFERROR(__xludf.DUMMYFUNCTION("IF(
 B613="""",
 """",
 SWITCH(
  B613,
  ""BUILDING"",COUNTIF(Buildings!A:A,A613)&gt;0,
  ""CITADEL"",COUNTIF(Citadel!A:A,A613)&gt;0,
  ""COLLECTION"",COUNTIF(Collections!A:A,A613)&gt;0,
  ""CRAFTIFACT"",COUNTIF(Craftifacts!A:A,A613)&gt;0,
  ""QUEST"",
   COUNTIF(
 "&amp;"   Quests!A:A,
    REGEXREPLACE(A613,""\.(accepted|finished)$"","""")
   )&gt;0,
  ""TECH"",COUNTIF(Technologies!A:A,A613)&gt;0,
  ""STATE"",COUNTIF(States!A:A,A613)&gt;0,
  FALSE
 )
)"),TRUE)</f>
        <v>1</v>
      </c>
      <c r="P613" s="64" t="str">
        <f t="shared" si="3"/>
        <v>Good</v>
      </c>
      <c r="Q613" s="65"/>
      <c r="R613" s="65"/>
      <c r="S613" s="65"/>
      <c r="T613" s="65"/>
      <c r="U613" s="6"/>
      <c r="V613" s="6" t="str">
        <f>IFERROR(__xludf.DUMMYFUNCTION("""COMPUTED_VALUE"""),"tech.workshop.mechanical_spider")</f>
        <v>tech.workshop.mechanical_spider</v>
      </c>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row>
    <row r="614" ht="14.25" customHeight="1">
      <c r="A614" s="26" t="str">
        <f t="shared" si="1"/>
        <v>tech.workshop.mechanism</v>
      </c>
      <c r="B614" s="26" t="str">
        <f t="array" ref="B614">_xlfn.XLOOKUP(A614,Targets!A:A,Targets!C:C,"")</f>
        <v>TECH</v>
      </c>
      <c r="C614" s="64" t="b">
        <f>COUNTIF(Targets!A:A,A614)&gt;0</f>
        <v>1</v>
      </c>
      <c r="D614" s="64" t="b">
        <f>IF(
 OR(
  LEFT(A614,15)="state.character",
  RIGHT(A614,6)=".maxed"
 ),
 TRUE,
 COUNTIF(Checklist!A:A,A614)&gt;0
)</f>
        <v>1</v>
      </c>
      <c r="E614" s="64" t="b">
        <f>IF(
 OR(
  LEFT(A614,15)="state.character",
  RIGHT(A614,6)=".maxed",
  A614="building.guild@1",
  A614="quest.build_the_guild.accepted",
  A614="quest.build_the_pagoda.accepted"
 ),
 TRUE,
 COUNTIF(Dependencies!A:A,A614)&gt;0
)</f>
        <v>1</v>
      </c>
      <c r="F614" s="64" t="b">
        <f>COUNTIF(Dependencies!B:B,A614)&gt;0</f>
        <v>1</v>
      </c>
      <c r="G614" s="64" t="b">
        <f>COUNTIF(QuestObjectives!A:A,A614)&gt;0</f>
        <v>0</v>
      </c>
      <c r="H614" s="64" t="b">
        <f>COUNTIF(QuestObjectives!E:E,A614)&gt;0</f>
        <v>0</v>
      </c>
      <c r="I614" s="64" t="b">
        <f>COUNTIF(TargetStatus!A:A,A614)&gt;0</f>
        <v>1</v>
      </c>
      <c r="J614" s="64" t="b">
        <f>COUNTIF(CostStatus!B:B,A614)&gt;0</f>
        <v>1</v>
      </c>
      <c r="K614" s="64" t="b">
        <f>COUNTIF(States!A:A,A614)&gt;0</f>
        <v>0</v>
      </c>
      <c r="L614" s="64" t="b">
        <f t="shared" si="2"/>
        <v>1</v>
      </c>
      <c r="M614" s="64" t="b">
        <f>IF(A614="","",COUNTIF(Targets!A:A,A614)&gt;1)</f>
        <v>0</v>
      </c>
      <c r="N614" s="64" t="b">
        <f>IF(A614="","",COUNTIF(States!A:A,A614)&gt;1)</f>
        <v>0</v>
      </c>
      <c r="O614" s="64" t="b">
        <f>IFERROR(__xludf.DUMMYFUNCTION("IF(
 B614="""",
 """",
 SWITCH(
  B614,
  ""BUILDING"",COUNTIF(Buildings!A:A,A614)&gt;0,
  ""CITADEL"",COUNTIF(Citadel!A:A,A614)&gt;0,
  ""COLLECTION"",COUNTIF(Collections!A:A,A614)&gt;0,
  ""CRAFTIFACT"",COUNTIF(Craftifacts!A:A,A614)&gt;0,
  ""QUEST"",
   COUNTIF(
 "&amp;"   Quests!A:A,
    REGEXREPLACE(A614,""\.(accepted|finished)$"","""")
   )&gt;0,
  ""TECH"",COUNTIF(Technologies!A:A,A614)&gt;0,
  ""STATE"",COUNTIF(States!A:A,A614)&gt;0,
  FALSE
 )
)"),TRUE)</f>
        <v>1</v>
      </c>
      <c r="P614" s="64" t="str">
        <f t="shared" si="3"/>
        <v>Good</v>
      </c>
      <c r="S614" s="6"/>
      <c r="T614" s="6"/>
      <c r="U614" s="6"/>
      <c r="V614" s="6" t="str">
        <f>IFERROR(__xludf.DUMMYFUNCTION("""COMPUTED_VALUE"""),"tech.workshop.mechanism")</f>
        <v>tech.workshop.mechanism</v>
      </c>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row>
    <row r="615" ht="14.25" customHeight="1">
      <c r="A615" s="26" t="str">
        <f t="shared" si="1"/>
        <v>tech.workshop.shield_for_a_hero_lvl_1</v>
      </c>
      <c r="B615" s="26" t="str">
        <f t="array" ref="B615">_xlfn.XLOOKUP(A615,Targets!A:A,Targets!C:C,"")</f>
        <v>TECH</v>
      </c>
      <c r="C615" s="64" t="b">
        <f>COUNTIF(Targets!A:A,A615)&gt;0</f>
        <v>1</v>
      </c>
      <c r="D615" s="64" t="b">
        <f>IF(
 OR(
  LEFT(A615,15)="state.character",
  RIGHT(A615,6)=".maxed"
 ),
 TRUE,
 COUNTIF(Checklist!A:A,A615)&gt;0
)</f>
        <v>1</v>
      </c>
      <c r="E615" s="64" t="b">
        <f>IF(
 OR(
  LEFT(A615,15)="state.character",
  RIGHT(A615,6)=".maxed",
  A615="building.guild@1",
  A615="quest.build_the_guild.accepted",
  A615="quest.build_the_pagoda.accepted"
 ),
 TRUE,
 COUNTIF(Dependencies!A:A,A615)&gt;0
)</f>
        <v>1</v>
      </c>
      <c r="F615" s="64" t="b">
        <f>COUNTIF(Dependencies!B:B,A615)&gt;0</f>
        <v>1</v>
      </c>
      <c r="G615" s="64" t="b">
        <f>COUNTIF(QuestObjectives!A:A,A615)&gt;0</f>
        <v>0</v>
      </c>
      <c r="H615" s="64" t="b">
        <f>COUNTIF(QuestObjectives!E:E,A615)&gt;0</f>
        <v>0</v>
      </c>
      <c r="I615" s="64" t="b">
        <f>COUNTIF(TargetStatus!A:A,A615)&gt;0</f>
        <v>1</v>
      </c>
      <c r="J615" s="64" t="b">
        <f>COUNTIF(CostStatus!B:B,A615)&gt;0</f>
        <v>1</v>
      </c>
      <c r="K615" s="64" t="b">
        <f>COUNTIF(States!A:A,A615)&gt;0</f>
        <v>0</v>
      </c>
      <c r="L615" s="64" t="b">
        <f t="shared" si="2"/>
        <v>1</v>
      </c>
      <c r="M615" s="64" t="b">
        <f>IF(A615="","",COUNTIF(Targets!A:A,A615)&gt;1)</f>
        <v>0</v>
      </c>
      <c r="N615" s="64" t="b">
        <f>IF(A615="","",COUNTIF(States!A:A,A615)&gt;1)</f>
        <v>0</v>
      </c>
      <c r="O615" s="64" t="b">
        <f>IFERROR(__xludf.DUMMYFUNCTION("IF(
 B615="""",
 """",
 SWITCH(
  B615,
  ""BUILDING"",COUNTIF(Buildings!A:A,A615)&gt;0,
  ""CITADEL"",COUNTIF(Citadel!A:A,A615)&gt;0,
  ""COLLECTION"",COUNTIF(Collections!A:A,A615)&gt;0,
  ""CRAFTIFACT"",COUNTIF(Craftifacts!A:A,A615)&gt;0,
  ""QUEST"",
   COUNTIF(
 "&amp;"   Quests!A:A,
    REGEXREPLACE(A615,""\.(accepted|finished)$"","""")
   )&gt;0,
  ""TECH"",COUNTIF(Technologies!A:A,A615)&gt;0,
  ""STATE"",COUNTIF(States!A:A,A615)&gt;0,
  FALSE
 )
)"),TRUE)</f>
        <v>1</v>
      </c>
      <c r="P615" s="64" t="str">
        <f t="shared" si="3"/>
        <v>Good</v>
      </c>
      <c r="S615" s="6"/>
      <c r="T615" s="6"/>
      <c r="U615" s="6"/>
      <c r="V615" s="6" t="str">
        <f>IFERROR(__xludf.DUMMYFUNCTION("""COMPUTED_VALUE"""),"tech.workshop.shield_for_a_hero_lvl_1")</f>
        <v>tech.workshop.shield_for_a_hero_lvl_1</v>
      </c>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row>
    <row r="616" ht="14.25" customHeight="1">
      <c r="A616" s="26" t="str">
        <f t="shared" si="1"/>
        <v>tech.workshop.shield_for_a_hero_lvl_2</v>
      </c>
      <c r="B616" s="26" t="str">
        <f t="array" ref="B616">_xlfn.XLOOKUP(A616,Targets!A:A,Targets!C:C,"")</f>
        <v>TECH</v>
      </c>
      <c r="C616" s="64" t="b">
        <f>COUNTIF(Targets!A:A,A616)&gt;0</f>
        <v>1</v>
      </c>
      <c r="D616" s="64" t="b">
        <f>IF(
 OR(
  LEFT(A616,15)="state.character",
  RIGHT(A616,6)=".maxed"
 ),
 TRUE,
 COUNTIF(Checklist!A:A,A616)&gt;0
)</f>
        <v>1</v>
      </c>
      <c r="E616" s="64" t="b">
        <f>IF(
 OR(
  LEFT(A616,15)="state.character",
  RIGHT(A616,6)=".maxed",
  A616="building.guild@1",
  A616="quest.build_the_guild.accepted",
  A616="quest.build_the_pagoda.accepted"
 ),
 TRUE,
 COUNTIF(Dependencies!A:A,A616)&gt;0
)</f>
        <v>1</v>
      </c>
      <c r="F616" s="64" t="b">
        <f>COUNTIF(Dependencies!B:B,A616)&gt;0</f>
        <v>1</v>
      </c>
      <c r="G616" s="64" t="b">
        <f>COUNTIF(QuestObjectives!A:A,A616)&gt;0</f>
        <v>0</v>
      </c>
      <c r="H616" s="64" t="b">
        <f>COUNTIF(QuestObjectives!E:E,A616)&gt;0</f>
        <v>0</v>
      </c>
      <c r="I616" s="64" t="b">
        <f>COUNTIF(TargetStatus!A:A,A616)&gt;0</f>
        <v>1</v>
      </c>
      <c r="J616" s="64" t="b">
        <f>COUNTIF(CostStatus!B:B,A616)&gt;0</f>
        <v>1</v>
      </c>
      <c r="K616" s="64" t="b">
        <f>COUNTIF(States!A:A,A616)&gt;0</f>
        <v>0</v>
      </c>
      <c r="L616" s="64" t="b">
        <f t="shared" si="2"/>
        <v>1</v>
      </c>
      <c r="M616" s="64" t="b">
        <f>IF(A616="","",COUNTIF(Targets!A:A,A616)&gt;1)</f>
        <v>0</v>
      </c>
      <c r="N616" s="64" t="b">
        <f>IF(A616="","",COUNTIF(States!A:A,A616)&gt;1)</f>
        <v>0</v>
      </c>
      <c r="O616" s="64" t="b">
        <f>IFERROR(__xludf.DUMMYFUNCTION("IF(
 B616="""",
 """",
 SWITCH(
  B616,
  ""BUILDING"",COUNTIF(Buildings!A:A,A616)&gt;0,
  ""CITADEL"",COUNTIF(Citadel!A:A,A616)&gt;0,
  ""COLLECTION"",COUNTIF(Collections!A:A,A616)&gt;0,
  ""CRAFTIFACT"",COUNTIF(Craftifacts!A:A,A616)&gt;0,
  ""QUEST"",
   COUNTIF(
 "&amp;"   Quests!A:A,
    REGEXREPLACE(A616,""\.(accepted|finished)$"","""")
   )&gt;0,
  ""TECH"",COUNTIF(Technologies!A:A,A616)&gt;0,
  ""STATE"",COUNTIF(States!A:A,A616)&gt;0,
  FALSE
 )
)"),TRUE)</f>
        <v>1</v>
      </c>
      <c r="P616" s="64" t="str">
        <f t="shared" si="3"/>
        <v>Good</v>
      </c>
      <c r="S616" s="6"/>
      <c r="T616" s="6"/>
      <c r="U616" s="6"/>
      <c r="V616" s="6" t="str">
        <f>IFERROR(__xludf.DUMMYFUNCTION("""COMPUTED_VALUE"""),"tech.workshop.shield_for_a_hero_lvl_2")</f>
        <v>tech.workshop.shield_for_a_hero_lvl_2</v>
      </c>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row>
    <row r="617" ht="14.25" customHeight="1">
      <c r="A617" s="26" t="str">
        <f t="shared" si="1"/>
        <v>tech.workshop.shield_for_a_hero_lvl_3</v>
      </c>
      <c r="B617" s="26" t="str">
        <f t="array" ref="B617">_xlfn.XLOOKUP(A617,Targets!A:A,Targets!C:C,"")</f>
        <v>TECH</v>
      </c>
      <c r="C617" s="64" t="b">
        <f>COUNTIF(Targets!A:A,A617)&gt;0</f>
        <v>1</v>
      </c>
      <c r="D617" s="64" t="b">
        <f>IF(
 OR(
  LEFT(A617,15)="state.character",
  RIGHT(A617,6)=".maxed"
 ),
 TRUE,
 COUNTIF(Checklist!A:A,A617)&gt;0
)</f>
        <v>1</v>
      </c>
      <c r="E617" s="64" t="b">
        <f>IF(
 OR(
  LEFT(A617,15)="state.character",
  RIGHT(A617,6)=".maxed",
  A617="building.guild@1",
  A617="quest.build_the_guild.accepted",
  A617="quest.build_the_pagoda.accepted"
 ),
 TRUE,
 COUNTIF(Dependencies!A:A,A617)&gt;0
)</f>
        <v>1</v>
      </c>
      <c r="F617" s="64" t="b">
        <f>COUNTIF(Dependencies!B:B,A617)&gt;0</f>
        <v>1</v>
      </c>
      <c r="G617" s="64" t="b">
        <f>COUNTIF(QuestObjectives!A:A,A617)&gt;0</f>
        <v>0</v>
      </c>
      <c r="H617" s="64" t="b">
        <f>COUNTIF(QuestObjectives!E:E,A617)&gt;0</f>
        <v>0</v>
      </c>
      <c r="I617" s="64" t="b">
        <f>COUNTIF(TargetStatus!A:A,A617)&gt;0</f>
        <v>1</v>
      </c>
      <c r="J617" s="64" t="b">
        <f>COUNTIF(CostStatus!B:B,A617)&gt;0</f>
        <v>1</v>
      </c>
      <c r="K617" s="64" t="b">
        <f>COUNTIF(States!A:A,A617)&gt;0</f>
        <v>0</v>
      </c>
      <c r="L617" s="64" t="b">
        <f t="shared" si="2"/>
        <v>1</v>
      </c>
      <c r="M617" s="64" t="b">
        <f>IF(A617="","",COUNTIF(Targets!A:A,A617)&gt;1)</f>
        <v>0</v>
      </c>
      <c r="N617" s="64" t="b">
        <f>IF(A617="","",COUNTIF(States!A:A,A617)&gt;1)</f>
        <v>0</v>
      </c>
      <c r="O617" s="64" t="b">
        <f>IFERROR(__xludf.DUMMYFUNCTION("IF(
 B617="""",
 """",
 SWITCH(
  B617,
  ""BUILDING"",COUNTIF(Buildings!A:A,A617)&gt;0,
  ""CITADEL"",COUNTIF(Citadel!A:A,A617)&gt;0,
  ""COLLECTION"",COUNTIF(Collections!A:A,A617)&gt;0,
  ""CRAFTIFACT"",COUNTIF(Craftifacts!A:A,A617)&gt;0,
  ""QUEST"",
   COUNTIF(
 "&amp;"   Quests!A:A,
    REGEXREPLACE(A617,""\.(accepted|finished)$"","""")
   )&gt;0,
  ""TECH"",COUNTIF(Technologies!A:A,A617)&gt;0,
  ""STATE"",COUNTIF(States!A:A,A617)&gt;0,
  FALSE
 )
)"),TRUE)</f>
        <v>1</v>
      </c>
      <c r="P617" s="64" t="str">
        <f t="shared" si="3"/>
        <v>Good</v>
      </c>
      <c r="S617" s="6"/>
      <c r="T617" s="6"/>
      <c r="U617" s="6"/>
      <c r="V617" s="6" t="str">
        <f>IFERROR(__xludf.DUMMYFUNCTION("""COMPUTED_VALUE"""),"tech.workshop.shield_for_a_hero_lvl_3")</f>
        <v>tech.workshop.shield_for_a_hero_lvl_3</v>
      </c>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row>
    <row r="618" ht="14.25" customHeight="1">
      <c r="A618" s="26" t="str">
        <f t="shared" si="1"/>
        <v>tech.workshop.shield_for_a_hero_lvl_4</v>
      </c>
      <c r="B618" s="26" t="str">
        <f t="array" ref="B618">_xlfn.XLOOKUP(A618,Targets!A:A,Targets!C:C,"")</f>
        <v>TECH</v>
      </c>
      <c r="C618" s="64" t="b">
        <f>COUNTIF(Targets!A:A,A618)&gt;0</f>
        <v>1</v>
      </c>
      <c r="D618" s="64" t="b">
        <f>IF(
 OR(
  LEFT(A618,15)="state.character",
  RIGHT(A618,6)=".maxed"
 ),
 TRUE,
 COUNTIF(Checklist!A:A,A618)&gt;0
)</f>
        <v>1</v>
      </c>
      <c r="E618" s="64" t="b">
        <f>IF(
 OR(
  LEFT(A618,15)="state.character",
  RIGHT(A618,6)=".maxed",
  A618="building.guild@1",
  A618="quest.build_the_guild.accepted",
  A618="quest.build_the_pagoda.accepted"
 ),
 TRUE,
 COUNTIF(Dependencies!A:A,A618)&gt;0
)</f>
        <v>1</v>
      </c>
      <c r="F618" s="64" t="b">
        <f>COUNTIF(Dependencies!B:B,A618)&gt;0</f>
        <v>1</v>
      </c>
      <c r="G618" s="64" t="b">
        <f>COUNTIF(QuestObjectives!A:A,A618)&gt;0</f>
        <v>0</v>
      </c>
      <c r="H618" s="64" t="b">
        <f>COUNTIF(QuestObjectives!E:E,A618)&gt;0</f>
        <v>0</v>
      </c>
      <c r="I618" s="64" t="b">
        <f>COUNTIF(TargetStatus!A:A,A618)&gt;0</f>
        <v>1</v>
      </c>
      <c r="J618" s="64" t="b">
        <f>COUNTIF(CostStatus!B:B,A618)&gt;0</f>
        <v>1</v>
      </c>
      <c r="K618" s="64" t="b">
        <f>COUNTIF(States!A:A,A618)&gt;0</f>
        <v>0</v>
      </c>
      <c r="L618" s="64" t="b">
        <f t="shared" si="2"/>
        <v>1</v>
      </c>
      <c r="M618" s="64" t="b">
        <f>IF(A618="","",COUNTIF(Targets!A:A,A618)&gt;1)</f>
        <v>0</v>
      </c>
      <c r="N618" s="64" t="b">
        <f>IF(A618="","",COUNTIF(States!A:A,A618)&gt;1)</f>
        <v>0</v>
      </c>
      <c r="O618" s="64" t="b">
        <f>IFERROR(__xludf.DUMMYFUNCTION("IF(
 B618="""",
 """",
 SWITCH(
  B618,
  ""BUILDING"",COUNTIF(Buildings!A:A,A618)&gt;0,
  ""CITADEL"",COUNTIF(Citadel!A:A,A618)&gt;0,
  ""COLLECTION"",COUNTIF(Collections!A:A,A618)&gt;0,
  ""CRAFTIFACT"",COUNTIF(Craftifacts!A:A,A618)&gt;0,
  ""QUEST"",
   COUNTIF(
 "&amp;"   Quests!A:A,
    REGEXREPLACE(A618,""\.(accepted|finished)$"","""")
   )&gt;0,
  ""TECH"",COUNTIF(Technologies!A:A,A618)&gt;0,
  ""STATE"",COUNTIF(States!A:A,A618)&gt;0,
  FALSE
 )
)"),TRUE)</f>
        <v>1</v>
      </c>
      <c r="P618" s="64" t="str">
        <f t="shared" si="3"/>
        <v>Good</v>
      </c>
      <c r="S618" s="6"/>
      <c r="T618" s="6"/>
      <c r="U618" s="6"/>
      <c r="V618" s="6" t="str">
        <f>IFERROR(__xludf.DUMMYFUNCTION("""COMPUTED_VALUE"""),"tech.workshop.shield_for_a_hero_lvl_4")</f>
        <v>tech.workshop.shield_for_a_hero_lvl_4</v>
      </c>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row>
    <row r="619" ht="14.25" customHeight="1">
      <c r="A619" s="26" t="str">
        <f t="shared" si="1"/>
        <v>tech.workshop.shield_for_a_hero_lvl_4+</v>
      </c>
      <c r="B619" s="26" t="str">
        <f t="array" ref="B619">_xlfn.XLOOKUP(A619,Targets!A:A,Targets!C:C,"")</f>
        <v>TECH</v>
      </c>
      <c r="C619" s="64" t="b">
        <f>COUNTIF(Targets!A:A,A619)&gt;0</f>
        <v>1</v>
      </c>
      <c r="D619" s="64" t="b">
        <f>IF(
 OR(
  LEFT(A619,15)="state.character",
  RIGHT(A619,6)=".maxed"
 ),
 TRUE,
 COUNTIF(Checklist!A:A,A619)&gt;0
)</f>
        <v>1</v>
      </c>
      <c r="E619" s="64" t="b">
        <f>IF(
 OR(
  LEFT(A619,15)="state.character",
  RIGHT(A619,6)=".maxed",
  A619="building.guild@1",
  A619="quest.build_the_guild.accepted",
  A619="quest.build_the_pagoda.accepted"
 ),
 TRUE,
 COUNTIF(Dependencies!A:A,A619)&gt;0
)</f>
        <v>1</v>
      </c>
      <c r="F619" s="64" t="b">
        <f>COUNTIF(Dependencies!B:B,A619)&gt;0</f>
        <v>1</v>
      </c>
      <c r="G619" s="64" t="b">
        <f>COUNTIF(QuestObjectives!A:A,A619)&gt;0</f>
        <v>0</v>
      </c>
      <c r="H619" s="64" t="b">
        <f>COUNTIF(QuestObjectives!E:E,A619)&gt;0</f>
        <v>0</v>
      </c>
      <c r="I619" s="64" t="b">
        <f>COUNTIF(TargetStatus!A:A,A619)&gt;0</f>
        <v>1</v>
      </c>
      <c r="J619" s="64" t="b">
        <f>COUNTIF(CostStatus!B:B,A619)&gt;0</f>
        <v>1</v>
      </c>
      <c r="K619" s="64" t="b">
        <f>COUNTIF(States!A:A,A619)&gt;0</f>
        <v>0</v>
      </c>
      <c r="L619" s="64" t="b">
        <f t="shared" si="2"/>
        <v>1</v>
      </c>
      <c r="M619" s="64" t="b">
        <f>IF(A619="","",COUNTIF(Targets!A:A,A619)&gt;1)</f>
        <v>0</v>
      </c>
      <c r="N619" s="64" t="b">
        <f>IF(A619="","",COUNTIF(States!A:A,A619)&gt;1)</f>
        <v>0</v>
      </c>
      <c r="O619" s="64" t="b">
        <f>IFERROR(__xludf.DUMMYFUNCTION("IF(
 B619="""",
 """",
 SWITCH(
  B619,
  ""BUILDING"",COUNTIF(Buildings!A:A,A619)&gt;0,
  ""CITADEL"",COUNTIF(Citadel!A:A,A619)&gt;0,
  ""COLLECTION"",COUNTIF(Collections!A:A,A619)&gt;0,
  ""CRAFTIFACT"",COUNTIF(Craftifacts!A:A,A619)&gt;0,
  ""QUEST"",
   COUNTIF(
 "&amp;"   Quests!A:A,
    REGEXREPLACE(A619,""\.(accepted|finished)$"","""")
   )&gt;0,
  ""TECH"",COUNTIF(Technologies!A:A,A619)&gt;0,
  ""STATE"",COUNTIF(States!A:A,A619)&gt;0,
  FALSE
 )
)"),TRUE)</f>
        <v>1</v>
      </c>
      <c r="P619" s="64" t="str">
        <f t="shared" si="3"/>
        <v>Good</v>
      </c>
      <c r="S619" s="6"/>
      <c r="T619" s="6"/>
      <c r="U619" s="6"/>
      <c r="V619" s="6" t="str">
        <f>IFERROR(__xludf.DUMMYFUNCTION("""COMPUTED_VALUE"""),"tech.workshop.shield_for_a_hero_lvl_4+")</f>
        <v>tech.workshop.shield_for_a_hero_lvl_4+</v>
      </c>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row>
    <row r="620" ht="14.25" customHeight="1">
      <c r="A620" s="26" t="str">
        <f t="shared" si="1"/>
        <v>tech.workshop.steamobile</v>
      </c>
      <c r="B620" s="26" t="str">
        <f t="array" ref="B620">_xlfn.XLOOKUP(A620,Targets!A:A,Targets!C:C,"")</f>
        <v>TECH</v>
      </c>
      <c r="C620" s="64" t="b">
        <f>COUNTIF(Targets!A:A,A620)&gt;0</f>
        <v>1</v>
      </c>
      <c r="D620" s="64" t="b">
        <f>IF(
 OR(
  LEFT(A620,15)="state.character",
  RIGHT(A620,6)=".maxed"
 ),
 TRUE,
 COUNTIF(Checklist!A:A,A620)&gt;0
)</f>
        <v>1</v>
      </c>
      <c r="E620" s="64" t="b">
        <f>IF(
 OR(
  LEFT(A620,15)="state.character",
  RIGHT(A620,6)=".maxed",
  A620="building.guild@1",
  A620="quest.build_the_guild.accepted",
  A620="quest.build_the_pagoda.accepted"
 ),
 TRUE,
 COUNTIF(Dependencies!A:A,A620)&gt;0
)</f>
        <v>1</v>
      </c>
      <c r="F620" s="64" t="b">
        <f>COUNTIF(Dependencies!B:B,A620)&gt;0</f>
        <v>1</v>
      </c>
      <c r="G620" s="64" t="b">
        <f>COUNTIF(QuestObjectives!A:A,A620)&gt;0</f>
        <v>0</v>
      </c>
      <c r="H620" s="64" t="b">
        <f>COUNTIF(QuestObjectives!E:E,A620)&gt;0</f>
        <v>0</v>
      </c>
      <c r="I620" s="64" t="b">
        <f>COUNTIF(TargetStatus!A:A,A620)&gt;0</f>
        <v>1</v>
      </c>
      <c r="J620" s="64" t="b">
        <f>COUNTIF(CostStatus!B:B,A620)&gt;0</f>
        <v>1</v>
      </c>
      <c r="K620" s="64" t="b">
        <f>COUNTIF(States!A:A,A620)&gt;0</f>
        <v>0</v>
      </c>
      <c r="L620" s="64" t="b">
        <f t="shared" si="2"/>
        <v>1</v>
      </c>
      <c r="M620" s="64" t="b">
        <f>IF(A620="","",COUNTIF(Targets!A:A,A620)&gt;1)</f>
        <v>0</v>
      </c>
      <c r="N620" s="64" t="b">
        <f>IF(A620="","",COUNTIF(States!A:A,A620)&gt;1)</f>
        <v>0</v>
      </c>
      <c r="O620" s="64" t="b">
        <f>IFERROR(__xludf.DUMMYFUNCTION("IF(
 B620="""",
 """",
 SWITCH(
  B620,
  ""BUILDING"",COUNTIF(Buildings!A:A,A620)&gt;0,
  ""CITADEL"",COUNTIF(Citadel!A:A,A620)&gt;0,
  ""COLLECTION"",COUNTIF(Collections!A:A,A620)&gt;0,
  ""CRAFTIFACT"",COUNTIF(Craftifacts!A:A,A620)&gt;0,
  ""QUEST"",
   COUNTIF(
 "&amp;"   Quests!A:A,
    REGEXREPLACE(A620,""\.(accepted|finished)$"","""")
   )&gt;0,
  ""TECH"",COUNTIF(Technologies!A:A,A620)&gt;0,
  ""STATE"",COUNTIF(States!A:A,A620)&gt;0,
  FALSE
 )
)"),TRUE)</f>
        <v>1</v>
      </c>
      <c r="P620" s="64" t="str">
        <f t="shared" si="3"/>
        <v>Good</v>
      </c>
      <c r="S620" s="6"/>
      <c r="T620" s="6"/>
      <c r="U620" s="6"/>
      <c r="V620" s="6" t="str">
        <f>IFERROR(__xludf.DUMMYFUNCTION("""COMPUTED_VALUE"""),"tech.workshop.steamobile")</f>
        <v>tech.workshop.steamobile</v>
      </c>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row>
    <row r="621" ht="14.25" customHeight="1">
      <c r="A621" s="26" t="str">
        <f t="shared" si="1"/>
        <v>tech.workshop.strong_glue</v>
      </c>
      <c r="B621" s="26" t="str">
        <f t="array" ref="B621">_xlfn.XLOOKUP(A621,Targets!A:A,Targets!C:C,"")</f>
        <v>TECH</v>
      </c>
      <c r="C621" s="64" t="b">
        <f>COUNTIF(Targets!A:A,A621)&gt;0</f>
        <v>1</v>
      </c>
      <c r="D621" s="64" t="b">
        <f>IF(
 OR(
  LEFT(A621,15)="state.character",
  RIGHT(A621,6)=".maxed"
 ),
 TRUE,
 COUNTIF(Checklist!A:A,A621)&gt;0
)</f>
        <v>1</v>
      </c>
      <c r="E621" s="64" t="b">
        <f>IF(
 OR(
  LEFT(A621,15)="state.character",
  RIGHT(A621,6)=".maxed",
  A621="building.guild@1",
  A621="quest.build_the_guild.accepted",
  A621="quest.build_the_pagoda.accepted"
 ),
 TRUE,
 COUNTIF(Dependencies!A:A,A621)&gt;0
)</f>
        <v>1</v>
      </c>
      <c r="F621" s="64" t="b">
        <f>COUNTIF(Dependencies!B:B,A621)&gt;0</f>
        <v>0</v>
      </c>
      <c r="G621" s="64" t="b">
        <f>COUNTIF(QuestObjectives!A:A,A621)&gt;0</f>
        <v>0</v>
      </c>
      <c r="H621" s="64" t="b">
        <f>COUNTIF(QuestObjectives!E:E,A621)&gt;0</f>
        <v>0</v>
      </c>
      <c r="I621" s="64" t="b">
        <f>COUNTIF(TargetStatus!A:A,A621)&gt;0</f>
        <v>1</v>
      </c>
      <c r="J621" s="64" t="b">
        <f>COUNTIF(CostStatus!B:B,A621)&gt;0</f>
        <v>1</v>
      </c>
      <c r="K621" s="64" t="b">
        <f>COUNTIF(States!A:A,A621)&gt;0</f>
        <v>0</v>
      </c>
      <c r="L621" s="64" t="b">
        <f t="shared" si="2"/>
        <v>1</v>
      </c>
      <c r="M621" s="64" t="b">
        <f>IF(A621="","",COUNTIF(Targets!A:A,A621)&gt;1)</f>
        <v>0</v>
      </c>
      <c r="N621" s="64" t="b">
        <f>IF(A621="","",COUNTIF(States!A:A,A621)&gt;1)</f>
        <v>0</v>
      </c>
      <c r="O621" s="64" t="b">
        <f>IFERROR(__xludf.DUMMYFUNCTION("IF(
 B621="""",
 """",
 SWITCH(
  B621,
  ""BUILDING"",COUNTIF(Buildings!A:A,A621)&gt;0,
  ""CITADEL"",COUNTIF(Citadel!A:A,A621)&gt;0,
  ""COLLECTION"",COUNTIF(Collections!A:A,A621)&gt;0,
  ""CRAFTIFACT"",COUNTIF(Craftifacts!A:A,A621)&gt;0,
  ""QUEST"",
   COUNTIF(
 "&amp;"   Quests!A:A,
    REGEXREPLACE(A621,""\.(accepted|finished)$"","""")
   )&gt;0,
  ""TECH"",COUNTIF(Technologies!A:A,A621)&gt;0,
  ""STATE"",COUNTIF(States!A:A,A621)&gt;0,
  FALSE
 )
)"),TRUE)</f>
        <v>1</v>
      </c>
      <c r="P621" s="64" t="str">
        <f t="shared" si="3"/>
        <v>Good</v>
      </c>
      <c r="S621" s="6"/>
      <c r="T621" s="6"/>
      <c r="U621" s="6"/>
      <c r="V621" s="6" t="str">
        <f>IFERROR(__xludf.DUMMYFUNCTION("""COMPUTED_VALUE"""),"tech.workshop.strong_glue")</f>
        <v>tech.workshop.strong_glue</v>
      </c>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row>
    <row r="622" ht="14.25" customHeight="1">
      <c r="A622" s="26" t="str">
        <f t="shared" si="1"/>
        <v>tech.workshop.throwing_net</v>
      </c>
      <c r="B622" s="26" t="str">
        <f t="array" ref="B622">_xlfn.XLOOKUP(A622,Targets!A:A,Targets!C:C,"")</f>
        <v>TECH</v>
      </c>
      <c r="C622" s="64" t="b">
        <f>COUNTIF(Targets!A:A,A622)&gt;0</f>
        <v>1</v>
      </c>
      <c r="D622" s="64" t="b">
        <f>IF(
 OR(
  LEFT(A622,15)="state.character",
  RIGHT(A622,6)=".maxed"
 ),
 TRUE,
 COUNTIF(Checklist!A:A,A622)&gt;0
)</f>
        <v>1</v>
      </c>
      <c r="E622" s="64" t="b">
        <f>IF(
 OR(
  LEFT(A622,15)="state.character",
  RIGHT(A622,6)=".maxed",
  A622="building.guild@1",
  A622="quest.build_the_guild.accepted",
  A622="quest.build_the_pagoda.accepted"
 ),
 TRUE,
 COUNTIF(Dependencies!A:A,A622)&gt;0
)</f>
        <v>1</v>
      </c>
      <c r="F622" s="64" t="b">
        <f>COUNTIF(Dependencies!B:B,A622)&gt;0</f>
        <v>0</v>
      </c>
      <c r="G622" s="64" t="b">
        <f>COUNTIF(QuestObjectives!A:A,A622)&gt;0</f>
        <v>0</v>
      </c>
      <c r="H622" s="64" t="b">
        <f>COUNTIF(QuestObjectives!E:E,A622)&gt;0</f>
        <v>0</v>
      </c>
      <c r="I622" s="64" t="b">
        <f>COUNTIF(TargetStatus!A:A,A622)&gt;0</f>
        <v>1</v>
      </c>
      <c r="J622" s="64" t="b">
        <f>COUNTIF(CostStatus!B:B,A622)&gt;0</f>
        <v>1</v>
      </c>
      <c r="K622" s="64" t="b">
        <f>COUNTIF(States!A:A,A622)&gt;0</f>
        <v>0</v>
      </c>
      <c r="L622" s="64" t="b">
        <f t="shared" si="2"/>
        <v>1</v>
      </c>
      <c r="M622" s="64" t="b">
        <f>IF(A622="","",COUNTIF(Targets!A:A,A622)&gt;1)</f>
        <v>0</v>
      </c>
      <c r="N622" s="64" t="b">
        <f>IF(A622="","",COUNTIF(States!A:A,A622)&gt;1)</f>
        <v>0</v>
      </c>
      <c r="O622" s="64" t="b">
        <f>IFERROR(__xludf.DUMMYFUNCTION("IF(
 B622="""",
 """",
 SWITCH(
  B622,
  ""BUILDING"",COUNTIF(Buildings!A:A,A622)&gt;0,
  ""CITADEL"",COUNTIF(Citadel!A:A,A622)&gt;0,
  ""COLLECTION"",COUNTIF(Collections!A:A,A622)&gt;0,
  ""CRAFTIFACT"",COUNTIF(Craftifacts!A:A,A622)&gt;0,
  ""QUEST"",
   COUNTIF(
 "&amp;"   Quests!A:A,
    REGEXREPLACE(A622,""\.(accepted|finished)$"","""")
   )&gt;0,
  ""TECH"",COUNTIF(Technologies!A:A,A622)&gt;0,
  ""STATE"",COUNTIF(States!A:A,A622)&gt;0,
  FALSE
 )
)"),TRUE)</f>
        <v>1</v>
      </c>
      <c r="P622" s="64" t="str">
        <f t="shared" si="3"/>
        <v>Good</v>
      </c>
      <c r="S622" s="6"/>
      <c r="T622" s="6"/>
      <c r="U622" s="6"/>
      <c r="V622" s="6" t="str">
        <f>IFERROR(__xludf.DUMMYFUNCTION("""COMPUTED_VALUE"""),"tech.workshop.throwing_net")</f>
        <v>tech.workshop.throwing_net</v>
      </c>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row>
    <row r="623" ht="14.25" customHeight="1">
      <c r="A623" s="26" t="str">
        <f t="shared" si="1"/>
        <v>tech.workshop.zen_fountain</v>
      </c>
      <c r="B623" s="26" t="str">
        <f t="array" ref="B623">_xlfn.XLOOKUP(A623,Targets!A:A,Targets!C:C,"")</f>
        <v>TECH</v>
      </c>
      <c r="C623" s="64" t="b">
        <f>COUNTIF(Targets!A:A,A623)&gt;0</f>
        <v>1</v>
      </c>
      <c r="D623" s="64" t="b">
        <f>IF(
 OR(
  LEFT(A623,15)="state.character",
  RIGHT(A623,6)=".maxed"
 ),
 TRUE,
 COUNTIF(Checklist!A:A,A623)&gt;0
)</f>
        <v>1</v>
      </c>
      <c r="E623" s="64" t="b">
        <f>IF(
 OR(
  LEFT(A623,15)="state.character",
  RIGHT(A623,6)=".maxed",
  A623="building.guild@1",
  A623="quest.build_the_guild.accepted",
  A623="quest.build_the_pagoda.accepted"
 ),
 TRUE,
 COUNTIF(Dependencies!A:A,A623)&gt;0
)</f>
        <v>1</v>
      </c>
      <c r="F623" s="64" t="b">
        <f>COUNTIF(Dependencies!B:B,A623)&gt;0</f>
        <v>0</v>
      </c>
      <c r="G623" s="64" t="b">
        <f>COUNTIF(QuestObjectives!A:A,A623)&gt;0</f>
        <v>0</v>
      </c>
      <c r="H623" s="64" t="b">
        <f>COUNTIF(QuestObjectives!E:E,A623)&gt;0</f>
        <v>0</v>
      </c>
      <c r="I623" s="64" t="b">
        <f>COUNTIF(TargetStatus!A:A,A623)&gt;0</f>
        <v>1</v>
      </c>
      <c r="J623" s="64" t="b">
        <f>COUNTIF(CostStatus!B:B,A623)&gt;0</f>
        <v>1</v>
      </c>
      <c r="K623" s="64" t="b">
        <f>COUNTIF(States!A:A,A623)&gt;0</f>
        <v>0</v>
      </c>
      <c r="L623" s="64" t="b">
        <f t="shared" si="2"/>
        <v>1</v>
      </c>
      <c r="M623" s="64" t="b">
        <f>IF(A623="","",COUNTIF(Targets!A:A,A623)&gt;1)</f>
        <v>0</v>
      </c>
      <c r="N623" s="64" t="b">
        <f>IF(A623="","",COUNTIF(States!A:A,A623)&gt;1)</f>
        <v>0</v>
      </c>
      <c r="O623" s="64" t="b">
        <f>IFERROR(__xludf.DUMMYFUNCTION("IF(
 B623="""",
 """",
 SWITCH(
  B623,
  ""BUILDING"",COUNTIF(Buildings!A:A,A623)&gt;0,
  ""CITADEL"",COUNTIF(Citadel!A:A,A623)&gt;0,
  ""COLLECTION"",COUNTIF(Collections!A:A,A623)&gt;0,
  ""CRAFTIFACT"",COUNTIF(Craftifacts!A:A,A623)&gt;0,
  ""QUEST"",
   COUNTIF(
 "&amp;"   Quests!A:A,
    REGEXREPLACE(A623,""\.(accepted|finished)$"","""")
   )&gt;0,
  ""TECH"",COUNTIF(Technologies!A:A,A623)&gt;0,
  ""STATE"",COUNTIF(States!A:A,A623)&gt;0,
  FALSE
 )
)"),TRUE)</f>
        <v>1</v>
      </c>
      <c r="P623" s="64" t="str">
        <f t="shared" si="3"/>
        <v>Good</v>
      </c>
      <c r="S623" s="6"/>
      <c r="T623" s="6"/>
      <c r="U623" s="6"/>
      <c r="V623" s="6" t="str">
        <f>IFERROR(__xludf.DUMMYFUNCTION("""COMPUTED_VALUE"""),"tech.workshop.zen_fountain")</f>
        <v>tech.workshop.zen_fountain</v>
      </c>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row>
    <row r="624" ht="14.25" customHeight="1">
      <c r="A624" s="6"/>
      <c r="B624" s="6"/>
      <c r="C624" s="6"/>
      <c r="D624" s="6"/>
      <c r="E624" s="6"/>
      <c r="F624" s="6"/>
      <c r="G624" s="6"/>
      <c r="H624" s="6"/>
      <c r="I624" s="6"/>
      <c r="J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row>
    <row r="625" ht="14.25" customHeight="1">
      <c r="A625" s="6"/>
      <c r="B625" s="6"/>
      <c r="C625" s="6"/>
      <c r="D625" s="6"/>
      <c r="E625" s="6"/>
      <c r="F625" s="6"/>
      <c r="G625" s="6"/>
      <c r="H625" s="6"/>
      <c r="I625" s="6"/>
      <c r="J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row>
    <row r="626" ht="14.25" customHeight="1">
      <c r="A626" s="6"/>
      <c r="B626" s="6"/>
      <c r="C626" s="6"/>
      <c r="D626" s="6"/>
      <c r="E626" s="6"/>
      <c r="F626" s="6"/>
      <c r="G626" s="6"/>
      <c r="H626" s="6"/>
      <c r="I626" s="6"/>
      <c r="J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row>
    <row r="627" ht="14.25" customHeight="1">
      <c r="A627" s="6"/>
      <c r="B627" s="6"/>
      <c r="C627" s="6"/>
      <c r="D627" s="6"/>
      <c r="E627" s="6"/>
      <c r="F627" s="6"/>
      <c r="G627" s="6"/>
      <c r="H627" s="6"/>
      <c r="I627" s="6"/>
      <c r="J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row>
    <row r="628" ht="14.25" customHeight="1">
      <c r="A628" s="6"/>
      <c r="B628" s="6"/>
      <c r="C628" s="6"/>
      <c r="D628" s="6"/>
      <c r="E628" s="6"/>
      <c r="F628" s="6"/>
      <c r="G628" s="6"/>
      <c r="H628" s="6"/>
      <c r="I628" s="6"/>
      <c r="J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row>
    <row r="629" ht="14.25" customHeight="1">
      <c r="A629" s="6"/>
      <c r="B629" s="6"/>
      <c r="C629" s="6"/>
      <c r="D629" s="6"/>
      <c r="E629" s="6"/>
      <c r="F629" s="6"/>
      <c r="G629" s="6"/>
      <c r="H629" s="6"/>
      <c r="I629" s="6"/>
      <c r="J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row>
    <row r="630" ht="14.25" customHeight="1">
      <c r="A630" s="6"/>
      <c r="B630" s="6"/>
      <c r="C630" s="6"/>
      <c r="D630" s="6"/>
      <c r="E630" s="6"/>
      <c r="F630" s="6"/>
      <c r="G630" s="6"/>
      <c r="H630" s="6"/>
      <c r="I630" s="6"/>
      <c r="J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row>
    <row r="631" ht="14.25" customHeight="1">
      <c r="A631" s="6"/>
      <c r="B631" s="6"/>
      <c r="C631" s="6"/>
      <c r="D631" s="6"/>
      <c r="E631" s="6"/>
      <c r="F631" s="6"/>
      <c r="G631" s="6"/>
      <c r="H631" s="6"/>
      <c r="I631" s="6"/>
      <c r="J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row>
    <row r="632" ht="14.25" customHeight="1">
      <c r="A632" s="6"/>
      <c r="B632" s="6"/>
      <c r="C632" s="6"/>
      <c r="D632" s="6"/>
      <c r="E632" s="6"/>
      <c r="F632" s="6"/>
      <c r="G632" s="6"/>
      <c r="H632" s="6"/>
      <c r="I632" s="6"/>
      <c r="J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row>
    <row r="633" ht="14.25" customHeight="1">
      <c r="A633" s="6"/>
      <c r="B633" s="6"/>
      <c r="C633" s="6"/>
      <c r="D633" s="6"/>
      <c r="E633" s="6"/>
      <c r="F633" s="6"/>
      <c r="G633" s="6"/>
      <c r="H633" s="6"/>
      <c r="I633" s="6"/>
      <c r="J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row>
    <row r="634" ht="14.25" customHeight="1">
      <c r="A634" s="6"/>
      <c r="B634" s="6"/>
      <c r="C634" s="6"/>
      <c r="D634" s="6"/>
      <c r="E634" s="6"/>
      <c r="F634" s="6"/>
      <c r="G634" s="6"/>
      <c r="H634" s="6"/>
      <c r="I634" s="6"/>
      <c r="J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row>
    <row r="635" ht="14.25" customHeight="1">
      <c r="A635" s="6"/>
      <c r="B635" s="6"/>
      <c r="C635" s="6"/>
      <c r="D635" s="6"/>
      <c r="E635" s="6"/>
      <c r="F635" s="6"/>
      <c r="G635" s="6"/>
      <c r="H635" s="6"/>
      <c r="I635" s="6"/>
      <c r="J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row>
    <row r="636" ht="14.25" customHeight="1">
      <c r="A636" s="6"/>
      <c r="B636" s="6"/>
      <c r="C636" s="6"/>
      <c r="D636" s="6"/>
      <c r="E636" s="6"/>
      <c r="F636" s="6"/>
      <c r="G636" s="6"/>
      <c r="H636" s="6"/>
      <c r="I636" s="6"/>
      <c r="J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row>
    <row r="637" ht="14.25" customHeight="1">
      <c r="A637" s="6"/>
      <c r="B637" s="6"/>
      <c r="C637" s="6"/>
      <c r="D637" s="6"/>
      <c r="E637" s="6"/>
      <c r="F637" s="6"/>
      <c r="G637" s="6"/>
      <c r="H637" s="6"/>
      <c r="I637" s="6"/>
      <c r="J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row>
    <row r="638" ht="14.25" customHeight="1">
      <c r="A638" s="6"/>
      <c r="B638" s="6"/>
      <c r="C638" s="6"/>
      <c r="D638" s="6"/>
      <c r="E638" s="6"/>
      <c r="F638" s="6"/>
      <c r="G638" s="6"/>
      <c r="H638" s="6"/>
      <c r="I638" s="6"/>
      <c r="J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row>
    <row r="639" ht="14.25" customHeight="1">
      <c r="A639" s="6"/>
      <c r="B639" s="6"/>
      <c r="C639" s="6"/>
      <c r="D639" s="6"/>
      <c r="E639" s="6"/>
      <c r="F639" s="6"/>
      <c r="G639" s="6"/>
      <c r="H639" s="6"/>
      <c r="I639" s="6"/>
      <c r="J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row>
    <row r="640" ht="14.25" customHeight="1">
      <c r="A640" s="6"/>
      <c r="B640" s="6"/>
      <c r="C640" s="6"/>
      <c r="D640" s="6"/>
      <c r="E640" s="6"/>
      <c r="F640" s="6"/>
      <c r="G640" s="6"/>
      <c r="H640" s="6"/>
      <c r="I640" s="6"/>
      <c r="J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row>
    <row r="641" ht="14.25" customHeight="1">
      <c r="A641" s="6"/>
      <c r="B641" s="6"/>
      <c r="C641" s="6"/>
      <c r="D641" s="6"/>
      <c r="E641" s="6"/>
      <c r="F641" s="6"/>
      <c r="G641" s="6"/>
      <c r="H641" s="6"/>
      <c r="I641" s="6"/>
      <c r="J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row>
    <row r="642" ht="14.25" customHeight="1">
      <c r="A642" s="6"/>
      <c r="B642" s="6"/>
      <c r="C642" s="6"/>
      <c r="D642" s="6"/>
      <c r="E642" s="6"/>
      <c r="F642" s="6"/>
      <c r="G642" s="6"/>
      <c r="H642" s="6"/>
      <c r="I642" s="6"/>
      <c r="J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row>
    <row r="643" ht="14.25" customHeight="1">
      <c r="A643" s="6"/>
      <c r="B643" s="6"/>
      <c r="C643" s="6"/>
      <c r="D643" s="6"/>
      <c r="E643" s="6"/>
      <c r="F643" s="6"/>
      <c r="G643" s="6"/>
      <c r="H643" s="6"/>
      <c r="I643" s="6"/>
      <c r="J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row>
    <row r="644" ht="14.25" customHeight="1">
      <c r="A644" s="6"/>
      <c r="B644" s="6"/>
      <c r="C644" s="6"/>
      <c r="D644" s="6"/>
      <c r="E644" s="6"/>
      <c r="F644" s="6"/>
      <c r="G644" s="6"/>
      <c r="H644" s="6"/>
      <c r="I644" s="6"/>
      <c r="J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row>
    <row r="645" ht="14.25" customHeight="1">
      <c r="A645" s="6"/>
      <c r="B645" s="6"/>
      <c r="C645" s="6"/>
      <c r="D645" s="6"/>
      <c r="E645" s="6"/>
      <c r="F645" s="6"/>
      <c r="G645" s="6"/>
      <c r="H645" s="6"/>
      <c r="I645" s="6"/>
      <c r="J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row>
    <row r="646" ht="14.25" customHeight="1">
      <c r="A646" s="6"/>
      <c r="B646" s="6"/>
      <c r="C646" s="6"/>
      <c r="D646" s="6"/>
      <c r="E646" s="6"/>
      <c r="F646" s="6"/>
      <c r="G646" s="6"/>
      <c r="H646" s="6"/>
      <c r="I646" s="6"/>
      <c r="J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row>
    <row r="647" ht="14.25" customHeight="1">
      <c r="A647" s="6"/>
      <c r="B647" s="6"/>
      <c r="C647" s="6"/>
      <c r="D647" s="6"/>
      <c r="E647" s="6"/>
      <c r="F647" s="6"/>
      <c r="G647" s="6"/>
      <c r="H647" s="6"/>
      <c r="I647" s="6"/>
      <c r="J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row>
    <row r="648" ht="14.25" customHeight="1">
      <c r="A648" s="6"/>
      <c r="B648" s="6"/>
      <c r="C648" s="6"/>
      <c r="D648" s="6"/>
      <c r="E648" s="6"/>
      <c r="F648" s="6"/>
      <c r="G648" s="6"/>
      <c r="H648" s="6"/>
      <c r="I648" s="6"/>
      <c r="J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row>
    <row r="649" ht="14.25" customHeight="1">
      <c r="A649" s="6"/>
      <c r="B649" s="6"/>
      <c r="C649" s="6"/>
      <c r="D649" s="6"/>
      <c r="E649" s="6"/>
      <c r="F649" s="6"/>
      <c r="G649" s="6"/>
      <c r="H649" s="6"/>
      <c r="I649" s="6"/>
      <c r="J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row>
    <row r="650" ht="14.25" customHeight="1">
      <c r="A650" s="6"/>
      <c r="B650" s="6"/>
      <c r="C650" s="6"/>
      <c r="D650" s="6"/>
      <c r="E650" s="6"/>
      <c r="F650" s="6"/>
      <c r="G650" s="6"/>
      <c r="H650" s="6"/>
      <c r="I650" s="6"/>
      <c r="J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row>
    <row r="651" ht="14.25" customHeight="1">
      <c r="A651" s="6"/>
      <c r="B651" s="6"/>
      <c r="C651" s="6"/>
      <c r="D651" s="6"/>
      <c r="E651" s="6"/>
      <c r="F651" s="6"/>
      <c r="G651" s="6"/>
      <c r="H651" s="6"/>
      <c r="I651" s="6"/>
      <c r="J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row>
    <row r="652" ht="14.25" customHeight="1">
      <c r="A652" s="6"/>
      <c r="B652" s="6"/>
      <c r="C652" s="6"/>
      <c r="D652" s="6"/>
      <c r="E652" s="6"/>
      <c r="F652" s="6"/>
      <c r="G652" s="6"/>
      <c r="H652" s="6"/>
      <c r="I652" s="6"/>
      <c r="J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row>
    <row r="653" ht="14.25" customHeight="1">
      <c r="A653" s="6"/>
      <c r="B653" s="6"/>
      <c r="C653" s="6"/>
      <c r="D653" s="6"/>
      <c r="E653" s="6"/>
      <c r="F653" s="6"/>
      <c r="G653" s="6"/>
      <c r="H653" s="6"/>
      <c r="I653" s="6"/>
      <c r="J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row>
    <row r="654" ht="14.25" customHeight="1">
      <c r="A654" s="6"/>
      <c r="B654" s="6"/>
      <c r="C654" s="6"/>
      <c r="D654" s="6"/>
      <c r="E654" s="6"/>
      <c r="F654" s="6"/>
      <c r="G654" s="6"/>
      <c r="H654" s="6"/>
      <c r="I654" s="6"/>
      <c r="J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row>
    <row r="655" ht="14.25" customHeight="1">
      <c r="A655" s="6"/>
      <c r="B655" s="6"/>
      <c r="C655" s="6"/>
      <c r="D655" s="6"/>
      <c r="E655" s="6"/>
      <c r="F655" s="6"/>
      <c r="G655" s="6"/>
      <c r="H655" s="6"/>
      <c r="I655" s="6"/>
      <c r="J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row>
    <row r="656" ht="14.25" customHeight="1">
      <c r="A656" s="6"/>
      <c r="B656" s="6"/>
      <c r="C656" s="6"/>
      <c r="D656" s="6"/>
      <c r="E656" s="6"/>
      <c r="F656" s="6"/>
      <c r="G656" s="6"/>
      <c r="H656" s="6"/>
      <c r="I656" s="6"/>
      <c r="J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row>
    <row r="657" ht="14.25" customHeight="1">
      <c r="A657" s="6"/>
      <c r="B657" s="6"/>
      <c r="C657" s="6"/>
      <c r="D657" s="6"/>
      <c r="E657" s="6"/>
      <c r="F657" s="6"/>
      <c r="G657" s="6"/>
      <c r="H657" s="6"/>
      <c r="I657" s="6"/>
      <c r="J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row>
    <row r="658" ht="14.25" customHeight="1">
      <c r="A658" s="6"/>
      <c r="B658" s="6"/>
      <c r="C658" s="6"/>
      <c r="D658" s="6"/>
      <c r="E658" s="6"/>
      <c r="F658" s="6"/>
      <c r="G658" s="6"/>
      <c r="H658" s="6"/>
      <c r="I658" s="6"/>
      <c r="J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row>
    <row r="659" ht="14.25" customHeight="1">
      <c r="A659" s="6"/>
      <c r="B659" s="6"/>
      <c r="C659" s="6"/>
      <c r="D659" s="6"/>
      <c r="E659" s="6"/>
      <c r="F659" s="6"/>
      <c r="G659" s="6"/>
      <c r="H659" s="6"/>
      <c r="I659" s="6"/>
      <c r="J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row>
    <row r="660" ht="14.25" customHeight="1">
      <c r="A660" s="6"/>
      <c r="B660" s="6"/>
      <c r="C660" s="6"/>
      <c r="D660" s="6"/>
      <c r="E660" s="6"/>
      <c r="F660" s="6"/>
      <c r="G660" s="6"/>
      <c r="H660" s="6"/>
      <c r="I660" s="6"/>
      <c r="J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row>
    <row r="661" ht="14.25" customHeight="1">
      <c r="A661" s="6"/>
      <c r="B661" s="6"/>
      <c r="C661" s="6"/>
      <c r="D661" s="6"/>
      <c r="E661" s="6"/>
      <c r="F661" s="6"/>
      <c r="G661" s="6"/>
      <c r="H661" s="6"/>
      <c r="I661" s="6"/>
      <c r="J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row>
    <row r="662" ht="14.25" customHeight="1">
      <c r="A662" s="6"/>
      <c r="B662" s="6"/>
      <c r="C662" s="6"/>
      <c r="D662" s="6"/>
      <c r="E662" s="6"/>
      <c r="F662" s="6"/>
      <c r="G662" s="6"/>
      <c r="H662" s="6"/>
      <c r="I662" s="6"/>
      <c r="J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row>
    <row r="663" ht="14.25" customHeight="1">
      <c r="A663" s="6"/>
      <c r="B663" s="6"/>
      <c r="C663" s="6"/>
      <c r="D663" s="6"/>
      <c r="E663" s="6"/>
      <c r="F663" s="6"/>
      <c r="G663" s="6"/>
      <c r="H663" s="6"/>
      <c r="I663" s="6"/>
      <c r="J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row>
    <row r="664" ht="14.25" customHeight="1">
      <c r="A664" s="6"/>
      <c r="B664" s="6"/>
      <c r="C664" s="6"/>
      <c r="D664" s="6"/>
      <c r="E664" s="6"/>
      <c r="F664" s="6"/>
      <c r="G664" s="6"/>
      <c r="H664" s="6"/>
      <c r="I664" s="6"/>
      <c r="J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row>
    <row r="665" ht="14.25" customHeight="1">
      <c r="A665" s="6"/>
      <c r="B665" s="6"/>
      <c r="C665" s="6"/>
      <c r="D665" s="6"/>
      <c r="E665" s="6"/>
      <c r="F665" s="6"/>
      <c r="G665" s="6"/>
      <c r="H665" s="6"/>
      <c r="I665" s="6"/>
      <c r="J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row>
    <row r="666" ht="14.25" customHeight="1">
      <c r="A666" s="6"/>
      <c r="B666" s="6"/>
      <c r="C666" s="6"/>
      <c r="D666" s="6"/>
      <c r="E666" s="6"/>
      <c r="F666" s="6"/>
      <c r="G666" s="6"/>
      <c r="H666" s="6"/>
      <c r="I666" s="6"/>
      <c r="J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row>
    <row r="667" ht="14.25" customHeight="1">
      <c r="A667" s="6"/>
      <c r="B667" s="6"/>
      <c r="C667" s="6"/>
      <c r="D667" s="6"/>
      <c r="E667" s="6"/>
      <c r="F667" s="6"/>
      <c r="G667" s="6"/>
      <c r="H667" s="6"/>
      <c r="I667" s="6"/>
      <c r="J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row>
    <row r="668" ht="14.25" customHeight="1">
      <c r="A668" s="6"/>
      <c r="B668" s="6"/>
      <c r="C668" s="6"/>
      <c r="D668" s="6"/>
      <c r="E668" s="6"/>
      <c r="F668" s="6"/>
      <c r="G668" s="6"/>
      <c r="H668" s="6"/>
      <c r="I668" s="6"/>
      <c r="J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row>
    <row r="669" ht="14.25" customHeight="1">
      <c r="A669" s="6"/>
      <c r="B669" s="6"/>
      <c r="C669" s="6"/>
      <c r="D669" s="6"/>
      <c r="E669" s="6"/>
      <c r="F669" s="6"/>
      <c r="G669" s="6"/>
      <c r="H669" s="6"/>
      <c r="I669" s="6"/>
      <c r="J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row>
    <row r="670" ht="14.25" customHeight="1">
      <c r="A670" s="6"/>
      <c r="B670" s="6"/>
      <c r="C670" s="6"/>
      <c r="D670" s="6"/>
      <c r="E670" s="6"/>
      <c r="F670" s="6"/>
      <c r="G670" s="6"/>
      <c r="H670" s="6"/>
      <c r="I670" s="6"/>
      <c r="J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row>
    <row r="671" ht="14.25" customHeight="1">
      <c r="A671" s="6"/>
      <c r="B671" s="6"/>
      <c r="C671" s="6"/>
      <c r="D671" s="6"/>
      <c r="E671" s="6"/>
      <c r="F671" s="6"/>
      <c r="G671" s="6"/>
      <c r="H671" s="6"/>
      <c r="I671" s="6"/>
      <c r="J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row>
    <row r="672" ht="14.25" customHeight="1">
      <c r="A672" s="6"/>
      <c r="B672" s="6"/>
      <c r="C672" s="6"/>
      <c r="D672" s="6"/>
      <c r="E672" s="6"/>
      <c r="F672" s="6"/>
      <c r="G672" s="6"/>
      <c r="H672" s="6"/>
      <c r="I672" s="6"/>
      <c r="J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row>
    <row r="673" ht="14.25" customHeight="1">
      <c r="A673" s="6"/>
      <c r="B673" s="6"/>
      <c r="C673" s="6"/>
      <c r="D673" s="6"/>
      <c r="E673" s="6"/>
      <c r="F673" s="6"/>
      <c r="G673" s="6"/>
      <c r="H673" s="6"/>
      <c r="I673" s="6"/>
      <c r="J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row>
    <row r="674" ht="14.25" customHeight="1">
      <c r="A674" s="6"/>
      <c r="B674" s="6"/>
      <c r="C674" s="6"/>
      <c r="D674" s="6"/>
      <c r="E674" s="6"/>
      <c r="F674" s="6"/>
      <c r="G674" s="6"/>
      <c r="H674" s="6"/>
      <c r="I674" s="6"/>
      <c r="J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row>
    <row r="675" ht="14.25" customHeight="1">
      <c r="A675" s="6"/>
      <c r="B675" s="6"/>
      <c r="C675" s="6"/>
      <c r="D675" s="6"/>
      <c r="E675" s="6"/>
      <c r="F675" s="6"/>
      <c r="G675" s="6"/>
      <c r="H675" s="6"/>
      <c r="I675" s="6"/>
      <c r="J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row>
    <row r="676" ht="14.25" customHeight="1">
      <c r="A676" s="6"/>
      <c r="B676" s="6"/>
      <c r="C676" s="6"/>
      <c r="D676" s="6"/>
      <c r="E676" s="6"/>
      <c r="F676" s="6"/>
      <c r="G676" s="6"/>
      <c r="H676" s="6"/>
      <c r="I676" s="6"/>
      <c r="J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row>
    <row r="677" ht="14.25" customHeight="1">
      <c r="A677" s="6"/>
      <c r="B677" s="6"/>
      <c r="C677" s="6"/>
      <c r="D677" s="6"/>
      <c r="E677" s="6"/>
      <c r="F677" s="6"/>
      <c r="G677" s="6"/>
      <c r="H677" s="6"/>
      <c r="I677" s="6"/>
      <c r="J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row>
    <row r="678" ht="14.25" customHeight="1">
      <c r="A678" s="6"/>
      <c r="B678" s="6"/>
      <c r="C678" s="6"/>
      <c r="D678" s="6"/>
      <c r="E678" s="6"/>
      <c r="F678" s="6"/>
      <c r="G678" s="6"/>
      <c r="H678" s="6"/>
      <c r="I678" s="6"/>
      <c r="J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row>
    <row r="679" ht="14.25" customHeight="1">
      <c r="A679" s="6"/>
      <c r="B679" s="6"/>
      <c r="C679" s="6"/>
      <c r="D679" s="6"/>
      <c r="E679" s="6"/>
      <c r="F679" s="6"/>
      <c r="G679" s="6"/>
      <c r="H679" s="6"/>
      <c r="I679" s="6"/>
      <c r="J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row>
    <row r="680" ht="14.25" customHeight="1">
      <c r="A680" s="6"/>
      <c r="B680" s="6"/>
      <c r="C680" s="6"/>
      <c r="D680" s="6"/>
      <c r="E680" s="6"/>
      <c r="F680" s="6"/>
      <c r="G680" s="6"/>
      <c r="H680" s="6"/>
      <c r="I680" s="6"/>
      <c r="J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row>
    <row r="681" ht="14.25" customHeight="1">
      <c r="A681" s="6"/>
      <c r="B681" s="6"/>
      <c r="C681" s="6"/>
      <c r="D681" s="6"/>
      <c r="E681" s="6"/>
      <c r="F681" s="6"/>
      <c r="G681" s="6"/>
      <c r="H681" s="6"/>
      <c r="I681" s="6"/>
      <c r="J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row>
    <row r="682" ht="14.25" customHeight="1">
      <c r="A682" s="6"/>
      <c r="B682" s="6"/>
      <c r="C682" s="6"/>
      <c r="D682" s="6"/>
      <c r="E682" s="6"/>
      <c r="F682" s="6"/>
      <c r="G682" s="6"/>
      <c r="H682" s="6"/>
      <c r="I682" s="6"/>
      <c r="J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row>
    <row r="683" ht="14.25" customHeight="1">
      <c r="A683" s="6"/>
      <c r="B683" s="6"/>
      <c r="C683" s="6"/>
      <c r="D683" s="6"/>
      <c r="E683" s="6"/>
      <c r="F683" s="6"/>
      <c r="G683" s="6"/>
      <c r="H683" s="6"/>
      <c r="I683" s="6"/>
      <c r="J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row>
    <row r="684" ht="14.25" customHeight="1">
      <c r="A684" s="6"/>
      <c r="B684" s="6"/>
      <c r="C684" s="6"/>
      <c r="D684" s="6"/>
      <c r="E684" s="6"/>
      <c r="F684" s="6"/>
      <c r="G684" s="6"/>
      <c r="H684" s="6"/>
      <c r="I684" s="6"/>
      <c r="J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row>
    <row r="685" ht="14.25" customHeight="1">
      <c r="A685" s="6"/>
      <c r="B685" s="6"/>
      <c r="C685" s="6"/>
      <c r="D685" s="6"/>
      <c r="E685" s="6"/>
      <c r="F685" s="6"/>
      <c r="G685" s="6"/>
      <c r="H685" s="6"/>
      <c r="I685" s="6"/>
      <c r="J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row>
    <row r="686" ht="14.25" customHeight="1">
      <c r="A686" s="6"/>
      <c r="B686" s="6"/>
      <c r="C686" s="6"/>
      <c r="D686" s="6"/>
      <c r="E686" s="6"/>
      <c r="F686" s="6"/>
      <c r="G686" s="6"/>
      <c r="H686" s="6"/>
      <c r="I686" s="6"/>
      <c r="J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row>
    <row r="687" ht="14.25" customHeight="1">
      <c r="A687" s="6"/>
      <c r="B687" s="6"/>
      <c r="C687" s="6"/>
      <c r="D687" s="6"/>
      <c r="E687" s="6"/>
      <c r="F687" s="6"/>
      <c r="G687" s="6"/>
      <c r="H687" s="6"/>
      <c r="I687" s="6"/>
      <c r="J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row>
    <row r="688" ht="14.25" customHeight="1">
      <c r="A688" s="6"/>
      <c r="B688" s="6"/>
      <c r="C688" s="6"/>
      <c r="D688" s="6"/>
      <c r="E688" s="6"/>
      <c r="F688" s="6"/>
      <c r="G688" s="6"/>
      <c r="H688" s="6"/>
      <c r="I688" s="6"/>
      <c r="J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row>
    <row r="689" ht="14.25" customHeight="1">
      <c r="A689" s="6"/>
      <c r="B689" s="6"/>
      <c r="C689" s="6"/>
      <c r="D689" s="6"/>
      <c r="E689" s="6"/>
      <c r="F689" s="6"/>
      <c r="G689" s="6"/>
      <c r="H689" s="6"/>
      <c r="I689" s="6"/>
      <c r="J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row>
    <row r="690" ht="14.25" customHeight="1">
      <c r="A690" s="6"/>
      <c r="B690" s="6"/>
      <c r="C690" s="6"/>
      <c r="D690" s="6"/>
      <c r="E690" s="6"/>
      <c r="F690" s="6"/>
      <c r="G690" s="6"/>
      <c r="H690" s="6"/>
      <c r="I690" s="6"/>
      <c r="J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row>
    <row r="691" ht="14.25" customHeight="1">
      <c r="A691" s="6"/>
      <c r="B691" s="6"/>
      <c r="C691" s="6"/>
      <c r="D691" s="6"/>
      <c r="E691" s="6"/>
      <c r="F691" s="6"/>
      <c r="G691" s="6"/>
      <c r="H691" s="6"/>
      <c r="I691" s="6"/>
      <c r="J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row>
    <row r="692" ht="14.25" customHeight="1">
      <c r="A692" s="6"/>
      <c r="B692" s="6"/>
      <c r="C692" s="6"/>
      <c r="D692" s="6"/>
      <c r="E692" s="6"/>
      <c r="F692" s="6"/>
      <c r="G692" s="6"/>
      <c r="H692" s="6"/>
      <c r="I692" s="6"/>
      <c r="J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row>
    <row r="693" ht="14.25" customHeight="1">
      <c r="A693" s="6"/>
      <c r="B693" s="6"/>
      <c r="C693" s="6"/>
      <c r="D693" s="6"/>
      <c r="E693" s="6"/>
      <c r="F693" s="6"/>
      <c r="G693" s="6"/>
      <c r="H693" s="6"/>
      <c r="I693" s="6"/>
      <c r="J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row>
    <row r="694" ht="14.25" customHeight="1">
      <c r="A694" s="6"/>
      <c r="B694" s="6"/>
      <c r="C694" s="6"/>
      <c r="D694" s="6"/>
      <c r="E694" s="6"/>
      <c r="F694" s="6"/>
      <c r="G694" s="6"/>
      <c r="H694" s="6"/>
      <c r="I694" s="6"/>
      <c r="J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row>
    <row r="695" ht="14.25" customHeight="1">
      <c r="A695" s="6"/>
      <c r="B695" s="6"/>
      <c r="C695" s="6"/>
      <c r="D695" s="6"/>
      <c r="E695" s="6"/>
      <c r="F695" s="6"/>
      <c r="G695" s="6"/>
      <c r="H695" s="6"/>
      <c r="I695" s="6"/>
      <c r="J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row>
    <row r="696" ht="14.25" customHeight="1">
      <c r="A696" s="6"/>
      <c r="B696" s="6"/>
      <c r="C696" s="6"/>
      <c r="D696" s="6"/>
      <c r="E696" s="6"/>
      <c r="F696" s="6"/>
      <c r="G696" s="6"/>
      <c r="H696" s="6"/>
      <c r="I696" s="6"/>
      <c r="J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row>
    <row r="697" ht="14.25" customHeight="1">
      <c r="A697" s="6"/>
      <c r="B697" s="6"/>
      <c r="C697" s="6"/>
      <c r="D697" s="6"/>
      <c r="E697" s="6"/>
      <c r="F697" s="6"/>
      <c r="G697" s="6"/>
      <c r="H697" s="6"/>
      <c r="I697" s="6"/>
      <c r="J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row>
    <row r="698" ht="14.25" customHeight="1">
      <c r="A698" s="6"/>
      <c r="B698" s="6"/>
      <c r="C698" s="6"/>
      <c r="D698" s="6"/>
      <c r="E698" s="6"/>
      <c r="F698" s="6"/>
      <c r="G698" s="6"/>
      <c r="H698" s="6"/>
      <c r="I698" s="6"/>
      <c r="J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row>
    <row r="699" ht="14.25" customHeight="1">
      <c r="A699" s="6"/>
      <c r="B699" s="6"/>
      <c r="C699" s="6"/>
      <c r="D699" s="6"/>
      <c r="E699" s="6"/>
      <c r="F699" s="6"/>
      <c r="G699" s="6"/>
      <c r="H699" s="6"/>
      <c r="I699" s="6"/>
      <c r="J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row>
    <row r="700" ht="14.25" customHeight="1">
      <c r="A700" s="6"/>
      <c r="B700" s="6"/>
      <c r="C700" s="6"/>
      <c r="D700" s="6"/>
      <c r="E700" s="6"/>
      <c r="F700" s="6"/>
      <c r="G700" s="6"/>
      <c r="H700" s="6"/>
      <c r="I700" s="6"/>
      <c r="J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row>
    <row r="701" ht="14.25" customHeight="1">
      <c r="A701" s="6"/>
      <c r="B701" s="6"/>
      <c r="C701" s="6"/>
      <c r="D701" s="6"/>
      <c r="E701" s="6"/>
      <c r="F701" s="6"/>
      <c r="G701" s="6"/>
      <c r="H701" s="6"/>
      <c r="I701" s="6"/>
      <c r="J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row>
    <row r="702" ht="14.25" customHeight="1">
      <c r="A702" s="6"/>
      <c r="B702" s="6"/>
      <c r="C702" s="6"/>
      <c r="D702" s="6"/>
      <c r="E702" s="6"/>
      <c r="F702" s="6"/>
      <c r="G702" s="6"/>
      <c r="H702" s="6"/>
      <c r="I702" s="6"/>
      <c r="J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row>
    <row r="703" ht="14.25" customHeight="1">
      <c r="A703" s="6"/>
      <c r="B703" s="6"/>
      <c r="C703" s="6"/>
      <c r="D703" s="6"/>
      <c r="E703" s="6"/>
      <c r="F703" s="6"/>
      <c r="G703" s="6"/>
      <c r="H703" s="6"/>
      <c r="I703" s="6"/>
      <c r="J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row>
    <row r="704" ht="14.25" customHeight="1">
      <c r="A704" s="6"/>
      <c r="B704" s="6"/>
      <c r="C704" s="6"/>
      <c r="D704" s="6"/>
      <c r="E704" s="6"/>
      <c r="F704" s="6"/>
      <c r="G704" s="6"/>
      <c r="H704" s="6"/>
      <c r="I704" s="6"/>
      <c r="J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row>
    <row r="705" ht="14.25" customHeight="1">
      <c r="A705" s="6"/>
      <c r="B705" s="6"/>
      <c r="C705" s="6"/>
      <c r="D705" s="6"/>
      <c r="E705" s="6"/>
      <c r="F705" s="6"/>
      <c r="G705" s="6"/>
      <c r="H705" s="6"/>
      <c r="I705" s="6"/>
      <c r="J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row>
    <row r="706" ht="14.25" customHeight="1">
      <c r="A706" s="6"/>
      <c r="B706" s="6"/>
      <c r="C706" s="6"/>
      <c r="D706" s="6"/>
      <c r="E706" s="6"/>
      <c r="F706" s="6"/>
      <c r="G706" s="6"/>
      <c r="H706" s="6"/>
      <c r="I706" s="6"/>
      <c r="J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row>
    <row r="707" ht="14.25" customHeight="1">
      <c r="A707" s="6"/>
      <c r="B707" s="6"/>
      <c r="C707" s="6"/>
      <c r="D707" s="6"/>
      <c r="E707" s="6"/>
      <c r="F707" s="6"/>
      <c r="G707" s="6"/>
      <c r="H707" s="6"/>
      <c r="I707" s="6"/>
      <c r="J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row>
    <row r="708" ht="14.25" customHeight="1">
      <c r="A708" s="6"/>
      <c r="B708" s="6"/>
      <c r="C708" s="6"/>
      <c r="D708" s="6"/>
      <c r="E708" s="6"/>
      <c r="F708" s="6"/>
      <c r="G708" s="6"/>
      <c r="H708" s="6"/>
      <c r="I708" s="6"/>
      <c r="J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row>
    <row r="709" ht="14.25" customHeight="1">
      <c r="A709" s="6"/>
      <c r="B709" s="6"/>
      <c r="C709" s="6"/>
      <c r="D709" s="6"/>
      <c r="E709" s="6"/>
      <c r="F709" s="6"/>
      <c r="G709" s="6"/>
      <c r="H709" s="6"/>
      <c r="I709" s="6"/>
      <c r="J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row>
    <row r="710" ht="14.25" customHeight="1">
      <c r="A710" s="6"/>
      <c r="B710" s="6"/>
      <c r="C710" s="6"/>
      <c r="D710" s="6"/>
      <c r="E710" s="6"/>
      <c r="F710" s="6"/>
      <c r="G710" s="6"/>
      <c r="H710" s="6"/>
      <c r="I710" s="6"/>
      <c r="J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row>
    <row r="711" ht="14.25" customHeight="1">
      <c r="A711" s="6"/>
      <c r="B711" s="6"/>
      <c r="C711" s="6"/>
      <c r="D711" s="6"/>
      <c r="E711" s="6"/>
      <c r="F711" s="6"/>
      <c r="G711" s="6"/>
      <c r="H711" s="6"/>
      <c r="I711" s="6"/>
      <c r="J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row>
    <row r="712" ht="14.25" customHeight="1">
      <c r="A712" s="6"/>
      <c r="B712" s="6"/>
      <c r="C712" s="6"/>
      <c r="D712" s="6"/>
      <c r="E712" s="6"/>
      <c r="F712" s="6"/>
      <c r="G712" s="6"/>
      <c r="H712" s="6"/>
      <c r="I712" s="6"/>
      <c r="J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row>
    <row r="713" ht="14.25" customHeight="1">
      <c r="A713" s="6"/>
      <c r="B713" s="6"/>
      <c r="C713" s="6"/>
      <c r="D713" s="6"/>
      <c r="E713" s="6"/>
      <c r="F713" s="6"/>
      <c r="G713" s="6"/>
      <c r="H713" s="6"/>
      <c r="I713" s="6"/>
      <c r="J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row>
    <row r="714" ht="14.25" customHeight="1">
      <c r="A714" s="6"/>
      <c r="B714" s="6"/>
      <c r="C714" s="6"/>
      <c r="D714" s="6"/>
      <c r="E714" s="6"/>
      <c r="F714" s="6"/>
      <c r="G714" s="6"/>
      <c r="H714" s="6"/>
      <c r="I714" s="6"/>
      <c r="J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row>
    <row r="715" ht="14.25" customHeight="1">
      <c r="A715" s="6"/>
      <c r="B715" s="6"/>
      <c r="C715" s="6"/>
      <c r="D715" s="6"/>
      <c r="E715" s="6"/>
      <c r="F715" s="6"/>
      <c r="G715" s="6"/>
      <c r="H715" s="6"/>
      <c r="I715" s="6"/>
      <c r="J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row>
    <row r="716" ht="14.25" customHeight="1">
      <c r="A716" s="6"/>
      <c r="B716" s="6"/>
      <c r="C716" s="6"/>
      <c r="D716" s="6"/>
      <c r="E716" s="6"/>
      <c r="F716" s="6"/>
      <c r="G716" s="6"/>
      <c r="H716" s="6"/>
      <c r="I716" s="6"/>
      <c r="J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row>
    <row r="717" ht="14.25" customHeight="1">
      <c r="A717" s="6"/>
      <c r="B717" s="6"/>
      <c r="C717" s="6"/>
      <c r="D717" s="6"/>
      <c r="E717" s="6"/>
      <c r="F717" s="6"/>
      <c r="G717" s="6"/>
      <c r="H717" s="6"/>
      <c r="I717" s="6"/>
      <c r="J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row>
    <row r="718" ht="14.25" customHeight="1">
      <c r="A718" s="6"/>
      <c r="B718" s="6"/>
      <c r="C718" s="6"/>
      <c r="D718" s="6"/>
      <c r="E718" s="6"/>
      <c r="F718" s="6"/>
      <c r="G718" s="6"/>
      <c r="H718" s="6"/>
      <c r="I718" s="6"/>
      <c r="J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row>
    <row r="719" ht="14.25" customHeight="1">
      <c r="A719" s="6"/>
      <c r="B719" s="6"/>
      <c r="C719" s="6"/>
      <c r="D719" s="6"/>
      <c r="E719" s="6"/>
      <c r="F719" s="6"/>
      <c r="G719" s="6"/>
      <c r="H719" s="6"/>
      <c r="I719" s="6"/>
      <c r="J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row>
    <row r="720" ht="14.25" customHeight="1">
      <c r="A720" s="6"/>
      <c r="B720" s="6"/>
      <c r="C720" s="6"/>
      <c r="D720" s="6"/>
      <c r="E720" s="6"/>
      <c r="F720" s="6"/>
      <c r="G720" s="6"/>
      <c r="H720" s="6"/>
      <c r="I720" s="6"/>
      <c r="J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row>
    <row r="721" ht="14.25" customHeight="1">
      <c r="A721" s="6"/>
      <c r="B721" s="6"/>
      <c r="C721" s="6"/>
      <c r="D721" s="6"/>
      <c r="E721" s="6"/>
      <c r="F721" s="6"/>
      <c r="G721" s="6"/>
      <c r="H721" s="6"/>
      <c r="I721" s="6"/>
      <c r="J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row>
    <row r="722" ht="14.25" customHeight="1">
      <c r="A722" s="6"/>
      <c r="B722" s="6"/>
      <c r="C722" s="6"/>
      <c r="D722" s="6"/>
      <c r="E722" s="6"/>
      <c r="F722" s="6"/>
      <c r="G722" s="6"/>
      <c r="H722" s="6"/>
      <c r="I722" s="6"/>
      <c r="J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row>
    <row r="723" ht="14.25" customHeight="1">
      <c r="A723" s="6"/>
      <c r="B723" s="6"/>
      <c r="C723" s="6"/>
      <c r="D723" s="6"/>
      <c r="E723" s="6"/>
      <c r="F723" s="6"/>
      <c r="G723" s="6"/>
      <c r="H723" s="6"/>
      <c r="I723" s="6"/>
      <c r="J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row>
    <row r="724" ht="14.25" customHeight="1">
      <c r="A724" s="6"/>
      <c r="B724" s="6"/>
      <c r="C724" s="6"/>
      <c r="D724" s="6"/>
      <c r="E724" s="6"/>
      <c r="F724" s="6"/>
      <c r="G724" s="6"/>
      <c r="H724" s="6"/>
      <c r="I724" s="6"/>
      <c r="J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row>
    <row r="725" ht="14.25" customHeight="1">
      <c r="A725" s="6"/>
      <c r="B725" s="6"/>
      <c r="C725" s="6"/>
      <c r="D725" s="6"/>
      <c r="E725" s="6"/>
      <c r="F725" s="6"/>
      <c r="G725" s="6"/>
      <c r="H725" s="6"/>
      <c r="I725" s="6"/>
      <c r="J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row>
    <row r="726" ht="14.25" customHeight="1">
      <c r="A726" s="6"/>
      <c r="B726" s="6"/>
      <c r="C726" s="6"/>
      <c r="D726" s="6"/>
      <c r="E726" s="6"/>
      <c r="F726" s="6"/>
      <c r="G726" s="6"/>
      <c r="H726" s="6"/>
      <c r="I726" s="6"/>
      <c r="J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row>
    <row r="727" ht="14.25" customHeight="1">
      <c r="A727" s="6"/>
      <c r="B727" s="6"/>
      <c r="C727" s="6"/>
      <c r="D727" s="6"/>
      <c r="E727" s="6"/>
      <c r="F727" s="6"/>
      <c r="G727" s="6"/>
      <c r="H727" s="6"/>
      <c r="I727" s="6"/>
      <c r="J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row>
    <row r="728" ht="14.25" customHeight="1">
      <c r="A728" s="6"/>
      <c r="B728" s="6"/>
      <c r="C728" s="6"/>
      <c r="D728" s="6"/>
      <c r="E728" s="6"/>
      <c r="F728" s="6"/>
      <c r="G728" s="6"/>
      <c r="H728" s="6"/>
      <c r="I728" s="6"/>
      <c r="J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row>
    <row r="729" ht="14.25" customHeight="1">
      <c r="A729" s="6"/>
      <c r="B729" s="6"/>
      <c r="C729" s="6"/>
      <c r="D729" s="6"/>
      <c r="E729" s="6"/>
      <c r="F729" s="6"/>
      <c r="G729" s="6"/>
      <c r="H729" s="6"/>
      <c r="I729" s="6"/>
      <c r="J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row>
    <row r="730" ht="14.25" customHeight="1">
      <c r="A730" s="6"/>
      <c r="B730" s="6"/>
      <c r="C730" s="6"/>
      <c r="D730" s="6"/>
      <c r="E730" s="6"/>
      <c r="F730" s="6"/>
      <c r="G730" s="6"/>
      <c r="H730" s="6"/>
      <c r="I730" s="6"/>
      <c r="J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row>
    <row r="731" ht="14.25" customHeight="1">
      <c r="A731" s="6"/>
      <c r="B731" s="6"/>
      <c r="C731" s="6"/>
      <c r="D731" s="6"/>
      <c r="E731" s="6"/>
      <c r="F731" s="6"/>
      <c r="G731" s="6"/>
      <c r="H731" s="6"/>
      <c r="I731" s="6"/>
      <c r="J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row>
    <row r="732" ht="14.25" customHeight="1">
      <c r="A732" s="6"/>
      <c r="B732" s="6"/>
      <c r="C732" s="6"/>
      <c r="D732" s="6"/>
      <c r="E732" s="6"/>
      <c r="F732" s="6"/>
      <c r="G732" s="6"/>
      <c r="H732" s="6"/>
      <c r="I732" s="6"/>
      <c r="J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row>
    <row r="733" ht="14.25" customHeight="1">
      <c r="A733" s="6"/>
      <c r="B733" s="6"/>
      <c r="C733" s="6"/>
      <c r="D733" s="6"/>
      <c r="E733" s="6"/>
      <c r="F733" s="6"/>
      <c r="G733" s="6"/>
      <c r="H733" s="6"/>
      <c r="I733" s="6"/>
      <c r="J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row>
    <row r="734" ht="14.25" customHeight="1">
      <c r="A734" s="6"/>
      <c r="B734" s="6"/>
      <c r="C734" s="6"/>
      <c r="D734" s="6"/>
      <c r="E734" s="6"/>
      <c r="F734" s="6"/>
      <c r="G734" s="6"/>
      <c r="H734" s="6"/>
      <c r="I734" s="6"/>
      <c r="J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row>
    <row r="735" ht="14.25" customHeight="1">
      <c r="A735" s="6"/>
      <c r="B735" s="6"/>
      <c r="C735" s="6"/>
      <c r="D735" s="6"/>
      <c r="E735" s="6"/>
      <c r="F735" s="6"/>
      <c r="G735" s="6"/>
      <c r="H735" s="6"/>
      <c r="I735" s="6"/>
      <c r="J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row>
    <row r="736" ht="14.25" customHeight="1">
      <c r="A736" s="6"/>
      <c r="B736" s="6"/>
      <c r="C736" s="6"/>
      <c r="D736" s="6"/>
      <c r="E736" s="6"/>
      <c r="F736" s="6"/>
      <c r="G736" s="6"/>
      <c r="H736" s="6"/>
      <c r="I736" s="6"/>
      <c r="J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row>
    <row r="737" ht="14.25" customHeight="1">
      <c r="A737" s="6"/>
      <c r="B737" s="6"/>
      <c r="C737" s="6"/>
      <c r="D737" s="6"/>
      <c r="E737" s="6"/>
      <c r="F737" s="6"/>
      <c r="G737" s="6"/>
      <c r="H737" s="6"/>
      <c r="I737" s="6"/>
      <c r="J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row>
    <row r="738" ht="14.25" customHeight="1">
      <c r="A738" s="6"/>
      <c r="B738" s="6"/>
      <c r="C738" s="6"/>
      <c r="D738" s="6"/>
      <c r="E738" s="6"/>
      <c r="F738" s="6"/>
      <c r="G738" s="6"/>
      <c r="H738" s="6"/>
      <c r="I738" s="6"/>
      <c r="J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row>
    <row r="739" ht="14.25" customHeight="1">
      <c r="A739" s="6"/>
      <c r="B739" s="6"/>
      <c r="C739" s="6"/>
      <c r="D739" s="6"/>
      <c r="E739" s="6"/>
      <c r="F739" s="6"/>
      <c r="G739" s="6"/>
      <c r="H739" s="6"/>
      <c r="I739" s="6"/>
      <c r="J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row>
    <row r="740" ht="14.25" customHeight="1">
      <c r="A740" s="6"/>
      <c r="B740" s="6"/>
      <c r="C740" s="6"/>
      <c r="D740" s="6"/>
      <c r="E740" s="6"/>
      <c r="F740" s="6"/>
      <c r="G740" s="6"/>
      <c r="H740" s="6"/>
      <c r="I740" s="6"/>
      <c r="J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row>
    <row r="741" ht="14.25" customHeight="1">
      <c r="A741" s="6"/>
      <c r="B741" s="6"/>
      <c r="C741" s="6"/>
      <c r="D741" s="6"/>
      <c r="E741" s="6"/>
      <c r="F741" s="6"/>
      <c r="G741" s="6"/>
      <c r="H741" s="6"/>
      <c r="I741" s="6"/>
      <c r="J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row>
    <row r="742" ht="14.25" customHeight="1">
      <c r="A742" s="6"/>
      <c r="B742" s="6"/>
      <c r="C742" s="6"/>
      <c r="D742" s="6"/>
      <c r="E742" s="6"/>
      <c r="F742" s="6"/>
      <c r="G742" s="6"/>
      <c r="H742" s="6"/>
      <c r="I742" s="6"/>
      <c r="J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row>
    <row r="743" ht="14.25" customHeight="1">
      <c r="A743" s="6"/>
      <c r="B743" s="6"/>
      <c r="C743" s="6"/>
      <c r="D743" s="6"/>
      <c r="E743" s="6"/>
      <c r="F743" s="6"/>
      <c r="G743" s="6"/>
      <c r="H743" s="6"/>
      <c r="I743" s="6"/>
      <c r="J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row>
    <row r="744" ht="14.25" customHeight="1">
      <c r="A744" s="6"/>
      <c r="B744" s="6"/>
      <c r="C744" s="6"/>
      <c r="D744" s="6"/>
      <c r="E744" s="6"/>
      <c r="F744" s="6"/>
      <c r="G744" s="6"/>
      <c r="H744" s="6"/>
      <c r="I744" s="6"/>
      <c r="J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row>
    <row r="745" ht="14.25" customHeight="1">
      <c r="A745" s="6"/>
      <c r="B745" s="6"/>
      <c r="C745" s="6"/>
      <c r="D745" s="6"/>
      <c r="E745" s="6"/>
      <c r="F745" s="6"/>
      <c r="G745" s="6"/>
      <c r="H745" s="6"/>
      <c r="I745" s="6"/>
      <c r="J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row>
    <row r="746" ht="14.25" customHeight="1">
      <c r="A746" s="6"/>
      <c r="B746" s="6"/>
      <c r="C746" s="6"/>
      <c r="D746" s="6"/>
      <c r="E746" s="6"/>
      <c r="F746" s="6"/>
      <c r="G746" s="6"/>
      <c r="H746" s="6"/>
      <c r="I746" s="6"/>
      <c r="J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row>
    <row r="747" ht="14.25" customHeight="1">
      <c r="A747" s="6"/>
      <c r="B747" s="6"/>
      <c r="C747" s="6"/>
      <c r="D747" s="6"/>
      <c r="E747" s="6"/>
      <c r="F747" s="6"/>
      <c r="G747" s="6"/>
      <c r="H747" s="6"/>
      <c r="I747" s="6"/>
      <c r="J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row>
    <row r="748" ht="14.25" customHeight="1">
      <c r="A748" s="6"/>
      <c r="B748" s="6"/>
      <c r="C748" s="6"/>
      <c r="D748" s="6"/>
      <c r="E748" s="6"/>
      <c r="F748" s="6"/>
      <c r="G748" s="6"/>
      <c r="H748" s="6"/>
      <c r="I748" s="6"/>
      <c r="J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row>
    <row r="749" ht="14.25" customHeight="1">
      <c r="A749" s="6"/>
      <c r="B749" s="6"/>
      <c r="C749" s="6"/>
      <c r="D749" s="6"/>
      <c r="E749" s="6"/>
      <c r="F749" s="6"/>
      <c r="G749" s="6"/>
      <c r="H749" s="6"/>
      <c r="I749" s="6"/>
      <c r="J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row>
    <row r="750" ht="14.25" customHeight="1">
      <c r="A750" s="6"/>
      <c r="B750" s="6"/>
      <c r="C750" s="6"/>
      <c r="D750" s="6"/>
      <c r="E750" s="6"/>
      <c r="F750" s="6"/>
      <c r="G750" s="6"/>
      <c r="H750" s="6"/>
      <c r="I750" s="6"/>
      <c r="J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row>
    <row r="751" ht="14.25" customHeight="1">
      <c r="A751" s="6"/>
      <c r="B751" s="6"/>
      <c r="C751" s="6"/>
      <c r="D751" s="6"/>
      <c r="E751" s="6"/>
      <c r="F751" s="6"/>
      <c r="G751" s="6"/>
      <c r="H751" s="6"/>
      <c r="I751" s="6"/>
      <c r="J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row>
    <row r="752" ht="14.25" customHeight="1">
      <c r="A752" s="6"/>
      <c r="B752" s="6"/>
      <c r="C752" s="6"/>
      <c r="D752" s="6"/>
      <c r="E752" s="6"/>
      <c r="F752" s="6"/>
      <c r="G752" s="6"/>
      <c r="H752" s="6"/>
      <c r="I752" s="6"/>
      <c r="J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row>
    <row r="753" ht="14.25" customHeight="1">
      <c r="A753" s="6"/>
      <c r="B753" s="6"/>
      <c r="C753" s="6"/>
      <c r="D753" s="6"/>
      <c r="E753" s="6"/>
      <c r="F753" s="6"/>
      <c r="G753" s="6"/>
      <c r="H753" s="6"/>
      <c r="I753" s="6"/>
      <c r="J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row>
    <row r="754" ht="14.25" customHeight="1">
      <c r="A754" s="6"/>
      <c r="B754" s="6"/>
      <c r="C754" s="6"/>
      <c r="D754" s="6"/>
      <c r="E754" s="6"/>
      <c r="F754" s="6"/>
      <c r="G754" s="6"/>
      <c r="H754" s="6"/>
      <c r="I754" s="6"/>
      <c r="J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row>
    <row r="755" ht="14.25" customHeight="1">
      <c r="A755" s="6"/>
      <c r="B755" s="6"/>
      <c r="C755" s="6"/>
      <c r="D755" s="6"/>
      <c r="E755" s="6"/>
      <c r="F755" s="6"/>
      <c r="G755" s="6"/>
      <c r="H755" s="6"/>
      <c r="I755" s="6"/>
      <c r="J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row>
    <row r="756" ht="14.25" customHeight="1">
      <c r="A756" s="6"/>
      <c r="B756" s="6"/>
      <c r="C756" s="6"/>
      <c r="D756" s="6"/>
      <c r="E756" s="6"/>
      <c r="F756" s="6"/>
      <c r="G756" s="6"/>
      <c r="H756" s="6"/>
      <c r="I756" s="6"/>
      <c r="J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row>
    <row r="757" ht="14.25" customHeight="1">
      <c r="A757" s="6"/>
      <c r="B757" s="6"/>
      <c r="C757" s="6"/>
      <c r="D757" s="6"/>
      <c r="E757" s="6"/>
      <c r="F757" s="6"/>
      <c r="G757" s="6"/>
      <c r="H757" s="6"/>
      <c r="I757" s="6"/>
      <c r="J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row>
    <row r="758" ht="14.25" customHeight="1">
      <c r="A758" s="6"/>
      <c r="B758" s="6"/>
      <c r="C758" s="6"/>
      <c r="D758" s="6"/>
      <c r="E758" s="6"/>
      <c r="F758" s="6"/>
      <c r="G758" s="6"/>
      <c r="H758" s="6"/>
      <c r="I758" s="6"/>
      <c r="J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row>
    <row r="759" ht="14.25" customHeight="1">
      <c r="A759" s="6"/>
      <c r="B759" s="6"/>
      <c r="C759" s="6"/>
      <c r="D759" s="6"/>
      <c r="E759" s="6"/>
      <c r="F759" s="6"/>
      <c r="G759" s="6"/>
      <c r="H759" s="6"/>
      <c r="I759" s="6"/>
      <c r="J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row>
    <row r="760" ht="14.25" customHeight="1">
      <c r="A760" s="6"/>
      <c r="B760" s="6"/>
      <c r="C760" s="6"/>
      <c r="D760" s="6"/>
      <c r="E760" s="6"/>
      <c r="F760" s="6"/>
      <c r="G760" s="6"/>
      <c r="H760" s="6"/>
      <c r="I760" s="6"/>
      <c r="J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row>
    <row r="761" ht="14.25" customHeight="1">
      <c r="A761" s="6"/>
      <c r="B761" s="6"/>
      <c r="C761" s="6"/>
      <c r="D761" s="6"/>
      <c r="E761" s="6"/>
      <c r="F761" s="6"/>
      <c r="G761" s="6"/>
      <c r="H761" s="6"/>
      <c r="I761" s="6"/>
      <c r="J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row>
    <row r="762" ht="14.25" customHeight="1">
      <c r="A762" s="6"/>
      <c r="B762" s="6"/>
      <c r="C762" s="6"/>
      <c r="D762" s="6"/>
      <c r="E762" s="6"/>
      <c r="F762" s="6"/>
      <c r="G762" s="6"/>
      <c r="H762" s="6"/>
      <c r="I762" s="6"/>
      <c r="J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row>
    <row r="763" ht="14.25" customHeight="1">
      <c r="A763" s="6"/>
      <c r="B763" s="6"/>
      <c r="C763" s="6"/>
      <c r="D763" s="6"/>
      <c r="E763" s="6"/>
      <c r="F763" s="6"/>
      <c r="G763" s="6"/>
      <c r="H763" s="6"/>
      <c r="I763" s="6"/>
      <c r="J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row>
    <row r="764" ht="14.25" customHeight="1">
      <c r="A764" s="6"/>
      <c r="B764" s="6"/>
      <c r="C764" s="6"/>
      <c r="D764" s="6"/>
      <c r="E764" s="6"/>
      <c r="F764" s="6"/>
      <c r="G764" s="6"/>
      <c r="H764" s="6"/>
      <c r="I764" s="6"/>
      <c r="J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row>
    <row r="765" ht="14.25" customHeight="1">
      <c r="A765" s="6"/>
      <c r="B765" s="6"/>
      <c r="C765" s="6"/>
      <c r="D765" s="6"/>
      <c r="E765" s="6"/>
      <c r="F765" s="6"/>
      <c r="G765" s="6"/>
      <c r="H765" s="6"/>
      <c r="I765" s="6"/>
      <c r="J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row>
    <row r="766" ht="14.25" customHeight="1">
      <c r="A766" s="6"/>
      <c r="B766" s="6"/>
      <c r="C766" s="6"/>
      <c r="D766" s="6"/>
      <c r="E766" s="6"/>
      <c r="F766" s="6"/>
      <c r="G766" s="6"/>
      <c r="H766" s="6"/>
      <c r="I766" s="6"/>
      <c r="J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row>
    <row r="767" ht="14.25" customHeight="1">
      <c r="A767" s="6"/>
      <c r="B767" s="6"/>
      <c r="C767" s="6"/>
      <c r="D767" s="6"/>
      <c r="E767" s="6"/>
      <c r="F767" s="6"/>
      <c r="G767" s="6"/>
      <c r="H767" s="6"/>
      <c r="I767" s="6"/>
      <c r="J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row>
    <row r="768" ht="14.25" customHeight="1">
      <c r="A768" s="6"/>
      <c r="B768" s="6"/>
      <c r="C768" s="6"/>
      <c r="D768" s="6"/>
      <c r="E768" s="6"/>
      <c r="F768" s="6"/>
      <c r="G768" s="6"/>
      <c r="H768" s="6"/>
      <c r="I768" s="6"/>
      <c r="J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row>
    <row r="769" ht="14.25" customHeight="1">
      <c r="A769" s="6"/>
      <c r="B769" s="6"/>
      <c r="C769" s="6"/>
      <c r="D769" s="6"/>
      <c r="E769" s="6"/>
      <c r="F769" s="6"/>
      <c r="G769" s="6"/>
      <c r="H769" s="6"/>
      <c r="I769" s="6"/>
      <c r="J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row>
    <row r="770" ht="14.25" customHeight="1">
      <c r="A770" s="6"/>
      <c r="B770" s="6"/>
      <c r="C770" s="6"/>
      <c r="D770" s="6"/>
      <c r="E770" s="6"/>
      <c r="F770" s="6"/>
      <c r="G770" s="6"/>
      <c r="H770" s="6"/>
      <c r="I770" s="6"/>
      <c r="J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row>
    <row r="771" ht="14.25" customHeight="1">
      <c r="A771" s="6"/>
      <c r="B771" s="6"/>
      <c r="C771" s="6"/>
      <c r="D771" s="6"/>
      <c r="E771" s="6"/>
      <c r="F771" s="6"/>
      <c r="G771" s="6"/>
      <c r="H771" s="6"/>
      <c r="I771" s="6"/>
      <c r="J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row>
    <row r="772" ht="14.25" customHeight="1">
      <c r="A772" s="6"/>
      <c r="B772" s="6"/>
      <c r="C772" s="6"/>
      <c r="D772" s="6"/>
      <c r="E772" s="6"/>
      <c r="F772" s="6"/>
      <c r="G772" s="6"/>
      <c r="H772" s="6"/>
      <c r="I772" s="6"/>
      <c r="J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row>
    <row r="773" ht="14.25" customHeight="1">
      <c r="A773" s="6"/>
      <c r="B773" s="6"/>
      <c r="C773" s="6"/>
      <c r="D773" s="6"/>
      <c r="E773" s="6"/>
      <c r="F773" s="6"/>
      <c r="G773" s="6"/>
      <c r="H773" s="6"/>
      <c r="I773" s="6"/>
      <c r="J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row>
    <row r="774" ht="14.25" customHeight="1">
      <c r="A774" s="6"/>
      <c r="B774" s="6"/>
      <c r="C774" s="6"/>
      <c r="D774" s="6"/>
      <c r="E774" s="6"/>
      <c r="F774" s="6"/>
      <c r="G774" s="6"/>
      <c r="H774" s="6"/>
      <c r="I774" s="6"/>
      <c r="J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row>
    <row r="775" ht="14.25" customHeight="1">
      <c r="A775" s="6"/>
      <c r="B775" s="6"/>
      <c r="C775" s="6"/>
      <c r="D775" s="6"/>
      <c r="E775" s="6"/>
      <c r="F775" s="6"/>
      <c r="G775" s="6"/>
      <c r="H775" s="6"/>
      <c r="I775" s="6"/>
      <c r="J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row>
    <row r="776" ht="14.25" customHeight="1">
      <c r="A776" s="6"/>
      <c r="B776" s="6"/>
      <c r="C776" s="6"/>
      <c r="D776" s="6"/>
      <c r="E776" s="6"/>
      <c r="F776" s="6"/>
      <c r="G776" s="6"/>
      <c r="H776" s="6"/>
      <c r="I776" s="6"/>
      <c r="J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row>
    <row r="777" ht="14.25" customHeight="1">
      <c r="A777" s="6"/>
      <c r="B777" s="6"/>
      <c r="C777" s="6"/>
      <c r="D777" s="6"/>
      <c r="E777" s="6"/>
      <c r="F777" s="6"/>
      <c r="G777" s="6"/>
      <c r="H777" s="6"/>
      <c r="I777" s="6"/>
      <c r="J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row>
    <row r="778" ht="14.25" customHeight="1">
      <c r="A778" s="6"/>
      <c r="B778" s="6"/>
      <c r="C778" s="6"/>
      <c r="D778" s="6"/>
      <c r="E778" s="6"/>
      <c r="F778" s="6"/>
      <c r="G778" s="6"/>
      <c r="H778" s="6"/>
      <c r="I778" s="6"/>
      <c r="J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row>
    <row r="779" ht="14.25" customHeight="1">
      <c r="A779" s="6"/>
      <c r="B779" s="6"/>
      <c r="C779" s="6"/>
      <c r="D779" s="6"/>
      <c r="E779" s="6"/>
      <c r="F779" s="6"/>
      <c r="G779" s="6"/>
      <c r="H779" s="6"/>
      <c r="I779" s="6"/>
      <c r="J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row>
    <row r="780" ht="14.25" customHeight="1">
      <c r="A780" s="6"/>
      <c r="B780" s="6"/>
      <c r="C780" s="6"/>
      <c r="D780" s="6"/>
      <c r="E780" s="6"/>
      <c r="F780" s="6"/>
      <c r="G780" s="6"/>
      <c r="H780" s="6"/>
      <c r="I780" s="6"/>
      <c r="J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row>
    <row r="781" ht="14.25" customHeight="1">
      <c r="A781" s="6"/>
      <c r="B781" s="6"/>
      <c r="C781" s="6"/>
      <c r="D781" s="6"/>
      <c r="E781" s="6"/>
      <c r="F781" s="6"/>
      <c r="G781" s="6"/>
      <c r="H781" s="6"/>
      <c r="I781" s="6"/>
      <c r="J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row>
    <row r="782" ht="14.25" customHeight="1">
      <c r="A782" s="6"/>
      <c r="B782" s="6"/>
      <c r="C782" s="6"/>
      <c r="D782" s="6"/>
      <c r="E782" s="6"/>
      <c r="F782" s="6"/>
      <c r="G782" s="6"/>
      <c r="H782" s="6"/>
      <c r="I782" s="6"/>
      <c r="J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row>
    <row r="783" ht="14.25" customHeight="1">
      <c r="A783" s="6"/>
      <c r="B783" s="6"/>
      <c r="C783" s="6"/>
      <c r="D783" s="6"/>
      <c r="E783" s="6"/>
      <c r="F783" s="6"/>
      <c r="G783" s="6"/>
      <c r="H783" s="6"/>
      <c r="I783" s="6"/>
      <c r="J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row>
    <row r="784" ht="14.25" customHeight="1">
      <c r="A784" s="6"/>
      <c r="B784" s="6"/>
      <c r="C784" s="6"/>
      <c r="D784" s="6"/>
      <c r="E784" s="6"/>
      <c r="F784" s="6"/>
      <c r="G784" s="6"/>
      <c r="H784" s="6"/>
      <c r="I784" s="6"/>
      <c r="J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row>
    <row r="785" ht="14.25" customHeight="1">
      <c r="A785" s="6"/>
      <c r="B785" s="6"/>
      <c r="C785" s="6"/>
      <c r="D785" s="6"/>
      <c r="E785" s="6"/>
      <c r="F785" s="6"/>
      <c r="G785" s="6"/>
      <c r="H785" s="6"/>
      <c r="I785" s="6"/>
      <c r="J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row>
    <row r="786" ht="14.25" customHeight="1">
      <c r="A786" s="6"/>
      <c r="B786" s="6"/>
      <c r="C786" s="6"/>
      <c r="D786" s="6"/>
      <c r="E786" s="6"/>
      <c r="F786" s="6"/>
      <c r="G786" s="6"/>
      <c r="H786" s="6"/>
      <c r="I786" s="6"/>
      <c r="J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row>
    <row r="787" ht="14.25" customHeight="1">
      <c r="A787" s="6"/>
      <c r="B787" s="6"/>
      <c r="C787" s="6"/>
      <c r="D787" s="6"/>
      <c r="E787" s="6"/>
      <c r="F787" s="6"/>
      <c r="G787" s="6"/>
      <c r="H787" s="6"/>
      <c r="I787" s="6"/>
      <c r="J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row>
    <row r="788" ht="14.25" customHeight="1">
      <c r="A788" s="6"/>
      <c r="B788" s="6"/>
      <c r="C788" s="6"/>
      <c r="D788" s="6"/>
      <c r="E788" s="6"/>
      <c r="F788" s="6"/>
      <c r="G788" s="6"/>
      <c r="H788" s="6"/>
      <c r="I788" s="6"/>
      <c r="J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row>
    <row r="789" ht="14.25" customHeight="1">
      <c r="A789" s="6"/>
      <c r="B789" s="6"/>
      <c r="C789" s="6"/>
      <c r="D789" s="6"/>
      <c r="E789" s="6"/>
      <c r="F789" s="6"/>
      <c r="G789" s="6"/>
      <c r="H789" s="6"/>
      <c r="I789" s="6"/>
      <c r="J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row>
    <row r="790" ht="14.25" customHeight="1">
      <c r="A790" s="6"/>
      <c r="B790" s="6"/>
      <c r="C790" s="6"/>
      <c r="D790" s="6"/>
      <c r="E790" s="6"/>
      <c r="F790" s="6"/>
      <c r="G790" s="6"/>
      <c r="H790" s="6"/>
      <c r="I790" s="6"/>
      <c r="J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row>
    <row r="791" ht="14.25" customHeight="1">
      <c r="A791" s="6"/>
      <c r="B791" s="6"/>
      <c r="C791" s="6"/>
      <c r="D791" s="6"/>
      <c r="E791" s="6"/>
      <c r="F791" s="6"/>
      <c r="G791" s="6"/>
      <c r="H791" s="6"/>
      <c r="I791" s="6"/>
      <c r="J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row>
    <row r="792" ht="14.25" customHeight="1">
      <c r="A792" s="6"/>
      <c r="B792" s="6"/>
      <c r="C792" s="6"/>
      <c r="D792" s="6"/>
      <c r="E792" s="6"/>
      <c r="F792" s="6"/>
      <c r="G792" s="6"/>
      <c r="H792" s="6"/>
      <c r="I792" s="6"/>
      <c r="J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row>
    <row r="793" ht="14.25" customHeight="1">
      <c r="A793" s="6"/>
      <c r="B793" s="6"/>
      <c r="C793" s="6"/>
      <c r="D793" s="6"/>
      <c r="E793" s="6"/>
      <c r="F793" s="6"/>
      <c r="G793" s="6"/>
      <c r="H793" s="6"/>
      <c r="I793" s="6"/>
      <c r="J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row>
    <row r="794" ht="14.25" customHeight="1">
      <c r="A794" s="6"/>
      <c r="B794" s="6"/>
      <c r="C794" s="6"/>
      <c r="D794" s="6"/>
      <c r="E794" s="6"/>
      <c r="F794" s="6"/>
      <c r="G794" s="6"/>
      <c r="H794" s="6"/>
      <c r="I794" s="6"/>
      <c r="J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row>
    <row r="795" ht="14.25" customHeight="1">
      <c r="A795" s="6"/>
      <c r="B795" s="6"/>
      <c r="C795" s="6"/>
      <c r="D795" s="6"/>
      <c r="E795" s="6"/>
      <c r="F795" s="6"/>
      <c r="G795" s="6"/>
      <c r="H795" s="6"/>
      <c r="I795" s="6"/>
      <c r="J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row>
    <row r="796" ht="14.25" customHeight="1">
      <c r="A796" s="6"/>
      <c r="B796" s="6"/>
      <c r="C796" s="6"/>
      <c r="D796" s="6"/>
      <c r="E796" s="6"/>
      <c r="F796" s="6"/>
      <c r="G796" s="6"/>
      <c r="H796" s="6"/>
      <c r="I796" s="6"/>
      <c r="J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row>
    <row r="797" ht="14.25" customHeight="1">
      <c r="A797" s="6"/>
      <c r="B797" s="6"/>
      <c r="C797" s="6"/>
      <c r="D797" s="6"/>
      <c r="E797" s="6"/>
      <c r="F797" s="6"/>
      <c r="G797" s="6"/>
      <c r="H797" s="6"/>
      <c r="I797" s="6"/>
      <c r="J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row>
    <row r="798" ht="14.25" customHeight="1">
      <c r="A798" s="6"/>
      <c r="B798" s="6"/>
      <c r="C798" s="6"/>
      <c r="D798" s="6"/>
      <c r="E798" s="6"/>
      <c r="F798" s="6"/>
      <c r="G798" s="6"/>
      <c r="H798" s="6"/>
      <c r="I798" s="6"/>
      <c r="J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row>
    <row r="799" ht="14.25" customHeight="1">
      <c r="A799" s="6"/>
      <c r="B799" s="6"/>
      <c r="C799" s="6"/>
      <c r="D799" s="6"/>
      <c r="E799" s="6"/>
      <c r="F799" s="6"/>
      <c r="G799" s="6"/>
      <c r="H799" s="6"/>
      <c r="I799" s="6"/>
      <c r="J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row>
    <row r="800" ht="14.25" customHeight="1">
      <c r="A800" s="6"/>
      <c r="B800" s="6"/>
      <c r="C800" s="6"/>
      <c r="D800" s="6"/>
      <c r="E800" s="6"/>
      <c r="F800" s="6"/>
      <c r="G800" s="6"/>
      <c r="H800" s="6"/>
      <c r="I800" s="6"/>
      <c r="J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row>
    <row r="801" ht="14.25" customHeight="1">
      <c r="A801" s="6"/>
      <c r="B801" s="6"/>
      <c r="C801" s="6"/>
      <c r="D801" s="6"/>
      <c r="E801" s="6"/>
      <c r="F801" s="6"/>
      <c r="G801" s="6"/>
      <c r="H801" s="6"/>
      <c r="I801" s="6"/>
      <c r="J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row>
    <row r="802" ht="14.25" customHeight="1">
      <c r="A802" s="6"/>
      <c r="B802" s="6"/>
      <c r="C802" s="6"/>
      <c r="D802" s="6"/>
      <c r="E802" s="6"/>
      <c r="F802" s="6"/>
      <c r="G802" s="6"/>
      <c r="H802" s="6"/>
      <c r="I802" s="6"/>
      <c r="J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row>
    <row r="803" ht="14.25" customHeight="1">
      <c r="A803" s="6"/>
      <c r="B803" s="6"/>
      <c r="C803" s="6"/>
      <c r="D803" s="6"/>
      <c r="E803" s="6"/>
      <c r="F803" s="6"/>
      <c r="G803" s="6"/>
      <c r="H803" s="6"/>
      <c r="I803" s="6"/>
      <c r="J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row>
    <row r="804" ht="14.25" customHeight="1">
      <c r="A804" s="6"/>
      <c r="B804" s="6"/>
      <c r="C804" s="6"/>
      <c r="D804" s="6"/>
      <c r="E804" s="6"/>
      <c r="F804" s="6"/>
      <c r="G804" s="6"/>
      <c r="H804" s="6"/>
      <c r="I804" s="6"/>
      <c r="J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row>
    <row r="805" ht="14.25" customHeight="1">
      <c r="A805" s="6"/>
      <c r="B805" s="6"/>
      <c r="C805" s="6"/>
      <c r="D805" s="6"/>
      <c r="E805" s="6"/>
      <c r="F805" s="6"/>
      <c r="G805" s="6"/>
      <c r="H805" s="6"/>
      <c r="I805" s="6"/>
      <c r="J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row>
    <row r="806" ht="14.25" customHeight="1">
      <c r="A806" s="6"/>
      <c r="B806" s="6"/>
      <c r="C806" s="6"/>
      <c r="D806" s="6"/>
      <c r="E806" s="6"/>
      <c r="F806" s="6"/>
      <c r="G806" s="6"/>
      <c r="H806" s="6"/>
      <c r="I806" s="6"/>
      <c r="J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row>
    <row r="807" ht="14.25" customHeight="1">
      <c r="A807" s="6"/>
      <c r="B807" s="6"/>
      <c r="C807" s="6"/>
      <c r="D807" s="6"/>
      <c r="E807" s="6"/>
      <c r="F807" s="6"/>
      <c r="G807" s="6"/>
      <c r="H807" s="6"/>
      <c r="I807" s="6"/>
      <c r="J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row>
    <row r="808" ht="14.25" customHeight="1">
      <c r="A808" s="6"/>
      <c r="B808" s="6"/>
      <c r="C808" s="6"/>
      <c r="D808" s="6"/>
      <c r="E808" s="6"/>
      <c r="F808" s="6"/>
      <c r="G808" s="6"/>
      <c r="H808" s="6"/>
      <c r="I808" s="6"/>
      <c r="J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row>
    <row r="809" ht="14.25" customHeight="1">
      <c r="A809" s="6"/>
      <c r="B809" s="6"/>
      <c r="C809" s="6"/>
      <c r="D809" s="6"/>
      <c r="E809" s="6"/>
      <c r="F809" s="6"/>
      <c r="G809" s="6"/>
      <c r="H809" s="6"/>
      <c r="I809" s="6"/>
      <c r="J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row>
    <row r="810" ht="14.25" customHeight="1">
      <c r="A810" s="6"/>
      <c r="B810" s="6"/>
      <c r="C810" s="6"/>
      <c r="D810" s="6"/>
      <c r="E810" s="6"/>
      <c r="F810" s="6"/>
      <c r="G810" s="6"/>
      <c r="H810" s="6"/>
      <c r="I810" s="6"/>
      <c r="J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row>
    <row r="811" ht="14.25" customHeight="1">
      <c r="A811" s="6"/>
      <c r="B811" s="6"/>
      <c r="C811" s="6"/>
      <c r="D811" s="6"/>
      <c r="E811" s="6"/>
      <c r="F811" s="6"/>
      <c r="G811" s="6"/>
      <c r="H811" s="6"/>
      <c r="I811" s="6"/>
      <c r="J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row>
    <row r="812" ht="14.25" customHeight="1">
      <c r="A812" s="6"/>
      <c r="B812" s="6"/>
      <c r="C812" s="6"/>
      <c r="D812" s="6"/>
      <c r="E812" s="6"/>
      <c r="F812" s="6"/>
      <c r="G812" s="6"/>
      <c r="H812" s="6"/>
      <c r="I812" s="6"/>
      <c r="J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row>
    <row r="813" ht="14.25" customHeight="1">
      <c r="A813" s="6"/>
      <c r="B813" s="6"/>
      <c r="C813" s="6"/>
      <c r="D813" s="6"/>
      <c r="E813" s="6"/>
      <c r="F813" s="6"/>
      <c r="G813" s="6"/>
      <c r="H813" s="6"/>
      <c r="I813" s="6"/>
      <c r="J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row>
    <row r="814" ht="14.25" customHeight="1">
      <c r="A814" s="6"/>
      <c r="B814" s="6"/>
      <c r="C814" s="6"/>
      <c r="D814" s="6"/>
      <c r="E814" s="6"/>
      <c r="F814" s="6"/>
      <c r="G814" s="6"/>
      <c r="H814" s="6"/>
      <c r="I814" s="6"/>
      <c r="J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row>
    <row r="815" ht="14.25" customHeight="1">
      <c r="A815" s="6"/>
      <c r="B815" s="6"/>
      <c r="C815" s="6"/>
      <c r="D815" s="6"/>
      <c r="E815" s="6"/>
      <c r="F815" s="6"/>
      <c r="G815" s="6"/>
      <c r="H815" s="6"/>
      <c r="I815" s="6"/>
      <c r="J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row>
    <row r="816" ht="14.25" customHeight="1">
      <c r="A816" s="6"/>
      <c r="B816" s="6"/>
      <c r="C816" s="6"/>
      <c r="D816" s="6"/>
      <c r="E816" s="6"/>
      <c r="F816" s="6"/>
      <c r="G816" s="6"/>
      <c r="H816" s="6"/>
      <c r="I816" s="6"/>
      <c r="J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row>
    <row r="817" ht="14.25" customHeight="1">
      <c r="A817" s="6"/>
      <c r="B817" s="6"/>
      <c r="C817" s="6"/>
      <c r="D817" s="6"/>
      <c r="E817" s="6"/>
      <c r="F817" s="6"/>
      <c r="G817" s="6"/>
      <c r="H817" s="6"/>
      <c r="I817" s="6"/>
      <c r="J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row>
    <row r="818" ht="14.25" customHeight="1">
      <c r="A818" s="6"/>
      <c r="B818" s="6"/>
      <c r="C818" s="6"/>
      <c r="D818" s="6"/>
      <c r="E818" s="6"/>
      <c r="F818" s="6"/>
      <c r="G818" s="6"/>
      <c r="H818" s="6"/>
      <c r="I818" s="6"/>
      <c r="J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row>
    <row r="819" ht="14.25" customHeight="1">
      <c r="A819" s="6"/>
      <c r="B819" s="6"/>
      <c r="C819" s="6"/>
      <c r="D819" s="6"/>
      <c r="E819" s="6"/>
      <c r="F819" s="6"/>
      <c r="G819" s="6"/>
      <c r="H819" s="6"/>
      <c r="I819" s="6"/>
      <c r="J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row>
    <row r="820" ht="14.25" customHeight="1">
      <c r="A820" s="6"/>
      <c r="B820" s="6"/>
      <c r="C820" s="6"/>
      <c r="D820" s="6"/>
      <c r="E820" s="6"/>
      <c r="F820" s="6"/>
      <c r="G820" s="6"/>
      <c r="H820" s="6"/>
      <c r="I820" s="6"/>
      <c r="J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row>
    <row r="821" ht="14.25" customHeight="1">
      <c r="A821" s="6"/>
      <c r="B821" s="6"/>
      <c r="C821" s="6"/>
      <c r="D821" s="6"/>
      <c r="E821" s="6"/>
      <c r="F821" s="6"/>
      <c r="G821" s="6"/>
      <c r="H821" s="6"/>
      <c r="I821" s="6"/>
      <c r="J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row>
    <row r="822" ht="14.25" customHeight="1">
      <c r="A822" s="6"/>
      <c r="B822" s="6"/>
      <c r="C822" s="6"/>
      <c r="D822" s="6"/>
      <c r="E822" s="6"/>
      <c r="F822" s="6"/>
      <c r="G822" s="6"/>
      <c r="H822" s="6"/>
      <c r="I822" s="6"/>
      <c r="J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row>
    <row r="823" ht="14.25" customHeight="1">
      <c r="A823" s="6"/>
      <c r="B823" s="6"/>
      <c r="C823" s="6"/>
      <c r="D823" s="6"/>
      <c r="E823" s="6"/>
      <c r="F823" s="6"/>
      <c r="G823" s="6"/>
      <c r="H823" s="6"/>
      <c r="I823" s="6"/>
      <c r="J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row>
    <row r="824" ht="14.25" customHeight="1">
      <c r="A824" s="6"/>
      <c r="B824" s="6"/>
      <c r="C824" s="6"/>
      <c r="D824" s="6"/>
      <c r="E824" s="6"/>
      <c r="F824" s="6"/>
      <c r="G824" s="6"/>
      <c r="H824" s="6"/>
      <c r="I824" s="6"/>
      <c r="J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row>
    <row r="825" ht="14.25" customHeight="1">
      <c r="A825" s="6"/>
      <c r="B825" s="6"/>
      <c r="C825" s="6"/>
      <c r="D825" s="6"/>
      <c r="E825" s="6"/>
      <c r="F825" s="6"/>
      <c r="G825" s="6"/>
      <c r="H825" s="6"/>
      <c r="I825" s="6"/>
      <c r="J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row>
    <row r="826" ht="14.25" customHeight="1">
      <c r="A826" s="6"/>
      <c r="B826" s="6"/>
      <c r="C826" s="6"/>
      <c r="D826" s="6"/>
      <c r="E826" s="6"/>
      <c r="F826" s="6"/>
      <c r="G826" s="6"/>
      <c r="H826" s="6"/>
      <c r="I826" s="6"/>
      <c r="J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row>
    <row r="827" ht="14.25" customHeight="1">
      <c r="A827" s="6"/>
      <c r="B827" s="6"/>
      <c r="C827" s="6"/>
      <c r="D827" s="6"/>
      <c r="E827" s="6"/>
      <c r="F827" s="6"/>
      <c r="G827" s="6"/>
      <c r="H827" s="6"/>
      <c r="I827" s="6"/>
      <c r="J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row>
    <row r="828" ht="14.25" customHeight="1">
      <c r="A828" s="6"/>
      <c r="B828" s="6"/>
      <c r="C828" s="6"/>
      <c r="D828" s="6"/>
      <c r="E828" s="6"/>
      <c r="F828" s="6"/>
      <c r="G828" s="6"/>
      <c r="H828" s="6"/>
      <c r="I828" s="6"/>
      <c r="J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row>
    <row r="829" ht="14.25" customHeight="1">
      <c r="A829" s="6"/>
      <c r="B829" s="6"/>
      <c r="C829" s="6"/>
      <c r="D829" s="6"/>
      <c r="E829" s="6"/>
      <c r="F829" s="6"/>
      <c r="G829" s="6"/>
      <c r="H829" s="6"/>
      <c r="I829" s="6"/>
      <c r="J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row>
    <row r="830" ht="14.25" customHeight="1">
      <c r="A830" s="6"/>
      <c r="B830" s="6"/>
      <c r="C830" s="6"/>
      <c r="D830" s="6"/>
      <c r="E830" s="6"/>
      <c r="F830" s="6"/>
      <c r="G830" s="6"/>
      <c r="H830" s="6"/>
      <c r="I830" s="6"/>
      <c r="J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row>
    <row r="831" ht="14.25" customHeight="1">
      <c r="A831" s="6"/>
      <c r="B831" s="6"/>
      <c r="C831" s="6"/>
      <c r="D831" s="6"/>
      <c r="E831" s="6"/>
      <c r="F831" s="6"/>
      <c r="G831" s="6"/>
      <c r="H831" s="6"/>
      <c r="I831" s="6"/>
      <c r="J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row>
    <row r="832" ht="14.25" customHeight="1">
      <c r="A832" s="6"/>
      <c r="B832" s="6"/>
      <c r="C832" s="6"/>
      <c r="D832" s="6"/>
      <c r="E832" s="6"/>
      <c r="F832" s="6"/>
      <c r="G832" s="6"/>
      <c r="H832" s="6"/>
      <c r="I832" s="6"/>
      <c r="J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row>
    <row r="833" ht="14.25" customHeight="1">
      <c r="A833" s="6"/>
      <c r="B833" s="6"/>
      <c r="C833" s="6"/>
      <c r="D833" s="6"/>
      <c r="E833" s="6"/>
      <c r="F833" s="6"/>
      <c r="G833" s="6"/>
      <c r="H833" s="6"/>
      <c r="I833" s="6"/>
      <c r="J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row>
    <row r="834" ht="14.25" customHeight="1">
      <c r="A834" s="6"/>
      <c r="B834" s="6"/>
      <c r="C834" s="6"/>
      <c r="D834" s="6"/>
      <c r="E834" s="6"/>
      <c r="F834" s="6"/>
      <c r="G834" s="6"/>
      <c r="H834" s="6"/>
      <c r="I834" s="6"/>
      <c r="J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row>
    <row r="835" ht="14.25" customHeight="1">
      <c r="A835" s="6"/>
      <c r="B835" s="6"/>
      <c r="C835" s="6"/>
      <c r="D835" s="6"/>
      <c r="E835" s="6"/>
      <c r="F835" s="6"/>
      <c r="G835" s="6"/>
      <c r="H835" s="6"/>
      <c r="I835" s="6"/>
      <c r="J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row>
    <row r="836" ht="14.25" customHeight="1">
      <c r="A836" s="6"/>
      <c r="B836" s="6"/>
      <c r="C836" s="6"/>
      <c r="D836" s="6"/>
      <c r="E836" s="6"/>
      <c r="F836" s="6"/>
      <c r="G836" s="6"/>
      <c r="H836" s="6"/>
      <c r="I836" s="6"/>
      <c r="J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row>
    <row r="837" ht="14.25" customHeight="1">
      <c r="A837" s="6"/>
      <c r="B837" s="6"/>
      <c r="C837" s="6"/>
      <c r="D837" s="6"/>
      <c r="E837" s="6"/>
      <c r="F837" s="6"/>
      <c r="G837" s="6"/>
      <c r="H837" s="6"/>
      <c r="I837" s="6"/>
      <c r="J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row>
    <row r="838" ht="14.25" customHeight="1">
      <c r="A838" s="6"/>
      <c r="B838" s="6"/>
      <c r="C838" s="6"/>
      <c r="D838" s="6"/>
      <c r="E838" s="6"/>
      <c r="F838" s="6"/>
      <c r="G838" s="6"/>
      <c r="H838" s="6"/>
      <c r="I838" s="6"/>
      <c r="J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row>
    <row r="839" ht="14.25" customHeight="1">
      <c r="A839" s="6"/>
      <c r="B839" s="6"/>
      <c r="C839" s="6"/>
      <c r="D839" s="6"/>
      <c r="E839" s="6"/>
      <c r="F839" s="6"/>
      <c r="G839" s="6"/>
      <c r="H839" s="6"/>
      <c r="I839" s="6"/>
      <c r="J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row>
    <row r="840" ht="14.25" customHeight="1">
      <c r="A840" s="6"/>
      <c r="B840" s="6"/>
      <c r="C840" s="6"/>
      <c r="D840" s="6"/>
      <c r="E840" s="6"/>
      <c r="F840" s="6"/>
      <c r="G840" s="6"/>
      <c r="H840" s="6"/>
      <c r="I840" s="6"/>
      <c r="J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row>
    <row r="841" ht="14.25" customHeight="1">
      <c r="A841" s="6"/>
      <c r="B841" s="6"/>
      <c r="C841" s="6"/>
      <c r="D841" s="6"/>
      <c r="E841" s="6"/>
      <c r="F841" s="6"/>
      <c r="G841" s="6"/>
      <c r="H841" s="6"/>
      <c r="I841" s="6"/>
      <c r="J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row>
    <row r="842" ht="14.25" customHeight="1">
      <c r="A842" s="6"/>
      <c r="B842" s="6"/>
      <c r="C842" s="6"/>
      <c r="D842" s="6"/>
      <c r="E842" s="6"/>
      <c r="F842" s="6"/>
      <c r="G842" s="6"/>
      <c r="H842" s="6"/>
      <c r="I842" s="6"/>
      <c r="J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row>
    <row r="843" ht="14.25" customHeight="1">
      <c r="A843" s="6"/>
      <c r="B843" s="6"/>
      <c r="C843" s="6"/>
      <c r="D843" s="6"/>
      <c r="E843" s="6"/>
      <c r="F843" s="6"/>
      <c r="G843" s="6"/>
      <c r="H843" s="6"/>
      <c r="I843" s="6"/>
      <c r="J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row>
    <row r="844" ht="14.25" customHeight="1">
      <c r="A844" s="6"/>
      <c r="B844" s="6"/>
      <c r="C844" s="6"/>
      <c r="D844" s="6"/>
      <c r="E844" s="6"/>
      <c r="F844" s="6"/>
      <c r="G844" s="6"/>
      <c r="H844" s="6"/>
      <c r="I844" s="6"/>
      <c r="J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row>
    <row r="845" ht="14.25" customHeight="1">
      <c r="A845" s="6"/>
      <c r="B845" s="6"/>
      <c r="C845" s="6"/>
      <c r="D845" s="6"/>
      <c r="E845" s="6"/>
      <c r="F845" s="6"/>
      <c r="G845" s="6"/>
      <c r="H845" s="6"/>
      <c r="I845" s="6"/>
      <c r="J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row>
    <row r="846" ht="14.25" customHeight="1">
      <c r="A846" s="6"/>
      <c r="B846" s="6"/>
      <c r="C846" s="6"/>
      <c r="D846" s="6"/>
      <c r="E846" s="6"/>
      <c r="F846" s="6"/>
      <c r="G846" s="6"/>
      <c r="H846" s="6"/>
      <c r="I846" s="6"/>
      <c r="J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row>
    <row r="847" ht="14.25" customHeight="1">
      <c r="A847" s="6"/>
      <c r="B847" s="6"/>
      <c r="C847" s="6"/>
      <c r="D847" s="6"/>
      <c r="E847" s="6"/>
      <c r="F847" s="6"/>
      <c r="G847" s="6"/>
      <c r="H847" s="6"/>
      <c r="I847" s="6"/>
      <c r="J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row>
    <row r="848" ht="14.25" customHeight="1">
      <c r="A848" s="6"/>
      <c r="B848" s="6"/>
      <c r="C848" s="6"/>
      <c r="D848" s="6"/>
      <c r="E848" s="6"/>
      <c r="F848" s="6"/>
      <c r="G848" s="6"/>
      <c r="H848" s="6"/>
      <c r="I848" s="6"/>
      <c r="J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row>
    <row r="849" ht="14.25" customHeight="1">
      <c r="A849" s="6"/>
      <c r="B849" s="6"/>
      <c r="C849" s="6"/>
      <c r="D849" s="6"/>
      <c r="E849" s="6"/>
      <c r="F849" s="6"/>
      <c r="G849" s="6"/>
      <c r="H849" s="6"/>
      <c r="I849" s="6"/>
      <c r="J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row>
    <row r="850" ht="14.25" customHeight="1">
      <c r="A850" s="6"/>
      <c r="B850" s="6"/>
      <c r="C850" s="6"/>
      <c r="D850" s="6"/>
      <c r="E850" s="6"/>
      <c r="F850" s="6"/>
      <c r="G850" s="6"/>
      <c r="H850" s="6"/>
      <c r="I850" s="6"/>
      <c r="J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row>
    <row r="851" ht="14.25" customHeight="1">
      <c r="A851" s="6"/>
      <c r="B851" s="6"/>
      <c r="C851" s="6"/>
      <c r="D851" s="6"/>
      <c r="E851" s="6"/>
      <c r="F851" s="6"/>
      <c r="G851" s="6"/>
      <c r="H851" s="6"/>
      <c r="I851" s="6"/>
      <c r="J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row>
    <row r="852" ht="14.25" customHeight="1">
      <c r="A852" s="6"/>
      <c r="B852" s="6"/>
      <c r="C852" s="6"/>
      <c r="D852" s="6"/>
      <c r="E852" s="6"/>
      <c r="F852" s="6"/>
      <c r="G852" s="6"/>
      <c r="H852" s="6"/>
      <c r="I852" s="6"/>
      <c r="J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row>
    <row r="853" ht="14.25" customHeight="1">
      <c r="A853" s="6"/>
      <c r="B853" s="6"/>
      <c r="C853" s="6"/>
      <c r="D853" s="6"/>
      <c r="E853" s="6"/>
      <c r="F853" s="6"/>
      <c r="G853" s="6"/>
      <c r="H853" s="6"/>
      <c r="I853" s="6"/>
      <c r="J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row>
    <row r="854" ht="14.25" customHeight="1">
      <c r="A854" s="6"/>
      <c r="B854" s="6"/>
      <c r="C854" s="6"/>
      <c r="D854" s="6"/>
      <c r="E854" s="6"/>
      <c r="F854" s="6"/>
      <c r="G854" s="6"/>
      <c r="H854" s="6"/>
      <c r="I854" s="6"/>
      <c r="J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row>
    <row r="855" ht="14.25" customHeight="1">
      <c r="A855" s="6"/>
      <c r="B855" s="6"/>
      <c r="C855" s="6"/>
      <c r="D855" s="6"/>
      <c r="E855" s="6"/>
      <c r="F855" s="6"/>
      <c r="G855" s="6"/>
      <c r="H855" s="6"/>
      <c r="I855" s="6"/>
      <c r="J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row>
    <row r="856" ht="14.25" customHeight="1">
      <c r="A856" s="6"/>
      <c r="B856" s="6"/>
      <c r="C856" s="6"/>
      <c r="D856" s="6"/>
      <c r="E856" s="6"/>
      <c r="F856" s="6"/>
      <c r="G856" s="6"/>
      <c r="H856" s="6"/>
      <c r="I856" s="6"/>
      <c r="J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row>
    <row r="857" ht="14.25" customHeight="1">
      <c r="A857" s="6"/>
      <c r="B857" s="6"/>
      <c r="C857" s="6"/>
      <c r="D857" s="6"/>
      <c r="E857" s="6"/>
      <c r="F857" s="6"/>
      <c r="G857" s="6"/>
      <c r="H857" s="6"/>
      <c r="I857" s="6"/>
      <c r="J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row>
    <row r="858" ht="14.25" customHeight="1">
      <c r="A858" s="6"/>
      <c r="B858" s="6"/>
      <c r="C858" s="6"/>
      <c r="D858" s="6"/>
      <c r="E858" s="6"/>
      <c r="F858" s="6"/>
      <c r="G858" s="6"/>
      <c r="H858" s="6"/>
      <c r="I858" s="6"/>
      <c r="J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row>
    <row r="859" ht="14.25" customHeight="1">
      <c r="A859" s="6"/>
      <c r="B859" s="6"/>
      <c r="C859" s="6"/>
      <c r="D859" s="6"/>
      <c r="E859" s="6"/>
      <c r="F859" s="6"/>
      <c r="G859" s="6"/>
      <c r="H859" s="6"/>
      <c r="I859" s="6"/>
      <c r="J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row>
    <row r="860" ht="14.25" customHeight="1">
      <c r="A860" s="6"/>
      <c r="B860" s="6"/>
      <c r="C860" s="6"/>
      <c r="D860" s="6"/>
      <c r="E860" s="6"/>
      <c r="F860" s="6"/>
      <c r="G860" s="6"/>
      <c r="H860" s="6"/>
      <c r="I860" s="6"/>
      <c r="J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row>
    <row r="861" ht="14.25" customHeight="1">
      <c r="A861" s="6"/>
      <c r="B861" s="6"/>
      <c r="C861" s="6"/>
      <c r="D861" s="6"/>
      <c r="E861" s="6"/>
      <c r="F861" s="6"/>
      <c r="G861" s="6"/>
      <c r="H861" s="6"/>
      <c r="I861" s="6"/>
      <c r="J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row>
    <row r="862" ht="14.25" customHeight="1">
      <c r="A862" s="6"/>
      <c r="B862" s="6"/>
      <c r="C862" s="6"/>
      <c r="D862" s="6"/>
      <c r="E862" s="6"/>
      <c r="F862" s="6"/>
      <c r="G862" s="6"/>
      <c r="H862" s="6"/>
      <c r="I862" s="6"/>
      <c r="J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row>
    <row r="863" ht="14.25" customHeight="1">
      <c r="A863" s="6"/>
      <c r="B863" s="6"/>
      <c r="C863" s="6"/>
      <c r="D863" s="6"/>
      <c r="E863" s="6"/>
      <c r="F863" s="6"/>
      <c r="G863" s="6"/>
      <c r="H863" s="6"/>
      <c r="I863" s="6"/>
      <c r="J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row>
    <row r="864" ht="14.25" customHeight="1">
      <c r="A864" s="6"/>
      <c r="B864" s="6"/>
      <c r="C864" s="6"/>
      <c r="D864" s="6"/>
      <c r="E864" s="6"/>
      <c r="F864" s="6"/>
      <c r="G864" s="6"/>
      <c r="H864" s="6"/>
      <c r="I864" s="6"/>
      <c r="J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row>
    <row r="865" ht="14.25" customHeight="1">
      <c r="A865" s="6"/>
      <c r="B865" s="6"/>
      <c r="C865" s="6"/>
      <c r="D865" s="6"/>
      <c r="E865" s="6"/>
      <c r="F865" s="6"/>
      <c r="G865" s="6"/>
      <c r="H865" s="6"/>
      <c r="I865" s="6"/>
      <c r="J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row>
    <row r="866" ht="14.25" customHeight="1">
      <c r="A866" s="6"/>
      <c r="B866" s="6"/>
      <c r="C866" s="6"/>
      <c r="D866" s="6"/>
      <c r="E866" s="6"/>
      <c r="F866" s="6"/>
      <c r="G866" s="6"/>
      <c r="H866" s="6"/>
      <c r="I866" s="6"/>
      <c r="J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row>
    <row r="867" ht="14.25" customHeight="1">
      <c r="A867" s="6"/>
      <c r="B867" s="6"/>
      <c r="C867" s="6"/>
      <c r="D867" s="6"/>
      <c r="E867" s="6"/>
      <c r="F867" s="6"/>
      <c r="G867" s="6"/>
      <c r="H867" s="6"/>
      <c r="I867" s="6"/>
      <c r="J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row>
    <row r="868" ht="14.25" customHeight="1">
      <c r="A868" s="6"/>
      <c r="B868" s="6"/>
      <c r="C868" s="6"/>
      <c r="D868" s="6"/>
      <c r="E868" s="6"/>
      <c r="F868" s="6"/>
      <c r="G868" s="6"/>
      <c r="H868" s="6"/>
      <c r="I868" s="6"/>
      <c r="J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row>
    <row r="869" ht="14.25" customHeight="1">
      <c r="A869" s="6"/>
      <c r="B869" s="6"/>
      <c r="C869" s="6"/>
      <c r="D869" s="6"/>
      <c r="E869" s="6"/>
      <c r="F869" s="6"/>
      <c r="G869" s="6"/>
      <c r="H869" s="6"/>
      <c r="I869" s="6"/>
      <c r="J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row>
    <row r="870" ht="14.25" customHeight="1">
      <c r="A870" s="6"/>
      <c r="B870" s="6"/>
      <c r="C870" s="6"/>
      <c r="D870" s="6"/>
      <c r="E870" s="6"/>
      <c r="F870" s="6"/>
      <c r="G870" s="6"/>
      <c r="H870" s="6"/>
      <c r="I870" s="6"/>
      <c r="J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row>
    <row r="871" ht="14.25" customHeight="1">
      <c r="A871" s="6"/>
      <c r="B871" s="6"/>
      <c r="C871" s="6"/>
      <c r="D871" s="6"/>
      <c r="E871" s="6"/>
      <c r="F871" s="6"/>
      <c r="G871" s="6"/>
      <c r="H871" s="6"/>
      <c r="I871" s="6"/>
      <c r="J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row>
    <row r="872" ht="14.25" customHeight="1">
      <c r="A872" s="6"/>
      <c r="B872" s="6"/>
      <c r="C872" s="6"/>
      <c r="D872" s="6"/>
      <c r="E872" s="6"/>
      <c r="F872" s="6"/>
      <c r="G872" s="6"/>
      <c r="H872" s="6"/>
      <c r="I872" s="6"/>
      <c r="J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row>
    <row r="873" ht="14.25" customHeight="1">
      <c r="A873" s="6"/>
      <c r="B873" s="6"/>
      <c r="C873" s="6"/>
      <c r="D873" s="6"/>
      <c r="E873" s="6"/>
      <c r="F873" s="6"/>
      <c r="G873" s="6"/>
      <c r="H873" s="6"/>
      <c r="I873" s="6"/>
      <c r="J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row>
    <row r="874" ht="14.25" customHeight="1">
      <c r="A874" s="6"/>
      <c r="B874" s="6"/>
      <c r="C874" s="6"/>
      <c r="D874" s="6"/>
      <c r="E874" s="6"/>
      <c r="F874" s="6"/>
      <c r="G874" s="6"/>
      <c r="H874" s="6"/>
      <c r="I874" s="6"/>
      <c r="J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row>
    <row r="875" ht="14.25" customHeight="1">
      <c r="A875" s="6"/>
      <c r="B875" s="6"/>
      <c r="C875" s="6"/>
      <c r="D875" s="6"/>
      <c r="E875" s="6"/>
      <c r="F875" s="6"/>
      <c r="G875" s="6"/>
      <c r="H875" s="6"/>
      <c r="I875" s="6"/>
      <c r="J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row>
    <row r="876" ht="14.25" customHeight="1">
      <c r="A876" s="6"/>
      <c r="B876" s="6"/>
      <c r="C876" s="6"/>
      <c r="D876" s="6"/>
      <c r="E876" s="6"/>
      <c r="F876" s="6"/>
      <c r="G876" s="6"/>
      <c r="H876" s="6"/>
      <c r="I876" s="6"/>
      <c r="J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row>
    <row r="877" ht="14.25" customHeight="1">
      <c r="A877" s="6"/>
      <c r="B877" s="6"/>
      <c r="C877" s="6"/>
      <c r="D877" s="6"/>
      <c r="E877" s="6"/>
      <c r="F877" s="6"/>
      <c r="G877" s="6"/>
      <c r="H877" s="6"/>
      <c r="I877" s="6"/>
      <c r="J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row>
    <row r="878" ht="14.25" customHeight="1">
      <c r="A878" s="6"/>
      <c r="B878" s="6"/>
      <c r="C878" s="6"/>
      <c r="D878" s="6"/>
      <c r="E878" s="6"/>
      <c r="F878" s="6"/>
      <c r="G878" s="6"/>
      <c r="H878" s="6"/>
      <c r="I878" s="6"/>
      <c r="J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row>
    <row r="879" ht="14.25" customHeight="1">
      <c r="A879" s="6"/>
      <c r="B879" s="6"/>
      <c r="C879" s="6"/>
      <c r="D879" s="6"/>
      <c r="E879" s="6"/>
      <c r="F879" s="6"/>
      <c r="G879" s="6"/>
      <c r="H879" s="6"/>
      <c r="I879" s="6"/>
      <c r="J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row>
    <row r="880" ht="14.25" customHeight="1">
      <c r="A880" s="6"/>
      <c r="B880" s="6"/>
      <c r="C880" s="6"/>
      <c r="D880" s="6"/>
      <c r="E880" s="6"/>
      <c r="F880" s="6"/>
      <c r="G880" s="6"/>
      <c r="H880" s="6"/>
      <c r="I880" s="6"/>
      <c r="J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row>
    <row r="881" ht="14.25" customHeight="1">
      <c r="A881" s="6"/>
      <c r="B881" s="6"/>
      <c r="C881" s="6"/>
      <c r="D881" s="6"/>
      <c r="E881" s="6"/>
      <c r="F881" s="6"/>
      <c r="G881" s="6"/>
      <c r="H881" s="6"/>
      <c r="I881" s="6"/>
      <c r="J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row>
    <row r="882" ht="14.25" customHeight="1">
      <c r="A882" s="6"/>
      <c r="B882" s="6"/>
      <c r="C882" s="6"/>
      <c r="D882" s="6"/>
      <c r="E882" s="6"/>
      <c r="F882" s="6"/>
      <c r="G882" s="6"/>
      <c r="H882" s="6"/>
      <c r="I882" s="6"/>
      <c r="J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row>
    <row r="883" ht="14.25" customHeight="1">
      <c r="A883" s="6"/>
      <c r="B883" s="6"/>
      <c r="C883" s="6"/>
      <c r="D883" s="6"/>
      <c r="E883" s="6"/>
      <c r="F883" s="6"/>
      <c r="G883" s="6"/>
      <c r="H883" s="6"/>
      <c r="I883" s="6"/>
      <c r="J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row>
    <row r="884" ht="14.25" customHeight="1">
      <c r="A884" s="6"/>
      <c r="B884" s="6"/>
      <c r="C884" s="6"/>
      <c r="D884" s="6"/>
      <c r="E884" s="6"/>
      <c r="F884" s="6"/>
      <c r="G884" s="6"/>
      <c r="H884" s="6"/>
      <c r="I884" s="6"/>
      <c r="J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row>
    <row r="885" ht="14.25" customHeight="1">
      <c r="A885" s="6"/>
      <c r="B885" s="6"/>
      <c r="C885" s="6"/>
      <c r="D885" s="6"/>
      <c r="E885" s="6"/>
      <c r="F885" s="6"/>
      <c r="G885" s="6"/>
      <c r="H885" s="6"/>
      <c r="I885" s="6"/>
      <c r="J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row>
    <row r="886" ht="14.25" customHeight="1">
      <c r="A886" s="6"/>
      <c r="B886" s="6"/>
      <c r="C886" s="6"/>
      <c r="D886" s="6"/>
      <c r="E886" s="6"/>
      <c r="F886" s="6"/>
      <c r="G886" s="6"/>
      <c r="H886" s="6"/>
      <c r="I886" s="6"/>
      <c r="J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row>
    <row r="887" ht="14.25" customHeight="1">
      <c r="A887" s="6"/>
      <c r="B887" s="6"/>
      <c r="C887" s="6"/>
      <c r="D887" s="6"/>
      <c r="E887" s="6"/>
      <c r="F887" s="6"/>
      <c r="G887" s="6"/>
      <c r="H887" s="6"/>
      <c r="I887" s="6"/>
      <c r="J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row>
    <row r="888" ht="14.25" customHeight="1">
      <c r="A888" s="6"/>
      <c r="B888" s="6"/>
      <c r="C888" s="6"/>
      <c r="D888" s="6"/>
      <c r="E888" s="6"/>
      <c r="F888" s="6"/>
      <c r="G888" s="6"/>
      <c r="H888" s="6"/>
      <c r="I888" s="6"/>
      <c r="J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row>
    <row r="889" ht="14.25" customHeight="1">
      <c r="A889" s="6"/>
      <c r="B889" s="6"/>
      <c r="C889" s="6"/>
      <c r="D889" s="6"/>
      <c r="E889" s="6"/>
      <c r="F889" s="6"/>
      <c r="G889" s="6"/>
      <c r="H889" s="6"/>
      <c r="I889" s="6"/>
      <c r="J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row>
    <row r="890" ht="14.25" customHeight="1">
      <c r="A890" s="6"/>
      <c r="B890" s="6"/>
      <c r="C890" s="6"/>
      <c r="D890" s="6"/>
      <c r="E890" s="6"/>
      <c r="F890" s="6"/>
      <c r="G890" s="6"/>
      <c r="H890" s="6"/>
      <c r="I890" s="6"/>
      <c r="J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row>
    <row r="891" ht="14.25" customHeight="1">
      <c r="A891" s="6"/>
      <c r="B891" s="6"/>
      <c r="C891" s="6"/>
      <c r="D891" s="6"/>
      <c r="E891" s="6"/>
      <c r="F891" s="6"/>
      <c r="G891" s="6"/>
      <c r="H891" s="6"/>
      <c r="I891" s="6"/>
      <c r="J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row>
    <row r="892" ht="14.25" customHeight="1">
      <c r="A892" s="6"/>
      <c r="B892" s="6"/>
      <c r="C892" s="6"/>
      <c r="D892" s="6"/>
      <c r="E892" s="6"/>
      <c r="F892" s="6"/>
      <c r="G892" s="6"/>
      <c r="H892" s="6"/>
      <c r="I892" s="6"/>
      <c r="J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row>
    <row r="893" ht="14.25" customHeight="1">
      <c r="A893" s="6"/>
      <c r="B893" s="6"/>
      <c r="C893" s="6"/>
      <c r="D893" s="6"/>
      <c r="E893" s="6"/>
      <c r="F893" s="6"/>
      <c r="G893" s="6"/>
      <c r="H893" s="6"/>
      <c r="I893" s="6"/>
      <c r="J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row>
    <row r="894" ht="14.25" customHeight="1">
      <c r="A894" s="6"/>
      <c r="B894" s="6"/>
      <c r="C894" s="6"/>
      <c r="D894" s="6"/>
      <c r="E894" s="6"/>
      <c r="F894" s="6"/>
      <c r="G894" s="6"/>
      <c r="H894" s="6"/>
      <c r="I894" s="6"/>
      <c r="J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row>
    <row r="895" ht="14.25" customHeight="1">
      <c r="A895" s="6"/>
      <c r="B895" s="6"/>
      <c r="C895" s="6"/>
      <c r="D895" s="6"/>
      <c r="E895" s="6"/>
      <c r="F895" s="6"/>
      <c r="G895" s="6"/>
      <c r="H895" s="6"/>
      <c r="I895" s="6"/>
      <c r="J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row>
    <row r="896" ht="14.25" customHeight="1">
      <c r="A896" s="6"/>
      <c r="B896" s="6"/>
      <c r="C896" s="6"/>
      <c r="D896" s="6"/>
      <c r="E896" s="6"/>
      <c r="F896" s="6"/>
      <c r="G896" s="6"/>
      <c r="H896" s="6"/>
      <c r="I896" s="6"/>
      <c r="J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row>
    <row r="897" ht="14.25" customHeight="1">
      <c r="A897" s="6"/>
      <c r="B897" s="6"/>
      <c r="C897" s="6"/>
      <c r="D897" s="6"/>
      <c r="E897" s="6"/>
      <c r="F897" s="6"/>
      <c r="G897" s="6"/>
      <c r="H897" s="6"/>
      <c r="I897" s="6"/>
      <c r="J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row>
    <row r="898" ht="14.25" customHeight="1">
      <c r="A898" s="6"/>
      <c r="B898" s="6"/>
      <c r="C898" s="6"/>
      <c r="D898" s="6"/>
      <c r="E898" s="6"/>
      <c r="F898" s="6"/>
      <c r="G898" s="6"/>
      <c r="H898" s="6"/>
      <c r="I898" s="6"/>
      <c r="J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row>
    <row r="899" ht="14.25" customHeight="1">
      <c r="A899" s="6"/>
      <c r="B899" s="6"/>
      <c r="C899" s="6"/>
      <c r="D899" s="6"/>
      <c r="E899" s="6"/>
      <c r="F899" s="6"/>
      <c r="G899" s="6"/>
      <c r="H899" s="6"/>
      <c r="I899" s="6"/>
      <c r="J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row>
    <row r="900" ht="14.25" customHeight="1">
      <c r="A900" s="6"/>
      <c r="B900" s="6"/>
      <c r="C900" s="6"/>
      <c r="D900" s="6"/>
      <c r="E900" s="6"/>
      <c r="F900" s="6"/>
      <c r="G900" s="6"/>
      <c r="H900" s="6"/>
      <c r="I900" s="6"/>
      <c r="J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row>
    <row r="901" ht="14.25" customHeight="1">
      <c r="A901" s="6"/>
      <c r="B901" s="6"/>
      <c r="C901" s="6"/>
      <c r="D901" s="6"/>
      <c r="E901" s="6"/>
      <c r="F901" s="6"/>
      <c r="G901" s="6"/>
      <c r="H901" s="6"/>
      <c r="I901" s="6"/>
      <c r="J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row>
    <row r="902" ht="14.25" customHeight="1">
      <c r="A902" s="6"/>
      <c r="B902" s="6"/>
      <c r="C902" s="6"/>
      <c r="D902" s="6"/>
      <c r="E902" s="6"/>
      <c r="F902" s="6"/>
      <c r="G902" s="6"/>
      <c r="H902" s="6"/>
      <c r="I902" s="6"/>
      <c r="J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row>
    <row r="903" ht="14.25" customHeight="1">
      <c r="A903" s="6"/>
      <c r="B903" s="6"/>
      <c r="C903" s="6"/>
      <c r="D903" s="6"/>
      <c r="E903" s="6"/>
      <c r="F903" s="6"/>
      <c r="G903" s="6"/>
      <c r="H903" s="6"/>
      <c r="I903" s="6"/>
      <c r="J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row>
    <row r="904" ht="14.25" customHeight="1">
      <c r="A904" s="6"/>
      <c r="B904" s="6"/>
      <c r="C904" s="6"/>
      <c r="D904" s="6"/>
      <c r="E904" s="6"/>
      <c r="F904" s="6"/>
      <c r="G904" s="6"/>
      <c r="H904" s="6"/>
      <c r="I904" s="6"/>
      <c r="J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row>
    <row r="905" ht="14.25" customHeight="1">
      <c r="A905" s="6"/>
      <c r="B905" s="6"/>
      <c r="C905" s="6"/>
      <c r="D905" s="6"/>
      <c r="E905" s="6"/>
      <c r="F905" s="6"/>
      <c r="G905" s="6"/>
      <c r="H905" s="6"/>
      <c r="I905" s="6"/>
      <c r="J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row>
    <row r="906" ht="14.25" customHeight="1">
      <c r="A906" s="6"/>
      <c r="B906" s="6"/>
      <c r="C906" s="6"/>
      <c r="D906" s="6"/>
      <c r="E906" s="6"/>
      <c r="F906" s="6"/>
      <c r="G906" s="6"/>
      <c r="H906" s="6"/>
      <c r="I906" s="6"/>
      <c r="J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row>
    <row r="907" ht="14.25" customHeight="1">
      <c r="A907" s="6"/>
      <c r="B907" s="6"/>
      <c r="C907" s="6"/>
      <c r="D907" s="6"/>
      <c r="E907" s="6"/>
      <c r="F907" s="6"/>
      <c r="G907" s="6"/>
      <c r="H907" s="6"/>
      <c r="I907" s="6"/>
      <c r="J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row>
    <row r="908" ht="14.25" customHeight="1">
      <c r="A908" s="6"/>
      <c r="B908" s="6"/>
      <c r="C908" s="6"/>
      <c r="D908" s="6"/>
      <c r="E908" s="6"/>
      <c r="F908" s="6"/>
      <c r="G908" s="6"/>
      <c r="H908" s="6"/>
      <c r="I908" s="6"/>
      <c r="J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row>
    <row r="909" ht="14.25" customHeight="1">
      <c r="A909" s="6"/>
      <c r="B909" s="6"/>
      <c r="C909" s="6"/>
      <c r="D909" s="6"/>
      <c r="E909" s="6"/>
      <c r="F909" s="6"/>
      <c r="G909" s="6"/>
      <c r="H909" s="6"/>
      <c r="I909" s="6"/>
      <c r="J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row>
    <row r="910" ht="14.25" customHeight="1">
      <c r="A910" s="6"/>
      <c r="B910" s="6"/>
      <c r="C910" s="6"/>
      <c r="D910" s="6"/>
      <c r="E910" s="6"/>
      <c r="F910" s="6"/>
      <c r="G910" s="6"/>
      <c r="H910" s="6"/>
      <c r="I910" s="6"/>
      <c r="J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row>
    <row r="911" ht="14.25" customHeight="1">
      <c r="A911" s="6"/>
      <c r="B911" s="6"/>
      <c r="C911" s="6"/>
      <c r="D911" s="6"/>
      <c r="E911" s="6"/>
      <c r="F911" s="6"/>
      <c r="G911" s="6"/>
      <c r="H911" s="6"/>
      <c r="I911" s="6"/>
      <c r="J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row>
    <row r="912" ht="14.25" customHeight="1">
      <c r="A912" s="6"/>
      <c r="B912" s="6"/>
      <c r="C912" s="6"/>
      <c r="D912" s="6"/>
      <c r="E912" s="6"/>
      <c r="F912" s="6"/>
      <c r="G912" s="6"/>
      <c r="H912" s="6"/>
      <c r="I912" s="6"/>
      <c r="J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row>
    <row r="913" ht="14.25" customHeight="1">
      <c r="A913" s="6"/>
      <c r="B913" s="6"/>
      <c r="C913" s="6"/>
      <c r="D913" s="6"/>
      <c r="E913" s="6"/>
      <c r="F913" s="6"/>
      <c r="G913" s="6"/>
      <c r="H913" s="6"/>
      <c r="I913" s="6"/>
      <c r="J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row>
    <row r="914" ht="14.25" customHeight="1">
      <c r="A914" s="6"/>
      <c r="B914" s="6"/>
      <c r="C914" s="6"/>
      <c r="D914" s="6"/>
      <c r="E914" s="6"/>
      <c r="F914" s="6"/>
      <c r="G914" s="6"/>
      <c r="H914" s="6"/>
      <c r="I914" s="6"/>
      <c r="J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row>
    <row r="915" ht="14.25" customHeight="1">
      <c r="A915" s="6"/>
      <c r="B915" s="6"/>
      <c r="C915" s="6"/>
      <c r="D915" s="6"/>
      <c r="E915" s="6"/>
      <c r="F915" s="6"/>
      <c r="G915" s="6"/>
      <c r="H915" s="6"/>
      <c r="I915" s="6"/>
      <c r="J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row>
    <row r="916" ht="14.25" customHeight="1">
      <c r="A916" s="6"/>
      <c r="B916" s="6"/>
      <c r="C916" s="6"/>
      <c r="D916" s="6"/>
      <c r="E916" s="6"/>
      <c r="F916" s="6"/>
      <c r="G916" s="6"/>
      <c r="H916" s="6"/>
      <c r="I916" s="6"/>
      <c r="J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row>
    <row r="917" ht="14.25" customHeight="1">
      <c r="A917" s="6"/>
      <c r="B917" s="6"/>
      <c r="C917" s="6"/>
      <c r="D917" s="6"/>
      <c r="E917" s="6"/>
      <c r="F917" s="6"/>
      <c r="G917" s="6"/>
      <c r="H917" s="6"/>
      <c r="I917" s="6"/>
      <c r="J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row>
    <row r="918" ht="14.25" customHeight="1">
      <c r="A918" s="6"/>
      <c r="B918" s="6"/>
      <c r="C918" s="6"/>
      <c r="D918" s="6"/>
      <c r="E918" s="6"/>
      <c r="F918" s="6"/>
      <c r="G918" s="6"/>
      <c r="H918" s="6"/>
      <c r="I918" s="6"/>
      <c r="J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row>
    <row r="919" ht="14.25" customHeight="1">
      <c r="A919" s="6"/>
      <c r="B919" s="6"/>
      <c r="C919" s="6"/>
      <c r="D919" s="6"/>
      <c r="E919" s="6"/>
      <c r="F919" s="6"/>
      <c r="G919" s="6"/>
      <c r="H919" s="6"/>
      <c r="I919" s="6"/>
      <c r="J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row>
    <row r="920" ht="14.25" customHeight="1">
      <c r="A920" s="6"/>
      <c r="B920" s="6"/>
      <c r="C920" s="6"/>
      <c r="D920" s="6"/>
      <c r="E920" s="6"/>
      <c r="F920" s="6"/>
      <c r="G920" s="6"/>
      <c r="H920" s="6"/>
      <c r="I920" s="6"/>
      <c r="J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row>
    <row r="921" ht="14.25" customHeight="1">
      <c r="A921" s="6"/>
      <c r="B921" s="6"/>
      <c r="C921" s="6"/>
      <c r="D921" s="6"/>
      <c r="E921" s="6"/>
      <c r="F921" s="6"/>
      <c r="G921" s="6"/>
      <c r="H921" s="6"/>
      <c r="I921" s="6"/>
      <c r="J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row>
    <row r="922" ht="14.25" customHeight="1">
      <c r="A922" s="6"/>
      <c r="B922" s="6"/>
      <c r="C922" s="6"/>
      <c r="D922" s="6"/>
      <c r="E922" s="6"/>
      <c r="F922" s="6"/>
      <c r="G922" s="6"/>
      <c r="H922" s="6"/>
      <c r="I922" s="6"/>
      <c r="J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row>
    <row r="923" ht="14.25" customHeight="1">
      <c r="A923" s="6"/>
      <c r="B923" s="6"/>
      <c r="C923" s="6"/>
      <c r="D923" s="6"/>
      <c r="E923" s="6"/>
      <c r="F923" s="6"/>
      <c r="G923" s="6"/>
      <c r="H923" s="6"/>
      <c r="I923" s="6"/>
      <c r="J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row>
    <row r="924" ht="14.25" customHeight="1">
      <c r="A924" s="6"/>
      <c r="B924" s="6"/>
      <c r="C924" s="6"/>
      <c r="D924" s="6"/>
      <c r="E924" s="6"/>
      <c r="F924" s="6"/>
      <c r="G924" s="6"/>
      <c r="H924" s="6"/>
      <c r="I924" s="6"/>
      <c r="J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row>
    <row r="925" ht="14.25" customHeight="1">
      <c r="A925" s="6"/>
      <c r="B925" s="6"/>
      <c r="C925" s="6"/>
      <c r="D925" s="6"/>
      <c r="E925" s="6"/>
      <c r="F925" s="6"/>
      <c r="G925" s="6"/>
      <c r="H925" s="6"/>
      <c r="I925" s="6"/>
      <c r="J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row>
    <row r="926" ht="14.25" customHeight="1">
      <c r="A926" s="6"/>
      <c r="B926" s="6"/>
      <c r="C926" s="6"/>
      <c r="D926" s="6"/>
      <c r="E926" s="6"/>
      <c r="F926" s="6"/>
      <c r="G926" s="6"/>
      <c r="H926" s="6"/>
      <c r="I926" s="6"/>
      <c r="J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row>
    <row r="927" ht="14.25" customHeight="1">
      <c r="A927" s="6"/>
      <c r="B927" s="6"/>
      <c r="C927" s="6"/>
      <c r="D927" s="6"/>
      <c r="E927" s="6"/>
      <c r="F927" s="6"/>
      <c r="G927" s="6"/>
      <c r="H927" s="6"/>
      <c r="I927" s="6"/>
      <c r="J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row>
    <row r="928" ht="14.25" customHeight="1">
      <c r="A928" s="6"/>
      <c r="B928" s="6"/>
      <c r="C928" s="6"/>
      <c r="D928" s="6"/>
      <c r="E928" s="6"/>
      <c r="F928" s="6"/>
      <c r="G928" s="6"/>
      <c r="H928" s="6"/>
      <c r="I928" s="6"/>
      <c r="J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row>
    <row r="929" ht="14.25" customHeight="1">
      <c r="A929" s="6"/>
      <c r="B929" s="6"/>
      <c r="C929" s="6"/>
      <c r="D929" s="6"/>
      <c r="E929" s="6"/>
      <c r="F929" s="6"/>
      <c r="G929" s="6"/>
      <c r="H929" s="6"/>
      <c r="I929" s="6"/>
      <c r="J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row>
    <row r="930" ht="14.25" customHeight="1">
      <c r="A930" s="6"/>
      <c r="B930" s="6"/>
      <c r="C930" s="6"/>
      <c r="D930" s="6"/>
      <c r="E930" s="6"/>
      <c r="F930" s="6"/>
      <c r="G930" s="6"/>
      <c r="H930" s="6"/>
      <c r="I930" s="6"/>
      <c r="J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row>
    <row r="931" ht="14.25" customHeight="1">
      <c r="A931" s="6"/>
      <c r="B931" s="6"/>
      <c r="C931" s="6"/>
      <c r="D931" s="6"/>
      <c r="E931" s="6"/>
      <c r="F931" s="6"/>
      <c r="G931" s="6"/>
      <c r="H931" s="6"/>
      <c r="I931" s="6"/>
      <c r="J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row>
    <row r="932" ht="14.25" customHeight="1">
      <c r="A932" s="6"/>
      <c r="B932" s="6"/>
      <c r="C932" s="6"/>
      <c r="D932" s="6"/>
      <c r="E932" s="6"/>
      <c r="F932" s="6"/>
      <c r="G932" s="6"/>
      <c r="H932" s="6"/>
      <c r="I932" s="6"/>
      <c r="J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row>
    <row r="933" ht="14.25" customHeight="1">
      <c r="A933" s="6"/>
      <c r="B933" s="6"/>
      <c r="C933" s="6"/>
      <c r="D933" s="6"/>
      <c r="E933" s="6"/>
      <c r="F933" s="6"/>
      <c r="G933" s="6"/>
      <c r="H933" s="6"/>
      <c r="I933" s="6"/>
      <c r="J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row>
    <row r="934" ht="14.25" customHeight="1">
      <c r="A934" s="6"/>
      <c r="B934" s="6"/>
      <c r="C934" s="6"/>
      <c r="D934" s="6"/>
      <c r="E934" s="6"/>
      <c r="F934" s="6"/>
      <c r="G934" s="6"/>
      <c r="H934" s="6"/>
      <c r="I934" s="6"/>
      <c r="J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row>
    <row r="935" ht="14.25" customHeight="1">
      <c r="A935" s="6"/>
      <c r="B935" s="6"/>
      <c r="C935" s="6"/>
      <c r="D935" s="6"/>
      <c r="E935" s="6"/>
      <c r="F935" s="6"/>
      <c r="G935" s="6"/>
      <c r="H935" s="6"/>
      <c r="I935" s="6"/>
      <c r="J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row>
    <row r="936" ht="14.25" customHeight="1">
      <c r="A936" s="6"/>
      <c r="B936" s="6"/>
      <c r="C936" s="6"/>
      <c r="D936" s="6"/>
      <c r="E936" s="6"/>
      <c r="F936" s="6"/>
      <c r="G936" s="6"/>
      <c r="H936" s="6"/>
      <c r="I936" s="6"/>
      <c r="J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row>
    <row r="937" ht="14.25" customHeight="1">
      <c r="A937" s="6"/>
      <c r="B937" s="6"/>
      <c r="C937" s="6"/>
      <c r="D937" s="6"/>
      <c r="E937" s="6"/>
      <c r="F937" s="6"/>
      <c r="G937" s="6"/>
      <c r="H937" s="6"/>
      <c r="I937" s="6"/>
      <c r="J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row>
    <row r="938" ht="14.25" customHeight="1">
      <c r="A938" s="6"/>
      <c r="B938" s="6"/>
      <c r="C938" s="6"/>
      <c r="D938" s="6"/>
      <c r="E938" s="6"/>
      <c r="F938" s="6"/>
      <c r="G938" s="6"/>
      <c r="H938" s="6"/>
      <c r="I938" s="6"/>
      <c r="J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row>
    <row r="939" ht="14.25" customHeight="1">
      <c r="A939" s="6"/>
      <c r="B939" s="6"/>
      <c r="C939" s="6"/>
      <c r="D939" s="6"/>
      <c r="E939" s="6"/>
      <c r="F939" s="6"/>
      <c r="G939" s="6"/>
      <c r="H939" s="6"/>
      <c r="I939" s="6"/>
      <c r="J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row>
    <row r="940" ht="14.25" customHeight="1">
      <c r="A940" s="6"/>
      <c r="B940" s="6"/>
      <c r="C940" s="6"/>
      <c r="D940" s="6"/>
      <c r="E940" s="6"/>
      <c r="F940" s="6"/>
      <c r="G940" s="6"/>
      <c r="H940" s="6"/>
      <c r="I940" s="6"/>
      <c r="J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row>
    <row r="941" ht="14.25" customHeight="1">
      <c r="A941" s="6"/>
      <c r="B941" s="6"/>
      <c r="C941" s="6"/>
      <c r="D941" s="6"/>
      <c r="E941" s="6"/>
      <c r="F941" s="6"/>
      <c r="G941" s="6"/>
      <c r="H941" s="6"/>
      <c r="I941" s="6"/>
      <c r="J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row>
    <row r="942" ht="14.25" customHeight="1">
      <c r="A942" s="6"/>
      <c r="B942" s="6"/>
      <c r="C942" s="6"/>
      <c r="D942" s="6"/>
      <c r="E942" s="6"/>
      <c r="F942" s="6"/>
      <c r="G942" s="6"/>
      <c r="H942" s="6"/>
      <c r="I942" s="6"/>
      <c r="J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row>
    <row r="943" ht="14.25" customHeight="1">
      <c r="A943" s="6"/>
      <c r="B943" s="6"/>
      <c r="C943" s="6"/>
      <c r="D943" s="6"/>
      <c r="E943" s="6"/>
      <c r="F943" s="6"/>
      <c r="G943" s="6"/>
      <c r="H943" s="6"/>
      <c r="I943" s="6"/>
      <c r="J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row>
    <row r="944" ht="14.25" customHeight="1">
      <c r="A944" s="6"/>
      <c r="B944" s="6"/>
      <c r="C944" s="6"/>
      <c r="D944" s="6"/>
      <c r="E944" s="6"/>
      <c r="F944" s="6"/>
      <c r="G944" s="6"/>
      <c r="H944" s="6"/>
      <c r="I944" s="6"/>
      <c r="J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row>
    <row r="945" ht="14.25" customHeight="1">
      <c r="A945" s="6"/>
      <c r="B945" s="6"/>
      <c r="C945" s="6"/>
      <c r="D945" s="6"/>
      <c r="E945" s="6"/>
      <c r="F945" s="6"/>
      <c r="G945" s="6"/>
      <c r="H945" s="6"/>
      <c r="I945" s="6"/>
      <c r="J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row>
    <row r="946" ht="14.25" customHeight="1">
      <c r="A946" s="6"/>
      <c r="B946" s="6"/>
      <c r="C946" s="6"/>
      <c r="D946" s="6"/>
      <c r="E946" s="6"/>
      <c r="F946" s="6"/>
      <c r="G946" s="6"/>
      <c r="H946" s="6"/>
      <c r="I946" s="6"/>
      <c r="J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row>
    <row r="947" ht="14.25" customHeight="1">
      <c r="A947" s="6"/>
      <c r="B947" s="6"/>
      <c r="C947" s="6"/>
      <c r="D947" s="6"/>
      <c r="E947" s="6"/>
      <c r="F947" s="6"/>
      <c r="G947" s="6"/>
      <c r="H947" s="6"/>
      <c r="I947" s="6"/>
      <c r="J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row>
    <row r="948" ht="14.25" customHeight="1">
      <c r="A948" s="6"/>
      <c r="B948" s="6"/>
      <c r="C948" s="6"/>
      <c r="D948" s="6"/>
      <c r="E948" s="6"/>
      <c r="F948" s="6"/>
      <c r="G948" s="6"/>
      <c r="H948" s="6"/>
      <c r="I948" s="6"/>
      <c r="J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row>
    <row r="949" ht="14.25" customHeight="1">
      <c r="A949" s="6"/>
      <c r="B949" s="6"/>
      <c r="C949" s="6"/>
      <c r="D949" s="6"/>
      <c r="E949" s="6"/>
      <c r="F949" s="6"/>
      <c r="G949" s="6"/>
      <c r="H949" s="6"/>
      <c r="I949" s="6"/>
      <c r="J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row>
    <row r="950" ht="14.25" customHeight="1">
      <c r="A950" s="6"/>
      <c r="B950" s="6"/>
      <c r="C950" s="6"/>
      <c r="D950" s="6"/>
      <c r="E950" s="6"/>
      <c r="F950" s="6"/>
      <c r="G950" s="6"/>
      <c r="H950" s="6"/>
      <c r="I950" s="6"/>
      <c r="J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row>
    <row r="951" ht="14.25" customHeight="1">
      <c r="A951" s="6"/>
      <c r="B951" s="6"/>
      <c r="C951" s="6"/>
      <c r="D951" s="6"/>
      <c r="E951" s="6"/>
      <c r="F951" s="6"/>
      <c r="G951" s="6"/>
      <c r="H951" s="6"/>
      <c r="I951" s="6"/>
      <c r="J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row>
    <row r="952" ht="14.25" customHeight="1">
      <c r="A952" s="6"/>
      <c r="B952" s="6"/>
      <c r="C952" s="6"/>
      <c r="D952" s="6"/>
      <c r="E952" s="6"/>
      <c r="F952" s="6"/>
      <c r="G952" s="6"/>
      <c r="H952" s="6"/>
      <c r="I952" s="6"/>
      <c r="J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row>
    <row r="953" ht="14.25" customHeight="1">
      <c r="A953" s="6"/>
      <c r="B953" s="6"/>
      <c r="C953" s="6"/>
      <c r="D953" s="6"/>
      <c r="E953" s="6"/>
      <c r="F953" s="6"/>
      <c r="G953" s="6"/>
      <c r="H953" s="6"/>
      <c r="I953" s="6"/>
      <c r="J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row>
    <row r="954" ht="14.25" customHeight="1">
      <c r="A954" s="6"/>
      <c r="B954" s="6"/>
      <c r="C954" s="6"/>
      <c r="D954" s="6"/>
      <c r="E954" s="6"/>
      <c r="F954" s="6"/>
      <c r="G954" s="6"/>
      <c r="H954" s="6"/>
      <c r="I954" s="6"/>
      <c r="J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row>
    <row r="955" ht="14.25" customHeight="1">
      <c r="A955" s="6"/>
      <c r="B955" s="6"/>
      <c r="C955" s="6"/>
      <c r="D955" s="6"/>
      <c r="E955" s="6"/>
      <c r="F955" s="6"/>
      <c r="G955" s="6"/>
      <c r="H955" s="6"/>
      <c r="I955" s="6"/>
      <c r="J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row>
    <row r="956" ht="14.25" customHeight="1">
      <c r="A956" s="6"/>
      <c r="B956" s="6"/>
      <c r="C956" s="6"/>
      <c r="D956" s="6"/>
      <c r="E956" s="6"/>
      <c r="F956" s="6"/>
      <c r="G956" s="6"/>
      <c r="H956" s="6"/>
      <c r="I956" s="6"/>
      <c r="J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row>
    <row r="957" ht="14.25" customHeight="1">
      <c r="A957" s="6"/>
      <c r="B957" s="6"/>
      <c r="C957" s="6"/>
      <c r="D957" s="6"/>
      <c r="E957" s="6"/>
      <c r="F957" s="6"/>
      <c r="G957" s="6"/>
      <c r="H957" s="6"/>
      <c r="I957" s="6"/>
      <c r="J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row>
    <row r="958" ht="14.25" customHeight="1">
      <c r="A958" s="6"/>
      <c r="B958" s="6"/>
      <c r="C958" s="6"/>
      <c r="D958" s="6"/>
      <c r="E958" s="6"/>
      <c r="F958" s="6"/>
      <c r="G958" s="6"/>
      <c r="H958" s="6"/>
      <c r="I958" s="6"/>
      <c r="J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row>
    <row r="959" ht="14.25" customHeight="1">
      <c r="A959" s="6"/>
      <c r="B959" s="6"/>
      <c r="C959" s="6"/>
      <c r="D959" s="6"/>
      <c r="E959" s="6"/>
      <c r="F959" s="6"/>
      <c r="G959" s="6"/>
      <c r="H959" s="6"/>
      <c r="I959" s="6"/>
      <c r="J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row>
    <row r="960" ht="14.25" customHeight="1">
      <c r="A960" s="6"/>
      <c r="B960" s="6"/>
      <c r="C960" s="6"/>
      <c r="D960" s="6"/>
      <c r="E960" s="6"/>
      <c r="F960" s="6"/>
      <c r="G960" s="6"/>
      <c r="H960" s="6"/>
      <c r="I960" s="6"/>
      <c r="J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row>
    <row r="961" ht="14.25" customHeight="1">
      <c r="A961" s="6"/>
      <c r="B961" s="6"/>
      <c r="C961" s="6"/>
      <c r="D961" s="6"/>
      <c r="E961" s="6"/>
      <c r="F961" s="6"/>
      <c r="G961" s="6"/>
      <c r="H961" s="6"/>
      <c r="I961" s="6"/>
      <c r="J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row>
    <row r="962" ht="14.25" customHeight="1">
      <c r="A962" s="6"/>
      <c r="B962" s="6"/>
      <c r="C962" s="6"/>
      <c r="D962" s="6"/>
      <c r="E962" s="6"/>
      <c r="F962" s="6"/>
      <c r="G962" s="6"/>
      <c r="H962" s="6"/>
      <c r="I962" s="6"/>
      <c r="J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row>
    <row r="963" ht="14.25" customHeight="1">
      <c r="A963" s="6"/>
      <c r="B963" s="6"/>
      <c r="C963" s="6"/>
      <c r="D963" s="6"/>
      <c r="E963" s="6"/>
      <c r="F963" s="6"/>
      <c r="G963" s="6"/>
      <c r="H963" s="6"/>
      <c r="I963" s="6"/>
      <c r="J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row>
    <row r="964" ht="14.25" customHeight="1">
      <c r="A964" s="6"/>
      <c r="B964" s="6"/>
      <c r="C964" s="6"/>
      <c r="D964" s="6"/>
      <c r="E964" s="6"/>
      <c r="F964" s="6"/>
      <c r="G964" s="6"/>
      <c r="H964" s="6"/>
      <c r="I964" s="6"/>
      <c r="J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row>
    <row r="965" ht="14.25" customHeight="1">
      <c r="A965" s="6"/>
      <c r="B965" s="6"/>
      <c r="C965" s="6"/>
      <c r="D965" s="6"/>
      <c r="E965" s="6"/>
      <c r="F965" s="6"/>
      <c r="G965" s="6"/>
      <c r="H965" s="6"/>
      <c r="I965" s="6"/>
      <c r="J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row>
    <row r="966" ht="14.25" customHeight="1">
      <c r="A966" s="6"/>
      <c r="B966" s="6"/>
      <c r="C966" s="6"/>
      <c r="D966" s="6"/>
      <c r="E966" s="6"/>
      <c r="F966" s="6"/>
      <c r="G966" s="6"/>
      <c r="H966" s="6"/>
      <c r="I966" s="6"/>
      <c r="J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row>
    <row r="967" ht="14.25" customHeight="1">
      <c r="A967" s="6"/>
      <c r="B967" s="6"/>
      <c r="C967" s="6"/>
      <c r="D967" s="6"/>
      <c r="E967" s="6"/>
      <c r="F967" s="6"/>
      <c r="G967" s="6"/>
      <c r="H967" s="6"/>
      <c r="I967" s="6"/>
      <c r="J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row>
    <row r="968" ht="14.25" customHeight="1">
      <c r="A968" s="6"/>
      <c r="B968" s="6"/>
      <c r="C968" s="6"/>
      <c r="D968" s="6"/>
      <c r="E968" s="6"/>
      <c r="F968" s="6"/>
      <c r="G968" s="6"/>
      <c r="H968" s="6"/>
      <c r="I968" s="6"/>
      <c r="J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row>
    <row r="969" ht="14.25" customHeight="1">
      <c r="A969" s="6"/>
      <c r="B969" s="6"/>
      <c r="C969" s="6"/>
      <c r="D969" s="6"/>
      <c r="E969" s="6"/>
      <c r="F969" s="6"/>
      <c r="G969" s="6"/>
      <c r="H969" s="6"/>
      <c r="I969" s="6"/>
      <c r="J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row>
    <row r="970" ht="14.25" customHeight="1">
      <c r="A970" s="6"/>
      <c r="B970" s="6"/>
      <c r="C970" s="6"/>
      <c r="D970" s="6"/>
      <c r="E970" s="6"/>
      <c r="F970" s="6"/>
      <c r="G970" s="6"/>
      <c r="H970" s="6"/>
      <c r="I970" s="6"/>
      <c r="J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row>
    <row r="971" ht="14.25" customHeight="1">
      <c r="A971" s="6"/>
      <c r="B971" s="6"/>
      <c r="C971" s="6"/>
      <c r="D971" s="6"/>
      <c r="E971" s="6"/>
      <c r="F971" s="6"/>
      <c r="G971" s="6"/>
      <c r="H971" s="6"/>
      <c r="I971" s="6"/>
      <c r="J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row>
    <row r="972" ht="14.25" customHeight="1">
      <c r="A972" s="6"/>
      <c r="B972" s="6"/>
      <c r="C972" s="6"/>
      <c r="D972" s="6"/>
      <c r="E972" s="6"/>
      <c r="F972" s="6"/>
      <c r="G972" s="6"/>
      <c r="H972" s="6"/>
      <c r="I972" s="6"/>
      <c r="J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row>
    <row r="973" ht="14.25" customHeight="1">
      <c r="A973" s="6"/>
      <c r="B973" s="6"/>
      <c r="C973" s="6"/>
      <c r="D973" s="6"/>
      <c r="E973" s="6"/>
      <c r="F973" s="6"/>
      <c r="G973" s="6"/>
      <c r="H973" s="6"/>
      <c r="I973" s="6"/>
      <c r="J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row>
    <row r="974" ht="14.25" customHeight="1">
      <c r="A974" s="6"/>
      <c r="B974" s="6"/>
      <c r="C974" s="6"/>
      <c r="D974" s="6"/>
      <c r="E974" s="6"/>
      <c r="F974" s="6"/>
      <c r="G974" s="6"/>
      <c r="H974" s="6"/>
      <c r="I974" s="6"/>
      <c r="J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row>
    <row r="975" ht="14.25" customHeight="1">
      <c r="A975" s="6"/>
      <c r="B975" s="6"/>
      <c r="C975" s="6"/>
      <c r="D975" s="6"/>
      <c r="E975" s="6"/>
      <c r="F975" s="6"/>
      <c r="G975" s="6"/>
      <c r="H975" s="6"/>
      <c r="I975" s="6"/>
      <c r="J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row>
    <row r="976" ht="14.25" customHeight="1">
      <c r="A976" s="6"/>
      <c r="B976" s="6"/>
      <c r="C976" s="6"/>
      <c r="D976" s="6"/>
      <c r="E976" s="6"/>
      <c r="F976" s="6"/>
      <c r="G976" s="6"/>
      <c r="H976" s="6"/>
      <c r="I976" s="6"/>
      <c r="J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row>
    <row r="977" ht="14.25" customHeight="1">
      <c r="A977" s="6"/>
      <c r="B977" s="6"/>
      <c r="C977" s="6"/>
      <c r="D977" s="6"/>
      <c r="E977" s="6"/>
      <c r="F977" s="6"/>
      <c r="G977" s="6"/>
      <c r="H977" s="6"/>
      <c r="I977" s="6"/>
      <c r="J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row>
    <row r="978" ht="14.25" customHeight="1">
      <c r="A978" s="6"/>
      <c r="B978" s="6"/>
      <c r="C978" s="6"/>
      <c r="D978" s="6"/>
      <c r="E978" s="6"/>
      <c r="F978" s="6"/>
      <c r="G978" s="6"/>
      <c r="H978" s="6"/>
      <c r="I978" s="6"/>
      <c r="J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row>
    <row r="979" ht="14.25" customHeight="1">
      <c r="A979" s="6"/>
      <c r="B979" s="6"/>
      <c r="C979" s="6"/>
      <c r="D979" s="6"/>
      <c r="E979" s="6"/>
      <c r="F979" s="6"/>
      <c r="G979" s="6"/>
      <c r="H979" s="6"/>
      <c r="I979" s="6"/>
      <c r="J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row>
    <row r="980" ht="14.25" customHeight="1">
      <c r="A980" s="6"/>
      <c r="B980" s="6"/>
      <c r="C980" s="6"/>
      <c r="D980" s="6"/>
      <c r="E980" s="6"/>
      <c r="F980" s="6"/>
      <c r="G980" s="6"/>
      <c r="H980" s="6"/>
      <c r="I980" s="6"/>
      <c r="J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row>
    <row r="981" ht="14.25" customHeight="1">
      <c r="A981" s="6"/>
      <c r="B981" s="6"/>
      <c r="C981" s="6"/>
      <c r="D981" s="6"/>
      <c r="E981" s="6"/>
      <c r="F981" s="6"/>
      <c r="G981" s="6"/>
      <c r="H981" s="6"/>
      <c r="I981" s="6"/>
      <c r="J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row>
    <row r="982" ht="14.25" customHeight="1">
      <c r="A982" s="6"/>
      <c r="B982" s="6"/>
      <c r="C982" s="6"/>
      <c r="D982" s="6"/>
      <c r="E982" s="6"/>
      <c r="F982" s="6"/>
      <c r="G982" s="6"/>
      <c r="H982" s="6"/>
      <c r="I982" s="6"/>
      <c r="J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row>
    <row r="983" ht="14.25" customHeight="1">
      <c r="A983" s="6"/>
      <c r="B983" s="6"/>
      <c r="C983" s="6"/>
      <c r="D983" s="6"/>
      <c r="E983" s="6"/>
      <c r="F983" s="6"/>
      <c r="G983" s="6"/>
      <c r="H983" s="6"/>
      <c r="I983" s="6"/>
      <c r="J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row>
    <row r="984" ht="14.25" customHeight="1">
      <c r="A984" s="6"/>
      <c r="B984" s="6"/>
      <c r="C984" s="6"/>
      <c r="D984" s="6"/>
      <c r="E984" s="6"/>
      <c r="F984" s="6"/>
      <c r="G984" s="6"/>
      <c r="H984" s="6"/>
      <c r="I984" s="6"/>
      <c r="J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row>
    <row r="985" ht="14.25" customHeight="1">
      <c r="A985" s="6"/>
      <c r="B985" s="6"/>
      <c r="C985" s="6"/>
      <c r="D985" s="6"/>
      <c r="E985" s="6"/>
      <c r="F985" s="6"/>
      <c r="G985" s="6"/>
      <c r="H985" s="6"/>
      <c r="I985" s="6"/>
      <c r="J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row>
    <row r="986" ht="14.25" customHeight="1">
      <c r="A986" s="6"/>
      <c r="B986" s="6"/>
      <c r="C986" s="6"/>
      <c r="D986" s="6"/>
      <c r="E986" s="6"/>
      <c r="F986" s="6"/>
      <c r="G986" s="6"/>
      <c r="H986" s="6"/>
      <c r="I986" s="6"/>
      <c r="J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row>
    <row r="987" ht="14.25" customHeight="1">
      <c r="A987" s="6"/>
      <c r="B987" s="6"/>
      <c r="C987" s="6"/>
      <c r="D987" s="6"/>
      <c r="E987" s="6"/>
      <c r="F987" s="6"/>
      <c r="G987" s="6"/>
      <c r="H987" s="6"/>
      <c r="I987" s="6"/>
      <c r="J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row>
    <row r="988" ht="14.25" customHeight="1">
      <c r="A988" s="6"/>
      <c r="B988" s="6"/>
      <c r="C988" s="6"/>
      <c r="D988" s="6"/>
      <c r="E988" s="6"/>
      <c r="F988" s="6"/>
      <c r="G988" s="6"/>
      <c r="H988" s="6"/>
      <c r="I988" s="6"/>
      <c r="J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row>
    <row r="989" ht="14.25" customHeight="1">
      <c r="A989" s="6"/>
      <c r="B989" s="6"/>
      <c r="C989" s="6"/>
      <c r="D989" s="6"/>
      <c r="E989" s="6"/>
      <c r="F989" s="6"/>
      <c r="G989" s="6"/>
      <c r="H989" s="6"/>
      <c r="I989" s="6"/>
      <c r="J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row>
    <row r="990" ht="14.25" customHeight="1">
      <c r="A990" s="6"/>
      <c r="B990" s="6"/>
      <c r="C990" s="6"/>
      <c r="D990" s="6"/>
      <c r="E990" s="6"/>
      <c r="F990" s="6"/>
      <c r="G990" s="6"/>
      <c r="H990" s="6"/>
      <c r="I990" s="6"/>
      <c r="J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row>
    <row r="991" ht="14.25" customHeight="1">
      <c r="A991" s="6"/>
      <c r="B991" s="6"/>
      <c r="C991" s="6"/>
      <c r="D991" s="6"/>
      <c r="E991" s="6"/>
      <c r="F991" s="6"/>
      <c r="G991" s="6"/>
      <c r="H991" s="6"/>
      <c r="I991" s="6"/>
      <c r="J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row>
    <row r="992" ht="14.25" customHeight="1">
      <c r="A992" s="6"/>
      <c r="B992" s="6"/>
      <c r="C992" s="6"/>
      <c r="D992" s="6"/>
      <c r="E992" s="6"/>
      <c r="F992" s="6"/>
      <c r="G992" s="6"/>
      <c r="H992" s="6"/>
      <c r="I992" s="6"/>
      <c r="J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row>
    <row r="993" ht="14.25" customHeight="1">
      <c r="A993" s="6"/>
      <c r="B993" s="6"/>
      <c r="C993" s="6"/>
      <c r="D993" s="6"/>
      <c r="E993" s="6"/>
      <c r="F993" s="6"/>
      <c r="G993" s="6"/>
      <c r="H993" s="6"/>
      <c r="I993" s="6"/>
      <c r="J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row>
    <row r="994" ht="14.25" customHeight="1">
      <c r="A994" s="6"/>
      <c r="B994" s="6"/>
      <c r="C994" s="6"/>
      <c r="D994" s="6"/>
      <c r="E994" s="6"/>
      <c r="F994" s="6"/>
      <c r="G994" s="6"/>
      <c r="H994" s="6"/>
      <c r="I994" s="6"/>
      <c r="J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row>
    <row r="995" ht="14.25" customHeight="1">
      <c r="A995" s="6"/>
      <c r="B995" s="6"/>
      <c r="C995" s="6"/>
      <c r="D995" s="6"/>
      <c r="E995" s="6"/>
      <c r="F995" s="6"/>
      <c r="G995" s="6"/>
      <c r="H995" s="6"/>
      <c r="I995" s="6"/>
      <c r="J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row>
    <row r="996" ht="14.25" customHeight="1">
      <c r="A996" s="6"/>
      <c r="B996" s="6"/>
      <c r="C996" s="6"/>
      <c r="D996" s="6"/>
      <c r="E996" s="6"/>
      <c r="F996" s="6"/>
      <c r="G996" s="6"/>
      <c r="H996" s="6"/>
      <c r="I996" s="6"/>
      <c r="J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row>
    <row r="997" ht="14.25" customHeight="1">
      <c r="A997" s="6"/>
      <c r="B997" s="6"/>
      <c r="C997" s="6"/>
      <c r="D997" s="6"/>
      <c r="E997" s="6"/>
      <c r="F997" s="6"/>
      <c r="G997" s="6"/>
      <c r="H997" s="6"/>
      <c r="I997" s="6"/>
      <c r="J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row>
    <row r="998" ht="14.25" customHeight="1">
      <c r="A998" s="6"/>
      <c r="B998" s="6"/>
      <c r="C998" s="6"/>
      <c r="D998" s="6"/>
      <c r="E998" s="6"/>
      <c r="F998" s="6"/>
      <c r="G998" s="6"/>
      <c r="H998" s="6"/>
      <c r="I998" s="6"/>
      <c r="J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row>
    <row r="999" ht="14.25" customHeight="1">
      <c r="A999" s="6"/>
      <c r="B999" s="6"/>
      <c r="C999" s="6"/>
      <c r="D999" s="6"/>
      <c r="E999" s="6"/>
      <c r="F999" s="6"/>
      <c r="G999" s="6"/>
      <c r="H999" s="6"/>
      <c r="I999" s="6"/>
      <c r="J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row>
    <row r="1000" ht="14.25" customHeight="1">
      <c r="A1000" s="6"/>
      <c r="B1000" s="6"/>
      <c r="C1000" s="6"/>
      <c r="D1000" s="6"/>
      <c r="E1000" s="6"/>
      <c r="F1000" s="6"/>
      <c r="G1000" s="6"/>
      <c r="H1000" s="6"/>
      <c r="I1000" s="6"/>
      <c r="J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row>
    <row r="1001" ht="14.25" customHeight="1">
      <c r="A1001" s="6"/>
      <c r="B1001" s="6"/>
      <c r="C1001" s="6"/>
      <c r="D1001" s="6"/>
      <c r="E1001" s="6"/>
      <c r="F1001" s="6"/>
      <c r="G1001" s="6"/>
      <c r="H1001" s="6"/>
      <c r="I1001" s="6"/>
      <c r="J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row>
    <row r="1002" ht="14.25" customHeight="1">
      <c r="A1002" s="6"/>
      <c r="B1002" s="6"/>
      <c r="C1002" s="6"/>
      <c r="D1002" s="6"/>
      <c r="E1002" s="6"/>
      <c r="F1002" s="6"/>
      <c r="G1002" s="6"/>
      <c r="H1002" s="6"/>
      <c r="I1002" s="6"/>
      <c r="J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row>
    <row r="1003" ht="14.25" customHeight="1">
      <c r="A1003" s="6"/>
      <c r="B1003" s="6"/>
      <c r="C1003" s="6"/>
      <c r="D1003" s="6"/>
      <c r="E1003" s="6"/>
      <c r="F1003" s="6"/>
      <c r="G1003" s="6"/>
      <c r="H1003" s="6"/>
      <c r="I1003" s="6"/>
      <c r="J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row>
    <row r="1004" ht="14.25" customHeight="1">
      <c r="A1004" s="6"/>
      <c r="B1004" s="6"/>
      <c r="C1004" s="6"/>
      <c r="D1004" s="6"/>
      <c r="E1004" s="6"/>
      <c r="F1004" s="6"/>
      <c r="G1004" s="6"/>
      <c r="H1004" s="6"/>
      <c r="I1004" s="6"/>
      <c r="J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row>
    <row r="1005" ht="14.25" customHeight="1">
      <c r="A1005" s="6"/>
      <c r="B1005" s="6"/>
      <c r="C1005" s="6"/>
      <c r="D1005" s="6"/>
      <c r="E1005" s="6"/>
      <c r="F1005" s="6"/>
      <c r="G1005" s="6"/>
      <c r="H1005" s="6"/>
      <c r="I1005" s="6"/>
      <c r="J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row>
    <row r="1006" ht="14.25" customHeight="1">
      <c r="A1006" s="6"/>
      <c r="B1006" s="6"/>
      <c r="C1006" s="6"/>
      <c r="D1006" s="6"/>
      <c r="E1006" s="6"/>
      <c r="F1006" s="6"/>
      <c r="G1006" s="6"/>
      <c r="H1006" s="6"/>
      <c r="I1006" s="6"/>
      <c r="J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row>
    <row r="1007" ht="14.25" customHeight="1">
      <c r="A1007" s="6"/>
      <c r="B1007" s="6"/>
      <c r="C1007" s="6"/>
      <c r="D1007" s="6"/>
      <c r="E1007" s="6"/>
      <c r="F1007" s="6"/>
      <c r="G1007" s="6"/>
      <c r="H1007" s="6"/>
      <c r="I1007" s="6"/>
      <c r="J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row>
    <row r="1008" ht="14.25" customHeight="1">
      <c r="A1008" s="6"/>
      <c r="B1008" s="6"/>
      <c r="C1008" s="6"/>
      <c r="D1008" s="6"/>
      <c r="E1008" s="6"/>
      <c r="F1008" s="6"/>
      <c r="G1008" s="6"/>
      <c r="H1008" s="6"/>
      <c r="I1008" s="6"/>
      <c r="J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row>
    <row r="1009" ht="14.25" customHeight="1">
      <c r="A1009" s="6"/>
      <c r="B1009" s="6"/>
      <c r="C1009" s="6"/>
      <c r="D1009" s="6"/>
      <c r="E1009" s="6"/>
      <c r="F1009" s="6"/>
      <c r="G1009" s="6"/>
      <c r="H1009" s="6"/>
      <c r="I1009" s="6"/>
      <c r="J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row>
    <row r="1010" ht="14.25" customHeight="1">
      <c r="A1010" s="6"/>
      <c r="B1010" s="6"/>
      <c r="C1010" s="6"/>
      <c r="D1010" s="6"/>
      <c r="E1010" s="6"/>
      <c r="F1010" s="6"/>
      <c r="G1010" s="6"/>
      <c r="H1010" s="6"/>
      <c r="I1010" s="6"/>
      <c r="J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row>
    <row r="1011" ht="14.25" customHeight="1">
      <c r="A1011" s="6"/>
      <c r="B1011" s="6"/>
      <c r="C1011" s="6"/>
      <c r="D1011" s="6"/>
      <c r="E1011" s="6"/>
      <c r="F1011" s="6"/>
      <c r="G1011" s="6"/>
      <c r="H1011" s="6"/>
      <c r="I1011" s="6"/>
      <c r="J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row>
    <row r="1012" ht="14.25" customHeight="1">
      <c r="A1012" s="6"/>
      <c r="B1012" s="6"/>
      <c r="C1012" s="6"/>
      <c r="D1012" s="6"/>
      <c r="E1012" s="6"/>
      <c r="F1012" s="6"/>
      <c r="G1012" s="6"/>
      <c r="H1012" s="6"/>
      <c r="I1012" s="6"/>
      <c r="J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row>
    <row r="1013" ht="14.25" customHeight="1">
      <c r="A1013" s="6"/>
      <c r="B1013" s="6"/>
      <c r="C1013" s="6"/>
      <c r="D1013" s="6"/>
      <c r="E1013" s="6"/>
      <c r="F1013" s="6"/>
      <c r="G1013" s="6"/>
      <c r="H1013" s="6"/>
      <c r="I1013" s="6"/>
      <c r="J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row>
    <row r="1014" ht="14.25" customHeight="1">
      <c r="A1014" s="6"/>
      <c r="B1014" s="6"/>
      <c r="C1014" s="6"/>
      <c r="D1014" s="6"/>
      <c r="E1014" s="6"/>
      <c r="F1014" s="6"/>
      <c r="G1014" s="6"/>
      <c r="H1014" s="6"/>
      <c r="I1014" s="6"/>
      <c r="J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row>
    <row r="1015" ht="14.25" customHeight="1">
      <c r="A1015" s="6"/>
      <c r="B1015" s="6"/>
      <c r="C1015" s="6"/>
      <c r="D1015" s="6"/>
      <c r="E1015" s="6"/>
      <c r="F1015" s="6"/>
      <c r="G1015" s="6"/>
      <c r="H1015" s="6"/>
      <c r="I1015" s="6"/>
      <c r="J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row>
    <row r="1016" ht="14.25" customHeight="1">
      <c r="A1016" s="6"/>
      <c r="B1016" s="6"/>
      <c r="C1016" s="6"/>
      <c r="D1016" s="6"/>
      <c r="E1016" s="6"/>
      <c r="F1016" s="6"/>
      <c r="G1016" s="6"/>
      <c r="H1016" s="6"/>
      <c r="I1016" s="6"/>
      <c r="J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row>
    <row r="1017" ht="14.25" customHeight="1">
      <c r="A1017" s="6"/>
      <c r="B1017" s="6"/>
      <c r="C1017" s="6"/>
      <c r="D1017" s="6"/>
      <c r="E1017" s="6"/>
      <c r="F1017" s="6"/>
      <c r="G1017" s="6"/>
      <c r="H1017" s="6"/>
      <c r="I1017" s="6"/>
      <c r="J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row>
    <row r="1018" ht="14.25" customHeight="1">
      <c r="A1018" s="6"/>
      <c r="B1018" s="6"/>
      <c r="C1018" s="6"/>
      <c r="D1018" s="6"/>
      <c r="E1018" s="6"/>
      <c r="F1018" s="6"/>
      <c r="G1018" s="6"/>
      <c r="H1018" s="6"/>
      <c r="I1018" s="6"/>
      <c r="J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row>
    <row r="1019" ht="14.25" customHeight="1">
      <c r="A1019" s="6"/>
      <c r="B1019" s="6"/>
      <c r="C1019" s="6"/>
      <c r="D1019" s="6"/>
      <c r="E1019" s="6"/>
      <c r="F1019" s="6"/>
      <c r="G1019" s="6"/>
      <c r="H1019" s="6"/>
      <c r="I1019" s="6"/>
      <c r="J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row>
    <row r="1020" ht="14.25" customHeight="1">
      <c r="A1020" s="6"/>
      <c r="B1020" s="6"/>
      <c r="C1020" s="6"/>
      <c r="D1020" s="6"/>
      <c r="E1020" s="6"/>
      <c r="F1020" s="6"/>
      <c r="G1020" s="6"/>
      <c r="H1020" s="6"/>
      <c r="I1020" s="6"/>
      <c r="J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row>
    <row r="1021" ht="14.25" customHeight="1">
      <c r="A1021" s="6"/>
      <c r="B1021" s="6"/>
      <c r="C1021" s="6"/>
      <c r="D1021" s="6"/>
      <c r="E1021" s="6"/>
      <c r="F1021" s="6"/>
      <c r="G1021" s="6"/>
      <c r="H1021" s="6"/>
      <c r="I1021" s="6"/>
      <c r="J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row>
    <row r="1022" ht="14.25" customHeight="1">
      <c r="A1022" s="6"/>
      <c r="B1022" s="6"/>
      <c r="C1022" s="6"/>
      <c r="D1022" s="6"/>
      <c r="E1022" s="6"/>
      <c r="F1022" s="6"/>
      <c r="G1022" s="6"/>
      <c r="H1022" s="6"/>
      <c r="I1022" s="6"/>
      <c r="J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row>
    <row r="1023" ht="14.25" customHeight="1">
      <c r="A1023" s="6"/>
      <c r="B1023" s="6"/>
      <c r="C1023" s="6"/>
      <c r="D1023" s="6"/>
      <c r="E1023" s="6"/>
      <c r="F1023" s="6"/>
      <c r="G1023" s="6"/>
      <c r="H1023" s="6"/>
      <c r="I1023" s="6"/>
      <c r="J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row>
    <row r="1024" ht="14.25" customHeight="1">
      <c r="A1024" s="6"/>
      <c r="B1024" s="6"/>
      <c r="C1024" s="6"/>
      <c r="D1024" s="6"/>
      <c r="E1024" s="6"/>
      <c r="F1024" s="6"/>
      <c r="G1024" s="6"/>
      <c r="H1024" s="6"/>
      <c r="I1024" s="6"/>
      <c r="J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row>
    <row r="1025" ht="14.25" customHeight="1">
      <c r="A1025" s="6"/>
      <c r="B1025" s="6"/>
      <c r="C1025" s="6"/>
      <c r="D1025" s="6"/>
      <c r="E1025" s="6"/>
      <c r="F1025" s="6"/>
      <c r="G1025" s="6"/>
      <c r="H1025" s="6"/>
      <c r="I1025" s="6"/>
      <c r="J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row>
    <row r="1026" ht="14.25" customHeight="1">
      <c r="A1026" s="6"/>
      <c r="B1026" s="6"/>
      <c r="C1026" s="6"/>
      <c r="D1026" s="6"/>
      <c r="E1026" s="6"/>
      <c r="F1026" s="6"/>
      <c r="G1026" s="6"/>
      <c r="H1026" s="6"/>
      <c r="I1026" s="6"/>
      <c r="J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row>
    <row r="1027" ht="14.25" customHeight="1">
      <c r="A1027" s="6"/>
      <c r="B1027" s="6"/>
      <c r="C1027" s="6"/>
      <c r="D1027" s="6"/>
      <c r="E1027" s="6"/>
      <c r="F1027" s="6"/>
      <c r="G1027" s="6"/>
      <c r="H1027" s="6"/>
      <c r="I1027" s="6"/>
      <c r="J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row>
    <row r="1028" ht="14.25" customHeight="1">
      <c r="A1028" s="6"/>
      <c r="B1028" s="6"/>
      <c r="C1028" s="6"/>
      <c r="D1028" s="6"/>
      <c r="E1028" s="6"/>
      <c r="F1028" s="6"/>
      <c r="G1028" s="6"/>
      <c r="H1028" s="6"/>
      <c r="I1028" s="6"/>
      <c r="J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row>
    <row r="1029" ht="14.25" customHeight="1">
      <c r="A1029" s="6"/>
      <c r="B1029" s="6"/>
      <c r="C1029" s="6"/>
      <c r="D1029" s="6"/>
      <c r="E1029" s="6"/>
      <c r="F1029" s="6"/>
      <c r="G1029" s="6"/>
      <c r="H1029" s="6"/>
      <c r="I1029" s="6"/>
      <c r="J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row>
    <row r="1030" ht="14.25" customHeight="1">
      <c r="A1030" s="6"/>
      <c r="B1030" s="6"/>
      <c r="C1030" s="6"/>
      <c r="D1030" s="6"/>
      <c r="E1030" s="6"/>
      <c r="F1030" s="6"/>
      <c r="G1030" s="6"/>
      <c r="H1030" s="6"/>
      <c r="I1030" s="6"/>
      <c r="J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row>
    <row r="1031" ht="14.25" customHeight="1">
      <c r="A1031" s="6"/>
      <c r="B1031" s="6"/>
      <c r="C1031" s="6"/>
      <c r="D1031" s="6"/>
      <c r="E1031" s="6"/>
      <c r="F1031" s="6"/>
      <c r="G1031" s="6"/>
      <c r="H1031" s="6"/>
      <c r="I1031" s="6"/>
      <c r="J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row>
    <row r="1032" ht="14.25" customHeight="1">
      <c r="A1032" s="6"/>
      <c r="B1032" s="6"/>
      <c r="C1032" s="6"/>
      <c r="D1032" s="6"/>
      <c r="E1032" s="6"/>
      <c r="F1032" s="6"/>
      <c r="G1032" s="6"/>
      <c r="H1032" s="6"/>
      <c r="I1032" s="6"/>
      <c r="J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row>
    <row r="1033" ht="14.25" customHeight="1">
      <c r="A1033" s="6"/>
      <c r="B1033" s="6"/>
      <c r="C1033" s="6"/>
      <c r="D1033" s="6"/>
      <c r="E1033" s="6"/>
      <c r="F1033" s="6"/>
      <c r="G1033" s="6"/>
      <c r="H1033" s="6"/>
      <c r="I1033" s="6"/>
      <c r="J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row>
    <row r="1034" ht="14.25" customHeight="1">
      <c r="A1034" s="6"/>
      <c r="B1034" s="6"/>
      <c r="C1034" s="6"/>
      <c r="D1034" s="6"/>
      <c r="E1034" s="6"/>
      <c r="F1034" s="6"/>
      <c r="G1034" s="6"/>
      <c r="H1034" s="6"/>
      <c r="I1034" s="6"/>
      <c r="J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row>
    <row r="1035" ht="14.25" customHeight="1">
      <c r="A1035" s="6"/>
      <c r="B1035" s="6"/>
      <c r="C1035" s="6"/>
      <c r="D1035" s="6"/>
      <c r="E1035" s="6"/>
      <c r="F1035" s="6"/>
      <c r="G1035" s="6"/>
      <c r="H1035" s="6"/>
      <c r="I1035" s="6"/>
      <c r="J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row>
    <row r="1036" ht="14.25" customHeight="1">
      <c r="A1036" s="6"/>
      <c r="B1036" s="6"/>
      <c r="C1036" s="6"/>
      <c r="D1036" s="6"/>
      <c r="E1036" s="6"/>
      <c r="F1036" s="6"/>
      <c r="G1036" s="6"/>
      <c r="H1036" s="6"/>
      <c r="I1036" s="6"/>
      <c r="J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row>
    <row r="1037" ht="14.25" customHeight="1">
      <c r="A1037" s="6"/>
      <c r="B1037" s="6"/>
      <c r="C1037" s="6"/>
      <c r="D1037" s="6"/>
      <c r="E1037" s="6"/>
      <c r="F1037" s="6"/>
      <c r="G1037" s="6"/>
      <c r="H1037" s="6"/>
      <c r="I1037" s="6"/>
      <c r="J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row>
    <row r="1038" ht="14.25" customHeight="1">
      <c r="A1038" s="6"/>
      <c r="B1038" s="6"/>
      <c r="C1038" s="6"/>
      <c r="D1038" s="6"/>
      <c r="E1038" s="6"/>
      <c r="F1038" s="6"/>
      <c r="G1038" s="6"/>
      <c r="H1038" s="6"/>
      <c r="I1038" s="6"/>
      <c r="J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row>
    <row r="1039" ht="14.25" customHeight="1">
      <c r="A1039" s="6"/>
      <c r="B1039" s="6"/>
      <c r="C1039" s="6"/>
      <c r="D1039" s="6"/>
      <c r="E1039" s="6"/>
      <c r="F1039" s="6"/>
      <c r="G1039" s="6"/>
      <c r="H1039" s="6"/>
      <c r="I1039" s="6"/>
      <c r="J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row>
    <row r="1040" ht="14.25" customHeight="1">
      <c r="A1040" s="6"/>
      <c r="B1040" s="6"/>
      <c r="C1040" s="6"/>
      <c r="D1040" s="6"/>
      <c r="E1040" s="6"/>
      <c r="F1040" s="6"/>
      <c r="G1040" s="6"/>
      <c r="H1040" s="6"/>
      <c r="I1040" s="6"/>
      <c r="J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row>
    <row r="1041" ht="14.25" customHeight="1">
      <c r="A1041" s="6"/>
      <c r="B1041" s="6"/>
      <c r="C1041" s="6"/>
      <c r="D1041" s="6"/>
      <c r="E1041" s="6"/>
      <c r="F1041" s="6"/>
      <c r="G1041" s="6"/>
      <c r="H1041" s="6"/>
      <c r="I1041" s="6"/>
      <c r="J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row>
    <row r="1042" ht="14.25" customHeight="1">
      <c r="A1042" s="6"/>
      <c r="B1042" s="6"/>
      <c r="C1042" s="6"/>
      <c r="D1042" s="6"/>
      <c r="E1042" s="6"/>
      <c r="F1042" s="6"/>
      <c r="G1042" s="6"/>
      <c r="H1042" s="6"/>
      <c r="I1042" s="6"/>
      <c r="J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row>
    <row r="1043" ht="14.25" customHeight="1">
      <c r="A1043" s="6"/>
      <c r="B1043" s="6"/>
      <c r="C1043" s="6"/>
      <c r="D1043" s="6"/>
      <c r="E1043" s="6"/>
      <c r="F1043" s="6"/>
      <c r="G1043" s="6"/>
      <c r="H1043" s="6"/>
      <c r="I1043" s="6"/>
      <c r="J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row>
    <row r="1044" ht="14.25" customHeight="1">
      <c r="A1044" s="6"/>
      <c r="B1044" s="6"/>
      <c r="C1044" s="6"/>
      <c r="D1044" s="6"/>
      <c r="E1044" s="6"/>
      <c r="F1044" s="6"/>
      <c r="G1044" s="6"/>
      <c r="H1044" s="6"/>
      <c r="I1044" s="6"/>
      <c r="J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row>
    <row r="1045" ht="14.25" customHeight="1">
      <c r="A1045" s="6"/>
      <c r="B1045" s="6"/>
      <c r="C1045" s="6"/>
      <c r="D1045" s="6"/>
      <c r="E1045" s="6"/>
      <c r="F1045" s="6"/>
      <c r="G1045" s="6"/>
      <c r="H1045" s="6"/>
      <c r="I1045" s="6"/>
      <c r="J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row>
    <row r="1046" ht="14.25" customHeight="1">
      <c r="A1046" s="6"/>
      <c r="B1046" s="6"/>
      <c r="C1046" s="6"/>
      <c r="D1046" s="6"/>
      <c r="E1046" s="6"/>
      <c r="F1046" s="6"/>
      <c r="G1046" s="6"/>
      <c r="H1046" s="6"/>
      <c r="I1046" s="6"/>
      <c r="J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row>
    <row r="1047" ht="14.25" customHeight="1">
      <c r="A1047" s="6"/>
      <c r="B1047" s="6"/>
      <c r="C1047" s="6"/>
      <c r="D1047" s="6"/>
      <c r="E1047" s="6"/>
      <c r="F1047" s="6"/>
      <c r="G1047" s="6"/>
      <c r="H1047" s="6"/>
      <c r="I1047" s="6"/>
      <c r="J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row>
    <row r="1048" ht="14.25" customHeight="1">
      <c r="A1048" s="6"/>
      <c r="B1048" s="6"/>
      <c r="C1048" s="6"/>
      <c r="D1048" s="6"/>
      <c r="E1048" s="6"/>
      <c r="F1048" s="6"/>
      <c r="G1048" s="6"/>
      <c r="H1048" s="6"/>
      <c r="I1048" s="6"/>
      <c r="J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row>
    <row r="1049" ht="14.25" customHeight="1">
      <c r="A1049" s="6"/>
      <c r="B1049" s="6"/>
      <c r="C1049" s="6"/>
      <c r="D1049" s="6"/>
      <c r="E1049" s="6"/>
      <c r="F1049" s="6"/>
      <c r="G1049" s="6"/>
      <c r="H1049" s="6"/>
      <c r="I1049" s="6"/>
      <c r="J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row>
    <row r="1050" ht="14.25" customHeight="1">
      <c r="A1050" s="6"/>
      <c r="B1050" s="6"/>
      <c r="C1050" s="6"/>
      <c r="D1050" s="6"/>
      <c r="E1050" s="6"/>
      <c r="F1050" s="6"/>
      <c r="G1050" s="6"/>
      <c r="H1050" s="6"/>
      <c r="I1050" s="6"/>
      <c r="J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row>
    <row r="1051" ht="14.25" customHeight="1">
      <c r="A1051" s="6"/>
      <c r="B1051" s="6"/>
      <c r="C1051" s="6"/>
      <c r="D1051" s="6"/>
      <c r="E1051" s="6"/>
      <c r="F1051" s="6"/>
      <c r="G1051" s="6"/>
      <c r="H1051" s="6"/>
      <c r="I1051" s="6"/>
      <c r="J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row>
    <row r="1052" ht="14.25" customHeight="1">
      <c r="A1052" s="6"/>
      <c r="B1052" s="6"/>
      <c r="C1052" s="6"/>
      <c r="D1052" s="6"/>
      <c r="E1052" s="6"/>
      <c r="F1052" s="6"/>
      <c r="G1052" s="6"/>
      <c r="H1052" s="6"/>
      <c r="I1052" s="6"/>
      <c r="J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row>
    <row r="1053" ht="14.25" customHeight="1">
      <c r="A1053" s="6"/>
      <c r="B1053" s="6"/>
      <c r="C1053" s="6"/>
      <c r="D1053" s="6"/>
      <c r="E1053" s="6"/>
      <c r="F1053" s="6"/>
      <c r="G1053" s="6"/>
      <c r="H1053" s="6"/>
      <c r="I1053" s="6"/>
      <c r="J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row>
    <row r="1054" ht="14.25" customHeight="1">
      <c r="A1054" s="6"/>
      <c r="B1054" s="6"/>
      <c r="C1054" s="6"/>
      <c r="D1054" s="6"/>
      <c r="E1054" s="6"/>
      <c r="F1054" s="6"/>
      <c r="G1054" s="6"/>
      <c r="H1054" s="6"/>
      <c r="I1054" s="6"/>
      <c r="J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row>
    <row r="1055" ht="14.25" customHeight="1">
      <c r="A1055" s="6"/>
      <c r="B1055" s="6"/>
      <c r="C1055" s="6"/>
      <c r="D1055" s="6"/>
      <c r="E1055" s="6"/>
      <c r="F1055" s="6"/>
      <c r="G1055" s="6"/>
      <c r="H1055" s="6"/>
      <c r="I1055" s="6"/>
      <c r="J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row>
    <row r="1056" ht="14.25" customHeight="1">
      <c r="A1056" s="6"/>
      <c r="B1056" s="6"/>
      <c r="C1056" s="6"/>
      <c r="D1056" s="6"/>
      <c r="E1056" s="6"/>
      <c r="F1056" s="6"/>
      <c r="G1056" s="6"/>
      <c r="H1056" s="6"/>
      <c r="I1056" s="6"/>
      <c r="J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row>
    <row r="1057" ht="14.25" customHeight="1">
      <c r="A1057" s="6"/>
      <c r="B1057" s="6"/>
      <c r="C1057" s="6"/>
      <c r="D1057" s="6"/>
      <c r="E1057" s="6"/>
      <c r="F1057" s="6"/>
      <c r="G1057" s="6"/>
      <c r="H1057" s="6"/>
      <c r="I1057" s="6"/>
      <c r="J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row>
    <row r="1058" ht="14.25" customHeight="1">
      <c r="A1058" s="6"/>
      <c r="B1058" s="6"/>
      <c r="C1058" s="6"/>
      <c r="D1058" s="6"/>
      <c r="E1058" s="6"/>
      <c r="F1058" s="6"/>
      <c r="G1058" s="6"/>
      <c r="H1058" s="6"/>
      <c r="I1058" s="6"/>
      <c r="J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row>
    <row r="1059" ht="14.25" customHeight="1">
      <c r="A1059" s="6"/>
      <c r="B1059" s="6"/>
      <c r="C1059" s="6"/>
      <c r="D1059" s="6"/>
      <c r="E1059" s="6"/>
      <c r="F1059" s="6"/>
      <c r="G1059" s="6"/>
      <c r="H1059" s="6"/>
      <c r="I1059" s="6"/>
      <c r="J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row>
    <row r="1060" ht="14.25" customHeight="1">
      <c r="A1060" s="6"/>
      <c r="B1060" s="6"/>
      <c r="C1060" s="6"/>
      <c r="D1060" s="6"/>
      <c r="E1060" s="6"/>
      <c r="F1060" s="6"/>
      <c r="G1060" s="6"/>
      <c r="H1060" s="6"/>
      <c r="I1060" s="6"/>
      <c r="J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row>
    <row r="1061" ht="14.25" customHeight="1">
      <c r="A1061" s="6"/>
      <c r="B1061" s="6"/>
      <c r="C1061" s="6"/>
      <c r="D1061" s="6"/>
      <c r="E1061" s="6"/>
      <c r="F1061" s="6"/>
      <c r="G1061" s="6"/>
      <c r="H1061" s="6"/>
      <c r="I1061" s="6"/>
      <c r="J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row>
    <row r="1062" ht="14.25" customHeight="1">
      <c r="A1062" s="6"/>
      <c r="B1062" s="6"/>
      <c r="C1062" s="6"/>
      <c r="D1062" s="6"/>
      <c r="E1062" s="6"/>
      <c r="F1062" s="6"/>
      <c r="G1062" s="6"/>
      <c r="H1062" s="6"/>
      <c r="I1062" s="6"/>
      <c r="J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row>
    <row r="1063" ht="14.25" customHeight="1">
      <c r="A1063" s="6"/>
      <c r="B1063" s="6"/>
      <c r="C1063" s="6"/>
      <c r="D1063" s="6"/>
      <c r="E1063" s="6"/>
      <c r="F1063" s="6"/>
      <c r="G1063" s="6"/>
      <c r="H1063" s="6"/>
      <c r="I1063" s="6"/>
      <c r="J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row>
    <row r="1064" ht="14.25" customHeight="1">
      <c r="A1064" s="6"/>
      <c r="B1064" s="6"/>
      <c r="C1064" s="6"/>
      <c r="D1064" s="6"/>
      <c r="E1064" s="6"/>
      <c r="F1064" s="6"/>
      <c r="G1064" s="6"/>
      <c r="H1064" s="6"/>
      <c r="I1064" s="6"/>
      <c r="J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row>
    <row r="1065" ht="14.25" customHeight="1">
      <c r="A1065" s="6"/>
      <c r="B1065" s="6"/>
      <c r="C1065" s="6"/>
      <c r="D1065" s="6"/>
      <c r="E1065" s="6"/>
      <c r="F1065" s="6"/>
      <c r="G1065" s="6"/>
      <c r="H1065" s="6"/>
      <c r="I1065" s="6"/>
      <c r="J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row>
    <row r="1066" ht="14.25" customHeight="1">
      <c r="A1066" s="6"/>
      <c r="B1066" s="6"/>
      <c r="C1066" s="6"/>
      <c r="D1066" s="6"/>
      <c r="E1066" s="6"/>
      <c r="F1066" s="6"/>
      <c r="G1066" s="6"/>
      <c r="H1066" s="6"/>
      <c r="I1066" s="6"/>
      <c r="J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row>
    <row r="1067" ht="14.25" customHeight="1">
      <c r="A1067" s="6"/>
      <c r="B1067" s="6"/>
      <c r="C1067" s="6"/>
      <c r="D1067" s="6"/>
      <c r="E1067" s="6"/>
      <c r="F1067" s="6"/>
      <c r="G1067" s="6"/>
      <c r="H1067" s="6"/>
      <c r="I1067" s="6"/>
      <c r="J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row>
    <row r="1068" ht="14.25" customHeight="1">
      <c r="A1068" s="6"/>
      <c r="B1068" s="6"/>
      <c r="C1068" s="6"/>
      <c r="D1068" s="6"/>
      <c r="E1068" s="6"/>
      <c r="F1068" s="6"/>
      <c r="G1068" s="6"/>
      <c r="H1068" s="6"/>
      <c r="I1068" s="6"/>
      <c r="J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row>
    <row r="1069" ht="14.25" customHeight="1">
      <c r="A1069" s="6"/>
      <c r="B1069" s="6"/>
      <c r="C1069" s="6"/>
      <c r="D1069" s="6"/>
      <c r="E1069" s="6"/>
      <c r="F1069" s="6"/>
      <c r="G1069" s="6"/>
      <c r="H1069" s="6"/>
      <c r="I1069" s="6"/>
      <c r="J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row>
    <row r="1070" ht="14.25" customHeight="1">
      <c r="A1070" s="6"/>
      <c r="B1070" s="6"/>
      <c r="C1070" s="6"/>
      <c r="D1070" s="6"/>
      <c r="E1070" s="6"/>
      <c r="F1070" s="6"/>
      <c r="G1070" s="6"/>
      <c r="H1070" s="6"/>
      <c r="I1070" s="6"/>
      <c r="J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row>
    <row r="1071" ht="14.25" customHeight="1">
      <c r="A1071" s="6"/>
      <c r="B1071" s="6"/>
      <c r="C1071" s="6"/>
      <c r="D1071" s="6"/>
      <c r="E1071" s="6"/>
      <c r="F1071" s="6"/>
      <c r="G1071" s="6"/>
      <c r="H1071" s="6"/>
      <c r="I1071" s="6"/>
      <c r="J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row>
    <row r="1072" ht="14.25" customHeight="1">
      <c r="A1072" s="6"/>
      <c r="B1072" s="6"/>
      <c r="C1072" s="6"/>
      <c r="D1072" s="6"/>
      <c r="E1072" s="6"/>
      <c r="F1072" s="6"/>
      <c r="G1072" s="6"/>
      <c r="H1072" s="6"/>
      <c r="I1072" s="6"/>
      <c r="J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row>
    <row r="1073" ht="14.25" customHeight="1">
      <c r="A1073" s="6"/>
      <c r="B1073" s="6"/>
      <c r="C1073" s="6"/>
      <c r="D1073" s="6"/>
      <c r="E1073" s="6"/>
      <c r="F1073" s="6"/>
      <c r="G1073" s="6"/>
      <c r="H1073" s="6"/>
      <c r="I1073" s="6"/>
      <c r="J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row>
    <row r="1074" ht="14.25" customHeight="1">
      <c r="A1074" s="6"/>
      <c r="B1074" s="6"/>
      <c r="C1074" s="6"/>
      <c r="D1074" s="6"/>
      <c r="E1074" s="6"/>
      <c r="F1074" s="6"/>
      <c r="G1074" s="6"/>
      <c r="H1074" s="6"/>
      <c r="I1074" s="6"/>
      <c r="J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row>
    <row r="1075" ht="14.25" customHeight="1">
      <c r="A1075" s="6"/>
      <c r="B1075" s="6"/>
      <c r="C1075" s="6"/>
      <c r="D1075" s="6"/>
      <c r="E1075" s="6"/>
      <c r="F1075" s="6"/>
      <c r="G1075" s="6"/>
      <c r="H1075" s="6"/>
      <c r="I1075" s="6"/>
      <c r="J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row>
    <row r="1076" ht="14.25" customHeight="1">
      <c r="A1076" s="6"/>
      <c r="B1076" s="6"/>
      <c r="C1076" s="6"/>
      <c r="D1076" s="6"/>
      <c r="E1076" s="6"/>
      <c r="F1076" s="6"/>
      <c r="G1076" s="6"/>
      <c r="H1076" s="6"/>
      <c r="I1076" s="6"/>
      <c r="J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row>
    <row r="1077" ht="14.25" customHeight="1">
      <c r="A1077" s="6"/>
      <c r="B1077" s="6"/>
      <c r="C1077" s="6"/>
      <c r="D1077" s="6"/>
      <c r="E1077" s="6"/>
      <c r="F1077" s="6"/>
      <c r="G1077" s="6"/>
      <c r="H1077" s="6"/>
      <c r="I1077" s="6"/>
      <c r="J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row>
    <row r="1078" ht="14.25" customHeight="1">
      <c r="A1078" s="6"/>
      <c r="B1078" s="6"/>
      <c r="C1078" s="6"/>
      <c r="D1078" s="6"/>
      <c r="E1078" s="6"/>
      <c r="F1078" s="6"/>
      <c r="G1078" s="6"/>
      <c r="H1078" s="6"/>
      <c r="I1078" s="6"/>
      <c r="J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row>
    <row r="1079" ht="14.25" customHeight="1">
      <c r="A1079" s="6"/>
      <c r="B1079" s="6"/>
      <c r="C1079" s="6"/>
      <c r="D1079" s="6"/>
      <c r="E1079" s="6"/>
      <c r="F1079" s="6"/>
      <c r="G1079" s="6"/>
      <c r="H1079" s="6"/>
      <c r="I1079" s="6"/>
      <c r="J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row>
    <row r="1080" ht="14.25" customHeight="1">
      <c r="A1080" s="6"/>
      <c r="B1080" s="6"/>
      <c r="C1080" s="6"/>
      <c r="D1080" s="6"/>
      <c r="E1080" s="6"/>
      <c r="F1080" s="6"/>
      <c r="G1080" s="6"/>
      <c r="H1080" s="6"/>
      <c r="I1080" s="6"/>
      <c r="J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row>
    <row r="1081" ht="14.25" customHeight="1">
      <c r="A1081" s="6"/>
      <c r="B1081" s="6"/>
      <c r="C1081" s="6"/>
      <c r="D1081" s="6"/>
      <c r="E1081" s="6"/>
      <c r="F1081" s="6"/>
      <c r="G1081" s="6"/>
      <c r="H1081" s="6"/>
      <c r="I1081" s="6"/>
      <c r="J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c r="AX1081" s="6"/>
      <c r="AY1081" s="6"/>
    </row>
    <row r="1082" ht="14.25" customHeight="1">
      <c r="A1082" s="6"/>
      <c r="B1082" s="6"/>
      <c r="C1082" s="6"/>
      <c r="D1082" s="6"/>
      <c r="E1082" s="6"/>
      <c r="F1082" s="6"/>
      <c r="G1082" s="6"/>
      <c r="H1082" s="6"/>
      <c r="I1082" s="6"/>
      <c r="J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row>
    <row r="1083" ht="14.25" customHeight="1">
      <c r="A1083" s="6"/>
      <c r="B1083" s="6"/>
      <c r="C1083" s="6"/>
      <c r="D1083" s="6"/>
      <c r="E1083" s="6"/>
      <c r="F1083" s="6"/>
      <c r="G1083" s="6"/>
      <c r="H1083" s="6"/>
      <c r="I1083" s="6"/>
      <c r="J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c r="AX1083" s="6"/>
      <c r="AY1083" s="6"/>
    </row>
    <row r="1084" ht="14.25" customHeight="1">
      <c r="A1084" s="6"/>
      <c r="B1084" s="6"/>
      <c r="C1084" s="6"/>
      <c r="D1084" s="6"/>
      <c r="E1084" s="6"/>
      <c r="F1084" s="6"/>
      <c r="G1084" s="6"/>
      <c r="H1084" s="6"/>
      <c r="I1084" s="6"/>
      <c r="J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row>
    <row r="1085" ht="14.25" customHeight="1">
      <c r="A1085" s="6"/>
      <c r="B1085" s="6"/>
      <c r="C1085" s="6"/>
      <c r="D1085" s="6"/>
      <c r="E1085" s="6"/>
      <c r="F1085" s="6"/>
      <c r="G1085" s="6"/>
      <c r="H1085" s="6"/>
      <c r="I1085" s="6"/>
      <c r="J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c r="AX1085" s="6"/>
      <c r="AY1085" s="6"/>
    </row>
    <row r="1086" ht="14.25" customHeight="1">
      <c r="A1086" s="6"/>
      <c r="B1086" s="6"/>
      <c r="C1086" s="6"/>
      <c r="D1086" s="6"/>
      <c r="E1086" s="6"/>
      <c r="F1086" s="6"/>
      <c r="G1086" s="6"/>
      <c r="H1086" s="6"/>
      <c r="I1086" s="6"/>
      <c r="J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row>
    <row r="1087" ht="14.25" customHeight="1">
      <c r="A1087" s="6"/>
      <c r="B1087" s="6"/>
      <c r="C1087" s="6"/>
      <c r="D1087" s="6"/>
      <c r="E1087" s="6"/>
      <c r="F1087" s="6"/>
      <c r="G1087" s="6"/>
      <c r="H1087" s="6"/>
      <c r="I1087" s="6"/>
      <c r="J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c r="AX1087" s="6"/>
      <c r="AY1087" s="6"/>
    </row>
    <row r="1088" ht="14.25" customHeight="1">
      <c r="A1088" s="6"/>
      <c r="B1088" s="6"/>
      <c r="C1088" s="6"/>
      <c r="D1088" s="6"/>
      <c r="E1088" s="6"/>
      <c r="F1088" s="6"/>
      <c r="G1088" s="6"/>
      <c r="H1088" s="6"/>
      <c r="I1088" s="6"/>
      <c r="J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row>
    <row r="1089" ht="14.25" customHeight="1">
      <c r="A1089" s="6"/>
      <c r="B1089" s="6"/>
      <c r="C1089" s="6"/>
      <c r="D1089" s="6"/>
      <c r="E1089" s="6"/>
      <c r="F1089" s="6"/>
      <c r="G1089" s="6"/>
      <c r="H1089" s="6"/>
      <c r="I1089" s="6"/>
      <c r="J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row>
    <row r="1090" ht="14.25" customHeight="1">
      <c r="A1090" s="6"/>
      <c r="B1090" s="6"/>
      <c r="C1090" s="6"/>
      <c r="D1090" s="6"/>
      <c r="E1090" s="6"/>
      <c r="F1090" s="6"/>
      <c r="G1090" s="6"/>
      <c r="H1090" s="6"/>
      <c r="I1090" s="6"/>
      <c r="J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row>
    <row r="1091" ht="14.25" customHeight="1">
      <c r="A1091" s="6"/>
      <c r="B1091" s="6"/>
      <c r="C1091" s="6"/>
      <c r="D1091" s="6"/>
      <c r="E1091" s="6"/>
      <c r="F1091" s="6"/>
      <c r="G1091" s="6"/>
      <c r="H1091" s="6"/>
      <c r="I1091" s="6"/>
      <c r="J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row>
    <row r="1092" ht="14.25" customHeight="1">
      <c r="A1092" s="6"/>
      <c r="B1092" s="6"/>
      <c r="C1092" s="6"/>
      <c r="D1092" s="6"/>
      <c r="E1092" s="6"/>
      <c r="F1092" s="6"/>
      <c r="G1092" s="6"/>
      <c r="H1092" s="6"/>
      <c r="I1092" s="6"/>
      <c r="J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row>
    <row r="1093" ht="14.25" customHeight="1">
      <c r="A1093" s="6"/>
      <c r="B1093" s="6"/>
      <c r="C1093" s="6"/>
      <c r="D1093" s="6"/>
      <c r="E1093" s="6"/>
      <c r="F1093" s="6"/>
      <c r="G1093" s="6"/>
      <c r="H1093" s="6"/>
      <c r="I1093" s="6"/>
      <c r="J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row>
    <row r="1094" ht="14.25" customHeight="1">
      <c r="A1094" s="6"/>
      <c r="B1094" s="6"/>
      <c r="C1094" s="6"/>
      <c r="D1094" s="6"/>
      <c r="E1094" s="6"/>
      <c r="F1094" s="6"/>
      <c r="G1094" s="6"/>
      <c r="H1094" s="6"/>
      <c r="I1094" s="6"/>
      <c r="J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row>
    <row r="1095" ht="14.25" customHeight="1">
      <c r="A1095" s="6"/>
      <c r="B1095" s="6"/>
      <c r="C1095" s="6"/>
      <c r="D1095" s="6"/>
      <c r="E1095" s="6"/>
      <c r="F1095" s="6"/>
      <c r="G1095" s="6"/>
      <c r="H1095" s="6"/>
      <c r="I1095" s="6"/>
      <c r="J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row>
    <row r="1096" ht="14.25" customHeight="1">
      <c r="A1096" s="6"/>
      <c r="B1096" s="6"/>
      <c r="C1096" s="6"/>
      <c r="D1096" s="6"/>
      <c r="E1096" s="6"/>
      <c r="F1096" s="6"/>
      <c r="G1096" s="6"/>
      <c r="H1096" s="6"/>
      <c r="I1096" s="6"/>
      <c r="J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row>
    <row r="1097" ht="14.25" customHeight="1">
      <c r="A1097" s="6"/>
      <c r="B1097" s="6"/>
      <c r="C1097" s="6"/>
      <c r="D1097" s="6"/>
      <c r="E1097" s="6"/>
      <c r="F1097" s="6"/>
      <c r="G1097" s="6"/>
      <c r="H1097" s="6"/>
      <c r="I1097" s="6"/>
      <c r="J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row>
    <row r="1098" ht="14.25" customHeight="1">
      <c r="A1098" s="6"/>
      <c r="B1098" s="6"/>
      <c r="C1098" s="6"/>
      <c r="D1098" s="6"/>
      <c r="E1098" s="6"/>
      <c r="F1098" s="6"/>
      <c r="G1098" s="6"/>
      <c r="H1098" s="6"/>
      <c r="I1098" s="6"/>
      <c r="J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row>
    <row r="1099" ht="14.25" customHeight="1">
      <c r="A1099" s="6"/>
      <c r="B1099" s="6"/>
      <c r="C1099" s="6"/>
      <c r="D1099" s="6"/>
      <c r="E1099" s="6"/>
      <c r="F1099" s="6"/>
      <c r="G1099" s="6"/>
      <c r="H1099" s="6"/>
      <c r="I1099" s="6"/>
      <c r="J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row>
    <row r="1100" ht="14.25" customHeight="1">
      <c r="A1100" s="6"/>
      <c r="B1100" s="6"/>
      <c r="C1100" s="6"/>
      <c r="D1100" s="6"/>
      <c r="E1100" s="6"/>
      <c r="F1100" s="6"/>
      <c r="G1100" s="6"/>
      <c r="H1100" s="6"/>
      <c r="I1100" s="6"/>
      <c r="J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row>
    <row r="1101" ht="14.25" customHeight="1">
      <c r="A1101" s="6"/>
      <c r="B1101" s="6"/>
      <c r="C1101" s="6"/>
      <c r="D1101" s="6"/>
      <c r="E1101" s="6"/>
      <c r="F1101" s="6"/>
      <c r="G1101" s="6"/>
      <c r="H1101" s="6"/>
      <c r="I1101" s="6"/>
      <c r="J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row>
    <row r="1102" ht="14.25" customHeight="1">
      <c r="A1102" s="6"/>
      <c r="B1102" s="6"/>
      <c r="C1102" s="6"/>
      <c r="D1102" s="6"/>
      <c r="E1102" s="6"/>
      <c r="F1102" s="6"/>
      <c r="G1102" s="6"/>
      <c r="H1102" s="6"/>
      <c r="I1102" s="6"/>
      <c r="J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row>
    <row r="1103" ht="14.25" customHeight="1">
      <c r="A1103" s="6"/>
      <c r="B1103" s="6"/>
      <c r="C1103" s="6"/>
      <c r="D1103" s="6"/>
      <c r="E1103" s="6"/>
      <c r="F1103" s="6"/>
      <c r="G1103" s="6"/>
      <c r="H1103" s="6"/>
      <c r="I1103" s="6"/>
      <c r="J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row>
    <row r="1104" ht="14.25" customHeight="1">
      <c r="A1104" s="6"/>
      <c r="B1104" s="6"/>
      <c r="C1104" s="6"/>
      <c r="D1104" s="6"/>
      <c r="E1104" s="6"/>
      <c r="F1104" s="6"/>
      <c r="G1104" s="6"/>
      <c r="H1104" s="6"/>
      <c r="I1104" s="6"/>
      <c r="J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row>
    <row r="1105" ht="14.25" customHeight="1">
      <c r="A1105" s="6"/>
      <c r="B1105" s="6"/>
      <c r="C1105" s="6"/>
      <c r="D1105" s="6"/>
      <c r="E1105" s="6"/>
      <c r="F1105" s="6"/>
      <c r="G1105" s="6"/>
      <c r="H1105" s="6"/>
      <c r="I1105" s="6"/>
      <c r="J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row>
    <row r="1106" ht="14.25" customHeight="1">
      <c r="A1106" s="6"/>
      <c r="B1106" s="6"/>
      <c r="C1106" s="6"/>
      <c r="D1106" s="6"/>
      <c r="E1106" s="6"/>
      <c r="F1106" s="6"/>
      <c r="G1106" s="6"/>
      <c r="H1106" s="6"/>
      <c r="I1106" s="6"/>
      <c r="J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c r="AX1106" s="6"/>
      <c r="AY1106" s="6"/>
    </row>
    <row r="1107" ht="14.25" customHeight="1">
      <c r="A1107" s="6"/>
      <c r="B1107" s="6"/>
      <c r="C1107" s="6"/>
      <c r="D1107" s="6"/>
      <c r="E1107" s="6"/>
      <c r="F1107" s="6"/>
      <c r="G1107" s="6"/>
      <c r="H1107" s="6"/>
      <c r="I1107" s="6"/>
      <c r="J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c r="AX1107" s="6"/>
      <c r="AY1107" s="6"/>
    </row>
    <row r="1108" ht="14.25" customHeight="1">
      <c r="A1108" s="6"/>
      <c r="B1108" s="6"/>
      <c r="C1108" s="6"/>
      <c r="D1108" s="6"/>
      <c r="E1108" s="6"/>
      <c r="F1108" s="6"/>
      <c r="G1108" s="6"/>
      <c r="H1108" s="6"/>
      <c r="I1108" s="6"/>
      <c r="J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c r="AX1108" s="6"/>
      <c r="AY1108" s="6"/>
    </row>
    <row r="1109" ht="14.25" customHeight="1">
      <c r="A1109" s="6"/>
      <c r="B1109" s="6"/>
      <c r="C1109" s="6"/>
      <c r="D1109" s="6"/>
      <c r="E1109" s="6"/>
      <c r="F1109" s="6"/>
      <c r="G1109" s="6"/>
      <c r="H1109" s="6"/>
      <c r="I1109" s="6"/>
      <c r="J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c r="AX1109" s="6"/>
      <c r="AY1109" s="6"/>
    </row>
    <row r="1110" ht="14.25" customHeight="1">
      <c r="A1110" s="6"/>
      <c r="B1110" s="6"/>
      <c r="C1110" s="6"/>
      <c r="D1110" s="6"/>
      <c r="E1110" s="6"/>
      <c r="F1110" s="6"/>
      <c r="G1110" s="6"/>
      <c r="H1110" s="6"/>
      <c r="I1110" s="6"/>
      <c r="J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c r="AX1110" s="6"/>
      <c r="AY1110" s="6"/>
    </row>
    <row r="1111" ht="14.25" customHeight="1">
      <c r="A1111" s="6"/>
      <c r="B1111" s="6"/>
      <c r="C1111" s="6"/>
      <c r="D1111" s="6"/>
      <c r="E1111" s="6"/>
      <c r="F1111" s="6"/>
      <c r="G1111" s="6"/>
      <c r="H1111" s="6"/>
      <c r="I1111" s="6"/>
      <c r="J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c r="AX1111" s="6"/>
      <c r="AY1111" s="6"/>
    </row>
    <row r="1112" ht="14.25" customHeight="1">
      <c r="A1112" s="6"/>
      <c r="B1112" s="6"/>
      <c r="C1112" s="6"/>
      <c r="D1112" s="6"/>
      <c r="E1112" s="6"/>
      <c r="F1112" s="6"/>
      <c r="G1112" s="6"/>
      <c r="H1112" s="6"/>
      <c r="I1112" s="6"/>
      <c r="J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c r="AX1112" s="6"/>
      <c r="AY1112" s="6"/>
    </row>
    <row r="1113" ht="14.25" customHeight="1">
      <c r="A1113" s="6"/>
      <c r="B1113" s="6"/>
      <c r="C1113" s="6"/>
      <c r="D1113" s="6"/>
      <c r="E1113" s="6"/>
      <c r="F1113" s="6"/>
      <c r="G1113" s="6"/>
      <c r="H1113" s="6"/>
      <c r="I1113" s="6"/>
      <c r="J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c r="AX1113" s="6"/>
      <c r="AY1113" s="6"/>
    </row>
    <row r="1114" ht="14.25" customHeight="1">
      <c r="A1114" s="6"/>
      <c r="B1114" s="6"/>
      <c r="C1114" s="6"/>
      <c r="D1114" s="6"/>
      <c r="E1114" s="6"/>
      <c r="F1114" s="6"/>
      <c r="G1114" s="6"/>
      <c r="H1114" s="6"/>
      <c r="I1114" s="6"/>
      <c r="J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c r="AX1114" s="6"/>
      <c r="AY1114" s="6"/>
    </row>
    <row r="1115" ht="14.25" customHeight="1">
      <c r="A1115" s="6"/>
      <c r="B1115" s="6"/>
      <c r="C1115" s="6"/>
      <c r="D1115" s="6"/>
      <c r="E1115" s="6"/>
      <c r="F1115" s="6"/>
      <c r="G1115" s="6"/>
      <c r="H1115" s="6"/>
      <c r="I1115" s="6"/>
      <c r="J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c r="AX1115" s="6"/>
      <c r="AY1115" s="6"/>
    </row>
    <row r="1116" ht="14.25" customHeight="1">
      <c r="A1116" s="6"/>
      <c r="B1116" s="6"/>
      <c r="C1116" s="6"/>
      <c r="D1116" s="6"/>
      <c r="E1116" s="6"/>
      <c r="F1116" s="6"/>
      <c r="G1116" s="6"/>
      <c r="H1116" s="6"/>
      <c r="I1116" s="6"/>
      <c r="J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c r="AX1116" s="6"/>
      <c r="AY1116" s="6"/>
    </row>
    <row r="1117" ht="14.25" customHeight="1">
      <c r="A1117" s="6"/>
      <c r="B1117" s="6"/>
      <c r="C1117" s="6"/>
      <c r="D1117" s="6"/>
      <c r="E1117" s="6"/>
      <c r="F1117" s="6"/>
      <c r="G1117" s="6"/>
      <c r="H1117" s="6"/>
      <c r="I1117" s="6"/>
      <c r="J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c r="AX1117" s="6"/>
      <c r="AY1117" s="6"/>
    </row>
    <row r="1118" ht="14.25" customHeight="1">
      <c r="A1118" s="6"/>
      <c r="B1118" s="6"/>
      <c r="C1118" s="6"/>
      <c r="D1118" s="6"/>
      <c r="E1118" s="6"/>
      <c r="F1118" s="6"/>
      <c r="G1118" s="6"/>
      <c r="H1118" s="6"/>
      <c r="I1118" s="6"/>
      <c r="J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c r="AX1118" s="6"/>
      <c r="AY1118" s="6"/>
    </row>
    <row r="1119" ht="14.25" customHeight="1">
      <c r="A1119" s="6"/>
      <c r="B1119" s="6"/>
      <c r="C1119" s="6"/>
      <c r="D1119" s="6"/>
      <c r="E1119" s="6"/>
      <c r="F1119" s="6"/>
      <c r="G1119" s="6"/>
      <c r="H1119" s="6"/>
      <c r="I1119" s="6"/>
      <c r="J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c r="AX1119" s="6"/>
      <c r="AY1119" s="6"/>
    </row>
    <row r="1120" ht="14.25" customHeight="1">
      <c r="A1120" s="6"/>
      <c r="B1120" s="6"/>
      <c r="C1120" s="6"/>
      <c r="D1120" s="6"/>
      <c r="E1120" s="6"/>
      <c r="F1120" s="6"/>
      <c r="G1120" s="6"/>
      <c r="H1120" s="6"/>
      <c r="I1120" s="6"/>
      <c r="J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c r="AX1120" s="6"/>
      <c r="AY1120" s="6"/>
    </row>
    <row r="1121" ht="14.25" customHeight="1">
      <c r="A1121" s="6"/>
      <c r="B1121" s="6"/>
      <c r="C1121" s="6"/>
      <c r="D1121" s="6"/>
      <c r="E1121" s="6"/>
      <c r="F1121" s="6"/>
      <c r="G1121" s="6"/>
      <c r="H1121" s="6"/>
      <c r="I1121" s="6"/>
      <c r="J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c r="AX1121" s="6"/>
      <c r="AY1121" s="6"/>
    </row>
    <row r="1122" ht="14.25" customHeight="1">
      <c r="A1122" s="6"/>
      <c r="B1122" s="6"/>
      <c r="C1122" s="6"/>
      <c r="D1122" s="6"/>
      <c r="E1122" s="6"/>
      <c r="F1122" s="6"/>
      <c r="G1122" s="6"/>
      <c r="H1122" s="6"/>
      <c r="I1122" s="6"/>
      <c r="J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c r="AX1122" s="6"/>
      <c r="AY1122" s="6"/>
    </row>
    <row r="1123" ht="14.25" customHeight="1">
      <c r="A1123" s="6"/>
      <c r="B1123" s="6"/>
      <c r="C1123" s="6"/>
      <c r="D1123" s="6"/>
      <c r="E1123" s="6"/>
      <c r="F1123" s="6"/>
      <c r="G1123" s="6"/>
      <c r="H1123" s="6"/>
      <c r="I1123" s="6"/>
      <c r="J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c r="AX1123" s="6"/>
      <c r="AY1123" s="6"/>
    </row>
  </sheetData>
  <customSheetViews>
    <customSheetView guid="{87ABADD1-D39A-45F6-A299-CACD33710D13}" filter="1" showAutoFilter="1">
      <autoFilter ref="$A$1:$P$623"/>
    </customSheetView>
  </customSheetView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9.0"/>
    <col customWidth="1" min="2" max="2" width="24.38"/>
    <col customWidth="1" min="3" max="4" width="12.25"/>
    <col customWidth="1" min="5" max="6" width="8.63"/>
    <col customWidth="1" min="7" max="8" width="12.88"/>
    <col customWidth="1" min="9" max="10" width="8.63"/>
    <col customWidth="1" min="11" max="11" width="7.13"/>
    <col customWidth="1" min="12" max="12" width="22.38"/>
    <col customWidth="1" min="13" max="13" width="23.88"/>
    <col customWidth="1" min="14" max="14" width="8.75"/>
    <col customWidth="1" min="15" max="15" width="8.63"/>
    <col customWidth="1" min="16" max="16" width="17.5"/>
    <col customWidth="1" min="17" max="17" width="24.38"/>
    <col customWidth="1" min="18" max="19" width="8.75"/>
    <col customWidth="1" min="20" max="20" width="25.13"/>
    <col customWidth="1" min="21" max="21" width="55.13"/>
    <col customWidth="1" min="22" max="26" width="8.63"/>
  </cols>
  <sheetData>
    <row r="1" ht="15.75" customHeight="1">
      <c r="A1" s="12" t="s">
        <v>38</v>
      </c>
      <c r="B1" s="12" t="s">
        <v>39</v>
      </c>
      <c r="C1" s="12" t="s">
        <v>41</v>
      </c>
      <c r="D1" s="12" t="s">
        <v>619</v>
      </c>
      <c r="E1" s="12" t="s">
        <v>620</v>
      </c>
      <c r="F1" s="12" t="s">
        <v>621</v>
      </c>
      <c r="G1" s="12" t="s">
        <v>16</v>
      </c>
      <c r="H1" s="12" t="s">
        <v>29</v>
      </c>
      <c r="K1" s="66" t="s">
        <v>622</v>
      </c>
      <c r="L1" s="66"/>
      <c r="M1" s="67"/>
      <c r="N1" s="67"/>
      <c r="O1" s="66"/>
      <c r="P1" s="66" t="s">
        <v>16</v>
      </c>
      <c r="Q1" s="67"/>
      <c r="R1" s="67"/>
      <c r="S1" s="67"/>
      <c r="T1" s="67"/>
      <c r="U1" s="67"/>
    </row>
    <row r="2" ht="15.75" customHeight="1">
      <c r="A2" s="26" t="s">
        <v>623</v>
      </c>
      <c r="B2" s="26" t="s">
        <v>624</v>
      </c>
      <c r="C2" s="26" t="s">
        <v>626</v>
      </c>
      <c r="D2" s="26" t="str">
        <f>IFERROR(__xludf.DUMMYFUNCTION("IF(
 C2=""STATE"",
 UPPER(REGEXEXTRACT(A2,""^state\.([^_@]+)"")),
 """"
)"),"")</f>
        <v/>
      </c>
      <c r="E2" s="26" t="b">
        <v>1</v>
      </c>
      <c r="F2" s="26" t="s">
        <v>628</v>
      </c>
      <c r="G2" s="26" t="str">
        <f t="shared" ref="G2:G619" si="1">IF(
 RIGHT(A2,5)="maxed",
 "",
 IF(
  C2="BUILDING",
  _xlfn.XLOOKUP(
   A2,
   $Q$2:$Q$101,
   $O$2:$O$101
  ),
  "Not a building"
 )
)</f>
        <v/>
      </c>
      <c r="H2" s="26" t="str">
        <f t="shared" ref="H2:H619" si="2">IF(
 RIGHT(A2,5)="maxed",
 "",
 IF(
  C2="BUILDING",
  _xlfn.XLOOKUP(
   A2,
   $M$2:$M$101,
   $K$2:$K$101
  ),
  "Not a building"
 )
)</f>
        <v/>
      </c>
      <c r="K2" s="68">
        <v>1.0</v>
      </c>
      <c r="L2" s="66" t="s">
        <v>57</v>
      </c>
      <c r="M2" s="67" t="str">
        <f>IFERROR(__xludf.DUMMYFUNCTION("LET(
    txt,TRIM(SUBSTITUTE(L2,CHAR(160),""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)"),"building.guild@2")</f>
        <v>building.guild@2</v>
      </c>
      <c r="N2" s="67"/>
      <c r="O2" s="68">
        <v>1.0</v>
      </c>
      <c r="P2" s="66" t="s">
        <v>57</v>
      </c>
      <c r="Q2" s="67" t="str">
        <f>IFERROR(__xludf.DUMMYFUNCTION("LET(
    txt,TRIM(SUBSTITUTE(P2,CHAR(160),""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)"),"building.guild@2")</f>
        <v>building.guild@2</v>
      </c>
      <c r="R2" s="67"/>
      <c r="S2" s="69"/>
      <c r="T2" s="67" t="s">
        <v>57</v>
      </c>
      <c r="U2" s="70" t="s">
        <v>59</v>
      </c>
    </row>
    <row r="3" ht="15.75" customHeight="1">
      <c r="A3" s="26" t="s">
        <v>47</v>
      </c>
      <c r="B3" s="26" t="s">
        <v>632</v>
      </c>
      <c r="C3" s="26" t="s">
        <v>626</v>
      </c>
      <c r="D3" s="26" t="str">
        <f>IFERROR(__xludf.DUMMYFUNCTION("IF(
 C3=""STATE"",
 UPPER(REGEXEXTRACT(A3,""^state\.([^_@]+)"")),
 """"
)"),"")</f>
        <v/>
      </c>
      <c r="E3" s="26" t="b">
        <v>1</v>
      </c>
      <c r="F3" s="26" t="s">
        <v>633</v>
      </c>
      <c r="G3" s="26">
        <f t="shared" si="1"/>
        <v>44</v>
      </c>
      <c r="H3" s="26">
        <f t="shared" si="2"/>
        <v>54</v>
      </c>
      <c r="K3" s="68">
        <f t="shared" ref="K3:K101" si="3">K2+1</f>
        <v>2</v>
      </c>
      <c r="L3" s="66" t="s">
        <v>60</v>
      </c>
      <c r="M3" s="67" t="str">
        <f>IFERROR(__xludf.DUMMYFUNCTION("LET(
    txt,TRIM(SUBSTITUTE(L3,CHAR(160),""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)"),"building.warehouse@1")</f>
        <v>building.warehouse@1</v>
      </c>
      <c r="N3" s="67"/>
      <c r="O3" s="68">
        <f t="shared" ref="O3:O101" si="4">1+O2</f>
        <v>2</v>
      </c>
      <c r="P3" s="71" t="s">
        <v>60</v>
      </c>
      <c r="Q3" s="67" t="str">
        <f>IFERROR(__xludf.DUMMYFUNCTION("LET(
    txt,TRIM(SUBSTITUTE(P3,CHAR(160),""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)"),"building.warehouse@1")</f>
        <v>building.warehouse@1</v>
      </c>
      <c r="R3" s="67"/>
      <c r="S3" s="69"/>
      <c r="T3" s="67" t="s">
        <v>60</v>
      </c>
      <c r="U3" s="67" t="s">
        <v>61</v>
      </c>
    </row>
    <row r="4" ht="15.75" customHeight="1">
      <c r="A4" s="26" t="s">
        <v>58</v>
      </c>
      <c r="B4" s="26" t="s">
        <v>636</v>
      </c>
      <c r="C4" s="26" t="s">
        <v>626</v>
      </c>
      <c r="D4" s="26" t="str">
        <f>IFERROR(__xludf.DUMMYFUNCTION("IF(
 C4=""STATE"",
 UPPER(REGEXEXTRACT(A4,""^state\.([^_@]+)"")),
 """"
)"),"")</f>
        <v/>
      </c>
      <c r="E4" s="26" t="b">
        <v>1</v>
      </c>
      <c r="F4" s="26" t="s">
        <v>633</v>
      </c>
      <c r="G4" s="26">
        <f t="shared" si="1"/>
        <v>45</v>
      </c>
      <c r="H4" s="26">
        <f t="shared" si="2"/>
        <v>66</v>
      </c>
      <c r="K4" s="68">
        <f t="shared" si="3"/>
        <v>3</v>
      </c>
      <c r="L4" s="66" t="s">
        <v>63</v>
      </c>
      <c r="M4" s="67" t="str">
        <f>IFERROR(__xludf.DUMMYFUNCTION("LET(
    txt,TRIM(SUBSTITUTE(L4,CHAR(160),""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)"),"building.shop@1")</f>
        <v>building.shop@1</v>
      </c>
      <c r="N4" s="67"/>
      <c r="O4" s="68">
        <f t="shared" si="4"/>
        <v>3</v>
      </c>
      <c r="P4" s="66" t="s">
        <v>63</v>
      </c>
      <c r="Q4" s="67" t="str">
        <f>IFERROR(__xludf.DUMMYFUNCTION("LET(
    txt,TRIM(SUBSTITUTE(P4,CHAR(160),""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)"),"building.shop@1")</f>
        <v>building.shop@1</v>
      </c>
      <c r="R4" s="67"/>
      <c r="S4" s="69"/>
      <c r="T4" s="67" t="s">
        <v>63</v>
      </c>
      <c r="U4" s="67" t="s">
        <v>64</v>
      </c>
    </row>
    <row r="5" ht="15.75" customHeight="1">
      <c r="A5" s="26" t="s">
        <v>637</v>
      </c>
      <c r="B5" s="26" t="s">
        <v>638</v>
      </c>
      <c r="C5" s="26" t="s">
        <v>626</v>
      </c>
      <c r="D5" s="26" t="str">
        <f>IFERROR(__xludf.DUMMYFUNCTION("IF(
 C5=""STATE"",
 UPPER(REGEXEXTRACT(A5,""^state\.([^_@]+)"")),
 """"
)"),"")</f>
        <v/>
      </c>
      <c r="E5" s="26" t="b">
        <v>1</v>
      </c>
      <c r="F5" s="26" t="s">
        <v>628</v>
      </c>
      <c r="G5" s="26" t="str">
        <f t="shared" si="1"/>
        <v/>
      </c>
      <c r="H5" s="26" t="str">
        <f t="shared" si="2"/>
        <v/>
      </c>
      <c r="K5" s="68">
        <f t="shared" si="3"/>
        <v>4</v>
      </c>
      <c r="L5" s="66" t="s">
        <v>66</v>
      </c>
      <c r="M5" s="67" t="str">
        <f>IFERROR(__xludf.DUMMYFUNCTION("LET(
    txt,TRIM(SUBSTITUTE(L5,CHAR(160),""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)"),"building.alchemists_hut@1")</f>
        <v>building.alchemists_hut@1</v>
      </c>
      <c r="N5" s="67"/>
      <c r="O5" s="68">
        <f t="shared" si="4"/>
        <v>4</v>
      </c>
      <c r="P5" s="71" t="s">
        <v>66</v>
      </c>
      <c r="Q5" s="67" t="str">
        <f>IFERROR(__xludf.DUMMYFUNCTION("LET(
    txt,TRIM(SUBSTITUTE(P5,CHAR(160),""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)"),"building.alchemists_hut@1")</f>
        <v>building.alchemists_hut@1</v>
      </c>
      <c r="R5" s="67"/>
      <c r="S5" s="69"/>
      <c r="T5" s="67" t="s">
        <v>66</v>
      </c>
      <c r="U5" s="70" t="s">
        <v>67</v>
      </c>
    </row>
    <row r="6" ht="15.75" customHeight="1">
      <c r="A6" s="26" t="s">
        <v>62</v>
      </c>
      <c r="B6" s="26" t="s">
        <v>641</v>
      </c>
      <c r="C6" s="26" t="s">
        <v>626</v>
      </c>
      <c r="D6" s="26" t="str">
        <f>IFERROR(__xludf.DUMMYFUNCTION("IF(
 C6=""STATE"",
 UPPER(REGEXEXTRACT(A6,""^state\.([^_@]+)"")),
 """"
)"),"")</f>
        <v/>
      </c>
      <c r="E6" s="26" t="b">
        <v>1</v>
      </c>
      <c r="F6" s="26" t="s">
        <v>633</v>
      </c>
      <c r="G6" s="26">
        <f t="shared" si="1"/>
        <v>4</v>
      </c>
      <c r="H6" s="26">
        <f t="shared" si="2"/>
        <v>4</v>
      </c>
      <c r="K6" s="68">
        <f t="shared" si="3"/>
        <v>5</v>
      </c>
      <c r="L6" s="71" t="s">
        <v>69</v>
      </c>
      <c r="M6" s="67" t="str">
        <f>IFERROR(__xludf.DUMMYFUNCTION("LET(
    txt,TRIM(SUBSTITUTE(L6,CHAR(160),""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)"),"building.alchemists_hut@2")</f>
        <v>building.alchemists_hut@2</v>
      </c>
      <c r="N6" s="67"/>
      <c r="O6" s="68">
        <f t="shared" si="4"/>
        <v>5</v>
      </c>
      <c r="P6" s="71" t="s">
        <v>69</v>
      </c>
      <c r="Q6" s="67" t="str">
        <f>IFERROR(__xludf.DUMMYFUNCTION("LET(
    txt,TRIM(SUBSTITUTE(P6,CHAR(160),""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)"),"building.alchemists_hut@2")</f>
        <v>building.alchemists_hut@2</v>
      </c>
      <c r="R6" s="67"/>
      <c r="S6" s="69"/>
      <c r="T6" s="70" t="s">
        <v>69</v>
      </c>
      <c r="U6" s="67" t="s">
        <v>70</v>
      </c>
    </row>
    <row r="7" ht="15.75" customHeight="1">
      <c r="A7" s="26" t="s">
        <v>65</v>
      </c>
      <c r="B7" s="26" t="s">
        <v>644</v>
      </c>
      <c r="C7" s="26" t="s">
        <v>626</v>
      </c>
      <c r="D7" s="26" t="str">
        <f>IFERROR(__xludf.DUMMYFUNCTION("IF(
 C7=""STATE"",
 UPPER(REGEXEXTRACT(A7,""^state\.([^_@]+)"")),
 """"
)"),"")</f>
        <v/>
      </c>
      <c r="E7" s="26" t="b">
        <v>1</v>
      </c>
      <c r="F7" s="26" t="s">
        <v>633</v>
      </c>
      <c r="G7" s="26">
        <f t="shared" si="1"/>
        <v>5</v>
      </c>
      <c r="H7" s="26">
        <f t="shared" si="2"/>
        <v>5</v>
      </c>
      <c r="K7" s="68">
        <f t="shared" si="3"/>
        <v>6</v>
      </c>
      <c r="L7" s="66" t="s">
        <v>72</v>
      </c>
      <c r="M7" s="67" t="str">
        <f>IFERROR(__xludf.DUMMYFUNCTION("LET(
    txt,TRIM(SUBSTITUTE(L7,CHAR(160),""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)"),"building.field@1")</f>
        <v>building.field@1</v>
      </c>
      <c r="N7" s="67"/>
      <c r="O7" s="68">
        <f t="shared" si="4"/>
        <v>6</v>
      </c>
      <c r="P7" s="71" t="s">
        <v>72</v>
      </c>
      <c r="Q7" s="67" t="str">
        <f>IFERROR(__xludf.DUMMYFUNCTION("LET(
    txt,TRIM(SUBSTITUTE(P7,CHAR(160),""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)"),"building.field@1")</f>
        <v>building.field@1</v>
      </c>
      <c r="R7" s="67"/>
      <c r="S7" s="69"/>
      <c r="T7" s="67" t="s">
        <v>72</v>
      </c>
      <c r="U7" s="67" t="s">
        <v>73</v>
      </c>
    </row>
    <row r="8" ht="15.75" customHeight="1">
      <c r="A8" s="26" t="s">
        <v>68</v>
      </c>
      <c r="B8" s="26" t="s">
        <v>645</v>
      </c>
      <c r="C8" s="26" t="s">
        <v>626</v>
      </c>
      <c r="D8" s="26" t="str">
        <f>IFERROR(__xludf.DUMMYFUNCTION("IF(
 C8=""STATE"",
 UPPER(REGEXEXTRACT(A8,""^state\.([^_@]+)"")),
 """"
)"),"")</f>
        <v/>
      </c>
      <c r="E8" s="26" t="b">
        <v>1</v>
      </c>
      <c r="F8" s="26" t="s">
        <v>633</v>
      </c>
      <c r="G8" s="26">
        <f t="shared" si="1"/>
        <v>51</v>
      </c>
      <c r="H8" s="26">
        <f t="shared" si="2"/>
        <v>62</v>
      </c>
      <c r="K8" s="68">
        <f t="shared" si="3"/>
        <v>7</v>
      </c>
      <c r="L8" s="66" t="s">
        <v>74</v>
      </c>
      <c r="M8" s="67" t="str">
        <f>IFERROR(__xludf.DUMMYFUNCTION("LET(
    txt,TRIM(SUBSTITUTE(L8,CHAR(160),""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)"),"building.rock_garden@1")</f>
        <v>building.rock_garden@1</v>
      </c>
      <c r="N8" s="67"/>
      <c r="O8" s="68">
        <f t="shared" si="4"/>
        <v>7</v>
      </c>
      <c r="P8" s="71" t="s">
        <v>75</v>
      </c>
      <c r="Q8" s="67" t="str">
        <f>IFERROR(__xludf.DUMMYFUNCTION("LET(
    txt,TRIM(SUBSTITUTE(P8,CHAR(160),""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)"),"building.food_stall@1")</f>
        <v>building.food_stall@1</v>
      </c>
      <c r="R8" s="67"/>
      <c r="S8" s="69"/>
      <c r="T8" s="67" t="s">
        <v>75</v>
      </c>
      <c r="U8" s="70" t="s">
        <v>76</v>
      </c>
    </row>
    <row r="9" ht="15.75" customHeight="1">
      <c r="A9" s="26" t="s">
        <v>71</v>
      </c>
      <c r="B9" s="26" t="s">
        <v>648</v>
      </c>
      <c r="C9" s="26" t="s">
        <v>626</v>
      </c>
      <c r="D9" s="26" t="str">
        <f>IFERROR(__xludf.DUMMYFUNCTION("IF(
 C9=""STATE"",
 UPPER(REGEXEXTRACT(A9,""^state\.([^_@]+)"")),
 """"
)"),"")</f>
        <v/>
      </c>
      <c r="E9" s="26" t="b">
        <v>1</v>
      </c>
      <c r="F9" s="26" t="s">
        <v>633</v>
      </c>
      <c r="G9" s="26">
        <f t="shared" si="1"/>
        <v>52</v>
      </c>
      <c r="H9" s="26">
        <f t="shared" si="2"/>
        <v>63</v>
      </c>
      <c r="K9" s="68">
        <f t="shared" si="3"/>
        <v>8</v>
      </c>
      <c r="L9" s="71" t="s">
        <v>78</v>
      </c>
      <c r="M9" s="67" t="str">
        <f>IFERROR(__xludf.DUMMYFUNCTION("LET(
    txt,TRIM(SUBSTITUTE(L9,CHAR(160),""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)"),"building.rock_garden@2")</f>
        <v>building.rock_garden@2</v>
      </c>
      <c r="N9" s="67"/>
      <c r="O9" s="68">
        <f t="shared" si="4"/>
        <v>8</v>
      </c>
      <c r="P9" s="71" t="s">
        <v>79</v>
      </c>
      <c r="Q9" s="67" t="str">
        <f>IFERROR(__xludf.DUMMYFUNCTION("LET(
    txt,TRIM(SUBSTITUTE(P9,CHAR(160),""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)"),"building.field@2")</f>
        <v>building.field@2</v>
      </c>
      <c r="R9" s="67"/>
      <c r="S9" s="69"/>
      <c r="T9" s="70" t="s">
        <v>79</v>
      </c>
      <c r="U9" s="67" t="s">
        <v>80</v>
      </c>
    </row>
    <row r="10" ht="15.75" customHeight="1">
      <c r="A10" s="26" t="s">
        <v>77</v>
      </c>
      <c r="B10" s="26" t="s">
        <v>650</v>
      </c>
      <c r="C10" s="26" t="s">
        <v>626</v>
      </c>
      <c r="D10" s="26" t="str">
        <f>IFERROR(__xludf.DUMMYFUNCTION("IF(
 C10=""STATE"",
 UPPER(REGEXEXTRACT(A10,""^state\.([^_@]+)"")),
 """"
)"),"")</f>
        <v/>
      </c>
      <c r="E10" s="26" t="b">
        <v>1</v>
      </c>
      <c r="F10" s="26" t="s">
        <v>633</v>
      </c>
      <c r="G10" s="26">
        <f t="shared" si="1"/>
        <v>53</v>
      </c>
      <c r="H10" s="26">
        <f t="shared" si="2"/>
        <v>64</v>
      </c>
      <c r="K10" s="68">
        <f t="shared" si="3"/>
        <v>9</v>
      </c>
      <c r="L10" s="66" t="s">
        <v>82</v>
      </c>
      <c r="M10" s="67" t="str">
        <f>IFERROR(__xludf.DUMMYFUNCTION("LET(
    txt,TRIM(SUBSTITUTE(L10,CHAR(160),""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)"),"building.garden@1")</f>
        <v>building.garden@1</v>
      </c>
      <c r="N10" s="67"/>
      <c r="O10" s="68">
        <f t="shared" si="4"/>
        <v>9</v>
      </c>
      <c r="P10" s="66" t="s">
        <v>83</v>
      </c>
      <c r="Q10" s="67" t="str">
        <f>IFERROR(__xludf.DUMMYFUNCTION("LET(
    txt,TRIM(SUBSTITUTE(P10,CHAR(160),""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)"),"building.windmill@1")</f>
        <v>building.windmill@1</v>
      </c>
      <c r="R10" s="67"/>
      <c r="S10" s="69"/>
      <c r="T10" s="67" t="s">
        <v>83</v>
      </c>
      <c r="U10" s="67" t="s">
        <v>84</v>
      </c>
    </row>
    <row r="11" ht="15.75" customHeight="1">
      <c r="A11" s="26" t="s">
        <v>81</v>
      </c>
      <c r="B11" s="26" t="s">
        <v>652</v>
      </c>
      <c r="C11" s="26" t="s">
        <v>626</v>
      </c>
      <c r="D11" s="26" t="str">
        <f>IFERROR(__xludf.DUMMYFUNCTION("IF(
 C11=""STATE"",
 UPPER(REGEXEXTRACT(A11,""^state\.([^_@]+)"")),
 """"
)"),"")</f>
        <v/>
      </c>
      <c r="E11" s="26" t="b">
        <v>1</v>
      </c>
      <c r="F11" s="26" t="s">
        <v>633</v>
      </c>
      <c r="G11" s="26">
        <f t="shared" si="1"/>
        <v>54</v>
      </c>
      <c r="H11" s="26">
        <f t="shared" si="2"/>
        <v>65</v>
      </c>
      <c r="K11" s="68">
        <f t="shared" si="3"/>
        <v>10</v>
      </c>
      <c r="L11" s="71" t="s">
        <v>86</v>
      </c>
      <c r="M11" s="67" t="str">
        <f>IFERROR(__xludf.DUMMYFUNCTION("LET(
    txt,TRIM(SUBSTITUTE(L11,CHAR(160),""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)"),"building.garden@2")</f>
        <v>building.garden@2</v>
      </c>
      <c r="N11" s="67"/>
      <c r="O11" s="68">
        <f t="shared" si="4"/>
        <v>10</v>
      </c>
      <c r="P11" s="66" t="s">
        <v>87</v>
      </c>
      <c r="Q11" s="67" t="str">
        <f>IFERROR(__xludf.DUMMYFUNCTION("LET(
    txt,TRIM(SUBSTITUTE(P11,CHAR(160),""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)"),"building.furnace@1")</f>
        <v>building.furnace@1</v>
      </c>
      <c r="R11" s="67"/>
      <c r="S11" s="69"/>
      <c r="T11" s="67" t="s">
        <v>87</v>
      </c>
      <c r="U11" s="67" t="s">
        <v>88</v>
      </c>
    </row>
    <row r="12" ht="15.75" customHeight="1">
      <c r="A12" s="26" t="s">
        <v>85</v>
      </c>
      <c r="B12" s="26" t="s">
        <v>655</v>
      </c>
      <c r="C12" s="26" t="s">
        <v>626</v>
      </c>
      <c r="D12" s="26" t="str">
        <f>IFERROR(__xludf.DUMMYFUNCTION("IF(
 C12=""STATE"",
 UPPER(REGEXEXTRACT(A12,""^state\.([^_@]+)"")),
 """"
)"),"")</f>
        <v/>
      </c>
      <c r="E12" s="26" t="b">
        <v>1</v>
      </c>
      <c r="F12" s="26" t="s">
        <v>633</v>
      </c>
      <c r="G12" s="26">
        <f t="shared" si="1"/>
        <v>88</v>
      </c>
      <c r="H12" s="26">
        <f t="shared" si="2"/>
        <v>37</v>
      </c>
      <c r="K12" s="68">
        <f t="shared" si="3"/>
        <v>11</v>
      </c>
      <c r="L12" s="66" t="s">
        <v>89</v>
      </c>
      <c r="M12" s="67" t="str">
        <f>IFERROR(__xludf.DUMMYFUNCTION("LET(
    txt,TRIM(SUBSTITUTE(L12,CHAR(160),""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)"),"building.lumber@1")</f>
        <v>building.lumber@1</v>
      </c>
      <c r="N12" s="67"/>
      <c r="O12" s="68">
        <f t="shared" si="4"/>
        <v>11</v>
      </c>
      <c r="P12" s="71" t="s">
        <v>91</v>
      </c>
      <c r="Q12" s="67" t="str">
        <f>IFERROR(__xludf.DUMMYFUNCTION("LET(
    txt,TRIM(SUBSTITUTE(P12,CHAR(160),""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)"),"building.furnace@2")</f>
        <v>building.furnace@2</v>
      </c>
      <c r="R12" s="67"/>
      <c r="S12" s="69"/>
      <c r="T12" s="70" t="s">
        <v>91</v>
      </c>
      <c r="U12" s="70" t="s">
        <v>92</v>
      </c>
    </row>
    <row r="13" ht="15.75" customHeight="1">
      <c r="A13" s="26" t="s">
        <v>90</v>
      </c>
      <c r="B13" s="26" t="s">
        <v>657</v>
      </c>
      <c r="C13" s="26" t="s">
        <v>626</v>
      </c>
      <c r="D13" s="26" t="str">
        <f>IFERROR(__xludf.DUMMYFUNCTION("IF(
 C13=""STATE"",
 UPPER(REGEXEXTRACT(A13,""^state\.([^_@]+)"")),
 """"
)"),"")</f>
        <v/>
      </c>
      <c r="E13" s="26" t="b">
        <v>1</v>
      </c>
      <c r="F13" s="26" t="s">
        <v>633</v>
      </c>
      <c r="G13" s="26">
        <f t="shared" si="1"/>
        <v>89</v>
      </c>
      <c r="H13" s="26">
        <f t="shared" si="2"/>
        <v>38</v>
      </c>
      <c r="K13" s="68">
        <f t="shared" si="3"/>
        <v>12</v>
      </c>
      <c r="L13" s="71" t="s">
        <v>93</v>
      </c>
      <c r="M13" s="67" t="str">
        <f>IFERROR(__xludf.DUMMYFUNCTION("LET(
    txt,TRIM(SUBSTITUTE(L13,CHAR(160),""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)"),"building.lumber@2")</f>
        <v>building.lumber@2</v>
      </c>
      <c r="N13" s="67"/>
      <c r="O13" s="68">
        <f t="shared" si="4"/>
        <v>12</v>
      </c>
      <c r="P13" s="71" t="s">
        <v>94</v>
      </c>
      <c r="Q13" s="67" t="str">
        <f>IFERROR(__xludf.DUMMYFUNCTION("LET(
    txt,TRIM(SUBSTITUTE(P13,CHAR(160),""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)"),"building.dungeon@1")</f>
        <v>building.dungeon@1</v>
      </c>
      <c r="R13" s="67"/>
      <c r="S13" s="69"/>
      <c r="T13" s="67" t="s">
        <v>94</v>
      </c>
      <c r="U13" s="70" t="s">
        <v>95</v>
      </c>
    </row>
    <row r="14" ht="15.75" customHeight="1">
      <c r="A14" s="26" t="s">
        <v>659</v>
      </c>
      <c r="B14" s="26" t="s">
        <v>660</v>
      </c>
      <c r="C14" s="26" t="s">
        <v>626</v>
      </c>
      <c r="D14" s="26" t="str">
        <f>IFERROR(__xludf.DUMMYFUNCTION("IF(
 C14=""STATE"",
 UPPER(REGEXEXTRACT(A14,""^state\.([^_@]+)"")),
 """"
)"),"")</f>
        <v/>
      </c>
      <c r="E14" s="26" t="b">
        <v>1</v>
      </c>
      <c r="F14" s="26" t="s">
        <v>628</v>
      </c>
      <c r="G14" s="26" t="str">
        <f t="shared" si="1"/>
        <v/>
      </c>
      <c r="H14" s="26" t="str">
        <f t="shared" si="2"/>
        <v/>
      </c>
      <c r="K14" s="68">
        <f t="shared" si="3"/>
        <v>13</v>
      </c>
      <c r="L14" s="71" t="s">
        <v>97</v>
      </c>
      <c r="M14" s="67" t="str">
        <f>IFERROR(__xludf.DUMMYFUNCTION("LET(
    txt,TRIM(SUBSTITUTE(L14,CHAR(160),""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)"),"building.guild@3")</f>
        <v>building.guild@3</v>
      </c>
      <c r="N14" s="67"/>
      <c r="O14" s="68">
        <f t="shared" si="4"/>
        <v>13</v>
      </c>
      <c r="P14" s="71" t="s">
        <v>89</v>
      </c>
      <c r="Q14" s="67" t="str">
        <f>IFERROR(__xludf.DUMMYFUNCTION("LET(
    txt,TRIM(SUBSTITUTE(P14,CHAR(160),""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)"),"building.lumber@1")</f>
        <v>building.lumber@1</v>
      </c>
      <c r="R14" s="67"/>
      <c r="S14" s="69"/>
      <c r="T14" s="67" t="s">
        <v>89</v>
      </c>
      <c r="U14" s="67" t="s">
        <v>98</v>
      </c>
    </row>
    <row r="15" ht="15.75" customHeight="1">
      <c r="A15" s="26" t="s">
        <v>96</v>
      </c>
      <c r="B15" s="26" t="s">
        <v>663</v>
      </c>
      <c r="C15" s="26" t="s">
        <v>626</v>
      </c>
      <c r="D15" s="26" t="str">
        <f>IFERROR(__xludf.DUMMYFUNCTION("IF(
 C15=""STATE"",
 UPPER(REGEXEXTRACT(A15,""^state\.([^_@]+)"")),
 """"
)"),"")</f>
        <v/>
      </c>
      <c r="E15" s="26" t="b">
        <v>1</v>
      </c>
      <c r="F15" s="26" t="s">
        <v>633</v>
      </c>
      <c r="G15" s="26">
        <f t="shared" si="1"/>
        <v>27</v>
      </c>
      <c r="H15" s="26">
        <f t="shared" si="2"/>
        <v>35</v>
      </c>
      <c r="K15" s="68">
        <f t="shared" si="3"/>
        <v>14</v>
      </c>
      <c r="L15" s="71" t="s">
        <v>100</v>
      </c>
      <c r="M15" s="67" t="str">
        <f>IFERROR(__xludf.DUMMYFUNCTION("LET(
    txt,TRIM(SUBSTITUTE(L15,CHAR(160),""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)"),"building.rock_garden@3")</f>
        <v>building.rock_garden@3</v>
      </c>
      <c r="N15" s="67"/>
      <c r="O15" s="68">
        <f t="shared" si="4"/>
        <v>14</v>
      </c>
      <c r="P15" s="66" t="s">
        <v>93</v>
      </c>
      <c r="Q15" s="67" t="str">
        <f>IFERROR(__xludf.DUMMYFUNCTION("LET(
    txt,TRIM(SUBSTITUTE(P15,CHAR(160),""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)"),"building.lumber@2")</f>
        <v>building.lumber@2</v>
      </c>
      <c r="R15" s="67"/>
      <c r="S15" s="69"/>
      <c r="T15" s="70" t="s">
        <v>93</v>
      </c>
      <c r="U15" s="70" t="s">
        <v>105</v>
      </c>
    </row>
    <row r="16" ht="15.75" customHeight="1">
      <c r="A16" s="26" t="s">
        <v>103</v>
      </c>
      <c r="B16" s="26" t="s">
        <v>665</v>
      </c>
      <c r="C16" s="26" t="s">
        <v>626</v>
      </c>
      <c r="D16" s="26" t="str">
        <f>IFERROR(__xludf.DUMMYFUNCTION("IF(
 C16=""STATE"",
 UPPER(REGEXEXTRACT(A16,""^state\.([^_@]+)"")),
 """"
)"),"")</f>
        <v/>
      </c>
      <c r="E16" s="26" t="b">
        <v>1</v>
      </c>
      <c r="F16" s="26" t="s">
        <v>633</v>
      </c>
      <c r="G16" s="26">
        <f t="shared" si="1"/>
        <v>36</v>
      </c>
      <c r="H16" s="26">
        <f t="shared" si="2"/>
        <v>47</v>
      </c>
      <c r="K16" s="68">
        <f t="shared" si="3"/>
        <v>15</v>
      </c>
      <c r="L16" s="71" t="s">
        <v>109</v>
      </c>
      <c r="M16" s="67" t="str">
        <f>IFERROR(__xludf.DUMMYFUNCTION("LET(
    txt,TRIM(SUBSTITUTE(L16,CHAR(160),""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)"),"building.garden@3")</f>
        <v>building.garden@3</v>
      </c>
      <c r="N16" s="67"/>
      <c r="O16" s="68">
        <f t="shared" si="4"/>
        <v>15</v>
      </c>
      <c r="P16" s="71" t="s">
        <v>110</v>
      </c>
      <c r="Q16" s="67" t="str">
        <f>IFERROR(__xludf.DUMMYFUNCTION("LET(
    txt,TRIM(SUBSTITUTE(P16,CHAR(160),""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)"),"building.windmill@2")</f>
        <v>building.windmill@2</v>
      </c>
      <c r="R16" s="67"/>
      <c r="S16" s="69"/>
      <c r="T16" s="70" t="s">
        <v>110</v>
      </c>
      <c r="U16" s="70" t="s">
        <v>111</v>
      </c>
    </row>
    <row r="17" ht="15.75" customHeight="1">
      <c r="A17" s="26" t="s">
        <v>112</v>
      </c>
      <c r="B17" s="26" t="s">
        <v>667</v>
      </c>
      <c r="C17" s="26" t="s">
        <v>626</v>
      </c>
      <c r="D17" s="26" t="str">
        <f>IFERROR(__xludf.DUMMYFUNCTION("IF(
 C17=""STATE"",
 UPPER(REGEXEXTRACT(A17,""^state\.([^_@]+)"")),
 """"
)"),"")</f>
        <v/>
      </c>
      <c r="E17" s="26" t="b">
        <v>1</v>
      </c>
      <c r="F17" s="26" t="s">
        <v>633</v>
      </c>
      <c r="G17" s="26">
        <f t="shared" si="1"/>
        <v>37</v>
      </c>
      <c r="H17" s="26">
        <f t="shared" si="2"/>
        <v>48</v>
      </c>
      <c r="K17" s="68">
        <f t="shared" si="3"/>
        <v>16</v>
      </c>
      <c r="L17" s="66" t="s">
        <v>75</v>
      </c>
      <c r="M17" s="67" t="str">
        <f>IFERROR(__xludf.DUMMYFUNCTION("LET(
    txt,TRIM(SUBSTITUTE(L17,CHAR(160),""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)"),"building.food_stall@1")</f>
        <v>building.food_stall@1</v>
      </c>
      <c r="N17" s="67"/>
      <c r="O17" s="68">
        <f t="shared" si="4"/>
        <v>16</v>
      </c>
      <c r="P17" s="66" t="s">
        <v>114</v>
      </c>
      <c r="Q17" s="67" t="str">
        <f>IFERROR(__xludf.DUMMYFUNCTION("LET(
    txt,TRIM(SUBSTITUTE(P17,CHAR(160),""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)"),"building.dungeon@2")</f>
        <v>building.dungeon@2</v>
      </c>
      <c r="R17" s="67"/>
      <c r="S17" s="69"/>
      <c r="T17" s="70" t="s">
        <v>114</v>
      </c>
      <c r="U17" s="70" t="s">
        <v>115</v>
      </c>
    </row>
    <row r="18" ht="15.75" customHeight="1">
      <c r="A18" s="26" t="s">
        <v>116</v>
      </c>
      <c r="B18" s="26" t="s">
        <v>670</v>
      </c>
      <c r="C18" s="26" t="s">
        <v>626</v>
      </c>
      <c r="D18" s="26" t="str">
        <f>IFERROR(__xludf.DUMMYFUNCTION("IF(
 C18=""STATE"",
 UPPER(REGEXEXTRACT(A18,""^state\.([^_@]+)"")),
 """"
)"),"")</f>
        <v/>
      </c>
      <c r="E18" s="26" t="b">
        <v>1</v>
      </c>
      <c r="F18" s="26" t="s">
        <v>633</v>
      </c>
      <c r="G18" s="26">
        <f t="shared" si="1"/>
        <v>38</v>
      </c>
      <c r="H18" s="26">
        <f t="shared" si="2"/>
        <v>49</v>
      </c>
      <c r="K18" s="68">
        <f t="shared" si="3"/>
        <v>17</v>
      </c>
      <c r="L18" s="71" t="s">
        <v>79</v>
      </c>
      <c r="M18" s="67" t="str">
        <f>IFERROR(__xludf.DUMMYFUNCTION("LET(
    txt,TRIM(SUBSTITUTE(L18,CHAR(160),""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)"),"building.field@2")</f>
        <v>building.field@2</v>
      </c>
      <c r="N18" s="67"/>
      <c r="O18" s="68">
        <f t="shared" si="4"/>
        <v>17</v>
      </c>
      <c r="P18" s="71" t="s">
        <v>97</v>
      </c>
      <c r="Q18" s="67" t="str">
        <f>IFERROR(__xludf.DUMMYFUNCTION("LET(
    txt,TRIM(SUBSTITUTE(P18,CHAR(160),""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)"),"building.guild@3")</f>
        <v>building.guild@3</v>
      </c>
      <c r="R18" s="67"/>
      <c r="S18" s="69"/>
      <c r="T18" s="70" t="s">
        <v>97</v>
      </c>
      <c r="U18" s="70" t="s">
        <v>118</v>
      </c>
    </row>
    <row r="19" ht="15.75" customHeight="1">
      <c r="A19" s="26" t="s">
        <v>122</v>
      </c>
      <c r="B19" s="26" t="s">
        <v>672</v>
      </c>
      <c r="C19" s="26" t="s">
        <v>626</v>
      </c>
      <c r="D19" s="26" t="str">
        <f>IFERROR(__xludf.DUMMYFUNCTION("IF(
 C19=""STATE"",
 UPPER(REGEXEXTRACT(A19,""^state\.([^_@]+)"")),
 """"
)"),"")</f>
        <v/>
      </c>
      <c r="E19" s="26" t="b">
        <v>1</v>
      </c>
      <c r="F19" s="26" t="s">
        <v>633</v>
      </c>
      <c r="G19" s="26">
        <f t="shared" si="1"/>
        <v>39</v>
      </c>
      <c r="H19" s="26">
        <f t="shared" si="2"/>
        <v>59</v>
      </c>
      <c r="K19" s="68">
        <f t="shared" si="3"/>
        <v>18</v>
      </c>
      <c r="L19" s="66" t="s">
        <v>83</v>
      </c>
      <c r="M19" s="67" t="str">
        <f>IFERROR(__xludf.DUMMYFUNCTION("LET(
    txt,TRIM(SUBSTITUTE(L19,CHAR(160),""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)"),"building.windmill@1")</f>
        <v>building.windmill@1</v>
      </c>
      <c r="N19" s="67"/>
      <c r="O19" s="68">
        <f t="shared" si="4"/>
        <v>18</v>
      </c>
      <c r="P19" s="66" t="s">
        <v>120</v>
      </c>
      <c r="Q19" s="67" t="str">
        <f>IFERROR(__xludf.DUMMYFUNCTION("LET(
    txt,TRIM(SUBSTITUTE(P19,CHAR(160),""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)"),"building.lumber@3")</f>
        <v>building.lumber@3</v>
      </c>
      <c r="R19" s="67"/>
      <c r="S19" s="69"/>
      <c r="T19" s="70" t="s">
        <v>120</v>
      </c>
      <c r="U19" s="67" t="s">
        <v>121</v>
      </c>
    </row>
    <row r="20" ht="15.75" customHeight="1">
      <c r="A20" s="26" t="s">
        <v>127</v>
      </c>
      <c r="B20" s="26" t="s">
        <v>674</v>
      </c>
      <c r="C20" s="26" t="s">
        <v>626</v>
      </c>
      <c r="D20" s="26" t="str">
        <f>IFERROR(__xludf.DUMMYFUNCTION("IF(
 C20=""STATE"",
 UPPER(REGEXEXTRACT(A20,""^state\.([^_@]+)"")),
 """"
)"),"")</f>
        <v/>
      </c>
      <c r="E20" s="26" t="b">
        <v>1</v>
      </c>
      <c r="F20" s="26" t="s">
        <v>633</v>
      </c>
      <c r="G20" s="26">
        <f t="shared" si="1"/>
        <v>55</v>
      </c>
      <c r="H20" s="26">
        <f t="shared" si="2"/>
        <v>22</v>
      </c>
      <c r="K20" s="68">
        <f t="shared" si="3"/>
        <v>19</v>
      </c>
      <c r="L20" s="66" t="s">
        <v>87</v>
      </c>
      <c r="M20" s="67" t="str">
        <f>IFERROR(__xludf.DUMMYFUNCTION("LET(
    txt,TRIM(SUBSTITUTE(L20,CHAR(160),""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)"),"building.furnace@1")</f>
        <v>building.furnace@1</v>
      </c>
      <c r="N20" s="67"/>
      <c r="O20" s="68">
        <f t="shared" si="4"/>
        <v>19</v>
      </c>
      <c r="P20" s="71" t="s">
        <v>124</v>
      </c>
      <c r="Q20" s="67" t="str">
        <f>IFERROR(__xludf.DUMMYFUNCTION("LET(
    txt,TRIM(SUBSTITUTE(P20,CHAR(160),""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)"),"building.pier@1")</f>
        <v>building.pier@1</v>
      </c>
      <c r="R20" s="67"/>
      <c r="S20" s="69"/>
      <c r="T20" s="67" t="s">
        <v>124</v>
      </c>
      <c r="U20" s="70" t="s">
        <v>125</v>
      </c>
    </row>
    <row r="21" ht="15.75" customHeight="1">
      <c r="A21" s="26" t="s">
        <v>131</v>
      </c>
      <c r="B21" s="26" t="s">
        <v>676</v>
      </c>
      <c r="C21" s="26" t="s">
        <v>626</v>
      </c>
      <c r="D21" s="26" t="str">
        <f>IFERROR(__xludf.DUMMYFUNCTION("IF(
 C21=""STATE"",
 UPPER(REGEXEXTRACT(A21,""^state\.([^_@]+)"")),
 """"
)"),"")</f>
        <v/>
      </c>
      <c r="E21" s="26" t="b">
        <v>1</v>
      </c>
      <c r="F21" s="26" t="s">
        <v>633</v>
      </c>
      <c r="G21" s="26">
        <f t="shared" si="1"/>
        <v>56</v>
      </c>
      <c r="H21" s="26">
        <f t="shared" si="2"/>
        <v>23</v>
      </c>
      <c r="K21" s="68">
        <f t="shared" si="3"/>
        <v>20</v>
      </c>
      <c r="L21" s="71" t="s">
        <v>91</v>
      </c>
      <c r="M21" s="67" t="str">
        <f>IFERROR(__xludf.DUMMYFUNCTION("LET(
    txt,TRIM(SUBSTITUTE(L21,CHAR(160),""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)"),"building.furnace@2")</f>
        <v>building.furnace@2</v>
      </c>
      <c r="N21" s="67"/>
      <c r="O21" s="68">
        <f t="shared" si="4"/>
        <v>20</v>
      </c>
      <c r="P21" s="66" t="s">
        <v>128</v>
      </c>
      <c r="Q21" s="67" t="str">
        <f>IFERROR(__xludf.DUMMYFUNCTION("LET(
    txt,TRIM(SUBSTITUTE(P21,CHAR(160),""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)"),"building.ship@1")</f>
        <v>building.ship@1</v>
      </c>
      <c r="R21" s="67"/>
      <c r="S21" s="69"/>
      <c r="T21" s="67" t="s">
        <v>128</v>
      </c>
      <c r="U21" s="67" t="s">
        <v>129</v>
      </c>
    </row>
    <row r="22" ht="15.75" customHeight="1">
      <c r="A22" s="26" t="s">
        <v>679</v>
      </c>
      <c r="B22" s="26" t="s">
        <v>680</v>
      </c>
      <c r="C22" s="26" t="s">
        <v>626</v>
      </c>
      <c r="D22" s="26" t="str">
        <f>IFERROR(__xludf.DUMMYFUNCTION("IF(
 C22=""STATE"",
 UPPER(REGEXEXTRACT(A22,""^state\.([^_@]+)"")),
 """"
)"),"")</f>
        <v/>
      </c>
      <c r="E22" s="26" t="b">
        <v>1</v>
      </c>
      <c r="F22" s="26" t="s">
        <v>628</v>
      </c>
      <c r="G22" s="26" t="str">
        <f t="shared" si="1"/>
        <v/>
      </c>
      <c r="H22" s="26" t="str">
        <f t="shared" si="2"/>
        <v/>
      </c>
      <c r="K22" s="68">
        <f t="shared" si="3"/>
        <v>21</v>
      </c>
      <c r="L22" s="66" t="s">
        <v>94</v>
      </c>
      <c r="M22" s="67" t="str">
        <f>IFERROR(__xludf.DUMMYFUNCTION("LET(
    txt,TRIM(SUBSTITUTE(L22,CHAR(160),""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)"),"building.dungeon@1")</f>
        <v>building.dungeon@1</v>
      </c>
      <c r="N22" s="67"/>
      <c r="O22" s="68">
        <f t="shared" si="4"/>
        <v>21</v>
      </c>
      <c r="P22" s="71" t="s">
        <v>133</v>
      </c>
      <c r="Q22" s="67" t="str">
        <f>IFERROR(__xludf.DUMMYFUNCTION("LET(
    txt,TRIM(SUBSTITUTE(P22,CHAR(160),""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)"),"building.ship@2")</f>
        <v>building.ship@2</v>
      </c>
      <c r="R22" s="67"/>
      <c r="S22" s="69"/>
      <c r="T22" s="70" t="s">
        <v>133</v>
      </c>
      <c r="U22" s="70" t="s">
        <v>134</v>
      </c>
    </row>
    <row r="23" ht="15.75" customHeight="1">
      <c r="A23" s="26" t="s">
        <v>138</v>
      </c>
      <c r="B23" s="26" t="s">
        <v>682</v>
      </c>
      <c r="C23" s="26" t="s">
        <v>626</v>
      </c>
      <c r="D23" s="26" t="str">
        <f>IFERROR(__xludf.DUMMYFUNCTION("IF(
 C23=""STATE"",
 UPPER(REGEXEXTRACT(A23,""^state\.([^_@]+)"")),
 """"
)"),"")</f>
        <v/>
      </c>
      <c r="E23" s="26" t="b">
        <v>1</v>
      </c>
      <c r="F23" s="26" t="s">
        <v>633</v>
      </c>
      <c r="G23" s="26">
        <f t="shared" si="1"/>
        <v>77</v>
      </c>
      <c r="H23" s="26">
        <f t="shared" si="2"/>
        <v>87</v>
      </c>
      <c r="K23" s="68">
        <f t="shared" si="3"/>
        <v>22</v>
      </c>
      <c r="L23" s="66" t="s">
        <v>135</v>
      </c>
      <c r="M23" s="67" t="str">
        <f>IFERROR(__xludf.DUMMYFUNCTION("LET(
    txt,TRIM(SUBSTITUTE(L23,CHAR(160),""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)"),"building.chicken@1")</f>
        <v>building.chicken@1</v>
      </c>
      <c r="N23" s="67"/>
      <c r="O23" s="68">
        <f t="shared" si="4"/>
        <v>22</v>
      </c>
      <c r="P23" s="71" t="s">
        <v>137</v>
      </c>
      <c r="Q23" s="67" t="str">
        <f>IFERROR(__xludf.DUMMYFUNCTION("LET(
    txt,TRIM(SUBSTITUTE(P23,CHAR(160),""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)"),"building.ship@3")</f>
        <v>building.ship@3</v>
      </c>
      <c r="R23" s="67"/>
      <c r="S23" s="69"/>
      <c r="T23" s="70" t="s">
        <v>137</v>
      </c>
      <c r="U23" s="70" t="s">
        <v>139</v>
      </c>
    </row>
    <row r="24" ht="15.75" customHeight="1">
      <c r="A24" s="26" t="s">
        <v>145</v>
      </c>
      <c r="B24" s="26" t="s">
        <v>684</v>
      </c>
      <c r="C24" s="26" t="s">
        <v>626</v>
      </c>
      <c r="D24" s="26" t="str">
        <f>IFERROR(__xludf.DUMMYFUNCTION("IF(
 C24=""STATE"",
 UPPER(REGEXEXTRACT(A24,""^state\.([^_@]+)"")),
 """"
)"),"")</f>
        <v/>
      </c>
      <c r="E24" s="26" t="b">
        <v>1</v>
      </c>
      <c r="F24" s="26" t="s">
        <v>633</v>
      </c>
      <c r="G24" s="26">
        <f t="shared" si="1"/>
        <v>78</v>
      </c>
      <c r="H24" s="26">
        <f t="shared" si="2"/>
        <v>88</v>
      </c>
      <c r="K24" s="68">
        <f t="shared" si="3"/>
        <v>23</v>
      </c>
      <c r="L24" s="71" t="s">
        <v>141</v>
      </c>
      <c r="M24" s="67" t="str">
        <f>IFERROR(__xludf.DUMMYFUNCTION("LET(
    txt,TRIM(SUBSTITUTE(L24,CHAR(160),""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)"),"building.chicken@2")</f>
        <v>building.chicken@2</v>
      </c>
      <c r="N24" s="67"/>
      <c r="O24" s="68">
        <f t="shared" si="4"/>
        <v>23</v>
      </c>
      <c r="P24" s="71" t="s">
        <v>142</v>
      </c>
      <c r="Q24" s="67" t="str">
        <f>IFERROR(__xludf.DUMMYFUNCTION("LET(
    txt,TRIM(SUBSTITUTE(P24,CHAR(160),""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)"),"building.guild@4")</f>
        <v>building.guild@4</v>
      </c>
      <c r="R24" s="67"/>
      <c r="S24" s="69"/>
      <c r="T24" s="70" t="s">
        <v>142</v>
      </c>
      <c r="U24" s="70" t="s">
        <v>143</v>
      </c>
    </row>
    <row r="25" ht="15.75" customHeight="1">
      <c r="A25" s="26" t="s">
        <v>687</v>
      </c>
      <c r="B25" s="26" t="s">
        <v>688</v>
      </c>
      <c r="C25" s="26" t="s">
        <v>626</v>
      </c>
      <c r="D25" s="26" t="str">
        <f>IFERROR(__xludf.DUMMYFUNCTION("IF(
 C25=""STATE"",
 UPPER(REGEXEXTRACT(A25,""^state\.([^_@]+)"")),
 """"
)"),"")</f>
        <v/>
      </c>
      <c r="E25" s="26" t="b">
        <v>1</v>
      </c>
      <c r="F25" s="26" t="s">
        <v>628</v>
      </c>
      <c r="G25" s="26" t="str">
        <f t="shared" si="1"/>
        <v/>
      </c>
      <c r="H25" s="26" t="str">
        <f t="shared" si="2"/>
        <v/>
      </c>
      <c r="K25" s="68">
        <f t="shared" si="3"/>
        <v>24</v>
      </c>
      <c r="L25" s="71" t="s">
        <v>120</v>
      </c>
      <c r="M25" s="67" t="str">
        <f>IFERROR(__xludf.DUMMYFUNCTION("LET(
    txt,TRIM(SUBSTITUTE(L25,CHAR(160),""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)"),"building.lumber@3")</f>
        <v>building.lumber@3</v>
      </c>
      <c r="N25" s="67"/>
      <c r="O25" s="68">
        <f t="shared" si="4"/>
        <v>24</v>
      </c>
      <c r="P25" s="71" t="s">
        <v>146</v>
      </c>
      <c r="Q25" s="67" t="str">
        <f>IFERROR(__xludf.DUMMYFUNCTION("LET(
    txt,TRIM(SUBSTITUTE(P25,CHAR(160),""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)"),"building.ship@4")</f>
        <v>building.ship@4</v>
      </c>
      <c r="R25" s="67"/>
      <c r="S25" s="69"/>
      <c r="T25" s="70" t="s">
        <v>146</v>
      </c>
      <c r="U25" s="72" t="s">
        <v>147</v>
      </c>
    </row>
    <row r="26" ht="15.75" customHeight="1">
      <c r="A26" s="26" t="s">
        <v>151</v>
      </c>
      <c r="B26" s="26" t="s">
        <v>690</v>
      </c>
      <c r="C26" s="26" t="s">
        <v>626</v>
      </c>
      <c r="D26" s="26" t="str">
        <f>IFERROR(__xludf.DUMMYFUNCTION("IF(
 C26=""STATE"",
 UPPER(REGEXEXTRACT(A26,""^state\.([^_@]+)"")),
 """"
)"),"")</f>
        <v/>
      </c>
      <c r="E26" s="26" t="b">
        <v>1</v>
      </c>
      <c r="F26" s="26" t="s">
        <v>633</v>
      </c>
      <c r="G26" s="26">
        <f t="shared" si="1"/>
        <v>12</v>
      </c>
      <c r="H26" s="26">
        <f t="shared" si="2"/>
        <v>21</v>
      </c>
      <c r="K26" s="68">
        <f t="shared" si="3"/>
        <v>25</v>
      </c>
      <c r="L26" s="66" t="s">
        <v>124</v>
      </c>
      <c r="M26" s="67" t="str">
        <f>IFERROR(__xludf.DUMMYFUNCTION("LET(
    txt,TRIM(SUBSTITUTE(L26,CHAR(160),""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)"),"building.pier@1")</f>
        <v>building.pier@1</v>
      </c>
      <c r="N26" s="67"/>
      <c r="O26" s="68">
        <f t="shared" si="4"/>
        <v>25</v>
      </c>
      <c r="P26" s="66" t="s">
        <v>148</v>
      </c>
      <c r="Q26" s="67" t="str">
        <f>IFERROR(__xludf.DUMMYFUNCTION("LET(
    txt,TRIM(SUBSTITUTE(P26,CHAR(160),""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)"),"building.food_stall@2")</f>
        <v>building.food_stall@2</v>
      </c>
      <c r="R26" s="67"/>
      <c r="S26" s="69"/>
      <c r="T26" s="70" t="s">
        <v>148</v>
      </c>
      <c r="U26" s="72" t="s">
        <v>149</v>
      </c>
    </row>
    <row r="27" ht="15.75" customHeight="1">
      <c r="A27" s="26" t="s">
        <v>159</v>
      </c>
      <c r="B27" s="26" t="s">
        <v>692</v>
      </c>
      <c r="C27" s="26" t="s">
        <v>626</v>
      </c>
      <c r="D27" s="26" t="str">
        <f>IFERROR(__xludf.DUMMYFUNCTION("IF(
 C27=""STATE"",
 UPPER(REGEXEXTRACT(A27,""^state\.([^_@]+)"")),
 """"
)"),"")</f>
        <v/>
      </c>
      <c r="E27" s="26" t="b">
        <v>1</v>
      </c>
      <c r="F27" s="26" t="s">
        <v>633</v>
      </c>
      <c r="G27" s="26">
        <f t="shared" si="1"/>
        <v>16</v>
      </c>
      <c r="H27" s="26">
        <f t="shared" si="2"/>
        <v>31</v>
      </c>
      <c r="K27" s="68">
        <f t="shared" si="3"/>
        <v>26</v>
      </c>
      <c r="L27" s="66" t="s">
        <v>128</v>
      </c>
      <c r="M27" s="67" t="str">
        <f>IFERROR(__xludf.DUMMYFUNCTION("LET(
    txt,TRIM(SUBSTITUTE(L27,CHAR(160),""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)"),"building.ship@1")</f>
        <v>building.ship@1</v>
      </c>
      <c r="N27" s="67"/>
      <c r="O27" s="68">
        <f t="shared" si="4"/>
        <v>26</v>
      </c>
      <c r="P27" s="71" t="s">
        <v>153</v>
      </c>
      <c r="Q27" s="67" t="str">
        <f>IFERROR(__xludf.DUMMYFUNCTION("LET(
    txt,TRIM(SUBSTITUTE(P27,CHAR(160),""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)"),"building.food_stall@3")</f>
        <v>building.food_stall@3</v>
      </c>
      <c r="R27" s="67"/>
      <c r="S27" s="69"/>
      <c r="T27" s="70" t="s">
        <v>153</v>
      </c>
      <c r="U27" s="72" t="s">
        <v>154</v>
      </c>
    </row>
    <row r="28" ht="15.75" customHeight="1">
      <c r="A28" s="26" t="s">
        <v>165</v>
      </c>
      <c r="B28" s="26" t="s">
        <v>694</v>
      </c>
      <c r="C28" s="26" t="s">
        <v>626</v>
      </c>
      <c r="D28" s="26" t="str">
        <f>IFERROR(__xludf.DUMMYFUNCTION("IF(
 C28=""STATE"",
 UPPER(REGEXEXTRACT(A28,""^state\.([^_@]+)"")),
 """"
)"),"")</f>
        <v/>
      </c>
      <c r="E28" s="26" t="b">
        <v>1</v>
      </c>
      <c r="F28" s="26" t="s">
        <v>633</v>
      </c>
      <c r="G28" s="26">
        <f t="shared" si="1"/>
        <v>43</v>
      </c>
      <c r="H28" s="26">
        <f t="shared" si="2"/>
        <v>53</v>
      </c>
      <c r="K28" s="68">
        <f t="shared" si="3"/>
        <v>27</v>
      </c>
      <c r="L28" s="71" t="s">
        <v>133</v>
      </c>
      <c r="M28" s="67" t="str">
        <f>IFERROR(__xludf.DUMMYFUNCTION("LET(
    txt,TRIM(SUBSTITUTE(L28,CHAR(160),""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)"),"building.ship@2")</f>
        <v>building.ship@2</v>
      </c>
      <c r="N28" s="67"/>
      <c r="O28" s="68">
        <f t="shared" si="4"/>
        <v>27</v>
      </c>
      <c r="P28" s="71" t="s">
        <v>156</v>
      </c>
      <c r="Q28" s="67" t="str">
        <f>IFERROR(__xludf.DUMMYFUNCTION("LET(
    txt,TRIM(SUBSTITUTE(P28,CHAR(160),""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)"),"building.bridge@1")</f>
        <v>building.bridge@1</v>
      </c>
      <c r="R28" s="67"/>
      <c r="S28" s="69"/>
      <c r="T28" s="67" t="s">
        <v>156</v>
      </c>
      <c r="U28" s="72" t="s">
        <v>157</v>
      </c>
    </row>
    <row r="29" ht="15.75" customHeight="1">
      <c r="A29" s="26" t="s">
        <v>172</v>
      </c>
      <c r="B29" s="26" t="s">
        <v>697</v>
      </c>
      <c r="C29" s="26" t="s">
        <v>626</v>
      </c>
      <c r="D29" s="26" t="str">
        <f>IFERROR(__xludf.DUMMYFUNCTION("IF(
 C29=""STATE"",
 UPPER(REGEXEXTRACT(A29,""^state\.([^_@]+)"")),
 """"
)"),"")</f>
        <v/>
      </c>
      <c r="E29" s="26" t="b">
        <v>1</v>
      </c>
      <c r="F29" s="26" t="s">
        <v>633</v>
      </c>
      <c r="G29" s="26">
        <f t="shared" si="1"/>
        <v>64</v>
      </c>
      <c r="H29" s="26">
        <f t="shared" si="2"/>
        <v>67</v>
      </c>
      <c r="K29" s="68">
        <f t="shared" si="3"/>
        <v>28</v>
      </c>
      <c r="L29" s="71" t="s">
        <v>137</v>
      </c>
      <c r="M29" s="67" t="str">
        <f>IFERROR(__xludf.DUMMYFUNCTION("LET(
    txt,TRIM(SUBSTITUTE(L29,CHAR(160),""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)"),"building.ship@3")</f>
        <v>building.ship@3</v>
      </c>
      <c r="N29" s="67"/>
      <c r="O29" s="68">
        <f t="shared" si="4"/>
        <v>28</v>
      </c>
      <c r="P29" s="71" t="s">
        <v>160</v>
      </c>
      <c r="Q29" s="67" t="str">
        <f>IFERROR(__xludf.DUMMYFUNCTION("LET(
    txt,TRIM(SUBSTITUTE(P29,CHAR(160),""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)"),"building.outpost@1")</f>
        <v>building.outpost@1</v>
      </c>
      <c r="R29" s="67"/>
      <c r="S29" s="69"/>
      <c r="T29" s="67" t="s">
        <v>160</v>
      </c>
      <c r="U29" s="67" t="s">
        <v>161</v>
      </c>
    </row>
    <row r="30" ht="15.75" customHeight="1">
      <c r="A30" s="26" t="s">
        <v>177</v>
      </c>
      <c r="B30" s="26" t="s">
        <v>699</v>
      </c>
      <c r="C30" s="26" t="s">
        <v>626</v>
      </c>
      <c r="D30" s="26" t="str">
        <f>IFERROR(__xludf.DUMMYFUNCTION("IF(
 C30=""STATE"",
 UPPER(REGEXEXTRACT(A30,""^state\.([^_@]+)"")),
 """"
)"),"")</f>
        <v/>
      </c>
      <c r="E30" s="26" t="b">
        <v>1</v>
      </c>
      <c r="F30" s="26" t="s">
        <v>633</v>
      </c>
      <c r="G30" s="26">
        <f t="shared" si="1"/>
        <v>65</v>
      </c>
      <c r="H30" s="26">
        <f t="shared" si="2"/>
        <v>68</v>
      </c>
      <c r="K30" s="68">
        <f t="shared" si="3"/>
        <v>29</v>
      </c>
      <c r="L30" s="71" t="s">
        <v>142</v>
      </c>
      <c r="M30" s="67" t="str">
        <f>IFERROR(__xludf.DUMMYFUNCTION("LET(
    txt,TRIM(SUBSTITUTE(L30,CHAR(160),""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)"),"building.guild@4")</f>
        <v>building.guild@4</v>
      </c>
      <c r="N30" s="67"/>
      <c r="O30" s="68">
        <f t="shared" si="4"/>
        <v>29</v>
      </c>
      <c r="P30" s="71" t="s">
        <v>163</v>
      </c>
      <c r="Q30" s="67" t="str">
        <f>IFERROR(__xludf.DUMMYFUNCTION("LET(
    txt,TRIM(SUBSTITUTE(P30,CHAR(160),""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)"),"building.guild@5")</f>
        <v>building.guild@5</v>
      </c>
      <c r="R30" s="67"/>
      <c r="S30" s="69"/>
      <c r="T30" s="70" t="s">
        <v>163</v>
      </c>
      <c r="U30" s="67" t="s">
        <v>164</v>
      </c>
    </row>
    <row r="31" ht="15.75" customHeight="1">
      <c r="A31" s="26" t="s">
        <v>182</v>
      </c>
      <c r="B31" s="26" t="s">
        <v>702</v>
      </c>
      <c r="C31" s="26" t="s">
        <v>626</v>
      </c>
      <c r="D31" s="26" t="str">
        <f>IFERROR(__xludf.DUMMYFUNCTION("IF(
 C31=""STATE"",
 UPPER(REGEXEXTRACT(A31,""^state\.([^_@]+)"")),
 """"
)"),"")</f>
        <v/>
      </c>
      <c r="E31" s="26" t="b">
        <v>1</v>
      </c>
      <c r="F31" s="26" t="s">
        <v>633</v>
      </c>
      <c r="G31" s="26" t="str">
        <f t="shared" si="1"/>
        <v>#N/A</v>
      </c>
      <c r="H31" s="26" t="str">
        <f t="shared" si="2"/>
        <v>#N/A</v>
      </c>
      <c r="K31" s="68">
        <f t="shared" si="3"/>
        <v>30</v>
      </c>
      <c r="L31" s="71" t="s">
        <v>163</v>
      </c>
      <c r="M31" s="67" t="str">
        <f>IFERROR(__xludf.DUMMYFUNCTION("LET(
    txt,TRIM(SUBSTITUTE(L31,CHAR(160),""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)"),"building.guild@5")</f>
        <v>building.guild@5</v>
      </c>
      <c r="N31" s="67"/>
      <c r="O31" s="68">
        <f t="shared" si="4"/>
        <v>30</v>
      </c>
      <c r="P31" s="71" t="s">
        <v>166</v>
      </c>
      <c r="Q31" s="67" t="str">
        <f>IFERROR(__xludf.DUMMYFUNCTION("LET(
    txt,TRIM(SUBSTITUTE(P31,CHAR(160),""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)"),"building.workshop@1")</f>
        <v>building.workshop@1</v>
      </c>
      <c r="R31" s="67"/>
      <c r="S31" s="69"/>
      <c r="T31" s="67" t="s">
        <v>166</v>
      </c>
      <c r="U31" s="70" t="s">
        <v>167</v>
      </c>
    </row>
    <row r="32" ht="15.75" customHeight="1">
      <c r="A32" s="26" t="s">
        <v>705</v>
      </c>
      <c r="B32" s="26" t="s">
        <v>706</v>
      </c>
      <c r="C32" s="26" t="s">
        <v>626</v>
      </c>
      <c r="D32" s="26" t="str">
        <f>IFERROR(__xludf.DUMMYFUNCTION("IF(
 C32=""STATE"",
 UPPER(REGEXEXTRACT(A32,""^state\.([^_@]+)"")),
 """"
)"),"")</f>
        <v/>
      </c>
      <c r="E32" s="26" t="b">
        <v>1</v>
      </c>
      <c r="F32" s="26" t="s">
        <v>628</v>
      </c>
      <c r="G32" s="26" t="str">
        <f t="shared" si="1"/>
        <v/>
      </c>
      <c r="H32" s="26" t="str">
        <f t="shared" si="2"/>
        <v/>
      </c>
      <c r="K32" s="68">
        <f t="shared" si="3"/>
        <v>31</v>
      </c>
      <c r="L32" s="71" t="s">
        <v>114</v>
      </c>
      <c r="M32" s="67" t="str">
        <f>IFERROR(__xludf.DUMMYFUNCTION("LET(
    txt,TRIM(SUBSTITUTE(L32,CHAR(160),""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)"),"building.dungeon@2")</f>
        <v>building.dungeon@2</v>
      </c>
      <c r="N32" s="67"/>
      <c r="O32" s="68">
        <f t="shared" si="4"/>
        <v>31</v>
      </c>
      <c r="P32" s="66" t="s">
        <v>169</v>
      </c>
      <c r="Q32" s="67" t="str">
        <f>IFERROR(__xludf.DUMMYFUNCTION("LET(
    txt,TRIM(SUBSTITUTE(P32,CHAR(160),""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)"),"building.workshop@2")</f>
        <v>building.workshop@2</v>
      </c>
      <c r="R32" s="67"/>
      <c r="S32" s="69"/>
      <c r="T32" s="70" t="s">
        <v>169</v>
      </c>
      <c r="U32" s="70" t="s">
        <v>170</v>
      </c>
    </row>
    <row r="33" ht="15.75" customHeight="1">
      <c r="A33" s="26" t="s">
        <v>188</v>
      </c>
      <c r="B33" s="26" t="s">
        <v>708</v>
      </c>
      <c r="C33" s="26" t="s">
        <v>626</v>
      </c>
      <c r="D33" s="26" t="str">
        <f>IFERROR(__xludf.DUMMYFUNCTION("IF(
 C33=""STATE"",
 UPPER(REGEXEXTRACT(A33,""^state\.([^_@]+)"")),
 """"
)"),"")</f>
        <v/>
      </c>
      <c r="E33" s="26" t="b">
        <v>1</v>
      </c>
      <c r="F33" s="26" t="s">
        <v>633</v>
      </c>
      <c r="G33" s="26">
        <f t="shared" si="1"/>
        <v>72</v>
      </c>
      <c r="H33" s="26">
        <f t="shared" si="2"/>
        <v>82</v>
      </c>
      <c r="K33" s="68">
        <f t="shared" si="3"/>
        <v>32</v>
      </c>
      <c r="L33" s="71" t="s">
        <v>110</v>
      </c>
      <c r="M33" s="67" t="str">
        <f>IFERROR(__xludf.DUMMYFUNCTION("LET(
    txt,TRIM(SUBSTITUTE(L33,CHAR(160),""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)"),"building.windmill@2")</f>
        <v>building.windmill@2</v>
      </c>
      <c r="N33" s="67"/>
      <c r="O33" s="68">
        <f t="shared" si="4"/>
        <v>32</v>
      </c>
      <c r="P33" s="71" t="s">
        <v>173</v>
      </c>
      <c r="Q33" s="67" t="str">
        <f>IFERROR(__xludf.DUMMYFUNCTION("LET(
    txt,TRIM(SUBSTITUTE(P33,CHAR(160),""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)"),"building.workshop@3")</f>
        <v>building.workshop@3</v>
      </c>
      <c r="R33" s="67"/>
      <c r="S33" s="69"/>
      <c r="T33" s="70" t="s">
        <v>173</v>
      </c>
      <c r="U33" s="70" t="s">
        <v>174</v>
      </c>
    </row>
    <row r="34" ht="15.75" customHeight="1">
      <c r="A34" s="26" t="s">
        <v>195</v>
      </c>
      <c r="B34" s="26" t="s">
        <v>712</v>
      </c>
      <c r="C34" s="26" t="s">
        <v>626</v>
      </c>
      <c r="D34" s="26" t="str">
        <f>IFERROR(__xludf.DUMMYFUNCTION("IF(
 C34=""STATE"",
 UPPER(REGEXEXTRACT(A34,""^state\.([^_@]+)"")),
 """"
)"),"")</f>
        <v/>
      </c>
      <c r="E34" s="26" t="b">
        <v>1</v>
      </c>
      <c r="F34" s="26" t="s">
        <v>633</v>
      </c>
      <c r="G34" s="26">
        <f t="shared" si="1"/>
        <v>73</v>
      </c>
      <c r="H34" s="26">
        <f t="shared" si="2"/>
        <v>83</v>
      </c>
      <c r="K34" s="68">
        <f t="shared" si="3"/>
        <v>33</v>
      </c>
      <c r="L34" s="71" t="s">
        <v>148</v>
      </c>
      <c r="M34" s="67" t="str">
        <f>IFERROR(__xludf.DUMMYFUNCTION("LET(
    txt,TRIM(SUBSTITUTE(L34,CHAR(160),""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)"),"building.food_stall@2")</f>
        <v>building.food_stall@2</v>
      </c>
      <c r="N34" s="67"/>
      <c r="O34" s="68">
        <f t="shared" si="4"/>
        <v>33</v>
      </c>
      <c r="P34" s="66" t="s">
        <v>176</v>
      </c>
      <c r="Q34" s="67" t="str">
        <f>IFERROR(__xludf.DUMMYFUNCTION("LET(
    txt,TRIM(SUBSTITUTE(P34,CHAR(160),""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)"),"building.workshop@4")</f>
        <v>building.workshop@4</v>
      </c>
      <c r="R34" s="67"/>
      <c r="S34" s="69"/>
      <c r="T34" s="70" t="s">
        <v>176</v>
      </c>
      <c r="U34" s="72" t="s">
        <v>178</v>
      </c>
    </row>
    <row r="35" ht="15.75" customHeight="1">
      <c r="A35" s="26" t="s">
        <v>199</v>
      </c>
      <c r="B35" s="26" t="s">
        <v>714</v>
      </c>
      <c r="C35" s="26" t="s">
        <v>626</v>
      </c>
      <c r="D35" s="26" t="str">
        <f>IFERROR(__xludf.DUMMYFUNCTION("IF(
 C35=""STATE"",
 UPPER(REGEXEXTRACT(A35,""^state\.([^_@]+)"")),
 """"
)"),"")</f>
        <v/>
      </c>
      <c r="E35" s="26" t="b">
        <v>1</v>
      </c>
      <c r="F35" s="26" t="s">
        <v>633</v>
      </c>
      <c r="G35" s="26">
        <f t="shared" si="1"/>
        <v>74</v>
      </c>
      <c r="H35" s="26">
        <f t="shared" si="2"/>
        <v>84</v>
      </c>
      <c r="K35" s="68">
        <f t="shared" si="3"/>
        <v>34</v>
      </c>
      <c r="L35" s="71" t="s">
        <v>153</v>
      </c>
      <c r="M35" s="67" t="str">
        <f>IFERROR(__xludf.DUMMYFUNCTION("LET(
    txt,TRIM(SUBSTITUTE(L35,CHAR(160),""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)"),"building.food_stall@3")</f>
        <v>building.food_stall@3</v>
      </c>
      <c r="N35" s="67"/>
      <c r="O35" s="68">
        <f t="shared" si="4"/>
        <v>34</v>
      </c>
      <c r="P35" s="71" t="s">
        <v>180</v>
      </c>
      <c r="Q35" s="67" t="str">
        <f>IFERROR(__xludf.DUMMYFUNCTION("LET(
    txt,TRIM(SUBSTITUTE(P35,CHAR(160),""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)"),"building.workshop@5")</f>
        <v>building.workshop@5</v>
      </c>
      <c r="R35" s="67"/>
      <c r="S35" s="69"/>
      <c r="T35" s="70" t="s">
        <v>180</v>
      </c>
      <c r="U35" s="72" t="s">
        <v>181</v>
      </c>
    </row>
    <row r="36" ht="15.75" customHeight="1">
      <c r="A36" s="26" t="s">
        <v>205</v>
      </c>
      <c r="B36" s="26" t="s">
        <v>717</v>
      </c>
      <c r="C36" s="26" t="s">
        <v>626</v>
      </c>
      <c r="D36" s="26" t="str">
        <f>IFERROR(__xludf.DUMMYFUNCTION("IF(
 C36=""STATE"",
 UPPER(REGEXEXTRACT(A36,""^state\.([^_@]+)"")),
 """"
)"),"")</f>
        <v/>
      </c>
      <c r="E36" s="26" t="b">
        <v>1</v>
      </c>
      <c r="F36" s="26" t="s">
        <v>633</v>
      </c>
      <c r="G36" s="26">
        <f t="shared" si="1"/>
        <v>79</v>
      </c>
      <c r="H36" s="26">
        <f t="shared" si="2"/>
        <v>89</v>
      </c>
      <c r="K36" s="68">
        <f t="shared" si="3"/>
        <v>35</v>
      </c>
      <c r="L36" s="66" t="s">
        <v>156</v>
      </c>
      <c r="M36" s="67" t="str">
        <f>IFERROR(__xludf.DUMMYFUNCTION("LET(
    txt,TRIM(SUBSTITUTE(L36,CHAR(160),""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)"),"building.bridge@1")</f>
        <v>building.bridge@1</v>
      </c>
      <c r="N36" s="67"/>
      <c r="O36" s="68">
        <f t="shared" si="4"/>
        <v>35</v>
      </c>
      <c r="P36" s="71" t="s">
        <v>183</v>
      </c>
      <c r="Q36" s="67" t="str">
        <f>IFERROR(__xludf.DUMMYFUNCTION("LET(
    txt,TRIM(SUBSTITUTE(P36,CHAR(160),""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)"),"building.outpost@2")</f>
        <v>building.outpost@2</v>
      </c>
      <c r="R36" s="67"/>
      <c r="S36" s="69"/>
      <c r="T36" s="70" t="s">
        <v>183</v>
      </c>
      <c r="U36" s="70" t="s">
        <v>184</v>
      </c>
    </row>
    <row r="37" ht="15.75" customHeight="1">
      <c r="A37" s="26" t="s">
        <v>208</v>
      </c>
      <c r="B37" s="26" t="s">
        <v>720</v>
      </c>
      <c r="C37" s="26" t="s">
        <v>626</v>
      </c>
      <c r="D37" s="26" t="str">
        <f>IFERROR(__xludf.DUMMYFUNCTION("IF(
 C37=""STATE"",
 UPPER(REGEXEXTRACT(A37,""^state\.([^_@]+)"")),
 """"
)"),"")</f>
        <v/>
      </c>
      <c r="E37" s="26" t="b">
        <v>1</v>
      </c>
      <c r="F37" s="26" t="s">
        <v>633</v>
      </c>
      <c r="G37" s="26">
        <f t="shared" si="1"/>
        <v>80</v>
      </c>
      <c r="H37" s="26">
        <f t="shared" si="2"/>
        <v>90</v>
      </c>
      <c r="K37" s="68">
        <f t="shared" si="3"/>
        <v>36</v>
      </c>
      <c r="L37" s="66" t="s">
        <v>160</v>
      </c>
      <c r="M37" s="67" t="str">
        <f>IFERROR(__xludf.DUMMYFUNCTION("LET(
    txt,TRIM(SUBSTITUTE(L37,CHAR(160),""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)"),"building.outpost@1")</f>
        <v>building.outpost@1</v>
      </c>
      <c r="N37" s="67"/>
      <c r="O37" s="68">
        <f t="shared" si="4"/>
        <v>36</v>
      </c>
      <c r="P37" s="66" t="s">
        <v>189</v>
      </c>
      <c r="Q37" s="67" t="str">
        <f>IFERROR(__xludf.DUMMYFUNCTION("LET(
    txt,TRIM(SUBSTITUTE(P37,CHAR(160),""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)"),"building.caravan@1")</f>
        <v>building.caravan@1</v>
      </c>
      <c r="R37" s="67"/>
      <c r="S37" s="69"/>
      <c r="T37" s="67" t="s">
        <v>189</v>
      </c>
      <c r="U37" s="72" t="s">
        <v>190</v>
      </c>
    </row>
    <row r="38" ht="15.75" customHeight="1">
      <c r="A38" s="26" t="s">
        <v>214</v>
      </c>
      <c r="B38" s="26" t="s">
        <v>721</v>
      </c>
      <c r="C38" s="26" t="s">
        <v>626</v>
      </c>
      <c r="D38" s="26" t="str">
        <f>IFERROR(__xludf.DUMMYFUNCTION("IF(
 C38=""STATE"",
 UPPER(REGEXEXTRACT(A38,""^state\.([^_@]+)"")),
 """"
)"),"")</f>
        <v/>
      </c>
      <c r="E38" s="26" t="b">
        <v>1</v>
      </c>
      <c r="F38" s="26" t="s">
        <v>633</v>
      </c>
      <c r="G38" s="26">
        <f t="shared" si="1"/>
        <v>81</v>
      </c>
      <c r="H38" s="26">
        <f t="shared" si="2"/>
        <v>91</v>
      </c>
      <c r="K38" s="68">
        <f t="shared" si="3"/>
        <v>37</v>
      </c>
      <c r="L38" s="66" t="s">
        <v>724</v>
      </c>
      <c r="M38" s="67" t="str">
        <f>IFERROR(__xludf.DUMMYFUNCTION("LET(
    txt,TRIM(SUBSTITUTE(L38,CHAR(160),""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)"),"building.bonsai@1")</f>
        <v>building.bonsai@1</v>
      </c>
      <c r="N38" s="67"/>
      <c r="O38" s="68">
        <f t="shared" si="4"/>
        <v>37</v>
      </c>
      <c r="P38" s="71" t="s">
        <v>192</v>
      </c>
      <c r="Q38" s="67" t="str">
        <f>IFERROR(__xludf.DUMMYFUNCTION("LET(
    txt,TRIM(SUBSTITUTE(P38,CHAR(160),""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)"),"building.caravan@2")</f>
        <v>building.caravan@2</v>
      </c>
      <c r="R38" s="67"/>
      <c r="S38" s="69"/>
      <c r="T38" s="70" t="s">
        <v>192</v>
      </c>
      <c r="U38" s="70" t="s">
        <v>193</v>
      </c>
    </row>
    <row r="39" ht="15.75" customHeight="1">
      <c r="A39" s="26" t="s">
        <v>725</v>
      </c>
      <c r="B39" s="26" t="s">
        <v>726</v>
      </c>
      <c r="C39" s="26" t="s">
        <v>626</v>
      </c>
      <c r="D39" s="26" t="str">
        <f>IFERROR(__xludf.DUMMYFUNCTION("IF(
 C39=""STATE"",
 UPPER(REGEXEXTRACT(A39,""^state\.([^_@]+)"")),
 """"
)"),"")</f>
        <v/>
      </c>
      <c r="E39" s="26" t="b">
        <v>1</v>
      </c>
      <c r="F39" s="26" t="s">
        <v>628</v>
      </c>
      <c r="G39" s="26" t="str">
        <f t="shared" si="1"/>
        <v/>
      </c>
      <c r="H39" s="26" t="str">
        <f t="shared" si="2"/>
        <v/>
      </c>
      <c r="K39" s="68">
        <f t="shared" si="3"/>
        <v>38</v>
      </c>
      <c r="L39" s="66" t="s">
        <v>728</v>
      </c>
      <c r="M39" s="67" t="str">
        <f>IFERROR(__xludf.DUMMYFUNCTION("LET(
    txt,TRIM(SUBSTITUTE(L39,CHAR(160),""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)"),"building.bonsai@2")</f>
        <v>building.bonsai@2</v>
      </c>
      <c r="N39" s="67"/>
      <c r="O39" s="68">
        <f t="shared" si="4"/>
        <v>38</v>
      </c>
      <c r="P39" s="71" t="s">
        <v>197</v>
      </c>
      <c r="Q39" s="67" t="str">
        <f>IFERROR(__xludf.DUMMYFUNCTION("LET(
    txt,TRIM(SUBSTITUTE(P39,CHAR(160),""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)"),"building.caravan@3")</f>
        <v>building.caravan@3</v>
      </c>
      <c r="R39" s="67"/>
      <c r="S39" s="69"/>
      <c r="T39" s="70" t="s">
        <v>197</v>
      </c>
      <c r="U39" s="70" t="s">
        <v>193</v>
      </c>
    </row>
    <row r="40" ht="15.75" customHeight="1">
      <c r="A40" s="26" t="s">
        <v>219</v>
      </c>
      <c r="B40" s="26" t="s">
        <v>729</v>
      </c>
      <c r="C40" s="26" t="s">
        <v>626</v>
      </c>
      <c r="D40" s="26" t="str">
        <f>IFERROR(__xludf.DUMMYFUNCTION("IF(
 C40=""STATE"",
 UPPER(REGEXEXTRACT(A40,""^state\.([^_@]+)"")),
 """"
)"),"")</f>
        <v/>
      </c>
      <c r="E40" s="26" t="b">
        <v>1</v>
      </c>
      <c r="F40" s="26" t="s">
        <v>633</v>
      </c>
      <c r="G40" s="26">
        <f t="shared" si="1"/>
        <v>6</v>
      </c>
      <c r="H40" s="26">
        <f t="shared" si="2"/>
        <v>6</v>
      </c>
      <c r="K40" s="68">
        <f t="shared" si="3"/>
        <v>39</v>
      </c>
      <c r="L40" s="66" t="s">
        <v>198</v>
      </c>
      <c r="M40" s="67" t="str">
        <f>IFERROR(__xludf.DUMMYFUNCTION("LET(
    txt,TRIM(SUBSTITUTE(L40,CHAR(160),""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)"),"building.onsen@1")</f>
        <v>building.onsen@1</v>
      </c>
      <c r="N40" s="67"/>
      <c r="O40" s="68">
        <f t="shared" si="4"/>
        <v>39</v>
      </c>
      <c r="P40" s="66" t="s">
        <v>200</v>
      </c>
      <c r="Q40" s="67" t="str">
        <f>IFERROR(__xludf.DUMMYFUNCTION("LET(
    txt,TRIM(SUBSTITUTE(P40,CHAR(160),""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)"),"building.caravan@4")</f>
        <v>building.caravan@4</v>
      </c>
      <c r="R40" s="67"/>
      <c r="S40" s="69"/>
      <c r="T40" s="70" t="s">
        <v>200</v>
      </c>
      <c r="U40" s="70" t="s">
        <v>193</v>
      </c>
    </row>
    <row r="41" ht="15.75" customHeight="1">
      <c r="A41" s="26" t="s">
        <v>225</v>
      </c>
      <c r="B41" s="26" t="s">
        <v>732</v>
      </c>
      <c r="C41" s="26" t="s">
        <v>626</v>
      </c>
      <c r="D41" s="26" t="str">
        <f>IFERROR(__xludf.DUMMYFUNCTION("IF(
 C41=""STATE"",
 UPPER(REGEXEXTRACT(A41,""^state\.([^_@]+)"")),
 """"
)"),"")</f>
        <v/>
      </c>
      <c r="E41" s="26" t="b">
        <v>1</v>
      </c>
      <c r="F41" s="26" t="s">
        <v>633</v>
      </c>
      <c r="G41" s="26">
        <f t="shared" si="1"/>
        <v>8</v>
      </c>
      <c r="H41" s="26">
        <f t="shared" si="2"/>
        <v>17</v>
      </c>
      <c r="K41" s="68">
        <f t="shared" si="3"/>
        <v>40</v>
      </c>
      <c r="L41" s="71" t="s">
        <v>201</v>
      </c>
      <c r="M41" s="67" t="str">
        <f>IFERROR(__xludf.DUMMYFUNCTION("LET(
    txt,TRIM(SUBSTITUTE(L41,CHAR(160),""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)"),"building.onsen@2")</f>
        <v>building.onsen@2</v>
      </c>
      <c r="N41" s="67"/>
      <c r="O41" s="68">
        <f t="shared" si="4"/>
        <v>40</v>
      </c>
      <c r="P41" s="71" t="s">
        <v>203</v>
      </c>
      <c r="Q41" s="67" t="str">
        <f>IFERROR(__xludf.DUMMYFUNCTION("LET(
    txt,TRIM(SUBSTITUTE(P41,CHAR(160),""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)"),"building.smithy@1")</f>
        <v>building.smithy@1</v>
      </c>
      <c r="R41" s="67"/>
      <c r="S41" s="69"/>
      <c r="T41" s="67" t="s">
        <v>203</v>
      </c>
      <c r="U41" s="70" t="s">
        <v>204</v>
      </c>
    </row>
    <row r="42" ht="15.75" customHeight="1">
      <c r="A42" s="26" t="s">
        <v>734</v>
      </c>
      <c r="B42" s="26" t="s">
        <v>736</v>
      </c>
      <c r="C42" s="26" t="s">
        <v>626</v>
      </c>
      <c r="D42" s="26" t="str">
        <f>IFERROR(__xludf.DUMMYFUNCTION("IF(
 C42=""STATE"",
 UPPER(REGEXEXTRACT(A42,""^state\.([^_@]+)"")),
 """"
)"),"")</f>
        <v/>
      </c>
      <c r="E42" s="26" t="b">
        <v>1</v>
      </c>
      <c r="F42" s="26" t="s">
        <v>628</v>
      </c>
      <c r="G42" s="26" t="str">
        <f t="shared" si="1"/>
        <v/>
      </c>
      <c r="H42" s="26" t="str">
        <f t="shared" si="2"/>
        <v/>
      </c>
      <c r="K42" s="68">
        <f t="shared" si="3"/>
        <v>41</v>
      </c>
      <c r="L42" s="66" t="s">
        <v>166</v>
      </c>
      <c r="M42" s="67" t="str">
        <f>IFERROR(__xludf.DUMMYFUNCTION("LET(
    txt,TRIM(SUBSTITUTE(L42,CHAR(160),""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)"),"building.workshop@1")</f>
        <v>building.workshop@1</v>
      </c>
      <c r="N42" s="67"/>
      <c r="O42" s="68">
        <f t="shared" si="4"/>
        <v>41</v>
      </c>
      <c r="P42" s="71" t="s">
        <v>206</v>
      </c>
      <c r="Q42" s="67" t="str">
        <f>IFERROR(__xludf.DUMMYFUNCTION("LET(
    txt,TRIM(SUBSTITUTE(P42,CHAR(160),""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)"),"building.smithy@2")</f>
        <v>building.smithy@2</v>
      </c>
      <c r="R42" s="67"/>
      <c r="S42" s="69"/>
      <c r="T42" s="70" t="s">
        <v>206</v>
      </c>
      <c r="U42" s="70" t="s">
        <v>207</v>
      </c>
    </row>
    <row r="43" ht="15.75" customHeight="1">
      <c r="A43" s="26" t="s">
        <v>230</v>
      </c>
      <c r="B43" s="26" t="s">
        <v>737</v>
      </c>
      <c r="C43" s="26" t="s">
        <v>626</v>
      </c>
      <c r="D43" s="26" t="str">
        <f>IFERROR(__xludf.DUMMYFUNCTION("IF(
 C43=""STATE"",
 UPPER(REGEXEXTRACT(A43,""^state\.([^_@]+)"")),
 """"
)"),"")</f>
        <v/>
      </c>
      <c r="E43" s="26" t="b">
        <v>1</v>
      </c>
      <c r="F43" s="26" t="s">
        <v>633</v>
      </c>
      <c r="G43" s="26">
        <f t="shared" si="1"/>
        <v>7</v>
      </c>
      <c r="H43" s="26">
        <f t="shared" si="2"/>
        <v>16</v>
      </c>
      <c r="K43" s="68">
        <f t="shared" si="3"/>
        <v>42</v>
      </c>
      <c r="L43" s="71" t="s">
        <v>169</v>
      </c>
      <c r="M43" s="67" t="str">
        <f>IFERROR(__xludf.DUMMYFUNCTION("LET(
    txt,TRIM(SUBSTITUTE(L43,CHAR(160),""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)"),"building.workshop@2")</f>
        <v>building.workshop@2</v>
      </c>
      <c r="N43" s="67"/>
      <c r="O43" s="68">
        <f t="shared" si="4"/>
        <v>42</v>
      </c>
      <c r="P43" s="66" t="s">
        <v>209</v>
      </c>
      <c r="Q43" s="67" t="str">
        <f>IFERROR(__xludf.DUMMYFUNCTION("LET(
    txt,TRIM(SUBSTITUTE(P43,CHAR(160),""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)"),"building.smithy@3")</f>
        <v>building.smithy@3</v>
      </c>
      <c r="R43" s="67"/>
      <c r="S43" s="69"/>
      <c r="T43" s="70" t="s">
        <v>209</v>
      </c>
      <c r="U43" s="70" t="s">
        <v>210</v>
      </c>
    </row>
    <row r="44" ht="15.75" customHeight="1">
      <c r="A44" s="26" t="s">
        <v>234</v>
      </c>
      <c r="B44" s="26" t="s">
        <v>740</v>
      </c>
      <c r="C44" s="26" t="s">
        <v>626</v>
      </c>
      <c r="D44" s="26" t="str">
        <f>IFERROR(__xludf.DUMMYFUNCTION("IF(
 C44=""STATE"",
 UPPER(REGEXEXTRACT(A44,""^state\.([^_@]+)"")),
 """"
)"),"")</f>
        <v/>
      </c>
      <c r="E44" s="26" t="b">
        <v>1</v>
      </c>
      <c r="F44" s="26" t="s">
        <v>633</v>
      </c>
      <c r="G44" s="26">
        <f t="shared" si="1"/>
        <v>25</v>
      </c>
      <c r="H44" s="26">
        <f t="shared" si="2"/>
        <v>33</v>
      </c>
      <c r="K44" s="68">
        <f t="shared" si="3"/>
        <v>43</v>
      </c>
      <c r="L44" s="71" t="s">
        <v>173</v>
      </c>
      <c r="M44" s="67" t="str">
        <f>IFERROR(__xludf.DUMMYFUNCTION("LET(
    txt,TRIM(SUBSTITUTE(L44,CHAR(160),""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)"),"building.workshop@3")</f>
        <v>building.workshop@3</v>
      </c>
      <c r="N44" s="67"/>
      <c r="O44" s="68">
        <f t="shared" si="4"/>
        <v>43</v>
      </c>
      <c r="P44" s="66" t="s">
        <v>212</v>
      </c>
      <c r="Q44" s="67" t="str">
        <f>IFERROR(__xludf.DUMMYFUNCTION("LET(
    txt,TRIM(SUBSTITUTE(P44,CHAR(160),""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)"),"building.dungeon@3")</f>
        <v>building.dungeon@3</v>
      </c>
      <c r="R44" s="67"/>
      <c r="S44" s="69"/>
      <c r="T44" s="70" t="s">
        <v>212</v>
      </c>
      <c r="U44" s="67" t="s">
        <v>213</v>
      </c>
    </row>
    <row r="45" ht="15.75" customHeight="1">
      <c r="A45" s="26" t="s">
        <v>239</v>
      </c>
      <c r="B45" s="26" t="s">
        <v>742</v>
      </c>
      <c r="C45" s="26" t="s">
        <v>626</v>
      </c>
      <c r="D45" s="26" t="str">
        <f>IFERROR(__xludf.DUMMYFUNCTION("IF(
 C45=""STATE"",
 UPPER(REGEXEXTRACT(A45,""^state\.([^_@]+)"")),
 """"
)"),"")</f>
        <v/>
      </c>
      <c r="E45" s="26" t="b">
        <v>1</v>
      </c>
      <c r="F45" s="26" t="s">
        <v>633</v>
      </c>
      <c r="G45" s="26">
        <f t="shared" si="1"/>
        <v>26</v>
      </c>
      <c r="H45" s="26">
        <f t="shared" si="2"/>
        <v>34</v>
      </c>
      <c r="K45" s="68">
        <f t="shared" si="3"/>
        <v>44</v>
      </c>
      <c r="L45" s="71" t="s">
        <v>176</v>
      </c>
      <c r="M45" s="67" t="str">
        <f>IFERROR(__xludf.DUMMYFUNCTION("LET(
    txt,TRIM(SUBSTITUTE(L45,CHAR(160),""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)"),"building.workshop@4")</f>
        <v>building.workshop@4</v>
      </c>
      <c r="N45" s="67"/>
      <c r="O45" s="68">
        <f t="shared" si="4"/>
        <v>44</v>
      </c>
      <c r="P45" s="71" t="s">
        <v>215</v>
      </c>
      <c r="Q45" s="67" t="str">
        <f>IFERROR(__xludf.DUMMYFUNCTION("LET(
    txt,TRIM(SUBSTITUTE(P45,CHAR(160),""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)"),"building.airship@1")</f>
        <v>building.airship@1</v>
      </c>
      <c r="R45" s="67"/>
      <c r="S45" s="69"/>
      <c r="T45" s="67" t="s">
        <v>215</v>
      </c>
      <c r="U45" s="72" t="s">
        <v>216</v>
      </c>
    </row>
    <row r="46" ht="15.75" customHeight="1">
      <c r="A46" s="26" t="s">
        <v>744</v>
      </c>
      <c r="B46" s="26" t="s">
        <v>745</v>
      </c>
      <c r="C46" s="26" t="s">
        <v>626</v>
      </c>
      <c r="D46" s="26" t="str">
        <f>IFERROR(__xludf.DUMMYFUNCTION("IF(
 C46=""STATE"",
 UPPER(REGEXEXTRACT(A46,""^state\.([^_@]+)"")),
 """"
)"),"")</f>
        <v/>
      </c>
      <c r="E46" s="26" t="b">
        <v>1</v>
      </c>
      <c r="F46" s="26" t="s">
        <v>628</v>
      </c>
      <c r="G46" s="26" t="str">
        <f t="shared" si="1"/>
        <v/>
      </c>
      <c r="H46" s="26" t="str">
        <f t="shared" si="2"/>
        <v/>
      </c>
      <c r="K46" s="68">
        <f t="shared" si="3"/>
        <v>45</v>
      </c>
      <c r="L46" s="71" t="s">
        <v>180</v>
      </c>
      <c r="M46" s="67" t="str">
        <f>IFERROR(__xludf.DUMMYFUNCTION("LET(
    txt,TRIM(SUBSTITUTE(L46,CHAR(160),""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)"),"building.workshop@5")</f>
        <v>building.workshop@5</v>
      </c>
      <c r="N46" s="67"/>
      <c r="O46" s="68">
        <f t="shared" si="4"/>
        <v>45</v>
      </c>
      <c r="P46" s="71" t="s">
        <v>217</v>
      </c>
      <c r="Q46" s="67" t="str">
        <f>IFERROR(__xludf.DUMMYFUNCTION("LET(
    txt,TRIM(SUBSTITUTE(P46,CHAR(160),""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)"),"building.airship@2")</f>
        <v>building.airship@2</v>
      </c>
      <c r="R46" s="67"/>
      <c r="S46" s="69"/>
      <c r="T46" s="70" t="s">
        <v>217</v>
      </c>
      <c r="U46" s="70" t="s">
        <v>193</v>
      </c>
    </row>
    <row r="47" ht="15.75" customHeight="1">
      <c r="A47" s="26" t="s">
        <v>243</v>
      </c>
      <c r="B47" s="26" t="s">
        <v>747</v>
      </c>
      <c r="C47" s="26" t="s">
        <v>626</v>
      </c>
      <c r="D47" s="26" t="str">
        <f>IFERROR(__xludf.DUMMYFUNCTION("IF(
 C47=""STATE"",
 UPPER(REGEXEXTRACT(A47,""^state\.([^_@]+)"")),
 """"
)"),"")</f>
        <v/>
      </c>
      <c r="E47" s="26" t="b">
        <v>1</v>
      </c>
      <c r="F47" s="26" t="s">
        <v>633</v>
      </c>
      <c r="G47" s="26">
        <f t="shared" si="1"/>
        <v>10</v>
      </c>
      <c r="H47" s="26">
        <f t="shared" si="2"/>
        <v>19</v>
      </c>
      <c r="K47" s="68">
        <f t="shared" si="3"/>
        <v>46</v>
      </c>
      <c r="L47" s="71" t="s">
        <v>183</v>
      </c>
      <c r="M47" s="67" t="str">
        <f>IFERROR(__xludf.DUMMYFUNCTION("LET(
    txt,TRIM(SUBSTITUTE(L47,CHAR(160),""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)"),"building.outpost@2")</f>
        <v>building.outpost@2</v>
      </c>
      <c r="N47" s="67"/>
      <c r="O47" s="68">
        <f t="shared" si="4"/>
        <v>46</v>
      </c>
      <c r="P47" s="71" t="s">
        <v>220</v>
      </c>
      <c r="Q47" s="67" t="str">
        <f>IFERROR(__xludf.DUMMYFUNCTION("LET(
    txt,TRIM(SUBSTITUTE(P47,CHAR(160),""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)"),"building.furnace@3")</f>
        <v>building.furnace@3</v>
      </c>
      <c r="R47" s="67"/>
      <c r="S47" s="69"/>
      <c r="T47" s="70" t="s">
        <v>220</v>
      </c>
      <c r="U47" s="67" t="s">
        <v>221</v>
      </c>
    </row>
    <row r="48" ht="15.75" customHeight="1">
      <c r="A48" s="26" t="s">
        <v>246</v>
      </c>
      <c r="B48" s="26" t="s">
        <v>748</v>
      </c>
      <c r="C48" s="26" t="s">
        <v>626</v>
      </c>
      <c r="D48" s="26" t="str">
        <f>IFERROR(__xludf.DUMMYFUNCTION("IF(
 C48=""STATE"",
 UPPER(REGEXEXTRACT(A48,""^state\.([^_@]+)"")),
 """"
)"),"")</f>
        <v/>
      </c>
      <c r="E48" s="26" t="b">
        <v>1</v>
      </c>
      <c r="F48" s="26" t="s">
        <v>633</v>
      </c>
      <c r="G48" s="26">
        <f t="shared" si="1"/>
        <v>11</v>
      </c>
      <c r="H48" s="26">
        <f t="shared" si="2"/>
        <v>20</v>
      </c>
      <c r="K48" s="68">
        <f t="shared" si="3"/>
        <v>47</v>
      </c>
      <c r="L48" s="66" t="s">
        <v>189</v>
      </c>
      <c r="M48" s="67" t="str">
        <f>IFERROR(__xludf.DUMMYFUNCTION("LET(
    txt,TRIM(SUBSTITUTE(L48,CHAR(160),""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)"),"building.caravan@1")</f>
        <v>building.caravan@1</v>
      </c>
      <c r="N48" s="67"/>
      <c r="O48" s="68">
        <f t="shared" si="4"/>
        <v>47</v>
      </c>
      <c r="P48" s="66" t="s">
        <v>222</v>
      </c>
      <c r="Q48" s="67" t="str">
        <f>IFERROR(__xludf.DUMMYFUNCTION("LET(
    txt,TRIM(SUBSTITUTE(P48,CHAR(160),""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)"),"building.tailor@1")</f>
        <v>building.tailor@1</v>
      </c>
      <c r="R48" s="67"/>
      <c r="S48" s="69"/>
      <c r="T48" s="67" t="s">
        <v>222</v>
      </c>
      <c r="U48" s="70" t="s">
        <v>223</v>
      </c>
    </row>
    <row r="49" ht="15.75" customHeight="1">
      <c r="A49" s="26" t="s">
        <v>251</v>
      </c>
      <c r="B49" s="26" t="s">
        <v>750</v>
      </c>
      <c r="C49" s="26" t="s">
        <v>626</v>
      </c>
      <c r="D49" s="26" t="str">
        <f>IFERROR(__xludf.DUMMYFUNCTION("IF(
 C49=""STATE"",
 UPPER(REGEXEXTRACT(A49,""^state\.([^_@]+)"")),
 """"
)"),"")</f>
        <v/>
      </c>
      <c r="E49" s="26" t="b">
        <v>1</v>
      </c>
      <c r="F49" s="26" t="s">
        <v>633</v>
      </c>
      <c r="G49" s="26">
        <f t="shared" si="1"/>
        <v>46</v>
      </c>
      <c r="H49" s="26">
        <f t="shared" si="2"/>
        <v>56</v>
      </c>
      <c r="K49" s="68">
        <f t="shared" si="3"/>
        <v>48</v>
      </c>
      <c r="L49" s="71" t="s">
        <v>192</v>
      </c>
      <c r="M49" s="67" t="str">
        <f>IFERROR(__xludf.DUMMYFUNCTION("LET(
    txt,TRIM(SUBSTITUTE(L49,CHAR(160),""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)"),"building.caravan@2")</f>
        <v>building.caravan@2</v>
      </c>
      <c r="N49" s="67"/>
      <c r="O49" s="68">
        <f t="shared" si="4"/>
        <v>48</v>
      </c>
      <c r="P49" s="71" t="s">
        <v>226</v>
      </c>
      <c r="Q49" s="67" t="str">
        <f>IFERROR(__xludf.DUMMYFUNCTION("LET(
    txt,TRIM(SUBSTITUTE(P49,CHAR(160),""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)"),"building.tailor@2")</f>
        <v>building.tailor@2</v>
      </c>
      <c r="R49" s="67"/>
      <c r="S49" s="69"/>
      <c r="T49" s="70" t="s">
        <v>226</v>
      </c>
      <c r="U49" s="67" t="s">
        <v>227</v>
      </c>
    </row>
    <row r="50" ht="15.75" customHeight="1">
      <c r="A50" s="26" t="s">
        <v>751</v>
      </c>
      <c r="B50" s="26" t="s">
        <v>752</v>
      </c>
      <c r="C50" s="26" t="s">
        <v>626</v>
      </c>
      <c r="D50" s="26" t="str">
        <f>IFERROR(__xludf.DUMMYFUNCTION("IF(
 C50=""STATE"",
 UPPER(REGEXEXTRACT(A50,""^state\.([^_@]+)"")),
 """"
)"),"")</f>
        <v/>
      </c>
      <c r="E50" s="26" t="b">
        <v>1</v>
      </c>
      <c r="F50" s="26" t="s">
        <v>628</v>
      </c>
      <c r="G50" s="26" t="str">
        <f t="shared" si="1"/>
        <v/>
      </c>
      <c r="H50" s="26" t="str">
        <f t="shared" si="2"/>
        <v/>
      </c>
      <c r="K50" s="68">
        <f t="shared" si="3"/>
        <v>49</v>
      </c>
      <c r="L50" s="71" t="s">
        <v>197</v>
      </c>
      <c r="M50" s="67" t="str">
        <f>IFERROR(__xludf.DUMMYFUNCTION("LET(
    txt,TRIM(SUBSTITUTE(L50,CHAR(160),""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)"),"building.caravan@3")</f>
        <v>building.caravan@3</v>
      </c>
      <c r="N50" s="67"/>
      <c r="O50" s="68">
        <f t="shared" si="4"/>
        <v>49</v>
      </c>
      <c r="P50" s="71" t="s">
        <v>228</v>
      </c>
      <c r="Q50" s="67" t="str">
        <f>IFERROR(__xludf.DUMMYFUNCTION("LET(
    txt,TRIM(SUBSTITUTE(P50,CHAR(160),""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)"),"building.tailor@3")</f>
        <v>building.tailor@3</v>
      </c>
      <c r="R50" s="67"/>
      <c r="S50" s="69"/>
      <c r="T50" s="70" t="s">
        <v>228</v>
      </c>
      <c r="U50" s="67" t="s">
        <v>229</v>
      </c>
    </row>
    <row r="51" ht="15.75" customHeight="1">
      <c r="A51" s="26" t="s">
        <v>255</v>
      </c>
      <c r="B51" s="26" t="s">
        <v>755</v>
      </c>
      <c r="C51" s="26" t="s">
        <v>626</v>
      </c>
      <c r="D51" s="26" t="str">
        <f>IFERROR(__xludf.DUMMYFUNCTION("IF(
 C51=""STATE"",
 UPPER(REGEXEXTRACT(A51,""^state\.([^_@]+)"")),
 """"
)"),"")</f>
        <v/>
      </c>
      <c r="E51" s="26" t="b">
        <v>1</v>
      </c>
      <c r="F51" s="26" t="s">
        <v>633</v>
      </c>
      <c r="G51" s="26">
        <f t="shared" si="1"/>
        <v>85</v>
      </c>
      <c r="H51" s="26">
        <f t="shared" si="2"/>
        <v>9</v>
      </c>
      <c r="K51" s="68">
        <f t="shared" si="3"/>
        <v>50</v>
      </c>
      <c r="L51" s="66" t="s">
        <v>203</v>
      </c>
      <c r="M51" s="67" t="str">
        <f>IFERROR(__xludf.DUMMYFUNCTION("LET(
    txt,TRIM(SUBSTITUTE(L51,CHAR(160),""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)"),"building.smithy@1")</f>
        <v>building.smithy@1</v>
      </c>
      <c r="N51" s="67"/>
      <c r="O51" s="68">
        <f t="shared" si="4"/>
        <v>50</v>
      </c>
      <c r="P51" s="71" t="s">
        <v>231</v>
      </c>
      <c r="Q51" s="67" t="str">
        <f>IFERROR(__xludf.DUMMYFUNCTION("LET(
    txt,TRIM(SUBSTITUTE(P51,CHAR(160),""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)"),"building.outpost@3")</f>
        <v>building.outpost@3</v>
      </c>
      <c r="R51" s="67"/>
      <c r="S51" s="69"/>
      <c r="T51" s="70" t="s">
        <v>231</v>
      </c>
      <c r="U51" s="70" t="s">
        <v>232</v>
      </c>
    </row>
    <row r="52" ht="15.75" customHeight="1">
      <c r="A52" s="26" t="s">
        <v>258</v>
      </c>
      <c r="B52" s="26" t="s">
        <v>757</v>
      </c>
      <c r="C52" s="26" t="s">
        <v>626</v>
      </c>
      <c r="D52" s="26" t="str">
        <f>IFERROR(__xludf.DUMMYFUNCTION("IF(
 C52=""STATE"",
 UPPER(REGEXEXTRACT(A52,""^state\.([^_@]+)"")),
 """"
)"),"")</f>
        <v/>
      </c>
      <c r="E52" s="26" t="b">
        <v>1</v>
      </c>
      <c r="F52" s="26" t="s">
        <v>633</v>
      </c>
      <c r="G52" s="26">
        <f t="shared" si="1"/>
        <v>86</v>
      </c>
      <c r="H52" s="26">
        <f t="shared" si="2"/>
        <v>10</v>
      </c>
      <c r="K52" s="68">
        <f t="shared" si="3"/>
        <v>51</v>
      </c>
      <c r="L52" s="71" t="s">
        <v>206</v>
      </c>
      <c r="M52" s="67" t="str">
        <f>IFERROR(__xludf.DUMMYFUNCTION("LET(
    txt,TRIM(SUBSTITUTE(L52,CHAR(160),""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)"),"building.smithy@2")</f>
        <v>building.smithy@2</v>
      </c>
      <c r="N52" s="67"/>
      <c r="O52" s="68">
        <f t="shared" si="4"/>
        <v>51</v>
      </c>
      <c r="P52" s="71" t="s">
        <v>235</v>
      </c>
      <c r="Q52" s="67" t="str">
        <f>IFERROR(__xludf.DUMMYFUNCTION("LET(
    txt,TRIM(SUBSTITUTE(P52,CHAR(160),""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)"),"building.alchemists_hut@3")</f>
        <v>building.alchemists_hut@3</v>
      </c>
      <c r="R52" s="67"/>
      <c r="S52" s="69"/>
      <c r="T52" s="70" t="s">
        <v>235</v>
      </c>
      <c r="U52" s="72" t="s">
        <v>236</v>
      </c>
    </row>
    <row r="53" ht="15.75" customHeight="1">
      <c r="A53" s="26" t="s">
        <v>262</v>
      </c>
      <c r="B53" s="26" t="s">
        <v>759</v>
      </c>
      <c r="C53" s="26" t="s">
        <v>626</v>
      </c>
      <c r="D53" s="26" t="str">
        <f>IFERROR(__xludf.DUMMYFUNCTION("IF(
 C53=""STATE"",
 UPPER(REGEXEXTRACT(A53,""^state\.([^_@]+)"")),
 """"
)"),"")</f>
        <v/>
      </c>
      <c r="E53" s="26" t="b">
        <v>1</v>
      </c>
      <c r="F53" s="26" t="s">
        <v>633</v>
      </c>
      <c r="G53" s="26">
        <f t="shared" si="1"/>
        <v>87</v>
      </c>
      <c r="H53" s="26">
        <f t="shared" si="2"/>
        <v>15</v>
      </c>
      <c r="K53" s="68">
        <f t="shared" si="3"/>
        <v>52</v>
      </c>
      <c r="L53" s="71" t="s">
        <v>209</v>
      </c>
      <c r="M53" s="67" t="str">
        <f>IFERROR(__xludf.DUMMYFUNCTION("LET(
    txt,TRIM(SUBSTITUTE(L53,CHAR(160),""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)"),"building.smithy@3")</f>
        <v>building.smithy@3</v>
      </c>
      <c r="N53" s="67"/>
      <c r="O53" s="68">
        <f t="shared" si="4"/>
        <v>52</v>
      </c>
      <c r="P53" s="66" t="s">
        <v>238</v>
      </c>
      <c r="Q53" s="67" t="str">
        <f>IFERROR(__xludf.DUMMYFUNCTION("LET(
    txt,TRIM(SUBSTITUTE(P53,CHAR(160),""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)"),"building.alchemists_hut@4")</f>
        <v>building.alchemists_hut@4</v>
      </c>
      <c r="R53" s="67"/>
      <c r="S53" s="69"/>
      <c r="T53" s="70" t="s">
        <v>238</v>
      </c>
      <c r="U53" s="73"/>
    </row>
    <row r="54" ht="15.75" customHeight="1">
      <c r="A54" s="26" t="s">
        <v>269</v>
      </c>
      <c r="B54" s="26" t="s">
        <v>761</v>
      </c>
      <c r="C54" s="26" t="s">
        <v>626</v>
      </c>
      <c r="D54" s="26" t="str">
        <f>IFERROR(__xludf.DUMMYFUNCTION("IF(
 C54=""STATE"",
 UPPER(REGEXEXTRACT(A54,""^state\.([^_@]+)"")),
 """"
)"),"")</f>
        <v/>
      </c>
      <c r="E54" s="26" t="b">
        <v>1</v>
      </c>
      <c r="F54" s="26" t="s">
        <v>633</v>
      </c>
      <c r="G54" s="26">
        <f t="shared" si="1"/>
        <v>100</v>
      </c>
      <c r="H54" s="26">
        <f t="shared" si="2"/>
        <v>100</v>
      </c>
      <c r="K54" s="68">
        <f t="shared" si="3"/>
        <v>53</v>
      </c>
      <c r="L54" s="71" t="s">
        <v>212</v>
      </c>
      <c r="M54" s="67" t="str">
        <f>IFERROR(__xludf.DUMMYFUNCTION("LET(
    txt,TRIM(SUBSTITUTE(L54,CHAR(160),""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)"),"building.dungeon@3")</f>
        <v>building.dungeon@3</v>
      </c>
      <c r="N54" s="67"/>
      <c r="O54" s="68">
        <f t="shared" si="4"/>
        <v>53</v>
      </c>
      <c r="P54" s="71" t="s">
        <v>240</v>
      </c>
      <c r="Q54" s="67" t="str">
        <f>IFERROR(__xludf.DUMMYFUNCTION("LET(
    txt,TRIM(SUBSTITUTE(P54,CHAR(160),""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)"),"building.alchemists_hut@5")</f>
        <v>building.alchemists_hut@5</v>
      </c>
      <c r="R54" s="67"/>
      <c r="S54" s="69"/>
      <c r="T54" s="70" t="s">
        <v>240</v>
      </c>
      <c r="U54" s="73"/>
    </row>
    <row r="55" ht="15.75" customHeight="1">
      <c r="A55" s="26" t="s">
        <v>275</v>
      </c>
      <c r="B55" s="26" t="s">
        <v>763</v>
      </c>
      <c r="C55" s="26" t="s">
        <v>626</v>
      </c>
      <c r="D55" s="26" t="str">
        <f>IFERROR(__xludf.DUMMYFUNCTION("IF(
 C55=""STATE"",
 UPPER(REGEXEXTRACT(A55,""^state\.([^_@]+)"")),
 """"
)"),"")</f>
        <v/>
      </c>
      <c r="E55" s="26" t="b">
        <v>1</v>
      </c>
      <c r="F55" s="26" t="s">
        <v>633</v>
      </c>
      <c r="G55" s="26" t="str">
        <f t="shared" si="1"/>
        <v>#N/A</v>
      </c>
      <c r="H55" s="26" t="str">
        <f t="shared" si="2"/>
        <v>#N/A</v>
      </c>
      <c r="K55" s="68">
        <f t="shared" si="3"/>
        <v>54</v>
      </c>
      <c r="L55" s="66" t="s">
        <v>215</v>
      </c>
      <c r="M55" s="67" t="str">
        <f>IFERROR(__xludf.DUMMYFUNCTION("LET(
    txt,TRIM(SUBSTITUTE(L55,CHAR(160),""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)"),"building.airship@1")</f>
        <v>building.airship@1</v>
      </c>
      <c r="N55" s="67"/>
      <c r="O55" s="68">
        <f t="shared" si="4"/>
        <v>54</v>
      </c>
      <c r="P55" s="71" t="s">
        <v>242</v>
      </c>
      <c r="Q55" s="67" t="str">
        <f>IFERROR(__xludf.DUMMYFUNCTION("LET(
    txt,TRIM(SUBSTITUTE(P55,CHAR(160),""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)"),"building.alchemists_hut@6")</f>
        <v>building.alchemists_hut@6</v>
      </c>
      <c r="R55" s="67"/>
      <c r="S55" s="69"/>
      <c r="T55" s="70" t="s">
        <v>242</v>
      </c>
      <c r="U55" s="73"/>
    </row>
    <row r="56" ht="15.75" customHeight="1">
      <c r="A56" s="26" t="s">
        <v>282</v>
      </c>
      <c r="B56" s="26" t="s">
        <v>766</v>
      </c>
      <c r="C56" s="26" t="s">
        <v>626</v>
      </c>
      <c r="D56" s="26" t="str">
        <f>IFERROR(__xludf.DUMMYFUNCTION("IF(
 C56=""STATE"",
 UPPER(REGEXEXTRACT(A56,""^state\.([^_@]+)"")),
 """"
)"),"")</f>
        <v/>
      </c>
      <c r="E56" s="26" t="b">
        <v>1</v>
      </c>
      <c r="F56" s="26" t="s">
        <v>633</v>
      </c>
      <c r="G56" s="26">
        <f t="shared" si="1"/>
        <v>1</v>
      </c>
      <c r="H56" s="26">
        <f t="shared" si="2"/>
        <v>1</v>
      </c>
      <c r="K56" s="68">
        <f t="shared" si="3"/>
        <v>55</v>
      </c>
      <c r="L56" s="71" t="s">
        <v>146</v>
      </c>
      <c r="M56" s="67" t="str">
        <f>IFERROR(__xludf.DUMMYFUNCTION("LET(
    txt,TRIM(SUBSTITUTE(L56,CHAR(160),""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)"),"building.ship@4")</f>
        <v>building.ship@4</v>
      </c>
      <c r="N56" s="67"/>
      <c r="O56" s="68">
        <f t="shared" si="4"/>
        <v>55</v>
      </c>
      <c r="P56" s="66" t="s">
        <v>135</v>
      </c>
      <c r="Q56" s="67" t="str">
        <f>IFERROR(__xludf.DUMMYFUNCTION("LET(
    txt,TRIM(SUBSTITUTE(P56,CHAR(160),""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)"),"building.chicken@1")</f>
        <v>building.chicken@1</v>
      </c>
      <c r="R56" s="67"/>
      <c r="S56" s="69"/>
      <c r="T56" s="67" t="s">
        <v>135</v>
      </c>
      <c r="U56" s="67" t="s">
        <v>245</v>
      </c>
    </row>
    <row r="57" ht="15.75" customHeight="1">
      <c r="A57" s="26" t="s">
        <v>291</v>
      </c>
      <c r="B57" s="26" t="s">
        <v>767</v>
      </c>
      <c r="C57" s="26" t="s">
        <v>626</v>
      </c>
      <c r="D57" s="26" t="str">
        <f>IFERROR(__xludf.DUMMYFUNCTION("IF(
 C57=""STATE"",
 UPPER(REGEXEXTRACT(A57,""^state\.([^_@]+)"")),
 """"
)"),"")</f>
        <v/>
      </c>
      <c r="E57" s="26" t="b">
        <v>1</v>
      </c>
      <c r="F57" s="26" t="s">
        <v>633</v>
      </c>
      <c r="G57" s="26">
        <f t="shared" si="1"/>
        <v>17</v>
      </c>
      <c r="H57" s="26">
        <f t="shared" si="2"/>
        <v>13</v>
      </c>
      <c r="K57" s="68">
        <f t="shared" si="3"/>
        <v>56</v>
      </c>
      <c r="L57" s="71" t="s">
        <v>220</v>
      </c>
      <c r="M57" s="67" t="str">
        <f>IFERROR(__xludf.DUMMYFUNCTION("LET(
    txt,TRIM(SUBSTITUTE(L57,CHAR(160),""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)"),"building.furnace@3")</f>
        <v>building.furnace@3</v>
      </c>
      <c r="N57" s="67"/>
      <c r="O57" s="68">
        <f t="shared" si="4"/>
        <v>56</v>
      </c>
      <c r="P57" s="71" t="s">
        <v>141</v>
      </c>
      <c r="Q57" s="67" t="str">
        <f>IFERROR(__xludf.DUMMYFUNCTION("LET(
    txt,TRIM(SUBSTITUTE(P57,CHAR(160),""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)"),"building.chicken@2")</f>
        <v>building.chicken@2</v>
      </c>
      <c r="R57" s="67"/>
      <c r="S57" s="69"/>
      <c r="T57" s="70" t="s">
        <v>141</v>
      </c>
      <c r="U57" s="70" t="s">
        <v>247</v>
      </c>
    </row>
    <row r="58" ht="15.75" customHeight="1">
      <c r="A58" s="26" t="s">
        <v>295</v>
      </c>
      <c r="B58" s="26" t="s">
        <v>770</v>
      </c>
      <c r="C58" s="26" t="s">
        <v>626</v>
      </c>
      <c r="D58" s="26" t="str">
        <f>IFERROR(__xludf.DUMMYFUNCTION("IF(
 C58=""STATE"",
 UPPER(REGEXEXTRACT(A58,""^state\.([^_@]+)"")),
 """"
)"),"")</f>
        <v/>
      </c>
      <c r="E58" s="26" t="b">
        <v>1</v>
      </c>
      <c r="F58" s="26" t="s">
        <v>633</v>
      </c>
      <c r="G58" s="26">
        <f t="shared" si="1"/>
        <v>23</v>
      </c>
      <c r="H58" s="26">
        <f t="shared" si="2"/>
        <v>29</v>
      </c>
      <c r="K58" s="68">
        <f t="shared" si="3"/>
        <v>57</v>
      </c>
      <c r="L58" s="66" t="s">
        <v>222</v>
      </c>
      <c r="M58" s="67" t="str">
        <f>IFERROR(__xludf.DUMMYFUNCTION("LET(
    txt,TRIM(SUBSTITUTE(L58,CHAR(160),""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)"),"building.tailor@1")</f>
        <v>building.tailor@1</v>
      </c>
      <c r="N58" s="67"/>
      <c r="O58" s="68">
        <f t="shared" si="4"/>
        <v>57</v>
      </c>
      <c r="P58" s="66" t="s">
        <v>249</v>
      </c>
      <c r="Q58" s="67" t="str">
        <f>IFERROR(__xludf.DUMMYFUNCTION("LET(
    txt,TRIM(SUBSTITUTE(P58,CHAR(160),""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)"),"building.pagoda@1")</f>
        <v>building.pagoda@1</v>
      </c>
      <c r="R58" s="67"/>
      <c r="S58" s="69"/>
      <c r="T58" s="67" t="s">
        <v>249</v>
      </c>
      <c r="U58" s="74" t="s">
        <v>250</v>
      </c>
    </row>
    <row r="59" ht="15.75" customHeight="1">
      <c r="A59" s="26" t="s">
        <v>302</v>
      </c>
      <c r="B59" s="26" t="s">
        <v>772</v>
      </c>
      <c r="C59" s="26" t="s">
        <v>626</v>
      </c>
      <c r="D59" s="26" t="str">
        <f>IFERROR(__xludf.DUMMYFUNCTION("IF(
 C59=""STATE"",
 UPPER(REGEXEXTRACT(A59,""^state\.([^_@]+)"")),
 """"
)"),"")</f>
        <v/>
      </c>
      <c r="E59" s="26" t="b">
        <v>1</v>
      </c>
      <c r="F59" s="26" t="s">
        <v>633</v>
      </c>
      <c r="G59" s="26">
        <f t="shared" si="1"/>
        <v>29</v>
      </c>
      <c r="H59" s="26">
        <f t="shared" si="2"/>
        <v>30</v>
      </c>
      <c r="K59" s="68">
        <f t="shared" si="3"/>
        <v>58</v>
      </c>
      <c r="L59" s="71" t="s">
        <v>226</v>
      </c>
      <c r="M59" s="67" t="str">
        <f>IFERROR(__xludf.DUMMYFUNCTION("LET(
    txt,TRIM(SUBSTITUTE(L59,CHAR(160),""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)"),"building.tailor@2")</f>
        <v>building.tailor@2</v>
      </c>
      <c r="N59" s="67"/>
      <c r="O59" s="68">
        <f t="shared" si="4"/>
        <v>58</v>
      </c>
      <c r="P59" s="71" t="s">
        <v>252</v>
      </c>
      <c r="Q59" s="67" t="str">
        <f>IFERROR(__xludf.DUMMYFUNCTION("LET(
    txt,TRIM(SUBSTITUTE(P59,CHAR(160),""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)"),"building.pagoda@2")</f>
        <v>building.pagoda@2</v>
      </c>
      <c r="R59" s="67"/>
      <c r="S59" s="69"/>
      <c r="T59" s="70" t="s">
        <v>252</v>
      </c>
      <c r="U59" s="75"/>
    </row>
    <row r="60" ht="15.75" customHeight="1">
      <c r="A60" s="26" t="s">
        <v>310</v>
      </c>
      <c r="B60" s="26" t="s">
        <v>774</v>
      </c>
      <c r="C60" s="26" t="s">
        <v>626</v>
      </c>
      <c r="D60" s="26" t="str">
        <f>IFERROR(__xludf.DUMMYFUNCTION("IF(
 C60=""STATE"",
 UPPER(REGEXEXTRACT(A60,""^state\.([^_@]+)"")),
 """"
)"),"")</f>
        <v/>
      </c>
      <c r="E60" s="26" t="b">
        <v>1</v>
      </c>
      <c r="F60" s="26" t="s">
        <v>633</v>
      </c>
      <c r="G60" s="26" t="str">
        <f t="shared" si="1"/>
        <v>#N/A</v>
      </c>
      <c r="H60" s="26" t="str">
        <f t="shared" si="2"/>
        <v>#N/A</v>
      </c>
      <c r="K60" s="68">
        <f t="shared" si="3"/>
        <v>59</v>
      </c>
      <c r="L60" s="71" t="s">
        <v>200</v>
      </c>
      <c r="M60" s="67" t="str">
        <f>IFERROR(__xludf.DUMMYFUNCTION("LET(
    txt,TRIM(SUBSTITUTE(L60,CHAR(160),""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)"),"building.caravan@4")</f>
        <v>building.caravan@4</v>
      </c>
      <c r="N60" s="67"/>
      <c r="O60" s="68">
        <f t="shared" si="4"/>
        <v>59</v>
      </c>
      <c r="P60" s="71" t="s">
        <v>253</v>
      </c>
      <c r="Q60" s="67" t="str">
        <f>IFERROR(__xludf.DUMMYFUNCTION("LET(
    txt,TRIM(SUBSTITUTE(P60,CHAR(160),""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)"),"building.pagoda@3")</f>
        <v>building.pagoda@3</v>
      </c>
      <c r="R60" s="67"/>
      <c r="S60" s="69"/>
      <c r="T60" s="70" t="s">
        <v>253</v>
      </c>
      <c r="U60" s="75"/>
    </row>
    <row r="61" ht="15.75" customHeight="1">
      <c r="A61" s="26" t="s">
        <v>777</v>
      </c>
      <c r="B61" s="26" t="s">
        <v>778</v>
      </c>
      <c r="C61" s="26" t="s">
        <v>626</v>
      </c>
      <c r="D61" s="26" t="str">
        <f>IFERROR(__xludf.DUMMYFUNCTION("IF(
 C61=""STATE"",
 UPPER(REGEXEXTRACT(A61,""^state\.([^_@]+)"")),
 """"
)"),"")</f>
        <v/>
      </c>
      <c r="E61" s="26" t="b">
        <v>1</v>
      </c>
      <c r="F61" s="26" t="s">
        <v>628</v>
      </c>
      <c r="G61" s="26" t="str">
        <f t="shared" si="1"/>
        <v/>
      </c>
      <c r="H61" s="26" t="str">
        <f t="shared" si="2"/>
        <v/>
      </c>
      <c r="K61" s="68">
        <f t="shared" si="3"/>
        <v>60</v>
      </c>
      <c r="L61" s="71" t="s">
        <v>228</v>
      </c>
      <c r="M61" s="67" t="str">
        <f>IFERROR(__xludf.DUMMYFUNCTION("LET(
    txt,TRIM(SUBSTITUTE(L61,CHAR(160),""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)"),"building.tailor@3")</f>
        <v>building.tailor@3</v>
      </c>
      <c r="N61" s="67"/>
      <c r="O61" s="68">
        <f t="shared" si="4"/>
        <v>60</v>
      </c>
      <c r="P61" s="66" t="s">
        <v>256</v>
      </c>
      <c r="Q61" s="67" t="str">
        <f>IFERROR(__xludf.DUMMYFUNCTION("LET(
    txt,TRIM(SUBSTITUTE(P61,CHAR(160),""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)"),"building.pagoda@4")</f>
        <v>building.pagoda@4</v>
      </c>
      <c r="R61" s="67"/>
      <c r="S61" s="69"/>
      <c r="T61" s="70" t="s">
        <v>256</v>
      </c>
      <c r="U61" s="75"/>
    </row>
    <row r="62" ht="15.75" customHeight="1">
      <c r="A62" s="26" t="s">
        <v>314</v>
      </c>
      <c r="B62" s="26" t="s">
        <v>780</v>
      </c>
      <c r="C62" s="26" t="s">
        <v>626</v>
      </c>
      <c r="D62" s="26" t="str">
        <f>IFERROR(__xludf.DUMMYFUNCTION("IF(
 C62=""STATE"",
 UPPER(REGEXEXTRACT(A62,""^state\.([^_@]+)"")),
 """"
)"),"")</f>
        <v/>
      </c>
      <c r="E62" s="26" t="b">
        <v>1</v>
      </c>
      <c r="F62" s="26" t="s">
        <v>633</v>
      </c>
      <c r="G62" s="26">
        <f t="shared" si="1"/>
        <v>66</v>
      </c>
      <c r="H62" s="26">
        <f t="shared" si="2"/>
        <v>76</v>
      </c>
      <c r="K62" s="68">
        <f t="shared" si="3"/>
        <v>61</v>
      </c>
      <c r="L62" s="71" t="s">
        <v>231</v>
      </c>
      <c r="M62" s="67" t="str">
        <f>IFERROR(__xludf.DUMMYFUNCTION("LET(
    txt,TRIM(SUBSTITUTE(L62,CHAR(160),""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)"),"building.outpost@3")</f>
        <v>building.outpost@3</v>
      </c>
      <c r="N62" s="67"/>
      <c r="O62" s="68">
        <f t="shared" si="4"/>
        <v>61</v>
      </c>
      <c r="P62" s="71" t="s">
        <v>257</v>
      </c>
      <c r="Q62" s="67" t="str">
        <f>IFERROR(__xludf.DUMMYFUNCTION("LET(
    txt,TRIM(SUBSTITUTE(P62,CHAR(160),""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)"),"building.pagoda@5")</f>
        <v>building.pagoda@5</v>
      </c>
      <c r="R62" s="67"/>
      <c r="S62" s="69"/>
      <c r="T62" s="70" t="s">
        <v>257</v>
      </c>
      <c r="U62" s="75"/>
    </row>
    <row r="63" ht="15.75" customHeight="1">
      <c r="A63" s="26" t="s">
        <v>319</v>
      </c>
      <c r="B63" s="26" t="s">
        <v>782</v>
      </c>
      <c r="C63" s="26" t="s">
        <v>626</v>
      </c>
      <c r="D63" s="26" t="str">
        <f>IFERROR(__xludf.DUMMYFUNCTION("IF(
 C63=""STATE"",
 UPPER(REGEXEXTRACT(A63,""^state\.([^_@]+)"")),
 """"
)"),"")</f>
        <v/>
      </c>
      <c r="E63" s="26" t="b">
        <v>1</v>
      </c>
      <c r="F63" s="26" t="s">
        <v>633</v>
      </c>
      <c r="G63" s="26">
        <f t="shared" si="1"/>
        <v>67</v>
      </c>
      <c r="H63" s="26">
        <f t="shared" si="2"/>
        <v>77</v>
      </c>
      <c r="K63" s="68">
        <f t="shared" si="3"/>
        <v>62</v>
      </c>
      <c r="L63" s="71" t="s">
        <v>235</v>
      </c>
      <c r="M63" s="67" t="str">
        <f>IFERROR(__xludf.DUMMYFUNCTION("LET(
    txt,TRIM(SUBSTITUTE(L63,CHAR(160),""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)"),"building.alchemists_hut@3")</f>
        <v>building.alchemists_hut@3</v>
      </c>
      <c r="N63" s="67"/>
      <c r="O63" s="68">
        <f t="shared" si="4"/>
        <v>62</v>
      </c>
      <c r="P63" s="71" t="s">
        <v>260</v>
      </c>
      <c r="Q63" s="67" t="str">
        <f>IFERROR(__xludf.DUMMYFUNCTION("LET(
    txt,TRIM(SUBSTITUTE(P63,CHAR(160),""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)"),"building.pagoda@6")</f>
        <v>building.pagoda@6</v>
      </c>
      <c r="R63" s="67"/>
      <c r="S63" s="69"/>
      <c r="T63" s="70" t="s">
        <v>260</v>
      </c>
      <c r="U63" s="75"/>
    </row>
    <row r="64" ht="15.75" customHeight="1">
      <c r="A64" s="26" t="s">
        <v>322</v>
      </c>
      <c r="B64" s="26" t="s">
        <v>784</v>
      </c>
      <c r="C64" s="26" t="s">
        <v>626</v>
      </c>
      <c r="D64" s="26" t="str">
        <f>IFERROR(__xludf.DUMMYFUNCTION("IF(
 C64=""STATE"",
 UPPER(REGEXEXTRACT(A64,""^state\.([^_@]+)"")),
 """"
)"),"")</f>
        <v/>
      </c>
      <c r="E64" s="26" t="b">
        <v>1</v>
      </c>
      <c r="F64" s="26" t="s">
        <v>633</v>
      </c>
      <c r="G64" s="26">
        <f t="shared" si="1"/>
        <v>68</v>
      </c>
      <c r="H64" s="26">
        <f t="shared" si="2"/>
        <v>78</v>
      </c>
      <c r="K64" s="68">
        <f t="shared" si="3"/>
        <v>63</v>
      </c>
      <c r="L64" s="71" t="s">
        <v>238</v>
      </c>
      <c r="M64" s="67" t="str">
        <f>IFERROR(__xludf.DUMMYFUNCTION("LET(
    txt,TRIM(SUBSTITUTE(L64,CHAR(160),""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)"),"building.alchemists_hut@4")</f>
        <v>building.alchemists_hut@4</v>
      </c>
      <c r="N64" s="67"/>
      <c r="O64" s="68">
        <f t="shared" si="4"/>
        <v>63</v>
      </c>
      <c r="P64" s="71" t="s">
        <v>261</v>
      </c>
      <c r="Q64" s="67" t="str">
        <f>IFERROR(__xludf.DUMMYFUNCTION("LET(
    txt,TRIM(SUBSTITUTE(P64,CHAR(160),""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)"),"building.pagoda@7")</f>
        <v>building.pagoda@7</v>
      </c>
      <c r="R64" s="67"/>
      <c r="S64" s="69"/>
      <c r="T64" s="70" t="s">
        <v>261</v>
      </c>
      <c r="U64" s="76"/>
    </row>
    <row r="65" ht="15.75" customHeight="1">
      <c r="A65" s="26" t="s">
        <v>325</v>
      </c>
      <c r="B65" s="26" t="s">
        <v>786</v>
      </c>
      <c r="C65" s="26" t="s">
        <v>626</v>
      </c>
      <c r="D65" s="26" t="str">
        <f>IFERROR(__xludf.DUMMYFUNCTION("IF(
 C65=""STATE"",
 UPPER(REGEXEXTRACT(A65,""^state\.([^_@]+)"")),
 """"
)"),"")</f>
        <v/>
      </c>
      <c r="E65" s="26" t="b">
        <v>1</v>
      </c>
      <c r="F65" s="26" t="s">
        <v>633</v>
      </c>
      <c r="G65" s="26">
        <f t="shared" si="1"/>
        <v>75</v>
      </c>
      <c r="H65" s="26">
        <f t="shared" si="2"/>
        <v>85</v>
      </c>
      <c r="K65" s="68">
        <f t="shared" si="3"/>
        <v>64</v>
      </c>
      <c r="L65" s="71" t="s">
        <v>240</v>
      </c>
      <c r="M65" s="67" t="str">
        <f>IFERROR(__xludf.DUMMYFUNCTION("LET(
    txt,TRIM(SUBSTITUTE(L65,CHAR(160),""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)"),"building.alchemists_hut@5")</f>
        <v>building.alchemists_hut@5</v>
      </c>
      <c r="N65" s="67"/>
      <c r="O65" s="68">
        <f t="shared" si="4"/>
        <v>64</v>
      </c>
      <c r="P65" s="71" t="s">
        <v>264</v>
      </c>
      <c r="Q65" s="67" t="str">
        <f>IFERROR(__xludf.DUMMYFUNCTION("LET(
    txt,TRIM(SUBSTITUTE(P65,CHAR(160),""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)"),"building.dungeon@4")</f>
        <v>building.dungeon@4</v>
      </c>
      <c r="R65" s="67"/>
      <c r="S65" s="69"/>
      <c r="T65" s="70" t="s">
        <v>264</v>
      </c>
      <c r="U65" s="72" t="s">
        <v>265</v>
      </c>
    </row>
    <row r="66" ht="15.75" customHeight="1">
      <c r="A66" s="26" t="s">
        <v>328</v>
      </c>
      <c r="B66" s="26" t="s">
        <v>788</v>
      </c>
      <c r="C66" s="26" t="s">
        <v>626</v>
      </c>
      <c r="D66" s="26" t="str">
        <f>IFERROR(__xludf.DUMMYFUNCTION("IF(
 C66=""STATE"",
 UPPER(REGEXEXTRACT(A66,""^state\.([^_@]+)"")),
 """"
)"),"")</f>
        <v/>
      </c>
      <c r="E66" s="26" t="b">
        <v>1</v>
      </c>
      <c r="F66" s="26" t="s">
        <v>633</v>
      </c>
      <c r="G66" s="26">
        <f t="shared" si="1"/>
        <v>76</v>
      </c>
      <c r="H66" s="26">
        <f t="shared" si="2"/>
        <v>86</v>
      </c>
      <c r="K66" s="68">
        <f t="shared" si="3"/>
        <v>65</v>
      </c>
      <c r="L66" s="71" t="s">
        <v>242</v>
      </c>
      <c r="M66" s="67" t="str">
        <f>IFERROR(__xludf.DUMMYFUNCTION("LET(
    txt,TRIM(SUBSTITUTE(L66,CHAR(160),""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)"),"building.alchemists_hut@6")</f>
        <v>building.alchemists_hut@6</v>
      </c>
      <c r="N66" s="67"/>
      <c r="O66" s="68">
        <f t="shared" si="4"/>
        <v>65</v>
      </c>
      <c r="P66" s="71" t="s">
        <v>266</v>
      </c>
      <c r="Q66" s="67" t="str">
        <f>IFERROR(__xludf.DUMMYFUNCTION("LET(
    txt,TRIM(SUBSTITUTE(P66,CHAR(160),""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)"),"building.dungeon@5")</f>
        <v>building.dungeon@5</v>
      </c>
      <c r="R66" s="67"/>
      <c r="S66" s="69"/>
      <c r="T66" s="70" t="s">
        <v>266</v>
      </c>
      <c r="U66" s="67" t="s">
        <v>267</v>
      </c>
    </row>
    <row r="67" ht="15.75" customHeight="1">
      <c r="A67" s="26" t="s">
        <v>790</v>
      </c>
      <c r="B67" s="26" t="s">
        <v>791</v>
      </c>
      <c r="C67" s="26" t="s">
        <v>626</v>
      </c>
      <c r="D67" s="26" t="str">
        <f>IFERROR(__xludf.DUMMYFUNCTION("IF(
 C67=""STATE"",
 UPPER(REGEXEXTRACT(A67,""^state\.([^_@]+)"")),
 """"
)"),"")</f>
        <v/>
      </c>
      <c r="E67" s="26" t="b">
        <v>1</v>
      </c>
      <c r="F67" s="26" t="s">
        <v>628</v>
      </c>
      <c r="G67" s="26" t="str">
        <f t="shared" si="1"/>
        <v/>
      </c>
      <c r="H67" s="26" t="str">
        <f t="shared" si="2"/>
        <v/>
      </c>
      <c r="K67" s="68">
        <f t="shared" si="3"/>
        <v>66</v>
      </c>
      <c r="L67" s="71" t="s">
        <v>217</v>
      </c>
      <c r="M67" s="67" t="str">
        <f>IFERROR(__xludf.DUMMYFUNCTION("LET(
    txt,TRIM(SUBSTITUTE(L67,CHAR(160),""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)"),"building.airship@2")</f>
        <v>building.airship@2</v>
      </c>
      <c r="N67" s="67"/>
      <c r="O67" s="68">
        <f t="shared" si="4"/>
        <v>66</v>
      </c>
      <c r="P67" s="71" t="s">
        <v>270</v>
      </c>
      <c r="Q67" s="67" t="str">
        <f>IFERROR(__xludf.DUMMYFUNCTION("LET(
    txt,TRIM(SUBSTITUTE(P67,CHAR(160),""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)"),"building.laboratory@1")</f>
        <v>building.laboratory@1</v>
      </c>
      <c r="R67" s="67"/>
      <c r="S67" s="69"/>
      <c r="T67" s="67" t="s">
        <v>270</v>
      </c>
      <c r="U67" s="72" t="s">
        <v>271</v>
      </c>
    </row>
    <row r="68" ht="15.75" customHeight="1">
      <c r="A68" s="26" t="s">
        <v>333</v>
      </c>
      <c r="B68" s="26" t="s">
        <v>793</v>
      </c>
      <c r="C68" s="26" t="s">
        <v>626</v>
      </c>
      <c r="D68" s="26" t="str">
        <f>IFERROR(__xludf.DUMMYFUNCTION("IF(
 C68=""STATE"",
 UPPER(REGEXEXTRACT(A68,""^state\.([^_@]+)"")),
 """"
)"),"")</f>
        <v/>
      </c>
      <c r="E68" s="26" t="b">
        <v>1</v>
      </c>
      <c r="F68" s="26" t="s">
        <v>633</v>
      </c>
      <c r="G68" s="26" t="str">
        <f t="shared" si="1"/>
        <v>#N/A</v>
      </c>
      <c r="H68" s="26" t="str">
        <f t="shared" si="2"/>
        <v>#N/A</v>
      </c>
      <c r="K68" s="68">
        <f t="shared" si="3"/>
        <v>67</v>
      </c>
      <c r="L68" s="71" t="s">
        <v>264</v>
      </c>
      <c r="M68" s="67" t="str">
        <f>IFERROR(__xludf.DUMMYFUNCTION("LET(
    txt,TRIM(SUBSTITUTE(L68,CHAR(160),""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)"),"building.dungeon@4")</f>
        <v>building.dungeon@4</v>
      </c>
      <c r="N68" s="67"/>
      <c r="O68" s="68">
        <f t="shared" si="4"/>
        <v>67</v>
      </c>
      <c r="P68" s="66" t="s">
        <v>272</v>
      </c>
      <c r="Q68" s="67" t="str">
        <f>IFERROR(__xludf.DUMMYFUNCTION("LET(
    txt,TRIM(SUBSTITUTE(P68,CHAR(160),""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)"),"building.laboratory@2")</f>
        <v>building.laboratory@2</v>
      </c>
      <c r="R68" s="67"/>
      <c r="S68" s="69"/>
      <c r="T68" s="70" t="s">
        <v>272</v>
      </c>
      <c r="U68" s="67" t="s">
        <v>273</v>
      </c>
    </row>
    <row r="69" ht="15.75" customHeight="1">
      <c r="A69" s="26" t="s">
        <v>338</v>
      </c>
      <c r="B69" s="26" t="s">
        <v>796</v>
      </c>
      <c r="C69" s="26" t="s">
        <v>626</v>
      </c>
      <c r="D69" s="26" t="str">
        <f>IFERROR(__xludf.DUMMYFUNCTION("IF(
 C69=""STATE"",
 UPPER(REGEXEXTRACT(A69,""^state\.([^_@]+)"")),
 """"
)"),"")</f>
        <v/>
      </c>
      <c r="E69" s="26" t="b">
        <v>1</v>
      </c>
      <c r="F69" s="26" t="s">
        <v>633</v>
      </c>
      <c r="G69" s="26">
        <f t="shared" si="1"/>
        <v>13</v>
      </c>
      <c r="H69" s="26">
        <f t="shared" si="2"/>
        <v>11</v>
      </c>
      <c r="K69" s="68">
        <f t="shared" si="3"/>
        <v>68</v>
      </c>
      <c r="L69" s="71" t="s">
        <v>266</v>
      </c>
      <c r="M69" s="67" t="str">
        <f>IFERROR(__xludf.DUMMYFUNCTION("LET(
    txt,TRIM(SUBSTITUTE(L69,CHAR(160),""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)"),"building.dungeon@5")</f>
        <v>building.dungeon@5</v>
      </c>
      <c r="N69" s="67"/>
      <c r="O69" s="68">
        <f t="shared" si="4"/>
        <v>68</v>
      </c>
      <c r="P69" s="66" t="s">
        <v>276</v>
      </c>
      <c r="Q69" s="67" t="str">
        <f>IFERROR(__xludf.DUMMYFUNCTION("LET(
    txt,TRIM(SUBSTITUTE(P69,CHAR(160),""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)"),"building.laboratory@3")</f>
        <v>building.laboratory@3</v>
      </c>
      <c r="R69" s="67"/>
      <c r="S69" s="69"/>
      <c r="T69" s="70" t="s">
        <v>276</v>
      </c>
      <c r="U69" s="70" t="s">
        <v>277</v>
      </c>
    </row>
    <row r="70" ht="15.75" customHeight="1">
      <c r="A70" s="26" t="s">
        <v>344</v>
      </c>
      <c r="B70" s="26" t="s">
        <v>798</v>
      </c>
      <c r="C70" s="26" t="s">
        <v>626</v>
      </c>
      <c r="D70" s="26" t="str">
        <f>IFERROR(__xludf.DUMMYFUNCTION("IF(
 C70=""STATE"",
 UPPER(REGEXEXTRACT(A70,""^state\.([^_@]+)"")),
 """"
)"),"")</f>
        <v/>
      </c>
      <c r="E70" s="26" t="b">
        <v>1</v>
      </c>
      <c r="F70" s="26" t="s">
        <v>633</v>
      </c>
      <c r="G70" s="26">
        <f t="shared" si="1"/>
        <v>14</v>
      </c>
      <c r="H70" s="26">
        <f t="shared" si="2"/>
        <v>12</v>
      </c>
      <c r="K70" s="68">
        <f t="shared" si="3"/>
        <v>69</v>
      </c>
      <c r="L70" s="66" t="s">
        <v>249</v>
      </c>
      <c r="M70" s="67" t="str">
        <f>IFERROR(__xludf.DUMMYFUNCTION("LET(
    txt,TRIM(SUBSTITUTE(L70,CHAR(160),""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)"),"building.pagoda@1")</f>
        <v>building.pagoda@1</v>
      </c>
      <c r="N70" s="67"/>
      <c r="O70" s="68">
        <f t="shared" si="4"/>
        <v>69</v>
      </c>
      <c r="P70" s="71" t="s">
        <v>279</v>
      </c>
      <c r="Q70" s="67" t="str">
        <f>IFERROR(__xludf.DUMMYFUNCTION("LET(
    txt,TRIM(SUBSTITUTE(P70,CHAR(160),""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)"),"building.station@1")</f>
        <v>building.station@1</v>
      </c>
      <c r="R70" s="67"/>
      <c r="S70" s="69"/>
      <c r="T70" s="67" t="s">
        <v>279</v>
      </c>
      <c r="U70" s="70" t="s">
        <v>280</v>
      </c>
    </row>
    <row r="71" ht="15.75" customHeight="1">
      <c r="A71" s="26" t="s">
        <v>348</v>
      </c>
      <c r="B71" s="26" t="s">
        <v>800</v>
      </c>
      <c r="C71" s="26" t="s">
        <v>626</v>
      </c>
      <c r="D71" s="26" t="str">
        <f>IFERROR(__xludf.DUMMYFUNCTION("IF(
 C71=""STATE"",
 UPPER(REGEXEXTRACT(A71,""^state\.([^_@]+)"")),
 """"
)"),"")</f>
        <v/>
      </c>
      <c r="E71" s="26" t="b">
        <v>1</v>
      </c>
      <c r="F71" s="26" t="s">
        <v>633</v>
      </c>
      <c r="G71" s="26">
        <f t="shared" si="1"/>
        <v>18</v>
      </c>
      <c r="H71" s="26">
        <f t="shared" si="2"/>
        <v>24</v>
      </c>
      <c r="K71" s="68">
        <f t="shared" si="3"/>
        <v>70</v>
      </c>
      <c r="L71" s="71" t="s">
        <v>252</v>
      </c>
      <c r="M71" s="67" t="str">
        <f>IFERROR(__xludf.DUMMYFUNCTION("LET(
    txt,TRIM(SUBSTITUTE(L71,CHAR(160),""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)"),"building.pagoda@2")</f>
        <v>building.pagoda@2</v>
      </c>
      <c r="N71" s="67"/>
      <c r="O71" s="68">
        <f t="shared" si="4"/>
        <v>70</v>
      </c>
      <c r="P71" s="71" t="s">
        <v>284</v>
      </c>
      <c r="Q71" s="67" t="str">
        <f>IFERROR(__xludf.DUMMYFUNCTION("LET(
    txt,TRIM(SUBSTITUTE(P71,CHAR(160),""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)"),"building.train@1")</f>
        <v>building.train@1</v>
      </c>
      <c r="R71" s="67"/>
      <c r="S71" s="69"/>
      <c r="T71" s="67" t="s">
        <v>284</v>
      </c>
      <c r="U71" s="72" t="s">
        <v>285</v>
      </c>
    </row>
    <row r="72" ht="15.75" customHeight="1">
      <c r="A72" s="26" t="s">
        <v>354</v>
      </c>
      <c r="B72" s="26" t="s">
        <v>802</v>
      </c>
      <c r="C72" s="26" t="s">
        <v>626</v>
      </c>
      <c r="D72" s="26" t="str">
        <f>IFERROR(__xludf.DUMMYFUNCTION("IF(
 C72=""STATE"",
 UPPER(REGEXEXTRACT(A72,""^state\.([^_@]+)"")),
 """"
)"),"")</f>
        <v/>
      </c>
      <c r="E72" s="26" t="b">
        <v>1</v>
      </c>
      <c r="F72" s="26" t="s">
        <v>633</v>
      </c>
      <c r="G72" s="26">
        <f t="shared" si="1"/>
        <v>90</v>
      </c>
      <c r="H72" s="26">
        <f t="shared" si="2"/>
        <v>39</v>
      </c>
      <c r="K72" s="68">
        <f t="shared" si="3"/>
        <v>71</v>
      </c>
      <c r="L72" s="71" t="s">
        <v>253</v>
      </c>
      <c r="M72" s="67" t="str">
        <f>IFERROR(__xludf.DUMMYFUNCTION("LET(
    txt,TRIM(SUBSTITUTE(L72,CHAR(160),""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)"),"building.pagoda@3")</f>
        <v>building.pagoda@3</v>
      </c>
      <c r="N72" s="67"/>
      <c r="O72" s="68">
        <f t="shared" si="4"/>
        <v>71</v>
      </c>
      <c r="P72" s="66" t="s">
        <v>286</v>
      </c>
      <c r="Q72" s="67" t="str">
        <f>IFERROR(__xludf.DUMMYFUNCTION("LET(
    txt,TRIM(SUBSTITUTE(P72,CHAR(160),""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)"),"building.train@2")</f>
        <v>building.train@2</v>
      </c>
      <c r="R72" s="67"/>
      <c r="S72" s="69"/>
      <c r="T72" s="70" t="s">
        <v>286</v>
      </c>
      <c r="U72" s="70" t="s">
        <v>287</v>
      </c>
    </row>
    <row r="73" ht="15.75" customHeight="1">
      <c r="A73" s="26" t="s">
        <v>359</v>
      </c>
      <c r="B73" s="26" t="s">
        <v>804</v>
      </c>
      <c r="C73" s="26" t="s">
        <v>626</v>
      </c>
      <c r="D73" s="26" t="str">
        <f>IFERROR(__xludf.DUMMYFUNCTION("IF(
 C73=""STATE"",
 UPPER(REGEXEXTRACT(A73,""^state\.([^_@]+)"")),
 """"
)"),"")</f>
        <v/>
      </c>
      <c r="E73" s="26" t="b">
        <v>1</v>
      </c>
      <c r="F73" s="26" t="s">
        <v>633</v>
      </c>
      <c r="G73" s="26">
        <f t="shared" si="1"/>
        <v>91</v>
      </c>
      <c r="H73" s="26">
        <f t="shared" si="2"/>
        <v>40</v>
      </c>
      <c r="K73" s="68">
        <f t="shared" si="3"/>
        <v>72</v>
      </c>
      <c r="L73" s="71" t="s">
        <v>256</v>
      </c>
      <c r="M73" s="67" t="str">
        <f>IFERROR(__xludf.DUMMYFUNCTION("LET(
    txt,TRIM(SUBSTITUTE(L73,CHAR(160),""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)"),"building.pagoda@4")</f>
        <v>building.pagoda@4</v>
      </c>
      <c r="N73" s="67"/>
      <c r="O73" s="68">
        <f t="shared" si="4"/>
        <v>72</v>
      </c>
      <c r="P73" s="71" t="s">
        <v>289</v>
      </c>
      <c r="Q73" s="67" t="str">
        <f>IFERROR(__xludf.DUMMYFUNCTION("LET(
    txt,TRIM(SUBSTITUTE(P73,CHAR(160),""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)"),"building.fermentory@1")</f>
        <v>building.fermentory@1</v>
      </c>
      <c r="R73" s="67"/>
      <c r="S73" s="69"/>
      <c r="T73" s="67" t="s">
        <v>289</v>
      </c>
      <c r="U73" s="74" t="s">
        <v>290</v>
      </c>
    </row>
    <row r="74" ht="15.75" customHeight="1">
      <c r="A74" s="26" t="s">
        <v>806</v>
      </c>
      <c r="B74" s="26" t="s">
        <v>807</v>
      </c>
      <c r="C74" s="26" t="s">
        <v>626</v>
      </c>
      <c r="D74" s="26" t="str">
        <f>IFERROR(__xludf.DUMMYFUNCTION("IF(
 C74=""STATE"",
 UPPER(REGEXEXTRACT(A74,""^state\.([^_@]+)"")),
 """"
)"),"")</f>
        <v/>
      </c>
      <c r="E74" s="26" t="b">
        <v>1</v>
      </c>
      <c r="F74" s="26" t="s">
        <v>628</v>
      </c>
      <c r="G74" s="26" t="str">
        <f t="shared" si="1"/>
        <v/>
      </c>
      <c r="H74" s="26" t="str">
        <f t="shared" si="2"/>
        <v/>
      </c>
      <c r="K74" s="68">
        <f t="shared" si="3"/>
        <v>73</v>
      </c>
      <c r="L74" s="71" t="s">
        <v>257</v>
      </c>
      <c r="M74" s="67" t="str">
        <f>IFERROR(__xludf.DUMMYFUNCTION("LET(
    txt,TRIM(SUBSTITUTE(L74,CHAR(160),""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)"),"building.pagoda@5")</f>
        <v>building.pagoda@5</v>
      </c>
      <c r="N74" s="67"/>
      <c r="O74" s="68">
        <f t="shared" si="4"/>
        <v>73</v>
      </c>
      <c r="P74" s="71" t="s">
        <v>292</v>
      </c>
      <c r="Q74" s="67" t="str">
        <f>IFERROR(__xludf.DUMMYFUNCTION("LET(
    txt,TRIM(SUBSTITUTE(P74,CHAR(160),""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)"),"building.fermentory@2")</f>
        <v>building.fermentory@2</v>
      </c>
      <c r="R74" s="67"/>
      <c r="S74" s="69"/>
      <c r="T74" s="70" t="s">
        <v>292</v>
      </c>
      <c r="U74" s="75"/>
    </row>
    <row r="75" ht="15.75" customHeight="1">
      <c r="A75" s="26" t="s">
        <v>362</v>
      </c>
      <c r="B75" s="26" t="s">
        <v>810</v>
      </c>
      <c r="C75" s="26" t="s">
        <v>626</v>
      </c>
      <c r="D75" s="26" t="str">
        <f>IFERROR(__xludf.DUMMYFUNCTION("IF(
 C75=""STATE"",
 UPPER(REGEXEXTRACT(A75,""^state\.([^_@]+)"")),
 """"
)"),"")</f>
        <v/>
      </c>
      <c r="E75" s="26" t="b">
        <v>1</v>
      </c>
      <c r="F75" s="26" t="s">
        <v>633</v>
      </c>
      <c r="G75" s="26">
        <f t="shared" si="1"/>
        <v>28</v>
      </c>
      <c r="H75" s="26">
        <f t="shared" si="2"/>
        <v>36</v>
      </c>
      <c r="K75" s="68">
        <f t="shared" si="3"/>
        <v>74</v>
      </c>
      <c r="L75" s="71" t="s">
        <v>260</v>
      </c>
      <c r="M75" s="67" t="str">
        <f>IFERROR(__xludf.DUMMYFUNCTION("LET(
    txt,TRIM(SUBSTITUTE(L75,CHAR(160),""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)"),"building.pagoda@6")</f>
        <v>building.pagoda@6</v>
      </c>
      <c r="N75" s="67"/>
      <c r="O75" s="68">
        <f t="shared" si="4"/>
        <v>74</v>
      </c>
      <c r="P75" s="71" t="s">
        <v>294</v>
      </c>
      <c r="Q75" s="67" t="str">
        <f>IFERROR(__xludf.DUMMYFUNCTION("LET(
    txt,TRIM(SUBSTITUTE(P75,CHAR(160),""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)"),"building.fermentory@3")</f>
        <v>building.fermentory@3</v>
      </c>
      <c r="R75" s="67"/>
      <c r="S75" s="69"/>
      <c r="T75" s="70" t="s">
        <v>294</v>
      </c>
      <c r="U75" s="76"/>
    </row>
    <row r="76" ht="15.75" customHeight="1">
      <c r="A76" s="26" t="s">
        <v>364</v>
      </c>
      <c r="B76" s="26" t="s">
        <v>812</v>
      </c>
      <c r="C76" s="26" t="s">
        <v>626</v>
      </c>
      <c r="D76" s="26" t="str">
        <f>IFERROR(__xludf.DUMMYFUNCTION("IF(
 C76=""STATE"",
 UPPER(REGEXEXTRACT(A76,""^state\.([^_@]+)"")),
 """"
)"),"")</f>
        <v/>
      </c>
      <c r="E76" s="26" t="b">
        <v>1</v>
      </c>
      <c r="F76" s="26" t="s">
        <v>633</v>
      </c>
      <c r="G76" s="26">
        <f t="shared" si="1"/>
        <v>35</v>
      </c>
      <c r="H76" s="26">
        <f t="shared" si="2"/>
        <v>46</v>
      </c>
      <c r="K76" s="68">
        <f t="shared" si="3"/>
        <v>75</v>
      </c>
      <c r="L76" s="71" t="s">
        <v>261</v>
      </c>
      <c r="M76" s="67" t="str">
        <f>IFERROR(__xludf.DUMMYFUNCTION("LET(
    txt,TRIM(SUBSTITUTE(L76,CHAR(160),""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)"),"building.pagoda@7")</f>
        <v>building.pagoda@7</v>
      </c>
      <c r="N76" s="67"/>
      <c r="O76" s="68">
        <f t="shared" si="4"/>
        <v>75</v>
      </c>
      <c r="P76" s="66" t="s">
        <v>296</v>
      </c>
      <c r="Q76" s="67" t="str">
        <f>IFERROR(__xludf.DUMMYFUNCTION("LET(
    txt,TRIM(SUBSTITUTE(P76,CHAR(160),""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)"),"building.laboratory@4")</f>
        <v>building.laboratory@4</v>
      </c>
      <c r="R76" s="67"/>
      <c r="S76" s="69"/>
      <c r="T76" s="70" t="s">
        <v>296</v>
      </c>
      <c r="U76" s="70" t="s">
        <v>297</v>
      </c>
    </row>
    <row r="77" ht="15.75" customHeight="1">
      <c r="A77" s="26" t="s">
        <v>366</v>
      </c>
      <c r="B77" s="26" t="s">
        <v>814</v>
      </c>
      <c r="C77" s="26" t="s">
        <v>626</v>
      </c>
      <c r="D77" s="26" t="str">
        <f>IFERROR(__xludf.DUMMYFUNCTION("IF(
 C77=""STATE"",
 UPPER(REGEXEXTRACT(A77,""^state\.([^_@]+)"")),
 """"
)"),"")</f>
        <v/>
      </c>
      <c r="E77" s="26" t="b">
        <v>1</v>
      </c>
      <c r="F77" s="26" t="s">
        <v>633</v>
      </c>
      <c r="G77" s="26">
        <f t="shared" si="1"/>
        <v>50</v>
      </c>
      <c r="H77" s="26">
        <f t="shared" si="2"/>
        <v>61</v>
      </c>
      <c r="K77" s="68">
        <f t="shared" si="3"/>
        <v>76</v>
      </c>
      <c r="L77" s="66" t="s">
        <v>270</v>
      </c>
      <c r="M77" s="67" t="str">
        <f>IFERROR(__xludf.DUMMYFUNCTION("LET(
    txt,TRIM(SUBSTITUTE(L77,CHAR(160),""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)"),"building.laboratory@1")</f>
        <v>building.laboratory@1</v>
      </c>
      <c r="N77" s="67"/>
      <c r="O77" s="68">
        <f t="shared" si="4"/>
        <v>76</v>
      </c>
      <c r="P77" s="66" t="s">
        <v>299</v>
      </c>
      <c r="Q77" s="67" t="str">
        <f>IFERROR(__xludf.DUMMYFUNCTION("LET(
    txt,TRIM(SUBSTITUTE(P77,CHAR(160),""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)"),"building.laboratory@5")</f>
        <v>building.laboratory@5</v>
      </c>
      <c r="R77" s="67"/>
      <c r="S77" s="69"/>
      <c r="T77" s="70" t="s">
        <v>299</v>
      </c>
      <c r="U77" s="72" t="s">
        <v>300</v>
      </c>
    </row>
    <row r="78" ht="15.75" customHeight="1">
      <c r="A78" s="26" t="s">
        <v>368</v>
      </c>
      <c r="B78" s="26" t="s">
        <v>816</v>
      </c>
      <c r="C78" s="26" t="s">
        <v>626</v>
      </c>
      <c r="D78" s="26" t="str">
        <f>IFERROR(__xludf.DUMMYFUNCTION("IF(
 C78=""STATE"",
 UPPER(REGEXEXTRACT(A78,""^state\.([^_@]+)"")),
 """"
)"),"")</f>
        <v/>
      </c>
      <c r="E78" s="26" t="b">
        <v>1</v>
      </c>
      <c r="F78" s="26" t="s">
        <v>633</v>
      </c>
      <c r="G78" s="26">
        <f t="shared" si="1"/>
        <v>57</v>
      </c>
      <c r="H78" s="26">
        <f t="shared" si="2"/>
        <v>69</v>
      </c>
      <c r="K78" s="68">
        <f t="shared" si="3"/>
        <v>77</v>
      </c>
      <c r="L78" s="71" t="s">
        <v>272</v>
      </c>
      <c r="M78" s="67" t="str">
        <f>IFERROR(__xludf.DUMMYFUNCTION("LET(
    txt,TRIM(SUBSTITUTE(L78,CHAR(160),""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)"),"building.laboratory@2")</f>
        <v>building.laboratory@2</v>
      </c>
      <c r="N78" s="67"/>
      <c r="O78" s="68">
        <f t="shared" si="4"/>
        <v>77</v>
      </c>
      <c r="P78" s="71" t="s">
        <v>303</v>
      </c>
      <c r="Q78" s="67" t="str">
        <f>IFERROR(__xludf.DUMMYFUNCTION("LET(
    txt,TRIM(SUBSTITUTE(P78,CHAR(160),""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)"),"building.dairy@1")</f>
        <v>building.dairy@1</v>
      </c>
      <c r="R78" s="67"/>
      <c r="S78" s="69"/>
      <c r="T78" s="67" t="s">
        <v>303</v>
      </c>
      <c r="U78" s="67" t="s">
        <v>304</v>
      </c>
    </row>
    <row r="79" ht="15.75" customHeight="1">
      <c r="A79" s="26" t="s">
        <v>370</v>
      </c>
      <c r="B79" s="26" t="s">
        <v>819</v>
      </c>
      <c r="C79" s="26" t="s">
        <v>626</v>
      </c>
      <c r="D79" s="26" t="str">
        <f>IFERROR(__xludf.DUMMYFUNCTION("IF(
 C79=""STATE"",
 UPPER(REGEXEXTRACT(A79,""^state\.([^_@]+)"")),
 """"
)"),"")</f>
        <v/>
      </c>
      <c r="E79" s="26" t="b">
        <v>1</v>
      </c>
      <c r="F79" s="26" t="s">
        <v>633</v>
      </c>
      <c r="G79" s="26">
        <f t="shared" si="1"/>
        <v>58</v>
      </c>
      <c r="H79" s="26">
        <f t="shared" si="2"/>
        <v>70</v>
      </c>
      <c r="K79" s="68">
        <f t="shared" si="3"/>
        <v>78</v>
      </c>
      <c r="L79" s="71" t="s">
        <v>276</v>
      </c>
      <c r="M79" s="67" t="str">
        <f>IFERROR(__xludf.DUMMYFUNCTION("LET(
    txt,TRIM(SUBSTITUTE(L79,CHAR(160),""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)"),"building.laboratory@3")</f>
        <v>building.laboratory@3</v>
      </c>
      <c r="N79" s="67"/>
      <c r="O79" s="68">
        <f t="shared" si="4"/>
        <v>78</v>
      </c>
      <c r="P79" s="66" t="s">
        <v>305</v>
      </c>
      <c r="Q79" s="67" t="str">
        <f>IFERROR(__xludf.DUMMYFUNCTION("LET(
    txt,TRIM(SUBSTITUTE(P79,CHAR(160),""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)"),"building.dairy@2")</f>
        <v>building.dairy@2</v>
      </c>
      <c r="R79" s="67"/>
      <c r="S79" s="69"/>
      <c r="T79" s="70" t="s">
        <v>305</v>
      </c>
      <c r="U79" s="70" t="s">
        <v>306</v>
      </c>
    </row>
    <row r="80" ht="15.75" customHeight="1">
      <c r="A80" s="26" t="s">
        <v>372</v>
      </c>
      <c r="B80" s="26" t="s">
        <v>821</v>
      </c>
      <c r="C80" s="26" t="s">
        <v>626</v>
      </c>
      <c r="D80" s="26" t="str">
        <f>IFERROR(__xludf.DUMMYFUNCTION("IF(
 C80=""STATE"",
 UPPER(REGEXEXTRACT(A80,""^state\.([^_@]+)"")),
 """"
)"),"")</f>
        <v/>
      </c>
      <c r="E80" s="26" t="b">
        <v>1</v>
      </c>
      <c r="F80" s="26" t="s">
        <v>633</v>
      </c>
      <c r="G80" s="26">
        <f t="shared" si="1"/>
        <v>59</v>
      </c>
      <c r="H80" s="26">
        <f t="shared" si="2"/>
        <v>71</v>
      </c>
      <c r="K80" s="68">
        <f t="shared" si="3"/>
        <v>79</v>
      </c>
      <c r="L80" s="66" t="s">
        <v>279</v>
      </c>
      <c r="M80" s="67" t="str">
        <f>IFERROR(__xludf.DUMMYFUNCTION("LET(
    txt,TRIM(SUBSTITUTE(L80,CHAR(160),""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)"),"building.station@1")</f>
        <v>building.station@1</v>
      </c>
      <c r="N80" s="67"/>
      <c r="O80" s="68">
        <f t="shared" si="4"/>
        <v>79</v>
      </c>
      <c r="P80" s="71" t="s">
        <v>308</v>
      </c>
      <c r="Q80" s="67" t="str">
        <f>IFERROR(__xludf.DUMMYFUNCTION("LET(
    txt,TRIM(SUBSTITUTE(P80,CHAR(160),""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)"),"building.fermentory@4")</f>
        <v>building.fermentory@4</v>
      </c>
      <c r="R80" s="67"/>
      <c r="S80" s="69"/>
      <c r="T80" s="70" t="s">
        <v>308</v>
      </c>
      <c r="U80" s="67" t="s">
        <v>309</v>
      </c>
    </row>
    <row r="81" ht="15.75" customHeight="1">
      <c r="A81" s="26" t="s">
        <v>374</v>
      </c>
      <c r="B81" s="26" t="s">
        <v>823</v>
      </c>
      <c r="C81" s="26" t="s">
        <v>626</v>
      </c>
      <c r="D81" s="26" t="str">
        <f>IFERROR(__xludf.DUMMYFUNCTION("IF(
 C81=""STATE"",
 UPPER(REGEXEXTRACT(A81,""^state\.([^_@]+)"")),
 """"
)"),"")</f>
        <v/>
      </c>
      <c r="E81" s="26" t="b">
        <v>1</v>
      </c>
      <c r="F81" s="26" t="s">
        <v>633</v>
      </c>
      <c r="G81" s="26">
        <f t="shared" si="1"/>
        <v>60</v>
      </c>
      <c r="H81" s="26">
        <f t="shared" si="2"/>
        <v>72</v>
      </c>
      <c r="K81" s="68">
        <f t="shared" si="3"/>
        <v>80</v>
      </c>
      <c r="L81" s="66" t="s">
        <v>284</v>
      </c>
      <c r="M81" s="67" t="str">
        <f>IFERROR(__xludf.DUMMYFUNCTION("LET(
    txt,TRIM(SUBSTITUTE(L81,CHAR(160),""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)"),"building.train@1")</f>
        <v>building.train@1</v>
      </c>
      <c r="N81" s="67"/>
      <c r="O81" s="68">
        <f t="shared" si="4"/>
        <v>80</v>
      </c>
      <c r="P81" s="71" t="s">
        <v>311</v>
      </c>
      <c r="Q81" s="67" t="str">
        <f>IFERROR(__xludf.DUMMYFUNCTION("LET(
    txt,TRIM(SUBSTITUTE(P81,CHAR(160),""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)"),"building.fermentory@5")</f>
        <v>building.fermentory@5</v>
      </c>
      <c r="R81" s="67"/>
      <c r="S81" s="69"/>
      <c r="T81" s="70" t="s">
        <v>311</v>
      </c>
      <c r="U81" s="67"/>
    </row>
    <row r="82" ht="15.75" customHeight="1">
      <c r="A82" s="26" t="s">
        <v>376</v>
      </c>
      <c r="B82" s="26" t="s">
        <v>825</v>
      </c>
      <c r="C82" s="26" t="s">
        <v>626</v>
      </c>
      <c r="D82" s="26" t="str">
        <f>IFERROR(__xludf.DUMMYFUNCTION("IF(
 C82=""STATE"",
 UPPER(REGEXEXTRACT(A82,""^state\.([^_@]+)"")),
 """"
)"),"")</f>
        <v/>
      </c>
      <c r="E82" s="26" t="b">
        <v>1</v>
      </c>
      <c r="F82" s="26" t="s">
        <v>633</v>
      </c>
      <c r="G82" s="26">
        <f t="shared" si="1"/>
        <v>61</v>
      </c>
      <c r="H82" s="26">
        <f t="shared" si="2"/>
        <v>73</v>
      </c>
      <c r="K82" s="68">
        <f t="shared" si="3"/>
        <v>81</v>
      </c>
      <c r="L82" s="71" t="s">
        <v>286</v>
      </c>
      <c r="M82" s="67" t="str">
        <f>IFERROR(__xludf.DUMMYFUNCTION("LET(
    txt,TRIM(SUBSTITUTE(L82,CHAR(160),""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)"),"building.train@2")</f>
        <v>building.train@2</v>
      </c>
      <c r="N82" s="67"/>
      <c r="O82" s="68">
        <f t="shared" si="4"/>
        <v>81</v>
      </c>
      <c r="P82" s="66" t="s">
        <v>313</v>
      </c>
      <c r="Q82" s="67" t="str">
        <f>IFERROR(__xludf.DUMMYFUNCTION("LET(
    txt,TRIM(SUBSTITUTE(P82,CHAR(160),""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)"),"building.fermentory@6")</f>
        <v>building.fermentory@6</v>
      </c>
      <c r="R82" s="67"/>
      <c r="S82" s="69"/>
      <c r="T82" s="70" t="s">
        <v>313</v>
      </c>
      <c r="U82" s="67"/>
    </row>
    <row r="83" ht="15.75" customHeight="1">
      <c r="A83" s="26" t="s">
        <v>378</v>
      </c>
      <c r="B83" s="26" t="s">
        <v>827</v>
      </c>
      <c r="C83" s="26" t="s">
        <v>626</v>
      </c>
      <c r="D83" s="26" t="str">
        <f>IFERROR(__xludf.DUMMYFUNCTION("IF(
 C83=""STATE"",
 UPPER(REGEXEXTRACT(A83,""^state\.([^_@]+)"")),
 """"
)"),"")</f>
        <v/>
      </c>
      <c r="E83" s="26" t="b">
        <v>1</v>
      </c>
      <c r="F83" s="26" t="s">
        <v>633</v>
      </c>
      <c r="G83" s="26">
        <f t="shared" si="1"/>
        <v>62</v>
      </c>
      <c r="H83" s="26">
        <f t="shared" si="2"/>
        <v>74</v>
      </c>
      <c r="K83" s="68">
        <f t="shared" si="3"/>
        <v>82</v>
      </c>
      <c r="L83" s="66" t="s">
        <v>289</v>
      </c>
      <c r="M83" s="67" t="str">
        <f>IFERROR(__xludf.DUMMYFUNCTION("LET(
    txt,TRIM(SUBSTITUTE(L83,CHAR(160),""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)"),"building.fermentory@1")</f>
        <v>building.fermentory@1</v>
      </c>
      <c r="N83" s="67"/>
      <c r="O83" s="68">
        <f t="shared" si="4"/>
        <v>82</v>
      </c>
      <c r="P83" s="71" t="s">
        <v>74</v>
      </c>
      <c r="Q83" s="67" t="str">
        <f>IFERROR(__xludf.DUMMYFUNCTION("LET(
    txt,TRIM(SUBSTITUTE(P83,CHAR(160),""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)"),"building.rock_garden@1")</f>
        <v>building.rock_garden@1</v>
      </c>
      <c r="R83" s="67"/>
      <c r="S83" s="69"/>
      <c r="T83" s="67" t="s">
        <v>74</v>
      </c>
      <c r="U83" s="74" t="s">
        <v>317</v>
      </c>
    </row>
    <row r="84" ht="15.75" customHeight="1">
      <c r="A84" s="26" t="s">
        <v>381</v>
      </c>
      <c r="B84" s="26" t="s">
        <v>830</v>
      </c>
      <c r="C84" s="26" t="s">
        <v>626</v>
      </c>
      <c r="D84" s="26" t="str">
        <f>IFERROR(__xludf.DUMMYFUNCTION("IF(
 C84=""STATE"",
 UPPER(REGEXEXTRACT(A84,""^state\.([^_@]+)"")),
 """"
)"),"")</f>
        <v/>
      </c>
      <c r="E84" s="26" t="b">
        <v>1</v>
      </c>
      <c r="F84" s="26" t="s">
        <v>633</v>
      </c>
      <c r="G84" s="26">
        <f t="shared" si="1"/>
        <v>63</v>
      </c>
      <c r="H84" s="26">
        <f t="shared" si="2"/>
        <v>75</v>
      </c>
      <c r="K84" s="68">
        <f t="shared" si="3"/>
        <v>83</v>
      </c>
      <c r="L84" s="71" t="s">
        <v>292</v>
      </c>
      <c r="M84" s="67" t="str">
        <f>IFERROR(__xludf.DUMMYFUNCTION("LET(
    txt,TRIM(SUBSTITUTE(L84,CHAR(160),""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)"),"building.fermentory@2")</f>
        <v>building.fermentory@2</v>
      </c>
      <c r="N84" s="67"/>
      <c r="O84" s="68">
        <f t="shared" si="4"/>
        <v>83</v>
      </c>
      <c r="P84" s="71" t="s">
        <v>78</v>
      </c>
      <c r="Q84" s="67" t="str">
        <f>IFERROR(__xludf.DUMMYFUNCTION("LET(
    txt,TRIM(SUBSTITUTE(P84,CHAR(160),""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)"),"building.rock_garden@2")</f>
        <v>building.rock_garden@2</v>
      </c>
      <c r="R84" s="67"/>
      <c r="S84" s="69"/>
      <c r="T84" s="70" t="s">
        <v>78</v>
      </c>
      <c r="U84" s="75"/>
    </row>
    <row r="85" ht="15.75" customHeight="1">
      <c r="A85" s="26" t="s">
        <v>383</v>
      </c>
      <c r="B85" s="26" t="s">
        <v>831</v>
      </c>
      <c r="C85" s="26" t="s">
        <v>626</v>
      </c>
      <c r="D85" s="26" t="str">
        <f>IFERROR(__xludf.DUMMYFUNCTION("IF(
 C85=""STATE"",
 UPPER(REGEXEXTRACT(A85,""^state\.([^_@]+)"")),
 """"
)"),"")</f>
        <v/>
      </c>
      <c r="E85" s="26" t="b">
        <v>1</v>
      </c>
      <c r="F85" s="26" t="s">
        <v>633</v>
      </c>
      <c r="G85" s="26">
        <f t="shared" si="1"/>
        <v>19</v>
      </c>
      <c r="H85" s="26">
        <f t="shared" si="2"/>
        <v>25</v>
      </c>
      <c r="K85" s="68">
        <f t="shared" si="3"/>
        <v>84</v>
      </c>
      <c r="L85" s="71" t="s">
        <v>294</v>
      </c>
      <c r="M85" s="67" t="str">
        <f>IFERROR(__xludf.DUMMYFUNCTION("LET(
    txt,TRIM(SUBSTITUTE(L85,CHAR(160),""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)"),"building.fermentory@3")</f>
        <v>building.fermentory@3</v>
      </c>
      <c r="N85" s="67"/>
      <c r="O85" s="68">
        <f t="shared" si="4"/>
        <v>84</v>
      </c>
      <c r="P85" s="66" t="s">
        <v>100</v>
      </c>
      <c r="Q85" s="67" t="str">
        <f>IFERROR(__xludf.DUMMYFUNCTION("LET(
    txt,TRIM(SUBSTITUTE(P85,CHAR(160),""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)"),"building.rock_garden@3")</f>
        <v>building.rock_garden@3</v>
      </c>
      <c r="R85" s="67"/>
      <c r="S85" s="69"/>
      <c r="T85" s="70" t="s">
        <v>100</v>
      </c>
      <c r="U85" s="76"/>
    </row>
    <row r="86" ht="15.75" customHeight="1">
      <c r="A86" s="26" t="s">
        <v>834</v>
      </c>
      <c r="B86" s="26" t="s">
        <v>835</v>
      </c>
      <c r="C86" s="26" t="s">
        <v>626</v>
      </c>
      <c r="D86" s="26" t="str">
        <f>IFERROR(__xludf.DUMMYFUNCTION("IF(
 C86=""STATE"",
 UPPER(REGEXEXTRACT(A86,""^state\.([^_@]+)"")),
 """"
)"),"")</f>
        <v/>
      </c>
      <c r="E86" s="26" t="b">
        <v>1</v>
      </c>
      <c r="F86" s="26" t="s">
        <v>628</v>
      </c>
      <c r="G86" s="26" t="str">
        <f t="shared" si="1"/>
        <v/>
      </c>
      <c r="H86" s="26" t="str">
        <f t="shared" si="2"/>
        <v/>
      </c>
      <c r="K86" s="68">
        <f t="shared" si="3"/>
        <v>85</v>
      </c>
      <c r="L86" s="71" t="s">
        <v>296</v>
      </c>
      <c r="M86" s="67" t="str">
        <f>IFERROR(__xludf.DUMMYFUNCTION("LET(
    txt,TRIM(SUBSTITUTE(L86,CHAR(160),""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)"),"building.laboratory@4")</f>
        <v>building.laboratory@4</v>
      </c>
      <c r="N86" s="67"/>
      <c r="O86" s="68">
        <f t="shared" si="4"/>
        <v>85</v>
      </c>
      <c r="P86" s="71" t="s">
        <v>82</v>
      </c>
      <c r="Q86" s="67" t="str">
        <f>IFERROR(__xludf.DUMMYFUNCTION("LET(
    txt,TRIM(SUBSTITUTE(P86,CHAR(160),""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)"),"building.garden@1")</f>
        <v>building.garden@1</v>
      </c>
      <c r="R86" s="67"/>
      <c r="S86" s="69"/>
      <c r="T86" s="67" t="s">
        <v>82</v>
      </c>
      <c r="U86" s="74" t="s">
        <v>323</v>
      </c>
    </row>
    <row r="87" ht="15.75" customHeight="1">
      <c r="A87" s="26" t="s">
        <v>385</v>
      </c>
      <c r="B87" s="26" t="s">
        <v>837</v>
      </c>
      <c r="C87" s="26" t="s">
        <v>626</v>
      </c>
      <c r="D87" s="26" t="str">
        <f>IFERROR(__xludf.DUMMYFUNCTION("IF(
 C87=""STATE"",
 UPPER(REGEXEXTRACT(A87,""^state\.([^_@]+)"")),
 """"
)"),"")</f>
        <v/>
      </c>
      <c r="E87" s="26" t="b">
        <v>1</v>
      </c>
      <c r="F87" s="26" t="s">
        <v>633</v>
      </c>
      <c r="G87" s="26">
        <f t="shared" si="1"/>
        <v>82</v>
      </c>
      <c r="H87" s="26">
        <f t="shared" si="2"/>
        <v>7</v>
      </c>
      <c r="K87" s="68">
        <f t="shared" si="3"/>
        <v>86</v>
      </c>
      <c r="L87" s="71" t="s">
        <v>299</v>
      </c>
      <c r="M87" s="67" t="str">
        <f>IFERROR(__xludf.DUMMYFUNCTION("LET(
    txt,TRIM(SUBSTITUTE(L87,CHAR(160),""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)"),"building.laboratory@5")</f>
        <v>building.laboratory@5</v>
      </c>
      <c r="N87" s="67"/>
      <c r="O87" s="68">
        <f t="shared" si="4"/>
        <v>86</v>
      </c>
      <c r="P87" s="66" t="s">
        <v>86</v>
      </c>
      <c r="Q87" s="67" t="str">
        <f>IFERROR(__xludf.DUMMYFUNCTION("LET(
    txt,TRIM(SUBSTITUTE(P87,CHAR(160),""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)"),"building.garden@2")</f>
        <v>building.garden@2</v>
      </c>
      <c r="R87" s="67"/>
      <c r="S87" s="69"/>
      <c r="T87" s="70" t="s">
        <v>86</v>
      </c>
      <c r="U87" s="75"/>
    </row>
    <row r="88" ht="15.75" customHeight="1">
      <c r="A88" s="26" t="s">
        <v>388</v>
      </c>
      <c r="B88" s="26" t="s">
        <v>840</v>
      </c>
      <c r="C88" s="26" t="s">
        <v>626</v>
      </c>
      <c r="D88" s="26" t="str">
        <f>IFERROR(__xludf.DUMMYFUNCTION("IF(
 C88=""STATE"",
 UPPER(REGEXEXTRACT(A88,""^state\.([^_@]+)"")),
 """"
)"),"")</f>
        <v/>
      </c>
      <c r="E88" s="26" t="b">
        <v>1</v>
      </c>
      <c r="F88" s="26" t="s">
        <v>633</v>
      </c>
      <c r="G88" s="26">
        <f t="shared" si="1"/>
        <v>83</v>
      </c>
      <c r="H88" s="26">
        <f t="shared" si="2"/>
        <v>8</v>
      </c>
      <c r="K88" s="68">
        <f t="shared" si="3"/>
        <v>87</v>
      </c>
      <c r="L88" s="66" t="s">
        <v>303</v>
      </c>
      <c r="M88" s="67" t="str">
        <f>IFERROR(__xludf.DUMMYFUNCTION("LET(
    txt,TRIM(SUBSTITUTE(L88,CHAR(160),""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)"),"building.dairy@1")</f>
        <v>building.dairy@1</v>
      </c>
      <c r="N88" s="67"/>
      <c r="O88" s="68">
        <f t="shared" si="4"/>
        <v>87</v>
      </c>
      <c r="P88" s="66" t="s">
        <v>109</v>
      </c>
      <c r="Q88" s="67" t="str">
        <f>IFERROR(__xludf.DUMMYFUNCTION("LET(
    txt,TRIM(SUBSTITUTE(P88,CHAR(160),""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)"),"building.garden@3")</f>
        <v>building.garden@3</v>
      </c>
      <c r="R88" s="67"/>
      <c r="S88" s="69"/>
      <c r="T88" s="70" t="s">
        <v>109</v>
      </c>
      <c r="U88" s="76"/>
    </row>
    <row r="89" ht="15.75" customHeight="1">
      <c r="A89" s="26" t="s">
        <v>390</v>
      </c>
      <c r="B89" s="26" t="s">
        <v>842</v>
      </c>
      <c r="C89" s="26" t="s">
        <v>626</v>
      </c>
      <c r="D89" s="26" t="str">
        <f>IFERROR(__xludf.DUMMYFUNCTION("IF(
 C89=""STATE"",
 UPPER(REGEXEXTRACT(A89,""^state\.([^_@]+)"")),
 """"
)"),"")</f>
        <v/>
      </c>
      <c r="E89" s="26" t="b">
        <v>1</v>
      </c>
      <c r="F89" s="26" t="s">
        <v>633</v>
      </c>
      <c r="G89" s="26">
        <f t="shared" si="1"/>
        <v>84</v>
      </c>
      <c r="H89" s="26">
        <f t="shared" si="2"/>
        <v>14</v>
      </c>
      <c r="K89" s="68">
        <f t="shared" si="3"/>
        <v>88</v>
      </c>
      <c r="L89" s="71" t="s">
        <v>305</v>
      </c>
      <c r="M89" s="67" t="str">
        <f>IFERROR(__xludf.DUMMYFUNCTION("LET(
    txt,TRIM(SUBSTITUTE(L89,CHAR(160),""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)"),"building.dairy@2")</f>
        <v>building.dairy@2</v>
      </c>
      <c r="N89" s="67"/>
      <c r="O89" s="68">
        <f t="shared" si="4"/>
        <v>88</v>
      </c>
      <c r="P89" s="66" t="s">
        <v>724</v>
      </c>
      <c r="Q89" s="67" t="str">
        <f>IFERROR(__xludf.DUMMYFUNCTION("LET(
    txt,TRIM(SUBSTITUTE(P89,CHAR(160),""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)"),"building.bonsai@1")</f>
        <v>building.bonsai@1</v>
      </c>
      <c r="R89" s="67"/>
      <c r="S89" s="69"/>
      <c r="T89" s="67" t="s">
        <v>191</v>
      </c>
      <c r="U89" s="74" t="s">
        <v>326</v>
      </c>
    </row>
    <row r="90" ht="15.75" customHeight="1">
      <c r="A90" s="26" t="s">
        <v>393</v>
      </c>
      <c r="B90" s="26" t="s">
        <v>844</v>
      </c>
      <c r="C90" s="26" t="s">
        <v>626</v>
      </c>
      <c r="D90" s="26" t="str">
        <f>IFERROR(__xludf.DUMMYFUNCTION("IF(
 C90=""STATE"",
 UPPER(REGEXEXTRACT(A90,""^state\.([^_@]+)"")),
 """"
)"),"")</f>
        <v/>
      </c>
      <c r="E90" s="26" t="b">
        <v>1</v>
      </c>
      <c r="F90" s="26" t="s">
        <v>633</v>
      </c>
      <c r="G90" s="26">
        <f t="shared" si="1"/>
        <v>20</v>
      </c>
      <c r="H90" s="26">
        <f t="shared" si="2"/>
        <v>26</v>
      </c>
      <c r="K90" s="68">
        <f t="shared" si="3"/>
        <v>89</v>
      </c>
      <c r="L90" s="71" t="s">
        <v>308</v>
      </c>
      <c r="M90" s="67" t="str">
        <f>IFERROR(__xludf.DUMMYFUNCTION("LET(
    txt,TRIM(SUBSTITUTE(L90,CHAR(160),""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)"),"building.fermentory@4")</f>
        <v>building.fermentory@4</v>
      </c>
      <c r="N90" s="67"/>
      <c r="O90" s="68">
        <f t="shared" si="4"/>
        <v>89</v>
      </c>
      <c r="P90" s="77" t="s">
        <v>845</v>
      </c>
      <c r="Q90" s="67" t="str">
        <f>IFERROR(__xludf.DUMMYFUNCTION("LET(
    txt,TRIM(SUBSTITUTE(P90,CHAR(160),""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)"),"building.bonsai@2")</f>
        <v>building.bonsai@2</v>
      </c>
      <c r="R90" s="67"/>
      <c r="S90" s="69"/>
      <c r="T90" s="70" t="s">
        <v>196</v>
      </c>
      <c r="U90" s="76"/>
    </row>
    <row r="91" ht="15.75" customHeight="1">
      <c r="A91" s="26" t="s">
        <v>396</v>
      </c>
      <c r="B91" s="26" t="s">
        <v>848</v>
      </c>
      <c r="C91" s="26" t="s">
        <v>626</v>
      </c>
      <c r="D91" s="26" t="str">
        <f>IFERROR(__xludf.DUMMYFUNCTION("IF(
 C91=""STATE"",
 UPPER(REGEXEXTRACT(A91,""^state\.([^_@]+)"")),
 """"
)"),"")</f>
        <v/>
      </c>
      <c r="E91" s="26" t="b">
        <v>1</v>
      </c>
      <c r="F91" s="26" t="s">
        <v>633</v>
      </c>
      <c r="G91" s="26">
        <f t="shared" si="1"/>
        <v>21</v>
      </c>
      <c r="H91" s="26">
        <f t="shared" si="2"/>
        <v>27</v>
      </c>
      <c r="K91" s="68">
        <f t="shared" si="3"/>
        <v>90</v>
      </c>
      <c r="L91" s="71" t="s">
        <v>311</v>
      </c>
      <c r="M91" s="67" t="str">
        <f>IFERROR(__xludf.DUMMYFUNCTION("LET(
    txt,TRIM(SUBSTITUTE(L91,CHAR(160),""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)"),"building.fermentory@5")</f>
        <v>building.fermentory@5</v>
      </c>
      <c r="N91" s="67"/>
      <c r="O91" s="68">
        <f t="shared" si="4"/>
        <v>90</v>
      </c>
      <c r="P91" s="77" t="s">
        <v>198</v>
      </c>
      <c r="Q91" s="67" t="str">
        <f>IFERROR(__xludf.DUMMYFUNCTION("LET(
    txt,TRIM(SUBSTITUTE(P91,CHAR(160),""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)"),"building.onsen@1")</f>
        <v>building.onsen@1</v>
      </c>
      <c r="R91" s="67"/>
      <c r="S91" s="69"/>
      <c r="T91" s="67" t="s">
        <v>198</v>
      </c>
      <c r="U91" s="70" t="s">
        <v>329</v>
      </c>
    </row>
    <row r="92" ht="15.75" customHeight="1">
      <c r="A92" s="26" t="s">
        <v>399</v>
      </c>
      <c r="B92" s="26" t="s">
        <v>849</v>
      </c>
      <c r="C92" s="26" t="s">
        <v>626</v>
      </c>
      <c r="D92" s="26" t="str">
        <f>IFERROR(__xludf.DUMMYFUNCTION("IF(
 C92=""STATE"",
 UPPER(REGEXEXTRACT(A92,""^state\.([^_@]+)"")),
 """"
)"),"")</f>
        <v/>
      </c>
      <c r="E92" s="26" t="b">
        <v>1</v>
      </c>
      <c r="F92" s="26" t="s">
        <v>633</v>
      </c>
      <c r="G92" s="26">
        <f t="shared" si="1"/>
        <v>22</v>
      </c>
      <c r="H92" s="26">
        <f t="shared" si="2"/>
        <v>28</v>
      </c>
      <c r="K92" s="68">
        <f t="shared" si="3"/>
        <v>91</v>
      </c>
      <c r="L92" s="71" t="s">
        <v>313</v>
      </c>
      <c r="M92" s="67" t="str">
        <f>IFERROR(__xludf.DUMMYFUNCTION("LET(
    txt,TRIM(SUBSTITUTE(L92,CHAR(160),""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)"),"building.fermentory@6")</f>
        <v>building.fermentory@6</v>
      </c>
      <c r="N92" s="67"/>
      <c r="O92" s="68">
        <f t="shared" si="4"/>
        <v>91</v>
      </c>
      <c r="P92" s="77" t="s">
        <v>201</v>
      </c>
      <c r="Q92" s="67" t="str">
        <f>IFERROR(__xludf.DUMMYFUNCTION("LET(
    txt,TRIM(SUBSTITUTE(P92,CHAR(160),""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)"),"building.onsen@2")</f>
        <v>building.onsen@2</v>
      </c>
      <c r="R92" s="67"/>
      <c r="S92" s="69"/>
      <c r="T92" s="70" t="s">
        <v>201</v>
      </c>
      <c r="U92" s="67" t="s">
        <v>331</v>
      </c>
    </row>
    <row r="93" ht="15.75" customHeight="1">
      <c r="A93" s="26" t="s">
        <v>402</v>
      </c>
      <c r="B93" s="26" t="s">
        <v>852</v>
      </c>
      <c r="C93" s="26" t="s">
        <v>626</v>
      </c>
      <c r="D93" s="26" t="str">
        <f>IFERROR(__xludf.DUMMYFUNCTION("IF(
 C93=""STATE"",
 UPPER(REGEXEXTRACT(A93,""^state\.([^_@]+)"")),
 """"
)"),"")</f>
        <v/>
      </c>
      <c r="E93" s="26" t="b">
        <v>1</v>
      </c>
      <c r="F93" s="26" t="s">
        <v>633</v>
      </c>
      <c r="G93" s="26">
        <f t="shared" si="1"/>
        <v>24</v>
      </c>
      <c r="H93" s="26">
        <f t="shared" si="2"/>
        <v>55</v>
      </c>
      <c r="K93" s="68">
        <f t="shared" si="3"/>
        <v>92</v>
      </c>
      <c r="L93" s="66" t="s">
        <v>334</v>
      </c>
      <c r="M93" s="67" t="str">
        <f>IFERROR(__xludf.DUMMYFUNCTION("LET(
    txt,TRIM(SUBSTITUTE(L93,CHAR(160),""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)"),"building.warehouse@2")</f>
        <v>building.warehouse@2</v>
      </c>
      <c r="N93" s="67"/>
      <c r="O93" s="68">
        <f t="shared" si="4"/>
        <v>92</v>
      </c>
      <c r="P93" s="77" t="s">
        <v>334</v>
      </c>
      <c r="Q93" s="67" t="str">
        <f>IFERROR(__xludf.DUMMYFUNCTION("LET(
    txt,TRIM(SUBSTITUTE(P93,CHAR(160),""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)"),"building.warehouse@2")</f>
        <v>building.warehouse@2</v>
      </c>
      <c r="R93" s="67"/>
      <c r="S93" s="69"/>
      <c r="T93" s="67" t="s">
        <v>334</v>
      </c>
      <c r="U93" s="74" t="s">
        <v>337</v>
      </c>
    </row>
    <row r="94" ht="15.75" customHeight="1">
      <c r="A94" s="26" t="s">
        <v>854</v>
      </c>
      <c r="B94" s="26" t="s">
        <v>855</v>
      </c>
      <c r="C94" s="26" t="s">
        <v>626</v>
      </c>
      <c r="D94" s="26" t="str">
        <f>IFERROR(__xludf.DUMMYFUNCTION("IF(
 C94=""STATE"",
 UPPER(REGEXEXTRACT(A94,""^state\.([^_@]+)"")),
 """"
)"),"")</f>
        <v/>
      </c>
      <c r="E94" s="26" t="b">
        <v>1</v>
      </c>
      <c r="F94" s="26" t="s">
        <v>628</v>
      </c>
      <c r="G94" s="26" t="str">
        <f t="shared" si="1"/>
        <v/>
      </c>
      <c r="H94" s="26" t="str">
        <f t="shared" si="2"/>
        <v/>
      </c>
      <c r="K94" s="68">
        <f t="shared" si="3"/>
        <v>93</v>
      </c>
      <c r="L94" s="71" t="s">
        <v>336</v>
      </c>
      <c r="M94" s="67" t="str">
        <f>IFERROR(__xludf.DUMMYFUNCTION("LET(
    txt,TRIM(SUBSTITUTE(L94,CHAR(160),""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)"),"building.warehouse@3")</f>
        <v>building.warehouse@3</v>
      </c>
      <c r="N94" s="67"/>
      <c r="O94" s="68">
        <f t="shared" si="4"/>
        <v>93</v>
      </c>
      <c r="P94" s="77" t="s">
        <v>336</v>
      </c>
      <c r="Q94" s="67" t="str">
        <f>IFERROR(__xludf.DUMMYFUNCTION("LET(
    txt,TRIM(SUBSTITUTE(P94,CHAR(160),""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)"),"building.warehouse@3")</f>
        <v>building.warehouse@3</v>
      </c>
      <c r="R94" s="67"/>
      <c r="S94" s="69"/>
      <c r="T94" s="70" t="s">
        <v>336</v>
      </c>
      <c r="U94" s="78" t="s">
        <v>340</v>
      </c>
    </row>
    <row r="95" ht="15.75" customHeight="1">
      <c r="A95" s="26" t="s">
        <v>404</v>
      </c>
      <c r="B95" s="26" t="s">
        <v>857</v>
      </c>
      <c r="C95" s="26" t="s">
        <v>626</v>
      </c>
      <c r="D95" s="26" t="str">
        <f>IFERROR(__xludf.DUMMYFUNCTION("IF(
 C95=""STATE"",
 UPPER(REGEXEXTRACT(A95,""^state\.([^_@]+)"")),
 """"
)"),"")</f>
        <v/>
      </c>
      <c r="E95" s="26" t="b">
        <v>1</v>
      </c>
      <c r="F95" s="26" t="s">
        <v>633</v>
      </c>
      <c r="G95" s="26">
        <f t="shared" si="1"/>
        <v>3</v>
      </c>
      <c r="H95" s="26">
        <f t="shared" si="2"/>
        <v>3</v>
      </c>
      <c r="K95" s="68">
        <f t="shared" si="3"/>
        <v>94</v>
      </c>
      <c r="L95" s="71" t="s">
        <v>339</v>
      </c>
      <c r="M95" s="67" t="str">
        <f>IFERROR(__xludf.DUMMYFUNCTION("LET(
    txt,TRIM(SUBSTITUTE(L95,CHAR(160),""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)"),"building.warehouse@4")</f>
        <v>building.warehouse@4</v>
      </c>
      <c r="N95" s="67"/>
      <c r="O95" s="68">
        <f t="shared" si="4"/>
        <v>94</v>
      </c>
      <c r="P95" s="66" t="s">
        <v>339</v>
      </c>
      <c r="Q95" s="67" t="str">
        <f>IFERROR(__xludf.DUMMYFUNCTION("LET(
    txt,TRIM(SUBSTITUTE(P95,CHAR(160),""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)"),"building.warehouse@4")</f>
        <v>building.warehouse@4</v>
      </c>
      <c r="R95" s="67"/>
      <c r="S95" s="69"/>
      <c r="T95" s="70" t="s">
        <v>339</v>
      </c>
      <c r="U95" s="75" t="s">
        <v>343</v>
      </c>
    </row>
    <row r="96" ht="15.75" customHeight="1">
      <c r="A96" s="26" t="s">
        <v>406</v>
      </c>
      <c r="B96" s="26" t="s">
        <v>860</v>
      </c>
      <c r="C96" s="26" t="s">
        <v>626</v>
      </c>
      <c r="D96" s="26" t="str">
        <f>IFERROR(__xludf.DUMMYFUNCTION("IF(
 C96=""STATE"",
 UPPER(REGEXEXTRACT(A96,""^state\.([^_@]+)"")),
 """"
)"),"")</f>
        <v/>
      </c>
      <c r="E96" s="26" t="b">
        <v>1</v>
      </c>
      <c r="F96" s="26" t="s">
        <v>633</v>
      </c>
      <c r="G96" s="26">
        <f t="shared" si="1"/>
        <v>98</v>
      </c>
      <c r="H96" s="26">
        <f t="shared" si="2"/>
        <v>98</v>
      </c>
      <c r="K96" s="68">
        <f t="shared" si="3"/>
        <v>95</v>
      </c>
      <c r="L96" s="71" t="s">
        <v>342</v>
      </c>
      <c r="M96" s="67" t="str">
        <f>IFERROR(__xludf.DUMMYFUNCTION("LET(
    txt,TRIM(SUBSTITUTE(L96,CHAR(160),""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)"),"building.warehouse@5")</f>
        <v>building.warehouse@5</v>
      </c>
      <c r="N96" s="67"/>
      <c r="O96" s="68">
        <f t="shared" si="4"/>
        <v>95</v>
      </c>
      <c r="P96" s="71" t="s">
        <v>342</v>
      </c>
      <c r="Q96" s="67" t="str">
        <f>IFERROR(__xludf.DUMMYFUNCTION("LET(
    txt,TRIM(SUBSTITUTE(P96,CHAR(160),""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)"),"building.warehouse@5")</f>
        <v>building.warehouse@5</v>
      </c>
      <c r="R96" s="67"/>
      <c r="S96" s="69"/>
      <c r="T96" s="70" t="s">
        <v>342</v>
      </c>
      <c r="U96" s="78"/>
    </row>
    <row r="97" ht="15.75" customHeight="1">
      <c r="A97" s="26" t="s">
        <v>408</v>
      </c>
      <c r="B97" s="26" t="s">
        <v>862</v>
      </c>
      <c r="C97" s="26" t="s">
        <v>626</v>
      </c>
      <c r="D97" s="26" t="str">
        <f>IFERROR(__xludf.DUMMYFUNCTION("IF(
 C97=""STATE"",
 UPPER(REGEXEXTRACT(A97,""^state\.([^_@]+)"")),
 """"
)"),"")</f>
        <v/>
      </c>
      <c r="E97" s="26" t="b">
        <v>1</v>
      </c>
      <c r="F97" s="26" t="s">
        <v>633</v>
      </c>
      <c r="G97" s="26">
        <f t="shared" si="1"/>
        <v>99</v>
      </c>
      <c r="H97" s="26">
        <f t="shared" si="2"/>
        <v>99</v>
      </c>
      <c r="K97" s="68">
        <f t="shared" si="3"/>
        <v>96</v>
      </c>
      <c r="L97" s="71" t="s">
        <v>345</v>
      </c>
      <c r="M97" s="67" t="str">
        <f>IFERROR(__xludf.DUMMYFUNCTION("LET(
    txt,TRIM(SUBSTITUTE(L97,CHAR(160),""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)"),"building.warehouse@6")</f>
        <v>building.warehouse@6</v>
      </c>
      <c r="N97" s="67"/>
      <c r="O97" s="68">
        <f t="shared" si="4"/>
        <v>96</v>
      </c>
      <c r="P97" s="66" t="s">
        <v>345</v>
      </c>
      <c r="Q97" s="67" t="str">
        <f>IFERROR(__xludf.DUMMYFUNCTION("LET(
    txt,TRIM(SUBSTITUTE(P97,CHAR(160),""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)"),"building.warehouse@6")</f>
        <v>building.warehouse@6</v>
      </c>
      <c r="R97" s="67"/>
      <c r="S97" s="69"/>
      <c r="T97" s="70" t="s">
        <v>345</v>
      </c>
      <c r="U97" s="78"/>
    </row>
    <row r="98" ht="15.75" customHeight="1">
      <c r="A98" s="26" t="s">
        <v>865</v>
      </c>
      <c r="B98" s="26" t="s">
        <v>866</v>
      </c>
      <c r="C98" s="26" t="s">
        <v>626</v>
      </c>
      <c r="D98" s="26" t="str">
        <f>IFERROR(__xludf.DUMMYFUNCTION("IF(
 C98=""STATE"",
 UPPER(REGEXEXTRACT(A98,""^state\.([^_@]+)"")),
 """"
)"),"")</f>
        <v/>
      </c>
      <c r="E98" s="26" t="b">
        <v>1</v>
      </c>
      <c r="F98" s="26" t="s">
        <v>628</v>
      </c>
      <c r="G98" s="26" t="str">
        <f t="shared" si="1"/>
        <v/>
      </c>
      <c r="H98" s="26" t="str">
        <f t="shared" si="2"/>
        <v/>
      </c>
      <c r="K98" s="68">
        <f t="shared" si="3"/>
        <v>97</v>
      </c>
      <c r="L98" s="71" t="s">
        <v>347</v>
      </c>
      <c r="M98" s="67" t="str">
        <f>IFERROR(__xludf.DUMMYFUNCTION("LET(
    txt,TRIM(SUBSTITUTE(L98,CHAR(160),""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)"),"building.warehouse@7")</f>
        <v>building.warehouse@7</v>
      </c>
      <c r="N98" s="67"/>
      <c r="O98" s="68">
        <f t="shared" si="4"/>
        <v>97</v>
      </c>
      <c r="P98" s="71" t="s">
        <v>347</v>
      </c>
      <c r="Q98" s="67" t="str">
        <f>IFERROR(__xludf.DUMMYFUNCTION("LET(
    txt,TRIM(SUBSTITUTE(P98,CHAR(160),""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)"),"building.warehouse@7")</f>
        <v>building.warehouse@7</v>
      </c>
      <c r="R98" s="67"/>
      <c r="S98" s="69"/>
      <c r="T98" s="70" t="s">
        <v>347</v>
      </c>
      <c r="U98" s="79"/>
    </row>
    <row r="99" ht="15.75" customHeight="1">
      <c r="A99" s="26" t="s">
        <v>410</v>
      </c>
      <c r="B99" s="26" t="s">
        <v>868</v>
      </c>
      <c r="C99" s="26" t="s">
        <v>626</v>
      </c>
      <c r="D99" s="26" t="str">
        <f>IFERROR(__xludf.DUMMYFUNCTION("IF(
 C99=""STATE"",
 UPPER(REGEXEXTRACT(A99,""^state\.([^_@]+)"")),
 """"
)"),"")</f>
        <v/>
      </c>
      <c r="E99" s="26" t="b">
        <v>1</v>
      </c>
      <c r="F99" s="26" t="s">
        <v>633</v>
      </c>
      <c r="G99" s="26">
        <f t="shared" si="1"/>
        <v>40</v>
      </c>
      <c r="H99" s="26">
        <f t="shared" si="2"/>
        <v>50</v>
      </c>
      <c r="K99" s="68">
        <f t="shared" si="3"/>
        <v>98</v>
      </c>
      <c r="L99" s="66" t="s">
        <v>349</v>
      </c>
      <c r="M99" s="67" t="str">
        <f>IFERROR(__xludf.DUMMYFUNCTION("LET(
    txt,TRIM(SUBSTITUTE(L99,CHAR(160),""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)"),"building.shop@2")</f>
        <v>building.shop@2</v>
      </c>
      <c r="N99" s="67"/>
      <c r="O99" s="68">
        <f t="shared" si="4"/>
        <v>98</v>
      </c>
      <c r="P99" s="71" t="s">
        <v>349</v>
      </c>
      <c r="Q99" s="67" t="str">
        <f>IFERROR(__xludf.DUMMYFUNCTION("LET(
    txt,TRIM(SUBSTITUTE(P99,CHAR(160),"" "")),
    buildingName,LOWER(TRIM(REGEXEXTRACT(txt,""(?i)^(.*?)\s*lvl\.""))),
    level,VALUE(REGEXEXTRACT(txt,""(?i)lvl\.\s*(\d+)"")),
    normalized,
        SUBSTITUTE(
            SUBSTITUTE(
             "&amp;"   SUBSTITUTE(buildingName,""'"",""""),
                ""’"",""""
            ),
            "" "",""_""
        ),
    buildingKey,
        SWITCH(
            normalized,
            ""chicken_coop"",""chicken"",
            ""food_stall"",""food_stall"&amp;""",
            ""dairy_farm"",""dairy"",
            ""lumber_mill"",""lumber"",
            ""train_station"",""station"",
            normalized
        ),
    ""building.""&amp;buildingKey&amp;""@""&amp;level
)"),"building.shop@2")</f>
        <v>building.shop@2</v>
      </c>
      <c r="R99" s="67"/>
      <c r="S99" s="69"/>
      <c r="T99" s="67" t="s">
        <v>349</v>
      </c>
      <c r="U99" s="70" t="s">
        <v>352</v>
      </c>
    </row>
    <row r="100" ht="15.75" customHeight="1">
      <c r="A100" s="26" t="s">
        <v>414</v>
      </c>
      <c r="B100" s="26" t="s">
        <v>870</v>
      </c>
      <c r="C100" s="26" t="s">
        <v>626</v>
      </c>
      <c r="D100" s="26" t="str">
        <f>IFERROR(__xludf.DUMMYFUNCTION("IF(
 C100=""STATE"",
 UPPER(REGEXEXTRACT(A100,""^state\.([^_@]+)"")),
 """"
)"),"")</f>
        <v/>
      </c>
      <c r="E100" s="26" t="b">
        <v>1</v>
      </c>
      <c r="F100" s="26" t="s">
        <v>633</v>
      </c>
      <c r="G100" s="26">
        <f t="shared" si="1"/>
        <v>41</v>
      </c>
      <c r="H100" s="26">
        <f t="shared" si="2"/>
        <v>51</v>
      </c>
      <c r="K100" s="68">
        <f t="shared" si="3"/>
        <v>99</v>
      </c>
      <c r="L100" s="71" t="s">
        <v>351</v>
      </c>
      <c r="M100" s="67" t="str">
        <f>IFERROR(__xludf.DUMMYFUNCTION("LET(
    txt,TRIM(SUBSTITUTE(L100,CHAR(160),"" "")),
    buildingName,LOWER(TRIM(REGEXEXTRACT(txt,""(?i)^(.*?)\s*lvl\.""))),
    level,VALUE(REGEXEXTRACT(txt,""(?i)lvl\.\s*(\d+)"")),
    normalized,
        SUBSTITUTE(
            SUBSTITUTE(
            "&amp;"    SUBSTITUTE(buildingName,""'"",""""),
                ""’"",""""
            ),
            "" "",""_""
        ),
    buildingKey,
        SWITCH(
            normalized,
            ""chicken_coop"",""chicken"",
            ""food_stall"",""food_stal"&amp;"l"",
            ""dairy_farm"",""dairy"",
            ""lumber_mill"",""lumber"",
            ""train_station"",""station"",
            normalized
        ),
    ""building.""&amp;buildingKey&amp;""@""&amp;level
)"),"building.shop@3")</f>
        <v>building.shop@3</v>
      </c>
      <c r="N100" s="67"/>
      <c r="O100" s="68">
        <f t="shared" si="4"/>
        <v>99</v>
      </c>
      <c r="P100" s="71" t="s">
        <v>351</v>
      </c>
      <c r="Q100" s="67" t="str">
        <f>IFERROR(__xludf.DUMMYFUNCTION("LET(
    txt,TRIM(SUBSTITUTE(P100,CHAR(160),"" "")),
    buildingName,LOWER(TRIM(REGEXEXTRACT(txt,""(?i)^(.*?)\s*lvl\.""))),
    level,VALUE(REGEXEXTRACT(txt,""(?i)lvl\.\s*(\d+)"")),
    normalized,
        SUBSTITUTE(
            SUBSTITUTE(
            "&amp;"    SUBSTITUTE(buildingName,""'"",""""),
                ""’"",""""
            ),
            "" "",""_""
        ),
    buildingKey,
        SWITCH(
            normalized,
            ""chicken_coop"",""chicken"",
            ""food_stall"",""food_stal"&amp;"l"",
            ""dairy_farm"",""dairy"",
            ""lumber_mill"",""lumber"",
            ""train_station"",""station"",
            normalized
        ),
    ""building.""&amp;buildingKey&amp;""@""&amp;level
)"),"building.shop@3")</f>
        <v>building.shop@3</v>
      </c>
      <c r="R100" s="67"/>
      <c r="S100" s="69"/>
      <c r="T100" s="70" t="s">
        <v>351</v>
      </c>
      <c r="U100" s="70" t="s">
        <v>356</v>
      </c>
    </row>
    <row r="101" ht="15.75" customHeight="1">
      <c r="A101" s="26" t="s">
        <v>415</v>
      </c>
      <c r="B101" s="26" t="s">
        <v>873</v>
      </c>
      <c r="C101" s="26" t="s">
        <v>626</v>
      </c>
      <c r="D101" s="26" t="str">
        <f>IFERROR(__xludf.DUMMYFUNCTION("IF(
 C101=""STATE"",
 UPPER(REGEXEXTRACT(A101,""^state\.([^_@]+)"")),
 """"
)"),"")</f>
        <v/>
      </c>
      <c r="E101" s="26" t="b">
        <v>1</v>
      </c>
      <c r="F101" s="26" t="s">
        <v>633</v>
      </c>
      <c r="G101" s="26">
        <f t="shared" si="1"/>
        <v>42</v>
      </c>
      <c r="H101" s="26">
        <f t="shared" si="2"/>
        <v>52</v>
      </c>
      <c r="K101" s="68">
        <f t="shared" si="3"/>
        <v>100</v>
      </c>
      <c r="L101" s="66" t="s">
        <v>353</v>
      </c>
      <c r="M101" s="67" t="str">
        <f>IFERROR(__xludf.DUMMYFUNCTION("LET(
    txt,TRIM(SUBSTITUTE(L101,CHAR(160),"" "")),
    buildingName,LOWER(TRIM(REGEXEXTRACT(txt,""(?i)^(.*?)\s*lvl\.""))),
    level,VALUE(REGEXEXTRACT(txt,""(?i)lvl\.\s*(\d+)"")),
    normalized,
        SUBSTITUTE(
            SUBSTITUTE(
            "&amp;"    SUBSTITUTE(buildingName,""'"",""""),
                ""’"",""""
            ),
            "" "",""_""
        ),
    buildingKey,
        SWITCH(
            normalized,
            ""chicken_coop"",""chicken"",
            ""food_stall"",""food_stal"&amp;"l"",
            ""dairy_farm"",""dairy"",
            ""lumber_mill"",""lumber"",
            ""train_station"",""station"",
            normalized
        ),
    ""building.""&amp;buildingKey&amp;""@""&amp;level
)"),"building.gong@1")</f>
        <v>building.gong@1</v>
      </c>
      <c r="N101" s="67"/>
      <c r="O101" s="68">
        <f t="shared" si="4"/>
        <v>100</v>
      </c>
      <c r="P101" s="71" t="s">
        <v>353</v>
      </c>
      <c r="Q101" s="67" t="str">
        <f>IFERROR(__xludf.DUMMYFUNCTION("LET(
    txt,TRIM(SUBSTITUTE(P101,CHAR(160),"" "")),
    buildingName,LOWER(TRIM(REGEXEXTRACT(txt,""(?i)^(.*?)\s*lvl\.""))),
    level,VALUE(REGEXEXTRACT(txt,""(?i)lvl\.\s*(\d+)"")),
    normalized,
        SUBSTITUTE(
            SUBSTITUTE(
            "&amp;"    SUBSTITUTE(buildingName,""'"",""""),
                ""’"",""""
            ),
            "" "",""_""
        ),
    buildingKey,
        SWITCH(
            normalized,
            ""chicken_coop"",""chicken"",
            ""food_stall"",""food_stal"&amp;"l"",
            ""dairy_farm"",""dairy"",
            ""lumber_mill"",""lumber"",
            ""train_station"",""station"",
            normalized
        ),
    ""building.""&amp;buildingKey&amp;""@""&amp;level
)"),"building.gong@1")</f>
        <v>building.gong@1</v>
      </c>
      <c r="R101" s="67"/>
      <c r="S101" s="69"/>
      <c r="T101" s="67" t="s">
        <v>353</v>
      </c>
      <c r="U101" s="70" t="s">
        <v>357</v>
      </c>
    </row>
    <row r="102" ht="15.75" customHeight="1">
      <c r="A102" s="26" t="s">
        <v>418</v>
      </c>
      <c r="B102" s="26" t="s">
        <v>875</v>
      </c>
      <c r="C102" s="26" t="s">
        <v>626</v>
      </c>
      <c r="D102" s="26" t="str">
        <f>IFERROR(__xludf.DUMMYFUNCTION("IF(
 C102=""STATE"",
 UPPER(REGEXEXTRACT(A102,""^state\.([^_@]+)"")),
 """"
)"),"")</f>
        <v/>
      </c>
      <c r="E102" s="26" t="b">
        <v>1</v>
      </c>
      <c r="F102" s="26" t="s">
        <v>633</v>
      </c>
      <c r="G102" s="26">
        <f t="shared" si="1"/>
        <v>69</v>
      </c>
      <c r="H102" s="26">
        <f t="shared" si="2"/>
        <v>79</v>
      </c>
      <c r="K102" s="68"/>
      <c r="L102" s="66"/>
      <c r="M102" s="67"/>
      <c r="N102" s="67"/>
      <c r="O102" s="66"/>
      <c r="P102" s="66"/>
      <c r="Q102" s="67"/>
      <c r="R102" s="67"/>
      <c r="S102" s="67"/>
      <c r="T102" s="67"/>
      <c r="U102" s="67"/>
    </row>
    <row r="103" ht="15.75" customHeight="1">
      <c r="A103" s="26" t="s">
        <v>877</v>
      </c>
      <c r="B103" s="26" t="s">
        <v>878</v>
      </c>
      <c r="C103" s="26" t="s">
        <v>626</v>
      </c>
      <c r="D103" s="26" t="str">
        <f>IFERROR(__xludf.DUMMYFUNCTION("IF(
 C103=""STATE"",
 UPPER(REGEXEXTRACT(A103,""^state\.([^_@]+)"")),
 """"
)"),"")</f>
        <v/>
      </c>
      <c r="E103" s="26" t="b">
        <v>1</v>
      </c>
      <c r="F103" s="26" t="s">
        <v>628</v>
      </c>
      <c r="G103" s="26" t="str">
        <f t="shared" si="1"/>
        <v/>
      </c>
      <c r="H103" s="26" t="str">
        <f t="shared" si="2"/>
        <v/>
      </c>
      <c r="K103" s="66"/>
      <c r="L103" s="66"/>
      <c r="M103" s="67"/>
      <c r="N103" s="67"/>
      <c r="O103" s="80"/>
      <c r="P103" s="66"/>
      <c r="Q103" s="67"/>
      <c r="R103" s="67"/>
      <c r="S103" s="67"/>
      <c r="T103" s="67"/>
      <c r="U103" s="67"/>
    </row>
    <row r="104" ht="15.75" customHeight="1">
      <c r="A104" s="26" t="s">
        <v>420</v>
      </c>
      <c r="B104" s="26" t="s">
        <v>879</v>
      </c>
      <c r="C104" s="26" t="s">
        <v>626</v>
      </c>
      <c r="D104" s="26" t="str">
        <f>IFERROR(__xludf.DUMMYFUNCTION("IF(
 C104=""STATE"",
 UPPER(REGEXEXTRACT(A104,""^state\.([^_@]+)"")),
 """"
)"),"")</f>
        <v/>
      </c>
      <c r="E104" s="26" t="b">
        <v>1</v>
      </c>
      <c r="F104" s="26" t="s">
        <v>633</v>
      </c>
      <c r="G104" s="26">
        <f t="shared" si="1"/>
        <v>47</v>
      </c>
      <c r="H104" s="26">
        <f t="shared" si="2"/>
        <v>57</v>
      </c>
      <c r="K104" s="66"/>
      <c r="L104" s="66"/>
      <c r="M104" s="67"/>
      <c r="N104" s="67"/>
      <c r="O104" s="81"/>
      <c r="P104" s="66"/>
      <c r="Q104" s="67"/>
      <c r="R104" s="67"/>
      <c r="S104" s="67"/>
      <c r="T104" s="67"/>
      <c r="U104" s="67"/>
    </row>
    <row r="105" ht="15.75" customHeight="1">
      <c r="A105" s="26" t="s">
        <v>421</v>
      </c>
      <c r="B105" s="26" t="s">
        <v>882</v>
      </c>
      <c r="C105" s="26" t="s">
        <v>626</v>
      </c>
      <c r="D105" s="26" t="str">
        <f>IFERROR(__xludf.DUMMYFUNCTION("IF(
 C105=""STATE"",
 UPPER(REGEXEXTRACT(A105,""^state\.([^_@]+)"")),
 """"
)"),"")</f>
        <v/>
      </c>
      <c r="E105" s="26" t="b">
        <v>1</v>
      </c>
      <c r="F105" s="26" t="s">
        <v>633</v>
      </c>
      <c r="G105" s="26">
        <f t="shared" si="1"/>
        <v>48</v>
      </c>
      <c r="H105" s="26">
        <f t="shared" si="2"/>
        <v>58</v>
      </c>
      <c r="K105" s="66"/>
      <c r="L105" s="66"/>
      <c r="M105" s="67"/>
      <c r="N105" s="67"/>
      <c r="O105" s="66"/>
      <c r="P105" s="66"/>
      <c r="Q105" s="67"/>
      <c r="R105" s="67"/>
      <c r="S105" s="67"/>
      <c r="T105" s="67"/>
      <c r="U105" s="67"/>
    </row>
    <row r="106" ht="15.75" customHeight="1">
      <c r="A106" s="26" t="s">
        <v>424</v>
      </c>
      <c r="B106" s="26" t="s">
        <v>883</v>
      </c>
      <c r="C106" s="26" t="s">
        <v>626</v>
      </c>
      <c r="D106" s="26" t="str">
        <f>IFERROR(__xludf.DUMMYFUNCTION("IF(
 C106=""STATE"",
 UPPER(REGEXEXTRACT(A106,""^state\.([^_@]+)"")),
 """"
)"),"")</f>
        <v/>
      </c>
      <c r="E106" s="26" t="b">
        <v>1</v>
      </c>
      <c r="F106" s="26" t="s">
        <v>633</v>
      </c>
      <c r="G106" s="26">
        <f t="shared" si="1"/>
        <v>49</v>
      </c>
      <c r="H106" s="26">
        <f t="shared" si="2"/>
        <v>60</v>
      </c>
      <c r="K106" s="66"/>
      <c r="L106" s="66"/>
      <c r="M106" s="67"/>
      <c r="N106" s="67"/>
      <c r="O106" s="66"/>
      <c r="P106" s="66"/>
      <c r="Q106" s="67"/>
      <c r="R106" s="67"/>
      <c r="S106" s="67"/>
      <c r="T106" s="67"/>
      <c r="U106" s="67"/>
    </row>
    <row r="107" ht="15.75" customHeight="1">
      <c r="A107" s="26" t="s">
        <v>886</v>
      </c>
      <c r="B107" s="26" t="s">
        <v>887</v>
      </c>
      <c r="C107" s="26" t="s">
        <v>626</v>
      </c>
      <c r="D107" s="26" t="str">
        <f>IFERROR(__xludf.DUMMYFUNCTION("IF(
 C107=""STATE"",
 UPPER(REGEXEXTRACT(A107,""^state\.([^_@]+)"")),
 """"
)"),"")</f>
        <v/>
      </c>
      <c r="E107" s="26" t="b">
        <v>1</v>
      </c>
      <c r="F107" s="26" t="s">
        <v>628</v>
      </c>
      <c r="G107" s="26" t="str">
        <f t="shared" si="1"/>
        <v/>
      </c>
      <c r="H107" s="26" t="str">
        <f t="shared" si="2"/>
        <v/>
      </c>
      <c r="K107" s="66"/>
      <c r="L107" s="66"/>
      <c r="M107" s="67"/>
      <c r="N107" s="67"/>
      <c r="O107" s="66"/>
      <c r="P107" s="66"/>
      <c r="Q107" s="67"/>
      <c r="R107" s="67"/>
      <c r="S107" s="67"/>
      <c r="T107" s="67"/>
      <c r="U107" s="67"/>
    </row>
    <row r="108" ht="15.75" customHeight="1">
      <c r="A108" s="26" t="s">
        <v>427</v>
      </c>
      <c r="B108" s="26" t="s">
        <v>888</v>
      </c>
      <c r="C108" s="26" t="s">
        <v>626</v>
      </c>
      <c r="D108" s="26" t="str">
        <f>IFERROR(__xludf.DUMMYFUNCTION("IF(
 C108=""STATE"",
 UPPER(REGEXEXTRACT(A108,""^state\.([^_@]+)"")),
 """"
)"),"")</f>
        <v/>
      </c>
      <c r="E108" s="26" t="b">
        <v>1</v>
      </c>
      <c r="F108" s="26" t="s">
        <v>633</v>
      </c>
      <c r="G108" s="26">
        <f t="shared" si="1"/>
        <v>70</v>
      </c>
      <c r="H108" s="26">
        <f t="shared" si="2"/>
        <v>80</v>
      </c>
      <c r="K108" s="66"/>
      <c r="L108" s="66"/>
      <c r="M108" s="67"/>
      <c r="N108" s="67"/>
      <c r="O108" s="66"/>
      <c r="P108" s="66"/>
      <c r="Q108" s="67"/>
      <c r="R108" s="67"/>
      <c r="S108" s="67"/>
      <c r="T108" s="67"/>
      <c r="U108" s="67"/>
    </row>
    <row r="109" ht="15.75" customHeight="1">
      <c r="A109" s="26" t="s">
        <v>429</v>
      </c>
      <c r="B109" s="26" t="s">
        <v>889</v>
      </c>
      <c r="C109" s="26" t="s">
        <v>626</v>
      </c>
      <c r="D109" s="26" t="str">
        <f>IFERROR(__xludf.DUMMYFUNCTION("IF(
 C109=""STATE"",
 UPPER(REGEXEXTRACT(A109,""^state\.([^_@]+)"")),
 """"
)"),"")</f>
        <v/>
      </c>
      <c r="E109" s="26" t="b">
        <v>1</v>
      </c>
      <c r="F109" s="26" t="s">
        <v>633</v>
      </c>
      <c r="G109" s="26">
        <f t="shared" si="1"/>
        <v>71</v>
      </c>
      <c r="H109" s="26">
        <f t="shared" si="2"/>
        <v>81</v>
      </c>
      <c r="K109" s="66"/>
      <c r="L109" s="66"/>
      <c r="M109" s="67"/>
      <c r="N109" s="67"/>
      <c r="O109" s="66"/>
      <c r="P109" s="66"/>
      <c r="Q109" s="67"/>
      <c r="R109" s="67"/>
      <c r="S109" s="67"/>
      <c r="T109" s="67"/>
      <c r="U109" s="67"/>
    </row>
    <row r="110" ht="15.75" customHeight="1">
      <c r="A110" s="26" t="s">
        <v>431</v>
      </c>
      <c r="B110" s="26" t="s">
        <v>892</v>
      </c>
      <c r="C110" s="26" t="s">
        <v>626</v>
      </c>
      <c r="D110" s="26" t="str">
        <f>IFERROR(__xludf.DUMMYFUNCTION("IF(
 C110=""STATE"",
 UPPER(REGEXEXTRACT(A110,""^state\.([^_@]+)"")),
 """"
)"),"")</f>
        <v/>
      </c>
      <c r="E110" s="26" t="b">
        <v>1</v>
      </c>
      <c r="F110" s="26" t="s">
        <v>633</v>
      </c>
      <c r="G110" s="26" t="str">
        <f t="shared" si="1"/>
        <v>#N/A</v>
      </c>
      <c r="H110" s="26" t="str">
        <f t="shared" si="2"/>
        <v>#N/A</v>
      </c>
      <c r="K110" s="66"/>
      <c r="L110" s="66"/>
      <c r="M110" s="67"/>
      <c r="N110" s="67"/>
      <c r="O110" s="66"/>
      <c r="P110" s="66"/>
      <c r="Q110" s="67"/>
      <c r="R110" s="67"/>
      <c r="S110" s="67"/>
      <c r="T110" s="67"/>
      <c r="U110" s="67"/>
    </row>
    <row r="111" ht="15.75" customHeight="1">
      <c r="A111" s="26" t="s">
        <v>433</v>
      </c>
      <c r="B111" s="26" t="s">
        <v>893</v>
      </c>
      <c r="C111" s="26" t="s">
        <v>626</v>
      </c>
      <c r="D111" s="26" t="str">
        <f>IFERROR(__xludf.DUMMYFUNCTION("IF(
 C111=""STATE"",
 UPPER(REGEXEXTRACT(A111,""^state\.([^_@]+)"")),
 """"
)"),"")</f>
        <v/>
      </c>
      <c r="E111" s="26" t="b">
        <v>1</v>
      </c>
      <c r="F111" s="26" t="s">
        <v>633</v>
      </c>
      <c r="G111" s="26" t="str">
        <f t="shared" si="1"/>
        <v>#N/A</v>
      </c>
      <c r="H111" s="26" t="str">
        <f t="shared" si="2"/>
        <v>#N/A</v>
      </c>
      <c r="K111" s="66"/>
      <c r="L111" s="66"/>
      <c r="M111" s="67"/>
      <c r="N111" s="67"/>
      <c r="O111" s="66"/>
      <c r="P111" s="66"/>
      <c r="Q111" s="67"/>
      <c r="R111" s="67"/>
      <c r="S111" s="67"/>
      <c r="T111" s="67"/>
      <c r="U111" s="67"/>
    </row>
    <row r="112" ht="15.75" customHeight="1">
      <c r="A112" s="26" t="s">
        <v>435</v>
      </c>
      <c r="B112" s="26" t="s">
        <v>896</v>
      </c>
      <c r="C112" s="26" t="s">
        <v>626</v>
      </c>
      <c r="D112" s="26" t="str">
        <f>IFERROR(__xludf.DUMMYFUNCTION("IF(
 C112=""STATE"",
 UPPER(REGEXEXTRACT(A112,""^state\.([^_@]+)"")),
 """"
)"),"")</f>
        <v/>
      </c>
      <c r="E112" s="26" t="b">
        <v>1</v>
      </c>
      <c r="F112" s="26" t="s">
        <v>633</v>
      </c>
      <c r="G112" s="26" t="str">
        <f t="shared" si="1"/>
        <v>#N/A</v>
      </c>
      <c r="H112" s="26" t="str">
        <f t="shared" si="2"/>
        <v>#N/A</v>
      </c>
      <c r="K112" s="66"/>
      <c r="L112" s="66"/>
      <c r="M112" s="67"/>
      <c r="N112" s="67"/>
      <c r="O112" s="66"/>
      <c r="P112" s="66"/>
      <c r="Q112" s="67"/>
      <c r="R112" s="67"/>
      <c r="S112" s="67"/>
      <c r="T112" s="67"/>
      <c r="U112" s="67"/>
    </row>
    <row r="113" ht="15.75" customHeight="1">
      <c r="A113" s="26" t="s">
        <v>438</v>
      </c>
      <c r="B113" s="26" t="s">
        <v>897</v>
      </c>
      <c r="C113" s="26" t="s">
        <v>626</v>
      </c>
      <c r="D113" s="26" t="str">
        <f>IFERROR(__xludf.DUMMYFUNCTION("IF(
 C113=""STATE"",
 UPPER(REGEXEXTRACT(A113,""^state\.([^_@]+)"")),
 """"
)"),"")</f>
        <v/>
      </c>
      <c r="E113" s="26" t="b">
        <v>1</v>
      </c>
      <c r="F113" s="26" t="s">
        <v>633</v>
      </c>
      <c r="G113" s="26" t="str">
        <f t="shared" si="1"/>
        <v>#N/A</v>
      </c>
      <c r="H113" s="26" t="str">
        <f t="shared" si="2"/>
        <v>#N/A</v>
      </c>
      <c r="K113" s="66"/>
      <c r="L113" s="66"/>
      <c r="M113" s="67"/>
      <c r="N113" s="67"/>
      <c r="O113" s="66"/>
      <c r="P113" s="66"/>
      <c r="Q113" s="67"/>
      <c r="R113" s="67"/>
      <c r="S113" s="67"/>
      <c r="T113" s="67"/>
      <c r="U113" s="67"/>
    </row>
    <row r="114" ht="15.75" customHeight="1">
      <c r="A114" s="26" t="s">
        <v>900</v>
      </c>
      <c r="B114" s="26" t="s">
        <v>901</v>
      </c>
      <c r="C114" s="26" t="s">
        <v>626</v>
      </c>
      <c r="D114" s="26" t="str">
        <f>IFERROR(__xludf.DUMMYFUNCTION("IF(
 C114=""STATE"",
 UPPER(REGEXEXTRACT(A114,""^state\.([^_@]+)"")),
 """"
)"),"")</f>
        <v/>
      </c>
      <c r="E114" s="26" t="b">
        <v>1</v>
      </c>
      <c r="F114" s="26" t="s">
        <v>628</v>
      </c>
      <c r="G114" s="26" t="str">
        <f t="shared" si="1"/>
        <v/>
      </c>
      <c r="H114" s="26" t="str">
        <f t="shared" si="2"/>
        <v/>
      </c>
      <c r="K114" s="66"/>
      <c r="L114" s="66"/>
      <c r="M114" s="67"/>
      <c r="N114" s="67"/>
      <c r="O114" s="66"/>
      <c r="P114" s="66"/>
      <c r="Q114" s="67"/>
      <c r="R114" s="67"/>
      <c r="S114" s="67"/>
      <c r="T114" s="67"/>
      <c r="U114" s="67"/>
    </row>
    <row r="115" ht="15.75" customHeight="1">
      <c r="A115" s="26" t="s">
        <v>440</v>
      </c>
      <c r="B115" s="26" t="s">
        <v>902</v>
      </c>
      <c r="C115" s="26" t="s">
        <v>626</v>
      </c>
      <c r="D115" s="26" t="str">
        <f>IFERROR(__xludf.DUMMYFUNCTION("IF(
 C115=""STATE"",
 UPPER(REGEXEXTRACT(A115,""^state\.([^_@]+)"")),
 """"
)"),"")</f>
        <v/>
      </c>
      <c r="E115" s="26" t="b">
        <v>1</v>
      </c>
      <c r="F115" s="26" t="s">
        <v>633</v>
      </c>
      <c r="G115" s="26">
        <f t="shared" si="1"/>
        <v>2</v>
      </c>
      <c r="H115" s="26">
        <f t="shared" si="2"/>
        <v>2</v>
      </c>
      <c r="K115" s="66"/>
      <c r="L115" s="66"/>
      <c r="M115" s="67"/>
      <c r="N115" s="67"/>
      <c r="O115" s="66"/>
      <c r="P115" s="66"/>
      <c r="Q115" s="67"/>
      <c r="R115" s="67"/>
      <c r="S115" s="67"/>
      <c r="T115" s="67"/>
      <c r="U115" s="67"/>
    </row>
    <row r="116" ht="15.75" customHeight="1">
      <c r="A116" s="26" t="s">
        <v>442</v>
      </c>
      <c r="B116" s="26" t="s">
        <v>903</v>
      </c>
      <c r="C116" s="26" t="s">
        <v>626</v>
      </c>
      <c r="D116" s="26" t="str">
        <f>IFERROR(__xludf.DUMMYFUNCTION("IF(
 C116=""STATE"",
 UPPER(REGEXEXTRACT(A116,""^state\.([^_@]+)"")),
 """"
)"),"")</f>
        <v/>
      </c>
      <c r="E116" s="26" t="b">
        <v>1</v>
      </c>
      <c r="F116" s="26" t="s">
        <v>633</v>
      </c>
      <c r="G116" s="26">
        <f t="shared" si="1"/>
        <v>92</v>
      </c>
      <c r="H116" s="26">
        <f t="shared" si="2"/>
        <v>92</v>
      </c>
      <c r="K116" s="66"/>
      <c r="L116" s="66"/>
      <c r="M116" s="67"/>
      <c r="N116" s="67"/>
      <c r="O116" s="66"/>
      <c r="P116" s="66"/>
      <c r="Q116" s="67"/>
      <c r="R116" s="67"/>
      <c r="S116" s="67"/>
      <c r="T116" s="67"/>
      <c r="U116" s="67"/>
    </row>
    <row r="117" ht="15.75" customHeight="1">
      <c r="A117" s="26" t="s">
        <v>445</v>
      </c>
      <c r="B117" s="26" t="s">
        <v>906</v>
      </c>
      <c r="C117" s="26" t="s">
        <v>626</v>
      </c>
      <c r="D117" s="26" t="str">
        <f>IFERROR(__xludf.DUMMYFUNCTION("IF(
 C117=""STATE"",
 UPPER(REGEXEXTRACT(A117,""^state\.([^_@]+)"")),
 """"
)"),"")</f>
        <v/>
      </c>
      <c r="E117" s="26" t="b">
        <v>1</v>
      </c>
      <c r="F117" s="26" t="s">
        <v>633</v>
      </c>
      <c r="G117" s="26">
        <f t="shared" si="1"/>
        <v>93</v>
      </c>
      <c r="H117" s="26">
        <f t="shared" si="2"/>
        <v>93</v>
      </c>
      <c r="K117" s="66"/>
      <c r="L117" s="66"/>
      <c r="M117" s="67"/>
      <c r="N117" s="67"/>
      <c r="O117" s="66"/>
      <c r="P117" s="66"/>
      <c r="Q117" s="67"/>
      <c r="R117" s="67"/>
      <c r="S117" s="67"/>
      <c r="T117" s="67"/>
      <c r="U117" s="67"/>
    </row>
    <row r="118" ht="15.75" customHeight="1">
      <c r="A118" s="26" t="s">
        <v>447</v>
      </c>
      <c r="B118" s="26" t="s">
        <v>907</v>
      </c>
      <c r="C118" s="26" t="s">
        <v>626</v>
      </c>
      <c r="D118" s="26" t="str">
        <f>IFERROR(__xludf.DUMMYFUNCTION("IF(
 C118=""STATE"",
 UPPER(REGEXEXTRACT(A118,""^state\.([^_@]+)"")),
 """"
)"),"")</f>
        <v/>
      </c>
      <c r="E118" s="26" t="b">
        <v>1</v>
      </c>
      <c r="F118" s="26" t="s">
        <v>633</v>
      </c>
      <c r="G118" s="26">
        <f t="shared" si="1"/>
        <v>94</v>
      </c>
      <c r="H118" s="26">
        <f t="shared" si="2"/>
        <v>94</v>
      </c>
      <c r="K118" s="66"/>
      <c r="L118" s="66"/>
      <c r="M118" s="67"/>
      <c r="N118" s="67"/>
      <c r="O118" s="66"/>
      <c r="P118" s="66"/>
      <c r="Q118" s="67"/>
      <c r="R118" s="67"/>
      <c r="S118" s="67"/>
      <c r="T118" s="67"/>
      <c r="U118" s="67"/>
    </row>
    <row r="119" ht="15.75" customHeight="1">
      <c r="A119" s="26" t="s">
        <v>449</v>
      </c>
      <c r="B119" s="26" t="s">
        <v>909</v>
      </c>
      <c r="C119" s="26" t="s">
        <v>626</v>
      </c>
      <c r="D119" s="26" t="str">
        <f>IFERROR(__xludf.DUMMYFUNCTION("IF(
 C119=""STATE"",
 UPPER(REGEXEXTRACT(A119,""^state\.([^_@]+)"")),
 """"
)"),"")</f>
        <v/>
      </c>
      <c r="E119" s="26" t="b">
        <v>1</v>
      </c>
      <c r="F119" s="26" t="s">
        <v>633</v>
      </c>
      <c r="G119" s="26">
        <f t="shared" si="1"/>
        <v>95</v>
      </c>
      <c r="H119" s="26">
        <f t="shared" si="2"/>
        <v>95</v>
      </c>
      <c r="K119" s="66"/>
      <c r="L119" s="66"/>
      <c r="M119" s="67"/>
      <c r="N119" s="67"/>
      <c r="O119" s="66"/>
      <c r="P119" s="66"/>
      <c r="Q119" s="67"/>
      <c r="R119" s="67"/>
      <c r="S119" s="67"/>
      <c r="T119" s="67"/>
      <c r="U119" s="67"/>
    </row>
    <row r="120" ht="15.75" customHeight="1">
      <c r="A120" s="26" t="s">
        <v>451</v>
      </c>
      <c r="B120" s="26" t="s">
        <v>911</v>
      </c>
      <c r="C120" s="26" t="s">
        <v>626</v>
      </c>
      <c r="D120" s="26" t="str">
        <f>IFERROR(__xludf.DUMMYFUNCTION("IF(
 C120=""STATE"",
 UPPER(REGEXEXTRACT(A120,""^state\.([^_@]+)"")),
 """"
)"),"")</f>
        <v/>
      </c>
      <c r="E120" s="26" t="b">
        <v>1</v>
      </c>
      <c r="F120" s="26" t="s">
        <v>633</v>
      </c>
      <c r="G120" s="26">
        <f t="shared" si="1"/>
        <v>96</v>
      </c>
      <c r="H120" s="26">
        <f t="shared" si="2"/>
        <v>96</v>
      </c>
      <c r="K120" s="66"/>
      <c r="L120" s="66"/>
      <c r="M120" s="67"/>
      <c r="N120" s="67"/>
      <c r="O120" s="66"/>
      <c r="P120" s="66"/>
      <c r="Q120" s="67"/>
      <c r="R120" s="67"/>
      <c r="S120" s="67"/>
      <c r="T120" s="67"/>
      <c r="U120" s="67"/>
    </row>
    <row r="121" ht="15.75" customHeight="1">
      <c r="A121" s="26" t="s">
        <v>453</v>
      </c>
      <c r="B121" s="26" t="s">
        <v>913</v>
      </c>
      <c r="C121" s="26" t="s">
        <v>626</v>
      </c>
      <c r="D121" s="26" t="str">
        <f>IFERROR(__xludf.DUMMYFUNCTION("IF(
 C121=""STATE"",
 UPPER(REGEXEXTRACT(A121,""^state\.([^_@]+)"")),
 """"
)"),"")</f>
        <v/>
      </c>
      <c r="E121" s="26" t="b">
        <v>1</v>
      </c>
      <c r="F121" s="26" t="s">
        <v>633</v>
      </c>
      <c r="G121" s="26">
        <f t="shared" si="1"/>
        <v>97</v>
      </c>
      <c r="H121" s="26">
        <f t="shared" si="2"/>
        <v>97</v>
      </c>
      <c r="K121" s="66"/>
      <c r="L121" s="66"/>
      <c r="M121" s="67"/>
      <c r="N121" s="67"/>
      <c r="O121" s="66"/>
      <c r="P121" s="66"/>
      <c r="Q121" s="67"/>
      <c r="R121" s="67"/>
      <c r="S121" s="67"/>
      <c r="T121" s="67"/>
      <c r="U121" s="67"/>
    </row>
    <row r="122" ht="15.75" customHeight="1">
      <c r="A122" s="26" t="s">
        <v>915</v>
      </c>
      <c r="B122" s="26" t="s">
        <v>916</v>
      </c>
      <c r="C122" s="26" t="s">
        <v>626</v>
      </c>
      <c r="D122" s="26" t="str">
        <f>IFERROR(__xludf.DUMMYFUNCTION("IF(
 C122=""STATE"",
 UPPER(REGEXEXTRACT(A122,""^state\.([^_@]+)"")),
 """"
)"),"")</f>
        <v/>
      </c>
      <c r="E122" s="26" t="b">
        <v>1</v>
      </c>
      <c r="F122" s="26" t="s">
        <v>628</v>
      </c>
      <c r="G122" s="26" t="str">
        <f t="shared" si="1"/>
        <v/>
      </c>
      <c r="H122" s="26" t="str">
        <f t="shared" si="2"/>
        <v/>
      </c>
      <c r="K122" s="66"/>
      <c r="L122" s="66"/>
      <c r="M122" s="67"/>
      <c r="N122" s="67"/>
      <c r="O122" s="66"/>
      <c r="P122" s="66"/>
      <c r="Q122" s="67"/>
      <c r="R122" s="67"/>
      <c r="S122" s="67"/>
      <c r="T122" s="67"/>
      <c r="U122" s="67"/>
    </row>
    <row r="123" ht="15.75" customHeight="1">
      <c r="A123" s="26" t="s">
        <v>455</v>
      </c>
      <c r="B123" s="26" t="s">
        <v>917</v>
      </c>
      <c r="C123" s="26" t="s">
        <v>626</v>
      </c>
      <c r="D123" s="26" t="str">
        <f>IFERROR(__xludf.DUMMYFUNCTION("IF(
 C123=""STATE"",
 UPPER(REGEXEXTRACT(A123,""^state\.([^_@]+)"")),
 """"
)"),"")</f>
        <v/>
      </c>
      <c r="E123" s="26" t="b">
        <v>1</v>
      </c>
      <c r="F123" s="26" t="s">
        <v>633</v>
      </c>
      <c r="G123" s="26">
        <f t="shared" si="1"/>
        <v>9</v>
      </c>
      <c r="H123" s="26">
        <f t="shared" si="2"/>
        <v>18</v>
      </c>
      <c r="K123" s="66"/>
      <c r="L123" s="66"/>
      <c r="M123" s="67"/>
      <c r="N123" s="67"/>
      <c r="O123" s="66"/>
      <c r="P123" s="66"/>
      <c r="Q123" s="67"/>
      <c r="R123" s="67"/>
      <c r="S123" s="67"/>
      <c r="T123" s="67"/>
      <c r="U123" s="67"/>
    </row>
    <row r="124" ht="15.75" customHeight="1">
      <c r="A124" s="26" t="s">
        <v>457</v>
      </c>
      <c r="B124" s="26" t="s">
        <v>919</v>
      </c>
      <c r="C124" s="26" t="s">
        <v>626</v>
      </c>
      <c r="D124" s="26" t="str">
        <f>IFERROR(__xludf.DUMMYFUNCTION("IF(
 C124=""STATE"",
 UPPER(REGEXEXTRACT(A124,""^state\.([^_@]+)"")),
 """"
)"),"")</f>
        <v/>
      </c>
      <c r="E124" s="26" t="b">
        <v>1</v>
      </c>
      <c r="F124" s="26" t="s">
        <v>633</v>
      </c>
      <c r="G124" s="26">
        <f t="shared" si="1"/>
        <v>15</v>
      </c>
      <c r="H124" s="26">
        <f t="shared" si="2"/>
        <v>32</v>
      </c>
      <c r="K124" s="66"/>
      <c r="L124" s="66"/>
      <c r="M124" s="67"/>
      <c r="N124" s="67"/>
      <c r="O124" s="66"/>
      <c r="P124" s="66"/>
      <c r="Q124" s="67"/>
      <c r="R124" s="67"/>
      <c r="S124" s="67"/>
      <c r="T124" s="67"/>
      <c r="U124" s="67"/>
    </row>
    <row r="125" ht="15.75" customHeight="1">
      <c r="A125" s="26" t="s">
        <v>921</v>
      </c>
      <c r="B125" s="26" t="s">
        <v>922</v>
      </c>
      <c r="C125" s="26" t="s">
        <v>626</v>
      </c>
      <c r="D125" s="26" t="str">
        <f>IFERROR(__xludf.DUMMYFUNCTION("IF(
 C125=""STATE"",
 UPPER(REGEXEXTRACT(A125,""^state\.([^_@]+)"")),
 """"
)"),"")</f>
        <v/>
      </c>
      <c r="E125" s="26" t="b">
        <v>1</v>
      </c>
      <c r="F125" s="26" t="s">
        <v>628</v>
      </c>
      <c r="G125" s="26" t="str">
        <f t="shared" si="1"/>
        <v/>
      </c>
      <c r="H125" s="26" t="str">
        <f t="shared" si="2"/>
        <v/>
      </c>
      <c r="K125" s="66"/>
      <c r="L125" s="66"/>
      <c r="M125" s="67"/>
      <c r="N125" s="67"/>
      <c r="O125" s="66"/>
      <c r="P125" s="66"/>
      <c r="Q125" s="67"/>
      <c r="R125" s="67"/>
      <c r="S125" s="67"/>
      <c r="T125" s="67"/>
      <c r="U125" s="67"/>
    </row>
    <row r="126" ht="15.75" customHeight="1">
      <c r="A126" s="26" t="s">
        <v>460</v>
      </c>
      <c r="B126" s="26" t="s">
        <v>923</v>
      </c>
      <c r="C126" s="26" t="s">
        <v>626</v>
      </c>
      <c r="D126" s="26" t="str">
        <f>IFERROR(__xludf.DUMMYFUNCTION("IF(
 C126=""STATE"",
 UPPER(REGEXEXTRACT(A126,""^state\.([^_@]+)"")),
 """"
)"),"")</f>
        <v/>
      </c>
      <c r="E126" s="26" t="b">
        <v>1</v>
      </c>
      <c r="F126" s="26" t="s">
        <v>633</v>
      </c>
      <c r="G126" s="26">
        <f t="shared" si="1"/>
        <v>30</v>
      </c>
      <c r="H126" s="26">
        <f t="shared" si="2"/>
        <v>41</v>
      </c>
      <c r="K126" s="66"/>
      <c r="L126" s="66"/>
      <c r="M126" s="67"/>
      <c r="N126" s="67"/>
      <c r="O126" s="66"/>
      <c r="P126" s="66"/>
      <c r="Q126" s="67"/>
      <c r="R126" s="67"/>
      <c r="S126" s="67"/>
      <c r="T126" s="67"/>
      <c r="U126" s="67"/>
    </row>
    <row r="127" ht="15.75" customHeight="1">
      <c r="A127" s="26" t="s">
        <v>463</v>
      </c>
      <c r="B127" s="26" t="s">
        <v>925</v>
      </c>
      <c r="C127" s="26" t="s">
        <v>626</v>
      </c>
      <c r="D127" s="26" t="str">
        <f>IFERROR(__xludf.DUMMYFUNCTION("IF(
 C127=""STATE"",
 UPPER(REGEXEXTRACT(A127,""^state\.([^_@]+)"")),
 """"
)"),"")</f>
        <v/>
      </c>
      <c r="E127" s="26" t="b">
        <v>1</v>
      </c>
      <c r="F127" s="26" t="s">
        <v>633</v>
      </c>
      <c r="G127" s="26">
        <f t="shared" si="1"/>
        <v>31</v>
      </c>
      <c r="H127" s="26">
        <f t="shared" si="2"/>
        <v>42</v>
      </c>
      <c r="K127" s="66"/>
      <c r="L127" s="66"/>
      <c r="M127" s="67"/>
      <c r="N127" s="67"/>
      <c r="O127" s="66"/>
      <c r="P127" s="66"/>
      <c r="Q127" s="67"/>
      <c r="R127" s="67"/>
      <c r="S127" s="67"/>
      <c r="T127" s="67"/>
      <c r="U127" s="67"/>
    </row>
    <row r="128" ht="15.75" customHeight="1">
      <c r="A128" s="26" t="s">
        <v>473</v>
      </c>
      <c r="B128" s="26" t="s">
        <v>927</v>
      </c>
      <c r="C128" s="26" t="s">
        <v>626</v>
      </c>
      <c r="D128" s="26" t="str">
        <f>IFERROR(__xludf.DUMMYFUNCTION("IF(
 C128=""STATE"",
 UPPER(REGEXEXTRACT(A128,""^state\.([^_@]+)"")),
 """"
)"),"")</f>
        <v/>
      </c>
      <c r="E128" s="26" t="b">
        <v>1</v>
      </c>
      <c r="F128" s="26" t="s">
        <v>633</v>
      </c>
      <c r="G128" s="26">
        <f t="shared" si="1"/>
        <v>32</v>
      </c>
      <c r="H128" s="26">
        <f t="shared" si="2"/>
        <v>43</v>
      </c>
      <c r="K128" s="66"/>
      <c r="L128" s="66"/>
      <c r="M128" s="67"/>
      <c r="N128" s="67"/>
      <c r="O128" s="66"/>
      <c r="P128" s="66"/>
      <c r="Q128" s="67"/>
      <c r="R128" s="67"/>
      <c r="S128" s="67"/>
      <c r="T128" s="67"/>
      <c r="U128" s="67"/>
    </row>
    <row r="129" ht="15.75" customHeight="1">
      <c r="A129" s="26" t="s">
        <v>475</v>
      </c>
      <c r="B129" s="26" t="s">
        <v>928</v>
      </c>
      <c r="C129" s="26" t="s">
        <v>626</v>
      </c>
      <c r="D129" s="26" t="str">
        <f>IFERROR(__xludf.DUMMYFUNCTION("IF(
 C129=""STATE"",
 UPPER(REGEXEXTRACT(A129,""^state\.([^_@]+)"")),
 """"
)"),"")</f>
        <v/>
      </c>
      <c r="E129" s="26" t="b">
        <v>1</v>
      </c>
      <c r="F129" s="26" t="s">
        <v>633</v>
      </c>
      <c r="G129" s="26">
        <f t="shared" si="1"/>
        <v>33</v>
      </c>
      <c r="H129" s="26">
        <f t="shared" si="2"/>
        <v>44</v>
      </c>
      <c r="K129" s="66"/>
      <c r="L129" s="66"/>
      <c r="M129" s="67"/>
      <c r="N129" s="67"/>
      <c r="O129" s="66"/>
      <c r="P129" s="66"/>
      <c r="Q129" s="67"/>
      <c r="R129" s="67"/>
      <c r="S129" s="67"/>
      <c r="T129" s="67"/>
      <c r="U129" s="67"/>
    </row>
    <row r="130" ht="15.75" customHeight="1">
      <c r="A130" s="26" t="s">
        <v>478</v>
      </c>
      <c r="B130" s="26" t="s">
        <v>930</v>
      </c>
      <c r="C130" s="26" t="s">
        <v>626</v>
      </c>
      <c r="D130" s="26" t="str">
        <f>IFERROR(__xludf.DUMMYFUNCTION("IF(
 C130=""STATE"",
 UPPER(REGEXEXTRACT(A130,""^state\.([^_@]+)"")),
 """"
)"),"")</f>
        <v/>
      </c>
      <c r="E130" s="26" t="b">
        <v>1</v>
      </c>
      <c r="F130" s="26" t="s">
        <v>633</v>
      </c>
      <c r="G130" s="26">
        <f t="shared" si="1"/>
        <v>34</v>
      </c>
      <c r="H130" s="26">
        <f t="shared" si="2"/>
        <v>45</v>
      </c>
      <c r="K130" s="66"/>
      <c r="L130" s="66"/>
      <c r="M130" s="67"/>
      <c r="N130" s="67"/>
      <c r="O130" s="66"/>
      <c r="P130" s="66"/>
      <c r="Q130" s="67"/>
      <c r="R130" s="67"/>
      <c r="S130" s="67"/>
      <c r="T130" s="67"/>
      <c r="U130" s="67"/>
    </row>
    <row r="131" ht="15.75" customHeight="1">
      <c r="A131" s="26" t="s">
        <v>480</v>
      </c>
      <c r="B131" s="26" t="s">
        <v>931</v>
      </c>
      <c r="C131" s="26" t="s">
        <v>932</v>
      </c>
      <c r="D131" s="26" t="str">
        <f>IFERROR(__xludf.DUMMYFUNCTION("IF(
 C131=""STATE"",
 UPPER(REGEXEXTRACT(A131,""^state\.([^_@]+)"")),
 """"
)"),"")</f>
        <v/>
      </c>
      <c r="E131" s="26" t="b">
        <v>1</v>
      </c>
      <c r="F131" s="26" t="s">
        <v>633</v>
      </c>
      <c r="G131" s="26" t="str">
        <f t="shared" si="1"/>
        <v>Not a building</v>
      </c>
      <c r="H131" s="26" t="str">
        <f t="shared" si="2"/>
        <v>Not a building</v>
      </c>
      <c r="K131" s="66"/>
      <c r="L131" s="66"/>
      <c r="M131" s="67"/>
      <c r="N131" s="67"/>
      <c r="O131" s="66"/>
      <c r="P131" s="66"/>
      <c r="Q131" s="67"/>
      <c r="R131" s="67"/>
      <c r="S131" s="67"/>
      <c r="T131" s="67"/>
      <c r="U131" s="67"/>
    </row>
    <row r="132" ht="15.75" customHeight="1">
      <c r="A132" s="26" t="s">
        <v>482</v>
      </c>
      <c r="B132" s="26" t="s">
        <v>934</v>
      </c>
      <c r="C132" s="26" t="s">
        <v>932</v>
      </c>
      <c r="D132" s="26" t="str">
        <f>IFERROR(__xludf.DUMMYFUNCTION("IF(
 C132=""STATE"",
 UPPER(REGEXEXTRACT(A132,""^state\.([^_@]+)"")),
 """"
)"),"")</f>
        <v/>
      </c>
      <c r="E132" s="26" t="b">
        <v>1</v>
      </c>
      <c r="F132" s="26" t="s">
        <v>633</v>
      </c>
      <c r="G132" s="26" t="str">
        <f t="shared" si="1"/>
        <v>Not a building</v>
      </c>
      <c r="H132" s="26" t="str">
        <f t="shared" si="2"/>
        <v>Not a building</v>
      </c>
      <c r="K132" s="66"/>
      <c r="L132" s="66"/>
      <c r="M132" s="67"/>
      <c r="N132" s="67"/>
      <c r="O132" s="66"/>
      <c r="P132" s="66"/>
      <c r="Q132" s="67"/>
      <c r="R132" s="67"/>
      <c r="S132" s="67"/>
      <c r="T132" s="67"/>
      <c r="U132" s="67"/>
    </row>
    <row r="133" ht="15.75" customHeight="1">
      <c r="A133" s="26" t="s">
        <v>498</v>
      </c>
      <c r="B133" s="26" t="s">
        <v>935</v>
      </c>
      <c r="C133" s="26" t="s">
        <v>932</v>
      </c>
      <c r="D133" s="26" t="str">
        <f>IFERROR(__xludf.DUMMYFUNCTION("IF(
 C133=""STATE"",
 UPPER(REGEXEXTRACT(A133,""^state\.([^_@]+)"")),
 """"
)"),"")</f>
        <v/>
      </c>
      <c r="E133" s="26" t="b">
        <v>1</v>
      </c>
      <c r="F133" s="26" t="s">
        <v>633</v>
      </c>
      <c r="G133" s="26" t="str">
        <f t="shared" si="1"/>
        <v>Not a building</v>
      </c>
      <c r="H133" s="26" t="str">
        <f t="shared" si="2"/>
        <v>Not a building</v>
      </c>
      <c r="K133" s="66"/>
      <c r="L133" s="66"/>
      <c r="M133" s="67"/>
      <c r="N133" s="67"/>
      <c r="O133" s="66"/>
      <c r="P133" s="66"/>
      <c r="Q133" s="67"/>
      <c r="R133" s="67"/>
      <c r="S133" s="67"/>
      <c r="T133" s="67"/>
      <c r="U133" s="67"/>
    </row>
    <row r="134" ht="15.75" customHeight="1">
      <c r="A134" s="26" t="s">
        <v>500</v>
      </c>
      <c r="B134" s="26" t="s">
        <v>938</v>
      </c>
      <c r="C134" s="26" t="s">
        <v>932</v>
      </c>
      <c r="D134" s="26" t="str">
        <f>IFERROR(__xludf.DUMMYFUNCTION("IF(
 C134=""STATE"",
 UPPER(REGEXEXTRACT(A134,""^state\.([^_@]+)"")),
 """"
)"),"")</f>
        <v/>
      </c>
      <c r="E134" s="26" t="b">
        <v>1</v>
      </c>
      <c r="F134" s="26" t="s">
        <v>633</v>
      </c>
      <c r="G134" s="26" t="str">
        <f t="shared" si="1"/>
        <v>Not a building</v>
      </c>
      <c r="H134" s="26" t="str">
        <f t="shared" si="2"/>
        <v>Not a building</v>
      </c>
      <c r="K134" s="66"/>
      <c r="L134" s="66"/>
      <c r="M134" s="67"/>
      <c r="N134" s="67"/>
      <c r="O134" s="66"/>
      <c r="P134" s="66"/>
      <c r="Q134" s="67"/>
      <c r="R134" s="67"/>
      <c r="S134" s="67"/>
      <c r="T134" s="67"/>
      <c r="U134" s="67"/>
    </row>
    <row r="135" ht="15.75" customHeight="1">
      <c r="A135" s="26" t="s">
        <v>502</v>
      </c>
      <c r="B135" s="26" t="s">
        <v>939</v>
      </c>
      <c r="C135" s="26" t="s">
        <v>932</v>
      </c>
      <c r="D135" s="26" t="str">
        <f>IFERROR(__xludf.DUMMYFUNCTION("IF(
 C135=""STATE"",
 UPPER(REGEXEXTRACT(A135,""^state\.([^_@]+)"")),
 """"
)"),"")</f>
        <v/>
      </c>
      <c r="E135" s="26" t="b">
        <v>1</v>
      </c>
      <c r="F135" s="26" t="s">
        <v>633</v>
      </c>
      <c r="G135" s="26" t="str">
        <f t="shared" si="1"/>
        <v>Not a building</v>
      </c>
      <c r="H135" s="26" t="str">
        <f t="shared" si="2"/>
        <v>Not a building</v>
      </c>
      <c r="K135" s="66"/>
      <c r="L135" s="66"/>
      <c r="M135" s="67"/>
      <c r="N135" s="67"/>
      <c r="O135" s="66"/>
      <c r="P135" s="66"/>
      <c r="Q135" s="67"/>
      <c r="R135" s="67"/>
      <c r="S135" s="67"/>
      <c r="T135" s="67"/>
      <c r="U135" s="67"/>
    </row>
    <row r="136" ht="15.75" customHeight="1">
      <c r="A136" s="26" t="s">
        <v>505</v>
      </c>
      <c r="B136" s="26" t="s">
        <v>941</v>
      </c>
      <c r="C136" s="26" t="s">
        <v>932</v>
      </c>
      <c r="D136" s="26" t="str">
        <f>IFERROR(__xludf.DUMMYFUNCTION("IF(
 C136=""STATE"",
 UPPER(REGEXEXTRACT(A136,""^state\.([^_@]+)"")),
 """"
)"),"")</f>
        <v/>
      </c>
      <c r="E136" s="26" t="b">
        <v>1</v>
      </c>
      <c r="F136" s="26" t="s">
        <v>633</v>
      </c>
      <c r="G136" s="26" t="str">
        <f t="shared" si="1"/>
        <v>Not a building</v>
      </c>
      <c r="H136" s="26" t="str">
        <f t="shared" si="2"/>
        <v>Not a building</v>
      </c>
      <c r="K136" s="66"/>
      <c r="L136" s="66"/>
      <c r="M136" s="67"/>
      <c r="N136" s="67"/>
      <c r="O136" s="66"/>
      <c r="P136" s="66"/>
      <c r="Q136" s="67"/>
      <c r="R136" s="67"/>
      <c r="S136" s="67"/>
      <c r="T136" s="67"/>
      <c r="U136" s="67"/>
    </row>
    <row r="137" ht="15.75" customHeight="1">
      <c r="A137" s="26" t="s">
        <v>509</v>
      </c>
      <c r="B137" s="26" t="s">
        <v>943</v>
      </c>
      <c r="C137" s="26" t="s">
        <v>932</v>
      </c>
      <c r="D137" s="26" t="str">
        <f>IFERROR(__xludf.DUMMYFUNCTION("IF(
 C137=""STATE"",
 UPPER(REGEXEXTRACT(A137,""^state\.([^_@]+)"")),
 """"
)"),"")</f>
        <v/>
      </c>
      <c r="E137" s="26" t="b">
        <v>1</v>
      </c>
      <c r="F137" s="26" t="s">
        <v>633</v>
      </c>
      <c r="G137" s="26" t="str">
        <f t="shared" si="1"/>
        <v>Not a building</v>
      </c>
      <c r="H137" s="26" t="str">
        <f t="shared" si="2"/>
        <v>Not a building</v>
      </c>
      <c r="K137" s="66"/>
      <c r="L137" s="66"/>
      <c r="M137" s="67"/>
      <c r="N137" s="67"/>
      <c r="O137" s="66"/>
      <c r="P137" s="66"/>
      <c r="Q137" s="67"/>
      <c r="R137" s="67"/>
      <c r="S137" s="67"/>
      <c r="T137" s="67"/>
      <c r="U137" s="67"/>
    </row>
    <row r="138" ht="15.75" customHeight="1">
      <c r="A138" s="26" t="s">
        <v>511</v>
      </c>
      <c r="B138" s="26" t="s">
        <v>944</v>
      </c>
      <c r="C138" s="26" t="s">
        <v>932</v>
      </c>
      <c r="D138" s="26" t="str">
        <f>IFERROR(__xludf.DUMMYFUNCTION("IF(
 C138=""STATE"",
 UPPER(REGEXEXTRACT(A138,""^state\.([^_@]+)"")),
 """"
)"),"")</f>
        <v/>
      </c>
      <c r="E138" s="26" t="b">
        <v>1</v>
      </c>
      <c r="F138" s="26" t="s">
        <v>633</v>
      </c>
      <c r="G138" s="26" t="str">
        <f t="shared" si="1"/>
        <v>Not a building</v>
      </c>
      <c r="H138" s="26" t="str">
        <f t="shared" si="2"/>
        <v>Not a building</v>
      </c>
      <c r="K138" s="66"/>
      <c r="L138" s="66"/>
      <c r="M138" s="67"/>
      <c r="N138" s="67"/>
      <c r="O138" s="66"/>
      <c r="P138" s="66"/>
      <c r="Q138" s="67"/>
      <c r="R138" s="67"/>
      <c r="S138" s="67"/>
      <c r="T138" s="67"/>
      <c r="U138" s="67"/>
    </row>
    <row r="139" ht="15.75" customHeight="1">
      <c r="A139" s="26" t="s">
        <v>513</v>
      </c>
      <c r="B139" s="26" t="s">
        <v>947</v>
      </c>
      <c r="C139" s="26" t="s">
        <v>932</v>
      </c>
      <c r="D139" s="26" t="str">
        <f>IFERROR(__xludf.DUMMYFUNCTION("IF(
 C139=""STATE"",
 UPPER(REGEXEXTRACT(A139,""^state\.([^_@]+)"")),
 """"
)"),"")</f>
        <v/>
      </c>
      <c r="E139" s="26" t="b">
        <v>1</v>
      </c>
      <c r="F139" s="26" t="s">
        <v>633</v>
      </c>
      <c r="G139" s="26" t="str">
        <f t="shared" si="1"/>
        <v>Not a building</v>
      </c>
      <c r="H139" s="26" t="str">
        <f t="shared" si="2"/>
        <v>Not a building</v>
      </c>
      <c r="K139" s="66"/>
      <c r="L139" s="66"/>
      <c r="M139" s="67"/>
      <c r="N139" s="67"/>
      <c r="O139" s="66"/>
      <c r="P139" s="66"/>
      <c r="Q139" s="67"/>
      <c r="R139" s="67"/>
      <c r="S139" s="67"/>
      <c r="T139" s="67"/>
      <c r="U139" s="67"/>
    </row>
    <row r="140" ht="15.75" customHeight="1">
      <c r="A140" s="26" t="s">
        <v>515</v>
      </c>
      <c r="B140" s="26" t="s">
        <v>948</v>
      </c>
      <c r="C140" s="26" t="s">
        <v>932</v>
      </c>
      <c r="D140" s="26" t="str">
        <f>IFERROR(__xludf.DUMMYFUNCTION("IF(
 C140=""STATE"",
 UPPER(REGEXEXTRACT(A140,""^state\.([^_@]+)"")),
 """"
)"),"")</f>
        <v/>
      </c>
      <c r="E140" s="26" t="b">
        <v>1</v>
      </c>
      <c r="F140" s="26" t="s">
        <v>633</v>
      </c>
      <c r="G140" s="26" t="str">
        <f t="shared" si="1"/>
        <v>Not a building</v>
      </c>
      <c r="H140" s="26" t="str">
        <f t="shared" si="2"/>
        <v>Not a building</v>
      </c>
      <c r="K140" s="66"/>
      <c r="L140" s="66"/>
      <c r="M140" s="67"/>
      <c r="N140" s="67"/>
      <c r="O140" s="66"/>
      <c r="P140" s="66"/>
      <c r="Q140" s="67"/>
      <c r="R140" s="67"/>
      <c r="S140" s="67"/>
      <c r="T140" s="67"/>
      <c r="U140" s="67"/>
    </row>
    <row r="141" ht="15.75" customHeight="1">
      <c r="A141" s="26" t="s">
        <v>516</v>
      </c>
      <c r="B141" s="26" t="s">
        <v>950</v>
      </c>
      <c r="C141" s="26" t="s">
        <v>932</v>
      </c>
      <c r="D141" s="26" t="str">
        <f>IFERROR(__xludf.DUMMYFUNCTION("IF(
 C141=""STATE"",
 UPPER(REGEXEXTRACT(A141,""^state\.([^_@]+)"")),
 """"
)"),"")</f>
        <v/>
      </c>
      <c r="E141" s="26" t="b">
        <v>1</v>
      </c>
      <c r="F141" s="26" t="s">
        <v>633</v>
      </c>
      <c r="G141" s="26" t="str">
        <f t="shared" si="1"/>
        <v>Not a building</v>
      </c>
      <c r="H141" s="26" t="str">
        <f t="shared" si="2"/>
        <v>Not a building</v>
      </c>
      <c r="K141" s="66"/>
      <c r="L141" s="66"/>
      <c r="M141" s="67"/>
      <c r="N141" s="67"/>
      <c r="O141" s="66"/>
      <c r="P141" s="66"/>
      <c r="Q141" s="67"/>
      <c r="R141" s="67"/>
      <c r="S141" s="67"/>
      <c r="T141" s="67"/>
      <c r="U141" s="67"/>
    </row>
    <row r="142" ht="15.75" customHeight="1">
      <c r="A142" s="26" t="s">
        <v>518</v>
      </c>
      <c r="B142" s="26" t="s">
        <v>952</v>
      </c>
      <c r="C142" s="26" t="s">
        <v>932</v>
      </c>
      <c r="D142" s="26" t="str">
        <f>IFERROR(__xludf.DUMMYFUNCTION("IF(
 C142=""STATE"",
 UPPER(REGEXEXTRACT(A142,""^state\.([^_@]+)"")),
 """"
)"),"")</f>
        <v/>
      </c>
      <c r="E142" s="26" t="b">
        <v>1</v>
      </c>
      <c r="F142" s="26" t="s">
        <v>633</v>
      </c>
      <c r="G142" s="26" t="str">
        <f t="shared" si="1"/>
        <v>Not a building</v>
      </c>
      <c r="H142" s="26" t="str">
        <f t="shared" si="2"/>
        <v>Not a building</v>
      </c>
      <c r="K142" s="66"/>
      <c r="L142" s="66"/>
      <c r="M142" s="67"/>
      <c r="N142" s="67"/>
      <c r="O142" s="66"/>
      <c r="P142" s="66"/>
      <c r="Q142" s="67"/>
      <c r="R142" s="67"/>
      <c r="S142" s="67"/>
      <c r="T142" s="67"/>
      <c r="U142" s="67"/>
    </row>
    <row r="143" ht="15.75" customHeight="1">
      <c r="A143" s="26" t="s">
        <v>521</v>
      </c>
      <c r="B143" s="26" t="s">
        <v>954</v>
      </c>
      <c r="C143" s="26" t="s">
        <v>932</v>
      </c>
      <c r="D143" s="26" t="str">
        <f>IFERROR(__xludf.DUMMYFUNCTION("IF(
 C143=""STATE"",
 UPPER(REGEXEXTRACT(A143,""^state\.([^_@]+)"")),
 """"
)"),"")</f>
        <v/>
      </c>
      <c r="E143" s="26" t="b">
        <v>1</v>
      </c>
      <c r="F143" s="26" t="s">
        <v>633</v>
      </c>
      <c r="G143" s="26" t="str">
        <f t="shared" si="1"/>
        <v>Not a building</v>
      </c>
      <c r="H143" s="26" t="str">
        <f t="shared" si="2"/>
        <v>Not a building</v>
      </c>
      <c r="K143" s="66"/>
      <c r="L143" s="66"/>
      <c r="M143" s="67"/>
      <c r="N143" s="67"/>
      <c r="O143" s="66"/>
      <c r="P143" s="66"/>
      <c r="Q143" s="67"/>
      <c r="R143" s="67"/>
      <c r="S143" s="67"/>
      <c r="T143" s="67"/>
      <c r="U143" s="67"/>
    </row>
    <row r="144" ht="15.75" customHeight="1">
      <c r="A144" s="26" t="s">
        <v>523</v>
      </c>
      <c r="B144" s="26" t="s">
        <v>955</v>
      </c>
      <c r="C144" s="26" t="s">
        <v>932</v>
      </c>
      <c r="D144" s="26" t="str">
        <f>IFERROR(__xludf.DUMMYFUNCTION("IF(
 C144=""STATE"",
 UPPER(REGEXEXTRACT(A144,""^state\.([^_@]+)"")),
 """"
)"),"")</f>
        <v/>
      </c>
      <c r="E144" s="26" t="b">
        <v>1</v>
      </c>
      <c r="F144" s="26" t="s">
        <v>633</v>
      </c>
      <c r="G144" s="26" t="str">
        <f t="shared" si="1"/>
        <v>Not a building</v>
      </c>
      <c r="H144" s="26" t="str">
        <f t="shared" si="2"/>
        <v>Not a building</v>
      </c>
      <c r="K144" s="66"/>
      <c r="L144" s="66"/>
      <c r="M144" s="67"/>
      <c r="N144" s="67"/>
      <c r="O144" s="66"/>
      <c r="P144" s="66"/>
      <c r="Q144" s="67"/>
      <c r="R144" s="67"/>
      <c r="S144" s="67"/>
      <c r="T144" s="67"/>
      <c r="U144" s="67"/>
    </row>
    <row r="145" ht="15.75" customHeight="1">
      <c r="A145" s="26" t="s">
        <v>525</v>
      </c>
      <c r="B145" s="26" t="s">
        <v>958</v>
      </c>
      <c r="C145" s="26" t="s">
        <v>932</v>
      </c>
      <c r="D145" s="26" t="str">
        <f>IFERROR(__xludf.DUMMYFUNCTION("IF(
 C145=""STATE"",
 UPPER(REGEXEXTRACT(A145,""^state\.([^_@]+)"")),
 """"
)"),"")</f>
        <v/>
      </c>
      <c r="E145" s="26" t="b">
        <v>1</v>
      </c>
      <c r="F145" s="26" t="s">
        <v>633</v>
      </c>
      <c r="G145" s="26" t="str">
        <f t="shared" si="1"/>
        <v>Not a building</v>
      </c>
      <c r="H145" s="26" t="str">
        <f t="shared" si="2"/>
        <v>Not a building</v>
      </c>
      <c r="K145" s="66"/>
      <c r="L145" s="66"/>
      <c r="M145" s="67"/>
      <c r="N145" s="67"/>
      <c r="O145" s="66"/>
      <c r="P145" s="66"/>
      <c r="Q145" s="67"/>
      <c r="R145" s="67"/>
      <c r="S145" s="67"/>
      <c r="T145" s="67"/>
      <c r="U145" s="67"/>
    </row>
    <row r="146" ht="15.75" customHeight="1">
      <c r="A146" s="21" t="s">
        <v>528</v>
      </c>
      <c r="B146" s="26" t="s">
        <v>959</v>
      </c>
      <c r="C146" s="26" t="s">
        <v>960</v>
      </c>
      <c r="D146" s="26" t="str">
        <f>IFERROR(__xludf.DUMMYFUNCTION("IF(
 C146=""STATE"",
 UPPER(REGEXEXTRACT(A146,""^state\.([^_@]+)"")),
 """"
)"),"")</f>
        <v/>
      </c>
      <c r="E146" s="26" t="b">
        <v>1</v>
      </c>
      <c r="F146" s="26" t="s">
        <v>633</v>
      </c>
      <c r="G146" s="26" t="str">
        <f t="shared" si="1"/>
        <v>Not a building</v>
      </c>
      <c r="H146" s="26" t="str">
        <f t="shared" si="2"/>
        <v>Not a building</v>
      </c>
      <c r="K146" s="66"/>
      <c r="L146" s="66"/>
      <c r="M146" s="67"/>
      <c r="N146" s="67"/>
      <c r="O146" s="66"/>
      <c r="P146" s="66"/>
      <c r="Q146" s="67"/>
      <c r="R146" s="67"/>
      <c r="S146" s="67"/>
      <c r="T146" s="67"/>
      <c r="U146" s="67"/>
    </row>
    <row r="147" ht="15.75" customHeight="1">
      <c r="A147" s="21" t="s">
        <v>532</v>
      </c>
      <c r="B147" s="26" t="s">
        <v>962</v>
      </c>
      <c r="C147" s="26" t="s">
        <v>960</v>
      </c>
      <c r="D147" s="26" t="str">
        <f>IFERROR(__xludf.DUMMYFUNCTION("IF(
 C147=""STATE"",
 UPPER(REGEXEXTRACT(A147,""^state\.([^_@]+)"")),
 """"
)"),"")</f>
        <v/>
      </c>
      <c r="E147" s="26" t="b">
        <v>1</v>
      </c>
      <c r="F147" s="26" t="s">
        <v>633</v>
      </c>
      <c r="G147" s="26" t="str">
        <f t="shared" si="1"/>
        <v>Not a building</v>
      </c>
      <c r="H147" s="26" t="str">
        <f t="shared" si="2"/>
        <v>Not a building</v>
      </c>
      <c r="K147" s="66"/>
      <c r="L147" s="66"/>
      <c r="M147" s="67"/>
      <c r="N147" s="67"/>
      <c r="O147" s="66"/>
      <c r="P147" s="66"/>
      <c r="Q147" s="67"/>
      <c r="R147" s="67"/>
      <c r="S147" s="67"/>
      <c r="T147" s="67"/>
      <c r="U147" s="67"/>
    </row>
    <row r="148" ht="15.75" customHeight="1">
      <c r="A148" s="21" t="s">
        <v>535</v>
      </c>
      <c r="B148" s="26" t="s">
        <v>959</v>
      </c>
      <c r="C148" s="26" t="s">
        <v>960</v>
      </c>
      <c r="D148" s="26" t="str">
        <f>IFERROR(__xludf.DUMMYFUNCTION("IF(
 C148=""STATE"",
 UPPER(REGEXEXTRACT(A148,""^state\.([^_@]+)"")),
 """"
)"),"")</f>
        <v/>
      </c>
      <c r="E148" s="26" t="b">
        <v>1</v>
      </c>
      <c r="F148" s="26" t="s">
        <v>633</v>
      </c>
      <c r="G148" s="26" t="str">
        <f t="shared" si="1"/>
        <v>Not a building</v>
      </c>
      <c r="H148" s="26" t="str">
        <f t="shared" si="2"/>
        <v>Not a building</v>
      </c>
      <c r="K148" s="66"/>
      <c r="L148" s="66"/>
      <c r="M148" s="67"/>
      <c r="N148" s="67"/>
      <c r="O148" s="66"/>
      <c r="P148" s="66"/>
      <c r="Q148" s="67"/>
      <c r="R148" s="67"/>
      <c r="S148" s="67"/>
      <c r="T148" s="67"/>
      <c r="U148" s="67"/>
    </row>
    <row r="149" ht="15.75" customHeight="1">
      <c r="A149" s="21" t="s">
        <v>537</v>
      </c>
      <c r="B149" s="26" t="s">
        <v>962</v>
      </c>
      <c r="C149" s="26" t="s">
        <v>960</v>
      </c>
      <c r="D149" s="26" t="str">
        <f>IFERROR(__xludf.DUMMYFUNCTION("IF(
 C149=""STATE"",
 UPPER(REGEXEXTRACT(A149,""^state\.([^_@]+)"")),
 """"
)"),"")</f>
        <v/>
      </c>
      <c r="E149" s="26" t="b">
        <v>1</v>
      </c>
      <c r="F149" s="26" t="s">
        <v>633</v>
      </c>
      <c r="G149" s="26" t="str">
        <f t="shared" si="1"/>
        <v>Not a building</v>
      </c>
      <c r="H149" s="26" t="str">
        <f t="shared" si="2"/>
        <v>Not a building</v>
      </c>
      <c r="K149" s="66"/>
      <c r="L149" s="66"/>
      <c r="M149" s="67"/>
      <c r="N149" s="67"/>
      <c r="O149" s="66"/>
      <c r="P149" s="66"/>
      <c r="Q149" s="67"/>
      <c r="R149" s="67"/>
      <c r="S149" s="67"/>
      <c r="T149" s="67"/>
      <c r="U149" s="67"/>
    </row>
    <row r="150" ht="15.75" customHeight="1">
      <c r="A150" s="21" t="s">
        <v>540</v>
      </c>
      <c r="B150" s="26" t="s">
        <v>959</v>
      </c>
      <c r="C150" s="26" t="s">
        <v>960</v>
      </c>
      <c r="D150" s="26" t="str">
        <f>IFERROR(__xludf.DUMMYFUNCTION("IF(
 C150=""STATE"",
 UPPER(REGEXEXTRACT(A150,""^state\.([^_@]+)"")),
 """"
)"),"")</f>
        <v/>
      </c>
      <c r="E150" s="26" t="b">
        <v>1</v>
      </c>
      <c r="F150" s="26" t="s">
        <v>633</v>
      </c>
      <c r="G150" s="26" t="str">
        <f t="shared" si="1"/>
        <v>Not a building</v>
      </c>
      <c r="H150" s="26" t="str">
        <f t="shared" si="2"/>
        <v>Not a building</v>
      </c>
      <c r="K150" s="66"/>
      <c r="L150" s="66"/>
      <c r="M150" s="67"/>
      <c r="N150" s="67"/>
      <c r="O150" s="66"/>
      <c r="P150" s="66"/>
      <c r="Q150" s="67"/>
      <c r="R150" s="67"/>
      <c r="S150" s="67"/>
      <c r="T150" s="67"/>
      <c r="U150" s="67"/>
    </row>
    <row r="151" ht="15.75" customHeight="1">
      <c r="A151" s="21" t="s">
        <v>542</v>
      </c>
      <c r="B151" s="26" t="s">
        <v>962</v>
      </c>
      <c r="C151" s="26" t="s">
        <v>960</v>
      </c>
      <c r="D151" s="26" t="str">
        <f>IFERROR(__xludf.DUMMYFUNCTION("IF(
 C151=""STATE"",
 UPPER(REGEXEXTRACT(A151,""^state\.([^_@]+)"")),
 """"
)"),"")</f>
        <v/>
      </c>
      <c r="E151" s="26" t="b">
        <v>1</v>
      </c>
      <c r="F151" s="26" t="s">
        <v>633</v>
      </c>
      <c r="G151" s="26" t="str">
        <f t="shared" si="1"/>
        <v>Not a building</v>
      </c>
      <c r="H151" s="26" t="str">
        <f t="shared" si="2"/>
        <v>Not a building</v>
      </c>
      <c r="K151" s="66"/>
      <c r="L151" s="66"/>
      <c r="M151" s="67"/>
      <c r="N151" s="67"/>
      <c r="O151" s="66"/>
      <c r="P151" s="66"/>
      <c r="Q151" s="67"/>
      <c r="R151" s="67"/>
      <c r="S151" s="67"/>
      <c r="T151" s="67"/>
      <c r="U151" s="67"/>
    </row>
    <row r="152" ht="15.75" customHeight="1">
      <c r="A152" s="26" t="s">
        <v>544</v>
      </c>
      <c r="B152" s="26" t="s">
        <v>966</v>
      </c>
      <c r="C152" s="26" t="s">
        <v>960</v>
      </c>
      <c r="D152" s="26" t="str">
        <f>IFERROR(__xludf.DUMMYFUNCTION("IF(
 C152=""STATE"",
 UPPER(REGEXEXTRACT(A152,""^state\.([^_@]+)"")),
 """"
)"),"")</f>
        <v/>
      </c>
      <c r="E152" s="26" t="b">
        <v>1</v>
      </c>
      <c r="F152" s="26" t="s">
        <v>633</v>
      </c>
      <c r="G152" s="26" t="str">
        <f t="shared" si="1"/>
        <v>Not a building</v>
      </c>
      <c r="H152" s="26" t="str">
        <f t="shared" si="2"/>
        <v>Not a building</v>
      </c>
      <c r="K152" s="66"/>
      <c r="L152" s="66"/>
      <c r="M152" s="67"/>
      <c r="N152" s="67"/>
      <c r="O152" s="66"/>
      <c r="P152" s="66"/>
      <c r="Q152" s="67"/>
      <c r="R152" s="67"/>
      <c r="S152" s="67"/>
      <c r="T152" s="67"/>
      <c r="U152" s="67"/>
    </row>
    <row r="153" ht="15.75" customHeight="1">
      <c r="A153" s="26" t="s">
        <v>546</v>
      </c>
      <c r="B153" s="26" t="s">
        <v>968</v>
      </c>
      <c r="C153" s="26" t="s">
        <v>960</v>
      </c>
      <c r="D153" s="26" t="str">
        <f>IFERROR(__xludf.DUMMYFUNCTION("IF(
 C153=""STATE"",
 UPPER(REGEXEXTRACT(A153,""^state\.([^_@]+)"")),
 """"
)"),"")</f>
        <v/>
      </c>
      <c r="E153" s="26" t="b">
        <v>1</v>
      </c>
      <c r="F153" s="26" t="s">
        <v>633</v>
      </c>
      <c r="G153" s="26" t="str">
        <f t="shared" si="1"/>
        <v>Not a building</v>
      </c>
      <c r="H153" s="26" t="str">
        <f t="shared" si="2"/>
        <v>Not a building</v>
      </c>
      <c r="K153" s="66"/>
      <c r="L153" s="66"/>
      <c r="M153" s="67"/>
      <c r="N153" s="67"/>
      <c r="O153" s="66"/>
      <c r="P153" s="66"/>
      <c r="Q153" s="67"/>
      <c r="R153" s="67"/>
      <c r="S153" s="67"/>
      <c r="T153" s="67"/>
      <c r="U153" s="67"/>
    </row>
    <row r="154" ht="15.75" customHeight="1">
      <c r="A154" s="26" t="s">
        <v>549</v>
      </c>
      <c r="B154" s="26" t="s">
        <v>970</v>
      </c>
      <c r="C154" s="26" t="s">
        <v>960</v>
      </c>
      <c r="D154" s="26" t="str">
        <f>IFERROR(__xludf.DUMMYFUNCTION("IF(
 C154=""STATE"",
 UPPER(REGEXEXTRACT(A154,""^state\.([^_@]+)"")),
 """"
)"),"")</f>
        <v/>
      </c>
      <c r="E154" s="26" t="b">
        <v>1</v>
      </c>
      <c r="F154" s="26" t="s">
        <v>633</v>
      </c>
      <c r="G154" s="26" t="str">
        <f t="shared" si="1"/>
        <v>Not a building</v>
      </c>
      <c r="H154" s="26" t="str">
        <f t="shared" si="2"/>
        <v>Not a building</v>
      </c>
      <c r="K154" s="66"/>
      <c r="L154" s="66"/>
      <c r="M154" s="67"/>
      <c r="N154" s="67"/>
      <c r="O154" s="66"/>
      <c r="P154" s="66"/>
      <c r="Q154" s="67"/>
      <c r="R154" s="67"/>
      <c r="S154" s="67"/>
      <c r="T154" s="67"/>
      <c r="U154" s="67"/>
    </row>
    <row r="155" ht="15.75" customHeight="1">
      <c r="A155" s="26" t="s">
        <v>551</v>
      </c>
      <c r="B155" s="26" t="s">
        <v>972</v>
      </c>
      <c r="C155" s="26" t="s">
        <v>960</v>
      </c>
      <c r="D155" s="26" t="str">
        <f>IFERROR(__xludf.DUMMYFUNCTION("IF(
 C155=""STATE"",
 UPPER(REGEXEXTRACT(A155,""^state\.([^_@]+)"")),
 """"
)"),"")</f>
        <v/>
      </c>
      <c r="E155" s="26" t="b">
        <v>1</v>
      </c>
      <c r="F155" s="26" t="s">
        <v>633</v>
      </c>
      <c r="G155" s="26" t="str">
        <f t="shared" si="1"/>
        <v>Not a building</v>
      </c>
      <c r="H155" s="26" t="str">
        <f t="shared" si="2"/>
        <v>Not a building</v>
      </c>
      <c r="K155" s="66"/>
      <c r="L155" s="66"/>
      <c r="M155" s="67"/>
      <c r="N155" s="67"/>
      <c r="O155" s="66"/>
      <c r="P155" s="66"/>
      <c r="Q155" s="67"/>
      <c r="R155" s="67"/>
      <c r="S155" s="67"/>
      <c r="T155" s="67"/>
      <c r="U155" s="67"/>
    </row>
    <row r="156" ht="15.75" customHeight="1">
      <c r="A156" s="26" t="s">
        <v>553</v>
      </c>
      <c r="B156" s="26" t="s">
        <v>974</v>
      </c>
      <c r="C156" s="26" t="s">
        <v>960</v>
      </c>
      <c r="D156" s="26" t="str">
        <f>IFERROR(__xludf.DUMMYFUNCTION("IF(
 C156=""STATE"",
 UPPER(REGEXEXTRACT(A156,""^state\.([^_@]+)"")),
 """"
)"),"")</f>
        <v/>
      </c>
      <c r="E156" s="26" t="b">
        <v>1</v>
      </c>
      <c r="F156" s="26" t="s">
        <v>633</v>
      </c>
      <c r="G156" s="26" t="str">
        <f t="shared" si="1"/>
        <v>Not a building</v>
      </c>
      <c r="H156" s="26" t="str">
        <f t="shared" si="2"/>
        <v>Not a building</v>
      </c>
      <c r="K156" s="66"/>
      <c r="L156" s="66"/>
      <c r="M156" s="67"/>
      <c r="N156" s="67"/>
      <c r="O156" s="66"/>
      <c r="P156" s="66"/>
      <c r="Q156" s="67"/>
      <c r="R156" s="67"/>
      <c r="S156" s="67"/>
      <c r="T156" s="67"/>
      <c r="U156" s="67"/>
    </row>
    <row r="157" ht="15.75" customHeight="1">
      <c r="A157" s="26" t="s">
        <v>556</v>
      </c>
      <c r="B157" s="26" t="s">
        <v>976</v>
      </c>
      <c r="C157" s="26" t="s">
        <v>960</v>
      </c>
      <c r="D157" s="26" t="str">
        <f>IFERROR(__xludf.DUMMYFUNCTION("IF(
 C157=""STATE"",
 UPPER(REGEXEXTRACT(A157,""^state\.([^_@]+)"")),
 """"
)"),"")</f>
        <v/>
      </c>
      <c r="E157" s="26" t="b">
        <v>1</v>
      </c>
      <c r="F157" s="26" t="s">
        <v>633</v>
      </c>
      <c r="G157" s="26" t="str">
        <f t="shared" si="1"/>
        <v>Not a building</v>
      </c>
      <c r="H157" s="26" t="str">
        <f t="shared" si="2"/>
        <v>Not a building</v>
      </c>
      <c r="K157" s="66"/>
      <c r="L157" s="66"/>
      <c r="M157" s="67"/>
      <c r="N157" s="67"/>
      <c r="O157" s="66"/>
      <c r="P157" s="66"/>
      <c r="Q157" s="67"/>
      <c r="R157" s="67"/>
      <c r="S157" s="67"/>
      <c r="T157" s="67"/>
      <c r="U157" s="67"/>
    </row>
    <row r="158" ht="15.75" customHeight="1">
      <c r="A158" s="26" t="s">
        <v>558</v>
      </c>
      <c r="B158" s="26" t="s">
        <v>977</v>
      </c>
      <c r="C158" s="26" t="s">
        <v>960</v>
      </c>
      <c r="D158" s="26" t="str">
        <f>IFERROR(__xludf.DUMMYFUNCTION("IF(
 C158=""STATE"",
 UPPER(REGEXEXTRACT(A158,""^state\.([^_@]+)"")),
 """"
)"),"")</f>
        <v/>
      </c>
      <c r="E158" s="26" t="b">
        <v>1</v>
      </c>
      <c r="F158" s="26" t="s">
        <v>633</v>
      </c>
      <c r="G158" s="26" t="str">
        <f t="shared" si="1"/>
        <v>Not a building</v>
      </c>
      <c r="H158" s="26" t="str">
        <f t="shared" si="2"/>
        <v>Not a building</v>
      </c>
      <c r="K158" s="66"/>
      <c r="L158" s="66"/>
      <c r="M158" s="67"/>
      <c r="N158" s="67"/>
      <c r="O158" s="66"/>
      <c r="P158" s="66"/>
      <c r="Q158" s="67"/>
      <c r="R158" s="67"/>
      <c r="S158" s="67"/>
      <c r="T158" s="67"/>
      <c r="U158" s="67"/>
    </row>
    <row r="159" ht="15.75" customHeight="1">
      <c r="A159" s="26" t="s">
        <v>560</v>
      </c>
      <c r="B159" s="26" t="s">
        <v>980</v>
      </c>
      <c r="C159" s="26" t="s">
        <v>960</v>
      </c>
      <c r="D159" s="26" t="str">
        <f>IFERROR(__xludf.DUMMYFUNCTION("IF(
 C159=""STATE"",
 UPPER(REGEXEXTRACT(A159,""^state\.([^_@]+)"")),
 """"
)"),"")</f>
        <v/>
      </c>
      <c r="E159" s="26" t="b">
        <v>1</v>
      </c>
      <c r="F159" s="26" t="s">
        <v>633</v>
      </c>
      <c r="G159" s="26" t="str">
        <f t="shared" si="1"/>
        <v>Not a building</v>
      </c>
      <c r="H159" s="26" t="str">
        <f t="shared" si="2"/>
        <v>Not a building</v>
      </c>
      <c r="K159" s="66"/>
      <c r="L159" s="66"/>
      <c r="M159" s="67"/>
      <c r="N159" s="67"/>
      <c r="O159" s="66"/>
      <c r="P159" s="66"/>
      <c r="Q159" s="67"/>
      <c r="R159" s="67"/>
      <c r="S159" s="67"/>
      <c r="T159" s="67"/>
      <c r="U159" s="67"/>
    </row>
    <row r="160" ht="15.75" customHeight="1">
      <c r="A160" s="26" t="s">
        <v>563</v>
      </c>
      <c r="B160" s="26" t="s">
        <v>981</v>
      </c>
      <c r="C160" s="26" t="s">
        <v>960</v>
      </c>
      <c r="D160" s="26" t="str">
        <f>IFERROR(__xludf.DUMMYFUNCTION("IF(
 C160=""STATE"",
 UPPER(REGEXEXTRACT(A160,""^state\.([^_@]+)"")),
 """"
)"),"")</f>
        <v/>
      </c>
      <c r="E160" s="26" t="b">
        <v>1</v>
      </c>
      <c r="F160" s="26" t="s">
        <v>633</v>
      </c>
      <c r="G160" s="26" t="str">
        <f t="shared" si="1"/>
        <v>Not a building</v>
      </c>
      <c r="H160" s="26" t="str">
        <f t="shared" si="2"/>
        <v>Not a building</v>
      </c>
      <c r="K160" s="66"/>
      <c r="L160" s="66"/>
      <c r="M160" s="67"/>
      <c r="N160" s="67"/>
      <c r="O160" s="66"/>
      <c r="P160" s="66"/>
      <c r="Q160" s="67"/>
      <c r="R160" s="67"/>
      <c r="S160" s="67"/>
      <c r="T160" s="67"/>
      <c r="U160" s="67"/>
    </row>
    <row r="161" ht="15.75" customHeight="1">
      <c r="A161" s="26" t="s">
        <v>565</v>
      </c>
      <c r="B161" s="26" t="s">
        <v>983</v>
      </c>
      <c r="C161" s="26" t="s">
        <v>960</v>
      </c>
      <c r="D161" s="26" t="str">
        <f>IFERROR(__xludf.DUMMYFUNCTION("IF(
 C161=""STATE"",
 UPPER(REGEXEXTRACT(A161,""^state\.([^_@]+)"")),
 """"
)"),"")</f>
        <v/>
      </c>
      <c r="E161" s="26" t="b">
        <v>1</v>
      </c>
      <c r="F161" s="26" t="s">
        <v>633</v>
      </c>
      <c r="G161" s="26" t="str">
        <f t="shared" si="1"/>
        <v>Not a building</v>
      </c>
      <c r="H161" s="26" t="str">
        <f t="shared" si="2"/>
        <v>Not a building</v>
      </c>
      <c r="K161" s="66"/>
      <c r="L161" s="66"/>
      <c r="M161" s="67"/>
      <c r="N161" s="67"/>
      <c r="O161" s="66"/>
      <c r="P161" s="66"/>
      <c r="Q161" s="67"/>
      <c r="R161" s="67"/>
      <c r="S161" s="67"/>
      <c r="T161" s="67"/>
      <c r="U161" s="67"/>
    </row>
    <row r="162" ht="15.75" customHeight="1">
      <c r="A162" s="26" t="s">
        <v>567</v>
      </c>
      <c r="B162" s="26" t="s">
        <v>985</v>
      </c>
      <c r="C162" s="26" t="s">
        <v>960</v>
      </c>
      <c r="D162" s="26" t="str">
        <f>IFERROR(__xludf.DUMMYFUNCTION("IF(
 C162=""STATE"",
 UPPER(REGEXEXTRACT(A162,""^state\.([^_@]+)"")),
 """"
)"),"")</f>
        <v/>
      </c>
      <c r="E162" s="26" t="b">
        <v>1</v>
      </c>
      <c r="F162" s="26" t="s">
        <v>633</v>
      </c>
      <c r="G162" s="26" t="str">
        <f t="shared" si="1"/>
        <v>Not a building</v>
      </c>
      <c r="H162" s="26" t="str">
        <f t="shared" si="2"/>
        <v>Not a building</v>
      </c>
      <c r="K162" s="66"/>
      <c r="L162" s="66"/>
      <c r="M162" s="67"/>
      <c r="N162" s="67"/>
      <c r="O162" s="66"/>
      <c r="P162" s="66"/>
      <c r="Q162" s="67"/>
      <c r="R162" s="67"/>
      <c r="S162" s="67"/>
      <c r="T162" s="67"/>
      <c r="U162" s="67"/>
    </row>
    <row r="163" ht="15.75" customHeight="1">
      <c r="A163" s="26" t="s">
        <v>569</v>
      </c>
      <c r="B163" s="26" t="s">
        <v>987</v>
      </c>
      <c r="C163" s="26" t="s">
        <v>960</v>
      </c>
      <c r="D163" s="26" t="str">
        <f>IFERROR(__xludf.DUMMYFUNCTION("IF(
 C163=""STATE"",
 UPPER(REGEXEXTRACT(A163,""^state\.([^_@]+)"")),
 """"
)"),"")</f>
        <v/>
      </c>
      <c r="E163" s="26" t="b">
        <v>1</v>
      </c>
      <c r="F163" s="26" t="s">
        <v>633</v>
      </c>
      <c r="G163" s="26" t="str">
        <f t="shared" si="1"/>
        <v>Not a building</v>
      </c>
      <c r="H163" s="26" t="str">
        <f t="shared" si="2"/>
        <v>Not a building</v>
      </c>
      <c r="K163" s="66"/>
      <c r="L163" s="66"/>
      <c r="M163" s="67"/>
      <c r="N163" s="67"/>
      <c r="O163" s="66"/>
      <c r="P163" s="66"/>
      <c r="Q163" s="67"/>
      <c r="R163" s="67"/>
      <c r="S163" s="67"/>
      <c r="T163" s="67"/>
      <c r="U163" s="67"/>
    </row>
    <row r="164" ht="15.75" customHeight="1">
      <c r="A164" s="26" t="s">
        <v>572</v>
      </c>
      <c r="B164" s="26" t="s">
        <v>988</v>
      </c>
      <c r="C164" s="26" t="s">
        <v>960</v>
      </c>
      <c r="D164" s="26" t="str">
        <f>IFERROR(__xludf.DUMMYFUNCTION("IF(
 C164=""STATE"",
 UPPER(REGEXEXTRACT(A164,""^state\.([^_@]+)"")),
 """"
)"),"")</f>
        <v/>
      </c>
      <c r="E164" s="26" t="b">
        <v>1</v>
      </c>
      <c r="F164" s="26" t="s">
        <v>633</v>
      </c>
      <c r="G164" s="26" t="str">
        <f t="shared" si="1"/>
        <v>Not a building</v>
      </c>
      <c r="H164" s="26" t="str">
        <f t="shared" si="2"/>
        <v>Not a building</v>
      </c>
      <c r="K164" s="66"/>
      <c r="L164" s="66"/>
      <c r="M164" s="67"/>
      <c r="N164" s="67"/>
      <c r="O164" s="66"/>
      <c r="P164" s="66"/>
      <c r="Q164" s="67"/>
      <c r="R164" s="67"/>
      <c r="S164" s="67"/>
      <c r="T164" s="67"/>
      <c r="U164" s="67"/>
    </row>
    <row r="165" ht="15.75" customHeight="1">
      <c r="A165" s="26" t="s">
        <v>575</v>
      </c>
      <c r="B165" s="26" t="s">
        <v>990</v>
      </c>
      <c r="C165" s="26" t="s">
        <v>960</v>
      </c>
      <c r="D165" s="26" t="str">
        <f>IFERROR(__xludf.DUMMYFUNCTION("IF(
 C165=""STATE"",
 UPPER(REGEXEXTRACT(A165,""^state\.([^_@]+)"")),
 """"
)"),"")</f>
        <v/>
      </c>
      <c r="E165" s="26" t="b">
        <v>1</v>
      </c>
      <c r="F165" s="26" t="s">
        <v>633</v>
      </c>
      <c r="G165" s="26" t="str">
        <f t="shared" si="1"/>
        <v>Not a building</v>
      </c>
      <c r="H165" s="26" t="str">
        <f t="shared" si="2"/>
        <v>Not a building</v>
      </c>
      <c r="K165" s="66"/>
      <c r="L165" s="66"/>
      <c r="M165" s="67"/>
      <c r="N165" s="67"/>
      <c r="O165" s="66"/>
      <c r="P165" s="66"/>
      <c r="Q165" s="67"/>
      <c r="R165" s="67"/>
      <c r="S165" s="67"/>
      <c r="T165" s="67"/>
      <c r="U165" s="67"/>
    </row>
    <row r="166" ht="15.75" customHeight="1">
      <c r="A166" s="21" t="s">
        <v>578</v>
      </c>
      <c r="B166" s="26" t="s">
        <v>992</v>
      </c>
      <c r="C166" s="26" t="s">
        <v>960</v>
      </c>
      <c r="D166" s="26" t="str">
        <f>IFERROR(__xludf.DUMMYFUNCTION("IF(
 C166=""STATE"",
 UPPER(REGEXEXTRACT(A166,""^state\.([^_@]+)"")),
 """"
)"),"")</f>
        <v/>
      </c>
      <c r="E166" s="26" t="b">
        <v>1</v>
      </c>
      <c r="F166" s="26" t="s">
        <v>633</v>
      </c>
      <c r="G166" s="26" t="str">
        <f t="shared" si="1"/>
        <v>Not a building</v>
      </c>
      <c r="H166" s="26" t="str">
        <f t="shared" si="2"/>
        <v>Not a building</v>
      </c>
      <c r="K166" s="66"/>
      <c r="L166" s="66"/>
      <c r="M166" s="67"/>
      <c r="N166" s="67"/>
      <c r="O166" s="66"/>
      <c r="P166" s="66"/>
      <c r="Q166" s="67"/>
      <c r="R166" s="67"/>
      <c r="S166" s="67"/>
      <c r="T166" s="67"/>
      <c r="U166" s="67"/>
    </row>
    <row r="167" ht="15.75" customHeight="1">
      <c r="A167" s="21" t="s">
        <v>581</v>
      </c>
      <c r="B167" s="26" t="s">
        <v>993</v>
      </c>
      <c r="C167" s="26" t="s">
        <v>960</v>
      </c>
      <c r="D167" s="26" t="str">
        <f>IFERROR(__xludf.DUMMYFUNCTION("IF(
 C167=""STATE"",
 UPPER(REGEXEXTRACT(A167,""^state\.([^_@]+)"")),
 """"
)"),"")</f>
        <v/>
      </c>
      <c r="E167" s="26" t="b">
        <v>1</v>
      </c>
      <c r="F167" s="26" t="s">
        <v>633</v>
      </c>
      <c r="G167" s="26" t="str">
        <f t="shared" si="1"/>
        <v>Not a building</v>
      </c>
      <c r="H167" s="26" t="str">
        <f t="shared" si="2"/>
        <v>Not a building</v>
      </c>
      <c r="K167" s="66"/>
      <c r="L167" s="66"/>
      <c r="M167" s="67"/>
      <c r="N167" s="67"/>
      <c r="O167" s="66"/>
      <c r="P167" s="66"/>
      <c r="Q167" s="67"/>
      <c r="R167" s="67"/>
      <c r="S167" s="67"/>
      <c r="T167" s="67"/>
      <c r="U167" s="67"/>
    </row>
    <row r="168" ht="15.75" customHeight="1">
      <c r="A168" s="26" t="s">
        <v>584</v>
      </c>
      <c r="B168" s="26" t="s">
        <v>996</v>
      </c>
      <c r="C168" s="26" t="s">
        <v>960</v>
      </c>
      <c r="D168" s="26" t="str">
        <f>IFERROR(__xludf.DUMMYFUNCTION("IF(
 C168=""STATE"",
 UPPER(REGEXEXTRACT(A168,""^state\.([^_@]+)"")),
 """"
)"),"")</f>
        <v/>
      </c>
      <c r="E168" s="26" t="b">
        <v>1</v>
      </c>
      <c r="F168" s="26" t="s">
        <v>633</v>
      </c>
      <c r="G168" s="26" t="str">
        <f t="shared" si="1"/>
        <v>Not a building</v>
      </c>
      <c r="H168" s="26" t="str">
        <f t="shared" si="2"/>
        <v>Not a building</v>
      </c>
      <c r="K168" s="66"/>
      <c r="L168" s="66"/>
      <c r="M168" s="67"/>
      <c r="N168" s="67"/>
      <c r="O168" s="66"/>
      <c r="P168" s="66"/>
      <c r="Q168" s="67"/>
      <c r="R168" s="67"/>
      <c r="S168" s="67"/>
      <c r="T168" s="67"/>
      <c r="U168" s="67"/>
    </row>
    <row r="169" ht="15.75" customHeight="1">
      <c r="A169" s="26" t="s">
        <v>586</v>
      </c>
      <c r="B169" s="26" t="s">
        <v>997</v>
      </c>
      <c r="C169" s="26" t="s">
        <v>960</v>
      </c>
      <c r="D169" s="26" t="str">
        <f>IFERROR(__xludf.DUMMYFUNCTION("IF(
 C169=""STATE"",
 UPPER(REGEXEXTRACT(A169,""^state\.([^_@]+)"")),
 """"
)"),"")</f>
        <v/>
      </c>
      <c r="E169" s="26" t="b">
        <v>1</v>
      </c>
      <c r="F169" s="26" t="s">
        <v>633</v>
      </c>
      <c r="G169" s="26" t="str">
        <f t="shared" si="1"/>
        <v>Not a building</v>
      </c>
      <c r="H169" s="26" t="str">
        <f t="shared" si="2"/>
        <v>Not a building</v>
      </c>
      <c r="K169" s="66"/>
      <c r="L169" s="66"/>
      <c r="M169" s="67"/>
      <c r="N169" s="67"/>
      <c r="O169" s="66"/>
      <c r="P169" s="66"/>
      <c r="Q169" s="67"/>
      <c r="R169" s="67"/>
      <c r="S169" s="67"/>
      <c r="T169" s="67"/>
      <c r="U169" s="67"/>
    </row>
    <row r="170" ht="15.75" customHeight="1">
      <c r="A170" s="26" t="s">
        <v>589</v>
      </c>
      <c r="B170" s="26" t="s">
        <v>998</v>
      </c>
      <c r="C170" s="26" t="s">
        <v>960</v>
      </c>
      <c r="D170" s="26" t="str">
        <f>IFERROR(__xludf.DUMMYFUNCTION("IF(
 C170=""STATE"",
 UPPER(REGEXEXTRACT(A170,""^state\.([^_@]+)"")),
 """"
)"),"")</f>
        <v/>
      </c>
      <c r="E170" s="26" t="b">
        <v>1</v>
      </c>
      <c r="F170" s="26" t="s">
        <v>633</v>
      </c>
      <c r="G170" s="26" t="str">
        <f t="shared" si="1"/>
        <v>Not a building</v>
      </c>
      <c r="H170" s="26" t="str">
        <f t="shared" si="2"/>
        <v>Not a building</v>
      </c>
      <c r="K170" s="66"/>
      <c r="L170" s="66"/>
      <c r="M170" s="67"/>
      <c r="N170" s="67"/>
      <c r="O170" s="66"/>
      <c r="P170" s="66"/>
      <c r="Q170" s="67"/>
      <c r="R170" s="67"/>
      <c r="S170" s="67"/>
      <c r="T170" s="67"/>
      <c r="U170" s="67"/>
    </row>
    <row r="171" ht="15.75" customHeight="1">
      <c r="A171" s="21" t="s">
        <v>591</v>
      </c>
      <c r="B171" s="26" t="s">
        <v>1001</v>
      </c>
      <c r="C171" s="26" t="s">
        <v>960</v>
      </c>
      <c r="D171" s="26" t="str">
        <f>IFERROR(__xludf.DUMMYFUNCTION("IF(
 C171=""STATE"",
 UPPER(REGEXEXTRACT(A171,""^state\.([^_@]+)"")),
 """"
)"),"")</f>
        <v/>
      </c>
      <c r="E171" s="26" t="b">
        <v>1</v>
      </c>
      <c r="F171" s="26" t="s">
        <v>633</v>
      </c>
      <c r="G171" s="26" t="str">
        <f t="shared" si="1"/>
        <v>Not a building</v>
      </c>
      <c r="H171" s="26" t="str">
        <f t="shared" si="2"/>
        <v>Not a building</v>
      </c>
      <c r="K171" s="66"/>
      <c r="L171" s="66"/>
      <c r="M171" s="67"/>
      <c r="N171" s="67"/>
      <c r="O171" s="66"/>
      <c r="P171" s="66"/>
      <c r="Q171" s="67"/>
      <c r="R171" s="67"/>
      <c r="S171" s="67"/>
      <c r="T171" s="67"/>
      <c r="U171" s="67"/>
    </row>
    <row r="172" ht="15.75" customHeight="1">
      <c r="A172" s="26" t="s">
        <v>594</v>
      </c>
      <c r="B172" s="26" t="s">
        <v>1002</v>
      </c>
      <c r="C172" s="26" t="s">
        <v>960</v>
      </c>
      <c r="D172" s="26" t="str">
        <f>IFERROR(__xludf.DUMMYFUNCTION("IF(
 C172=""STATE"",
 UPPER(REGEXEXTRACT(A172,""^state\.([^_@]+)"")),
 """"
)"),"")</f>
        <v/>
      </c>
      <c r="E172" s="26" t="b">
        <v>1</v>
      </c>
      <c r="F172" s="26" t="s">
        <v>633</v>
      </c>
      <c r="G172" s="26" t="str">
        <f t="shared" si="1"/>
        <v>Not a building</v>
      </c>
      <c r="H172" s="26" t="str">
        <f t="shared" si="2"/>
        <v>Not a building</v>
      </c>
      <c r="K172" s="66"/>
      <c r="L172" s="66"/>
      <c r="M172" s="67"/>
      <c r="N172" s="67"/>
      <c r="O172" s="66"/>
      <c r="P172" s="66"/>
      <c r="Q172" s="67"/>
      <c r="R172" s="67"/>
      <c r="S172" s="67"/>
      <c r="T172" s="67"/>
      <c r="U172" s="67"/>
    </row>
    <row r="173" ht="15.75" customHeight="1">
      <c r="A173" s="26" t="s">
        <v>596</v>
      </c>
      <c r="B173" s="26" t="s">
        <v>1004</v>
      </c>
      <c r="C173" s="26" t="s">
        <v>960</v>
      </c>
      <c r="D173" s="26" t="str">
        <f>IFERROR(__xludf.DUMMYFUNCTION("IF(
 C173=""STATE"",
 UPPER(REGEXEXTRACT(A173,""^state\.([^_@]+)"")),
 """"
)"),"")</f>
        <v/>
      </c>
      <c r="E173" s="26" t="b">
        <v>1</v>
      </c>
      <c r="F173" s="26" t="s">
        <v>633</v>
      </c>
      <c r="G173" s="26" t="str">
        <f t="shared" si="1"/>
        <v>Not a building</v>
      </c>
      <c r="H173" s="26" t="str">
        <f t="shared" si="2"/>
        <v>Not a building</v>
      </c>
      <c r="K173" s="66"/>
      <c r="L173" s="66"/>
      <c r="M173" s="67"/>
      <c r="N173" s="67"/>
      <c r="O173" s="66"/>
      <c r="P173" s="66"/>
      <c r="Q173" s="67"/>
      <c r="R173" s="67"/>
      <c r="S173" s="67"/>
      <c r="T173" s="67"/>
      <c r="U173" s="67"/>
    </row>
    <row r="174" ht="15.75" customHeight="1">
      <c r="A174" s="26" t="s">
        <v>598</v>
      </c>
      <c r="B174" s="26" t="s">
        <v>1006</v>
      </c>
      <c r="C174" s="26" t="s">
        <v>960</v>
      </c>
      <c r="D174" s="26" t="str">
        <f>IFERROR(__xludf.DUMMYFUNCTION("IF(
 C174=""STATE"",
 UPPER(REGEXEXTRACT(A174,""^state\.([^_@]+)"")),
 """"
)"),"")</f>
        <v/>
      </c>
      <c r="E174" s="26" t="b">
        <v>1</v>
      </c>
      <c r="F174" s="26" t="s">
        <v>633</v>
      </c>
      <c r="G174" s="26" t="str">
        <f t="shared" si="1"/>
        <v>Not a building</v>
      </c>
      <c r="H174" s="26" t="str">
        <f t="shared" si="2"/>
        <v>Not a building</v>
      </c>
      <c r="K174" s="66"/>
      <c r="L174" s="66"/>
      <c r="M174" s="67"/>
      <c r="N174" s="67"/>
      <c r="O174" s="66"/>
      <c r="P174" s="66"/>
      <c r="Q174" s="67"/>
      <c r="R174" s="67"/>
      <c r="S174" s="67"/>
      <c r="T174" s="67"/>
      <c r="U174" s="67"/>
    </row>
    <row r="175" ht="15.75" customHeight="1">
      <c r="A175" s="26" t="s">
        <v>600</v>
      </c>
      <c r="B175" s="26" t="s">
        <v>1008</v>
      </c>
      <c r="C175" s="26" t="s">
        <v>960</v>
      </c>
      <c r="D175" s="26" t="str">
        <f>IFERROR(__xludf.DUMMYFUNCTION("IF(
 C175=""STATE"",
 UPPER(REGEXEXTRACT(A175,""^state\.([^_@]+)"")),
 """"
)"),"")</f>
        <v/>
      </c>
      <c r="E175" s="26" t="b">
        <v>1</v>
      </c>
      <c r="F175" s="26" t="s">
        <v>633</v>
      </c>
      <c r="G175" s="26" t="str">
        <f t="shared" si="1"/>
        <v>Not a building</v>
      </c>
      <c r="H175" s="26" t="str">
        <f t="shared" si="2"/>
        <v>Not a building</v>
      </c>
      <c r="K175" s="66"/>
      <c r="L175" s="66"/>
      <c r="M175" s="67"/>
      <c r="N175" s="67"/>
      <c r="O175" s="66"/>
      <c r="P175" s="66"/>
      <c r="Q175" s="67"/>
      <c r="R175" s="67"/>
      <c r="S175" s="67"/>
      <c r="T175" s="67"/>
      <c r="U175" s="67"/>
    </row>
    <row r="176" ht="15.75" customHeight="1">
      <c r="A176" s="26" t="s">
        <v>603</v>
      </c>
      <c r="B176" s="26" t="s">
        <v>1009</v>
      </c>
      <c r="C176" s="26" t="s">
        <v>960</v>
      </c>
      <c r="D176" s="26" t="str">
        <f>IFERROR(__xludf.DUMMYFUNCTION("IF(
 C176=""STATE"",
 UPPER(REGEXEXTRACT(A176,""^state\.([^_@]+)"")),
 """"
)"),"")</f>
        <v/>
      </c>
      <c r="E176" s="26" t="b">
        <v>1</v>
      </c>
      <c r="F176" s="26" t="s">
        <v>633</v>
      </c>
      <c r="G176" s="26" t="str">
        <f t="shared" si="1"/>
        <v>Not a building</v>
      </c>
      <c r="H176" s="26" t="str">
        <f t="shared" si="2"/>
        <v>Not a building</v>
      </c>
      <c r="K176" s="66"/>
      <c r="L176" s="66"/>
      <c r="M176" s="67"/>
      <c r="N176" s="67"/>
      <c r="O176" s="66"/>
      <c r="P176" s="66"/>
      <c r="Q176" s="67"/>
      <c r="R176" s="67"/>
      <c r="S176" s="67"/>
      <c r="T176" s="67"/>
      <c r="U176" s="67"/>
    </row>
    <row r="177" ht="15.75" customHeight="1">
      <c r="A177" s="26" t="s">
        <v>605</v>
      </c>
      <c r="B177" s="26" t="s">
        <v>1012</v>
      </c>
      <c r="C177" s="26" t="s">
        <v>960</v>
      </c>
      <c r="D177" s="26" t="str">
        <f>IFERROR(__xludf.DUMMYFUNCTION("IF(
 C177=""STATE"",
 UPPER(REGEXEXTRACT(A177,""^state\.([^_@]+)"")),
 """"
)"),"")</f>
        <v/>
      </c>
      <c r="E177" s="26" t="b">
        <v>1</v>
      </c>
      <c r="F177" s="26" t="s">
        <v>633</v>
      </c>
      <c r="G177" s="26" t="str">
        <f t="shared" si="1"/>
        <v>Not a building</v>
      </c>
      <c r="H177" s="26" t="str">
        <f t="shared" si="2"/>
        <v>Not a building</v>
      </c>
      <c r="K177" s="66"/>
      <c r="L177" s="66"/>
      <c r="M177" s="67"/>
      <c r="N177" s="67"/>
      <c r="O177" s="66"/>
      <c r="P177" s="66"/>
      <c r="Q177" s="67"/>
      <c r="R177" s="67"/>
      <c r="S177" s="67"/>
      <c r="T177" s="67"/>
      <c r="U177" s="67"/>
    </row>
    <row r="178" ht="15.75" customHeight="1">
      <c r="A178" s="26" t="s">
        <v>607</v>
      </c>
      <c r="B178" s="26" t="s">
        <v>1013</v>
      </c>
      <c r="C178" s="26" t="s">
        <v>960</v>
      </c>
      <c r="D178" s="26" t="str">
        <f>IFERROR(__xludf.DUMMYFUNCTION("IF(
 C178=""STATE"",
 UPPER(REGEXEXTRACT(A178,""^state\.([^_@]+)"")),
 """"
)"),"")</f>
        <v/>
      </c>
      <c r="E178" s="26" t="b">
        <v>1</v>
      </c>
      <c r="F178" s="26" t="s">
        <v>633</v>
      </c>
      <c r="G178" s="26" t="str">
        <f t="shared" si="1"/>
        <v>Not a building</v>
      </c>
      <c r="H178" s="26" t="str">
        <f t="shared" si="2"/>
        <v>Not a building</v>
      </c>
      <c r="K178" s="66"/>
      <c r="L178" s="66"/>
      <c r="M178" s="67"/>
      <c r="N178" s="67"/>
      <c r="O178" s="66"/>
      <c r="P178" s="66"/>
      <c r="Q178" s="67"/>
      <c r="R178" s="67"/>
      <c r="S178" s="67"/>
      <c r="T178" s="67"/>
      <c r="U178" s="67"/>
    </row>
    <row r="179" ht="15.75" customHeight="1">
      <c r="A179" s="26" t="s">
        <v>610</v>
      </c>
      <c r="B179" s="26" t="s">
        <v>1014</v>
      </c>
      <c r="C179" s="26" t="s">
        <v>960</v>
      </c>
      <c r="D179" s="26" t="str">
        <f>IFERROR(__xludf.DUMMYFUNCTION("IF(
 C179=""STATE"",
 UPPER(REGEXEXTRACT(A179,""^state\.([^_@]+)"")),
 """"
)"),"")</f>
        <v/>
      </c>
      <c r="E179" s="26" t="b">
        <v>1</v>
      </c>
      <c r="F179" s="26" t="s">
        <v>633</v>
      </c>
      <c r="G179" s="26" t="str">
        <f t="shared" si="1"/>
        <v>Not a building</v>
      </c>
      <c r="H179" s="26" t="str">
        <f t="shared" si="2"/>
        <v>Not a building</v>
      </c>
      <c r="K179" s="66"/>
      <c r="L179" s="66"/>
      <c r="M179" s="67"/>
      <c r="N179" s="67"/>
      <c r="O179" s="66"/>
      <c r="P179" s="66"/>
      <c r="Q179" s="67"/>
      <c r="R179" s="67"/>
      <c r="S179" s="67"/>
      <c r="T179" s="67"/>
      <c r="U179" s="67"/>
    </row>
    <row r="180" ht="15.75" customHeight="1">
      <c r="A180" s="26" t="s">
        <v>612</v>
      </c>
      <c r="B180" s="26" t="s">
        <v>1017</v>
      </c>
      <c r="C180" s="26" t="s">
        <v>960</v>
      </c>
      <c r="D180" s="26" t="str">
        <f>IFERROR(__xludf.DUMMYFUNCTION("IF(
 C180=""STATE"",
 UPPER(REGEXEXTRACT(A180,""^state\.([^_@]+)"")),
 """"
)"),"")</f>
        <v/>
      </c>
      <c r="E180" s="26" t="b">
        <v>1</v>
      </c>
      <c r="F180" s="26" t="s">
        <v>633</v>
      </c>
      <c r="G180" s="26" t="str">
        <f t="shared" si="1"/>
        <v>Not a building</v>
      </c>
      <c r="H180" s="26" t="str">
        <f t="shared" si="2"/>
        <v>Not a building</v>
      </c>
      <c r="K180" s="66"/>
      <c r="L180" s="66"/>
      <c r="M180" s="67"/>
      <c r="N180" s="67"/>
      <c r="O180" s="66"/>
      <c r="P180" s="66"/>
      <c r="Q180" s="67"/>
      <c r="R180" s="67"/>
      <c r="S180" s="67"/>
      <c r="T180" s="67"/>
      <c r="U180" s="67"/>
    </row>
    <row r="181" ht="15.75" customHeight="1">
      <c r="A181" s="26" t="s">
        <v>614</v>
      </c>
      <c r="B181" s="26" t="s">
        <v>1018</v>
      </c>
      <c r="C181" s="26" t="s">
        <v>960</v>
      </c>
      <c r="D181" s="26" t="str">
        <f>IFERROR(__xludf.DUMMYFUNCTION("IF(
 C181=""STATE"",
 UPPER(REGEXEXTRACT(A181,""^state\.([^_@]+)"")),
 """"
)"),"")</f>
        <v/>
      </c>
      <c r="E181" s="26" t="b">
        <v>1</v>
      </c>
      <c r="F181" s="26" t="s">
        <v>633</v>
      </c>
      <c r="G181" s="26" t="str">
        <f t="shared" si="1"/>
        <v>Not a building</v>
      </c>
      <c r="H181" s="26" t="str">
        <f t="shared" si="2"/>
        <v>Not a building</v>
      </c>
      <c r="K181" s="66"/>
      <c r="L181" s="66"/>
      <c r="M181" s="67"/>
      <c r="N181" s="67"/>
      <c r="O181" s="66"/>
      <c r="P181" s="66"/>
      <c r="Q181" s="67"/>
      <c r="R181" s="67"/>
      <c r="S181" s="67"/>
      <c r="T181" s="67"/>
      <c r="U181" s="67"/>
    </row>
    <row r="182" ht="15.75" customHeight="1">
      <c r="A182" s="26" t="s">
        <v>616</v>
      </c>
      <c r="B182" s="26" t="s">
        <v>1021</v>
      </c>
      <c r="C182" s="26" t="s">
        <v>960</v>
      </c>
      <c r="D182" s="26" t="str">
        <f>IFERROR(__xludf.DUMMYFUNCTION("IF(
 C182=""STATE"",
 UPPER(REGEXEXTRACT(A182,""^state\.([^_@]+)"")),
 """"
)"),"")</f>
        <v/>
      </c>
      <c r="E182" s="26" t="b">
        <v>1</v>
      </c>
      <c r="F182" s="26" t="s">
        <v>633</v>
      </c>
      <c r="G182" s="26" t="str">
        <f t="shared" si="1"/>
        <v>Not a building</v>
      </c>
      <c r="H182" s="26" t="str">
        <f t="shared" si="2"/>
        <v>Not a building</v>
      </c>
      <c r="K182" s="66"/>
      <c r="L182" s="66"/>
      <c r="M182" s="67"/>
      <c r="N182" s="67"/>
      <c r="O182" s="66"/>
      <c r="P182" s="66"/>
      <c r="Q182" s="67"/>
      <c r="R182" s="67"/>
      <c r="S182" s="67"/>
      <c r="T182" s="67"/>
      <c r="U182" s="67"/>
    </row>
    <row r="183" ht="15.75" customHeight="1">
      <c r="A183" s="26" t="s">
        <v>618</v>
      </c>
      <c r="B183" s="26" t="s">
        <v>1022</v>
      </c>
      <c r="C183" s="26" t="s">
        <v>960</v>
      </c>
      <c r="D183" s="26" t="str">
        <f>IFERROR(__xludf.DUMMYFUNCTION("IF(
 C183=""STATE"",
 UPPER(REGEXEXTRACT(A183,""^state\.([^_@]+)"")),
 """"
)"),"")</f>
        <v/>
      </c>
      <c r="E183" s="26" t="b">
        <v>1</v>
      </c>
      <c r="F183" s="26" t="s">
        <v>633</v>
      </c>
      <c r="G183" s="26" t="str">
        <f t="shared" si="1"/>
        <v>Not a building</v>
      </c>
      <c r="H183" s="26" t="str">
        <f t="shared" si="2"/>
        <v>Not a building</v>
      </c>
      <c r="K183" s="66"/>
      <c r="L183" s="66"/>
      <c r="M183" s="67"/>
      <c r="N183" s="67"/>
      <c r="O183" s="66"/>
      <c r="P183" s="66"/>
      <c r="Q183" s="67"/>
      <c r="R183" s="67"/>
      <c r="S183" s="67"/>
      <c r="T183" s="67"/>
      <c r="U183" s="67"/>
    </row>
    <row r="184" ht="15.75" customHeight="1">
      <c r="A184" s="26" t="s">
        <v>627</v>
      </c>
      <c r="B184" s="26" t="s">
        <v>1024</v>
      </c>
      <c r="C184" s="26" t="s">
        <v>960</v>
      </c>
      <c r="D184" s="26" t="str">
        <f>IFERROR(__xludf.DUMMYFUNCTION("IF(
 C184=""STATE"",
 UPPER(REGEXEXTRACT(A184,""^state\.([^_@]+)"")),
 """"
)"),"")</f>
        <v/>
      </c>
      <c r="E184" s="26" t="b">
        <v>1</v>
      </c>
      <c r="F184" s="26" t="s">
        <v>633</v>
      </c>
      <c r="G184" s="26" t="str">
        <f t="shared" si="1"/>
        <v>Not a building</v>
      </c>
      <c r="H184" s="26" t="str">
        <f t="shared" si="2"/>
        <v>Not a building</v>
      </c>
      <c r="K184" s="66"/>
      <c r="L184" s="66"/>
      <c r="M184" s="67"/>
      <c r="N184" s="67"/>
      <c r="O184" s="66"/>
      <c r="P184" s="66"/>
      <c r="Q184" s="67"/>
      <c r="R184" s="67"/>
      <c r="S184" s="67"/>
      <c r="T184" s="67"/>
      <c r="U184" s="67"/>
    </row>
    <row r="185" ht="15.75" customHeight="1">
      <c r="A185" s="26" t="s">
        <v>631</v>
      </c>
      <c r="B185" s="26" t="s">
        <v>1026</v>
      </c>
      <c r="C185" s="26" t="s">
        <v>960</v>
      </c>
      <c r="D185" s="26" t="str">
        <f>IFERROR(__xludf.DUMMYFUNCTION("IF(
 C185=""STATE"",
 UPPER(REGEXEXTRACT(A185,""^state\.([^_@]+)"")),
 """"
)"),"")</f>
        <v/>
      </c>
      <c r="E185" s="26" t="b">
        <v>1</v>
      </c>
      <c r="F185" s="26" t="s">
        <v>633</v>
      </c>
      <c r="G185" s="26" t="str">
        <f t="shared" si="1"/>
        <v>Not a building</v>
      </c>
      <c r="H185" s="26" t="str">
        <f t="shared" si="2"/>
        <v>Not a building</v>
      </c>
      <c r="K185" s="66"/>
      <c r="L185" s="66"/>
      <c r="M185" s="67"/>
      <c r="N185" s="67"/>
      <c r="O185" s="66"/>
      <c r="P185" s="66"/>
      <c r="Q185" s="67"/>
      <c r="R185" s="67"/>
      <c r="S185" s="67"/>
      <c r="T185" s="67"/>
      <c r="U185" s="67"/>
    </row>
    <row r="186" ht="15.75" customHeight="1">
      <c r="A186" s="26" t="s">
        <v>635</v>
      </c>
      <c r="B186" s="26" t="s">
        <v>1028</v>
      </c>
      <c r="C186" s="26" t="s">
        <v>960</v>
      </c>
      <c r="D186" s="26" t="str">
        <f>IFERROR(__xludf.DUMMYFUNCTION("IF(
 C186=""STATE"",
 UPPER(REGEXEXTRACT(A186,""^state\.([^_@]+)"")),
 """"
)"),"")</f>
        <v/>
      </c>
      <c r="E186" s="26" t="b">
        <v>1</v>
      </c>
      <c r="F186" s="26" t="s">
        <v>633</v>
      </c>
      <c r="G186" s="26" t="str">
        <f t="shared" si="1"/>
        <v>Not a building</v>
      </c>
      <c r="H186" s="26" t="str">
        <f t="shared" si="2"/>
        <v>Not a building</v>
      </c>
      <c r="K186" s="66"/>
      <c r="L186" s="66"/>
      <c r="M186" s="67"/>
      <c r="N186" s="67"/>
      <c r="O186" s="66"/>
      <c r="P186" s="66"/>
      <c r="Q186" s="67"/>
      <c r="R186" s="67"/>
      <c r="S186" s="67"/>
      <c r="T186" s="67"/>
      <c r="U186" s="67"/>
    </row>
    <row r="187" ht="15.75" customHeight="1">
      <c r="A187" s="26" t="s">
        <v>640</v>
      </c>
      <c r="B187" s="26" t="s">
        <v>1029</v>
      </c>
      <c r="C187" s="26" t="s">
        <v>960</v>
      </c>
      <c r="D187" s="26" t="str">
        <f>IFERROR(__xludf.DUMMYFUNCTION("IF(
 C187=""STATE"",
 UPPER(REGEXEXTRACT(A187,""^state\.([^_@]+)"")),
 """"
)"),"")</f>
        <v/>
      </c>
      <c r="E187" s="26" t="b">
        <v>1</v>
      </c>
      <c r="F187" s="26" t="s">
        <v>633</v>
      </c>
      <c r="G187" s="26" t="str">
        <f t="shared" si="1"/>
        <v>Not a building</v>
      </c>
      <c r="H187" s="26" t="str">
        <f t="shared" si="2"/>
        <v>Not a building</v>
      </c>
      <c r="K187" s="66"/>
      <c r="L187" s="66"/>
      <c r="M187" s="67"/>
      <c r="N187" s="67"/>
      <c r="O187" s="66"/>
      <c r="P187" s="66"/>
      <c r="Q187" s="67"/>
      <c r="R187" s="67"/>
      <c r="S187" s="67"/>
      <c r="T187" s="67"/>
      <c r="U187" s="67"/>
    </row>
    <row r="188" ht="15.75" customHeight="1">
      <c r="A188" s="26" t="s">
        <v>643</v>
      </c>
      <c r="B188" s="26" t="s">
        <v>1031</v>
      </c>
      <c r="C188" s="26" t="s">
        <v>960</v>
      </c>
      <c r="D188" s="26" t="str">
        <f>IFERROR(__xludf.DUMMYFUNCTION("IF(
 C188=""STATE"",
 UPPER(REGEXEXTRACT(A188,""^state\.([^_@]+)"")),
 """"
)"),"")</f>
        <v/>
      </c>
      <c r="E188" s="26" t="b">
        <v>1</v>
      </c>
      <c r="F188" s="26" t="s">
        <v>633</v>
      </c>
      <c r="G188" s="26" t="str">
        <f t="shared" si="1"/>
        <v>Not a building</v>
      </c>
      <c r="H188" s="26" t="str">
        <f t="shared" si="2"/>
        <v>Not a building</v>
      </c>
      <c r="K188" s="66"/>
      <c r="L188" s="66"/>
      <c r="M188" s="67"/>
      <c r="N188" s="67"/>
      <c r="O188" s="66"/>
      <c r="P188" s="66"/>
      <c r="Q188" s="67"/>
      <c r="R188" s="67"/>
      <c r="S188" s="67"/>
      <c r="T188" s="67"/>
      <c r="U188" s="67"/>
    </row>
    <row r="189" ht="15.75" customHeight="1">
      <c r="A189" s="26" t="s">
        <v>647</v>
      </c>
      <c r="B189" s="26" t="s">
        <v>1033</v>
      </c>
      <c r="C189" s="26" t="s">
        <v>960</v>
      </c>
      <c r="D189" s="26" t="str">
        <f>IFERROR(__xludf.DUMMYFUNCTION("IF(
 C189=""STATE"",
 UPPER(REGEXEXTRACT(A189,""^state\.([^_@]+)"")),
 """"
)"),"")</f>
        <v/>
      </c>
      <c r="E189" s="26" t="b">
        <v>1</v>
      </c>
      <c r="F189" s="26" t="s">
        <v>633</v>
      </c>
      <c r="G189" s="26" t="str">
        <f t="shared" si="1"/>
        <v>Not a building</v>
      </c>
      <c r="H189" s="26" t="str">
        <f t="shared" si="2"/>
        <v>Not a building</v>
      </c>
      <c r="K189" s="66"/>
      <c r="L189" s="66"/>
      <c r="M189" s="67"/>
      <c r="N189" s="67"/>
      <c r="O189" s="66"/>
      <c r="P189" s="66"/>
      <c r="Q189" s="67"/>
      <c r="R189" s="67"/>
      <c r="S189" s="67"/>
      <c r="T189" s="67"/>
      <c r="U189" s="67"/>
    </row>
    <row r="190" ht="15.75" customHeight="1">
      <c r="A190" s="26" t="s">
        <v>649</v>
      </c>
      <c r="B190" s="26" t="s">
        <v>1034</v>
      </c>
      <c r="C190" s="26" t="s">
        <v>960</v>
      </c>
      <c r="D190" s="26" t="str">
        <f>IFERROR(__xludf.DUMMYFUNCTION("IF(
 C190=""STATE"",
 UPPER(REGEXEXTRACT(A190,""^state\.([^_@]+)"")),
 """"
)"),"")</f>
        <v/>
      </c>
      <c r="E190" s="26" t="b">
        <v>1</v>
      </c>
      <c r="F190" s="26" t="s">
        <v>633</v>
      </c>
      <c r="G190" s="26" t="str">
        <f t="shared" si="1"/>
        <v>Not a building</v>
      </c>
      <c r="H190" s="26" t="str">
        <f t="shared" si="2"/>
        <v>Not a building</v>
      </c>
      <c r="K190" s="66"/>
      <c r="L190" s="66"/>
      <c r="M190" s="67"/>
      <c r="N190" s="67"/>
      <c r="O190" s="66"/>
      <c r="P190" s="66"/>
      <c r="Q190" s="67"/>
      <c r="R190" s="67"/>
      <c r="S190" s="67"/>
      <c r="T190" s="67"/>
      <c r="U190" s="67"/>
    </row>
    <row r="191" ht="15.75" customHeight="1">
      <c r="A191" s="26" t="s">
        <v>654</v>
      </c>
      <c r="B191" s="26" t="s">
        <v>1037</v>
      </c>
      <c r="C191" s="26" t="s">
        <v>960</v>
      </c>
      <c r="D191" s="26" t="str">
        <f>IFERROR(__xludf.DUMMYFUNCTION("IF(
 C191=""STATE"",
 UPPER(REGEXEXTRACT(A191,""^state\.([^_@]+)"")),
 """"
)"),"")</f>
        <v/>
      </c>
      <c r="E191" s="26" t="b">
        <v>1</v>
      </c>
      <c r="F191" s="26" t="s">
        <v>633</v>
      </c>
      <c r="G191" s="26" t="str">
        <f t="shared" si="1"/>
        <v>Not a building</v>
      </c>
      <c r="H191" s="26" t="str">
        <f t="shared" si="2"/>
        <v>Not a building</v>
      </c>
      <c r="K191" s="66"/>
      <c r="L191" s="66"/>
      <c r="M191" s="67"/>
      <c r="N191" s="67"/>
      <c r="O191" s="66"/>
      <c r="P191" s="66"/>
      <c r="Q191" s="67"/>
      <c r="R191" s="67"/>
      <c r="S191" s="67"/>
      <c r="T191" s="67"/>
      <c r="U191" s="67"/>
    </row>
    <row r="192" ht="15.75" customHeight="1">
      <c r="A192" s="26" t="s">
        <v>658</v>
      </c>
      <c r="B192" s="26" t="s">
        <v>1038</v>
      </c>
      <c r="C192" s="26" t="s">
        <v>960</v>
      </c>
      <c r="D192" s="26" t="str">
        <f>IFERROR(__xludf.DUMMYFUNCTION("IF(
 C192=""STATE"",
 UPPER(REGEXEXTRACT(A192,""^state\.([^_@]+)"")),
 """"
)"),"")</f>
        <v/>
      </c>
      <c r="E192" s="26" t="b">
        <v>1</v>
      </c>
      <c r="F192" s="26" t="s">
        <v>633</v>
      </c>
      <c r="G192" s="26" t="str">
        <f t="shared" si="1"/>
        <v>Not a building</v>
      </c>
      <c r="H192" s="26" t="str">
        <f t="shared" si="2"/>
        <v>Not a building</v>
      </c>
      <c r="K192" s="66"/>
      <c r="L192" s="66"/>
      <c r="M192" s="67"/>
      <c r="N192" s="67"/>
      <c r="O192" s="66"/>
      <c r="P192" s="66"/>
      <c r="Q192" s="67"/>
      <c r="R192" s="67"/>
      <c r="S192" s="67"/>
      <c r="T192" s="67"/>
      <c r="U192" s="67"/>
    </row>
    <row r="193" ht="15.75" customHeight="1">
      <c r="A193" s="26" t="s">
        <v>662</v>
      </c>
      <c r="B193" s="26" t="s">
        <v>1040</v>
      </c>
      <c r="C193" s="26" t="s">
        <v>960</v>
      </c>
      <c r="D193" s="26" t="str">
        <f>IFERROR(__xludf.DUMMYFUNCTION("IF(
 C193=""STATE"",
 UPPER(REGEXEXTRACT(A193,""^state\.([^_@]+)"")),
 """"
)"),"")</f>
        <v/>
      </c>
      <c r="E193" s="26" t="b">
        <v>1</v>
      </c>
      <c r="F193" s="26" t="s">
        <v>633</v>
      </c>
      <c r="G193" s="26" t="str">
        <f t="shared" si="1"/>
        <v>Not a building</v>
      </c>
      <c r="H193" s="26" t="str">
        <f t="shared" si="2"/>
        <v>Not a building</v>
      </c>
      <c r="K193" s="66"/>
      <c r="L193" s="66"/>
      <c r="M193" s="67"/>
      <c r="N193" s="67"/>
      <c r="O193" s="66"/>
      <c r="P193" s="66"/>
      <c r="Q193" s="67"/>
      <c r="R193" s="67"/>
      <c r="S193" s="67"/>
      <c r="T193" s="67"/>
      <c r="U193" s="67"/>
    </row>
    <row r="194" ht="15.75" customHeight="1">
      <c r="A194" s="26" t="s">
        <v>666</v>
      </c>
      <c r="B194" s="26" t="s">
        <v>1042</v>
      </c>
      <c r="C194" s="26" t="s">
        <v>960</v>
      </c>
      <c r="D194" s="26" t="str">
        <f>IFERROR(__xludf.DUMMYFUNCTION("IF(
 C194=""STATE"",
 UPPER(REGEXEXTRACT(A194,""^state\.([^_@]+)"")),
 """"
)"),"")</f>
        <v/>
      </c>
      <c r="E194" s="26" t="b">
        <v>1</v>
      </c>
      <c r="F194" s="26" t="s">
        <v>633</v>
      </c>
      <c r="G194" s="26" t="str">
        <f t="shared" si="1"/>
        <v>Not a building</v>
      </c>
      <c r="H194" s="26" t="str">
        <f t="shared" si="2"/>
        <v>Not a building</v>
      </c>
      <c r="K194" s="66"/>
      <c r="L194" s="66"/>
      <c r="M194" s="67"/>
      <c r="N194" s="67"/>
      <c r="O194" s="66"/>
      <c r="P194" s="66"/>
      <c r="Q194" s="67"/>
      <c r="R194" s="67"/>
      <c r="S194" s="67"/>
      <c r="T194" s="67"/>
      <c r="U194" s="67"/>
    </row>
    <row r="195" ht="15.75" customHeight="1">
      <c r="A195" s="26" t="s">
        <v>669</v>
      </c>
      <c r="B195" s="26" t="s">
        <v>1043</v>
      </c>
      <c r="C195" s="26" t="s">
        <v>960</v>
      </c>
      <c r="D195" s="26" t="str">
        <f>IFERROR(__xludf.DUMMYFUNCTION("IF(
 C195=""STATE"",
 UPPER(REGEXEXTRACT(A195,""^state\.([^_@]+)"")),
 """"
)"),"")</f>
        <v/>
      </c>
      <c r="E195" s="26" t="b">
        <v>1</v>
      </c>
      <c r="F195" s="26" t="s">
        <v>633</v>
      </c>
      <c r="G195" s="26" t="str">
        <f t="shared" si="1"/>
        <v>Not a building</v>
      </c>
      <c r="H195" s="26" t="str">
        <f t="shared" si="2"/>
        <v>Not a building</v>
      </c>
      <c r="K195" s="66"/>
      <c r="L195" s="66"/>
      <c r="M195" s="67"/>
      <c r="N195" s="67"/>
      <c r="O195" s="66"/>
      <c r="P195" s="66"/>
      <c r="Q195" s="67"/>
      <c r="R195" s="67"/>
      <c r="S195" s="67"/>
      <c r="T195" s="67"/>
      <c r="U195" s="67"/>
    </row>
    <row r="196" ht="15.75" customHeight="1">
      <c r="A196" s="26" t="s">
        <v>673</v>
      </c>
      <c r="B196" s="26" t="s">
        <v>1045</v>
      </c>
      <c r="C196" s="26" t="s">
        <v>960</v>
      </c>
      <c r="D196" s="26" t="str">
        <f>IFERROR(__xludf.DUMMYFUNCTION("IF(
 C196=""STATE"",
 UPPER(REGEXEXTRACT(A196,""^state\.([^_@]+)"")),
 """"
)"),"")</f>
        <v/>
      </c>
      <c r="E196" s="26" t="b">
        <v>1</v>
      </c>
      <c r="F196" s="26" t="s">
        <v>633</v>
      </c>
      <c r="G196" s="26" t="str">
        <f t="shared" si="1"/>
        <v>Not a building</v>
      </c>
      <c r="H196" s="26" t="str">
        <f t="shared" si="2"/>
        <v>Not a building</v>
      </c>
      <c r="K196" s="66"/>
      <c r="L196" s="66"/>
      <c r="M196" s="67"/>
      <c r="N196" s="67"/>
      <c r="O196" s="66"/>
      <c r="P196" s="66"/>
      <c r="Q196" s="67"/>
      <c r="R196" s="67"/>
      <c r="S196" s="67"/>
      <c r="T196" s="67"/>
      <c r="U196" s="67"/>
    </row>
    <row r="197" ht="15.75" customHeight="1">
      <c r="A197" s="26" t="s">
        <v>677</v>
      </c>
      <c r="B197" s="26" t="s">
        <v>1046</v>
      </c>
      <c r="C197" s="26" t="s">
        <v>960</v>
      </c>
      <c r="D197" s="26" t="str">
        <f>IFERROR(__xludf.DUMMYFUNCTION("IF(
 C197=""STATE"",
 UPPER(REGEXEXTRACT(A197,""^state\.([^_@]+)"")),
 """"
)"),"")</f>
        <v/>
      </c>
      <c r="E197" s="26" t="b">
        <v>1</v>
      </c>
      <c r="F197" s="26" t="s">
        <v>633</v>
      </c>
      <c r="G197" s="26" t="str">
        <f t="shared" si="1"/>
        <v>Not a building</v>
      </c>
      <c r="H197" s="26" t="str">
        <f t="shared" si="2"/>
        <v>Not a building</v>
      </c>
      <c r="K197" s="66"/>
      <c r="L197" s="66"/>
      <c r="M197" s="67"/>
      <c r="N197" s="67"/>
      <c r="O197" s="66"/>
      <c r="P197" s="66"/>
      <c r="Q197" s="67"/>
      <c r="R197" s="67"/>
      <c r="S197" s="67"/>
      <c r="T197" s="67"/>
      <c r="U197" s="67"/>
    </row>
    <row r="198" ht="15.75" customHeight="1">
      <c r="A198" s="26" t="s">
        <v>681</v>
      </c>
      <c r="B198" s="26" t="s">
        <v>1049</v>
      </c>
      <c r="C198" s="26" t="s">
        <v>960</v>
      </c>
      <c r="D198" s="26" t="str">
        <f>IFERROR(__xludf.DUMMYFUNCTION("IF(
 C198=""STATE"",
 UPPER(REGEXEXTRACT(A198,""^state\.([^_@]+)"")),
 """"
)"),"")</f>
        <v/>
      </c>
      <c r="E198" s="26" t="b">
        <v>1</v>
      </c>
      <c r="F198" s="26" t="s">
        <v>633</v>
      </c>
      <c r="G198" s="26" t="str">
        <f t="shared" si="1"/>
        <v>Not a building</v>
      </c>
      <c r="H198" s="26" t="str">
        <f t="shared" si="2"/>
        <v>Not a building</v>
      </c>
      <c r="K198" s="66"/>
      <c r="L198" s="66"/>
      <c r="M198" s="67"/>
      <c r="N198" s="67"/>
      <c r="O198" s="66"/>
      <c r="P198" s="66"/>
      <c r="Q198" s="67"/>
      <c r="R198" s="67"/>
      <c r="S198" s="67"/>
      <c r="T198" s="67"/>
      <c r="U198" s="67"/>
    </row>
    <row r="199" ht="15.75" customHeight="1">
      <c r="A199" s="26" t="s">
        <v>685</v>
      </c>
      <c r="B199" s="26" t="s">
        <v>1050</v>
      </c>
      <c r="C199" s="26" t="s">
        <v>960</v>
      </c>
      <c r="D199" s="26" t="str">
        <f>IFERROR(__xludf.DUMMYFUNCTION("IF(
 C199=""STATE"",
 UPPER(REGEXEXTRACT(A199,""^state\.([^_@]+)"")),
 """"
)"),"")</f>
        <v/>
      </c>
      <c r="E199" s="26" t="b">
        <v>1</v>
      </c>
      <c r="F199" s="26" t="s">
        <v>633</v>
      </c>
      <c r="G199" s="26" t="str">
        <f t="shared" si="1"/>
        <v>Not a building</v>
      </c>
      <c r="H199" s="26" t="str">
        <f t="shared" si="2"/>
        <v>Not a building</v>
      </c>
      <c r="K199" s="66"/>
      <c r="L199" s="66"/>
      <c r="M199" s="67"/>
      <c r="N199" s="67"/>
      <c r="O199" s="66"/>
      <c r="P199" s="66"/>
      <c r="Q199" s="67"/>
      <c r="R199" s="67"/>
      <c r="S199" s="67"/>
      <c r="T199" s="67"/>
      <c r="U199" s="67"/>
    </row>
    <row r="200" ht="15.75" customHeight="1">
      <c r="A200" s="26" t="s">
        <v>691</v>
      </c>
      <c r="B200" s="26" t="s">
        <v>1051</v>
      </c>
      <c r="C200" s="26" t="s">
        <v>960</v>
      </c>
      <c r="D200" s="26" t="str">
        <f>IFERROR(__xludf.DUMMYFUNCTION("IF(
 C200=""STATE"",
 UPPER(REGEXEXTRACT(A200,""^state\.([^_@]+)"")),
 """"
)"),"")</f>
        <v/>
      </c>
      <c r="E200" s="26" t="b">
        <v>1</v>
      </c>
      <c r="F200" s="26" t="s">
        <v>633</v>
      </c>
      <c r="G200" s="26" t="str">
        <f t="shared" si="1"/>
        <v>Not a building</v>
      </c>
      <c r="H200" s="26" t="str">
        <f t="shared" si="2"/>
        <v>Not a building</v>
      </c>
      <c r="K200" s="66"/>
      <c r="L200" s="66"/>
      <c r="M200" s="67"/>
      <c r="N200" s="67"/>
      <c r="O200" s="66"/>
      <c r="P200" s="66"/>
      <c r="Q200" s="67"/>
      <c r="R200" s="67"/>
      <c r="S200" s="67"/>
      <c r="T200" s="67"/>
      <c r="U200" s="67"/>
    </row>
    <row r="201" ht="15.75" customHeight="1">
      <c r="A201" s="26" t="s">
        <v>695</v>
      </c>
      <c r="B201" s="26" t="s">
        <v>1054</v>
      </c>
      <c r="C201" s="26" t="s">
        <v>960</v>
      </c>
      <c r="D201" s="26" t="str">
        <f>IFERROR(__xludf.DUMMYFUNCTION("IF(
 C201=""STATE"",
 UPPER(REGEXEXTRACT(A201,""^state\.([^_@]+)"")),
 """"
)"),"")</f>
        <v/>
      </c>
      <c r="E201" s="26" t="b">
        <v>1</v>
      </c>
      <c r="F201" s="26" t="s">
        <v>633</v>
      </c>
      <c r="G201" s="26" t="str">
        <f t="shared" si="1"/>
        <v>Not a building</v>
      </c>
      <c r="H201" s="26" t="str">
        <f t="shared" si="2"/>
        <v>Not a building</v>
      </c>
      <c r="K201" s="66"/>
      <c r="L201" s="66"/>
      <c r="M201" s="67"/>
      <c r="N201" s="67"/>
      <c r="O201" s="66"/>
      <c r="P201" s="66"/>
      <c r="Q201" s="67"/>
      <c r="R201" s="67"/>
      <c r="S201" s="67"/>
      <c r="T201" s="67"/>
      <c r="U201" s="67"/>
    </row>
    <row r="202" ht="15.75" customHeight="1">
      <c r="A202" s="26" t="s">
        <v>698</v>
      </c>
      <c r="B202" s="26" t="s">
        <v>1056</v>
      </c>
      <c r="C202" s="26" t="s">
        <v>960</v>
      </c>
      <c r="D202" s="26" t="str">
        <f>IFERROR(__xludf.DUMMYFUNCTION("IF(
 C202=""STATE"",
 UPPER(REGEXEXTRACT(A202,""^state\.([^_@]+)"")),
 """"
)"),"")</f>
        <v/>
      </c>
      <c r="E202" s="26" t="b">
        <v>1</v>
      </c>
      <c r="F202" s="26" t="s">
        <v>633</v>
      </c>
      <c r="G202" s="26" t="str">
        <f t="shared" si="1"/>
        <v>Not a building</v>
      </c>
      <c r="H202" s="26" t="str">
        <f t="shared" si="2"/>
        <v>Not a building</v>
      </c>
      <c r="K202" s="66"/>
      <c r="L202" s="66"/>
      <c r="M202" s="67"/>
      <c r="N202" s="67"/>
      <c r="O202" s="66"/>
      <c r="P202" s="66"/>
      <c r="Q202" s="67"/>
      <c r="R202" s="67"/>
      <c r="S202" s="67"/>
      <c r="T202" s="67"/>
      <c r="U202" s="67"/>
    </row>
    <row r="203" ht="15.75" customHeight="1">
      <c r="A203" s="26" t="s">
        <v>703</v>
      </c>
      <c r="B203" s="26" t="s">
        <v>1058</v>
      </c>
      <c r="C203" s="26" t="s">
        <v>960</v>
      </c>
      <c r="D203" s="26" t="str">
        <f>IFERROR(__xludf.DUMMYFUNCTION("IF(
 C203=""STATE"",
 UPPER(REGEXEXTRACT(A203,""^state\.([^_@]+)"")),
 """"
)"),"")</f>
        <v/>
      </c>
      <c r="E203" s="26" t="b">
        <v>1</v>
      </c>
      <c r="F203" s="26" t="s">
        <v>633</v>
      </c>
      <c r="G203" s="26" t="str">
        <f t="shared" si="1"/>
        <v>Not a building</v>
      </c>
      <c r="H203" s="26" t="str">
        <f t="shared" si="2"/>
        <v>Not a building</v>
      </c>
      <c r="K203" s="66"/>
      <c r="L203" s="66"/>
      <c r="M203" s="67"/>
      <c r="N203" s="67"/>
      <c r="O203" s="66"/>
      <c r="P203" s="66"/>
      <c r="Q203" s="67"/>
      <c r="R203" s="67"/>
      <c r="S203" s="67"/>
      <c r="T203" s="67"/>
      <c r="U203" s="67"/>
    </row>
    <row r="204" ht="15.75" customHeight="1">
      <c r="A204" s="26" t="s">
        <v>707</v>
      </c>
      <c r="B204" s="26" t="s">
        <v>1061</v>
      </c>
      <c r="C204" s="26" t="s">
        <v>960</v>
      </c>
      <c r="D204" s="26" t="str">
        <f>IFERROR(__xludf.DUMMYFUNCTION("IF(
 C204=""STATE"",
 UPPER(REGEXEXTRACT(A204,""^state\.([^_@]+)"")),
 """"
)"),"")</f>
        <v/>
      </c>
      <c r="E204" s="26" t="b">
        <v>1</v>
      </c>
      <c r="F204" s="26" t="s">
        <v>633</v>
      </c>
      <c r="G204" s="26" t="str">
        <f t="shared" si="1"/>
        <v>Not a building</v>
      </c>
      <c r="H204" s="26" t="str">
        <f t="shared" si="2"/>
        <v>Not a building</v>
      </c>
      <c r="K204" s="66"/>
      <c r="L204" s="66"/>
      <c r="M204" s="67"/>
      <c r="N204" s="67"/>
      <c r="O204" s="66"/>
      <c r="P204" s="66"/>
      <c r="Q204" s="67"/>
      <c r="R204" s="67"/>
      <c r="S204" s="67"/>
      <c r="T204" s="67"/>
      <c r="U204" s="67"/>
    </row>
    <row r="205" ht="15.75" customHeight="1">
      <c r="A205" s="26" t="s">
        <v>710</v>
      </c>
      <c r="B205" s="26" t="s">
        <v>1062</v>
      </c>
      <c r="C205" s="26" t="s">
        <v>960</v>
      </c>
      <c r="D205" s="26" t="str">
        <f>IFERROR(__xludf.DUMMYFUNCTION("IF(
 C205=""STATE"",
 UPPER(REGEXEXTRACT(A205,""^state\.([^_@]+)"")),
 """"
)"),"")</f>
        <v/>
      </c>
      <c r="E205" s="26" t="b">
        <v>1</v>
      </c>
      <c r="F205" s="26" t="s">
        <v>633</v>
      </c>
      <c r="G205" s="26" t="str">
        <f t="shared" si="1"/>
        <v>Not a building</v>
      </c>
      <c r="H205" s="26" t="str">
        <f t="shared" si="2"/>
        <v>Not a building</v>
      </c>
      <c r="K205" s="66"/>
      <c r="L205" s="66"/>
      <c r="M205" s="67"/>
      <c r="N205" s="67"/>
      <c r="O205" s="66"/>
      <c r="P205" s="66"/>
      <c r="Q205" s="67"/>
      <c r="R205" s="67"/>
      <c r="S205" s="67"/>
      <c r="T205" s="67"/>
      <c r="U205" s="67"/>
    </row>
    <row r="206" ht="15.75" customHeight="1">
      <c r="A206" s="26" t="s">
        <v>713</v>
      </c>
      <c r="B206" s="26" t="s">
        <v>1065</v>
      </c>
      <c r="C206" s="26" t="s">
        <v>960</v>
      </c>
      <c r="D206" s="26" t="str">
        <f>IFERROR(__xludf.DUMMYFUNCTION("IF(
 C206=""STATE"",
 UPPER(REGEXEXTRACT(A206,""^state\.([^_@]+)"")),
 """"
)"),"")</f>
        <v/>
      </c>
      <c r="E206" s="26" t="b">
        <v>1</v>
      </c>
      <c r="F206" s="26" t="s">
        <v>633</v>
      </c>
      <c r="G206" s="26" t="str">
        <f t="shared" si="1"/>
        <v>Not a building</v>
      </c>
      <c r="H206" s="26" t="str">
        <f t="shared" si="2"/>
        <v>Not a building</v>
      </c>
      <c r="K206" s="66"/>
      <c r="L206" s="66"/>
      <c r="M206" s="67"/>
      <c r="N206" s="67"/>
      <c r="O206" s="66"/>
      <c r="P206" s="66"/>
      <c r="Q206" s="67"/>
      <c r="R206" s="67"/>
      <c r="S206" s="67"/>
      <c r="T206" s="67"/>
      <c r="U206" s="67"/>
    </row>
    <row r="207" ht="15.75" customHeight="1">
      <c r="A207" s="26" t="s">
        <v>716</v>
      </c>
      <c r="B207" s="26" t="s">
        <v>1067</v>
      </c>
      <c r="C207" s="26" t="s">
        <v>960</v>
      </c>
      <c r="D207" s="26" t="str">
        <f>IFERROR(__xludf.DUMMYFUNCTION("IF(
 C207=""STATE"",
 UPPER(REGEXEXTRACT(A207,""^state\.([^_@]+)"")),
 """"
)"),"")</f>
        <v/>
      </c>
      <c r="E207" s="26" t="b">
        <v>1</v>
      </c>
      <c r="F207" s="26" t="s">
        <v>633</v>
      </c>
      <c r="G207" s="26" t="str">
        <f t="shared" si="1"/>
        <v>Not a building</v>
      </c>
      <c r="H207" s="26" t="str">
        <f t="shared" si="2"/>
        <v>Not a building</v>
      </c>
      <c r="K207" s="66"/>
      <c r="L207" s="66"/>
      <c r="M207" s="67"/>
      <c r="N207" s="67"/>
      <c r="O207" s="66"/>
      <c r="P207" s="66"/>
      <c r="Q207" s="67"/>
      <c r="R207" s="67"/>
      <c r="S207" s="67"/>
      <c r="T207" s="67"/>
      <c r="U207" s="67"/>
    </row>
    <row r="208" ht="15.75" customHeight="1">
      <c r="A208" s="26" t="s">
        <v>719</v>
      </c>
      <c r="B208" s="26" t="s">
        <v>1068</v>
      </c>
      <c r="C208" s="26" t="s">
        <v>960</v>
      </c>
      <c r="D208" s="26" t="str">
        <f>IFERROR(__xludf.DUMMYFUNCTION("IF(
 C208=""STATE"",
 UPPER(REGEXEXTRACT(A208,""^state\.([^_@]+)"")),
 """"
)"),"")</f>
        <v/>
      </c>
      <c r="E208" s="26" t="b">
        <v>1</v>
      </c>
      <c r="F208" s="26" t="s">
        <v>633</v>
      </c>
      <c r="G208" s="26" t="str">
        <f t="shared" si="1"/>
        <v>Not a building</v>
      </c>
      <c r="H208" s="26" t="str">
        <f t="shared" si="2"/>
        <v>Not a building</v>
      </c>
      <c r="K208" s="66"/>
      <c r="L208" s="66"/>
      <c r="M208" s="67"/>
      <c r="N208" s="67"/>
      <c r="O208" s="66"/>
      <c r="P208" s="66"/>
      <c r="Q208" s="67"/>
      <c r="R208" s="67"/>
      <c r="S208" s="67"/>
      <c r="T208" s="67"/>
      <c r="U208" s="67"/>
    </row>
    <row r="209" ht="15.75" customHeight="1">
      <c r="A209" s="26" t="s">
        <v>722</v>
      </c>
      <c r="B209" s="26" t="s">
        <v>1071</v>
      </c>
      <c r="C209" s="26" t="s">
        <v>960</v>
      </c>
      <c r="D209" s="26" t="str">
        <f>IFERROR(__xludf.DUMMYFUNCTION("IF(
 C209=""STATE"",
 UPPER(REGEXEXTRACT(A209,""^state\.([^_@]+)"")),
 """"
)"),"")</f>
        <v/>
      </c>
      <c r="E209" s="26" t="b">
        <v>1</v>
      </c>
      <c r="F209" s="26" t="s">
        <v>633</v>
      </c>
      <c r="G209" s="26" t="str">
        <f t="shared" si="1"/>
        <v>Not a building</v>
      </c>
      <c r="H209" s="26" t="str">
        <f t="shared" si="2"/>
        <v>Not a building</v>
      </c>
      <c r="K209" s="66"/>
      <c r="L209" s="66"/>
      <c r="M209" s="67"/>
      <c r="N209" s="67"/>
      <c r="O209" s="66"/>
      <c r="P209" s="66"/>
      <c r="Q209" s="67"/>
      <c r="R209" s="67"/>
      <c r="S209" s="67"/>
      <c r="T209" s="67"/>
      <c r="U209" s="67"/>
    </row>
    <row r="210" ht="15.75" customHeight="1">
      <c r="A210" s="26" t="s">
        <v>727</v>
      </c>
      <c r="B210" s="26" t="s">
        <v>1073</v>
      </c>
      <c r="C210" s="26" t="s">
        <v>960</v>
      </c>
      <c r="D210" s="26" t="str">
        <f>IFERROR(__xludf.DUMMYFUNCTION("IF(
 C210=""STATE"",
 UPPER(REGEXEXTRACT(A210,""^state\.([^_@]+)"")),
 """"
)"),"")</f>
        <v/>
      </c>
      <c r="E210" s="26" t="b">
        <v>1</v>
      </c>
      <c r="F210" s="26" t="s">
        <v>633</v>
      </c>
      <c r="G210" s="26" t="str">
        <f t="shared" si="1"/>
        <v>Not a building</v>
      </c>
      <c r="H210" s="26" t="str">
        <f t="shared" si="2"/>
        <v>Not a building</v>
      </c>
      <c r="K210" s="66"/>
      <c r="L210" s="66"/>
      <c r="M210" s="67"/>
      <c r="N210" s="67"/>
      <c r="O210" s="66"/>
      <c r="P210" s="66"/>
      <c r="Q210" s="67"/>
      <c r="R210" s="67"/>
      <c r="S210" s="67"/>
      <c r="T210" s="67"/>
      <c r="U210" s="67"/>
    </row>
    <row r="211" ht="15.75" customHeight="1">
      <c r="A211" s="26" t="s">
        <v>731</v>
      </c>
      <c r="B211" s="26" t="s">
        <v>1074</v>
      </c>
      <c r="C211" s="26" t="s">
        <v>960</v>
      </c>
      <c r="D211" s="26" t="str">
        <f>IFERROR(__xludf.DUMMYFUNCTION("IF(
 C211=""STATE"",
 UPPER(REGEXEXTRACT(A211,""^state\.([^_@]+)"")),
 """"
)"),"")</f>
        <v/>
      </c>
      <c r="E211" s="26" t="b">
        <v>1</v>
      </c>
      <c r="F211" s="26" t="s">
        <v>633</v>
      </c>
      <c r="G211" s="26" t="str">
        <f t="shared" si="1"/>
        <v>Not a building</v>
      </c>
      <c r="H211" s="26" t="str">
        <f t="shared" si="2"/>
        <v>Not a building</v>
      </c>
      <c r="K211" s="66"/>
      <c r="L211" s="66"/>
      <c r="M211" s="67"/>
      <c r="N211" s="67"/>
      <c r="O211" s="66"/>
      <c r="P211" s="66"/>
      <c r="Q211" s="67"/>
      <c r="R211" s="67"/>
      <c r="S211" s="67"/>
      <c r="T211" s="67"/>
      <c r="U211" s="67"/>
    </row>
    <row r="212" ht="15.75" customHeight="1">
      <c r="A212" s="26" t="s">
        <v>735</v>
      </c>
      <c r="B212" s="26" t="s">
        <v>1077</v>
      </c>
      <c r="C212" s="26" t="s">
        <v>960</v>
      </c>
      <c r="D212" s="26" t="str">
        <f>IFERROR(__xludf.DUMMYFUNCTION("IF(
 C212=""STATE"",
 UPPER(REGEXEXTRACT(A212,""^state\.([^_@]+)"")),
 """"
)"),"")</f>
        <v/>
      </c>
      <c r="E212" s="26" t="b">
        <v>1</v>
      </c>
      <c r="F212" s="26" t="s">
        <v>633</v>
      </c>
      <c r="G212" s="26" t="str">
        <f t="shared" si="1"/>
        <v>Not a building</v>
      </c>
      <c r="H212" s="26" t="str">
        <f t="shared" si="2"/>
        <v>Not a building</v>
      </c>
      <c r="K212" s="66"/>
      <c r="L212" s="66"/>
      <c r="M212" s="67"/>
      <c r="N212" s="67"/>
      <c r="O212" s="66"/>
      <c r="P212" s="66"/>
      <c r="Q212" s="67"/>
      <c r="R212" s="67"/>
      <c r="S212" s="67"/>
      <c r="T212" s="67"/>
      <c r="U212" s="67"/>
    </row>
    <row r="213" ht="15.75" customHeight="1">
      <c r="A213" s="26" t="s">
        <v>739</v>
      </c>
      <c r="B213" s="26" t="s">
        <v>1079</v>
      </c>
      <c r="C213" s="26" t="s">
        <v>960</v>
      </c>
      <c r="D213" s="26" t="str">
        <f>IFERROR(__xludf.DUMMYFUNCTION("IF(
 C213=""STATE"",
 UPPER(REGEXEXTRACT(A213,""^state\.([^_@]+)"")),
 """"
)"),"")</f>
        <v/>
      </c>
      <c r="E213" s="26" t="b">
        <v>1</v>
      </c>
      <c r="F213" s="26" t="s">
        <v>633</v>
      </c>
      <c r="G213" s="26" t="str">
        <f t="shared" si="1"/>
        <v>Not a building</v>
      </c>
      <c r="H213" s="26" t="str">
        <f t="shared" si="2"/>
        <v>Not a building</v>
      </c>
      <c r="K213" s="66"/>
      <c r="L213" s="66"/>
      <c r="M213" s="67"/>
      <c r="N213" s="67"/>
      <c r="O213" s="66"/>
      <c r="P213" s="66"/>
      <c r="Q213" s="67"/>
      <c r="R213" s="67"/>
      <c r="S213" s="67"/>
      <c r="T213" s="67"/>
      <c r="U213" s="67"/>
    </row>
    <row r="214" ht="15.75" customHeight="1">
      <c r="A214" s="26" t="s">
        <v>754</v>
      </c>
      <c r="B214" s="26" t="s">
        <v>1080</v>
      </c>
      <c r="C214" s="26" t="s">
        <v>960</v>
      </c>
      <c r="D214" s="26" t="str">
        <f>IFERROR(__xludf.DUMMYFUNCTION("IF(
 C214=""STATE"",
 UPPER(REGEXEXTRACT(A214,""^state\.([^_@]+)"")),
 """"
)"),"")</f>
        <v/>
      </c>
      <c r="E214" s="26" t="b">
        <v>1</v>
      </c>
      <c r="F214" s="26" t="s">
        <v>633</v>
      </c>
      <c r="G214" s="26" t="str">
        <f t="shared" si="1"/>
        <v>Not a building</v>
      </c>
      <c r="H214" s="26" t="str">
        <f t="shared" si="2"/>
        <v>Not a building</v>
      </c>
      <c r="K214" s="66"/>
      <c r="L214" s="66"/>
      <c r="M214" s="67"/>
      <c r="N214" s="67"/>
      <c r="O214" s="66"/>
      <c r="P214" s="66"/>
      <c r="Q214" s="67"/>
      <c r="R214" s="67"/>
      <c r="S214" s="67"/>
      <c r="T214" s="67"/>
      <c r="U214" s="67"/>
    </row>
    <row r="215" ht="15.75" customHeight="1">
      <c r="A215" s="26" t="s">
        <v>758</v>
      </c>
      <c r="B215" s="26" t="s">
        <v>1082</v>
      </c>
      <c r="C215" s="26" t="s">
        <v>960</v>
      </c>
      <c r="D215" s="26" t="str">
        <f>IFERROR(__xludf.DUMMYFUNCTION("IF(
 C215=""STATE"",
 UPPER(REGEXEXTRACT(A215,""^state\.([^_@]+)"")),
 """"
)"),"")</f>
        <v/>
      </c>
      <c r="E215" s="26" t="b">
        <v>1</v>
      </c>
      <c r="F215" s="26" t="s">
        <v>633</v>
      </c>
      <c r="G215" s="26" t="str">
        <f t="shared" si="1"/>
        <v>Not a building</v>
      </c>
      <c r="H215" s="26" t="str">
        <f t="shared" si="2"/>
        <v>Not a building</v>
      </c>
      <c r="K215" s="66"/>
      <c r="L215" s="66"/>
      <c r="M215" s="67"/>
      <c r="N215" s="67"/>
      <c r="O215" s="66"/>
      <c r="P215" s="66"/>
      <c r="Q215" s="67"/>
      <c r="R215" s="67"/>
      <c r="S215" s="67"/>
      <c r="T215" s="67"/>
      <c r="U215" s="67"/>
    </row>
    <row r="216" ht="15.75" customHeight="1">
      <c r="A216" s="26" t="s">
        <v>762</v>
      </c>
      <c r="B216" s="26" t="s">
        <v>1085</v>
      </c>
      <c r="C216" s="26" t="s">
        <v>960</v>
      </c>
      <c r="D216" s="26" t="str">
        <f>IFERROR(__xludf.DUMMYFUNCTION("IF(
 C216=""STATE"",
 UPPER(REGEXEXTRACT(A216,""^state\.([^_@]+)"")),
 """"
)"),"")</f>
        <v/>
      </c>
      <c r="E216" s="26" t="b">
        <v>1</v>
      </c>
      <c r="F216" s="26" t="s">
        <v>633</v>
      </c>
      <c r="G216" s="26" t="str">
        <f t="shared" si="1"/>
        <v>Not a building</v>
      </c>
      <c r="H216" s="26" t="str">
        <f t="shared" si="2"/>
        <v>Not a building</v>
      </c>
      <c r="K216" s="66"/>
      <c r="L216" s="66"/>
      <c r="M216" s="67"/>
      <c r="N216" s="67"/>
      <c r="O216" s="66"/>
      <c r="P216" s="66"/>
      <c r="Q216" s="67"/>
      <c r="R216" s="67"/>
      <c r="S216" s="67"/>
      <c r="T216" s="67"/>
      <c r="U216" s="67"/>
    </row>
    <row r="217" ht="15.75" customHeight="1">
      <c r="A217" s="26" t="s">
        <v>765</v>
      </c>
      <c r="B217" s="26" t="s">
        <v>1086</v>
      </c>
      <c r="C217" s="26" t="s">
        <v>960</v>
      </c>
      <c r="D217" s="26" t="str">
        <f>IFERROR(__xludf.DUMMYFUNCTION("IF(
 C217=""STATE"",
 UPPER(REGEXEXTRACT(A217,""^state\.([^_@]+)"")),
 """"
)"),"")</f>
        <v/>
      </c>
      <c r="E217" s="26" t="b">
        <v>1</v>
      </c>
      <c r="F217" s="26" t="s">
        <v>633</v>
      </c>
      <c r="G217" s="26" t="str">
        <f t="shared" si="1"/>
        <v>Not a building</v>
      </c>
      <c r="H217" s="26" t="str">
        <f t="shared" si="2"/>
        <v>Not a building</v>
      </c>
      <c r="K217" s="66"/>
      <c r="L217" s="66"/>
      <c r="M217" s="67"/>
      <c r="N217" s="67"/>
      <c r="O217" s="66"/>
      <c r="P217" s="66"/>
      <c r="Q217" s="67"/>
      <c r="R217" s="67"/>
      <c r="S217" s="67"/>
      <c r="T217" s="67"/>
      <c r="U217" s="67"/>
    </row>
    <row r="218" ht="15.75" customHeight="1">
      <c r="A218" s="26" t="s">
        <v>769</v>
      </c>
      <c r="B218" s="26" t="s">
        <v>1088</v>
      </c>
      <c r="C218" s="26" t="s">
        <v>960</v>
      </c>
      <c r="D218" s="26" t="str">
        <f>IFERROR(__xludf.DUMMYFUNCTION("IF(
 C218=""STATE"",
 UPPER(REGEXEXTRACT(A218,""^state\.([^_@]+)"")),
 """"
)"),"")</f>
        <v/>
      </c>
      <c r="E218" s="26" t="b">
        <v>1</v>
      </c>
      <c r="F218" s="26" t="s">
        <v>633</v>
      </c>
      <c r="G218" s="26" t="str">
        <f t="shared" si="1"/>
        <v>Not a building</v>
      </c>
      <c r="H218" s="26" t="str">
        <f t="shared" si="2"/>
        <v>Not a building</v>
      </c>
      <c r="K218" s="66"/>
      <c r="L218" s="66"/>
      <c r="M218" s="67"/>
      <c r="N218" s="67"/>
      <c r="O218" s="66"/>
      <c r="P218" s="66"/>
      <c r="Q218" s="67"/>
      <c r="R218" s="67"/>
      <c r="S218" s="67"/>
      <c r="T218" s="67"/>
      <c r="U218" s="67"/>
    </row>
    <row r="219" ht="15.75" customHeight="1">
      <c r="A219" s="26" t="s">
        <v>773</v>
      </c>
      <c r="B219" s="26" t="s">
        <v>1090</v>
      </c>
      <c r="C219" s="26" t="s">
        <v>960</v>
      </c>
      <c r="D219" s="26" t="str">
        <f>IFERROR(__xludf.DUMMYFUNCTION("IF(
 C219=""STATE"",
 UPPER(REGEXEXTRACT(A219,""^state\.([^_@]+)"")),
 """"
)"),"")</f>
        <v/>
      </c>
      <c r="E219" s="26" t="b">
        <v>1</v>
      </c>
      <c r="F219" s="26" t="s">
        <v>633</v>
      </c>
      <c r="G219" s="26" t="str">
        <f t="shared" si="1"/>
        <v>Not a building</v>
      </c>
      <c r="H219" s="26" t="str">
        <f t="shared" si="2"/>
        <v>Not a building</v>
      </c>
      <c r="K219" s="66"/>
      <c r="L219" s="66"/>
      <c r="M219" s="67"/>
      <c r="N219" s="67"/>
      <c r="O219" s="66"/>
      <c r="P219" s="66"/>
      <c r="Q219" s="67"/>
      <c r="R219" s="67"/>
      <c r="S219" s="67"/>
      <c r="T219" s="67"/>
      <c r="U219" s="67"/>
    </row>
    <row r="220" ht="15.75" customHeight="1">
      <c r="A220" s="26" t="s">
        <v>776</v>
      </c>
      <c r="B220" s="26" t="s">
        <v>1091</v>
      </c>
      <c r="C220" s="26" t="s">
        <v>960</v>
      </c>
      <c r="D220" s="26" t="str">
        <f>IFERROR(__xludf.DUMMYFUNCTION("IF(
 C220=""STATE"",
 UPPER(REGEXEXTRACT(A220,""^state\.([^_@]+)"")),
 """"
)"),"")</f>
        <v/>
      </c>
      <c r="E220" s="26" t="b">
        <v>1</v>
      </c>
      <c r="F220" s="26" t="s">
        <v>633</v>
      </c>
      <c r="G220" s="26" t="str">
        <f t="shared" si="1"/>
        <v>Not a building</v>
      </c>
      <c r="H220" s="26" t="str">
        <f t="shared" si="2"/>
        <v>Not a building</v>
      </c>
      <c r="K220" s="66"/>
      <c r="L220" s="66"/>
      <c r="M220" s="67"/>
      <c r="N220" s="67"/>
      <c r="O220" s="66"/>
      <c r="P220" s="66"/>
      <c r="Q220" s="67"/>
      <c r="R220" s="67"/>
      <c r="S220" s="67"/>
      <c r="T220" s="67"/>
      <c r="U220" s="67"/>
    </row>
    <row r="221" ht="15.75" customHeight="1">
      <c r="A221" s="21" t="s">
        <v>781</v>
      </c>
      <c r="B221" s="26" t="s">
        <v>1093</v>
      </c>
      <c r="C221" s="26" t="s">
        <v>960</v>
      </c>
      <c r="D221" s="26" t="str">
        <f>IFERROR(__xludf.DUMMYFUNCTION("IF(
 C221=""STATE"",
 UPPER(REGEXEXTRACT(A221,""^state\.([^_@]+)"")),
 """"
)"),"")</f>
        <v/>
      </c>
      <c r="E221" s="26" t="b">
        <v>1</v>
      </c>
      <c r="F221" s="26" t="s">
        <v>633</v>
      </c>
      <c r="G221" s="26" t="str">
        <f t="shared" si="1"/>
        <v>Not a building</v>
      </c>
      <c r="H221" s="26" t="str">
        <f t="shared" si="2"/>
        <v>Not a building</v>
      </c>
      <c r="K221" s="66"/>
      <c r="L221" s="66"/>
      <c r="M221" s="67"/>
      <c r="N221" s="67"/>
      <c r="O221" s="66"/>
      <c r="P221" s="66"/>
      <c r="Q221" s="67"/>
      <c r="R221" s="67"/>
      <c r="S221" s="67"/>
      <c r="T221" s="67"/>
      <c r="U221" s="67"/>
    </row>
    <row r="222" ht="15.75" customHeight="1">
      <c r="A222" s="26" t="s">
        <v>785</v>
      </c>
      <c r="B222" s="26" t="s">
        <v>1096</v>
      </c>
      <c r="C222" s="26" t="s">
        <v>960</v>
      </c>
      <c r="D222" s="26" t="str">
        <f>IFERROR(__xludf.DUMMYFUNCTION("IF(
 C222=""STATE"",
 UPPER(REGEXEXTRACT(A222,""^state\.([^_@]+)"")),
 """"
)"),"")</f>
        <v/>
      </c>
      <c r="E222" s="26" t="b">
        <v>1</v>
      </c>
      <c r="F222" s="26" t="s">
        <v>633</v>
      </c>
      <c r="G222" s="26" t="str">
        <f t="shared" si="1"/>
        <v>Not a building</v>
      </c>
      <c r="H222" s="26" t="str">
        <f t="shared" si="2"/>
        <v>Not a building</v>
      </c>
      <c r="K222" s="66"/>
      <c r="L222" s="66"/>
      <c r="M222" s="67"/>
      <c r="N222" s="67"/>
      <c r="O222" s="66"/>
      <c r="P222" s="66"/>
      <c r="Q222" s="67"/>
      <c r="R222" s="67"/>
      <c r="S222" s="67"/>
      <c r="T222" s="67"/>
      <c r="U222" s="67"/>
    </row>
    <row r="223" ht="15.75" customHeight="1">
      <c r="A223" s="26" t="s">
        <v>789</v>
      </c>
      <c r="B223" s="26" t="s">
        <v>1097</v>
      </c>
      <c r="C223" s="26" t="s">
        <v>960</v>
      </c>
      <c r="D223" s="26" t="str">
        <f>IFERROR(__xludf.DUMMYFUNCTION("IF(
 C223=""STATE"",
 UPPER(REGEXEXTRACT(A223,""^state\.([^_@]+)"")),
 """"
)"),"")</f>
        <v/>
      </c>
      <c r="E223" s="26" t="b">
        <v>1</v>
      </c>
      <c r="F223" s="26" t="s">
        <v>633</v>
      </c>
      <c r="G223" s="26" t="str">
        <f t="shared" si="1"/>
        <v>Not a building</v>
      </c>
      <c r="H223" s="26" t="str">
        <f t="shared" si="2"/>
        <v>Not a building</v>
      </c>
      <c r="K223" s="66"/>
      <c r="L223" s="66"/>
      <c r="M223" s="67"/>
      <c r="N223" s="67"/>
      <c r="O223" s="66"/>
      <c r="P223" s="66"/>
      <c r="Q223" s="67"/>
      <c r="R223" s="67"/>
      <c r="S223" s="67"/>
      <c r="T223" s="67"/>
      <c r="U223" s="67"/>
    </row>
    <row r="224" ht="15.75" customHeight="1">
      <c r="A224" s="26" t="s">
        <v>795</v>
      </c>
      <c r="B224" s="26" t="s">
        <v>1099</v>
      </c>
      <c r="C224" s="26" t="s">
        <v>960</v>
      </c>
      <c r="D224" s="26" t="str">
        <f>IFERROR(__xludf.DUMMYFUNCTION("IF(
 C224=""STATE"",
 UPPER(REGEXEXTRACT(A224,""^state\.([^_@]+)"")),
 """"
)"),"")</f>
        <v/>
      </c>
      <c r="E224" s="26" t="b">
        <v>1</v>
      </c>
      <c r="F224" s="26" t="s">
        <v>633</v>
      </c>
      <c r="G224" s="26" t="str">
        <f t="shared" si="1"/>
        <v>Not a building</v>
      </c>
      <c r="H224" s="26" t="str">
        <f t="shared" si="2"/>
        <v>Not a building</v>
      </c>
      <c r="K224" s="66"/>
      <c r="L224" s="66"/>
      <c r="M224" s="67"/>
      <c r="N224" s="67"/>
      <c r="O224" s="66"/>
      <c r="P224" s="66"/>
      <c r="Q224" s="67"/>
      <c r="R224" s="67"/>
      <c r="S224" s="67"/>
      <c r="T224" s="67"/>
      <c r="U224" s="67"/>
    </row>
    <row r="225" ht="15.75" customHeight="1">
      <c r="A225" s="26" t="s">
        <v>799</v>
      </c>
      <c r="B225" s="26" t="s">
        <v>1101</v>
      </c>
      <c r="C225" s="26" t="s">
        <v>960</v>
      </c>
      <c r="D225" s="26" t="str">
        <f>IFERROR(__xludf.DUMMYFUNCTION("IF(
 C225=""STATE"",
 UPPER(REGEXEXTRACT(A225,""^state\.([^_@]+)"")),
 """"
)"),"")</f>
        <v/>
      </c>
      <c r="E225" s="26" t="b">
        <v>1</v>
      </c>
      <c r="F225" s="26" t="s">
        <v>633</v>
      </c>
      <c r="G225" s="26" t="str">
        <f t="shared" si="1"/>
        <v>Not a building</v>
      </c>
      <c r="H225" s="26" t="str">
        <f t="shared" si="2"/>
        <v>Not a building</v>
      </c>
      <c r="K225" s="66"/>
      <c r="L225" s="66"/>
      <c r="M225" s="67"/>
      <c r="N225" s="67"/>
      <c r="O225" s="66"/>
      <c r="P225" s="66"/>
      <c r="Q225" s="67"/>
      <c r="R225" s="67"/>
      <c r="S225" s="67"/>
      <c r="T225" s="67"/>
      <c r="U225" s="67"/>
    </row>
    <row r="226" ht="15.75" customHeight="1">
      <c r="A226" s="26" t="s">
        <v>803</v>
      </c>
      <c r="B226" s="26" t="s">
        <v>1103</v>
      </c>
      <c r="C226" s="26" t="s">
        <v>960</v>
      </c>
      <c r="D226" s="26" t="str">
        <f>IFERROR(__xludf.DUMMYFUNCTION("IF(
 C226=""STATE"",
 UPPER(REGEXEXTRACT(A226,""^state\.([^_@]+)"")),
 """"
)"),"")</f>
        <v/>
      </c>
      <c r="E226" s="26" t="b">
        <v>1</v>
      </c>
      <c r="F226" s="26" t="s">
        <v>633</v>
      </c>
      <c r="G226" s="26" t="str">
        <f t="shared" si="1"/>
        <v>Not a building</v>
      </c>
      <c r="H226" s="26" t="str">
        <f t="shared" si="2"/>
        <v>Not a building</v>
      </c>
      <c r="K226" s="66"/>
      <c r="L226" s="66"/>
      <c r="M226" s="67"/>
      <c r="N226" s="67"/>
      <c r="O226" s="66"/>
      <c r="P226" s="66"/>
      <c r="Q226" s="67"/>
      <c r="R226" s="67"/>
      <c r="S226" s="67"/>
      <c r="T226" s="67"/>
      <c r="U226" s="67"/>
    </row>
    <row r="227" ht="15.75" customHeight="1">
      <c r="A227" s="26" t="s">
        <v>808</v>
      </c>
      <c r="B227" s="26" t="s">
        <v>1104</v>
      </c>
      <c r="C227" s="26" t="s">
        <v>960</v>
      </c>
      <c r="D227" s="26" t="str">
        <f>IFERROR(__xludf.DUMMYFUNCTION("IF(
 C227=""STATE"",
 UPPER(REGEXEXTRACT(A227,""^state\.([^_@]+)"")),
 """"
)"),"")</f>
        <v/>
      </c>
      <c r="E227" s="26" t="b">
        <v>1</v>
      </c>
      <c r="F227" s="26" t="s">
        <v>633</v>
      </c>
      <c r="G227" s="26" t="str">
        <f t="shared" si="1"/>
        <v>Not a building</v>
      </c>
      <c r="H227" s="26" t="str">
        <f t="shared" si="2"/>
        <v>Not a building</v>
      </c>
      <c r="K227" s="66"/>
      <c r="L227" s="66"/>
      <c r="M227" s="67"/>
      <c r="N227" s="67"/>
      <c r="O227" s="66"/>
      <c r="P227" s="66"/>
      <c r="Q227" s="67"/>
      <c r="R227" s="67"/>
      <c r="S227" s="67"/>
      <c r="T227" s="67"/>
      <c r="U227" s="67"/>
    </row>
    <row r="228" ht="15.75" customHeight="1">
      <c r="A228" s="26" t="s">
        <v>811</v>
      </c>
      <c r="B228" s="26" t="s">
        <v>1106</v>
      </c>
      <c r="C228" s="26" t="s">
        <v>960</v>
      </c>
      <c r="D228" s="26" t="str">
        <f>IFERROR(__xludf.DUMMYFUNCTION("IF(
 C228=""STATE"",
 UPPER(REGEXEXTRACT(A228,""^state\.([^_@]+)"")),
 """"
)"),"")</f>
        <v/>
      </c>
      <c r="E228" s="26" t="b">
        <v>1</v>
      </c>
      <c r="F228" s="26" t="s">
        <v>633</v>
      </c>
      <c r="G228" s="26" t="str">
        <f t="shared" si="1"/>
        <v>Not a building</v>
      </c>
      <c r="H228" s="26" t="str">
        <f t="shared" si="2"/>
        <v>Not a building</v>
      </c>
      <c r="K228" s="66"/>
      <c r="L228" s="66"/>
      <c r="M228" s="67"/>
      <c r="N228" s="67"/>
      <c r="O228" s="66"/>
      <c r="P228" s="66"/>
      <c r="Q228" s="67"/>
      <c r="R228" s="67"/>
      <c r="S228" s="67"/>
      <c r="T228" s="67"/>
      <c r="U228" s="67"/>
    </row>
    <row r="229" ht="15.75" customHeight="1">
      <c r="A229" s="26" t="s">
        <v>815</v>
      </c>
      <c r="B229" s="26" t="s">
        <v>1108</v>
      </c>
      <c r="C229" s="26" t="s">
        <v>960</v>
      </c>
      <c r="D229" s="26" t="str">
        <f>IFERROR(__xludf.DUMMYFUNCTION("IF(
 C229=""STATE"",
 UPPER(REGEXEXTRACT(A229,""^state\.([^_@]+)"")),
 """"
)"),"")</f>
        <v/>
      </c>
      <c r="E229" s="26" t="b">
        <v>1</v>
      </c>
      <c r="F229" s="26" t="s">
        <v>633</v>
      </c>
      <c r="G229" s="26" t="str">
        <f t="shared" si="1"/>
        <v>Not a building</v>
      </c>
      <c r="H229" s="26" t="str">
        <f t="shared" si="2"/>
        <v>Not a building</v>
      </c>
      <c r="K229" s="66"/>
      <c r="L229" s="66"/>
      <c r="M229" s="67"/>
      <c r="N229" s="67"/>
      <c r="O229" s="66"/>
      <c r="P229" s="66"/>
      <c r="Q229" s="67"/>
      <c r="R229" s="67"/>
      <c r="S229" s="67"/>
      <c r="T229" s="67"/>
      <c r="U229" s="67"/>
    </row>
    <row r="230" ht="15.75" customHeight="1">
      <c r="A230" s="26" t="s">
        <v>818</v>
      </c>
      <c r="B230" s="26" t="s">
        <v>1109</v>
      </c>
      <c r="C230" s="26" t="s">
        <v>960</v>
      </c>
      <c r="D230" s="26" t="str">
        <f>IFERROR(__xludf.DUMMYFUNCTION("IF(
 C230=""STATE"",
 UPPER(REGEXEXTRACT(A230,""^state\.([^_@]+)"")),
 """"
)"),"")</f>
        <v/>
      </c>
      <c r="E230" s="26" t="b">
        <v>1</v>
      </c>
      <c r="F230" s="26" t="s">
        <v>633</v>
      </c>
      <c r="G230" s="26" t="str">
        <f t="shared" si="1"/>
        <v>Not a building</v>
      </c>
      <c r="H230" s="26" t="str">
        <f t="shared" si="2"/>
        <v>Not a building</v>
      </c>
      <c r="K230" s="66"/>
      <c r="L230" s="66"/>
      <c r="M230" s="67"/>
      <c r="N230" s="67"/>
      <c r="O230" s="66"/>
      <c r="P230" s="66"/>
      <c r="Q230" s="67"/>
      <c r="R230" s="67"/>
      <c r="S230" s="67"/>
      <c r="T230" s="67"/>
      <c r="U230" s="67"/>
    </row>
    <row r="231" ht="15.75" customHeight="1">
      <c r="A231" s="26" t="s">
        <v>822</v>
      </c>
      <c r="B231" s="26" t="s">
        <v>1111</v>
      </c>
      <c r="C231" s="26" t="s">
        <v>960</v>
      </c>
      <c r="D231" s="26" t="str">
        <f>IFERROR(__xludf.DUMMYFUNCTION("IF(
 C231=""STATE"",
 UPPER(REGEXEXTRACT(A231,""^state\.([^_@]+)"")),
 """"
)"),"")</f>
        <v/>
      </c>
      <c r="E231" s="26" t="b">
        <v>1</v>
      </c>
      <c r="F231" s="26" t="s">
        <v>633</v>
      </c>
      <c r="G231" s="26" t="str">
        <f t="shared" si="1"/>
        <v>Not a building</v>
      </c>
      <c r="H231" s="26" t="str">
        <f t="shared" si="2"/>
        <v>Not a building</v>
      </c>
      <c r="K231" s="66"/>
      <c r="L231" s="66"/>
      <c r="M231" s="67"/>
      <c r="N231" s="67"/>
      <c r="O231" s="66"/>
      <c r="P231" s="66"/>
      <c r="Q231" s="67"/>
      <c r="R231" s="67"/>
      <c r="S231" s="67"/>
      <c r="T231" s="67"/>
      <c r="U231" s="67"/>
    </row>
    <row r="232" ht="15.75" customHeight="1">
      <c r="A232" s="26" t="s">
        <v>826</v>
      </c>
      <c r="B232" s="26" t="s">
        <v>1113</v>
      </c>
      <c r="C232" s="26" t="s">
        <v>960</v>
      </c>
      <c r="D232" s="26" t="str">
        <f>IFERROR(__xludf.DUMMYFUNCTION("IF(
 C232=""STATE"",
 UPPER(REGEXEXTRACT(A232,""^state\.([^_@]+)"")),
 """"
)"),"")</f>
        <v/>
      </c>
      <c r="E232" s="26" t="b">
        <v>1</v>
      </c>
      <c r="F232" s="26" t="s">
        <v>633</v>
      </c>
      <c r="G232" s="26" t="str">
        <f t="shared" si="1"/>
        <v>Not a building</v>
      </c>
      <c r="H232" s="26" t="str">
        <f t="shared" si="2"/>
        <v>Not a building</v>
      </c>
      <c r="K232" s="66"/>
      <c r="L232" s="66"/>
      <c r="M232" s="67"/>
      <c r="N232" s="67"/>
      <c r="O232" s="66"/>
      <c r="P232" s="66"/>
      <c r="Q232" s="67"/>
      <c r="R232" s="67"/>
      <c r="S232" s="67"/>
      <c r="T232" s="67"/>
      <c r="U232" s="67"/>
    </row>
    <row r="233" ht="15.75" customHeight="1">
      <c r="A233" s="26" t="s">
        <v>829</v>
      </c>
      <c r="B233" s="26" t="s">
        <v>1115</v>
      </c>
      <c r="C233" s="26" t="s">
        <v>960</v>
      </c>
      <c r="D233" s="26" t="str">
        <f>IFERROR(__xludf.DUMMYFUNCTION("IF(
 C233=""STATE"",
 UPPER(REGEXEXTRACT(A233,""^state\.([^_@]+)"")),
 """"
)"),"")</f>
        <v/>
      </c>
      <c r="E233" s="26" t="b">
        <v>1</v>
      </c>
      <c r="F233" s="26" t="s">
        <v>633</v>
      </c>
      <c r="G233" s="26" t="str">
        <f t="shared" si="1"/>
        <v>Not a building</v>
      </c>
      <c r="H233" s="26" t="str">
        <f t="shared" si="2"/>
        <v>Not a building</v>
      </c>
      <c r="K233" s="66"/>
      <c r="L233" s="66"/>
      <c r="M233" s="67"/>
      <c r="N233" s="67"/>
      <c r="O233" s="66"/>
      <c r="P233" s="66"/>
      <c r="Q233" s="67"/>
      <c r="R233" s="67"/>
      <c r="S233" s="67"/>
      <c r="T233" s="67"/>
      <c r="U233" s="67"/>
    </row>
    <row r="234" ht="15.75" customHeight="1">
      <c r="A234" s="26" t="s">
        <v>833</v>
      </c>
      <c r="B234" s="26" t="s">
        <v>1116</v>
      </c>
      <c r="C234" s="26" t="s">
        <v>1117</v>
      </c>
      <c r="D234" s="26" t="str">
        <f>IFERROR(__xludf.DUMMYFUNCTION("IF(
 C234=""STATE"",
 UPPER(REGEXEXTRACT(A234,""^state\.([^_@]+)"")),
 """"
)"),"")</f>
        <v/>
      </c>
      <c r="E234" s="26" t="b">
        <v>1</v>
      </c>
      <c r="F234" s="26" t="s">
        <v>633</v>
      </c>
      <c r="G234" s="26" t="str">
        <f t="shared" si="1"/>
        <v>Not a building</v>
      </c>
      <c r="H234" s="26" t="str">
        <f t="shared" si="2"/>
        <v>Not a building</v>
      </c>
      <c r="K234" s="66"/>
      <c r="L234" s="66"/>
      <c r="M234" s="67"/>
      <c r="N234" s="67"/>
      <c r="O234" s="66"/>
      <c r="P234" s="66"/>
      <c r="Q234" s="67"/>
      <c r="R234" s="67"/>
      <c r="S234" s="67"/>
      <c r="T234" s="67"/>
      <c r="U234" s="67"/>
    </row>
    <row r="235" ht="15.75" customHeight="1">
      <c r="A235" s="26" t="s">
        <v>838</v>
      </c>
      <c r="B235" s="26" t="s">
        <v>1119</v>
      </c>
      <c r="C235" s="26" t="s">
        <v>1117</v>
      </c>
      <c r="D235" s="26" t="str">
        <f>IFERROR(__xludf.DUMMYFUNCTION("IF(
 C235=""STATE"",
 UPPER(REGEXEXTRACT(A235,""^state\.([^_@]+)"")),
 """"
)"),"")</f>
        <v/>
      </c>
      <c r="E235" s="26" t="b">
        <v>1</v>
      </c>
      <c r="F235" s="26" t="s">
        <v>633</v>
      </c>
      <c r="G235" s="26" t="str">
        <f t="shared" si="1"/>
        <v>Not a building</v>
      </c>
      <c r="H235" s="26" t="str">
        <f t="shared" si="2"/>
        <v>Not a building</v>
      </c>
      <c r="K235" s="66"/>
      <c r="L235" s="66"/>
      <c r="M235" s="67"/>
      <c r="N235" s="67"/>
      <c r="O235" s="66"/>
      <c r="P235" s="66"/>
      <c r="Q235" s="67"/>
      <c r="R235" s="67"/>
      <c r="S235" s="67"/>
      <c r="T235" s="67"/>
      <c r="U235" s="67"/>
    </row>
    <row r="236" ht="15.75" customHeight="1">
      <c r="A236" s="26" t="s">
        <v>841</v>
      </c>
      <c r="B236" s="26" t="s">
        <v>1121</v>
      </c>
      <c r="C236" s="26" t="s">
        <v>1117</v>
      </c>
      <c r="D236" s="26" t="str">
        <f>IFERROR(__xludf.DUMMYFUNCTION("IF(
 C236=""STATE"",
 UPPER(REGEXEXTRACT(A236,""^state\.([^_@]+)"")),
 """"
)"),"")</f>
        <v/>
      </c>
      <c r="E236" s="26" t="b">
        <v>1</v>
      </c>
      <c r="F236" s="26" t="s">
        <v>633</v>
      </c>
      <c r="G236" s="26" t="str">
        <f t="shared" si="1"/>
        <v>Not a building</v>
      </c>
      <c r="H236" s="26" t="str">
        <f t="shared" si="2"/>
        <v>Not a building</v>
      </c>
      <c r="K236" s="66"/>
      <c r="L236" s="66"/>
      <c r="M236" s="67"/>
      <c r="N236" s="67"/>
      <c r="O236" s="66"/>
      <c r="P236" s="66"/>
      <c r="Q236" s="67"/>
      <c r="R236" s="67"/>
      <c r="S236" s="67"/>
      <c r="T236" s="67"/>
      <c r="U236" s="67"/>
    </row>
    <row r="237" ht="15.75" customHeight="1">
      <c r="A237" s="26" t="s">
        <v>846</v>
      </c>
      <c r="B237" s="26" t="s">
        <v>1123</v>
      </c>
      <c r="C237" s="26" t="s">
        <v>1117</v>
      </c>
      <c r="D237" s="26" t="str">
        <f>IFERROR(__xludf.DUMMYFUNCTION("IF(
 C237=""STATE"",
 UPPER(REGEXEXTRACT(A237,""^state\.([^_@]+)"")),
 """"
)"),"")</f>
        <v/>
      </c>
      <c r="E237" s="26" t="b">
        <v>1</v>
      </c>
      <c r="F237" s="26" t="s">
        <v>633</v>
      </c>
      <c r="G237" s="26" t="str">
        <f t="shared" si="1"/>
        <v>Not a building</v>
      </c>
      <c r="H237" s="26" t="str">
        <f t="shared" si="2"/>
        <v>Not a building</v>
      </c>
      <c r="K237" s="66"/>
      <c r="L237" s="66"/>
      <c r="M237" s="67"/>
      <c r="N237" s="67"/>
      <c r="O237" s="66"/>
      <c r="P237" s="66"/>
      <c r="Q237" s="67"/>
      <c r="R237" s="67"/>
      <c r="S237" s="67"/>
      <c r="T237" s="67"/>
      <c r="U237" s="67"/>
    </row>
    <row r="238" ht="15.75" customHeight="1">
      <c r="A238" s="26" t="s">
        <v>850</v>
      </c>
      <c r="B238" s="26" t="s">
        <v>1124</v>
      </c>
      <c r="C238" s="26" t="s">
        <v>1117</v>
      </c>
      <c r="D238" s="26" t="str">
        <f>IFERROR(__xludf.DUMMYFUNCTION("IF(
 C238=""STATE"",
 UPPER(REGEXEXTRACT(A238,""^state\.([^_@]+)"")),
 """"
)"),"")</f>
        <v/>
      </c>
      <c r="E238" s="26" t="b">
        <v>1</v>
      </c>
      <c r="F238" s="26" t="s">
        <v>633</v>
      </c>
      <c r="G238" s="26" t="str">
        <f t="shared" si="1"/>
        <v>Not a building</v>
      </c>
      <c r="H238" s="26" t="str">
        <f t="shared" si="2"/>
        <v>Not a building</v>
      </c>
      <c r="K238" s="66"/>
      <c r="L238" s="66"/>
      <c r="M238" s="67"/>
      <c r="N238" s="67"/>
      <c r="O238" s="66"/>
      <c r="P238" s="66"/>
      <c r="Q238" s="67"/>
      <c r="R238" s="67"/>
      <c r="S238" s="67"/>
      <c r="T238" s="67"/>
      <c r="U238" s="67"/>
    </row>
    <row r="239" ht="15.75" customHeight="1">
      <c r="A239" s="26" t="s">
        <v>853</v>
      </c>
      <c r="B239" s="26" t="s">
        <v>1126</v>
      </c>
      <c r="C239" s="26" t="s">
        <v>1117</v>
      </c>
      <c r="D239" s="26" t="str">
        <f>IFERROR(__xludf.DUMMYFUNCTION("IF(
 C239=""STATE"",
 UPPER(REGEXEXTRACT(A239,""^state\.([^_@]+)"")),
 """"
)"),"")</f>
        <v/>
      </c>
      <c r="E239" s="26" t="b">
        <v>1</v>
      </c>
      <c r="F239" s="26" t="s">
        <v>633</v>
      </c>
      <c r="G239" s="26" t="str">
        <f t="shared" si="1"/>
        <v>Not a building</v>
      </c>
      <c r="H239" s="26" t="str">
        <f t="shared" si="2"/>
        <v>Not a building</v>
      </c>
      <c r="K239" s="66"/>
      <c r="L239" s="66"/>
      <c r="M239" s="67"/>
      <c r="N239" s="67"/>
      <c r="O239" s="66"/>
      <c r="P239" s="66"/>
      <c r="Q239" s="67"/>
      <c r="R239" s="67"/>
      <c r="S239" s="67"/>
      <c r="T239" s="67"/>
      <c r="U239" s="67"/>
    </row>
    <row r="240" ht="15.75" customHeight="1">
      <c r="A240" s="26" t="s">
        <v>858</v>
      </c>
      <c r="B240" s="26" t="s">
        <v>1128</v>
      </c>
      <c r="C240" s="26" t="s">
        <v>1117</v>
      </c>
      <c r="D240" s="26" t="str">
        <f>IFERROR(__xludf.DUMMYFUNCTION("IF(
 C240=""STATE"",
 UPPER(REGEXEXTRACT(A240,""^state\.([^_@]+)"")),
 """"
)"),"")</f>
        <v/>
      </c>
      <c r="E240" s="26" t="b">
        <v>1</v>
      </c>
      <c r="F240" s="26" t="s">
        <v>633</v>
      </c>
      <c r="G240" s="26" t="str">
        <f t="shared" si="1"/>
        <v>Not a building</v>
      </c>
      <c r="H240" s="26" t="str">
        <f t="shared" si="2"/>
        <v>Not a building</v>
      </c>
      <c r="K240" s="66"/>
      <c r="L240" s="66"/>
      <c r="M240" s="67"/>
      <c r="N240" s="67"/>
      <c r="O240" s="66"/>
      <c r="P240" s="66"/>
      <c r="Q240" s="67"/>
      <c r="R240" s="67"/>
      <c r="S240" s="67"/>
      <c r="T240" s="67"/>
      <c r="U240" s="67"/>
    </row>
    <row r="241" ht="15.75" customHeight="1">
      <c r="A241" s="26" t="s">
        <v>861</v>
      </c>
      <c r="B241" s="26" t="s">
        <v>1129</v>
      </c>
      <c r="C241" s="26" t="s">
        <v>1117</v>
      </c>
      <c r="D241" s="26" t="str">
        <f>IFERROR(__xludf.DUMMYFUNCTION("IF(
 C241=""STATE"",
 UPPER(REGEXEXTRACT(A241,""^state\.([^_@]+)"")),
 """"
)"),"")</f>
        <v/>
      </c>
      <c r="E241" s="26" t="b">
        <v>1</v>
      </c>
      <c r="F241" s="26" t="s">
        <v>633</v>
      </c>
      <c r="G241" s="26" t="str">
        <f t="shared" si="1"/>
        <v>Not a building</v>
      </c>
      <c r="H241" s="26" t="str">
        <f t="shared" si="2"/>
        <v>Not a building</v>
      </c>
      <c r="K241" s="66"/>
      <c r="L241" s="66"/>
      <c r="M241" s="67"/>
      <c r="N241" s="67"/>
      <c r="O241" s="66"/>
      <c r="P241" s="66"/>
      <c r="Q241" s="67"/>
      <c r="R241" s="67"/>
      <c r="S241" s="67"/>
      <c r="T241" s="67"/>
      <c r="U241" s="67"/>
    </row>
    <row r="242" ht="15.75" customHeight="1">
      <c r="A242" s="26" t="s">
        <v>864</v>
      </c>
      <c r="B242" s="26" t="s">
        <v>1131</v>
      </c>
      <c r="C242" s="26" t="s">
        <v>1117</v>
      </c>
      <c r="D242" s="26" t="str">
        <f>IFERROR(__xludf.DUMMYFUNCTION("IF(
 C242=""STATE"",
 UPPER(REGEXEXTRACT(A242,""^state\.([^_@]+)"")),
 """"
)"),"")</f>
        <v/>
      </c>
      <c r="E242" s="26" t="b">
        <v>1</v>
      </c>
      <c r="F242" s="26" t="s">
        <v>633</v>
      </c>
      <c r="G242" s="26" t="str">
        <f t="shared" si="1"/>
        <v>Not a building</v>
      </c>
      <c r="H242" s="26" t="str">
        <f t="shared" si="2"/>
        <v>Not a building</v>
      </c>
      <c r="K242" s="66"/>
      <c r="L242" s="66"/>
      <c r="M242" s="67"/>
      <c r="N242" s="67"/>
      <c r="O242" s="66"/>
      <c r="P242" s="66"/>
      <c r="Q242" s="67"/>
      <c r="R242" s="67"/>
      <c r="S242" s="67"/>
      <c r="T242" s="67"/>
      <c r="U242" s="67"/>
    </row>
    <row r="243" ht="15.75" customHeight="1">
      <c r="A243" s="26" t="s">
        <v>867</v>
      </c>
      <c r="B243" s="26" t="s">
        <v>1132</v>
      </c>
      <c r="C243" s="26" t="s">
        <v>1117</v>
      </c>
      <c r="D243" s="26" t="str">
        <f>IFERROR(__xludf.DUMMYFUNCTION("IF(
 C243=""STATE"",
 UPPER(REGEXEXTRACT(A243,""^state\.([^_@]+)"")),
 """"
)"),"")</f>
        <v/>
      </c>
      <c r="E243" s="26" t="b">
        <v>1</v>
      </c>
      <c r="F243" s="26" t="s">
        <v>633</v>
      </c>
      <c r="G243" s="26" t="str">
        <f t="shared" si="1"/>
        <v>Not a building</v>
      </c>
      <c r="H243" s="26" t="str">
        <f t="shared" si="2"/>
        <v>Not a building</v>
      </c>
      <c r="K243" s="66"/>
      <c r="L243" s="66"/>
      <c r="M243" s="67"/>
      <c r="N243" s="67"/>
      <c r="O243" s="66"/>
      <c r="P243" s="66"/>
      <c r="Q243" s="67"/>
      <c r="R243" s="67"/>
      <c r="S243" s="67"/>
      <c r="T243" s="67"/>
      <c r="U243" s="67"/>
    </row>
    <row r="244" ht="15.75" customHeight="1">
      <c r="A244" s="26" t="s">
        <v>872</v>
      </c>
      <c r="B244" s="26" t="s">
        <v>1135</v>
      </c>
      <c r="C244" s="26" t="s">
        <v>1117</v>
      </c>
      <c r="D244" s="26" t="str">
        <f>IFERROR(__xludf.DUMMYFUNCTION("IF(
 C244=""STATE"",
 UPPER(REGEXEXTRACT(A244,""^state\.([^_@]+)"")),
 """"
)"),"")</f>
        <v/>
      </c>
      <c r="E244" s="26" t="b">
        <v>1</v>
      </c>
      <c r="F244" s="26" t="s">
        <v>633</v>
      </c>
      <c r="G244" s="26" t="str">
        <f t="shared" si="1"/>
        <v>Not a building</v>
      </c>
      <c r="H244" s="26" t="str">
        <f t="shared" si="2"/>
        <v>Not a building</v>
      </c>
      <c r="K244" s="66"/>
      <c r="L244" s="66"/>
      <c r="M244" s="67"/>
      <c r="N244" s="67"/>
      <c r="O244" s="66"/>
      <c r="P244" s="66"/>
      <c r="Q244" s="67"/>
      <c r="R244" s="67"/>
      <c r="S244" s="67"/>
      <c r="T244" s="67"/>
      <c r="U244" s="67"/>
    </row>
    <row r="245" ht="15.75" customHeight="1">
      <c r="A245" s="26" t="s">
        <v>876</v>
      </c>
      <c r="B245" s="26" t="s">
        <v>1136</v>
      </c>
      <c r="C245" s="26" t="s">
        <v>1117</v>
      </c>
      <c r="D245" s="26" t="str">
        <f>IFERROR(__xludf.DUMMYFUNCTION("IF(
 C245=""STATE"",
 UPPER(REGEXEXTRACT(A245,""^state\.([^_@]+)"")),
 """"
)"),"")</f>
        <v/>
      </c>
      <c r="E245" s="26" t="b">
        <v>1</v>
      </c>
      <c r="F245" s="26" t="s">
        <v>633</v>
      </c>
      <c r="G245" s="26" t="str">
        <f t="shared" si="1"/>
        <v>Not a building</v>
      </c>
      <c r="H245" s="26" t="str">
        <f t="shared" si="2"/>
        <v>Not a building</v>
      </c>
      <c r="K245" s="66"/>
      <c r="L245" s="66"/>
      <c r="M245" s="67"/>
      <c r="N245" s="67"/>
      <c r="O245" s="66"/>
      <c r="P245" s="66"/>
      <c r="Q245" s="67"/>
      <c r="R245" s="67"/>
      <c r="S245" s="67"/>
      <c r="T245" s="67"/>
      <c r="U245" s="67"/>
    </row>
    <row r="246" ht="15.75" customHeight="1">
      <c r="A246" s="26" t="s">
        <v>881</v>
      </c>
      <c r="B246" s="26" t="s">
        <v>1137</v>
      </c>
      <c r="C246" s="26" t="s">
        <v>1117</v>
      </c>
      <c r="D246" s="26" t="str">
        <f>IFERROR(__xludf.DUMMYFUNCTION("IF(
 C246=""STATE"",
 UPPER(REGEXEXTRACT(A246,""^state\.([^_@]+)"")),
 """"
)"),"")</f>
        <v/>
      </c>
      <c r="E246" s="26" t="b">
        <v>1</v>
      </c>
      <c r="F246" s="26" t="s">
        <v>633</v>
      </c>
      <c r="G246" s="26" t="str">
        <f t="shared" si="1"/>
        <v>Not a building</v>
      </c>
      <c r="H246" s="26" t="str">
        <f t="shared" si="2"/>
        <v>Not a building</v>
      </c>
      <c r="K246" s="66"/>
      <c r="L246" s="66"/>
      <c r="M246" s="67"/>
      <c r="N246" s="67"/>
      <c r="O246" s="66"/>
      <c r="P246" s="66"/>
      <c r="Q246" s="67"/>
      <c r="R246" s="67"/>
      <c r="S246" s="67"/>
      <c r="T246" s="67"/>
      <c r="U246" s="67"/>
    </row>
    <row r="247" ht="15.75" customHeight="1">
      <c r="A247" s="26" t="s">
        <v>885</v>
      </c>
      <c r="B247" s="26" t="s">
        <v>1138</v>
      </c>
      <c r="C247" s="26" t="s">
        <v>1117</v>
      </c>
      <c r="D247" s="26" t="str">
        <f>IFERROR(__xludf.DUMMYFUNCTION("IF(
 C247=""STATE"",
 UPPER(REGEXEXTRACT(A247,""^state\.([^_@]+)"")),
 """"
)"),"")</f>
        <v/>
      </c>
      <c r="E247" s="26" t="b">
        <v>1</v>
      </c>
      <c r="F247" s="26" t="s">
        <v>633</v>
      </c>
      <c r="G247" s="26" t="str">
        <f t="shared" si="1"/>
        <v>Not a building</v>
      </c>
      <c r="H247" s="26" t="str">
        <f t="shared" si="2"/>
        <v>Not a building</v>
      </c>
      <c r="K247" s="66"/>
      <c r="L247" s="66"/>
      <c r="M247" s="67"/>
      <c r="N247" s="67"/>
      <c r="O247" s="66"/>
      <c r="P247" s="66"/>
      <c r="Q247" s="67"/>
      <c r="R247" s="67"/>
      <c r="S247" s="67"/>
      <c r="T247" s="67"/>
      <c r="U247" s="67"/>
    </row>
    <row r="248" ht="15.75" customHeight="1">
      <c r="A248" s="26" t="s">
        <v>891</v>
      </c>
      <c r="B248" s="26" t="s">
        <v>1141</v>
      </c>
      <c r="C248" s="26" t="s">
        <v>1117</v>
      </c>
      <c r="D248" s="26" t="str">
        <f>IFERROR(__xludf.DUMMYFUNCTION("IF(
 C248=""STATE"",
 UPPER(REGEXEXTRACT(A248,""^state\.([^_@]+)"")),
 """"
)"),"")</f>
        <v/>
      </c>
      <c r="E248" s="26" t="b">
        <v>1</v>
      </c>
      <c r="F248" s="26" t="s">
        <v>633</v>
      </c>
      <c r="G248" s="26" t="str">
        <f t="shared" si="1"/>
        <v>Not a building</v>
      </c>
      <c r="H248" s="26" t="str">
        <f t="shared" si="2"/>
        <v>Not a building</v>
      </c>
      <c r="K248" s="66"/>
      <c r="L248" s="66"/>
      <c r="M248" s="67"/>
      <c r="N248" s="67"/>
      <c r="O248" s="66"/>
      <c r="P248" s="66"/>
      <c r="Q248" s="67"/>
      <c r="R248" s="67"/>
      <c r="S248" s="67"/>
      <c r="T248" s="67"/>
      <c r="U248" s="67"/>
    </row>
    <row r="249" ht="15.75" customHeight="1">
      <c r="A249" s="26" t="s">
        <v>895</v>
      </c>
      <c r="B249" s="26" t="s">
        <v>1142</v>
      </c>
      <c r="C249" s="26" t="s">
        <v>1117</v>
      </c>
      <c r="D249" s="26" t="str">
        <f>IFERROR(__xludf.DUMMYFUNCTION("IF(
 C249=""STATE"",
 UPPER(REGEXEXTRACT(A249,""^state\.([^_@]+)"")),
 """"
)"),"")</f>
        <v/>
      </c>
      <c r="E249" s="26" t="b">
        <v>1</v>
      </c>
      <c r="F249" s="26" t="s">
        <v>633</v>
      </c>
      <c r="G249" s="26" t="str">
        <f t="shared" si="1"/>
        <v>Not a building</v>
      </c>
      <c r="H249" s="26" t="str">
        <f t="shared" si="2"/>
        <v>Not a building</v>
      </c>
      <c r="K249" s="66"/>
      <c r="L249" s="66"/>
      <c r="M249" s="67"/>
      <c r="N249" s="67"/>
      <c r="O249" s="66"/>
      <c r="P249" s="66"/>
      <c r="Q249" s="67"/>
      <c r="R249" s="67"/>
      <c r="S249" s="67"/>
      <c r="T249" s="67"/>
      <c r="U249" s="67"/>
    </row>
    <row r="250" ht="15.75" customHeight="1">
      <c r="A250" s="26" t="s">
        <v>898</v>
      </c>
      <c r="B250" s="26" t="s">
        <v>1143</v>
      </c>
      <c r="C250" s="26" t="s">
        <v>1117</v>
      </c>
      <c r="D250" s="26" t="str">
        <f>IFERROR(__xludf.DUMMYFUNCTION("IF(
 C250=""STATE"",
 UPPER(REGEXEXTRACT(A250,""^state\.([^_@]+)"")),
 """"
)"),"")</f>
        <v/>
      </c>
      <c r="E250" s="26" t="b">
        <v>1</v>
      </c>
      <c r="F250" s="26" t="s">
        <v>633</v>
      </c>
      <c r="G250" s="26" t="str">
        <f t="shared" si="1"/>
        <v>Not a building</v>
      </c>
      <c r="H250" s="26" t="str">
        <f t="shared" si="2"/>
        <v>Not a building</v>
      </c>
      <c r="K250" s="66"/>
      <c r="L250" s="66"/>
      <c r="M250" s="67"/>
      <c r="N250" s="67"/>
      <c r="O250" s="66"/>
      <c r="P250" s="66"/>
      <c r="Q250" s="67"/>
      <c r="R250" s="67"/>
      <c r="S250" s="67"/>
      <c r="T250" s="67"/>
      <c r="U250" s="67"/>
    </row>
    <row r="251" ht="15.75" customHeight="1">
      <c r="A251" s="26" t="s">
        <v>905</v>
      </c>
      <c r="B251" s="26" t="s">
        <v>1145</v>
      </c>
      <c r="C251" s="26" t="s">
        <v>1117</v>
      </c>
      <c r="D251" s="26" t="str">
        <f>IFERROR(__xludf.DUMMYFUNCTION("IF(
 C251=""STATE"",
 UPPER(REGEXEXTRACT(A251,""^state\.([^_@]+)"")),
 """"
)"),"")</f>
        <v/>
      </c>
      <c r="E251" s="26" t="b">
        <v>1</v>
      </c>
      <c r="F251" s="26" t="s">
        <v>633</v>
      </c>
      <c r="G251" s="26" t="str">
        <f t="shared" si="1"/>
        <v>Not a building</v>
      </c>
      <c r="H251" s="26" t="str">
        <f t="shared" si="2"/>
        <v>Not a building</v>
      </c>
      <c r="K251" s="66"/>
      <c r="L251" s="66"/>
      <c r="M251" s="67"/>
      <c r="N251" s="67"/>
      <c r="O251" s="66"/>
      <c r="P251" s="66"/>
      <c r="Q251" s="67"/>
      <c r="R251" s="67"/>
      <c r="S251" s="67"/>
      <c r="T251" s="67"/>
      <c r="U251" s="67"/>
    </row>
    <row r="252" ht="15.75" customHeight="1">
      <c r="A252" s="26" t="s">
        <v>910</v>
      </c>
      <c r="B252" s="26" t="s">
        <v>1147</v>
      </c>
      <c r="C252" s="26" t="s">
        <v>1117</v>
      </c>
      <c r="D252" s="26" t="str">
        <f>IFERROR(__xludf.DUMMYFUNCTION("IF(
 C252=""STATE"",
 UPPER(REGEXEXTRACT(A252,""^state\.([^_@]+)"")),
 """"
)"),"")</f>
        <v/>
      </c>
      <c r="E252" s="26" t="b">
        <v>1</v>
      </c>
      <c r="F252" s="26" t="s">
        <v>633</v>
      </c>
      <c r="G252" s="26" t="str">
        <f t="shared" si="1"/>
        <v>Not a building</v>
      </c>
      <c r="H252" s="26" t="str">
        <f t="shared" si="2"/>
        <v>Not a building</v>
      </c>
      <c r="K252" s="66"/>
      <c r="L252" s="66"/>
      <c r="M252" s="67"/>
      <c r="N252" s="67"/>
      <c r="O252" s="66"/>
      <c r="P252" s="66"/>
      <c r="Q252" s="67"/>
      <c r="R252" s="67"/>
      <c r="S252" s="67"/>
      <c r="T252" s="67"/>
      <c r="U252" s="67"/>
    </row>
    <row r="253" ht="15.75" customHeight="1">
      <c r="A253" s="26" t="s">
        <v>914</v>
      </c>
      <c r="B253" s="26" t="s">
        <v>1148</v>
      </c>
      <c r="C253" s="26" t="s">
        <v>1117</v>
      </c>
      <c r="D253" s="26" t="str">
        <f>IFERROR(__xludf.DUMMYFUNCTION("IF(
 C253=""STATE"",
 UPPER(REGEXEXTRACT(A253,""^state\.([^_@]+)"")),
 """"
)"),"")</f>
        <v/>
      </c>
      <c r="E253" s="26" t="b">
        <v>1</v>
      </c>
      <c r="F253" s="26" t="s">
        <v>633</v>
      </c>
      <c r="G253" s="26" t="str">
        <f t="shared" si="1"/>
        <v>Not a building</v>
      </c>
      <c r="H253" s="26" t="str">
        <f t="shared" si="2"/>
        <v>Not a building</v>
      </c>
      <c r="K253" s="66"/>
      <c r="L253" s="66"/>
      <c r="M253" s="67"/>
      <c r="N253" s="67"/>
      <c r="O253" s="66"/>
      <c r="P253" s="66"/>
      <c r="Q253" s="67"/>
      <c r="R253" s="67"/>
      <c r="S253" s="67"/>
      <c r="T253" s="67"/>
      <c r="U253" s="67"/>
    </row>
    <row r="254" ht="15.75" customHeight="1">
      <c r="A254" s="26" t="s">
        <v>920</v>
      </c>
      <c r="B254" s="26" t="s">
        <v>1150</v>
      </c>
      <c r="C254" s="26" t="s">
        <v>1151</v>
      </c>
      <c r="D254" s="26" t="str">
        <f>IFERROR(__xludf.DUMMYFUNCTION("IF(
 C254=""STATE"",
 UPPER(REGEXEXTRACT(A254,""^state\.([^_@]+)"")),
 """"
)"),"")</f>
        <v/>
      </c>
      <c r="E254" s="26" t="b">
        <v>1</v>
      </c>
      <c r="F254" s="26" t="s">
        <v>633</v>
      </c>
      <c r="G254" s="26" t="str">
        <f t="shared" si="1"/>
        <v>Not a building</v>
      </c>
      <c r="H254" s="26" t="str">
        <f t="shared" si="2"/>
        <v>Not a building</v>
      </c>
      <c r="K254" s="66"/>
      <c r="L254" s="66"/>
      <c r="M254" s="67"/>
      <c r="N254" s="67"/>
      <c r="O254" s="66"/>
      <c r="P254" s="66"/>
      <c r="Q254" s="67"/>
      <c r="R254" s="67"/>
      <c r="S254" s="67"/>
      <c r="T254" s="67"/>
      <c r="U254" s="67"/>
    </row>
    <row r="255" ht="15.75" customHeight="1">
      <c r="A255" s="26" t="s">
        <v>924</v>
      </c>
      <c r="B255" s="26" t="s">
        <v>1153</v>
      </c>
      <c r="C255" s="26" t="s">
        <v>1151</v>
      </c>
      <c r="D255" s="26" t="str">
        <f>IFERROR(__xludf.DUMMYFUNCTION("IF(
 C255=""STATE"",
 UPPER(REGEXEXTRACT(A255,""^state\.([^_@]+)"")),
 """"
)"),"")</f>
        <v/>
      </c>
      <c r="E255" s="26" t="b">
        <v>1</v>
      </c>
      <c r="F255" s="26" t="s">
        <v>633</v>
      </c>
      <c r="G255" s="26" t="str">
        <f t="shared" si="1"/>
        <v>Not a building</v>
      </c>
      <c r="H255" s="26" t="str">
        <f t="shared" si="2"/>
        <v>Not a building</v>
      </c>
      <c r="K255" s="66"/>
      <c r="L255" s="66"/>
      <c r="M255" s="67"/>
      <c r="N255" s="67"/>
      <c r="O255" s="66"/>
      <c r="P255" s="66"/>
      <c r="Q255" s="67"/>
      <c r="R255" s="67"/>
      <c r="S255" s="67"/>
      <c r="T255" s="67"/>
      <c r="U255" s="67"/>
    </row>
    <row r="256" ht="15.75" customHeight="1">
      <c r="A256" s="26" t="s">
        <v>933</v>
      </c>
      <c r="B256" s="26" t="s">
        <v>1154</v>
      </c>
      <c r="C256" s="26" t="s">
        <v>1151</v>
      </c>
      <c r="D256" s="26" t="str">
        <f>IFERROR(__xludf.DUMMYFUNCTION("IF(
 C256=""STATE"",
 UPPER(REGEXEXTRACT(A256,""^state\.([^_@]+)"")),
 """"
)"),"")</f>
        <v/>
      </c>
      <c r="E256" s="26" t="b">
        <v>1</v>
      </c>
      <c r="F256" s="26" t="s">
        <v>633</v>
      </c>
      <c r="G256" s="26" t="str">
        <f t="shared" si="1"/>
        <v>Not a building</v>
      </c>
      <c r="H256" s="26" t="str">
        <f t="shared" si="2"/>
        <v>Not a building</v>
      </c>
      <c r="K256" s="66"/>
      <c r="L256" s="66"/>
      <c r="M256" s="67"/>
      <c r="N256" s="67"/>
      <c r="O256" s="66"/>
      <c r="P256" s="66"/>
      <c r="Q256" s="67"/>
      <c r="R256" s="67"/>
      <c r="S256" s="67"/>
      <c r="T256" s="67"/>
      <c r="U256" s="67"/>
    </row>
    <row r="257" ht="15.75" customHeight="1">
      <c r="A257" s="26" t="s">
        <v>937</v>
      </c>
      <c r="B257" s="26" t="s">
        <v>1156</v>
      </c>
      <c r="C257" s="26" t="s">
        <v>1151</v>
      </c>
      <c r="D257" s="26" t="str">
        <f>IFERROR(__xludf.DUMMYFUNCTION("IF(
 C257=""STATE"",
 UPPER(REGEXEXTRACT(A257,""^state\.([^_@]+)"")),
 """"
)"),"")</f>
        <v/>
      </c>
      <c r="E257" s="26" t="b">
        <v>1</v>
      </c>
      <c r="F257" s="26" t="s">
        <v>633</v>
      </c>
      <c r="G257" s="26" t="str">
        <f t="shared" si="1"/>
        <v>Not a building</v>
      </c>
      <c r="H257" s="26" t="str">
        <f t="shared" si="2"/>
        <v>Not a building</v>
      </c>
      <c r="K257" s="66"/>
      <c r="L257" s="66"/>
      <c r="M257" s="67"/>
      <c r="N257" s="67"/>
      <c r="O257" s="66"/>
      <c r="P257" s="66"/>
      <c r="Q257" s="67"/>
      <c r="R257" s="67"/>
      <c r="S257" s="67"/>
      <c r="T257" s="67"/>
      <c r="U257" s="67"/>
    </row>
    <row r="258" ht="15.75" customHeight="1">
      <c r="A258" s="26" t="s">
        <v>942</v>
      </c>
      <c r="B258" s="26" t="s">
        <v>1157</v>
      </c>
      <c r="C258" s="26" t="s">
        <v>1151</v>
      </c>
      <c r="D258" s="26" t="str">
        <f>IFERROR(__xludf.DUMMYFUNCTION("IF(
 C258=""STATE"",
 UPPER(REGEXEXTRACT(A258,""^state\.([^_@]+)"")),
 """"
)"),"")</f>
        <v/>
      </c>
      <c r="E258" s="26" t="b">
        <v>1</v>
      </c>
      <c r="F258" s="26" t="s">
        <v>633</v>
      </c>
      <c r="G258" s="26" t="str">
        <f t="shared" si="1"/>
        <v>Not a building</v>
      </c>
      <c r="H258" s="26" t="str">
        <f t="shared" si="2"/>
        <v>Not a building</v>
      </c>
      <c r="K258" s="66"/>
      <c r="L258" s="66"/>
      <c r="M258" s="67"/>
      <c r="N258" s="67"/>
      <c r="O258" s="66"/>
      <c r="P258" s="66"/>
      <c r="Q258" s="67"/>
      <c r="R258" s="67"/>
      <c r="S258" s="67"/>
      <c r="T258" s="67"/>
      <c r="U258" s="67"/>
    </row>
    <row r="259" ht="15.75" customHeight="1">
      <c r="A259" s="26" t="s">
        <v>945</v>
      </c>
      <c r="B259" s="26" t="s">
        <v>1159</v>
      </c>
      <c r="C259" s="26" t="s">
        <v>1151</v>
      </c>
      <c r="D259" s="26" t="str">
        <f>IFERROR(__xludf.DUMMYFUNCTION("IF(
 C259=""STATE"",
 UPPER(REGEXEXTRACT(A259,""^state\.([^_@]+)"")),
 """"
)"),"")</f>
        <v/>
      </c>
      <c r="E259" s="26" t="b">
        <v>1</v>
      </c>
      <c r="F259" s="26" t="s">
        <v>633</v>
      </c>
      <c r="G259" s="26" t="str">
        <f t="shared" si="1"/>
        <v>Not a building</v>
      </c>
      <c r="H259" s="26" t="str">
        <f t="shared" si="2"/>
        <v>Not a building</v>
      </c>
      <c r="K259" s="66"/>
      <c r="L259" s="66"/>
      <c r="M259" s="67"/>
      <c r="N259" s="67"/>
      <c r="O259" s="66"/>
      <c r="P259" s="66"/>
      <c r="Q259" s="67"/>
      <c r="R259" s="67"/>
      <c r="S259" s="67"/>
      <c r="T259" s="67"/>
      <c r="U259" s="67"/>
    </row>
    <row r="260" ht="15.75" customHeight="1">
      <c r="A260" s="26" t="s">
        <v>949</v>
      </c>
      <c r="B260" s="26" t="s">
        <v>1161</v>
      </c>
      <c r="C260" s="26" t="s">
        <v>1151</v>
      </c>
      <c r="D260" s="26" t="str">
        <f>IFERROR(__xludf.DUMMYFUNCTION("IF(
 C260=""STATE"",
 UPPER(REGEXEXTRACT(A260,""^state\.([^_@]+)"")),
 """"
)"),"")</f>
        <v/>
      </c>
      <c r="E260" s="26" t="b">
        <v>1</v>
      </c>
      <c r="F260" s="26" t="s">
        <v>633</v>
      </c>
      <c r="G260" s="26" t="str">
        <f t="shared" si="1"/>
        <v>Not a building</v>
      </c>
      <c r="H260" s="26" t="str">
        <f t="shared" si="2"/>
        <v>Not a building</v>
      </c>
      <c r="K260" s="66"/>
      <c r="L260" s="66"/>
      <c r="M260" s="67"/>
      <c r="N260" s="67"/>
      <c r="O260" s="66"/>
      <c r="P260" s="66"/>
      <c r="Q260" s="67"/>
      <c r="R260" s="67"/>
      <c r="S260" s="67"/>
      <c r="T260" s="67"/>
      <c r="U260" s="67"/>
    </row>
    <row r="261" ht="15.75" customHeight="1">
      <c r="A261" s="26" t="s">
        <v>953</v>
      </c>
      <c r="B261" s="26" t="s">
        <v>1162</v>
      </c>
      <c r="C261" s="26" t="s">
        <v>1151</v>
      </c>
      <c r="D261" s="26" t="str">
        <f>IFERROR(__xludf.DUMMYFUNCTION("IF(
 C261=""STATE"",
 UPPER(REGEXEXTRACT(A261,""^state\.([^_@]+)"")),
 """"
)"),"")</f>
        <v/>
      </c>
      <c r="E261" s="26" t="b">
        <v>1</v>
      </c>
      <c r="F261" s="26" t="s">
        <v>633</v>
      </c>
      <c r="G261" s="26" t="str">
        <f t="shared" si="1"/>
        <v>Not a building</v>
      </c>
      <c r="H261" s="26" t="str">
        <f t="shared" si="2"/>
        <v>Not a building</v>
      </c>
      <c r="K261" s="66"/>
      <c r="L261" s="66"/>
      <c r="M261" s="67"/>
      <c r="N261" s="67"/>
      <c r="O261" s="66"/>
      <c r="P261" s="66"/>
      <c r="Q261" s="67"/>
      <c r="R261" s="67"/>
      <c r="S261" s="67"/>
      <c r="T261" s="67"/>
      <c r="U261" s="67"/>
    </row>
    <row r="262" ht="15.75" customHeight="1">
      <c r="A262" s="26" t="s">
        <v>957</v>
      </c>
      <c r="B262" s="26" t="s">
        <v>1164</v>
      </c>
      <c r="C262" s="26" t="s">
        <v>1151</v>
      </c>
      <c r="D262" s="26" t="str">
        <f>IFERROR(__xludf.DUMMYFUNCTION("IF(
 C262=""STATE"",
 UPPER(REGEXEXTRACT(A262,""^state\.([^_@]+)"")),
 """"
)"),"")</f>
        <v/>
      </c>
      <c r="E262" s="26" t="b">
        <v>1</v>
      </c>
      <c r="F262" s="26" t="s">
        <v>633</v>
      </c>
      <c r="G262" s="26" t="str">
        <f t="shared" si="1"/>
        <v>Not a building</v>
      </c>
      <c r="H262" s="26" t="str">
        <f t="shared" si="2"/>
        <v>Not a building</v>
      </c>
      <c r="K262" s="66"/>
      <c r="L262" s="66"/>
      <c r="M262" s="67"/>
      <c r="N262" s="67"/>
      <c r="O262" s="66"/>
      <c r="P262" s="66"/>
      <c r="Q262" s="67"/>
      <c r="R262" s="67"/>
      <c r="S262" s="67"/>
      <c r="T262" s="67"/>
      <c r="U262" s="67"/>
    </row>
    <row r="263" ht="15.75" customHeight="1">
      <c r="A263" s="26" t="s">
        <v>963</v>
      </c>
      <c r="B263" s="26" t="s">
        <v>1166</v>
      </c>
      <c r="C263" s="26" t="s">
        <v>1151</v>
      </c>
      <c r="D263" s="26" t="str">
        <f>IFERROR(__xludf.DUMMYFUNCTION("IF(
 C263=""STATE"",
 UPPER(REGEXEXTRACT(A263,""^state\.([^_@]+)"")),
 """"
)"),"")</f>
        <v/>
      </c>
      <c r="E263" s="26" t="b">
        <v>1</v>
      </c>
      <c r="F263" s="26" t="s">
        <v>633</v>
      </c>
      <c r="G263" s="26" t="str">
        <f t="shared" si="1"/>
        <v>Not a building</v>
      </c>
      <c r="H263" s="26" t="str">
        <f t="shared" si="2"/>
        <v>Not a building</v>
      </c>
      <c r="K263" s="66"/>
      <c r="L263" s="66"/>
      <c r="M263" s="67"/>
      <c r="N263" s="67"/>
      <c r="O263" s="66"/>
      <c r="P263" s="66"/>
      <c r="Q263" s="67"/>
      <c r="R263" s="67"/>
      <c r="S263" s="67"/>
      <c r="T263" s="67"/>
      <c r="U263" s="67"/>
    </row>
    <row r="264" ht="15.75" customHeight="1">
      <c r="A264" s="26" t="s">
        <v>964</v>
      </c>
      <c r="B264" s="26" t="s">
        <v>1167</v>
      </c>
      <c r="C264" s="26" t="s">
        <v>1151</v>
      </c>
      <c r="D264" s="26" t="str">
        <f>IFERROR(__xludf.DUMMYFUNCTION("IF(
 C264=""STATE"",
 UPPER(REGEXEXTRACT(A264,""^state\.([^_@]+)"")),
 """"
)"),"")</f>
        <v/>
      </c>
      <c r="E264" s="26" t="b">
        <v>1</v>
      </c>
      <c r="F264" s="26" t="s">
        <v>633</v>
      </c>
      <c r="G264" s="26" t="str">
        <f t="shared" si="1"/>
        <v>Not a building</v>
      </c>
      <c r="H264" s="26" t="str">
        <f t="shared" si="2"/>
        <v>Not a building</v>
      </c>
      <c r="K264" s="66"/>
      <c r="L264" s="66"/>
      <c r="M264" s="67"/>
      <c r="N264" s="67"/>
      <c r="O264" s="66"/>
      <c r="P264" s="66"/>
      <c r="Q264" s="67"/>
      <c r="R264" s="67"/>
      <c r="S264" s="67"/>
      <c r="T264" s="67"/>
      <c r="U264" s="67"/>
    </row>
    <row r="265" ht="15.75" customHeight="1">
      <c r="A265" s="26" t="s">
        <v>967</v>
      </c>
      <c r="B265" s="26" t="s">
        <v>1168</v>
      </c>
      <c r="C265" s="26" t="s">
        <v>1151</v>
      </c>
      <c r="D265" s="26" t="str">
        <f>IFERROR(__xludf.DUMMYFUNCTION("IF(
 C265=""STATE"",
 UPPER(REGEXEXTRACT(A265,""^state\.([^_@]+)"")),
 """"
)"),"")</f>
        <v/>
      </c>
      <c r="E265" s="26" t="b">
        <v>1</v>
      </c>
      <c r="F265" s="26" t="s">
        <v>633</v>
      </c>
      <c r="G265" s="26" t="str">
        <f t="shared" si="1"/>
        <v>Not a building</v>
      </c>
      <c r="H265" s="26" t="str">
        <f t="shared" si="2"/>
        <v>Not a building</v>
      </c>
      <c r="K265" s="66"/>
      <c r="L265" s="66"/>
      <c r="M265" s="67"/>
      <c r="N265" s="67"/>
      <c r="O265" s="66"/>
      <c r="P265" s="66"/>
      <c r="Q265" s="67"/>
      <c r="R265" s="67"/>
      <c r="S265" s="67"/>
      <c r="T265" s="67"/>
      <c r="U265" s="67"/>
    </row>
    <row r="266" ht="15.75" customHeight="1">
      <c r="A266" s="26" t="s">
        <v>971</v>
      </c>
      <c r="B266" s="26" t="s">
        <v>1170</v>
      </c>
      <c r="C266" s="26" t="s">
        <v>1151</v>
      </c>
      <c r="D266" s="26" t="str">
        <f>IFERROR(__xludf.DUMMYFUNCTION("IF(
 C266=""STATE"",
 UPPER(REGEXEXTRACT(A266,""^state\.([^_@]+)"")),
 """"
)"),"")</f>
        <v/>
      </c>
      <c r="E266" s="26" t="b">
        <v>1</v>
      </c>
      <c r="F266" s="26" t="s">
        <v>633</v>
      </c>
      <c r="G266" s="26" t="str">
        <f t="shared" si="1"/>
        <v>Not a building</v>
      </c>
      <c r="H266" s="26" t="str">
        <f t="shared" si="2"/>
        <v>Not a building</v>
      </c>
      <c r="K266" s="66"/>
      <c r="L266" s="66"/>
      <c r="M266" s="67"/>
      <c r="N266" s="67"/>
      <c r="O266" s="66"/>
      <c r="P266" s="66"/>
      <c r="Q266" s="67"/>
      <c r="R266" s="67"/>
      <c r="S266" s="67"/>
      <c r="T266" s="67"/>
      <c r="U266" s="67"/>
    </row>
    <row r="267" ht="15.75" customHeight="1">
      <c r="A267" s="26" t="s">
        <v>975</v>
      </c>
      <c r="B267" s="26" t="s">
        <v>1172</v>
      </c>
      <c r="C267" s="26" t="s">
        <v>1151</v>
      </c>
      <c r="D267" s="26" t="str">
        <f>IFERROR(__xludf.DUMMYFUNCTION("IF(
 C267=""STATE"",
 UPPER(REGEXEXTRACT(A267,""^state\.([^_@]+)"")),
 """"
)"),"")</f>
        <v/>
      </c>
      <c r="E267" s="26" t="b">
        <v>1</v>
      </c>
      <c r="F267" s="26" t="s">
        <v>633</v>
      </c>
      <c r="G267" s="26" t="str">
        <f t="shared" si="1"/>
        <v>Not a building</v>
      </c>
      <c r="H267" s="26" t="str">
        <f t="shared" si="2"/>
        <v>Not a building</v>
      </c>
      <c r="K267" s="66"/>
      <c r="L267" s="66"/>
      <c r="M267" s="67"/>
      <c r="N267" s="67"/>
      <c r="O267" s="66"/>
      <c r="P267" s="66"/>
      <c r="Q267" s="67"/>
      <c r="R267" s="67"/>
      <c r="S267" s="67"/>
      <c r="T267" s="67"/>
      <c r="U267" s="67"/>
    </row>
    <row r="268" ht="15.75" customHeight="1">
      <c r="A268" s="26" t="s">
        <v>979</v>
      </c>
      <c r="B268" s="26" t="s">
        <v>1173</v>
      </c>
      <c r="C268" s="26" t="s">
        <v>1151</v>
      </c>
      <c r="D268" s="26" t="str">
        <f>IFERROR(__xludf.DUMMYFUNCTION("IF(
 C268=""STATE"",
 UPPER(REGEXEXTRACT(A268,""^state\.([^_@]+)"")),
 """"
)"),"")</f>
        <v/>
      </c>
      <c r="E268" s="26" t="b">
        <v>1</v>
      </c>
      <c r="F268" s="26" t="s">
        <v>633</v>
      </c>
      <c r="G268" s="26" t="str">
        <f t="shared" si="1"/>
        <v>Not a building</v>
      </c>
      <c r="H268" s="26" t="str">
        <f t="shared" si="2"/>
        <v>Not a building</v>
      </c>
      <c r="K268" s="66"/>
      <c r="L268" s="66"/>
      <c r="M268" s="67"/>
      <c r="N268" s="67"/>
      <c r="O268" s="66"/>
      <c r="P268" s="66"/>
      <c r="Q268" s="67"/>
      <c r="R268" s="67"/>
      <c r="S268" s="67"/>
      <c r="T268" s="67"/>
      <c r="U268" s="67"/>
    </row>
    <row r="269" ht="15.75" customHeight="1">
      <c r="A269" s="26" t="s">
        <v>982</v>
      </c>
      <c r="B269" s="26" t="s">
        <v>1174</v>
      </c>
      <c r="C269" s="26" t="s">
        <v>1151</v>
      </c>
      <c r="D269" s="26" t="str">
        <f>IFERROR(__xludf.DUMMYFUNCTION("IF(
 C269=""STATE"",
 UPPER(REGEXEXTRACT(A269,""^state\.([^_@]+)"")),
 """"
)"),"")</f>
        <v/>
      </c>
      <c r="E269" s="26" t="b">
        <v>1</v>
      </c>
      <c r="F269" s="26" t="s">
        <v>633</v>
      </c>
      <c r="G269" s="26" t="str">
        <f t="shared" si="1"/>
        <v>Not a building</v>
      </c>
      <c r="H269" s="26" t="str">
        <f t="shared" si="2"/>
        <v>Not a building</v>
      </c>
      <c r="K269" s="66"/>
      <c r="L269" s="66"/>
      <c r="M269" s="67"/>
      <c r="N269" s="67"/>
      <c r="O269" s="66"/>
      <c r="P269" s="66"/>
      <c r="Q269" s="67"/>
      <c r="R269" s="67"/>
      <c r="S269" s="67"/>
      <c r="T269" s="67"/>
      <c r="U269" s="67"/>
    </row>
    <row r="270" ht="15.75" customHeight="1">
      <c r="A270" s="26" t="s">
        <v>986</v>
      </c>
      <c r="B270" s="26" t="s">
        <v>1176</v>
      </c>
      <c r="C270" s="26" t="s">
        <v>1151</v>
      </c>
      <c r="D270" s="26" t="str">
        <f>IFERROR(__xludf.DUMMYFUNCTION("IF(
 C270=""STATE"",
 UPPER(REGEXEXTRACT(A270,""^state\.([^_@]+)"")),
 """"
)"),"")</f>
        <v/>
      </c>
      <c r="E270" s="26" t="b">
        <v>1</v>
      </c>
      <c r="F270" s="26" t="s">
        <v>633</v>
      </c>
      <c r="G270" s="26" t="str">
        <f t="shared" si="1"/>
        <v>Not a building</v>
      </c>
      <c r="H270" s="26" t="str">
        <f t="shared" si="2"/>
        <v>Not a building</v>
      </c>
      <c r="K270" s="66"/>
      <c r="L270" s="66"/>
      <c r="M270" s="67"/>
      <c r="N270" s="67"/>
      <c r="O270" s="66"/>
      <c r="P270" s="66"/>
      <c r="Q270" s="67"/>
      <c r="R270" s="67"/>
      <c r="S270" s="67"/>
      <c r="T270" s="67"/>
      <c r="U270" s="67"/>
    </row>
    <row r="271" ht="15.75" customHeight="1">
      <c r="A271" s="26" t="s">
        <v>991</v>
      </c>
      <c r="B271" s="26" t="s">
        <v>1178</v>
      </c>
      <c r="C271" s="26" t="s">
        <v>1151</v>
      </c>
      <c r="D271" s="26" t="str">
        <f>IFERROR(__xludf.DUMMYFUNCTION("IF(
 C271=""STATE"",
 UPPER(REGEXEXTRACT(A271,""^state\.([^_@]+)"")),
 """"
)"),"")</f>
        <v/>
      </c>
      <c r="E271" s="26" t="b">
        <v>1</v>
      </c>
      <c r="F271" s="26" t="s">
        <v>633</v>
      </c>
      <c r="G271" s="26" t="str">
        <f t="shared" si="1"/>
        <v>Not a building</v>
      </c>
      <c r="H271" s="26" t="str">
        <f t="shared" si="2"/>
        <v>Not a building</v>
      </c>
      <c r="K271" s="66"/>
      <c r="L271" s="66"/>
      <c r="M271" s="67"/>
      <c r="N271" s="67"/>
      <c r="O271" s="66"/>
      <c r="P271" s="66"/>
      <c r="Q271" s="67"/>
      <c r="R271" s="67"/>
      <c r="S271" s="67"/>
      <c r="T271" s="67"/>
      <c r="U271" s="67"/>
    </row>
    <row r="272" ht="15.75" customHeight="1">
      <c r="A272" s="26" t="s">
        <v>995</v>
      </c>
      <c r="B272" s="26" t="s">
        <v>1179</v>
      </c>
      <c r="C272" s="26" t="s">
        <v>1151</v>
      </c>
      <c r="D272" s="26" t="str">
        <f>IFERROR(__xludf.DUMMYFUNCTION("IF(
 C272=""STATE"",
 UPPER(REGEXEXTRACT(A272,""^state\.([^_@]+)"")),
 """"
)"),"")</f>
        <v/>
      </c>
      <c r="E272" s="26" t="b">
        <v>1</v>
      </c>
      <c r="F272" s="26" t="s">
        <v>633</v>
      </c>
      <c r="G272" s="26" t="str">
        <f t="shared" si="1"/>
        <v>Not a building</v>
      </c>
      <c r="H272" s="26" t="str">
        <f t="shared" si="2"/>
        <v>Not a building</v>
      </c>
      <c r="K272" s="66"/>
      <c r="L272" s="66"/>
      <c r="M272" s="67"/>
      <c r="N272" s="67"/>
      <c r="O272" s="66"/>
      <c r="P272" s="66"/>
      <c r="Q272" s="67"/>
      <c r="R272" s="67"/>
      <c r="S272" s="67"/>
      <c r="T272" s="67"/>
      <c r="U272" s="67"/>
    </row>
    <row r="273" ht="15.75" customHeight="1">
      <c r="A273" s="26" t="s">
        <v>999</v>
      </c>
      <c r="B273" s="26" t="s">
        <v>1181</v>
      </c>
      <c r="C273" s="26" t="s">
        <v>1151</v>
      </c>
      <c r="D273" s="26" t="str">
        <f>IFERROR(__xludf.DUMMYFUNCTION("IF(
 C273=""STATE"",
 UPPER(REGEXEXTRACT(A273,""^state\.([^_@]+)"")),
 """"
)"),"")</f>
        <v/>
      </c>
      <c r="E273" s="26" t="b">
        <v>1</v>
      </c>
      <c r="F273" s="26" t="s">
        <v>633</v>
      </c>
      <c r="G273" s="26" t="str">
        <f t="shared" si="1"/>
        <v>Not a building</v>
      </c>
      <c r="H273" s="26" t="str">
        <f t="shared" si="2"/>
        <v>Not a building</v>
      </c>
      <c r="K273" s="66"/>
      <c r="L273" s="66"/>
      <c r="M273" s="67"/>
      <c r="N273" s="67"/>
      <c r="O273" s="66"/>
      <c r="P273" s="66"/>
      <c r="Q273" s="67"/>
      <c r="R273" s="67"/>
      <c r="S273" s="67"/>
      <c r="T273" s="67"/>
      <c r="U273" s="67"/>
    </row>
    <row r="274" ht="15.75" customHeight="1">
      <c r="A274" s="26" t="s">
        <v>1003</v>
      </c>
      <c r="B274" s="26" t="s">
        <v>1182</v>
      </c>
      <c r="C274" s="26" t="s">
        <v>1151</v>
      </c>
      <c r="D274" s="26" t="str">
        <f>IFERROR(__xludf.DUMMYFUNCTION("IF(
 C274=""STATE"",
 UPPER(REGEXEXTRACT(A274,""^state\.([^_@]+)"")),
 """"
)"),"")</f>
        <v/>
      </c>
      <c r="E274" s="26" t="b">
        <v>1</v>
      </c>
      <c r="F274" s="26" t="s">
        <v>633</v>
      </c>
      <c r="G274" s="26" t="str">
        <f t="shared" si="1"/>
        <v>Not a building</v>
      </c>
      <c r="H274" s="26" t="str">
        <f t="shared" si="2"/>
        <v>Not a building</v>
      </c>
      <c r="K274" s="66"/>
      <c r="L274" s="66"/>
      <c r="M274" s="67"/>
      <c r="N274" s="67"/>
      <c r="O274" s="66"/>
      <c r="P274" s="66"/>
      <c r="Q274" s="67"/>
      <c r="R274" s="67"/>
      <c r="S274" s="67"/>
      <c r="T274" s="67"/>
      <c r="U274" s="67"/>
    </row>
    <row r="275" ht="15.75" customHeight="1">
      <c r="A275" s="26" t="s">
        <v>1007</v>
      </c>
      <c r="B275" s="26" t="s">
        <v>1184</v>
      </c>
      <c r="C275" s="26" t="s">
        <v>1151</v>
      </c>
      <c r="D275" s="26" t="str">
        <f>IFERROR(__xludf.DUMMYFUNCTION("IF(
 C275=""STATE"",
 UPPER(REGEXEXTRACT(A275,""^state\.([^_@]+)"")),
 """"
)"),"")</f>
        <v/>
      </c>
      <c r="E275" s="26" t="b">
        <v>1</v>
      </c>
      <c r="F275" s="26" t="s">
        <v>633</v>
      </c>
      <c r="G275" s="26" t="str">
        <f t="shared" si="1"/>
        <v>Not a building</v>
      </c>
      <c r="H275" s="26" t="str">
        <f t="shared" si="2"/>
        <v>Not a building</v>
      </c>
      <c r="K275" s="66"/>
      <c r="L275" s="66"/>
      <c r="M275" s="67"/>
      <c r="N275" s="67"/>
      <c r="O275" s="66"/>
      <c r="P275" s="66"/>
      <c r="Q275" s="67"/>
      <c r="R275" s="67"/>
      <c r="S275" s="67"/>
      <c r="T275" s="67"/>
      <c r="U275" s="67"/>
    </row>
    <row r="276" ht="15.75" customHeight="1">
      <c r="A276" s="26" t="s">
        <v>1011</v>
      </c>
      <c r="B276" s="26" t="s">
        <v>1186</v>
      </c>
      <c r="C276" s="26" t="s">
        <v>1151</v>
      </c>
      <c r="D276" s="26" t="str">
        <f>IFERROR(__xludf.DUMMYFUNCTION("IF(
 C276=""STATE"",
 UPPER(REGEXEXTRACT(A276,""^state\.([^_@]+)"")),
 """"
)"),"")</f>
        <v/>
      </c>
      <c r="E276" s="26" t="b">
        <v>1</v>
      </c>
      <c r="F276" s="26" t="s">
        <v>633</v>
      </c>
      <c r="G276" s="26" t="str">
        <f t="shared" si="1"/>
        <v>Not a building</v>
      </c>
      <c r="H276" s="26" t="str">
        <f t="shared" si="2"/>
        <v>Not a building</v>
      </c>
      <c r="K276" s="66"/>
      <c r="L276" s="66"/>
      <c r="M276" s="67"/>
      <c r="N276" s="67"/>
      <c r="O276" s="66"/>
      <c r="P276" s="66"/>
      <c r="Q276" s="67"/>
      <c r="R276" s="67"/>
      <c r="S276" s="67"/>
      <c r="T276" s="67"/>
      <c r="U276" s="67"/>
    </row>
    <row r="277" ht="15.75" customHeight="1">
      <c r="A277" s="26" t="s">
        <v>1016</v>
      </c>
      <c r="B277" s="26" t="s">
        <v>1187</v>
      </c>
      <c r="C277" s="26" t="s">
        <v>1151</v>
      </c>
      <c r="D277" s="26" t="str">
        <f>IFERROR(__xludf.DUMMYFUNCTION("IF(
 C277=""STATE"",
 UPPER(REGEXEXTRACT(A277,""^state\.([^_@]+)"")),
 """"
)"),"")</f>
        <v/>
      </c>
      <c r="E277" s="26" t="b">
        <v>1</v>
      </c>
      <c r="F277" s="26" t="s">
        <v>633</v>
      </c>
      <c r="G277" s="26" t="str">
        <f t="shared" si="1"/>
        <v>Not a building</v>
      </c>
      <c r="H277" s="26" t="str">
        <f t="shared" si="2"/>
        <v>Not a building</v>
      </c>
      <c r="K277" s="66"/>
      <c r="L277" s="66"/>
      <c r="M277" s="67"/>
      <c r="N277" s="67"/>
      <c r="O277" s="66"/>
      <c r="P277" s="66"/>
      <c r="Q277" s="67"/>
      <c r="R277" s="67"/>
      <c r="S277" s="67"/>
      <c r="T277" s="67"/>
      <c r="U277" s="67"/>
    </row>
    <row r="278" ht="15.75" customHeight="1">
      <c r="A278" s="26" t="s">
        <v>1019</v>
      </c>
      <c r="B278" s="26" t="s">
        <v>1188</v>
      </c>
      <c r="C278" s="26" t="s">
        <v>1151</v>
      </c>
      <c r="D278" s="26" t="str">
        <f>IFERROR(__xludf.DUMMYFUNCTION("IF(
 C278=""STATE"",
 UPPER(REGEXEXTRACT(A278,""^state\.([^_@]+)"")),
 """"
)"),"")</f>
        <v/>
      </c>
      <c r="E278" s="26" t="b">
        <v>1</v>
      </c>
      <c r="F278" s="26" t="s">
        <v>633</v>
      </c>
      <c r="G278" s="26" t="str">
        <f t="shared" si="1"/>
        <v>Not a building</v>
      </c>
      <c r="H278" s="26" t="str">
        <f t="shared" si="2"/>
        <v>Not a building</v>
      </c>
      <c r="K278" s="66"/>
      <c r="L278" s="66"/>
      <c r="M278" s="67"/>
      <c r="N278" s="67"/>
      <c r="O278" s="66"/>
      <c r="P278" s="66"/>
      <c r="Q278" s="67"/>
      <c r="R278" s="67"/>
      <c r="S278" s="67"/>
      <c r="T278" s="67"/>
      <c r="U278" s="67"/>
    </row>
    <row r="279" ht="15.75" customHeight="1">
      <c r="A279" s="26" t="s">
        <v>1023</v>
      </c>
      <c r="B279" s="26" t="s">
        <v>1190</v>
      </c>
      <c r="C279" s="26" t="s">
        <v>1151</v>
      </c>
      <c r="D279" s="26" t="str">
        <f>IFERROR(__xludf.DUMMYFUNCTION("IF(
 C279=""STATE"",
 UPPER(REGEXEXTRACT(A279,""^state\.([^_@]+)"")),
 """"
)"),"")</f>
        <v/>
      </c>
      <c r="E279" s="26" t="b">
        <v>1</v>
      </c>
      <c r="F279" s="26" t="s">
        <v>633</v>
      </c>
      <c r="G279" s="26" t="str">
        <f t="shared" si="1"/>
        <v>Not a building</v>
      </c>
      <c r="H279" s="26" t="str">
        <f t="shared" si="2"/>
        <v>Not a building</v>
      </c>
      <c r="K279" s="66"/>
      <c r="L279" s="66"/>
      <c r="M279" s="67"/>
      <c r="N279" s="67"/>
      <c r="O279" s="66"/>
      <c r="P279" s="66"/>
      <c r="Q279" s="67"/>
      <c r="R279" s="67"/>
      <c r="S279" s="67"/>
      <c r="T279" s="67"/>
      <c r="U279" s="67"/>
    </row>
    <row r="280" ht="15.75" customHeight="1">
      <c r="A280" s="26" t="s">
        <v>1027</v>
      </c>
      <c r="B280" s="26" t="s">
        <v>1192</v>
      </c>
      <c r="C280" s="26" t="s">
        <v>1151</v>
      </c>
      <c r="D280" s="26" t="str">
        <f>IFERROR(__xludf.DUMMYFUNCTION("IF(
 C280=""STATE"",
 UPPER(REGEXEXTRACT(A280,""^state\.([^_@]+)"")),
 """"
)"),"")</f>
        <v/>
      </c>
      <c r="E280" s="26" t="b">
        <v>1</v>
      </c>
      <c r="F280" s="26" t="s">
        <v>633</v>
      </c>
      <c r="G280" s="26" t="str">
        <f t="shared" si="1"/>
        <v>Not a building</v>
      </c>
      <c r="H280" s="26" t="str">
        <f t="shared" si="2"/>
        <v>Not a building</v>
      </c>
      <c r="K280" s="66"/>
      <c r="L280" s="66"/>
      <c r="M280" s="67"/>
      <c r="N280" s="67"/>
      <c r="O280" s="66"/>
      <c r="P280" s="66"/>
      <c r="Q280" s="67"/>
      <c r="R280" s="67"/>
      <c r="S280" s="67"/>
      <c r="T280" s="67"/>
      <c r="U280" s="67"/>
    </row>
    <row r="281" ht="15.75" customHeight="1">
      <c r="A281" s="26" t="s">
        <v>1032</v>
      </c>
      <c r="B281" s="26" t="s">
        <v>1193</v>
      </c>
      <c r="C281" s="26" t="s">
        <v>1151</v>
      </c>
      <c r="D281" s="26" t="str">
        <f>IFERROR(__xludf.DUMMYFUNCTION("IF(
 C281=""STATE"",
 UPPER(REGEXEXTRACT(A281,""^state\.([^_@]+)"")),
 """"
)"),"")</f>
        <v/>
      </c>
      <c r="E281" s="26" t="b">
        <v>1</v>
      </c>
      <c r="F281" s="26" t="s">
        <v>633</v>
      </c>
      <c r="G281" s="26" t="str">
        <f t="shared" si="1"/>
        <v>Not a building</v>
      </c>
      <c r="H281" s="26" t="str">
        <f t="shared" si="2"/>
        <v>Not a building</v>
      </c>
      <c r="K281" s="66"/>
      <c r="L281" s="66"/>
      <c r="M281" s="67"/>
      <c r="N281" s="67"/>
      <c r="O281" s="66"/>
      <c r="P281" s="66"/>
      <c r="Q281" s="67"/>
      <c r="R281" s="67"/>
      <c r="S281" s="67"/>
      <c r="T281" s="67"/>
      <c r="U281" s="67"/>
    </row>
    <row r="282" ht="15.75" customHeight="1">
      <c r="A282" s="26" t="s">
        <v>1036</v>
      </c>
      <c r="B282" s="26" t="s">
        <v>1194</v>
      </c>
      <c r="C282" s="26" t="s">
        <v>1151</v>
      </c>
      <c r="D282" s="26" t="str">
        <f>IFERROR(__xludf.DUMMYFUNCTION("IF(
 C282=""STATE"",
 UPPER(REGEXEXTRACT(A282,""^state\.([^_@]+)"")),
 """"
)"),"")</f>
        <v/>
      </c>
      <c r="E282" s="26" t="b">
        <v>1</v>
      </c>
      <c r="F282" s="26" t="s">
        <v>633</v>
      </c>
      <c r="G282" s="26" t="str">
        <f t="shared" si="1"/>
        <v>Not a building</v>
      </c>
      <c r="H282" s="26" t="str">
        <f t="shared" si="2"/>
        <v>Not a building</v>
      </c>
      <c r="K282" s="66"/>
      <c r="L282" s="66"/>
      <c r="M282" s="67"/>
      <c r="N282" s="67"/>
      <c r="O282" s="66"/>
      <c r="P282" s="66"/>
      <c r="Q282" s="67"/>
      <c r="R282" s="67"/>
      <c r="S282" s="67"/>
      <c r="T282" s="67"/>
      <c r="U282" s="67"/>
    </row>
    <row r="283" ht="15.75" customHeight="1">
      <c r="A283" s="26" t="s">
        <v>1039</v>
      </c>
      <c r="B283" s="26" t="s">
        <v>1197</v>
      </c>
      <c r="C283" s="26" t="s">
        <v>1151</v>
      </c>
      <c r="D283" s="26" t="str">
        <f>IFERROR(__xludf.DUMMYFUNCTION("IF(
 C283=""STATE"",
 UPPER(REGEXEXTRACT(A283,""^state\.([^_@]+)"")),
 """"
)"),"")</f>
        <v/>
      </c>
      <c r="E283" s="26" t="b">
        <v>1</v>
      </c>
      <c r="F283" s="26" t="s">
        <v>633</v>
      </c>
      <c r="G283" s="26" t="str">
        <f t="shared" si="1"/>
        <v>Not a building</v>
      </c>
      <c r="H283" s="26" t="str">
        <f t="shared" si="2"/>
        <v>Not a building</v>
      </c>
      <c r="K283" s="66"/>
      <c r="L283" s="66"/>
      <c r="M283" s="67"/>
      <c r="N283" s="67"/>
      <c r="O283" s="66"/>
      <c r="P283" s="66"/>
      <c r="Q283" s="67"/>
      <c r="R283" s="67"/>
      <c r="S283" s="67"/>
      <c r="T283" s="67"/>
      <c r="U283" s="67"/>
    </row>
    <row r="284" ht="15.75" customHeight="1">
      <c r="A284" s="21" t="s">
        <v>1044</v>
      </c>
      <c r="B284" s="26" t="s">
        <v>1198</v>
      </c>
      <c r="C284" s="26" t="s">
        <v>1151</v>
      </c>
      <c r="D284" s="26" t="str">
        <f>IFERROR(__xludf.DUMMYFUNCTION("IF(
 C284=""STATE"",
 UPPER(REGEXEXTRACT(A284,""^state\.([^_@]+)"")),
 """"
)"),"")</f>
        <v/>
      </c>
      <c r="E284" s="26" t="b">
        <v>1</v>
      </c>
      <c r="F284" s="26" t="s">
        <v>633</v>
      </c>
      <c r="G284" s="26" t="str">
        <f t="shared" si="1"/>
        <v>Not a building</v>
      </c>
      <c r="H284" s="26" t="str">
        <f t="shared" si="2"/>
        <v>Not a building</v>
      </c>
      <c r="K284" s="66"/>
      <c r="L284" s="66"/>
      <c r="M284" s="67"/>
      <c r="N284" s="67"/>
      <c r="O284" s="66"/>
      <c r="P284" s="66"/>
      <c r="Q284" s="67"/>
      <c r="R284" s="67"/>
      <c r="S284" s="67"/>
      <c r="T284" s="67"/>
      <c r="U284" s="67"/>
    </row>
    <row r="285" ht="15.75" customHeight="1">
      <c r="A285" s="21" t="s">
        <v>1048</v>
      </c>
      <c r="B285" s="26" t="s">
        <v>1199</v>
      </c>
      <c r="C285" s="26" t="s">
        <v>1151</v>
      </c>
      <c r="D285" s="26" t="str">
        <f>IFERROR(__xludf.DUMMYFUNCTION("IF(
 C285=""STATE"",
 UPPER(REGEXEXTRACT(A285,""^state\.([^_@]+)"")),
 """"
)"),"")</f>
        <v/>
      </c>
      <c r="E285" s="26" t="b">
        <v>1</v>
      </c>
      <c r="F285" s="26" t="s">
        <v>633</v>
      </c>
      <c r="G285" s="26" t="str">
        <f t="shared" si="1"/>
        <v>Not a building</v>
      </c>
      <c r="H285" s="26" t="str">
        <f t="shared" si="2"/>
        <v>Not a building</v>
      </c>
      <c r="K285" s="66"/>
      <c r="L285" s="66"/>
      <c r="M285" s="67"/>
      <c r="N285" s="67"/>
      <c r="O285" s="66"/>
      <c r="P285" s="66"/>
      <c r="Q285" s="67"/>
      <c r="R285" s="67"/>
      <c r="S285" s="67"/>
      <c r="T285" s="67"/>
      <c r="U285" s="67"/>
    </row>
    <row r="286" ht="15.75" customHeight="1">
      <c r="A286" s="26" t="s">
        <v>1053</v>
      </c>
      <c r="B286" s="26" t="s">
        <v>1201</v>
      </c>
      <c r="C286" s="26" t="s">
        <v>1151</v>
      </c>
      <c r="D286" s="26" t="str">
        <f>IFERROR(__xludf.DUMMYFUNCTION("IF(
 C286=""STATE"",
 UPPER(REGEXEXTRACT(A286,""^state\.([^_@]+)"")),
 """"
)"),"")</f>
        <v/>
      </c>
      <c r="E286" s="26" t="b">
        <v>1</v>
      </c>
      <c r="F286" s="26" t="s">
        <v>633</v>
      </c>
      <c r="G286" s="26" t="str">
        <f t="shared" si="1"/>
        <v>Not a building</v>
      </c>
      <c r="H286" s="26" t="str">
        <f t="shared" si="2"/>
        <v>Not a building</v>
      </c>
      <c r="K286" s="66"/>
      <c r="L286" s="66"/>
      <c r="M286" s="67"/>
      <c r="N286" s="67"/>
      <c r="O286" s="66"/>
      <c r="P286" s="66"/>
      <c r="Q286" s="67"/>
      <c r="R286" s="67"/>
      <c r="S286" s="67"/>
      <c r="T286" s="67"/>
      <c r="U286" s="67"/>
    </row>
    <row r="287" ht="15.75" customHeight="1">
      <c r="A287" s="26" t="s">
        <v>1057</v>
      </c>
      <c r="B287" s="26" t="s">
        <v>1203</v>
      </c>
      <c r="C287" s="26" t="s">
        <v>1151</v>
      </c>
      <c r="D287" s="26" t="str">
        <f>IFERROR(__xludf.DUMMYFUNCTION("IF(
 C287=""STATE"",
 UPPER(REGEXEXTRACT(A287,""^state\.([^_@]+)"")),
 """"
)"),"")</f>
        <v/>
      </c>
      <c r="E287" s="26" t="b">
        <v>1</v>
      </c>
      <c r="F287" s="26" t="s">
        <v>633</v>
      </c>
      <c r="G287" s="26" t="str">
        <f t="shared" si="1"/>
        <v>Not a building</v>
      </c>
      <c r="H287" s="26" t="str">
        <f t="shared" si="2"/>
        <v>Not a building</v>
      </c>
      <c r="K287" s="66"/>
      <c r="L287" s="66"/>
      <c r="M287" s="67"/>
      <c r="N287" s="67"/>
      <c r="O287" s="66"/>
      <c r="P287" s="66"/>
      <c r="Q287" s="67"/>
      <c r="R287" s="67"/>
      <c r="S287" s="67"/>
      <c r="T287" s="67"/>
      <c r="U287" s="67"/>
    </row>
    <row r="288" ht="15.75" customHeight="1">
      <c r="A288" s="26" t="s">
        <v>1064</v>
      </c>
      <c r="B288" s="26" t="s">
        <v>1204</v>
      </c>
      <c r="C288" s="26" t="s">
        <v>1151</v>
      </c>
      <c r="D288" s="26" t="str">
        <f>IFERROR(__xludf.DUMMYFUNCTION("IF(
 C288=""STATE"",
 UPPER(REGEXEXTRACT(A288,""^state\.([^_@]+)"")),
 """"
)"),"")</f>
        <v/>
      </c>
      <c r="E288" s="26" t="b">
        <v>1</v>
      </c>
      <c r="F288" s="26" t="s">
        <v>633</v>
      </c>
      <c r="G288" s="26" t="str">
        <f t="shared" si="1"/>
        <v>Not a building</v>
      </c>
      <c r="H288" s="26" t="str">
        <f t="shared" si="2"/>
        <v>Not a building</v>
      </c>
      <c r="K288" s="66"/>
      <c r="L288" s="66"/>
      <c r="M288" s="67"/>
      <c r="N288" s="67"/>
      <c r="O288" s="66"/>
      <c r="P288" s="66"/>
      <c r="Q288" s="67"/>
      <c r="R288" s="67"/>
      <c r="S288" s="67"/>
      <c r="T288" s="67"/>
      <c r="U288" s="67"/>
    </row>
    <row r="289" ht="15.75" customHeight="1">
      <c r="A289" s="26" t="s">
        <v>1070</v>
      </c>
      <c r="B289" s="26" t="s">
        <v>1205</v>
      </c>
      <c r="C289" s="26" t="s">
        <v>1151</v>
      </c>
      <c r="D289" s="26" t="str">
        <f>IFERROR(__xludf.DUMMYFUNCTION("IF(
 C289=""STATE"",
 UPPER(REGEXEXTRACT(A289,""^state\.([^_@]+)"")),
 """"
)"),"")</f>
        <v/>
      </c>
      <c r="E289" s="26" t="b">
        <v>1</v>
      </c>
      <c r="F289" s="26" t="s">
        <v>633</v>
      </c>
      <c r="G289" s="26" t="str">
        <f t="shared" si="1"/>
        <v>Not a building</v>
      </c>
      <c r="H289" s="26" t="str">
        <f t="shared" si="2"/>
        <v>Not a building</v>
      </c>
      <c r="K289" s="66"/>
      <c r="L289" s="66"/>
      <c r="M289" s="67"/>
      <c r="N289" s="67"/>
      <c r="O289" s="66"/>
      <c r="P289" s="66"/>
      <c r="Q289" s="67"/>
      <c r="R289" s="67"/>
      <c r="S289" s="67"/>
      <c r="T289" s="67"/>
      <c r="U289" s="67"/>
    </row>
    <row r="290" ht="15.75" customHeight="1">
      <c r="A290" s="26" t="s">
        <v>1076</v>
      </c>
      <c r="B290" s="26" t="s">
        <v>1206</v>
      </c>
      <c r="C290" s="26" t="s">
        <v>1151</v>
      </c>
      <c r="D290" s="26" t="str">
        <f>IFERROR(__xludf.DUMMYFUNCTION("IF(
 C290=""STATE"",
 UPPER(REGEXEXTRACT(A290,""^state\.([^_@]+)"")),
 """"
)"),"")</f>
        <v/>
      </c>
      <c r="E290" s="26" t="b">
        <v>1</v>
      </c>
      <c r="F290" s="26" t="s">
        <v>633</v>
      </c>
      <c r="G290" s="26" t="str">
        <f t="shared" si="1"/>
        <v>Not a building</v>
      </c>
      <c r="H290" s="26" t="str">
        <f t="shared" si="2"/>
        <v>Not a building</v>
      </c>
      <c r="K290" s="66"/>
      <c r="L290" s="66"/>
      <c r="M290" s="67"/>
      <c r="N290" s="67"/>
      <c r="O290" s="66"/>
      <c r="P290" s="66"/>
      <c r="Q290" s="67"/>
      <c r="R290" s="67"/>
      <c r="S290" s="67"/>
      <c r="T290" s="67"/>
      <c r="U290" s="67"/>
    </row>
    <row r="291" ht="15.75" customHeight="1">
      <c r="A291" s="26" t="s">
        <v>1084</v>
      </c>
      <c r="B291" s="26" t="s">
        <v>1208</v>
      </c>
      <c r="C291" s="26" t="s">
        <v>1151</v>
      </c>
      <c r="D291" s="26" t="str">
        <f>IFERROR(__xludf.DUMMYFUNCTION("IF(
 C291=""STATE"",
 UPPER(REGEXEXTRACT(A291,""^state\.([^_@]+)"")),
 """"
)"),"")</f>
        <v/>
      </c>
      <c r="E291" s="26" t="b">
        <v>1</v>
      </c>
      <c r="F291" s="26" t="s">
        <v>633</v>
      </c>
      <c r="G291" s="26" t="str">
        <f t="shared" si="1"/>
        <v>Not a building</v>
      </c>
      <c r="H291" s="26" t="str">
        <f t="shared" si="2"/>
        <v>Not a building</v>
      </c>
      <c r="K291" s="66"/>
      <c r="L291" s="66"/>
      <c r="M291" s="67"/>
      <c r="N291" s="67"/>
      <c r="O291" s="66"/>
      <c r="P291" s="66"/>
      <c r="Q291" s="67"/>
      <c r="R291" s="67"/>
      <c r="S291" s="67"/>
      <c r="T291" s="67"/>
      <c r="U291" s="67"/>
    </row>
    <row r="292" ht="15.75" customHeight="1">
      <c r="A292" s="26" t="s">
        <v>1089</v>
      </c>
      <c r="B292" s="26" t="s">
        <v>1209</v>
      </c>
      <c r="C292" s="26" t="s">
        <v>1151</v>
      </c>
      <c r="D292" s="26" t="str">
        <f>IFERROR(__xludf.DUMMYFUNCTION("IF(
 C292=""STATE"",
 UPPER(REGEXEXTRACT(A292,""^state\.([^_@]+)"")),
 """"
)"),"")</f>
        <v/>
      </c>
      <c r="E292" s="26" t="b">
        <v>1</v>
      </c>
      <c r="F292" s="26" t="s">
        <v>633</v>
      </c>
      <c r="G292" s="26" t="str">
        <f t="shared" si="1"/>
        <v>Not a building</v>
      </c>
      <c r="H292" s="26" t="str">
        <f t="shared" si="2"/>
        <v>Not a building</v>
      </c>
      <c r="K292" s="66"/>
      <c r="L292" s="66"/>
      <c r="M292" s="67"/>
      <c r="N292" s="67"/>
      <c r="O292" s="66"/>
      <c r="P292" s="66"/>
      <c r="Q292" s="67"/>
      <c r="R292" s="67"/>
      <c r="S292" s="67"/>
      <c r="T292" s="67"/>
      <c r="U292" s="67"/>
    </row>
    <row r="293" ht="15.75" customHeight="1">
      <c r="A293" s="26" t="s">
        <v>1094</v>
      </c>
      <c r="B293" s="26" t="s">
        <v>1211</v>
      </c>
      <c r="C293" s="26" t="s">
        <v>1151</v>
      </c>
      <c r="D293" s="26" t="str">
        <f>IFERROR(__xludf.DUMMYFUNCTION("IF(
 C293=""STATE"",
 UPPER(REGEXEXTRACT(A293,""^state\.([^_@]+)"")),
 """"
)"),"")</f>
        <v/>
      </c>
      <c r="E293" s="26" t="b">
        <v>1</v>
      </c>
      <c r="F293" s="26" t="s">
        <v>633</v>
      </c>
      <c r="G293" s="26" t="str">
        <f t="shared" si="1"/>
        <v>Not a building</v>
      </c>
      <c r="H293" s="26" t="str">
        <f t="shared" si="2"/>
        <v>Not a building</v>
      </c>
      <c r="K293" s="66"/>
      <c r="L293" s="66"/>
      <c r="M293" s="67"/>
      <c r="N293" s="67"/>
      <c r="O293" s="66"/>
      <c r="P293" s="66"/>
      <c r="Q293" s="67"/>
      <c r="R293" s="67"/>
      <c r="S293" s="67"/>
      <c r="T293" s="67"/>
      <c r="U293" s="67"/>
    </row>
    <row r="294" ht="15.75" customHeight="1">
      <c r="A294" s="26" t="s">
        <v>1098</v>
      </c>
      <c r="B294" s="26" t="s">
        <v>1212</v>
      </c>
      <c r="C294" s="26" t="s">
        <v>1151</v>
      </c>
      <c r="D294" s="26" t="str">
        <f>IFERROR(__xludf.DUMMYFUNCTION("IF(
 C294=""STATE"",
 UPPER(REGEXEXTRACT(A294,""^state\.([^_@]+)"")),
 """"
)"),"")</f>
        <v/>
      </c>
      <c r="E294" s="26" t="b">
        <v>1</v>
      </c>
      <c r="F294" s="26" t="s">
        <v>633</v>
      </c>
      <c r="G294" s="26" t="str">
        <f t="shared" si="1"/>
        <v>Not a building</v>
      </c>
      <c r="H294" s="26" t="str">
        <f t="shared" si="2"/>
        <v>Not a building</v>
      </c>
      <c r="K294" s="66"/>
      <c r="L294" s="66"/>
      <c r="M294" s="67"/>
      <c r="N294" s="67"/>
      <c r="O294" s="66"/>
      <c r="P294" s="66"/>
      <c r="Q294" s="67"/>
      <c r="R294" s="67"/>
      <c r="S294" s="67"/>
      <c r="T294" s="67"/>
      <c r="U294" s="67"/>
    </row>
    <row r="295" ht="15.75" customHeight="1">
      <c r="A295" s="26" t="s">
        <v>1102</v>
      </c>
      <c r="B295" s="26" t="s">
        <v>1213</v>
      </c>
      <c r="C295" s="26" t="s">
        <v>1151</v>
      </c>
      <c r="D295" s="26" t="str">
        <f>IFERROR(__xludf.DUMMYFUNCTION("IF(
 C295=""STATE"",
 UPPER(REGEXEXTRACT(A295,""^state\.([^_@]+)"")),
 """"
)"),"")</f>
        <v/>
      </c>
      <c r="E295" s="26" t="b">
        <v>1</v>
      </c>
      <c r="F295" s="26" t="s">
        <v>633</v>
      </c>
      <c r="G295" s="26" t="str">
        <f t="shared" si="1"/>
        <v>Not a building</v>
      </c>
      <c r="H295" s="26" t="str">
        <f t="shared" si="2"/>
        <v>Not a building</v>
      </c>
      <c r="K295" s="66"/>
      <c r="L295" s="66"/>
      <c r="M295" s="67"/>
      <c r="N295" s="67"/>
      <c r="O295" s="66"/>
      <c r="P295" s="66"/>
      <c r="Q295" s="67"/>
      <c r="R295" s="67"/>
      <c r="S295" s="67"/>
      <c r="T295" s="67"/>
      <c r="U295" s="67"/>
    </row>
    <row r="296" ht="15.75" customHeight="1">
      <c r="A296" s="26" t="s">
        <v>1107</v>
      </c>
      <c r="B296" s="26" t="s">
        <v>1215</v>
      </c>
      <c r="C296" s="26" t="s">
        <v>1151</v>
      </c>
      <c r="D296" s="26" t="str">
        <f>IFERROR(__xludf.DUMMYFUNCTION("IF(
 C296=""STATE"",
 UPPER(REGEXEXTRACT(A296,""^state\.([^_@]+)"")),
 """"
)"),"")</f>
        <v/>
      </c>
      <c r="E296" s="26" t="b">
        <v>1</v>
      </c>
      <c r="F296" s="26" t="s">
        <v>633</v>
      </c>
      <c r="G296" s="26" t="str">
        <f t="shared" si="1"/>
        <v>Not a building</v>
      </c>
      <c r="H296" s="26" t="str">
        <f t="shared" si="2"/>
        <v>Not a building</v>
      </c>
      <c r="K296" s="66"/>
      <c r="L296" s="66"/>
      <c r="M296" s="67"/>
      <c r="N296" s="67"/>
      <c r="O296" s="66"/>
      <c r="P296" s="66"/>
      <c r="Q296" s="67"/>
      <c r="R296" s="67"/>
      <c r="S296" s="67"/>
      <c r="T296" s="67"/>
      <c r="U296" s="67"/>
    </row>
    <row r="297" ht="15.75" customHeight="1">
      <c r="A297" s="26" t="s">
        <v>1110</v>
      </c>
      <c r="B297" s="26" t="s">
        <v>1216</v>
      </c>
      <c r="C297" s="26" t="s">
        <v>1151</v>
      </c>
      <c r="D297" s="26" t="str">
        <f>IFERROR(__xludf.DUMMYFUNCTION("IF(
 C297=""STATE"",
 UPPER(REGEXEXTRACT(A297,""^state\.([^_@]+)"")),
 """"
)"),"")</f>
        <v/>
      </c>
      <c r="E297" s="26" t="b">
        <v>1</v>
      </c>
      <c r="F297" s="26" t="s">
        <v>633</v>
      </c>
      <c r="G297" s="26" t="str">
        <f t="shared" si="1"/>
        <v>Not a building</v>
      </c>
      <c r="H297" s="26" t="str">
        <f t="shared" si="2"/>
        <v>Not a building</v>
      </c>
      <c r="K297" s="66"/>
      <c r="L297" s="66"/>
      <c r="M297" s="67"/>
      <c r="N297" s="67"/>
      <c r="O297" s="66"/>
      <c r="P297" s="66"/>
      <c r="Q297" s="67"/>
      <c r="R297" s="67"/>
      <c r="S297" s="67"/>
      <c r="T297" s="67"/>
      <c r="U297" s="67"/>
    </row>
    <row r="298" ht="15.75" customHeight="1">
      <c r="A298" s="26" t="s">
        <v>1114</v>
      </c>
      <c r="B298" s="26" t="s">
        <v>1217</v>
      </c>
      <c r="C298" s="26" t="s">
        <v>1151</v>
      </c>
      <c r="D298" s="26" t="str">
        <f>IFERROR(__xludf.DUMMYFUNCTION("IF(
 C298=""STATE"",
 UPPER(REGEXEXTRACT(A298,""^state\.([^_@]+)"")),
 """"
)"),"")</f>
        <v/>
      </c>
      <c r="E298" s="26" t="b">
        <v>1</v>
      </c>
      <c r="F298" s="26" t="s">
        <v>633</v>
      </c>
      <c r="G298" s="26" t="str">
        <f t="shared" si="1"/>
        <v>Not a building</v>
      </c>
      <c r="H298" s="26" t="str">
        <f t="shared" si="2"/>
        <v>Not a building</v>
      </c>
      <c r="K298" s="66"/>
      <c r="L298" s="66"/>
      <c r="M298" s="67"/>
      <c r="N298" s="67"/>
      <c r="O298" s="66"/>
      <c r="P298" s="66"/>
      <c r="Q298" s="67"/>
      <c r="R298" s="67"/>
      <c r="S298" s="67"/>
      <c r="T298" s="67"/>
      <c r="U298" s="67"/>
    </row>
    <row r="299" ht="15.75" customHeight="1">
      <c r="A299" s="26" t="s">
        <v>1118</v>
      </c>
      <c r="B299" s="26" t="s">
        <v>1219</v>
      </c>
      <c r="C299" s="26" t="s">
        <v>1151</v>
      </c>
      <c r="D299" s="26" t="str">
        <f>IFERROR(__xludf.DUMMYFUNCTION("IF(
 C299=""STATE"",
 UPPER(REGEXEXTRACT(A299,""^state\.([^_@]+)"")),
 """"
)"),"")</f>
        <v/>
      </c>
      <c r="E299" s="26" t="b">
        <v>1</v>
      </c>
      <c r="F299" s="26" t="s">
        <v>633</v>
      </c>
      <c r="G299" s="26" t="str">
        <f t="shared" si="1"/>
        <v>Not a building</v>
      </c>
      <c r="H299" s="26" t="str">
        <f t="shared" si="2"/>
        <v>Not a building</v>
      </c>
      <c r="K299" s="66"/>
      <c r="L299" s="66"/>
      <c r="M299" s="67"/>
      <c r="N299" s="67"/>
      <c r="O299" s="66"/>
      <c r="P299" s="66"/>
      <c r="Q299" s="67"/>
      <c r="R299" s="67"/>
      <c r="S299" s="67"/>
      <c r="T299" s="67"/>
      <c r="U299" s="67"/>
    </row>
    <row r="300" ht="15.75" customHeight="1">
      <c r="A300" s="26" t="s">
        <v>1122</v>
      </c>
      <c r="B300" s="26" t="s">
        <v>1220</v>
      </c>
      <c r="C300" s="26" t="s">
        <v>1151</v>
      </c>
      <c r="D300" s="26" t="str">
        <f>IFERROR(__xludf.DUMMYFUNCTION("IF(
 C300=""STATE"",
 UPPER(REGEXEXTRACT(A300,""^state\.([^_@]+)"")),
 """"
)"),"")</f>
        <v/>
      </c>
      <c r="E300" s="26" t="b">
        <v>1</v>
      </c>
      <c r="F300" s="26" t="s">
        <v>633</v>
      </c>
      <c r="G300" s="26" t="str">
        <f t="shared" si="1"/>
        <v>Not a building</v>
      </c>
      <c r="H300" s="26" t="str">
        <f t="shared" si="2"/>
        <v>Not a building</v>
      </c>
      <c r="K300" s="66"/>
      <c r="L300" s="66"/>
      <c r="M300" s="67"/>
      <c r="N300" s="67"/>
      <c r="O300" s="66"/>
      <c r="P300" s="66"/>
      <c r="Q300" s="67"/>
      <c r="R300" s="67"/>
      <c r="S300" s="67"/>
      <c r="T300" s="67"/>
      <c r="U300" s="67"/>
    </row>
    <row r="301" ht="15.75" customHeight="1">
      <c r="A301" s="26" t="s">
        <v>1127</v>
      </c>
      <c r="B301" s="26" t="s">
        <v>1222</v>
      </c>
      <c r="C301" s="26" t="s">
        <v>1151</v>
      </c>
      <c r="D301" s="26" t="str">
        <f>IFERROR(__xludf.DUMMYFUNCTION("IF(
 C301=""STATE"",
 UPPER(REGEXEXTRACT(A301,""^state\.([^_@]+)"")),
 """"
)"),"")</f>
        <v/>
      </c>
      <c r="E301" s="26" t="b">
        <v>1</v>
      </c>
      <c r="F301" s="26" t="s">
        <v>633</v>
      </c>
      <c r="G301" s="26" t="str">
        <f t="shared" si="1"/>
        <v>Not a building</v>
      </c>
      <c r="H301" s="26" t="str">
        <f t="shared" si="2"/>
        <v>Not a building</v>
      </c>
      <c r="K301" s="66"/>
      <c r="L301" s="66"/>
      <c r="M301" s="67"/>
      <c r="N301" s="67"/>
      <c r="O301" s="66"/>
      <c r="P301" s="66"/>
      <c r="Q301" s="67"/>
      <c r="R301" s="67"/>
      <c r="S301" s="67"/>
      <c r="T301" s="67"/>
      <c r="U301" s="67"/>
    </row>
    <row r="302" ht="15.75" customHeight="1">
      <c r="A302" s="26" t="s">
        <v>1130</v>
      </c>
      <c r="B302" s="26" t="s">
        <v>1223</v>
      </c>
      <c r="C302" s="26" t="s">
        <v>1151</v>
      </c>
      <c r="D302" s="26" t="str">
        <f>IFERROR(__xludf.DUMMYFUNCTION("IF(
 C302=""STATE"",
 UPPER(REGEXEXTRACT(A302,""^state\.([^_@]+)"")),
 """"
)"),"")</f>
        <v/>
      </c>
      <c r="E302" s="26" t="b">
        <v>1</v>
      </c>
      <c r="F302" s="26" t="s">
        <v>633</v>
      </c>
      <c r="G302" s="26" t="str">
        <f t="shared" si="1"/>
        <v>Not a building</v>
      </c>
      <c r="H302" s="26" t="str">
        <f t="shared" si="2"/>
        <v>Not a building</v>
      </c>
      <c r="K302" s="66"/>
      <c r="L302" s="66"/>
      <c r="M302" s="67"/>
      <c r="N302" s="67"/>
      <c r="O302" s="66"/>
      <c r="P302" s="66"/>
      <c r="Q302" s="67"/>
      <c r="R302" s="67"/>
      <c r="S302" s="67"/>
      <c r="T302" s="67"/>
      <c r="U302" s="67"/>
    </row>
    <row r="303" ht="15.75" customHeight="1">
      <c r="A303" s="26" t="s">
        <v>1134</v>
      </c>
      <c r="B303" s="26" t="s">
        <v>1224</v>
      </c>
      <c r="C303" s="26" t="s">
        <v>1151</v>
      </c>
      <c r="D303" s="26" t="str">
        <f>IFERROR(__xludf.DUMMYFUNCTION("IF(
 C303=""STATE"",
 UPPER(REGEXEXTRACT(A303,""^state\.([^_@]+)"")),
 """"
)"),"")</f>
        <v/>
      </c>
      <c r="E303" s="26" t="b">
        <v>1</v>
      </c>
      <c r="F303" s="26" t="s">
        <v>633</v>
      </c>
      <c r="G303" s="26" t="str">
        <f t="shared" si="1"/>
        <v>Not a building</v>
      </c>
      <c r="H303" s="26" t="str">
        <f t="shared" si="2"/>
        <v>Not a building</v>
      </c>
      <c r="K303" s="66"/>
      <c r="L303" s="66"/>
      <c r="M303" s="67"/>
      <c r="N303" s="67"/>
      <c r="O303" s="66"/>
      <c r="P303" s="66"/>
      <c r="Q303" s="67"/>
      <c r="R303" s="67"/>
      <c r="S303" s="67"/>
      <c r="T303" s="67"/>
      <c r="U303" s="67"/>
    </row>
    <row r="304" ht="15.75" customHeight="1">
      <c r="A304" s="26" t="s">
        <v>1139</v>
      </c>
      <c r="B304" s="26" t="s">
        <v>1225</v>
      </c>
      <c r="C304" s="26" t="s">
        <v>1151</v>
      </c>
      <c r="D304" s="26" t="str">
        <f>IFERROR(__xludf.DUMMYFUNCTION("IF(
 C304=""STATE"",
 UPPER(REGEXEXTRACT(A304,""^state\.([^_@]+)"")),
 """"
)"),"")</f>
        <v/>
      </c>
      <c r="E304" s="26" t="b">
        <v>1</v>
      </c>
      <c r="F304" s="26" t="s">
        <v>633</v>
      </c>
      <c r="G304" s="26" t="str">
        <f t="shared" si="1"/>
        <v>Not a building</v>
      </c>
      <c r="H304" s="26" t="str">
        <f t="shared" si="2"/>
        <v>Not a building</v>
      </c>
      <c r="K304" s="66"/>
      <c r="L304" s="66"/>
      <c r="M304" s="67"/>
      <c r="N304" s="67"/>
      <c r="O304" s="66"/>
      <c r="P304" s="66"/>
      <c r="Q304" s="67"/>
      <c r="R304" s="67"/>
      <c r="S304" s="67"/>
      <c r="T304" s="67"/>
      <c r="U304" s="67"/>
    </row>
    <row r="305" ht="15.75" customHeight="1">
      <c r="A305" s="26" t="s">
        <v>1144</v>
      </c>
      <c r="B305" s="26" t="s">
        <v>1227</v>
      </c>
      <c r="C305" s="26" t="s">
        <v>1151</v>
      </c>
      <c r="D305" s="26" t="str">
        <f>IFERROR(__xludf.DUMMYFUNCTION("IF(
 C305=""STATE"",
 UPPER(REGEXEXTRACT(A305,""^state\.([^_@]+)"")),
 """"
)"),"")</f>
        <v/>
      </c>
      <c r="E305" s="26" t="b">
        <v>1</v>
      </c>
      <c r="F305" s="26" t="s">
        <v>633</v>
      </c>
      <c r="G305" s="26" t="str">
        <f t="shared" si="1"/>
        <v>Not a building</v>
      </c>
      <c r="H305" s="26" t="str">
        <f t="shared" si="2"/>
        <v>Not a building</v>
      </c>
      <c r="K305" s="66"/>
      <c r="L305" s="66"/>
      <c r="M305" s="67"/>
      <c r="N305" s="67"/>
      <c r="O305" s="66"/>
      <c r="P305" s="66"/>
      <c r="Q305" s="67"/>
      <c r="R305" s="67"/>
      <c r="S305" s="67"/>
      <c r="T305" s="67"/>
      <c r="U305" s="67"/>
    </row>
    <row r="306" ht="15.75" customHeight="1">
      <c r="A306" s="26" t="s">
        <v>1149</v>
      </c>
      <c r="B306" s="26" t="s">
        <v>1229</v>
      </c>
      <c r="C306" s="26" t="s">
        <v>1151</v>
      </c>
      <c r="D306" s="26" t="str">
        <f>IFERROR(__xludf.DUMMYFUNCTION("IF(
 C306=""STATE"",
 UPPER(REGEXEXTRACT(A306,""^state\.([^_@]+)"")),
 """"
)"),"")</f>
        <v/>
      </c>
      <c r="E306" s="26" t="b">
        <v>1</v>
      </c>
      <c r="F306" s="26" t="s">
        <v>633</v>
      </c>
      <c r="G306" s="26" t="str">
        <f t="shared" si="1"/>
        <v>Not a building</v>
      </c>
      <c r="H306" s="26" t="str">
        <f t="shared" si="2"/>
        <v>Not a building</v>
      </c>
      <c r="K306" s="66"/>
      <c r="L306" s="66"/>
      <c r="M306" s="67"/>
      <c r="N306" s="67"/>
      <c r="O306" s="66"/>
      <c r="P306" s="66"/>
      <c r="Q306" s="67"/>
      <c r="R306" s="67"/>
      <c r="S306" s="67"/>
      <c r="T306" s="67"/>
      <c r="U306" s="67"/>
    </row>
    <row r="307" ht="15.75" customHeight="1">
      <c r="A307" s="26" t="s">
        <v>1155</v>
      </c>
      <c r="B307" s="26" t="s">
        <v>1231</v>
      </c>
      <c r="C307" s="26" t="s">
        <v>1151</v>
      </c>
      <c r="D307" s="26" t="str">
        <f>IFERROR(__xludf.DUMMYFUNCTION("IF(
 C307=""STATE"",
 UPPER(REGEXEXTRACT(A307,""^state\.([^_@]+)"")),
 """"
)"),"")</f>
        <v/>
      </c>
      <c r="E307" s="26" t="b">
        <v>1</v>
      </c>
      <c r="F307" s="26" t="s">
        <v>633</v>
      </c>
      <c r="G307" s="26" t="str">
        <f t="shared" si="1"/>
        <v>Not a building</v>
      </c>
      <c r="H307" s="26" t="str">
        <f t="shared" si="2"/>
        <v>Not a building</v>
      </c>
      <c r="K307" s="66"/>
      <c r="L307" s="66"/>
      <c r="M307" s="67"/>
      <c r="N307" s="67"/>
      <c r="O307" s="66"/>
      <c r="P307" s="66"/>
      <c r="Q307" s="67"/>
      <c r="R307" s="67"/>
      <c r="S307" s="67"/>
      <c r="T307" s="67"/>
      <c r="U307" s="67"/>
    </row>
    <row r="308" ht="15.75" customHeight="1">
      <c r="A308" s="26" t="s">
        <v>1160</v>
      </c>
      <c r="B308" s="26" t="s">
        <v>1232</v>
      </c>
      <c r="C308" s="26" t="s">
        <v>1151</v>
      </c>
      <c r="D308" s="26" t="str">
        <f>IFERROR(__xludf.DUMMYFUNCTION("IF(
 C308=""STATE"",
 UPPER(REGEXEXTRACT(A308,""^state\.([^_@]+)"")),
 """"
)"),"")</f>
        <v/>
      </c>
      <c r="E308" s="26" t="b">
        <v>1</v>
      </c>
      <c r="F308" s="26" t="s">
        <v>633</v>
      </c>
      <c r="G308" s="26" t="str">
        <f t="shared" si="1"/>
        <v>Not a building</v>
      </c>
      <c r="H308" s="26" t="str">
        <f t="shared" si="2"/>
        <v>Not a building</v>
      </c>
      <c r="K308" s="66"/>
      <c r="L308" s="66"/>
      <c r="M308" s="67"/>
      <c r="N308" s="67"/>
      <c r="O308" s="66"/>
      <c r="P308" s="66"/>
      <c r="Q308" s="67"/>
      <c r="R308" s="67"/>
      <c r="S308" s="67"/>
      <c r="T308" s="67"/>
      <c r="U308" s="67"/>
    </row>
    <row r="309" ht="15.75" customHeight="1">
      <c r="A309" s="26" t="s">
        <v>1165</v>
      </c>
      <c r="B309" s="26" t="s">
        <v>1233</v>
      </c>
      <c r="C309" s="26" t="s">
        <v>1151</v>
      </c>
      <c r="D309" s="26" t="str">
        <f>IFERROR(__xludf.DUMMYFUNCTION("IF(
 C309=""STATE"",
 UPPER(REGEXEXTRACT(A309,""^state\.([^_@]+)"")),
 """"
)"),"")</f>
        <v/>
      </c>
      <c r="E309" s="26" t="b">
        <v>1</v>
      </c>
      <c r="F309" s="26" t="s">
        <v>633</v>
      </c>
      <c r="G309" s="26" t="str">
        <f t="shared" si="1"/>
        <v>Not a building</v>
      </c>
      <c r="H309" s="26" t="str">
        <f t="shared" si="2"/>
        <v>Not a building</v>
      </c>
      <c r="K309" s="66"/>
      <c r="L309" s="66"/>
      <c r="M309" s="67"/>
      <c r="N309" s="67"/>
      <c r="O309" s="66"/>
      <c r="P309" s="66"/>
      <c r="Q309" s="67"/>
      <c r="R309" s="67"/>
      <c r="S309" s="67"/>
      <c r="T309" s="67"/>
      <c r="U309" s="67"/>
    </row>
    <row r="310" ht="15.75" customHeight="1">
      <c r="A310" s="26" t="s">
        <v>1169</v>
      </c>
      <c r="B310" s="26" t="s">
        <v>1235</v>
      </c>
      <c r="C310" s="26" t="s">
        <v>1151</v>
      </c>
      <c r="D310" s="26" t="str">
        <f>IFERROR(__xludf.DUMMYFUNCTION("IF(
 C310=""STATE"",
 UPPER(REGEXEXTRACT(A310,""^state\.([^_@]+)"")),
 """"
)"),"")</f>
        <v/>
      </c>
      <c r="E310" s="26" t="b">
        <v>1</v>
      </c>
      <c r="F310" s="26" t="s">
        <v>633</v>
      </c>
      <c r="G310" s="26" t="str">
        <f t="shared" si="1"/>
        <v>Not a building</v>
      </c>
      <c r="H310" s="26" t="str">
        <f t="shared" si="2"/>
        <v>Not a building</v>
      </c>
      <c r="K310" s="66"/>
      <c r="L310" s="66"/>
      <c r="M310" s="67"/>
      <c r="N310" s="67"/>
      <c r="O310" s="66"/>
      <c r="P310" s="66"/>
      <c r="Q310" s="67"/>
      <c r="R310" s="67"/>
      <c r="S310" s="67"/>
      <c r="T310" s="67"/>
      <c r="U310" s="67"/>
    </row>
    <row r="311" ht="15.75" customHeight="1">
      <c r="A311" s="26" t="s">
        <v>1175</v>
      </c>
      <c r="B311" s="26" t="s">
        <v>1237</v>
      </c>
      <c r="C311" s="26" t="s">
        <v>1151</v>
      </c>
      <c r="D311" s="26" t="str">
        <f>IFERROR(__xludf.DUMMYFUNCTION("IF(
 C311=""STATE"",
 UPPER(REGEXEXTRACT(A311,""^state\.([^_@]+)"")),
 """"
)"),"")</f>
        <v/>
      </c>
      <c r="E311" s="26" t="b">
        <v>1</v>
      </c>
      <c r="F311" s="26" t="s">
        <v>633</v>
      </c>
      <c r="G311" s="26" t="str">
        <f t="shared" si="1"/>
        <v>Not a building</v>
      </c>
      <c r="H311" s="26" t="str">
        <f t="shared" si="2"/>
        <v>Not a building</v>
      </c>
      <c r="K311" s="66"/>
      <c r="L311" s="66"/>
      <c r="M311" s="67"/>
      <c r="N311" s="67"/>
      <c r="O311" s="66"/>
      <c r="P311" s="66"/>
      <c r="Q311" s="67"/>
      <c r="R311" s="67"/>
      <c r="S311" s="67"/>
      <c r="T311" s="67"/>
      <c r="U311" s="67"/>
    </row>
    <row r="312" ht="15.75" customHeight="1">
      <c r="A312" s="26" t="s">
        <v>1180</v>
      </c>
      <c r="B312" s="26" t="s">
        <v>1238</v>
      </c>
      <c r="C312" s="26" t="s">
        <v>1151</v>
      </c>
      <c r="D312" s="26" t="str">
        <f>IFERROR(__xludf.DUMMYFUNCTION("IF(
 C312=""STATE"",
 UPPER(REGEXEXTRACT(A312,""^state\.([^_@]+)"")),
 """"
)"),"")</f>
        <v/>
      </c>
      <c r="E312" s="26" t="b">
        <v>1</v>
      </c>
      <c r="F312" s="26" t="s">
        <v>633</v>
      </c>
      <c r="G312" s="26" t="str">
        <f t="shared" si="1"/>
        <v>Not a building</v>
      </c>
      <c r="H312" s="26" t="str">
        <f t="shared" si="2"/>
        <v>Not a building</v>
      </c>
      <c r="K312" s="66"/>
      <c r="L312" s="66"/>
      <c r="M312" s="67"/>
      <c r="N312" s="67"/>
      <c r="O312" s="66"/>
      <c r="P312" s="66"/>
      <c r="Q312" s="67"/>
      <c r="R312" s="67"/>
      <c r="S312" s="67"/>
      <c r="T312" s="67"/>
      <c r="U312" s="67"/>
    </row>
    <row r="313" ht="15.75" customHeight="1">
      <c r="A313" s="26" t="s">
        <v>1185</v>
      </c>
      <c r="B313" s="26" t="s">
        <v>1239</v>
      </c>
      <c r="C313" s="26" t="s">
        <v>1151</v>
      </c>
      <c r="D313" s="26" t="str">
        <f>IFERROR(__xludf.DUMMYFUNCTION("IF(
 C313=""STATE"",
 UPPER(REGEXEXTRACT(A313,""^state\.([^_@]+)"")),
 """"
)"),"")</f>
        <v/>
      </c>
      <c r="E313" s="26" t="b">
        <v>1</v>
      </c>
      <c r="F313" s="26" t="s">
        <v>633</v>
      </c>
      <c r="G313" s="26" t="str">
        <f t="shared" si="1"/>
        <v>Not a building</v>
      </c>
      <c r="H313" s="26" t="str">
        <f t="shared" si="2"/>
        <v>Not a building</v>
      </c>
      <c r="K313" s="66"/>
      <c r="L313" s="66"/>
      <c r="M313" s="67"/>
      <c r="N313" s="67"/>
      <c r="O313" s="66"/>
      <c r="P313" s="66"/>
      <c r="Q313" s="67"/>
      <c r="R313" s="67"/>
      <c r="S313" s="67"/>
      <c r="T313" s="67"/>
      <c r="U313" s="67"/>
    </row>
    <row r="314" ht="15.75" customHeight="1">
      <c r="A314" s="26" t="s">
        <v>1191</v>
      </c>
      <c r="B314" s="26" t="s">
        <v>1240</v>
      </c>
      <c r="C314" s="26" t="s">
        <v>1151</v>
      </c>
      <c r="D314" s="26" t="str">
        <f>IFERROR(__xludf.DUMMYFUNCTION("IF(
 C314=""STATE"",
 UPPER(REGEXEXTRACT(A314,""^state\.([^_@]+)"")),
 """"
)"),"")</f>
        <v/>
      </c>
      <c r="E314" s="26" t="b">
        <v>1</v>
      </c>
      <c r="F314" s="26" t="s">
        <v>633</v>
      </c>
      <c r="G314" s="26" t="str">
        <f t="shared" si="1"/>
        <v>Not a building</v>
      </c>
      <c r="H314" s="26" t="str">
        <f t="shared" si="2"/>
        <v>Not a building</v>
      </c>
      <c r="K314" s="66"/>
      <c r="L314" s="66"/>
      <c r="M314" s="67"/>
      <c r="N314" s="67"/>
      <c r="O314" s="66"/>
      <c r="P314" s="66"/>
      <c r="Q314" s="67"/>
      <c r="R314" s="67"/>
      <c r="S314" s="67"/>
      <c r="T314" s="67"/>
      <c r="U314" s="67"/>
    </row>
    <row r="315" ht="15.75" customHeight="1">
      <c r="A315" s="26" t="s">
        <v>1195</v>
      </c>
      <c r="B315" s="26" t="s">
        <v>1242</v>
      </c>
      <c r="C315" s="26" t="s">
        <v>1151</v>
      </c>
      <c r="D315" s="26" t="str">
        <f>IFERROR(__xludf.DUMMYFUNCTION("IF(
 C315=""STATE"",
 UPPER(REGEXEXTRACT(A315,""^state\.([^_@]+)"")),
 """"
)"),"")</f>
        <v/>
      </c>
      <c r="E315" s="26" t="b">
        <v>1</v>
      </c>
      <c r="F315" s="26" t="s">
        <v>633</v>
      </c>
      <c r="G315" s="26" t="str">
        <f t="shared" si="1"/>
        <v>Not a building</v>
      </c>
      <c r="H315" s="26" t="str">
        <f t="shared" si="2"/>
        <v>Not a building</v>
      </c>
      <c r="K315" s="66"/>
      <c r="L315" s="66"/>
      <c r="M315" s="67"/>
      <c r="N315" s="67"/>
      <c r="O315" s="66"/>
      <c r="P315" s="66"/>
      <c r="Q315" s="67"/>
      <c r="R315" s="67"/>
      <c r="S315" s="67"/>
      <c r="T315" s="67"/>
      <c r="U315" s="67"/>
    </row>
    <row r="316" ht="15.75" customHeight="1">
      <c r="A316" s="26" t="s">
        <v>1200</v>
      </c>
      <c r="B316" s="26" t="s">
        <v>1243</v>
      </c>
      <c r="C316" s="26" t="s">
        <v>1151</v>
      </c>
      <c r="D316" s="26" t="str">
        <f>IFERROR(__xludf.DUMMYFUNCTION("IF(
 C316=""STATE"",
 UPPER(REGEXEXTRACT(A316,""^state\.([^_@]+)"")),
 """"
)"),"")</f>
        <v/>
      </c>
      <c r="E316" s="26" t="b">
        <v>1</v>
      </c>
      <c r="F316" s="26" t="s">
        <v>633</v>
      </c>
      <c r="G316" s="26" t="str">
        <f t="shared" si="1"/>
        <v>Not a building</v>
      </c>
      <c r="H316" s="26" t="str">
        <f t="shared" si="2"/>
        <v>Not a building</v>
      </c>
      <c r="K316" s="66"/>
      <c r="L316" s="66"/>
      <c r="M316" s="67"/>
      <c r="N316" s="67"/>
      <c r="O316" s="66"/>
      <c r="P316" s="66"/>
      <c r="Q316" s="67"/>
      <c r="R316" s="67"/>
      <c r="S316" s="67"/>
      <c r="T316" s="67"/>
      <c r="U316" s="67"/>
    </row>
    <row r="317" ht="15.75" customHeight="1">
      <c r="A317" s="26" t="s">
        <v>1207</v>
      </c>
      <c r="B317" s="26" t="s">
        <v>1245</v>
      </c>
      <c r="C317" s="26" t="s">
        <v>1151</v>
      </c>
      <c r="D317" s="26" t="str">
        <f>IFERROR(__xludf.DUMMYFUNCTION("IF(
 C317=""STATE"",
 UPPER(REGEXEXTRACT(A317,""^state\.([^_@]+)"")),
 """"
)"),"")</f>
        <v/>
      </c>
      <c r="E317" s="26" t="b">
        <v>1</v>
      </c>
      <c r="F317" s="26" t="s">
        <v>633</v>
      </c>
      <c r="G317" s="26" t="str">
        <f t="shared" si="1"/>
        <v>Not a building</v>
      </c>
      <c r="H317" s="26" t="str">
        <f t="shared" si="2"/>
        <v>Not a building</v>
      </c>
      <c r="K317" s="66"/>
      <c r="L317" s="66"/>
      <c r="M317" s="67"/>
      <c r="N317" s="67"/>
      <c r="O317" s="66"/>
      <c r="P317" s="66"/>
      <c r="Q317" s="67"/>
      <c r="R317" s="67"/>
      <c r="S317" s="67"/>
      <c r="T317" s="67"/>
      <c r="U317" s="67"/>
    </row>
    <row r="318" ht="15.75" customHeight="1">
      <c r="A318" s="26" t="s">
        <v>1214</v>
      </c>
      <c r="B318" s="26" t="s">
        <v>1246</v>
      </c>
      <c r="C318" s="26" t="s">
        <v>1151</v>
      </c>
      <c r="D318" s="26" t="str">
        <f>IFERROR(__xludf.DUMMYFUNCTION("IF(
 C318=""STATE"",
 UPPER(REGEXEXTRACT(A318,""^state\.([^_@]+)"")),
 """"
)"),"")</f>
        <v/>
      </c>
      <c r="E318" s="26" t="b">
        <v>1</v>
      </c>
      <c r="F318" s="26" t="s">
        <v>633</v>
      </c>
      <c r="G318" s="26" t="str">
        <f t="shared" si="1"/>
        <v>Not a building</v>
      </c>
      <c r="H318" s="26" t="str">
        <f t="shared" si="2"/>
        <v>Not a building</v>
      </c>
      <c r="K318" s="66"/>
      <c r="L318" s="66"/>
      <c r="M318" s="67"/>
      <c r="N318" s="67"/>
      <c r="O318" s="66"/>
      <c r="P318" s="66"/>
      <c r="Q318" s="67"/>
      <c r="R318" s="67"/>
      <c r="S318" s="67"/>
      <c r="T318" s="67"/>
      <c r="U318" s="67"/>
    </row>
    <row r="319" ht="15.75" customHeight="1">
      <c r="A319" s="26" t="s">
        <v>1221</v>
      </c>
      <c r="B319" s="26" t="s">
        <v>1247</v>
      </c>
      <c r="C319" s="26" t="s">
        <v>1151</v>
      </c>
      <c r="D319" s="26" t="str">
        <f>IFERROR(__xludf.DUMMYFUNCTION("IF(
 C319=""STATE"",
 UPPER(REGEXEXTRACT(A319,""^state\.([^_@]+)"")),
 """"
)"),"")</f>
        <v/>
      </c>
      <c r="E319" s="26" t="b">
        <v>1</v>
      </c>
      <c r="F319" s="26" t="s">
        <v>633</v>
      </c>
      <c r="G319" s="26" t="str">
        <f t="shared" si="1"/>
        <v>Not a building</v>
      </c>
      <c r="H319" s="26" t="str">
        <f t="shared" si="2"/>
        <v>Not a building</v>
      </c>
      <c r="K319" s="66"/>
      <c r="L319" s="66"/>
      <c r="M319" s="67"/>
      <c r="N319" s="67"/>
      <c r="O319" s="66"/>
      <c r="P319" s="66"/>
      <c r="Q319" s="67"/>
      <c r="R319" s="67"/>
      <c r="S319" s="67"/>
      <c r="T319" s="67"/>
      <c r="U319" s="67"/>
    </row>
    <row r="320" ht="15.75" customHeight="1">
      <c r="A320" s="26" t="s">
        <v>1228</v>
      </c>
      <c r="B320" s="26" t="s">
        <v>1249</v>
      </c>
      <c r="C320" s="26" t="s">
        <v>1151</v>
      </c>
      <c r="D320" s="26" t="str">
        <f>IFERROR(__xludf.DUMMYFUNCTION("IF(
 C320=""STATE"",
 UPPER(REGEXEXTRACT(A320,""^state\.([^_@]+)"")),
 """"
)"),"")</f>
        <v/>
      </c>
      <c r="E320" s="26" t="b">
        <v>1</v>
      </c>
      <c r="F320" s="26" t="s">
        <v>633</v>
      </c>
      <c r="G320" s="26" t="str">
        <f t="shared" si="1"/>
        <v>Not a building</v>
      </c>
      <c r="H320" s="26" t="str">
        <f t="shared" si="2"/>
        <v>Not a building</v>
      </c>
      <c r="K320" s="66"/>
      <c r="L320" s="66"/>
      <c r="M320" s="67"/>
      <c r="N320" s="67"/>
      <c r="O320" s="66"/>
      <c r="P320" s="66"/>
      <c r="Q320" s="67"/>
      <c r="R320" s="67"/>
      <c r="S320" s="67"/>
      <c r="T320" s="67"/>
      <c r="U320" s="67"/>
    </row>
    <row r="321" ht="15.75" customHeight="1">
      <c r="A321" s="26" t="s">
        <v>1234</v>
      </c>
      <c r="B321" s="26" t="s">
        <v>1250</v>
      </c>
      <c r="C321" s="26" t="s">
        <v>1151</v>
      </c>
      <c r="D321" s="26" t="str">
        <f>IFERROR(__xludf.DUMMYFUNCTION("IF(
 C321=""STATE"",
 UPPER(REGEXEXTRACT(A321,""^state\.([^_@]+)"")),
 """"
)"),"")</f>
        <v/>
      </c>
      <c r="E321" s="26" t="b">
        <v>1</v>
      </c>
      <c r="F321" s="26" t="s">
        <v>633</v>
      </c>
      <c r="G321" s="26" t="str">
        <f t="shared" si="1"/>
        <v>Not a building</v>
      </c>
      <c r="H321" s="26" t="str">
        <f t="shared" si="2"/>
        <v>Not a building</v>
      </c>
      <c r="K321" s="66"/>
      <c r="L321" s="66"/>
      <c r="M321" s="67"/>
      <c r="N321" s="67"/>
      <c r="O321" s="66"/>
      <c r="P321" s="66"/>
      <c r="Q321" s="67"/>
      <c r="R321" s="67"/>
      <c r="S321" s="67"/>
      <c r="T321" s="67"/>
      <c r="U321" s="67"/>
    </row>
    <row r="322" ht="15.75" customHeight="1">
      <c r="A322" s="26" t="s">
        <v>1241</v>
      </c>
      <c r="B322" s="26" t="s">
        <v>1251</v>
      </c>
      <c r="C322" s="26" t="s">
        <v>1151</v>
      </c>
      <c r="D322" s="26" t="str">
        <f>IFERROR(__xludf.DUMMYFUNCTION("IF(
 C322=""STATE"",
 UPPER(REGEXEXTRACT(A322,""^state\.([^_@]+)"")),
 """"
)"),"")</f>
        <v/>
      </c>
      <c r="E322" s="26" t="b">
        <v>1</v>
      </c>
      <c r="F322" s="26" t="s">
        <v>633</v>
      </c>
      <c r="G322" s="26" t="str">
        <f t="shared" si="1"/>
        <v>Not a building</v>
      </c>
      <c r="H322" s="26" t="str">
        <f t="shared" si="2"/>
        <v>Not a building</v>
      </c>
      <c r="K322" s="66"/>
      <c r="L322" s="66"/>
      <c r="M322" s="67"/>
      <c r="N322" s="67"/>
      <c r="O322" s="66"/>
      <c r="P322" s="66"/>
      <c r="Q322" s="67"/>
      <c r="R322" s="67"/>
      <c r="S322" s="67"/>
      <c r="T322" s="67"/>
      <c r="U322" s="67"/>
    </row>
    <row r="323" ht="15.75" customHeight="1">
      <c r="A323" s="26" t="s">
        <v>1248</v>
      </c>
      <c r="B323" s="26" t="s">
        <v>1253</v>
      </c>
      <c r="C323" s="26" t="s">
        <v>1151</v>
      </c>
      <c r="D323" s="26" t="str">
        <f>IFERROR(__xludf.DUMMYFUNCTION("IF(
 C323=""STATE"",
 UPPER(REGEXEXTRACT(A323,""^state\.([^_@]+)"")),
 """"
)"),"")</f>
        <v/>
      </c>
      <c r="E323" s="26" t="b">
        <v>1</v>
      </c>
      <c r="F323" s="26" t="s">
        <v>633</v>
      </c>
      <c r="G323" s="26" t="str">
        <f t="shared" si="1"/>
        <v>Not a building</v>
      </c>
      <c r="H323" s="26" t="str">
        <f t="shared" si="2"/>
        <v>Not a building</v>
      </c>
      <c r="K323" s="66"/>
      <c r="L323" s="66"/>
      <c r="M323" s="67"/>
      <c r="N323" s="67"/>
      <c r="O323" s="66"/>
      <c r="P323" s="66"/>
      <c r="Q323" s="67"/>
      <c r="R323" s="67"/>
      <c r="S323" s="67"/>
      <c r="T323" s="67"/>
      <c r="U323" s="67"/>
    </row>
    <row r="324" ht="15.75" customHeight="1">
      <c r="A324" s="26" t="s">
        <v>1254</v>
      </c>
      <c r="B324" s="26" t="s">
        <v>1255</v>
      </c>
      <c r="C324" s="26" t="s">
        <v>1151</v>
      </c>
      <c r="D324" s="26" t="str">
        <f>IFERROR(__xludf.DUMMYFUNCTION("IF(
 C324=""STATE"",
 UPPER(REGEXEXTRACT(A324,""^state\.([^_@]+)"")),
 """"
)"),"")</f>
        <v/>
      </c>
      <c r="E324" s="26" t="b">
        <v>1</v>
      </c>
      <c r="F324" s="26" t="s">
        <v>633</v>
      </c>
      <c r="G324" s="26" t="str">
        <f t="shared" si="1"/>
        <v>Not a building</v>
      </c>
      <c r="H324" s="26" t="str">
        <f t="shared" si="2"/>
        <v>Not a building</v>
      </c>
      <c r="K324" s="66"/>
      <c r="L324" s="66"/>
      <c r="M324" s="67"/>
      <c r="N324" s="67"/>
      <c r="O324" s="66"/>
      <c r="P324" s="66"/>
      <c r="Q324" s="67"/>
      <c r="R324" s="67"/>
      <c r="S324" s="67"/>
      <c r="T324" s="67"/>
      <c r="U324" s="67"/>
    </row>
    <row r="325" ht="15.75" customHeight="1">
      <c r="A325" s="26" t="s">
        <v>1256</v>
      </c>
      <c r="B325" s="26" t="s">
        <v>1257</v>
      </c>
      <c r="C325" s="26" t="s">
        <v>1151</v>
      </c>
      <c r="D325" s="26" t="str">
        <f>IFERROR(__xludf.DUMMYFUNCTION("IF(
 C325=""STATE"",
 UPPER(REGEXEXTRACT(A325,""^state\.([^_@]+)"")),
 """"
)"),"")</f>
        <v/>
      </c>
      <c r="E325" s="26" t="b">
        <v>1</v>
      </c>
      <c r="F325" s="26" t="s">
        <v>633</v>
      </c>
      <c r="G325" s="26" t="str">
        <f t="shared" si="1"/>
        <v>Not a building</v>
      </c>
      <c r="H325" s="26" t="str">
        <f t="shared" si="2"/>
        <v>Not a building</v>
      </c>
      <c r="K325" s="66"/>
      <c r="L325" s="66"/>
      <c r="M325" s="67"/>
      <c r="N325" s="67"/>
      <c r="O325" s="66"/>
      <c r="P325" s="66"/>
      <c r="Q325" s="67"/>
      <c r="R325" s="67"/>
      <c r="S325" s="67"/>
      <c r="T325" s="67"/>
      <c r="U325" s="67"/>
    </row>
    <row r="326" ht="15.75" customHeight="1">
      <c r="A326" s="26" t="s">
        <v>1258</v>
      </c>
      <c r="B326" s="26" t="s">
        <v>1259</v>
      </c>
      <c r="C326" s="26" t="s">
        <v>1151</v>
      </c>
      <c r="D326" s="26" t="str">
        <f>IFERROR(__xludf.DUMMYFUNCTION("IF(
 C326=""STATE"",
 UPPER(REGEXEXTRACT(A326,""^state\.([^_@]+)"")),
 """"
)"),"")</f>
        <v/>
      </c>
      <c r="E326" s="26" t="b">
        <v>1</v>
      </c>
      <c r="F326" s="26" t="s">
        <v>633</v>
      </c>
      <c r="G326" s="26" t="str">
        <f t="shared" si="1"/>
        <v>Not a building</v>
      </c>
      <c r="H326" s="26" t="str">
        <f t="shared" si="2"/>
        <v>Not a building</v>
      </c>
      <c r="K326" s="66"/>
      <c r="L326" s="66"/>
      <c r="M326" s="67"/>
      <c r="N326" s="67"/>
      <c r="O326" s="66"/>
      <c r="P326" s="66"/>
      <c r="Q326" s="67"/>
      <c r="R326" s="67"/>
      <c r="S326" s="67"/>
      <c r="T326" s="67"/>
      <c r="U326" s="67"/>
    </row>
    <row r="327" ht="15.75" customHeight="1">
      <c r="A327" s="26" t="s">
        <v>1260</v>
      </c>
      <c r="B327" s="26" t="s">
        <v>1261</v>
      </c>
      <c r="C327" s="26" t="s">
        <v>1151</v>
      </c>
      <c r="D327" s="26" t="str">
        <f>IFERROR(__xludf.DUMMYFUNCTION("IF(
 C327=""STATE"",
 UPPER(REGEXEXTRACT(A327,""^state\.([^_@]+)"")),
 """"
)"),"")</f>
        <v/>
      </c>
      <c r="E327" s="26" t="b">
        <v>1</v>
      </c>
      <c r="F327" s="26" t="s">
        <v>633</v>
      </c>
      <c r="G327" s="26" t="str">
        <f t="shared" si="1"/>
        <v>Not a building</v>
      </c>
      <c r="H327" s="26" t="str">
        <f t="shared" si="2"/>
        <v>Not a building</v>
      </c>
      <c r="K327" s="66"/>
      <c r="L327" s="66"/>
      <c r="M327" s="67"/>
      <c r="N327" s="67"/>
      <c r="O327" s="66"/>
      <c r="P327" s="66"/>
      <c r="Q327" s="67"/>
      <c r="R327" s="67"/>
      <c r="S327" s="67"/>
      <c r="T327" s="67"/>
      <c r="U327" s="67"/>
    </row>
    <row r="328" ht="15.75" customHeight="1">
      <c r="A328" s="26" t="s">
        <v>1262</v>
      </c>
      <c r="B328" s="26" t="s">
        <v>1263</v>
      </c>
      <c r="C328" s="26" t="s">
        <v>1151</v>
      </c>
      <c r="D328" s="26" t="str">
        <f>IFERROR(__xludf.DUMMYFUNCTION("IF(
 C328=""STATE"",
 UPPER(REGEXEXTRACT(A328,""^state\.([^_@]+)"")),
 """"
)"),"")</f>
        <v/>
      </c>
      <c r="E328" s="26" t="b">
        <v>1</v>
      </c>
      <c r="F328" s="26" t="s">
        <v>633</v>
      </c>
      <c r="G328" s="26" t="str">
        <f t="shared" si="1"/>
        <v>Not a building</v>
      </c>
      <c r="H328" s="26" t="str">
        <f t="shared" si="2"/>
        <v>Not a building</v>
      </c>
      <c r="K328" s="66"/>
      <c r="L328" s="66"/>
      <c r="M328" s="67"/>
      <c r="N328" s="67"/>
      <c r="O328" s="66"/>
      <c r="P328" s="66"/>
      <c r="Q328" s="67"/>
      <c r="R328" s="67"/>
      <c r="S328" s="67"/>
      <c r="T328" s="67"/>
      <c r="U328" s="67"/>
    </row>
    <row r="329" ht="15.75" customHeight="1">
      <c r="A329" s="26" t="s">
        <v>1264</v>
      </c>
      <c r="B329" s="26" t="s">
        <v>1265</v>
      </c>
      <c r="C329" s="26" t="s">
        <v>1151</v>
      </c>
      <c r="D329" s="26" t="str">
        <f>IFERROR(__xludf.DUMMYFUNCTION("IF(
 C329=""STATE"",
 UPPER(REGEXEXTRACT(A329,""^state\.([^_@]+)"")),
 """"
)"),"")</f>
        <v/>
      </c>
      <c r="E329" s="26" t="b">
        <v>1</v>
      </c>
      <c r="F329" s="26" t="s">
        <v>633</v>
      </c>
      <c r="G329" s="26" t="str">
        <f t="shared" si="1"/>
        <v>Not a building</v>
      </c>
      <c r="H329" s="26" t="str">
        <f t="shared" si="2"/>
        <v>Not a building</v>
      </c>
      <c r="K329" s="66"/>
      <c r="L329" s="66"/>
      <c r="M329" s="67"/>
      <c r="N329" s="67"/>
      <c r="O329" s="66"/>
      <c r="P329" s="66"/>
      <c r="Q329" s="67"/>
      <c r="R329" s="67"/>
      <c r="S329" s="67"/>
      <c r="T329" s="67"/>
      <c r="U329" s="67"/>
    </row>
    <row r="330" ht="15.75" customHeight="1">
      <c r="A330" s="26" t="s">
        <v>1267</v>
      </c>
      <c r="B330" s="26" t="s">
        <v>1268</v>
      </c>
      <c r="C330" s="26" t="s">
        <v>1151</v>
      </c>
      <c r="D330" s="26" t="str">
        <f>IFERROR(__xludf.DUMMYFUNCTION("IF(
 C330=""STATE"",
 UPPER(REGEXEXTRACT(A330,""^state\.([^_@]+)"")),
 """"
)"),"")</f>
        <v/>
      </c>
      <c r="E330" s="26" t="b">
        <v>1</v>
      </c>
      <c r="F330" s="26" t="s">
        <v>633</v>
      </c>
      <c r="G330" s="26" t="str">
        <f t="shared" si="1"/>
        <v>Not a building</v>
      </c>
      <c r="H330" s="26" t="str">
        <f t="shared" si="2"/>
        <v>Not a building</v>
      </c>
      <c r="K330" s="66"/>
      <c r="L330" s="66"/>
      <c r="M330" s="67"/>
      <c r="N330" s="67"/>
      <c r="O330" s="66"/>
      <c r="P330" s="66"/>
      <c r="Q330" s="67"/>
      <c r="R330" s="67"/>
      <c r="S330" s="67"/>
      <c r="T330" s="67"/>
      <c r="U330" s="67"/>
    </row>
    <row r="331" ht="15.75" customHeight="1">
      <c r="A331" s="26" t="s">
        <v>1269</v>
      </c>
      <c r="B331" s="26" t="s">
        <v>1270</v>
      </c>
      <c r="C331" s="26" t="s">
        <v>1151</v>
      </c>
      <c r="D331" s="26" t="str">
        <f>IFERROR(__xludf.DUMMYFUNCTION("IF(
 C331=""STATE"",
 UPPER(REGEXEXTRACT(A331,""^state\.([^_@]+)"")),
 """"
)"),"")</f>
        <v/>
      </c>
      <c r="E331" s="26" t="b">
        <v>1</v>
      </c>
      <c r="F331" s="26" t="s">
        <v>633</v>
      </c>
      <c r="G331" s="26" t="str">
        <f t="shared" si="1"/>
        <v>Not a building</v>
      </c>
      <c r="H331" s="26" t="str">
        <f t="shared" si="2"/>
        <v>Not a building</v>
      </c>
      <c r="K331" s="66"/>
      <c r="L331" s="66"/>
      <c r="M331" s="67"/>
      <c r="N331" s="67"/>
      <c r="O331" s="66"/>
      <c r="P331" s="66"/>
      <c r="Q331" s="67"/>
      <c r="R331" s="67"/>
      <c r="S331" s="67"/>
      <c r="T331" s="67"/>
      <c r="U331" s="67"/>
    </row>
    <row r="332" ht="15.75" customHeight="1">
      <c r="A332" s="26" t="s">
        <v>1271</v>
      </c>
      <c r="B332" s="26" t="s">
        <v>1272</v>
      </c>
      <c r="C332" s="26" t="s">
        <v>1151</v>
      </c>
      <c r="D332" s="26" t="str">
        <f>IFERROR(__xludf.DUMMYFUNCTION("IF(
 C332=""STATE"",
 UPPER(REGEXEXTRACT(A332,""^state\.([^_@]+)"")),
 """"
)"),"")</f>
        <v/>
      </c>
      <c r="E332" s="26" t="b">
        <v>1</v>
      </c>
      <c r="F332" s="26" t="s">
        <v>633</v>
      </c>
      <c r="G332" s="26" t="str">
        <f t="shared" si="1"/>
        <v>Not a building</v>
      </c>
      <c r="H332" s="26" t="str">
        <f t="shared" si="2"/>
        <v>Not a building</v>
      </c>
      <c r="K332" s="66"/>
      <c r="L332" s="66"/>
      <c r="M332" s="67"/>
      <c r="N332" s="67"/>
      <c r="O332" s="66"/>
      <c r="P332" s="66"/>
      <c r="Q332" s="67"/>
      <c r="R332" s="67"/>
      <c r="S332" s="67"/>
      <c r="T332" s="67"/>
      <c r="U332" s="67"/>
    </row>
    <row r="333" ht="15.75" customHeight="1">
      <c r="A333" s="26" t="s">
        <v>1273</v>
      </c>
      <c r="B333" s="26" t="s">
        <v>1274</v>
      </c>
      <c r="C333" s="26" t="s">
        <v>1151</v>
      </c>
      <c r="D333" s="26" t="str">
        <f>IFERROR(__xludf.DUMMYFUNCTION("IF(
 C333=""STATE"",
 UPPER(REGEXEXTRACT(A333,""^state\.([^_@]+)"")),
 """"
)"),"")</f>
        <v/>
      </c>
      <c r="E333" s="26" t="b">
        <v>1</v>
      </c>
      <c r="F333" s="26" t="s">
        <v>633</v>
      </c>
      <c r="G333" s="26" t="str">
        <f t="shared" si="1"/>
        <v>Not a building</v>
      </c>
      <c r="H333" s="26" t="str">
        <f t="shared" si="2"/>
        <v>Not a building</v>
      </c>
      <c r="K333" s="66"/>
      <c r="L333" s="66"/>
      <c r="M333" s="67"/>
      <c r="N333" s="67"/>
      <c r="O333" s="66"/>
      <c r="P333" s="66"/>
      <c r="Q333" s="67"/>
      <c r="R333" s="67"/>
      <c r="S333" s="67"/>
      <c r="T333" s="67"/>
      <c r="U333" s="67"/>
    </row>
    <row r="334" ht="15.75" customHeight="1">
      <c r="A334" s="26" t="s">
        <v>1275</v>
      </c>
      <c r="B334" s="26" t="s">
        <v>1276</v>
      </c>
      <c r="C334" s="26" t="s">
        <v>1151</v>
      </c>
      <c r="D334" s="26" t="str">
        <f>IFERROR(__xludf.DUMMYFUNCTION("IF(
 C334=""STATE"",
 UPPER(REGEXEXTRACT(A334,""^state\.([^_@]+)"")),
 """"
)"),"")</f>
        <v/>
      </c>
      <c r="E334" s="26" t="b">
        <v>1</v>
      </c>
      <c r="F334" s="26" t="s">
        <v>633</v>
      </c>
      <c r="G334" s="26" t="str">
        <f t="shared" si="1"/>
        <v>Not a building</v>
      </c>
      <c r="H334" s="26" t="str">
        <f t="shared" si="2"/>
        <v>Not a building</v>
      </c>
      <c r="K334" s="66"/>
      <c r="L334" s="66"/>
      <c r="M334" s="67"/>
      <c r="N334" s="67"/>
      <c r="O334" s="66"/>
      <c r="P334" s="66"/>
      <c r="Q334" s="67"/>
      <c r="R334" s="67"/>
      <c r="S334" s="67"/>
      <c r="T334" s="67"/>
      <c r="U334" s="67"/>
    </row>
    <row r="335" ht="15.75" customHeight="1">
      <c r="A335" s="26" t="s">
        <v>1277</v>
      </c>
      <c r="B335" s="26" t="s">
        <v>1278</v>
      </c>
      <c r="C335" s="26" t="s">
        <v>1151</v>
      </c>
      <c r="D335" s="26" t="str">
        <f>IFERROR(__xludf.DUMMYFUNCTION("IF(
 C335=""STATE"",
 UPPER(REGEXEXTRACT(A335,""^state\.([^_@]+)"")),
 """"
)"),"")</f>
        <v/>
      </c>
      <c r="E335" s="26" t="b">
        <v>1</v>
      </c>
      <c r="F335" s="26" t="s">
        <v>633</v>
      </c>
      <c r="G335" s="26" t="str">
        <f t="shared" si="1"/>
        <v>Not a building</v>
      </c>
      <c r="H335" s="26" t="str">
        <f t="shared" si="2"/>
        <v>Not a building</v>
      </c>
      <c r="K335" s="66"/>
      <c r="L335" s="66"/>
      <c r="M335" s="67"/>
      <c r="N335" s="67"/>
      <c r="O335" s="66"/>
      <c r="P335" s="66"/>
      <c r="Q335" s="67"/>
      <c r="R335" s="67"/>
      <c r="S335" s="67"/>
      <c r="T335" s="67"/>
      <c r="U335" s="67"/>
    </row>
    <row r="336" ht="15.75" customHeight="1">
      <c r="A336" s="26" t="s">
        <v>1280</v>
      </c>
      <c r="B336" s="26" t="s">
        <v>1281</v>
      </c>
      <c r="C336" s="26" t="s">
        <v>1151</v>
      </c>
      <c r="D336" s="26" t="str">
        <f>IFERROR(__xludf.DUMMYFUNCTION("IF(
 C336=""STATE"",
 UPPER(REGEXEXTRACT(A336,""^state\.([^_@]+)"")),
 """"
)"),"")</f>
        <v/>
      </c>
      <c r="E336" s="26" t="b">
        <v>1</v>
      </c>
      <c r="F336" s="26" t="s">
        <v>633</v>
      </c>
      <c r="G336" s="26" t="str">
        <f t="shared" si="1"/>
        <v>Not a building</v>
      </c>
      <c r="H336" s="26" t="str">
        <f t="shared" si="2"/>
        <v>Not a building</v>
      </c>
      <c r="K336" s="66"/>
      <c r="L336" s="66"/>
      <c r="M336" s="67"/>
      <c r="N336" s="67"/>
      <c r="O336" s="66"/>
      <c r="P336" s="66"/>
      <c r="Q336" s="67"/>
      <c r="R336" s="67"/>
      <c r="S336" s="67"/>
      <c r="T336" s="67"/>
      <c r="U336" s="67"/>
    </row>
    <row r="337" ht="15.75" customHeight="1">
      <c r="A337" s="26" t="s">
        <v>1283</v>
      </c>
      <c r="B337" s="26" t="s">
        <v>1284</v>
      </c>
      <c r="C337" s="26" t="s">
        <v>1151</v>
      </c>
      <c r="D337" s="26" t="str">
        <f>IFERROR(__xludf.DUMMYFUNCTION("IF(
 C337=""STATE"",
 UPPER(REGEXEXTRACT(A337,""^state\.([^_@]+)"")),
 """"
)"),"")</f>
        <v/>
      </c>
      <c r="E337" s="26" t="b">
        <v>1</v>
      </c>
      <c r="F337" s="26" t="s">
        <v>633</v>
      </c>
      <c r="G337" s="26" t="str">
        <f t="shared" si="1"/>
        <v>Not a building</v>
      </c>
      <c r="H337" s="26" t="str">
        <f t="shared" si="2"/>
        <v>Not a building</v>
      </c>
      <c r="K337" s="66"/>
      <c r="L337" s="66"/>
      <c r="M337" s="67"/>
      <c r="N337" s="67"/>
      <c r="O337" s="66"/>
      <c r="P337" s="66"/>
      <c r="Q337" s="67"/>
      <c r="R337" s="67"/>
      <c r="S337" s="67"/>
      <c r="T337" s="67"/>
      <c r="U337" s="67"/>
    </row>
    <row r="338" ht="15.75" customHeight="1">
      <c r="A338" s="26" t="s">
        <v>1285</v>
      </c>
      <c r="B338" s="26" t="s">
        <v>1286</v>
      </c>
      <c r="C338" s="26" t="s">
        <v>1151</v>
      </c>
      <c r="D338" s="26" t="str">
        <f>IFERROR(__xludf.DUMMYFUNCTION("IF(
 C338=""STATE"",
 UPPER(REGEXEXTRACT(A338,""^state\.([^_@]+)"")),
 """"
)"),"")</f>
        <v/>
      </c>
      <c r="E338" s="26" t="b">
        <v>1</v>
      </c>
      <c r="F338" s="26" t="s">
        <v>633</v>
      </c>
      <c r="G338" s="26" t="str">
        <f t="shared" si="1"/>
        <v>Not a building</v>
      </c>
      <c r="H338" s="26" t="str">
        <f t="shared" si="2"/>
        <v>Not a building</v>
      </c>
      <c r="K338" s="66"/>
      <c r="L338" s="66"/>
      <c r="M338" s="67"/>
      <c r="N338" s="67"/>
      <c r="O338" s="66"/>
      <c r="P338" s="66"/>
      <c r="Q338" s="67"/>
      <c r="R338" s="67"/>
      <c r="S338" s="67"/>
      <c r="T338" s="67"/>
      <c r="U338" s="67"/>
    </row>
    <row r="339" ht="15.75" customHeight="1">
      <c r="A339" s="26" t="s">
        <v>1287</v>
      </c>
      <c r="B339" s="26" t="s">
        <v>1288</v>
      </c>
      <c r="C339" s="26" t="s">
        <v>1151</v>
      </c>
      <c r="D339" s="26" t="str">
        <f>IFERROR(__xludf.DUMMYFUNCTION("IF(
 C339=""STATE"",
 UPPER(REGEXEXTRACT(A339,""^state\.([^_@]+)"")),
 """"
)"),"")</f>
        <v/>
      </c>
      <c r="E339" s="26" t="b">
        <v>1</v>
      </c>
      <c r="F339" s="26" t="s">
        <v>633</v>
      </c>
      <c r="G339" s="26" t="str">
        <f t="shared" si="1"/>
        <v>Not a building</v>
      </c>
      <c r="H339" s="26" t="str">
        <f t="shared" si="2"/>
        <v>Not a building</v>
      </c>
      <c r="K339" s="66"/>
      <c r="L339" s="66"/>
      <c r="M339" s="67"/>
      <c r="N339" s="67"/>
      <c r="O339" s="66"/>
      <c r="P339" s="66"/>
      <c r="Q339" s="67"/>
      <c r="R339" s="67"/>
      <c r="S339" s="67"/>
      <c r="T339" s="67"/>
      <c r="U339" s="67"/>
    </row>
    <row r="340" ht="15.75" customHeight="1">
      <c r="A340" s="26" t="s">
        <v>1290</v>
      </c>
      <c r="B340" s="26" t="s">
        <v>1291</v>
      </c>
      <c r="C340" s="26" t="s">
        <v>1151</v>
      </c>
      <c r="D340" s="26" t="str">
        <f>IFERROR(__xludf.DUMMYFUNCTION("IF(
 C340=""STATE"",
 UPPER(REGEXEXTRACT(A340,""^state\.([^_@]+)"")),
 """"
)"),"")</f>
        <v/>
      </c>
      <c r="E340" s="26" t="b">
        <v>1</v>
      </c>
      <c r="F340" s="26" t="s">
        <v>633</v>
      </c>
      <c r="G340" s="26" t="str">
        <f t="shared" si="1"/>
        <v>Not a building</v>
      </c>
      <c r="H340" s="26" t="str">
        <f t="shared" si="2"/>
        <v>Not a building</v>
      </c>
      <c r="K340" s="66"/>
      <c r="L340" s="66"/>
      <c r="M340" s="67"/>
      <c r="N340" s="67"/>
      <c r="O340" s="66"/>
      <c r="P340" s="66"/>
      <c r="Q340" s="67"/>
      <c r="R340" s="67"/>
      <c r="S340" s="67"/>
      <c r="T340" s="67"/>
      <c r="U340" s="67"/>
    </row>
    <row r="341" ht="15.75" customHeight="1">
      <c r="A341" s="26" t="s">
        <v>1292</v>
      </c>
      <c r="B341" s="26" t="s">
        <v>1293</v>
      </c>
      <c r="C341" s="26" t="s">
        <v>1151</v>
      </c>
      <c r="D341" s="26" t="str">
        <f>IFERROR(__xludf.DUMMYFUNCTION("IF(
 C341=""STATE"",
 UPPER(REGEXEXTRACT(A341,""^state\.([^_@]+)"")),
 """"
)"),"")</f>
        <v/>
      </c>
      <c r="E341" s="26" t="b">
        <v>1</v>
      </c>
      <c r="F341" s="26" t="s">
        <v>633</v>
      </c>
      <c r="G341" s="26" t="str">
        <f t="shared" si="1"/>
        <v>Not a building</v>
      </c>
      <c r="H341" s="26" t="str">
        <f t="shared" si="2"/>
        <v>Not a building</v>
      </c>
      <c r="K341" s="66"/>
      <c r="L341" s="66"/>
      <c r="M341" s="67"/>
      <c r="N341" s="67"/>
      <c r="O341" s="66"/>
      <c r="P341" s="66"/>
      <c r="Q341" s="67"/>
      <c r="R341" s="67"/>
      <c r="S341" s="67"/>
      <c r="T341" s="67"/>
      <c r="U341" s="67"/>
    </row>
    <row r="342" ht="15.75" customHeight="1">
      <c r="A342" s="26" t="s">
        <v>1294</v>
      </c>
      <c r="B342" s="26" t="s">
        <v>1295</v>
      </c>
      <c r="C342" s="26" t="s">
        <v>1151</v>
      </c>
      <c r="D342" s="26" t="str">
        <f>IFERROR(__xludf.DUMMYFUNCTION("IF(
 C342=""STATE"",
 UPPER(REGEXEXTRACT(A342,""^state\.([^_@]+)"")),
 """"
)"),"")</f>
        <v/>
      </c>
      <c r="E342" s="26" t="b">
        <v>1</v>
      </c>
      <c r="F342" s="26" t="s">
        <v>633</v>
      </c>
      <c r="G342" s="26" t="str">
        <f t="shared" si="1"/>
        <v>Not a building</v>
      </c>
      <c r="H342" s="26" t="str">
        <f t="shared" si="2"/>
        <v>Not a building</v>
      </c>
      <c r="K342" s="66"/>
      <c r="L342" s="66"/>
      <c r="M342" s="67"/>
      <c r="N342" s="67"/>
      <c r="O342" s="66"/>
      <c r="P342" s="66"/>
      <c r="Q342" s="67"/>
      <c r="R342" s="67"/>
      <c r="S342" s="67"/>
      <c r="T342" s="67"/>
      <c r="U342" s="67"/>
    </row>
    <row r="343" ht="15.75" customHeight="1">
      <c r="A343" s="26" t="s">
        <v>1296</v>
      </c>
      <c r="B343" s="26" t="s">
        <v>1297</v>
      </c>
      <c r="C343" s="26" t="s">
        <v>1151</v>
      </c>
      <c r="D343" s="26" t="str">
        <f>IFERROR(__xludf.DUMMYFUNCTION("IF(
 C343=""STATE"",
 UPPER(REGEXEXTRACT(A343,""^state\.([^_@]+)"")),
 """"
)"),"")</f>
        <v/>
      </c>
      <c r="E343" s="26" t="b">
        <v>1</v>
      </c>
      <c r="F343" s="26" t="s">
        <v>633</v>
      </c>
      <c r="G343" s="26" t="str">
        <f t="shared" si="1"/>
        <v>Not a building</v>
      </c>
      <c r="H343" s="26" t="str">
        <f t="shared" si="2"/>
        <v>Not a building</v>
      </c>
      <c r="K343" s="66"/>
      <c r="L343" s="66"/>
      <c r="M343" s="67"/>
      <c r="N343" s="67"/>
      <c r="O343" s="66"/>
      <c r="P343" s="66"/>
      <c r="Q343" s="67"/>
      <c r="R343" s="67"/>
      <c r="S343" s="67"/>
      <c r="T343" s="67"/>
      <c r="U343" s="67"/>
    </row>
    <row r="344" ht="15.75" customHeight="1">
      <c r="A344" s="26" t="s">
        <v>1298</v>
      </c>
      <c r="B344" s="26" t="s">
        <v>1299</v>
      </c>
      <c r="C344" s="26" t="s">
        <v>1151</v>
      </c>
      <c r="D344" s="26" t="str">
        <f>IFERROR(__xludf.DUMMYFUNCTION("IF(
 C344=""STATE"",
 UPPER(REGEXEXTRACT(A344,""^state\.([^_@]+)"")),
 """"
)"),"")</f>
        <v/>
      </c>
      <c r="E344" s="26" t="b">
        <v>1</v>
      </c>
      <c r="F344" s="26" t="s">
        <v>633</v>
      </c>
      <c r="G344" s="26" t="str">
        <f t="shared" si="1"/>
        <v>Not a building</v>
      </c>
      <c r="H344" s="26" t="str">
        <f t="shared" si="2"/>
        <v>Not a building</v>
      </c>
      <c r="K344" s="66"/>
      <c r="L344" s="66"/>
      <c r="M344" s="67"/>
      <c r="N344" s="67"/>
      <c r="O344" s="66"/>
      <c r="P344" s="66"/>
      <c r="Q344" s="67"/>
      <c r="R344" s="67"/>
      <c r="S344" s="67"/>
      <c r="T344" s="67"/>
      <c r="U344" s="67"/>
    </row>
    <row r="345" ht="15.75" customHeight="1">
      <c r="A345" s="26" t="s">
        <v>1301</v>
      </c>
      <c r="B345" s="26" t="s">
        <v>1302</v>
      </c>
      <c r="C345" s="26" t="s">
        <v>1151</v>
      </c>
      <c r="D345" s="26" t="str">
        <f>IFERROR(__xludf.DUMMYFUNCTION("IF(
 C345=""STATE"",
 UPPER(REGEXEXTRACT(A345,""^state\.([^_@]+)"")),
 """"
)"),"")</f>
        <v/>
      </c>
      <c r="E345" s="26" t="b">
        <v>1</v>
      </c>
      <c r="F345" s="26" t="s">
        <v>633</v>
      </c>
      <c r="G345" s="26" t="str">
        <f t="shared" si="1"/>
        <v>Not a building</v>
      </c>
      <c r="H345" s="26" t="str">
        <f t="shared" si="2"/>
        <v>Not a building</v>
      </c>
      <c r="K345" s="66"/>
      <c r="L345" s="66"/>
      <c r="M345" s="67"/>
      <c r="N345" s="67"/>
      <c r="O345" s="66"/>
      <c r="P345" s="66"/>
      <c r="Q345" s="67"/>
      <c r="R345" s="67"/>
      <c r="S345" s="67"/>
      <c r="T345" s="67"/>
      <c r="U345" s="67"/>
    </row>
    <row r="346" ht="15.75" customHeight="1">
      <c r="A346" s="26" t="s">
        <v>1303</v>
      </c>
      <c r="B346" s="26" t="s">
        <v>1304</v>
      </c>
      <c r="C346" s="26" t="s">
        <v>1151</v>
      </c>
      <c r="D346" s="26" t="str">
        <f>IFERROR(__xludf.DUMMYFUNCTION("IF(
 C346=""STATE"",
 UPPER(REGEXEXTRACT(A346,""^state\.([^_@]+)"")),
 """"
)"),"")</f>
        <v/>
      </c>
      <c r="E346" s="26" t="b">
        <v>1</v>
      </c>
      <c r="F346" s="26" t="s">
        <v>633</v>
      </c>
      <c r="G346" s="26" t="str">
        <f t="shared" si="1"/>
        <v>Not a building</v>
      </c>
      <c r="H346" s="26" t="str">
        <f t="shared" si="2"/>
        <v>Not a building</v>
      </c>
      <c r="K346" s="66"/>
      <c r="L346" s="66"/>
      <c r="M346" s="67"/>
      <c r="N346" s="67"/>
      <c r="O346" s="66"/>
      <c r="P346" s="66"/>
      <c r="Q346" s="67"/>
      <c r="R346" s="67"/>
      <c r="S346" s="67"/>
      <c r="T346" s="67"/>
      <c r="U346" s="67"/>
    </row>
    <row r="347" ht="15.75" customHeight="1">
      <c r="A347" s="26" t="s">
        <v>1305</v>
      </c>
      <c r="B347" s="26" t="s">
        <v>1306</v>
      </c>
      <c r="C347" s="26" t="s">
        <v>1151</v>
      </c>
      <c r="D347" s="26" t="str">
        <f>IFERROR(__xludf.DUMMYFUNCTION("IF(
 C347=""STATE"",
 UPPER(REGEXEXTRACT(A347,""^state\.([^_@]+)"")),
 """"
)"),"")</f>
        <v/>
      </c>
      <c r="E347" s="26" t="b">
        <v>1</v>
      </c>
      <c r="F347" s="26" t="s">
        <v>633</v>
      </c>
      <c r="G347" s="26" t="str">
        <f t="shared" si="1"/>
        <v>Not a building</v>
      </c>
      <c r="H347" s="26" t="str">
        <f t="shared" si="2"/>
        <v>Not a building</v>
      </c>
      <c r="K347" s="66"/>
      <c r="L347" s="66"/>
      <c r="M347" s="67"/>
      <c r="N347" s="67"/>
      <c r="O347" s="66"/>
      <c r="P347" s="66"/>
      <c r="Q347" s="67"/>
      <c r="R347" s="67"/>
      <c r="S347" s="67"/>
      <c r="T347" s="67"/>
      <c r="U347" s="67"/>
    </row>
    <row r="348" ht="15.75" customHeight="1">
      <c r="A348" s="26" t="s">
        <v>1307</v>
      </c>
      <c r="B348" s="26" t="s">
        <v>1308</v>
      </c>
      <c r="C348" s="26" t="s">
        <v>1151</v>
      </c>
      <c r="D348" s="26" t="str">
        <f>IFERROR(__xludf.DUMMYFUNCTION("IF(
 C348=""STATE"",
 UPPER(REGEXEXTRACT(A348,""^state\.([^_@]+)"")),
 """"
)"),"")</f>
        <v/>
      </c>
      <c r="E348" s="26" t="b">
        <v>1</v>
      </c>
      <c r="F348" s="26" t="s">
        <v>633</v>
      </c>
      <c r="G348" s="26" t="str">
        <f t="shared" si="1"/>
        <v>Not a building</v>
      </c>
      <c r="H348" s="26" t="str">
        <f t="shared" si="2"/>
        <v>Not a building</v>
      </c>
      <c r="K348" s="66"/>
      <c r="L348" s="66"/>
      <c r="M348" s="67"/>
      <c r="N348" s="67"/>
      <c r="O348" s="66"/>
      <c r="P348" s="66"/>
      <c r="Q348" s="67"/>
      <c r="R348" s="67"/>
      <c r="S348" s="67"/>
      <c r="T348" s="67"/>
      <c r="U348" s="67"/>
    </row>
    <row r="349" ht="15.75" customHeight="1">
      <c r="A349" s="26" t="s">
        <v>1309</v>
      </c>
      <c r="B349" s="26" t="s">
        <v>1310</v>
      </c>
      <c r="C349" s="26" t="s">
        <v>1151</v>
      </c>
      <c r="D349" s="26" t="str">
        <f>IFERROR(__xludf.DUMMYFUNCTION("IF(
 C349=""STATE"",
 UPPER(REGEXEXTRACT(A349,""^state\.([^_@]+)"")),
 """"
)"),"")</f>
        <v/>
      </c>
      <c r="E349" s="26" t="b">
        <v>1</v>
      </c>
      <c r="F349" s="26" t="s">
        <v>633</v>
      </c>
      <c r="G349" s="26" t="str">
        <f t="shared" si="1"/>
        <v>Not a building</v>
      </c>
      <c r="H349" s="26" t="str">
        <f t="shared" si="2"/>
        <v>Not a building</v>
      </c>
      <c r="K349" s="66"/>
      <c r="L349" s="66"/>
      <c r="M349" s="67"/>
      <c r="N349" s="67"/>
      <c r="O349" s="66"/>
      <c r="P349" s="66"/>
      <c r="Q349" s="67"/>
      <c r="R349" s="67"/>
      <c r="S349" s="67"/>
      <c r="T349" s="67"/>
      <c r="U349" s="67"/>
    </row>
    <row r="350" ht="15.75" customHeight="1">
      <c r="A350" s="26" t="s">
        <v>1312</v>
      </c>
      <c r="B350" s="26" t="s">
        <v>1313</v>
      </c>
      <c r="C350" s="26" t="s">
        <v>1151</v>
      </c>
      <c r="D350" s="26" t="str">
        <f>IFERROR(__xludf.DUMMYFUNCTION("IF(
 C350=""STATE"",
 UPPER(REGEXEXTRACT(A350,""^state\.([^_@]+)"")),
 """"
)"),"")</f>
        <v/>
      </c>
      <c r="E350" s="26" t="b">
        <v>1</v>
      </c>
      <c r="F350" s="26" t="s">
        <v>633</v>
      </c>
      <c r="G350" s="26" t="str">
        <f t="shared" si="1"/>
        <v>Not a building</v>
      </c>
      <c r="H350" s="26" t="str">
        <f t="shared" si="2"/>
        <v>Not a building</v>
      </c>
      <c r="K350" s="66"/>
      <c r="L350" s="66"/>
      <c r="M350" s="67"/>
      <c r="N350" s="67"/>
      <c r="O350" s="66"/>
      <c r="P350" s="66"/>
      <c r="Q350" s="67"/>
      <c r="R350" s="67"/>
      <c r="S350" s="67"/>
      <c r="T350" s="67"/>
      <c r="U350" s="67"/>
    </row>
    <row r="351" ht="15.75" customHeight="1">
      <c r="A351" s="26" t="s">
        <v>1314</v>
      </c>
      <c r="B351" s="26" t="s">
        <v>1315</v>
      </c>
      <c r="C351" s="26" t="s">
        <v>1151</v>
      </c>
      <c r="D351" s="26" t="str">
        <f>IFERROR(__xludf.DUMMYFUNCTION("IF(
 C351=""STATE"",
 UPPER(REGEXEXTRACT(A351,""^state\.([^_@]+)"")),
 """"
)"),"")</f>
        <v/>
      </c>
      <c r="E351" s="26" t="b">
        <v>1</v>
      </c>
      <c r="F351" s="26" t="s">
        <v>633</v>
      </c>
      <c r="G351" s="26" t="str">
        <f t="shared" si="1"/>
        <v>Not a building</v>
      </c>
      <c r="H351" s="26" t="str">
        <f t="shared" si="2"/>
        <v>Not a building</v>
      </c>
      <c r="K351" s="66"/>
      <c r="L351" s="66"/>
      <c r="M351" s="67"/>
      <c r="N351" s="67"/>
      <c r="O351" s="66"/>
      <c r="P351" s="66"/>
      <c r="Q351" s="67"/>
      <c r="R351" s="67"/>
      <c r="S351" s="67"/>
      <c r="T351" s="67"/>
      <c r="U351" s="67"/>
    </row>
    <row r="352" ht="15.75" customHeight="1">
      <c r="A352" s="26" t="s">
        <v>1316</v>
      </c>
      <c r="B352" s="26" t="s">
        <v>1317</v>
      </c>
      <c r="C352" s="26" t="s">
        <v>1151</v>
      </c>
      <c r="D352" s="26" t="str">
        <f>IFERROR(__xludf.DUMMYFUNCTION("IF(
 C352=""STATE"",
 UPPER(REGEXEXTRACT(A352,""^state\.([^_@]+)"")),
 """"
)"),"")</f>
        <v/>
      </c>
      <c r="E352" s="26" t="b">
        <v>1</v>
      </c>
      <c r="F352" s="26" t="s">
        <v>633</v>
      </c>
      <c r="G352" s="26" t="str">
        <f t="shared" si="1"/>
        <v>Not a building</v>
      </c>
      <c r="H352" s="26" t="str">
        <f t="shared" si="2"/>
        <v>Not a building</v>
      </c>
      <c r="K352" s="66"/>
      <c r="L352" s="66"/>
      <c r="M352" s="67"/>
      <c r="N352" s="67"/>
      <c r="O352" s="66"/>
      <c r="P352" s="66"/>
      <c r="Q352" s="67"/>
      <c r="R352" s="67"/>
      <c r="S352" s="67"/>
      <c r="T352" s="67"/>
      <c r="U352" s="67"/>
    </row>
    <row r="353" ht="15.75" customHeight="1">
      <c r="A353" s="26" t="s">
        <v>1318</v>
      </c>
      <c r="B353" s="26" t="s">
        <v>1319</v>
      </c>
      <c r="C353" s="26" t="s">
        <v>1151</v>
      </c>
      <c r="D353" s="26" t="str">
        <f>IFERROR(__xludf.DUMMYFUNCTION("IF(
 C353=""STATE"",
 UPPER(REGEXEXTRACT(A353,""^state\.([^_@]+)"")),
 """"
)"),"")</f>
        <v/>
      </c>
      <c r="E353" s="26" t="b">
        <v>1</v>
      </c>
      <c r="F353" s="26" t="s">
        <v>633</v>
      </c>
      <c r="G353" s="26" t="str">
        <f t="shared" si="1"/>
        <v>Not a building</v>
      </c>
      <c r="H353" s="26" t="str">
        <f t="shared" si="2"/>
        <v>Not a building</v>
      </c>
      <c r="K353" s="66"/>
      <c r="L353" s="66"/>
      <c r="M353" s="67"/>
      <c r="N353" s="67"/>
      <c r="O353" s="66"/>
      <c r="P353" s="66"/>
      <c r="Q353" s="67"/>
      <c r="R353" s="67"/>
      <c r="S353" s="67"/>
      <c r="T353" s="67"/>
      <c r="U353" s="67"/>
    </row>
    <row r="354" ht="15.75" customHeight="1">
      <c r="A354" s="26" t="s">
        <v>1320</v>
      </c>
      <c r="B354" s="26" t="s">
        <v>1321</v>
      </c>
      <c r="C354" s="26" t="s">
        <v>1151</v>
      </c>
      <c r="D354" s="26" t="str">
        <f>IFERROR(__xludf.DUMMYFUNCTION("IF(
 C354=""STATE"",
 UPPER(REGEXEXTRACT(A354,""^state\.([^_@]+)"")),
 """"
)"),"")</f>
        <v/>
      </c>
      <c r="E354" s="26" t="b">
        <v>1</v>
      </c>
      <c r="F354" s="26" t="s">
        <v>633</v>
      </c>
      <c r="G354" s="26" t="str">
        <f t="shared" si="1"/>
        <v>Not a building</v>
      </c>
      <c r="H354" s="26" t="str">
        <f t="shared" si="2"/>
        <v>Not a building</v>
      </c>
      <c r="K354" s="66"/>
      <c r="L354" s="66"/>
      <c r="M354" s="67"/>
      <c r="N354" s="67"/>
      <c r="O354" s="66"/>
      <c r="P354" s="66"/>
      <c r="Q354" s="67"/>
      <c r="R354" s="67"/>
      <c r="S354" s="67"/>
      <c r="T354" s="67"/>
      <c r="U354" s="67"/>
    </row>
    <row r="355" ht="15.75" customHeight="1">
      <c r="A355" s="26" t="s">
        <v>1323</v>
      </c>
      <c r="B355" s="26" t="s">
        <v>1324</v>
      </c>
      <c r="C355" s="26" t="s">
        <v>1151</v>
      </c>
      <c r="D355" s="26" t="str">
        <f>IFERROR(__xludf.DUMMYFUNCTION("IF(
 C355=""STATE"",
 UPPER(REGEXEXTRACT(A355,""^state\.([^_@]+)"")),
 """"
)"),"")</f>
        <v/>
      </c>
      <c r="E355" s="26" t="b">
        <v>1</v>
      </c>
      <c r="F355" s="26" t="s">
        <v>633</v>
      </c>
      <c r="G355" s="26" t="str">
        <f t="shared" si="1"/>
        <v>Not a building</v>
      </c>
      <c r="H355" s="26" t="str">
        <f t="shared" si="2"/>
        <v>Not a building</v>
      </c>
      <c r="K355" s="66"/>
      <c r="L355" s="66"/>
      <c r="M355" s="67"/>
      <c r="N355" s="67"/>
      <c r="O355" s="66"/>
      <c r="P355" s="66"/>
      <c r="Q355" s="67"/>
      <c r="R355" s="67"/>
      <c r="S355" s="67"/>
      <c r="T355" s="67"/>
      <c r="U355" s="67"/>
    </row>
    <row r="356" ht="15.75" customHeight="1">
      <c r="A356" s="26" t="s">
        <v>1325</v>
      </c>
      <c r="B356" s="26" t="s">
        <v>1326</v>
      </c>
      <c r="C356" s="26" t="s">
        <v>1151</v>
      </c>
      <c r="D356" s="26" t="str">
        <f>IFERROR(__xludf.DUMMYFUNCTION("IF(
 C356=""STATE"",
 UPPER(REGEXEXTRACT(A356,""^state\.([^_@]+)"")),
 """"
)"),"")</f>
        <v/>
      </c>
      <c r="E356" s="26" t="b">
        <v>1</v>
      </c>
      <c r="F356" s="26" t="s">
        <v>633</v>
      </c>
      <c r="G356" s="26" t="str">
        <f t="shared" si="1"/>
        <v>Not a building</v>
      </c>
      <c r="H356" s="26" t="str">
        <f t="shared" si="2"/>
        <v>Not a building</v>
      </c>
      <c r="K356" s="66"/>
      <c r="L356" s="66"/>
      <c r="M356" s="67"/>
      <c r="N356" s="67"/>
      <c r="O356" s="66"/>
      <c r="P356" s="66"/>
      <c r="Q356" s="67"/>
      <c r="R356" s="67"/>
      <c r="S356" s="67"/>
      <c r="T356" s="67"/>
      <c r="U356" s="67"/>
    </row>
    <row r="357" ht="15.75" customHeight="1">
      <c r="A357" s="26" t="s">
        <v>1327</v>
      </c>
      <c r="B357" s="26" t="s">
        <v>1328</v>
      </c>
      <c r="C357" s="26" t="s">
        <v>1151</v>
      </c>
      <c r="D357" s="26" t="str">
        <f>IFERROR(__xludf.DUMMYFUNCTION("IF(
 C357=""STATE"",
 UPPER(REGEXEXTRACT(A357,""^state\.([^_@]+)"")),
 """"
)"),"")</f>
        <v/>
      </c>
      <c r="E357" s="26" t="b">
        <v>1</v>
      </c>
      <c r="F357" s="26" t="s">
        <v>633</v>
      </c>
      <c r="G357" s="26" t="str">
        <f t="shared" si="1"/>
        <v>Not a building</v>
      </c>
      <c r="H357" s="26" t="str">
        <f t="shared" si="2"/>
        <v>Not a building</v>
      </c>
      <c r="K357" s="66"/>
      <c r="L357" s="66"/>
      <c r="M357" s="67"/>
      <c r="N357" s="67"/>
      <c r="O357" s="66"/>
      <c r="P357" s="66"/>
      <c r="Q357" s="67"/>
      <c r="R357" s="67"/>
      <c r="S357" s="67"/>
      <c r="T357" s="67"/>
      <c r="U357" s="67"/>
    </row>
    <row r="358" ht="15.75" customHeight="1">
      <c r="A358" s="26" t="s">
        <v>1329</v>
      </c>
      <c r="B358" s="26" t="s">
        <v>1330</v>
      </c>
      <c r="C358" s="26" t="s">
        <v>1151</v>
      </c>
      <c r="D358" s="26" t="str">
        <f>IFERROR(__xludf.DUMMYFUNCTION("IF(
 C358=""STATE"",
 UPPER(REGEXEXTRACT(A358,""^state\.([^_@]+)"")),
 """"
)"),"")</f>
        <v/>
      </c>
      <c r="E358" s="26" t="b">
        <v>1</v>
      </c>
      <c r="F358" s="26" t="s">
        <v>633</v>
      </c>
      <c r="G358" s="26" t="str">
        <f t="shared" si="1"/>
        <v>Not a building</v>
      </c>
      <c r="H358" s="26" t="str">
        <f t="shared" si="2"/>
        <v>Not a building</v>
      </c>
      <c r="K358" s="66"/>
      <c r="L358" s="66"/>
      <c r="M358" s="67"/>
      <c r="N358" s="67"/>
      <c r="O358" s="66"/>
      <c r="P358" s="66"/>
      <c r="Q358" s="67"/>
      <c r="R358" s="67"/>
      <c r="S358" s="67"/>
      <c r="T358" s="67"/>
      <c r="U358" s="67"/>
    </row>
    <row r="359" ht="15.75" customHeight="1">
      <c r="A359" s="26" t="s">
        <v>1332</v>
      </c>
      <c r="B359" s="26" t="s">
        <v>1333</v>
      </c>
      <c r="C359" s="26" t="s">
        <v>1151</v>
      </c>
      <c r="D359" s="26" t="str">
        <f>IFERROR(__xludf.DUMMYFUNCTION("IF(
 C359=""STATE"",
 UPPER(REGEXEXTRACT(A359,""^state\.([^_@]+)"")),
 """"
)"),"")</f>
        <v/>
      </c>
      <c r="E359" s="26" t="b">
        <v>1</v>
      </c>
      <c r="F359" s="26" t="s">
        <v>633</v>
      </c>
      <c r="G359" s="26" t="str">
        <f t="shared" si="1"/>
        <v>Not a building</v>
      </c>
      <c r="H359" s="26" t="str">
        <f t="shared" si="2"/>
        <v>Not a building</v>
      </c>
      <c r="K359" s="66"/>
      <c r="L359" s="66"/>
      <c r="M359" s="67"/>
      <c r="N359" s="67"/>
      <c r="O359" s="66"/>
      <c r="P359" s="66"/>
      <c r="Q359" s="67"/>
      <c r="R359" s="67"/>
      <c r="S359" s="67"/>
      <c r="T359" s="67"/>
      <c r="U359" s="67"/>
    </row>
    <row r="360" ht="15.75" customHeight="1">
      <c r="A360" s="26" t="s">
        <v>1334</v>
      </c>
      <c r="B360" s="26" t="s">
        <v>1335</v>
      </c>
      <c r="C360" s="26" t="s">
        <v>1151</v>
      </c>
      <c r="D360" s="26" t="str">
        <f>IFERROR(__xludf.DUMMYFUNCTION("IF(
 C360=""STATE"",
 UPPER(REGEXEXTRACT(A360,""^state\.([^_@]+)"")),
 """"
)"),"")</f>
        <v/>
      </c>
      <c r="E360" s="26" t="b">
        <v>1</v>
      </c>
      <c r="F360" s="26" t="s">
        <v>633</v>
      </c>
      <c r="G360" s="26" t="str">
        <f t="shared" si="1"/>
        <v>Not a building</v>
      </c>
      <c r="H360" s="26" t="str">
        <f t="shared" si="2"/>
        <v>Not a building</v>
      </c>
      <c r="K360" s="66"/>
      <c r="L360" s="66"/>
      <c r="M360" s="67"/>
      <c r="N360" s="67"/>
      <c r="O360" s="66"/>
      <c r="P360" s="66"/>
      <c r="Q360" s="67"/>
      <c r="R360" s="67"/>
      <c r="S360" s="67"/>
      <c r="T360" s="67"/>
      <c r="U360" s="67"/>
    </row>
    <row r="361" ht="15.75" customHeight="1">
      <c r="A361" s="26" t="s">
        <v>1336</v>
      </c>
      <c r="B361" s="26" t="s">
        <v>1337</v>
      </c>
      <c r="C361" s="26" t="s">
        <v>1151</v>
      </c>
      <c r="D361" s="26" t="str">
        <f>IFERROR(__xludf.DUMMYFUNCTION("IF(
 C361=""STATE"",
 UPPER(REGEXEXTRACT(A361,""^state\.([^_@]+)"")),
 """"
)"),"")</f>
        <v/>
      </c>
      <c r="E361" s="26" t="b">
        <v>1</v>
      </c>
      <c r="F361" s="26" t="s">
        <v>633</v>
      </c>
      <c r="G361" s="26" t="str">
        <f t="shared" si="1"/>
        <v>Not a building</v>
      </c>
      <c r="H361" s="26" t="str">
        <f t="shared" si="2"/>
        <v>Not a building</v>
      </c>
      <c r="K361" s="66"/>
      <c r="L361" s="66"/>
      <c r="M361" s="67"/>
      <c r="N361" s="67"/>
      <c r="O361" s="66"/>
      <c r="P361" s="66"/>
      <c r="Q361" s="67"/>
      <c r="R361" s="67"/>
      <c r="S361" s="67"/>
      <c r="T361" s="67"/>
      <c r="U361" s="67"/>
    </row>
    <row r="362" ht="15.75" customHeight="1">
      <c r="A362" s="26" t="s">
        <v>1338</v>
      </c>
      <c r="B362" s="26" t="s">
        <v>1339</v>
      </c>
      <c r="C362" s="26" t="s">
        <v>1151</v>
      </c>
      <c r="D362" s="26" t="str">
        <f>IFERROR(__xludf.DUMMYFUNCTION("IF(
 C362=""STATE"",
 UPPER(REGEXEXTRACT(A362,""^state\.([^_@]+)"")),
 """"
)"),"")</f>
        <v/>
      </c>
      <c r="E362" s="26" t="b">
        <v>1</v>
      </c>
      <c r="F362" s="26" t="s">
        <v>633</v>
      </c>
      <c r="G362" s="26" t="str">
        <f t="shared" si="1"/>
        <v>Not a building</v>
      </c>
      <c r="H362" s="26" t="str">
        <f t="shared" si="2"/>
        <v>Not a building</v>
      </c>
      <c r="K362" s="66"/>
      <c r="L362" s="66"/>
      <c r="M362" s="67"/>
      <c r="N362" s="67"/>
      <c r="O362" s="66"/>
      <c r="P362" s="66"/>
      <c r="Q362" s="67"/>
      <c r="R362" s="67"/>
      <c r="S362" s="67"/>
      <c r="T362" s="67"/>
      <c r="U362" s="67"/>
    </row>
    <row r="363" ht="15.75" customHeight="1">
      <c r="A363" s="26" t="s">
        <v>1340</v>
      </c>
      <c r="B363" s="26" t="s">
        <v>1341</v>
      </c>
      <c r="C363" s="26" t="s">
        <v>1151</v>
      </c>
      <c r="D363" s="26" t="str">
        <f>IFERROR(__xludf.DUMMYFUNCTION("IF(
 C363=""STATE"",
 UPPER(REGEXEXTRACT(A363,""^state\.([^_@]+)"")),
 """"
)"),"")</f>
        <v/>
      </c>
      <c r="E363" s="26" t="b">
        <v>1</v>
      </c>
      <c r="F363" s="26" t="s">
        <v>633</v>
      </c>
      <c r="G363" s="26" t="str">
        <f t="shared" si="1"/>
        <v>Not a building</v>
      </c>
      <c r="H363" s="26" t="str">
        <f t="shared" si="2"/>
        <v>Not a building</v>
      </c>
      <c r="K363" s="66"/>
      <c r="L363" s="66"/>
      <c r="M363" s="67"/>
      <c r="N363" s="67"/>
      <c r="O363" s="66"/>
      <c r="P363" s="66"/>
      <c r="Q363" s="67"/>
      <c r="R363" s="67"/>
      <c r="S363" s="67"/>
      <c r="T363" s="67"/>
      <c r="U363" s="67"/>
    </row>
    <row r="364" ht="15.75" customHeight="1">
      <c r="A364" s="26" t="s">
        <v>1342</v>
      </c>
      <c r="B364" s="26" t="s">
        <v>1343</v>
      </c>
      <c r="C364" s="26" t="s">
        <v>1151</v>
      </c>
      <c r="D364" s="26" t="str">
        <f>IFERROR(__xludf.DUMMYFUNCTION("IF(
 C364=""STATE"",
 UPPER(REGEXEXTRACT(A364,""^state\.([^_@]+)"")),
 """"
)"),"")</f>
        <v/>
      </c>
      <c r="E364" s="26" t="b">
        <v>1</v>
      </c>
      <c r="F364" s="26" t="s">
        <v>633</v>
      </c>
      <c r="G364" s="26" t="str">
        <f t="shared" si="1"/>
        <v>Not a building</v>
      </c>
      <c r="H364" s="26" t="str">
        <f t="shared" si="2"/>
        <v>Not a building</v>
      </c>
      <c r="K364" s="66"/>
      <c r="L364" s="66"/>
      <c r="M364" s="67"/>
      <c r="N364" s="67"/>
      <c r="O364" s="66"/>
      <c r="P364" s="66"/>
      <c r="Q364" s="67"/>
      <c r="R364" s="67"/>
      <c r="S364" s="67"/>
      <c r="T364" s="67"/>
      <c r="U364" s="67"/>
    </row>
    <row r="365" ht="15.75" customHeight="1">
      <c r="A365" s="26" t="s">
        <v>1344</v>
      </c>
      <c r="B365" s="26" t="s">
        <v>1345</v>
      </c>
      <c r="C365" s="26" t="s">
        <v>1151</v>
      </c>
      <c r="D365" s="26" t="str">
        <f>IFERROR(__xludf.DUMMYFUNCTION("IF(
 C365=""STATE"",
 UPPER(REGEXEXTRACT(A365,""^state\.([^_@]+)"")),
 """"
)"),"")</f>
        <v/>
      </c>
      <c r="E365" s="26" t="b">
        <v>1</v>
      </c>
      <c r="F365" s="26" t="s">
        <v>633</v>
      </c>
      <c r="G365" s="26" t="str">
        <f t="shared" si="1"/>
        <v>Not a building</v>
      </c>
      <c r="H365" s="26" t="str">
        <f t="shared" si="2"/>
        <v>Not a building</v>
      </c>
      <c r="K365" s="66"/>
      <c r="L365" s="66"/>
      <c r="M365" s="67"/>
      <c r="N365" s="67"/>
      <c r="O365" s="66"/>
      <c r="P365" s="66"/>
      <c r="Q365" s="67"/>
      <c r="R365" s="67"/>
      <c r="S365" s="67"/>
      <c r="T365" s="67"/>
      <c r="U365" s="67"/>
    </row>
    <row r="366" ht="15.75" customHeight="1">
      <c r="A366" s="26" t="s">
        <v>1346</v>
      </c>
      <c r="B366" s="26" t="s">
        <v>1347</v>
      </c>
      <c r="C366" s="26" t="s">
        <v>1151</v>
      </c>
      <c r="D366" s="26" t="str">
        <f>IFERROR(__xludf.DUMMYFUNCTION("IF(
 C366=""STATE"",
 UPPER(REGEXEXTRACT(A366,""^state\.([^_@]+)"")),
 """"
)"),"")</f>
        <v/>
      </c>
      <c r="E366" s="26" t="b">
        <v>1</v>
      </c>
      <c r="F366" s="26" t="s">
        <v>633</v>
      </c>
      <c r="G366" s="26" t="str">
        <f t="shared" si="1"/>
        <v>Not a building</v>
      </c>
      <c r="H366" s="26" t="str">
        <f t="shared" si="2"/>
        <v>Not a building</v>
      </c>
      <c r="K366" s="66"/>
      <c r="L366" s="66"/>
      <c r="M366" s="67"/>
      <c r="N366" s="67"/>
      <c r="O366" s="66"/>
      <c r="P366" s="66"/>
      <c r="Q366" s="67"/>
      <c r="R366" s="67"/>
      <c r="S366" s="67"/>
      <c r="T366" s="67"/>
      <c r="U366" s="67"/>
    </row>
    <row r="367" ht="15.75" customHeight="1">
      <c r="A367" s="26" t="s">
        <v>1348</v>
      </c>
      <c r="B367" s="26" t="s">
        <v>1349</v>
      </c>
      <c r="C367" s="26" t="s">
        <v>1151</v>
      </c>
      <c r="D367" s="26" t="str">
        <f>IFERROR(__xludf.DUMMYFUNCTION("IF(
 C367=""STATE"",
 UPPER(REGEXEXTRACT(A367,""^state\.([^_@]+)"")),
 """"
)"),"")</f>
        <v/>
      </c>
      <c r="E367" s="26" t="b">
        <v>1</v>
      </c>
      <c r="F367" s="26" t="s">
        <v>633</v>
      </c>
      <c r="G367" s="26" t="str">
        <f t="shared" si="1"/>
        <v>Not a building</v>
      </c>
      <c r="H367" s="26" t="str">
        <f t="shared" si="2"/>
        <v>Not a building</v>
      </c>
      <c r="K367" s="66"/>
      <c r="L367" s="66"/>
      <c r="M367" s="67"/>
      <c r="N367" s="67"/>
      <c r="O367" s="66"/>
      <c r="P367" s="66"/>
      <c r="Q367" s="67"/>
      <c r="R367" s="67"/>
      <c r="S367" s="67"/>
      <c r="T367" s="67"/>
      <c r="U367" s="67"/>
    </row>
    <row r="368" ht="15.75" customHeight="1">
      <c r="A368" s="26" t="s">
        <v>1350</v>
      </c>
      <c r="B368" s="26" t="s">
        <v>1352</v>
      </c>
      <c r="C368" s="26" t="s">
        <v>1353</v>
      </c>
      <c r="D368" s="26" t="str">
        <f>IFERROR(__xludf.DUMMYFUNCTION("IF(
 C368=""STATE"",
 UPPER(REGEXEXTRACT(A368,""^state\.([^_@]+)"")),
 """"
)"),"ACTION")</f>
        <v>ACTION</v>
      </c>
      <c r="E368" s="26" t="b">
        <v>1</v>
      </c>
      <c r="F368" s="26" t="s">
        <v>633</v>
      </c>
      <c r="G368" s="26" t="str">
        <f t="shared" si="1"/>
        <v>Not a building</v>
      </c>
      <c r="H368" s="26" t="str">
        <f t="shared" si="2"/>
        <v>Not a building</v>
      </c>
      <c r="K368" s="66"/>
      <c r="L368" s="66"/>
      <c r="M368" s="67"/>
      <c r="N368" s="67"/>
      <c r="O368" s="66"/>
      <c r="P368" s="66"/>
      <c r="Q368" s="67"/>
      <c r="R368" s="67"/>
      <c r="S368" s="67"/>
      <c r="T368" s="67"/>
      <c r="U368" s="67"/>
    </row>
    <row r="369" ht="15.75" customHeight="1">
      <c r="A369" s="26" t="s">
        <v>1354</v>
      </c>
      <c r="B369" s="26" t="s">
        <v>1355</v>
      </c>
      <c r="C369" s="26" t="s">
        <v>1353</v>
      </c>
      <c r="D369" s="26" t="str">
        <f>IFERROR(__xludf.DUMMYFUNCTION("IF(
 C369=""STATE"",
 UPPER(REGEXEXTRACT(A369,""^state\.([^_@]+)"")),
 """"
)"),"ACTION")</f>
        <v>ACTION</v>
      </c>
      <c r="E369" s="26" t="b">
        <v>1</v>
      </c>
      <c r="F369" s="26" t="s">
        <v>633</v>
      </c>
      <c r="G369" s="26" t="str">
        <f t="shared" si="1"/>
        <v>Not a building</v>
      </c>
      <c r="H369" s="26" t="str">
        <f t="shared" si="2"/>
        <v>Not a building</v>
      </c>
      <c r="K369" s="66"/>
      <c r="L369" s="66"/>
      <c r="M369" s="67"/>
      <c r="N369" s="67"/>
      <c r="O369" s="66"/>
      <c r="P369" s="66"/>
      <c r="Q369" s="67"/>
      <c r="R369" s="67"/>
      <c r="S369" s="67"/>
      <c r="T369" s="67"/>
      <c r="U369" s="67"/>
    </row>
    <row r="370" ht="15.75" customHeight="1">
      <c r="A370" s="26" t="s">
        <v>1356</v>
      </c>
      <c r="B370" s="26" t="s">
        <v>1357</v>
      </c>
      <c r="C370" s="26" t="s">
        <v>1353</v>
      </c>
      <c r="D370" s="26" t="str">
        <f>IFERROR(__xludf.DUMMYFUNCTION("IF(
 C370=""STATE"",
 UPPER(REGEXEXTRACT(A370,""^state\.([^_@]+)"")),
 """"
)"),"ACTION")</f>
        <v>ACTION</v>
      </c>
      <c r="E370" s="26" t="b">
        <v>1</v>
      </c>
      <c r="F370" s="26" t="s">
        <v>633</v>
      </c>
      <c r="G370" s="26" t="str">
        <f t="shared" si="1"/>
        <v>Not a building</v>
      </c>
      <c r="H370" s="26" t="str">
        <f t="shared" si="2"/>
        <v>Not a building</v>
      </c>
      <c r="K370" s="66"/>
      <c r="L370" s="66"/>
      <c r="M370" s="67"/>
      <c r="N370" s="67"/>
      <c r="O370" s="66"/>
      <c r="P370" s="66"/>
      <c r="Q370" s="67"/>
      <c r="R370" s="67"/>
      <c r="S370" s="67"/>
      <c r="T370" s="67"/>
      <c r="U370" s="67"/>
    </row>
    <row r="371" ht="15.75" customHeight="1">
      <c r="A371" s="26" t="s">
        <v>1358</v>
      </c>
      <c r="B371" s="26" t="s">
        <v>1359</v>
      </c>
      <c r="C371" s="26" t="s">
        <v>1353</v>
      </c>
      <c r="D371" s="26" t="str">
        <f>IFERROR(__xludf.DUMMYFUNCTION("IF(
 C371=""STATE"",
 UPPER(REGEXEXTRACT(A371,""^state\.([^_@]+)"")),
 """"
)"),"ACTION")</f>
        <v>ACTION</v>
      </c>
      <c r="E371" s="26" t="b">
        <v>1</v>
      </c>
      <c r="F371" s="26" t="s">
        <v>633</v>
      </c>
      <c r="G371" s="26" t="str">
        <f t="shared" si="1"/>
        <v>Not a building</v>
      </c>
      <c r="H371" s="26" t="str">
        <f t="shared" si="2"/>
        <v>Not a building</v>
      </c>
      <c r="K371" s="66"/>
      <c r="L371" s="66"/>
      <c r="M371" s="67"/>
      <c r="N371" s="67"/>
      <c r="O371" s="66"/>
      <c r="P371" s="66"/>
      <c r="Q371" s="67"/>
      <c r="R371" s="67"/>
      <c r="S371" s="67"/>
      <c r="T371" s="67"/>
      <c r="U371" s="67"/>
    </row>
    <row r="372" ht="15.75" customHeight="1">
      <c r="A372" s="26" t="s">
        <v>1360</v>
      </c>
      <c r="B372" s="26" t="s">
        <v>1361</v>
      </c>
      <c r="C372" s="26" t="s">
        <v>1353</v>
      </c>
      <c r="D372" s="26" t="str">
        <f>IFERROR(__xludf.DUMMYFUNCTION("IF(
 C372=""STATE"",
 UPPER(REGEXEXTRACT(A372,""^state\.([^_@]+)"")),
 """"
)"),"CHARACTER")</f>
        <v>CHARACTER</v>
      </c>
      <c r="E372" s="26" t="b">
        <v>1</v>
      </c>
      <c r="F372" s="26" t="s">
        <v>633</v>
      </c>
      <c r="G372" s="26" t="str">
        <f t="shared" si="1"/>
        <v>Not a building</v>
      </c>
      <c r="H372" s="26" t="str">
        <f t="shared" si="2"/>
        <v>Not a building</v>
      </c>
      <c r="K372" s="66"/>
      <c r="L372" s="66"/>
      <c r="M372" s="67"/>
      <c r="N372" s="67"/>
      <c r="O372" s="66"/>
      <c r="P372" s="66"/>
      <c r="Q372" s="67"/>
      <c r="R372" s="67"/>
      <c r="S372" s="67"/>
      <c r="T372" s="67"/>
      <c r="U372" s="67"/>
    </row>
    <row r="373" ht="15.75" customHeight="1">
      <c r="A373" s="26" t="s">
        <v>1363</v>
      </c>
      <c r="B373" s="26" t="s">
        <v>1364</v>
      </c>
      <c r="C373" s="26" t="s">
        <v>1353</v>
      </c>
      <c r="D373" s="26" t="str">
        <f>IFERROR(__xludf.DUMMYFUNCTION("IF(
 C373=""STATE"",
 UPPER(REGEXEXTRACT(A373,""^state\.([^_@]+)"")),
 """"
)"),"CHARACTER")</f>
        <v>CHARACTER</v>
      </c>
      <c r="E373" s="26" t="b">
        <v>1</v>
      </c>
      <c r="F373" s="26" t="s">
        <v>633</v>
      </c>
      <c r="G373" s="26" t="str">
        <f t="shared" si="1"/>
        <v>Not a building</v>
      </c>
      <c r="H373" s="26" t="str">
        <f t="shared" si="2"/>
        <v>Not a building</v>
      </c>
      <c r="K373" s="66"/>
      <c r="L373" s="66"/>
      <c r="M373" s="67"/>
      <c r="N373" s="67"/>
      <c r="O373" s="66"/>
      <c r="P373" s="66"/>
      <c r="Q373" s="67"/>
      <c r="R373" s="67"/>
      <c r="S373" s="67"/>
      <c r="T373" s="67"/>
      <c r="U373" s="67"/>
    </row>
    <row r="374" ht="15.75" customHeight="1">
      <c r="A374" s="26" t="s">
        <v>1365</v>
      </c>
      <c r="B374" s="26" t="s">
        <v>1366</v>
      </c>
      <c r="C374" s="26" t="s">
        <v>1353</v>
      </c>
      <c r="D374" s="26" t="str">
        <f>IFERROR(__xludf.DUMMYFUNCTION("IF(
 C374=""STATE"",
 UPPER(REGEXEXTRACT(A374,""^state\.([^_@]+)"")),
 """"
)"),"CHARACTER")</f>
        <v>CHARACTER</v>
      </c>
      <c r="E374" s="26" t="b">
        <v>1</v>
      </c>
      <c r="F374" s="26" t="s">
        <v>633</v>
      </c>
      <c r="G374" s="26" t="str">
        <f t="shared" si="1"/>
        <v>Not a building</v>
      </c>
      <c r="H374" s="26" t="str">
        <f t="shared" si="2"/>
        <v>Not a building</v>
      </c>
      <c r="K374" s="66"/>
      <c r="L374" s="66"/>
      <c r="M374" s="67"/>
      <c r="N374" s="67"/>
      <c r="O374" s="66"/>
      <c r="P374" s="66"/>
      <c r="Q374" s="67"/>
      <c r="R374" s="67"/>
      <c r="S374" s="67"/>
      <c r="T374" s="67"/>
      <c r="U374" s="67"/>
    </row>
    <row r="375" ht="15.75" customHeight="1">
      <c r="A375" s="26" t="s">
        <v>1367</v>
      </c>
      <c r="B375" s="26" t="s">
        <v>1368</v>
      </c>
      <c r="C375" s="26" t="s">
        <v>1353</v>
      </c>
      <c r="D375" s="26" t="str">
        <f>IFERROR(__xludf.DUMMYFUNCTION("IF(
 C375=""STATE"",
 UPPER(REGEXEXTRACT(A375,""^state\.([^_@]+)"")),
 """"
)"),"CHARACTER")</f>
        <v>CHARACTER</v>
      </c>
      <c r="E375" s="26" t="b">
        <v>1</v>
      </c>
      <c r="F375" s="26" t="s">
        <v>633</v>
      </c>
      <c r="G375" s="26" t="str">
        <f t="shared" si="1"/>
        <v>Not a building</v>
      </c>
      <c r="H375" s="26" t="str">
        <f t="shared" si="2"/>
        <v>Not a building</v>
      </c>
      <c r="K375" s="66"/>
      <c r="L375" s="66"/>
      <c r="M375" s="67"/>
      <c r="N375" s="67"/>
      <c r="O375" s="66"/>
      <c r="P375" s="66"/>
      <c r="Q375" s="67"/>
      <c r="R375" s="67"/>
      <c r="S375" s="67"/>
      <c r="T375" s="67"/>
      <c r="U375" s="67"/>
    </row>
    <row r="376" ht="15.75" customHeight="1">
      <c r="A376" s="26" t="s">
        <v>1369</v>
      </c>
      <c r="B376" s="26" t="s">
        <v>1370</v>
      </c>
      <c r="C376" s="26" t="s">
        <v>1353</v>
      </c>
      <c r="D376" s="26" t="str">
        <f>IFERROR(__xludf.DUMMYFUNCTION("IF(
 C376=""STATE"",
 UPPER(REGEXEXTRACT(A376,""^state\.([^_@]+)"")),
 """"
)"),"CHARACTER")</f>
        <v>CHARACTER</v>
      </c>
      <c r="E376" s="26" t="b">
        <v>1</v>
      </c>
      <c r="F376" s="26" t="s">
        <v>633</v>
      </c>
      <c r="G376" s="26" t="str">
        <f t="shared" si="1"/>
        <v>Not a building</v>
      </c>
      <c r="H376" s="26" t="str">
        <f t="shared" si="2"/>
        <v>Not a building</v>
      </c>
      <c r="K376" s="66"/>
      <c r="L376" s="66"/>
      <c r="M376" s="67"/>
      <c r="N376" s="67"/>
      <c r="O376" s="66"/>
      <c r="P376" s="66"/>
      <c r="Q376" s="67"/>
      <c r="R376" s="67"/>
      <c r="S376" s="67"/>
      <c r="T376" s="67"/>
      <c r="U376" s="67"/>
    </row>
    <row r="377" ht="15.75" customHeight="1">
      <c r="A377" s="26" t="s">
        <v>1372</v>
      </c>
      <c r="B377" s="26" t="s">
        <v>1373</v>
      </c>
      <c r="C377" s="26" t="s">
        <v>1353</v>
      </c>
      <c r="D377" s="26" t="str">
        <f>IFERROR(__xludf.DUMMYFUNCTION("IF(
 C377=""STATE"",
 UPPER(REGEXEXTRACT(A377,""^state\.([^_@]+)"")),
 """"
)"),"CHARACTER")</f>
        <v>CHARACTER</v>
      </c>
      <c r="E377" s="26" t="b">
        <v>1</v>
      </c>
      <c r="F377" s="26" t="s">
        <v>633</v>
      </c>
      <c r="G377" s="26" t="str">
        <f t="shared" si="1"/>
        <v>Not a building</v>
      </c>
      <c r="H377" s="26" t="str">
        <f t="shared" si="2"/>
        <v>Not a building</v>
      </c>
      <c r="K377" s="66"/>
      <c r="L377" s="66"/>
      <c r="M377" s="67"/>
      <c r="N377" s="67"/>
      <c r="O377" s="66"/>
      <c r="P377" s="66"/>
      <c r="Q377" s="67"/>
      <c r="R377" s="67"/>
      <c r="S377" s="67"/>
      <c r="T377" s="67"/>
      <c r="U377" s="67"/>
    </row>
    <row r="378" ht="15.75" customHeight="1">
      <c r="A378" s="26" t="s">
        <v>1374</v>
      </c>
      <c r="B378" s="26" t="s">
        <v>1376</v>
      </c>
      <c r="C378" s="26" t="s">
        <v>1353</v>
      </c>
      <c r="D378" s="26" t="str">
        <f>IFERROR(__xludf.DUMMYFUNCTION("IF(
 C378=""STATE"",
 UPPER(REGEXEXTRACT(A378,""^state\.([^_@]+)"")),
 """"
)"),"CHARACTER")</f>
        <v>CHARACTER</v>
      </c>
      <c r="E378" s="26" t="b">
        <v>1</v>
      </c>
      <c r="F378" s="26" t="s">
        <v>633</v>
      </c>
      <c r="G378" s="26" t="str">
        <f t="shared" si="1"/>
        <v>Not a building</v>
      </c>
      <c r="H378" s="26" t="str">
        <f t="shared" si="2"/>
        <v>Not a building</v>
      </c>
      <c r="K378" s="66"/>
      <c r="L378" s="66"/>
      <c r="M378" s="67"/>
      <c r="N378" s="67"/>
      <c r="O378" s="66"/>
      <c r="P378" s="66"/>
      <c r="Q378" s="67"/>
      <c r="R378" s="67"/>
      <c r="S378" s="67"/>
      <c r="T378" s="67"/>
      <c r="U378" s="67"/>
    </row>
    <row r="379" ht="15.75" customHeight="1">
      <c r="A379" s="26" t="s">
        <v>1377</v>
      </c>
      <c r="B379" s="26" t="s">
        <v>1378</v>
      </c>
      <c r="C379" s="26" t="s">
        <v>1353</v>
      </c>
      <c r="D379" s="26" t="str">
        <f>IFERROR(__xludf.DUMMYFUNCTION("IF(
 C379=""STATE"",
 UPPER(REGEXEXTRACT(A379,""^state\.([^_@]+)"")),
 """"
)"),"CHARACTER")</f>
        <v>CHARACTER</v>
      </c>
      <c r="E379" s="26" t="b">
        <v>1</v>
      </c>
      <c r="F379" s="26" t="s">
        <v>633</v>
      </c>
      <c r="G379" s="26" t="str">
        <f t="shared" si="1"/>
        <v>Not a building</v>
      </c>
      <c r="H379" s="26" t="str">
        <f t="shared" si="2"/>
        <v>Not a building</v>
      </c>
      <c r="K379" s="66"/>
      <c r="L379" s="66"/>
      <c r="M379" s="67"/>
      <c r="N379" s="67"/>
      <c r="O379" s="66"/>
      <c r="P379" s="66"/>
      <c r="Q379" s="67"/>
      <c r="R379" s="67"/>
      <c r="S379" s="67"/>
      <c r="T379" s="67"/>
      <c r="U379" s="67"/>
    </row>
    <row r="380" ht="15.75" customHeight="1">
      <c r="A380" s="26" t="s">
        <v>1379</v>
      </c>
      <c r="B380" s="26" t="s">
        <v>1380</v>
      </c>
      <c r="C380" s="26" t="s">
        <v>1353</v>
      </c>
      <c r="D380" s="26" t="str">
        <f>IFERROR(__xludf.DUMMYFUNCTION("IF(
 C380=""STATE"",
 UPPER(REGEXEXTRACT(A380,""^state\.([^_@]+)"")),
 """"
)"),"CHARACTER")</f>
        <v>CHARACTER</v>
      </c>
      <c r="E380" s="26" t="b">
        <v>1</v>
      </c>
      <c r="F380" s="26" t="s">
        <v>633</v>
      </c>
      <c r="G380" s="26" t="str">
        <f t="shared" si="1"/>
        <v>Not a building</v>
      </c>
      <c r="H380" s="26" t="str">
        <f t="shared" si="2"/>
        <v>Not a building</v>
      </c>
      <c r="K380" s="66"/>
      <c r="L380" s="66"/>
      <c r="M380" s="67"/>
      <c r="N380" s="67"/>
      <c r="O380" s="66"/>
      <c r="P380" s="66"/>
      <c r="Q380" s="67"/>
      <c r="R380" s="67"/>
      <c r="S380" s="67"/>
      <c r="T380" s="67"/>
      <c r="U380" s="67"/>
    </row>
    <row r="381" ht="15.75" customHeight="1">
      <c r="A381" s="26" t="s">
        <v>1382</v>
      </c>
      <c r="B381" s="26" t="s">
        <v>1383</v>
      </c>
      <c r="C381" s="26" t="s">
        <v>1353</v>
      </c>
      <c r="D381" s="26" t="str">
        <f>IFERROR(__xludf.DUMMYFUNCTION("IF(
 C381=""STATE"",
 UPPER(REGEXEXTRACT(A381,""^state\.([^_@]+)"")),
 """"
)"),"CHARACTER")</f>
        <v>CHARACTER</v>
      </c>
      <c r="E381" s="26" t="b">
        <v>1</v>
      </c>
      <c r="F381" s="26" t="s">
        <v>633</v>
      </c>
      <c r="G381" s="26" t="str">
        <f t="shared" si="1"/>
        <v>Not a building</v>
      </c>
      <c r="H381" s="26" t="str">
        <f t="shared" si="2"/>
        <v>Not a building</v>
      </c>
      <c r="K381" s="66"/>
      <c r="L381" s="66"/>
      <c r="M381" s="67"/>
      <c r="N381" s="67"/>
      <c r="O381" s="66"/>
      <c r="P381" s="66"/>
      <c r="Q381" s="67"/>
      <c r="R381" s="67"/>
      <c r="S381" s="67"/>
      <c r="T381" s="67"/>
      <c r="U381" s="67"/>
    </row>
    <row r="382" ht="15.75" customHeight="1">
      <c r="A382" s="26" t="s">
        <v>1384</v>
      </c>
      <c r="B382" s="26" t="s">
        <v>1385</v>
      </c>
      <c r="C382" s="26" t="s">
        <v>1353</v>
      </c>
      <c r="D382" s="26" t="str">
        <f>IFERROR(__xludf.DUMMYFUNCTION("IF(
 C382=""STATE"",
 UPPER(REGEXEXTRACT(A382,""^state\.([^_@]+)"")),
 """"
)"),"CHARACTER")</f>
        <v>CHARACTER</v>
      </c>
      <c r="E382" s="26" t="b">
        <v>1</v>
      </c>
      <c r="F382" s="26" t="s">
        <v>633</v>
      </c>
      <c r="G382" s="26" t="str">
        <f t="shared" si="1"/>
        <v>Not a building</v>
      </c>
      <c r="H382" s="26" t="str">
        <f t="shared" si="2"/>
        <v>Not a building</v>
      </c>
      <c r="K382" s="66"/>
      <c r="L382" s="66"/>
      <c r="M382" s="67"/>
      <c r="N382" s="67"/>
      <c r="O382" s="66"/>
      <c r="P382" s="66"/>
      <c r="Q382" s="67"/>
      <c r="R382" s="67"/>
      <c r="S382" s="67"/>
      <c r="T382" s="67"/>
      <c r="U382" s="67"/>
    </row>
    <row r="383" ht="15.75" customHeight="1">
      <c r="A383" s="26" t="s">
        <v>1386</v>
      </c>
      <c r="B383" s="26" t="s">
        <v>1387</v>
      </c>
      <c r="C383" s="26" t="s">
        <v>1353</v>
      </c>
      <c r="D383" s="26" t="str">
        <f>IFERROR(__xludf.DUMMYFUNCTION("IF(
 C383=""STATE"",
 UPPER(REGEXEXTRACT(A383,""^state\.([^_@]+)"")),
 """"
)"),"CHARACTER")</f>
        <v>CHARACTER</v>
      </c>
      <c r="E383" s="26" t="b">
        <v>1</v>
      </c>
      <c r="F383" s="26" t="s">
        <v>633</v>
      </c>
      <c r="G383" s="26" t="str">
        <f t="shared" si="1"/>
        <v>Not a building</v>
      </c>
      <c r="H383" s="26" t="str">
        <f t="shared" si="2"/>
        <v>Not a building</v>
      </c>
      <c r="K383" s="66"/>
      <c r="L383" s="66"/>
      <c r="M383" s="67"/>
      <c r="N383" s="67"/>
      <c r="O383" s="66"/>
      <c r="P383" s="66"/>
      <c r="Q383" s="67"/>
      <c r="R383" s="67"/>
      <c r="S383" s="67"/>
      <c r="T383" s="67"/>
      <c r="U383" s="67"/>
    </row>
    <row r="384" ht="15.75" customHeight="1">
      <c r="A384" s="26" t="s">
        <v>1388</v>
      </c>
      <c r="B384" s="26" t="s">
        <v>1389</v>
      </c>
      <c r="C384" s="26" t="s">
        <v>1353</v>
      </c>
      <c r="D384" s="26" t="str">
        <f>IFERROR(__xludf.DUMMYFUNCTION("IF(
 C384=""STATE"",
 UPPER(REGEXEXTRACT(A384,""^state\.([^_@]+)"")),
 """"
)"),"CHARACTER")</f>
        <v>CHARACTER</v>
      </c>
      <c r="E384" s="26" t="b">
        <v>1</v>
      </c>
      <c r="F384" s="26" t="s">
        <v>633</v>
      </c>
      <c r="G384" s="26" t="str">
        <f t="shared" si="1"/>
        <v>Not a building</v>
      </c>
      <c r="H384" s="26" t="str">
        <f t="shared" si="2"/>
        <v>Not a building</v>
      </c>
      <c r="K384" s="66"/>
      <c r="L384" s="66"/>
      <c r="M384" s="67"/>
      <c r="N384" s="67"/>
      <c r="O384" s="66"/>
      <c r="P384" s="66"/>
      <c r="Q384" s="67"/>
      <c r="R384" s="67"/>
      <c r="S384" s="67"/>
      <c r="T384" s="67"/>
      <c r="U384" s="67"/>
    </row>
    <row r="385" ht="15.75" customHeight="1">
      <c r="A385" s="26" t="s">
        <v>1391</v>
      </c>
      <c r="B385" s="26" t="s">
        <v>1392</v>
      </c>
      <c r="C385" s="26" t="s">
        <v>1353</v>
      </c>
      <c r="D385" s="26" t="str">
        <f>IFERROR(__xludf.DUMMYFUNCTION("IF(
 C385=""STATE"",
 UPPER(REGEXEXTRACT(A385,""^state\.([^_@]+)"")),
 """"
)"),"CHARACTER")</f>
        <v>CHARACTER</v>
      </c>
      <c r="E385" s="26" t="b">
        <v>1</v>
      </c>
      <c r="F385" s="26" t="s">
        <v>633</v>
      </c>
      <c r="G385" s="26" t="str">
        <f t="shared" si="1"/>
        <v>Not a building</v>
      </c>
      <c r="H385" s="26" t="str">
        <f t="shared" si="2"/>
        <v>Not a building</v>
      </c>
      <c r="K385" s="66"/>
      <c r="L385" s="66"/>
      <c r="M385" s="67"/>
      <c r="N385" s="67"/>
      <c r="O385" s="66"/>
      <c r="P385" s="66"/>
      <c r="Q385" s="67"/>
      <c r="R385" s="67"/>
      <c r="S385" s="67"/>
      <c r="T385" s="67"/>
      <c r="U385" s="67"/>
    </row>
    <row r="386" ht="15.75" customHeight="1">
      <c r="A386" s="26" t="s">
        <v>1393</v>
      </c>
      <c r="B386" s="26" t="s">
        <v>1394</v>
      </c>
      <c r="C386" s="26" t="s">
        <v>1353</v>
      </c>
      <c r="D386" s="26" t="str">
        <f>IFERROR(__xludf.DUMMYFUNCTION("IF(
 C386=""STATE"",
 UPPER(REGEXEXTRACT(A386,""^state\.([^_@]+)"")),
 """"
)"),"CHARACTER")</f>
        <v>CHARACTER</v>
      </c>
      <c r="E386" s="26" t="b">
        <v>1</v>
      </c>
      <c r="F386" s="26" t="s">
        <v>633</v>
      </c>
      <c r="G386" s="26" t="str">
        <f t="shared" si="1"/>
        <v>Not a building</v>
      </c>
      <c r="H386" s="26" t="str">
        <f t="shared" si="2"/>
        <v>Not a building</v>
      </c>
      <c r="K386" s="66"/>
      <c r="L386" s="66"/>
      <c r="M386" s="67"/>
      <c r="N386" s="67"/>
      <c r="O386" s="66"/>
      <c r="P386" s="66"/>
      <c r="Q386" s="67"/>
      <c r="R386" s="67"/>
      <c r="S386" s="67"/>
      <c r="T386" s="67"/>
      <c r="U386" s="67"/>
    </row>
    <row r="387" ht="15.75" customHeight="1">
      <c r="A387" s="26" t="s">
        <v>1395</v>
      </c>
      <c r="B387" s="26" t="s">
        <v>1396</v>
      </c>
      <c r="C387" s="26" t="s">
        <v>1353</v>
      </c>
      <c r="D387" s="26" t="str">
        <f>IFERROR(__xludf.DUMMYFUNCTION("IF(
 C387=""STATE"",
 UPPER(REGEXEXTRACT(A387,""^state\.([^_@]+)"")),
 """"
)"),"CHARACTER")</f>
        <v>CHARACTER</v>
      </c>
      <c r="E387" s="26" t="b">
        <v>1</v>
      </c>
      <c r="F387" s="26" t="s">
        <v>633</v>
      </c>
      <c r="G387" s="26" t="str">
        <f t="shared" si="1"/>
        <v>Not a building</v>
      </c>
      <c r="H387" s="26" t="str">
        <f t="shared" si="2"/>
        <v>Not a building</v>
      </c>
      <c r="K387" s="66"/>
      <c r="L387" s="66"/>
      <c r="M387" s="67"/>
      <c r="N387" s="67"/>
      <c r="O387" s="66"/>
      <c r="P387" s="66"/>
      <c r="Q387" s="67"/>
      <c r="R387" s="67"/>
      <c r="S387" s="67"/>
      <c r="T387" s="67"/>
      <c r="U387" s="67"/>
    </row>
    <row r="388" ht="15.75" customHeight="1">
      <c r="A388" s="26" t="s">
        <v>1397</v>
      </c>
      <c r="B388" s="26" t="s">
        <v>1398</v>
      </c>
      <c r="C388" s="26" t="s">
        <v>1353</v>
      </c>
      <c r="D388" s="26" t="str">
        <f>IFERROR(__xludf.DUMMYFUNCTION("IF(
 C388=""STATE"",
 UPPER(REGEXEXTRACT(A388,""^state\.([^_@]+)"")),
 """"
)"),"CHARACTER")</f>
        <v>CHARACTER</v>
      </c>
      <c r="E388" s="26" t="b">
        <v>1</v>
      </c>
      <c r="F388" s="26" t="s">
        <v>633</v>
      </c>
      <c r="G388" s="26" t="str">
        <f t="shared" si="1"/>
        <v>Not a building</v>
      </c>
      <c r="H388" s="26" t="str">
        <f t="shared" si="2"/>
        <v>Not a building</v>
      </c>
      <c r="K388" s="66"/>
      <c r="L388" s="66"/>
      <c r="M388" s="67"/>
      <c r="N388" s="67"/>
      <c r="O388" s="66"/>
      <c r="P388" s="66"/>
      <c r="Q388" s="67"/>
      <c r="R388" s="67"/>
      <c r="S388" s="67"/>
      <c r="T388" s="67"/>
      <c r="U388" s="67"/>
    </row>
    <row r="389" ht="15.75" customHeight="1">
      <c r="A389" s="26" t="s">
        <v>1400</v>
      </c>
      <c r="B389" s="26" t="s">
        <v>1401</v>
      </c>
      <c r="C389" s="26" t="s">
        <v>1353</v>
      </c>
      <c r="D389" s="26" t="str">
        <f>IFERROR(__xludf.DUMMYFUNCTION("IF(
 C389=""STATE"",
 UPPER(REGEXEXTRACT(A389,""^state\.([^_@]+)"")),
 """"
)"),"CHARACTER")</f>
        <v>CHARACTER</v>
      </c>
      <c r="E389" s="26" t="b">
        <v>1</v>
      </c>
      <c r="F389" s="26" t="s">
        <v>633</v>
      </c>
      <c r="G389" s="26" t="str">
        <f t="shared" si="1"/>
        <v>Not a building</v>
      </c>
      <c r="H389" s="26" t="str">
        <f t="shared" si="2"/>
        <v>Not a building</v>
      </c>
      <c r="K389" s="66"/>
      <c r="L389" s="66"/>
      <c r="M389" s="67"/>
      <c r="N389" s="67"/>
      <c r="O389" s="66"/>
      <c r="P389" s="66"/>
      <c r="Q389" s="67"/>
      <c r="R389" s="67"/>
      <c r="S389" s="67"/>
      <c r="T389" s="67"/>
      <c r="U389" s="67"/>
    </row>
    <row r="390" ht="15.75" customHeight="1">
      <c r="A390" s="26" t="s">
        <v>1402</v>
      </c>
      <c r="B390" s="26" t="s">
        <v>1403</v>
      </c>
      <c r="C390" s="26" t="s">
        <v>1353</v>
      </c>
      <c r="D390" s="26" t="str">
        <f>IFERROR(__xludf.DUMMYFUNCTION("IF(
 C390=""STATE"",
 UPPER(REGEXEXTRACT(A390,""^state\.([^_@]+)"")),
 """"
)"),"CHARACTER")</f>
        <v>CHARACTER</v>
      </c>
      <c r="E390" s="26" t="b">
        <v>1</v>
      </c>
      <c r="F390" s="26" t="s">
        <v>633</v>
      </c>
      <c r="G390" s="26" t="str">
        <f t="shared" si="1"/>
        <v>Not a building</v>
      </c>
      <c r="H390" s="26" t="str">
        <f t="shared" si="2"/>
        <v>Not a building</v>
      </c>
      <c r="K390" s="66"/>
      <c r="L390" s="66"/>
      <c r="M390" s="67"/>
      <c r="N390" s="67"/>
      <c r="O390" s="66"/>
      <c r="P390" s="66"/>
      <c r="Q390" s="67"/>
      <c r="R390" s="67"/>
      <c r="S390" s="67"/>
      <c r="T390" s="67"/>
      <c r="U390" s="67"/>
    </row>
    <row r="391" ht="15.75" customHeight="1">
      <c r="A391" s="26" t="s">
        <v>1404</v>
      </c>
      <c r="B391" s="26" t="s">
        <v>1405</v>
      </c>
      <c r="C391" s="26" t="s">
        <v>1353</v>
      </c>
      <c r="D391" s="26" t="str">
        <f>IFERROR(__xludf.DUMMYFUNCTION("IF(
 C391=""STATE"",
 UPPER(REGEXEXTRACT(A391,""^state\.([^_@]+)"")),
 """"
)"),"CHARACTER")</f>
        <v>CHARACTER</v>
      </c>
      <c r="E391" s="26" t="b">
        <v>1</v>
      </c>
      <c r="F391" s="26" t="s">
        <v>633</v>
      </c>
      <c r="G391" s="26" t="str">
        <f t="shared" si="1"/>
        <v>Not a building</v>
      </c>
      <c r="H391" s="26" t="str">
        <f t="shared" si="2"/>
        <v>Not a building</v>
      </c>
      <c r="K391" s="66"/>
      <c r="L391" s="66"/>
      <c r="M391" s="67"/>
      <c r="N391" s="67"/>
      <c r="O391" s="66"/>
      <c r="P391" s="66"/>
      <c r="Q391" s="67"/>
      <c r="R391" s="67"/>
      <c r="S391" s="67"/>
      <c r="T391" s="67"/>
      <c r="U391" s="67"/>
    </row>
    <row r="392" ht="15.75" customHeight="1">
      <c r="A392" s="26" t="s">
        <v>1406</v>
      </c>
      <c r="B392" s="26" t="s">
        <v>1407</v>
      </c>
      <c r="C392" s="26" t="s">
        <v>1353</v>
      </c>
      <c r="D392" s="26" t="str">
        <f>IFERROR(__xludf.DUMMYFUNCTION("IF(
 C392=""STATE"",
 UPPER(REGEXEXTRACT(A392,""^state\.([^_@]+)"")),
 """"
)"),"CHARACTER")</f>
        <v>CHARACTER</v>
      </c>
      <c r="E392" s="26" t="b">
        <v>1</v>
      </c>
      <c r="F392" s="26" t="s">
        <v>633</v>
      </c>
      <c r="G392" s="26" t="str">
        <f t="shared" si="1"/>
        <v>Not a building</v>
      </c>
      <c r="H392" s="26" t="str">
        <f t="shared" si="2"/>
        <v>Not a building</v>
      </c>
      <c r="K392" s="66"/>
      <c r="L392" s="66"/>
      <c r="M392" s="67"/>
      <c r="N392" s="67"/>
      <c r="O392" s="66"/>
      <c r="P392" s="66"/>
      <c r="Q392" s="67"/>
      <c r="R392" s="67"/>
      <c r="S392" s="67"/>
      <c r="T392" s="67"/>
      <c r="U392" s="67"/>
    </row>
    <row r="393" ht="15.75" customHeight="1">
      <c r="A393" s="26" t="s">
        <v>1409</v>
      </c>
      <c r="B393" s="26" t="s">
        <v>1410</v>
      </c>
      <c r="C393" s="26" t="s">
        <v>1353</v>
      </c>
      <c r="D393" s="26" t="str">
        <f>IFERROR(__xludf.DUMMYFUNCTION("IF(
 C393=""STATE"",
 UPPER(REGEXEXTRACT(A393,""^state\.([^_@]+)"")),
 """"
)"),"CHARACTER")</f>
        <v>CHARACTER</v>
      </c>
      <c r="E393" s="26" t="b">
        <v>1</v>
      </c>
      <c r="F393" s="26" t="s">
        <v>633</v>
      </c>
      <c r="G393" s="26" t="str">
        <f t="shared" si="1"/>
        <v>Not a building</v>
      </c>
      <c r="H393" s="26" t="str">
        <f t="shared" si="2"/>
        <v>Not a building</v>
      </c>
      <c r="K393" s="66"/>
      <c r="L393" s="66"/>
      <c r="M393" s="67"/>
      <c r="N393" s="67"/>
      <c r="O393" s="66"/>
      <c r="P393" s="66"/>
      <c r="Q393" s="67"/>
      <c r="R393" s="67"/>
      <c r="S393" s="67"/>
      <c r="T393" s="67"/>
      <c r="U393" s="67"/>
    </row>
    <row r="394" ht="15.75" customHeight="1">
      <c r="A394" s="26" t="s">
        <v>1411</v>
      </c>
      <c r="B394" s="26" t="s">
        <v>1412</v>
      </c>
      <c r="C394" s="26" t="s">
        <v>1353</v>
      </c>
      <c r="D394" s="26" t="str">
        <f>IFERROR(__xludf.DUMMYFUNCTION("IF(
 C394=""STATE"",
 UPPER(REGEXEXTRACT(A394,""^state\.([^_@]+)"")),
 """"
)"),"CHARACTER")</f>
        <v>CHARACTER</v>
      </c>
      <c r="E394" s="26" t="b">
        <v>1</v>
      </c>
      <c r="F394" s="26" t="s">
        <v>633</v>
      </c>
      <c r="G394" s="26" t="str">
        <f t="shared" si="1"/>
        <v>Not a building</v>
      </c>
      <c r="H394" s="26" t="str">
        <f t="shared" si="2"/>
        <v>Not a building</v>
      </c>
      <c r="K394" s="66"/>
      <c r="L394" s="66"/>
      <c r="M394" s="67"/>
      <c r="N394" s="67"/>
      <c r="O394" s="66"/>
      <c r="P394" s="66"/>
      <c r="Q394" s="67"/>
      <c r="R394" s="67"/>
      <c r="S394" s="67"/>
      <c r="T394" s="67"/>
      <c r="U394" s="67"/>
    </row>
    <row r="395" ht="15.75" customHeight="1">
      <c r="A395" s="26" t="s">
        <v>1413</v>
      </c>
      <c r="B395" s="26" t="s">
        <v>1414</v>
      </c>
      <c r="C395" s="26" t="s">
        <v>1353</v>
      </c>
      <c r="D395" s="26" t="str">
        <f>IFERROR(__xludf.DUMMYFUNCTION("IF(
 C395=""STATE"",
 UPPER(REGEXEXTRACT(A395,""^state\.([^_@]+)"")),
 """"
)"),"CHARACTER")</f>
        <v>CHARACTER</v>
      </c>
      <c r="E395" s="26" t="b">
        <v>1</v>
      </c>
      <c r="F395" s="26" t="s">
        <v>633</v>
      </c>
      <c r="G395" s="26" t="str">
        <f t="shared" si="1"/>
        <v>Not a building</v>
      </c>
      <c r="H395" s="26" t="str">
        <f t="shared" si="2"/>
        <v>Not a building</v>
      </c>
      <c r="K395" s="66"/>
      <c r="L395" s="66"/>
      <c r="M395" s="67"/>
      <c r="N395" s="67"/>
      <c r="O395" s="66"/>
      <c r="P395" s="66"/>
      <c r="Q395" s="67"/>
      <c r="R395" s="67"/>
      <c r="S395" s="67"/>
      <c r="T395" s="67"/>
      <c r="U395" s="67"/>
    </row>
    <row r="396" ht="15.75" customHeight="1">
      <c r="A396" s="26" t="s">
        <v>1415</v>
      </c>
      <c r="B396" s="26" t="s">
        <v>1416</v>
      </c>
      <c r="C396" s="26" t="s">
        <v>1353</v>
      </c>
      <c r="D396" s="26" t="str">
        <f>IFERROR(__xludf.DUMMYFUNCTION("IF(
 C396=""STATE"",
 UPPER(REGEXEXTRACT(A396,""^state\.([^_@]+)"")),
 """"
)"),"CHARACTER")</f>
        <v>CHARACTER</v>
      </c>
      <c r="E396" s="26" t="b">
        <v>1</v>
      </c>
      <c r="F396" s="26" t="s">
        <v>633</v>
      </c>
      <c r="G396" s="26" t="str">
        <f t="shared" si="1"/>
        <v>Not a building</v>
      </c>
      <c r="H396" s="26" t="str">
        <f t="shared" si="2"/>
        <v>Not a building</v>
      </c>
      <c r="K396" s="66"/>
      <c r="L396" s="66"/>
      <c r="M396" s="67"/>
      <c r="N396" s="67"/>
      <c r="O396" s="66"/>
      <c r="P396" s="66"/>
      <c r="Q396" s="67"/>
      <c r="R396" s="67"/>
      <c r="S396" s="67"/>
      <c r="T396" s="67"/>
      <c r="U396" s="67"/>
    </row>
    <row r="397" ht="15.75" customHeight="1">
      <c r="A397" s="26" t="s">
        <v>1418</v>
      </c>
      <c r="B397" s="26" t="s">
        <v>1419</v>
      </c>
      <c r="C397" s="26" t="s">
        <v>1353</v>
      </c>
      <c r="D397" s="26" t="str">
        <f>IFERROR(__xludf.DUMMYFUNCTION("IF(
 C397=""STATE"",
 UPPER(REGEXEXTRACT(A397,""^state\.([^_@]+)"")),
 """"
)"),"CHARACTER")</f>
        <v>CHARACTER</v>
      </c>
      <c r="E397" s="26" t="b">
        <v>1</v>
      </c>
      <c r="F397" s="26" t="s">
        <v>633</v>
      </c>
      <c r="G397" s="26" t="str">
        <f t="shared" si="1"/>
        <v>Not a building</v>
      </c>
      <c r="H397" s="26" t="str">
        <f t="shared" si="2"/>
        <v>Not a building</v>
      </c>
      <c r="K397" s="66"/>
      <c r="L397" s="66"/>
      <c r="M397" s="67"/>
      <c r="N397" s="67"/>
      <c r="O397" s="66"/>
      <c r="P397" s="66"/>
      <c r="Q397" s="67"/>
      <c r="R397" s="67"/>
      <c r="S397" s="67"/>
      <c r="T397" s="67"/>
      <c r="U397" s="67"/>
    </row>
    <row r="398" ht="15.75" customHeight="1">
      <c r="A398" s="26" t="s">
        <v>1420</v>
      </c>
      <c r="B398" s="26" t="s">
        <v>1421</v>
      </c>
      <c r="C398" s="26" t="s">
        <v>1353</v>
      </c>
      <c r="D398" s="26" t="str">
        <f>IFERROR(__xludf.DUMMYFUNCTION("IF(
 C398=""STATE"",
 UPPER(REGEXEXTRACT(A398,""^state\.([^_@]+)"")),
 """"
)"),"CHARACTER")</f>
        <v>CHARACTER</v>
      </c>
      <c r="E398" s="26" t="b">
        <v>1</v>
      </c>
      <c r="F398" s="26" t="s">
        <v>633</v>
      </c>
      <c r="G398" s="26" t="str">
        <f t="shared" si="1"/>
        <v>Not a building</v>
      </c>
      <c r="H398" s="26" t="str">
        <f t="shared" si="2"/>
        <v>Not a building</v>
      </c>
      <c r="K398" s="66"/>
      <c r="L398" s="66"/>
      <c r="M398" s="67"/>
      <c r="N398" s="67"/>
      <c r="O398" s="66"/>
      <c r="P398" s="66"/>
      <c r="Q398" s="67"/>
      <c r="R398" s="67"/>
      <c r="S398" s="67"/>
      <c r="T398" s="67"/>
      <c r="U398" s="67"/>
    </row>
    <row r="399" ht="15.75" customHeight="1">
      <c r="A399" s="26" t="s">
        <v>1422</v>
      </c>
      <c r="B399" s="26" t="s">
        <v>1423</v>
      </c>
      <c r="C399" s="26" t="s">
        <v>1353</v>
      </c>
      <c r="D399" s="26" t="str">
        <f>IFERROR(__xludf.DUMMYFUNCTION("IF(
 C399=""STATE"",
 UPPER(REGEXEXTRACT(A399,""^state\.([^_@]+)"")),
 """"
)"),"CHARACTER")</f>
        <v>CHARACTER</v>
      </c>
      <c r="E399" s="26" t="b">
        <v>1</v>
      </c>
      <c r="F399" s="26" t="s">
        <v>633</v>
      </c>
      <c r="G399" s="26" t="str">
        <f t="shared" si="1"/>
        <v>Not a building</v>
      </c>
      <c r="H399" s="26" t="str">
        <f t="shared" si="2"/>
        <v>Not a building</v>
      </c>
      <c r="K399" s="66"/>
      <c r="L399" s="66"/>
      <c r="M399" s="67"/>
      <c r="N399" s="67"/>
      <c r="O399" s="66"/>
      <c r="P399" s="66"/>
      <c r="Q399" s="67"/>
      <c r="R399" s="67"/>
      <c r="S399" s="67"/>
      <c r="T399" s="67"/>
      <c r="U399" s="67"/>
    </row>
    <row r="400" ht="15.75" customHeight="1">
      <c r="A400" s="26" t="s">
        <v>1424</v>
      </c>
      <c r="B400" s="26" t="s">
        <v>1425</v>
      </c>
      <c r="C400" s="26" t="s">
        <v>1353</v>
      </c>
      <c r="D400" s="26" t="str">
        <f>IFERROR(__xludf.DUMMYFUNCTION("IF(
 C400=""STATE"",
 UPPER(REGEXEXTRACT(A400,""^state\.([^_@]+)"")),
 """"
)"),"CHARACTER")</f>
        <v>CHARACTER</v>
      </c>
      <c r="E400" s="26" t="b">
        <v>1</v>
      </c>
      <c r="F400" s="26" t="s">
        <v>633</v>
      </c>
      <c r="G400" s="26" t="str">
        <f t="shared" si="1"/>
        <v>Not a building</v>
      </c>
      <c r="H400" s="26" t="str">
        <f t="shared" si="2"/>
        <v>Not a building</v>
      </c>
      <c r="K400" s="66"/>
      <c r="L400" s="66"/>
      <c r="M400" s="67"/>
      <c r="N400" s="67"/>
      <c r="O400" s="66"/>
      <c r="P400" s="66"/>
      <c r="Q400" s="67"/>
      <c r="R400" s="67"/>
      <c r="S400" s="67"/>
      <c r="T400" s="67"/>
      <c r="U400" s="67"/>
    </row>
    <row r="401" ht="15.75" customHeight="1">
      <c r="A401" s="26" t="s">
        <v>1426</v>
      </c>
      <c r="B401" s="26" t="s">
        <v>1427</v>
      </c>
      <c r="C401" s="26" t="s">
        <v>1353</v>
      </c>
      <c r="D401" s="26" t="str">
        <f>IFERROR(__xludf.DUMMYFUNCTION("IF(
 C401=""STATE"",
 UPPER(REGEXEXTRACT(A401,""^state\.([^_@]+)"")),
 """"
)"),"CHARACTER")</f>
        <v>CHARACTER</v>
      </c>
      <c r="E401" s="26" t="b">
        <v>1</v>
      </c>
      <c r="F401" s="26" t="s">
        <v>633</v>
      </c>
      <c r="G401" s="26" t="str">
        <f t="shared" si="1"/>
        <v>Not a building</v>
      </c>
      <c r="H401" s="26" t="str">
        <f t="shared" si="2"/>
        <v>Not a building</v>
      </c>
      <c r="K401" s="66"/>
      <c r="L401" s="66"/>
      <c r="M401" s="67"/>
      <c r="N401" s="67"/>
      <c r="O401" s="66"/>
      <c r="P401" s="66"/>
      <c r="Q401" s="67"/>
      <c r="R401" s="67"/>
      <c r="S401" s="67"/>
      <c r="T401" s="67"/>
      <c r="U401" s="67"/>
    </row>
    <row r="402" ht="15.75" customHeight="1">
      <c r="A402" s="26" t="s">
        <v>1429</v>
      </c>
      <c r="B402" s="26" t="s">
        <v>1430</v>
      </c>
      <c r="C402" s="26" t="s">
        <v>1353</v>
      </c>
      <c r="D402" s="26" t="str">
        <f>IFERROR(__xludf.DUMMYFUNCTION("IF(
 C402=""STATE"",
 UPPER(REGEXEXTRACT(A402,""^state\.([^_@]+)"")),
 """"
)"),"CHARACTER")</f>
        <v>CHARACTER</v>
      </c>
      <c r="E402" s="26" t="b">
        <v>1</v>
      </c>
      <c r="F402" s="26" t="s">
        <v>633</v>
      </c>
      <c r="G402" s="26" t="str">
        <f t="shared" si="1"/>
        <v>Not a building</v>
      </c>
      <c r="H402" s="26" t="str">
        <f t="shared" si="2"/>
        <v>Not a building</v>
      </c>
      <c r="K402" s="66"/>
      <c r="L402" s="66"/>
      <c r="M402" s="67"/>
      <c r="N402" s="67"/>
      <c r="O402" s="66"/>
      <c r="P402" s="66"/>
      <c r="Q402" s="67"/>
      <c r="R402" s="67"/>
      <c r="S402" s="67"/>
      <c r="T402" s="67"/>
      <c r="U402" s="67"/>
    </row>
    <row r="403" ht="15.75" customHeight="1">
      <c r="A403" s="26" t="s">
        <v>1431</v>
      </c>
      <c r="B403" s="26" t="s">
        <v>1432</v>
      </c>
      <c r="C403" s="26" t="s">
        <v>1353</v>
      </c>
      <c r="D403" s="26" t="str">
        <f>IFERROR(__xludf.DUMMYFUNCTION("IF(
 C403=""STATE"",
 UPPER(REGEXEXTRACT(A403,""^state\.([^_@]+)"")),
 """"
)"),"CHARACTER")</f>
        <v>CHARACTER</v>
      </c>
      <c r="E403" s="26" t="b">
        <v>1</v>
      </c>
      <c r="F403" s="26" t="s">
        <v>633</v>
      </c>
      <c r="G403" s="26" t="str">
        <f t="shared" si="1"/>
        <v>Not a building</v>
      </c>
      <c r="H403" s="26" t="str">
        <f t="shared" si="2"/>
        <v>Not a building</v>
      </c>
      <c r="K403" s="66"/>
      <c r="L403" s="66"/>
      <c r="M403" s="67"/>
      <c r="N403" s="67"/>
      <c r="O403" s="66"/>
      <c r="P403" s="66"/>
      <c r="Q403" s="67"/>
      <c r="R403" s="67"/>
      <c r="S403" s="67"/>
      <c r="T403" s="67"/>
      <c r="U403" s="67"/>
    </row>
    <row r="404" ht="15.75" customHeight="1">
      <c r="A404" s="26" t="s">
        <v>1433</v>
      </c>
      <c r="B404" s="26" t="s">
        <v>1434</v>
      </c>
      <c r="C404" s="26" t="s">
        <v>1353</v>
      </c>
      <c r="D404" s="26" t="str">
        <f>IFERROR(__xludf.DUMMYFUNCTION("IF(
 C404=""STATE"",
 UPPER(REGEXEXTRACT(A404,""^state\.([^_@]+)"")),
 """"
)"),"CHARACTER")</f>
        <v>CHARACTER</v>
      </c>
      <c r="E404" s="26" t="b">
        <v>1</v>
      </c>
      <c r="F404" s="26" t="s">
        <v>633</v>
      </c>
      <c r="G404" s="26" t="str">
        <f t="shared" si="1"/>
        <v>Not a building</v>
      </c>
      <c r="H404" s="26" t="str">
        <f t="shared" si="2"/>
        <v>Not a building</v>
      </c>
      <c r="K404" s="66"/>
      <c r="L404" s="66"/>
      <c r="M404" s="67"/>
      <c r="N404" s="67"/>
      <c r="O404" s="66"/>
      <c r="P404" s="66"/>
      <c r="Q404" s="67"/>
      <c r="R404" s="67"/>
      <c r="S404" s="67"/>
      <c r="T404" s="67"/>
      <c r="U404" s="67"/>
    </row>
    <row r="405" ht="15.75" customHeight="1">
      <c r="A405" s="26" t="s">
        <v>1435</v>
      </c>
      <c r="B405" s="26" t="s">
        <v>1436</v>
      </c>
      <c r="C405" s="26" t="s">
        <v>1353</v>
      </c>
      <c r="D405" s="26" t="str">
        <f>IFERROR(__xludf.DUMMYFUNCTION("IF(
 C405=""STATE"",
 UPPER(REGEXEXTRACT(A405,""^state\.([^_@]+)"")),
 """"
)"),"CHARACTER")</f>
        <v>CHARACTER</v>
      </c>
      <c r="E405" s="26" t="b">
        <v>1</v>
      </c>
      <c r="F405" s="26" t="s">
        <v>633</v>
      </c>
      <c r="G405" s="26" t="str">
        <f t="shared" si="1"/>
        <v>Not a building</v>
      </c>
      <c r="H405" s="26" t="str">
        <f t="shared" si="2"/>
        <v>Not a building</v>
      </c>
      <c r="K405" s="66"/>
      <c r="L405" s="66"/>
      <c r="M405" s="67"/>
      <c r="N405" s="67"/>
      <c r="O405" s="66"/>
      <c r="P405" s="66"/>
      <c r="Q405" s="67"/>
      <c r="R405" s="67"/>
      <c r="S405" s="67"/>
      <c r="T405" s="67"/>
      <c r="U405" s="67"/>
    </row>
    <row r="406" ht="15.75" customHeight="1">
      <c r="A406" s="26" t="s">
        <v>1438</v>
      </c>
      <c r="B406" s="26" t="s">
        <v>1439</v>
      </c>
      <c r="C406" s="26" t="s">
        <v>1353</v>
      </c>
      <c r="D406" s="26" t="str">
        <f>IFERROR(__xludf.DUMMYFUNCTION("IF(
 C406=""STATE"",
 UPPER(REGEXEXTRACT(A406,""^state\.([^_@]+)"")),
 """"
)"),"CHARACTER")</f>
        <v>CHARACTER</v>
      </c>
      <c r="E406" s="26" t="b">
        <v>1</v>
      </c>
      <c r="F406" s="26" t="s">
        <v>633</v>
      </c>
      <c r="G406" s="26" t="str">
        <f t="shared" si="1"/>
        <v>Not a building</v>
      </c>
      <c r="H406" s="26" t="str">
        <f t="shared" si="2"/>
        <v>Not a building</v>
      </c>
      <c r="K406" s="66"/>
      <c r="L406" s="66"/>
      <c r="M406" s="67"/>
      <c r="N406" s="67"/>
      <c r="O406" s="66"/>
      <c r="P406" s="66"/>
      <c r="Q406" s="67"/>
      <c r="R406" s="67"/>
      <c r="S406" s="67"/>
      <c r="T406" s="67"/>
      <c r="U406" s="67"/>
    </row>
    <row r="407" ht="15.75" customHeight="1">
      <c r="A407" s="26" t="s">
        <v>1440</v>
      </c>
      <c r="B407" s="26" t="s">
        <v>1441</v>
      </c>
      <c r="C407" s="26" t="s">
        <v>1353</v>
      </c>
      <c r="D407" s="26" t="str">
        <f>IFERROR(__xludf.DUMMYFUNCTION("IF(
 C407=""STATE"",
 UPPER(REGEXEXTRACT(A407,""^state\.([^_@]+)"")),
 """"
)"),"CHARACTER")</f>
        <v>CHARACTER</v>
      </c>
      <c r="E407" s="26" t="b">
        <v>1</v>
      </c>
      <c r="F407" s="26" t="s">
        <v>633</v>
      </c>
      <c r="G407" s="26" t="str">
        <f t="shared" si="1"/>
        <v>Not a building</v>
      </c>
      <c r="H407" s="26" t="str">
        <f t="shared" si="2"/>
        <v>Not a building</v>
      </c>
      <c r="K407" s="66"/>
      <c r="L407" s="66"/>
      <c r="M407" s="67"/>
      <c r="N407" s="67"/>
      <c r="O407" s="66"/>
      <c r="P407" s="66"/>
      <c r="Q407" s="67"/>
      <c r="R407" s="67"/>
      <c r="S407" s="67"/>
      <c r="T407" s="67"/>
      <c r="U407" s="67"/>
    </row>
    <row r="408" ht="15.75" customHeight="1">
      <c r="A408" s="26" t="s">
        <v>1442</v>
      </c>
      <c r="B408" s="26" t="s">
        <v>1443</v>
      </c>
      <c r="C408" s="26" t="s">
        <v>1353</v>
      </c>
      <c r="D408" s="26" t="str">
        <f>IFERROR(__xludf.DUMMYFUNCTION("IF(
 C408=""STATE"",
 UPPER(REGEXEXTRACT(A408,""^state\.([^_@]+)"")),
 """"
)"),"CHARACTER")</f>
        <v>CHARACTER</v>
      </c>
      <c r="E408" s="26" t="b">
        <v>1</v>
      </c>
      <c r="F408" s="26" t="s">
        <v>633</v>
      </c>
      <c r="G408" s="26" t="str">
        <f t="shared" si="1"/>
        <v>Not a building</v>
      </c>
      <c r="H408" s="26" t="str">
        <f t="shared" si="2"/>
        <v>Not a building</v>
      </c>
      <c r="K408" s="66"/>
      <c r="L408" s="66"/>
      <c r="M408" s="67"/>
      <c r="N408" s="67"/>
      <c r="O408" s="66"/>
      <c r="P408" s="66"/>
      <c r="Q408" s="67"/>
      <c r="R408" s="67"/>
      <c r="S408" s="67"/>
      <c r="T408" s="67"/>
      <c r="U408" s="67"/>
    </row>
    <row r="409" ht="15.75" customHeight="1">
      <c r="A409" s="26" t="s">
        <v>1444</v>
      </c>
      <c r="B409" s="26" t="s">
        <v>1445</v>
      </c>
      <c r="C409" s="26" t="s">
        <v>1353</v>
      </c>
      <c r="D409" s="26" t="str">
        <f>IFERROR(__xludf.DUMMYFUNCTION("IF(
 C409=""STATE"",
 UPPER(REGEXEXTRACT(A409,""^state\.([^_@]+)"")),
 """"
)"),"COMPLETE")</f>
        <v>COMPLETE</v>
      </c>
      <c r="E409" s="26" t="b">
        <v>1</v>
      </c>
      <c r="F409" s="26" t="s">
        <v>633</v>
      </c>
      <c r="G409" s="26" t="str">
        <f t="shared" si="1"/>
        <v>Not a building</v>
      </c>
      <c r="H409" s="26" t="str">
        <f t="shared" si="2"/>
        <v>Not a building</v>
      </c>
      <c r="K409" s="66"/>
      <c r="L409" s="66"/>
      <c r="M409" s="67"/>
      <c r="N409" s="67"/>
      <c r="O409" s="66"/>
      <c r="P409" s="66"/>
      <c r="Q409" s="67"/>
      <c r="R409" s="67"/>
      <c r="S409" s="67"/>
      <c r="T409" s="67"/>
      <c r="U409" s="67"/>
    </row>
    <row r="410" ht="15.75" customHeight="1">
      <c r="A410" s="26" t="s">
        <v>1447</v>
      </c>
      <c r="B410" s="26" t="s">
        <v>1448</v>
      </c>
      <c r="C410" s="26" t="s">
        <v>1353</v>
      </c>
      <c r="D410" s="26" t="str">
        <f>IFERROR(__xludf.DUMMYFUNCTION("IF(
 C410=""STATE"",
 UPPER(REGEXEXTRACT(A410,""^state\.([^_@]+)"")),
 """"
)"),"COMPLETE")</f>
        <v>COMPLETE</v>
      </c>
      <c r="E410" s="26" t="b">
        <v>1</v>
      </c>
      <c r="F410" s="26" t="s">
        <v>633</v>
      </c>
      <c r="G410" s="26" t="str">
        <f t="shared" si="1"/>
        <v>Not a building</v>
      </c>
      <c r="H410" s="26" t="str">
        <f t="shared" si="2"/>
        <v>Not a building</v>
      </c>
      <c r="K410" s="66"/>
      <c r="L410" s="66"/>
      <c r="M410" s="67"/>
      <c r="N410" s="67"/>
      <c r="O410" s="66"/>
      <c r="P410" s="66"/>
      <c r="Q410" s="67"/>
      <c r="R410" s="67"/>
      <c r="S410" s="67"/>
      <c r="T410" s="67"/>
      <c r="U410" s="67"/>
    </row>
    <row r="411" ht="15.75" customHeight="1">
      <c r="A411" s="26" t="s">
        <v>1449</v>
      </c>
      <c r="B411" s="26" t="s">
        <v>1450</v>
      </c>
      <c r="C411" s="26" t="s">
        <v>1353</v>
      </c>
      <c r="D411" s="26" t="str">
        <f>IFERROR(__xludf.DUMMYFUNCTION("IF(
 C411=""STATE"",
 UPPER(REGEXEXTRACT(A411,""^state\.([^_@]+)"")),
 """"
)"),"COMPLETE")</f>
        <v>COMPLETE</v>
      </c>
      <c r="E411" s="26" t="b">
        <v>1</v>
      </c>
      <c r="F411" s="26" t="s">
        <v>633</v>
      </c>
      <c r="G411" s="26" t="str">
        <f t="shared" si="1"/>
        <v>Not a building</v>
      </c>
      <c r="H411" s="26" t="str">
        <f t="shared" si="2"/>
        <v>Not a building</v>
      </c>
      <c r="K411" s="66"/>
      <c r="L411" s="66"/>
      <c r="M411" s="67"/>
      <c r="N411" s="67"/>
      <c r="O411" s="66"/>
      <c r="P411" s="66"/>
      <c r="Q411" s="67"/>
      <c r="R411" s="67"/>
      <c r="S411" s="67"/>
      <c r="T411" s="67"/>
      <c r="U411" s="67"/>
    </row>
    <row r="412" ht="15.75" customHeight="1">
      <c r="A412" s="26" t="s">
        <v>1451</v>
      </c>
      <c r="B412" s="26" t="s">
        <v>1452</v>
      </c>
      <c r="C412" s="26" t="s">
        <v>1353</v>
      </c>
      <c r="D412" s="26" t="str">
        <f>IFERROR(__xludf.DUMMYFUNCTION("IF(
 C412=""STATE"",
 UPPER(REGEXEXTRACT(A412,""^state\.([^_@]+)"")),
 """"
)"),"COMPLETE")</f>
        <v>COMPLETE</v>
      </c>
      <c r="E412" s="26" t="b">
        <v>1</v>
      </c>
      <c r="F412" s="26" t="s">
        <v>633</v>
      </c>
      <c r="G412" s="26" t="str">
        <f t="shared" si="1"/>
        <v>Not a building</v>
      </c>
      <c r="H412" s="26" t="str">
        <f t="shared" si="2"/>
        <v>Not a building</v>
      </c>
      <c r="K412" s="66"/>
      <c r="L412" s="66"/>
      <c r="M412" s="67"/>
      <c r="N412" s="67"/>
      <c r="O412" s="66"/>
      <c r="P412" s="66"/>
      <c r="Q412" s="67"/>
      <c r="R412" s="67"/>
      <c r="S412" s="67"/>
      <c r="T412" s="67"/>
      <c r="U412" s="67"/>
    </row>
    <row r="413" ht="15.75" customHeight="1">
      <c r="A413" s="26" t="s">
        <v>1454</v>
      </c>
      <c r="B413" s="26" t="s">
        <v>1455</v>
      </c>
      <c r="C413" s="26" t="s">
        <v>1353</v>
      </c>
      <c r="D413" s="26" t="str">
        <f>IFERROR(__xludf.DUMMYFUNCTION("IF(
 C413=""STATE"",
 UPPER(REGEXEXTRACT(A413,""^state\.([^_@]+)"")),
 """"
)"),"COMPLETE")</f>
        <v>COMPLETE</v>
      </c>
      <c r="E413" s="26" t="b">
        <v>1</v>
      </c>
      <c r="F413" s="26" t="s">
        <v>633</v>
      </c>
      <c r="G413" s="26" t="str">
        <f t="shared" si="1"/>
        <v>Not a building</v>
      </c>
      <c r="H413" s="26" t="str">
        <f t="shared" si="2"/>
        <v>Not a building</v>
      </c>
      <c r="K413" s="66"/>
      <c r="L413" s="66"/>
      <c r="M413" s="67"/>
      <c r="N413" s="67"/>
      <c r="O413" s="66"/>
      <c r="P413" s="66"/>
      <c r="Q413" s="67"/>
      <c r="R413" s="67"/>
      <c r="S413" s="67"/>
      <c r="T413" s="67"/>
      <c r="U413" s="67"/>
    </row>
    <row r="414" ht="15.75" customHeight="1">
      <c r="A414" s="26" t="s">
        <v>1457</v>
      </c>
      <c r="B414" s="26" t="s">
        <v>1458</v>
      </c>
      <c r="C414" s="26" t="s">
        <v>1353</v>
      </c>
      <c r="D414" s="26" t="str">
        <f>IFERROR(__xludf.DUMMYFUNCTION("IF(
 C414=""STATE"",
 UPPER(REGEXEXTRACT(A414,""^state\.([^_@]+)"")),
 """"
)"),"COMPLETE")</f>
        <v>COMPLETE</v>
      </c>
      <c r="E414" s="26" t="b">
        <v>1</v>
      </c>
      <c r="F414" s="26" t="s">
        <v>633</v>
      </c>
      <c r="G414" s="26" t="str">
        <f t="shared" si="1"/>
        <v>Not a building</v>
      </c>
      <c r="H414" s="26" t="str">
        <f t="shared" si="2"/>
        <v>Not a building</v>
      </c>
      <c r="K414" s="66"/>
      <c r="L414" s="66"/>
      <c r="M414" s="67"/>
      <c r="N414" s="67"/>
      <c r="O414" s="66"/>
      <c r="P414" s="66"/>
      <c r="Q414" s="67"/>
      <c r="R414" s="67"/>
      <c r="S414" s="67"/>
      <c r="T414" s="67"/>
      <c r="U414" s="67"/>
    </row>
    <row r="415" ht="15.75" customHeight="1">
      <c r="A415" s="26" t="s">
        <v>1459</v>
      </c>
      <c r="B415" s="26" t="s">
        <v>1460</v>
      </c>
      <c r="C415" s="26" t="s">
        <v>1353</v>
      </c>
      <c r="D415" s="26" t="str">
        <f>IFERROR(__xludf.DUMMYFUNCTION("IF(
 C415=""STATE"",
 UPPER(REGEXEXTRACT(A415,""^state\.([^_@]+)"")),
 """"
)"),"COMPLETE")</f>
        <v>COMPLETE</v>
      </c>
      <c r="E415" s="26" t="b">
        <v>1</v>
      </c>
      <c r="F415" s="26" t="s">
        <v>633</v>
      </c>
      <c r="G415" s="26" t="str">
        <f t="shared" si="1"/>
        <v>Not a building</v>
      </c>
      <c r="H415" s="26" t="str">
        <f t="shared" si="2"/>
        <v>Not a building</v>
      </c>
      <c r="K415" s="66"/>
      <c r="L415" s="66"/>
      <c r="M415" s="67"/>
      <c r="N415" s="67"/>
      <c r="O415" s="66"/>
      <c r="P415" s="66"/>
      <c r="Q415" s="67"/>
      <c r="R415" s="67"/>
      <c r="S415" s="67"/>
      <c r="T415" s="67"/>
      <c r="U415" s="67"/>
    </row>
    <row r="416" ht="15.75" customHeight="1">
      <c r="A416" s="26" t="s">
        <v>1462</v>
      </c>
      <c r="B416" s="26" t="s">
        <v>1463</v>
      </c>
      <c r="C416" s="26" t="s">
        <v>1353</v>
      </c>
      <c r="D416" s="26" t="str">
        <f>IFERROR(__xludf.DUMMYFUNCTION("IF(
 C416=""STATE"",
 UPPER(REGEXEXTRACT(A416,""^state\.([^_@]+)"")),
 """"
)"),"COMPLETE")</f>
        <v>COMPLETE</v>
      </c>
      <c r="E416" s="26" t="b">
        <v>1</v>
      </c>
      <c r="F416" s="26" t="s">
        <v>633</v>
      </c>
      <c r="G416" s="26" t="str">
        <f t="shared" si="1"/>
        <v>Not a building</v>
      </c>
      <c r="H416" s="26" t="str">
        <f t="shared" si="2"/>
        <v>Not a building</v>
      </c>
      <c r="K416" s="66"/>
      <c r="L416" s="66"/>
      <c r="M416" s="67"/>
      <c r="N416" s="67"/>
      <c r="O416" s="66"/>
      <c r="P416" s="66"/>
      <c r="Q416" s="67"/>
      <c r="R416" s="67"/>
      <c r="S416" s="67"/>
      <c r="T416" s="67"/>
      <c r="U416" s="67"/>
    </row>
    <row r="417" ht="15.75" customHeight="1">
      <c r="A417" s="26" t="s">
        <v>1464</v>
      </c>
      <c r="B417" s="26" t="s">
        <v>1465</v>
      </c>
      <c r="C417" s="26" t="s">
        <v>1353</v>
      </c>
      <c r="D417" s="26" t="str">
        <f>IFERROR(__xludf.DUMMYFUNCTION("IF(
 C417=""STATE"",
 UPPER(REGEXEXTRACT(A417,""^state\.([^_@]+)"")),
 """"
)"),"DELIVER")</f>
        <v>DELIVER</v>
      </c>
      <c r="E417" s="26" t="b">
        <v>1</v>
      </c>
      <c r="F417" s="26" t="s">
        <v>633</v>
      </c>
      <c r="G417" s="26" t="str">
        <f t="shared" si="1"/>
        <v>Not a building</v>
      </c>
      <c r="H417" s="26" t="str">
        <f t="shared" si="2"/>
        <v>Not a building</v>
      </c>
      <c r="K417" s="66"/>
      <c r="L417" s="66"/>
      <c r="M417" s="67"/>
      <c r="N417" s="67"/>
      <c r="O417" s="66"/>
      <c r="P417" s="66"/>
      <c r="Q417" s="67"/>
      <c r="R417" s="67"/>
      <c r="S417" s="67"/>
      <c r="T417" s="67"/>
      <c r="U417" s="67"/>
    </row>
    <row r="418" ht="15.75" customHeight="1">
      <c r="A418" s="26" t="s">
        <v>1466</v>
      </c>
      <c r="B418" s="26" t="s">
        <v>1467</v>
      </c>
      <c r="C418" s="26" t="s">
        <v>1353</v>
      </c>
      <c r="D418" s="26" t="str">
        <f>IFERROR(__xludf.DUMMYFUNCTION("IF(
 C418=""STATE"",
 UPPER(REGEXEXTRACT(A418,""^state\.([^_@]+)"")),
 """"
)"),"DELIVER")</f>
        <v>DELIVER</v>
      </c>
      <c r="E418" s="26" t="b">
        <v>1</v>
      </c>
      <c r="F418" s="26" t="s">
        <v>633</v>
      </c>
      <c r="G418" s="26" t="str">
        <f t="shared" si="1"/>
        <v>Not a building</v>
      </c>
      <c r="H418" s="26" t="str">
        <f t="shared" si="2"/>
        <v>Not a building</v>
      </c>
      <c r="K418" s="66"/>
      <c r="L418" s="66"/>
      <c r="M418" s="67"/>
      <c r="N418" s="67"/>
      <c r="O418" s="66"/>
      <c r="P418" s="66"/>
      <c r="Q418" s="67"/>
      <c r="R418" s="67"/>
      <c r="S418" s="67"/>
      <c r="T418" s="67"/>
      <c r="U418" s="67"/>
    </row>
    <row r="419" ht="15.75" customHeight="1">
      <c r="A419" s="26" t="s">
        <v>1469</v>
      </c>
      <c r="B419" s="26" t="s">
        <v>1470</v>
      </c>
      <c r="C419" s="26" t="s">
        <v>1353</v>
      </c>
      <c r="D419" s="26" t="str">
        <f>IFERROR(__xludf.DUMMYFUNCTION("IF(
 C419=""STATE"",
 UPPER(REGEXEXTRACT(A419,""^state\.([^_@]+)"")),
 """"
)"),"DELIVER")</f>
        <v>DELIVER</v>
      </c>
      <c r="E419" s="26" t="b">
        <v>1</v>
      </c>
      <c r="F419" s="26" t="s">
        <v>633</v>
      </c>
      <c r="G419" s="26" t="str">
        <f t="shared" si="1"/>
        <v>Not a building</v>
      </c>
      <c r="H419" s="26" t="str">
        <f t="shared" si="2"/>
        <v>Not a building</v>
      </c>
      <c r="K419" s="66"/>
      <c r="L419" s="66"/>
      <c r="M419" s="67"/>
      <c r="N419" s="67"/>
      <c r="O419" s="66"/>
      <c r="P419" s="66"/>
      <c r="Q419" s="67"/>
      <c r="R419" s="67"/>
      <c r="S419" s="67"/>
      <c r="T419" s="67"/>
      <c r="U419" s="67"/>
    </row>
    <row r="420" ht="15.75" customHeight="1">
      <c r="A420" s="26" t="s">
        <v>1471</v>
      </c>
      <c r="B420" s="26" t="s">
        <v>1472</v>
      </c>
      <c r="C420" s="26" t="s">
        <v>1353</v>
      </c>
      <c r="D420" s="26" t="str">
        <f>IFERROR(__xludf.DUMMYFUNCTION("IF(
 C420=""STATE"",
 UPPER(REGEXEXTRACT(A420,""^state\.([^_@]+)"")),
 """"
)"),"DELIVER")</f>
        <v>DELIVER</v>
      </c>
      <c r="E420" s="26" t="b">
        <v>1</v>
      </c>
      <c r="F420" s="26" t="s">
        <v>633</v>
      </c>
      <c r="G420" s="26" t="str">
        <f t="shared" si="1"/>
        <v>Not a building</v>
      </c>
      <c r="H420" s="26" t="str">
        <f t="shared" si="2"/>
        <v>Not a building</v>
      </c>
      <c r="K420" s="66"/>
      <c r="L420" s="66"/>
      <c r="M420" s="67"/>
      <c r="N420" s="67"/>
      <c r="O420" s="66"/>
      <c r="P420" s="66"/>
      <c r="Q420" s="67"/>
      <c r="R420" s="67"/>
      <c r="S420" s="67"/>
      <c r="T420" s="67"/>
      <c r="U420" s="67"/>
    </row>
    <row r="421" ht="15.75" customHeight="1">
      <c r="A421" s="26" t="s">
        <v>1473</v>
      </c>
      <c r="B421" s="26" t="s">
        <v>1474</v>
      </c>
      <c r="C421" s="26" t="s">
        <v>1353</v>
      </c>
      <c r="D421" s="26" t="str">
        <f>IFERROR(__xludf.DUMMYFUNCTION("IF(
 C421=""STATE"",
 UPPER(REGEXEXTRACT(A421,""^state\.([^_@]+)"")),
 """"
)"),"DELIVER")</f>
        <v>DELIVER</v>
      </c>
      <c r="E421" s="26" t="b">
        <v>1</v>
      </c>
      <c r="F421" s="26" t="s">
        <v>633</v>
      </c>
      <c r="G421" s="26" t="str">
        <f t="shared" si="1"/>
        <v>Not a building</v>
      </c>
      <c r="H421" s="26" t="str">
        <f t="shared" si="2"/>
        <v>Not a building</v>
      </c>
      <c r="K421" s="66"/>
      <c r="L421" s="66"/>
      <c r="M421" s="67"/>
      <c r="N421" s="67"/>
      <c r="O421" s="66"/>
      <c r="P421" s="66"/>
      <c r="Q421" s="67"/>
      <c r="R421" s="67"/>
      <c r="S421" s="67"/>
      <c r="T421" s="67"/>
      <c r="U421" s="67"/>
    </row>
    <row r="422" ht="15.75" customHeight="1">
      <c r="A422" s="26" t="s">
        <v>1476</v>
      </c>
      <c r="B422" s="26" t="s">
        <v>1477</v>
      </c>
      <c r="C422" s="26" t="s">
        <v>1353</v>
      </c>
      <c r="D422" s="26" t="str">
        <f>IFERROR(__xludf.DUMMYFUNCTION("IF(
 C422=""STATE"",
 UPPER(REGEXEXTRACT(A422,""^state\.([^_@]+)"")),
 """"
)"),"DELIVER")</f>
        <v>DELIVER</v>
      </c>
      <c r="E422" s="26" t="b">
        <v>1</v>
      </c>
      <c r="F422" s="26" t="s">
        <v>633</v>
      </c>
      <c r="G422" s="26" t="str">
        <f t="shared" si="1"/>
        <v>Not a building</v>
      </c>
      <c r="H422" s="26" t="str">
        <f t="shared" si="2"/>
        <v>Not a building</v>
      </c>
      <c r="K422" s="66"/>
      <c r="L422" s="66"/>
      <c r="M422" s="67"/>
      <c r="N422" s="67"/>
      <c r="O422" s="66"/>
      <c r="P422" s="66"/>
      <c r="Q422" s="67"/>
      <c r="R422" s="67"/>
      <c r="S422" s="67"/>
      <c r="T422" s="67"/>
      <c r="U422" s="67"/>
    </row>
    <row r="423" ht="15.75" customHeight="1">
      <c r="A423" s="26" t="s">
        <v>1478</v>
      </c>
      <c r="B423" s="26" t="s">
        <v>1479</v>
      </c>
      <c r="C423" s="26" t="s">
        <v>1353</v>
      </c>
      <c r="D423" s="26" t="str">
        <f>IFERROR(__xludf.DUMMYFUNCTION("IF(
 C423=""STATE"",
 UPPER(REGEXEXTRACT(A423,""^state\.([^_@]+)"")),
 """"
)"),"DELIVER")</f>
        <v>DELIVER</v>
      </c>
      <c r="E423" s="26" t="b">
        <v>1</v>
      </c>
      <c r="F423" s="26" t="s">
        <v>633</v>
      </c>
      <c r="G423" s="26" t="str">
        <f t="shared" si="1"/>
        <v>Not a building</v>
      </c>
      <c r="H423" s="26" t="str">
        <f t="shared" si="2"/>
        <v>Not a building</v>
      </c>
      <c r="K423" s="66"/>
      <c r="L423" s="66"/>
      <c r="M423" s="67"/>
      <c r="N423" s="67"/>
      <c r="O423" s="66"/>
      <c r="P423" s="66"/>
      <c r="Q423" s="67"/>
      <c r="R423" s="67"/>
      <c r="S423" s="67"/>
      <c r="T423" s="67"/>
      <c r="U423" s="67"/>
    </row>
    <row r="424" ht="15.75" customHeight="1">
      <c r="A424" s="26" t="s">
        <v>1480</v>
      </c>
      <c r="B424" s="26" t="s">
        <v>1481</v>
      </c>
      <c r="C424" s="26" t="s">
        <v>1353</v>
      </c>
      <c r="D424" s="26" t="str">
        <f>IFERROR(__xludf.DUMMYFUNCTION("IF(
 C424=""STATE"",
 UPPER(REGEXEXTRACT(A424,""^state\.([^_@]+)"")),
 """"
)"),"DELIVER")</f>
        <v>DELIVER</v>
      </c>
      <c r="E424" s="26" t="b">
        <v>1</v>
      </c>
      <c r="F424" s="26" t="s">
        <v>633</v>
      </c>
      <c r="G424" s="26" t="str">
        <f t="shared" si="1"/>
        <v>Not a building</v>
      </c>
      <c r="H424" s="26" t="str">
        <f t="shared" si="2"/>
        <v>Not a building</v>
      </c>
      <c r="K424" s="66"/>
      <c r="L424" s="66"/>
      <c r="M424" s="67"/>
      <c r="N424" s="67"/>
      <c r="O424" s="66"/>
      <c r="P424" s="66"/>
      <c r="Q424" s="67"/>
      <c r="R424" s="67"/>
      <c r="S424" s="67"/>
      <c r="T424" s="67"/>
      <c r="U424" s="67"/>
    </row>
    <row r="425" ht="15.75" customHeight="1">
      <c r="A425" s="26" t="s">
        <v>1482</v>
      </c>
      <c r="B425" s="26" t="s">
        <v>1483</v>
      </c>
      <c r="C425" s="26" t="s">
        <v>1353</v>
      </c>
      <c r="D425" s="26" t="str">
        <f>IFERROR(__xludf.DUMMYFUNCTION("IF(
 C425=""STATE"",
 UPPER(REGEXEXTRACT(A425,""^state\.([^_@]+)"")),
 """"
)"),"DELIVER")</f>
        <v>DELIVER</v>
      </c>
      <c r="E425" s="26" t="b">
        <v>1</v>
      </c>
      <c r="F425" s="26" t="s">
        <v>633</v>
      </c>
      <c r="G425" s="26" t="str">
        <f t="shared" si="1"/>
        <v>Not a building</v>
      </c>
      <c r="H425" s="26" t="str">
        <f t="shared" si="2"/>
        <v>Not a building</v>
      </c>
      <c r="K425" s="66"/>
      <c r="L425" s="66"/>
      <c r="M425" s="67"/>
      <c r="N425" s="67"/>
      <c r="O425" s="66"/>
      <c r="P425" s="66"/>
      <c r="Q425" s="67"/>
      <c r="R425" s="67"/>
      <c r="S425" s="67"/>
      <c r="T425" s="67"/>
      <c r="U425" s="67"/>
    </row>
    <row r="426" ht="15.75" customHeight="1">
      <c r="A426" s="26" t="s">
        <v>1485</v>
      </c>
      <c r="B426" s="26" t="s">
        <v>1486</v>
      </c>
      <c r="C426" s="26" t="s">
        <v>1353</v>
      </c>
      <c r="D426" s="26" t="str">
        <f>IFERROR(__xludf.DUMMYFUNCTION("IF(
 C426=""STATE"",
 UPPER(REGEXEXTRACT(A426,""^state\.([^_@]+)"")),
 """"
)"),"DELIVER")</f>
        <v>DELIVER</v>
      </c>
      <c r="E426" s="26" t="b">
        <v>1</v>
      </c>
      <c r="F426" s="26" t="s">
        <v>633</v>
      </c>
      <c r="G426" s="26" t="str">
        <f t="shared" si="1"/>
        <v>Not a building</v>
      </c>
      <c r="H426" s="26" t="str">
        <f t="shared" si="2"/>
        <v>Not a building</v>
      </c>
      <c r="K426" s="66"/>
      <c r="L426" s="66"/>
      <c r="M426" s="67"/>
      <c r="N426" s="67"/>
      <c r="O426" s="66"/>
      <c r="P426" s="66"/>
      <c r="Q426" s="67"/>
      <c r="R426" s="67"/>
      <c r="S426" s="67"/>
      <c r="T426" s="67"/>
      <c r="U426" s="67"/>
    </row>
    <row r="427" ht="15.75" customHeight="1">
      <c r="A427" s="26" t="s">
        <v>1487</v>
      </c>
      <c r="B427" s="26" t="s">
        <v>1488</v>
      </c>
      <c r="C427" s="26" t="s">
        <v>1353</v>
      </c>
      <c r="D427" s="26" t="str">
        <f>IFERROR(__xludf.DUMMYFUNCTION("IF(
 C427=""STATE"",
 UPPER(REGEXEXTRACT(A427,""^state\.([^_@]+)"")),
 """"
)"),"DELIVER")</f>
        <v>DELIVER</v>
      </c>
      <c r="E427" s="26" t="b">
        <v>1</v>
      </c>
      <c r="F427" s="26" t="s">
        <v>633</v>
      </c>
      <c r="G427" s="26" t="str">
        <f t="shared" si="1"/>
        <v>Not a building</v>
      </c>
      <c r="H427" s="26" t="str">
        <f t="shared" si="2"/>
        <v>Not a building</v>
      </c>
      <c r="K427" s="66"/>
      <c r="L427" s="66"/>
      <c r="M427" s="67"/>
      <c r="N427" s="67"/>
      <c r="O427" s="66"/>
      <c r="P427" s="66"/>
      <c r="Q427" s="67"/>
      <c r="R427" s="67"/>
      <c r="S427" s="67"/>
      <c r="T427" s="67"/>
      <c r="U427" s="67"/>
    </row>
    <row r="428" ht="15.75" customHeight="1">
      <c r="A428" s="26" t="s">
        <v>1490</v>
      </c>
      <c r="B428" s="26" t="s">
        <v>1491</v>
      </c>
      <c r="C428" s="26" t="s">
        <v>1353</v>
      </c>
      <c r="D428" s="26" t="str">
        <f>IFERROR(__xludf.DUMMYFUNCTION("IF(
 C428=""STATE"",
 UPPER(REGEXEXTRACT(A428,""^state\.([^_@]+)"")),
 """"
)"),"DELIVER")</f>
        <v>DELIVER</v>
      </c>
      <c r="E428" s="26" t="b">
        <v>1</v>
      </c>
      <c r="F428" s="26" t="s">
        <v>633</v>
      </c>
      <c r="G428" s="26" t="str">
        <f t="shared" si="1"/>
        <v>Not a building</v>
      </c>
      <c r="H428" s="26" t="str">
        <f t="shared" si="2"/>
        <v>Not a building</v>
      </c>
      <c r="K428" s="66"/>
      <c r="L428" s="66"/>
      <c r="M428" s="67"/>
      <c r="N428" s="67"/>
      <c r="O428" s="66"/>
      <c r="P428" s="66"/>
      <c r="Q428" s="67"/>
      <c r="R428" s="67"/>
      <c r="S428" s="67"/>
      <c r="T428" s="67"/>
      <c r="U428" s="67"/>
    </row>
    <row r="429" ht="15.75" customHeight="1">
      <c r="A429" s="26" t="s">
        <v>1492</v>
      </c>
      <c r="B429" s="26" t="s">
        <v>1493</v>
      </c>
      <c r="C429" s="26" t="s">
        <v>1353</v>
      </c>
      <c r="D429" s="26" t="str">
        <f>IFERROR(__xludf.DUMMYFUNCTION("IF(
 C429=""STATE"",
 UPPER(REGEXEXTRACT(A429,""^state\.([^_@]+)"")),
 """"
)"),"DELIVER")</f>
        <v>DELIVER</v>
      </c>
      <c r="E429" s="26" t="b">
        <v>1</v>
      </c>
      <c r="F429" s="26" t="s">
        <v>633</v>
      </c>
      <c r="G429" s="26" t="str">
        <f t="shared" si="1"/>
        <v>Not a building</v>
      </c>
      <c r="H429" s="26" t="str">
        <f t="shared" si="2"/>
        <v>Not a building</v>
      </c>
      <c r="K429" s="66"/>
      <c r="L429" s="66"/>
      <c r="M429" s="67"/>
      <c r="N429" s="67"/>
      <c r="O429" s="66"/>
      <c r="P429" s="66"/>
      <c r="Q429" s="67"/>
      <c r="R429" s="67"/>
      <c r="S429" s="67"/>
      <c r="T429" s="67"/>
      <c r="U429" s="67"/>
    </row>
    <row r="430" ht="15.75" customHeight="1">
      <c r="A430" s="26" t="s">
        <v>1495</v>
      </c>
      <c r="B430" s="26" t="s">
        <v>1496</v>
      </c>
      <c r="C430" s="26" t="s">
        <v>1353</v>
      </c>
      <c r="D430" s="26" t="str">
        <f>IFERROR(__xludf.DUMMYFUNCTION("IF(
 C430=""STATE"",
 UPPER(REGEXEXTRACT(A430,""^state\.([^_@]+)"")),
 """"
)"),"DELIVER")</f>
        <v>DELIVER</v>
      </c>
      <c r="E430" s="26" t="b">
        <v>1</v>
      </c>
      <c r="F430" s="26" t="s">
        <v>633</v>
      </c>
      <c r="G430" s="26" t="str">
        <f t="shared" si="1"/>
        <v>Not a building</v>
      </c>
      <c r="H430" s="26" t="str">
        <f t="shared" si="2"/>
        <v>Not a building</v>
      </c>
      <c r="K430" s="66"/>
      <c r="L430" s="66"/>
      <c r="M430" s="67"/>
      <c r="N430" s="67"/>
      <c r="O430" s="66"/>
      <c r="P430" s="66"/>
      <c r="Q430" s="67"/>
      <c r="R430" s="67"/>
      <c r="S430" s="67"/>
      <c r="T430" s="67"/>
      <c r="U430" s="67"/>
    </row>
    <row r="431" ht="15.75" customHeight="1">
      <c r="A431" s="26" t="s">
        <v>1498</v>
      </c>
      <c r="B431" s="26" t="s">
        <v>1499</v>
      </c>
      <c r="C431" s="26" t="s">
        <v>1353</v>
      </c>
      <c r="D431" s="26" t="str">
        <f>IFERROR(__xludf.DUMMYFUNCTION("IF(
 C431=""STATE"",
 UPPER(REGEXEXTRACT(A431,""^state\.([^_@]+)"")),
 """"
)"),"DELIVER")</f>
        <v>DELIVER</v>
      </c>
      <c r="E431" s="26" t="b">
        <v>1</v>
      </c>
      <c r="F431" s="26" t="s">
        <v>633</v>
      </c>
      <c r="G431" s="26" t="str">
        <f t="shared" si="1"/>
        <v>Not a building</v>
      </c>
      <c r="H431" s="26" t="str">
        <f t="shared" si="2"/>
        <v>Not a building</v>
      </c>
      <c r="K431" s="66"/>
      <c r="L431" s="66"/>
      <c r="M431" s="67"/>
      <c r="N431" s="67"/>
      <c r="O431" s="66"/>
      <c r="P431" s="66"/>
      <c r="Q431" s="67"/>
      <c r="R431" s="67"/>
      <c r="S431" s="67"/>
      <c r="T431" s="67"/>
      <c r="U431" s="67"/>
    </row>
    <row r="432" ht="15.75" customHeight="1">
      <c r="A432" s="26" t="s">
        <v>1500</v>
      </c>
      <c r="B432" s="26" t="s">
        <v>1501</v>
      </c>
      <c r="C432" s="26" t="s">
        <v>1353</v>
      </c>
      <c r="D432" s="26" t="str">
        <f>IFERROR(__xludf.DUMMYFUNCTION("IF(
 C432=""STATE"",
 UPPER(REGEXEXTRACT(A432,""^state\.([^_@]+)"")),
 """"
)"),"DELIVER")</f>
        <v>DELIVER</v>
      </c>
      <c r="E432" s="26" t="b">
        <v>1</v>
      </c>
      <c r="F432" s="26" t="s">
        <v>633</v>
      </c>
      <c r="G432" s="26" t="str">
        <f t="shared" si="1"/>
        <v>Not a building</v>
      </c>
      <c r="H432" s="26" t="str">
        <f t="shared" si="2"/>
        <v>Not a building</v>
      </c>
      <c r="K432" s="66"/>
      <c r="L432" s="66"/>
      <c r="M432" s="67"/>
      <c r="N432" s="67"/>
      <c r="O432" s="66"/>
      <c r="P432" s="66"/>
      <c r="Q432" s="67"/>
      <c r="R432" s="67"/>
      <c r="S432" s="67"/>
      <c r="T432" s="67"/>
      <c r="U432" s="67"/>
    </row>
    <row r="433" ht="15.75" customHeight="1">
      <c r="A433" s="26" t="s">
        <v>1502</v>
      </c>
      <c r="B433" s="26" t="s">
        <v>1503</v>
      </c>
      <c r="C433" s="26" t="s">
        <v>1353</v>
      </c>
      <c r="D433" s="26" t="str">
        <f>IFERROR(__xludf.DUMMYFUNCTION("IF(
 C433=""STATE"",
 UPPER(REGEXEXTRACT(A433,""^state\.([^_@]+)"")),
 """"
)"),"FIND")</f>
        <v>FIND</v>
      </c>
      <c r="E433" s="26" t="b">
        <v>1</v>
      </c>
      <c r="F433" s="26" t="s">
        <v>633</v>
      </c>
      <c r="G433" s="26" t="str">
        <f t="shared" si="1"/>
        <v>Not a building</v>
      </c>
      <c r="H433" s="26" t="str">
        <f t="shared" si="2"/>
        <v>Not a building</v>
      </c>
      <c r="K433" s="66"/>
      <c r="L433" s="66"/>
      <c r="M433" s="67"/>
      <c r="N433" s="67"/>
      <c r="O433" s="66"/>
      <c r="P433" s="66"/>
      <c r="Q433" s="67"/>
      <c r="R433" s="67"/>
      <c r="S433" s="67"/>
      <c r="T433" s="67"/>
      <c r="U433" s="67"/>
    </row>
    <row r="434" ht="15.75" customHeight="1">
      <c r="A434" s="26" t="s">
        <v>1505</v>
      </c>
      <c r="B434" s="26" t="s">
        <v>1506</v>
      </c>
      <c r="C434" s="26" t="s">
        <v>1353</v>
      </c>
      <c r="D434" s="26" t="str">
        <f>IFERROR(__xludf.DUMMYFUNCTION("IF(
 C434=""STATE"",
 UPPER(REGEXEXTRACT(A434,""^state\.([^_@]+)"")),
 """"
)"),"FIND")</f>
        <v>FIND</v>
      </c>
      <c r="E434" s="26" t="b">
        <v>1</v>
      </c>
      <c r="F434" s="26" t="s">
        <v>633</v>
      </c>
      <c r="G434" s="26" t="str">
        <f t="shared" si="1"/>
        <v>Not a building</v>
      </c>
      <c r="H434" s="26" t="str">
        <f t="shared" si="2"/>
        <v>Not a building</v>
      </c>
      <c r="K434" s="66"/>
      <c r="L434" s="66"/>
      <c r="M434" s="67"/>
      <c r="N434" s="67"/>
      <c r="O434" s="66"/>
      <c r="P434" s="66"/>
      <c r="Q434" s="67"/>
      <c r="R434" s="67"/>
      <c r="S434" s="67"/>
      <c r="T434" s="67"/>
      <c r="U434" s="67"/>
    </row>
    <row r="435" ht="15.75" customHeight="1">
      <c r="A435" s="26" t="s">
        <v>1507</v>
      </c>
      <c r="B435" s="26" t="s">
        <v>1508</v>
      </c>
      <c r="C435" s="26" t="s">
        <v>1353</v>
      </c>
      <c r="D435" s="26" t="str">
        <f>IFERROR(__xludf.DUMMYFUNCTION("IF(
 C435=""STATE"",
 UPPER(REGEXEXTRACT(A435,""^state\.([^_@]+)"")),
 """"
)"),"FIND")</f>
        <v>FIND</v>
      </c>
      <c r="E435" s="26" t="b">
        <v>1</v>
      </c>
      <c r="F435" s="26" t="s">
        <v>633</v>
      </c>
      <c r="G435" s="26" t="str">
        <f t="shared" si="1"/>
        <v>Not a building</v>
      </c>
      <c r="H435" s="26" t="str">
        <f t="shared" si="2"/>
        <v>Not a building</v>
      </c>
      <c r="K435" s="66"/>
      <c r="L435" s="66"/>
      <c r="M435" s="67"/>
      <c r="N435" s="67"/>
      <c r="O435" s="66"/>
      <c r="P435" s="66"/>
      <c r="Q435" s="67"/>
      <c r="R435" s="67"/>
      <c r="S435" s="67"/>
      <c r="T435" s="67"/>
      <c r="U435" s="67"/>
    </row>
    <row r="436" ht="15.75" customHeight="1">
      <c r="A436" s="26" t="s">
        <v>1509</v>
      </c>
      <c r="B436" s="26" t="s">
        <v>1510</v>
      </c>
      <c r="C436" s="26" t="s">
        <v>1353</v>
      </c>
      <c r="D436" s="26" t="str">
        <f>IFERROR(__xludf.DUMMYFUNCTION("IF(
 C436=""STATE"",
 UPPER(REGEXEXTRACT(A436,""^state\.([^_@]+)"")),
 """"
)"),"FIND")</f>
        <v>FIND</v>
      </c>
      <c r="E436" s="26" t="b">
        <v>1</v>
      </c>
      <c r="F436" s="26" t="s">
        <v>633</v>
      </c>
      <c r="G436" s="26" t="str">
        <f t="shared" si="1"/>
        <v>Not a building</v>
      </c>
      <c r="H436" s="26" t="str">
        <f t="shared" si="2"/>
        <v>Not a building</v>
      </c>
      <c r="K436" s="66"/>
      <c r="L436" s="66"/>
      <c r="M436" s="67"/>
      <c r="N436" s="67"/>
      <c r="O436" s="66"/>
      <c r="P436" s="66"/>
      <c r="Q436" s="67"/>
      <c r="R436" s="67"/>
      <c r="S436" s="67"/>
      <c r="T436" s="67"/>
      <c r="U436" s="67"/>
    </row>
    <row r="437" ht="15.75" customHeight="1">
      <c r="A437" s="26" t="s">
        <v>1512</v>
      </c>
      <c r="B437" s="26" t="s">
        <v>1513</v>
      </c>
      <c r="C437" s="26" t="s">
        <v>1353</v>
      </c>
      <c r="D437" s="26" t="str">
        <f>IFERROR(__xludf.DUMMYFUNCTION("IF(
 C437=""STATE"",
 UPPER(REGEXEXTRACT(A437,""^state\.([^_@]+)"")),
 """"
)"),"FIND")</f>
        <v>FIND</v>
      </c>
      <c r="E437" s="26" t="b">
        <v>1</v>
      </c>
      <c r="F437" s="26" t="s">
        <v>633</v>
      </c>
      <c r="G437" s="26" t="str">
        <f t="shared" si="1"/>
        <v>Not a building</v>
      </c>
      <c r="H437" s="26" t="str">
        <f t="shared" si="2"/>
        <v>Not a building</v>
      </c>
      <c r="K437" s="66"/>
      <c r="L437" s="66"/>
      <c r="M437" s="67"/>
      <c r="N437" s="67"/>
      <c r="O437" s="66"/>
      <c r="P437" s="66"/>
      <c r="Q437" s="67"/>
      <c r="R437" s="67"/>
      <c r="S437" s="67"/>
      <c r="T437" s="67"/>
      <c r="U437" s="67"/>
    </row>
    <row r="438" ht="15.75" customHeight="1">
      <c r="A438" s="26" t="s">
        <v>1514</v>
      </c>
      <c r="B438" s="26" t="s">
        <v>1515</v>
      </c>
      <c r="C438" s="26" t="s">
        <v>1353</v>
      </c>
      <c r="D438" s="26" t="str">
        <f>IFERROR(__xludf.DUMMYFUNCTION("IF(
 C438=""STATE"",
 UPPER(REGEXEXTRACT(A438,""^state\.([^_@]+)"")),
 """"
)"),"MEET")</f>
        <v>MEET</v>
      </c>
      <c r="E438" s="26" t="b">
        <v>1</v>
      </c>
      <c r="F438" s="26" t="s">
        <v>633</v>
      </c>
      <c r="G438" s="26" t="str">
        <f t="shared" si="1"/>
        <v>Not a building</v>
      </c>
      <c r="H438" s="26" t="str">
        <f t="shared" si="2"/>
        <v>Not a building</v>
      </c>
      <c r="K438" s="66"/>
      <c r="L438" s="66"/>
      <c r="M438" s="67"/>
      <c r="N438" s="67"/>
      <c r="O438" s="66"/>
      <c r="P438" s="66"/>
      <c r="Q438" s="67"/>
      <c r="R438" s="67"/>
      <c r="S438" s="67"/>
      <c r="T438" s="67"/>
      <c r="U438" s="67"/>
    </row>
    <row r="439" ht="15.75" customHeight="1">
      <c r="A439" s="26" t="s">
        <v>1516</v>
      </c>
      <c r="B439" s="26" t="s">
        <v>1517</v>
      </c>
      <c r="C439" s="26" t="s">
        <v>1353</v>
      </c>
      <c r="D439" s="26" t="str">
        <f>IFERROR(__xludf.DUMMYFUNCTION("IF(
 C439=""STATE"",
 UPPER(REGEXEXTRACT(A439,""^state\.([^_@]+)"")),
 """"
)"),"MEET")</f>
        <v>MEET</v>
      </c>
      <c r="E439" s="26" t="b">
        <v>1</v>
      </c>
      <c r="F439" s="26" t="s">
        <v>633</v>
      </c>
      <c r="G439" s="26" t="str">
        <f t="shared" si="1"/>
        <v>Not a building</v>
      </c>
      <c r="H439" s="26" t="str">
        <f t="shared" si="2"/>
        <v>Not a building</v>
      </c>
      <c r="K439" s="66"/>
      <c r="L439" s="66"/>
      <c r="M439" s="67"/>
      <c r="N439" s="67"/>
      <c r="O439" s="66"/>
      <c r="P439" s="66"/>
      <c r="Q439" s="67"/>
      <c r="R439" s="67"/>
      <c r="S439" s="67"/>
      <c r="T439" s="67"/>
      <c r="U439" s="67"/>
    </row>
    <row r="440" ht="15.75" customHeight="1">
      <c r="A440" s="26" t="s">
        <v>1519</v>
      </c>
      <c r="B440" s="26" t="s">
        <v>1520</v>
      </c>
      <c r="C440" s="26" t="s">
        <v>1353</v>
      </c>
      <c r="D440" s="26" t="str">
        <f>IFERROR(__xludf.DUMMYFUNCTION("IF(
 C440=""STATE"",
 UPPER(REGEXEXTRACT(A440,""^state\.([^_@]+)"")),
 """"
)"),"MEET")</f>
        <v>MEET</v>
      </c>
      <c r="E440" s="26" t="b">
        <v>1</v>
      </c>
      <c r="F440" s="26" t="s">
        <v>633</v>
      </c>
      <c r="G440" s="26" t="str">
        <f t="shared" si="1"/>
        <v>Not a building</v>
      </c>
      <c r="H440" s="26" t="str">
        <f t="shared" si="2"/>
        <v>Not a building</v>
      </c>
      <c r="K440" s="66"/>
      <c r="L440" s="66"/>
      <c r="M440" s="67"/>
      <c r="N440" s="67"/>
      <c r="O440" s="66"/>
      <c r="P440" s="66"/>
      <c r="Q440" s="67"/>
      <c r="R440" s="67"/>
      <c r="S440" s="67"/>
      <c r="T440" s="67"/>
      <c r="U440" s="67"/>
    </row>
    <row r="441" ht="15.75" customHeight="1">
      <c r="A441" s="26" t="s">
        <v>1521</v>
      </c>
      <c r="B441" s="26" t="s">
        <v>1522</v>
      </c>
      <c r="C441" s="26" t="s">
        <v>1353</v>
      </c>
      <c r="D441" s="26" t="str">
        <f>IFERROR(__xludf.DUMMYFUNCTION("IF(
 C441=""STATE"",
 UPPER(REGEXEXTRACT(A441,""^state\.([^_@]+)"")),
 """"
)"),"MEET")</f>
        <v>MEET</v>
      </c>
      <c r="E441" s="26" t="b">
        <v>1</v>
      </c>
      <c r="F441" s="26" t="s">
        <v>633</v>
      </c>
      <c r="G441" s="26" t="str">
        <f t="shared" si="1"/>
        <v>Not a building</v>
      </c>
      <c r="H441" s="26" t="str">
        <f t="shared" si="2"/>
        <v>Not a building</v>
      </c>
      <c r="K441" s="66"/>
      <c r="L441" s="66"/>
      <c r="M441" s="67"/>
      <c r="N441" s="67"/>
      <c r="O441" s="66"/>
      <c r="P441" s="66"/>
      <c r="Q441" s="67"/>
      <c r="R441" s="67"/>
      <c r="S441" s="67"/>
      <c r="T441" s="67"/>
      <c r="U441" s="67"/>
    </row>
    <row r="442" ht="15.75" customHeight="1">
      <c r="A442" s="26" t="s">
        <v>1523</v>
      </c>
      <c r="B442" s="26" t="s">
        <v>1524</v>
      </c>
      <c r="C442" s="26" t="s">
        <v>1353</v>
      </c>
      <c r="D442" s="26" t="str">
        <f>IFERROR(__xludf.DUMMYFUNCTION("IF(
 C442=""STATE"",
 UPPER(REGEXEXTRACT(A442,""^state\.([^_@]+)"")),
 """"
)"),"MEET")</f>
        <v>MEET</v>
      </c>
      <c r="E442" s="26" t="b">
        <v>1</v>
      </c>
      <c r="F442" s="26" t="s">
        <v>633</v>
      </c>
      <c r="G442" s="26" t="str">
        <f t="shared" si="1"/>
        <v>Not a building</v>
      </c>
      <c r="H442" s="26" t="str">
        <f t="shared" si="2"/>
        <v>Not a building</v>
      </c>
      <c r="K442" s="66"/>
      <c r="L442" s="66"/>
      <c r="M442" s="67"/>
      <c r="N442" s="67"/>
      <c r="O442" s="66"/>
      <c r="P442" s="66"/>
      <c r="Q442" s="67"/>
      <c r="R442" s="67"/>
      <c r="S442" s="67"/>
      <c r="T442" s="67"/>
      <c r="U442" s="67"/>
    </row>
    <row r="443" ht="15.75" customHeight="1">
      <c r="A443" s="26" t="s">
        <v>1525</v>
      </c>
      <c r="B443" s="26" t="s">
        <v>1526</v>
      </c>
      <c r="C443" s="26" t="s">
        <v>1353</v>
      </c>
      <c r="D443" s="26" t="str">
        <f>IFERROR(__xludf.DUMMYFUNCTION("IF(
 C443=""STATE"",
 UPPER(REGEXEXTRACT(A443,""^state\.([^_@]+)"")),
 """"
)"),"MEET")</f>
        <v>MEET</v>
      </c>
      <c r="E443" s="26" t="b">
        <v>1</v>
      </c>
      <c r="F443" s="26" t="s">
        <v>633</v>
      </c>
      <c r="G443" s="26" t="str">
        <f t="shared" si="1"/>
        <v>Not a building</v>
      </c>
      <c r="H443" s="26" t="str">
        <f t="shared" si="2"/>
        <v>Not a building</v>
      </c>
      <c r="K443" s="66"/>
      <c r="L443" s="66"/>
      <c r="M443" s="67"/>
      <c r="N443" s="67"/>
      <c r="O443" s="66"/>
      <c r="P443" s="66"/>
      <c r="Q443" s="67"/>
      <c r="R443" s="67"/>
      <c r="S443" s="67"/>
      <c r="T443" s="67"/>
      <c r="U443" s="67"/>
    </row>
    <row r="444" ht="15.75" customHeight="1">
      <c r="A444" s="26" t="s">
        <v>1528</v>
      </c>
      <c r="B444" s="26" t="s">
        <v>1529</v>
      </c>
      <c r="C444" s="26" t="s">
        <v>1353</v>
      </c>
      <c r="D444" s="26" t="str">
        <f>IFERROR(__xludf.DUMMYFUNCTION("IF(
 C444=""STATE"",
 UPPER(REGEXEXTRACT(A444,""^state\.([^_@]+)"")),
 """"
)"),"MEET")</f>
        <v>MEET</v>
      </c>
      <c r="E444" s="26" t="b">
        <v>1</v>
      </c>
      <c r="F444" s="26" t="s">
        <v>633</v>
      </c>
      <c r="G444" s="26" t="str">
        <f t="shared" si="1"/>
        <v>Not a building</v>
      </c>
      <c r="H444" s="26" t="str">
        <f t="shared" si="2"/>
        <v>Not a building</v>
      </c>
      <c r="K444" s="66"/>
      <c r="L444" s="66"/>
      <c r="M444" s="67"/>
      <c r="N444" s="67"/>
      <c r="O444" s="66"/>
      <c r="P444" s="66"/>
      <c r="Q444" s="67"/>
      <c r="R444" s="67"/>
      <c r="S444" s="67"/>
      <c r="T444" s="67"/>
      <c r="U444" s="67"/>
    </row>
    <row r="445" ht="15.75" customHeight="1">
      <c r="A445" s="82" t="s">
        <v>1530</v>
      </c>
      <c r="B445" s="26" t="s">
        <v>1531</v>
      </c>
      <c r="C445" s="26" t="s">
        <v>1353</v>
      </c>
      <c r="D445" s="26" t="str">
        <f>IFERROR(__xludf.DUMMYFUNCTION("IF(
 C445=""STATE"",
 UPPER(REGEXEXTRACT(A445,""^state\.([^_@]+)"")),
 """"
)"),"MEET")</f>
        <v>MEET</v>
      </c>
      <c r="E445" s="26" t="b">
        <v>1</v>
      </c>
      <c r="F445" s="26" t="s">
        <v>633</v>
      </c>
      <c r="G445" s="26" t="str">
        <f t="shared" si="1"/>
        <v>Not a building</v>
      </c>
      <c r="H445" s="26" t="str">
        <f t="shared" si="2"/>
        <v>Not a building</v>
      </c>
      <c r="K445" s="66"/>
      <c r="L445" s="66"/>
      <c r="M445" s="67"/>
      <c r="N445" s="67"/>
      <c r="O445" s="66"/>
      <c r="P445" s="66"/>
      <c r="Q445" s="67"/>
      <c r="R445" s="67"/>
      <c r="S445" s="67"/>
      <c r="T445" s="67"/>
      <c r="U445" s="67"/>
    </row>
    <row r="446" ht="15.75" customHeight="1">
      <c r="A446" s="26" t="s">
        <v>1532</v>
      </c>
      <c r="B446" s="26" t="s">
        <v>1533</v>
      </c>
      <c r="C446" s="26" t="s">
        <v>1353</v>
      </c>
      <c r="D446" s="26" t="str">
        <f>IFERROR(__xludf.DUMMYFUNCTION("IF(
 C446=""STATE"",
 UPPER(REGEXEXTRACT(A446,""^state\.([^_@]+)"")),
 """"
)"),"MEET")</f>
        <v>MEET</v>
      </c>
      <c r="E446" s="26" t="b">
        <v>1</v>
      </c>
      <c r="F446" s="26" t="s">
        <v>633</v>
      </c>
      <c r="G446" s="26" t="str">
        <f t="shared" si="1"/>
        <v>Not a building</v>
      </c>
      <c r="H446" s="26" t="str">
        <f t="shared" si="2"/>
        <v>Not a building</v>
      </c>
      <c r="K446" s="66"/>
      <c r="L446" s="66"/>
      <c r="M446" s="67"/>
      <c r="N446" s="67"/>
      <c r="O446" s="66"/>
      <c r="P446" s="66"/>
      <c r="Q446" s="67"/>
      <c r="R446" s="67"/>
      <c r="S446" s="67"/>
      <c r="T446" s="67"/>
      <c r="U446" s="67"/>
    </row>
    <row r="447" ht="15.75" customHeight="1">
      <c r="A447" s="26" t="s">
        <v>1534</v>
      </c>
      <c r="B447" s="26" t="s">
        <v>1536</v>
      </c>
      <c r="C447" s="26" t="s">
        <v>1353</v>
      </c>
      <c r="D447" s="26" t="str">
        <f>IFERROR(__xludf.DUMMYFUNCTION("IF(
 C447=""STATE"",
 UPPER(REGEXEXTRACT(A447,""^state\.([^_@]+)"")),
 """"
)"),"MEET")</f>
        <v>MEET</v>
      </c>
      <c r="E447" s="26" t="b">
        <v>1</v>
      </c>
      <c r="F447" s="26" t="s">
        <v>633</v>
      </c>
      <c r="G447" s="26" t="str">
        <f t="shared" si="1"/>
        <v>Not a building</v>
      </c>
      <c r="H447" s="26" t="str">
        <f t="shared" si="2"/>
        <v>Not a building</v>
      </c>
      <c r="K447" s="66"/>
      <c r="L447" s="66"/>
      <c r="M447" s="67"/>
      <c r="N447" s="67"/>
      <c r="O447" s="66"/>
      <c r="P447" s="66"/>
      <c r="Q447" s="67"/>
      <c r="R447" s="67"/>
      <c r="S447" s="67"/>
      <c r="T447" s="67"/>
      <c r="U447" s="67"/>
    </row>
    <row r="448" ht="15.75" customHeight="1">
      <c r="A448" s="26" t="s">
        <v>1538</v>
      </c>
      <c r="B448" s="26" t="s">
        <v>1539</v>
      </c>
      <c r="C448" s="26" t="s">
        <v>1353</v>
      </c>
      <c r="D448" s="26" t="str">
        <f>IFERROR(__xludf.DUMMYFUNCTION("IF(
 C448=""STATE"",
 UPPER(REGEXEXTRACT(A448,""^state\.([^_@]+)"")),
 """"
)"),"MEET")</f>
        <v>MEET</v>
      </c>
      <c r="E448" s="26" t="b">
        <v>1</v>
      </c>
      <c r="F448" s="26" t="s">
        <v>633</v>
      </c>
      <c r="G448" s="26" t="str">
        <f t="shared" si="1"/>
        <v>Not a building</v>
      </c>
      <c r="H448" s="26" t="str">
        <f t="shared" si="2"/>
        <v>Not a building</v>
      </c>
      <c r="K448" s="66"/>
      <c r="L448" s="66"/>
      <c r="M448" s="67"/>
      <c r="N448" s="67"/>
      <c r="O448" s="66"/>
      <c r="P448" s="66"/>
      <c r="Q448" s="67"/>
      <c r="R448" s="67"/>
      <c r="S448" s="67"/>
      <c r="T448" s="67"/>
      <c r="U448" s="67"/>
    </row>
    <row r="449" ht="15.75" customHeight="1">
      <c r="A449" s="26" t="s">
        <v>1540</v>
      </c>
      <c r="B449" s="26" t="s">
        <v>1541</v>
      </c>
      <c r="C449" s="26" t="s">
        <v>1353</v>
      </c>
      <c r="D449" s="26" t="str">
        <f>IFERROR(__xludf.DUMMYFUNCTION("IF(
 C449=""STATE"",
 UPPER(REGEXEXTRACT(A449,""^state\.([^_@]+)"")),
 """"
)"),"MEET")</f>
        <v>MEET</v>
      </c>
      <c r="E449" s="26" t="b">
        <v>1</v>
      </c>
      <c r="F449" s="26" t="s">
        <v>633</v>
      </c>
      <c r="G449" s="26" t="str">
        <f t="shared" si="1"/>
        <v>Not a building</v>
      </c>
      <c r="H449" s="26" t="str">
        <f t="shared" si="2"/>
        <v>Not a building</v>
      </c>
      <c r="K449" s="66"/>
      <c r="L449" s="66"/>
      <c r="M449" s="67"/>
      <c r="N449" s="67"/>
      <c r="O449" s="66"/>
      <c r="P449" s="66"/>
      <c r="Q449" s="67"/>
      <c r="R449" s="67"/>
      <c r="S449" s="67"/>
      <c r="T449" s="67"/>
      <c r="U449" s="67"/>
    </row>
    <row r="450" ht="15.75" customHeight="1">
      <c r="A450" s="26" t="s">
        <v>1542</v>
      </c>
      <c r="B450" s="26" t="s">
        <v>1543</v>
      </c>
      <c r="C450" s="26" t="s">
        <v>1353</v>
      </c>
      <c r="D450" s="26" t="str">
        <f>IFERROR(__xludf.DUMMYFUNCTION("IF(
 C450=""STATE"",
 UPPER(REGEXEXTRACT(A450,""^state\.([^_@]+)"")),
 """"
)"),"MEET")</f>
        <v>MEET</v>
      </c>
      <c r="E450" s="26" t="b">
        <v>1</v>
      </c>
      <c r="F450" s="26" t="s">
        <v>633</v>
      </c>
      <c r="G450" s="26" t="str">
        <f t="shared" si="1"/>
        <v>Not a building</v>
      </c>
      <c r="H450" s="26" t="str">
        <f t="shared" si="2"/>
        <v>Not a building</v>
      </c>
      <c r="K450" s="66"/>
      <c r="L450" s="66"/>
      <c r="M450" s="67"/>
      <c r="N450" s="67"/>
      <c r="O450" s="66"/>
      <c r="P450" s="66"/>
      <c r="Q450" s="67"/>
      <c r="R450" s="67"/>
      <c r="S450" s="67"/>
      <c r="T450" s="67"/>
      <c r="U450" s="67"/>
    </row>
    <row r="451" ht="15.75" customHeight="1">
      <c r="A451" s="26" t="s">
        <v>1544</v>
      </c>
      <c r="B451" s="26" t="s">
        <v>1545</v>
      </c>
      <c r="C451" s="26" t="s">
        <v>1353</v>
      </c>
      <c r="D451" s="26" t="str">
        <f>IFERROR(__xludf.DUMMYFUNCTION("IF(
 C451=""STATE"",
 UPPER(REGEXEXTRACT(A451,""^state\.([^_@]+)"")),
 """"
)"),"MEET")</f>
        <v>MEET</v>
      </c>
      <c r="E451" s="26" t="b">
        <v>1</v>
      </c>
      <c r="F451" s="26" t="s">
        <v>633</v>
      </c>
      <c r="G451" s="26" t="str">
        <f t="shared" si="1"/>
        <v>Not a building</v>
      </c>
      <c r="H451" s="26" t="str">
        <f t="shared" si="2"/>
        <v>Not a building</v>
      </c>
      <c r="K451" s="66"/>
      <c r="L451" s="66"/>
      <c r="M451" s="67"/>
      <c r="N451" s="67"/>
      <c r="O451" s="66"/>
      <c r="P451" s="66"/>
      <c r="Q451" s="67"/>
      <c r="R451" s="67"/>
      <c r="S451" s="67"/>
      <c r="T451" s="67"/>
      <c r="U451" s="67"/>
    </row>
    <row r="452" ht="15.75" customHeight="1">
      <c r="A452" s="26" t="s">
        <v>1547</v>
      </c>
      <c r="B452" s="26" t="s">
        <v>1548</v>
      </c>
      <c r="C452" s="26" t="s">
        <v>1353</v>
      </c>
      <c r="D452" s="26" t="str">
        <f>IFERROR(__xludf.DUMMYFUNCTION("IF(
 C452=""STATE"",
 UPPER(REGEXEXTRACT(A452,""^state\.([^_@]+)"")),
 """"
)"),"MEET")</f>
        <v>MEET</v>
      </c>
      <c r="E452" s="26" t="b">
        <v>1</v>
      </c>
      <c r="F452" s="26" t="s">
        <v>633</v>
      </c>
      <c r="G452" s="26" t="str">
        <f t="shared" si="1"/>
        <v>Not a building</v>
      </c>
      <c r="H452" s="26" t="str">
        <f t="shared" si="2"/>
        <v>Not a building</v>
      </c>
      <c r="K452" s="66"/>
      <c r="L452" s="66"/>
      <c r="M452" s="67"/>
      <c r="N452" s="67"/>
      <c r="O452" s="66"/>
      <c r="P452" s="66"/>
      <c r="Q452" s="67"/>
      <c r="R452" s="67"/>
      <c r="S452" s="67"/>
      <c r="T452" s="67"/>
      <c r="U452" s="67"/>
    </row>
    <row r="453" ht="15.75" customHeight="1">
      <c r="A453" s="26" t="s">
        <v>1549</v>
      </c>
      <c r="B453" s="26" t="s">
        <v>1550</v>
      </c>
      <c r="C453" s="26" t="s">
        <v>1353</v>
      </c>
      <c r="D453" s="26" t="str">
        <f>IFERROR(__xludf.DUMMYFUNCTION("IF(
 C453=""STATE"",
 UPPER(REGEXEXTRACT(A453,""^state\.([^_@]+)"")),
 """"
)"),"MEET")</f>
        <v>MEET</v>
      </c>
      <c r="E453" s="26" t="b">
        <v>1</v>
      </c>
      <c r="F453" s="26" t="s">
        <v>633</v>
      </c>
      <c r="G453" s="26" t="str">
        <f t="shared" si="1"/>
        <v>Not a building</v>
      </c>
      <c r="H453" s="26" t="str">
        <f t="shared" si="2"/>
        <v>Not a building</v>
      </c>
      <c r="K453" s="66"/>
      <c r="L453" s="66"/>
      <c r="M453" s="67"/>
      <c r="N453" s="67"/>
      <c r="O453" s="66"/>
      <c r="P453" s="66"/>
      <c r="Q453" s="67"/>
      <c r="R453" s="67"/>
      <c r="S453" s="67"/>
      <c r="T453" s="67"/>
      <c r="U453" s="67"/>
    </row>
    <row r="454" ht="15.75" customHeight="1">
      <c r="A454" s="26" t="s">
        <v>1551</v>
      </c>
      <c r="B454" s="26" t="s">
        <v>1552</v>
      </c>
      <c r="C454" s="26" t="s">
        <v>1353</v>
      </c>
      <c r="D454" s="26" t="str">
        <f>IFERROR(__xludf.DUMMYFUNCTION("IF(
 C454=""STATE"",
 UPPER(REGEXEXTRACT(A454,""^state\.([^_@]+)"")),
 """"
)"),"MEET")</f>
        <v>MEET</v>
      </c>
      <c r="E454" s="26" t="b">
        <v>1</v>
      </c>
      <c r="F454" s="26" t="s">
        <v>633</v>
      </c>
      <c r="G454" s="26" t="str">
        <f t="shared" si="1"/>
        <v>Not a building</v>
      </c>
      <c r="H454" s="26" t="str">
        <f t="shared" si="2"/>
        <v>Not a building</v>
      </c>
      <c r="K454" s="66"/>
      <c r="L454" s="66"/>
      <c r="M454" s="67"/>
      <c r="N454" s="67"/>
      <c r="O454" s="66"/>
      <c r="P454" s="66"/>
      <c r="Q454" s="67"/>
      <c r="R454" s="67"/>
      <c r="S454" s="67"/>
      <c r="T454" s="67"/>
      <c r="U454" s="67"/>
    </row>
    <row r="455" ht="15.75" customHeight="1">
      <c r="A455" s="26" t="s">
        <v>1554</v>
      </c>
      <c r="B455" s="26" t="s">
        <v>1555</v>
      </c>
      <c r="C455" s="26" t="s">
        <v>1353</v>
      </c>
      <c r="D455" s="26" t="str">
        <f>IFERROR(__xludf.DUMMYFUNCTION("IF(
 C455=""STATE"",
 UPPER(REGEXEXTRACT(A455,""^state\.([^_@]+)"")),
 """"
)"),"MEET")</f>
        <v>MEET</v>
      </c>
      <c r="E455" s="26" t="b">
        <v>1</v>
      </c>
      <c r="F455" s="26" t="s">
        <v>633</v>
      </c>
      <c r="G455" s="26" t="str">
        <f t="shared" si="1"/>
        <v>Not a building</v>
      </c>
      <c r="H455" s="26" t="str">
        <f t="shared" si="2"/>
        <v>Not a building</v>
      </c>
      <c r="K455" s="66"/>
      <c r="L455" s="66"/>
      <c r="M455" s="67"/>
      <c r="N455" s="67"/>
      <c r="O455" s="66"/>
      <c r="P455" s="66"/>
      <c r="Q455" s="67"/>
      <c r="R455" s="67"/>
      <c r="S455" s="67"/>
      <c r="T455" s="67"/>
      <c r="U455" s="67"/>
    </row>
    <row r="456" ht="15.75" customHeight="1">
      <c r="A456" s="26" t="s">
        <v>1556</v>
      </c>
      <c r="B456" s="26" t="s">
        <v>1557</v>
      </c>
      <c r="C456" s="26" t="s">
        <v>1353</v>
      </c>
      <c r="D456" s="26" t="str">
        <f>IFERROR(__xludf.DUMMYFUNCTION("IF(
 C456=""STATE"",
 UPPER(REGEXEXTRACT(A456,""^state\.([^_@]+)"")),
 """"
)"),"MEET")</f>
        <v>MEET</v>
      </c>
      <c r="E456" s="26" t="b">
        <v>1</v>
      </c>
      <c r="F456" s="26" t="s">
        <v>633</v>
      </c>
      <c r="G456" s="26" t="str">
        <f t="shared" si="1"/>
        <v>Not a building</v>
      </c>
      <c r="H456" s="26" t="str">
        <f t="shared" si="2"/>
        <v>Not a building</v>
      </c>
      <c r="K456" s="66"/>
      <c r="L456" s="66"/>
      <c r="M456" s="67"/>
      <c r="N456" s="67"/>
      <c r="O456" s="66"/>
      <c r="P456" s="66"/>
      <c r="Q456" s="67"/>
      <c r="R456" s="67"/>
      <c r="S456" s="67"/>
      <c r="T456" s="67"/>
      <c r="U456" s="67"/>
    </row>
    <row r="457" ht="15.75" customHeight="1">
      <c r="A457" s="26" t="s">
        <v>1559</v>
      </c>
      <c r="B457" s="26" t="s">
        <v>1560</v>
      </c>
      <c r="C457" s="26" t="s">
        <v>1353</v>
      </c>
      <c r="D457" s="26" t="str">
        <f>IFERROR(__xludf.DUMMYFUNCTION("IF(
 C457=""STATE"",
 UPPER(REGEXEXTRACT(A457,""^state\.([^_@]+)"")),
 """"
)"),"MEET")</f>
        <v>MEET</v>
      </c>
      <c r="E457" s="26" t="b">
        <v>1</v>
      </c>
      <c r="F457" s="26" t="s">
        <v>633</v>
      </c>
      <c r="G457" s="26" t="str">
        <f t="shared" si="1"/>
        <v>Not a building</v>
      </c>
      <c r="H457" s="26" t="str">
        <f t="shared" si="2"/>
        <v>Not a building</v>
      </c>
      <c r="K457" s="66"/>
      <c r="L457" s="66"/>
      <c r="M457" s="67"/>
      <c r="N457" s="67"/>
      <c r="O457" s="66"/>
      <c r="P457" s="66"/>
      <c r="Q457" s="67"/>
      <c r="R457" s="67"/>
      <c r="S457" s="67"/>
      <c r="T457" s="67"/>
      <c r="U457" s="67"/>
    </row>
    <row r="458" ht="15.75" customHeight="1">
      <c r="A458" s="26" t="s">
        <v>1561</v>
      </c>
      <c r="B458" s="26" t="s">
        <v>1562</v>
      </c>
      <c r="C458" s="26" t="s">
        <v>1353</v>
      </c>
      <c r="D458" s="26" t="str">
        <f>IFERROR(__xludf.DUMMYFUNCTION("IF(
 C458=""STATE"",
 UPPER(REGEXEXTRACT(A458,""^state\.([^_@]+)"")),
 """"
)"),"MEET")</f>
        <v>MEET</v>
      </c>
      <c r="E458" s="26" t="b">
        <v>1</v>
      </c>
      <c r="F458" s="26" t="s">
        <v>633</v>
      </c>
      <c r="G458" s="26" t="str">
        <f t="shared" si="1"/>
        <v>Not a building</v>
      </c>
      <c r="H458" s="26" t="str">
        <f t="shared" si="2"/>
        <v>Not a building</v>
      </c>
      <c r="K458" s="66"/>
      <c r="L458" s="66"/>
      <c r="M458" s="67"/>
      <c r="N458" s="67"/>
      <c r="O458" s="66"/>
      <c r="P458" s="66"/>
      <c r="Q458" s="67"/>
      <c r="R458" s="67"/>
      <c r="S458" s="67"/>
      <c r="T458" s="67"/>
      <c r="U458" s="67"/>
    </row>
    <row r="459" ht="15.75" customHeight="1">
      <c r="A459" s="26" t="s">
        <v>1563</v>
      </c>
      <c r="B459" s="26" t="s">
        <v>1564</v>
      </c>
      <c r="C459" s="26" t="s">
        <v>1353</v>
      </c>
      <c r="D459" s="26" t="str">
        <f>IFERROR(__xludf.DUMMYFUNCTION("IF(
 C459=""STATE"",
 UPPER(REGEXEXTRACT(A459,""^state\.([^_@]+)"")),
 """"
)"),"MEET")</f>
        <v>MEET</v>
      </c>
      <c r="E459" s="26" t="b">
        <v>1</v>
      </c>
      <c r="F459" s="26" t="s">
        <v>633</v>
      </c>
      <c r="G459" s="26" t="str">
        <f t="shared" si="1"/>
        <v>Not a building</v>
      </c>
      <c r="H459" s="26" t="str">
        <f t="shared" si="2"/>
        <v>Not a building</v>
      </c>
      <c r="K459" s="66"/>
      <c r="L459" s="66"/>
      <c r="M459" s="67"/>
      <c r="N459" s="67"/>
      <c r="O459" s="66"/>
      <c r="P459" s="66"/>
      <c r="Q459" s="67"/>
      <c r="R459" s="67"/>
      <c r="S459" s="67"/>
      <c r="T459" s="67"/>
      <c r="U459" s="67"/>
    </row>
    <row r="460" ht="15.75" customHeight="1">
      <c r="A460" s="26" t="s">
        <v>1565</v>
      </c>
      <c r="B460" s="26" t="s">
        <v>1567</v>
      </c>
      <c r="C460" s="26" t="s">
        <v>1353</v>
      </c>
      <c r="D460" s="26" t="str">
        <f>IFERROR(__xludf.DUMMYFUNCTION("IF(
 C460=""STATE"",
 UPPER(REGEXEXTRACT(A460,""^state\.([^_@]+)"")),
 """"
)"),"MEET")</f>
        <v>MEET</v>
      </c>
      <c r="E460" s="26" t="b">
        <v>1</v>
      </c>
      <c r="F460" s="26" t="s">
        <v>633</v>
      </c>
      <c r="G460" s="26" t="str">
        <f t="shared" si="1"/>
        <v>Not a building</v>
      </c>
      <c r="H460" s="26" t="str">
        <f t="shared" si="2"/>
        <v>Not a building</v>
      </c>
      <c r="K460" s="66"/>
      <c r="L460" s="66"/>
      <c r="M460" s="67"/>
      <c r="N460" s="67"/>
      <c r="O460" s="66"/>
      <c r="P460" s="66"/>
      <c r="Q460" s="67"/>
      <c r="R460" s="67"/>
      <c r="S460" s="67"/>
      <c r="T460" s="67"/>
      <c r="U460" s="67"/>
    </row>
    <row r="461" ht="15.75" customHeight="1">
      <c r="A461" s="26" t="s">
        <v>1568</v>
      </c>
      <c r="B461" s="26" t="s">
        <v>1569</v>
      </c>
      <c r="C461" s="26" t="s">
        <v>1353</v>
      </c>
      <c r="D461" s="26" t="str">
        <f>IFERROR(__xludf.DUMMYFUNCTION("IF(
 C461=""STATE"",
 UPPER(REGEXEXTRACT(A461,""^state\.([^_@]+)"")),
 """"
)"),"MEET")</f>
        <v>MEET</v>
      </c>
      <c r="E461" s="26" t="b">
        <v>1</v>
      </c>
      <c r="F461" s="26" t="s">
        <v>633</v>
      </c>
      <c r="G461" s="26" t="str">
        <f t="shared" si="1"/>
        <v>Not a building</v>
      </c>
      <c r="H461" s="26" t="str">
        <f t="shared" si="2"/>
        <v>Not a building</v>
      </c>
      <c r="K461" s="66"/>
      <c r="L461" s="66"/>
      <c r="M461" s="67"/>
      <c r="N461" s="67"/>
      <c r="O461" s="66"/>
      <c r="P461" s="66"/>
      <c r="Q461" s="67"/>
      <c r="R461" s="67"/>
      <c r="S461" s="67"/>
      <c r="T461" s="67"/>
      <c r="U461" s="67"/>
    </row>
    <row r="462" ht="15.75" customHeight="1">
      <c r="A462" s="26" t="s">
        <v>1570</v>
      </c>
      <c r="B462" s="26" t="s">
        <v>1571</v>
      </c>
      <c r="C462" s="26" t="s">
        <v>1353</v>
      </c>
      <c r="D462" s="26" t="str">
        <f>IFERROR(__xludf.DUMMYFUNCTION("IF(
 C462=""STATE"",
 UPPER(REGEXEXTRACT(A462,""^state\.([^_@]+)"")),
 """"
)"),"MEET")</f>
        <v>MEET</v>
      </c>
      <c r="E462" s="26" t="b">
        <v>1</v>
      </c>
      <c r="F462" s="26" t="s">
        <v>633</v>
      </c>
      <c r="G462" s="26" t="str">
        <f t="shared" si="1"/>
        <v>Not a building</v>
      </c>
      <c r="H462" s="26" t="str">
        <f t="shared" si="2"/>
        <v>Not a building</v>
      </c>
      <c r="K462" s="66"/>
      <c r="L462" s="66"/>
      <c r="M462" s="67"/>
      <c r="N462" s="67"/>
      <c r="O462" s="66"/>
      <c r="P462" s="66"/>
      <c r="Q462" s="67"/>
      <c r="R462" s="67"/>
      <c r="S462" s="67"/>
      <c r="T462" s="67"/>
      <c r="U462" s="67"/>
    </row>
    <row r="463" ht="15.75" customHeight="1">
      <c r="A463" s="26" t="s">
        <v>1572</v>
      </c>
      <c r="B463" s="26" t="s">
        <v>1573</v>
      </c>
      <c r="C463" s="26" t="s">
        <v>1353</v>
      </c>
      <c r="D463" s="26" t="str">
        <f>IFERROR(__xludf.DUMMYFUNCTION("IF(
 C463=""STATE"",
 UPPER(REGEXEXTRACT(A463,""^state\.([^_@]+)"")),
 """"
)"),"MEET")</f>
        <v>MEET</v>
      </c>
      <c r="E463" s="26" t="b">
        <v>1</v>
      </c>
      <c r="F463" s="26" t="s">
        <v>633</v>
      </c>
      <c r="G463" s="26" t="str">
        <f t="shared" si="1"/>
        <v>Not a building</v>
      </c>
      <c r="H463" s="26" t="str">
        <f t="shared" si="2"/>
        <v>Not a building</v>
      </c>
      <c r="K463" s="66"/>
      <c r="L463" s="66"/>
      <c r="M463" s="67"/>
      <c r="N463" s="67"/>
      <c r="O463" s="66"/>
      <c r="P463" s="66"/>
      <c r="Q463" s="67"/>
      <c r="R463" s="67"/>
      <c r="S463" s="67"/>
      <c r="T463" s="67"/>
      <c r="U463" s="67"/>
    </row>
    <row r="464" ht="15.75" customHeight="1">
      <c r="A464" s="26" t="s">
        <v>1575</v>
      </c>
      <c r="B464" s="26" t="s">
        <v>1576</v>
      </c>
      <c r="C464" s="26" t="s">
        <v>1353</v>
      </c>
      <c r="D464" s="26" t="str">
        <f>IFERROR(__xludf.DUMMYFUNCTION("IF(
 C464=""STATE"",
 UPPER(REGEXEXTRACT(A464,""^state\.([^_@]+)"")),
 """"
)"),"MEET")</f>
        <v>MEET</v>
      </c>
      <c r="E464" s="26" t="b">
        <v>1</v>
      </c>
      <c r="F464" s="26" t="s">
        <v>633</v>
      </c>
      <c r="G464" s="26" t="str">
        <f t="shared" si="1"/>
        <v>Not a building</v>
      </c>
      <c r="H464" s="26" t="str">
        <f t="shared" si="2"/>
        <v>Not a building</v>
      </c>
      <c r="K464" s="66"/>
      <c r="L464" s="66"/>
      <c r="M464" s="67"/>
      <c r="N464" s="67"/>
      <c r="O464" s="66"/>
      <c r="P464" s="66"/>
      <c r="Q464" s="67"/>
      <c r="R464" s="67"/>
      <c r="S464" s="67"/>
      <c r="T464" s="67"/>
      <c r="U464" s="67"/>
    </row>
    <row r="465" ht="15.75" customHeight="1">
      <c r="A465" s="26" t="s">
        <v>1577</v>
      </c>
      <c r="B465" s="26" t="s">
        <v>1578</v>
      </c>
      <c r="C465" s="26" t="s">
        <v>1353</v>
      </c>
      <c r="D465" s="26" t="str">
        <f>IFERROR(__xludf.DUMMYFUNCTION("IF(
 C465=""STATE"",
 UPPER(REGEXEXTRACT(A465,""^state\.([^_@]+)"")),
 """"
)"),"OBTAIN")</f>
        <v>OBTAIN</v>
      </c>
      <c r="E465" s="26" t="b">
        <v>1</v>
      </c>
      <c r="F465" s="26" t="s">
        <v>633</v>
      </c>
      <c r="G465" s="26" t="str">
        <f t="shared" si="1"/>
        <v>Not a building</v>
      </c>
      <c r="H465" s="26" t="str">
        <f t="shared" si="2"/>
        <v>Not a building</v>
      </c>
      <c r="K465" s="66"/>
      <c r="L465" s="66"/>
      <c r="M465" s="67"/>
      <c r="N465" s="67"/>
      <c r="O465" s="66"/>
      <c r="P465" s="66"/>
      <c r="Q465" s="67"/>
      <c r="R465" s="67"/>
      <c r="S465" s="67"/>
      <c r="T465" s="67"/>
      <c r="U465" s="67"/>
    </row>
    <row r="466" ht="15.75" customHeight="1">
      <c r="A466" s="26" t="s">
        <v>1579</v>
      </c>
      <c r="B466" s="26" t="s">
        <v>1580</v>
      </c>
      <c r="C466" s="26" t="s">
        <v>1353</v>
      </c>
      <c r="D466" s="26" t="str">
        <f>IFERROR(__xludf.DUMMYFUNCTION("IF(
 C466=""STATE"",
 UPPER(REGEXEXTRACT(A466,""^state\.([^_@]+)"")),
 """"
)"),"OBTAIN")</f>
        <v>OBTAIN</v>
      </c>
      <c r="E466" s="26" t="b">
        <v>1</v>
      </c>
      <c r="F466" s="26" t="s">
        <v>633</v>
      </c>
      <c r="G466" s="26" t="str">
        <f t="shared" si="1"/>
        <v>Not a building</v>
      </c>
      <c r="H466" s="26" t="str">
        <f t="shared" si="2"/>
        <v>Not a building</v>
      </c>
      <c r="K466" s="66"/>
      <c r="L466" s="66"/>
      <c r="M466" s="67"/>
      <c r="N466" s="67"/>
      <c r="O466" s="66"/>
      <c r="P466" s="66"/>
      <c r="Q466" s="67"/>
      <c r="R466" s="67"/>
      <c r="S466" s="67"/>
      <c r="T466" s="67"/>
      <c r="U466" s="67"/>
    </row>
    <row r="467" ht="15.75" customHeight="1">
      <c r="A467" s="26" t="s">
        <v>1582</v>
      </c>
      <c r="B467" s="26" t="s">
        <v>1584</v>
      </c>
      <c r="C467" s="26" t="s">
        <v>1353</v>
      </c>
      <c r="D467" s="26" t="str">
        <f>IFERROR(__xludf.DUMMYFUNCTION("IF(
 C467=""STATE"",
 UPPER(REGEXEXTRACT(A467,""^state\.([^_@]+)"")),
 """"
)"),"OBTAIN")</f>
        <v>OBTAIN</v>
      </c>
      <c r="E467" s="26" t="b">
        <v>1</v>
      </c>
      <c r="F467" s="26" t="s">
        <v>633</v>
      </c>
      <c r="G467" s="26" t="str">
        <f t="shared" si="1"/>
        <v>Not a building</v>
      </c>
      <c r="H467" s="26" t="str">
        <f t="shared" si="2"/>
        <v>Not a building</v>
      </c>
      <c r="K467" s="66"/>
      <c r="L467" s="66"/>
      <c r="M467" s="67"/>
      <c r="N467" s="67"/>
      <c r="O467" s="66"/>
      <c r="P467" s="66"/>
      <c r="Q467" s="67"/>
      <c r="R467" s="67"/>
      <c r="S467" s="67"/>
      <c r="T467" s="67"/>
      <c r="U467" s="67"/>
    </row>
    <row r="468" ht="15.75" customHeight="1">
      <c r="A468" s="26" t="s">
        <v>1585</v>
      </c>
      <c r="B468" s="26" t="s">
        <v>1586</v>
      </c>
      <c r="C468" s="26" t="s">
        <v>1353</v>
      </c>
      <c r="D468" s="26" t="str">
        <f>IFERROR(__xludf.DUMMYFUNCTION("IF(
 C468=""STATE"",
 UPPER(REGEXEXTRACT(A468,""^state\.([^_@]+)"")),
 """"
)"),"OBTAIN")</f>
        <v>OBTAIN</v>
      </c>
      <c r="E468" s="26" t="b">
        <v>1</v>
      </c>
      <c r="F468" s="26" t="s">
        <v>633</v>
      </c>
      <c r="G468" s="26" t="str">
        <f t="shared" si="1"/>
        <v>Not a building</v>
      </c>
      <c r="H468" s="26" t="str">
        <f t="shared" si="2"/>
        <v>Not a building</v>
      </c>
      <c r="K468" s="66"/>
      <c r="L468" s="66"/>
      <c r="M468" s="67"/>
      <c r="N468" s="67"/>
      <c r="O468" s="66"/>
      <c r="P468" s="66"/>
      <c r="Q468" s="67"/>
      <c r="R468" s="67"/>
      <c r="S468" s="67"/>
      <c r="T468" s="67"/>
      <c r="U468" s="67"/>
    </row>
    <row r="469" ht="15.75" customHeight="1">
      <c r="A469" s="26" t="s">
        <v>1587</v>
      </c>
      <c r="B469" s="26" t="s">
        <v>1588</v>
      </c>
      <c r="C469" s="26" t="s">
        <v>1353</v>
      </c>
      <c r="D469" s="26" t="str">
        <f>IFERROR(__xludf.DUMMYFUNCTION("IF(
 C469=""STATE"",
 UPPER(REGEXEXTRACT(A469,""^state\.([^_@]+)"")),
 """"
)"),"OBTAIN")</f>
        <v>OBTAIN</v>
      </c>
      <c r="E469" s="26" t="b">
        <v>1</v>
      </c>
      <c r="F469" s="26" t="s">
        <v>633</v>
      </c>
      <c r="G469" s="26" t="str">
        <f t="shared" si="1"/>
        <v>Not a building</v>
      </c>
      <c r="H469" s="26" t="str">
        <f t="shared" si="2"/>
        <v>Not a building</v>
      </c>
      <c r="K469" s="66"/>
      <c r="L469" s="66"/>
      <c r="M469" s="67"/>
      <c r="N469" s="67"/>
      <c r="O469" s="66"/>
      <c r="P469" s="66"/>
      <c r="Q469" s="67"/>
      <c r="R469" s="67"/>
      <c r="S469" s="67"/>
      <c r="T469" s="67"/>
      <c r="U469" s="67"/>
    </row>
    <row r="470" ht="15.75" customHeight="1">
      <c r="A470" s="26" t="s">
        <v>1590</v>
      </c>
      <c r="B470" s="26" t="s">
        <v>1591</v>
      </c>
      <c r="C470" s="26" t="s">
        <v>1353</v>
      </c>
      <c r="D470" s="26" t="str">
        <f>IFERROR(__xludf.DUMMYFUNCTION("IF(
 C470=""STATE"",
 UPPER(REGEXEXTRACT(A470,""^state\.([^_@]+)"")),
 """"
)"),"OBTAIN")</f>
        <v>OBTAIN</v>
      </c>
      <c r="E470" s="26" t="b">
        <v>1</v>
      </c>
      <c r="F470" s="26" t="s">
        <v>633</v>
      </c>
      <c r="G470" s="26" t="str">
        <f t="shared" si="1"/>
        <v>Not a building</v>
      </c>
      <c r="H470" s="26" t="str">
        <f t="shared" si="2"/>
        <v>Not a building</v>
      </c>
      <c r="K470" s="66"/>
      <c r="L470" s="66"/>
      <c r="M470" s="67"/>
      <c r="N470" s="67"/>
      <c r="O470" s="66"/>
      <c r="P470" s="66"/>
      <c r="Q470" s="67"/>
      <c r="R470" s="67"/>
      <c r="S470" s="67"/>
      <c r="T470" s="67"/>
      <c r="U470" s="67"/>
    </row>
    <row r="471" ht="15.75" customHeight="1">
      <c r="A471" s="26" t="s">
        <v>1592</v>
      </c>
      <c r="B471" s="26" t="s">
        <v>1593</v>
      </c>
      <c r="C471" s="26" t="s">
        <v>1353</v>
      </c>
      <c r="D471" s="26" t="str">
        <f>IFERROR(__xludf.DUMMYFUNCTION("IF(
 C471=""STATE"",
 UPPER(REGEXEXTRACT(A471,""^state\.([^_@]+)"")),
 """"
)"),"OBTAIN")</f>
        <v>OBTAIN</v>
      </c>
      <c r="E471" s="26" t="b">
        <v>1</v>
      </c>
      <c r="F471" s="26" t="s">
        <v>633</v>
      </c>
      <c r="G471" s="26" t="str">
        <f t="shared" si="1"/>
        <v>Not a building</v>
      </c>
      <c r="H471" s="26" t="str">
        <f t="shared" si="2"/>
        <v>Not a building</v>
      </c>
      <c r="K471" s="66"/>
      <c r="L471" s="66"/>
      <c r="M471" s="67"/>
      <c r="N471" s="67"/>
      <c r="O471" s="66"/>
      <c r="P471" s="66"/>
      <c r="Q471" s="67"/>
      <c r="R471" s="67"/>
      <c r="S471" s="67"/>
      <c r="T471" s="67"/>
      <c r="U471" s="67"/>
    </row>
    <row r="472" ht="15.75" customHeight="1">
      <c r="A472" s="26" t="s">
        <v>1594</v>
      </c>
      <c r="B472" s="26" t="s">
        <v>1595</v>
      </c>
      <c r="C472" s="26" t="s">
        <v>1353</v>
      </c>
      <c r="D472" s="26" t="str">
        <f>IFERROR(__xludf.DUMMYFUNCTION("IF(
 C472=""STATE"",
 UPPER(REGEXEXTRACT(A472,""^state\.([^_@]+)"")),
 """"
)"),"OBTAIN")</f>
        <v>OBTAIN</v>
      </c>
      <c r="E472" s="26" t="b">
        <v>1</v>
      </c>
      <c r="F472" s="26" t="s">
        <v>633</v>
      </c>
      <c r="G472" s="26" t="str">
        <f t="shared" si="1"/>
        <v>Not a building</v>
      </c>
      <c r="H472" s="26" t="str">
        <f t="shared" si="2"/>
        <v>Not a building</v>
      </c>
      <c r="K472" s="66"/>
      <c r="L472" s="66"/>
      <c r="M472" s="67"/>
      <c r="N472" s="67"/>
      <c r="O472" s="66"/>
      <c r="P472" s="66"/>
      <c r="Q472" s="67"/>
      <c r="R472" s="67"/>
      <c r="S472" s="67"/>
      <c r="T472" s="67"/>
      <c r="U472" s="67"/>
    </row>
    <row r="473" ht="15.75" customHeight="1">
      <c r="A473" s="26" t="s">
        <v>1597</v>
      </c>
      <c r="B473" s="26" t="s">
        <v>1598</v>
      </c>
      <c r="C473" s="26" t="s">
        <v>1353</v>
      </c>
      <c r="D473" s="26" t="str">
        <f>IFERROR(__xludf.DUMMYFUNCTION("IF(
 C473=""STATE"",
 UPPER(REGEXEXTRACT(A473,""^state\.([^_@]+)"")),
 """"
)"),"OBTAIN")</f>
        <v>OBTAIN</v>
      </c>
      <c r="E473" s="26" t="b">
        <v>1</v>
      </c>
      <c r="F473" s="26" t="s">
        <v>633</v>
      </c>
      <c r="G473" s="26" t="str">
        <f t="shared" si="1"/>
        <v>Not a building</v>
      </c>
      <c r="H473" s="26" t="str">
        <f t="shared" si="2"/>
        <v>Not a building</v>
      </c>
      <c r="K473" s="66"/>
      <c r="L473" s="66"/>
      <c r="M473" s="67"/>
      <c r="N473" s="67"/>
      <c r="O473" s="66"/>
      <c r="P473" s="66"/>
      <c r="Q473" s="67"/>
      <c r="R473" s="67"/>
      <c r="S473" s="67"/>
      <c r="T473" s="67"/>
      <c r="U473" s="67"/>
    </row>
    <row r="474" ht="15.75" customHeight="1">
      <c r="A474" s="26" t="s">
        <v>1599</v>
      </c>
      <c r="B474" s="26" t="s">
        <v>1600</v>
      </c>
      <c r="C474" s="26" t="s">
        <v>1353</v>
      </c>
      <c r="D474" s="26" t="str">
        <f>IFERROR(__xludf.DUMMYFUNCTION("IF(
 C474=""STATE"",
 UPPER(REGEXEXTRACT(A474,""^state\.([^_@]+)"")),
 """"
)"),"OBTAIN")</f>
        <v>OBTAIN</v>
      </c>
      <c r="E474" s="26" t="b">
        <v>1</v>
      </c>
      <c r="F474" s="26" t="s">
        <v>633</v>
      </c>
      <c r="G474" s="26" t="str">
        <f t="shared" si="1"/>
        <v>Not a building</v>
      </c>
      <c r="H474" s="26" t="str">
        <f t="shared" si="2"/>
        <v>Not a building</v>
      </c>
      <c r="K474" s="66"/>
      <c r="L474" s="66"/>
      <c r="M474" s="67"/>
      <c r="N474" s="67"/>
      <c r="O474" s="66"/>
      <c r="P474" s="66"/>
      <c r="Q474" s="67"/>
      <c r="R474" s="67"/>
      <c r="S474" s="67"/>
      <c r="T474" s="67"/>
      <c r="U474" s="67"/>
    </row>
    <row r="475" ht="15.75" customHeight="1">
      <c r="A475" s="26" t="s">
        <v>1601</v>
      </c>
      <c r="B475" s="26" t="s">
        <v>1602</v>
      </c>
      <c r="C475" s="26" t="s">
        <v>1353</v>
      </c>
      <c r="D475" s="26" t="str">
        <f>IFERROR(__xludf.DUMMYFUNCTION("IF(
 C475=""STATE"",
 UPPER(REGEXEXTRACT(A475,""^state\.([^_@]+)"")),
 """"
)"),"OBTAIN")</f>
        <v>OBTAIN</v>
      </c>
      <c r="E475" s="26" t="b">
        <v>1</v>
      </c>
      <c r="F475" s="26" t="s">
        <v>633</v>
      </c>
      <c r="G475" s="26" t="str">
        <f t="shared" si="1"/>
        <v>Not a building</v>
      </c>
      <c r="H475" s="26" t="str">
        <f t="shared" si="2"/>
        <v>Not a building</v>
      </c>
      <c r="K475" s="66"/>
      <c r="L475" s="66"/>
      <c r="M475" s="67"/>
      <c r="N475" s="67"/>
      <c r="O475" s="66"/>
      <c r="P475" s="66"/>
      <c r="Q475" s="67"/>
      <c r="R475" s="67"/>
      <c r="S475" s="67"/>
      <c r="T475" s="67"/>
      <c r="U475" s="67"/>
    </row>
    <row r="476" ht="15.75" customHeight="1">
      <c r="A476" s="26" t="s">
        <v>1604</v>
      </c>
      <c r="B476" s="26" t="s">
        <v>1605</v>
      </c>
      <c r="C476" s="26" t="s">
        <v>1353</v>
      </c>
      <c r="D476" s="26" t="str">
        <f>IFERROR(__xludf.DUMMYFUNCTION("IF(
 C476=""STATE"",
 UPPER(REGEXEXTRACT(A476,""^state\.([^_@]+)"")),
 """"
)"),"OBTAIN")</f>
        <v>OBTAIN</v>
      </c>
      <c r="E476" s="26" t="b">
        <v>1</v>
      </c>
      <c r="F476" s="26" t="s">
        <v>633</v>
      </c>
      <c r="G476" s="26" t="str">
        <f t="shared" si="1"/>
        <v>Not a building</v>
      </c>
      <c r="H476" s="26" t="str">
        <f t="shared" si="2"/>
        <v>Not a building</v>
      </c>
      <c r="K476" s="66"/>
      <c r="L476" s="66"/>
      <c r="M476" s="67"/>
      <c r="N476" s="67"/>
      <c r="O476" s="66"/>
      <c r="P476" s="66"/>
      <c r="Q476" s="67"/>
      <c r="R476" s="67"/>
      <c r="S476" s="67"/>
      <c r="T476" s="67"/>
      <c r="U476" s="67"/>
    </row>
    <row r="477" ht="15.75" customHeight="1">
      <c r="A477" s="26" t="s">
        <v>1607</v>
      </c>
      <c r="B477" s="26" t="s">
        <v>1608</v>
      </c>
      <c r="C477" s="26" t="s">
        <v>1353</v>
      </c>
      <c r="D477" s="26" t="str">
        <f>IFERROR(__xludf.DUMMYFUNCTION("IF(
 C477=""STATE"",
 UPPER(REGEXEXTRACT(A477,""^state\.([^_@]+)"")),
 """"
)"),"OBTAIN")</f>
        <v>OBTAIN</v>
      </c>
      <c r="E477" s="26" t="b">
        <v>1</v>
      </c>
      <c r="F477" s="26" t="s">
        <v>633</v>
      </c>
      <c r="G477" s="26" t="str">
        <f t="shared" si="1"/>
        <v>Not a building</v>
      </c>
      <c r="H477" s="26" t="str">
        <f t="shared" si="2"/>
        <v>Not a building</v>
      </c>
      <c r="K477" s="66"/>
      <c r="L477" s="66"/>
      <c r="M477" s="67"/>
      <c r="N477" s="67"/>
      <c r="O477" s="66"/>
      <c r="P477" s="66"/>
      <c r="Q477" s="67"/>
      <c r="R477" s="67"/>
      <c r="S477" s="67"/>
      <c r="T477" s="67"/>
      <c r="U477" s="67"/>
    </row>
    <row r="478" ht="15.75" customHeight="1">
      <c r="A478" s="26" t="s">
        <v>1609</v>
      </c>
      <c r="B478" s="26" t="s">
        <v>1610</v>
      </c>
      <c r="C478" s="26" t="s">
        <v>1353</v>
      </c>
      <c r="D478" s="26" t="str">
        <f>IFERROR(__xludf.DUMMYFUNCTION("IF(
 C478=""STATE"",
 UPPER(REGEXEXTRACT(A478,""^state\.([^_@]+)"")),
 """"
)"),"OBTAIN")</f>
        <v>OBTAIN</v>
      </c>
      <c r="E478" s="26" t="b">
        <v>1</v>
      </c>
      <c r="F478" s="26" t="s">
        <v>633</v>
      </c>
      <c r="G478" s="26" t="str">
        <f t="shared" si="1"/>
        <v>Not a building</v>
      </c>
      <c r="H478" s="26" t="str">
        <f t="shared" si="2"/>
        <v>Not a building</v>
      </c>
      <c r="K478" s="66"/>
      <c r="L478" s="66"/>
      <c r="M478" s="67"/>
      <c r="N478" s="67"/>
      <c r="O478" s="66"/>
      <c r="P478" s="66"/>
      <c r="Q478" s="67"/>
      <c r="R478" s="67"/>
      <c r="S478" s="67"/>
      <c r="T478" s="67"/>
      <c r="U478" s="67"/>
    </row>
    <row r="479" ht="15.75" customHeight="1">
      <c r="A479" s="26" t="s">
        <v>1611</v>
      </c>
      <c r="B479" s="26" t="s">
        <v>1612</v>
      </c>
      <c r="C479" s="26" t="s">
        <v>1353</v>
      </c>
      <c r="D479" s="26" t="str">
        <f>IFERROR(__xludf.DUMMYFUNCTION("IF(
 C479=""STATE"",
 UPPER(REGEXEXTRACT(A479,""^state\.([^_@]+)"")),
 """"
)"),"OBTAIN")</f>
        <v>OBTAIN</v>
      </c>
      <c r="E479" s="26" t="b">
        <v>1</v>
      </c>
      <c r="F479" s="26" t="s">
        <v>633</v>
      </c>
      <c r="G479" s="26" t="str">
        <f t="shared" si="1"/>
        <v>Not a building</v>
      </c>
      <c r="H479" s="26" t="str">
        <f t="shared" si="2"/>
        <v>Not a building</v>
      </c>
      <c r="K479" s="66"/>
      <c r="L479" s="66"/>
      <c r="M479" s="67"/>
      <c r="N479" s="67"/>
      <c r="O479" s="66"/>
      <c r="P479" s="66"/>
      <c r="Q479" s="67"/>
      <c r="R479" s="67"/>
      <c r="S479" s="67"/>
      <c r="T479" s="67"/>
      <c r="U479" s="67"/>
    </row>
    <row r="480" ht="15.75" customHeight="1">
      <c r="A480" s="26" t="s">
        <v>1614</v>
      </c>
      <c r="B480" s="26" t="s">
        <v>1615</v>
      </c>
      <c r="C480" s="26" t="s">
        <v>1353</v>
      </c>
      <c r="D480" s="26" t="str">
        <f>IFERROR(__xludf.DUMMYFUNCTION("IF(
 C480=""STATE"",
 UPPER(REGEXEXTRACT(A480,""^state\.([^_@]+)"")),
 """"
)"),"OBTAIN")</f>
        <v>OBTAIN</v>
      </c>
      <c r="E480" s="26" t="b">
        <v>1</v>
      </c>
      <c r="F480" s="26" t="s">
        <v>633</v>
      </c>
      <c r="G480" s="26" t="str">
        <f t="shared" si="1"/>
        <v>Not a building</v>
      </c>
      <c r="H480" s="26" t="str">
        <f t="shared" si="2"/>
        <v>Not a building</v>
      </c>
      <c r="K480" s="66"/>
      <c r="L480" s="66"/>
      <c r="M480" s="67"/>
      <c r="N480" s="67"/>
      <c r="O480" s="66"/>
      <c r="P480" s="66"/>
      <c r="Q480" s="67"/>
      <c r="R480" s="67"/>
      <c r="S480" s="67"/>
      <c r="T480" s="67"/>
      <c r="U480" s="67"/>
    </row>
    <row r="481" ht="15.75" customHeight="1">
      <c r="A481" s="26" t="s">
        <v>1616</v>
      </c>
      <c r="B481" s="26" t="s">
        <v>1617</v>
      </c>
      <c r="C481" s="26" t="s">
        <v>1353</v>
      </c>
      <c r="D481" s="26" t="str">
        <f>IFERROR(__xludf.DUMMYFUNCTION("IF(
 C481=""STATE"",
 UPPER(REGEXEXTRACT(A481,""^state\.([^_@]+)"")),
 """"
)"),"OBTAIN")</f>
        <v>OBTAIN</v>
      </c>
      <c r="E481" s="26" t="b">
        <v>1</v>
      </c>
      <c r="F481" s="26" t="s">
        <v>633</v>
      </c>
      <c r="G481" s="26" t="str">
        <f t="shared" si="1"/>
        <v>Not a building</v>
      </c>
      <c r="H481" s="26" t="str">
        <f t="shared" si="2"/>
        <v>Not a building</v>
      </c>
      <c r="K481" s="66"/>
      <c r="L481" s="66"/>
      <c r="M481" s="67"/>
      <c r="N481" s="67"/>
      <c r="O481" s="66"/>
      <c r="P481" s="66"/>
      <c r="Q481" s="67"/>
      <c r="R481" s="67"/>
      <c r="S481" s="67"/>
      <c r="T481" s="67"/>
      <c r="U481" s="67"/>
    </row>
    <row r="482" ht="15.75" customHeight="1">
      <c r="A482" s="26" t="s">
        <v>1618</v>
      </c>
      <c r="B482" s="26" t="s">
        <v>1619</v>
      </c>
      <c r="C482" s="26" t="s">
        <v>1353</v>
      </c>
      <c r="D482" s="26" t="str">
        <f>IFERROR(__xludf.DUMMYFUNCTION("IF(
 C482=""STATE"",
 UPPER(REGEXEXTRACT(A482,""^state\.([^_@]+)"")),
 """"
)"),"OBTAIN")</f>
        <v>OBTAIN</v>
      </c>
      <c r="E482" s="26" t="b">
        <v>1</v>
      </c>
      <c r="F482" s="26" t="s">
        <v>633</v>
      </c>
      <c r="G482" s="26" t="str">
        <f t="shared" si="1"/>
        <v>Not a building</v>
      </c>
      <c r="H482" s="26" t="str">
        <f t="shared" si="2"/>
        <v>Not a building</v>
      </c>
      <c r="K482" s="66"/>
      <c r="L482" s="66"/>
      <c r="M482" s="67"/>
      <c r="N482" s="67"/>
      <c r="O482" s="66"/>
      <c r="P482" s="66"/>
      <c r="Q482" s="67"/>
      <c r="R482" s="67"/>
      <c r="S482" s="67"/>
      <c r="T482" s="67"/>
      <c r="U482" s="67"/>
    </row>
    <row r="483" ht="15.75" customHeight="1">
      <c r="A483" s="26" t="s">
        <v>1621</v>
      </c>
      <c r="B483" s="26" t="s">
        <v>1622</v>
      </c>
      <c r="C483" s="26" t="s">
        <v>1353</v>
      </c>
      <c r="D483" s="26" t="str">
        <f>IFERROR(__xludf.DUMMYFUNCTION("IF(
 C483=""STATE"",
 UPPER(REGEXEXTRACT(A483,""^state\.([^_@]+)"")),
 """"
)"),"OBTAIN")</f>
        <v>OBTAIN</v>
      </c>
      <c r="E483" s="26" t="b">
        <v>1</v>
      </c>
      <c r="F483" s="26" t="s">
        <v>633</v>
      </c>
      <c r="G483" s="26" t="str">
        <f t="shared" si="1"/>
        <v>Not a building</v>
      </c>
      <c r="H483" s="26" t="str">
        <f t="shared" si="2"/>
        <v>Not a building</v>
      </c>
      <c r="K483" s="66"/>
      <c r="L483" s="66"/>
      <c r="M483" s="67"/>
      <c r="N483" s="67"/>
      <c r="O483" s="66"/>
      <c r="P483" s="66"/>
      <c r="Q483" s="67"/>
      <c r="R483" s="67"/>
      <c r="S483" s="67"/>
      <c r="T483" s="67"/>
      <c r="U483" s="67"/>
    </row>
    <row r="484" ht="15.75" customHeight="1">
      <c r="A484" s="26" t="s">
        <v>1623</v>
      </c>
      <c r="B484" s="26" t="s">
        <v>1624</v>
      </c>
      <c r="C484" s="26" t="s">
        <v>1353</v>
      </c>
      <c r="D484" s="26" t="str">
        <f>IFERROR(__xludf.DUMMYFUNCTION("IF(
 C484=""STATE"",
 UPPER(REGEXEXTRACT(A484,""^state\.([^_@]+)"")),
 """"
)"),"OBTAIN")</f>
        <v>OBTAIN</v>
      </c>
      <c r="E484" s="26" t="b">
        <v>1</v>
      </c>
      <c r="F484" s="26" t="s">
        <v>633</v>
      </c>
      <c r="G484" s="26" t="str">
        <f t="shared" si="1"/>
        <v>Not a building</v>
      </c>
      <c r="H484" s="26" t="str">
        <f t="shared" si="2"/>
        <v>Not a building</v>
      </c>
      <c r="K484" s="66"/>
      <c r="L484" s="66"/>
      <c r="M484" s="67"/>
      <c r="N484" s="67"/>
      <c r="O484" s="66"/>
      <c r="P484" s="66"/>
      <c r="Q484" s="67"/>
      <c r="R484" s="67"/>
      <c r="S484" s="67"/>
      <c r="T484" s="67"/>
      <c r="U484" s="67"/>
    </row>
    <row r="485" ht="15.75" customHeight="1">
      <c r="A485" s="26" t="s">
        <v>1625</v>
      </c>
      <c r="B485" s="26" t="s">
        <v>1626</v>
      </c>
      <c r="C485" s="26" t="s">
        <v>1353</v>
      </c>
      <c r="D485" s="26" t="str">
        <f>IFERROR(__xludf.DUMMYFUNCTION("IF(
 C485=""STATE"",
 UPPER(REGEXEXTRACT(A485,""^state\.([^_@]+)"")),
 """"
)"),"OBTAIN")</f>
        <v>OBTAIN</v>
      </c>
      <c r="E485" s="26" t="b">
        <v>1</v>
      </c>
      <c r="F485" s="26" t="s">
        <v>633</v>
      </c>
      <c r="G485" s="26" t="str">
        <f t="shared" si="1"/>
        <v>Not a building</v>
      </c>
      <c r="H485" s="26" t="str">
        <f t="shared" si="2"/>
        <v>Not a building</v>
      </c>
      <c r="K485" s="66"/>
      <c r="L485" s="66"/>
      <c r="M485" s="67"/>
      <c r="N485" s="67"/>
      <c r="O485" s="66"/>
      <c r="P485" s="66"/>
      <c r="Q485" s="67"/>
      <c r="R485" s="67"/>
      <c r="S485" s="67"/>
      <c r="T485" s="67"/>
      <c r="U485" s="67"/>
    </row>
    <row r="486" ht="15.75" customHeight="1">
      <c r="A486" s="26" t="s">
        <v>1628</v>
      </c>
      <c r="B486" s="26" t="s">
        <v>1629</v>
      </c>
      <c r="C486" s="26" t="s">
        <v>1353</v>
      </c>
      <c r="D486" s="26" t="str">
        <f>IFERROR(__xludf.DUMMYFUNCTION("IF(
 C486=""STATE"",
 UPPER(REGEXEXTRACT(A486,""^state\.([^_@]+)"")),
 """"
)"),"OBTAIN")</f>
        <v>OBTAIN</v>
      </c>
      <c r="E486" s="26" t="b">
        <v>1</v>
      </c>
      <c r="F486" s="26" t="s">
        <v>633</v>
      </c>
      <c r="G486" s="26" t="str">
        <f t="shared" si="1"/>
        <v>Not a building</v>
      </c>
      <c r="H486" s="26" t="str">
        <f t="shared" si="2"/>
        <v>Not a building</v>
      </c>
      <c r="K486" s="66"/>
      <c r="L486" s="66"/>
      <c r="M486" s="67"/>
      <c r="N486" s="67"/>
      <c r="O486" s="66"/>
      <c r="P486" s="66"/>
      <c r="Q486" s="67"/>
      <c r="R486" s="67"/>
      <c r="S486" s="67"/>
      <c r="T486" s="67"/>
      <c r="U486" s="67"/>
    </row>
    <row r="487" ht="15.75" customHeight="1">
      <c r="A487" s="26" t="s">
        <v>1630</v>
      </c>
      <c r="B487" s="26" t="s">
        <v>1631</v>
      </c>
      <c r="C487" s="26" t="s">
        <v>1353</v>
      </c>
      <c r="D487" s="26" t="str">
        <f>IFERROR(__xludf.DUMMYFUNCTION("IF(
 C487=""STATE"",
 UPPER(REGEXEXTRACT(A487,""^state\.([^_@]+)"")),
 """"
)"),"OBTAIN")</f>
        <v>OBTAIN</v>
      </c>
      <c r="E487" s="26" t="b">
        <v>1</v>
      </c>
      <c r="F487" s="26" t="s">
        <v>633</v>
      </c>
      <c r="G487" s="26" t="str">
        <f t="shared" si="1"/>
        <v>Not a building</v>
      </c>
      <c r="H487" s="26" t="str">
        <f t="shared" si="2"/>
        <v>Not a building</v>
      </c>
      <c r="K487" s="66"/>
      <c r="L487" s="66"/>
      <c r="M487" s="67"/>
      <c r="N487" s="67"/>
      <c r="O487" s="66"/>
      <c r="P487" s="66"/>
      <c r="Q487" s="67"/>
      <c r="R487" s="67"/>
      <c r="S487" s="67"/>
      <c r="T487" s="67"/>
      <c r="U487" s="67"/>
    </row>
    <row r="488" ht="15.75" customHeight="1">
      <c r="A488" s="26" t="s">
        <v>1632</v>
      </c>
      <c r="B488" s="26" t="s">
        <v>1633</v>
      </c>
      <c r="C488" s="26" t="s">
        <v>1353</v>
      </c>
      <c r="D488" s="26" t="str">
        <f>IFERROR(__xludf.DUMMYFUNCTION("IF(
 C488=""STATE"",
 UPPER(REGEXEXTRACT(A488,""^state\.([^_@]+)"")),
 """"
)"),"OBTAIN")</f>
        <v>OBTAIN</v>
      </c>
      <c r="E488" s="26" t="b">
        <v>1</v>
      </c>
      <c r="F488" s="26" t="s">
        <v>633</v>
      </c>
      <c r="G488" s="26" t="str">
        <f t="shared" si="1"/>
        <v>Not a building</v>
      </c>
      <c r="H488" s="26" t="str">
        <f t="shared" si="2"/>
        <v>Not a building</v>
      </c>
      <c r="K488" s="66"/>
      <c r="L488" s="66"/>
      <c r="M488" s="67"/>
      <c r="N488" s="67"/>
      <c r="O488" s="66"/>
      <c r="P488" s="66"/>
      <c r="Q488" s="67"/>
      <c r="R488" s="67"/>
      <c r="S488" s="67"/>
      <c r="T488" s="67"/>
      <c r="U488" s="67"/>
    </row>
    <row r="489" ht="15.75" customHeight="1">
      <c r="A489" s="26" t="s">
        <v>1635</v>
      </c>
      <c r="B489" s="26" t="s">
        <v>1636</v>
      </c>
      <c r="C489" s="26" t="s">
        <v>1353</v>
      </c>
      <c r="D489" s="26" t="str">
        <f>IFERROR(__xludf.DUMMYFUNCTION("IF(
 C489=""STATE"",
 UPPER(REGEXEXTRACT(A489,""^state\.([^_@]+)"")),
 """"
)"),"OBTAIN")</f>
        <v>OBTAIN</v>
      </c>
      <c r="E489" s="26" t="b">
        <v>1</v>
      </c>
      <c r="F489" s="26" t="s">
        <v>633</v>
      </c>
      <c r="G489" s="26" t="str">
        <f t="shared" si="1"/>
        <v>Not a building</v>
      </c>
      <c r="H489" s="26" t="str">
        <f t="shared" si="2"/>
        <v>Not a building</v>
      </c>
      <c r="K489" s="66"/>
      <c r="L489" s="66"/>
      <c r="M489" s="67"/>
      <c r="N489" s="67"/>
      <c r="O489" s="66"/>
      <c r="P489" s="66"/>
      <c r="Q489" s="67"/>
      <c r="R489" s="67"/>
      <c r="S489" s="67"/>
      <c r="T489" s="67"/>
      <c r="U489" s="67"/>
    </row>
    <row r="490" ht="15.75" customHeight="1">
      <c r="A490" s="26" t="s">
        <v>1637</v>
      </c>
      <c r="B490" s="26" t="s">
        <v>1638</v>
      </c>
      <c r="C490" s="26" t="s">
        <v>1353</v>
      </c>
      <c r="D490" s="26" t="str">
        <f>IFERROR(__xludf.DUMMYFUNCTION("IF(
 C490=""STATE"",
 UPPER(REGEXEXTRACT(A490,""^state\.([^_@]+)"")),
 """"
)"),"OBTAIN")</f>
        <v>OBTAIN</v>
      </c>
      <c r="E490" s="26" t="b">
        <v>1</v>
      </c>
      <c r="F490" s="26" t="s">
        <v>633</v>
      </c>
      <c r="G490" s="26" t="str">
        <f t="shared" si="1"/>
        <v>Not a building</v>
      </c>
      <c r="H490" s="26" t="str">
        <f t="shared" si="2"/>
        <v>Not a building</v>
      </c>
      <c r="K490" s="66"/>
      <c r="L490" s="66"/>
      <c r="M490" s="67"/>
      <c r="N490" s="67"/>
      <c r="O490" s="66"/>
      <c r="P490" s="66"/>
      <c r="Q490" s="67"/>
      <c r="R490" s="67"/>
      <c r="S490" s="67"/>
      <c r="T490" s="67"/>
      <c r="U490" s="67"/>
    </row>
    <row r="491" ht="15.75" customHeight="1">
      <c r="A491" s="26" t="s">
        <v>1639</v>
      </c>
      <c r="B491" s="26" t="s">
        <v>1640</v>
      </c>
      <c r="C491" s="26" t="s">
        <v>1353</v>
      </c>
      <c r="D491" s="26" t="str">
        <f>IFERROR(__xludf.DUMMYFUNCTION("IF(
 C491=""STATE"",
 UPPER(REGEXEXTRACT(A491,""^state\.([^_@]+)"")),
 """"
)"),"OBTAIN")</f>
        <v>OBTAIN</v>
      </c>
      <c r="E491" s="26" t="b">
        <v>1</v>
      </c>
      <c r="F491" s="26" t="s">
        <v>633</v>
      </c>
      <c r="G491" s="26" t="str">
        <f t="shared" si="1"/>
        <v>Not a building</v>
      </c>
      <c r="H491" s="26" t="str">
        <f t="shared" si="2"/>
        <v>Not a building</v>
      </c>
      <c r="K491" s="66"/>
      <c r="L491" s="66"/>
      <c r="M491" s="67"/>
      <c r="N491" s="67"/>
      <c r="O491" s="66"/>
      <c r="P491" s="66"/>
      <c r="Q491" s="67"/>
      <c r="R491" s="67"/>
      <c r="S491" s="67"/>
      <c r="T491" s="67"/>
      <c r="U491" s="67"/>
    </row>
    <row r="492" ht="15.75" customHeight="1">
      <c r="A492" s="26" t="s">
        <v>1641</v>
      </c>
      <c r="B492" s="26" t="s">
        <v>1642</v>
      </c>
      <c r="C492" s="26" t="s">
        <v>1353</v>
      </c>
      <c r="D492" s="26" t="str">
        <f>IFERROR(__xludf.DUMMYFUNCTION("IF(
 C492=""STATE"",
 UPPER(REGEXEXTRACT(A492,""^state\.([^_@]+)"")),
 """"
)"),"OBTAIN")</f>
        <v>OBTAIN</v>
      </c>
      <c r="E492" s="26" t="b">
        <v>1</v>
      </c>
      <c r="F492" s="26" t="s">
        <v>633</v>
      </c>
      <c r="G492" s="26" t="str">
        <f t="shared" si="1"/>
        <v>Not a building</v>
      </c>
      <c r="H492" s="26" t="str">
        <f t="shared" si="2"/>
        <v>Not a building</v>
      </c>
      <c r="K492" s="66"/>
      <c r="L492" s="66"/>
      <c r="M492" s="67"/>
      <c r="N492" s="67"/>
      <c r="O492" s="66"/>
      <c r="P492" s="66"/>
      <c r="Q492" s="67"/>
      <c r="R492" s="67"/>
      <c r="S492" s="67"/>
      <c r="T492" s="67"/>
      <c r="U492" s="67"/>
    </row>
    <row r="493" ht="15.75" customHeight="1">
      <c r="A493" s="26" t="s">
        <v>1644</v>
      </c>
      <c r="B493" s="26" t="s">
        <v>1645</v>
      </c>
      <c r="C493" s="26" t="s">
        <v>1353</v>
      </c>
      <c r="D493" s="26" t="str">
        <f>IFERROR(__xludf.DUMMYFUNCTION("IF(
 C493=""STATE"",
 UPPER(REGEXEXTRACT(A493,""^state\.([^_@]+)"")),
 """"
)"),"OBTAIN")</f>
        <v>OBTAIN</v>
      </c>
      <c r="E493" s="26" t="b">
        <v>1</v>
      </c>
      <c r="F493" s="26" t="s">
        <v>633</v>
      </c>
      <c r="G493" s="26" t="str">
        <f t="shared" si="1"/>
        <v>Not a building</v>
      </c>
      <c r="H493" s="26" t="str">
        <f t="shared" si="2"/>
        <v>Not a building</v>
      </c>
      <c r="K493" s="66"/>
      <c r="L493" s="66"/>
      <c r="M493" s="67"/>
      <c r="N493" s="67"/>
      <c r="O493" s="66"/>
      <c r="P493" s="66"/>
      <c r="Q493" s="67"/>
      <c r="R493" s="67"/>
      <c r="S493" s="67"/>
      <c r="T493" s="67"/>
      <c r="U493" s="67"/>
    </row>
    <row r="494" ht="15.75" customHeight="1">
      <c r="A494" s="26" t="s">
        <v>1646</v>
      </c>
      <c r="B494" s="26" t="s">
        <v>1647</v>
      </c>
      <c r="C494" s="26" t="s">
        <v>1353</v>
      </c>
      <c r="D494" s="26" t="str">
        <f>IFERROR(__xludf.DUMMYFUNCTION("IF(
 C494=""STATE"",
 UPPER(REGEXEXTRACT(A494,""^state\.([^_@]+)"")),
 """"
)"),"OBTAIN")</f>
        <v>OBTAIN</v>
      </c>
      <c r="E494" s="26" t="b">
        <v>1</v>
      </c>
      <c r="F494" s="26" t="s">
        <v>633</v>
      </c>
      <c r="G494" s="26" t="str">
        <f t="shared" si="1"/>
        <v>Not a building</v>
      </c>
      <c r="H494" s="26" t="str">
        <f t="shared" si="2"/>
        <v>Not a building</v>
      </c>
      <c r="K494" s="66"/>
      <c r="L494" s="66"/>
      <c r="M494" s="67"/>
      <c r="N494" s="67"/>
      <c r="O494" s="66"/>
      <c r="P494" s="66"/>
      <c r="Q494" s="67"/>
      <c r="R494" s="67"/>
      <c r="S494" s="67"/>
      <c r="T494" s="67"/>
      <c r="U494" s="67"/>
    </row>
    <row r="495" ht="15.75" customHeight="1">
      <c r="A495" s="26" t="s">
        <v>1648</v>
      </c>
      <c r="B495" s="26" t="s">
        <v>1649</v>
      </c>
      <c r="C495" s="26" t="s">
        <v>1353</v>
      </c>
      <c r="D495" s="26" t="str">
        <f>IFERROR(__xludf.DUMMYFUNCTION("IF(
 C495=""STATE"",
 UPPER(REGEXEXTRACT(A495,""^state\.([^_@]+)"")),
 """"
)"),"OBTAIN")</f>
        <v>OBTAIN</v>
      </c>
      <c r="E495" s="26" t="b">
        <v>1</v>
      </c>
      <c r="F495" s="26" t="s">
        <v>633</v>
      </c>
      <c r="G495" s="26" t="str">
        <f t="shared" si="1"/>
        <v>Not a building</v>
      </c>
      <c r="H495" s="26" t="str">
        <f t="shared" si="2"/>
        <v>Not a building</v>
      </c>
      <c r="K495" s="66"/>
      <c r="L495" s="66"/>
      <c r="M495" s="67"/>
      <c r="N495" s="67"/>
      <c r="O495" s="66"/>
      <c r="P495" s="66"/>
      <c r="Q495" s="67"/>
      <c r="R495" s="67"/>
      <c r="S495" s="67"/>
      <c r="T495" s="67"/>
      <c r="U495" s="67"/>
    </row>
    <row r="496" ht="15.75" customHeight="1">
      <c r="A496" s="26" t="s">
        <v>1650</v>
      </c>
      <c r="B496" s="26" t="s">
        <v>1652</v>
      </c>
      <c r="C496" s="26" t="s">
        <v>1353</v>
      </c>
      <c r="D496" s="26" t="str">
        <f>IFERROR(__xludf.DUMMYFUNCTION("IF(
 C496=""STATE"",
 UPPER(REGEXEXTRACT(A496,""^state\.([^_@]+)"")),
 """"
)"),"OBTAIN")</f>
        <v>OBTAIN</v>
      </c>
      <c r="E496" s="26" t="b">
        <v>1</v>
      </c>
      <c r="F496" s="26" t="s">
        <v>633</v>
      </c>
      <c r="G496" s="26" t="str">
        <f t="shared" si="1"/>
        <v>Not a building</v>
      </c>
      <c r="H496" s="26" t="str">
        <f t="shared" si="2"/>
        <v>Not a building</v>
      </c>
      <c r="K496" s="66"/>
      <c r="L496" s="66"/>
      <c r="M496" s="67"/>
      <c r="N496" s="67"/>
      <c r="O496" s="66"/>
      <c r="P496" s="66"/>
      <c r="Q496" s="67"/>
      <c r="R496" s="67"/>
      <c r="S496" s="67"/>
      <c r="T496" s="67"/>
      <c r="U496" s="67"/>
    </row>
    <row r="497" ht="15.75" customHeight="1">
      <c r="A497" s="26" t="s">
        <v>1653</v>
      </c>
      <c r="B497" s="26" t="s">
        <v>1654</v>
      </c>
      <c r="C497" s="26" t="s">
        <v>1353</v>
      </c>
      <c r="D497" s="26" t="str">
        <f>IFERROR(__xludf.DUMMYFUNCTION("IF(
 C497=""STATE"",
 UPPER(REGEXEXTRACT(A497,""^state\.([^_@]+)"")),
 """"
)"),"VISIT")</f>
        <v>VISIT</v>
      </c>
      <c r="E497" s="26" t="b">
        <v>1</v>
      </c>
      <c r="F497" s="26" t="s">
        <v>633</v>
      </c>
      <c r="G497" s="26" t="str">
        <f t="shared" si="1"/>
        <v>Not a building</v>
      </c>
      <c r="H497" s="26" t="str">
        <f t="shared" si="2"/>
        <v>Not a building</v>
      </c>
      <c r="K497" s="66"/>
      <c r="L497" s="66"/>
      <c r="M497" s="67"/>
      <c r="N497" s="67"/>
      <c r="O497" s="66"/>
      <c r="P497" s="66"/>
      <c r="Q497" s="67"/>
      <c r="R497" s="67"/>
      <c r="S497" s="67"/>
      <c r="T497" s="67"/>
      <c r="U497" s="67"/>
    </row>
    <row r="498" ht="15.75" customHeight="1">
      <c r="A498" s="21" t="s">
        <v>1655</v>
      </c>
      <c r="B498" s="26" t="s">
        <v>1656</v>
      </c>
      <c r="C498" s="26" t="s">
        <v>1353</v>
      </c>
      <c r="D498" s="26" t="str">
        <f>IFERROR(__xludf.DUMMYFUNCTION("IF(
 C498=""STATE"",
 UPPER(REGEXEXTRACT(A498,""^state\.([^_@]+)"")),
 """"
)"),"VISIT")</f>
        <v>VISIT</v>
      </c>
      <c r="E498" s="26" t="b">
        <v>1</v>
      </c>
      <c r="F498" s="26" t="s">
        <v>633</v>
      </c>
      <c r="G498" s="26" t="str">
        <f t="shared" si="1"/>
        <v>Not a building</v>
      </c>
      <c r="H498" s="26" t="str">
        <f t="shared" si="2"/>
        <v>Not a building</v>
      </c>
      <c r="K498" s="66"/>
      <c r="L498" s="66"/>
      <c r="M498" s="67"/>
      <c r="N498" s="67"/>
      <c r="O498" s="66"/>
      <c r="P498" s="66"/>
      <c r="Q498" s="67"/>
      <c r="R498" s="67"/>
      <c r="S498" s="67"/>
      <c r="T498" s="67"/>
      <c r="U498" s="67"/>
    </row>
    <row r="499" ht="15.75" customHeight="1">
      <c r="A499" s="21" t="s">
        <v>1657</v>
      </c>
      <c r="B499" s="26" t="s">
        <v>1659</v>
      </c>
      <c r="C499" s="26" t="s">
        <v>1353</v>
      </c>
      <c r="D499" s="26" t="str">
        <f>IFERROR(__xludf.DUMMYFUNCTION("IF(
 C499=""STATE"",
 UPPER(REGEXEXTRACT(A499,""^state\.([^_@]+)"")),
 """"
)"),"VISIT")</f>
        <v>VISIT</v>
      </c>
      <c r="E499" s="26" t="b">
        <v>1</v>
      </c>
      <c r="F499" s="26" t="s">
        <v>633</v>
      </c>
      <c r="G499" s="26" t="str">
        <f t="shared" si="1"/>
        <v>Not a building</v>
      </c>
      <c r="H499" s="26" t="str">
        <f t="shared" si="2"/>
        <v>Not a building</v>
      </c>
      <c r="K499" s="66"/>
      <c r="L499" s="66"/>
      <c r="M499" s="67"/>
      <c r="N499" s="67"/>
      <c r="O499" s="66"/>
      <c r="P499" s="66"/>
      <c r="Q499" s="67"/>
      <c r="R499" s="67"/>
      <c r="S499" s="67"/>
      <c r="T499" s="67"/>
      <c r="U499" s="67"/>
    </row>
    <row r="500" ht="15.75" customHeight="1">
      <c r="A500" s="21" t="s">
        <v>1660</v>
      </c>
      <c r="B500" s="26" t="s">
        <v>1661</v>
      </c>
      <c r="C500" s="26" t="s">
        <v>1353</v>
      </c>
      <c r="D500" s="26" t="str">
        <f>IFERROR(__xludf.DUMMYFUNCTION("IF(
 C500=""STATE"",
 UPPER(REGEXEXTRACT(A500,""^state\.([^_@]+)"")),
 """"
)"),"VISIT")</f>
        <v>VISIT</v>
      </c>
      <c r="E500" s="26" t="b">
        <v>1</v>
      </c>
      <c r="F500" s="26" t="s">
        <v>633</v>
      </c>
      <c r="G500" s="26" t="str">
        <f t="shared" si="1"/>
        <v>Not a building</v>
      </c>
      <c r="H500" s="26" t="str">
        <f t="shared" si="2"/>
        <v>Not a building</v>
      </c>
      <c r="K500" s="66"/>
      <c r="L500" s="66"/>
      <c r="M500" s="67"/>
      <c r="N500" s="67"/>
      <c r="O500" s="66"/>
      <c r="P500" s="66"/>
      <c r="Q500" s="67"/>
      <c r="R500" s="67"/>
      <c r="S500" s="67"/>
      <c r="T500" s="67"/>
      <c r="U500" s="67"/>
    </row>
    <row r="501" ht="15.75" customHeight="1">
      <c r="A501" s="21" t="s">
        <v>1662</v>
      </c>
      <c r="B501" s="26" t="s">
        <v>1663</v>
      </c>
      <c r="C501" s="26" t="s">
        <v>1353</v>
      </c>
      <c r="D501" s="26" t="str">
        <f>IFERROR(__xludf.DUMMYFUNCTION("IF(
 C501=""STATE"",
 UPPER(REGEXEXTRACT(A501,""^state\.([^_@]+)"")),
 """"
)"),"VISIT")</f>
        <v>VISIT</v>
      </c>
      <c r="E501" s="26" t="b">
        <v>1</v>
      </c>
      <c r="F501" s="26" t="s">
        <v>633</v>
      </c>
      <c r="G501" s="26" t="str">
        <f t="shared" si="1"/>
        <v>Not a building</v>
      </c>
      <c r="H501" s="26" t="str">
        <f t="shared" si="2"/>
        <v>Not a building</v>
      </c>
      <c r="K501" s="66"/>
      <c r="L501" s="66"/>
      <c r="M501" s="67"/>
      <c r="N501" s="67"/>
      <c r="O501" s="66"/>
      <c r="P501" s="66"/>
      <c r="Q501" s="67"/>
      <c r="R501" s="67"/>
      <c r="S501" s="67"/>
      <c r="T501" s="67"/>
      <c r="U501" s="67"/>
    </row>
    <row r="502" ht="15.75" customHeight="1">
      <c r="A502" s="21" t="s">
        <v>1665</v>
      </c>
      <c r="B502" s="26" t="s">
        <v>1666</v>
      </c>
      <c r="C502" s="26" t="s">
        <v>1353</v>
      </c>
      <c r="D502" s="26" t="str">
        <f>IFERROR(__xludf.DUMMYFUNCTION("IF(
 C502=""STATE"",
 UPPER(REGEXEXTRACT(A502,""^state\.([^_@]+)"")),
 """"
)"),"VISIT")</f>
        <v>VISIT</v>
      </c>
      <c r="E502" s="26" t="b">
        <v>1</v>
      </c>
      <c r="F502" s="26" t="s">
        <v>633</v>
      </c>
      <c r="G502" s="26" t="str">
        <f t="shared" si="1"/>
        <v>Not a building</v>
      </c>
      <c r="H502" s="26" t="str">
        <f t="shared" si="2"/>
        <v>Not a building</v>
      </c>
      <c r="K502" s="66"/>
      <c r="L502" s="66"/>
      <c r="M502" s="67"/>
      <c r="N502" s="67"/>
      <c r="O502" s="66"/>
      <c r="P502" s="66"/>
      <c r="Q502" s="67"/>
      <c r="R502" s="67"/>
      <c r="S502" s="67"/>
      <c r="T502" s="67"/>
      <c r="U502" s="67"/>
    </row>
    <row r="503" ht="15.75" customHeight="1">
      <c r="A503" s="26" t="s">
        <v>1667</v>
      </c>
      <c r="B503" s="26" t="s">
        <v>1668</v>
      </c>
      <c r="C503" s="26" t="s">
        <v>1353</v>
      </c>
      <c r="D503" s="26" t="str">
        <f>IFERROR(__xludf.DUMMYFUNCTION("IF(
 C503=""STATE"",
 UPPER(REGEXEXTRACT(A503,""^state\.([^_@]+)"")),
 """"
)"),"VISIT")</f>
        <v>VISIT</v>
      </c>
      <c r="E503" s="26" t="b">
        <v>1</v>
      </c>
      <c r="F503" s="26" t="s">
        <v>633</v>
      </c>
      <c r="G503" s="26" t="str">
        <f t="shared" si="1"/>
        <v>Not a building</v>
      </c>
      <c r="H503" s="26" t="str">
        <f t="shared" si="2"/>
        <v>Not a building</v>
      </c>
      <c r="K503" s="66"/>
      <c r="L503" s="66"/>
      <c r="M503" s="67"/>
      <c r="N503" s="67"/>
      <c r="O503" s="66"/>
      <c r="P503" s="66"/>
      <c r="Q503" s="67"/>
      <c r="R503" s="67"/>
      <c r="S503" s="67"/>
      <c r="T503" s="67"/>
      <c r="U503" s="67"/>
    </row>
    <row r="504" ht="15.75" customHeight="1">
      <c r="A504" s="26" t="s">
        <v>1669</v>
      </c>
      <c r="B504" s="26" t="s">
        <v>1670</v>
      </c>
      <c r="C504" s="26" t="s">
        <v>1353</v>
      </c>
      <c r="D504" s="26" t="str">
        <f>IFERROR(__xludf.DUMMYFUNCTION("IF(
 C504=""STATE"",
 UPPER(REGEXEXTRACT(A504,""^state\.([^_@]+)"")),
 """"
)"),"VISIT")</f>
        <v>VISIT</v>
      </c>
      <c r="E504" s="26" t="b">
        <v>1</v>
      </c>
      <c r="F504" s="26" t="s">
        <v>633</v>
      </c>
      <c r="G504" s="26" t="str">
        <f t="shared" si="1"/>
        <v>Not a building</v>
      </c>
      <c r="H504" s="26" t="str">
        <f t="shared" si="2"/>
        <v>Not a building</v>
      </c>
      <c r="K504" s="66"/>
      <c r="L504" s="66"/>
      <c r="M504" s="67"/>
      <c r="N504" s="67"/>
      <c r="O504" s="66"/>
      <c r="P504" s="66"/>
      <c r="Q504" s="67"/>
      <c r="R504" s="67"/>
      <c r="S504" s="67"/>
      <c r="T504" s="67"/>
      <c r="U504" s="67"/>
    </row>
    <row r="505" ht="15.75" customHeight="1">
      <c r="A505" s="26" t="s">
        <v>1671</v>
      </c>
      <c r="B505" s="26" t="s">
        <v>1673</v>
      </c>
      <c r="C505" s="26" t="s">
        <v>1353</v>
      </c>
      <c r="D505" s="26" t="str">
        <f>IFERROR(__xludf.DUMMYFUNCTION("IF(
 C505=""STATE"",
 UPPER(REGEXEXTRACT(A505,""^state\.([^_@]+)"")),
 """"
)"),"VISIT")</f>
        <v>VISIT</v>
      </c>
      <c r="E505" s="26" t="b">
        <v>1</v>
      </c>
      <c r="F505" s="26" t="s">
        <v>633</v>
      </c>
      <c r="G505" s="26" t="str">
        <f t="shared" si="1"/>
        <v>Not a building</v>
      </c>
      <c r="H505" s="26" t="str">
        <f t="shared" si="2"/>
        <v>Not a building</v>
      </c>
      <c r="K505" s="66"/>
      <c r="L505" s="66"/>
      <c r="M505" s="67"/>
      <c r="N505" s="67"/>
      <c r="O505" s="66"/>
      <c r="P505" s="66"/>
      <c r="Q505" s="67"/>
      <c r="R505" s="67"/>
      <c r="S505" s="67"/>
      <c r="T505" s="67"/>
      <c r="U505" s="67"/>
    </row>
    <row r="506" ht="15.75" customHeight="1">
      <c r="A506" s="26" t="s">
        <v>1674</v>
      </c>
      <c r="B506" s="26" t="s">
        <v>1675</v>
      </c>
      <c r="C506" s="26" t="s">
        <v>1353</v>
      </c>
      <c r="D506" s="26" t="str">
        <f>IFERROR(__xludf.DUMMYFUNCTION("IF(
 C506=""STATE"",
 UPPER(REGEXEXTRACT(A506,""^state\.([^_@]+)"")),
 """"
)"),"MEET")</f>
        <v>MEET</v>
      </c>
      <c r="E506" s="26" t="b">
        <v>1</v>
      </c>
      <c r="F506" s="26" t="s">
        <v>633</v>
      </c>
      <c r="G506" s="26" t="str">
        <f t="shared" si="1"/>
        <v>Not a building</v>
      </c>
      <c r="H506" s="26" t="str">
        <f t="shared" si="2"/>
        <v>Not a building</v>
      </c>
      <c r="K506" s="66"/>
      <c r="L506" s="66"/>
      <c r="M506" s="67"/>
      <c r="N506" s="67"/>
      <c r="O506" s="66"/>
      <c r="P506" s="66"/>
      <c r="Q506" s="67"/>
      <c r="R506" s="67"/>
      <c r="S506" s="67"/>
      <c r="T506" s="67"/>
      <c r="U506" s="67"/>
    </row>
    <row r="507" ht="15.75" customHeight="1">
      <c r="A507" s="26" t="s">
        <v>1677</v>
      </c>
      <c r="B507" s="26" t="s">
        <v>1678</v>
      </c>
      <c r="C507" s="26" t="s">
        <v>1353</v>
      </c>
      <c r="D507" s="26" t="str">
        <f>IFERROR(__xludf.DUMMYFUNCTION("IF(
 C507=""STATE"",
 UPPER(REGEXEXTRACT(A507,""^state\.([^_@]+)"")),
 """"
)"),"VISIT")</f>
        <v>VISIT</v>
      </c>
      <c r="E507" s="26" t="b">
        <v>1</v>
      </c>
      <c r="F507" s="26" t="s">
        <v>633</v>
      </c>
      <c r="G507" s="26" t="str">
        <f t="shared" si="1"/>
        <v>Not a building</v>
      </c>
      <c r="H507" s="26" t="str">
        <f t="shared" si="2"/>
        <v>Not a building</v>
      </c>
      <c r="K507" s="66"/>
      <c r="L507" s="66"/>
      <c r="M507" s="67"/>
      <c r="N507" s="67"/>
      <c r="O507" s="66"/>
      <c r="P507" s="66"/>
      <c r="Q507" s="67"/>
      <c r="R507" s="67"/>
      <c r="S507" s="67"/>
      <c r="T507" s="67"/>
      <c r="U507" s="67"/>
    </row>
    <row r="508" ht="15.75" customHeight="1">
      <c r="A508" s="21" t="s">
        <v>1679</v>
      </c>
      <c r="B508" s="26" t="s">
        <v>1680</v>
      </c>
      <c r="C508" s="26" t="s">
        <v>1353</v>
      </c>
      <c r="D508" s="26" t="str">
        <f>IFERROR(__xludf.DUMMYFUNCTION("IF(
 C508=""STATE"",
 UPPER(REGEXEXTRACT(A508,""^state\.([^_@]+)"")),
 """"
)"),"VISIT")</f>
        <v>VISIT</v>
      </c>
      <c r="E508" s="26" t="b">
        <v>1</v>
      </c>
      <c r="F508" s="26" t="s">
        <v>633</v>
      </c>
      <c r="G508" s="26" t="str">
        <f t="shared" si="1"/>
        <v>Not a building</v>
      </c>
      <c r="H508" s="26" t="str">
        <f t="shared" si="2"/>
        <v>Not a building</v>
      </c>
      <c r="K508" s="66"/>
      <c r="L508" s="66"/>
      <c r="M508" s="67"/>
      <c r="N508" s="67"/>
      <c r="O508" s="66"/>
      <c r="P508" s="66"/>
      <c r="Q508" s="67"/>
      <c r="R508" s="67"/>
      <c r="S508" s="67"/>
      <c r="T508" s="67"/>
      <c r="U508" s="67"/>
    </row>
    <row r="509" ht="15.75" customHeight="1">
      <c r="A509" s="21" t="s">
        <v>1682</v>
      </c>
      <c r="B509" s="26" t="s">
        <v>1683</v>
      </c>
      <c r="C509" s="26" t="s">
        <v>1353</v>
      </c>
      <c r="D509" s="26" t="str">
        <f>IFERROR(__xludf.DUMMYFUNCTION("IF(
 C509=""STATE"",
 UPPER(REGEXEXTRACT(A509,""^state\.([^_@]+)"")),
 """"
)"),"VISIT")</f>
        <v>VISIT</v>
      </c>
      <c r="E509" s="26" t="b">
        <v>1</v>
      </c>
      <c r="F509" s="26" t="s">
        <v>633</v>
      </c>
      <c r="G509" s="26" t="str">
        <f t="shared" si="1"/>
        <v>Not a building</v>
      </c>
      <c r="H509" s="26" t="str">
        <f t="shared" si="2"/>
        <v>Not a building</v>
      </c>
      <c r="K509" s="66"/>
      <c r="L509" s="66"/>
      <c r="M509" s="67"/>
      <c r="N509" s="67"/>
      <c r="O509" s="66"/>
      <c r="P509" s="66"/>
      <c r="Q509" s="67"/>
      <c r="R509" s="67"/>
      <c r="S509" s="67"/>
      <c r="T509" s="67"/>
      <c r="U509" s="67"/>
    </row>
    <row r="510" ht="15.75" customHeight="1">
      <c r="A510" s="26" t="s">
        <v>1684</v>
      </c>
      <c r="B510" s="26" t="s">
        <v>1685</v>
      </c>
      <c r="C510" s="26" t="s">
        <v>1353</v>
      </c>
      <c r="D510" s="26" t="str">
        <f>IFERROR(__xludf.DUMMYFUNCTION("IF(
 C510=""STATE"",
 UPPER(REGEXEXTRACT(A510,""^state\.([^_@]+)"")),
 """"
)"),"VISIT")</f>
        <v>VISIT</v>
      </c>
      <c r="E510" s="26" t="b">
        <v>1</v>
      </c>
      <c r="F510" s="26" t="s">
        <v>633</v>
      </c>
      <c r="G510" s="26" t="str">
        <f t="shared" si="1"/>
        <v>Not a building</v>
      </c>
      <c r="H510" s="26" t="str">
        <f t="shared" si="2"/>
        <v>Not a building</v>
      </c>
      <c r="K510" s="66"/>
      <c r="L510" s="66"/>
      <c r="M510" s="67"/>
      <c r="N510" s="67"/>
      <c r="O510" s="66"/>
      <c r="P510" s="66"/>
      <c r="Q510" s="67"/>
      <c r="R510" s="67"/>
      <c r="S510" s="67"/>
      <c r="T510" s="67"/>
      <c r="U510" s="67"/>
    </row>
    <row r="511" ht="15.75" customHeight="1">
      <c r="A511" s="21" t="s">
        <v>1686</v>
      </c>
      <c r="B511" s="26" t="s">
        <v>1687</v>
      </c>
      <c r="C511" s="26" t="s">
        <v>1353</v>
      </c>
      <c r="D511" s="26" t="str">
        <f>IFERROR(__xludf.DUMMYFUNCTION("IF(
 C511=""STATE"",
 UPPER(REGEXEXTRACT(A511,""^state\.([^_@]+)"")),
 """"
)"),"VISIT")</f>
        <v>VISIT</v>
      </c>
      <c r="E511" s="26" t="b">
        <v>1</v>
      </c>
      <c r="F511" s="26" t="s">
        <v>633</v>
      </c>
      <c r="G511" s="26" t="str">
        <f t="shared" si="1"/>
        <v>Not a building</v>
      </c>
      <c r="H511" s="26" t="str">
        <f t="shared" si="2"/>
        <v>Not a building</v>
      </c>
      <c r="K511" s="66"/>
      <c r="L511" s="66"/>
      <c r="M511" s="67"/>
      <c r="N511" s="67"/>
      <c r="O511" s="66"/>
      <c r="P511" s="66"/>
      <c r="Q511" s="67"/>
      <c r="R511" s="67"/>
      <c r="S511" s="67"/>
      <c r="T511" s="67"/>
      <c r="U511" s="67"/>
    </row>
    <row r="512" ht="15.75" customHeight="1">
      <c r="A512" s="21" t="s">
        <v>1690</v>
      </c>
      <c r="B512" s="26" t="s">
        <v>1691</v>
      </c>
      <c r="C512" s="26" t="s">
        <v>1353</v>
      </c>
      <c r="D512" s="26" t="str">
        <f>IFERROR(__xludf.DUMMYFUNCTION("IF(
 C512=""STATE"",
 UPPER(REGEXEXTRACT(A512,""^state\.([^_@]+)"")),
 """"
)"),"VISIT")</f>
        <v>VISIT</v>
      </c>
      <c r="E512" s="26" t="b">
        <v>1</v>
      </c>
      <c r="F512" s="26" t="s">
        <v>633</v>
      </c>
      <c r="G512" s="26" t="str">
        <f t="shared" si="1"/>
        <v>Not a building</v>
      </c>
      <c r="H512" s="26" t="str">
        <f t="shared" si="2"/>
        <v>Not a building</v>
      </c>
      <c r="K512" s="66"/>
      <c r="L512" s="66"/>
      <c r="M512" s="67"/>
      <c r="N512" s="67"/>
      <c r="O512" s="66"/>
      <c r="P512" s="66"/>
      <c r="Q512" s="67"/>
      <c r="R512" s="67"/>
      <c r="S512" s="67"/>
      <c r="T512" s="67"/>
      <c r="U512" s="67"/>
    </row>
    <row r="513" ht="15.75" customHeight="1">
      <c r="A513" s="26" t="s">
        <v>1692</v>
      </c>
      <c r="B513" s="26" t="s">
        <v>1693</v>
      </c>
      <c r="C513" s="26" t="s">
        <v>1353</v>
      </c>
      <c r="D513" s="26" t="str">
        <f>IFERROR(__xludf.DUMMYFUNCTION("IF(
 C513=""STATE"",
 UPPER(REGEXEXTRACT(A513,""^state\.([^_@]+)"")),
 """"
)"),"VISIT")</f>
        <v>VISIT</v>
      </c>
      <c r="E513" s="26" t="b">
        <v>1</v>
      </c>
      <c r="F513" s="26" t="s">
        <v>633</v>
      </c>
      <c r="G513" s="26" t="str">
        <f t="shared" si="1"/>
        <v>Not a building</v>
      </c>
      <c r="H513" s="26" t="str">
        <f t="shared" si="2"/>
        <v>Not a building</v>
      </c>
      <c r="K513" s="66"/>
      <c r="L513" s="66"/>
      <c r="M513" s="67"/>
      <c r="N513" s="67"/>
      <c r="O513" s="66"/>
      <c r="P513" s="66"/>
      <c r="Q513" s="67"/>
      <c r="R513" s="67"/>
      <c r="S513" s="67"/>
      <c r="T513" s="67"/>
      <c r="U513" s="67"/>
    </row>
    <row r="514" ht="15.75" customHeight="1">
      <c r="A514" s="21" t="s">
        <v>1694</v>
      </c>
      <c r="B514" s="26" t="s">
        <v>1695</v>
      </c>
      <c r="C514" s="26" t="s">
        <v>1353</v>
      </c>
      <c r="D514" s="26" t="str">
        <f>IFERROR(__xludf.DUMMYFUNCTION("IF(
 C514=""STATE"",
 UPPER(REGEXEXTRACT(A514,""^state\.([^_@]+)"")),
 """"
)"),"VISIT")</f>
        <v>VISIT</v>
      </c>
      <c r="E514" s="26" t="b">
        <v>1</v>
      </c>
      <c r="F514" s="26" t="s">
        <v>633</v>
      </c>
      <c r="G514" s="26" t="str">
        <f t="shared" si="1"/>
        <v>Not a building</v>
      </c>
      <c r="H514" s="26" t="str">
        <f t="shared" si="2"/>
        <v>Not a building</v>
      </c>
      <c r="K514" s="66"/>
      <c r="L514" s="66"/>
      <c r="M514" s="67"/>
      <c r="N514" s="67"/>
      <c r="O514" s="66"/>
      <c r="P514" s="66"/>
      <c r="Q514" s="67"/>
      <c r="R514" s="67"/>
      <c r="S514" s="67"/>
      <c r="T514" s="67"/>
      <c r="U514" s="67"/>
    </row>
    <row r="515" ht="15.75" customHeight="1">
      <c r="A515" s="26" t="s">
        <v>1697</v>
      </c>
      <c r="B515" s="26" t="s">
        <v>1698</v>
      </c>
      <c r="C515" s="26" t="s">
        <v>1353</v>
      </c>
      <c r="D515" s="26" t="str">
        <f>IFERROR(__xludf.DUMMYFUNCTION("IF(
 C515=""STATE"",
 UPPER(REGEXEXTRACT(A515,""^state\.([^_@]+)"")),
 """"
)"),"VISIT")</f>
        <v>VISIT</v>
      </c>
      <c r="E515" s="26" t="b">
        <v>1</v>
      </c>
      <c r="F515" s="26" t="s">
        <v>633</v>
      </c>
      <c r="G515" s="26" t="str">
        <f t="shared" si="1"/>
        <v>Not a building</v>
      </c>
      <c r="H515" s="26" t="str">
        <f t="shared" si="2"/>
        <v>Not a building</v>
      </c>
      <c r="K515" s="66"/>
      <c r="L515" s="66"/>
      <c r="M515" s="67"/>
      <c r="N515" s="67"/>
      <c r="O515" s="66"/>
      <c r="P515" s="66"/>
      <c r="Q515" s="67"/>
      <c r="R515" s="67"/>
      <c r="S515" s="67"/>
      <c r="T515" s="67"/>
      <c r="U515" s="67"/>
    </row>
    <row r="516" ht="15.75" customHeight="1">
      <c r="A516" s="21" t="s">
        <v>1699</v>
      </c>
      <c r="B516" s="26" t="s">
        <v>1700</v>
      </c>
      <c r="C516" s="26" t="s">
        <v>1353</v>
      </c>
      <c r="D516" s="26" t="str">
        <f>IFERROR(__xludf.DUMMYFUNCTION("IF(
 C516=""STATE"",
 UPPER(REGEXEXTRACT(A516,""^state\.([^_@]+)"")),
 """"
)"),"VISIT")</f>
        <v>VISIT</v>
      </c>
      <c r="E516" s="26" t="b">
        <v>1</v>
      </c>
      <c r="F516" s="26" t="s">
        <v>633</v>
      </c>
      <c r="G516" s="26" t="str">
        <f t="shared" si="1"/>
        <v>Not a building</v>
      </c>
      <c r="H516" s="26" t="str">
        <f t="shared" si="2"/>
        <v>Not a building</v>
      </c>
      <c r="K516" s="66"/>
      <c r="L516" s="66"/>
      <c r="M516" s="67"/>
      <c r="N516" s="67"/>
      <c r="O516" s="66"/>
      <c r="P516" s="66"/>
      <c r="Q516" s="67"/>
      <c r="R516" s="67"/>
      <c r="S516" s="67"/>
      <c r="T516" s="67"/>
      <c r="U516" s="67"/>
    </row>
    <row r="517" ht="15.75" customHeight="1">
      <c r="A517" s="21" t="s">
        <v>1701</v>
      </c>
      <c r="B517" s="26" t="s">
        <v>1702</v>
      </c>
      <c r="C517" s="26" t="s">
        <v>1353</v>
      </c>
      <c r="D517" s="26" t="str">
        <f>IFERROR(__xludf.DUMMYFUNCTION("IF(
 C517=""STATE"",
 UPPER(REGEXEXTRACT(A517,""^state\.([^_@]+)"")),
 """"
)"),"VISIT")</f>
        <v>VISIT</v>
      </c>
      <c r="E517" s="26" t="b">
        <v>1</v>
      </c>
      <c r="F517" s="26" t="s">
        <v>633</v>
      </c>
      <c r="G517" s="26" t="str">
        <f t="shared" si="1"/>
        <v>Not a building</v>
      </c>
      <c r="H517" s="26" t="str">
        <f t="shared" si="2"/>
        <v>Not a building</v>
      </c>
      <c r="K517" s="66"/>
      <c r="L517" s="66"/>
      <c r="M517" s="67"/>
      <c r="N517" s="67"/>
      <c r="O517" s="66"/>
      <c r="P517" s="66"/>
      <c r="Q517" s="67"/>
      <c r="R517" s="67"/>
      <c r="S517" s="67"/>
      <c r="T517" s="67"/>
      <c r="U517" s="67"/>
    </row>
    <row r="518" ht="15.75" customHeight="1">
      <c r="A518" s="26" t="s">
        <v>1703</v>
      </c>
      <c r="B518" s="26" t="s">
        <v>1704</v>
      </c>
      <c r="C518" s="26" t="s">
        <v>1705</v>
      </c>
      <c r="D518" s="26" t="str">
        <f>IFERROR(__xludf.DUMMYFUNCTION("IF(
 C518=""STATE"",
 UPPER(REGEXEXTRACT(A518,""^state\.([^_@]+)"")),
 """"
)"),"")</f>
        <v/>
      </c>
      <c r="E518" s="26" t="b">
        <v>1</v>
      </c>
      <c r="F518" s="26" t="s">
        <v>633</v>
      </c>
      <c r="G518" s="26" t="str">
        <f t="shared" si="1"/>
        <v>Not a building</v>
      </c>
      <c r="H518" s="26" t="str">
        <f t="shared" si="2"/>
        <v>Not a building</v>
      </c>
      <c r="K518" s="66"/>
      <c r="L518" s="66"/>
      <c r="M518" s="67"/>
      <c r="N518" s="67"/>
      <c r="O518" s="66"/>
      <c r="P518" s="66"/>
      <c r="Q518" s="67"/>
      <c r="R518" s="67"/>
      <c r="S518" s="67"/>
      <c r="T518" s="67"/>
      <c r="U518" s="67"/>
    </row>
    <row r="519" ht="15.75" customHeight="1">
      <c r="A519" s="26" t="s">
        <v>1707</v>
      </c>
      <c r="B519" s="26" t="s">
        <v>1708</v>
      </c>
      <c r="C519" s="26" t="s">
        <v>1705</v>
      </c>
      <c r="D519" s="26" t="str">
        <f>IFERROR(__xludf.DUMMYFUNCTION("IF(
 C519=""STATE"",
 UPPER(REGEXEXTRACT(A519,""^state\.([^_@]+)"")),
 """"
)"),"")</f>
        <v/>
      </c>
      <c r="E519" s="26" t="b">
        <v>1</v>
      </c>
      <c r="F519" s="26" t="s">
        <v>633</v>
      </c>
      <c r="G519" s="26" t="str">
        <f t="shared" si="1"/>
        <v>Not a building</v>
      </c>
      <c r="H519" s="26" t="str">
        <f t="shared" si="2"/>
        <v>Not a building</v>
      </c>
      <c r="K519" s="66"/>
      <c r="L519" s="66"/>
      <c r="M519" s="67"/>
      <c r="N519" s="67"/>
      <c r="O519" s="66"/>
      <c r="P519" s="66"/>
      <c r="Q519" s="67"/>
      <c r="R519" s="67"/>
      <c r="S519" s="67"/>
      <c r="T519" s="67"/>
      <c r="U519" s="67"/>
    </row>
    <row r="520" ht="15.75" customHeight="1">
      <c r="A520" s="26" t="s">
        <v>1709</v>
      </c>
      <c r="B520" s="26" t="s">
        <v>1710</v>
      </c>
      <c r="C520" s="26" t="s">
        <v>1705</v>
      </c>
      <c r="D520" s="26" t="str">
        <f>IFERROR(__xludf.DUMMYFUNCTION("IF(
 C520=""STATE"",
 UPPER(REGEXEXTRACT(A520,""^state\.([^_@]+)"")),
 """"
)"),"")</f>
        <v/>
      </c>
      <c r="E520" s="26" t="b">
        <v>1</v>
      </c>
      <c r="F520" s="26" t="s">
        <v>633</v>
      </c>
      <c r="G520" s="26" t="str">
        <f t="shared" si="1"/>
        <v>Not a building</v>
      </c>
      <c r="H520" s="26" t="str">
        <f t="shared" si="2"/>
        <v>Not a building</v>
      </c>
      <c r="K520" s="66"/>
      <c r="L520" s="66"/>
      <c r="M520" s="67"/>
      <c r="N520" s="67"/>
      <c r="O520" s="66"/>
      <c r="P520" s="66"/>
      <c r="Q520" s="67"/>
      <c r="R520" s="67"/>
      <c r="S520" s="67"/>
      <c r="T520" s="67"/>
      <c r="U520" s="67"/>
    </row>
    <row r="521" ht="15.75" customHeight="1">
      <c r="A521" s="26" t="s">
        <v>1712</v>
      </c>
      <c r="B521" s="26" t="s">
        <v>1713</v>
      </c>
      <c r="C521" s="26" t="s">
        <v>1705</v>
      </c>
      <c r="D521" s="26" t="str">
        <f>IFERROR(__xludf.DUMMYFUNCTION("IF(
 C521=""STATE"",
 UPPER(REGEXEXTRACT(A521,""^state\.([^_@]+)"")),
 """"
)"),"")</f>
        <v/>
      </c>
      <c r="E521" s="26" t="b">
        <v>1</v>
      </c>
      <c r="F521" s="26" t="s">
        <v>633</v>
      </c>
      <c r="G521" s="26" t="str">
        <f t="shared" si="1"/>
        <v>Not a building</v>
      </c>
      <c r="H521" s="26" t="str">
        <f t="shared" si="2"/>
        <v>Not a building</v>
      </c>
      <c r="K521" s="66"/>
      <c r="L521" s="66"/>
      <c r="M521" s="67"/>
      <c r="N521" s="67"/>
      <c r="O521" s="66"/>
      <c r="P521" s="66"/>
      <c r="Q521" s="67"/>
      <c r="R521" s="67"/>
      <c r="S521" s="67"/>
      <c r="T521" s="67"/>
      <c r="U521" s="67"/>
    </row>
    <row r="522" ht="15.75" customHeight="1">
      <c r="A522" s="26" t="s">
        <v>1715</v>
      </c>
      <c r="B522" s="26" t="s">
        <v>1716</v>
      </c>
      <c r="C522" s="26" t="s">
        <v>1705</v>
      </c>
      <c r="D522" s="26" t="str">
        <f>IFERROR(__xludf.DUMMYFUNCTION("IF(
 C522=""STATE"",
 UPPER(REGEXEXTRACT(A522,""^state\.([^_@]+)"")),
 """"
)"),"")</f>
        <v/>
      </c>
      <c r="E522" s="26" t="b">
        <v>1</v>
      </c>
      <c r="F522" s="26" t="s">
        <v>633</v>
      </c>
      <c r="G522" s="26" t="str">
        <f t="shared" si="1"/>
        <v>Not a building</v>
      </c>
      <c r="H522" s="26" t="str">
        <f t="shared" si="2"/>
        <v>Not a building</v>
      </c>
      <c r="K522" s="66"/>
      <c r="L522" s="66"/>
      <c r="M522" s="67"/>
      <c r="N522" s="67"/>
      <c r="O522" s="66"/>
      <c r="P522" s="66"/>
      <c r="Q522" s="67"/>
      <c r="R522" s="67"/>
      <c r="S522" s="67"/>
      <c r="T522" s="67"/>
      <c r="U522" s="67"/>
    </row>
    <row r="523" ht="15.75" customHeight="1">
      <c r="A523" s="26" t="s">
        <v>1717</v>
      </c>
      <c r="B523" s="26" t="s">
        <v>1718</v>
      </c>
      <c r="C523" s="26" t="s">
        <v>1705</v>
      </c>
      <c r="D523" s="26" t="str">
        <f>IFERROR(__xludf.DUMMYFUNCTION("IF(
 C523=""STATE"",
 UPPER(REGEXEXTRACT(A523,""^state\.([^_@]+)"")),
 """"
)"),"")</f>
        <v/>
      </c>
      <c r="E523" s="26" t="b">
        <v>1</v>
      </c>
      <c r="F523" s="26" t="s">
        <v>633</v>
      </c>
      <c r="G523" s="26" t="str">
        <f t="shared" si="1"/>
        <v>Not a building</v>
      </c>
      <c r="H523" s="26" t="str">
        <f t="shared" si="2"/>
        <v>Not a building</v>
      </c>
      <c r="K523" s="66"/>
      <c r="L523" s="66"/>
      <c r="M523" s="67"/>
      <c r="N523" s="67"/>
      <c r="O523" s="66"/>
      <c r="P523" s="66"/>
      <c r="Q523" s="67"/>
      <c r="R523" s="67"/>
      <c r="S523" s="67"/>
      <c r="T523" s="67"/>
      <c r="U523" s="67"/>
    </row>
    <row r="524" ht="15.75" customHeight="1">
      <c r="A524" s="26" t="s">
        <v>1719</v>
      </c>
      <c r="B524" s="26" t="s">
        <v>1720</v>
      </c>
      <c r="C524" s="26" t="s">
        <v>1705</v>
      </c>
      <c r="D524" s="26" t="str">
        <f>IFERROR(__xludf.DUMMYFUNCTION("IF(
 C524=""STATE"",
 UPPER(REGEXEXTRACT(A524,""^state\.([^_@]+)"")),
 """"
)"),"")</f>
        <v/>
      </c>
      <c r="E524" s="26" t="b">
        <v>1</v>
      </c>
      <c r="F524" s="26" t="s">
        <v>633</v>
      </c>
      <c r="G524" s="26" t="str">
        <f t="shared" si="1"/>
        <v>Not a building</v>
      </c>
      <c r="H524" s="26" t="str">
        <f t="shared" si="2"/>
        <v>Not a building</v>
      </c>
      <c r="K524" s="66"/>
      <c r="L524" s="66"/>
      <c r="M524" s="67"/>
      <c r="N524" s="67"/>
      <c r="O524" s="66"/>
      <c r="P524" s="66"/>
      <c r="Q524" s="67"/>
      <c r="R524" s="67"/>
      <c r="S524" s="67"/>
      <c r="T524" s="67"/>
      <c r="U524" s="67"/>
    </row>
    <row r="525" ht="15.75" customHeight="1">
      <c r="A525" s="26" t="s">
        <v>1721</v>
      </c>
      <c r="B525" s="26" t="s">
        <v>1722</v>
      </c>
      <c r="C525" s="26" t="s">
        <v>1705</v>
      </c>
      <c r="D525" s="26" t="str">
        <f>IFERROR(__xludf.DUMMYFUNCTION("IF(
 C525=""STATE"",
 UPPER(REGEXEXTRACT(A525,""^state\.([^_@]+)"")),
 """"
)"),"")</f>
        <v/>
      </c>
      <c r="E525" s="26" t="b">
        <v>1</v>
      </c>
      <c r="F525" s="26" t="s">
        <v>633</v>
      </c>
      <c r="G525" s="26" t="str">
        <f t="shared" si="1"/>
        <v>Not a building</v>
      </c>
      <c r="H525" s="26" t="str">
        <f t="shared" si="2"/>
        <v>Not a building</v>
      </c>
      <c r="K525" s="66"/>
      <c r="L525" s="66"/>
      <c r="M525" s="67"/>
      <c r="N525" s="67"/>
      <c r="O525" s="66"/>
      <c r="P525" s="66"/>
      <c r="Q525" s="67"/>
      <c r="R525" s="67"/>
      <c r="S525" s="67"/>
      <c r="T525" s="67"/>
      <c r="U525" s="67"/>
    </row>
    <row r="526" ht="15.75" customHeight="1">
      <c r="A526" s="26" t="s">
        <v>1724</v>
      </c>
      <c r="B526" s="26" t="s">
        <v>1725</v>
      </c>
      <c r="C526" s="26" t="s">
        <v>1705</v>
      </c>
      <c r="D526" s="26" t="str">
        <f>IFERROR(__xludf.DUMMYFUNCTION("IF(
 C526=""STATE"",
 UPPER(REGEXEXTRACT(A526,""^state\.([^_@]+)"")),
 """"
)"),"")</f>
        <v/>
      </c>
      <c r="E526" s="26" t="b">
        <v>1</v>
      </c>
      <c r="F526" s="26" t="s">
        <v>633</v>
      </c>
      <c r="G526" s="26" t="str">
        <f t="shared" si="1"/>
        <v>Not a building</v>
      </c>
      <c r="H526" s="26" t="str">
        <f t="shared" si="2"/>
        <v>Not a building</v>
      </c>
      <c r="K526" s="66"/>
      <c r="L526" s="66"/>
      <c r="M526" s="67"/>
      <c r="N526" s="67"/>
      <c r="O526" s="66"/>
      <c r="P526" s="66"/>
      <c r="Q526" s="67"/>
      <c r="R526" s="67"/>
      <c r="S526" s="67"/>
      <c r="T526" s="67"/>
      <c r="U526" s="67"/>
    </row>
    <row r="527" ht="15.75" customHeight="1">
      <c r="A527" s="26" t="s">
        <v>1726</v>
      </c>
      <c r="B527" s="26" t="s">
        <v>1727</v>
      </c>
      <c r="C527" s="26" t="s">
        <v>1705</v>
      </c>
      <c r="D527" s="26" t="str">
        <f>IFERROR(__xludf.DUMMYFUNCTION("IF(
 C527=""STATE"",
 UPPER(REGEXEXTRACT(A527,""^state\.([^_@]+)"")),
 """"
)"),"")</f>
        <v/>
      </c>
      <c r="E527" s="26" t="b">
        <v>1</v>
      </c>
      <c r="F527" s="26" t="s">
        <v>633</v>
      </c>
      <c r="G527" s="26" t="str">
        <f t="shared" si="1"/>
        <v>Not a building</v>
      </c>
      <c r="H527" s="26" t="str">
        <f t="shared" si="2"/>
        <v>Not a building</v>
      </c>
      <c r="K527" s="66"/>
      <c r="L527" s="66"/>
      <c r="M527" s="67"/>
      <c r="N527" s="67"/>
      <c r="O527" s="66"/>
      <c r="P527" s="66"/>
      <c r="Q527" s="67"/>
      <c r="R527" s="67"/>
      <c r="S527" s="67"/>
      <c r="T527" s="67"/>
      <c r="U527" s="67"/>
    </row>
    <row r="528" ht="15.75" customHeight="1">
      <c r="A528" s="26" t="s">
        <v>1728</v>
      </c>
      <c r="B528" s="26" t="s">
        <v>1729</v>
      </c>
      <c r="C528" s="26" t="s">
        <v>1705</v>
      </c>
      <c r="D528" s="26" t="str">
        <f>IFERROR(__xludf.DUMMYFUNCTION("IF(
 C528=""STATE"",
 UPPER(REGEXEXTRACT(A528,""^state\.([^_@]+)"")),
 """"
)"),"")</f>
        <v/>
      </c>
      <c r="E528" s="26" t="b">
        <v>1</v>
      </c>
      <c r="F528" s="26" t="s">
        <v>633</v>
      </c>
      <c r="G528" s="26" t="str">
        <f t="shared" si="1"/>
        <v>Not a building</v>
      </c>
      <c r="H528" s="26" t="str">
        <f t="shared" si="2"/>
        <v>Not a building</v>
      </c>
      <c r="K528" s="66"/>
      <c r="L528" s="66"/>
      <c r="M528" s="67"/>
      <c r="N528" s="67"/>
      <c r="O528" s="66"/>
      <c r="P528" s="66"/>
      <c r="Q528" s="67"/>
      <c r="R528" s="67"/>
      <c r="S528" s="67"/>
      <c r="T528" s="67"/>
      <c r="U528" s="67"/>
    </row>
    <row r="529" ht="15.75" customHeight="1">
      <c r="A529" s="26" t="s">
        <v>1731</v>
      </c>
      <c r="B529" s="26" t="s">
        <v>1732</v>
      </c>
      <c r="C529" s="26" t="s">
        <v>1705</v>
      </c>
      <c r="D529" s="26" t="str">
        <f>IFERROR(__xludf.DUMMYFUNCTION("IF(
 C529=""STATE"",
 UPPER(REGEXEXTRACT(A529,""^state\.([^_@]+)"")),
 """"
)"),"")</f>
        <v/>
      </c>
      <c r="E529" s="26" t="b">
        <v>1</v>
      </c>
      <c r="F529" s="26" t="s">
        <v>633</v>
      </c>
      <c r="G529" s="26" t="str">
        <f t="shared" si="1"/>
        <v>Not a building</v>
      </c>
      <c r="H529" s="26" t="str">
        <f t="shared" si="2"/>
        <v>Not a building</v>
      </c>
      <c r="K529" s="66"/>
      <c r="L529" s="66"/>
      <c r="M529" s="67"/>
      <c r="N529" s="67"/>
      <c r="O529" s="66"/>
      <c r="P529" s="66"/>
      <c r="Q529" s="67"/>
      <c r="R529" s="67"/>
      <c r="S529" s="67"/>
      <c r="T529" s="67"/>
      <c r="U529" s="67"/>
    </row>
    <row r="530" ht="15.75" customHeight="1">
      <c r="A530" s="26" t="s">
        <v>1733</v>
      </c>
      <c r="B530" s="26" t="s">
        <v>1734</v>
      </c>
      <c r="C530" s="26" t="s">
        <v>1705</v>
      </c>
      <c r="D530" s="26" t="str">
        <f>IFERROR(__xludf.DUMMYFUNCTION("IF(
 C530=""STATE"",
 UPPER(REGEXEXTRACT(A530,""^state\.([^_@]+)"")),
 """"
)"),"")</f>
        <v/>
      </c>
      <c r="E530" s="26" t="b">
        <v>1</v>
      </c>
      <c r="F530" s="26" t="s">
        <v>633</v>
      </c>
      <c r="G530" s="26" t="str">
        <f t="shared" si="1"/>
        <v>Not a building</v>
      </c>
      <c r="H530" s="26" t="str">
        <f t="shared" si="2"/>
        <v>Not a building</v>
      </c>
      <c r="K530" s="66"/>
      <c r="L530" s="66"/>
      <c r="M530" s="67"/>
      <c r="N530" s="67"/>
      <c r="O530" s="66"/>
      <c r="P530" s="66"/>
      <c r="Q530" s="67"/>
      <c r="R530" s="67"/>
      <c r="S530" s="67"/>
      <c r="T530" s="67"/>
      <c r="U530" s="67"/>
    </row>
    <row r="531" ht="15.75" customHeight="1">
      <c r="A531" s="26" t="s">
        <v>1735</v>
      </c>
      <c r="B531" s="26" t="s">
        <v>1736</v>
      </c>
      <c r="C531" s="26" t="s">
        <v>1705</v>
      </c>
      <c r="D531" s="26" t="str">
        <f>IFERROR(__xludf.DUMMYFUNCTION("IF(
 C531=""STATE"",
 UPPER(REGEXEXTRACT(A531,""^state\.([^_@]+)"")),
 """"
)"),"")</f>
        <v/>
      </c>
      <c r="E531" s="26" t="b">
        <v>1</v>
      </c>
      <c r="F531" s="26" t="s">
        <v>633</v>
      </c>
      <c r="G531" s="26" t="str">
        <f t="shared" si="1"/>
        <v>Not a building</v>
      </c>
      <c r="H531" s="26" t="str">
        <f t="shared" si="2"/>
        <v>Not a building</v>
      </c>
      <c r="K531" s="66"/>
      <c r="L531" s="66"/>
      <c r="M531" s="67"/>
      <c r="N531" s="67"/>
      <c r="O531" s="66"/>
      <c r="P531" s="66"/>
      <c r="Q531" s="67"/>
      <c r="R531" s="67"/>
      <c r="S531" s="67"/>
      <c r="T531" s="67"/>
      <c r="U531" s="67"/>
    </row>
    <row r="532" ht="15.75" customHeight="1">
      <c r="A532" s="26" t="s">
        <v>1737</v>
      </c>
      <c r="B532" s="26" t="s">
        <v>1738</v>
      </c>
      <c r="C532" s="26" t="s">
        <v>1705</v>
      </c>
      <c r="D532" s="26" t="str">
        <f>IFERROR(__xludf.DUMMYFUNCTION("IF(
 C532=""STATE"",
 UPPER(REGEXEXTRACT(A532,""^state\.([^_@]+)"")),
 """"
)"),"")</f>
        <v/>
      </c>
      <c r="E532" s="26" t="b">
        <v>1</v>
      </c>
      <c r="F532" s="26" t="s">
        <v>633</v>
      </c>
      <c r="G532" s="26" t="str">
        <f t="shared" si="1"/>
        <v>Not a building</v>
      </c>
      <c r="H532" s="26" t="str">
        <f t="shared" si="2"/>
        <v>Not a building</v>
      </c>
      <c r="K532" s="66"/>
      <c r="L532" s="66"/>
      <c r="M532" s="67"/>
      <c r="N532" s="67"/>
      <c r="O532" s="66"/>
      <c r="P532" s="66"/>
      <c r="Q532" s="67"/>
      <c r="R532" s="67"/>
      <c r="S532" s="67"/>
      <c r="T532" s="67"/>
      <c r="U532" s="67"/>
    </row>
    <row r="533" ht="15.75" customHeight="1">
      <c r="A533" s="26" t="s">
        <v>1740</v>
      </c>
      <c r="B533" s="26" t="s">
        <v>1741</v>
      </c>
      <c r="C533" s="26" t="s">
        <v>1705</v>
      </c>
      <c r="D533" s="26" t="str">
        <f>IFERROR(__xludf.DUMMYFUNCTION("IF(
 C533=""STATE"",
 UPPER(REGEXEXTRACT(A533,""^state\.([^_@]+)"")),
 """"
)"),"")</f>
        <v/>
      </c>
      <c r="E533" s="26" t="b">
        <v>1</v>
      </c>
      <c r="F533" s="26" t="s">
        <v>633</v>
      </c>
      <c r="G533" s="26" t="str">
        <f t="shared" si="1"/>
        <v>Not a building</v>
      </c>
      <c r="H533" s="26" t="str">
        <f t="shared" si="2"/>
        <v>Not a building</v>
      </c>
      <c r="K533" s="66"/>
      <c r="L533" s="66"/>
      <c r="M533" s="67"/>
      <c r="N533" s="67"/>
      <c r="O533" s="66"/>
      <c r="P533" s="66"/>
      <c r="Q533" s="67"/>
      <c r="R533" s="67"/>
      <c r="S533" s="67"/>
      <c r="T533" s="67"/>
      <c r="U533" s="67"/>
    </row>
    <row r="534" ht="15.75" customHeight="1">
      <c r="A534" s="26" t="s">
        <v>1742</v>
      </c>
      <c r="B534" s="26" t="s">
        <v>1743</v>
      </c>
      <c r="C534" s="26" t="s">
        <v>1705</v>
      </c>
      <c r="D534" s="26" t="str">
        <f>IFERROR(__xludf.DUMMYFUNCTION("IF(
 C534=""STATE"",
 UPPER(REGEXEXTRACT(A534,""^state\.([^_@]+)"")),
 """"
)"),"")</f>
        <v/>
      </c>
      <c r="E534" s="26" t="b">
        <v>1</v>
      </c>
      <c r="F534" s="26" t="s">
        <v>633</v>
      </c>
      <c r="G534" s="26" t="str">
        <f t="shared" si="1"/>
        <v>Not a building</v>
      </c>
      <c r="H534" s="26" t="str">
        <f t="shared" si="2"/>
        <v>Not a building</v>
      </c>
      <c r="K534" s="66"/>
      <c r="L534" s="66"/>
      <c r="M534" s="67"/>
      <c r="N534" s="67"/>
      <c r="O534" s="66"/>
      <c r="P534" s="66"/>
      <c r="Q534" s="67"/>
      <c r="R534" s="67"/>
      <c r="S534" s="67"/>
      <c r="T534" s="67"/>
      <c r="U534" s="67"/>
    </row>
    <row r="535" ht="15.75" customHeight="1">
      <c r="A535" s="26" t="s">
        <v>1744</v>
      </c>
      <c r="B535" s="26" t="s">
        <v>1745</v>
      </c>
      <c r="C535" s="26" t="s">
        <v>1705</v>
      </c>
      <c r="D535" s="26" t="str">
        <f>IFERROR(__xludf.DUMMYFUNCTION("IF(
 C535=""STATE"",
 UPPER(REGEXEXTRACT(A535,""^state\.([^_@]+)"")),
 """"
)"),"")</f>
        <v/>
      </c>
      <c r="E535" s="26" t="b">
        <v>1</v>
      </c>
      <c r="F535" s="26" t="s">
        <v>633</v>
      </c>
      <c r="G535" s="26" t="str">
        <f t="shared" si="1"/>
        <v>Not a building</v>
      </c>
      <c r="H535" s="26" t="str">
        <f t="shared" si="2"/>
        <v>Not a building</v>
      </c>
      <c r="K535" s="66"/>
      <c r="L535" s="66"/>
      <c r="M535" s="67"/>
      <c r="N535" s="67"/>
      <c r="O535" s="66"/>
      <c r="P535" s="66"/>
      <c r="Q535" s="67"/>
      <c r="R535" s="67"/>
      <c r="S535" s="67"/>
      <c r="T535" s="67"/>
      <c r="U535" s="67"/>
    </row>
    <row r="536" ht="15.75" customHeight="1">
      <c r="A536" s="26" t="s">
        <v>1747</v>
      </c>
      <c r="B536" s="26" t="s">
        <v>1748</v>
      </c>
      <c r="C536" s="26" t="s">
        <v>1705</v>
      </c>
      <c r="D536" s="26" t="str">
        <f>IFERROR(__xludf.DUMMYFUNCTION("IF(
 C536=""STATE"",
 UPPER(REGEXEXTRACT(A536,""^state\.([^_@]+)"")),
 """"
)"),"")</f>
        <v/>
      </c>
      <c r="E536" s="26" t="b">
        <v>1</v>
      </c>
      <c r="F536" s="26" t="s">
        <v>633</v>
      </c>
      <c r="G536" s="26" t="str">
        <f t="shared" si="1"/>
        <v>Not a building</v>
      </c>
      <c r="H536" s="26" t="str">
        <f t="shared" si="2"/>
        <v>Not a building</v>
      </c>
      <c r="K536" s="66"/>
      <c r="L536" s="66"/>
      <c r="M536" s="67"/>
      <c r="N536" s="67"/>
      <c r="O536" s="66"/>
      <c r="P536" s="66"/>
      <c r="Q536" s="67"/>
      <c r="R536" s="67"/>
      <c r="S536" s="67"/>
      <c r="T536" s="67"/>
      <c r="U536" s="67"/>
    </row>
    <row r="537" ht="15.75" customHeight="1">
      <c r="A537" s="26" t="s">
        <v>1749</v>
      </c>
      <c r="B537" s="26" t="s">
        <v>1750</v>
      </c>
      <c r="C537" s="26" t="s">
        <v>1705</v>
      </c>
      <c r="D537" s="26" t="str">
        <f>IFERROR(__xludf.DUMMYFUNCTION("IF(
 C537=""STATE"",
 UPPER(REGEXEXTRACT(A537,""^state\.([^_@]+)"")),
 """"
)"),"")</f>
        <v/>
      </c>
      <c r="E537" s="26" t="b">
        <v>1</v>
      </c>
      <c r="F537" s="26" t="s">
        <v>633</v>
      </c>
      <c r="G537" s="26" t="str">
        <f t="shared" si="1"/>
        <v>Not a building</v>
      </c>
      <c r="H537" s="26" t="str">
        <f t="shared" si="2"/>
        <v>Not a building</v>
      </c>
      <c r="K537" s="66"/>
      <c r="L537" s="66"/>
      <c r="M537" s="67"/>
      <c r="N537" s="67"/>
      <c r="O537" s="66"/>
      <c r="P537" s="66"/>
      <c r="Q537" s="67"/>
      <c r="R537" s="67"/>
      <c r="S537" s="67"/>
      <c r="T537" s="67"/>
      <c r="U537" s="67"/>
    </row>
    <row r="538" ht="15.75" customHeight="1">
      <c r="A538" s="26" t="s">
        <v>1751</v>
      </c>
      <c r="B538" s="26" t="s">
        <v>1752</v>
      </c>
      <c r="C538" s="26" t="s">
        <v>1705</v>
      </c>
      <c r="D538" s="26" t="str">
        <f>IFERROR(__xludf.DUMMYFUNCTION("IF(
 C538=""STATE"",
 UPPER(REGEXEXTRACT(A538,""^state\.([^_@]+)"")),
 """"
)"),"")</f>
        <v/>
      </c>
      <c r="E538" s="26" t="b">
        <v>1</v>
      </c>
      <c r="F538" s="26" t="s">
        <v>633</v>
      </c>
      <c r="G538" s="26" t="str">
        <f t="shared" si="1"/>
        <v>Not a building</v>
      </c>
      <c r="H538" s="26" t="str">
        <f t="shared" si="2"/>
        <v>Not a building</v>
      </c>
      <c r="K538" s="66"/>
      <c r="L538" s="66"/>
      <c r="M538" s="67"/>
      <c r="N538" s="67"/>
      <c r="O538" s="66"/>
      <c r="P538" s="66"/>
      <c r="Q538" s="67"/>
      <c r="R538" s="67"/>
      <c r="S538" s="67"/>
      <c r="T538" s="67"/>
      <c r="U538" s="67"/>
    </row>
    <row r="539" ht="15.75" customHeight="1">
      <c r="A539" s="26" t="s">
        <v>1753</v>
      </c>
      <c r="B539" s="26" t="s">
        <v>1754</v>
      </c>
      <c r="C539" s="26" t="s">
        <v>1705</v>
      </c>
      <c r="D539" s="26" t="str">
        <f>IFERROR(__xludf.DUMMYFUNCTION("IF(
 C539=""STATE"",
 UPPER(REGEXEXTRACT(A539,""^state\.([^_@]+)"")),
 """"
)"),"")</f>
        <v/>
      </c>
      <c r="E539" s="26" t="b">
        <v>1</v>
      </c>
      <c r="F539" s="26" t="s">
        <v>633</v>
      </c>
      <c r="G539" s="26" t="str">
        <f t="shared" si="1"/>
        <v>Not a building</v>
      </c>
      <c r="H539" s="26" t="str">
        <f t="shared" si="2"/>
        <v>Not a building</v>
      </c>
      <c r="K539" s="66"/>
      <c r="L539" s="66"/>
      <c r="M539" s="67"/>
      <c r="N539" s="67"/>
      <c r="O539" s="66"/>
      <c r="P539" s="66"/>
      <c r="Q539" s="67"/>
      <c r="R539" s="67"/>
      <c r="S539" s="67"/>
      <c r="T539" s="67"/>
      <c r="U539" s="67"/>
    </row>
    <row r="540" ht="15.75" customHeight="1">
      <c r="A540" s="26" t="s">
        <v>1756</v>
      </c>
      <c r="B540" s="26" t="s">
        <v>1757</v>
      </c>
      <c r="C540" s="26" t="s">
        <v>1705</v>
      </c>
      <c r="D540" s="26" t="str">
        <f>IFERROR(__xludf.DUMMYFUNCTION("IF(
 C540=""STATE"",
 UPPER(REGEXEXTRACT(A540,""^state\.([^_@]+)"")),
 """"
)"),"")</f>
        <v/>
      </c>
      <c r="E540" s="26" t="b">
        <v>1</v>
      </c>
      <c r="F540" s="26" t="s">
        <v>633</v>
      </c>
      <c r="G540" s="26" t="str">
        <f t="shared" si="1"/>
        <v>Not a building</v>
      </c>
      <c r="H540" s="26" t="str">
        <f t="shared" si="2"/>
        <v>Not a building</v>
      </c>
      <c r="K540" s="66"/>
      <c r="L540" s="66"/>
      <c r="M540" s="67"/>
      <c r="N540" s="67"/>
      <c r="O540" s="66"/>
      <c r="P540" s="66"/>
      <c r="Q540" s="67"/>
      <c r="R540" s="67"/>
      <c r="S540" s="67"/>
      <c r="T540" s="67"/>
      <c r="U540" s="67"/>
    </row>
    <row r="541" ht="15.75" customHeight="1">
      <c r="A541" s="26" t="s">
        <v>1758</v>
      </c>
      <c r="B541" s="26" t="s">
        <v>1759</v>
      </c>
      <c r="C541" s="26" t="s">
        <v>1705</v>
      </c>
      <c r="D541" s="26" t="str">
        <f>IFERROR(__xludf.DUMMYFUNCTION("IF(
 C541=""STATE"",
 UPPER(REGEXEXTRACT(A541,""^state\.([^_@]+)"")),
 """"
)"),"")</f>
        <v/>
      </c>
      <c r="E541" s="26" t="b">
        <v>1</v>
      </c>
      <c r="F541" s="26" t="s">
        <v>633</v>
      </c>
      <c r="G541" s="26" t="str">
        <f t="shared" si="1"/>
        <v>Not a building</v>
      </c>
      <c r="H541" s="26" t="str">
        <f t="shared" si="2"/>
        <v>Not a building</v>
      </c>
      <c r="K541" s="66"/>
      <c r="L541" s="66"/>
      <c r="M541" s="67"/>
      <c r="N541" s="67"/>
      <c r="O541" s="66"/>
      <c r="P541" s="66"/>
      <c r="Q541" s="67"/>
      <c r="R541" s="67"/>
      <c r="S541" s="67"/>
      <c r="T541" s="67"/>
      <c r="U541" s="67"/>
    </row>
    <row r="542" ht="15.75" customHeight="1">
      <c r="A542" s="26" t="s">
        <v>1760</v>
      </c>
      <c r="B542" s="26" t="s">
        <v>1761</v>
      </c>
      <c r="C542" s="26" t="s">
        <v>1705</v>
      </c>
      <c r="D542" s="26" t="str">
        <f>IFERROR(__xludf.DUMMYFUNCTION("IF(
 C542=""STATE"",
 UPPER(REGEXEXTRACT(A542,""^state\.([^_@]+)"")),
 """"
)"),"")</f>
        <v/>
      </c>
      <c r="E542" s="26" t="b">
        <v>1</v>
      </c>
      <c r="F542" s="26" t="s">
        <v>633</v>
      </c>
      <c r="G542" s="26" t="str">
        <f t="shared" si="1"/>
        <v>Not a building</v>
      </c>
      <c r="H542" s="26" t="str">
        <f t="shared" si="2"/>
        <v>Not a building</v>
      </c>
      <c r="K542" s="66"/>
      <c r="L542" s="66"/>
      <c r="M542" s="67"/>
      <c r="N542" s="67"/>
      <c r="O542" s="66"/>
      <c r="P542" s="66"/>
      <c r="Q542" s="67"/>
      <c r="R542" s="67"/>
      <c r="S542" s="67"/>
      <c r="T542" s="67"/>
      <c r="U542" s="67"/>
    </row>
    <row r="543" ht="15.75" customHeight="1">
      <c r="A543" s="26" t="s">
        <v>1762</v>
      </c>
      <c r="B543" s="26" t="s">
        <v>1763</v>
      </c>
      <c r="C543" s="26" t="s">
        <v>1705</v>
      </c>
      <c r="D543" s="26" t="str">
        <f>IFERROR(__xludf.DUMMYFUNCTION("IF(
 C543=""STATE"",
 UPPER(REGEXEXTRACT(A543,""^state\.([^_@]+)"")),
 """"
)"),"")</f>
        <v/>
      </c>
      <c r="E543" s="26" t="b">
        <v>1</v>
      </c>
      <c r="F543" s="26" t="s">
        <v>633</v>
      </c>
      <c r="G543" s="26" t="str">
        <f t="shared" si="1"/>
        <v>Not a building</v>
      </c>
      <c r="H543" s="26" t="str">
        <f t="shared" si="2"/>
        <v>Not a building</v>
      </c>
      <c r="K543" s="66"/>
      <c r="L543" s="66"/>
      <c r="M543" s="67"/>
      <c r="N543" s="67"/>
      <c r="O543" s="66"/>
      <c r="P543" s="66"/>
      <c r="Q543" s="67"/>
      <c r="R543" s="67"/>
      <c r="S543" s="67"/>
      <c r="T543" s="67"/>
      <c r="U543" s="67"/>
    </row>
    <row r="544" ht="15.75" customHeight="1">
      <c r="A544" s="26" t="s">
        <v>1765</v>
      </c>
      <c r="B544" s="26" t="s">
        <v>1766</v>
      </c>
      <c r="C544" s="26" t="s">
        <v>1705</v>
      </c>
      <c r="D544" s="26" t="str">
        <f>IFERROR(__xludf.DUMMYFUNCTION("IF(
 C544=""STATE"",
 UPPER(REGEXEXTRACT(A544,""^state\.([^_@]+)"")),
 """"
)"),"")</f>
        <v/>
      </c>
      <c r="E544" s="26" t="b">
        <v>1</v>
      </c>
      <c r="F544" s="26" t="s">
        <v>633</v>
      </c>
      <c r="G544" s="26" t="str">
        <f t="shared" si="1"/>
        <v>Not a building</v>
      </c>
      <c r="H544" s="26" t="str">
        <f t="shared" si="2"/>
        <v>Not a building</v>
      </c>
      <c r="K544" s="66"/>
      <c r="L544" s="66"/>
      <c r="M544" s="67"/>
      <c r="N544" s="67"/>
      <c r="O544" s="66"/>
      <c r="P544" s="66"/>
      <c r="Q544" s="67"/>
      <c r="R544" s="67"/>
      <c r="S544" s="67"/>
      <c r="T544" s="67"/>
      <c r="U544" s="67"/>
    </row>
    <row r="545" ht="15.75" customHeight="1">
      <c r="A545" s="26" t="s">
        <v>1768</v>
      </c>
      <c r="B545" s="26" t="s">
        <v>1769</v>
      </c>
      <c r="C545" s="26" t="s">
        <v>1705</v>
      </c>
      <c r="D545" s="26" t="str">
        <f>IFERROR(__xludf.DUMMYFUNCTION("IF(
 C545=""STATE"",
 UPPER(REGEXEXTRACT(A545,""^state\.([^_@]+)"")),
 """"
)"),"")</f>
        <v/>
      </c>
      <c r="E545" s="26" t="b">
        <v>1</v>
      </c>
      <c r="F545" s="26" t="s">
        <v>633</v>
      </c>
      <c r="G545" s="26" t="str">
        <f t="shared" si="1"/>
        <v>Not a building</v>
      </c>
      <c r="H545" s="26" t="str">
        <f t="shared" si="2"/>
        <v>Not a building</v>
      </c>
      <c r="K545" s="66"/>
      <c r="L545" s="66"/>
      <c r="M545" s="67"/>
      <c r="N545" s="67"/>
      <c r="O545" s="66"/>
      <c r="P545" s="66"/>
      <c r="Q545" s="67"/>
      <c r="R545" s="67"/>
      <c r="S545" s="67"/>
      <c r="T545" s="67"/>
      <c r="U545" s="67"/>
    </row>
    <row r="546" ht="15.75" customHeight="1">
      <c r="A546" s="26" t="s">
        <v>1770</v>
      </c>
      <c r="B546" s="26" t="s">
        <v>1771</v>
      </c>
      <c r="C546" s="26" t="s">
        <v>1705</v>
      </c>
      <c r="D546" s="26" t="str">
        <f>IFERROR(__xludf.DUMMYFUNCTION("IF(
 C546=""STATE"",
 UPPER(REGEXEXTRACT(A546,""^state\.([^_@]+)"")),
 """"
)"),"")</f>
        <v/>
      </c>
      <c r="E546" s="26" t="b">
        <v>1</v>
      </c>
      <c r="F546" s="26" t="s">
        <v>633</v>
      </c>
      <c r="G546" s="26" t="str">
        <f t="shared" si="1"/>
        <v>Not a building</v>
      </c>
      <c r="H546" s="26" t="str">
        <f t="shared" si="2"/>
        <v>Not a building</v>
      </c>
      <c r="K546" s="66"/>
      <c r="L546" s="66"/>
      <c r="M546" s="67"/>
      <c r="N546" s="67"/>
      <c r="O546" s="66"/>
      <c r="P546" s="66"/>
      <c r="Q546" s="67"/>
      <c r="R546" s="67"/>
      <c r="S546" s="67"/>
      <c r="T546" s="67"/>
      <c r="U546" s="67"/>
    </row>
    <row r="547" ht="15.75" customHeight="1">
      <c r="A547" s="26" t="s">
        <v>1772</v>
      </c>
      <c r="B547" s="26" t="s">
        <v>1773</v>
      </c>
      <c r="C547" s="26" t="s">
        <v>1705</v>
      </c>
      <c r="D547" s="26" t="str">
        <f>IFERROR(__xludf.DUMMYFUNCTION("IF(
 C547=""STATE"",
 UPPER(REGEXEXTRACT(A547,""^state\.([^_@]+)"")),
 """"
)"),"")</f>
        <v/>
      </c>
      <c r="E547" s="26" t="b">
        <v>1</v>
      </c>
      <c r="F547" s="26" t="s">
        <v>633</v>
      </c>
      <c r="G547" s="26" t="str">
        <f t="shared" si="1"/>
        <v>Not a building</v>
      </c>
      <c r="H547" s="26" t="str">
        <f t="shared" si="2"/>
        <v>Not a building</v>
      </c>
      <c r="K547" s="66"/>
      <c r="L547" s="66"/>
      <c r="M547" s="67"/>
      <c r="N547" s="67"/>
      <c r="O547" s="66"/>
      <c r="P547" s="66"/>
      <c r="Q547" s="67"/>
      <c r="R547" s="67"/>
      <c r="S547" s="67"/>
      <c r="T547" s="67"/>
      <c r="U547" s="67"/>
    </row>
    <row r="548" ht="15.75" customHeight="1">
      <c r="A548" s="26" t="s">
        <v>1775</v>
      </c>
      <c r="B548" s="26" t="s">
        <v>1776</v>
      </c>
      <c r="C548" s="26" t="s">
        <v>1705</v>
      </c>
      <c r="D548" s="26" t="str">
        <f>IFERROR(__xludf.DUMMYFUNCTION("IF(
 C548=""STATE"",
 UPPER(REGEXEXTRACT(A548,""^state\.([^_@]+)"")),
 """"
)"),"")</f>
        <v/>
      </c>
      <c r="E548" s="26" t="b">
        <v>1</v>
      </c>
      <c r="F548" s="26" t="s">
        <v>633</v>
      </c>
      <c r="G548" s="26" t="str">
        <f t="shared" si="1"/>
        <v>Not a building</v>
      </c>
      <c r="H548" s="26" t="str">
        <f t="shared" si="2"/>
        <v>Not a building</v>
      </c>
      <c r="K548" s="66"/>
      <c r="L548" s="66"/>
      <c r="M548" s="67"/>
      <c r="N548" s="67"/>
      <c r="O548" s="66"/>
      <c r="P548" s="66"/>
      <c r="Q548" s="67"/>
      <c r="R548" s="67"/>
      <c r="S548" s="67"/>
      <c r="T548" s="67"/>
      <c r="U548" s="67"/>
    </row>
    <row r="549" ht="15.75" customHeight="1">
      <c r="A549" s="26" t="s">
        <v>1777</v>
      </c>
      <c r="B549" s="26" t="s">
        <v>1778</v>
      </c>
      <c r="C549" s="26" t="s">
        <v>1705</v>
      </c>
      <c r="D549" s="26" t="str">
        <f>IFERROR(__xludf.DUMMYFUNCTION("IF(
 C549=""STATE"",
 UPPER(REGEXEXTRACT(A549,""^state\.([^_@]+)"")),
 """"
)"),"")</f>
        <v/>
      </c>
      <c r="E549" s="26" t="b">
        <v>1</v>
      </c>
      <c r="F549" s="26" t="s">
        <v>633</v>
      </c>
      <c r="G549" s="26" t="str">
        <f t="shared" si="1"/>
        <v>Not a building</v>
      </c>
      <c r="H549" s="26" t="str">
        <f t="shared" si="2"/>
        <v>Not a building</v>
      </c>
      <c r="K549" s="66"/>
      <c r="L549" s="66"/>
      <c r="M549" s="67"/>
      <c r="N549" s="67"/>
      <c r="O549" s="66"/>
      <c r="P549" s="66"/>
      <c r="Q549" s="67"/>
      <c r="R549" s="67"/>
      <c r="S549" s="67"/>
      <c r="T549" s="67"/>
      <c r="U549" s="67"/>
    </row>
    <row r="550" ht="15.75" customHeight="1">
      <c r="A550" s="26" t="s">
        <v>1779</v>
      </c>
      <c r="B550" s="26" t="s">
        <v>1780</v>
      </c>
      <c r="C550" s="26" t="s">
        <v>1705</v>
      </c>
      <c r="D550" s="26" t="str">
        <f>IFERROR(__xludf.DUMMYFUNCTION("IF(
 C550=""STATE"",
 UPPER(REGEXEXTRACT(A550,""^state\.([^_@]+)"")),
 """"
)"),"")</f>
        <v/>
      </c>
      <c r="E550" s="26" t="b">
        <v>1</v>
      </c>
      <c r="F550" s="26" t="s">
        <v>633</v>
      </c>
      <c r="G550" s="26" t="str">
        <f t="shared" si="1"/>
        <v>Not a building</v>
      </c>
      <c r="H550" s="26" t="str">
        <f t="shared" si="2"/>
        <v>Not a building</v>
      </c>
      <c r="K550" s="66"/>
      <c r="L550" s="66"/>
      <c r="M550" s="67"/>
      <c r="N550" s="67"/>
      <c r="O550" s="66"/>
      <c r="P550" s="66"/>
      <c r="Q550" s="67"/>
      <c r="R550" s="67"/>
      <c r="S550" s="67"/>
      <c r="T550" s="67"/>
      <c r="U550" s="67"/>
    </row>
    <row r="551" ht="15.75" customHeight="1">
      <c r="A551" s="26" t="s">
        <v>1782</v>
      </c>
      <c r="B551" s="26" t="s">
        <v>1783</v>
      </c>
      <c r="C551" s="26" t="s">
        <v>1705</v>
      </c>
      <c r="D551" s="26" t="str">
        <f>IFERROR(__xludf.DUMMYFUNCTION("IF(
 C551=""STATE"",
 UPPER(REGEXEXTRACT(A551,""^state\.([^_@]+)"")),
 """"
)"),"")</f>
        <v/>
      </c>
      <c r="E551" s="26" t="b">
        <v>1</v>
      </c>
      <c r="F551" s="26" t="s">
        <v>633</v>
      </c>
      <c r="G551" s="26" t="str">
        <f t="shared" si="1"/>
        <v>Not a building</v>
      </c>
      <c r="H551" s="26" t="str">
        <f t="shared" si="2"/>
        <v>Not a building</v>
      </c>
      <c r="K551" s="66"/>
      <c r="L551" s="66"/>
      <c r="M551" s="67"/>
      <c r="N551" s="67"/>
      <c r="O551" s="66"/>
      <c r="P551" s="66"/>
      <c r="Q551" s="67"/>
      <c r="R551" s="67"/>
      <c r="S551" s="67"/>
      <c r="T551" s="67"/>
      <c r="U551" s="67"/>
    </row>
    <row r="552" ht="15.75" customHeight="1">
      <c r="A552" s="26" t="s">
        <v>1784</v>
      </c>
      <c r="B552" s="26" t="s">
        <v>1785</v>
      </c>
      <c r="C552" s="26" t="s">
        <v>1705</v>
      </c>
      <c r="D552" s="26" t="str">
        <f>IFERROR(__xludf.DUMMYFUNCTION("IF(
 C552=""STATE"",
 UPPER(REGEXEXTRACT(A552,""^state\.([^_@]+)"")),
 """"
)"),"")</f>
        <v/>
      </c>
      <c r="E552" s="26" t="b">
        <v>1</v>
      </c>
      <c r="F552" s="26" t="s">
        <v>633</v>
      </c>
      <c r="G552" s="26" t="str">
        <f t="shared" si="1"/>
        <v>Not a building</v>
      </c>
      <c r="H552" s="26" t="str">
        <f t="shared" si="2"/>
        <v>Not a building</v>
      </c>
      <c r="K552" s="66"/>
      <c r="L552" s="66"/>
      <c r="M552" s="67"/>
      <c r="N552" s="67"/>
      <c r="O552" s="66"/>
      <c r="P552" s="66"/>
      <c r="Q552" s="67"/>
      <c r="R552" s="67"/>
      <c r="S552" s="67"/>
      <c r="T552" s="67"/>
      <c r="U552" s="67"/>
    </row>
    <row r="553" ht="15.75" customHeight="1">
      <c r="A553" s="26" t="s">
        <v>1786</v>
      </c>
      <c r="B553" s="26" t="s">
        <v>1787</v>
      </c>
      <c r="C553" s="26" t="s">
        <v>1705</v>
      </c>
      <c r="D553" s="26" t="str">
        <f>IFERROR(__xludf.DUMMYFUNCTION("IF(
 C553=""STATE"",
 UPPER(REGEXEXTRACT(A553,""^state\.([^_@]+)"")),
 """"
)"),"")</f>
        <v/>
      </c>
      <c r="E553" s="26" t="b">
        <v>1</v>
      </c>
      <c r="F553" s="26" t="s">
        <v>633</v>
      </c>
      <c r="G553" s="26" t="str">
        <f t="shared" si="1"/>
        <v>Not a building</v>
      </c>
      <c r="H553" s="26" t="str">
        <f t="shared" si="2"/>
        <v>Not a building</v>
      </c>
      <c r="K553" s="66"/>
      <c r="L553" s="66"/>
      <c r="M553" s="67"/>
      <c r="N553" s="67"/>
      <c r="O553" s="66"/>
      <c r="P553" s="66"/>
      <c r="Q553" s="67"/>
      <c r="R553" s="67"/>
      <c r="S553" s="67"/>
      <c r="T553" s="67"/>
      <c r="U553" s="67"/>
    </row>
    <row r="554" ht="15.75" customHeight="1">
      <c r="A554" s="26" t="s">
        <v>1789</v>
      </c>
      <c r="B554" s="26" t="s">
        <v>1790</v>
      </c>
      <c r="C554" s="26" t="s">
        <v>1705</v>
      </c>
      <c r="D554" s="26" t="str">
        <f>IFERROR(__xludf.DUMMYFUNCTION("IF(
 C554=""STATE"",
 UPPER(REGEXEXTRACT(A554,""^state\.([^_@]+)"")),
 """"
)"),"")</f>
        <v/>
      </c>
      <c r="E554" s="26" t="b">
        <v>1</v>
      </c>
      <c r="F554" s="26" t="s">
        <v>633</v>
      </c>
      <c r="G554" s="26" t="str">
        <f t="shared" si="1"/>
        <v>Not a building</v>
      </c>
      <c r="H554" s="26" t="str">
        <f t="shared" si="2"/>
        <v>Not a building</v>
      </c>
      <c r="K554" s="66"/>
      <c r="L554" s="66"/>
      <c r="M554" s="67"/>
      <c r="N554" s="67"/>
      <c r="O554" s="66"/>
      <c r="P554" s="66"/>
      <c r="Q554" s="67"/>
      <c r="R554" s="67"/>
      <c r="S554" s="67"/>
      <c r="T554" s="67"/>
      <c r="U554" s="67"/>
    </row>
    <row r="555" ht="15.75" customHeight="1">
      <c r="A555" s="26" t="s">
        <v>1791</v>
      </c>
      <c r="B555" s="26" t="s">
        <v>1792</v>
      </c>
      <c r="C555" s="26" t="s">
        <v>1705</v>
      </c>
      <c r="D555" s="26" t="str">
        <f>IFERROR(__xludf.DUMMYFUNCTION("IF(
 C555=""STATE"",
 UPPER(REGEXEXTRACT(A555,""^state\.([^_@]+)"")),
 """"
)"),"")</f>
        <v/>
      </c>
      <c r="E555" s="26" t="b">
        <v>1</v>
      </c>
      <c r="F555" s="26" t="s">
        <v>633</v>
      </c>
      <c r="G555" s="26" t="str">
        <f t="shared" si="1"/>
        <v>Not a building</v>
      </c>
      <c r="H555" s="26" t="str">
        <f t="shared" si="2"/>
        <v>Not a building</v>
      </c>
      <c r="K555" s="66"/>
      <c r="L555" s="66"/>
      <c r="M555" s="67"/>
      <c r="N555" s="67"/>
      <c r="O555" s="66"/>
      <c r="P555" s="66"/>
      <c r="Q555" s="67"/>
      <c r="R555" s="67"/>
      <c r="S555" s="67"/>
      <c r="T555" s="67"/>
      <c r="U555" s="67"/>
    </row>
    <row r="556" ht="15.75" customHeight="1">
      <c r="A556" s="26" t="s">
        <v>1793</v>
      </c>
      <c r="B556" s="26" t="s">
        <v>1794</v>
      </c>
      <c r="C556" s="26" t="s">
        <v>1705</v>
      </c>
      <c r="D556" s="26" t="str">
        <f>IFERROR(__xludf.DUMMYFUNCTION("IF(
 C556=""STATE"",
 UPPER(REGEXEXTRACT(A556,""^state\.([^_@]+)"")),
 """"
)"),"")</f>
        <v/>
      </c>
      <c r="E556" s="26" t="b">
        <v>1</v>
      </c>
      <c r="F556" s="26" t="s">
        <v>633</v>
      </c>
      <c r="G556" s="26" t="str">
        <f t="shared" si="1"/>
        <v>Not a building</v>
      </c>
      <c r="H556" s="26" t="str">
        <f t="shared" si="2"/>
        <v>Not a building</v>
      </c>
      <c r="K556" s="66"/>
      <c r="L556" s="66"/>
      <c r="M556" s="67"/>
      <c r="N556" s="67"/>
      <c r="O556" s="66"/>
      <c r="P556" s="66"/>
      <c r="Q556" s="67"/>
      <c r="R556" s="67"/>
      <c r="S556" s="67"/>
      <c r="T556" s="67"/>
      <c r="U556" s="67"/>
    </row>
    <row r="557" ht="15.75" customHeight="1">
      <c r="A557" s="26" t="s">
        <v>1795</v>
      </c>
      <c r="B557" s="26" t="s">
        <v>1796</v>
      </c>
      <c r="C557" s="26" t="s">
        <v>1705</v>
      </c>
      <c r="D557" s="26" t="str">
        <f>IFERROR(__xludf.DUMMYFUNCTION("IF(
 C557=""STATE"",
 UPPER(REGEXEXTRACT(A557,""^state\.([^_@]+)"")),
 """"
)"),"")</f>
        <v/>
      </c>
      <c r="E557" s="26" t="b">
        <v>1</v>
      </c>
      <c r="F557" s="26" t="s">
        <v>633</v>
      </c>
      <c r="G557" s="26" t="str">
        <f t="shared" si="1"/>
        <v>Not a building</v>
      </c>
      <c r="H557" s="26" t="str">
        <f t="shared" si="2"/>
        <v>Not a building</v>
      </c>
      <c r="K557" s="66"/>
      <c r="L557" s="66"/>
      <c r="M557" s="67"/>
      <c r="N557" s="67"/>
      <c r="O557" s="66"/>
      <c r="P557" s="66"/>
      <c r="Q557" s="67"/>
      <c r="R557" s="67"/>
      <c r="S557" s="67"/>
      <c r="T557" s="67"/>
      <c r="U557" s="67"/>
    </row>
    <row r="558" ht="15.75" customHeight="1">
      <c r="A558" s="26" t="s">
        <v>1798</v>
      </c>
      <c r="B558" s="26" t="s">
        <v>1799</v>
      </c>
      <c r="C558" s="26" t="s">
        <v>1705</v>
      </c>
      <c r="D558" s="26" t="str">
        <f>IFERROR(__xludf.DUMMYFUNCTION("IF(
 C558=""STATE"",
 UPPER(REGEXEXTRACT(A558,""^state\.([^_@]+)"")),
 """"
)"),"")</f>
        <v/>
      </c>
      <c r="E558" s="26" t="b">
        <v>1</v>
      </c>
      <c r="F558" s="26" t="s">
        <v>633</v>
      </c>
      <c r="G558" s="26" t="str">
        <f t="shared" si="1"/>
        <v>Not a building</v>
      </c>
      <c r="H558" s="26" t="str">
        <f t="shared" si="2"/>
        <v>Not a building</v>
      </c>
      <c r="K558" s="66"/>
      <c r="L558" s="66"/>
      <c r="M558" s="67"/>
      <c r="N558" s="67"/>
      <c r="O558" s="66"/>
      <c r="P558" s="66"/>
      <c r="Q558" s="67"/>
      <c r="R558" s="67"/>
      <c r="S558" s="67"/>
      <c r="T558" s="67"/>
      <c r="U558" s="67"/>
    </row>
    <row r="559" ht="15.75" customHeight="1">
      <c r="A559" s="26" t="s">
        <v>1800</v>
      </c>
      <c r="B559" s="26" t="s">
        <v>1801</v>
      </c>
      <c r="C559" s="26" t="s">
        <v>1705</v>
      </c>
      <c r="D559" s="26" t="str">
        <f>IFERROR(__xludf.DUMMYFUNCTION("IF(
 C559=""STATE"",
 UPPER(REGEXEXTRACT(A559,""^state\.([^_@]+)"")),
 """"
)"),"")</f>
        <v/>
      </c>
      <c r="E559" s="26" t="b">
        <v>1</v>
      </c>
      <c r="F559" s="26" t="s">
        <v>633</v>
      </c>
      <c r="G559" s="26" t="str">
        <f t="shared" si="1"/>
        <v>Not a building</v>
      </c>
      <c r="H559" s="26" t="str">
        <f t="shared" si="2"/>
        <v>Not a building</v>
      </c>
      <c r="K559" s="66"/>
      <c r="L559" s="66"/>
      <c r="M559" s="67"/>
      <c r="N559" s="67"/>
      <c r="O559" s="66"/>
      <c r="P559" s="66"/>
      <c r="Q559" s="67"/>
      <c r="R559" s="67"/>
      <c r="S559" s="67"/>
      <c r="T559" s="67"/>
      <c r="U559" s="67"/>
    </row>
    <row r="560" ht="15.75" customHeight="1">
      <c r="A560" s="26" t="s">
        <v>1802</v>
      </c>
      <c r="B560" s="26" t="s">
        <v>1803</v>
      </c>
      <c r="C560" s="26" t="s">
        <v>1705</v>
      </c>
      <c r="D560" s="26" t="str">
        <f>IFERROR(__xludf.DUMMYFUNCTION("IF(
 C560=""STATE"",
 UPPER(REGEXEXTRACT(A560,""^state\.([^_@]+)"")),
 """"
)"),"")</f>
        <v/>
      </c>
      <c r="E560" s="26" t="b">
        <v>1</v>
      </c>
      <c r="F560" s="26" t="s">
        <v>633</v>
      </c>
      <c r="G560" s="26" t="str">
        <f t="shared" si="1"/>
        <v>Not a building</v>
      </c>
      <c r="H560" s="26" t="str">
        <f t="shared" si="2"/>
        <v>Not a building</v>
      </c>
      <c r="K560" s="66"/>
      <c r="L560" s="66"/>
      <c r="M560" s="67"/>
      <c r="N560" s="67"/>
      <c r="O560" s="66"/>
      <c r="P560" s="66"/>
      <c r="Q560" s="67"/>
      <c r="R560" s="67"/>
      <c r="S560" s="67"/>
      <c r="T560" s="67"/>
      <c r="U560" s="67"/>
    </row>
    <row r="561" ht="15.75" customHeight="1">
      <c r="A561" s="82" t="s">
        <v>1805</v>
      </c>
      <c r="B561" s="26" t="s">
        <v>1806</v>
      </c>
      <c r="C561" s="26" t="s">
        <v>1705</v>
      </c>
      <c r="D561" s="26" t="str">
        <f>IFERROR(__xludf.DUMMYFUNCTION("IF(
 C561=""STATE"",
 UPPER(REGEXEXTRACT(A561,""^state\.([^_@]+)"")),
 """"
)"),"")</f>
        <v/>
      </c>
      <c r="E561" s="26" t="b">
        <v>1</v>
      </c>
      <c r="F561" s="26" t="s">
        <v>633</v>
      </c>
      <c r="G561" s="26" t="str">
        <f t="shared" si="1"/>
        <v>Not a building</v>
      </c>
      <c r="H561" s="26" t="str">
        <f t="shared" si="2"/>
        <v>Not a building</v>
      </c>
      <c r="K561" s="66"/>
      <c r="L561" s="66"/>
      <c r="M561" s="67"/>
      <c r="N561" s="67"/>
      <c r="O561" s="66"/>
      <c r="P561" s="66"/>
      <c r="Q561" s="67"/>
      <c r="R561" s="67"/>
      <c r="S561" s="67"/>
      <c r="T561" s="67"/>
      <c r="U561" s="67"/>
    </row>
    <row r="562" ht="15.75" customHeight="1">
      <c r="A562" s="82" t="s">
        <v>1807</v>
      </c>
      <c r="B562" s="26" t="s">
        <v>1808</v>
      </c>
      <c r="C562" s="26" t="s">
        <v>1705</v>
      </c>
      <c r="D562" s="26" t="str">
        <f>IFERROR(__xludf.DUMMYFUNCTION("IF(
 C562=""STATE"",
 UPPER(REGEXEXTRACT(A562,""^state\.([^_@]+)"")),
 """"
)"),"")</f>
        <v/>
      </c>
      <c r="E562" s="26" t="b">
        <v>1</v>
      </c>
      <c r="F562" s="26" t="s">
        <v>633</v>
      </c>
      <c r="G562" s="26" t="str">
        <f t="shared" si="1"/>
        <v>Not a building</v>
      </c>
      <c r="H562" s="26" t="str">
        <f t="shared" si="2"/>
        <v>Not a building</v>
      </c>
      <c r="K562" s="66"/>
      <c r="L562" s="66"/>
      <c r="M562" s="67"/>
      <c r="N562" s="67"/>
      <c r="O562" s="66"/>
      <c r="P562" s="66"/>
      <c r="Q562" s="67"/>
      <c r="R562" s="67"/>
      <c r="S562" s="67"/>
      <c r="T562" s="67"/>
      <c r="U562" s="67"/>
    </row>
    <row r="563" ht="15.75" customHeight="1">
      <c r="A563" s="82" t="s">
        <v>1809</v>
      </c>
      <c r="B563" s="26" t="s">
        <v>1810</v>
      </c>
      <c r="C563" s="26" t="s">
        <v>1705</v>
      </c>
      <c r="D563" s="26" t="str">
        <f>IFERROR(__xludf.DUMMYFUNCTION("IF(
 C563=""STATE"",
 UPPER(REGEXEXTRACT(A563,""^state\.([^_@]+)"")),
 """"
)"),"")</f>
        <v/>
      </c>
      <c r="E563" s="26" t="b">
        <v>1</v>
      </c>
      <c r="F563" s="26" t="s">
        <v>633</v>
      </c>
      <c r="G563" s="26" t="str">
        <f t="shared" si="1"/>
        <v>Not a building</v>
      </c>
      <c r="H563" s="26" t="str">
        <f t="shared" si="2"/>
        <v>Not a building</v>
      </c>
      <c r="K563" s="66"/>
      <c r="L563" s="66"/>
      <c r="M563" s="67"/>
      <c r="N563" s="67"/>
      <c r="O563" s="66"/>
      <c r="P563" s="66"/>
      <c r="Q563" s="67"/>
      <c r="R563" s="67"/>
      <c r="S563" s="67"/>
      <c r="T563" s="67"/>
      <c r="U563" s="67"/>
    </row>
    <row r="564" ht="15.75" customHeight="1">
      <c r="A564" s="26" t="s">
        <v>1812</v>
      </c>
      <c r="B564" s="26" t="s">
        <v>1813</v>
      </c>
      <c r="C564" s="26" t="s">
        <v>1705</v>
      </c>
      <c r="D564" s="26" t="str">
        <f>IFERROR(__xludf.DUMMYFUNCTION("IF(
 C564=""STATE"",
 UPPER(REGEXEXTRACT(A564,""^state\.([^_@]+)"")),
 """"
)"),"")</f>
        <v/>
      </c>
      <c r="E564" s="26" t="b">
        <v>1</v>
      </c>
      <c r="F564" s="26" t="s">
        <v>633</v>
      </c>
      <c r="G564" s="26" t="str">
        <f t="shared" si="1"/>
        <v>Not a building</v>
      </c>
      <c r="H564" s="26" t="str">
        <f t="shared" si="2"/>
        <v>Not a building</v>
      </c>
      <c r="K564" s="66"/>
      <c r="L564" s="66"/>
      <c r="M564" s="67"/>
      <c r="N564" s="67"/>
      <c r="O564" s="66"/>
      <c r="P564" s="66"/>
      <c r="Q564" s="67"/>
      <c r="R564" s="67"/>
      <c r="S564" s="67"/>
      <c r="T564" s="67"/>
      <c r="U564" s="67"/>
    </row>
    <row r="565" ht="15.75" customHeight="1">
      <c r="A565" s="26" t="s">
        <v>1814</v>
      </c>
      <c r="B565" s="26" t="s">
        <v>1815</v>
      </c>
      <c r="C565" s="26" t="s">
        <v>1705</v>
      </c>
      <c r="D565" s="26" t="str">
        <f>IFERROR(__xludf.DUMMYFUNCTION("IF(
 C565=""STATE"",
 UPPER(REGEXEXTRACT(A565,""^state\.([^_@]+)"")),
 """"
)"),"")</f>
        <v/>
      </c>
      <c r="E565" s="26" t="b">
        <v>1</v>
      </c>
      <c r="F565" s="26" t="s">
        <v>633</v>
      </c>
      <c r="G565" s="26" t="str">
        <f t="shared" si="1"/>
        <v>Not a building</v>
      </c>
      <c r="H565" s="26" t="str">
        <f t="shared" si="2"/>
        <v>Not a building</v>
      </c>
      <c r="K565" s="66"/>
      <c r="L565" s="66"/>
      <c r="M565" s="67"/>
      <c r="N565" s="67"/>
      <c r="O565" s="66"/>
      <c r="P565" s="66"/>
      <c r="Q565" s="67"/>
      <c r="R565" s="67"/>
      <c r="S565" s="67"/>
      <c r="T565" s="67"/>
      <c r="U565" s="67"/>
    </row>
    <row r="566" ht="15.75" customHeight="1">
      <c r="A566" s="26" t="s">
        <v>1816</v>
      </c>
      <c r="B566" s="26" t="s">
        <v>1817</v>
      </c>
      <c r="C566" s="26" t="s">
        <v>1705</v>
      </c>
      <c r="D566" s="26" t="str">
        <f>IFERROR(__xludf.DUMMYFUNCTION("IF(
 C566=""STATE"",
 UPPER(REGEXEXTRACT(A566,""^state\.([^_@]+)"")),
 """"
)"),"")</f>
        <v/>
      </c>
      <c r="E566" s="26" t="b">
        <v>1</v>
      </c>
      <c r="F566" s="26" t="s">
        <v>633</v>
      </c>
      <c r="G566" s="26" t="str">
        <f t="shared" si="1"/>
        <v>Not a building</v>
      </c>
      <c r="H566" s="26" t="str">
        <f t="shared" si="2"/>
        <v>Not a building</v>
      </c>
      <c r="K566" s="66"/>
      <c r="L566" s="66"/>
      <c r="M566" s="67"/>
      <c r="N566" s="67"/>
      <c r="O566" s="66"/>
      <c r="P566" s="66"/>
      <c r="Q566" s="67"/>
      <c r="R566" s="67"/>
      <c r="S566" s="67"/>
      <c r="T566" s="67"/>
      <c r="U566" s="67"/>
    </row>
    <row r="567" ht="15.75" customHeight="1">
      <c r="A567" s="26" t="s">
        <v>1818</v>
      </c>
      <c r="B567" s="26" t="s">
        <v>1819</v>
      </c>
      <c r="C567" s="26" t="s">
        <v>1705</v>
      </c>
      <c r="D567" s="26" t="str">
        <f>IFERROR(__xludf.DUMMYFUNCTION("IF(
 C567=""STATE"",
 UPPER(REGEXEXTRACT(A567,""^state\.([^_@]+)"")),
 """"
)"),"")</f>
        <v/>
      </c>
      <c r="E567" s="26" t="b">
        <v>1</v>
      </c>
      <c r="F567" s="26" t="s">
        <v>633</v>
      </c>
      <c r="G567" s="26" t="str">
        <f t="shared" si="1"/>
        <v>Not a building</v>
      </c>
      <c r="H567" s="26" t="str">
        <f t="shared" si="2"/>
        <v>Not a building</v>
      </c>
      <c r="K567" s="66"/>
      <c r="L567" s="66"/>
      <c r="M567" s="67"/>
      <c r="N567" s="67"/>
      <c r="O567" s="66"/>
      <c r="P567" s="66"/>
      <c r="Q567" s="67"/>
      <c r="R567" s="67"/>
      <c r="S567" s="67"/>
      <c r="T567" s="67"/>
      <c r="U567" s="67"/>
    </row>
    <row r="568" ht="15.75" customHeight="1">
      <c r="A568" s="26" t="s">
        <v>1821</v>
      </c>
      <c r="B568" s="26" t="s">
        <v>1822</v>
      </c>
      <c r="C568" s="26" t="s">
        <v>1705</v>
      </c>
      <c r="D568" s="26" t="str">
        <f>IFERROR(__xludf.DUMMYFUNCTION("IF(
 C568=""STATE"",
 UPPER(REGEXEXTRACT(A568,""^state\.([^_@]+)"")),
 """"
)"),"")</f>
        <v/>
      </c>
      <c r="E568" s="26" t="b">
        <v>1</v>
      </c>
      <c r="F568" s="26" t="s">
        <v>633</v>
      </c>
      <c r="G568" s="26" t="str">
        <f t="shared" si="1"/>
        <v>Not a building</v>
      </c>
      <c r="H568" s="26" t="str">
        <f t="shared" si="2"/>
        <v>Not a building</v>
      </c>
      <c r="K568" s="66"/>
      <c r="L568" s="66"/>
      <c r="M568" s="67"/>
      <c r="N568" s="67"/>
      <c r="O568" s="66"/>
      <c r="P568" s="66"/>
      <c r="Q568" s="67"/>
      <c r="R568" s="67"/>
      <c r="S568" s="67"/>
      <c r="T568" s="67"/>
      <c r="U568" s="67"/>
    </row>
    <row r="569" ht="15.75" customHeight="1">
      <c r="A569" s="26" t="s">
        <v>1823</v>
      </c>
      <c r="B569" s="26" t="s">
        <v>1824</v>
      </c>
      <c r="C569" s="26" t="s">
        <v>1705</v>
      </c>
      <c r="D569" s="26" t="str">
        <f>IFERROR(__xludf.DUMMYFUNCTION("IF(
 C569=""STATE"",
 UPPER(REGEXEXTRACT(A569,""^state\.([^_@]+)"")),
 """"
)"),"")</f>
        <v/>
      </c>
      <c r="E569" s="26" t="b">
        <v>1</v>
      </c>
      <c r="F569" s="26" t="s">
        <v>633</v>
      </c>
      <c r="G569" s="26" t="str">
        <f t="shared" si="1"/>
        <v>Not a building</v>
      </c>
      <c r="H569" s="26" t="str">
        <f t="shared" si="2"/>
        <v>Not a building</v>
      </c>
      <c r="K569" s="66"/>
      <c r="L569" s="66"/>
      <c r="M569" s="67"/>
      <c r="N569" s="67"/>
      <c r="O569" s="66"/>
      <c r="P569" s="66"/>
      <c r="Q569" s="67"/>
      <c r="R569" s="67"/>
      <c r="S569" s="67"/>
      <c r="T569" s="67"/>
      <c r="U569" s="67"/>
    </row>
    <row r="570" ht="15.75" customHeight="1">
      <c r="A570" s="26" t="s">
        <v>1825</v>
      </c>
      <c r="B570" s="26" t="s">
        <v>1826</v>
      </c>
      <c r="C570" s="26" t="s">
        <v>1705</v>
      </c>
      <c r="D570" s="26" t="str">
        <f>IFERROR(__xludf.DUMMYFUNCTION("IF(
 C570=""STATE"",
 UPPER(REGEXEXTRACT(A570,""^state\.([^_@]+)"")),
 """"
)"),"")</f>
        <v/>
      </c>
      <c r="E570" s="26" t="b">
        <v>1</v>
      </c>
      <c r="F570" s="26" t="s">
        <v>633</v>
      </c>
      <c r="G570" s="26" t="str">
        <f t="shared" si="1"/>
        <v>Not a building</v>
      </c>
      <c r="H570" s="26" t="str">
        <f t="shared" si="2"/>
        <v>Not a building</v>
      </c>
      <c r="K570" s="66"/>
      <c r="L570" s="66"/>
      <c r="M570" s="67"/>
      <c r="N570" s="67"/>
      <c r="O570" s="66"/>
      <c r="P570" s="66"/>
      <c r="Q570" s="67"/>
      <c r="R570" s="67"/>
      <c r="S570" s="67"/>
      <c r="T570" s="67"/>
      <c r="U570" s="67"/>
    </row>
    <row r="571" ht="15.75" customHeight="1">
      <c r="A571" s="26" t="s">
        <v>1827</v>
      </c>
      <c r="B571" s="26" t="s">
        <v>1828</v>
      </c>
      <c r="C571" s="26" t="s">
        <v>1705</v>
      </c>
      <c r="D571" s="26" t="str">
        <f>IFERROR(__xludf.DUMMYFUNCTION("IF(
 C571=""STATE"",
 UPPER(REGEXEXTRACT(A571,""^state\.([^_@]+)"")),
 """"
)"),"")</f>
        <v/>
      </c>
      <c r="E571" s="26" t="b">
        <v>1</v>
      </c>
      <c r="F571" s="26" t="s">
        <v>633</v>
      </c>
      <c r="G571" s="26" t="str">
        <f t="shared" si="1"/>
        <v>Not a building</v>
      </c>
      <c r="H571" s="26" t="str">
        <f t="shared" si="2"/>
        <v>Not a building</v>
      </c>
      <c r="K571" s="66"/>
      <c r="L571" s="66"/>
      <c r="M571" s="67"/>
      <c r="N571" s="67"/>
      <c r="O571" s="66"/>
      <c r="P571" s="66"/>
      <c r="Q571" s="67"/>
      <c r="R571" s="67"/>
      <c r="S571" s="67"/>
      <c r="T571" s="67"/>
      <c r="U571" s="67"/>
    </row>
    <row r="572" ht="15.75" customHeight="1">
      <c r="A572" s="26" t="s">
        <v>1829</v>
      </c>
      <c r="B572" s="26" t="s">
        <v>1831</v>
      </c>
      <c r="C572" s="26" t="s">
        <v>1705</v>
      </c>
      <c r="D572" s="26" t="str">
        <f>IFERROR(__xludf.DUMMYFUNCTION("IF(
 C572=""STATE"",
 UPPER(REGEXEXTRACT(A572,""^state\.([^_@]+)"")),
 """"
)"),"")</f>
        <v/>
      </c>
      <c r="E572" s="26" t="b">
        <v>1</v>
      </c>
      <c r="F572" s="26" t="s">
        <v>633</v>
      </c>
      <c r="G572" s="26" t="str">
        <f t="shared" si="1"/>
        <v>Not a building</v>
      </c>
      <c r="H572" s="26" t="str">
        <f t="shared" si="2"/>
        <v>Not a building</v>
      </c>
      <c r="K572" s="66"/>
      <c r="L572" s="66"/>
      <c r="M572" s="67"/>
      <c r="N572" s="67"/>
      <c r="O572" s="66"/>
      <c r="P572" s="66"/>
      <c r="Q572" s="67"/>
      <c r="R572" s="67"/>
      <c r="S572" s="67"/>
      <c r="T572" s="67"/>
      <c r="U572" s="67"/>
    </row>
    <row r="573" ht="15.75" customHeight="1">
      <c r="A573" s="26" t="s">
        <v>1832</v>
      </c>
      <c r="B573" s="26" t="s">
        <v>1833</v>
      </c>
      <c r="C573" s="26" t="s">
        <v>1705</v>
      </c>
      <c r="D573" s="26" t="str">
        <f>IFERROR(__xludf.DUMMYFUNCTION("IF(
 C573=""STATE"",
 UPPER(REGEXEXTRACT(A573,""^state\.([^_@]+)"")),
 """"
)"),"")</f>
        <v/>
      </c>
      <c r="E573" s="26" t="b">
        <v>1</v>
      </c>
      <c r="F573" s="26" t="s">
        <v>633</v>
      </c>
      <c r="G573" s="26" t="str">
        <f t="shared" si="1"/>
        <v>Not a building</v>
      </c>
      <c r="H573" s="26" t="str">
        <f t="shared" si="2"/>
        <v>Not a building</v>
      </c>
      <c r="K573" s="66"/>
      <c r="L573" s="66"/>
      <c r="M573" s="67"/>
      <c r="N573" s="67"/>
      <c r="O573" s="66"/>
      <c r="P573" s="66"/>
      <c r="Q573" s="67"/>
      <c r="R573" s="67"/>
      <c r="S573" s="67"/>
      <c r="T573" s="67"/>
      <c r="U573" s="67"/>
    </row>
    <row r="574" ht="15.75" customHeight="1">
      <c r="A574" s="26" t="s">
        <v>1834</v>
      </c>
      <c r="B574" s="26" t="s">
        <v>1835</v>
      </c>
      <c r="C574" s="26" t="s">
        <v>1705</v>
      </c>
      <c r="D574" s="26" t="str">
        <f>IFERROR(__xludf.DUMMYFUNCTION("IF(
 C574=""STATE"",
 UPPER(REGEXEXTRACT(A574,""^state\.([^_@]+)"")),
 """"
)"),"")</f>
        <v/>
      </c>
      <c r="E574" s="26" t="b">
        <v>1</v>
      </c>
      <c r="F574" s="26" t="s">
        <v>633</v>
      </c>
      <c r="G574" s="26" t="str">
        <f t="shared" si="1"/>
        <v>Not a building</v>
      </c>
      <c r="H574" s="26" t="str">
        <f t="shared" si="2"/>
        <v>Not a building</v>
      </c>
      <c r="K574" s="66"/>
      <c r="L574" s="66"/>
      <c r="M574" s="67"/>
      <c r="N574" s="67"/>
      <c r="O574" s="66"/>
      <c r="P574" s="66"/>
      <c r="Q574" s="67"/>
      <c r="R574" s="67"/>
      <c r="S574" s="67"/>
      <c r="T574" s="67"/>
      <c r="U574" s="67"/>
    </row>
    <row r="575" ht="15.75" customHeight="1">
      <c r="A575" s="26" t="s">
        <v>1836</v>
      </c>
      <c r="B575" s="26" t="s">
        <v>1837</v>
      </c>
      <c r="C575" s="26" t="s">
        <v>1705</v>
      </c>
      <c r="D575" s="26" t="str">
        <f>IFERROR(__xludf.DUMMYFUNCTION("IF(
 C575=""STATE"",
 UPPER(REGEXEXTRACT(A575,""^state\.([^_@]+)"")),
 """"
)"),"")</f>
        <v/>
      </c>
      <c r="E575" s="26" t="b">
        <v>1</v>
      </c>
      <c r="F575" s="26" t="s">
        <v>633</v>
      </c>
      <c r="G575" s="26" t="str">
        <f t="shared" si="1"/>
        <v>Not a building</v>
      </c>
      <c r="H575" s="26" t="str">
        <f t="shared" si="2"/>
        <v>Not a building</v>
      </c>
      <c r="K575" s="66"/>
      <c r="L575" s="66"/>
      <c r="M575" s="67"/>
      <c r="N575" s="67"/>
      <c r="O575" s="66"/>
      <c r="P575" s="66"/>
      <c r="Q575" s="67"/>
      <c r="R575" s="67"/>
      <c r="S575" s="67"/>
      <c r="T575" s="67"/>
      <c r="U575" s="67"/>
    </row>
    <row r="576" ht="15.75" customHeight="1">
      <c r="A576" s="26" t="s">
        <v>1838</v>
      </c>
      <c r="B576" s="26" t="s">
        <v>1839</v>
      </c>
      <c r="C576" s="26" t="s">
        <v>1705</v>
      </c>
      <c r="D576" s="26" t="str">
        <f>IFERROR(__xludf.DUMMYFUNCTION("IF(
 C576=""STATE"",
 UPPER(REGEXEXTRACT(A576,""^state\.([^_@]+)"")),
 """"
)"),"")</f>
        <v/>
      </c>
      <c r="E576" s="26" t="b">
        <v>1</v>
      </c>
      <c r="F576" s="26" t="s">
        <v>633</v>
      </c>
      <c r="G576" s="26" t="str">
        <f t="shared" si="1"/>
        <v>Not a building</v>
      </c>
      <c r="H576" s="26" t="str">
        <f t="shared" si="2"/>
        <v>Not a building</v>
      </c>
      <c r="K576" s="66"/>
      <c r="L576" s="66"/>
      <c r="M576" s="67"/>
      <c r="N576" s="67"/>
      <c r="O576" s="66"/>
      <c r="P576" s="66"/>
      <c r="Q576" s="67"/>
      <c r="R576" s="67"/>
      <c r="S576" s="67"/>
      <c r="T576" s="67"/>
      <c r="U576" s="67"/>
    </row>
    <row r="577" ht="15.75" customHeight="1">
      <c r="A577" s="26" t="s">
        <v>1841</v>
      </c>
      <c r="B577" s="26" t="s">
        <v>1842</v>
      </c>
      <c r="C577" s="26" t="s">
        <v>1705</v>
      </c>
      <c r="D577" s="26" t="str">
        <f>IFERROR(__xludf.DUMMYFUNCTION("IF(
 C577=""STATE"",
 UPPER(REGEXEXTRACT(A577,""^state\.([^_@]+)"")),
 """"
)"),"")</f>
        <v/>
      </c>
      <c r="E577" s="26" t="b">
        <v>1</v>
      </c>
      <c r="F577" s="26" t="s">
        <v>633</v>
      </c>
      <c r="G577" s="26" t="str">
        <f t="shared" si="1"/>
        <v>Not a building</v>
      </c>
      <c r="H577" s="26" t="str">
        <f t="shared" si="2"/>
        <v>Not a building</v>
      </c>
      <c r="K577" s="66"/>
      <c r="L577" s="66"/>
      <c r="M577" s="67"/>
      <c r="N577" s="67"/>
      <c r="O577" s="66"/>
      <c r="P577" s="66"/>
      <c r="Q577" s="67"/>
      <c r="R577" s="67"/>
      <c r="S577" s="67"/>
      <c r="T577" s="67"/>
      <c r="U577" s="67"/>
    </row>
    <row r="578" ht="15.75" customHeight="1">
      <c r="A578" s="26" t="s">
        <v>1843</v>
      </c>
      <c r="B578" s="26" t="s">
        <v>1844</v>
      </c>
      <c r="C578" s="26" t="s">
        <v>1705</v>
      </c>
      <c r="D578" s="26" t="str">
        <f>IFERROR(__xludf.DUMMYFUNCTION("IF(
 C578=""STATE"",
 UPPER(REGEXEXTRACT(A578,""^state\.([^_@]+)"")),
 """"
)"),"")</f>
        <v/>
      </c>
      <c r="E578" s="26" t="b">
        <v>1</v>
      </c>
      <c r="F578" s="26" t="s">
        <v>633</v>
      </c>
      <c r="G578" s="26" t="str">
        <f t="shared" si="1"/>
        <v>Not a building</v>
      </c>
      <c r="H578" s="26" t="str">
        <f t="shared" si="2"/>
        <v>Not a building</v>
      </c>
      <c r="K578" s="66"/>
      <c r="L578" s="66"/>
      <c r="M578" s="67"/>
      <c r="N578" s="67"/>
      <c r="O578" s="66"/>
      <c r="P578" s="66"/>
      <c r="Q578" s="67"/>
      <c r="R578" s="67"/>
      <c r="S578" s="67"/>
      <c r="T578" s="67"/>
      <c r="U578" s="67"/>
    </row>
    <row r="579" ht="15.75" customHeight="1">
      <c r="A579" s="26" t="s">
        <v>1845</v>
      </c>
      <c r="B579" s="26" t="s">
        <v>1846</v>
      </c>
      <c r="C579" s="26" t="s">
        <v>1705</v>
      </c>
      <c r="D579" s="26" t="str">
        <f>IFERROR(__xludf.DUMMYFUNCTION("IF(
 C579=""STATE"",
 UPPER(REGEXEXTRACT(A579,""^state\.([^_@]+)"")),
 """"
)"),"")</f>
        <v/>
      </c>
      <c r="E579" s="26" t="b">
        <v>1</v>
      </c>
      <c r="F579" s="26" t="s">
        <v>633</v>
      </c>
      <c r="G579" s="26" t="str">
        <f t="shared" si="1"/>
        <v>Not a building</v>
      </c>
      <c r="H579" s="26" t="str">
        <f t="shared" si="2"/>
        <v>Not a building</v>
      </c>
      <c r="K579" s="66"/>
      <c r="L579" s="66"/>
      <c r="M579" s="67"/>
      <c r="N579" s="67"/>
      <c r="O579" s="66"/>
      <c r="P579" s="66"/>
      <c r="Q579" s="67"/>
      <c r="R579" s="67"/>
      <c r="S579" s="67"/>
      <c r="T579" s="67"/>
      <c r="U579" s="67"/>
    </row>
    <row r="580" ht="15.75" customHeight="1">
      <c r="A580" s="26" t="s">
        <v>1847</v>
      </c>
      <c r="B580" s="26" t="s">
        <v>1848</v>
      </c>
      <c r="C580" s="26" t="s">
        <v>1705</v>
      </c>
      <c r="D580" s="26" t="str">
        <f>IFERROR(__xludf.DUMMYFUNCTION("IF(
 C580=""STATE"",
 UPPER(REGEXEXTRACT(A580,""^state\.([^_@]+)"")),
 """"
)"),"")</f>
        <v/>
      </c>
      <c r="E580" s="26" t="b">
        <v>1</v>
      </c>
      <c r="F580" s="26" t="s">
        <v>633</v>
      </c>
      <c r="G580" s="26" t="str">
        <f t="shared" si="1"/>
        <v>Not a building</v>
      </c>
      <c r="H580" s="26" t="str">
        <f t="shared" si="2"/>
        <v>Not a building</v>
      </c>
      <c r="K580" s="66"/>
      <c r="L580" s="66"/>
      <c r="M580" s="67"/>
      <c r="N580" s="67"/>
      <c r="O580" s="66"/>
      <c r="P580" s="66"/>
      <c r="Q580" s="67"/>
      <c r="R580" s="67"/>
      <c r="S580" s="67"/>
      <c r="T580" s="67"/>
      <c r="U580" s="67"/>
    </row>
    <row r="581" ht="15.75" customHeight="1">
      <c r="A581" s="26" t="s">
        <v>1850</v>
      </c>
      <c r="B581" s="26" t="s">
        <v>1851</v>
      </c>
      <c r="C581" s="26" t="s">
        <v>1705</v>
      </c>
      <c r="D581" s="26" t="str">
        <f>IFERROR(__xludf.DUMMYFUNCTION("IF(
 C581=""STATE"",
 UPPER(REGEXEXTRACT(A581,""^state\.([^_@]+)"")),
 """"
)"),"")</f>
        <v/>
      </c>
      <c r="E581" s="26" t="b">
        <v>1</v>
      </c>
      <c r="F581" s="26" t="s">
        <v>633</v>
      </c>
      <c r="G581" s="26" t="str">
        <f t="shared" si="1"/>
        <v>Not a building</v>
      </c>
      <c r="H581" s="26" t="str">
        <f t="shared" si="2"/>
        <v>Not a building</v>
      </c>
      <c r="K581" s="66"/>
      <c r="L581" s="66"/>
      <c r="M581" s="67"/>
      <c r="N581" s="67"/>
      <c r="O581" s="66"/>
      <c r="P581" s="66"/>
      <c r="Q581" s="67"/>
      <c r="R581" s="67"/>
      <c r="S581" s="67"/>
      <c r="T581" s="67"/>
      <c r="U581" s="67"/>
    </row>
    <row r="582" ht="15.75" customHeight="1">
      <c r="A582" s="26" t="s">
        <v>1852</v>
      </c>
      <c r="B582" s="26" t="s">
        <v>1853</v>
      </c>
      <c r="C582" s="26" t="s">
        <v>1705</v>
      </c>
      <c r="D582" s="26" t="str">
        <f>IFERROR(__xludf.DUMMYFUNCTION("IF(
 C582=""STATE"",
 UPPER(REGEXEXTRACT(A582,""^state\.([^_@]+)"")),
 """"
)"),"")</f>
        <v/>
      </c>
      <c r="E582" s="26" t="b">
        <v>1</v>
      </c>
      <c r="F582" s="26" t="s">
        <v>633</v>
      </c>
      <c r="G582" s="26" t="str">
        <f t="shared" si="1"/>
        <v>Not a building</v>
      </c>
      <c r="H582" s="26" t="str">
        <f t="shared" si="2"/>
        <v>Not a building</v>
      </c>
      <c r="K582" s="66"/>
      <c r="L582" s="66"/>
      <c r="M582" s="67"/>
      <c r="N582" s="67"/>
      <c r="O582" s="66"/>
      <c r="P582" s="66"/>
      <c r="Q582" s="67"/>
      <c r="R582" s="67"/>
      <c r="S582" s="67"/>
      <c r="T582" s="67"/>
      <c r="U582" s="67"/>
    </row>
    <row r="583" ht="15.75" customHeight="1">
      <c r="A583" s="26" t="s">
        <v>1854</v>
      </c>
      <c r="B583" s="26" t="s">
        <v>1855</v>
      </c>
      <c r="C583" s="26" t="s">
        <v>1705</v>
      </c>
      <c r="D583" s="26" t="str">
        <f>IFERROR(__xludf.DUMMYFUNCTION("IF(
 C583=""STATE"",
 UPPER(REGEXEXTRACT(A583,""^state\.([^_@]+)"")),
 """"
)"),"")</f>
        <v/>
      </c>
      <c r="E583" s="26" t="b">
        <v>1</v>
      </c>
      <c r="F583" s="26" t="s">
        <v>633</v>
      </c>
      <c r="G583" s="26" t="str">
        <f t="shared" si="1"/>
        <v>Not a building</v>
      </c>
      <c r="H583" s="26" t="str">
        <f t="shared" si="2"/>
        <v>Not a building</v>
      </c>
      <c r="K583" s="66"/>
      <c r="L583" s="66"/>
      <c r="M583" s="67"/>
      <c r="N583" s="67"/>
      <c r="O583" s="66"/>
      <c r="P583" s="66"/>
      <c r="Q583" s="67"/>
      <c r="R583" s="67"/>
      <c r="S583" s="67"/>
      <c r="T583" s="67"/>
      <c r="U583" s="67"/>
    </row>
    <row r="584" ht="15.75" customHeight="1">
      <c r="A584" s="26" t="s">
        <v>1856</v>
      </c>
      <c r="B584" s="26" t="s">
        <v>1857</v>
      </c>
      <c r="C584" s="26" t="s">
        <v>1705</v>
      </c>
      <c r="D584" s="26" t="str">
        <f>IFERROR(__xludf.DUMMYFUNCTION("IF(
 C584=""STATE"",
 UPPER(REGEXEXTRACT(A584,""^state\.([^_@]+)"")),
 """"
)"),"")</f>
        <v/>
      </c>
      <c r="E584" s="26" t="b">
        <v>1</v>
      </c>
      <c r="F584" s="26" t="s">
        <v>633</v>
      </c>
      <c r="G584" s="26" t="str">
        <f t="shared" si="1"/>
        <v>Not a building</v>
      </c>
      <c r="H584" s="26" t="str">
        <f t="shared" si="2"/>
        <v>Not a building</v>
      </c>
      <c r="K584" s="66"/>
      <c r="L584" s="66"/>
      <c r="M584" s="67"/>
      <c r="N584" s="67"/>
      <c r="O584" s="66"/>
      <c r="P584" s="66"/>
      <c r="Q584" s="67"/>
      <c r="R584" s="67"/>
      <c r="S584" s="67"/>
      <c r="T584" s="67"/>
      <c r="U584" s="67"/>
    </row>
    <row r="585" ht="15.75" customHeight="1">
      <c r="A585" s="26" t="s">
        <v>1858</v>
      </c>
      <c r="B585" s="26" t="s">
        <v>1859</v>
      </c>
      <c r="C585" s="26" t="s">
        <v>1705</v>
      </c>
      <c r="D585" s="26" t="str">
        <f>IFERROR(__xludf.DUMMYFUNCTION("IF(
 C585=""STATE"",
 UPPER(REGEXEXTRACT(A585,""^state\.([^_@]+)"")),
 """"
)"),"")</f>
        <v/>
      </c>
      <c r="E585" s="26" t="b">
        <v>1</v>
      </c>
      <c r="F585" s="26" t="s">
        <v>633</v>
      </c>
      <c r="G585" s="26" t="str">
        <f t="shared" si="1"/>
        <v>Not a building</v>
      </c>
      <c r="H585" s="26" t="str">
        <f t="shared" si="2"/>
        <v>Not a building</v>
      </c>
      <c r="K585" s="66"/>
      <c r="L585" s="66"/>
      <c r="M585" s="67"/>
      <c r="N585" s="67"/>
      <c r="O585" s="66"/>
      <c r="P585" s="66"/>
      <c r="Q585" s="67"/>
      <c r="R585" s="67"/>
      <c r="S585" s="67"/>
      <c r="T585" s="67"/>
      <c r="U585" s="67"/>
    </row>
    <row r="586" ht="15.75" customHeight="1">
      <c r="A586" s="26" t="s">
        <v>1861</v>
      </c>
      <c r="B586" s="26" t="s">
        <v>1862</v>
      </c>
      <c r="C586" s="26" t="s">
        <v>1705</v>
      </c>
      <c r="D586" s="26" t="str">
        <f>IFERROR(__xludf.DUMMYFUNCTION("IF(
 C586=""STATE"",
 UPPER(REGEXEXTRACT(A586,""^state\.([^_@]+)"")),
 """"
)"),"")</f>
        <v/>
      </c>
      <c r="E586" s="26" t="b">
        <v>1</v>
      </c>
      <c r="F586" s="26" t="s">
        <v>633</v>
      </c>
      <c r="G586" s="26" t="str">
        <f t="shared" si="1"/>
        <v>Not a building</v>
      </c>
      <c r="H586" s="26" t="str">
        <f t="shared" si="2"/>
        <v>Not a building</v>
      </c>
      <c r="K586" s="66"/>
      <c r="L586" s="66"/>
      <c r="M586" s="67"/>
      <c r="N586" s="67"/>
      <c r="O586" s="66"/>
      <c r="P586" s="66"/>
      <c r="Q586" s="67"/>
      <c r="R586" s="67"/>
      <c r="S586" s="67"/>
      <c r="T586" s="67"/>
      <c r="U586" s="67"/>
    </row>
    <row r="587" ht="15.75" customHeight="1">
      <c r="A587" s="26" t="s">
        <v>1863</v>
      </c>
      <c r="B587" s="26" t="s">
        <v>1864</v>
      </c>
      <c r="C587" s="26" t="s">
        <v>1705</v>
      </c>
      <c r="D587" s="26" t="str">
        <f>IFERROR(__xludf.DUMMYFUNCTION("IF(
 C587=""STATE"",
 UPPER(REGEXEXTRACT(A587,""^state\.([^_@]+)"")),
 """"
)"),"")</f>
        <v/>
      </c>
      <c r="E587" s="26" t="b">
        <v>1</v>
      </c>
      <c r="F587" s="26" t="s">
        <v>633</v>
      </c>
      <c r="G587" s="26" t="str">
        <f t="shared" si="1"/>
        <v>Not a building</v>
      </c>
      <c r="H587" s="26" t="str">
        <f t="shared" si="2"/>
        <v>Not a building</v>
      </c>
      <c r="K587" s="66"/>
      <c r="L587" s="66"/>
      <c r="M587" s="67"/>
      <c r="N587" s="67"/>
      <c r="O587" s="66"/>
      <c r="P587" s="66"/>
      <c r="Q587" s="67"/>
      <c r="R587" s="67"/>
      <c r="S587" s="67"/>
      <c r="T587" s="67"/>
      <c r="U587" s="67"/>
    </row>
    <row r="588" ht="15.75" customHeight="1">
      <c r="A588" s="26" t="s">
        <v>1865</v>
      </c>
      <c r="B588" s="26" t="s">
        <v>1866</v>
      </c>
      <c r="C588" s="26" t="s">
        <v>1705</v>
      </c>
      <c r="D588" s="26" t="str">
        <f>IFERROR(__xludf.DUMMYFUNCTION("IF(
 C588=""STATE"",
 UPPER(REGEXEXTRACT(A588,""^state\.([^_@]+)"")),
 """"
)"),"")</f>
        <v/>
      </c>
      <c r="E588" s="26" t="b">
        <v>1</v>
      </c>
      <c r="F588" s="26" t="s">
        <v>633</v>
      </c>
      <c r="G588" s="26" t="str">
        <f t="shared" si="1"/>
        <v>Not a building</v>
      </c>
      <c r="H588" s="26" t="str">
        <f t="shared" si="2"/>
        <v>Not a building</v>
      </c>
      <c r="K588" s="66"/>
      <c r="L588" s="66"/>
      <c r="M588" s="67"/>
      <c r="N588" s="67"/>
      <c r="O588" s="66"/>
      <c r="P588" s="66"/>
      <c r="Q588" s="67"/>
      <c r="R588" s="67"/>
      <c r="S588" s="67"/>
      <c r="T588" s="67"/>
      <c r="U588" s="67"/>
    </row>
    <row r="589" ht="15.75" customHeight="1">
      <c r="A589" s="26" t="s">
        <v>1867</v>
      </c>
      <c r="B589" s="26" t="s">
        <v>1868</v>
      </c>
      <c r="C589" s="26" t="s">
        <v>1705</v>
      </c>
      <c r="D589" s="26" t="str">
        <f>IFERROR(__xludf.DUMMYFUNCTION("IF(
 C589=""STATE"",
 UPPER(REGEXEXTRACT(A589,""^state\.([^_@]+)"")),
 """"
)"),"")</f>
        <v/>
      </c>
      <c r="E589" s="26" t="b">
        <v>1</v>
      </c>
      <c r="F589" s="26" t="s">
        <v>633</v>
      </c>
      <c r="G589" s="26" t="str">
        <f t="shared" si="1"/>
        <v>Not a building</v>
      </c>
      <c r="H589" s="26" t="str">
        <f t="shared" si="2"/>
        <v>Not a building</v>
      </c>
      <c r="K589" s="66"/>
      <c r="L589" s="66"/>
      <c r="M589" s="67"/>
      <c r="N589" s="67"/>
      <c r="O589" s="66"/>
      <c r="P589" s="66"/>
      <c r="Q589" s="67"/>
      <c r="R589" s="67"/>
      <c r="S589" s="67"/>
      <c r="T589" s="67"/>
      <c r="U589" s="67"/>
    </row>
    <row r="590" ht="15.75" customHeight="1">
      <c r="A590" s="26" t="s">
        <v>1870</v>
      </c>
      <c r="B590" s="26" t="s">
        <v>1871</v>
      </c>
      <c r="C590" s="26" t="s">
        <v>1705</v>
      </c>
      <c r="D590" s="26" t="str">
        <f>IFERROR(__xludf.DUMMYFUNCTION("IF(
 C590=""STATE"",
 UPPER(REGEXEXTRACT(A590,""^state\.([^_@]+)"")),
 """"
)"),"")</f>
        <v/>
      </c>
      <c r="E590" s="26" t="b">
        <v>1</v>
      </c>
      <c r="F590" s="26" t="s">
        <v>633</v>
      </c>
      <c r="G590" s="26" t="str">
        <f t="shared" si="1"/>
        <v>Not a building</v>
      </c>
      <c r="H590" s="26" t="str">
        <f t="shared" si="2"/>
        <v>Not a building</v>
      </c>
      <c r="K590" s="66"/>
      <c r="L590" s="66"/>
      <c r="M590" s="67"/>
      <c r="N590" s="67"/>
      <c r="O590" s="66"/>
      <c r="P590" s="66"/>
      <c r="Q590" s="67"/>
      <c r="R590" s="67"/>
      <c r="S590" s="67"/>
      <c r="T590" s="67"/>
      <c r="U590" s="67"/>
    </row>
    <row r="591" ht="15.75" customHeight="1">
      <c r="A591" s="26" t="s">
        <v>1872</v>
      </c>
      <c r="B591" s="26" t="s">
        <v>1873</v>
      </c>
      <c r="C591" s="26" t="s">
        <v>1705</v>
      </c>
      <c r="D591" s="26" t="str">
        <f>IFERROR(__xludf.DUMMYFUNCTION("IF(
 C591=""STATE"",
 UPPER(REGEXEXTRACT(A591,""^state\.([^_@]+)"")),
 """"
)"),"")</f>
        <v/>
      </c>
      <c r="E591" s="26" t="b">
        <v>1</v>
      </c>
      <c r="F591" s="26" t="s">
        <v>633</v>
      </c>
      <c r="G591" s="26" t="str">
        <f t="shared" si="1"/>
        <v>Not a building</v>
      </c>
      <c r="H591" s="26" t="str">
        <f t="shared" si="2"/>
        <v>Not a building</v>
      </c>
      <c r="K591" s="66"/>
      <c r="L591" s="66"/>
      <c r="M591" s="67"/>
      <c r="N591" s="67"/>
      <c r="O591" s="66"/>
      <c r="P591" s="66"/>
      <c r="Q591" s="67"/>
      <c r="R591" s="67"/>
      <c r="S591" s="67"/>
      <c r="T591" s="67"/>
      <c r="U591" s="67"/>
    </row>
    <row r="592" ht="15.75" customHeight="1">
      <c r="A592" s="26" t="s">
        <v>1874</v>
      </c>
      <c r="B592" s="26" t="s">
        <v>1875</v>
      </c>
      <c r="C592" s="26" t="s">
        <v>1705</v>
      </c>
      <c r="D592" s="26" t="str">
        <f>IFERROR(__xludf.DUMMYFUNCTION("IF(
 C592=""STATE"",
 UPPER(REGEXEXTRACT(A592,""^state\.([^_@]+)"")),
 """"
)"),"")</f>
        <v/>
      </c>
      <c r="E592" s="26" t="b">
        <v>1</v>
      </c>
      <c r="F592" s="26" t="s">
        <v>633</v>
      </c>
      <c r="G592" s="26" t="str">
        <f t="shared" si="1"/>
        <v>Not a building</v>
      </c>
      <c r="H592" s="26" t="str">
        <f t="shared" si="2"/>
        <v>Not a building</v>
      </c>
      <c r="K592" s="66"/>
      <c r="L592" s="66"/>
      <c r="M592" s="67"/>
      <c r="N592" s="67"/>
      <c r="O592" s="66"/>
      <c r="P592" s="66"/>
      <c r="Q592" s="67"/>
      <c r="R592" s="67"/>
      <c r="S592" s="67"/>
      <c r="T592" s="67"/>
      <c r="U592" s="67"/>
    </row>
    <row r="593" ht="15.75" customHeight="1">
      <c r="A593" s="26" t="s">
        <v>1877</v>
      </c>
      <c r="B593" s="26" t="s">
        <v>1878</v>
      </c>
      <c r="C593" s="26" t="s">
        <v>1705</v>
      </c>
      <c r="D593" s="26" t="str">
        <f>IFERROR(__xludf.DUMMYFUNCTION("IF(
 C593=""STATE"",
 UPPER(REGEXEXTRACT(A593,""^state\.([^_@]+)"")),
 """"
)"),"")</f>
        <v/>
      </c>
      <c r="E593" s="26" t="b">
        <v>1</v>
      </c>
      <c r="F593" s="26" t="s">
        <v>633</v>
      </c>
      <c r="G593" s="26" t="str">
        <f t="shared" si="1"/>
        <v>Not a building</v>
      </c>
      <c r="H593" s="26" t="str">
        <f t="shared" si="2"/>
        <v>Not a building</v>
      </c>
      <c r="K593" s="66"/>
      <c r="L593" s="66"/>
      <c r="M593" s="67"/>
      <c r="N593" s="67"/>
      <c r="O593" s="66"/>
      <c r="P593" s="66"/>
      <c r="Q593" s="67"/>
      <c r="R593" s="67"/>
      <c r="S593" s="67"/>
      <c r="T593" s="67"/>
      <c r="U593" s="67"/>
    </row>
    <row r="594" ht="15.75" customHeight="1">
      <c r="A594" s="26" t="s">
        <v>1879</v>
      </c>
      <c r="B594" s="26" t="s">
        <v>1880</v>
      </c>
      <c r="C594" s="26" t="s">
        <v>1705</v>
      </c>
      <c r="D594" s="26" t="str">
        <f>IFERROR(__xludf.DUMMYFUNCTION("IF(
 C594=""STATE"",
 UPPER(REGEXEXTRACT(A594,""^state\.([^_@]+)"")),
 """"
)"),"")</f>
        <v/>
      </c>
      <c r="E594" s="26" t="b">
        <v>1</v>
      </c>
      <c r="F594" s="26" t="s">
        <v>633</v>
      </c>
      <c r="G594" s="26" t="str">
        <f t="shared" si="1"/>
        <v>Not a building</v>
      </c>
      <c r="H594" s="26" t="str">
        <f t="shared" si="2"/>
        <v>Not a building</v>
      </c>
      <c r="K594" s="66"/>
      <c r="L594" s="66"/>
      <c r="M594" s="67"/>
      <c r="N594" s="67"/>
      <c r="O594" s="66"/>
      <c r="P594" s="66"/>
      <c r="Q594" s="67"/>
      <c r="R594" s="67"/>
      <c r="S594" s="67"/>
      <c r="T594" s="67"/>
      <c r="U594" s="67"/>
    </row>
    <row r="595" ht="15.75" customHeight="1">
      <c r="A595" s="26" t="s">
        <v>1881</v>
      </c>
      <c r="B595" s="26" t="s">
        <v>1882</v>
      </c>
      <c r="C595" s="26" t="s">
        <v>1705</v>
      </c>
      <c r="D595" s="26" t="str">
        <f>IFERROR(__xludf.DUMMYFUNCTION("IF(
 C595=""STATE"",
 UPPER(REGEXEXTRACT(A595,""^state\.([^_@]+)"")),
 """"
)"),"")</f>
        <v/>
      </c>
      <c r="E595" s="26" t="b">
        <v>1</v>
      </c>
      <c r="F595" s="26" t="s">
        <v>633</v>
      </c>
      <c r="G595" s="26" t="str">
        <f t="shared" si="1"/>
        <v>Not a building</v>
      </c>
      <c r="H595" s="26" t="str">
        <f t="shared" si="2"/>
        <v>Not a building</v>
      </c>
      <c r="K595" s="66"/>
      <c r="L595" s="66"/>
      <c r="M595" s="67"/>
      <c r="N595" s="67"/>
      <c r="O595" s="66"/>
      <c r="P595" s="66"/>
      <c r="Q595" s="67"/>
      <c r="R595" s="67"/>
      <c r="S595" s="67"/>
      <c r="T595" s="67"/>
      <c r="U595" s="67"/>
    </row>
    <row r="596" ht="15.75" customHeight="1">
      <c r="A596" s="26" t="s">
        <v>1883</v>
      </c>
      <c r="B596" s="26" t="s">
        <v>1884</v>
      </c>
      <c r="C596" s="26" t="s">
        <v>1705</v>
      </c>
      <c r="D596" s="26" t="str">
        <f>IFERROR(__xludf.DUMMYFUNCTION("IF(
 C596=""STATE"",
 UPPER(REGEXEXTRACT(A596,""^state\.([^_@]+)"")),
 """"
)"),"")</f>
        <v/>
      </c>
      <c r="E596" s="26" t="b">
        <v>1</v>
      </c>
      <c r="F596" s="26" t="s">
        <v>633</v>
      </c>
      <c r="G596" s="26" t="str">
        <f t="shared" si="1"/>
        <v>Not a building</v>
      </c>
      <c r="H596" s="26" t="str">
        <f t="shared" si="2"/>
        <v>Not a building</v>
      </c>
      <c r="K596" s="66"/>
      <c r="L596" s="66"/>
      <c r="M596" s="67"/>
      <c r="N596" s="67"/>
      <c r="O596" s="66"/>
      <c r="P596" s="66"/>
      <c r="Q596" s="67"/>
      <c r="R596" s="67"/>
      <c r="S596" s="67"/>
      <c r="T596" s="67"/>
      <c r="U596" s="67"/>
    </row>
    <row r="597" ht="15.75" customHeight="1">
      <c r="A597" s="26" t="s">
        <v>1885</v>
      </c>
      <c r="B597" s="26" t="s">
        <v>1886</v>
      </c>
      <c r="C597" s="26" t="s">
        <v>1705</v>
      </c>
      <c r="D597" s="26" t="str">
        <f>IFERROR(__xludf.DUMMYFUNCTION("IF(
 C597=""STATE"",
 UPPER(REGEXEXTRACT(A597,""^state\.([^_@]+)"")),
 """"
)"),"")</f>
        <v/>
      </c>
      <c r="E597" s="26" t="b">
        <v>1</v>
      </c>
      <c r="F597" s="26" t="s">
        <v>633</v>
      </c>
      <c r="G597" s="26" t="str">
        <f t="shared" si="1"/>
        <v>Not a building</v>
      </c>
      <c r="H597" s="26" t="str">
        <f t="shared" si="2"/>
        <v>Not a building</v>
      </c>
      <c r="K597" s="66"/>
      <c r="L597" s="66"/>
      <c r="M597" s="67"/>
      <c r="N597" s="67"/>
      <c r="O597" s="66"/>
      <c r="P597" s="66"/>
      <c r="Q597" s="67"/>
      <c r="R597" s="67"/>
      <c r="S597" s="67"/>
      <c r="T597" s="67"/>
      <c r="U597" s="67"/>
    </row>
    <row r="598" ht="15.75" customHeight="1">
      <c r="A598" s="26" t="s">
        <v>1888</v>
      </c>
      <c r="B598" s="26" t="s">
        <v>1889</v>
      </c>
      <c r="C598" s="26" t="s">
        <v>1705</v>
      </c>
      <c r="D598" s="26" t="str">
        <f>IFERROR(__xludf.DUMMYFUNCTION("IF(
 C598=""STATE"",
 UPPER(REGEXEXTRACT(A598,""^state\.([^_@]+)"")),
 """"
)"),"")</f>
        <v/>
      </c>
      <c r="E598" s="26" t="b">
        <v>1</v>
      </c>
      <c r="F598" s="26" t="s">
        <v>633</v>
      </c>
      <c r="G598" s="26" t="str">
        <f t="shared" si="1"/>
        <v>Not a building</v>
      </c>
      <c r="H598" s="26" t="str">
        <f t="shared" si="2"/>
        <v>Not a building</v>
      </c>
      <c r="K598" s="66"/>
      <c r="L598" s="66"/>
      <c r="M598" s="67"/>
      <c r="N598" s="67"/>
      <c r="O598" s="66"/>
      <c r="P598" s="66"/>
      <c r="Q598" s="67"/>
      <c r="R598" s="67"/>
      <c r="S598" s="67"/>
      <c r="T598" s="67"/>
      <c r="U598" s="67"/>
    </row>
    <row r="599" ht="15.75" customHeight="1">
      <c r="A599" s="26" t="s">
        <v>1891</v>
      </c>
      <c r="B599" s="26" t="s">
        <v>1892</v>
      </c>
      <c r="C599" s="26" t="s">
        <v>1705</v>
      </c>
      <c r="D599" s="26" t="str">
        <f>IFERROR(__xludf.DUMMYFUNCTION("IF(
 C599=""STATE"",
 UPPER(REGEXEXTRACT(A599,""^state\.([^_@]+)"")),
 """"
)"),"")</f>
        <v/>
      </c>
      <c r="E599" s="26" t="b">
        <v>1</v>
      </c>
      <c r="F599" s="26" t="s">
        <v>633</v>
      </c>
      <c r="G599" s="26" t="str">
        <f t="shared" si="1"/>
        <v>Not a building</v>
      </c>
      <c r="H599" s="26" t="str">
        <f t="shared" si="2"/>
        <v>Not a building</v>
      </c>
      <c r="K599" s="66"/>
      <c r="L599" s="66"/>
      <c r="M599" s="67"/>
      <c r="N599" s="67"/>
      <c r="O599" s="66"/>
      <c r="P599" s="66"/>
      <c r="Q599" s="67"/>
      <c r="R599" s="67"/>
      <c r="S599" s="67"/>
      <c r="T599" s="67"/>
      <c r="U599" s="67"/>
    </row>
    <row r="600" ht="15.75" customHeight="1">
      <c r="A600" s="26" t="s">
        <v>1893</v>
      </c>
      <c r="B600" s="26" t="s">
        <v>1894</v>
      </c>
      <c r="C600" s="26" t="s">
        <v>1705</v>
      </c>
      <c r="D600" s="26" t="str">
        <f>IFERROR(__xludf.DUMMYFUNCTION("IF(
 C600=""STATE"",
 UPPER(REGEXEXTRACT(A600,""^state\.([^_@]+)"")),
 """"
)"),"")</f>
        <v/>
      </c>
      <c r="E600" s="26" t="b">
        <v>1</v>
      </c>
      <c r="F600" s="26" t="s">
        <v>633</v>
      </c>
      <c r="G600" s="26" t="str">
        <f t="shared" si="1"/>
        <v>Not a building</v>
      </c>
      <c r="H600" s="26" t="str">
        <f t="shared" si="2"/>
        <v>Not a building</v>
      </c>
      <c r="K600" s="66"/>
      <c r="L600" s="66"/>
      <c r="M600" s="67"/>
      <c r="N600" s="67"/>
      <c r="O600" s="66"/>
      <c r="P600" s="66"/>
      <c r="Q600" s="67"/>
      <c r="R600" s="67"/>
      <c r="S600" s="67"/>
      <c r="T600" s="67"/>
      <c r="U600" s="67"/>
    </row>
    <row r="601" ht="15.75" customHeight="1">
      <c r="A601" s="26" t="s">
        <v>1895</v>
      </c>
      <c r="B601" s="26" t="s">
        <v>1896</v>
      </c>
      <c r="C601" s="26" t="s">
        <v>1705</v>
      </c>
      <c r="D601" s="26" t="str">
        <f>IFERROR(__xludf.DUMMYFUNCTION("IF(
 C601=""STATE"",
 UPPER(REGEXEXTRACT(A601,""^state\.([^_@]+)"")),
 """"
)"),"")</f>
        <v/>
      </c>
      <c r="E601" s="26" t="b">
        <v>1</v>
      </c>
      <c r="F601" s="26" t="s">
        <v>633</v>
      </c>
      <c r="G601" s="26" t="str">
        <f t="shared" si="1"/>
        <v>Not a building</v>
      </c>
      <c r="H601" s="26" t="str">
        <f t="shared" si="2"/>
        <v>Not a building</v>
      </c>
      <c r="K601" s="66"/>
      <c r="L601" s="66"/>
      <c r="M601" s="67"/>
      <c r="N601" s="67"/>
      <c r="O601" s="66"/>
      <c r="P601" s="66"/>
      <c r="Q601" s="67"/>
      <c r="R601" s="67"/>
      <c r="S601" s="67"/>
      <c r="T601" s="67"/>
      <c r="U601" s="67"/>
    </row>
    <row r="602" ht="15.75" customHeight="1">
      <c r="A602" s="26" t="s">
        <v>1898</v>
      </c>
      <c r="B602" s="26" t="s">
        <v>1899</v>
      </c>
      <c r="C602" s="26" t="s">
        <v>1705</v>
      </c>
      <c r="D602" s="26" t="str">
        <f>IFERROR(__xludf.DUMMYFUNCTION("IF(
 C602=""STATE"",
 UPPER(REGEXEXTRACT(A602,""^state\.([^_@]+)"")),
 """"
)"),"")</f>
        <v/>
      </c>
      <c r="E602" s="26" t="b">
        <v>1</v>
      </c>
      <c r="F602" s="26" t="s">
        <v>633</v>
      </c>
      <c r="G602" s="26" t="str">
        <f t="shared" si="1"/>
        <v>Not a building</v>
      </c>
      <c r="H602" s="26" t="str">
        <f t="shared" si="2"/>
        <v>Not a building</v>
      </c>
      <c r="K602" s="66"/>
      <c r="L602" s="66"/>
      <c r="M602" s="67"/>
      <c r="N602" s="67"/>
      <c r="O602" s="66"/>
      <c r="P602" s="66"/>
      <c r="Q602" s="67"/>
      <c r="R602" s="67"/>
      <c r="S602" s="67"/>
      <c r="T602" s="67"/>
      <c r="U602" s="67"/>
    </row>
    <row r="603" ht="15.75" customHeight="1">
      <c r="A603" s="26" t="s">
        <v>1900</v>
      </c>
      <c r="B603" s="26" t="s">
        <v>1901</v>
      </c>
      <c r="C603" s="26" t="s">
        <v>1705</v>
      </c>
      <c r="D603" s="26" t="str">
        <f>IFERROR(__xludf.DUMMYFUNCTION("IF(
 C603=""STATE"",
 UPPER(REGEXEXTRACT(A603,""^state\.([^_@]+)"")),
 """"
)"),"")</f>
        <v/>
      </c>
      <c r="E603" s="26" t="b">
        <v>1</v>
      </c>
      <c r="F603" s="26" t="s">
        <v>633</v>
      </c>
      <c r="G603" s="26" t="str">
        <f t="shared" si="1"/>
        <v>Not a building</v>
      </c>
      <c r="H603" s="26" t="str">
        <f t="shared" si="2"/>
        <v>Not a building</v>
      </c>
      <c r="K603" s="66"/>
      <c r="L603" s="66"/>
      <c r="M603" s="67"/>
      <c r="N603" s="67"/>
      <c r="O603" s="66"/>
      <c r="P603" s="66"/>
      <c r="Q603" s="67"/>
      <c r="R603" s="67"/>
      <c r="S603" s="67"/>
      <c r="T603" s="67"/>
      <c r="U603" s="67"/>
    </row>
    <row r="604" ht="15.75" customHeight="1">
      <c r="A604" s="26" t="s">
        <v>1902</v>
      </c>
      <c r="B604" s="26" t="s">
        <v>1903</v>
      </c>
      <c r="C604" s="26" t="s">
        <v>1705</v>
      </c>
      <c r="D604" s="26" t="str">
        <f>IFERROR(__xludf.DUMMYFUNCTION("IF(
 C604=""STATE"",
 UPPER(REGEXEXTRACT(A604,""^state\.([^_@]+)"")),
 """"
)"),"")</f>
        <v/>
      </c>
      <c r="E604" s="26" t="b">
        <v>1</v>
      </c>
      <c r="F604" s="26" t="s">
        <v>633</v>
      </c>
      <c r="G604" s="26" t="str">
        <f t="shared" si="1"/>
        <v>Not a building</v>
      </c>
      <c r="H604" s="26" t="str">
        <f t="shared" si="2"/>
        <v>Not a building</v>
      </c>
      <c r="K604" s="66"/>
      <c r="L604" s="66"/>
      <c r="M604" s="67"/>
      <c r="N604" s="67"/>
      <c r="O604" s="66"/>
      <c r="P604" s="66"/>
      <c r="Q604" s="67"/>
      <c r="R604" s="67"/>
      <c r="S604" s="67"/>
      <c r="T604" s="67"/>
      <c r="U604" s="67"/>
    </row>
    <row r="605" ht="15.75" customHeight="1">
      <c r="A605" s="26" t="s">
        <v>1904</v>
      </c>
      <c r="B605" s="26" t="s">
        <v>1905</v>
      </c>
      <c r="C605" s="26" t="s">
        <v>1705</v>
      </c>
      <c r="D605" s="26" t="str">
        <f>IFERROR(__xludf.DUMMYFUNCTION("IF(
 C605=""STATE"",
 UPPER(REGEXEXTRACT(A605,""^state\.([^_@]+)"")),
 """"
)"),"")</f>
        <v/>
      </c>
      <c r="E605" s="26" t="b">
        <v>1</v>
      </c>
      <c r="F605" s="26" t="s">
        <v>633</v>
      </c>
      <c r="G605" s="26" t="str">
        <f t="shared" si="1"/>
        <v>Not a building</v>
      </c>
      <c r="H605" s="26" t="str">
        <f t="shared" si="2"/>
        <v>Not a building</v>
      </c>
      <c r="K605" s="66"/>
      <c r="L605" s="66"/>
      <c r="M605" s="67"/>
      <c r="N605" s="67"/>
      <c r="O605" s="66"/>
      <c r="P605" s="66"/>
      <c r="Q605" s="67"/>
      <c r="R605" s="67"/>
      <c r="S605" s="67"/>
      <c r="T605" s="67"/>
      <c r="U605" s="67"/>
    </row>
    <row r="606" ht="15.75" customHeight="1">
      <c r="A606" s="26" t="s">
        <v>1906</v>
      </c>
      <c r="B606" s="26" t="s">
        <v>1907</v>
      </c>
      <c r="C606" s="26" t="s">
        <v>1705</v>
      </c>
      <c r="D606" s="26" t="str">
        <f>IFERROR(__xludf.DUMMYFUNCTION("IF(
 C606=""STATE"",
 UPPER(REGEXEXTRACT(A606,""^state\.([^_@]+)"")),
 """"
)"),"")</f>
        <v/>
      </c>
      <c r="E606" s="26" t="b">
        <v>1</v>
      </c>
      <c r="F606" s="26" t="s">
        <v>633</v>
      </c>
      <c r="G606" s="26" t="str">
        <f t="shared" si="1"/>
        <v>Not a building</v>
      </c>
      <c r="H606" s="26" t="str">
        <f t="shared" si="2"/>
        <v>Not a building</v>
      </c>
      <c r="K606" s="66"/>
      <c r="L606" s="66"/>
      <c r="M606" s="67"/>
      <c r="N606" s="67"/>
      <c r="O606" s="66"/>
      <c r="P606" s="66"/>
      <c r="Q606" s="67"/>
      <c r="R606" s="67"/>
      <c r="S606" s="67"/>
      <c r="T606" s="67"/>
      <c r="U606" s="67"/>
    </row>
    <row r="607" ht="15.75" customHeight="1">
      <c r="A607" s="26" t="s">
        <v>1909</v>
      </c>
      <c r="B607" s="26" t="s">
        <v>1910</v>
      </c>
      <c r="C607" s="26" t="s">
        <v>1705</v>
      </c>
      <c r="D607" s="26" t="str">
        <f>IFERROR(__xludf.DUMMYFUNCTION("IF(
 C607=""STATE"",
 UPPER(REGEXEXTRACT(A607,""^state\.([^_@]+)"")),
 """"
)"),"")</f>
        <v/>
      </c>
      <c r="E607" s="26" t="b">
        <v>1</v>
      </c>
      <c r="F607" s="26" t="s">
        <v>633</v>
      </c>
      <c r="G607" s="26" t="str">
        <f t="shared" si="1"/>
        <v>Not a building</v>
      </c>
      <c r="H607" s="26" t="str">
        <f t="shared" si="2"/>
        <v>Not a building</v>
      </c>
      <c r="K607" s="66"/>
      <c r="L607" s="66"/>
      <c r="M607" s="67"/>
      <c r="N607" s="67"/>
      <c r="O607" s="66"/>
      <c r="P607" s="66"/>
      <c r="Q607" s="67"/>
      <c r="R607" s="67"/>
      <c r="S607" s="67"/>
      <c r="T607" s="67"/>
      <c r="U607" s="67"/>
    </row>
    <row r="608" ht="15.75" customHeight="1">
      <c r="A608" s="26" t="s">
        <v>1911</v>
      </c>
      <c r="B608" s="26" t="s">
        <v>1912</v>
      </c>
      <c r="C608" s="26" t="s">
        <v>1705</v>
      </c>
      <c r="D608" s="26" t="str">
        <f>IFERROR(__xludf.DUMMYFUNCTION("IF(
 C608=""STATE"",
 UPPER(REGEXEXTRACT(A608,""^state\.([^_@]+)"")),
 """"
)"),"")</f>
        <v/>
      </c>
      <c r="E608" s="26" t="b">
        <v>1</v>
      </c>
      <c r="F608" s="26" t="s">
        <v>633</v>
      </c>
      <c r="G608" s="26" t="str">
        <f t="shared" si="1"/>
        <v>Not a building</v>
      </c>
      <c r="H608" s="26" t="str">
        <f t="shared" si="2"/>
        <v>Not a building</v>
      </c>
      <c r="K608" s="66"/>
      <c r="L608" s="66"/>
      <c r="M608" s="67"/>
      <c r="N608" s="67"/>
      <c r="O608" s="66"/>
      <c r="P608" s="66"/>
      <c r="Q608" s="67"/>
      <c r="R608" s="67"/>
      <c r="S608" s="67"/>
      <c r="T608" s="67"/>
      <c r="U608" s="67"/>
    </row>
    <row r="609" ht="15.75" customHeight="1">
      <c r="A609" s="26" t="s">
        <v>1913</v>
      </c>
      <c r="B609" s="26" t="s">
        <v>1914</v>
      </c>
      <c r="C609" s="26" t="s">
        <v>1705</v>
      </c>
      <c r="D609" s="26" t="str">
        <f>IFERROR(__xludf.DUMMYFUNCTION("IF(
 C609=""STATE"",
 UPPER(REGEXEXTRACT(A609,""^state\.([^_@]+)"")),
 """"
)"),"")</f>
        <v/>
      </c>
      <c r="E609" s="26" t="b">
        <v>1</v>
      </c>
      <c r="F609" s="26" t="s">
        <v>633</v>
      </c>
      <c r="G609" s="26" t="str">
        <f t="shared" si="1"/>
        <v>Not a building</v>
      </c>
      <c r="H609" s="26" t="str">
        <f t="shared" si="2"/>
        <v>Not a building</v>
      </c>
      <c r="K609" s="66"/>
      <c r="L609" s="66"/>
      <c r="M609" s="67"/>
      <c r="N609" s="67"/>
      <c r="O609" s="66"/>
      <c r="P609" s="66"/>
      <c r="Q609" s="67"/>
      <c r="R609" s="67"/>
      <c r="S609" s="67"/>
      <c r="T609" s="67"/>
      <c r="U609" s="67"/>
    </row>
    <row r="610" ht="15.75" customHeight="1">
      <c r="A610" s="26" t="s">
        <v>1915</v>
      </c>
      <c r="B610" s="26" t="s">
        <v>1916</v>
      </c>
      <c r="C610" s="26" t="s">
        <v>1705</v>
      </c>
      <c r="D610" s="26" t="str">
        <f>IFERROR(__xludf.DUMMYFUNCTION("IF(
 C610=""STATE"",
 UPPER(REGEXEXTRACT(A610,""^state\.([^_@]+)"")),
 """"
)"),"")</f>
        <v/>
      </c>
      <c r="E610" s="26" t="b">
        <v>1</v>
      </c>
      <c r="F610" s="26" t="s">
        <v>633</v>
      </c>
      <c r="G610" s="26" t="str">
        <f t="shared" si="1"/>
        <v>Not a building</v>
      </c>
      <c r="H610" s="26" t="str">
        <f t="shared" si="2"/>
        <v>Not a building</v>
      </c>
      <c r="K610" s="66"/>
      <c r="L610" s="66"/>
      <c r="M610" s="67"/>
      <c r="N610" s="67"/>
      <c r="O610" s="66"/>
      <c r="P610" s="66"/>
      <c r="Q610" s="67"/>
      <c r="R610" s="67"/>
      <c r="S610" s="67"/>
      <c r="T610" s="67"/>
      <c r="U610" s="67"/>
    </row>
    <row r="611" ht="15.75" customHeight="1">
      <c r="A611" s="26" t="s">
        <v>1918</v>
      </c>
      <c r="B611" s="26" t="s">
        <v>1919</v>
      </c>
      <c r="C611" s="26" t="s">
        <v>1705</v>
      </c>
      <c r="D611" s="26" t="str">
        <f>IFERROR(__xludf.DUMMYFUNCTION("IF(
 C611=""STATE"",
 UPPER(REGEXEXTRACT(A611,""^state\.([^_@]+)"")),
 """"
)"),"")</f>
        <v/>
      </c>
      <c r="E611" s="26" t="b">
        <v>1</v>
      </c>
      <c r="F611" s="26" t="s">
        <v>633</v>
      </c>
      <c r="G611" s="26" t="str">
        <f t="shared" si="1"/>
        <v>Not a building</v>
      </c>
      <c r="H611" s="26" t="str">
        <f t="shared" si="2"/>
        <v>Not a building</v>
      </c>
      <c r="K611" s="66"/>
      <c r="L611" s="66"/>
      <c r="M611" s="67"/>
      <c r="N611" s="67"/>
      <c r="O611" s="66"/>
      <c r="P611" s="66"/>
      <c r="Q611" s="67"/>
      <c r="R611" s="67"/>
      <c r="S611" s="67"/>
      <c r="T611" s="67"/>
      <c r="U611" s="67"/>
    </row>
    <row r="612" ht="15.75" customHeight="1">
      <c r="A612" s="26" t="s">
        <v>1920</v>
      </c>
      <c r="B612" s="26" t="s">
        <v>1921</v>
      </c>
      <c r="C612" s="26" t="s">
        <v>1705</v>
      </c>
      <c r="D612" s="26" t="str">
        <f>IFERROR(__xludf.DUMMYFUNCTION("IF(
 C612=""STATE"",
 UPPER(REGEXEXTRACT(A612,""^state\.([^_@]+)"")),
 """"
)"),"")</f>
        <v/>
      </c>
      <c r="E612" s="26" t="b">
        <v>1</v>
      </c>
      <c r="F612" s="26" t="s">
        <v>633</v>
      </c>
      <c r="G612" s="26" t="str">
        <f t="shared" si="1"/>
        <v>Not a building</v>
      </c>
      <c r="H612" s="26" t="str">
        <f t="shared" si="2"/>
        <v>Not a building</v>
      </c>
      <c r="K612" s="66"/>
      <c r="L612" s="66"/>
      <c r="M612" s="67"/>
      <c r="N612" s="67"/>
      <c r="O612" s="66"/>
      <c r="P612" s="66"/>
      <c r="Q612" s="67"/>
      <c r="R612" s="67"/>
      <c r="S612" s="67"/>
      <c r="T612" s="67"/>
      <c r="U612" s="67"/>
    </row>
    <row r="613" ht="15.75" customHeight="1">
      <c r="A613" s="26" t="s">
        <v>1711</v>
      </c>
      <c r="B613" s="26" t="s">
        <v>1923</v>
      </c>
      <c r="C613" s="26" t="s">
        <v>1353</v>
      </c>
      <c r="D613" s="26" t="str">
        <f>IFERROR(__xludf.DUMMYFUNCTION("IF(
 C613=""STATE"",
 UPPER(REGEXEXTRACT(A613,""^state\.([^_@]+)"")),
 """"
)"),"COMPLETE")</f>
        <v>COMPLETE</v>
      </c>
      <c r="E613" s="26" t="b">
        <v>1</v>
      </c>
      <c r="F613" s="26" t="s">
        <v>633</v>
      </c>
      <c r="G613" s="26" t="str">
        <f t="shared" si="1"/>
        <v>Not a building</v>
      </c>
      <c r="H613" s="26" t="str">
        <f t="shared" si="2"/>
        <v>Not a building</v>
      </c>
      <c r="K613" s="66"/>
      <c r="L613" s="66"/>
      <c r="M613" s="67"/>
      <c r="N613" s="67"/>
      <c r="O613" s="66"/>
      <c r="P613" s="66"/>
      <c r="Q613" s="67"/>
      <c r="R613" s="67"/>
      <c r="S613" s="67"/>
      <c r="T613" s="67"/>
      <c r="U613" s="67"/>
    </row>
    <row r="614" ht="15.75" customHeight="1">
      <c r="A614" s="26" t="s">
        <v>1924</v>
      </c>
      <c r="B614" s="26" t="s">
        <v>1925</v>
      </c>
      <c r="C614" s="26" t="s">
        <v>1353</v>
      </c>
      <c r="D614" s="26" t="str">
        <f>IFERROR(__xludf.DUMMYFUNCTION("IF(
 C614=""STATE"",
 UPPER(REGEXEXTRACT(A614,""^state\.([^_@]+)"")),
 """"
)"),"OBTAIN")</f>
        <v>OBTAIN</v>
      </c>
      <c r="E614" s="26" t="b">
        <v>1</v>
      </c>
      <c r="F614" s="26" t="s">
        <v>633</v>
      </c>
      <c r="G614" s="26" t="str">
        <f t="shared" si="1"/>
        <v>Not a building</v>
      </c>
      <c r="H614" s="26" t="str">
        <f t="shared" si="2"/>
        <v>Not a building</v>
      </c>
      <c r="K614" s="66"/>
      <c r="L614" s="66"/>
      <c r="M614" s="67"/>
      <c r="N614" s="67"/>
      <c r="O614" s="66"/>
      <c r="P614" s="66"/>
      <c r="Q614" s="67"/>
      <c r="R614" s="67"/>
      <c r="S614" s="67"/>
      <c r="T614" s="67"/>
      <c r="U614" s="67"/>
    </row>
    <row r="615" ht="15.75" customHeight="1">
      <c r="A615" s="26" t="s">
        <v>1926</v>
      </c>
      <c r="B615" s="26" t="s">
        <v>1927</v>
      </c>
      <c r="C615" s="26" t="s">
        <v>1353</v>
      </c>
      <c r="D615" s="26" t="str">
        <f>IFERROR(__xludf.DUMMYFUNCTION("IF(
 C615=""STATE"",
 UPPER(REGEXEXTRACT(A615,""^state\.([^_@]+)"")),
 """"
)"),"OBTAIN")</f>
        <v>OBTAIN</v>
      </c>
      <c r="E615" s="26" t="b">
        <v>1</v>
      </c>
      <c r="F615" s="26" t="s">
        <v>633</v>
      </c>
      <c r="G615" s="26" t="str">
        <f t="shared" si="1"/>
        <v>Not a building</v>
      </c>
      <c r="H615" s="26" t="str">
        <f t="shared" si="2"/>
        <v>Not a building</v>
      </c>
      <c r="K615" s="66"/>
      <c r="L615" s="66"/>
      <c r="M615" s="67"/>
      <c r="N615" s="67"/>
      <c r="O615" s="66"/>
      <c r="P615" s="66"/>
      <c r="Q615" s="67"/>
      <c r="R615" s="67"/>
      <c r="S615" s="67"/>
      <c r="T615" s="67"/>
      <c r="U615" s="67"/>
    </row>
    <row r="616" ht="15.75" customHeight="1">
      <c r="A616" s="26" t="s">
        <v>1929</v>
      </c>
      <c r="B616" s="26" t="s">
        <v>1930</v>
      </c>
      <c r="C616" s="26" t="s">
        <v>1353</v>
      </c>
      <c r="D616" s="26" t="str">
        <f>IFERROR(__xludf.DUMMYFUNCTION("IF(
 C616=""STATE"",
 UPPER(REGEXEXTRACT(A616,""^state\.([^_@]+)"")),
 """"
)"),"OBTAIN")</f>
        <v>OBTAIN</v>
      </c>
      <c r="E616" s="26" t="b">
        <v>1</v>
      </c>
      <c r="F616" s="26" t="s">
        <v>633</v>
      </c>
      <c r="G616" s="26" t="str">
        <f t="shared" si="1"/>
        <v>Not a building</v>
      </c>
      <c r="H616" s="26" t="str">
        <f t="shared" si="2"/>
        <v>Not a building</v>
      </c>
      <c r="K616" s="66"/>
      <c r="L616" s="66"/>
      <c r="M616" s="67"/>
      <c r="N616" s="67"/>
      <c r="O616" s="66"/>
      <c r="P616" s="66"/>
      <c r="Q616" s="67"/>
      <c r="R616" s="67"/>
      <c r="S616" s="67"/>
      <c r="T616" s="67"/>
      <c r="U616" s="67"/>
    </row>
    <row r="617" ht="15.75" customHeight="1">
      <c r="A617" s="26" t="s">
        <v>1676</v>
      </c>
      <c r="B617" s="26" t="s">
        <v>1931</v>
      </c>
      <c r="C617" s="26" t="s">
        <v>1353</v>
      </c>
      <c r="D617" s="26" t="str">
        <f>IFERROR(__xludf.DUMMYFUNCTION("IF(
 C617=""STATE"",
 UPPER(REGEXEXTRACT(A617,""^state\.([^_@]+)"")),
 """"
)"),"COMPLETE")</f>
        <v>COMPLETE</v>
      </c>
      <c r="E617" s="26" t="b">
        <v>1</v>
      </c>
      <c r="F617" s="26" t="s">
        <v>633</v>
      </c>
      <c r="G617" s="26" t="str">
        <f t="shared" si="1"/>
        <v>Not a building</v>
      </c>
      <c r="H617" s="26" t="str">
        <f t="shared" si="2"/>
        <v>Not a building</v>
      </c>
      <c r="K617" s="66"/>
      <c r="L617" s="66"/>
      <c r="M617" s="67"/>
      <c r="N617" s="67"/>
      <c r="O617" s="66"/>
      <c r="P617" s="66"/>
      <c r="Q617" s="67"/>
      <c r="R617" s="67"/>
      <c r="S617" s="67"/>
      <c r="T617" s="67"/>
      <c r="U617" s="67"/>
    </row>
    <row r="618" ht="15.75" customHeight="1">
      <c r="A618" s="21" t="s">
        <v>1689</v>
      </c>
      <c r="B618" s="26" t="s">
        <v>1932</v>
      </c>
      <c r="C618" s="26" t="s">
        <v>1353</v>
      </c>
      <c r="D618" s="26" t="str">
        <f>IFERROR(__xludf.DUMMYFUNCTION("IF(
 C618=""STATE"",
 UPPER(REGEXEXTRACT(A618,""^state\.([^_@]+)"")),
 """"
)"),"COMPLETE")</f>
        <v>COMPLETE</v>
      </c>
      <c r="E618" s="26" t="b">
        <v>1</v>
      </c>
      <c r="F618" s="26" t="s">
        <v>633</v>
      </c>
      <c r="G618" s="26" t="str">
        <f t="shared" si="1"/>
        <v>Not a building</v>
      </c>
      <c r="H618" s="26" t="str">
        <f t="shared" si="2"/>
        <v>Not a building</v>
      </c>
      <c r="K618" s="66"/>
      <c r="L618" s="66"/>
      <c r="M618" s="67"/>
      <c r="N618" s="67"/>
      <c r="O618" s="66"/>
      <c r="P618" s="66"/>
      <c r="Q618" s="67"/>
      <c r="R618" s="67"/>
      <c r="S618" s="67"/>
      <c r="T618" s="67"/>
      <c r="U618" s="67"/>
    </row>
    <row r="619" ht="15.75" customHeight="1">
      <c r="A619" s="26" t="s">
        <v>1933</v>
      </c>
      <c r="B619" s="26" t="s">
        <v>1934</v>
      </c>
      <c r="C619" s="26" t="s">
        <v>1353</v>
      </c>
      <c r="D619" s="26" t="str">
        <f>IFERROR(__xludf.DUMMYFUNCTION("IF(
 C619=""STATE"",
 UPPER(REGEXEXTRACT(A619,""^state\.([^_@]+)"")),
 """"
)"),"MEET")</f>
        <v>MEET</v>
      </c>
      <c r="E619" s="26" t="b">
        <v>1</v>
      </c>
      <c r="F619" s="26" t="s">
        <v>633</v>
      </c>
      <c r="G619" s="26" t="str">
        <f t="shared" si="1"/>
        <v>Not a building</v>
      </c>
      <c r="H619" s="26" t="str">
        <f t="shared" si="2"/>
        <v>Not a building</v>
      </c>
      <c r="K619" s="66"/>
      <c r="L619" s="66"/>
      <c r="M619" s="67"/>
      <c r="N619" s="67"/>
      <c r="O619" s="66"/>
      <c r="P619" s="66"/>
      <c r="Q619" s="67"/>
      <c r="R619" s="67"/>
      <c r="S619" s="67"/>
      <c r="T619" s="67"/>
      <c r="U619" s="67"/>
    </row>
    <row r="620" ht="15.75" customHeight="1">
      <c r="K620" s="66"/>
      <c r="L620" s="66"/>
      <c r="M620" s="67"/>
      <c r="N620" s="67"/>
      <c r="O620" s="66"/>
      <c r="P620" s="66"/>
      <c r="Q620" s="67"/>
      <c r="R620" s="67"/>
      <c r="S620" s="67"/>
      <c r="T620" s="67"/>
      <c r="U620" s="67"/>
    </row>
    <row r="621" ht="15.75" customHeight="1">
      <c r="K621" s="66"/>
      <c r="L621" s="66"/>
      <c r="M621" s="67"/>
      <c r="N621" s="67"/>
      <c r="O621" s="66"/>
      <c r="P621" s="66"/>
      <c r="Q621" s="67"/>
      <c r="R621" s="67"/>
      <c r="S621" s="67"/>
      <c r="T621" s="67"/>
      <c r="U621" s="67"/>
    </row>
    <row r="622" ht="15.75" customHeight="1">
      <c r="K622" s="66"/>
      <c r="L622" s="66"/>
      <c r="M622" s="67"/>
      <c r="N622" s="67"/>
      <c r="O622" s="66"/>
      <c r="P622" s="66"/>
      <c r="Q622" s="67"/>
      <c r="R622" s="67"/>
      <c r="S622" s="67"/>
      <c r="T622" s="67"/>
      <c r="U622" s="67"/>
    </row>
    <row r="623" ht="15.75" customHeight="1">
      <c r="K623" s="66"/>
      <c r="L623" s="66"/>
      <c r="M623" s="67"/>
      <c r="N623" s="67"/>
      <c r="O623" s="66"/>
      <c r="P623" s="66"/>
      <c r="Q623" s="67"/>
      <c r="R623" s="67"/>
      <c r="S623" s="67"/>
      <c r="T623" s="67"/>
      <c r="U623" s="67"/>
    </row>
    <row r="624" ht="15.75" customHeight="1">
      <c r="K624" s="66"/>
      <c r="L624" s="66"/>
      <c r="M624" s="67"/>
      <c r="N624" s="67"/>
      <c r="O624" s="66"/>
      <c r="P624" s="66"/>
      <c r="Q624" s="67"/>
      <c r="R624" s="67"/>
      <c r="S624" s="67"/>
      <c r="T624" s="67"/>
      <c r="U624" s="67"/>
    </row>
    <row r="625" ht="15.75" customHeight="1">
      <c r="K625" s="66"/>
      <c r="L625" s="66"/>
      <c r="M625" s="67"/>
      <c r="N625" s="67"/>
      <c r="O625" s="66"/>
      <c r="P625" s="66"/>
      <c r="Q625" s="67"/>
      <c r="R625" s="67"/>
      <c r="S625" s="67"/>
      <c r="T625" s="67"/>
      <c r="U625" s="67"/>
    </row>
    <row r="626" ht="15.75" customHeight="1">
      <c r="K626" s="66"/>
      <c r="L626" s="66"/>
      <c r="M626" s="67"/>
      <c r="N626" s="67"/>
      <c r="O626" s="66"/>
      <c r="P626" s="66"/>
      <c r="Q626" s="67"/>
      <c r="R626" s="67"/>
      <c r="S626" s="67"/>
      <c r="T626" s="67"/>
      <c r="U626" s="67"/>
    </row>
    <row r="627" ht="15.75" customHeight="1">
      <c r="K627" s="66"/>
      <c r="L627" s="66"/>
      <c r="M627" s="67"/>
      <c r="N627" s="67"/>
      <c r="O627" s="66"/>
      <c r="P627" s="66"/>
      <c r="Q627" s="67"/>
      <c r="R627" s="67"/>
      <c r="S627" s="67"/>
      <c r="T627" s="67"/>
      <c r="U627" s="67"/>
    </row>
    <row r="628" ht="15.75" customHeight="1">
      <c r="K628" s="66"/>
      <c r="L628" s="66"/>
      <c r="M628" s="67"/>
      <c r="N628" s="67"/>
      <c r="O628" s="66"/>
      <c r="P628" s="66"/>
      <c r="Q628" s="67"/>
      <c r="R628" s="67"/>
      <c r="S628" s="67"/>
      <c r="T628" s="67"/>
      <c r="U628" s="67"/>
    </row>
    <row r="629" ht="15.75" customHeight="1">
      <c r="K629" s="66"/>
      <c r="L629" s="66"/>
      <c r="M629" s="67"/>
      <c r="N629" s="67"/>
      <c r="O629" s="66"/>
      <c r="P629" s="66"/>
      <c r="Q629" s="67"/>
      <c r="R629" s="67"/>
      <c r="S629" s="67"/>
      <c r="T629" s="67"/>
      <c r="U629" s="67"/>
    </row>
    <row r="630" ht="15.75" customHeight="1">
      <c r="K630" s="66"/>
      <c r="L630" s="66"/>
      <c r="M630" s="67"/>
      <c r="N630" s="67"/>
      <c r="O630" s="66"/>
      <c r="P630" s="66"/>
      <c r="Q630" s="67"/>
      <c r="R630" s="67"/>
      <c r="S630" s="67"/>
      <c r="T630" s="67"/>
      <c r="U630" s="67"/>
    </row>
    <row r="631" ht="15.75" customHeight="1">
      <c r="K631" s="66"/>
      <c r="L631" s="66"/>
      <c r="M631" s="67"/>
      <c r="N631" s="67"/>
      <c r="O631" s="66"/>
      <c r="P631" s="66"/>
      <c r="Q631" s="67"/>
      <c r="R631" s="67"/>
      <c r="S631" s="67"/>
      <c r="T631" s="67"/>
      <c r="U631" s="67"/>
    </row>
    <row r="632" ht="15.75" customHeight="1">
      <c r="K632" s="66"/>
      <c r="L632" s="66"/>
      <c r="M632" s="67"/>
      <c r="N632" s="67"/>
      <c r="O632" s="66"/>
      <c r="P632" s="66"/>
      <c r="Q632" s="67"/>
      <c r="R632" s="67"/>
      <c r="S632" s="67"/>
      <c r="T632" s="67"/>
      <c r="U632" s="67"/>
    </row>
    <row r="633" ht="15.75" customHeight="1">
      <c r="K633" s="66"/>
      <c r="L633" s="66"/>
      <c r="M633" s="67"/>
      <c r="N633" s="67"/>
      <c r="O633" s="66"/>
      <c r="P633" s="66"/>
      <c r="Q633" s="67"/>
      <c r="R633" s="67"/>
      <c r="S633" s="67"/>
      <c r="T633" s="67"/>
      <c r="U633" s="67"/>
    </row>
    <row r="634" ht="15.75" customHeight="1">
      <c r="K634" s="66"/>
      <c r="L634" s="66"/>
      <c r="M634" s="67"/>
      <c r="N634" s="67"/>
      <c r="O634" s="66"/>
      <c r="P634" s="66"/>
      <c r="Q634" s="67"/>
      <c r="R634" s="67"/>
      <c r="S634" s="67"/>
      <c r="T634" s="67"/>
      <c r="U634" s="67"/>
    </row>
    <row r="635" ht="15.75" customHeight="1">
      <c r="K635" s="66"/>
      <c r="L635" s="66"/>
      <c r="M635" s="67"/>
      <c r="N635" s="67"/>
      <c r="O635" s="66"/>
      <c r="P635" s="66"/>
      <c r="Q635" s="67"/>
      <c r="R635" s="67"/>
      <c r="S635" s="67"/>
      <c r="T635" s="67"/>
      <c r="U635" s="67"/>
    </row>
    <row r="636" ht="15.75" customHeight="1">
      <c r="K636" s="66"/>
      <c r="L636" s="66"/>
      <c r="M636" s="67"/>
      <c r="N636" s="67"/>
      <c r="O636" s="66"/>
      <c r="P636" s="66"/>
      <c r="Q636" s="67"/>
      <c r="R636" s="67"/>
      <c r="S636" s="67"/>
      <c r="T636" s="67"/>
      <c r="U636" s="67"/>
    </row>
    <row r="637" ht="15.75" customHeight="1">
      <c r="K637" s="66"/>
      <c r="L637" s="66"/>
      <c r="M637" s="67"/>
      <c r="N637" s="67"/>
      <c r="O637" s="66"/>
      <c r="P637" s="66"/>
      <c r="Q637" s="67"/>
      <c r="R637" s="67"/>
      <c r="S637" s="67"/>
      <c r="T637" s="67"/>
      <c r="U637" s="67"/>
    </row>
    <row r="638" ht="15.75" customHeight="1">
      <c r="K638" s="66"/>
      <c r="L638" s="66"/>
      <c r="M638" s="67"/>
      <c r="N638" s="67"/>
      <c r="O638" s="66"/>
      <c r="P638" s="66"/>
      <c r="Q638" s="67"/>
      <c r="R638" s="67"/>
      <c r="S638" s="67"/>
      <c r="T638" s="67"/>
      <c r="U638" s="67"/>
    </row>
    <row r="639" ht="15.75" customHeight="1">
      <c r="K639" s="66"/>
      <c r="L639" s="66"/>
      <c r="M639" s="67"/>
      <c r="N639" s="67"/>
      <c r="O639" s="66"/>
      <c r="P639" s="66"/>
      <c r="Q639" s="67"/>
      <c r="R639" s="67"/>
      <c r="S639" s="67"/>
      <c r="T639" s="67"/>
      <c r="U639" s="67"/>
    </row>
    <row r="640" ht="15.75" customHeight="1">
      <c r="K640" s="66"/>
      <c r="L640" s="66"/>
      <c r="M640" s="67"/>
      <c r="N640" s="67"/>
      <c r="O640" s="66"/>
      <c r="P640" s="66"/>
      <c r="Q640" s="67"/>
      <c r="R640" s="67"/>
      <c r="S640" s="67"/>
      <c r="T640" s="67"/>
      <c r="U640" s="67"/>
    </row>
    <row r="641" ht="15.75" customHeight="1">
      <c r="K641" s="66"/>
      <c r="L641" s="66"/>
      <c r="M641" s="67"/>
      <c r="N641" s="67"/>
      <c r="O641" s="66"/>
      <c r="P641" s="66"/>
      <c r="Q641" s="67"/>
      <c r="R641" s="67"/>
      <c r="S641" s="67"/>
      <c r="T641" s="67"/>
      <c r="U641" s="67"/>
    </row>
    <row r="642" ht="15.75" customHeight="1">
      <c r="K642" s="66"/>
      <c r="L642" s="66"/>
      <c r="M642" s="67"/>
      <c r="N642" s="67"/>
      <c r="O642" s="66"/>
      <c r="P642" s="66"/>
      <c r="Q642" s="67"/>
      <c r="R642" s="67"/>
      <c r="S642" s="67"/>
      <c r="T642" s="67"/>
      <c r="U642" s="67"/>
    </row>
    <row r="643" ht="15.75" customHeight="1">
      <c r="K643" s="66"/>
      <c r="L643" s="66"/>
      <c r="M643" s="67"/>
      <c r="N643" s="67"/>
      <c r="O643" s="66"/>
      <c r="P643" s="66"/>
      <c r="Q643" s="67"/>
      <c r="R643" s="67"/>
      <c r="S643" s="67"/>
      <c r="T643" s="67"/>
      <c r="U643" s="67"/>
    </row>
    <row r="644" ht="15.75" customHeight="1">
      <c r="K644" s="66"/>
      <c r="L644" s="66"/>
      <c r="M644" s="67"/>
      <c r="N644" s="67"/>
      <c r="O644" s="66"/>
      <c r="P644" s="66"/>
      <c r="Q644" s="67"/>
      <c r="R644" s="67"/>
      <c r="S644" s="67"/>
      <c r="T644" s="67"/>
      <c r="U644" s="67"/>
    </row>
    <row r="645" ht="15.75" customHeight="1">
      <c r="K645" s="66"/>
      <c r="L645" s="66"/>
      <c r="M645" s="67"/>
      <c r="N645" s="67"/>
      <c r="O645" s="66"/>
      <c r="P645" s="66"/>
      <c r="Q645" s="67"/>
      <c r="R645" s="67"/>
      <c r="S645" s="67"/>
      <c r="T645" s="67"/>
      <c r="U645" s="67"/>
    </row>
    <row r="646" ht="15.75" customHeight="1">
      <c r="K646" s="66"/>
      <c r="L646" s="66"/>
      <c r="M646" s="67"/>
      <c r="N646" s="67"/>
      <c r="O646" s="66"/>
      <c r="P646" s="66"/>
      <c r="Q646" s="67"/>
      <c r="R646" s="67"/>
      <c r="S646" s="67"/>
      <c r="T646" s="67"/>
      <c r="U646" s="67"/>
    </row>
    <row r="647" ht="15.75" customHeight="1">
      <c r="K647" s="66"/>
      <c r="L647" s="66"/>
      <c r="M647" s="67"/>
      <c r="N647" s="67"/>
      <c r="O647" s="66"/>
      <c r="P647" s="66"/>
      <c r="Q647" s="67"/>
      <c r="R647" s="67"/>
      <c r="S647" s="67"/>
      <c r="T647" s="67"/>
      <c r="U647" s="67"/>
    </row>
    <row r="648" ht="15.75" customHeight="1">
      <c r="K648" s="66"/>
      <c r="L648" s="66"/>
      <c r="M648" s="67"/>
      <c r="N648" s="67"/>
      <c r="O648" s="66"/>
      <c r="P648" s="66"/>
      <c r="Q648" s="67"/>
      <c r="R648" s="67"/>
      <c r="S648" s="67"/>
      <c r="T648" s="67"/>
      <c r="U648" s="67"/>
    </row>
    <row r="649" ht="15.75" customHeight="1">
      <c r="K649" s="66"/>
      <c r="L649" s="66"/>
      <c r="M649" s="67"/>
      <c r="N649" s="67"/>
      <c r="O649" s="66"/>
      <c r="P649" s="66"/>
      <c r="Q649" s="67"/>
      <c r="R649" s="67"/>
      <c r="S649" s="67"/>
      <c r="T649" s="67"/>
      <c r="U649" s="67"/>
    </row>
    <row r="650" ht="15.75" customHeight="1">
      <c r="K650" s="66"/>
      <c r="L650" s="66"/>
      <c r="M650" s="67"/>
      <c r="N650" s="67"/>
      <c r="O650" s="66"/>
      <c r="P650" s="66"/>
      <c r="Q650" s="67"/>
      <c r="R650" s="67"/>
      <c r="S650" s="67"/>
      <c r="T650" s="67"/>
      <c r="U650" s="67"/>
    </row>
    <row r="651" ht="15.75" customHeight="1">
      <c r="K651" s="66"/>
      <c r="L651" s="66"/>
      <c r="M651" s="67"/>
      <c r="N651" s="67"/>
      <c r="O651" s="66"/>
      <c r="P651" s="66"/>
      <c r="Q651" s="67"/>
      <c r="R651" s="67"/>
      <c r="S651" s="67"/>
      <c r="T651" s="67"/>
      <c r="U651" s="67"/>
    </row>
    <row r="652" ht="15.75" customHeight="1">
      <c r="K652" s="66"/>
      <c r="L652" s="66"/>
      <c r="M652" s="67"/>
      <c r="N652" s="67"/>
      <c r="O652" s="66"/>
      <c r="P652" s="66"/>
      <c r="Q652" s="67"/>
      <c r="R652" s="67"/>
      <c r="S652" s="67"/>
      <c r="T652" s="67"/>
      <c r="U652" s="67"/>
    </row>
    <row r="653" ht="15.75" customHeight="1">
      <c r="K653" s="66"/>
      <c r="L653" s="66"/>
      <c r="M653" s="67"/>
      <c r="N653" s="67"/>
      <c r="O653" s="66"/>
      <c r="P653" s="66"/>
      <c r="Q653" s="67"/>
      <c r="R653" s="67"/>
      <c r="S653" s="67"/>
      <c r="T653" s="67"/>
      <c r="U653" s="67"/>
    </row>
    <row r="654" ht="15.75" customHeight="1">
      <c r="K654" s="66"/>
      <c r="L654" s="66"/>
      <c r="M654" s="67"/>
      <c r="N654" s="67"/>
      <c r="O654" s="66"/>
      <c r="P654" s="66"/>
      <c r="Q654" s="67"/>
      <c r="R654" s="67"/>
      <c r="S654" s="67"/>
      <c r="T654" s="67"/>
      <c r="U654" s="67"/>
    </row>
    <row r="655" ht="15.75" customHeight="1">
      <c r="K655" s="66"/>
      <c r="L655" s="66"/>
      <c r="M655" s="67"/>
      <c r="N655" s="67"/>
      <c r="O655" s="66"/>
      <c r="P655" s="66"/>
      <c r="Q655" s="67"/>
      <c r="R655" s="67"/>
      <c r="S655" s="67"/>
      <c r="T655" s="67"/>
      <c r="U655" s="67"/>
    </row>
    <row r="656" ht="15.75" customHeight="1">
      <c r="K656" s="66"/>
      <c r="L656" s="66"/>
      <c r="M656" s="67"/>
      <c r="N656" s="67"/>
      <c r="O656" s="66"/>
      <c r="P656" s="66"/>
      <c r="Q656" s="67"/>
      <c r="R656" s="67"/>
      <c r="S656" s="67"/>
      <c r="T656" s="67"/>
      <c r="U656" s="67"/>
    </row>
    <row r="657" ht="15.75" customHeight="1">
      <c r="K657" s="66"/>
      <c r="L657" s="66"/>
      <c r="M657" s="67"/>
      <c r="N657" s="67"/>
      <c r="O657" s="66"/>
      <c r="P657" s="66"/>
      <c r="Q657" s="67"/>
      <c r="R657" s="67"/>
      <c r="S657" s="67"/>
      <c r="T657" s="67"/>
      <c r="U657" s="67"/>
    </row>
    <row r="658" ht="15.75" customHeight="1">
      <c r="K658" s="66"/>
      <c r="L658" s="66"/>
      <c r="M658" s="67"/>
      <c r="N658" s="67"/>
      <c r="O658" s="66"/>
      <c r="P658" s="66"/>
      <c r="Q658" s="67"/>
      <c r="R658" s="67"/>
      <c r="S658" s="67"/>
      <c r="T658" s="67"/>
      <c r="U658" s="67"/>
    </row>
    <row r="659" ht="15.75" customHeight="1">
      <c r="K659" s="66"/>
      <c r="L659" s="66"/>
      <c r="M659" s="67"/>
      <c r="N659" s="67"/>
      <c r="O659" s="66"/>
      <c r="P659" s="66"/>
      <c r="Q659" s="67"/>
      <c r="R659" s="67"/>
      <c r="S659" s="67"/>
      <c r="T659" s="67"/>
      <c r="U659" s="67"/>
    </row>
    <row r="660" ht="15.75" customHeight="1">
      <c r="K660" s="66"/>
      <c r="L660" s="66"/>
      <c r="M660" s="67"/>
      <c r="N660" s="67"/>
      <c r="O660" s="66"/>
      <c r="P660" s="66"/>
      <c r="Q660" s="67"/>
      <c r="R660" s="67"/>
      <c r="S660" s="67"/>
      <c r="T660" s="67"/>
      <c r="U660" s="67"/>
    </row>
    <row r="661" ht="15.75" customHeight="1">
      <c r="K661" s="66"/>
      <c r="L661" s="66"/>
      <c r="M661" s="67"/>
      <c r="N661" s="67"/>
      <c r="O661" s="66"/>
      <c r="P661" s="66"/>
      <c r="Q661" s="67"/>
      <c r="R661" s="67"/>
      <c r="S661" s="67"/>
      <c r="T661" s="67"/>
      <c r="U661" s="67"/>
    </row>
    <row r="662" ht="15.75" customHeight="1">
      <c r="K662" s="66"/>
      <c r="L662" s="66"/>
      <c r="M662" s="67"/>
      <c r="N662" s="67"/>
      <c r="O662" s="66"/>
      <c r="P662" s="66"/>
      <c r="Q662" s="67"/>
      <c r="R662" s="67"/>
      <c r="S662" s="67"/>
      <c r="T662" s="67"/>
      <c r="U662" s="67"/>
    </row>
    <row r="663" ht="15.75" customHeight="1">
      <c r="K663" s="66"/>
      <c r="L663" s="66"/>
      <c r="M663" s="67"/>
      <c r="N663" s="67"/>
      <c r="O663" s="66"/>
      <c r="P663" s="66"/>
      <c r="Q663" s="67"/>
      <c r="R663" s="67"/>
      <c r="S663" s="67"/>
      <c r="T663" s="67"/>
      <c r="U663" s="67"/>
    </row>
    <row r="664" ht="15.75" customHeight="1">
      <c r="K664" s="66"/>
      <c r="L664" s="66"/>
      <c r="M664" s="67"/>
      <c r="N664" s="67"/>
      <c r="O664" s="66"/>
      <c r="P664" s="66"/>
      <c r="Q664" s="67"/>
      <c r="R664" s="67"/>
      <c r="S664" s="67"/>
      <c r="T664" s="67"/>
      <c r="U664" s="67"/>
    </row>
    <row r="665" ht="15.75" customHeight="1">
      <c r="K665" s="66"/>
      <c r="L665" s="66"/>
      <c r="M665" s="67"/>
      <c r="N665" s="67"/>
      <c r="O665" s="66"/>
      <c r="P665" s="66"/>
      <c r="Q665" s="67"/>
      <c r="R665" s="67"/>
      <c r="S665" s="67"/>
      <c r="T665" s="67"/>
      <c r="U665" s="67"/>
    </row>
    <row r="666" ht="15.75" customHeight="1">
      <c r="K666" s="66"/>
      <c r="L666" s="66"/>
      <c r="M666" s="67"/>
      <c r="N666" s="67"/>
      <c r="O666" s="66"/>
      <c r="P666" s="66"/>
      <c r="Q666" s="67"/>
      <c r="R666" s="67"/>
      <c r="S666" s="67"/>
      <c r="T666" s="67"/>
      <c r="U666" s="67"/>
    </row>
    <row r="667" ht="15.75" customHeight="1">
      <c r="K667" s="66"/>
      <c r="L667" s="66"/>
      <c r="M667" s="67"/>
      <c r="N667" s="67"/>
      <c r="O667" s="66"/>
      <c r="P667" s="66"/>
      <c r="Q667" s="67"/>
      <c r="R667" s="67"/>
      <c r="S667" s="67"/>
      <c r="T667" s="67"/>
      <c r="U667" s="67"/>
    </row>
    <row r="668" ht="15.75" customHeight="1">
      <c r="K668" s="66"/>
      <c r="L668" s="66"/>
      <c r="M668" s="67"/>
      <c r="N668" s="67"/>
      <c r="O668" s="66"/>
      <c r="P668" s="66"/>
      <c r="Q668" s="67"/>
      <c r="R668" s="67"/>
      <c r="S668" s="67"/>
      <c r="T668" s="67"/>
      <c r="U668" s="67"/>
    </row>
    <row r="669" ht="15.75" customHeight="1">
      <c r="K669" s="66"/>
      <c r="L669" s="66"/>
      <c r="M669" s="67"/>
      <c r="N669" s="67"/>
      <c r="O669" s="66"/>
      <c r="P669" s="66"/>
      <c r="Q669" s="67"/>
      <c r="R669" s="67"/>
      <c r="S669" s="67"/>
      <c r="T669" s="67"/>
      <c r="U669" s="67"/>
    </row>
    <row r="670" ht="15.75" customHeight="1">
      <c r="K670" s="66"/>
      <c r="L670" s="66"/>
      <c r="M670" s="67"/>
      <c r="N670" s="67"/>
      <c r="O670" s="66"/>
      <c r="P670" s="66"/>
      <c r="Q670" s="67"/>
      <c r="R670" s="67"/>
      <c r="S670" s="67"/>
      <c r="T670" s="67"/>
      <c r="U670" s="67"/>
    </row>
    <row r="671" ht="15.75" customHeight="1">
      <c r="K671" s="66"/>
      <c r="L671" s="66"/>
      <c r="M671" s="67"/>
      <c r="N671" s="67"/>
      <c r="O671" s="66"/>
      <c r="P671" s="66"/>
      <c r="Q671" s="67"/>
      <c r="R671" s="67"/>
      <c r="S671" s="67"/>
      <c r="T671" s="67"/>
      <c r="U671" s="67"/>
    </row>
    <row r="672" ht="15.75" customHeight="1">
      <c r="K672" s="66"/>
      <c r="L672" s="66"/>
      <c r="M672" s="67"/>
      <c r="N672" s="67"/>
      <c r="O672" s="66"/>
      <c r="P672" s="66"/>
      <c r="Q672" s="67"/>
      <c r="R672" s="67"/>
      <c r="S672" s="67"/>
      <c r="T672" s="67"/>
      <c r="U672" s="67"/>
    </row>
    <row r="673" ht="15.75" customHeight="1">
      <c r="K673" s="66"/>
      <c r="L673" s="66"/>
      <c r="M673" s="67"/>
      <c r="N673" s="67"/>
      <c r="O673" s="66"/>
      <c r="P673" s="66"/>
      <c r="Q673" s="67"/>
      <c r="R673" s="67"/>
      <c r="S673" s="67"/>
      <c r="T673" s="67"/>
      <c r="U673" s="67"/>
    </row>
    <row r="674" ht="15.75" customHeight="1">
      <c r="K674" s="66"/>
      <c r="L674" s="66"/>
      <c r="M674" s="67"/>
      <c r="N674" s="67"/>
      <c r="O674" s="66"/>
      <c r="P674" s="66"/>
      <c r="Q674" s="67"/>
      <c r="R674" s="67"/>
      <c r="S674" s="67"/>
      <c r="T674" s="67"/>
      <c r="U674" s="67"/>
    </row>
    <row r="675" ht="15.75" customHeight="1">
      <c r="K675" s="66"/>
      <c r="L675" s="66"/>
      <c r="M675" s="67"/>
      <c r="N675" s="67"/>
      <c r="O675" s="66"/>
      <c r="P675" s="66"/>
      <c r="Q675" s="67"/>
      <c r="R675" s="67"/>
      <c r="S675" s="67"/>
      <c r="T675" s="67"/>
      <c r="U675" s="67"/>
    </row>
    <row r="676" ht="15.75" customHeight="1">
      <c r="K676" s="66"/>
      <c r="L676" s="66"/>
      <c r="M676" s="67"/>
      <c r="N676" s="67"/>
      <c r="O676" s="66"/>
      <c r="P676" s="66"/>
      <c r="Q676" s="67"/>
      <c r="R676" s="67"/>
      <c r="S676" s="67"/>
      <c r="T676" s="67"/>
      <c r="U676" s="67"/>
    </row>
    <row r="677" ht="15.75" customHeight="1">
      <c r="K677" s="66"/>
      <c r="L677" s="66"/>
      <c r="M677" s="67"/>
      <c r="N677" s="67"/>
      <c r="O677" s="66"/>
      <c r="P677" s="66"/>
      <c r="Q677" s="67"/>
      <c r="R677" s="67"/>
      <c r="S677" s="67"/>
      <c r="T677" s="67"/>
      <c r="U677" s="67"/>
    </row>
    <row r="678" ht="15.75" customHeight="1">
      <c r="K678" s="66"/>
      <c r="L678" s="66"/>
      <c r="M678" s="67"/>
      <c r="N678" s="67"/>
      <c r="O678" s="66"/>
      <c r="P678" s="66"/>
      <c r="Q678" s="67"/>
      <c r="R678" s="67"/>
      <c r="S678" s="67"/>
      <c r="T678" s="67"/>
      <c r="U678" s="67"/>
    </row>
    <row r="679" ht="15.75" customHeight="1">
      <c r="K679" s="66"/>
      <c r="L679" s="66"/>
      <c r="M679" s="67"/>
      <c r="N679" s="67"/>
      <c r="O679" s="66"/>
      <c r="P679" s="66"/>
      <c r="Q679" s="67"/>
      <c r="R679" s="67"/>
      <c r="S679" s="67"/>
      <c r="T679" s="67"/>
      <c r="U679" s="67"/>
    </row>
    <row r="680" ht="15.75" customHeight="1">
      <c r="K680" s="66"/>
      <c r="L680" s="66"/>
      <c r="M680" s="67"/>
      <c r="N680" s="67"/>
      <c r="O680" s="66"/>
      <c r="P680" s="66"/>
      <c r="Q680" s="67"/>
      <c r="R680" s="67"/>
      <c r="S680" s="67"/>
      <c r="T680" s="67"/>
      <c r="U680" s="67"/>
    </row>
    <row r="681" ht="15.75" customHeight="1">
      <c r="K681" s="66"/>
      <c r="L681" s="66"/>
      <c r="M681" s="67"/>
      <c r="N681" s="67"/>
      <c r="O681" s="66"/>
      <c r="P681" s="66"/>
      <c r="Q681" s="67"/>
      <c r="R681" s="67"/>
      <c r="S681" s="67"/>
      <c r="T681" s="67"/>
      <c r="U681" s="67"/>
    </row>
    <row r="682" ht="15.75" customHeight="1">
      <c r="K682" s="66"/>
      <c r="L682" s="66"/>
      <c r="M682" s="67"/>
      <c r="N682" s="67"/>
      <c r="O682" s="66"/>
      <c r="P682" s="66"/>
      <c r="Q682" s="67"/>
      <c r="R682" s="67"/>
      <c r="S682" s="67"/>
      <c r="T682" s="67"/>
      <c r="U682" s="67"/>
    </row>
    <row r="683" ht="15.75" customHeight="1">
      <c r="K683" s="66"/>
      <c r="L683" s="66"/>
      <c r="M683" s="67"/>
      <c r="N683" s="67"/>
      <c r="O683" s="66"/>
      <c r="P683" s="66"/>
      <c r="Q683" s="67"/>
      <c r="R683" s="67"/>
      <c r="S683" s="67"/>
      <c r="T683" s="67"/>
      <c r="U683" s="67"/>
    </row>
    <row r="684" ht="15.75" customHeight="1">
      <c r="K684" s="66"/>
      <c r="L684" s="66"/>
      <c r="M684" s="67"/>
      <c r="N684" s="67"/>
      <c r="O684" s="66"/>
      <c r="P684" s="66"/>
      <c r="Q684" s="67"/>
      <c r="R684" s="67"/>
      <c r="S684" s="67"/>
      <c r="T684" s="67"/>
      <c r="U684" s="67"/>
    </row>
    <row r="685" ht="15.75" customHeight="1">
      <c r="K685" s="66"/>
      <c r="L685" s="66"/>
      <c r="M685" s="67"/>
      <c r="N685" s="67"/>
      <c r="O685" s="66"/>
      <c r="P685" s="66"/>
      <c r="Q685" s="67"/>
      <c r="R685" s="67"/>
      <c r="S685" s="67"/>
      <c r="T685" s="67"/>
      <c r="U685" s="67"/>
    </row>
    <row r="686" ht="15.75" customHeight="1">
      <c r="K686" s="66"/>
      <c r="L686" s="66"/>
      <c r="M686" s="67"/>
      <c r="N686" s="67"/>
      <c r="O686" s="66"/>
      <c r="P686" s="66"/>
      <c r="Q686" s="67"/>
      <c r="R686" s="67"/>
      <c r="S686" s="67"/>
      <c r="T686" s="67"/>
      <c r="U686" s="67"/>
    </row>
    <row r="687" ht="15.75" customHeight="1">
      <c r="K687" s="66"/>
      <c r="L687" s="66"/>
      <c r="M687" s="67"/>
      <c r="N687" s="67"/>
      <c r="O687" s="66"/>
      <c r="P687" s="66"/>
      <c r="Q687" s="67"/>
      <c r="R687" s="67"/>
      <c r="S687" s="67"/>
      <c r="T687" s="67"/>
      <c r="U687" s="67"/>
    </row>
    <row r="688" ht="15.75" customHeight="1">
      <c r="K688" s="66"/>
      <c r="L688" s="66"/>
      <c r="M688" s="67"/>
      <c r="N688" s="67"/>
      <c r="O688" s="66"/>
      <c r="P688" s="66"/>
      <c r="Q688" s="67"/>
      <c r="R688" s="67"/>
      <c r="S688" s="67"/>
      <c r="T688" s="67"/>
      <c r="U688" s="67"/>
    </row>
    <row r="689" ht="15.75" customHeight="1">
      <c r="K689" s="66"/>
      <c r="L689" s="66"/>
      <c r="M689" s="67"/>
      <c r="N689" s="67"/>
      <c r="O689" s="66"/>
      <c r="P689" s="66"/>
      <c r="Q689" s="67"/>
      <c r="R689" s="67"/>
      <c r="S689" s="67"/>
      <c r="T689" s="67"/>
      <c r="U689" s="67"/>
    </row>
    <row r="690" ht="15.75" customHeight="1">
      <c r="K690" s="66"/>
      <c r="L690" s="66"/>
      <c r="M690" s="67"/>
      <c r="N690" s="67"/>
      <c r="O690" s="66"/>
      <c r="P690" s="66"/>
      <c r="Q690" s="67"/>
      <c r="R690" s="67"/>
      <c r="S690" s="67"/>
      <c r="T690" s="67"/>
      <c r="U690" s="67"/>
    </row>
    <row r="691" ht="15.75" customHeight="1">
      <c r="K691" s="66"/>
      <c r="L691" s="66"/>
      <c r="M691" s="67"/>
      <c r="N691" s="67"/>
      <c r="O691" s="66"/>
      <c r="P691" s="66"/>
      <c r="Q691" s="67"/>
      <c r="R691" s="67"/>
      <c r="S691" s="67"/>
      <c r="T691" s="67"/>
      <c r="U691" s="67"/>
    </row>
    <row r="692" ht="15.75" customHeight="1">
      <c r="K692" s="66"/>
      <c r="L692" s="66"/>
      <c r="M692" s="67"/>
      <c r="N692" s="67"/>
      <c r="O692" s="66"/>
      <c r="P692" s="66"/>
      <c r="Q692" s="67"/>
      <c r="R692" s="67"/>
      <c r="S692" s="67"/>
      <c r="T692" s="67"/>
      <c r="U692" s="67"/>
    </row>
    <row r="693" ht="15.75" customHeight="1">
      <c r="K693" s="66"/>
      <c r="L693" s="66"/>
      <c r="M693" s="67"/>
      <c r="N693" s="67"/>
      <c r="O693" s="66"/>
      <c r="P693" s="66"/>
      <c r="Q693" s="67"/>
      <c r="R693" s="67"/>
      <c r="S693" s="67"/>
      <c r="T693" s="67"/>
      <c r="U693" s="67"/>
    </row>
    <row r="694" ht="15.75" customHeight="1">
      <c r="K694" s="66"/>
      <c r="L694" s="66"/>
      <c r="M694" s="67"/>
      <c r="N694" s="67"/>
      <c r="O694" s="66"/>
      <c r="P694" s="66"/>
      <c r="Q694" s="67"/>
      <c r="R694" s="67"/>
      <c r="S694" s="67"/>
      <c r="T694" s="67"/>
      <c r="U694" s="67"/>
    </row>
    <row r="695" ht="15.75" customHeight="1">
      <c r="K695" s="66"/>
      <c r="L695" s="66"/>
      <c r="M695" s="67"/>
      <c r="N695" s="67"/>
      <c r="O695" s="66"/>
      <c r="P695" s="66"/>
      <c r="Q695" s="67"/>
      <c r="R695" s="67"/>
      <c r="S695" s="67"/>
      <c r="T695" s="67"/>
      <c r="U695" s="67"/>
    </row>
    <row r="696" ht="15.75" customHeight="1">
      <c r="K696" s="66"/>
      <c r="L696" s="66"/>
      <c r="M696" s="67"/>
      <c r="N696" s="67"/>
      <c r="O696" s="66"/>
      <c r="P696" s="66"/>
      <c r="Q696" s="67"/>
      <c r="R696" s="67"/>
      <c r="S696" s="67"/>
      <c r="T696" s="67"/>
      <c r="U696" s="67"/>
    </row>
    <row r="697" ht="15.75" customHeight="1">
      <c r="K697" s="66"/>
      <c r="L697" s="66"/>
      <c r="M697" s="67"/>
      <c r="N697" s="67"/>
      <c r="O697" s="66"/>
      <c r="P697" s="66"/>
      <c r="Q697" s="67"/>
      <c r="R697" s="67"/>
      <c r="S697" s="67"/>
      <c r="T697" s="67"/>
      <c r="U697" s="67"/>
    </row>
    <row r="698" ht="15.75" customHeight="1">
      <c r="K698" s="66"/>
      <c r="L698" s="66"/>
      <c r="M698" s="67"/>
      <c r="N698" s="67"/>
      <c r="O698" s="66"/>
      <c r="P698" s="66"/>
      <c r="Q698" s="67"/>
      <c r="R698" s="67"/>
      <c r="S698" s="67"/>
      <c r="T698" s="67"/>
      <c r="U698" s="67"/>
    </row>
    <row r="699" ht="15.75" customHeight="1">
      <c r="K699" s="66"/>
      <c r="L699" s="66"/>
      <c r="M699" s="67"/>
      <c r="N699" s="67"/>
      <c r="O699" s="66"/>
      <c r="P699" s="66"/>
      <c r="Q699" s="67"/>
      <c r="R699" s="67"/>
      <c r="S699" s="67"/>
      <c r="T699" s="67"/>
      <c r="U699" s="67"/>
    </row>
    <row r="700" ht="15.75" customHeight="1">
      <c r="K700" s="66"/>
      <c r="L700" s="66"/>
      <c r="M700" s="67"/>
      <c r="N700" s="67"/>
      <c r="O700" s="66"/>
      <c r="P700" s="66"/>
      <c r="Q700" s="67"/>
      <c r="R700" s="67"/>
      <c r="S700" s="67"/>
      <c r="T700" s="67"/>
      <c r="U700" s="67"/>
    </row>
    <row r="701" ht="15.75" customHeight="1">
      <c r="K701" s="66"/>
      <c r="L701" s="66"/>
      <c r="M701" s="67"/>
      <c r="N701" s="67"/>
      <c r="O701" s="66"/>
      <c r="P701" s="66"/>
      <c r="Q701" s="67"/>
      <c r="R701" s="67"/>
      <c r="S701" s="67"/>
      <c r="T701" s="67"/>
      <c r="U701" s="67"/>
    </row>
    <row r="702" ht="15.75" customHeight="1">
      <c r="K702" s="66"/>
      <c r="L702" s="66"/>
      <c r="M702" s="67"/>
      <c r="N702" s="67"/>
      <c r="O702" s="66"/>
      <c r="P702" s="66"/>
      <c r="Q702" s="67"/>
      <c r="R702" s="67"/>
      <c r="S702" s="67"/>
      <c r="T702" s="67"/>
      <c r="U702" s="67"/>
    </row>
    <row r="703" ht="15.75" customHeight="1">
      <c r="K703" s="66"/>
      <c r="L703" s="66"/>
      <c r="M703" s="67"/>
      <c r="N703" s="67"/>
      <c r="O703" s="66"/>
      <c r="P703" s="66"/>
      <c r="Q703" s="67"/>
      <c r="R703" s="67"/>
      <c r="S703" s="67"/>
      <c r="T703" s="67"/>
      <c r="U703" s="67"/>
    </row>
    <row r="704" ht="15.75" customHeight="1">
      <c r="K704" s="66"/>
      <c r="L704" s="66"/>
      <c r="M704" s="67"/>
      <c r="N704" s="67"/>
      <c r="O704" s="66"/>
      <c r="P704" s="66"/>
      <c r="Q704" s="67"/>
      <c r="R704" s="67"/>
      <c r="S704" s="67"/>
      <c r="T704" s="67"/>
      <c r="U704" s="67"/>
    </row>
    <row r="705" ht="15.75" customHeight="1">
      <c r="K705" s="66"/>
      <c r="L705" s="66"/>
      <c r="M705" s="67"/>
      <c r="N705" s="67"/>
      <c r="O705" s="66"/>
      <c r="P705" s="66"/>
      <c r="Q705" s="67"/>
      <c r="R705" s="67"/>
      <c r="S705" s="67"/>
      <c r="T705" s="67"/>
      <c r="U705" s="67"/>
    </row>
    <row r="706" ht="15.75" customHeight="1">
      <c r="K706" s="66"/>
      <c r="L706" s="66"/>
      <c r="M706" s="67"/>
      <c r="N706" s="67"/>
      <c r="O706" s="66"/>
      <c r="P706" s="66"/>
      <c r="Q706" s="67"/>
      <c r="R706" s="67"/>
      <c r="S706" s="67"/>
      <c r="T706" s="67"/>
      <c r="U706" s="67"/>
    </row>
    <row r="707" ht="15.75" customHeight="1">
      <c r="K707" s="66"/>
      <c r="L707" s="66"/>
      <c r="M707" s="67"/>
      <c r="N707" s="67"/>
      <c r="O707" s="66"/>
      <c r="P707" s="66"/>
      <c r="Q707" s="67"/>
      <c r="R707" s="67"/>
      <c r="S707" s="67"/>
      <c r="T707" s="67"/>
      <c r="U707" s="67"/>
    </row>
    <row r="708" ht="15.75" customHeight="1">
      <c r="K708" s="66"/>
      <c r="L708" s="66"/>
      <c r="M708" s="67"/>
      <c r="N708" s="67"/>
      <c r="O708" s="66"/>
      <c r="P708" s="66"/>
      <c r="Q708" s="67"/>
      <c r="R708" s="67"/>
      <c r="S708" s="67"/>
      <c r="T708" s="67"/>
      <c r="U708" s="67"/>
    </row>
    <row r="709" ht="15.75" customHeight="1">
      <c r="K709" s="66"/>
      <c r="L709" s="66"/>
      <c r="M709" s="67"/>
      <c r="N709" s="67"/>
      <c r="O709" s="66"/>
      <c r="P709" s="66"/>
      <c r="Q709" s="67"/>
      <c r="R709" s="67"/>
      <c r="S709" s="67"/>
      <c r="T709" s="67"/>
      <c r="U709" s="67"/>
    </row>
    <row r="710" ht="15.75" customHeight="1">
      <c r="K710" s="66"/>
      <c r="L710" s="66"/>
      <c r="M710" s="67"/>
      <c r="N710" s="67"/>
      <c r="O710" s="66"/>
      <c r="P710" s="66"/>
      <c r="Q710" s="67"/>
      <c r="R710" s="67"/>
      <c r="S710" s="67"/>
      <c r="T710" s="67"/>
      <c r="U710" s="67"/>
    </row>
    <row r="711" ht="15.75" customHeight="1">
      <c r="K711" s="66"/>
      <c r="L711" s="66"/>
      <c r="M711" s="67"/>
      <c r="N711" s="67"/>
      <c r="O711" s="66"/>
      <c r="P711" s="66"/>
      <c r="Q711" s="67"/>
      <c r="R711" s="67"/>
      <c r="S711" s="67"/>
      <c r="T711" s="67"/>
      <c r="U711" s="67"/>
    </row>
    <row r="712" ht="15.75" customHeight="1">
      <c r="K712" s="66"/>
      <c r="L712" s="66"/>
      <c r="M712" s="67"/>
      <c r="N712" s="67"/>
      <c r="O712" s="66"/>
      <c r="P712" s="66"/>
      <c r="Q712" s="67"/>
      <c r="R712" s="67"/>
      <c r="S712" s="67"/>
      <c r="T712" s="67"/>
      <c r="U712" s="67"/>
    </row>
    <row r="713" ht="15.75" customHeight="1">
      <c r="K713" s="66"/>
      <c r="L713" s="66"/>
      <c r="M713" s="67"/>
      <c r="N713" s="67"/>
      <c r="O713" s="66"/>
      <c r="P713" s="66"/>
      <c r="Q713" s="67"/>
      <c r="R713" s="67"/>
      <c r="S713" s="67"/>
      <c r="T713" s="67"/>
      <c r="U713" s="67"/>
    </row>
    <row r="714" ht="15.75" customHeight="1">
      <c r="K714" s="66"/>
      <c r="L714" s="66"/>
      <c r="M714" s="67"/>
      <c r="N714" s="67"/>
      <c r="O714" s="66"/>
      <c r="P714" s="66"/>
      <c r="Q714" s="67"/>
      <c r="R714" s="67"/>
      <c r="S714" s="67"/>
      <c r="T714" s="67"/>
      <c r="U714" s="67"/>
    </row>
    <row r="715" ht="15.75" customHeight="1">
      <c r="K715" s="66"/>
      <c r="L715" s="66"/>
      <c r="M715" s="67"/>
      <c r="N715" s="67"/>
      <c r="O715" s="66"/>
      <c r="P715" s="66"/>
      <c r="Q715" s="67"/>
      <c r="R715" s="67"/>
      <c r="S715" s="67"/>
      <c r="T715" s="67"/>
      <c r="U715" s="67"/>
    </row>
    <row r="716" ht="15.75" customHeight="1">
      <c r="K716" s="66"/>
      <c r="L716" s="66"/>
      <c r="M716" s="67"/>
      <c r="N716" s="67"/>
      <c r="O716" s="66"/>
      <c r="P716" s="66"/>
      <c r="Q716" s="67"/>
      <c r="R716" s="67"/>
      <c r="S716" s="67"/>
      <c r="T716" s="67"/>
      <c r="U716" s="67"/>
    </row>
    <row r="717" ht="15.75" customHeight="1">
      <c r="K717" s="66"/>
      <c r="L717" s="66"/>
      <c r="M717" s="67"/>
      <c r="N717" s="67"/>
      <c r="O717" s="66"/>
      <c r="P717" s="66"/>
      <c r="Q717" s="67"/>
      <c r="R717" s="67"/>
      <c r="S717" s="67"/>
      <c r="T717" s="67"/>
      <c r="U717" s="67"/>
    </row>
    <row r="718" ht="15.75" customHeight="1">
      <c r="K718" s="66"/>
      <c r="L718" s="66"/>
      <c r="M718" s="67"/>
      <c r="N718" s="67"/>
      <c r="O718" s="66"/>
      <c r="P718" s="66"/>
      <c r="Q718" s="67"/>
      <c r="R718" s="67"/>
      <c r="S718" s="67"/>
      <c r="T718" s="67"/>
      <c r="U718" s="67"/>
    </row>
    <row r="719" ht="15.75" customHeight="1">
      <c r="K719" s="66"/>
      <c r="L719" s="66"/>
      <c r="M719" s="67"/>
      <c r="N719" s="67"/>
      <c r="O719" s="66"/>
      <c r="P719" s="66"/>
      <c r="Q719" s="67"/>
      <c r="R719" s="67"/>
      <c r="S719" s="67"/>
      <c r="T719" s="67"/>
      <c r="U719" s="67"/>
    </row>
    <row r="720" ht="15.75" customHeight="1">
      <c r="K720" s="66"/>
      <c r="L720" s="66"/>
      <c r="M720" s="67"/>
      <c r="N720" s="67"/>
      <c r="O720" s="66"/>
      <c r="P720" s="66"/>
      <c r="Q720" s="67"/>
      <c r="R720" s="67"/>
      <c r="S720" s="67"/>
      <c r="T720" s="67"/>
      <c r="U720" s="67"/>
    </row>
    <row r="721" ht="15.75" customHeight="1">
      <c r="K721" s="66"/>
      <c r="L721" s="66"/>
      <c r="M721" s="67"/>
      <c r="N721" s="67"/>
      <c r="O721" s="66"/>
      <c r="P721" s="66"/>
      <c r="Q721" s="67"/>
      <c r="R721" s="67"/>
      <c r="S721" s="67"/>
      <c r="T721" s="67"/>
      <c r="U721" s="67"/>
    </row>
    <row r="722" ht="15.75" customHeight="1">
      <c r="K722" s="66"/>
      <c r="L722" s="66"/>
      <c r="M722" s="67"/>
      <c r="N722" s="67"/>
      <c r="O722" s="66"/>
      <c r="P722" s="66"/>
      <c r="Q722" s="67"/>
      <c r="R722" s="67"/>
      <c r="S722" s="67"/>
      <c r="T722" s="67"/>
      <c r="U722" s="67"/>
    </row>
    <row r="723" ht="15.75" customHeight="1">
      <c r="K723" s="66"/>
      <c r="L723" s="66"/>
      <c r="M723" s="67"/>
      <c r="N723" s="67"/>
      <c r="O723" s="66"/>
      <c r="P723" s="66"/>
      <c r="Q723" s="67"/>
      <c r="R723" s="67"/>
      <c r="S723" s="67"/>
      <c r="T723" s="67"/>
      <c r="U723" s="67"/>
    </row>
    <row r="724" ht="15.75" customHeight="1">
      <c r="K724" s="66"/>
      <c r="L724" s="66"/>
      <c r="M724" s="67"/>
      <c r="N724" s="67"/>
      <c r="O724" s="66"/>
      <c r="P724" s="66"/>
      <c r="Q724" s="67"/>
      <c r="R724" s="67"/>
      <c r="S724" s="67"/>
      <c r="T724" s="67"/>
      <c r="U724" s="67"/>
    </row>
    <row r="725" ht="15.75" customHeight="1">
      <c r="K725" s="66"/>
      <c r="L725" s="66"/>
      <c r="M725" s="67"/>
      <c r="N725" s="67"/>
      <c r="O725" s="66"/>
      <c r="P725" s="66"/>
      <c r="Q725" s="67"/>
      <c r="R725" s="67"/>
      <c r="S725" s="67"/>
      <c r="T725" s="67"/>
      <c r="U725" s="67"/>
    </row>
    <row r="726" ht="15.75" customHeight="1">
      <c r="K726" s="66"/>
      <c r="L726" s="66"/>
      <c r="M726" s="67"/>
      <c r="N726" s="67"/>
      <c r="O726" s="66"/>
      <c r="P726" s="66"/>
      <c r="Q726" s="67"/>
      <c r="R726" s="67"/>
      <c r="S726" s="67"/>
      <c r="T726" s="67"/>
      <c r="U726" s="67"/>
    </row>
    <row r="727" ht="15.75" customHeight="1">
      <c r="K727" s="66"/>
      <c r="L727" s="66"/>
      <c r="M727" s="67"/>
      <c r="N727" s="67"/>
      <c r="O727" s="66"/>
      <c r="P727" s="66"/>
      <c r="Q727" s="67"/>
      <c r="R727" s="67"/>
      <c r="S727" s="67"/>
      <c r="T727" s="67"/>
      <c r="U727" s="67"/>
    </row>
    <row r="728" ht="15.75" customHeight="1">
      <c r="K728" s="66"/>
      <c r="L728" s="66"/>
      <c r="M728" s="67"/>
      <c r="N728" s="67"/>
      <c r="O728" s="66"/>
      <c r="P728" s="66"/>
      <c r="Q728" s="67"/>
      <c r="R728" s="67"/>
      <c r="S728" s="67"/>
      <c r="T728" s="67"/>
      <c r="U728" s="67"/>
    </row>
    <row r="729" ht="15.75" customHeight="1">
      <c r="K729" s="66"/>
      <c r="L729" s="66"/>
      <c r="M729" s="67"/>
      <c r="N729" s="67"/>
      <c r="O729" s="66"/>
      <c r="P729" s="66"/>
      <c r="Q729" s="67"/>
      <c r="R729" s="67"/>
      <c r="S729" s="67"/>
      <c r="T729" s="67"/>
      <c r="U729" s="67"/>
    </row>
    <row r="730" ht="15.75" customHeight="1">
      <c r="K730" s="66"/>
      <c r="L730" s="66"/>
      <c r="M730" s="67"/>
      <c r="N730" s="67"/>
      <c r="O730" s="66"/>
      <c r="P730" s="66"/>
      <c r="Q730" s="67"/>
      <c r="R730" s="67"/>
      <c r="S730" s="67"/>
      <c r="T730" s="67"/>
      <c r="U730" s="67"/>
    </row>
    <row r="731" ht="15.75" customHeight="1">
      <c r="K731" s="66"/>
      <c r="L731" s="66"/>
      <c r="M731" s="67"/>
      <c r="N731" s="67"/>
      <c r="O731" s="66"/>
      <c r="P731" s="66"/>
      <c r="Q731" s="67"/>
      <c r="R731" s="67"/>
      <c r="S731" s="67"/>
      <c r="T731" s="67"/>
      <c r="U731" s="67"/>
    </row>
    <row r="732" ht="15.75" customHeight="1">
      <c r="K732" s="66"/>
      <c r="L732" s="66"/>
      <c r="M732" s="67"/>
      <c r="N732" s="67"/>
      <c r="O732" s="66"/>
      <c r="P732" s="66"/>
      <c r="Q732" s="67"/>
      <c r="R732" s="67"/>
      <c r="S732" s="67"/>
      <c r="T732" s="67"/>
      <c r="U732" s="67"/>
    </row>
    <row r="733" ht="15.75" customHeight="1">
      <c r="K733" s="66"/>
      <c r="L733" s="66"/>
      <c r="M733" s="67"/>
      <c r="N733" s="67"/>
      <c r="O733" s="66"/>
      <c r="P733" s="66"/>
      <c r="Q733" s="67"/>
      <c r="R733" s="67"/>
      <c r="S733" s="67"/>
      <c r="T733" s="67"/>
      <c r="U733" s="67"/>
    </row>
    <row r="734" ht="15.75" customHeight="1">
      <c r="K734" s="66"/>
      <c r="L734" s="66"/>
      <c r="M734" s="67"/>
      <c r="N734" s="67"/>
      <c r="O734" s="66"/>
      <c r="P734" s="66"/>
      <c r="Q734" s="67"/>
      <c r="R734" s="67"/>
      <c r="S734" s="67"/>
      <c r="T734" s="67"/>
      <c r="U734" s="67"/>
    </row>
    <row r="735" ht="15.75" customHeight="1">
      <c r="K735" s="66"/>
      <c r="L735" s="66"/>
      <c r="M735" s="67"/>
      <c r="N735" s="67"/>
      <c r="O735" s="66"/>
      <c r="P735" s="66"/>
      <c r="Q735" s="67"/>
      <c r="R735" s="67"/>
      <c r="S735" s="67"/>
      <c r="T735" s="67"/>
      <c r="U735" s="67"/>
    </row>
    <row r="736" ht="15.75" customHeight="1">
      <c r="K736" s="66"/>
      <c r="L736" s="66"/>
      <c r="M736" s="67"/>
      <c r="N736" s="67"/>
      <c r="O736" s="66"/>
      <c r="P736" s="66"/>
      <c r="Q736" s="67"/>
      <c r="R736" s="67"/>
      <c r="S736" s="67"/>
      <c r="T736" s="67"/>
      <c r="U736" s="67"/>
    </row>
    <row r="737" ht="15.75" customHeight="1">
      <c r="K737" s="66"/>
      <c r="L737" s="66"/>
      <c r="M737" s="67"/>
      <c r="N737" s="67"/>
      <c r="O737" s="66"/>
      <c r="P737" s="66"/>
      <c r="Q737" s="67"/>
      <c r="R737" s="67"/>
      <c r="S737" s="67"/>
      <c r="T737" s="67"/>
      <c r="U737" s="67"/>
    </row>
    <row r="738" ht="15.75" customHeight="1">
      <c r="K738" s="66"/>
      <c r="L738" s="66"/>
      <c r="M738" s="67"/>
      <c r="N738" s="67"/>
      <c r="O738" s="66"/>
      <c r="P738" s="66"/>
      <c r="Q738" s="67"/>
      <c r="R738" s="67"/>
      <c r="S738" s="67"/>
      <c r="T738" s="67"/>
      <c r="U738" s="67"/>
    </row>
    <row r="739" ht="15.75" customHeight="1">
      <c r="K739" s="66"/>
      <c r="L739" s="66"/>
      <c r="M739" s="67"/>
      <c r="N739" s="67"/>
      <c r="O739" s="66"/>
      <c r="P739" s="66"/>
      <c r="Q739" s="67"/>
      <c r="R739" s="67"/>
      <c r="S739" s="67"/>
      <c r="T739" s="67"/>
      <c r="U739" s="67"/>
    </row>
    <row r="740" ht="15.75" customHeight="1">
      <c r="K740" s="66"/>
      <c r="L740" s="66"/>
      <c r="M740" s="67"/>
      <c r="N740" s="67"/>
      <c r="O740" s="66"/>
      <c r="P740" s="66"/>
      <c r="Q740" s="67"/>
      <c r="R740" s="67"/>
      <c r="S740" s="67"/>
      <c r="T740" s="67"/>
      <c r="U740" s="67"/>
    </row>
    <row r="741" ht="15.75" customHeight="1">
      <c r="K741" s="66"/>
      <c r="L741" s="66"/>
      <c r="M741" s="67"/>
      <c r="N741" s="67"/>
      <c r="O741" s="66"/>
      <c r="P741" s="66"/>
      <c r="Q741" s="67"/>
      <c r="R741" s="67"/>
      <c r="S741" s="67"/>
      <c r="T741" s="67"/>
      <c r="U741" s="67"/>
    </row>
    <row r="742" ht="15.75" customHeight="1">
      <c r="K742" s="66"/>
      <c r="L742" s="66"/>
      <c r="M742" s="67"/>
      <c r="N742" s="67"/>
      <c r="O742" s="66"/>
      <c r="P742" s="66"/>
      <c r="Q742" s="67"/>
      <c r="R742" s="67"/>
      <c r="S742" s="67"/>
      <c r="T742" s="67"/>
      <c r="U742" s="67"/>
    </row>
    <row r="743" ht="15.75" customHeight="1">
      <c r="K743" s="66"/>
      <c r="L743" s="66"/>
      <c r="M743" s="67"/>
      <c r="N743" s="67"/>
      <c r="O743" s="66"/>
      <c r="P743" s="66"/>
      <c r="Q743" s="67"/>
      <c r="R743" s="67"/>
      <c r="S743" s="67"/>
      <c r="T743" s="67"/>
      <c r="U743" s="67"/>
    </row>
    <row r="744" ht="15.75" customHeight="1">
      <c r="K744" s="66"/>
      <c r="L744" s="66"/>
      <c r="M744" s="67"/>
      <c r="N744" s="67"/>
      <c r="O744" s="66"/>
      <c r="P744" s="66"/>
      <c r="Q744" s="67"/>
      <c r="R744" s="67"/>
      <c r="S744" s="67"/>
      <c r="T744" s="67"/>
      <c r="U744" s="67"/>
    </row>
    <row r="745" ht="15.75" customHeight="1">
      <c r="K745" s="66"/>
      <c r="L745" s="66"/>
      <c r="M745" s="67"/>
      <c r="N745" s="67"/>
      <c r="O745" s="66"/>
      <c r="P745" s="66"/>
      <c r="Q745" s="67"/>
      <c r="R745" s="67"/>
      <c r="S745" s="67"/>
      <c r="T745" s="67"/>
      <c r="U745" s="67"/>
    </row>
    <row r="746" ht="15.75" customHeight="1">
      <c r="K746" s="66"/>
      <c r="L746" s="66"/>
      <c r="M746" s="67"/>
      <c r="N746" s="67"/>
      <c r="O746" s="66"/>
      <c r="P746" s="66"/>
      <c r="Q746" s="67"/>
      <c r="R746" s="67"/>
      <c r="S746" s="67"/>
      <c r="T746" s="67"/>
      <c r="U746" s="67"/>
    </row>
    <row r="747" ht="15.75" customHeight="1">
      <c r="K747" s="66"/>
      <c r="L747" s="66"/>
      <c r="M747" s="67"/>
      <c r="N747" s="67"/>
      <c r="O747" s="66"/>
      <c r="P747" s="66"/>
      <c r="Q747" s="67"/>
      <c r="R747" s="67"/>
      <c r="S747" s="67"/>
      <c r="T747" s="67"/>
      <c r="U747" s="67"/>
    </row>
    <row r="748" ht="15.75" customHeight="1">
      <c r="K748" s="66"/>
      <c r="L748" s="66"/>
      <c r="M748" s="67"/>
      <c r="N748" s="67"/>
      <c r="O748" s="66"/>
      <c r="P748" s="66"/>
      <c r="Q748" s="67"/>
      <c r="R748" s="67"/>
      <c r="S748" s="67"/>
      <c r="T748" s="67"/>
      <c r="U748" s="67"/>
    </row>
    <row r="749" ht="15.75" customHeight="1">
      <c r="K749" s="66"/>
      <c r="L749" s="66"/>
      <c r="M749" s="67"/>
      <c r="N749" s="67"/>
      <c r="O749" s="66"/>
      <c r="P749" s="66"/>
      <c r="Q749" s="67"/>
      <c r="R749" s="67"/>
      <c r="S749" s="67"/>
      <c r="T749" s="67"/>
      <c r="U749" s="67"/>
    </row>
    <row r="750" ht="15.75" customHeight="1">
      <c r="K750" s="66"/>
      <c r="L750" s="66"/>
      <c r="M750" s="67"/>
      <c r="N750" s="67"/>
      <c r="O750" s="66"/>
      <c r="P750" s="66"/>
      <c r="Q750" s="67"/>
      <c r="R750" s="67"/>
      <c r="S750" s="67"/>
      <c r="T750" s="67"/>
      <c r="U750" s="67"/>
    </row>
    <row r="751" ht="15.75" customHeight="1">
      <c r="K751" s="66"/>
      <c r="L751" s="66"/>
      <c r="M751" s="67"/>
      <c r="N751" s="67"/>
      <c r="O751" s="66"/>
      <c r="P751" s="66"/>
      <c r="Q751" s="67"/>
      <c r="R751" s="67"/>
      <c r="S751" s="67"/>
      <c r="T751" s="67"/>
      <c r="U751" s="67"/>
    </row>
    <row r="752" ht="15.75" customHeight="1">
      <c r="K752" s="66"/>
      <c r="L752" s="66"/>
      <c r="M752" s="67"/>
      <c r="N752" s="67"/>
      <c r="O752" s="66"/>
      <c r="P752" s="66"/>
      <c r="Q752" s="67"/>
      <c r="R752" s="67"/>
      <c r="S752" s="67"/>
      <c r="T752" s="67"/>
      <c r="U752" s="67"/>
    </row>
    <row r="753" ht="15.75" customHeight="1">
      <c r="K753" s="66"/>
      <c r="L753" s="66"/>
      <c r="M753" s="67"/>
      <c r="N753" s="67"/>
      <c r="O753" s="66"/>
      <c r="P753" s="66"/>
      <c r="Q753" s="67"/>
      <c r="R753" s="67"/>
      <c r="S753" s="67"/>
      <c r="T753" s="67"/>
      <c r="U753" s="67"/>
    </row>
    <row r="754" ht="15.75" customHeight="1">
      <c r="K754" s="66"/>
      <c r="L754" s="66"/>
      <c r="M754" s="67"/>
      <c r="N754" s="67"/>
      <c r="O754" s="66"/>
      <c r="P754" s="66"/>
      <c r="Q754" s="67"/>
      <c r="R754" s="67"/>
      <c r="S754" s="67"/>
      <c r="T754" s="67"/>
      <c r="U754" s="67"/>
    </row>
    <row r="755" ht="15.75" customHeight="1">
      <c r="K755" s="66"/>
      <c r="L755" s="66"/>
      <c r="M755" s="67"/>
      <c r="N755" s="67"/>
      <c r="O755" s="66"/>
      <c r="P755" s="66"/>
      <c r="Q755" s="67"/>
      <c r="R755" s="67"/>
      <c r="S755" s="67"/>
      <c r="T755" s="67"/>
      <c r="U755" s="67"/>
    </row>
    <row r="756" ht="15.75" customHeight="1">
      <c r="K756" s="66"/>
      <c r="L756" s="66"/>
      <c r="M756" s="67"/>
      <c r="N756" s="67"/>
      <c r="O756" s="66"/>
      <c r="P756" s="66"/>
      <c r="Q756" s="67"/>
      <c r="R756" s="67"/>
      <c r="S756" s="67"/>
      <c r="T756" s="67"/>
      <c r="U756" s="67"/>
    </row>
    <row r="757" ht="15.75" customHeight="1">
      <c r="K757" s="66"/>
      <c r="L757" s="66"/>
      <c r="M757" s="67"/>
      <c r="N757" s="67"/>
      <c r="O757" s="66"/>
      <c r="P757" s="66"/>
      <c r="Q757" s="67"/>
      <c r="R757" s="67"/>
      <c r="S757" s="67"/>
      <c r="T757" s="67"/>
      <c r="U757" s="67"/>
    </row>
    <row r="758" ht="15.75" customHeight="1">
      <c r="K758" s="66"/>
      <c r="L758" s="66"/>
      <c r="M758" s="67"/>
      <c r="N758" s="67"/>
      <c r="O758" s="66"/>
      <c r="P758" s="66"/>
      <c r="Q758" s="67"/>
      <c r="R758" s="67"/>
      <c r="S758" s="67"/>
      <c r="T758" s="67"/>
      <c r="U758" s="67"/>
    </row>
    <row r="759" ht="15.75" customHeight="1">
      <c r="K759" s="66"/>
      <c r="L759" s="66"/>
      <c r="M759" s="67"/>
      <c r="N759" s="67"/>
      <c r="O759" s="66"/>
      <c r="P759" s="66"/>
      <c r="Q759" s="67"/>
      <c r="R759" s="67"/>
      <c r="S759" s="67"/>
      <c r="T759" s="67"/>
      <c r="U759" s="67"/>
    </row>
    <row r="760" ht="15.75" customHeight="1">
      <c r="K760" s="66"/>
      <c r="L760" s="66"/>
      <c r="M760" s="67"/>
      <c r="N760" s="67"/>
      <c r="O760" s="66"/>
      <c r="P760" s="66"/>
      <c r="Q760" s="67"/>
      <c r="R760" s="67"/>
      <c r="S760" s="67"/>
      <c r="T760" s="67"/>
      <c r="U760" s="67"/>
    </row>
    <row r="761" ht="15.75" customHeight="1">
      <c r="K761" s="66"/>
      <c r="L761" s="66"/>
      <c r="M761" s="67"/>
      <c r="N761" s="67"/>
      <c r="O761" s="66"/>
      <c r="P761" s="66"/>
      <c r="Q761" s="67"/>
      <c r="R761" s="67"/>
      <c r="S761" s="67"/>
      <c r="T761" s="67"/>
      <c r="U761" s="67"/>
    </row>
    <row r="762" ht="15.75" customHeight="1">
      <c r="K762" s="66"/>
      <c r="L762" s="66"/>
      <c r="M762" s="67"/>
      <c r="N762" s="67"/>
      <c r="O762" s="66"/>
      <c r="P762" s="66"/>
      <c r="Q762" s="67"/>
      <c r="R762" s="67"/>
      <c r="S762" s="67"/>
      <c r="T762" s="67"/>
      <c r="U762" s="67"/>
    </row>
    <row r="763" ht="15.75" customHeight="1">
      <c r="K763" s="66"/>
      <c r="L763" s="66"/>
      <c r="M763" s="67"/>
      <c r="N763" s="67"/>
      <c r="O763" s="66"/>
      <c r="P763" s="66"/>
      <c r="Q763" s="67"/>
      <c r="R763" s="67"/>
      <c r="S763" s="67"/>
      <c r="T763" s="67"/>
      <c r="U763" s="67"/>
    </row>
    <row r="764" ht="15.75" customHeight="1">
      <c r="K764" s="66"/>
      <c r="L764" s="66"/>
      <c r="M764" s="67"/>
      <c r="N764" s="67"/>
      <c r="O764" s="66"/>
      <c r="P764" s="66"/>
      <c r="Q764" s="67"/>
      <c r="R764" s="67"/>
      <c r="S764" s="67"/>
      <c r="T764" s="67"/>
      <c r="U764" s="67"/>
    </row>
    <row r="765" ht="15.75" customHeight="1">
      <c r="K765" s="66"/>
      <c r="L765" s="66"/>
      <c r="M765" s="67"/>
      <c r="N765" s="67"/>
      <c r="O765" s="66"/>
      <c r="P765" s="66"/>
      <c r="Q765" s="67"/>
      <c r="R765" s="67"/>
      <c r="S765" s="67"/>
      <c r="T765" s="67"/>
      <c r="U765" s="67"/>
    </row>
    <row r="766" ht="15.75" customHeight="1">
      <c r="K766" s="66"/>
      <c r="L766" s="66"/>
      <c r="M766" s="67"/>
      <c r="N766" s="67"/>
      <c r="O766" s="66"/>
      <c r="P766" s="66"/>
      <c r="Q766" s="67"/>
      <c r="R766" s="67"/>
      <c r="S766" s="67"/>
      <c r="T766" s="67"/>
      <c r="U766" s="67"/>
    </row>
    <row r="767" ht="15.75" customHeight="1">
      <c r="K767" s="66"/>
      <c r="L767" s="66"/>
      <c r="M767" s="67"/>
      <c r="N767" s="67"/>
      <c r="O767" s="66"/>
      <c r="P767" s="66"/>
      <c r="Q767" s="67"/>
      <c r="R767" s="67"/>
      <c r="S767" s="67"/>
      <c r="T767" s="67"/>
      <c r="U767" s="67"/>
    </row>
    <row r="768" ht="15.75" customHeight="1">
      <c r="K768" s="66"/>
      <c r="L768" s="66"/>
      <c r="M768" s="67"/>
      <c r="N768" s="67"/>
      <c r="O768" s="66"/>
      <c r="P768" s="66"/>
      <c r="Q768" s="67"/>
      <c r="R768" s="67"/>
      <c r="S768" s="67"/>
      <c r="T768" s="67"/>
      <c r="U768" s="67"/>
    </row>
    <row r="769" ht="15.75" customHeight="1">
      <c r="K769" s="66"/>
      <c r="L769" s="66"/>
      <c r="M769" s="67"/>
      <c r="N769" s="67"/>
      <c r="O769" s="66"/>
      <c r="P769" s="66"/>
      <c r="Q769" s="67"/>
      <c r="R769" s="67"/>
      <c r="S769" s="67"/>
      <c r="T769" s="67"/>
      <c r="U769" s="67"/>
    </row>
    <row r="770" ht="15.75" customHeight="1">
      <c r="K770" s="66"/>
      <c r="L770" s="66"/>
      <c r="M770" s="67"/>
      <c r="N770" s="67"/>
      <c r="O770" s="66"/>
      <c r="P770" s="66"/>
      <c r="Q770" s="67"/>
      <c r="R770" s="67"/>
      <c r="S770" s="67"/>
      <c r="T770" s="67"/>
      <c r="U770" s="67"/>
    </row>
    <row r="771" ht="15.75" customHeight="1">
      <c r="K771" s="66"/>
      <c r="L771" s="66"/>
      <c r="M771" s="67"/>
      <c r="N771" s="67"/>
      <c r="O771" s="66"/>
      <c r="P771" s="66"/>
      <c r="Q771" s="67"/>
      <c r="R771" s="67"/>
      <c r="S771" s="67"/>
      <c r="T771" s="67"/>
      <c r="U771" s="67"/>
    </row>
    <row r="772" ht="15.75" customHeight="1">
      <c r="K772" s="66"/>
      <c r="L772" s="66"/>
      <c r="M772" s="67"/>
      <c r="N772" s="67"/>
      <c r="O772" s="66"/>
      <c r="P772" s="66"/>
      <c r="Q772" s="67"/>
      <c r="R772" s="67"/>
      <c r="S772" s="67"/>
      <c r="T772" s="67"/>
      <c r="U772" s="67"/>
    </row>
    <row r="773" ht="15.75" customHeight="1">
      <c r="K773" s="66"/>
      <c r="L773" s="66"/>
      <c r="M773" s="67"/>
      <c r="N773" s="67"/>
      <c r="O773" s="66"/>
      <c r="P773" s="66"/>
      <c r="Q773" s="67"/>
      <c r="R773" s="67"/>
      <c r="S773" s="67"/>
      <c r="T773" s="67"/>
      <c r="U773" s="67"/>
    </row>
    <row r="774" ht="15.75" customHeight="1">
      <c r="K774" s="66"/>
      <c r="L774" s="66"/>
      <c r="M774" s="67"/>
      <c r="N774" s="67"/>
      <c r="O774" s="66"/>
      <c r="P774" s="66"/>
      <c r="Q774" s="67"/>
      <c r="R774" s="67"/>
      <c r="S774" s="67"/>
      <c r="T774" s="67"/>
      <c r="U774" s="67"/>
    </row>
    <row r="775" ht="15.75" customHeight="1">
      <c r="K775" s="66"/>
      <c r="L775" s="66"/>
      <c r="M775" s="67"/>
      <c r="N775" s="67"/>
      <c r="O775" s="66"/>
      <c r="P775" s="66"/>
      <c r="Q775" s="67"/>
      <c r="R775" s="67"/>
      <c r="S775" s="67"/>
      <c r="T775" s="67"/>
      <c r="U775" s="67"/>
    </row>
    <row r="776" ht="15.75" customHeight="1">
      <c r="K776" s="66"/>
      <c r="L776" s="66"/>
      <c r="M776" s="67"/>
      <c r="N776" s="67"/>
      <c r="O776" s="66"/>
      <c r="P776" s="66"/>
      <c r="Q776" s="67"/>
      <c r="R776" s="67"/>
      <c r="S776" s="67"/>
      <c r="T776" s="67"/>
      <c r="U776" s="67"/>
    </row>
    <row r="777" ht="15.75" customHeight="1">
      <c r="K777" s="66"/>
      <c r="L777" s="66"/>
      <c r="M777" s="67"/>
      <c r="N777" s="67"/>
      <c r="O777" s="66"/>
      <c r="P777" s="66"/>
      <c r="Q777" s="67"/>
      <c r="R777" s="67"/>
      <c r="S777" s="67"/>
      <c r="T777" s="67"/>
      <c r="U777" s="67"/>
    </row>
    <row r="778" ht="15.75" customHeight="1">
      <c r="K778" s="66"/>
      <c r="L778" s="66"/>
      <c r="M778" s="67"/>
      <c r="N778" s="67"/>
      <c r="O778" s="66"/>
      <c r="P778" s="66"/>
      <c r="Q778" s="67"/>
      <c r="R778" s="67"/>
      <c r="S778" s="67"/>
      <c r="T778" s="67"/>
      <c r="U778" s="67"/>
    </row>
    <row r="779" ht="15.75" customHeight="1">
      <c r="K779" s="66"/>
      <c r="L779" s="66"/>
      <c r="M779" s="67"/>
      <c r="N779" s="67"/>
      <c r="O779" s="66"/>
      <c r="P779" s="66"/>
      <c r="Q779" s="67"/>
      <c r="R779" s="67"/>
      <c r="S779" s="67"/>
      <c r="T779" s="67"/>
      <c r="U779" s="67"/>
    </row>
    <row r="780" ht="15.75" customHeight="1">
      <c r="K780" s="66"/>
      <c r="L780" s="66"/>
      <c r="M780" s="67"/>
      <c r="N780" s="67"/>
      <c r="O780" s="66"/>
      <c r="P780" s="66"/>
      <c r="Q780" s="67"/>
      <c r="R780" s="67"/>
      <c r="S780" s="67"/>
      <c r="T780" s="67"/>
      <c r="U780" s="67"/>
    </row>
    <row r="781" ht="15.75" customHeight="1">
      <c r="K781" s="66"/>
      <c r="L781" s="66"/>
      <c r="M781" s="67"/>
      <c r="N781" s="67"/>
      <c r="O781" s="66"/>
      <c r="P781" s="66"/>
      <c r="Q781" s="67"/>
      <c r="R781" s="67"/>
      <c r="S781" s="67"/>
      <c r="T781" s="67"/>
      <c r="U781" s="67"/>
    </row>
    <row r="782" ht="15.75" customHeight="1">
      <c r="K782" s="66"/>
      <c r="L782" s="66"/>
      <c r="M782" s="67"/>
      <c r="N782" s="67"/>
      <c r="O782" s="66"/>
      <c r="P782" s="66"/>
      <c r="Q782" s="67"/>
      <c r="R782" s="67"/>
      <c r="S782" s="67"/>
      <c r="T782" s="67"/>
      <c r="U782" s="67"/>
    </row>
    <row r="783" ht="15.75" customHeight="1">
      <c r="K783" s="66"/>
      <c r="L783" s="66"/>
      <c r="M783" s="67"/>
      <c r="N783" s="67"/>
      <c r="O783" s="66"/>
      <c r="P783" s="66"/>
      <c r="Q783" s="67"/>
      <c r="R783" s="67"/>
      <c r="S783" s="67"/>
      <c r="T783" s="67"/>
      <c r="U783" s="67"/>
    </row>
    <row r="784" ht="15.75" customHeight="1">
      <c r="K784" s="66"/>
      <c r="L784" s="66"/>
      <c r="M784" s="67"/>
      <c r="N784" s="67"/>
      <c r="O784" s="66"/>
      <c r="P784" s="66"/>
      <c r="Q784" s="67"/>
      <c r="R784" s="67"/>
      <c r="S784" s="67"/>
      <c r="T784" s="67"/>
      <c r="U784" s="67"/>
    </row>
    <row r="785" ht="15.75" customHeight="1">
      <c r="K785" s="66"/>
      <c r="L785" s="66"/>
      <c r="M785" s="67"/>
      <c r="N785" s="67"/>
      <c r="O785" s="66"/>
      <c r="P785" s="66"/>
      <c r="Q785" s="67"/>
      <c r="R785" s="67"/>
      <c r="S785" s="67"/>
      <c r="T785" s="67"/>
      <c r="U785" s="67"/>
    </row>
    <row r="786" ht="15.75" customHeight="1">
      <c r="K786" s="66"/>
      <c r="L786" s="66"/>
      <c r="M786" s="67"/>
      <c r="N786" s="67"/>
      <c r="O786" s="66"/>
      <c r="P786" s="66"/>
      <c r="Q786" s="67"/>
      <c r="R786" s="67"/>
      <c r="S786" s="67"/>
      <c r="T786" s="67"/>
      <c r="U786" s="67"/>
    </row>
    <row r="787" ht="15.75" customHeight="1">
      <c r="K787" s="66"/>
      <c r="L787" s="66"/>
      <c r="M787" s="67"/>
      <c r="N787" s="67"/>
      <c r="O787" s="66"/>
      <c r="P787" s="66"/>
      <c r="Q787" s="67"/>
      <c r="R787" s="67"/>
      <c r="S787" s="67"/>
      <c r="T787" s="67"/>
      <c r="U787" s="67"/>
    </row>
    <row r="788" ht="15.75" customHeight="1">
      <c r="K788" s="66"/>
      <c r="L788" s="66"/>
      <c r="M788" s="67"/>
      <c r="N788" s="67"/>
      <c r="O788" s="66"/>
      <c r="P788" s="66"/>
      <c r="Q788" s="67"/>
      <c r="R788" s="67"/>
      <c r="S788" s="67"/>
      <c r="T788" s="67"/>
      <c r="U788" s="67"/>
    </row>
    <row r="789" ht="15.75" customHeight="1">
      <c r="K789" s="66"/>
      <c r="L789" s="66"/>
      <c r="M789" s="67"/>
      <c r="N789" s="67"/>
      <c r="O789" s="66"/>
      <c r="P789" s="66"/>
      <c r="Q789" s="67"/>
      <c r="R789" s="67"/>
      <c r="S789" s="67"/>
      <c r="T789" s="67"/>
      <c r="U789" s="67"/>
    </row>
    <row r="790" ht="15.75" customHeight="1">
      <c r="K790" s="66"/>
      <c r="L790" s="66"/>
      <c r="M790" s="67"/>
      <c r="N790" s="67"/>
      <c r="O790" s="66"/>
      <c r="P790" s="66"/>
      <c r="Q790" s="67"/>
      <c r="R790" s="67"/>
      <c r="S790" s="67"/>
      <c r="T790" s="67"/>
      <c r="U790" s="67"/>
    </row>
    <row r="791" ht="15.75" customHeight="1">
      <c r="K791" s="66"/>
      <c r="L791" s="66"/>
      <c r="M791" s="67"/>
      <c r="N791" s="67"/>
      <c r="O791" s="66"/>
      <c r="P791" s="66"/>
      <c r="Q791" s="67"/>
      <c r="R791" s="67"/>
      <c r="S791" s="67"/>
      <c r="T791" s="67"/>
      <c r="U791" s="67"/>
    </row>
    <row r="792" ht="15.75" customHeight="1">
      <c r="K792" s="66"/>
      <c r="L792" s="66"/>
      <c r="M792" s="67"/>
      <c r="N792" s="67"/>
      <c r="O792" s="66"/>
      <c r="P792" s="66"/>
      <c r="Q792" s="67"/>
      <c r="R792" s="67"/>
      <c r="S792" s="67"/>
      <c r="T792" s="67"/>
      <c r="U792" s="67"/>
    </row>
    <row r="793" ht="15.75" customHeight="1">
      <c r="K793" s="66"/>
      <c r="L793" s="66"/>
      <c r="M793" s="67"/>
      <c r="N793" s="67"/>
      <c r="O793" s="66"/>
      <c r="P793" s="66"/>
      <c r="Q793" s="67"/>
      <c r="R793" s="67"/>
      <c r="S793" s="67"/>
      <c r="T793" s="67"/>
      <c r="U793" s="67"/>
    </row>
    <row r="794" ht="15.75" customHeight="1">
      <c r="K794" s="66"/>
      <c r="L794" s="66"/>
      <c r="M794" s="67"/>
      <c r="N794" s="67"/>
      <c r="O794" s="66"/>
      <c r="P794" s="66"/>
      <c r="Q794" s="67"/>
      <c r="R794" s="67"/>
      <c r="S794" s="67"/>
      <c r="T794" s="67"/>
      <c r="U794" s="67"/>
    </row>
    <row r="795" ht="15.75" customHeight="1">
      <c r="K795" s="66"/>
      <c r="L795" s="66"/>
      <c r="M795" s="67"/>
      <c r="N795" s="67"/>
      <c r="O795" s="66"/>
      <c r="P795" s="66"/>
      <c r="Q795" s="67"/>
      <c r="R795" s="67"/>
      <c r="S795" s="67"/>
      <c r="T795" s="67"/>
      <c r="U795" s="67"/>
    </row>
    <row r="796" ht="15.75" customHeight="1">
      <c r="K796" s="66"/>
      <c r="L796" s="66"/>
      <c r="M796" s="67"/>
      <c r="N796" s="67"/>
      <c r="O796" s="66"/>
      <c r="P796" s="66"/>
      <c r="Q796" s="67"/>
      <c r="R796" s="67"/>
      <c r="S796" s="67"/>
      <c r="T796" s="67"/>
      <c r="U796" s="67"/>
    </row>
    <row r="797" ht="15.75" customHeight="1">
      <c r="K797" s="66"/>
      <c r="L797" s="66"/>
      <c r="M797" s="67"/>
      <c r="N797" s="67"/>
      <c r="O797" s="66"/>
      <c r="P797" s="66"/>
      <c r="Q797" s="67"/>
      <c r="R797" s="67"/>
      <c r="S797" s="67"/>
      <c r="T797" s="67"/>
      <c r="U797" s="67"/>
    </row>
    <row r="798" ht="15.75" customHeight="1">
      <c r="K798" s="66"/>
      <c r="L798" s="66"/>
      <c r="M798" s="67"/>
      <c r="N798" s="67"/>
      <c r="O798" s="66"/>
      <c r="P798" s="66"/>
      <c r="Q798" s="67"/>
      <c r="R798" s="67"/>
      <c r="S798" s="67"/>
      <c r="T798" s="67"/>
      <c r="U798" s="67"/>
    </row>
    <row r="799" ht="15.75" customHeight="1">
      <c r="K799" s="66"/>
      <c r="L799" s="66"/>
      <c r="M799" s="67"/>
      <c r="N799" s="67"/>
      <c r="O799" s="66"/>
      <c r="P799" s="66"/>
      <c r="Q799" s="67"/>
      <c r="R799" s="67"/>
      <c r="S799" s="67"/>
      <c r="T799" s="67"/>
      <c r="U799" s="67"/>
    </row>
    <row r="800" ht="15.75" customHeight="1">
      <c r="K800" s="66"/>
      <c r="L800" s="66"/>
      <c r="M800" s="67"/>
      <c r="N800" s="67"/>
      <c r="O800" s="66"/>
      <c r="P800" s="66"/>
      <c r="Q800" s="67"/>
      <c r="R800" s="67"/>
      <c r="S800" s="67"/>
      <c r="T800" s="67"/>
      <c r="U800" s="67"/>
    </row>
    <row r="801" ht="15.75" customHeight="1">
      <c r="K801" s="66"/>
      <c r="L801" s="66"/>
      <c r="M801" s="67"/>
      <c r="N801" s="67"/>
      <c r="O801" s="66"/>
      <c r="P801" s="66"/>
      <c r="Q801" s="67"/>
      <c r="R801" s="67"/>
      <c r="S801" s="67"/>
      <c r="T801" s="67"/>
      <c r="U801" s="67"/>
    </row>
    <row r="802" ht="15.75" customHeight="1">
      <c r="K802" s="66"/>
      <c r="L802" s="66"/>
      <c r="M802" s="67"/>
      <c r="N802" s="67"/>
      <c r="O802" s="66"/>
      <c r="P802" s="66"/>
      <c r="Q802" s="67"/>
      <c r="R802" s="67"/>
      <c r="S802" s="67"/>
      <c r="T802" s="67"/>
      <c r="U802" s="67"/>
    </row>
    <row r="803" ht="15.75" customHeight="1">
      <c r="K803" s="66"/>
      <c r="L803" s="66"/>
      <c r="M803" s="67"/>
      <c r="N803" s="67"/>
      <c r="O803" s="66"/>
      <c r="P803" s="66"/>
      <c r="Q803" s="67"/>
      <c r="R803" s="67"/>
      <c r="S803" s="67"/>
      <c r="T803" s="67"/>
      <c r="U803" s="67"/>
    </row>
    <row r="804" ht="15.75" customHeight="1">
      <c r="K804" s="66"/>
      <c r="L804" s="66"/>
      <c r="M804" s="67"/>
      <c r="N804" s="67"/>
      <c r="O804" s="66"/>
      <c r="P804" s="66"/>
      <c r="Q804" s="67"/>
      <c r="R804" s="67"/>
      <c r="S804" s="67"/>
      <c r="T804" s="67"/>
      <c r="U804" s="67"/>
    </row>
    <row r="805" ht="15.75" customHeight="1">
      <c r="K805" s="66"/>
      <c r="L805" s="66"/>
      <c r="M805" s="67"/>
      <c r="N805" s="67"/>
      <c r="O805" s="66"/>
      <c r="P805" s="66"/>
      <c r="Q805" s="67"/>
      <c r="R805" s="67"/>
      <c r="S805" s="67"/>
      <c r="T805" s="67"/>
      <c r="U805" s="67"/>
    </row>
    <row r="806" ht="15.75" customHeight="1">
      <c r="K806" s="66"/>
      <c r="L806" s="66"/>
      <c r="M806" s="67"/>
      <c r="N806" s="67"/>
      <c r="O806" s="66"/>
      <c r="P806" s="66"/>
      <c r="Q806" s="67"/>
      <c r="R806" s="67"/>
      <c r="S806" s="67"/>
      <c r="T806" s="67"/>
      <c r="U806" s="67"/>
    </row>
    <row r="807" ht="15.75" customHeight="1">
      <c r="K807" s="66"/>
      <c r="L807" s="66"/>
      <c r="M807" s="67"/>
      <c r="N807" s="67"/>
      <c r="O807" s="66"/>
      <c r="P807" s="66"/>
      <c r="Q807" s="67"/>
      <c r="R807" s="67"/>
      <c r="S807" s="67"/>
      <c r="T807" s="67"/>
      <c r="U807" s="67"/>
    </row>
    <row r="808" ht="15.75" customHeight="1">
      <c r="K808" s="66"/>
      <c r="L808" s="66"/>
      <c r="M808" s="67"/>
      <c r="N808" s="67"/>
      <c r="O808" s="66"/>
      <c r="P808" s="66"/>
      <c r="Q808" s="67"/>
      <c r="R808" s="67"/>
      <c r="S808" s="67"/>
      <c r="T808" s="67"/>
      <c r="U808" s="67"/>
    </row>
    <row r="809" ht="15.75" customHeight="1">
      <c r="K809" s="66"/>
      <c r="L809" s="66"/>
      <c r="M809" s="67"/>
      <c r="N809" s="67"/>
      <c r="O809" s="66"/>
      <c r="P809" s="66"/>
      <c r="Q809" s="67"/>
      <c r="R809" s="67"/>
      <c r="S809" s="67"/>
      <c r="T809" s="67"/>
      <c r="U809" s="67"/>
    </row>
    <row r="810" ht="15.75" customHeight="1">
      <c r="K810" s="66"/>
      <c r="L810" s="66"/>
      <c r="M810" s="67"/>
      <c r="N810" s="67"/>
      <c r="O810" s="66"/>
      <c r="P810" s="66"/>
      <c r="Q810" s="67"/>
      <c r="R810" s="67"/>
      <c r="S810" s="67"/>
      <c r="T810" s="67"/>
      <c r="U810" s="67"/>
    </row>
    <row r="811" ht="15.75" customHeight="1">
      <c r="K811" s="66"/>
      <c r="L811" s="66"/>
      <c r="M811" s="67"/>
      <c r="N811" s="67"/>
      <c r="O811" s="66"/>
      <c r="P811" s="66"/>
      <c r="Q811" s="67"/>
      <c r="R811" s="67"/>
      <c r="S811" s="67"/>
      <c r="T811" s="67"/>
      <c r="U811" s="67"/>
    </row>
    <row r="812" ht="15.75" customHeight="1">
      <c r="K812" s="66"/>
      <c r="L812" s="66"/>
      <c r="M812" s="67"/>
      <c r="N812" s="67"/>
      <c r="O812" s="66"/>
      <c r="P812" s="66"/>
      <c r="Q812" s="67"/>
      <c r="R812" s="67"/>
      <c r="S812" s="67"/>
      <c r="T812" s="67"/>
      <c r="U812" s="67"/>
    </row>
    <row r="813" ht="15.75" customHeight="1">
      <c r="K813" s="66"/>
      <c r="L813" s="66"/>
      <c r="M813" s="67"/>
      <c r="N813" s="67"/>
      <c r="O813" s="66"/>
      <c r="P813" s="66"/>
      <c r="Q813" s="67"/>
      <c r="R813" s="67"/>
      <c r="S813" s="67"/>
      <c r="T813" s="67"/>
      <c r="U813" s="67"/>
    </row>
    <row r="814" ht="15.75" customHeight="1">
      <c r="K814" s="66"/>
      <c r="L814" s="66"/>
      <c r="M814" s="67"/>
      <c r="N814" s="67"/>
      <c r="O814" s="66"/>
      <c r="P814" s="66"/>
      <c r="Q814" s="67"/>
      <c r="R814" s="67"/>
      <c r="S814" s="67"/>
      <c r="T814" s="67"/>
      <c r="U814" s="67"/>
    </row>
    <row r="815" ht="15.75" customHeight="1">
      <c r="K815" s="66"/>
      <c r="L815" s="66"/>
      <c r="M815" s="67"/>
      <c r="N815" s="67"/>
      <c r="O815" s="66"/>
      <c r="P815" s="66"/>
      <c r="Q815" s="67"/>
      <c r="R815" s="67"/>
      <c r="S815" s="67"/>
      <c r="T815" s="67"/>
      <c r="U815" s="67"/>
    </row>
    <row r="816" ht="15.75" customHeight="1">
      <c r="K816" s="66"/>
      <c r="L816" s="66"/>
      <c r="M816" s="67"/>
      <c r="N816" s="67"/>
      <c r="O816" s="66"/>
      <c r="P816" s="66"/>
      <c r="Q816" s="67"/>
      <c r="R816" s="67"/>
      <c r="S816" s="67"/>
      <c r="T816" s="67"/>
      <c r="U816" s="67"/>
    </row>
    <row r="817" ht="15.75" customHeight="1">
      <c r="K817" s="66"/>
      <c r="L817" s="66"/>
      <c r="M817" s="67"/>
      <c r="N817" s="67"/>
      <c r="O817" s="66"/>
      <c r="P817" s="66"/>
      <c r="Q817" s="67"/>
      <c r="R817" s="67"/>
      <c r="S817" s="67"/>
      <c r="T817" s="67"/>
      <c r="U817" s="67"/>
    </row>
    <row r="818" ht="15.75" customHeight="1">
      <c r="K818" s="66"/>
      <c r="L818" s="66"/>
      <c r="M818" s="67"/>
      <c r="N818" s="67"/>
      <c r="O818" s="66"/>
      <c r="P818" s="66"/>
      <c r="Q818" s="67"/>
      <c r="R818" s="67"/>
      <c r="S818" s="67"/>
      <c r="T818" s="67"/>
      <c r="U818" s="67"/>
    </row>
    <row r="819" ht="15.75" customHeight="1">
      <c r="K819" s="66"/>
      <c r="L819" s="66"/>
      <c r="M819" s="67"/>
      <c r="N819" s="67"/>
      <c r="O819" s="66"/>
      <c r="P819" s="66"/>
      <c r="Q819" s="67"/>
      <c r="R819" s="67"/>
      <c r="S819" s="67"/>
      <c r="T819" s="67"/>
      <c r="U819" s="67"/>
    </row>
    <row r="820" ht="15.75" customHeight="1">
      <c r="K820" s="66"/>
      <c r="L820" s="66"/>
      <c r="M820" s="67"/>
      <c r="N820" s="67"/>
      <c r="O820" s="66"/>
      <c r="P820" s="66"/>
      <c r="Q820" s="67"/>
      <c r="R820" s="67"/>
      <c r="S820" s="67"/>
      <c r="T820" s="67"/>
      <c r="U820" s="67"/>
    </row>
    <row r="821" ht="15.75" customHeight="1">
      <c r="K821" s="66"/>
      <c r="L821" s="66"/>
      <c r="M821" s="67"/>
      <c r="N821" s="67"/>
      <c r="O821" s="66"/>
      <c r="P821" s="66"/>
      <c r="Q821" s="67"/>
      <c r="R821" s="67"/>
      <c r="S821" s="67"/>
      <c r="T821" s="67"/>
      <c r="U821" s="67"/>
    </row>
    <row r="822" ht="15.75" customHeight="1">
      <c r="K822" s="66"/>
      <c r="L822" s="66"/>
      <c r="M822" s="67"/>
      <c r="N822" s="67"/>
      <c r="O822" s="66"/>
      <c r="P822" s="66"/>
      <c r="Q822" s="67"/>
      <c r="R822" s="67"/>
      <c r="S822" s="67"/>
      <c r="T822" s="67"/>
      <c r="U822" s="67"/>
    </row>
    <row r="823" ht="15.75" customHeight="1">
      <c r="K823" s="66"/>
      <c r="L823" s="66"/>
      <c r="M823" s="67"/>
      <c r="N823" s="67"/>
      <c r="O823" s="66"/>
      <c r="P823" s="66"/>
      <c r="Q823" s="67"/>
      <c r="R823" s="67"/>
      <c r="S823" s="67"/>
      <c r="T823" s="67"/>
      <c r="U823" s="67"/>
    </row>
    <row r="824" ht="15.75" customHeight="1">
      <c r="K824" s="66"/>
      <c r="L824" s="66"/>
      <c r="M824" s="67"/>
      <c r="N824" s="67"/>
      <c r="O824" s="66"/>
      <c r="P824" s="66"/>
      <c r="Q824" s="67"/>
      <c r="R824" s="67"/>
      <c r="S824" s="67"/>
      <c r="T824" s="67"/>
      <c r="U824" s="67"/>
    </row>
    <row r="825" ht="15.75" customHeight="1">
      <c r="K825" s="66"/>
      <c r="L825" s="66"/>
      <c r="M825" s="67"/>
      <c r="N825" s="67"/>
      <c r="O825" s="66"/>
      <c r="P825" s="66"/>
      <c r="Q825" s="67"/>
      <c r="R825" s="67"/>
      <c r="S825" s="67"/>
      <c r="T825" s="67"/>
      <c r="U825" s="67"/>
    </row>
    <row r="826" ht="15.75" customHeight="1">
      <c r="K826" s="66"/>
      <c r="L826" s="66"/>
      <c r="M826" s="67"/>
      <c r="N826" s="67"/>
      <c r="O826" s="66"/>
      <c r="P826" s="66"/>
      <c r="Q826" s="67"/>
      <c r="R826" s="67"/>
      <c r="S826" s="67"/>
      <c r="T826" s="67"/>
      <c r="U826" s="67"/>
    </row>
    <row r="827" ht="15.75" customHeight="1">
      <c r="K827" s="66"/>
      <c r="L827" s="66"/>
      <c r="M827" s="67"/>
      <c r="N827" s="67"/>
      <c r="O827" s="66"/>
      <c r="P827" s="66"/>
      <c r="Q827" s="67"/>
      <c r="R827" s="67"/>
      <c r="S827" s="67"/>
      <c r="T827" s="67"/>
      <c r="U827" s="67"/>
    </row>
    <row r="828" ht="15.75" customHeight="1">
      <c r="K828" s="66"/>
      <c r="L828" s="66"/>
      <c r="M828" s="67"/>
      <c r="N828" s="67"/>
      <c r="O828" s="66"/>
      <c r="P828" s="66"/>
      <c r="Q828" s="67"/>
      <c r="R828" s="67"/>
      <c r="S828" s="67"/>
      <c r="T828" s="67"/>
      <c r="U828" s="67"/>
    </row>
    <row r="829" ht="15.75" customHeight="1">
      <c r="K829" s="66"/>
      <c r="L829" s="66"/>
      <c r="M829" s="67"/>
      <c r="N829" s="67"/>
      <c r="O829" s="66"/>
      <c r="P829" s="66"/>
      <c r="Q829" s="67"/>
      <c r="R829" s="67"/>
      <c r="S829" s="67"/>
      <c r="T829" s="67"/>
      <c r="U829" s="67"/>
    </row>
    <row r="830" ht="15.75" customHeight="1">
      <c r="K830" s="66"/>
      <c r="L830" s="66"/>
      <c r="M830" s="67"/>
      <c r="N830" s="67"/>
      <c r="O830" s="66"/>
      <c r="P830" s="66"/>
      <c r="Q830" s="67"/>
      <c r="R830" s="67"/>
      <c r="S830" s="67"/>
      <c r="T830" s="67"/>
      <c r="U830" s="67"/>
    </row>
    <row r="831" ht="15.75" customHeight="1">
      <c r="K831" s="66"/>
      <c r="L831" s="66"/>
      <c r="M831" s="67"/>
      <c r="N831" s="67"/>
      <c r="O831" s="66"/>
      <c r="P831" s="66"/>
      <c r="Q831" s="67"/>
      <c r="R831" s="67"/>
      <c r="S831" s="67"/>
      <c r="T831" s="67"/>
      <c r="U831" s="67"/>
    </row>
    <row r="832" ht="15.75" customHeight="1">
      <c r="K832" s="66"/>
      <c r="L832" s="66"/>
      <c r="M832" s="67"/>
      <c r="N832" s="67"/>
      <c r="O832" s="66"/>
      <c r="P832" s="66"/>
      <c r="Q832" s="67"/>
      <c r="R832" s="67"/>
      <c r="S832" s="67"/>
      <c r="T832" s="67"/>
      <c r="U832" s="67"/>
    </row>
    <row r="833" ht="15.75" customHeight="1">
      <c r="K833" s="66"/>
      <c r="L833" s="66"/>
      <c r="M833" s="67"/>
      <c r="N833" s="67"/>
      <c r="O833" s="66"/>
      <c r="P833" s="66"/>
      <c r="Q833" s="67"/>
      <c r="R833" s="67"/>
      <c r="S833" s="67"/>
      <c r="T833" s="67"/>
      <c r="U833" s="67"/>
    </row>
    <row r="834" ht="15.75" customHeight="1">
      <c r="K834" s="66"/>
      <c r="L834" s="66"/>
      <c r="M834" s="67"/>
      <c r="N834" s="67"/>
      <c r="O834" s="66"/>
      <c r="P834" s="66"/>
      <c r="Q834" s="67"/>
      <c r="R834" s="67"/>
      <c r="S834" s="67"/>
      <c r="T834" s="67"/>
      <c r="U834" s="67"/>
    </row>
    <row r="835" ht="15.75" customHeight="1">
      <c r="K835" s="66"/>
      <c r="L835" s="66"/>
      <c r="M835" s="67"/>
      <c r="N835" s="67"/>
      <c r="O835" s="66"/>
      <c r="P835" s="66"/>
      <c r="Q835" s="67"/>
      <c r="R835" s="67"/>
      <c r="S835" s="67"/>
      <c r="T835" s="67"/>
      <c r="U835" s="67"/>
    </row>
    <row r="836" ht="15.75" customHeight="1">
      <c r="K836" s="66"/>
      <c r="L836" s="66"/>
      <c r="M836" s="67"/>
      <c r="N836" s="67"/>
      <c r="O836" s="66"/>
      <c r="P836" s="66"/>
      <c r="Q836" s="67"/>
      <c r="R836" s="67"/>
      <c r="S836" s="67"/>
      <c r="T836" s="67"/>
      <c r="U836" s="67"/>
    </row>
    <row r="837" ht="15.75" customHeight="1">
      <c r="K837" s="66"/>
      <c r="L837" s="66"/>
      <c r="M837" s="67"/>
      <c r="N837" s="67"/>
      <c r="O837" s="66"/>
      <c r="P837" s="66"/>
      <c r="Q837" s="67"/>
      <c r="R837" s="67"/>
      <c r="S837" s="67"/>
      <c r="T837" s="67"/>
      <c r="U837" s="67"/>
    </row>
    <row r="838" ht="15.75" customHeight="1">
      <c r="K838" s="66"/>
      <c r="L838" s="66"/>
      <c r="M838" s="67"/>
      <c r="N838" s="67"/>
      <c r="O838" s="66"/>
      <c r="P838" s="66"/>
      <c r="Q838" s="67"/>
      <c r="R838" s="67"/>
      <c r="S838" s="67"/>
      <c r="T838" s="67"/>
      <c r="U838" s="67"/>
    </row>
    <row r="839" ht="15.75" customHeight="1">
      <c r="K839" s="66"/>
      <c r="L839" s="66"/>
      <c r="M839" s="67"/>
      <c r="N839" s="67"/>
      <c r="O839" s="66"/>
      <c r="P839" s="66"/>
      <c r="Q839" s="67"/>
      <c r="R839" s="67"/>
      <c r="S839" s="67"/>
      <c r="T839" s="67"/>
      <c r="U839" s="67"/>
    </row>
    <row r="840" ht="15.75" customHeight="1">
      <c r="K840" s="66"/>
      <c r="L840" s="66"/>
      <c r="M840" s="67"/>
      <c r="N840" s="67"/>
      <c r="O840" s="66"/>
      <c r="P840" s="66"/>
      <c r="Q840" s="67"/>
      <c r="R840" s="67"/>
      <c r="S840" s="67"/>
      <c r="T840" s="67"/>
      <c r="U840" s="67"/>
    </row>
    <row r="841" ht="15.75" customHeight="1">
      <c r="K841" s="66"/>
      <c r="L841" s="66"/>
      <c r="M841" s="67"/>
      <c r="N841" s="67"/>
      <c r="O841" s="66"/>
      <c r="P841" s="66"/>
      <c r="Q841" s="67"/>
      <c r="R841" s="67"/>
      <c r="S841" s="67"/>
      <c r="T841" s="67"/>
      <c r="U841" s="67"/>
    </row>
    <row r="842" ht="15.75" customHeight="1">
      <c r="K842" s="66"/>
      <c r="L842" s="66"/>
      <c r="M842" s="67"/>
      <c r="N842" s="67"/>
      <c r="O842" s="66"/>
      <c r="P842" s="66"/>
      <c r="Q842" s="67"/>
      <c r="R842" s="67"/>
      <c r="S842" s="67"/>
      <c r="T842" s="67"/>
      <c r="U842" s="67"/>
    </row>
    <row r="843" ht="15.75" customHeight="1">
      <c r="K843" s="66"/>
      <c r="L843" s="66"/>
      <c r="M843" s="67"/>
      <c r="N843" s="67"/>
      <c r="O843" s="66"/>
      <c r="P843" s="66"/>
      <c r="Q843" s="67"/>
      <c r="R843" s="67"/>
      <c r="S843" s="67"/>
      <c r="T843" s="67"/>
      <c r="U843" s="67"/>
    </row>
    <row r="844" ht="15.75" customHeight="1">
      <c r="K844" s="66"/>
      <c r="L844" s="66"/>
      <c r="M844" s="67"/>
      <c r="N844" s="67"/>
      <c r="O844" s="66"/>
      <c r="P844" s="66"/>
      <c r="Q844" s="67"/>
      <c r="R844" s="67"/>
      <c r="S844" s="67"/>
      <c r="T844" s="67"/>
      <c r="U844" s="67"/>
    </row>
    <row r="845" ht="15.75" customHeight="1">
      <c r="K845" s="66"/>
      <c r="L845" s="66"/>
      <c r="M845" s="67"/>
      <c r="N845" s="67"/>
      <c r="O845" s="66"/>
      <c r="P845" s="66"/>
      <c r="Q845" s="67"/>
      <c r="R845" s="67"/>
      <c r="S845" s="67"/>
      <c r="T845" s="67"/>
      <c r="U845" s="67"/>
    </row>
    <row r="846" ht="15.75" customHeight="1">
      <c r="K846" s="66"/>
      <c r="L846" s="66"/>
      <c r="M846" s="67"/>
      <c r="N846" s="67"/>
      <c r="O846" s="66"/>
      <c r="P846" s="66"/>
      <c r="Q846" s="67"/>
      <c r="R846" s="67"/>
      <c r="S846" s="67"/>
      <c r="T846" s="67"/>
      <c r="U846" s="67"/>
    </row>
    <row r="847" ht="15.75" customHeight="1">
      <c r="K847" s="66"/>
      <c r="L847" s="66"/>
      <c r="M847" s="67"/>
      <c r="N847" s="67"/>
      <c r="O847" s="66"/>
      <c r="P847" s="66"/>
      <c r="Q847" s="67"/>
      <c r="R847" s="67"/>
      <c r="S847" s="67"/>
      <c r="T847" s="67"/>
      <c r="U847" s="67"/>
    </row>
    <row r="848" ht="15.75" customHeight="1">
      <c r="K848" s="66"/>
      <c r="L848" s="66"/>
      <c r="M848" s="67"/>
      <c r="N848" s="67"/>
      <c r="O848" s="66"/>
      <c r="P848" s="66"/>
      <c r="Q848" s="67"/>
      <c r="R848" s="67"/>
      <c r="S848" s="67"/>
      <c r="T848" s="67"/>
      <c r="U848" s="67"/>
    </row>
    <row r="849" ht="15.75" customHeight="1">
      <c r="K849" s="66"/>
      <c r="L849" s="66"/>
      <c r="M849" s="67"/>
      <c r="N849" s="67"/>
      <c r="O849" s="66"/>
      <c r="P849" s="66"/>
      <c r="Q849" s="67"/>
      <c r="R849" s="67"/>
      <c r="S849" s="67"/>
      <c r="T849" s="67"/>
      <c r="U849" s="67"/>
    </row>
    <row r="850" ht="15.75" customHeight="1">
      <c r="K850" s="66"/>
      <c r="L850" s="66"/>
      <c r="M850" s="67"/>
      <c r="N850" s="67"/>
      <c r="O850" s="66"/>
      <c r="P850" s="66"/>
      <c r="Q850" s="67"/>
      <c r="R850" s="67"/>
      <c r="S850" s="67"/>
      <c r="T850" s="67"/>
      <c r="U850" s="67"/>
    </row>
    <row r="851" ht="15.75" customHeight="1">
      <c r="K851" s="66"/>
      <c r="L851" s="66"/>
      <c r="M851" s="67"/>
      <c r="N851" s="67"/>
      <c r="O851" s="66"/>
      <c r="P851" s="66"/>
      <c r="Q851" s="67"/>
      <c r="R851" s="67"/>
      <c r="S851" s="67"/>
      <c r="T851" s="67"/>
      <c r="U851" s="67"/>
    </row>
    <row r="852" ht="15.75" customHeight="1">
      <c r="K852" s="66"/>
      <c r="L852" s="66"/>
      <c r="M852" s="67"/>
      <c r="N852" s="67"/>
      <c r="O852" s="66"/>
      <c r="P852" s="66"/>
      <c r="Q852" s="67"/>
      <c r="R852" s="67"/>
      <c r="S852" s="67"/>
      <c r="T852" s="67"/>
      <c r="U852" s="67"/>
    </row>
    <row r="853" ht="15.75" customHeight="1">
      <c r="K853" s="66"/>
      <c r="L853" s="66"/>
      <c r="M853" s="67"/>
      <c r="N853" s="67"/>
      <c r="O853" s="66"/>
      <c r="P853" s="66"/>
      <c r="Q853" s="67"/>
      <c r="R853" s="67"/>
      <c r="S853" s="67"/>
      <c r="T853" s="67"/>
      <c r="U853" s="67"/>
    </row>
    <row r="854" ht="15.75" customHeight="1">
      <c r="K854" s="66"/>
      <c r="L854" s="66"/>
      <c r="M854" s="67"/>
      <c r="N854" s="67"/>
      <c r="O854" s="66"/>
      <c r="P854" s="66"/>
      <c r="Q854" s="67"/>
      <c r="R854" s="67"/>
      <c r="S854" s="67"/>
      <c r="T854" s="67"/>
      <c r="U854" s="67"/>
    </row>
    <row r="855" ht="15.75" customHeight="1">
      <c r="K855" s="66"/>
      <c r="L855" s="66"/>
      <c r="M855" s="67"/>
      <c r="N855" s="67"/>
      <c r="O855" s="66"/>
      <c r="P855" s="66"/>
      <c r="Q855" s="67"/>
      <c r="R855" s="67"/>
      <c r="S855" s="67"/>
      <c r="T855" s="67"/>
      <c r="U855" s="67"/>
    </row>
    <row r="856" ht="15.75" customHeight="1">
      <c r="K856" s="66"/>
      <c r="L856" s="66"/>
      <c r="M856" s="67"/>
      <c r="N856" s="67"/>
      <c r="O856" s="66"/>
      <c r="P856" s="66"/>
      <c r="Q856" s="67"/>
      <c r="R856" s="67"/>
      <c r="S856" s="67"/>
      <c r="T856" s="67"/>
      <c r="U856" s="67"/>
    </row>
    <row r="857" ht="15.75" customHeight="1">
      <c r="K857" s="66"/>
      <c r="L857" s="66"/>
      <c r="M857" s="67"/>
      <c r="N857" s="67"/>
      <c r="O857" s="66"/>
      <c r="P857" s="66"/>
      <c r="Q857" s="67"/>
      <c r="R857" s="67"/>
      <c r="S857" s="67"/>
      <c r="T857" s="67"/>
      <c r="U857" s="67"/>
    </row>
    <row r="858" ht="15.75" customHeight="1">
      <c r="K858" s="66"/>
      <c r="L858" s="66"/>
      <c r="M858" s="67"/>
      <c r="N858" s="67"/>
      <c r="O858" s="66"/>
      <c r="P858" s="66"/>
      <c r="Q858" s="67"/>
      <c r="R858" s="67"/>
      <c r="S858" s="67"/>
      <c r="T858" s="67"/>
      <c r="U858" s="67"/>
    </row>
    <row r="859" ht="15.75" customHeight="1">
      <c r="K859" s="66"/>
      <c r="L859" s="66"/>
      <c r="M859" s="67"/>
      <c r="N859" s="67"/>
      <c r="O859" s="66"/>
      <c r="P859" s="66"/>
      <c r="Q859" s="67"/>
      <c r="R859" s="67"/>
      <c r="S859" s="67"/>
      <c r="T859" s="67"/>
      <c r="U859" s="67"/>
    </row>
    <row r="860" ht="15.75" customHeight="1">
      <c r="K860" s="66"/>
      <c r="L860" s="66"/>
      <c r="M860" s="67"/>
      <c r="N860" s="67"/>
      <c r="O860" s="66"/>
      <c r="P860" s="66"/>
      <c r="Q860" s="67"/>
      <c r="R860" s="67"/>
      <c r="S860" s="67"/>
      <c r="T860" s="67"/>
      <c r="U860" s="67"/>
    </row>
    <row r="861" ht="15.75" customHeight="1">
      <c r="K861" s="66"/>
      <c r="L861" s="66"/>
      <c r="M861" s="67"/>
      <c r="N861" s="67"/>
      <c r="O861" s="66"/>
      <c r="P861" s="66"/>
      <c r="Q861" s="67"/>
      <c r="R861" s="67"/>
      <c r="S861" s="67"/>
      <c r="T861" s="67"/>
      <c r="U861" s="67"/>
    </row>
    <row r="862" ht="15.75" customHeight="1">
      <c r="K862" s="66"/>
      <c r="L862" s="66"/>
      <c r="M862" s="67"/>
      <c r="N862" s="67"/>
      <c r="O862" s="66"/>
      <c r="P862" s="66"/>
      <c r="Q862" s="67"/>
      <c r="R862" s="67"/>
      <c r="S862" s="67"/>
      <c r="T862" s="67"/>
      <c r="U862" s="67"/>
    </row>
    <row r="863" ht="15.75" customHeight="1">
      <c r="K863" s="66"/>
      <c r="L863" s="66"/>
      <c r="M863" s="67"/>
      <c r="N863" s="67"/>
      <c r="O863" s="66"/>
      <c r="P863" s="66"/>
      <c r="Q863" s="67"/>
      <c r="R863" s="67"/>
      <c r="S863" s="67"/>
      <c r="T863" s="67"/>
      <c r="U863" s="67"/>
    </row>
    <row r="864" ht="15.75" customHeight="1">
      <c r="K864" s="66"/>
      <c r="L864" s="66"/>
      <c r="M864" s="67"/>
      <c r="N864" s="67"/>
      <c r="O864" s="66"/>
      <c r="P864" s="66"/>
      <c r="Q864" s="67"/>
      <c r="R864" s="67"/>
      <c r="S864" s="67"/>
      <c r="T864" s="67"/>
      <c r="U864" s="67"/>
    </row>
    <row r="865" ht="15.75" customHeight="1">
      <c r="K865" s="66"/>
      <c r="L865" s="66"/>
      <c r="M865" s="67"/>
      <c r="N865" s="67"/>
      <c r="O865" s="66"/>
      <c r="P865" s="66"/>
      <c r="Q865" s="67"/>
      <c r="R865" s="67"/>
      <c r="S865" s="67"/>
      <c r="T865" s="67"/>
      <c r="U865" s="67"/>
    </row>
    <row r="866" ht="15.75" customHeight="1">
      <c r="K866" s="66"/>
      <c r="L866" s="66"/>
      <c r="M866" s="67"/>
      <c r="N866" s="67"/>
      <c r="O866" s="66"/>
      <c r="P866" s="66"/>
      <c r="Q866" s="67"/>
      <c r="R866" s="67"/>
      <c r="S866" s="67"/>
      <c r="T866" s="67"/>
      <c r="U866" s="67"/>
    </row>
    <row r="867" ht="15.75" customHeight="1">
      <c r="K867" s="66"/>
      <c r="L867" s="66"/>
      <c r="M867" s="67"/>
      <c r="N867" s="67"/>
      <c r="O867" s="66"/>
      <c r="P867" s="66"/>
      <c r="Q867" s="67"/>
      <c r="R867" s="67"/>
      <c r="S867" s="67"/>
      <c r="T867" s="67"/>
      <c r="U867" s="67"/>
    </row>
    <row r="868" ht="15.75" customHeight="1">
      <c r="K868" s="66"/>
      <c r="L868" s="66"/>
      <c r="M868" s="67"/>
      <c r="N868" s="67"/>
      <c r="O868" s="66"/>
      <c r="P868" s="66"/>
      <c r="Q868" s="67"/>
      <c r="R868" s="67"/>
      <c r="S868" s="67"/>
      <c r="T868" s="67"/>
      <c r="U868" s="67"/>
    </row>
    <row r="869" ht="15.75" customHeight="1">
      <c r="K869" s="66"/>
      <c r="L869" s="66"/>
      <c r="M869" s="67"/>
      <c r="N869" s="67"/>
      <c r="O869" s="66"/>
      <c r="P869" s="66"/>
      <c r="Q869" s="67"/>
      <c r="R869" s="67"/>
      <c r="S869" s="67"/>
      <c r="T869" s="67"/>
      <c r="U869" s="67"/>
    </row>
    <row r="870" ht="15.75" customHeight="1">
      <c r="K870" s="66"/>
      <c r="L870" s="66"/>
      <c r="M870" s="67"/>
      <c r="N870" s="67"/>
      <c r="O870" s="66"/>
      <c r="P870" s="66"/>
      <c r="Q870" s="67"/>
      <c r="R870" s="67"/>
      <c r="S870" s="67"/>
      <c r="T870" s="67"/>
      <c r="U870" s="67"/>
    </row>
    <row r="871" ht="15.75" customHeight="1">
      <c r="K871" s="66"/>
      <c r="L871" s="66"/>
      <c r="M871" s="67"/>
      <c r="N871" s="67"/>
      <c r="O871" s="66"/>
      <c r="P871" s="66"/>
      <c r="Q871" s="67"/>
      <c r="R871" s="67"/>
      <c r="S871" s="67"/>
      <c r="T871" s="67"/>
      <c r="U871" s="67"/>
    </row>
    <row r="872" ht="15.75" customHeight="1">
      <c r="K872" s="66"/>
      <c r="L872" s="66"/>
      <c r="M872" s="67"/>
      <c r="N872" s="67"/>
      <c r="O872" s="66"/>
      <c r="P872" s="66"/>
      <c r="Q872" s="67"/>
      <c r="R872" s="67"/>
      <c r="S872" s="67"/>
      <c r="T872" s="67"/>
      <c r="U872" s="67"/>
    </row>
    <row r="873" ht="15.75" customHeight="1">
      <c r="K873" s="66"/>
      <c r="L873" s="66"/>
      <c r="M873" s="67"/>
      <c r="N873" s="67"/>
      <c r="O873" s="66"/>
      <c r="P873" s="66"/>
      <c r="Q873" s="67"/>
      <c r="R873" s="67"/>
      <c r="S873" s="67"/>
      <c r="T873" s="67"/>
      <c r="U873" s="67"/>
    </row>
    <row r="874" ht="15.75" customHeight="1">
      <c r="K874" s="66"/>
      <c r="L874" s="66"/>
      <c r="M874" s="67"/>
      <c r="N874" s="67"/>
      <c r="O874" s="66"/>
      <c r="P874" s="66"/>
      <c r="Q874" s="67"/>
      <c r="R874" s="67"/>
      <c r="S874" s="67"/>
      <c r="T874" s="67"/>
      <c r="U874" s="67"/>
    </row>
    <row r="875" ht="15.75" customHeight="1">
      <c r="K875" s="66"/>
      <c r="L875" s="66"/>
      <c r="M875" s="67"/>
      <c r="N875" s="67"/>
      <c r="O875" s="66"/>
      <c r="P875" s="66"/>
      <c r="Q875" s="67"/>
      <c r="R875" s="67"/>
      <c r="S875" s="67"/>
      <c r="T875" s="67"/>
      <c r="U875" s="67"/>
    </row>
    <row r="876" ht="15.75" customHeight="1">
      <c r="K876" s="66"/>
      <c r="L876" s="66"/>
      <c r="M876" s="67"/>
      <c r="N876" s="67"/>
      <c r="O876" s="66"/>
      <c r="P876" s="66"/>
      <c r="Q876" s="67"/>
      <c r="R876" s="67"/>
      <c r="S876" s="67"/>
      <c r="T876" s="67"/>
      <c r="U876" s="67"/>
    </row>
    <row r="877" ht="15.75" customHeight="1">
      <c r="K877" s="66"/>
      <c r="L877" s="66"/>
      <c r="M877" s="67"/>
      <c r="N877" s="67"/>
      <c r="O877" s="66"/>
      <c r="P877" s="66"/>
      <c r="Q877" s="67"/>
      <c r="R877" s="67"/>
      <c r="S877" s="67"/>
      <c r="T877" s="67"/>
      <c r="U877" s="67"/>
    </row>
    <row r="878" ht="15.75" customHeight="1">
      <c r="K878" s="66"/>
      <c r="L878" s="66"/>
      <c r="M878" s="67"/>
      <c r="N878" s="67"/>
      <c r="O878" s="66"/>
      <c r="P878" s="66"/>
      <c r="Q878" s="67"/>
      <c r="R878" s="67"/>
      <c r="S878" s="67"/>
      <c r="T878" s="67"/>
      <c r="U878" s="67"/>
    </row>
    <row r="879" ht="15.75" customHeight="1">
      <c r="K879" s="66"/>
      <c r="L879" s="66"/>
      <c r="M879" s="67"/>
      <c r="N879" s="67"/>
      <c r="O879" s="66"/>
      <c r="P879" s="66"/>
      <c r="Q879" s="67"/>
      <c r="R879" s="67"/>
      <c r="S879" s="67"/>
      <c r="T879" s="67"/>
      <c r="U879" s="67"/>
    </row>
    <row r="880" ht="15.75" customHeight="1">
      <c r="K880" s="66"/>
      <c r="L880" s="66"/>
      <c r="M880" s="67"/>
      <c r="N880" s="67"/>
      <c r="O880" s="66"/>
      <c r="P880" s="66"/>
      <c r="Q880" s="67"/>
      <c r="R880" s="67"/>
      <c r="S880" s="67"/>
      <c r="T880" s="67"/>
      <c r="U880" s="67"/>
    </row>
    <row r="881" ht="15.75" customHeight="1">
      <c r="K881" s="66"/>
      <c r="L881" s="66"/>
      <c r="M881" s="67"/>
      <c r="N881" s="67"/>
      <c r="O881" s="66"/>
      <c r="P881" s="66"/>
      <c r="Q881" s="67"/>
      <c r="R881" s="67"/>
      <c r="S881" s="67"/>
      <c r="T881" s="67"/>
      <c r="U881" s="67"/>
    </row>
    <row r="882" ht="15.75" customHeight="1">
      <c r="K882" s="66"/>
      <c r="L882" s="66"/>
      <c r="M882" s="67"/>
      <c r="N882" s="67"/>
      <c r="O882" s="66"/>
      <c r="P882" s="66"/>
      <c r="Q882" s="67"/>
      <c r="R882" s="67"/>
      <c r="S882" s="67"/>
      <c r="T882" s="67"/>
      <c r="U882" s="67"/>
    </row>
    <row r="883" ht="15.75" customHeight="1">
      <c r="K883" s="66"/>
      <c r="L883" s="66"/>
      <c r="M883" s="67"/>
      <c r="N883" s="67"/>
      <c r="O883" s="66"/>
      <c r="P883" s="66"/>
      <c r="Q883" s="67"/>
      <c r="R883" s="67"/>
      <c r="S883" s="67"/>
      <c r="T883" s="67"/>
      <c r="U883" s="67"/>
    </row>
    <row r="884" ht="15.75" customHeight="1">
      <c r="K884" s="66"/>
      <c r="L884" s="66"/>
      <c r="M884" s="67"/>
      <c r="N884" s="67"/>
      <c r="O884" s="66"/>
      <c r="P884" s="66"/>
      <c r="Q884" s="67"/>
      <c r="R884" s="67"/>
      <c r="S884" s="67"/>
      <c r="T884" s="67"/>
      <c r="U884" s="67"/>
    </row>
    <row r="885" ht="15.75" customHeight="1">
      <c r="K885" s="66"/>
      <c r="L885" s="66"/>
      <c r="M885" s="67"/>
      <c r="N885" s="67"/>
      <c r="O885" s="66"/>
      <c r="P885" s="66"/>
      <c r="Q885" s="67"/>
      <c r="R885" s="67"/>
      <c r="S885" s="67"/>
      <c r="T885" s="67"/>
      <c r="U885" s="67"/>
    </row>
    <row r="886" ht="15.75" customHeight="1">
      <c r="K886" s="66"/>
      <c r="L886" s="66"/>
      <c r="M886" s="67"/>
      <c r="N886" s="67"/>
      <c r="O886" s="66"/>
      <c r="P886" s="66"/>
      <c r="Q886" s="67"/>
      <c r="R886" s="67"/>
      <c r="S886" s="67"/>
      <c r="T886" s="67"/>
      <c r="U886" s="67"/>
    </row>
    <row r="887" ht="15.75" customHeight="1">
      <c r="K887" s="66"/>
      <c r="L887" s="66"/>
      <c r="M887" s="67"/>
      <c r="N887" s="67"/>
      <c r="O887" s="66"/>
      <c r="P887" s="66"/>
      <c r="Q887" s="67"/>
      <c r="R887" s="67"/>
      <c r="S887" s="67"/>
      <c r="T887" s="67"/>
      <c r="U887" s="67"/>
    </row>
    <row r="888" ht="15.75" customHeight="1">
      <c r="K888" s="66"/>
      <c r="L888" s="66"/>
      <c r="M888" s="67"/>
      <c r="N888" s="67"/>
      <c r="O888" s="66"/>
      <c r="P888" s="66"/>
      <c r="Q888" s="67"/>
      <c r="R888" s="67"/>
      <c r="S888" s="67"/>
      <c r="T888" s="67"/>
      <c r="U888" s="67"/>
    </row>
    <row r="889" ht="15.75" customHeight="1">
      <c r="K889" s="66"/>
      <c r="L889" s="66"/>
      <c r="M889" s="67"/>
      <c r="N889" s="67"/>
      <c r="O889" s="66"/>
      <c r="P889" s="66"/>
      <c r="Q889" s="67"/>
      <c r="R889" s="67"/>
      <c r="S889" s="67"/>
      <c r="T889" s="67"/>
      <c r="U889" s="67"/>
    </row>
    <row r="890" ht="15.75" customHeight="1">
      <c r="K890" s="66"/>
      <c r="L890" s="66"/>
      <c r="M890" s="67"/>
      <c r="N890" s="67"/>
      <c r="O890" s="66"/>
      <c r="P890" s="66"/>
      <c r="Q890" s="67"/>
      <c r="R890" s="67"/>
      <c r="S890" s="67"/>
      <c r="T890" s="67"/>
      <c r="U890" s="67"/>
    </row>
    <row r="891" ht="15.75" customHeight="1">
      <c r="K891" s="66"/>
      <c r="L891" s="66"/>
      <c r="M891" s="67"/>
      <c r="N891" s="67"/>
      <c r="O891" s="66"/>
      <c r="P891" s="66"/>
      <c r="Q891" s="67"/>
      <c r="R891" s="67"/>
      <c r="S891" s="67"/>
      <c r="T891" s="67"/>
      <c r="U891" s="67"/>
    </row>
    <row r="892" ht="15.75" customHeight="1">
      <c r="K892" s="66"/>
      <c r="L892" s="66"/>
      <c r="M892" s="67"/>
      <c r="N892" s="67"/>
      <c r="O892" s="66"/>
      <c r="P892" s="66"/>
      <c r="Q892" s="67"/>
      <c r="R892" s="67"/>
      <c r="S892" s="67"/>
      <c r="T892" s="67"/>
      <c r="U892" s="67"/>
    </row>
    <row r="893" ht="15.75" customHeight="1">
      <c r="K893" s="66"/>
      <c r="L893" s="66"/>
      <c r="M893" s="67"/>
      <c r="N893" s="67"/>
      <c r="O893" s="66"/>
      <c r="P893" s="66"/>
      <c r="Q893" s="67"/>
      <c r="R893" s="67"/>
      <c r="S893" s="67"/>
      <c r="T893" s="67"/>
      <c r="U893" s="67"/>
    </row>
    <row r="894" ht="15.75" customHeight="1">
      <c r="K894" s="66"/>
      <c r="L894" s="66"/>
      <c r="M894" s="67"/>
      <c r="N894" s="67"/>
      <c r="O894" s="66"/>
      <c r="P894" s="66"/>
      <c r="Q894" s="67"/>
      <c r="R894" s="67"/>
      <c r="S894" s="67"/>
      <c r="T894" s="67"/>
      <c r="U894" s="67"/>
    </row>
    <row r="895" ht="15.75" customHeight="1">
      <c r="K895" s="66"/>
      <c r="L895" s="66"/>
      <c r="M895" s="67"/>
      <c r="N895" s="67"/>
      <c r="O895" s="66"/>
      <c r="P895" s="66"/>
      <c r="Q895" s="67"/>
      <c r="R895" s="67"/>
      <c r="S895" s="67"/>
      <c r="T895" s="67"/>
      <c r="U895" s="67"/>
    </row>
    <row r="896" ht="15.75" customHeight="1">
      <c r="K896" s="66"/>
      <c r="L896" s="66"/>
      <c r="M896" s="67"/>
      <c r="N896" s="67"/>
      <c r="O896" s="66"/>
      <c r="P896" s="66"/>
      <c r="Q896" s="67"/>
      <c r="R896" s="67"/>
      <c r="S896" s="67"/>
      <c r="T896" s="67"/>
      <c r="U896" s="67"/>
    </row>
    <row r="897" ht="15.75" customHeight="1">
      <c r="K897" s="66"/>
      <c r="L897" s="66"/>
      <c r="M897" s="67"/>
      <c r="N897" s="67"/>
      <c r="O897" s="66"/>
      <c r="P897" s="66"/>
      <c r="Q897" s="67"/>
      <c r="R897" s="67"/>
      <c r="S897" s="67"/>
      <c r="T897" s="67"/>
      <c r="U897" s="67"/>
    </row>
    <row r="898" ht="15.75" customHeight="1">
      <c r="K898" s="66"/>
      <c r="L898" s="66"/>
      <c r="M898" s="67"/>
      <c r="N898" s="67"/>
      <c r="O898" s="66"/>
      <c r="P898" s="66"/>
      <c r="Q898" s="67"/>
      <c r="R898" s="67"/>
      <c r="S898" s="67"/>
      <c r="T898" s="67"/>
      <c r="U898" s="67"/>
    </row>
    <row r="899" ht="15.75" customHeight="1">
      <c r="K899" s="66"/>
      <c r="L899" s="66"/>
      <c r="M899" s="67"/>
      <c r="N899" s="67"/>
      <c r="O899" s="66"/>
      <c r="P899" s="66"/>
      <c r="Q899" s="67"/>
      <c r="R899" s="67"/>
      <c r="S899" s="67"/>
      <c r="T899" s="67"/>
      <c r="U899" s="67"/>
    </row>
    <row r="900" ht="15.75" customHeight="1">
      <c r="K900" s="66"/>
      <c r="L900" s="66"/>
      <c r="M900" s="67"/>
      <c r="N900" s="67"/>
      <c r="O900" s="66"/>
      <c r="P900" s="66"/>
      <c r="Q900" s="67"/>
      <c r="R900" s="67"/>
      <c r="S900" s="67"/>
      <c r="T900" s="67"/>
      <c r="U900" s="67"/>
    </row>
    <row r="901" ht="15.75" customHeight="1">
      <c r="K901" s="66"/>
      <c r="L901" s="66"/>
      <c r="M901" s="67"/>
      <c r="N901" s="67"/>
      <c r="O901" s="66"/>
      <c r="P901" s="66"/>
      <c r="Q901" s="67"/>
      <c r="R901" s="67"/>
      <c r="S901" s="67"/>
      <c r="T901" s="67"/>
      <c r="U901" s="67"/>
    </row>
    <row r="902" ht="15.75" customHeight="1">
      <c r="K902" s="66"/>
      <c r="L902" s="66"/>
      <c r="M902" s="67"/>
      <c r="N902" s="67"/>
      <c r="O902" s="66"/>
      <c r="P902" s="66"/>
      <c r="Q902" s="67"/>
      <c r="R902" s="67"/>
      <c r="S902" s="67"/>
      <c r="T902" s="67"/>
      <c r="U902" s="67"/>
    </row>
    <row r="903" ht="15.75" customHeight="1">
      <c r="K903" s="66"/>
      <c r="L903" s="66"/>
      <c r="M903" s="67"/>
      <c r="N903" s="67"/>
      <c r="O903" s="66"/>
      <c r="P903" s="66"/>
      <c r="Q903" s="67"/>
      <c r="R903" s="67"/>
      <c r="S903" s="67"/>
      <c r="T903" s="67"/>
      <c r="U903" s="67"/>
    </row>
    <row r="904" ht="15.75" customHeight="1">
      <c r="K904" s="66"/>
      <c r="L904" s="66"/>
      <c r="M904" s="67"/>
      <c r="N904" s="67"/>
      <c r="O904" s="66"/>
      <c r="P904" s="66"/>
      <c r="Q904" s="67"/>
      <c r="R904" s="67"/>
      <c r="S904" s="67"/>
      <c r="T904" s="67"/>
      <c r="U904" s="67"/>
    </row>
    <row r="905" ht="15.75" customHeight="1">
      <c r="K905" s="66"/>
      <c r="L905" s="66"/>
      <c r="M905" s="67"/>
      <c r="N905" s="67"/>
      <c r="O905" s="66"/>
      <c r="P905" s="66"/>
      <c r="Q905" s="67"/>
      <c r="R905" s="67"/>
      <c r="S905" s="67"/>
      <c r="T905" s="67"/>
      <c r="U905" s="67"/>
    </row>
    <row r="906" ht="15.75" customHeight="1">
      <c r="K906" s="66"/>
      <c r="L906" s="66"/>
      <c r="M906" s="67"/>
      <c r="N906" s="67"/>
      <c r="O906" s="66"/>
      <c r="P906" s="66"/>
      <c r="Q906" s="67"/>
      <c r="R906" s="67"/>
      <c r="S906" s="67"/>
      <c r="T906" s="67"/>
      <c r="U906" s="67"/>
    </row>
    <row r="907" ht="15.75" customHeight="1">
      <c r="K907" s="66"/>
      <c r="L907" s="66"/>
      <c r="M907" s="67"/>
      <c r="N907" s="67"/>
      <c r="O907" s="66"/>
      <c r="P907" s="66"/>
      <c r="Q907" s="67"/>
      <c r="R907" s="67"/>
      <c r="S907" s="67"/>
      <c r="T907" s="67"/>
      <c r="U907" s="67"/>
    </row>
    <row r="908" ht="15.75" customHeight="1">
      <c r="K908" s="66"/>
      <c r="L908" s="66"/>
      <c r="M908" s="67"/>
      <c r="N908" s="67"/>
      <c r="O908" s="66"/>
      <c r="P908" s="66"/>
      <c r="Q908" s="67"/>
      <c r="R908" s="67"/>
      <c r="S908" s="67"/>
      <c r="T908" s="67"/>
      <c r="U908" s="67"/>
    </row>
    <row r="909" ht="15.75" customHeight="1">
      <c r="K909" s="66"/>
      <c r="L909" s="66"/>
      <c r="M909" s="67"/>
      <c r="N909" s="67"/>
      <c r="O909" s="66"/>
      <c r="P909" s="66"/>
      <c r="Q909" s="67"/>
      <c r="R909" s="67"/>
      <c r="S909" s="67"/>
      <c r="T909" s="67"/>
      <c r="U909" s="67"/>
    </row>
    <row r="910" ht="15.75" customHeight="1">
      <c r="K910" s="66"/>
      <c r="L910" s="66"/>
      <c r="M910" s="67"/>
      <c r="N910" s="67"/>
      <c r="O910" s="66"/>
      <c r="P910" s="66"/>
      <c r="Q910" s="67"/>
      <c r="R910" s="67"/>
      <c r="S910" s="67"/>
      <c r="T910" s="67"/>
      <c r="U910" s="67"/>
    </row>
    <row r="911" ht="15.75" customHeight="1">
      <c r="K911" s="66"/>
      <c r="L911" s="66"/>
      <c r="M911" s="67"/>
      <c r="N911" s="67"/>
      <c r="O911" s="66"/>
      <c r="P911" s="66"/>
      <c r="Q911" s="67"/>
      <c r="R911" s="67"/>
      <c r="S911" s="67"/>
      <c r="T911" s="67"/>
      <c r="U911" s="67"/>
    </row>
    <row r="912" ht="15.75" customHeight="1">
      <c r="K912" s="66"/>
      <c r="L912" s="66"/>
      <c r="M912" s="67"/>
      <c r="N912" s="67"/>
      <c r="O912" s="66"/>
      <c r="P912" s="66"/>
      <c r="Q912" s="67"/>
      <c r="R912" s="67"/>
      <c r="S912" s="67"/>
      <c r="T912" s="67"/>
      <c r="U912" s="67"/>
    </row>
    <row r="913" ht="15.75" customHeight="1">
      <c r="K913" s="66"/>
      <c r="L913" s="66"/>
      <c r="M913" s="67"/>
      <c r="N913" s="67"/>
      <c r="O913" s="66"/>
      <c r="P913" s="66"/>
      <c r="Q913" s="67"/>
      <c r="R913" s="67"/>
      <c r="S913" s="67"/>
      <c r="T913" s="67"/>
      <c r="U913" s="67"/>
    </row>
    <row r="914" ht="15.75" customHeight="1">
      <c r="K914" s="66"/>
      <c r="L914" s="66"/>
      <c r="M914" s="67"/>
      <c r="N914" s="67"/>
      <c r="O914" s="66"/>
      <c r="P914" s="66"/>
      <c r="Q914" s="67"/>
      <c r="R914" s="67"/>
      <c r="S914" s="67"/>
      <c r="T914" s="67"/>
      <c r="U914" s="67"/>
    </row>
    <row r="915" ht="15.75" customHeight="1">
      <c r="K915" s="66"/>
      <c r="L915" s="66"/>
      <c r="M915" s="67"/>
      <c r="N915" s="67"/>
      <c r="O915" s="66"/>
      <c r="P915" s="66"/>
      <c r="Q915" s="67"/>
      <c r="R915" s="67"/>
      <c r="S915" s="67"/>
      <c r="T915" s="67"/>
      <c r="U915" s="67"/>
    </row>
    <row r="916" ht="15.75" customHeight="1">
      <c r="K916" s="66"/>
      <c r="L916" s="66"/>
      <c r="M916" s="67"/>
      <c r="N916" s="67"/>
      <c r="O916" s="66"/>
      <c r="P916" s="66"/>
      <c r="Q916" s="67"/>
      <c r="R916" s="67"/>
      <c r="S916" s="67"/>
      <c r="T916" s="67"/>
      <c r="U916" s="67"/>
    </row>
    <row r="917" ht="15.75" customHeight="1">
      <c r="K917" s="66"/>
      <c r="L917" s="66"/>
      <c r="M917" s="67"/>
      <c r="N917" s="67"/>
      <c r="O917" s="66"/>
      <c r="P917" s="66"/>
      <c r="Q917" s="67"/>
      <c r="R917" s="67"/>
      <c r="S917" s="67"/>
      <c r="T917" s="67"/>
      <c r="U917" s="67"/>
    </row>
    <row r="918" ht="15.75" customHeight="1">
      <c r="K918" s="66"/>
      <c r="L918" s="66"/>
      <c r="M918" s="67"/>
      <c r="N918" s="67"/>
      <c r="O918" s="66"/>
      <c r="P918" s="66"/>
      <c r="Q918" s="67"/>
      <c r="R918" s="67"/>
      <c r="S918" s="67"/>
      <c r="T918" s="67"/>
      <c r="U918" s="67"/>
    </row>
    <row r="919" ht="15.75" customHeight="1">
      <c r="K919" s="66"/>
      <c r="L919" s="66"/>
      <c r="M919" s="67"/>
      <c r="N919" s="67"/>
      <c r="O919" s="66"/>
      <c r="P919" s="66"/>
      <c r="Q919" s="67"/>
      <c r="R919" s="67"/>
      <c r="S919" s="67"/>
      <c r="T919" s="67"/>
      <c r="U919" s="67"/>
    </row>
    <row r="920" ht="15.75" customHeight="1">
      <c r="K920" s="66"/>
      <c r="L920" s="66"/>
      <c r="M920" s="67"/>
      <c r="N920" s="67"/>
      <c r="O920" s="66"/>
      <c r="P920" s="66"/>
      <c r="Q920" s="67"/>
      <c r="R920" s="67"/>
      <c r="S920" s="67"/>
      <c r="T920" s="67"/>
      <c r="U920" s="67"/>
    </row>
    <row r="921" ht="15.75" customHeight="1">
      <c r="K921" s="66"/>
      <c r="L921" s="66"/>
      <c r="M921" s="67"/>
      <c r="N921" s="67"/>
      <c r="O921" s="66"/>
      <c r="P921" s="66"/>
      <c r="Q921" s="67"/>
      <c r="R921" s="67"/>
      <c r="S921" s="67"/>
      <c r="T921" s="67"/>
      <c r="U921" s="67"/>
    </row>
    <row r="922" ht="15.75" customHeight="1">
      <c r="K922" s="66"/>
      <c r="L922" s="66"/>
      <c r="M922" s="67"/>
      <c r="N922" s="67"/>
      <c r="O922" s="66"/>
      <c r="P922" s="66"/>
      <c r="Q922" s="67"/>
      <c r="R922" s="67"/>
      <c r="S922" s="67"/>
      <c r="T922" s="67"/>
      <c r="U922" s="67"/>
    </row>
    <row r="923" ht="15.75" customHeight="1">
      <c r="K923" s="66"/>
      <c r="L923" s="66"/>
      <c r="M923" s="67"/>
      <c r="N923" s="67"/>
      <c r="O923" s="66"/>
      <c r="P923" s="66"/>
      <c r="Q923" s="67"/>
      <c r="R923" s="67"/>
      <c r="S923" s="67"/>
      <c r="T923" s="67"/>
      <c r="U923" s="67"/>
    </row>
    <row r="924" ht="15.75" customHeight="1">
      <c r="K924" s="66"/>
      <c r="L924" s="66"/>
      <c r="M924" s="67"/>
      <c r="N924" s="67"/>
      <c r="O924" s="66"/>
      <c r="P924" s="66"/>
      <c r="Q924" s="67"/>
      <c r="R924" s="67"/>
      <c r="S924" s="67"/>
      <c r="T924" s="67"/>
      <c r="U924" s="67"/>
    </row>
    <row r="925" ht="15.75" customHeight="1">
      <c r="K925" s="66"/>
      <c r="L925" s="66"/>
      <c r="M925" s="67"/>
      <c r="N925" s="67"/>
      <c r="O925" s="66"/>
      <c r="P925" s="66"/>
      <c r="Q925" s="67"/>
      <c r="R925" s="67"/>
      <c r="S925" s="67"/>
      <c r="T925" s="67"/>
      <c r="U925" s="67"/>
    </row>
    <row r="926" ht="15.75" customHeight="1">
      <c r="K926" s="66"/>
      <c r="L926" s="66"/>
      <c r="M926" s="67"/>
      <c r="N926" s="67"/>
      <c r="O926" s="66"/>
      <c r="P926" s="66"/>
      <c r="Q926" s="67"/>
      <c r="R926" s="67"/>
      <c r="S926" s="67"/>
      <c r="T926" s="67"/>
      <c r="U926" s="67"/>
    </row>
    <row r="927" ht="15.75" customHeight="1">
      <c r="K927" s="66"/>
      <c r="L927" s="66"/>
      <c r="M927" s="67"/>
      <c r="N927" s="67"/>
      <c r="O927" s="66"/>
      <c r="P927" s="66"/>
      <c r="Q927" s="67"/>
      <c r="R927" s="67"/>
      <c r="S927" s="67"/>
      <c r="T927" s="67"/>
      <c r="U927" s="67"/>
    </row>
    <row r="928" ht="15.75" customHeight="1">
      <c r="K928" s="66"/>
      <c r="L928" s="66"/>
      <c r="M928" s="67"/>
      <c r="N928" s="67"/>
      <c r="O928" s="66"/>
      <c r="P928" s="66"/>
      <c r="Q928" s="67"/>
      <c r="R928" s="67"/>
      <c r="S928" s="67"/>
      <c r="T928" s="67"/>
      <c r="U928" s="67"/>
    </row>
    <row r="929" ht="15.75" customHeight="1">
      <c r="K929" s="66"/>
      <c r="L929" s="66"/>
      <c r="M929" s="67"/>
      <c r="N929" s="67"/>
      <c r="O929" s="66"/>
      <c r="P929" s="66"/>
      <c r="Q929" s="67"/>
      <c r="R929" s="67"/>
      <c r="S929" s="67"/>
      <c r="T929" s="67"/>
      <c r="U929" s="67"/>
    </row>
    <row r="930" ht="15.75" customHeight="1">
      <c r="K930" s="66"/>
      <c r="L930" s="66"/>
      <c r="M930" s="67"/>
      <c r="N930" s="67"/>
      <c r="O930" s="66"/>
      <c r="P930" s="66"/>
      <c r="Q930" s="67"/>
      <c r="R930" s="67"/>
      <c r="S930" s="67"/>
      <c r="T930" s="67"/>
      <c r="U930" s="67"/>
    </row>
    <row r="931" ht="15.75" customHeight="1">
      <c r="K931" s="66"/>
      <c r="L931" s="66"/>
      <c r="M931" s="67"/>
      <c r="N931" s="67"/>
      <c r="O931" s="66"/>
      <c r="P931" s="66"/>
      <c r="Q931" s="67"/>
      <c r="R931" s="67"/>
      <c r="S931" s="67"/>
      <c r="T931" s="67"/>
      <c r="U931" s="67"/>
    </row>
    <row r="932" ht="15.75" customHeight="1">
      <c r="K932" s="66"/>
      <c r="L932" s="66"/>
      <c r="M932" s="67"/>
      <c r="N932" s="67"/>
      <c r="O932" s="66"/>
      <c r="P932" s="66"/>
      <c r="Q932" s="67"/>
      <c r="R932" s="67"/>
      <c r="S932" s="67"/>
      <c r="T932" s="67"/>
      <c r="U932" s="67"/>
    </row>
    <row r="933" ht="15.75" customHeight="1">
      <c r="K933" s="66"/>
      <c r="L933" s="66"/>
      <c r="M933" s="67"/>
      <c r="N933" s="67"/>
      <c r="O933" s="66"/>
      <c r="P933" s="66"/>
      <c r="Q933" s="67"/>
      <c r="R933" s="67"/>
      <c r="S933" s="67"/>
      <c r="T933" s="67"/>
      <c r="U933" s="67"/>
    </row>
    <row r="934" ht="15.75" customHeight="1">
      <c r="K934" s="66"/>
      <c r="L934" s="66"/>
      <c r="M934" s="67"/>
      <c r="N934" s="67"/>
      <c r="O934" s="66"/>
      <c r="P934" s="66"/>
      <c r="Q934" s="67"/>
      <c r="R934" s="67"/>
      <c r="S934" s="67"/>
      <c r="T934" s="67"/>
      <c r="U934" s="67"/>
    </row>
    <row r="935" ht="15.75" customHeight="1">
      <c r="K935" s="66"/>
      <c r="L935" s="66"/>
      <c r="M935" s="67"/>
      <c r="N935" s="67"/>
      <c r="O935" s="66"/>
      <c r="P935" s="66"/>
      <c r="Q935" s="67"/>
      <c r="R935" s="67"/>
      <c r="S935" s="67"/>
      <c r="T935" s="67"/>
      <c r="U935" s="67"/>
    </row>
    <row r="936" ht="15.75" customHeight="1">
      <c r="K936" s="66"/>
      <c r="L936" s="66"/>
      <c r="M936" s="67"/>
      <c r="N936" s="67"/>
      <c r="O936" s="66"/>
      <c r="P936" s="66"/>
      <c r="Q936" s="67"/>
      <c r="R936" s="67"/>
      <c r="S936" s="67"/>
      <c r="T936" s="67"/>
      <c r="U936" s="67"/>
    </row>
    <row r="937" ht="15.75" customHeight="1">
      <c r="K937" s="66"/>
      <c r="L937" s="66"/>
      <c r="M937" s="67"/>
      <c r="N937" s="67"/>
      <c r="O937" s="66"/>
      <c r="P937" s="66"/>
      <c r="Q937" s="67"/>
      <c r="R937" s="67"/>
      <c r="S937" s="67"/>
      <c r="T937" s="67"/>
      <c r="U937" s="67"/>
    </row>
    <row r="938" ht="15.75" customHeight="1">
      <c r="K938" s="66"/>
      <c r="L938" s="66"/>
      <c r="M938" s="67"/>
      <c r="N938" s="67"/>
      <c r="O938" s="66"/>
      <c r="P938" s="66"/>
      <c r="Q938" s="67"/>
      <c r="R938" s="67"/>
      <c r="S938" s="67"/>
      <c r="T938" s="67"/>
      <c r="U938" s="67"/>
    </row>
    <row r="939" ht="15.75" customHeight="1">
      <c r="K939" s="66"/>
      <c r="L939" s="66"/>
      <c r="M939" s="67"/>
      <c r="N939" s="67"/>
      <c r="O939" s="66"/>
      <c r="P939" s="66"/>
      <c r="Q939" s="67"/>
      <c r="R939" s="67"/>
      <c r="S939" s="67"/>
      <c r="T939" s="67"/>
      <c r="U939" s="67"/>
    </row>
    <row r="940" ht="15.75" customHeight="1">
      <c r="K940" s="66"/>
      <c r="L940" s="66"/>
      <c r="M940" s="67"/>
      <c r="N940" s="67"/>
      <c r="O940" s="66"/>
      <c r="P940" s="66"/>
      <c r="Q940" s="67"/>
      <c r="R940" s="67"/>
      <c r="S940" s="67"/>
      <c r="T940" s="67"/>
      <c r="U940" s="67"/>
    </row>
    <row r="941" ht="15.75" customHeight="1">
      <c r="K941" s="66"/>
      <c r="L941" s="66"/>
      <c r="M941" s="67"/>
      <c r="N941" s="67"/>
      <c r="O941" s="66"/>
      <c r="P941" s="66"/>
      <c r="Q941" s="67"/>
      <c r="R941" s="67"/>
      <c r="S941" s="67"/>
      <c r="T941" s="67"/>
      <c r="U941" s="67"/>
    </row>
    <row r="942" ht="15.75" customHeight="1">
      <c r="K942" s="66"/>
      <c r="L942" s="66"/>
      <c r="M942" s="67"/>
      <c r="N942" s="67"/>
      <c r="O942" s="66"/>
      <c r="P942" s="66"/>
      <c r="Q942" s="67"/>
      <c r="R942" s="67"/>
      <c r="S942" s="67"/>
      <c r="T942" s="67"/>
      <c r="U942" s="67"/>
    </row>
    <row r="943" ht="15.75" customHeight="1">
      <c r="K943" s="66"/>
      <c r="L943" s="66"/>
      <c r="M943" s="67"/>
      <c r="N943" s="67"/>
      <c r="O943" s="66"/>
      <c r="P943" s="66"/>
      <c r="Q943" s="67"/>
      <c r="R943" s="67"/>
      <c r="S943" s="67"/>
      <c r="T943" s="67"/>
      <c r="U943" s="67"/>
    </row>
    <row r="944" ht="15.75" customHeight="1">
      <c r="K944" s="66"/>
      <c r="L944" s="66"/>
      <c r="M944" s="67"/>
      <c r="N944" s="67"/>
      <c r="O944" s="66"/>
      <c r="P944" s="66"/>
      <c r="Q944" s="67"/>
      <c r="R944" s="67"/>
      <c r="S944" s="67"/>
      <c r="T944" s="67"/>
      <c r="U944" s="67"/>
    </row>
    <row r="945" ht="15.75" customHeight="1">
      <c r="K945" s="66"/>
      <c r="L945" s="66"/>
      <c r="M945" s="67"/>
      <c r="N945" s="67"/>
      <c r="O945" s="66"/>
      <c r="P945" s="66"/>
      <c r="Q945" s="67"/>
      <c r="R945" s="67"/>
      <c r="S945" s="67"/>
      <c r="T945" s="67"/>
      <c r="U945" s="67"/>
    </row>
    <row r="946" ht="15.75" customHeight="1">
      <c r="K946" s="66"/>
      <c r="L946" s="66"/>
      <c r="M946" s="67"/>
      <c r="N946" s="67"/>
      <c r="O946" s="66"/>
      <c r="P946" s="66"/>
      <c r="Q946" s="67"/>
      <c r="R946" s="67"/>
      <c r="S946" s="67"/>
      <c r="T946" s="67"/>
      <c r="U946" s="67"/>
    </row>
    <row r="947" ht="15.75" customHeight="1">
      <c r="K947" s="66"/>
      <c r="L947" s="66"/>
      <c r="M947" s="67"/>
      <c r="N947" s="67"/>
      <c r="O947" s="66"/>
      <c r="P947" s="66"/>
      <c r="Q947" s="67"/>
      <c r="R947" s="67"/>
      <c r="S947" s="67"/>
      <c r="T947" s="67"/>
      <c r="U947" s="67"/>
    </row>
    <row r="948" ht="15.75" customHeight="1">
      <c r="K948" s="66"/>
      <c r="L948" s="66"/>
      <c r="M948" s="67"/>
      <c r="N948" s="67"/>
      <c r="O948" s="66"/>
      <c r="P948" s="66"/>
      <c r="Q948" s="67"/>
      <c r="R948" s="67"/>
      <c r="S948" s="67"/>
      <c r="T948" s="67"/>
      <c r="U948" s="67"/>
    </row>
    <row r="949" ht="15.75" customHeight="1">
      <c r="K949" s="66"/>
      <c r="L949" s="66"/>
      <c r="M949" s="67"/>
      <c r="N949" s="67"/>
      <c r="O949" s="66"/>
      <c r="P949" s="66"/>
      <c r="Q949" s="67"/>
      <c r="R949" s="67"/>
      <c r="S949" s="67"/>
      <c r="T949" s="67"/>
      <c r="U949" s="67"/>
    </row>
    <row r="950" ht="15.75" customHeight="1">
      <c r="K950" s="66"/>
      <c r="L950" s="66"/>
      <c r="M950" s="67"/>
      <c r="N950" s="67"/>
      <c r="O950" s="66"/>
      <c r="P950" s="66"/>
      <c r="Q950" s="67"/>
      <c r="R950" s="67"/>
      <c r="S950" s="67"/>
      <c r="T950" s="67"/>
      <c r="U950" s="67"/>
    </row>
    <row r="951" ht="15.75" customHeight="1">
      <c r="K951" s="66"/>
      <c r="L951" s="66"/>
      <c r="M951" s="67"/>
      <c r="N951" s="67"/>
      <c r="O951" s="66"/>
      <c r="P951" s="66"/>
      <c r="Q951" s="67"/>
      <c r="R951" s="67"/>
      <c r="S951" s="67"/>
      <c r="T951" s="67"/>
      <c r="U951" s="67"/>
    </row>
    <row r="952" ht="15.75" customHeight="1">
      <c r="K952" s="66"/>
      <c r="L952" s="66"/>
      <c r="M952" s="67"/>
      <c r="N952" s="67"/>
      <c r="O952" s="66"/>
      <c r="P952" s="66"/>
      <c r="Q952" s="67"/>
      <c r="R952" s="67"/>
      <c r="S952" s="67"/>
      <c r="T952" s="67"/>
      <c r="U952" s="67"/>
    </row>
    <row r="953" ht="15.75" customHeight="1">
      <c r="K953" s="66"/>
      <c r="L953" s="66"/>
      <c r="M953" s="67"/>
      <c r="N953" s="67"/>
      <c r="O953" s="66"/>
      <c r="P953" s="66"/>
      <c r="Q953" s="67"/>
      <c r="R953" s="67"/>
      <c r="S953" s="67"/>
      <c r="T953" s="67"/>
      <c r="U953" s="67"/>
    </row>
    <row r="954" ht="15.75" customHeight="1">
      <c r="K954" s="66"/>
      <c r="L954" s="66"/>
      <c r="M954" s="67"/>
      <c r="N954" s="67"/>
      <c r="O954" s="66"/>
      <c r="P954" s="66"/>
      <c r="Q954" s="67"/>
      <c r="R954" s="67"/>
      <c r="S954" s="67"/>
      <c r="T954" s="67"/>
      <c r="U954" s="67"/>
    </row>
    <row r="955" ht="15.75" customHeight="1">
      <c r="K955" s="66"/>
      <c r="L955" s="66"/>
      <c r="M955" s="67"/>
      <c r="N955" s="67"/>
      <c r="O955" s="66"/>
      <c r="P955" s="66"/>
      <c r="Q955" s="67"/>
      <c r="R955" s="67"/>
      <c r="S955" s="67"/>
      <c r="T955" s="67"/>
      <c r="U955" s="67"/>
    </row>
    <row r="956" ht="15.75" customHeight="1">
      <c r="K956" s="66"/>
      <c r="L956" s="66"/>
      <c r="M956" s="67"/>
      <c r="N956" s="67"/>
      <c r="O956" s="66"/>
      <c r="P956" s="66"/>
      <c r="Q956" s="67"/>
      <c r="R956" s="67"/>
      <c r="S956" s="67"/>
      <c r="T956" s="67"/>
      <c r="U956" s="67"/>
    </row>
    <row r="957" ht="15.75" customHeight="1">
      <c r="K957" s="66"/>
      <c r="L957" s="66"/>
      <c r="M957" s="67"/>
      <c r="N957" s="67"/>
      <c r="O957" s="66"/>
      <c r="P957" s="66"/>
      <c r="Q957" s="67"/>
      <c r="R957" s="67"/>
      <c r="S957" s="67"/>
      <c r="T957" s="67"/>
      <c r="U957" s="67"/>
    </row>
    <row r="958" ht="15.75" customHeight="1">
      <c r="K958" s="66"/>
      <c r="L958" s="66"/>
      <c r="M958" s="67"/>
      <c r="N958" s="67"/>
      <c r="O958" s="66"/>
      <c r="P958" s="66"/>
      <c r="Q958" s="67"/>
      <c r="R958" s="67"/>
      <c r="S958" s="67"/>
      <c r="T958" s="67"/>
      <c r="U958" s="67"/>
    </row>
    <row r="959" ht="15.75" customHeight="1">
      <c r="K959" s="66"/>
      <c r="L959" s="66"/>
      <c r="M959" s="67"/>
      <c r="N959" s="67"/>
      <c r="O959" s="66"/>
      <c r="P959" s="66"/>
      <c r="Q959" s="67"/>
      <c r="R959" s="67"/>
      <c r="S959" s="67"/>
      <c r="T959" s="67"/>
      <c r="U959" s="67"/>
    </row>
    <row r="960" ht="15.75" customHeight="1">
      <c r="K960" s="66"/>
      <c r="L960" s="66"/>
      <c r="M960" s="67"/>
      <c r="N960" s="67"/>
      <c r="O960" s="66"/>
      <c r="P960" s="66"/>
      <c r="Q960" s="67"/>
      <c r="R960" s="67"/>
      <c r="S960" s="67"/>
      <c r="T960" s="67"/>
      <c r="U960" s="67"/>
    </row>
    <row r="961" ht="15.75" customHeight="1">
      <c r="K961" s="66"/>
      <c r="L961" s="66"/>
      <c r="M961" s="67"/>
      <c r="N961" s="67"/>
      <c r="O961" s="66"/>
      <c r="P961" s="66"/>
      <c r="Q961" s="67"/>
      <c r="R961" s="67"/>
      <c r="S961" s="67"/>
      <c r="T961" s="67"/>
      <c r="U961" s="67"/>
    </row>
    <row r="962" ht="15.75" customHeight="1">
      <c r="K962" s="66"/>
      <c r="L962" s="66"/>
      <c r="M962" s="67"/>
      <c r="N962" s="67"/>
      <c r="O962" s="66"/>
      <c r="P962" s="66"/>
      <c r="Q962" s="67"/>
      <c r="R962" s="67"/>
      <c r="S962" s="67"/>
      <c r="T962" s="67"/>
      <c r="U962" s="67"/>
    </row>
    <row r="963" ht="15.75" customHeight="1">
      <c r="K963" s="66"/>
      <c r="L963" s="66"/>
      <c r="M963" s="67"/>
      <c r="N963" s="67"/>
      <c r="O963" s="66"/>
      <c r="P963" s="66"/>
      <c r="Q963" s="67"/>
      <c r="R963" s="67"/>
      <c r="S963" s="67"/>
      <c r="T963" s="67"/>
      <c r="U963" s="67"/>
    </row>
    <row r="964" ht="15.75" customHeight="1">
      <c r="K964" s="66"/>
      <c r="L964" s="66"/>
      <c r="M964" s="67"/>
      <c r="N964" s="67"/>
      <c r="O964" s="66"/>
      <c r="P964" s="66"/>
      <c r="Q964" s="67"/>
      <c r="R964" s="67"/>
      <c r="S964" s="67"/>
      <c r="T964" s="67"/>
      <c r="U964" s="67"/>
    </row>
    <row r="965" ht="15.75" customHeight="1">
      <c r="K965" s="66"/>
      <c r="L965" s="66"/>
      <c r="M965" s="67"/>
      <c r="N965" s="67"/>
      <c r="O965" s="66"/>
      <c r="P965" s="66"/>
      <c r="Q965" s="67"/>
      <c r="R965" s="67"/>
      <c r="S965" s="67"/>
      <c r="T965" s="67"/>
      <c r="U965" s="67"/>
    </row>
    <row r="966" ht="15.75" customHeight="1">
      <c r="K966" s="66"/>
      <c r="L966" s="66"/>
      <c r="M966" s="67"/>
      <c r="N966" s="67"/>
      <c r="O966" s="66"/>
      <c r="P966" s="66"/>
      <c r="Q966" s="67"/>
      <c r="R966" s="67"/>
      <c r="S966" s="67"/>
      <c r="T966" s="67"/>
      <c r="U966" s="67"/>
    </row>
    <row r="967" ht="15.75" customHeight="1">
      <c r="K967" s="66"/>
      <c r="L967" s="66"/>
      <c r="M967" s="67"/>
      <c r="N967" s="67"/>
      <c r="O967" s="66"/>
      <c r="P967" s="66"/>
      <c r="Q967" s="67"/>
      <c r="R967" s="67"/>
      <c r="S967" s="67"/>
      <c r="T967" s="67"/>
      <c r="U967" s="67"/>
    </row>
    <row r="968" ht="15.75" customHeight="1">
      <c r="K968" s="66"/>
      <c r="L968" s="66"/>
      <c r="M968" s="67"/>
      <c r="N968" s="67"/>
      <c r="O968" s="66"/>
      <c r="P968" s="66"/>
      <c r="Q968" s="67"/>
      <c r="R968" s="67"/>
      <c r="S968" s="67"/>
      <c r="T968" s="67"/>
      <c r="U968" s="67"/>
    </row>
    <row r="969" ht="15.75" customHeight="1">
      <c r="K969" s="66"/>
      <c r="L969" s="66"/>
      <c r="M969" s="67"/>
      <c r="N969" s="67"/>
      <c r="O969" s="66"/>
      <c r="P969" s="66"/>
      <c r="Q969" s="67"/>
      <c r="R969" s="67"/>
      <c r="S969" s="67"/>
      <c r="T969" s="67"/>
      <c r="U969" s="67"/>
    </row>
    <row r="970" ht="15.75" customHeight="1">
      <c r="K970" s="66"/>
      <c r="L970" s="66"/>
      <c r="M970" s="67"/>
      <c r="N970" s="67"/>
      <c r="O970" s="66"/>
      <c r="P970" s="66"/>
      <c r="Q970" s="67"/>
      <c r="R970" s="67"/>
      <c r="S970" s="67"/>
      <c r="T970" s="67"/>
      <c r="U970" s="67"/>
    </row>
    <row r="971" ht="15.75" customHeight="1">
      <c r="K971" s="66"/>
      <c r="L971" s="66"/>
      <c r="M971" s="67"/>
      <c r="N971" s="67"/>
      <c r="O971" s="66"/>
      <c r="P971" s="66"/>
      <c r="Q971" s="67"/>
      <c r="R971" s="67"/>
      <c r="S971" s="67"/>
      <c r="T971" s="67"/>
      <c r="U971" s="67"/>
    </row>
    <row r="972" ht="15.75" customHeight="1">
      <c r="K972" s="66"/>
      <c r="L972" s="66"/>
      <c r="M972" s="67"/>
      <c r="N972" s="67"/>
      <c r="O972" s="66"/>
      <c r="P972" s="66"/>
      <c r="Q972" s="67"/>
      <c r="R972" s="67"/>
      <c r="S972" s="67"/>
      <c r="T972" s="67"/>
      <c r="U972" s="67"/>
    </row>
    <row r="973" ht="15.75" customHeight="1">
      <c r="K973" s="66"/>
      <c r="L973" s="66"/>
      <c r="M973" s="67"/>
      <c r="N973" s="67"/>
      <c r="O973" s="66"/>
      <c r="P973" s="66"/>
      <c r="Q973" s="67"/>
      <c r="R973" s="67"/>
      <c r="S973" s="67"/>
      <c r="T973" s="67"/>
      <c r="U973" s="67"/>
    </row>
    <row r="974" ht="15.75" customHeight="1">
      <c r="K974" s="66"/>
      <c r="L974" s="66"/>
      <c r="M974" s="67"/>
      <c r="N974" s="67"/>
      <c r="O974" s="66"/>
      <c r="P974" s="66"/>
      <c r="Q974" s="67"/>
      <c r="R974" s="67"/>
      <c r="S974" s="67"/>
      <c r="T974" s="67"/>
      <c r="U974" s="67"/>
    </row>
    <row r="975" ht="15.75" customHeight="1">
      <c r="K975" s="66"/>
      <c r="L975" s="66"/>
      <c r="M975" s="67"/>
      <c r="N975" s="67"/>
      <c r="O975" s="66"/>
      <c r="P975" s="66"/>
      <c r="Q975" s="67"/>
      <c r="R975" s="67"/>
      <c r="S975" s="67"/>
      <c r="T975" s="67"/>
      <c r="U975" s="67"/>
    </row>
    <row r="976" ht="15.75" customHeight="1">
      <c r="K976" s="66"/>
      <c r="L976" s="66"/>
      <c r="M976" s="67"/>
      <c r="N976" s="67"/>
      <c r="O976" s="66"/>
      <c r="P976" s="66"/>
      <c r="Q976" s="67"/>
      <c r="R976" s="67"/>
      <c r="S976" s="67"/>
      <c r="T976" s="67"/>
      <c r="U976" s="67"/>
    </row>
    <row r="977" ht="15.75" customHeight="1">
      <c r="K977" s="66"/>
      <c r="L977" s="66"/>
      <c r="M977" s="67"/>
      <c r="N977" s="67"/>
      <c r="O977" s="66"/>
      <c r="P977" s="66"/>
      <c r="Q977" s="67"/>
      <c r="R977" s="67"/>
      <c r="S977" s="67"/>
      <c r="T977" s="67"/>
      <c r="U977" s="67"/>
    </row>
    <row r="978" ht="15.75" customHeight="1">
      <c r="K978" s="66"/>
      <c r="L978" s="66"/>
      <c r="M978" s="67"/>
      <c r="N978" s="67"/>
      <c r="O978" s="66"/>
      <c r="P978" s="66"/>
      <c r="Q978" s="67"/>
      <c r="R978" s="67"/>
      <c r="S978" s="67"/>
      <c r="T978" s="67"/>
      <c r="U978" s="67"/>
    </row>
    <row r="979" ht="15.75" customHeight="1">
      <c r="K979" s="66"/>
      <c r="L979" s="66"/>
      <c r="M979" s="67"/>
      <c r="N979" s="67"/>
      <c r="O979" s="66"/>
      <c r="P979" s="66"/>
      <c r="Q979" s="67"/>
      <c r="R979" s="67"/>
      <c r="S979" s="67"/>
      <c r="T979" s="67"/>
      <c r="U979" s="67"/>
    </row>
    <row r="980" ht="15.75" customHeight="1">
      <c r="K980" s="66"/>
      <c r="L980" s="66"/>
      <c r="M980" s="67"/>
      <c r="N980" s="67"/>
      <c r="O980" s="66"/>
      <c r="P980" s="66"/>
      <c r="Q980" s="67"/>
      <c r="R980" s="67"/>
      <c r="S980" s="67"/>
      <c r="T980" s="67"/>
      <c r="U980" s="67"/>
    </row>
    <row r="981" ht="15.75" customHeight="1">
      <c r="K981" s="66"/>
      <c r="L981" s="66"/>
      <c r="M981" s="67"/>
      <c r="N981" s="67"/>
      <c r="O981" s="66"/>
      <c r="P981" s="66"/>
      <c r="Q981" s="67"/>
      <c r="R981" s="67"/>
      <c r="S981" s="67"/>
      <c r="T981" s="67"/>
      <c r="U981" s="67"/>
    </row>
    <row r="982" ht="15.75" customHeight="1">
      <c r="K982" s="66"/>
      <c r="L982" s="66"/>
      <c r="M982" s="67"/>
      <c r="N982" s="67"/>
      <c r="O982" s="66"/>
      <c r="P982" s="66"/>
      <c r="Q982" s="67"/>
      <c r="R982" s="67"/>
      <c r="S982" s="67"/>
      <c r="T982" s="67"/>
      <c r="U982" s="67"/>
    </row>
    <row r="983" ht="15.75" customHeight="1">
      <c r="K983" s="66"/>
      <c r="L983" s="66"/>
      <c r="M983" s="67"/>
      <c r="N983" s="67"/>
      <c r="O983" s="66"/>
      <c r="P983" s="66"/>
      <c r="Q983" s="67"/>
      <c r="R983" s="67"/>
      <c r="S983" s="67"/>
      <c r="T983" s="67"/>
      <c r="U983" s="67"/>
    </row>
    <row r="984" ht="15.75" customHeight="1">
      <c r="K984" s="66"/>
      <c r="L984" s="66"/>
      <c r="M984" s="67"/>
      <c r="N984" s="67"/>
      <c r="O984" s="66"/>
      <c r="P984" s="66"/>
      <c r="Q984" s="67"/>
      <c r="R984" s="67"/>
      <c r="S984" s="67"/>
      <c r="T984" s="67"/>
      <c r="U984" s="67"/>
    </row>
    <row r="985" ht="15.75" customHeight="1">
      <c r="K985" s="66"/>
      <c r="L985" s="66"/>
      <c r="M985" s="67"/>
      <c r="N985" s="67"/>
      <c r="O985" s="66"/>
      <c r="P985" s="66"/>
      <c r="Q985" s="67"/>
      <c r="R985" s="67"/>
      <c r="S985" s="67"/>
      <c r="T985" s="67"/>
      <c r="U985" s="67"/>
    </row>
    <row r="986" ht="15.75" customHeight="1">
      <c r="K986" s="66"/>
      <c r="L986" s="66"/>
      <c r="M986" s="67"/>
      <c r="N986" s="67"/>
      <c r="O986" s="66"/>
      <c r="P986" s="66"/>
      <c r="Q986" s="67"/>
      <c r="R986" s="67"/>
      <c r="S986" s="67"/>
      <c r="T986" s="67"/>
      <c r="U986" s="67"/>
    </row>
    <row r="987" ht="15.75" customHeight="1">
      <c r="K987" s="66"/>
      <c r="L987" s="66"/>
      <c r="M987" s="67"/>
      <c r="N987" s="67"/>
      <c r="O987" s="66"/>
      <c r="P987" s="66"/>
      <c r="Q987" s="67"/>
      <c r="R987" s="67"/>
      <c r="S987" s="67"/>
      <c r="T987" s="67"/>
      <c r="U987" s="67"/>
    </row>
    <row r="988" ht="15.75" customHeight="1">
      <c r="K988" s="66"/>
      <c r="L988" s="66"/>
      <c r="M988" s="67"/>
      <c r="N988" s="67"/>
      <c r="O988" s="66"/>
      <c r="P988" s="66"/>
      <c r="Q988" s="67"/>
      <c r="R988" s="67"/>
      <c r="S988" s="67"/>
      <c r="T988" s="67"/>
      <c r="U988" s="67"/>
    </row>
    <row r="989" ht="15.75" customHeight="1">
      <c r="K989" s="66"/>
      <c r="L989" s="66"/>
      <c r="M989" s="67"/>
      <c r="N989" s="67"/>
      <c r="O989" s="66"/>
      <c r="P989" s="66"/>
      <c r="Q989" s="67"/>
      <c r="R989" s="67"/>
      <c r="S989" s="67"/>
      <c r="T989" s="67"/>
      <c r="U989" s="67"/>
    </row>
    <row r="990" ht="15.75" customHeight="1">
      <c r="K990" s="66"/>
      <c r="L990" s="66"/>
      <c r="M990" s="67"/>
      <c r="N990" s="67"/>
      <c r="O990" s="66"/>
      <c r="P990" s="66"/>
      <c r="Q990" s="67"/>
      <c r="R990" s="67"/>
      <c r="S990" s="67"/>
      <c r="T990" s="67"/>
      <c r="U990" s="67"/>
    </row>
    <row r="991" ht="15.75" customHeight="1">
      <c r="K991" s="66"/>
      <c r="L991" s="66"/>
      <c r="M991" s="67"/>
      <c r="N991" s="67"/>
      <c r="O991" s="66"/>
      <c r="P991" s="66"/>
      <c r="Q991" s="67"/>
      <c r="R991" s="67"/>
      <c r="S991" s="67"/>
      <c r="T991" s="67"/>
      <c r="U991" s="67"/>
    </row>
    <row r="992" ht="15.75" customHeight="1">
      <c r="K992" s="66"/>
      <c r="L992" s="66"/>
      <c r="M992" s="67"/>
      <c r="N992" s="67"/>
      <c r="O992" s="66"/>
      <c r="P992" s="66"/>
      <c r="Q992" s="67"/>
      <c r="R992" s="67"/>
      <c r="S992" s="67"/>
      <c r="T992" s="67"/>
      <c r="U992" s="67"/>
    </row>
    <row r="993" ht="15.75" customHeight="1">
      <c r="K993" s="66"/>
      <c r="L993" s="66"/>
      <c r="M993" s="67"/>
      <c r="N993" s="67"/>
      <c r="O993" s="66"/>
      <c r="P993" s="66"/>
      <c r="Q993" s="67"/>
      <c r="R993" s="67"/>
      <c r="S993" s="67"/>
      <c r="T993" s="67"/>
      <c r="U993" s="67"/>
    </row>
    <row r="994" ht="15.75" customHeight="1">
      <c r="K994" s="66"/>
      <c r="L994" s="66"/>
      <c r="M994" s="67"/>
      <c r="N994" s="67"/>
      <c r="O994" s="66"/>
      <c r="P994" s="66"/>
      <c r="Q994" s="67"/>
      <c r="R994" s="67"/>
      <c r="S994" s="67"/>
      <c r="T994" s="67"/>
      <c r="U994" s="67"/>
    </row>
    <row r="995" ht="15.75" customHeight="1">
      <c r="K995" s="66"/>
      <c r="L995" s="66"/>
      <c r="M995" s="67"/>
      <c r="N995" s="67"/>
      <c r="O995" s="66"/>
      <c r="P995" s="66"/>
      <c r="Q995" s="67"/>
      <c r="R995" s="67"/>
      <c r="S995" s="67"/>
      <c r="T995" s="67"/>
      <c r="U995" s="67"/>
    </row>
    <row r="996" ht="15.75" customHeight="1">
      <c r="K996" s="66"/>
      <c r="L996" s="66"/>
      <c r="M996" s="67"/>
      <c r="N996" s="67"/>
      <c r="O996" s="66"/>
      <c r="P996" s="66"/>
      <c r="Q996" s="67"/>
      <c r="R996" s="67"/>
      <c r="S996" s="67"/>
      <c r="T996" s="67"/>
      <c r="U996" s="67"/>
    </row>
    <row r="997" ht="15.75" customHeight="1">
      <c r="K997" s="66"/>
      <c r="L997" s="66"/>
      <c r="M997" s="67"/>
      <c r="N997" s="67"/>
      <c r="O997" s="66"/>
      <c r="P997" s="66"/>
      <c r="Q997" s="67"/>
      <c r="R997" s="67"/>
      <c r="S997" s="67"/>
      <c r="T997" s="67"/>
      <c r="U997" s="67"/>
    </row>
    <row r="998" ht="15.75" customHeight="1">
      <c r="K998" s="66"/>
      <c r="L998" s="66"/>
      <c r="M998" s="67"/>
      <c r="N998" s="67"/>
      <c r="O998" s="66"/>
      <c r="P998" s="66"/>
      <c r="Q998" s="67"/>
      <c r="R998" s="67"/>
      <c r="S998" s="67"/>
      <c r="T998" s="67"/>
      <c r="U998" s="67"/>
    </row>
    <row r="999" ht="15.75" customHeight="1">
      <c r="K999" s="66"/>
      <c r="L999" s="66"/>
      <c r="M999" s="67"/>
      <c r="N999" s="67"/>
      <c r="O999" s="66"/>
      <c r="P999" s="66"/>
      <c r="Q999" s="67"/>
      <c r="R999" s="67"/>
      <c r="S999" s="67"/>
      <c r="T999" s="67"/>
      <c r="U999" s="67"/>
    </row>
    <row r="1000" ht="15.75" customHeight="1">
      <c r="K1000" s="66"/>
      <c r="L1000" s="66"/>
      <c r="M1000" s="67"/>
      <c r="N1000" s="67"/>
      <c r="O1000" s="66"/>
      <c r="P1000" s="66"/>
      <c r="Q1000" s="67"/>
      <c r="R1000" s="67"/>
      <c r="S1000" s="67"/>
      <c r="T1000" s="67"/>
      <c r="U1000" s="67"/>
    </row>
  </sheetData>
  <customSheetViews>
    <customSheetView guid="{9523BC50-7471-44B2-8039-E858DB016A72}" filter="1" showAutoFilter="1">
      <autoFilter ref="$A$1:$H$619"/>
    </customSheetView>
  </customSheetView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38"/>
    <col customWidth="1" min="2" max="2" width="22.5"/>
    <col customWidth="1" min="3" max="3" width="11.0"/>
    <col customWidth="1" min="4" max="4" width="18.25"/>
    <col customWidth="1" min="5" max="5" width="12.63"/>
    <col customWidth="1" min="6" max="6" width="11.88"/>
    <col customWidth="1" min="7" max="8" width="20.25"/>
    <col customWidth="1" min="9" max="9" width="26.88"/>
    <col customWidth="1" min="10" max="10" width="27.88"/>
    <col customWidth="1" min="11" max="11" width="26.0"/>
    <col customWidth="1" min="12" max="12" width="22.75"/>
    <col customWidth="1" min="13" max="13" width="24.88"/>
    <col customWidth="1" min="14" max="14" width="23.0"/>
    <col customWidth="1" min="15" max="15" width="43.5"/>
    <col customWidth="1" min="16" max="16" width="19.25"/>
    <col customWidth="1" min="17" max="17" width="19.38"/>
    <col customWidth="1" min="18" max="18" width="19.25"/>
    <col customWidth="1" min="19" max="19" width="43.5"/>
    <col customWidth="1" min="20" max="21" width="20.0"/>
    <col customWidth="1" min="22" max="22" width="16.88"/>
    <col customWidth="1" min="23" max="23" width="25.13"/>
    <col customWidth="1" min="24" max="24" width="15.13"/>
    <col customWidth="1" min="25" max="25" width="22.63"/>
    <col customWidth="1" min="26" max="26" width="13.0"/>
    <col customWidth="1" min="27" max="27" width="43.5"/>
  </cols>
  <sheetData>
    <row r="1" ht="14.25" customHeight="1">
      <c r="A1" s="32" t="s">
        <v>38</v>
      </c>
      <c r="B1" s="32" t="s">
        <v>39</v>
      </c>
      <c r="C1" s="32" t="s">
        <v>1951</v>
      </c>
      <c r="D1" s="32" t="s">
        <v>44</v>
      </c>
      <c r="E1" s="32" t="s">
        <v>41</v>
      </c>
      <c r="F1" s="32" t="s">
        <v>619</v>
      </c>
      <c r="G1" s="31" t="s">
        <v>1952</v>
      </c>
      <c r="H1" s="32" t="s">
        <v>1954</v>
      </c>
      <c r="I1" s="31" t="s">
        <v>1955</v>
      </c>
      <c r="J1" s="32" t="s">
        <v>1956</v>
      </c>
      <c r="K1" s="31" t="s">
        <v>1957</v>
      </c>
      <c r="L1" s="32" t="s">
        <v>1958</v>
      </c>
      <c r="M1" s="32" t="s">
        <v>1959</v>
      </c>
      <c r="N1" s="32" t="s">
        <v>1960</v>
      </c>
      <c r="O1" s="32" t="s">
        <v>1961</v>
      </c>
      <c r="P1" s="32" t="s">
        <v>1962</v>
      </c>
      <c r="Q1" s="32" t="s">
        <v>42</v>
      </c>
      <c r="R1" s="32" t="s">
        <v>43</v>
      </c>
      <c r="S1" s="32" t="s">
        <v>1963</v>
      </c>
      <c r="T1" s="32" t="s">
        <v>1964</v>
      </c>
      <c r="U1" s="32" t="s">
        <v>1965</v>
      </c>
      <c r="V1" s="83" t="s">
        <v>1966</v>
      </c>
      <c r="W1" s="32" t="s">
        <v>1967</v>
      </c>
      <c r="X1" s="32" t="s">
        <v>45</v>
      </c>
      <c r="Y1" s="32" t="s">
        <v>1968</v>
      </c>
      <c r="Z1" s="32" t="s">
        <v>1969</v>
      </c>
      <c r="AA1" s="32" t="s">
        <v>1970</v>
      </c>
    </row>
    <row r="2" ht="14.25" customHeight="1">
      <c r="A2" s="26" t="s">
        <v>623</v>
      </c>
      <c r="B2" s="26" t="str">
        <f t="array" ref="B2">_xlfn.XLOOKUP(
 A2,
 tblTargets[TargetID],
 tblTargets[DisplayName],
 ""
)</f>
        <v>Airship maxed</v>
      </c>
      <c r="C2" s="26" t="str">
        <f t="shared" ref="C2:C619" si="1">IF(
 D2,
 "COMPLETED",
 IF(
  L2=0,
  "READY",
  "BLOCKED"
 )
)</f>
        <v>BLOCKED</v>
      </c>
      <c r="D2" s="26" t="b">
        <f>IFERROR(__xludf.DUMMYFUNCTION("LET(
 id,A2,
 IF(
  F2=""CHARACTER"",
  LET(
   base,REGEXREPLACE(id,""@\d+$"",""""),
   required,VALUE(REGEXEXTRACT(id,""@(\d+)$"")),
   current,XLOOKUP(
    base,
    tblPlayer[PlayerStateID],
    tblPlayer[Value],
    0
   ),
   current&gt;=required
  ),
"&amp;"  IF(
   T2=""AUTO"",
   L2=0,
   COUNTIFS(
    tblChecklist[TargetID],id,
    tblChecklist[PlayerCompleted],TRUE
   )&gt;0
  )
 )
)"),FALSE)</f>
        <v>0</v>
      </c>
      <c r="E2" s="26" t="str">
        <f t="array" ref="E2">_xlfn.XLOOKUP(
 A2,
 tblTargets[TargetID],
 tblTargets[TargetType],
 ""
)</f>
        <v>BUILDING</v>
      </c>
      <c r="F2" s="26" t="str">
        <f t="array" ref="F2">_xlfn.XLOOKUP(
 A2,
 tblTargets[TargetID],
 tblTargets[StateType],
 ""
)</f>
        <v/>
      </c>
      <c r="G2" s="26">
        <f>LET(
 id,A2,
 depCount,COUNTIF(tblDependencies[TargetID],id),
 objCount,COUNTIF(tblQuestObjectives[QuestTargetID],id),
 depCount+objCount
)</f>
        <v>1</v>
      </c>
      <c r="H2" s="26">
        <f t="shared" ref="H2:H619" si="2">G2</f>
        <v>1</v>
      </c>
      <c r="I2" s="26">
        <f>IFERROR(__xludf.DUMMYFUNCTION("LET(
 id,A2,
 depPreds,
  IFERROR(
   FILTER(
    tblDependencies[DependencyID],
    tblDependencies[TargetID]=id
   ),
   """"
  ),
 objPreds,
  IFERROR(
   FILTER(
    tblQuestObjectives[ObjectiveID],
    tblQuestObjectives[QuestTargetID]=id
   ),
   "&amp;"""""
  ),
 preds,
  UNIQUE(
   VSTACK(
    depPreds,
    objPreds
   )
  ),
 IFERROR(
  SUM(
   N(
    XLOOKUP(
     preds,
     $A$2:$A1000,
     $D$2:$D1000,
     FALSE
    )
   )
  ),
  0
 )
)"),0.0)</f>
        <v>0</v>
      </c>
      <c r="J2" s="26">
        <f t="shared" ref="J2:J619" si="3">I2</f>
        <v>0</v>
      </c>
      <c r="K2" s="26" t="b">
        <f t="shared" ref="K2:K619" si="4">J2=H2</f>
        <v>0</v>
      </c>
      <c r="L2" s="26">
        <f t="shared" ref="L2:L619" si="5">H2-J2</f>
        <v>1</v>
      </c>
      <c r="M2" s="26" t="str">
        <f>IFERROR(__xludf.DUMMYFUNCTION("LET(
 id,A2,
 depPreds,
  IFERROR(
   FILTER(
    tblDependencies[DependencyID],
    tblDependencies[TargetID]=id
   ),
   """"
  ),
 objPreds,
  IFERROR(
   FILTER(
    tblQuestObjectives[ObjectiveID],
    tblQuestObjectives[QuestTargetID]=id
   ),
   "&amp;"""""
  ),
 preds,
  UNIQUE(
   VSTACK(
    depPreds,
    objPreds
   )
  ),
 incomplete,
  FILTER(
   preds,
   XLOOKUP(
    preds,
    $A$2:$A1000,
    $D$2:$D1000,
    FALSE
   )=FALSE
  ),
 IF(
  L2=0,
  """",
  IFERROR(INDEX(incomplete,1),"""")
 )
"&amp;")"),"building.airship@2")</f>
        <v>building.airship@2</v>
      </c>
      <c r="N2" s="26" t="str">
        <f t="array" ref="N2">IF(
 M2="",
 "",
 _xlfn.XLOOKUP(
  M2,
  tblTargets[TargetID],
  tblTargets[DisplayName],
  M2
 )
)</f>
        <v>Airship Lv 2</v>
      </c>
      <c r="O2" s="26" t="str">
        <f>IFERROR(__xludf.DUMMYFUNCTION("SWITCH(
 E2,
 ""BUILDING"",XLOOKUP(A2,tblBuildings[BuildingID],tblBuildings[costtext],""""),
 ""TECH"",XLOOKUP(A2,tblTechnologies[TechnologyID],tblTechnologies[costtext],""""),
 ""QUEST"",XLOOKUP(
  REGEXREPLACE(A2,""\.[^.]+$"",""""),
  tblQuests[QuestID]"&amp;",
  tblQuests[Costtext],
  """"
 ),
 ""CITADEL"",XLOOKUP(A2,tblCitadel[CitadelID],tblCitadel[costtext],""""),
 ""COLLECTION"",XLOOKUP(A2,tblCollections[CollectionID],tblCollections[costtext],""""),
 ""CRAFTIFACT"",XLOOKUP(A2,tblCraftifacts[CraftifactID],t"&amp;"blCraftifacts[costtext],""""),
 """"
)"),"")</f>
        <v/>
      </c>
      <c r="P2" s="26" t="str">
        <f t="shared" ref="P2:P619" si="6">IF(
 M2="",
 "",
 _xlfn.XLOOKUP(
  M2,
  $A$2:$A1000,
  $C$2:$C1000,
  ""
 )
)</f>
        <v>BLOCKED</v>
      </c>
      <c r="Q2" s="26" t="str">
        <f t="shared" ref="Q2:Q619" si="7">IF(
 C2="COMPLETED",
 "COMPLETED",
 IF(
  C2="READY",
  "READY",
  IF(
   AND(
    L2=1,
    P2="READY"
   ),
   "ONE AWAY",
   "BLOCKED"
  )
 )
)</f>
        <v>BLOCKED</v>
      </c>
      <c r="R2" s="26" t="str">
        <f t="array" ref="R2">IFERROR(
 _xlfn.XLOOKUP(
  A2,
  tblChecklist[TargetID],
  tblChecklist[PlayerSort],
  ""
 ),
 ""
)</f>
        <v/>
      </c>
      <c r="S2" s="26" t="str">
        <f>IFERROR(__xludf.DUMMYFUNCTION("LET(
 id,A2,
 successorIDs,
  IFERROR(
   UNIQUE(
    FILTER(
     {
      Dependencies!$A$2:$A$1000;
      QuestObjectives!$A$2:$A$1000
     },
     {
      Dependencies!$B$2:$B$1000;
      QuestObjectives!$E$2:$E$1000
     }=id
    )
   ),
   """"
  ),
"&amp;" names,
  MAP(
   successorIDs,
   LAMBDA(s,
    IF(
     s="""",
     """",
     XLOOKUP(
      s,
      $A$2:$A$1000,
      $B$2:$B$1000,
      s
     )
    )
   )
  ),
 IF(
  successorIDs="""",
  """",
  TEXTJOIN("", "",TRUE,names)
 )
)"),"Airship - Titanium Longerons")</f>
        <v>Airship - Titanium Longerons</v>
      </c>
      <c r="T2" s="26" t="str">
        <f t="array" ref="T2">_xlfn.XLOOKUP(
 A2,
 tblTargets[TargetID],
 tblTargets[CompletionMethod],
 ""
)</f>
        <v>AUTO</v>
      </c>
      <c r="U2" s="84" t="b">
        <f>COUNTIF(tblCost[TargetID],A2)&gt;0</f>
        <v>0</v>
      </c>
      <c r="V2" s="85" t="str">
        <f t="array" ref="V2">IF(
 U2=FALSE,
 "",
 _xlfn.XLOOKUP(
  A2,
  tblCost[TargetID],
  tblCost[FundingPercent],
  ""
 )
)</f>
        <v/>
      </c>
      <c r="W2" s="26" t="str">
        <f t="array" ref="W2">IF(
 U2=FALSE,
 "",
 _xlfn.XLOOKUP(
  A2,
  tblCost[TargetID],
  tblCost[RemainingRequirements],
  ""
 )
)</f>
        <v/>
      </c>
      <c r="X2" s="45" t="str">
        <f t="array" ref="X2">IF(
 U2=FALSE,
 "N/A",
 _xlfn.XLOOKUP(
  A3,
  tblCost[TargetID],
  tblCost[TargetFunded],
  FALSE
 )
)</f>
        <v>N/A</v>
      </c>
      <c r="Y2" s="26" t="str">
        <f>IFERROR(__xludf.DUMMYFUNCTION("IFERROR(
 TEXTJOIN(
  "", "",
  TRUE,
  FILTER(
   'cost checklist'!$E$2:$E1000&amp;"": ""&amp;'cost checklist'!$G$2:$G1000,
   'cost checklist'!$B$2:$B1000=A2,
   'cost checklist'!$J$2:$J1000=FALSE
  )
 ),
 """"
)"),"")</f>
        <v/>
      </c>
      <c r="Z2" s="26" t="b">
        <f>IFERROR(__xludf.DUMMYFUNCTION("IF(
 AND(
  E2=""QUEST"",
  RIGHT(A2,9)="".accepted"",
  D2=TRUE
 ),
 XLOOKUP(
  REGEXREPLACE(A2,""\.accepted$"","""")&amp;"".finished"",
  $A$2:$A1000,
  $D$2:$D1000,
  TRUE
 )=FALSE,
 FALSE
)"),FALSE)</f>
        <v>0</v>
      </c>
      <c r="AA2" s="26" t="str">
        <f>IFERROR(__xludf.DUMMYFUNCTION("LET(
 id,A2,
 successorIDs,
  IFERROR(
   UNIQUE(
    FILTER(
     {
      Dependencies!$A$2:$A$1000;
      QuestObjectives!$A$2:$A$1000
     },
     {
      Dependencies!$B$2:$B$1000;
      QuestObjectives!$E$2:$E$1000
     }=id,
     RIGHT(
      {
   "&amp;"    Dependencies!$A$2:$A$1000;
       QuestObjectives!$A$2:$A$1000
      },
      9
     )="".accepted""
    )
   ),
   """"
  ),
 isCompleted,
  MAP(
   successorIDs,
   LAMBDA(s,
    IF(
     s="""",
     TRUE,
     XLOOKUP(
      s,
      $A$2:$A$1000"&amp;",
      $D$2:$D$1000,
      FALSE
     )
    )
   )
  ),
 pendingIDs,
  IFERROR(
   FILTER(
    successorIDs,
    isCompleted=FALSE
   ),
   """"
  ),
 names,
  MAP(
   pendingIDs,
   LAMBDA(p,
    IF(
     p="""",
     """",
     SUBSTITUTE(
      XLOO"&amp;"KUP(
       p,
       $A$2:$A$1000,
       $B$2:$B$1000,
       p
      ),
      "" Accepted"",
      """"
     )
    )
   )
  ),
 IF(
  pendingIDs="""",
  """",
  TEXTJOIN("", "",TRUE,names)
 )
)"),"")</f>
        <v/>
      </c>
    </row>
    <row r="3" ht="14.25" customHeight="1">
      <c r="A3" s="26" t="s">
        <v>47</v>
      </c>
      <c r="B3" s="26" t="str">
        <f t="array" ref="B3">_xlfn.XLOOKUP(
 A3,
 tblTargets[TargetID],
 tblTargets[DisplayName],
 ""
)</f>
        <v>Airship Lv 1</v>
      </c>
      <c r="C3" s="26" t="str">
        <f t="shared" si="1"/>
        <v>BLOCKED</v>
      </c>
      <c r="D3" s="26" t="b">
        <f>IFERROR(__xludf.DUMMYFUNCTION("LET(
 id,A3,
 IF(
  F3=""CHARACTER"",
  LET(
   base,REGEXREPLACE(id,""@\d+$"",""""),
   required,VALUE(REGEXEXTRACT(id,""@(\d+)$"")),
   current,XLOOKUP(
    base,
    tblPlayer[PlayerStateID],
    tblPlayer[Value],
    0
   ),
   current&gt;=required
  ),
"&amp;"  IF(
   T3=""AUTO"",
   L3=0,
   COUNTIFS(
    tblChecklist[TargetID],id,
    tblChecklist[PlayerCompleted],TRUE
   )&gt;0
  )
 )
)"),FALSE)</f>
        <v>0</v>
      </c>
      <c r="E3" s="26" t="str">
        <f t="array" ref="E3">_xlfn.XLOOKUP(
 A3,
 tblTargets[TargetID],
 tblTargets[TargetType],
 ""
)</f>
        <v>BUILDING</v>
      </c>
      <c r="F3" s="26" t="str">
        <f t="array" ref="F3">_xlfn.XLOOKUP(
 A3,
 tblTargets[TargetID],
 tblTargets[StateType],
 ""
)</f>
        <v/>
      </c>
      <c r="G3" s="26">
        <f>LET(
 id,A3,
 depCount,COUNTIF(tblDependencies[TargetID],id),
 objCount,COUNTIF(tblQuestObjectives[QuestTargetID],id),
 depCount+objCount
)</f>
        <v>2</v>
      </c>
      <c r="H3" s="26">
        <f t="shared" si="2"/>
        <v>2</v>
      </c>
      <c r="I3" s="26">
        <f>IFERROR(__xludf.DUMMYFUNCTION("LET(
 id,A3,
 depPreds,
  IFERROR(
   FILTER(
    tblDependencies[DependencyID],
    tblDependencies[TargetID]=id
   ),
   """"
  ),
 objPreds,
  IFERROR(
   FILTER(
    tblQuestObjectives[ObjectiveID],
    tblQuestObjectives[QuestTargetID]=id
   ),
   "&amp;"""""
  ),
 preds,
  UNIQUE(
   VSTACK(
    depPreds,
    objPreds
   )
  ),
 IFERROR(
  SUM(
   N(
    XLOOKUP(
     preds,
     $A$2:$A1000,
     $D$2:$D1000,
     FALSE
    )
   )
  ),
  0
 )
)"),0.0)</f>
        <v>0</v>
      </c>
      <c r="J3" s="26">
        <f t="shared" si="3"/>
        <v>0</v>
      </c>
      <c r="K3" s="26" t="b">
        <f t="shared" si="4"/>
        <v>0</v>
      </c>
      <c r="L3" s="26">
        <f t="shared" si="5"/>
        <v>2</v>
      </c>
      <c r="M3" s="26" t="str">
        <f>IFERROR(__xludf.DUMMYFUNCTION("LET(
 id,A3,
 depPreds,
  IFERROR(
   FILTER(
    tblDependencies[DependencyID],
    tblDependencies[TargetID]=id
   ),
   """"
  ),
 objPreds,
  IFERROR(
   FILTER(
    tblQuestObjectives[ObjectiveID],
    tblQuestObjectives[QuestTargetID]=id
   ),
   "&amp;"""""
  ),
 preds,
  UNIQUE(
   VSTACK(
    depPreds,
    objPreds
   )
  ),
 incomplete,
  FILTER(
   preds,
   XLOOKUP(
    preds,
    $A$2:$A1000,
    $D$2:$D1000,
    FALSE
   )=FALSE
  ),
 IF(
  L3=0,
  """",
  IFERROR(INDEX(incomplete,1),"""")
 )
"&amp;")"),"building.bridge@1")</f>
        <v>building.bridge@1</v>
      </c>
      <c r="N3" s="26" t="str">
        <f t="array" ref="N3">IF(
 M3="",
 "",
 _xlfn.XLOOKUP(
  M3,
  tblTargets[TargetID],
  tblTargets[DisplayName],
  M3
 )
)</f>
        <v>Bridge Lv 1</v>
      </c>
      <c r="O3" s="26" t="str">
        <f>IFERROR(__xludf.DUMMYFUNCTION("SWITCH(
 E3,
 ""BUILDING"",XLOOKUP(A3,tblBuildings[BuildingID],tblBuildings[costtext],""""),
 ""TECH"",XLOOKUP(A3,tblTechnologies[TechnologyID],tblTechnologies[costtext],""""),
 ""QUEST"",XLOOKUP(
  REGEXREPLACE(A3,""\.[^.]+$"",""""),
  tblQuests[QuestID]"&amp;",
  tblQuests[Costtext],
  """"
 ),
 ""CITADEL"",XLOOKUP(A3,tblCitadel[CitadelID],tblCitadel[costtext],""""),
 ""COLLECTION"",XLOOKUP(A3,tblCollections[CollectionID],tblCollections[costtext],""""),
 ""CRAFTIFACT"",XLOOKUP(A3,tblCraftifacts[CraftifactID],t"&amp;"blCraftifacts[costtext],""""),
 """"
)"),"10 ruby,2000 coin,120 silk,20 thread,200 chemicals,20 reagent,50 miron,40 page")</f>
        <v>10 ruby,2000 coin,120 silk,20 thread,200 chemicals,20 reagent,50 miron,40 page</v>
      </c>
      <c r="P3" s="26" t="str">
        <f t="shared" si="6"/>
        <v>BLOCKED</v>
      </c>
      <c r="Q3" s="26" t="str">
        <f t="shared" si="7"/>
        <v>BLOCKED</v>
      </c>
      <c r="R3" s="26">
        <f t="array" ref="R3">IFERROR(
 _xlfn.XLOOKUP(
  A3,
  tblChecklist[TargetID],
  tblChecklist[PlayerSort],
  ""
 ),
 ""
)</f>
        <v>44</v>
      </c>
      <c r="S3" s="26" t="str">
        <f>IFERROR(__xludf.DUMMYFUNCTION("LET(
 id,A3,
 successorIDs,
  IFERROR(
   UNIQUE(
    FILTER(
     {
      Dependencies!$A$2:$A$1000;
      QuestObjectives!$A$2:$A$1000
     },
     {
      Dependencies!$B$2:$B$1000;
      QuestObjectives!$E$2:$E$1000
     }=id
    )
   ),
   """"
  ),
"&amp;" names,
  MAP(
   successorIDs,
   LAMBDA(s,
    IF(
     s="""",
     """",
     XLOOKUP(
      s,
      $A$2:$A$1000,
      $B$2:$B$1000,
      s
     )
    )
   )
  ),
 IF(
  successorIDs="""",
  """",
  TEXTJOIN("", "",TRUE,names)
 )
)"),"Airship Lv 2, Astrolabe, Cinema Projector, Dagger, Helmet, Safe, Telescope, Tetrachloroaurate, Festival Returns Accepted, Quest for Knowledge Chapter 5 Accepted")</f>
        <v>Airship Lv 2, Astrolabe, Cinema Projector, Dagger, Helmet, Safe, Telescope, Tetrachloroaurate, Festival Returns Accepted, Quest for Knowledge Chapter 5 Accepted</v>
      </c>
      <c r="T3" s="26" t="str">
        <f t="array" ref="T3">_xlfn.XLOOKUP(
 A3,
 tblTargets[TargetID],
 tblTargets[CompletionMethod],
 ""
)</f>
        <v>PLAYER</v>
      </c>
      <c r="U3" s="84" t="b">
        <f>COUNTIF(tblCost[TargetID],A3)&gt;0</f>
        <v>1</v>
      </c>
      <c r="V3" s="85">
        <f t="array" ref="V3">IF(
 U3=FALSE,
 "",
 _xlfn.XLOOKUP(
  A3,
  tblCost[TargetID],
  tblCost[FundingPercent],
  ""
 )
)</f>
        <v>0</v>
      </c>
      <c r="W3" s="26">
        <f t="array" ref="W3">IF(
 U3=FALSE,
 "",
 _xlfn.XLOOKUP(
  A3,
  tblCost[TargetID],
  tblCost[RemainingRequirements],
  ""
 )
)</f>
        <v>8</v>
      </c>
      <c r="X3" s="45" t="b">
        <f t="array" ref="X3">IF(
 U3=FALSE,
 "N/A",
 _xlfn.XLOOKUP(
  A4,
  tblCost[TargetID],
  tblCost[TargetFunded],
  FALSE
 )
)</f>
        <v>0</v>
      </c>
      <c r="Y3" s="26" t="str">
        <f>IFERROR(__xludf.DUMMYFUNCTION("IFERROR(
 TEXTJOIN(
  "", "",
  TRUE,
  FILTER(
   'cost checklist'!$E$2:$E1000&amp;"": ""&amp;'cost checklist'!$G$2:$G1000,
   'cost checklist'!$B$2:$B1000=A3,
   'cost checklist'!$J$2:$J1000=FALSE
  )
 ),
 """"
)"),"chemicals: 200, coin: 2000, miron: 50, page: 40, reagent: 20, ruby: 10, silk: 120, thread: 20")</f>
        <v>chemicals: 200, coin: 2000, miron: 50, page: 40, reagent: 20, ruby: 10, silk: 120, thread: 20</v>
      </c>
      <c r="Z3" s="26" t="b">
        <f>IFERROR(__xludf.DUMMYFUNCTION("IF(
 AND(
  E3=""QUEST"",
  RIGHT(A3,9)="".accepted"",
  D3=TRUE
 ),
 XLOOKUP(
  REGEXREPLACE(A3,""\.accepted$"","""")&amp;"".finished"",
  $A$2:$A1000,
  $D$2:$D1000,
  TRUE
 )=FALSE,
 FALSE
)"),FALSE)</f>
        <v>0</v>
      </c>
      <c r="AA3" s="26" t="str">
        <f>IFERROR(__xludf.DUMMYFUNCTION("LET(
 id,A3,
 successorIDs,
  IFERROR(
   UNIQUE(
    FILTER(
     {
      Dependencies!$A$2:$A$1000;
      QuestObjectives!$A$2:$A$1000
     },
     {
      Dependencies!$B$2:$B$1000;
      QuestObjectives!$E$2:$E$1000
     }=id,
     RIGHT(
      {
   "&amp;"    Dependencies!$A$2:$A$1000;
       QuestObjectives!$A$2:$A$1000
      },
      9
     )="".accepted""
    )
   ),
   """"
  ),
 isCompleted,
  MAP(
   successorIDs,
   LAMBDA(s,
    IF(
     s="""",
     TRUE,
     XLOOKUP(
      s,
      $A$2:$A$1000"&amp;",
      $D$2:$D$1000,
      FALSE
     )
    )
   )
  ),
 pendingIDs,
  IFERROR(
   FILTER(
    successorIDs,
    isCompleted=FALSE
   ),
   """"
  ),
 names,
  MAP(
   pendingIDs,
   LAMBDA(p,
    IF(
     p="""",
     """",
     SUBSTITUTE(
      XLOO"&amp;"KUP(
       p,
       $A$2:$A$1000,
       $B$2:$B$1000,
       p
      ),
      "" Accepted"",
      """"
     )
    )
   )
  ),
 IF(
  pendingIDs="""",
  """",
  TEXTJOIN("", "",TRUE,names)
 )
)"),"Festival Returns, Quest for Knowledge Chapter 5")</f>
        <v>Festival Returns, Quest for Knowledge Chapter 5</v>
      </c>
    </row>
    <row r="4" ht="14.25" customHeight="1">
      <c r="A4" s="26" t="s">
        <v>58</v>
      </c>
      <c r="B4" s="26" t="str">
        <f t="array" ref="B4">_xlfn.XLOOKUP(
 A4,
 tblTargets[TargetID],
 tblTargets[DisplayName],
 ""
)</f>
        <v>Airship Lv 2</v>
      </c>
      <c r="C4" s="26" t="str">
        <f t="shared" si="1"/>
        <v>BLOCKED</v>
      </c>
      <c r="D4" s="26" t="b">
        <f>IFERROR(__xludf.DUMMYFUNCTION("LET(
 id,A4,
 IF(
  F4=""CHARACTER"",
  LET(
   base,REGEXREPLACE(id,""@\d+$"",""""),
   required,VALUE(REGEXEXTRACT(id,""@(\d+)$"")),
   current,XLOOKUP(
    base,
    tblPlayer[PlayerStateID],
    tblPlayer[Value],
    0
   ),
   current&gt;=required
  ),
"&amp;"  IF(
   T4=""AUTO"",
   L4=0,
   COUNTIFS(
    tblChecklist[TargetID],id,
    tblChecklist[PlayerCompleted],TRUE
   )&gt;0
  )
 )
)"),FALSE)</f>
        <v>0</v>
      </c>
      <c r="E4" s="26" t="str">
        <f t="array" ref="E4">_xlfn.XLOOKUP(
 A4,
 tblTargets[TargetID],
 tblTargets[TargetType],
 ""
)</f>
        <v>BUILDING</v>
      </c>
      <c r="F4" s="26" t="str">
        <f t="array" ref="F4">_xlfn.XLOOKUP(
 A4,
 tblTargets[TargetID],
 tblTargets[StateType],
 ""
)</f>
        <v/>
      </c>
      <c r="G4" s="26">
        <f>LET(
 id,A4,
 depCount,COUNTIF(tblDependencies[TargetID],id),
 objCount,COUNTIF(tblQuestObjectives[QuestTargetID],id),
 depCount+objCount
)</f>
        <v>2</v>
      </c>
      <c r="H4" s="26">
        <f t="shared" si="2"/>
        <v>2</v>
      </c>
      <c r="I4" s="26">
        <f>IFERROR(__xludf.DUMMYFUNCTION("LET(
 id,A4,
 depPreds,
  IFERROR(
   FILTER(
    tblDependencies[DependencyID],
    tblDependencies[TargetID]=id
   ),
   """"
  ),
 objPreds,
  IFERROR(
   FILTER(
    tblQuestObjectives[ObjectiveID],
    tblQuestObjectives[QuestTargetID]=id
   ),
   "&amp;"""""
  ),
 preds,
  UNIQUE(
   VSTACK(
    depPreds,
    objPreds
   )
  ),
 IFERROR(
  SUM(
   N(
    XLOOKUP(
     preds,
     $A$2:$A1000,
     $D$2:$D1000,
     FALSE
    )
   )
  ),
  0
 )
)"),0.0)</f>
        <v>0</v>
      </c>
      <c r="J4" s="26">
        <f t="shared" si="3"/>
        <v>0</v>
      </c>
      <c r="K4" s="26" t="b">
        <f t="shared" si="4"/>
        <v>0</v>
      </c>
      <c r="L4" s="26">
        <f t="shared" si="5"/>
        <v>2</v>
      </c>
      <c r="M4" s="26" t="str">
        <f>IFERROR(__xludf.DUMMYFUNCTION("LET(
 id,A4,
 depPreds,
  IFERROR(
   FILTER(
    tblDependencies[DependencyID],
    tblDependencies[TargetID]=id
   ),
   """"
  ),
 objPreds,
  IFERROR(
   FILTER(
    tblQuestObjectives[ObjectiveID],
    tblQuestObjectives[QuestTargetID]=id
   ),
   "&amp;"""""
  ),
 preds,
  UNIQUE(
   VSTACK(
    depPreds,
    objPreds
   )
  ),
 incomplete,
  FILTER(
   preds,
   XLOOKUP(
    preds,
    $A$2:$A1000,
    $D$2:$D1000,
    FALSE
   )=FALSE
  ),
 IF(
  L4=0,
  """",
  IFERROR(INDEX(incomplete,1),"""")
 )
"&amp;")"),"state.character_level@40")</f>
        <v>state.character_level@40</v>
      </c>
      <c r="N4" s="26" t="str">
        <f t="array" ref="N4">IF(
 M4="",
 "",
 _xlfn.XLOOKUP(
  M4,
  tblTargets[TargetID],
  tblTargets[DisplayName],
  M4
 )
)</f>
        <v>Character Level@40</v>
      </c>
      <c r="O4" s="26" t="str">
        <f>IFERROR(__xludf.DUMMYFUNCTION("SWITCH(
 E4,
 ""BUILDING"",XLOOKUP(A4,tblBuildings[BuildingID],tblBuildings[costtext],""""),
 ""TECH"",XLOOKUP(A4,tblTechnologies[TechnologyID],tblTechnologies[costtext],""""),
 ""QUEST"",XLOOKUP(
  REGEXREPLACE(A4,""\.[^.]+$"",""""),
  tblQuests[QuestID]"&amp;",
  tblQuests[Costtext],
  """"
 ),
 ""CITADEL"",XLOOKUP(A4,tblCitadel[CitadelID],tblCitadel[costtext],""""),
 ""COLLECTION"",XLOOKUP(A4,tblCollections[CollectionID],tblCollections[costtext],""""),
 ""CRAFTIFACT"",XLOOKUP(A4,tblCraftifacts[CraftifactID],t"&amp;"blCraftifacts[costtext],""""),
 """"
)"),"12 ruby,3000 coin,60 plank,100 silk,20 gears,50 fan,10 thread")</f>
        <v>12 ruby,3000 coin,60 plank,100 silk,20 gears,50 fan,10 thread</v>
      </c>
      <c r="P4" s="26" t="str">
        <f t="shared" si="6"/>
        <v>READY</v>
      </c>
      <c r="Q4" s="26" t="str">
        <f t="shared" si="7"/>
        <v>BLOCKED</v>
      </c>
      <c r="R4" s="26">
        <f t="array" ref="R4">IFERROR(
 _xlfn.XLOOKUP(
  A4,
  tblChecklist[TargetID],
  tblChecklist[PlayerSort],
  ""
 ),
 ""
)</f>
        <v>45</v>
      </c>
      <c r="S4" s="26" t="str">
        <f>IFERROR(__xludf.DUMMYFUNCTION("LET(
 id,A4,
 successorIDs,
  IFERROR(
   UNIQUE(
    FILTER(
     {
      Dependencies!$A$2:$A$1000;
      QuestObjectives!$A$2:$A$1000
     },
     {
      Dependencies!$B$2:$B$1000;
      QuestObjectives!$E$2:$E$1000
     }=id
    )
   ),
   """"
  ),
"&amp;" names,
  MAP(
   successorIDs,
   LAMBDA(s,
    IF(
     s="""",
     """",
     XLOOKUP(
      s,
      $A$2:$A$1000,
      $B$2:$B$1000,
      s
     )
    )
   )
  ),
 IF(
  successorIDs="""",
  """",
  TEXTJOIN("", "",TRUE,names)
 )
)"),"Airship maxed")</f>
        <v>Airship maxed</v>
      </c>
      <c r="T4" s="26" t="str">
        <f t="array" ref="T4">_xlfn.XLOOKUP(
 A4,
 tblTargets[TargetID],
 tblTargets[CompletionMethod],
 ""
)</f>
        <v>PLAYER</v>
      </c>
      <c r="U4" s="84" t="b">
        <f>COUNTIF(tblCost[TargetID],A4)&gt;0</f>
        <v>1</v>
      </c>
      <c r="V4" s="85">
        <f t="array" ref="V4">IF(
 U4=FALSE,
 "",
 _xlfn.XLOOKUP(
  A4,
  tblCost[TargetID],
  tblCost[FundingPercent],
  ""
 )
)</f>
        <v>0</v>
      </c>
      <c r="W4" s="26">
        <f t="array" ref="W4">IF(
 U4=FALSE,
 "",
 _xlfn.XLOOKUP(
  A4,
  tblCost[TargetID],
  tblCost[RemainingRequirements],
  ""
 )
)</f>
        <v>7</v>
      </c>
      <c r="X4" s="45" t="b">
        <f t="array" ref="X4">IF(
 U4=FALSE,
 "N/A",
 _xlfn.XLOOKUP(
  A5,
  tblCost[TargetID],
  tblCost[TargetFunded],
  FALSE
 )
)</f>
        <v>0</v>
      </c>
      <c r="Y4" s="26" t="str">
        <f>IFERROR(__xludf.DUMMYFUNCTION("IFERROR(
 TEXTJOIN(
  "", "",
  TRUE,
  FILTER(
   'cost checklist'!$E$2:$E1000&amp;"": ""&amp;'cost checklist'!$G$2:$G1000,
   'cost checklist'!$B$2:$B1000=A4,
   'cost checklist'!$J$2:$J1000=FALSE
  )
 ),
 """"
)"),"coin: 3000, fan: 50, gears: 20, plank: 60, ruby: 12, silk: 100, thread: 10")</f>
        <v>coin: 3000, fan: 50, gears: 20, plank: 60, ruby: 12, silk: 100, thread: 10</v>
      </c>
      <c r="Z4" s="26" t="b">
        <f>IFERROR(__xludf.DUMMYFUNCTION("IF(
 AND(
  E4=""QUEST"",
  RIGHT(A4,9)="".accepted"",
  D4=TRUE
 ),
 XLOOKUP(
  REGEXREPLACE(A4,""\.accepted$"","""")&amp;"".finished"",
  $A$2:$A1000,
  $D$2:$D1000,
  TRUE
 )=FALSE,
 FALSE
)"),FALSE)</f>
        <v>0</v>
      </c>
      <c r="AA4" s="26" t="str">
        <f>IFERROR(__xludf.DUMMYFUNCTION("LET(
 id,A4,
 successorIDs,
  IFERROR(
   UNIQUE(
    FILTER(
     {
      Dependencies!$A$2:$A$1000;
      QuestObjectives!$A$2:$A$1000
     },
     {
      Dependencies!$B$2:$B$1000;
      QuestObjectives!$E$2:$E$1000
     }=id,
     RIGHT(
      {
   "&amp;"    Dependencies!$A$2:$A$1000;
       QuestObjectives!$A$2:$A$1000
      },
      9
     )="".accepted""
    )
   ),
   """"
  ),
 isCompleted,
  MAP(
   successorIDs,
   LAMBDA(s,
    IF(
     s="""",
     TRUE,
     XLOOKUP(
      s,
      $A$2:$A$1000"&amp;",
      $D$2:$D$1000,
      FALSE
     )
    )
   )
  ),
 pendingIDs,
  IFERROR(
   FILTER(
    successorIDs,
    isCompleted=FALSE
   ),
   """"
  ),
 names,
  MAP(
   pendingIDs,
   LAMBDA(p,
    IF(
     p="""",
     """",
     SUBSTITUTE(
      XLOO"&amp;"KUP(
       p,
       $A$2:$A$1000,
       $B$2:$B$1000,
       p
      ),
      "" Accepted"",
      """"
     )
    )
   )
  ),
 IF(
  pendingIDs="""",
  """",
  TEXTJOIN("", "",TRUE,names)
 )
)"),"")</f>
        <v/>
      </c>
    </row>
    <row r="5" ht="14.25" customHeight="1">
      <c r="A5" s="26" t="s">
        <v>637</v>
      </c>
      <c r="B5" s="26" t="str">
        <f t="array" ref="B5">_xlfn.XLOOKUP(
 A5,
 tblTargets[TargetID],
 tblTargets[DisplayName],
 ""
)</f>
        <v>Alchemists Hut maxed</v>
      </c>
      <c r="C5" s="26" t="str">
        <f t="shared" si="1"/>
        <v>BLOCKED</v>
      </c>
      <c r="D5" s="26" t="b">
        <f>IFERROR(__xludf.DUMMYFUNCTION("LET(
 id,A5,
 IF(
  F5=""CHARACTER"",
  LET(
   base,REGEXREPLACE(id,""@\d+$"",""""),
   required,VALUE(REGEXEXTRACT(id,""@(\d+)$"")),
   current,XLOOKUP(
    base,
    tblPlayer[PlayerStateID],
    tblPlayer[Value],
    0
   ),
   current&gt;=required
  ),
"&amp;"  IF(
   T5=""AUTO"",
   L5=0,
   COUNTIFS(
    tblChecklist[TargetID],id,
    tblChecklist[PlayerCompleted],TRUE
   )&gt;0
  )
 )
)"),FALSE)</f>
        <v>0</v>
      </c>
      <c r="E5" s="26" t="str">
        <f t="array" ref="E5">_xlfn.XLOOKUP(
 A5,
 tblTargets[TargetID],
 tblTargets[TargetType],
 ""
)</f>
        <v>BUILDING</v>
      </c>
      <c r="F5" s="26" t="str">
        <f t="array" ref="F5">_xlfn.XLOOKUP(
 A5,
 tblTargets[TargetID],
 tblTargets[StateType],
 ""
)</f>
        <v/>
      </c>
      <c r="G5" s="26">
        <f>LET(
 id,A5,
 depCount,COUNTIF(tblDependencies[TargetID],id),
 objCount,COUNTIF(tblQuestObjectives[QuestTargetID],id),
 depCount+objCount
)</f>
        <v>1</v>
      </c>
      <c r="H5" s="26">
        <f t="shared" si="2"/>
        <v>1</v>
      </c>
      <c r="I5" s="26">
        <f>IFERROR(__xludf.DUMMYFUNCTION("LET(
 id,A5,
 depPreds,
  IFERROR(
   FILTER(
    tblDependencies[DependencyID],
    tblDependencies[TargetID]=id
   ),
   """"
  ),
 objPreds,
  IFERROR(
   FILTER(
    tblQuestObjectives[ObjectiveID],
    tblQuestObjectives[QuestTargetID]=id
   ),
   "&amp;"""""
  ),
 preds,
  UNIQUE(
   VSTACK(
    depPreds,
    objPreds
   )
  ),
 IFERROR(
  SUM(
   N(
    XLOOKUP(
     preds,
     $A$2:$A1000,
     $D$2:$D1000,
     FALSE
    )
   )
  ),
  0
 )
)"),0.0)</f>
        <v>0</v>
      </c>
      <c r="J5" s="26">
        <f t="shared" si="3"/>
        <v>0</v>
      </c>
      <c r="K5" s="26" t="b">
        <f t="shared" si="4"/>
        <v>0</v>
      </c>
      <c r="L5" s="26">
        <f t="shared" si="5"/>
        <v>1</v>
      </c>
      <c r="M5" s="26" t="str">
        <f>IFERROR(__xludf.DUMMYFUNCTION("LET(
 id,A5,
 depPreds,
  IFERROR(
   FILTER(
    tblDependencies[DependencyID],
    tblDependencies[TargetID]=id
   ),
   """"
  ),
 objPreds,
  IFERROR(
   FILTER(
    tblQuestObjectives[ObjectiveID],
    tblQuestObjectives[QuestTargetID]=id
   ),
   "&amp;"""""
  ),
 preds,
  UNIQUE(
   VSTACK(
    depPreds,
    objPreds
   )
  ),
 incomplete,
  FILTER(
   preds,
   XLOOKUP(
    preds,
    $A$2:$A1000,
    $D$2:$D1000,
    FALSE
   )=FALSE
  ),
 IF(
  L5=0,
  """",
  IFERROR(INDEX(incomplete,1),"""")
 )
"&amp;")"),"building.alchemists_hut@6")</f>
        <v>building.alchemists_hut@6</v>
      </c>
      <c r="N5" s="26" t="str">
        <f t="array" ref="N5">IF(
 M5="",
 "",
 _xlfn.XLOOKUP(
  M5,
  tblTargets[TargetID],
  tblTargets[DisplayName],
  M5
 )
)</f>
        <v>Alchemist's Hut Lv 6</v>
      </c>
      <c r="O5" s="26" t="str">
        <f>IFERROR(__xludf.DUMMYFUNCTION("SWITCH(
 E5,
 ""BUILDING"",XLOOKUP(A5,tblBuildings[BuildingID],tblBuildings[costtext],""""),
 ""TECH"",XLOOKUP(A5,tblTechnologies[TechnologyID],tblTechnologies[costtext],""""),
 ""QUEST"",XLOOKUP(
  REGEXREPLACE(A5,""\.[^.]+$"",""""),
  tblQuests[QuestID]"&amp;",
  tblQuests[Costtext],
  """"
 ),
 ""CITADEL"",XLOOKUP(A5,tblCitadel[CitadelID],tblCitadel[costtext],""""),
 ""COLLECTION"",XLOOKUP(A5,tblCollections[CollectionID],tblCollections[costtext],""""),
 ""CRAFTIFACT"",XLOOKUP(A5,tblCraftifacts[CraftifactID],t"&amp;"blCraftifacts[costtext],""""),
 """"
)"),"")</f>
        <v/>
      </c>
      <c r="P5" s="26" t="str">
        <f t="shared" si="6"/>
        <v>BLOCKED</v>
      </c>
      <c r="Q5" s="26" t="str">
        <f t="shared" si="7"/>
        <v>BLOCKED</v>
      </c>
      <c r="R5" s="26" t="str">
        <f t="array" ref="R5">IFERROR(
 _xlfn.XLOOKUP(
  A5,
  tblChecklist[TargetID],
  tblChecklist[PlayerSort],
  ""
 ),
 ""
)</f>
        <v/>
      </c>
      <c r="S5" s="26" t="str">
        <f>IFERROR(__xludf.DUMMYFUNCTION("LET(
 id,A5,
 successorIDs,
  IFERROR(
   UNIQUE(
    FILTER(
     {
      Dependencies!$A$2:$A$1000;
      QuestObjectives!$A$2:$A$1000
     },
     {
      Dependencies!$B$2:$B$1000;
      QuestObjectives!$E$2:$E$1000
     }=id
    )
   ),
   """"
  ),
"&amp;" names,
  MAP(
   successorIDs,
   LAMBDA(s,
    IF(
     s="""",
     """",
     XLOOKUP(
      s,
      $A$2:$A$1000,
      $B$2:$B$1000,
      s
     )
    )
   )
  ),
 IF(
  successorIDs="""",
  """",
  TEXTJOIN("", "",TRUE,names)
 )
)"),"Alchemists Hut - Balm, Alchemists Hut - Conveyor Lvl 1, Alchemists Hut - Galvanization, Alchemists Hut - Greek Grenade, Alchemists Hut - Mercury, Alchemists Hut - Potion Ambrosia, Alchemists Hut - Potion Berserker Rage, Alchemists Hut - Potion Of Energy, "&amp;"Alchemists Hut - Potion Of Healing, Alchemists Hut - Potion Of Mental Power, Alchemists Hut - Synthetic Fertilizer")</f>
        <v>Alchemists Hut - Balm, Alchemists Hut - Conveyor Lvl 1, Alchemists Hut - Galvanization, Alchemists Hut - Greek Grenade, Alchemists Hut - Mercury, Alchemists Hut - Potion Ambrosia, Alchemists Hut - Potion Berserker Rage, Alchemists Hut - Potion Of Energy, Alchemists Hut - Potion Of Healing, Alchemists Hut - Potion Of Mental Power, Alchemists Hut - Synthetic Fertilizer</v>
      </c>
      <c r="T5" s="26" t="str">
        <f t="array" ref="T5">_xlfn.XLOOKUP(
 A5,
 tblTargets[TargetID],
 tblTargets[CompletionMethod],
 ""
)</f>
        <v>AUTO</v>
      </c>
      <c r="U5" s="84" t="b">
        <f>COUNTIF(tblCost[TargetID],A5)&gt;0</f>
        <v>0</v>
      </c>
      <c r="V5" s="85" t="str">
        <f t="array" ref="V5">IF(
 U5=FALSE,
 "",
 _xlfn.XLOOKUP(
  A5,
  tblCost[TargetID],
  tblCost[FundingPercent],
  ""
 )
)</f>
        <v/>
      </c>
      <c r="W5" s="26" t="str">
        <f t="array" ref="W5">IF(
 U5=FALSE,
 "",
 _xlfn.XLOOKUP(
  A5,
  tblCost[TargetID],
  tblCost[RemainingRequirements],
  ""
 )
)</f>
        <v/>
      </c>
      <c r="X5" s="45" t="str">
        <f t="array" ref="X5">IF(
 U5=FALSE,
 "N/A",
 _xlfn.XLOOKUP(
  A6,
  tblCost[TargetID],
  tblCost[TargetFunded],
  FALSE
 )
)</f>
        <v>N/A</v>
      </c>
      <c r="Y5" s="26" t="str">
        <f>IFERROR(__xludf.DUMMYFUNCTION("IFERROR(
 TEXTJOIN(
  "", "",
  TRUE,
  FILTER(
   'cost checklist'!$E$2:$E1000&amp;"": ""&amp;'cost checklist'!$G$2:$G1000,
   'cost checklist'!$B$2:$B1000=A5,
   'cost checklist'!$J$2:$J1000=FALSE
  )
 ),
 """"
)"),"")</f>
        <v/>
      </c>
      <c r="Z5" s="26" t="b">
        <f>IFERROR(__xludf.DUMMYFUNCTION("IF(
 AND(
  E5=""QUEST"",
  RIGHT(A5,9)="".accepted"",
  D5=TRUE
 ),
 XLOOKUP(
  REGEXREPLACE(A5,""\.accepted$"","""")&amp;"".finished"",
  $A$2:$A1000,
  $D$2:$D1000,
  TRUE
 )=FALSE,
 FALSE
)"),FALSE)</f>
        <v>0</v>
      </c>
      <c r="AA5" s="26" t="str">
        <f>IFERROR(__xludf.DUMMYFUNCTION("LET(
 id,A5,
 successorIDs,
  IFERROR(
   UNIQUE(
    FILTER(
     {
      Dependencies!$A$2:$A$1000;
      QuestObjectives!$A$2:$A$1000
     },
     {
      Dependencies!$B$2:$B$1000;
      QuestObjectives!$E$2:$E$1000
     }=id,
     RIGHT(
      {
   "&amp;"    Dependencies!$A$2:$A$1000;
       QuestObjectives!$A$2:$A$1000
      },
      9
     )="".accepted""
    )
   ),
   """"
  ),
 isCompleted,
  MAP(
   successorIDs,
   LAMBDA(s,
    IF(
     s="""",
     TRUE,
     XLOOKUP(
      s,
      $A$2:$A$1000"&amp;",
      $D$2:$D$1000,
      FALSE
     )
    )
   )
  ),
 pendingIDs,
  IFERROR(
   FILTER(
    successorIDs,
    isCompleted=FALSE
   ),
   """"
  ),
 names,
  MAP(
   pendingIDs,
   LAMBDA(p,
    IF(
     p="""",
     """",
     SUBSTITUTE(
      XLOO"&amp;"KUP(
       p,
       $A$2:$A$1000,
       $B$2:$B$1000,
       p
      ),
      "" Accepted"",
      """"
     )
    )
   )
  ),
 IF(
  pendingIDs="""",
  """",
  TEXTJOIN("", "",TRUE,names)
 )
)"),"")</f>
        <v/>
      </c>
    </row>
    <row r="6" ht="14.25" customHeight="1">
      <c r="A6" s="26" t="s">
        <v>62</v>
      </c>
      <c r="B6" s="26" t="str">
        <f t="array" ref="B6">_xlfn.XLOOKUP(
 A6,
 tblTargets[TargetID],
 tblTargets[DisplayName],
 ""
)</f>
        <v>Alchemist's Hut Lv 1</v>
      </c>
      <c r="C6" s="26" t="str">
        <f t="shared" si="1"/>
        <v>BLOCKED</v>
      </c>
      <c r="D6" s="26" t="b">
        <f>IFERROR(__xludf.DUMMYFUNCTION("LET(
 id,A6,
 IF(
  F6=""CHARACTER"",
  LET(
   base,REGEXREPLACE(id,""@\d+$"",""""),
   required,VALUE(REGEXEXTRACT(id,""@(\d+)$"")),
   current,XLOOKUP(
    base,
    tblPlayer[PlayerStateID],
    tblPlayer[Value],
    0
   ),
   current&gt;=required
  ),
"&amp;"  IF(
   T6=""AUTO"",
   L6=0,
   COUNTIFS(
    tblChecklist[TargetID],id,
    tblChecklist[PlayerCompleted],TRUE
   )&gt;0
  )
 )
)"),FALSE)</f>
        <v>0</v>
      </c>
      <c r="E6" s="26" t="str">
        <f t="array" ref="E6">_xlfn.XLOOKUP(
 A6,
 tblTargets[TargetID],
 tblTargets[TargetType],
 ""
)</f>
        <v>BUILDING</v>
      </c>
      <c r="F6" s="26" t="str">
        <f t="array" ref="F6">_xlfn.XLOOKUP(
 A6,
 tblTargets[TargetID],
 tblTargets[StateType],
 ""
)</f>
        <v/>
      </c>
      <c r="G6" s="26">
        <f>LET(
 id,A6,
 depCount,COUNTIF(tblDependencies[TargetID],id),
 objCount,COUNTIF(tblQuestObjectives[QuestTargetID],id),
 depCount+objCount
)</f>
        <v>1</v>
      </c>
      <c r="H6" s="26">
        <f t="shared" si="2"/>
        <v>1</v>
      </c>
      <c r="I6" s="26">
        <f>IFERROR(__xludf.DUMMYFUNCTION("LET(
 id,A6,
 depPreds,
  IFERROR(
   FILTER(
    tblDependencies[DependencyID],
    tblDependencies[TargetID]=id
   ),
   """"
  ),
 objPreds,
  IFERROR(
   FILTER(
    tblQuestObjectives[ObjectiveID],
    tblQuestObjectives[QuestTargetID]=id
   ),
   "&amp;"""""
  ),
 preds,
  UNIQUE(
   VSTACK(
    depPreds,
    objPreds
   )
  ),
 IFERROR(
  SUM(
   N(
    XLOOKUP(
     preds,
     $A$2:$A1000,
     $D$2:$D1000,
     FALSE
    )
   )
  ),
  0
 )
)"),0.0)</f>
        <v>0</v>
      </c>
      <c r="J6" s="26">
        <f t="shared" si="3"/>
        <v>0</v>
      </c>
      <c r="K6" s="26" t="b">
        <f t="shared" si="4"/>
        <v>0</v>
      </c>
      <c r="L6" s="26">
        <f t="shared" si="5"/>
        <v>1</v>
      </c>
      <c r="M6" s="26" t="str">
        <f>IFERROR(__xludf.DUMMYFUNCTION("LET(
 id,A6,
 depPreds,
  IFERROR(
   FILTER(
    tblDependencies[DependencyID],
    tblDependencies[TargetID]=id
   ),
   """"
  ),
 objPreds,
  IFERROR(
   FILTER(
    tblQuestObjectives[ObjectiveID],
    tblQuestObjectives[QuestTargetID]=id
   ),
   "&amp;"""""
  ),
 preds,
  UNIQUE(
   VSTACK(
    depPreds,
    objPreds
   )
  ),
 incomplete,
  FILTER(
   preds,
   XLOOKUP(
    preds,
    $A$2:$A1000,
    $D$2:$D1000,
    FALSE
   )=FALSE
  ),
 IF(
  L6=0,
  """",
  IFERROR(INDEX(incomplete,1),"""")
 )
"&amp;")"),"state.character_level@6")</f>
        <v>state.character_level@6</v>
      </c>
      <c r="N6" s="26" t="str">
        <f t="array" ref="N6">IF(
 M6="",
 "",
 _xlfn.XLOOKUP(
  M6,
  tblTargets[TargetID],
  tblTargets[DisplayName],
  M6
 )
)</f>
        <v>Character Level@6</v>
      </c>
      <c r="O6" s="26" t="str">
        <f>IFERROR(__xludf.DUMMYFUNCTION("SWITCH(
 E6,
 ""BUILDING"",XLOOKUP(A6,tblBuildings[BuildingID],tblBuildings[costtext],""""),
 ""TECH"",XLOOKUP(A6,tblTechnologies[TechnologyID],tblTechnologies[costtext],""""),
 ""QUEST"",XLOOKUP(
  REGEXREPLACE(A6,""\.[^.]+$"",""""),
  tblQuests[QuestID]"&amp;",
  tblQuests[Costtext],
  """"
 ),
 ""CITADEL"",XLOOKUP(A6,tblCitadel[CitadelID],tblCitadel[costtext],""""),
 ""COLLECTION"",XLOOKUP(A6,tblCollections[CollectionID],tblCollections[costtext],""""),
 ""CRAFTIFACT"",XLOOKUP(A6,tblCraftifacts[CraftifactID],t"&amp;"blCraftifacts[costtext],""""),
 """"
)"),"1 ruby,140 coin,70 wood,70 stone")</f>
        <v>1 ruby,140 coin,70 wood,70 stone</v>
      </c>
      <c r="P6" s="26" t="str">
        <f t="shared" si="6"/>
        <v>READY</v>
      </c>
      <c r="Q6" s="26" t="str">
        <f t="shared" si="7"/>
        <v>ONE AWAY</v>
      </c>
      <c r="R6" s="26">
        <f t="array" ref="R6">IFERROR(
 _xlfn.XLOOKUP(
  A6,
  tblChecklist[TargetID],
  tblChecklist[PlayerSort],
  ""
 ),
 ""
)</f>
        <v>4</v>
      </c>
      <c r="S6" s="26" t="str">
        <f>IFERROR(__xludf.DUMMYFUNCTION("LET(
 id,A6,
 successorIDs,
  IFERROR(
   UNIQUE(
    FILTER(
     {
      Dependencies!$A$2:$A$1000;
      QuestObjectives!$A$2:$A$1000
     },
     {
      Dependencies!$B$2:$B$1000;
      QuestObjectives!$E$2:$E$1000
     }=id
    )
   ),
   """"
  ),
"&amp;" names,
  MAP(
   successorIDs,
   LAMBDA(s,
    IF(
     s="""",
     """",
     XLOOKUP(
      s,
      $A$2:$A$1000,
      $B$2:$B$1000,
      s
     )
    )
   )
  ),
 IF(
  successorIDs="""",
  """",
  TEXTJOIN("", "",TRUE,names)
 )
)"),"Alchemist's Hut Lv 2")</f>
        <v>Alchemist's Hut Lv 2</v>
      </c>
      <c r="T6" s="26" t="str">
        <f t="array" ref="T6">_xlfn.XLOOKUP(
 A6,
 tblTargets[TargetID],
 tblTargets[CompletionMethod],
 ""
)</f>
        <v>PLAYER</v>
      </c>
      <c r="U6" s="84" t="b">
        <f>COUNTIF(tblCost[TargetID],A6)&gt;0</f>
        <v>1</v>
      </c>
      <c r="V6" s="85">
        <f t="array" ref="V6">IF(
 U6=FALSE,
 "",
 _xlfn.XLOOKUP(
  A6,
  tblCost[TargetID],
  tblCost[FundingPercent],
  ""
 )
)</f>
        <v>0</v>
      </c>
      <c r="W6" s="26">
        <f t="array" ref="W6">IF(
 U6=FALSE,
 "",
 _xlfn.XLOOKUP(
  A6,
  tblCost[TargetID],
  tblCost[RemainingRequirements],
  ""
 )
)</f>
        <v>4</v>
      </c>
      <c r="X6" s="45" t="b">
        <f t="array" ref="X6">IF(
 U6=FALSE,
 "N/A",
 _xlfn.XLOOKUP(
  A7,
  tblCost[TargetID],
  tblCost[TargetFunded],
  FALSE
 )
)</f>
        <v>0</v>
      </c>
      <c r="Y6" s="26" t="str">
        <f>IFERROR(__xludf.DUMMYFUNCTION("IFERROR(
 TEXTJOIN(
  "", "",
  TRUE,
  FILTER(
   'cost checklist'!$E$2:$E1000&amp;"": ""&amp;'cost checklist'!$G$2:$G1000,
   'cost checklist'!$B$2:$B1000=A6,
   'cost checklist'!$J$2:$J1000=FALSE
  )
 ),
 """"
)"),"coin: 140, ruby: 1, stone: 70, wood: 70")</f>
        <v>coin: 140, ruby: 1, stone: 70, wood: 70</v>
      </c>
      <c r="Z6" s="26" t="b">
        <f>IFERROR(__xludf.DUMMYFUNCTION("IF(
 AND(
  E6=""QUEST"",
  RIGHT(A6,9)="".accepted"",
  D6=TRUE
 ),
 XLOOKUP(
  REGEXREPLACE(A6,""\.accepted$"","""")&amp;"".finished"",
  $A$2:$A1000,
  $D$2:$D1000,
  TRUE
 )=FALSE,
 FALSE
)"),FALSE)</f>
        <v>0</v>
      </c>
      <c r="AA6" s="26" t="str">
        <f>IFERROR(__xludf.DUMMYFUNCTION("LET(
 id,A6,
 successorIDs,
  IFERROR(
   UNIQUE(
    FILTER(
     {
      Dependencies!$A$2:$A$1000;
      QuestObjectives!$A$2:$A$1000
     },
     {
      Dependencies!$B$2:$B$1000;
      QuestObjectives!$E$2:$E$1000
     }=id,
     RIGHT(
      {
   "&amp;"    Dependencies!$A$2:$A$1000;
       QuestObjectives!$A$2:$A$1000
      },
      9
     )="".accepted""
    )
   ),
   """"
  ),
 isCompleted,
  MAP(
   successorIDs,
   LAMBDA(s,
    IF(
     s="""",
     TRUE,
     XLOOKUP(
      s,
      $A$2:$A$1000"&amp;",
      $D$2:$D$1000,
      FALSE
     )
    )
   )
  ),
 pendingIDs,
  IFERROR(
   FILTER(
    successorIDs,
    isCompleted=FALSE
   ),
   """"
  ),
 names,
  MAP(
   pendingIDs,
   LAMBDA(p,
    IF(
     p="""",
     """",
     SUBSTITUTE(
      XLOO"&amp;"KUP(
       p,
       $A$2:$A$1000,
       $B$2:$B$1000,
       p
      ),
      "" Accepted"",
      """"
     )
    )
   )
  ),
 IF(
  pendingIDs="""",
  """",
  TEXTJOIN("", "",TRUE,names)
 )
)"),"")</f>
        <v/>
      </c>
    </row>
    <row r="7" ht="14.25" customHeight="1">
      <c r="A7" s="26" t="s">
        <v>65</v>
      </c>
      <c r="B7" s="26" t="str">
        <f t="array" ref="B7">_xlfn.XLOOKUP(
 A7,
 tblTargets[TargetID],
 tblTargets[DisplayName],
 ""
)</f>
        <v>Alchemist's Hut Lv 2</v>
      </c>
      <c r="C7" s="26" t="str">
        <f t="shared" si="1"/>
        <v>BLOCKED</v>
      </c>
      <c r="D7" s="26" t="b">
        <f>IFERROR(__xludf.DUMMYFUNCTION("LET(
 id,A7,
 IF(
  F7=""CHARACTER"",
  LET(
   base,REGEXREPLACE(id,""@\d+$"",""""),
   required,VALUE(REGEXEXTRACT(id,""@(\d+)$"")),
   current,XLOOKUP(
    base,
    tblPlayer[PlayerStateID],
    tblPlayer[Value],
    0
   ),
   current&gt;=required
  ),
"&amp;"  IF(
   T7=""AUTO"",
   L7=0,
   COUNTIFS(
    tblChecklist[TargetID],id,
    tblChecklist[PlayerCompleted],TRUE
   )&gt;0
  )
 )
)"),FALSE)</f>
        <v>0</v>
      </c>
      <c r="E7" s="26" t="str">
        <f t="array" ref="E7">_xlfn.XLOOKUP(
 A7,
 tblTargets[TargetID],
 tblTargets[TargetType],
 ""
)</f>
        <v>BUILDING</v>
      </c>
      <c r="F7" s="26" t="str">
        <f t="array" ref="F7">_xlfn.XLOOKUP(
 A7,
 tblTargets[TargetID],
 tblTargets[StateType],
 ""
)</f>
        <v/>
      </c>
      <c r="G7" s="26">
        <f>LET(
 id,A7,
 depCount,COUNTIF(tblDependencies[TargetID],id),
 objCount,COUNTIF(tblQuestObjectives[QuestTargetID],id),
 depCount+objCount
)</f>
        <v>2</v>
      </c>
      <c r="H7" s="26">
        <f t="shared" si="2"/>
        <v>2</v>
      </c>
      <c r="I7" s="26">
        <f>IFERROR(__xludf.DUMMYFUNCTION("LET(
 id,A7,
 depPreds,
  IFERROR(
   FILTER(
    tblDependencies[DependencyID],
    tblDependencies[TargetID]=id
   ),
   """"
  ),
 objPreds,
  IFERROR(
   FILTER(
    tblQuestObjectives[ObjectiveID],
    tblQuestObjectives[QuestTargetID]=id
   ),
   "&amp;"""""
  ),
 preds,
  UNIQUE(
   VSTACK(
    depPreds,
    objPreds
   )
  ),
 IFERROR(
  SUM(
   N(
    XLOOKUP(
     preds,
     $A$2:$A1000,
     $D$2:$D1000,
     FALSE
    )
   )
  ),
  0
 )
)"),0.0)</f>
        <v>0</v>
      </c>
      <c r="J7" s="26">
        <f t="shared" si="3"/>
        <v>0</v>
      </c>
      <c r="K7" s="26" t="b">
        <f t="shared" si="4"/>
        <v>0</v>
      </c>
      <c r="L7" s="26">
        <f t="shared" si="5"/>
        <v>2</v>
      </c>
      <c r="M7" s="26" t="str">
        <f>IFERROR(__xludf.DUMMYFUNCTION("LET(
 id,A7,
 depPreds,
  IFERROR(
   FILTER(
    tblDependencies[DependencyID],
    tblDependencies[TargetID]=id
   ),
   """"
  ),
 objPreds,
  IFERROR(
   FILTER(
    tblQuestObjectives[ObjectiveID],
    tblQuestObjectives[QuestTargetID]=id
   ),
   "&amp;"""""
  ),
 preds,
  UNIQUE(
   VSTACK(
    depPreds,
    objPreds
   )
  ),
 incomplete,
  FILTER(
   preds,
   XLOOKUP(
    preds,
    $A$2:$A1000,
    $D$2:$D1000,
    FALSE
   )=FALSE
  ),
 IF(
  L7=0,
  """",
  IFERROR(INDEX(incomplete,1),"""")
 )
"&amp;")"),"building.guild@2")</f>
        <v>building.guild@2</v>
      </c>
      <c r="N7" s="26" t="str">
        <f t="array" ref="N7">IF(
 M7="",
 "",
 _xlfn.XLOOKUP(
  M7,
  tblTargets[TargetID],
  tblTargets[DisplayName],
  M7
 )
)</f>
        <v>Guild Lv 2</v>
      </c>
      <c r="O7" s="26" t="str">
        <f>IFERROR(__xludf.DUMMYFUNCTION("SWITCH(
 E7,
 ""BUILDING"",XLOOKUP(A7,tblBuildings[BuildingID],tblBuildings[costtext],""""),
 ""TECH"",XLOOKUP(A7,tblTechnologies[TechnologyID],tblTechnologies[costtext],""""),
 ""QUEST"",XLOOKUP(
  REGEXREPLACE(A7,""\.[^.]+$"",""""),
  tblQuests[QuestID]"&amp;",
  tblQuests[Costtext],
  """"
 ),
 ""CITADEL"",XLOOKUP(A7,tblCitadel[CitadelID],tblCitadel[costtext],""""),
 ""COLLECTION"",XLOOKUP(A7,tblCollections[CollectionID],tblCollections[costtext],""""),
 ""CRAFTIFACT"",XLOOKUP(A7,tblCraftifacts[CraftifactID],t"&amp;"blCraftifacts[costtext],""""),
 """"
)"),"2 ruby,200 coin,100 wood,100 stone,20 chemicals")</f>
        <v>2 ruby,200 coin,100 wood,100 stone,20 chemicals</v>
      </c>
      <c r="P7" s="26" t="str">
        <f t="shared" si="6"/>
        <v>READY</v>
      </c>
      <c r="Q7" s="26" t="str">
        <f t="shared" si="7"/>
        <v>BLOCKED</v>
      </c>
      <c r="R7" s="26">
        <f t="array" ref="R7">IFERROR(
 _xlfn.XLOOKUP(
  A7,
  tblChecklist[TargetID],
  tblChecklist[PlayerSort],
  ""
 ),
 ""
)</f>
        <v>5</v>
      </c>
      <c r="S7" s="26" t="str">
        <f>IFERROR(__xludf.DUMMYFUNCTION("LET(
 id,A7,
 successorIDs,
  IFERROR(
   UNIQUE(
    FILTER(
     {
      Dependencies!$A$2:$A$1000;
      QuestObjectives!$A$2:$A$1000
     },
     {
      Dependencies!$B$2:$B$1000;
      QuestObjectives!$E$2:$E$1000
     }=id
    )
   ),
   """"
  ),
"&amp;" names,
  MAP(
   successorIDs,
   LAMBDA(s,
    IF(
     s="""",
     """",
     XLOOKUP(
      s,
      $A$2:$A$1000,
      $B$2:$B$1000,
      s
     )
    )
   )
  ),
 IF(
  successorIDs="""",
  """",
  TEXTJOIN("", "",TRUE,names)
 )
)"),"Alchemist's Hut Lv 3")</f>
        <v>Alchemist's Hut Lv 3</v>
      </c>
      <c r="T7" s="26" t="str">
        <f t="array" ref="T7">_xlfn.XLOOKUP(
 A7,
 tblTargets[TargetID],
 tblTargets[CompletionMethod],
 ""
)</f>
        <v>PLAYER</v>
      </c>
      <c r="U7" s="84" t="b">
        <f>COUNTIF(tblCost[TargetID],A7)&gt;0</f>
        <v>1</v>
      </c>
      <c r="V7" s="85">
        <f t="array" ref="V7">IF(
 U7=FALSE,
 "",
 _xlfn.XLOOKUP(
  A7,
  tblCost[TargetID],
  tblCost[FundingPercent],
  ""
 )
)</f>
        <v>0</v>
      </c>
      <c r="W7" s="26">
        <f t="array" ref="W7">IF(
 U7=FALSE,
 "",
 _xlfn.XLOOKUP(
  A7,
  tblCost[TargetID],
  tblCost[RemainingRequirements],
  ""
 )
)</f>
        <v>5</v>
      </c>
      <c r="X7" s="45" t="b">
        <f t="array" ref="X7">IF(
 U7=FALSE,
 "N/A",
 _xlfn.XLOOKUP(
  A8,
  tblCost[TargetID],
  tblCost[TargetFunded],
  FALSE
 )
)</f>
        <v>0</v>
      </c>
      <c r="Y7" s="26" t="str">
        <f>IFERROR(__xludf.DUMMYFUNCTION("IFERROR(
 TEXTJOIN(
  "", "",
  TRUE,
  FILTER(
   'cost checklist'!$E$2:$E1000&amp;"": ""&amp;'cost checklist'!$G$2:$G1000,
   'cost checklist'!$B$2:$B1000=A7,
   'cost checklist'!$J$2:$J1000=FALSE
  )
 ),
 """"
)"),"chemicals: 20, coin: 200, ruby: 2, stone: 100, wood: 100")</f>
        <v>chemicals: 20, coin: 200, ruby: 2, stone: 100, wood: 100</v>
      </c>
      <c r="Z7" s="26" t="b">
        <f>IFERROR(__xludf.DUMMYFUNCTION("IF(
 AND(
  E7=""QUEST"",
  RIGHT(A7,9)="".accepted"",
  D7=TRUE
 ),
 XLOOKUP(
  REGEXREPLACE(A7,""\.accepted$"","""")&amp;"".finished"",
  $A$2:$A1000,
  $D$2:$D1000,
  TRUE
 )=FALSE,
 FALSE
)"),FALSE)</f>
        <v>0</v>
      </c>
      <c r="AA7" s="26" t="str">
        <f>IFERROR(__xludf.DUMMYFUNCTION("LET(
 id,A7,
 successorIDs,
  IFERROR(
   UNIQUE(
    FILTER(
     {
      Dependencies!$A$2:$A$1000;
      QuestObjectives!$A$2:$A$1000
     },
     {
      Dependencies!$B$2:$B$1000;
      QuestObjectives!$E$2:$E$1000
     }=id,
     RIGHT(
      {
   "&amp;"    Dependencies!$A$2:$A$1000;
       QuestObjectives!$A$2:$A$1000
      },
      9
     )="".accepted""
    )
   ),
   """"
  ),
 isCompleted,
  MAP(
   successorIDs,
   LAMBDA(s,
    IF(
     s="""",
     TRUE,
     XLOOKUP(
      s,
      $A$2:$A$1000"&amp;",
      $D$2:$D$1000,
      FALSE
     )
    )
   )
  ),
 pendingIDs,
  IFERROR(
   FILTER(
    successorIDs,
    isCompleted=FALSE
   ),
   """"
  ),
 names,
  MAP(
   pendingIDs,
   LAMBDA(p,
    IF(
     p="""",
     """",
     SUBSTITUTE(
      XLOO"&amp;"KUP(
       p,
       $A$2:$A$1000,
       $B$2:$B$1000,
       p
      ),
      "" Accepted"",
      """"
     )
    )
   )
  ),
 IF(
  pendingIDs="""",
  """",
  TEXTJOIN("", "",TRUE,names)
 )
)"),"")</f>
        <v/>
      </c>
    </row>
    <row r="8" ht="14.25" customHeight="1">
      <c r="A8" s="26" t="s">
        <v>68</v>
      </c>
      <c r="B8" s="26" t="str">
        <f t="array" ref="B8">_xlfn.XLOOKUP(
 A8,
 tblTargets[TargetID],
 tblTargets[DisplayName],
 ""
)</f>
        <v>Alchemist's Hut Lv 3</v>
      </c>
      <c r="C8" s="26" t="str">
        <f t="shared" si="1"/>
        <v>BLOCKED</v>
      </c>
      <c r="D8" s="26" t="b">
        <f>IFERROR(__xludf.DUMMYFUNCTION("LET(
 id,A8,
 IF(
  F8=""CHARACTER"",
  LET(
   base,REGEXREPLACE(id,""@\d+$"",""""),
   required,VALUE(REGEXEXTRACT(id,""@(\d+)$"")),
   current,XLOOKUP(
    base,
    tblPlayer[PlayerStateID],
    tblPlayer[Value],
    0
   ),
   current&gt;=required
  ),
"&amp;"  IF(
   T8=""AUTO"",
   L8=0,
   COUNTIFS(
    tblChecklist[TargetID],id,
    tblChecklist[PlayerCompleted],TRUE
   )&gt;0
  )
 )
)"),FALSE)</f>
        <v>0</v>
      </c>
      <c r="E8" s="26" t="str">
        <f t="array" ref="E8">_xlfn.XLOOKUP(
 A8,
 tblTargets[TargetID],
 tblTargets[TargetType],
 ""
)</f>
        <v>BUILDING</v>
      </c>
      <c r="F8" s="26" t="str">
        <f t="array" ref="F8">_xlfn.XLOOKUP(
 A8,
 tblTargets[TargetID],
 tblTargets[StateType],
 ""
)</f>
        <v/>
      </c>
      <c r="G8" s="26">
        <f>LET(
 id,A8,
 depCount,COUNTIF(tblDependencies[TargetID],id),
 objCount,COUNTIF(tblQuestObjectives[QuestTargetID],id),
 depCount+objCount
)</f>
        <v>2</v>
      </c>
      <c r="H8" s="26">
        <f t="shared" si="2"/>
        <v>2</v>
      </c>
      <c r="I8" s="26">
        <f>IFERROR(__xludf.DUMMYFUNCTION("LET(
 id,A8,
 depPreds,
  IFERROR(
   FILTER(
    tblDependencies[DependencyID],
    tblDependencies[TargetID]=id
   ),
   """"
  ),
 objPreds,
  IFERROR(
   FILTER(
    tblQuestObjectives[ObjectiveID],
    tblQuestObjectives[QuestTargetID]=id
   ),
   "&amp;"""""
  ),
 preds,
  UNIQUE(
   VSTACK(
    depPreds,
    objPreds
   )
  ),
 IFERROR(
  SUM(
   N(
    XLOOKUP(
     preds,
     $A$2:$A1000,
     $D$2:$D1000,
     FALSE
    )
   )
  ),
  0
 )
)"),0.0)</f>
        <v>0</v>
      </c>
      <c r="J8" s="26">
        <f t="shared" si="3"/>
        <v>0</v>
      </c>
      <c r="K8" s="26" t="b">
        <f t="shared" si="4"/>
        <v>0</v>
      </c>
      <c r="L8" s="26">
        <f t="shared" si="5"/>
        <v>2</v>
      </c>
      <c r="M8" s="26" t="str">
        <f>IFERROR(__xludf.DUMMYFUNCTION("LET(
 id,A8,
 depPreds,
  IFERROR(
   FILTER(
    tblDependencies[DependencyID],
    tblDependencies[TargetID]=id
   ),
   """"
  ),
 objPreds,
  IFERROR(
   FILTER(
    tblQuestObjectives[ObjectiveID],
    tblQuestObjectives[QuestTargetID]=id
   ),
   "&amp;"""""
  ),
 preds,
  UNIQUE(
   VSTACK(
    depPreds,
    objPreds
   )
  ),
 incomplete,
  FILTER(
   preds,
   XLOOKUP(
    preds,
    $A$2:$A1000,
    $D$2:$D1000,
    FALSE
   )=FALSE
  ),
 IF(
  L8=0,
  """",
  IFERROR(INDEX(incomplete,1),"""")
 )
"&amp;")"),"building.guild@3")</f>
        <v>building.guild@3</v>
      </c>
      <c r="N8" s="26" t="str">
        <f t="array" ref="N8">IF(
 M8="",
 "",
 _xlfn.XLOOKUP(
  M8,
  tblTargets[TargetID],
  tblTargets[DisplayName],
  M8
 )
)</f>
        <v>Guild Lv 3</v>
      </c>
      <c r="O8" s="26" t="str">
        <f>IFERROR(__xludf.DUMMYFUNCTION("SWITCH(
 E8,
 ""BUILDING"",XLOOKUP(A8,tblBuildings[BuildingID],tblBuildings[costtext],""""),
 ""TECH"",XLOOKUP(A8,tblTechnologies[TechnologyID],tblTechnologies[costtext],""""),
 ""QUEST"",XLOOKUP(
  REGEXREPLACE(A8,""\.[^.]+$"",""""),
  tblQuests[QuestID]"&amp;",
  tblQuests[Costtext],
  """"
 ),
 ""CITADEL"",XLOOKUP(A8,tblCitadel[CitadelID],tblCitadel[costtext],""""),
 ""COLLECTION"",XLOOKUP(A8,tblCollections[CollectionID],tblCollections[costtext],""""),
 ""CRAFTIFACT"",XLOOKUP(A8,tblCraftifacts[CraftifactID],t"&amp;"blCraftifacts[costtext],""""),
 """"
)"),"3 ruby,300 coin,300 beam,150 stone,40 chemicals,40 charcoal")</f>
        <v>3 ruby,300 coin,300 beam,150 stone,40 chemicals,40 charcoal</v>
      </c>
      <c r="P8" s="26" t="str">
        <f t="shared" si="6"/>
        <v>BLOCKED</v>
      </c>
      <c r="Q8" s="26" t="str">
        <f t="shared" si="7"/>
        <v>BLOCKED</v>
      </c>
      <c r="R8" s="26">
        <f t="array" ref="R8">IFERROR(
 _xlfn.XLOOKUP(
  A8,
  tblChecklist[TargetID],
  tblChecklist[PlayerSort],
  ""
 ),
 ""
)</f>
        <v>51</v>
      </c>
      <c r="S8" s="26" t="str">
        <f>IFERROR(__xludf.DUMMYFUNCTION("LET(
 id,A8,
 successorIDs,
  IFERROR(
   UNIQUE(
    FILTER(
     {
      Dependencies!$A$2:$A$1000;
      QuestObjectives!$A$2:$A$1000
     },
     {
      Dependencies!$B$2:$B$1000;
      QuestObjectives!$E$2:$E$1000
     }=id
    )
   ),
   """"
  ),
"&amp;" names,
  MAP(
   successorIDs,
   LAMBDA(s,
    IF(
     s="""",
     """",
     XLOOKUP(
      s,
      $A$2:$A$1000,
      $B$2:$B$1000,
      s
     )
    )
   )
  ),
 IF(
  successorIDs="""",
  """",
  TEXTJOIN("", "",TRUE,names)
 )
)"),"Alchemist's Hut Lv 4")</f>
        <v>Alchemist's Hut Lv 4</v>
      </c>
      <c r="T8" s="26" t="str">
        <f t="array" ref="T8">_xlfn.XLOOKUP(
 A8,
 tblTargets[TargetID],
 tblTargets[CompletionMethod],
 ""
)</f>
        <v>PLAYER</v>
      </c>
      <c r="U8" s="84" t="b">
        <f>COUNTIF(tblCost[TargetID],A8)&gt;0</f>
        <v>1</v>
      </c>
      <c r="V8" s="85">
        <f t="array" ref="V8">IF(
 U8=FALSE,
 "",
 _xlfn.XLOOKUP(
  A8,
  tblCost[TargetID],
  tblCost[FundingPercent],
  ""
 )
)</f>
        <v>0</v>
      </c>
      <c r="W8" s="26">
        <f t="array" ref="W8">IF(
 U8=FALSE,
 "",
 _xlfn.XLOOKUP(
  A8,
  tblCost[TargetID],
  tblCost[RemainingRequirements],
  ""
 )
)</f>
        <v>6</v>
      </c>
      <c r="X8" s="45" t="b">
        <f t="array" ref="X8">IF(
 U8=FALSE,
 "N/A",
 _xlfn.XLOOKUP(
  A9,
  tblCost[TargetID],
  tblCost[TargetFunded],
  FALSE
 )
)</f>
        <v>0</v>
      </c>
      <c r="Y8" s="26" t="str">
        <f>IFERROR(__xludf.DUMMYFUNCTION("IFERROR(
 TEXTJOIN(
  "", "",
  TRUE,
  FILTER(
   'cost checklist'!$E$2:$E1000&amp;"": ""&amp;'cost checklist'!$G$2:$G1000,
   'cost checklist'!$B$2:$B1000=A8,
   'cost checklist'!$J$2:$J1000=FALSE
  )
 ),
 """"
)"),"beam: 300, charcoal: 40, chemicals: 40, coin: 300, ruby: 3, stone: 150")</f>
        <v>beam: 300, charcoal: 40, chemicals: 40, coin: 300, ruby: 3, stone: 150</v>
      </c>
      <c r="Z8" s="26" t="b">
        <f>IFERROR(__xludf.DUMMYFUNCTION("IF(
 AND(
  E8=""QUEST"",
  RIGHT(A8,9)="".accepted"",
  D8=TRUE
 ),
 XLOOKUP(
  REGEXREPLACE(A8,""\.accepted$"","""")&amp;"".finished"",
  $A$2:$A1000,
  $D$2:$D1000,
  TRUE
 )=FALSE,
 FALSE
)"),FALSE)</f>
        <v>0</v>
      </c>
      <c r="AA8" s="26" t="str">
        <f>IFERROR(__xludf.DUMMYFUNCTION("LET(
 id,A8,
 successorIDs,
  IFERROR(
   UNIQUE(
    FILTER(
     {
      Dependencies!$A$2:$A$1000;
      QuestObjectives!$A$2:$A$1000
     },
     {
      Dependencies!$B$2:$B$1000;
      QuestObjectives!$E$2:$E$1000
     }=id,
     RIGHT(
      {
   "&amp;"    Dependencies!$A$2:$A$1000;
       QuestObjectives!$A$2:$A$1000
      },
      9
     )="".accepted""
    )
   ),
   """"
  ),
 isCompleted,
  MAP(
   successorIDs,
   LAMBDA(s,
    IF(
     s="""",
     TRUE,
     XLOOKUP(
      s,
      $A$2:$A$1000"&amp;",
      $D$2:$D$1000,
      FALSE
     )
    )
   )
  ),
 pendingIDs,
  IFERROR(
   FILTER(
    successorIDs,
    isCompleted=FALSE
   ),
   """"
  ),
 names,
  MAP(
   pendingIDs,
   LAMBDA(p,
    IF(
     p="""",
     """",
     SUBSTITUTE(
      XLOO"&amp;"KUP(
       p,
       $A$2:$A$1000,
       $B$2:$B$1000,
       p
      ),
      "" Accepted"",
      """"
     )
    )
   )
  ),
 IF(
  pendingIDs="""",
  """",
  TEXTJOIN("", "",TRUE,names)
 )
)"),"")</f>
        <v/>
      </c>
    </row>
    <row r="9" ht="14.25" customHeight="1">
      <c r="A9" s="26" t="s">
        <v>71</v>
      </c>
      <c r="B9" s="26" t="str">
        <f t="array" ref="B9">_xlfn.XLOOKUP(
 A9,
 tblTargets[TargetID],
 tblTargets[DisplayName],
 ""
)</f>
        <v>Alchemist's Hut Lv 4</v>
      </c>
      <c r="C9" s="26" t="str">
        <f t="shared" si="1"/>
        <v>BLOCKED</v>
      </c>
      <c r="D9" s="26" t="b">
        <f>IFERROR(__xludf.DUMMYFUNCTION("LET(
 id,A9,
 IF(
  F9=""CHARACTER"",
  LET(
   base,REGEXREPLACE(id,""@\d+$"",""""),
   required,VALUE(REGEXEXTRACT(id,""@(\d+)$"")),
   current,XLOOKUP(
    base,
    tblPlayer[PlayerStateID],
    tblPlayer[Value],
    0
   ),
   current&gt;=required
  ),
"&amp;"  IF(
   T9=""AUTO"",
   L9=0,
   COUNTIFS(
    tblChecklist[TargetID],id,
    tblChecklist[PlayerCompleted],TRUE
   )&gt;0
  )
 )
)"),FALSE)</f>
        <v>0</v>
      </c>
      <c r="E9" s="26" t="str">
        <f t="array" ref="E9">_xlfn.XLOOKUP(
 A9,
 tblTargets[TargetID],
 tblTargets[TargetType],
 ""
)</f>
        <v>BUILDING</v>
      </c>
      <c r="F9" s="26" t="str">
        <f t="array" ref="F9">_xlfn.XLOOKUP(
 A9,
 tblTargets[TargetID],
 tblTargets[StateType],
 ""
)</f>
        <v/>
      </c>
      <c r="G9" s="26">
        <f>LET(
 id,A9,
 depCount,COUNTIF(tblDependencies[TargetID],id),
 objCount,COUNTIF(tblQuestObjectives[QuestTargetID],id),
 depCount+objCount
)</f>
        <v>3</v>
      </c>
      <c r="H9" s="26">
        <f t="shared" si="2"/>
        <v>3</v>
      </c>
      <c r="I9" s="26">
        <f>IFERROR(__xludf.DUMMYFUNCTION("LET(
 id,A9,
 depPreds,
  IFERROR(
   FILTER(
    tblDependencies[DependencyID],
    tblDependencies[TargetID]=id
   ),
   """"
  ),
 objPreds,
  IFERROR(
   FILTER(
    tblQuestObjectives[ObjectiveID],
    tblQuestObjectives[QuestTargetID]=id
   ),
   "&amp;"""""
  ),
 preds,
  UNIQUE(
   VSTACK(
    depPreds,
    objPreds
   )
  ),
 IFERROR(
  SUM(
   N(
    XLOOKUP(
     preds,
     $A$2:$A1000,
     $D$2:$D1000,
     FALSE
    )
   )
  ),
  0
 )
)"),0.0)</f>
        <v>0</v>
      </c>
      <c r="J9" s="26">
        <f t="shared" si="3"/>
        <v>0</v>
      </c>
      <c r="K9" s="26" t="b">
        <f t="shared" si="4"/>
        <v>0</v>
      </c>
      <c r="L9" s="26">
        <f t="shared" si="5"/>
        <v>3</v>
      </c>
      <c r="M9" s="26" t="str">
        <f>IFERROR(__xludf.DUMMYFUNCTION("LET(
 id,A9,
 depPreds,
  IFERROR(
   FILTER(
    tblDependencies[DependencyID],
    tblDependencies[TargetID]=id
   ),
   """"
  ),
 objPreds,
  IFERROR(
   FILTER(
    tblQuestObjectives[ObjectiveID],
    tblQuestObjectives[QuestTargetID]=id
   ),
   "&amp;"""""
  ),
 preds,
  UNIQUE(
   VSTACK(
    depPreds,
    objPreds
   )
  ),
 incomplete,
  FILTER(
   preds,
   XLOOKUP(
    preds,
    $A$2:$A1000,
    $D$2:$D1000,
    FALSE
   )=FALSE
  ),
 IF(
  L9=0,
  """",
  IFERROR(INDEX(incomplete,1),"""")
 )
"&amp;")"),"building.guild@4")</f>
        <v>building.guild@4</v>
      </c>
      <c r="N9" s="26" t="str">
        <f t="array" ref="N9">IF(
 M9="",
 "",
 _xlfn.XLOOKUP(
  M9,
  tblTargets[TargetID],
  tblTargets[DisplayName],
  M9
 )
)</f>
        <v>Guild Lv 4</v>
      </c>
      <c r="O9" s="26" t="str">
        <f>IFERROR(__xludf.DUMMYFUNCTION("SWITCH(
 E9,
 ""BUILDING"",XLOOKUP(A9,tblBuildings[BuildingID],tblBuildings[costtext],""""),
 ""TECH"",XLOOKUP(A9,tblTechnologies[TechnologyID],tblTechnologies[costtext],""""),
 ""QUEST"",XLOOKUP(
  REGEXREPLACE(A9,""\.[^.]+$"",""""),
  tblQuests[QuestID]"&amp;",
  tblQuests[Costtext],
  """"
 ),
 ""CITADEL"",XLOOKUP(A9,tblCitadel[CitadelID],tblCitadel[costtext],""""),
 ""COLLECTION"",XLOOKUP(A9,tblCollections[CollectionID],tblCollections[costtext],""""),
 ""CRAFTIFACT"",XLOOKUP(A9,tblCraftifacts[CraftifactID],t"&amp;"blCraftifacts[costtext],""""),
 """"
)"),"4 ruby,400 coin,400 beam,200 stone,40 gunpowder")</f>
        <v>4 ruby,400 coin,400 beam,200 stone,40 gunpowder</v>
      </c>
      <c r="P9" s="26" t="str">
        <f t="shared" si="6"/>
        <v>BLOCKED</v>
      </c>
      <c r="Q9" s="26" t="str">
        <f t="shared" si="7"/>
        <v>BLOCKED</v>
      </c>
      <c r="R9" s="26">
        <f t="array" ref="R9">IFERROR(
 _xlfn.XLOOKUP(
  A9,
  tblChecklist[TargetID],
  tblChecklist[PlayerSort],
  ""
 ),
 ""
)</f>
        <v>52</v>
      </c>
      <c r="S9" s="26" t="str">
        <f>IFERROR(__xludf.DUMMYFUNCTION("LET(
 id,A9,
 successorIDs,
  IFERROR(
   UNIQUE(
    FILTER(
     {
      Dependencies!$A$2:$A$1000;
      QuestObjectives!$A$2:$A$1000
     },
     {
      Dependencies!$B$2:$B$1000;
      QuestObjectives!$E$2:$E$1000
     }=id
    )
   ),
   """"
  ),
"&amp;" names,
  MAP(
   successorIDs,
   LAMBDA(s,
    IF(
     s="""",
     """",
     XLOOKUP(
      s,
      $A$2:$A$1000,
      $B$2:$B$1000,
      s
     )
    )
   )
  ),
 IF(
  successorIDs="""",
  """",
  TEXTJOIN("", "",TRUE,names)
 )
)"),"Alchemist's Hut Lv 5")</f>
        <v>Alchemist's Hut Lv 5</v>
      </c>
      <c r="T9" s="26" t="str">
        <f t="array" ref="T9">_xlfn.XLOOKUP(
 A9,
 tblTargets[TargetID],
 tblTargets[CompletionMethod],
 ""
)</f>
        <v>PLAYER</v>
      </c>
      <c r="U9" s="84" t="b">
        <f>COUNTIF(tblCost[TargetID],A9)&gt;0</f>
        <v>1</v>
      </c>
      <c r="V9" s="85">
        <f t="array" ref="V9">IF(
 U9=FALSE,
 "",
 _xlfn.XLOOKUP(
  A9,
  tblCost[TargetID],
  tblCost[FundingPercent],
  ""
 )
)</f>
        <v>0</v>
      </c>
      <c r="W9" s="26">
        <f t="array" ref="W9">IF(
 U9=FALSE,
 "",
 _xlfn.XLOOKUP(
  A9,
  tblCost[TargetID],
  tblCost[RemainingRequirements],
  ""
 )
)</f>
        <v>5</v>
      </c>
      <c r="X9" s="45" t="b">
        <f t="array" ref="X9">IF(
 U9=FALSE,
 "N/A",
 _xlfn.XLOOKUP(
  A10,
  tblCost[TargetID],
  tblCost[TargetFunded],
  FALSE
 )
)</f>
        <v>0</v>
      </c>
      <c r="Y9" s="26" t="str">
        <f>IFERROR(__xludf.DUMMYFUNCTION("IFERROR(
 TEXTJOIN(
  "", "",
  TRUE,
  FILTER(
   'cost checklist'!$E$2:$E1000&amp;"": ""&amp;'cost checklist'!$G$2:$G1000,
   'cost checklist'!$B$2:$B1000=A9,
   'cost checklist'!$J$2:$J1000=FALSE
  )
 ),
 """"
)"),"beam: 400, coin: 400, gunpowder: 40, ruby: 4, stone: 200")</f>
        <v>beam: 400, coin: 400, gunpowder: 40, ruby: 4, stone: 200</v>
      </c>
      <c r="Z9" s="26" t="b">
        <f>IFERROR(__xludf.DUMMYFUNCTION("IF(
 AND(
  E9=""QUEST"",
  RIGHT(A9,9)="".accepted"",
  D9=TRUE
 ),
 XLOOKUP(
  REGEXREPLACE(A9,""\.accepted$"","""")&amp;"".finished"",
  $A$2:$A1000,
  $D$2:$D1000,
  TRUE
 )=FALSE,
 FALSE
)"),FALSE)</f>
        <v>0</v>
      </c>
      <c r="AA9" s="26" t="str">
        <f>IFERROR(__xludf.DUMMYFUNCTION("LET(
 id,A9,
 successorIDs,
  IFERROR(
   UNIQUE(
    FILTER(
     {
      Dependencies!$A$2:$A$1000;
      QuestObjectives!$A$2:$A$1000
     },
     {
      Dependencies!$B$2:$B$1000;
      QuestObjectives!$E$2:$E$1000
     }=id,
     RIGHT(
      {
   "&amp;"    Dependencies!$A$2:$A$1000;
       QuestObjectives!$A$2:$A$1000
      },
      9
     )="".accepted""
    )
   ),
   """"
  ),
 isCompleted,
  MAP(
   successorIDs,
   LAMBDA(s,
    IF(
     s="""",
     TRUE,
     XLOOKUP(
      s,
      $A$2:$A$1000"&amp;",
      $D$2:$D$1000,
      FALSE
     )
    )
   )
  ),
 pendingIDs,
  IFERROR(
   FILTER(
    successorIDs,
    isCompleted=FALSE
   ),
   """"
  ),
 names,
  MAP(
   pendingIDs,
   LAMBDA(p,
    IF(
     p="""",
     """",
     SUBSTITUTE(
      XLOO"&amp;"KUP(
       p,
       $A$2:$A$1000,
       $B$2:$B$1000,
       p
      ),
      "" Accepted"",
      """"
     )
    )
   )
  ),
 IF(
  pendingIDs="""",
  """",
  TEXTJOIN("", "",TRUE,names)
 )
)"),"")</f>
        <v/>
      </c>
    </row>
    <row r="10" ht="14.25" customHeight="1">
      <c r="A10" s="26" t="s">
        <v>77</v>
      </c>
      <c r="B10" s="26" t="str">
        <f t="array" ref="B10">_xlfn.XLOOKUP(
 A10,
 tblTargets[TargetID],
 tblTargets[DisplayName],
 ""
)</f>
        <v>Alchemist's Hut Lv 5</v>
      </c>
      <c r="C10" s="26" t="str">
        <f t="shared" si="1"/>
        <v>BLOCKED</v>
      </c>
      <c r="D10" s="26" t="b">
        <f>IFERROR(__xludf.DUMMYFUNCTION("LET(
 id,A10,
 IF(
  F10=""CHARACTER"",
  LET(
   base,REGEXREPLACE(id,""@\d+$"",""""),
   required,VALUE(REGEXEXTRACT(id,""@(\d+)$"")),
   current,XLOOKUP(
    base,
    tblPlayer[PlayerStateID],
    tblPlayer[Value],
    0
   ),
   current&gt;=required
  )"&amp;",
  IF(
   T10=""AUTO"",
   L10=0,
   COUNTIFS(
    tblChecklist[TargetID],id,
    tblChecklist[PlayerCompleted],TRUE
   )&gt;0
  )
 )
)"),FALSE)</f>
        <v>0</v>
      </c>
      <c r="E10" s="26" t="str">
        <f t="array" ref="E10">_xlfn.XLOOKUP(
 A10,
 tblTargets[TargetID],
 tblTargets[TargetType],
 ""
)</f>
        <v>BUILDING</v>
      </c>
      <c r="F10" s="26" t="str">
        <f t="array" ref="F10">_xlfn.XLOOKUP(
 A10,
 tblTargets[TargetID],
 tblTargets[StateType],
 ""
)</f>
        <v/>
      </c>
      <c r="G10" s="26">
        <f>LET(
 id,A10,
 depCount,COUNTIF(tblDependencies[TargetID],id),
 objCount,COUNTIF(tblQuestObjectives[QuestTargetID],id),
 depCount+objCount
)</f>
        <v>2</v>
      </c>
      <c r="H10" s="26">
        <f t="shared" si="2"/>
        <v>2</v>
      </c>
      <c r="I10" s="26">
        <f>IFERROR(__xludf.DUMMYFUNCTION("LET(
 id,A10,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 s="26">
        <f t="shared" si="3"/>
        <v>0</v>
      </c>
      <c r="K10" s="26" t="b">
        <f t="shared" si="4"/>
        <v>0</v>
      </c>
      <c r="L10" s="26">
        <f t="shared" si="5"/>
        <v>2</v>
      </c>
      <c r="M10" s="26" t="str">
        <f>IFERROR(__xludf.DUMMYFUNCTION("LET(
 id,A10,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L10=0,
  """",
  IFERROR(INDEX(incomplete,1),"""")
 "&amp;")
)"),"building.guild@5")</f>
        <v>building.guild@5</v>
      </c>
      <c r="N10" s="26" t="str">
        <f t="array" ref="N10">IF(
 M10="",
 "",
 _xlfn.XLOOKUP(
  M10,
  tblTargets[TargetID],
  tblTargets[DisplayName],
  M10
 )
)</f>
        <v>Guild Lv 5</v>
      </c>
      <c r="O10" s="26" t="str">
        <f>IFERROR(__xludf.DUMMYFUNCTION("SWITCH(
 E10,
 ""BUILDING"",XLOOKUP(A10,tblBuildings[BuildingID],tblBuildings[costtext],""""),
 ""TECH"",XLOOKUP(A10,tblTechnologies[TechnologyID],tblTechnologies[costtext],""""),
 ""QUEST"",XLOOKUP(
  REGEXREPLACE(A10,""\.[^.]+$"",""""),
  tblQuests[Ques"&amp;"tID],
  tblQuests[Costtext],
  """"
 ),
 ""CITADEL"",XLOOKUP(A10,tblCitadel[CitadelID],tblCitadel[costtext],""""),
 ""COLLECTION"",XLOOKUP(A10,tblCollections[CollectionID],tblCollections[costtext],""""),
 ""CRAFTIFACT"",XLOOKUP(A10,tblCraftifacts[Craftifa"&amp;"ctID],tblCraftifacts[costtext],""""),
 """"
)"),"5 ruby,500 coin,440 beam,220 stone,80 gunpowder")</f>
        <v>5 ruby,500 coin,440 beam,220 stone,80 gunpowder</v>
      </c>
      <c r="P10" s="26" t="str">
        <f t="shared" si="6"/>
        <v>BLOCKED</v>
      </c>
      <c r="Q10" s="26" t="str">
        <f t="shared" si="7"/>
        <v>BLOCKED</v>
      </c>
      <c r="R10" s="26">
        <f t="array" ref="R10">IFERROR(
 _xlfn.XLOOKUP(
  A10,
  tblChecklist[TargetID],
  tblChecklist[PlayerSort],
  ""
 ),
 ""
)</f>
        <v>53</v>
      </c>
      <c r="S10" s="26" t="str">
        <f>IFERROR(__xludf.DUMMYFUNCTION("LET(
 id,A10,
 successorIDs,
  IFERROR(
   UNIQUE(
    FILTER(
     {
      Dependencies!$A$2:$A$1000;
      QuestObjectives!$A$2:$A$1000
     },
     {
      Dependencies!$B$2:$B$1000;
      QuestObjectives!$E$2:$E$1000
     }=id
    )
   ),
   """"
  ),"&amp;"
 names,
  MAP(
   successorIDs,
   LAMBDA(s,
    IF(
     s="""",
     """",
     XLOOKUP(
      s,
      $A$2:$A$1000,
      $B$2:$B$1000,
      s
     )
    )
   )
  ),
 IF(
  successorIDs="""",
  """",
  TEXTJOIN("", "",TRUE,names)
 )
)"),"Alchemist's Hut Lv 6")</f>
        <v>Alchemist's Hut Lv 6</v>
      </c>
      <c r="T10" s="26" t="str">
        <f t="array" ref="T10">_xlfn.XLOOKUP(
 A10,
 tblTargets[TargetID],
 tblTargets[CompletionMethod],
 ""
)</f>
        <v>PLAYER</v>
      </c>
      <c r="U10" s="84" t="b">
        <f>COUNTIF(tblCost[TargetID],A10)&gt;0</f>
        <v>1</v>
      </c>
      <c r="V10" s="85">
        <f t="array" ref="V10">IF(
 U10=FALSE,
 "",
 _xlfn.XLOOKUP(
  A10,
  tblCost[TargetID],
  tblCost[FundingPercent],
  ""
 )
)</f>
        <v>0</v>
      </c>
      <c r="W10" s="26">
        <f t="array" ref="W10">IF(
 U10=FALSE,
 "",
 _xlfn.XLOOKUP(
  A10,
  tblCost[TargetID],
  tblCost[RemainingRequirements],
  ""
 )
)</f>
        <v>5</v>
      </c>
      <c r="X10" s="45" t="b">
        <f t="array" ref="X10">IF(
 U10=FALSE,
 "N/A",
 _xlfn.XLOOKUP(
  A11,
  tblCost[TargetID],
  tblCost[TargetFunded],
  FALSE
 )
)</f>
        <v>0</v>
      </c>
      <c r="Y10" s="26" t="str">
        <f>IFERROR(__xludf.DUMMYFUNCTION("IFERROR(
 TEXTJOIN(
  "", "",
  TRUE,
  FILTER(
   'cost checklist'!$E$2:$E1000&amp;"": ""&amp;'cost checklist'!$G$2:$G1000,
   'cost checklist'!$B$2:$B1000=A10,
   'cost checklist'!$J$2:$J1000=FALSE
  )
 ),
 """"
)"),"beam: 440, coin: 500, gunpowder: 80, ruby: 5, stone: 220")</f>
        <v>beam: 440, coin: 500, gunpowder: 80, ruby: 5, stone: 220</v>
      </c>
      <c r="Z10" s="26" t="b">
        <f>IFERROR(__xludf.DUMMYFUNCTION("IF(
 AND(
  E10=""QUEST"",
  RIGHT(A10,9)="".accepted"",
  D10=TRUE
 ),
 XLOOKUP(
  REGEXREPLACE(A10,""\.accepted$"","""")&amp;"".finished"",
  $A$2:$A1000,
  $D$2:$D1000,
  TRUE
 )=FALSE,
 FALSE
)"),FALSE)</f>
        <v>0</v>
      </c>
      <c r="AA10" s="26" t="str">
        <f>IFERROR(__xludf.DUMMYFUNCTION("LET(
 id,A10,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1" ht="14.25" customHeight="1">
      <c r="A11" s="26" t="s">
        <v>81</v>
      </c>
      <c r="B11" s="26" t="str">
        <f t="array" ref="B11">_xlfn.XLOOKUP(
 A11,
 tblTargets[TargetID],
 tblTargets[DisplayName],
 ""
)</f>
        <v>Alchemist's Hut Lv 6</v>
      </c>
      <c r="C11" s="26" t="str">
        <f t="shared" si="1"/>
        <v>BLOCKED</v>
      </c>
      <c r="D11" s="26" t="b">
        <f>IFERROR(__xludf.DUMMYFUNCTION("LET(
 id,A11,
 IF(
  F11=""CHARACTER"",
  LET(
   base,REGEXREPLACE(id,""@\d+$"",""""),
   required,VALUE(REGEXEXTRACT(id,""@(\d+)$"")),
   current,XLOOKUP(
    base,
    tblPlayer[PlayerStateID],
    tblPlayer[Value],
    0
   ),
   current&gt;=required
  )"&amp;",
  IF(
   T11=""AUTO"",
   L11=0,
   COUNTIFS(
    tblChecklist[TargetID],id,
    tblChecklist[PlayerCompleted],TRUE
   )&gt;0
  )
 )
)"),FALSE)</f>
        <v>0</v>
      </c>
      <c r="E11" s="26" t="str">
        <f t="array" ref="E11">_xlfn.XLOOKUP(
 A11,
 tblTargets[TargetID],
 tblTargets[TargetType],
 ""
)</f>
        <v>BUILDING</v>
      </c>
      <c r="F11" s="26" t="str">
        <f t="array" ref="F11">_xlfn.XLOOKUP(
 A11,
 tblTargets[TargetID],
 tblTargets[StateType],
 ""
)</f>
        <v/>
      </c>
      <c r="G11" s="26">
        <f>LET(
 id,A11,
 depCount,COUNTIF(tblDependencies[TargetID],id),
 objCount,COUNTIF(tblQuestObjectives[QuestTargetID],id),
 depCount+objCount
)</f>
        <v>2</v>
      </c>
      <c r="H11" s="26">
        <f t="shared" si="2"/>
        <v>2</v>
      </c>
      <c r="I11" s="26">
        <f>IFERROR(__xludf.DUMMYFUNCTION("LET(
 id,A11,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 s="26">
        <f t="shared" si="3"/>
        <v>0</v>
      </c>
      <c r="K11" s="26" t="b">
        <f t="shared" si="4"/>
        <v>0</v>
      </c>
      <c r="L11" s="26">
        <f t="shared" si="5"/>
        <v>2</v>
      </c>
      <c r="M11" s="26" t="str">
        <f>IFERROR(__xludf.DUMMYFUNCTION("LET(
 id,A11,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L11=0,
  """",
  IFERROR(INDEX(incomplete,1),"""")
 "&amp;")
)"),"building.alchemists_hut@5")</f>
        <v>building.alchemists_hut@5</v>
      </c>
      <c r="N11" s="26" t="str">
        <f t="array" ref="N11">IF(
 M11="",
 "",
 _xlfn.XLOOKUP(
  M11,
  tblTargets[TargetID],
  tblTargets[DisplayName],
  M11
 )
)</f>
        <v>Alchemist's Hut Lv 5</v>
      </c>
      <c r="O11" s="26" t="str">
        <f>IFERROR(__xludf.DUMMYFUNCTION("SWITCH(
 E11,
 ""BUILDING"",XLOOKUP(A11,tblBuildings[BuildingID],tblBuildings[costtext],""""),
 ""TECH"",XLOOKUP(A11,tblTechnologies[TechnologyID],tblTechnologies[costtext],""""),
 ""QUEST"",XLOOKUP(
  REGEXREPLACE(A11,""\.[^.]+$"",""""),
  tblQuests[Ques"&amp;"tID],
  tblQuests[Costtext],
  """"
 ),
 ""CITADEL"",XLOOKUP(A11,tblCitadel[CitadelID],tblCitadel[costtext],""""),
 ""COLLECTION"",XLOOKUP(A11,tblCollections[CollectionID],tblCollections[costtext],""""),
 ""CRAFTIFACT"",XLOOKUP(A11,tblCraftifacts[Craftifa"&amp;"ctID],tblCraftifacts[costtext],""""),
 """"
)"),"6 ruby,1000 coin,800 beam,400 stone,200 chemicals,50 glass")</f>
        <v>6 ruby,1000 coin,800 beam,400 stone,200 chemicals,50 glass</v>
      </c>
      <c r="P11" s="26" t="str">
        <f t="shared" si="6"/>
        <v>BLOCKED</v>
      </c>
      <c r="Q11" s="26" t="str">
        <f t="shared" si="7"/>
        <v>BLOCKED</v>
      </c>
      <c r="R11" s="26">
        <f t="array" ref="R11">IFERROR(
 _xlfn.XLOOKUP(
  A11,
  tblChecklist[TargetID],
  tblChecklist[PlayerSort],
  ""
 ),
 ""
)</f>
        <v>54</v>
      </c>
      <c r="S11" s="26" t="str">
        <f>IFERROR(__xludf.DUMMYFUNCTION("LET(
 id,A11,
 successorIDs,
  IFERROR(
   UNIQUE(
    FILTER(
     {
      Dependencies!$A$2:$A$1000;
      QuestObjectives!$A$2:$A$1000
     },
     {
      Dependencies!$B$2:$B$1000;
      QuestObjectives!$E$2:$E$1000
     }=id
    )
   ),
   """"
  ),"&amp;"
 names,
  MAP(
   successorIDs,
   LAMBDA(s,
    IF(
     s="""",
     """",
     XLOOKUP(
      s,
      $A$2:$A$1000,
      $B$2:$B$1000,
      s
     )
    )
   )
  ),
 IF(
  successorIDs="""",
  """",
  TEXTJOIN("", "",TRUE,names)
 )
)"),"Alchemists Hut maxed, Flamethrower, Tetrachloroaurate")</f>
        <v>Alchemists Hut maxed, Flamethrower, Tetrachloroaurate</v>
      </c>
      <c r="T11" s="26" t="str">
        <f t="array" ref="T11">_xlfn.XLOOKUP(
 A11,
 tblTargets[TargetID],
 tblTargets[CompletionMethod],
 ""
)</f>
        <v>PLAYER</v>
      </c>
      <c r="U11" s="84" t="b">
        <f>COUNTIF(tblCost[TargetID],A11)&gt;0</f>
        <v>1</v>
      </c>
      <c r="V11" s="85">
        <f t="array" ref="V11">IF(
 U11=FALSE,
 "",
 _xlfn.XLOOKUP(
  A11,
  tblCost[TargetID],
  tblCost[FundingPercent],
  ""
 )
)</f>
        <v>0</v>
      </c>
      <c r="W11" s="26">
        <f t="array" ref="W11">IF(
 U11=FALSE,
 "",
 _xlfn.XLOOKUP(
  A11,
  tblCost[TargetID],
  tblCost[RemainingRequirements],
  ""
 )
)</f>
        <v>6</v>
      </c>
      <c r="X11" s="45" t="b">
        <f t="array" ref="X11">IF(
 U11=FALSE,
 "N/A",
 _xlfn.XLOOKUP(
  A12,
  tblCost[TargetID],
  tblCost[TargetFunded],
  FALSE
 )
)</f>
        <v>0</v>
      </c>
      <c r="Y11" s="26" t="str">
        <f>IFERROR(__xludf.DUMMYFUNCTION("IFERROR(
 TEXTJOIN(
  "", "",
  TRUE,
  FILTER(
   'cost checklist'!$E$2:$E1000&amp;"": ""&amp;'cost checklist'!$G$2:$G1000,
   'cost checklist'!$B$2:$B1000=A11,
   'cost checklist'!$J$2:$J1000=FALSE
  )
 ),
 """"
)"),"beam: 800, chemicals: 200, coin: 1000, glass: 50, ruby: 6, stone: 400")</f>
        <v>beam: 800, chemicals: 200, coin: 1000, glass: 50, ruby: 6, stone: 400</v>
      </c>
      <c r="Z11" s="26" t="b">
        <f>IFERROR(__xludf.DUMMYFUNCTION("IF(
 AND(
  E11=""QUEST"",
  RIGHT(A11,9)="".accepted"",
  D11=TRUE
 ),
 XLOOKUP(
  REGEXREPLACE(A11,""\.accepted$"","""")&amp;"".finished"",
  $A$2:$A1000,
  $D$2:$D1000,
  TRUE
 )=FALSE,
 FALSE
)"),FALSE)</f>
        <v>0</v>
      </c>
      <c r="AA11" s="26" t="str">
        <f>IFERROR(__xludf.DUMMYFUNCTION("LET(
 id,A11,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2" ht="14.25" customHeight="1">
      <c r="A12" s="26" t="s">
        <v>85</v>
      </c>
      <c r="B12" s="26" t="str">
        <f t="array" ref="B12">_xlfn.XLOOKUP(
 A12,
 tblTargets[TargetID],
 tblTargets[DisplayName],
 ""
)</f>
        <v>Bonsai Lv 1</v>
      </c>
      <c r="C12" s="26" t="str">
        <f t="shared" si="1"/>
        <v>BLOCKED</v>
      </c>
      <c r="D12" s="26" t="b">
        <f>IFERROR(__xludf.DUMMYFUNCTION("LET(
 id,A12,
 IF(
  F12=""CHARACTER"",
  LET(
   base,REGEXREPLACE(id,""@\d+$"",""""),
   required,VALUE(REGEXEXTRACT(id,""@(\d+)$"")),
   current,XLOOKUP(
    base,
    tblPlayer[PlayerStateID],
    tblPlayer[Value],
    0
   ),
   current&gt;=required
  )"&amp;",
  IF(
   T12=""AUTO"",
   L12=0,
   COUNTIFS(
    tblChecklist[TargetID],id,
    tblChecklist[PlayerCompleted],TRUE
   )&gt;0
  )
 )
)"),FALSE)</f>
        <v>0</v>
      </c>
      <c r="E12" s="26" t="str">
        <f t="array" ref="E12">_xlfn.XLOOKUP(
 A12,
 tblTargets[TargetID],
 tblTargets[TargetType],
 ""
)</f>
        <v>BUILDING</v>
      </c>
      <c r="F12" s="26" t="str">
        <f t="array" ref="F12">_xlfn.XLOOKUP(
 A12,
 tblTargets[TargetID],
 tblTargets[StateType],
 ""
)</f>
        <v/>
      </c>
      <c r="G12" s="26">
        <f>LET(
 id,A12,
 depCount,COUNTIF(tblDependencies[TargetID],id),
 objCount,COUNTIF(tblQuestObjectives[QuestTargetID],id),
 depCount+objCount
)</f>
        <v>1</v>
      </c>
      <c r="H12" s="26">
        <f t="shared" si="2"/>
        <v>1</v>
      </c>
      <c r="I12" s="26">
        <f>IFERROR(__xludf.DUMMYFUNCTION("LET(
 id,A12,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 s="26">
        <f t="shared" si="3"/>
        <v>0</v>
      </c>
      <c r="K12" s="26" t="b">
        <f t="shared" si="4"/>
        <v>0</v>
      </c>
      <c r="L12" s="26">
        <f t="shared" si="5"/>
        <v>1</v>
      </c>
      <c r="M12" s="26" t="str">
        <f>IFERROR(__xludf.DUMMYFUNCTION("LET(
 id,A12,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L12=0,
  """",
  IFERROR(INDEX(incomplete,1),"""")
 "&amp;")
)"),"state.character_level@21")</f>
        <v>state.character_level@21</v>
      </c>
      <c r="N12" s="26" t="str">
        <f t="array" ref="N12">IF(
 M12="",
 "",
 _xlfn.XLOOKUP(
  M12,
  tblTargets[TargetID],
  tblTargets[DisplayName],
  M12
 )
)</f>
        <v>Character Level@21</v>
      </c>
      <c r="O12" s="26" t="str">
        <f>IFERROR(__xludf.DUMMYFUNCTION("SWITCH(
 E12,
 ""BUILDING"",XLOOKUP(A12,tblBuildings[BuildingID],tblBuildings[costtext],""""),
 ""TECH"",XLOOKUP(A12,tblTechnologies[TechnologyID],tblTechnologies[costtext],""""),
 ""QUEST"",XLOOKUP(
  REGEXREPLACE(A12,""\.[^.]+$"",""""),
  tblQuests[Ques"&amp;"tID],
  tblQuests[Costtext],
  """"
 ),
 ""CITADEL"",XLOOKUP(A12,tblCitadel[CitadelID],tblCitadel[costtext],""""),
 ""COLLECTION"",XLOOKUP(A12,tblCollections[CollectionID],tblCollections[costtext],""""),
 ""CRAFTIFACT"",XLOOKUP(A12,tblCraftifacts[Craftifa"&amp;"ctID],tblCraftifacts[costtext],""""),
 """"
)"),"3 ruby,500 coin,500 plank,120 beans")</f>
        <v>3 ruby,500 coin,500 plank,120 beans</v>
      </c>
      <c r="P12" s="26" t="str">
        <f t="shared" si="6"/>
        <v>READY</v>
      </c>
      <c r="Q12" s="26" t="str">
        <f t="shared" si="7"/>
        <v>ONE AWAY</v>
      </c>
      <c r="R12" s="26">
        <f t="array" ref="R12">IFERROR(
 _xlfn.XLOOKUP(
  A12,
  tblChecklist[TargetID],
  tblChecklist[PlayerSort],
  ""
 ),
 ""
)</f>
        <v>89</v>
      </c>
      <c r="S12" s="26" t="str">
        <f>IFERROR(__xludf.DUMMYFUNCTION("LET(
 id,A12,
 successorIDs,
  IFERROR(
   UNIQUE(
    FILTER(
     {
      Dependencies!$A$2:$A$1000;
      QuestObjectives!$A$2:$A$1000
     },
     {
      Dependencies!$B$2:$B$1000;
      QuestObjectives!$E$2:$E$1000
     }=id
    )
   ),
   """"
  ),"&amp;"
 names,
  MAP(
   successorIDs,
   LAMBDA(s,
    IF(
     s="""",
     """",
     XLOOKUP(
      s,
      $A$2:$A$1000,
      $B$2:$B$1000,
      s
     )
    )
   )
  ),
 IF(
  successorIDs="""",
  """",
  TEXTJOIN("", "",TRUE,names)
 )
)"),"Bonsai Lv 2")</f>
        <v>Bonsai Lv 2</v>
      </c>
      <c r="T12" s="26" t="str">
        <f t="array" ref="T12">_xlfn.XLOOKUP(
 A12,
 tblTargets[TargetID],
 tblTargets[CompletionMethod],
 ""
)</f>
        <v>PLAYER</v>
      </c>
      <c r="U12" s="84" t="b">
        <f>COUNTIF(tblCost[TargetID],A12)&gt;0</f>
        <v>1</v>
      </c>
      <c r="V12" s="85">
        <f t="array" ref="V12">IF(
 U12=FALSE,
 "",
 _xlfn.XLOOKUP(
  A12,
  tblCost[TargetID],
  tblCost[FundingPercent],
  ""
 )
)</f>
        <v>0</v>
      </c>
      <c r="W12" s="26">
        <f t="array" ref="W12">IF(
 U12=FALSE,
 "",
 _xlfn.XLOOKUP(
  A12,
  tblCost[TargetID],
  tblCost[RemainingRequirements],
  ""
 )
)</f>
        <v>4</v>
      </c>
      <c r="X12" s="45" t="b">
        <f t="array" ref="X12">IF(
 U12=FALSE,
 "N/A",
 _xlfn.XLOOKUP(
  A13,
  tblCost[TargetID],
  tblCost[TargetFunded],
  FALSE
 )
)</f>
        <v>0</v>
      </c>
      <c r="Y12" s="26" t="str">
        <f>IFERROR(__xludf.DUMMYFUNCTION("IFERROR(
 TEXTJOIN(
  "", "",
  TRUE,
  FILTER(
   'cost checklist'!$E$2:$E1000&amp;"": ""&amp;'cost checklist'!$G$2:$G1000,
   'cost checklist'!$B$2:$B1000=A12,
   'cost checklist'!$J$2:$J1000=FALSE
  )
 ),
 """"
)"),"beans: 120, coin: 500, plank: 500, ruby: 3")</f>
        <v>beans: 120, coin: 500, plank: 500, ruby: 3</v>
      </c>
      <c r="Z12" s="26" t="b">
        <f>IFERROR(__xludf.DUMMYFUNCTION("IF(
 AND(
  E12=""QUEST"",
  RIGHT(A12,9)="".accepted"",
  D12=TRUE
 ),
 XLOOKUP(
  REGEXREPLACE(A12,""\.accepted$"","""")&amp;"".finished"",
  $A$2:$A1000,
  $D$2:$D1000,
  TRUE
 )=FALSE,
 FALSE
)"),FALSE)</f>
        <v>0</v>
      </c>
      <c r="AA12" s="26" t="str">
        <f>IFERROR(__xludf.DUMMYFUNCTION("LET(
 id,A12,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3" ht="14.25" customHeight="1">
      <c r="A13" s="26" t="s">
        <v>90</v>
      </c>
      <c r="B13" s="26" t="str">
        <f t="array" ref="B13">_xlfn.XLOOKUP(
 A13,
 tblTargets[TargetID],
 tblTargets[DisplayName],
 ""
)</f>
        <v>Bonsai Lv 2</v>
      </c>
      <c r="C13" s="26" t="str">
        <f t="shared" si="1"/>
        <v>BLOCKED</v>
      </c>
      <c r="D13" s="26" t="b">
        <f>IFERROR(__xludf.DUMMYFUNCTION("LET(
 id,A13,
 IF(
  F13=""CHARACTER"",
  LET(
   base,REGEXREPLACE(id,""@\d+$"",""""),
   required,VALUE(REGEXEXTRACT(id,""@(\d+)$"")),
   current,XLOOKUP(
    base,
    tblPlayer[PlayerStateID],
    tblPlayer[Value],
    0
   ),
   current&gt;=required
  )"&amp;",
  IF(
   T13=""AUTO"",
   L13=0,
   COUNTIFS(
    tblChecklist[TargetID],id,
    tblChecklist[PlayerCompleted],TRUE
   )&gt;0
  )
 )
)"),FALSE)</f>
        <v>0</v>
      </c>
      <c r="E13" s="26" t="str">
        <f t="array" ref="E13">_xlfn.XLOOKUP(
 A13,
 tblTargets[TargetID],
 tblTargets[TargetType],
 ""
)</f>
        <v>BUILDING</v>
      </c>
      <c r="F13" s="26" t="str">
        <f t="array" ref="F13">_xlfn.XLOOKUP(
 A13,
 tblTargets[TargetID],
 tblTargets[StateType],
 ""
)</f>
        <v/>
      </c>
      <c r="G13" s="26">
        <f>LET(
 id,A13,
 depCount,COUNTIF(tblDependencies[TargetID],id),
 objCount,COUNTIF(tblQuestObjectives[QuestTargetID],id),
 depCount+objCount
)</f>
        <v>1</v>
      </c>
      <c r="H13" s="26">
        <f t="shared" si="2"/>
        <v>1</v>
      </c>
      <c r="I13" s="26">
        <f>IFERROR(__xludf.DUMMYFUNCTION("LET(
 id,A13,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 s="26">
        <f t="shared" si="3"/>
        <v>0</v>
      </c>
      <c r="K13" s="26" t="b">
        <f t="shared" si="4"/>
        <v>0</v>
      </c>
      <c r="L13" s="26">
        <f t="shared" si="5"/>
        <v>1</v>
      </c>
      <c r="M13" s="26" t="str">
        <f>IFERROR(__xludf.DUMMYFUNCTION("LET(
 id,A13,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L13=0,
  """",
  IFERROR(INDEX(incomplete,1),"""")
 "&amp;")
)"),"building.bonsai@1")</f>
        <v>building.bonsai@1</v>
      </c>
      <c r="N13" s="26" t="str">
        <f t="array" ref="N13">IF(
 M13="",
 "",
 _xlfn.XLOOKUP(
  M13,
  tblTargets[TargetID],
  tblTargets[DisplayName],
  M13
 )
)</f>
        <v>Bonsai Lv 1</v>
      </c>
      <c r="O13" s="26" t="str">
        <f>IFERROR(__xludf.DUMMYFUNCTION("SWITCH(
 E13,
 ""BUILDING"",XLOOKUP(A13,tblBuildings[BuildingID],tblBuildings[costtext],""""),
 ""TECH"",XLOOKUP(A13,tblTechnologies[TechnologyID],tblTechnologies[costtext],""""),
 ""QUEST"",XLOOKUP(
  REGEXREPLACE(A13,""\.[^.]+$"",""""),
  tblQuests[Ques"&amp;"tID],
  tblQuests[Costtext],
  """"
 ),
 ""CITADEL"",XLOOKUP(A13,tblCitadel[CitadelID],tblCitadel[costtext],""""),
 ""COLLECTION"",XLOOKUP(A13,tblCollections[CollectionID],tblCollections[costtext],""""),
 ""CRAFTIFACT"",XLOOKUP(A13,tblCraftifacts[Craftifa"&amp;"ctID],tblCraftifacts[costtext],""""),
 """"
)"),"5 ruby,800 coin,600 plank,240 beans,150 chemicals")</f>
        <v>5 ruby,800 coin,600 plank,240 beans,150 chemicals</v>
      </c>
      <c r="P13" s="26" t="str">
        <f t="shared" si="6"/>
        <v>BLOCKED</v>
      </c>
      <c r="Q13" s="26" t="str">
        <f t="shared" si="7"/>
        <v>BLOCKED</v>
      </c>
      <c r="R13" s="26">
        <f t="array" ref="R13">IFERROR(
 _xlfn.XLOOKUP(
  A13,
  tblChecklist[TargetID],
  tblChecklist[PlayerSort],
  ""
 ),
 ""
)</f>
        <v>90</v>
      </c>
      <c r="S13" s="26" t="str">
        <f>IFERROR(__xludf.DUMMYFUNCTION("LET(
 id,A13,
 successorIDs,
  IFERROR(
   UNIQUE(
    FILTER(
     {
      Dependencies!$A$2:$A$1000;
      QuestObjectives!$A$2:$A$1000
     },
     {
      Dependencies!$B$2:$B$1000;
      QuestObjectives!$E$2:$E$1000
     }=id
    )
   ),
   """"
  ),"&amp;"
 names,
  MAP(
   successorIDs,
   LAMBDA(s,
    IF(
     s="""",
     """",
     XLOOKUP(
      s,
      $A$2:$A$1000,
      $B$2:$B$1000,
      s
     )
    )
   )
  ),
 IF(
  successorIDs="""",
  """",
  TEXTJOIN("", "",TRUE,names)
 )
)"),"")</f>
        <v/>
      </c>
      <c r="T13" s="26" t="str">
        <f t="array" ref="T13">_xlfn.XLOOKUP(
 A13,
 tblTargets[TargetID],
 tblTargets[CompletionMethod],
 ""
)</f>
        <v>PLAYER</v>
      </c>
      <c r="U13" s="84" t="b">
        <f>COUNTIF(tblCost[TargetID],A13)&gt;0</f>
        <v>1</v>
      </c>
      <c r="V13" s="85">
        <f t="array" ref="V13">IF(
 U13=FALSE,
 "",
 _xlfn.XLOOKUP(
  A13,
  tblCost[TargetID],
  tblCost[FundingPercent],
  ""
 )
)</f>
        <v>0</v>
      </c>
      <c r="W13" s="26">
        <f t="array" ref="W13">IF(
 U13=FALSE,
 "",
 _xlfn.XLOOKUP(
  A13,
  tblCost[TargetID],
  tblCost[RemainingRequirements],
  ""
 )
)</f>
        <v>5</v>
      </c>
      <c r="X13" s="45" t="b">
        <f t="array" ref="X13">IF(
 U13=FALSE,
 "N/A",
 _xlfn.XLOOKUP(
  A14,
  tblCost[TargetID],
  tblCost[TargetFunded],
  FALSE
 )
)</f>
        <v>0</v>
      </c>
      <c r="Y13" s="26" t="str">
        <f>IFERROR(__xludf.DUMMYFUNCTION("IFERROR(
 TEXTJOIN(
  "", "",
  TRUE,
  FILTER(
   'cost checklist'!$E$2:$E1000&amp;"": ""&amp;'cost checklist'!$G$2:$G1000,
   'cost checklist'!$B$2:$B1000=A13,
   'cost checklist'!$J$2:$J1000=FALSE
  )
 ),
 """"
)"),"beans: 240, chemicals: 150, coin: 800, plank: 600, ruby: 5")</f>
        <v>beans: 240, chemicals: 150, coin: 800, plank: 600, ruby: 5</v>
      </c>
      <c r="Z13" s="26" t="b">
        <f>IFERROR(__xludf.DUMMYFUNCTION("IF(
 AND(
  E13=""QUEST"",
  RIGHT(A13,9)="".accepted"",
  D13=TRUE
 ),
 XLOOKUP(
  REGEXREPLACE(A13,""\.accepted$"","""")&amp;"".finished"",
  $A$2:$A1000,
  $D$2:$D1000,
  TRUE
 )=FALSE,
 FALSE
)"),FALSE)</f>
        <v>0</v>
      </c>
      <c r="AA13" s="26" t="str">
        <f>IFERROR(__xludf.DUMMYFUNCTION("LET(
 id,A13,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4" ht="14.25" customHeight="1">
      <c r="A14" s="26" t="s">
        <v>659</v>
      </c>
      <c r="B14" s="26" t="str">
        <f t="array" ref="B14">_xlfn.XLOOKUP(
 A14,
 tblTargets[TargetID],
 tblTargets[DisplayName],
 ""
)</f>
        <v>Bridge maxed</v>
      </c>
      <c r="C14" s="26" t="str">
        <f t="shared" si="1"/>
        <v>BLOCKED</v>
      </c>
      <c r="D14" s="26" t="b">
        <f>IFERROR(__xludf.DUMMYFUNCTION("LET(
 id,A14,
 IF(
  F14=""CHARACTER"",
  LET(
   base,REGEXREPLACE(id,""@\d+$"",""""),
   required,VALUE(REGEXEXTRACT(id,""@(\d+)$"")),
   current,XLOOKUP(
    base,
    tblPlayer[PlayerStateID],
    tblPlayer[Value],
    0
   ),
   current&gt;=required
  )"&amp;",
  IF(
   T14=""AUTO"",
   L14=0,
   COUNTIFS(
    tblChecklist[TargetID],id,
    tblChecklist[PlayerCompleted],TRUE
   )&gt;0
  )
 )
)"),FALSE)</f>
        <v>0</v>
      </c>
      <c r="E14" s="26" t="str">
        <f t="array" ref="E14">_xlfn.XLOOKUP(
 A14,
 tblTargets[TargetID],
 tblTargets[TargetType],
 ""
)</f>
        <v>BUILDING</v>
      </c>
      <c r="F14" s="26" t="str">
        <f t="array" ref="F14">_xlfn.XLOOKUP(
 A14,
 tblTargets[TargetID],
 tblTargets[StateType],
 ""
)</f>
        <v/>
      </c>
      <c r="G14" s="26">
        <f>LET(
 id,A14,
 depCount,COUNTIF(tblDependencies[TargetID],id),
 objCount,COUNTIF(tblQuestObjectives[QuestTargetID],id),
 depCount+objCount
)</f>
        <v>1</v>
      </c>
      <c r="H14" s="26">
        <f t="shared" si="2"/>
        <v>1</v>
      </c>
      <c r="I14" s="26">
        <f>IFERROR(__xludf.DUMMYFUNCTION("LET(
 id,A14,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 s="26">
        <f t="shared" si="3"/>
        <v>0</v>
      </c>
      <c r="K14" s="26" t="b">
        <f t="shared" si="4"/>
        <v>0</v>
      </c>
      <c r="L14" s="26">
        <f t="shared" si="5"/>
        <v>1</v>
      </c>
      <c r="M14" s="26" t="str">
        <f>IFERROR(__xludf.DUMMYFUNCTION("LET(
 id,A14,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L14=0,
  """",
  IFERROR(INDEX(incomplete,1),"""")
 "&amp;")
)"),"building.bridge@1")</f>
        <v>building.bridge@1</v>
      </c>
      <c r="N14" s="26" t="str">
        <f t="array" ref="N14">IF(
 M14="",
 "",
 _xlfn.XLOOKUP(
  M14,
  tblTargets[TargetID],
  tblTargets[DisplayName],
  M14
 )
)</f>
        <v>Bridge Lv 1</v>
      </c>
      <c r="O14" s="26" t="str">
        <f>IFERROR(__xludf.DUMMYFUNCTION("SWITCH(
 E14,
 ""BUILDING"",XLOOKUP(A14,tblBuildings[BuildingID],tblBuildings[costtext],""""),
 ""TECH"",XLOOKUP(A14,tblTechnologies[TechnologyID],tblTechnologies[costtext],""""),
 ""QUEST"",XLOOKUP(
  REGEXREPLACE(A14,""\.[^.]+$"",""""),
  tblQuests[Ques"&amp;"tID],
  tblQuests[Costtext],
  """"
 ),
 ""CITADEL"",XLOOKUP(A14,tblCitadel[CitadelID],tblCitadel[costtext],""""),
 ""COLLECTION"",XLOOKUP(A14,tblCollections[CollectionID],tblCollections[costtext],""""),
 ""CRAFTIFACT"",XLOOKUP(A14,tblCraftifacts[Craftifa"&amp;"ctID],tblCraftifacts[costtext],""""),
 """"
)"),"")</f>
        <v/>
      </c>
      <c r="P14" s="26" t="str">
        <f t="shared" si="6"/>
        <v>BLOCKED</v>
      </c>
      <c r="Q14" s="26" t="str">
        <f t="shared" si="7"/>
        <v>BLOCKED</v>
      </c>
      <c r="R14" s="26" t="str">
        <f t="array" ref="R14">IFERROR(
 _xlfn.XLOOKUP(
  A14,
  tblChecklist[TargetID],
  tblChecklist[PlayerSort],
  ""
 ),
 ""
)</f>
        <v/>
      </c>
      <c r="S14" s="26" t="str">
        <f>IFERROR(__xludf.DUMMYFUNCTION("LET(
 id,A14,
 successorIDs,
  IFERROR(
   UNIQUE(
    FILTER(
     {
      Dependencies!$A$2:$A$1000;
      QuestObjectives!$A$2:$A$1000
     },
     {
      Dependencies!$B$2:$B$1000;
      QuestObjectives!$E$2:$E$1000
     }=id
    )
   ),
   """"
  ),"&amp;"
 names,
  MAP(
   successorIDs,
   LAMBDA(s,
    IF(
     s="""",
     """",
     XLOOKUP(
      s,
      $A$2:$A$1000,
      $B$2:$B$1000,
      s
     )
    )
   )
  ),
 IF(
  successorIDs="""",
  """",
  TEXTJOIN("", "",TRUE,names)
 )
)"),"Bridge - Koi Fish, Bridge - Salmon Farming")</f>
        <v>Bridge - Koi Fish, Bridge - Salmon Farming</v>
      </c>
      <c r="T14" s="26" t="str">
        <f t="array" ref="T14">_xlfn.XLOOKUP(
 A14,
 tblTargets[TargetID],
 tblTargets[CompletionMethod],
 ""
)</f>
        <v>AUTO</v>
      </c>
      <c r="U14" s="84" t="b">
        <f>COUNTIF(tblCost[TargetID],A14)&gt;0</f>
        <v>0</v>
      </c>
      <c r="V14" s="85" t="str">
        <f t="array" ref="V14">IF(
 U14=FALSE,
 "",
 _xlfn.XLOOKUP(
  A14,
  tblCost[TargetID],
  tblCost[FundingPercent],
  ""
 )
)</f>
        <v/>
      </c>
      <c r="W14" s="26" t="str">
        <f t="array" ref="W14">IF(
 U14=FALSE,
 "",
 _xlfn.XLOOKUP(
  A14,
  tblCost[TargetID],
  tblCost[RemainingRequirements],
  ""
 )
)</f>
        <v/>
      </c>
      <c r="X14" s="45" t="str">
        <f t="array" ref="X14">IF(
 U14=FALSE,
 "N/A",
 _xlfn.XLOOKUP(
  A15,
  tblCost[TargetID],
  tblCost[TargetFunded],
  FALSE
 )
)</f>
        <v>N/A</v>
      </c>
      <c r="Y14" s="26" t="str">
        <f>IFERROR(__xludf.DUMMYFUNCTION("IFERROR(
 TEXTJOIN(
  "", "",
  TRUE,
  FILTER(
   'cost checklist'!$E$2:$E1000&amp;"": ""&amp;'cost checklist'!$G$2:$G1000,
   'cost checklist'!$B$2:$B1000=A14,
   'cost checklist'!$J$2:$J1000=FALSE
  )
 ),
 """"
)"),"")</f>
        <v/>
      </c>
      <c r="Z14" s="26" t="b">
        <f>IFERROR(__xludf.DUMMYFUNCTION("IF(
 AND(
  E14=""QUEST"",
  RIGHT(A14,9)="".accepted"",
  D14=TRUE
 ),
 XLOOKUP(
  REGEXREPLACE(A14,""\.accepted$"","""")&amp;"".finished"",
  $A$2:$A1000,
  $D$2:$D1000,
  TRUE
 )=FALSE,
 FALSE
)"),FALSE)</f>
        <v>0</v>
      </c>
      <c r="AA14" s="26" t="str">
        <f>IFERROR(__xludf.DUMMYFUNCTION("LET(
 id,A14,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5" ht="14.25" customHeight="1">
      <c r="A15" s="26" t="s">
        <v>96</v>
      </c>
      <c r="B15" s="26" t="str">
        <f t="array" ref="B15">_xlfn.XLOOKUP(
 A15,
 tblTargets[TargetID],
 tblTargets[DisplayName],
 ""
)</f>
        <v>Bridge Lv 1</v>
      </c>
      <c r="C15" s="26" t="str">
        <f t="shared" si="1"/>
        <v>BLOCKED</v>
      </c>
      <c r="D15" s="26" t="b">
        <f>IFERROR(__xludf.DUMMYFUNCTION("LET(
 id,A15,
 IF(
  F15=""CHARACTER"",
  LET(
   base,REGEXREPLACE(id,""@\d+$"",""""),
   required,VALUE(REGEXEXTRACT(id,""@(\d+)$"")),
   current,XLOOKUP(
    base,
    tblPlayer[PlayerStateID],
    tblPlayer[Value],
    0
   ),
   current&gt;=required
  )"&amp;",
  IF(
   T15=""AUTO"",
   L15=0,
   COUNTIFS(
    tblChecklist[TargetID],id,
    tblChecklist[PlayerCompleted],TRUE
   )&gt;0
  )
 )
)"),FALSE)</f>
        <v>0</v>
      </c>
      <c r="E15" s="26" t="str">
        <f t="array" ref="E15">_xlfn.XLOOKUP(
 A15,
 tblTargets[TargetID],
 tblTargets[TargetType],
 ""
)</f>
        <v>BUILDING</v>
      </c>
      <c r="F15" s="26" t="str">
        <f t="array" ref="F15">_xlfn.XLOOKUP(
 A15,
 tblTargets[TargetID],
 tblTargets[StateType],
 ""
)</f>
        <v/>
      </c>
      <c r="G15" s="26">
        <f>LET(
 id,A15,
 depCount,COUNTIF(tblDependencies[TargetID],id),
 objCount,COUNTIF(tblQuestObjectives[QuestTargetID],id),
 depCount+objCount
)</f>
        <v>1</v>
      </c>
      <c r="H15" s="26">
        <f t="shared" si="2"/>
        <v>1</v>
      </c>
      <c r="I15" s="26">
        <f>IFERROR(__xludf.DUMMYFUNCTION("LET(
 id,A15,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 s="26">
        <f t="shared" si="3"/>
        <v>0</v>
      </c>
      <c r="K15" s="26" t="b">
        <f t="shared" si="4"/>
        <v>0</v>
      </c>
      <c r="L15" s="26">
        <f t="shared" si="5"/>
        <v>1</v>
      </c>
      <c r="M15" s="26" t="str">
        <f>IFERROR(__xludf.DUMMYFUNCTION("LET(
 id,A15,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L15=0,
  """",
  IFERROR(INDEX(incomplete,1),"""")
 "&amp;")
)"),"state.character_level@30")</f>
        <v>state.character_level@30</v>
      </c>
      <c r="N15" s="26" t="str">
        <f t="array" ref="N15">IF(
 M15="",
 "",
 _xlfn.XLOOKUP(
  M15,
  tblTargets[TargetID],
  tblTargets[DisplayName],
  M15
 )
)</f>
        <v>Character Level@30</v>
      </c>
      <c r="O15" s="26" t="str">
        <f>IFERROR(__xludf.DUMMYFUNCTION("SWITCH(
 E15,
 ""BUILDING"",XLOOKUP(A15,tblBuildings[BuildingID],tblBuildings[costtext],""""),
 ""TECH"",XLOOKUP(A15,tblTechnologies[TechnologyID],tblTechnologies[costtext],""""),
 ""QUEST"",XLOOKUP(
  REGEXREPLACE(A15,""\.[^.]+$"",""""),
  tblQuests[Ques"&amp;"tID],
  tblQuests[Costtext],
  """"
 ),
 ""CITADEL"",XLOOKUP(A15,tblCitadel[CitadelID],tblCitadel[costtext],""""),
 ""COLLECTION"",XLOOKUP(A15,tblCollections[CollectionID],tblCollections[costtext],""""),
 ""CRAFTIFACT"",XLOOKUP(A15,tblCraftifacts[Craftifa"&amp;"ctID],tblCraftifacts[costtext],""""),
 """"
)"),"4 ruby,1000 coin,400 beam,1000 plank,400 stone,100 steel")</f>
        <v>4 ruby,1000 coin,400 beam,1000 plank,400 stone,100 steel</v>
      </c>
      <c r="P15" s="26" t="str">
        <f t="shared" si="6"/>
        <v>READY</v>
      </c>
      <c r="Q15" s="26" t="str">
        <f t="shared" si="7"/>
        <v>ONE AWAY</v>
      </c>
      <c r="R15" s="26">
        <f t="array" ref="R15">IFERROR(
 _xlfn.XLOOKUP(
  A15,
  tblChecklist[TargetID],
  tblChecklist[PlayerSort],
  ""
 ),
 ""
)</f>
        <v>27</v>
      </c>
      <c r="S15" s="26" t="str">
        <f>IFERROR(__xludf.DUMMYFUNCTION("LET(
 id,A15,
 successorIDs,
  IFERROR(
   UNIQUE(
    FILTER(
     {
      Dependencies!$A$2:$A$1000;
      QuestObjectives!$A$2:$A$1000
     },
     {
      Dependencies!$B$2:$B$1000;
      QuestObjectives!$E$2:$E$1000
     }=id
    )
   ),
   """"
  ),"&amp;"
 names,
  MAP(
   successorIDs,
   LAMBDA(s,
    IF(
     s="""",
     """",
     XLOOKUP(
      s,
      $A$2:$A$1000,
      $B$2:$B$1000,
      s
     )
    )
   )
  ),
 IF(
  successorIDs="""",
  """",
  TEXTJOIN("", "",TRUE,names)
 )
)"),"Airship Lv 1, Bridge maxed, Caravan Lv 1, Outpost Lv 1, Station Lv 1, Tailor Lv 1, Guild Banner, Guild Codex, Guild Supplies, Festival Accepted, Honor, Glory, Sushi Accepted, Silk Road Accepted")</f>
        <v>Airship Lv 1, Bridge maxed, Caravan Lv 1, Outpost Lv 1, Station Lv 1, Tailor Lv 1, Guild Banner, Guild Codex, Guild Supplies, Festival Accepted, Honor, Glory, Sushi Accepted, Silk Road Accepted</v>
      </c>
      <c r="T15" s="26" t="str">
        <f t="array" ref="T15">_xlfn.XLOOKUP(
 A15,
 tblTargets[TargetID],
 tblTargets[CompletionMethod],
 ""
)</f>
        <v>PLAYER</v>
      </c>
      <c r="U15" s="84" t="b">
        <f>COUNTIF(tblCost[TargetID],A15)&gt;0</f>
        <v>1</v>
      </c>
      <c r="V15" s="85">
        <f t="array" ref="V15">IF(
 U15=FALSE,
 "",
 _xlfn.XLOOKUP(
  A15,
  tblCost[TargetID],
  tblCost[FundingPercent],
  ""
 )
)</f>
        <v>0</v>
      </c>
      <c r="W15" s="26">
        <f t="array" ref="W15">IF(
 U15=FALSE,
 "",
 _xlfn.XLOOKUP(
  A15,
  tblCost[TargetID],
  tblCost[RemainingRequirements],
  ""
 )
)</f>
        <v>6</v>
      </c>
      <c r="X15" s="45" t="b">
        <f t="array" ref="X15">IF(
 U15=FALSE,
 "N/A",
 _xlfn.XLOOKUP(
  A16,
  tblCost[TargetID],
  tblCost[TargetFunded],
  FALSE
 )
)</f>
        <v>0</v>
      </c>
      <c r="Y15" s="26" t="str">
        <f>IFERROR(__xludf.DUMMYFUNCTION("IFERROR(
 TEXTJOIN(
  "", "",
  TRUE,
  FILTER(
   'cost checklist'!$E$2:$E1000&amp;"": ""&amp;'cost checklist'!$G$2:$G1000,
   'cost checklist'!$B$2:$B1000=A15,
   'cost checklist'!$J$2:$J1000=FALSE
  )
 ),
 """"
)"),"beam: 400, coin: 1000, plank: 1000, ruby: 4, steel: 100, stone: 400")</f>
        <v>beam: 400, coin: 1000, plank: 1000, ruby: 4, steel: 100, stone: 400</v>
      </c>
      <c r="Z15" s="26" t="b">
        <f>IFERROR(__xludf.DUMMYFUNCTION("IF(
 AND(
  E15=""QUEST"",
  RIGHT(A15,9)="".accepted"",
  D15=TRUE
 ),
 XLOOKUP(
  REGEXREPLACE(A15,""\.accepted$"","""")&amp;"".finished"",
  $A$2:$A1000,
  $D$2:$D1000,
  TRUE
 )=FALSE,
 FALSE
)"),FALSE)</f>
        <v>0</v>
      </c>
      <c r="AA15" s="26" t="str">
        <f>IFERROR(__xludf.DUMMYFUNCTION("LET(
 id,A15,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)"),"Festival, Honor, Glory, Sushi, Silk Road")</f>
        <v>Festival, Honor, Glory, Sushi, Silk Road</v>
      </c>
    </row>
    <row r="16" ht="14.25" customHeight="1">
      <c r="A16" s="26" t="s">
        <v>103</v>
      </c>
      <c r="B16" s="26" t="str">
        <f t="array" ref="B16">_xlfn.XLOOKUP(
 A16,
 tblTargets[TargetID],
 tblTargets[DisplayName],
 ""
)</f>
        <v>Caravan Lv 1</v>
      </c>
      <c r="C16" s="26" t="str">
        <f t="shared" si="1"/>
        <v>BLOCKED</v>
      </c>
      <c r="D16" s="26" t="b">
        <f>IFERROR(__xludf.DUMMYFUNCTION("LET(
 id,A16,
 IF(
  F16=""CHARACTER"",
  LET(
   base,REGEXREPLACE(id,""@\d+$"",""""),
   required,VALUE(REGEXEXTRACT(id,""@(\d+)$"")),
   current,XLOOKUP(
    base,
    tblPlayer[PlayerStateID],
    tblPlayer[Value],
    0
   ),
   current&gt;=required
  )"&amp;",
  IF(
   T16=""AUTO"",
   L16=0,
   COUNTIFS(
    tblChecklist[TargetID],id,
    tblChecklist[PlayerCompleted],TRUE
   )&gt;0
  )
 )
)"),FALSE)</f>
        <v>0</v>
      </c>
      <c r="E16" s="26" t="str">
        <f t="array" ref="E16">_xlfn.XLOOKUP(
 A16,
 tblTargets[TargetID],
 tblTargets[TargetType],
 ""
)</f>
        <v>BUILDING</v>
      </c>
      <c r="F16" s="26" t="str">
        <f t="array" ref="F16">_xlfn.XLOOKUP(
 A16,
 tblTargets[TargetID],
 tblTargets[StateType],
 ""
)</f>
        <v/>
      </c>
      <c r="G16" s="26">
        <f>LET(
 id,A16,
 depCount,COUNTIF(tblDependencies[TargetID],id),
 objCount,COUNTIF(tblQuestObjectives[QuestTargetID],id),
 depCount+objCount
)</f>
        <v>2</v>
      </c>
      <c r="H16" s="26">
        <f t="shared" si="2"/>
        <v>2</v>
      </c>
      <c r="I16" s="26">
        <f>IFERROR(__xludf.DUMMYFUNCTION("LET(
 id,A16,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 s="26">
        <f t="shared" si="3"/>
        <v>0</v>
      </c>
      <c r="K16" s="26" t="b">
        <f t="shared" si="4"/>
        <v>0</v>
      </c>
      <c r="L16" s="26">
        <f t="shared" si="5"/>
        <v>2</v>
      </c>
      <c r="M16" s="26" t="str">
        <f>IFERROR(__xludf.DUMMYFUNCTION("LET(
 id,A16,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L16=0,
  """",
  IFERROR(INDEX(incomplete,1),"""")
 "&amp;")
)"),"building.bridge@1")</f>
        <v>building.bridge@1</v>
      </c>
      <c r="N16" s="26" t="str">
        <f t="array" ref="N16">IF(
 M16="",
 "",
 _xlfn.XLOOKUP(
  M16,
  tblTargets[TargetID],
  tblTargets[DisplayName],
  M16
 )
)</f>
        <v>Bridge Lv 1</v>
      </c>
      <c r="O16" s="26" t="str">
        <f>IFERROR(__xludf.DUMMYFUNCTION("SWITCH(
 E16,
 ""BUILDING"",XLOOKUP(A16,tblBuildings[BuildingID],tblBuildings[costtext],""""),
 ""TECH"",XLOOKUP(A16,tblTechnologies[TechnologyID],tblTechnologies[costtext],""""),
 ""QUEST"",XLOOKUP(
  REGEXREPLACE(A16,""\.[^.]+$"",""""),
  tblQuests[Ques"&amp;"tID],
  tblQuests[Costtext],
  """"
 ),
 ""CITADEL"",XLOOKUP(A16,tblCitadel[CitadelID],tblCitadel[costtext],""""),
 ""COLLECTION"",XLOOKUP(A16,tblCollections[CollectionID],tblCollections[costtext],""""),
 ""CRAFTIFACT"",XLOOKUP(A16,tblCraftifacts[Craftifa"&amp;"ctID],tblCraftifacts[costtext],""""),
 """"
)"),"5 ruby,1000 coin,400 plank,200 stone,50 beans,10 sushi")</f>
        <v>5 ruby,1000 coin,400 plank,200 stone,50 beans,10 sushi</v>
      </c>
      <c r="P16" s="26" t="str">
        <f t="shared" si="6"/>
        <v>BLOCKED</v>
      </c>
      <c r="Q16" s="26" t="str">
        <f t="shared" si="7"/>
        <v>BLOCKED</v>
      </c>
      <c r="R16" s="26">
        <f t="array" ref="R16">IFERROR(
 _xlfn.XLOOKUP(
  A16,
  tblChecklist[TargetID],
  tblChecklist[PlayerSort],
  ""
 ),
 ""
)</f>
        <v>36</v>
      </c>
      <c r="S16" s="26" t="str">
        <f>IFERROR(__xludf.DUMMYFUNCTION("LET(
 id,A16,
 successorIDs,
  IFERROR(
   UNIQUE(
    FILTER(
     {
      Dependencies!$A$2:$A$1000;
      QuestObjectives!$A$2:$A$1000
     },
     {
      Dependencies!$B$2:$B$1000;
      QuestObjectives!$E$2:$E$1000
     }=id
    )
   ),
   """"
  ),"&amp;"
 names,
  MAP(
   successorIDs,
   LAMBDA(s,
    IF(
     s="""",
     """",
     XLOOKUP(
      s,
      $A$2:$A$1000,
      $B$2:$B$1000,
      s
     )
    )
   )
  ),
 IF(
  successorIDs="""",
  """",
  TEXTJOIN("", "",TRUE,names)
 )
)"),"Caravan Lv 2")</f>
        <v>Caravan Lv 2</v>
      </c>
      <c r="T16" s="26" t="str">
        <f t="array" ref="T16">_xlfn.XLOOKUP(
 A16,
 tblTargets[TargetID],
 tblTargets[CompletionMethod],
 ""
)</f>
        <v>PLAYER</v>
      </c>
      <c r="U16" s="84" t="b">
        <f>COUNTIF(tblCost[TargetID],A16)&gt;0</f>
        <v>1</v>
      </c>
      <c r="V16" s="85">
        <f t="array" ref="V16">IF(
 U16=FALSE,
 "",
 _xlfn.XLOOKUP(
  A16,
  tblCost[TargetID],
  tblCost[FundingPercent],
  ""
 )
)</f>
        <v>0</v>
      </c>
      <c r="W16" s="26">
        <f t="array" ref="W16">IF(
 U16=FALSE,
 "",
 _xlfn.XLOOKUP(
  A16,
  tblCost[TargetID],
  tblCost[RemainingRequirements],
  ""
 )
)</f>
        <v>6</v>
      </c>
      <c r="X16" s="45" t="b">
        <f t="array" ref="X16">IF(
 U16=FALSE,
 "N/A",
 _xlfn.XLOOKUP(
  A17,
  tblCost[TargetID],
  tblCost[TargetFunded],
  FALSE
 )
)</f>
        <v>0</v>
      </c>
      <c r="Y16" s="26" t="str">
        <f>IFERROR(__xludf.DUMMYFUNCTION("IFERROR(
 TEXTJOIN(
  "", "",
  TRUE,
  FILTER(
   'cost checklist'!$E$2:$E1000&amp;"": ""&amp;'cost checklist'!$G$2:$G1000,
   'cost checklist'!$B$2:$B1000=A16,
   'cost checklist'!$J$2:$J1000=FALSE
  )
 ),
 """"
)"),"beans: 50, coin: 1000, plank: 400, ruby: 5, stone: 200, sushi: 10")</f>
        <v>beans: 50, coin: 1000, plank: 400, ruby: 5, stone: 200, sushi: 10</v>
      </c>
      <c r="Z16" s="26" t="b">
        <f>IFERROR(__xludf.DUMMYFUNCTION("IF(
 AND(
  E16=""QUEST"",
  RIGHT(A16,9)="".accepted"",
  D16=TRUE
 ),
 XLOOKUP(
  REGEXREPLACE(A16,""\.accepted$"","""")&amp;"".finished"",
  $A$2:$A1000,
  $D$2:$D1000,
  TRUE
 )=FALSE,
 FALSE
)"),FALSE)</f>
        <v>0</v>
      </c>
      <c r="AA16" s="26" t="str">
        <f>IFERROR(__xludf.DUMMYFUNCTION("LET(
 id,A16,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7" ht="14.25" customHeight="1">
      <c r="A17" s="26" t="s">
        <v>112</v>
      </c>
      <c r="B17" s="26" t="str">
        <f t="array" ref="B17">_xlfn.XLOOKUP(
 A17,
 tblTargets[TargetID],
 tblTargets[DisplayName],
 ""
)</f>
        <v>Caravan Lv 2</v>
      </c>
      <c r="C17" s="26" t="str">
        <f t="shared" si="1"/>
        <v>BLOCKED</v>
      </c>
      <c r="D17" s="26" t="b">
        <f>IFERROR(__xludf.DUMMYFUNCTION("LET(
 id,A17,
 IF(
  F17=""CHARACTER"",
  LET(
   base,REGEXREPLACE(id,""@\d+$"",""""),
   required,VALUE(REGEXEXTRACT(id,""@(\d+)$"")),
   current,XLOOKUP(
    base,
    tblPlayer[PlayerStateID],
    tblPlayer[Value],
    0
   ),
   current&gt;=required
  )"&amp;",
  IF(
   T17=""AUTO"",
   L17=0,
   COUNTIFS(
    tblChecklist[TargetID],id,
    tblChecklist[PlayerCompleted],TRUE
   )&gt;0
  )
 )
)"),FALSE)</f>
        <v>0</v>
      </c>
      <c r="E17" s="26" t="str">
        <f t="array" ref="E17">_xlfn.XLOOKUP(
 A17,
 tblTargets[TargetID],
 tblTargets[TargetType],
 ""
)</f>
        <v>BUILDING</v>
      </c>
      <c r="F17" s="26" t="str">
        <f t="array" ref="F17">_xlfn.XLOOKUP(
 A17,
 tblTargets[TargetID],
 tblTargets[StateType],
 ""
)</f>
        <v/>
      </c>
      <c r="G17" s="26">
        <f>LET(
 id,A17,
 depCount,COUNTIF(tblDependencies[TargetID],id),
 objCount,COUNTIF(tblQuestObjectives[QuestTargetID],id),
 depCount+objCount
)</f>
        <v>1</v>
      </c>
      <c r="H17" s="26">
        <f t="shared" si="2"/>
        <v>1</v>
      </c>
      <c r="I17" s="26">
        <f>IFERROR(__xludf.DUMMYFUNCTION("LET(
 id,A17,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 s="26">
        <f t="shared" si="3"/>
        <v>0</v>
      </c>
      <c r="K17" s="26" t="b">
        <f t="shared" si="4"/>
        <v>0</v>
      </c>
      <c r="L17" s="26">
        <f t="shared" si="5"/>
        <v>1</v>
      </c>
      <c r="M17" s="26" t="str">
        <f>IFERROR(__xludf.DUMMYFUNCTION("LET(
 id,A17,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L17=0,
  """",
  IFERROR(INDEX(incomplete,1),"""")
 "&amp;")
)"),"building.caravan@1")</f>
        <v>building.caravan@1</v>
      </c>
      <c r="N17" s="26" t="str">
        <f t="array" ref="N17">IF(
 M17="",
 "",
 _xlfn.XLOOKUP(
  M17,
  tblTargets[TargetID],
  tblTargets[DisplayName],
  M17
 )
)</f>
        <v>Caravan Lv 1</v>
      </c>
      <c r="O17" s="26" t="str">
        <f>IFERROR(__xludf.DUMMYFUNCTION("SWITCH(
 E17,
 ""BUILDING"",XLOOKUP(A17,tblBuildings[BuildingID],tblBuildings[costtext],""""),
 ""TECH"",XLOOKUP(A17,tblTechnologies[TechnologyID],tblTechnologies[costtext],""""),
 ""QUEST"",XLOOKUP(
  REGEXREPLACE(A17,""\.[^.]+$"",""""),
  tblQuests[Ques"&amp;"tID],
  tblQuests[Costtext],
  """"
 ),
 ""CITADEL"",XLOOKUP(A17,tblCitadel[CitadelID],tblCitadel[costtext],""""),
 ""COLLECTION"",XLOOKUP(A17,tblCollections[CollectionID],tblCollections[costtext],""""),
 ""CRAFTIFACT"",XLOOKUP(A17,tblCraftifacts[Craftifa"&amp;"ctID],tblCraftifacts[costtext],""""),
 """"
)"),"7 ruby,1200 coin,600 plank,300 stone,50 ingot,50 fan")</f>
        <v>7 ruby,1200 coin,600 plank,300 stone,50 ingot,50 fan</v>
      </c>
      <c r="P17" s="26" t="str">
        <f t="shared" si="6"/>
        <v>BLOCKED</v>
      </c>
      <c r="Q17" s="26" t="str">
        <f t="shared" si="7"/>
        <v>BLOCKED</v>
      </c>
      <c r="R17" s="26">
        <f t="array" ref="R17">IFERROR(
 _xlfn.XLOOKUP(
  A17,
  tblChecklist[TargetID],
  tblChecklist[PlayerSort],
  ""
 ),
 ""
)</f>
        <v>37</v>
      </c>
      <c r="S17" s="26" t="str">
        <f>IFERROR(__xludf.DUMMYFUNCTION("LET(
 id,A17,
 successorIDs,
  IFERROR(
   UNIQUE(
    FILTER(
     {
      Dependencies!$A$2:$A$1000;
      QuestObjectives!$A$2:$A$1000
     },
     {
      Dependencies!$B$2:$B$1000;
      QuestObjectives!$E$2:$E$1000
     }=id
    )
   ),
   """"
  ),"&amp;"
 names,
  MAP(
   successorIDs,
   LAMBDA(s,
    IF(
     s="""",
     """",
     XLOOKUP(
      s,
      $A$2:$A$1000,
      $B$2:$B$1000,
      s
     )
    )
   )
  ),
 IF(
  successorIDs="""",
  """",
  TEXTJOIN("", "",TRUE,names)
 )
)"),"Caravan Lv 3")</f>
        <v>Caravan Lv 3</v>
      </c>
      <c r="T17" s="26" t="str">
        <f t="array" ref="T17">_xlfn.XLOOKUP(
 A17,
 tblTargets[TargetID],
 tblTargets[CompletionMethod],
 ""
)</f>
        <v>PLAYER</v>
      </c>
      <c r="U17" s="84" t="b">
        <f>COUNTIF(tblCost[TargetID],A17)&gt;0</f>
        <v>1</v>
      </c>
      <c r="V17" s="85">
        <f t="array" ref="V17">IF(
 U17=FALSE,
 "",
 _xlfn.XLOOKUP(
  A17,
  tblCost[TargetID],
  tblCost[FundingPercent],
  ""
 )
)</f>
        <v>0</v>
      </c>
      <c r="W17" s="26">
        <f t="array" ref="W17">IF(
 U17=FALSE,
 "",
 _xlfn.XLOOKUP(
  A17,
  tblCost[TargetID],
  tblCost[RemainingRequirements],
  ""
 )
)</f>
        <v>6</v>
      </c>
      <c r="X17" s="45" t="b">
        <f t="array" ref="X17">IF(
 U17=FALSE,
 "N/A",
 _xlfn.XLOOKUP(
  A18,
  tblCost[TargetID],
  tblCost[TargetFunded],
  FALSE
 )
)</f>
        <v>0</v>
      </c>
      <c r="Y17" s="26" t="str">
        <f>IFERROR(__xludf.DUMMYFUNCTION("IFERROR(
 TEXTJOIN(
  "", "",
  TRUE,
  FILTER(
   'cost checklist'!$E$2:$E1000&amp;"": ""&amp;'cost checklist'!$G$2:$G1000,
   'cost checklist'!$B$2:$B1000=A17,
   'cost checklist'!$J$2:$J1000=FALSE
  )
 ),
 """"
)"),"coin: 1200, fan: 50, ingot: 50, plank: 600, ruby: 7, stone: 300")</f>
        <v>coin: 1200, fan: 50, ingot: 50, plank: 600, ruby: 7, stone: 300</v>
      </c>
      <c r="Z17" s="26" t="b">
        <f>IFERROR(__xludf.DUMMYFUNCTION("IF(
 AND(
  E17=""QUEST"",
  RIGHT(A17,9)="".accepted"",
  D17=TRUE
 ),
 XLOOKUP(
  REGEXREPLACE(A17,""\.accepted$"","""")&amp;"".finished"",
  $A$2:$A1000,
  $D$2:$D1000,
  TRUE
 )=FALSE,
 FALSE
)"),FALSE)</f>
        <v>0</v>
      </c>
      <c r="AA17" s="26" t="str">
        <f>IFERROR(__xludf.DUMMYFUNCTION("LET(
 id,A17,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8" ht="14.25" customHeight="1">
      <c r="A18" s="26" t="s">
        <v>116</v>
      </c>
      <c r="B18" s="26" t="str">
        <f t="array" ref="B18">_xlfn.XLOOKUP(
 A18,
 tblTargets[TargetID],
 tblTargets[DisplayName],
 ""
)</f>
        <v>Caravan Lv 3</v>
      </c>
      <c r="C18" s="26" t="str">
        <f t="shared" si="1"/>
        <v>BLOCKED</v>
      </c>
      <c r="D18" s="26" t="b">
        <f>IFERROR(__xludf.DUMMYFUNCTION("LET(
 id,A18,
 IF(
  F18=""CHARACTER"",
  LET(
   base,REGEXREPLACE(id,""@\d+$"",""""),
   required,VALUE(REGEXEXTRACT(id,""@(\d+)$"")),
   current,XLOOKUP(
    base,
    tblPlayer[PlayerStateID],
    tblPlayer[Value],
    0
   ),
   current&gt;=required
  )"&amp;",
  IF(
   T18=""AUTO"",
   L18=0,
   COUNTIFS(
    tblChecklist[TargetID],id,
    tblChecklist[PlayerCompleted],TRUE
   )&gt;0
  )
 )
)"),FALSE)</f>
        <v>0</v>
      </c>
      <c r="E18" s="26" t="str">
        <f t="array" ref="E18">_xlfn.XLOOKUP(
 A18,
 tblTargets[TargetID],
 tblTargets[TargetType],
 ""
)</f>
        <v>BUILDING</v>
      </c>
      <c r="F18" s="26" t="str">
        <f t="array" ref="F18">_xlfn.XLOOKUP(
 A18,
 tblTargets[TargetID],
 tblTargets[StateType],
 ""
)</f>
        <v/>
      </c>
      <c r="G18" s="26">
        <f>LET(
 id,A18,
 depCount,COUNTIF(tblDependencies[TargetID],id),
 objCount,COUNTIF(tblQuestObjectives[QuestTargetID],id),
 depCount+objCount
)</f>
        <v>1</v>
      </c>
      <c r="H18" s="26">
        <f t="shared" si="2"/>
        <v>1</v>
      </c>
      <c r="I18" s="26">
        <f>IFERROR(__xludf.DUMMYFUNCTION("LET(
 id,A18,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 s="26">
        <f t="shared" si="3"/>
        <v>0</v>
      </c>
      <c r="K18" s="26" t="b">
        <f t="shared" si="4"/>
        <v>0</v>
      </c>
      <c r="L18" s="26">
        <f t="shared" si="5"/>
        <v>1</v>
      </c>
      <c r="M18" s="26" t="str">
        <f>IFERROR(__xludf.DUMMYFUNCTION("LET(
 id,A18,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L18=0,
  """",
  IFERROR(INDEX(incomplete,1),"""")
 "&amp;")
)"),"building.caravan@2")</f>
        <v>building.caravan@2</v>
      </c>
      <c r="N18" s="26" t="str">
        <f t="array" ref="N18">IF(
 M18="",
 "",
 _xlfn.XLOOKUP(
  M18,
  tblTargets[TargetID],
  tblTargets[DisplayName],
  M18
 )
)</f>
        <v>Caravan Lv 2</v>
      </c>
      <c r="O18" s="26" t="str">
        <f>IFERROR(__xludf.DUMMYFUNCTION("SWITCH(
 E18,
 ""BUILDING"",XLOOKUP(A18,tblBuildings[BuildingID],tblBuildings[costtext],""""),
 ""TECH"",XLOOKUP(A18,tblTechnologies[TechnologyID],tblTechnologies[costtext],""""),
 ""QUEST"",XLOOKUP(
  REGEXREPLACE(A18,""\.[^.]+$"",""""),
  tblQuests[Ques"&amp;"tID],
  tblQuests[Costtext],
  """"
 ),
 ""CITADEL"",XLOOKUP(A18,tblCitadel[CitadelID],tblCitadel[costtext],""""),
 ""COLLECTION"",XLOOKUP(A18,tblCollections[CollectionID],tblCollections[costtext],""""),
 ""CRAFTIFACT"",XLOOKUP(A18,tblCraftifacts[Craftifa"&amp;"ctID],tblCraftifacts[costtext],""""),
 """"
)"),"9 ruby,1500 coin,800 plank,400 stone,20 paper,10 pearl")</f>
        <v>9 ruby,1500 coin,800 plank,400 stone,20 paper,10 pearl</v>
      </c>
      <c r="P18" s="26" t="str">
        <f t="shared" si="6"/>
        <v>BLOCKED</v>
      </c>
      <c r="Q18" s="26" t="str">
        <f t="shared" si="7"/>
        <v>BLOCKED</v>
      </c>
      <c r="R18" s="26">
        <f t="array" ref="R18">IFERROR(
 _xlfn.XLOOKUP(
  A18,
  tblChecklist[TargetID],
  tblChecklist[PlayerSort],
  ""
 ),
 ""
)</f>
        <v>38</v>
      </c>
      <c r="S18" s="26" t="str">
        <f>IFERROR(__xludf.DUMMYFUNCTION("LET(
 id,A18,
 successorIDs,
  IFERROR(
   UNIQUE(
    FILTER(
     {
      Dependencies!$A$2:$A$1000;
      QuestObjectives!$A$2:$A$1000
     },
     {
      Dependencies!$B$2:$B$1000;
      QuestObjectives!$E$2:$E$1000
     }=id
    )
   ),
   """"
  ),"&amp;"
 names,
  MAP(
   successorIDs,
   LAMBDA(s,
    IF(
     s="""",
     """",
     XLOOKUP(
      s,
      $A$2:$A$1000,
      $B$2:$B$1000,
      s
     )
    )
   )
  ),
 IF(
  successorIDs="""",
  """",
  TEXTJOIN("", "",TRUE,names)
 )
)"),"Caravan Lv 4")</f>
        <v>Caravan Lv 4</v>
      </c>
      <c r="T18" s="26" t="str">
        <f t="array" ref="T18">_xlfn.XLOOKUP(
 A18,
 tblTargets[TargetID],
 tblTargets[CompletionMethod],
 ""
)</f>
        <v>PLAYER</v>
      </c>
      <c r="U18" s="84" t="b">
        <f>COUNTIF(tblCost[TargetID],A18)&gt;0</f>
        <v>1</v>
      </c>
      <c r="V18" s="85">
        <f t="array" ref="V18">IF(
 U18=FALSE,
 "",
 _xlfn.XLOOKUP(
  A18,
  tblCost[TargetID],
  tblCost[FundingPercent],
  ""
 )
)</f>
        <v>0</v>
      </c>
      <c r="W18" s="26">
        <f t="array" ref="W18">IF(
 U18=FALSE,
 "",
 _xlfn.XLOOKUP(
  A18,
  tblCost[TargetID],
  tblCost[RemainingRequirements],
  ""
 )
)</f>
        <v>6</v>
      </c>
      <c r="X18" s="45" t="b">
        <f t="array" ref="X18">IF(
 U18=FALSE,
 "N/A",
 _xlfn.XLOOKUP(
  A19,
  tblCost[TargetID],
  tblCost[TargetFunded],
  FALSE
 )
)</f>
        <v>0</v>
      </c>
      <c r="Y18" s="26" t="str">
        <f>IFERROR(__xludf.DUMMYFUNCTION("IFERROR(
 TEXTJOIN(
  "", "",
  TRUE,
  FILTER(
   'cost checklist'!$E$2:$E1000&amp;"": ""&amp;'cost checklist'!$G$2:$G1000,
   'cost checklist'!$B$2:$B1000=A18,
   'cost checklist'!$J$2:$J1000=FALSE
  )
 ),
 """"
)"),"coin: 1500, paper: 20, pearl: 10, plank: 800, ruby: 9, stone: 400")</f>
        <v>coin: 1500, paper: 20, pearl: 10, plank: 800, ruby: 9, stone: 400</v>
      </c>
      <c r="Z18" s="26" t="b">
        <f>IFERROR(__xludf.DUMMYFUNCTION("IF(
 AND(
  E18=""QUEST"",
  RIGHT(A18,9)="".accepted"",
  D18=TRUE
 ),
 XLOOKUP(
  REGEXREPLACE(A18,""\.accepted$"","""")&amp;"".finished"",
  $A$2:$A1000,
  $D$2:$D1000,
  TRUE
 )=FALSE,
 FALSE
)"),FALSE)</f>
        <v>0</v>
      </c>
      <c r="AA18" s="26" t="str">
        <f>IFERROR(__xludf.DUMMYFUNCTION("LET(
 id,A18,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9" ht="14.25" customHeight="1">
      <c r="A19" s="26" t="s">
        <v>122</v>
      </c>
      <c r="B19" s="26" t="str">
        <f t="array" ref="B19">_xlfn.XLOOKUP(
 A19,
 tblTargets[TargetID],
 tblTargets[DisplayName],
 ""
)</f>
        <v>Caravan Lv 4</v>
      </c>
      <c r="C19" s="26" t="str">
        <f t="shared" si="1"/>
        <v>BLOCKED</v>
      </c>
      <c r="D19" s="26" t="b">
        <f>IFERROR(__xludf.DUMMYFUNCTION("LET(
 id,A19,
 IF(
  F19=""CHARACTER"",
  LET(
   base,REGEXREPLACE(id,""@\d+$"",""""),
   required,VALUE(REGEXEXTRACT(id,""@(\d+)$"")),
   current,XLOOKUP(
    base,
    tblPlayer[PlayerStateID],
    tblPlayer[Value],
    0
   ),
   current&gt;=required
  )"&amp;",
  IF(
   T19=""AUTO"",
   L19=0,
   COUNTIFS(
    tblChecklist[TargetID],id,
    tblChecklist[PlayerCompleted],TRUE
   )&gt;0
  )
 )
)"),FALSE)</f>
        <v>0</v>
      </c>
      <c r="E19" s="26" t="str">
        <f t="array" ref="E19">_xlfn.XLOOKUP(
 A19,
 tblTargets[TargetID],
 tblTargets[TargetType],
 ""
)</f>
        <v>BUILDING</v>
      </c>
      <c r="F19" s="26" t="str">
        <f t="array" ref="F19">_xlfn.XLOOKUP(
 A19,
 tblTargets[TargetID],
 tblTargets[StateType],
 ""
)</f>
        <v/>
      </c>
      <c r="G19" s="26">
        <f>LET(
 id,A19,
 depCount,COUNTIF(tblDependencies[TargetID],id),
 objCount,COUNTIF(tblQuestObjectives[QuestTargetID],id),
 depCount+objCount
)</f>
        <v>1</v>
      </c>
      <c r="H19" s="26">
        <f t="shared" si="2"/>
        <v>1</v>
      </c>
      <c r="I19" s="26">
        <f>IFERROR(__xludf.DUMMYFUNCTION("LET(
 id,A19,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 s="26">
        <f t="shared" si="3"/>
        <v>0</v>
      </c>
      <c r="K19" s="26" t="b">
        <f t="shared" si="4"/>
        <v>0</v>
      </c>
      <c r="L19" s="26">
        <f t="shared" si="5"/>
        <v>1</v>
      </c>
      <c r="M19" s="26" t="str">
        <f>IFERROR(__xludf.DUMMYFUNCTION("LET(
 id,A19,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L19=0,
  """",
  IFERROR(INDEX(incomplete,1),"""")
 "&amp;")
)"),"building.caravan@3")</f>
        <v>building.caravan@3</v>
      </c>
      <c r="N19" s="26" t="str">
        <f t="array" ref="N19">IF(
 M19="",
 "",
 _xlfn.XLOOKUP(
  M19,
  tblTargets[TargetID],
  tblTargets[DisplayName],
  M19
 )
)</f>
        <v>Caravan Lv 3</v>
      </c>
      <c r="O19" s="26" t="str">
        <f>IFERROR(__xludf.DUMMYFUNCTION("SWITCH(
 E19,
 ""BUILDING"",XLOOKUP(A19,tblBuildings[BuildingID],tblBuildings[costtext],""""),
 ""TECH"",XLOOKUP(A19,tblTechnologies[TechnologyID],tblTechnologies[costtext],""""),
 ""QUEST"",XLOOKUP(
  REGEXREPLACE(A19,""\.[^.]+$"",""""),
  tblQuests[Ques"&amp;"tID],
  tblQuests[Costtext],
  """"
 ),
 ""CITADEL"",XLOOKUP(A19,tblCitadel[CitadelID],tblCitadel[costtext],""""),
 ""COLLECTION"",XLOOKUP(A19,tblCollections[CollectionID],tblCollections[costtext],""""),
 ""CRAFTIFACT"",XLOOKUP(A19,tblCraftifacts[Craftifa"&amp;"ctID],tblCraftifacts[costtext],""""),
 """"
)"),"12 ruby,2000 coin,1000 plank,500 stone,30 silk,5 spices")</f>
        <v>12 ruby,2000 coin,1000 plank,500 stone,30 silk,5 spices</v>
      </c>
      <c r="P19" s="26" t="str">
        <f t="shared" si="6"/>
        <v>BLOCKED</v>
      </c>
      <c r="Q19" s="26" t="str">
        <f t="shared" si="7"/>
        <v>BLOCKED</v>
      </c>
      <c r="R19" s="26">
        <f t="array" ref="R19">IFERROR(
 _xlfn.XLOOKUP(
  A19,
  tblChecklist[TargetID],
  tblChecklist[PlayerSort],
  ""
 ),
 ""
)</f>
        <v>39</v>
      </c>
      <c r="S19" s="26" t="str">
        <f>IFERROR(__xludf.DUMMYFUNCTION("LET(
 id,A19,
 successorIDs,
  IFERROR(
   UNIQUE(
    FILTER(
     {
      Dependencies!$A$2:$A$1000;
      QuestObjectives!$A$2:$A$1000
     },
     {
      Dependencies!$B$2:$B$1000;
      QuestObjectives!$E$2:$E$1000
     }=id
    )
   ),
   """"
  ),"&amp;"
 names,
  MAP(
   successorIDs,
   LAMBDA(s,
    IF(
     s="""",
     """",
     XLOOKUP(
      s,
      $A$2:$A$1000,
      $B$2:$B$1000,
      s
     )
    )
   )
  ),
 IF(
  successorIDs="""",
  """",
  TEXTJOIN("", "",TRUE,names)
 )
)"),"")</f>
        <v/>
      </c>
      <c r="T19" s="26" t="str">
        <f t="array" ref="T19">_xlfn.XLOOKUP(
 A19,
 tblTargets[TargetID],
 tblTargets[CompletionMethod],
 ""
)</f>
        <v>PLAYER</v>
      </c>
      <c r="U19" s="84" t="b">
        <f>COUNTIF(tblCost[TargetID],A19)&gt;0</f>
        <v>1</v>
      </c>
      <c r="V19" s="85">
        <f t="array" ref="V19">IF(
 U19=FALSE,
 "",
 _xlfn.XLOOKUP(
  A19,
  tblCost[TargetID],
  tblCost[FundingPercent],
  ""
 )
)</f>
        <v>0</v>
      </c>
      <c r="W19" s="26">
        <f t="array" ref="W19">IF(
 U19=FALSE,
 "",
 _xlfn.XLOOKUP(
  A19,
  tblCost[TargetID],
  tblCost[RemainingRequirements],
  ""
 )
)</f>
        <v>6</v>
      </c>
      <c r="X19" s="45" t="b">
        <f t="array" ref="X19">IF(
 U19=FALSE,
 "N/A",
 _xlfn.XLOOKUP(
  A20,
  tblCost[TargetID],
  tblCost[TargetFunded],
  FALSE
 )
)</f>
        <v>0</v>
      </c>
      <c r="Y19" s="26" t="str">
        <f>IFERROR(__xludf.DUMMYFUNCTION("IFERROR(
 TEXTJOIN(
  "", "",
  TRUE,
  FILTER(
   'cost checklist'!$E$2:$E1000&amp;"": ""&amp;'cost checklist'!$G$2:$G1000,
   'cost checklist'!$B$2:$B1000=A19,
   'cost checklist'!$J$2:$J1000=FALSE
  )
 ),
 """"
)"),"coin: 2000, plank: 1000, ruby: 12, silk: 30, spices: 5, stone: 500")</f>
        <v>coin: 2000, plank: 1000, ruby: 12, silk: 30, spices: 5, stone: 500</v>
      </c>
      <c r="Z19" s="26" t="b">
        <f>IFERROR(__xludf.DUMMYFUNCTION("IF(
 AND(
  E19=""QUEST"",
  RIGHT(A19,9)="".accepted"",
  D19=TRUE
 ),
 XLOOKUP(
  REGEXREPLACE(A19,""\.accepted$"","""")&amp;"".finished"",
  $A$2:$A1000,
  $D$2:$D1000,
  TRUE
 )=FALSE,
 FALSE
)"),FALSE)</f>
        <v>0</v>
      </c>
      <c r="AA19" s="26" t="str">
        <f>IFERROR(__xludf.DUMMYFUNCTION("LET(
 id,A19,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20" ht="14.25" customHeight="1">
      <c r="A20" s="26" t="s">
        <v>127</v>
      </c>
      <c r="B20" s="26" t="str">
        <f t="array" ref="B20">_xlfn.XLOOKUP(
 A20,
 tblTargets[TargetID],
 tblTargets[DisplayName],
 ""
)</f>
        <v>Chicken Lv 1</v>
      </c>
      <c r="C20" s="26" t="str">
        <f t="shared" si="1"/>
        <v>BLOCKED</v>
      </c>
      <c r="D20" s="26" t="b">
        <f>IFERROR(__xludf.DUMMYFUNCTION("LET(
 id,A20,
 IF(
  F20=""CHARACTER"",
  LET(
   base,REGEXREPLACE(id,""@\d+$"",""""),
   required,VALUE(REGEXEXTRACT(id,""@(\d+)$"")),
   current,XLOOKUP(
    base,
    tblPlayer[PlayerStateID],
    tblPlayer[Value],
    0
   ),
   current&gt;=required
  )"&amp;",
  IF(
   T20=""AUTO"",
   L20=0,
   COUNTIFS(
    tblChecklist[TargetID],id,
    tblChecklist[PlayerCompleted],TRUE
   )&gt;0
  )
 )
)"),FALSE)</f>
        <v>0</v>
      </c>
      <c r="E20" s="26" t="str">
        <f t="array" ref="E20">_xlfn.XLOOKUP(
 A20,
 tblTargets[TargetID],
 tblTargets[TargetType],
 ""
)</f>
        <v>BUILDING</v>
      </c>
      <c r="F20" s="26" t="str">
        <f t="array" ref="F20">_xlfn.XLOOKUP(
 A20,
 tblTargets[TargetID],
 tblTargets[StateType],
 ""
)</f>
        <v/>
      </c>
      <c r="G20" s="26">
        <f>LET(
 id,A20,
 depCount,COUNTIF(tblDependencies[TargetID],id),
 objCount,COUNTIF(tblQuestObjectives[QuestTargetID],id),
 depCount+objCount
)</f>
        <v>1</v>
      </c>
      <c r="H20" s="26">
        <f t="shared" si="2"/>
        <v>1</v>
      </c>
      <c r="I20" s="26">
        <f>IFERROR(__xludf.DUMMYFUNCTION("LET(
 id,A20,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 s="26">
        <f t="shared" si="3"/>
        <v>0</v>
      </c>
      <c r="K20" s="26" t="b">
        <f t="shared" si="4"/>
        <v>0</v>
      </c>
      <c r="L20" s="26">
        <f t="shared" si="5"/>
        <v>1</v>
      </c>
      <c r="M20" s="26" t="str">
        <f>IFERROR(__xludf.DUMMYFUNCTION("LET(
 id,A20,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L20=0,
  """",
  IFERROR(INDEX(incomplete,1),"""")
 "&amp;")
)"),"state.character_level@15")</f>
        <v>state.character_level@15</v>
      </c>
      <c r="N20" s="26" t="str">
        <f t="array" ref="N20">IF(
 M20="",
 "",
 _xlfn.XLOOKUP(
  M20,
  tblTargets[TargetID],
  tblTargets[DisplayName],
  M20
 )
)</f>
        <v>Character Level@15</v>
      </c>
      <c r="O20" s="26" t="str">
        <f>IFERROR(__xludf.DUMMYFUNCTION("SWITCH(
 E20,
 ""BUILDING"",XLOOKUP(A20,tblBuildings[BuildingID],tblBuildings[costtext],""""),
 ""TECH"",XLOOKUP(A20,tblTechnologies[TechnologyID],tblTechnologies[costtext],""""),
 ""QUEST"",XLOOKUP(
  REGEXREPLACE(A20,""\.[^.]+$"",""""),
  tblQuests[Ques"&amp;"tID],
  tblQuests[Costtext],
  """"
 ),
 ""CITADEL"",XLOOKUP(A20,tblCitadel[CitadelID],tblCitadel[costtext],""""),
 ""COLLECTION"",XLOOKUP(A20,tblCollections[CollectionID],tblCollections[costtext],""""),
 ""CRAFTIFACT"",XLOOKUP(A20,tblCraftifacts[Craftifa"&amp;"ctID],tblCraftifacts[costtext],""""),
 """"
)"),"2 ruby,400 coin,400 beam,200 stone,20 wheat,10 thread,1 egg")</f>
        <v>2 ruby,400 coin,400 beam,200 stone,20 wheat,10 thread,1 egg</v>
      </c>
      <c r="P20" s="26" t="str">
        <f t="shared" si="6"/>
        <v>READY</v>
      </c>
      <c r="Q20" s="26" t="str">
        <f t="shared" si="7"/>
        <v>ONE AWAY</v>
      </c>
      <c r="R20" s="26">
        <f t="array" ref="R20">IFERROR(
 _xlfn.XLOOKUP(
  A20,
  tblChecklist[TargetID],
  tblChecklist[PlayerSort],
  ""
 ),
 ""
)</f>
        <v>55</v>
      </c>
      <c r="S20" s="26" t="str">
        <f>IFERROR(__xludf.DUMMYFUNCTION("LET(
 id,A20,
 successorIDs,
  IFERROR(
   UNIQUE(
    FILTER(
     {
      Dependencies!$A$2:$A$1000;
      QuestObjectives!$A$2:$A$1000
     },
     {
      Dependencies!$B$2:$B$1000;
      QuestObjectives!$E$2:$E$1000
     }=id
    )
   ),
   """"
  ),"&amp;"
 names,
  MAP(
   successorIDs,
   LAMBDA(s,
    IF(
     s="""",
     """",
     XLOOKUP(
      s,
      $A$2:$A$1000,
      $B$2:$B$1000,
      s
     )
    )
   )
  ),
 IF(
  successorIDs="""",
  """",
  TEXTJOIN("", "",TRUE,names)
 )
)"),"Chicken Lv 2")</f>
        <v>Chicken Lv 2</v>
      </c>
      <c r="T20" s="26" t="str">
        <f t="array" ref="T20">_xlfn.XLOOKUP(
 A20,
 tblTargets[TargetID],
 tblTargets[CompletionMethod],
 ""
)</f>
        <v>PLAYER</v>
      </c>
      <c r="U20" s="84" t="b">
        <f>COUNTIF(tblCost[TargetID],A20)&gt;0</f>
        <v>1</v>
      </c>
      <c r="V20" s="85">
        <f t="array" ref="V20">IF(
 U20=FALSE,
 "",
 _xlfn.XLOOKUP(
  A20,
  tblCost[TargetID],
  tblCost[FundingPercent],
  ""
 )
)</f>
        <v>0</v>
      </c>
      <c r="W20" s="26">
        <f t="array" ref="W20">IF(
 U20=FALSE,
 "",
 _xlfn.XLOOKUP(
  A20,
  tblCost[TargetID],
  tblCost[RemainingRequirements],
  ""
 )
)</f>
        <v>7</v>
      </c>
      <c r="X20" s="45" t="b">
        <f t="array" ref="X20">IF(
 U20=FALSE,
 "N/A",
 _xlfn.XLOOKUP(
  A21,
  tblCost[TargetID],
  tblCost[TargetFunded],
  FALSE
 )
)</f>
        <v>0</v>
      </c>
      <c r="Y20" s="26" t="str">
        <f>IFERROR(__xludf.DUMMYFUNCTION("IFERROR(
 TEXTJOIN(
  "", "",
  TRUE,
  FILTER(
   'cost checklist'!$E$2:$E1000&amp;"": ""&amp;'cost checklist'!$G$2:$G1000,
   'cost checklist'!$B$2:$B1000=A20,
   'cost checklist'!$J$2:$J1000=FALSE
  )
 ),
 """"
)"),"beam: 400, coin: 400, egg: 1, ruby: 2, stone: 200, thread: 10, wheat: 20")</f>
        <v>beam: 400, coin: 400, egg: 1, ruby: 2, stone: 200, thread: 10, wheat: 20</v>
      </c>
      <c r="Z20" s="26" t="b">
        <f>IFERROR(__xludf.DUMMYFUNCTION("IF(
 AND(
  E20=""QUEST"",
  RIGHT(A20,9)="".accepted"",
  D20=TRUE
 ),
 XLOOKUP(
  REGEXREPLACE(A20,""\.accepted$"","""")&amp;"".finished"",
  $A$2:$A1000,
  $D$2:$D1000,
  TRUE
 )=FALSE,
 FALSE
)"),FALSE)</f>
        <v>0</v>
      </c>
      <c r="AA20" s="26" t="str">
        <f>IFERROR(__xludf.DUMMYFUNCTION("LET(
 id,A20,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21" ht="14.25" customHeight="1">
      <c r="A21" s="26" t="s">
        <v>131</v>
      </c>
      <c r="B21" s="26" t="str">
        <f t="array" ref="B21">_xlfn.XLOOKUP(
 A21,
 tblTargets[TargetID],
 tblTargets[DisplayName],
 ""
)</f>
        <v>Chicken Lv 2</v>
      </c>
      <c r="C21" s="26" t="str">
        <f t="shared" si="1"/>
        <v>BLOCKED</v>
      </c>
      <c r="D21" s="26" t="b">
        <f>IFERROR(__xludf.DUMMYFUNCTION("LET(
 id,A21,
 IF(
  F21=""CHARACTER"",
  LET(
   base,REGEXREPLACE(id,""@\d+$"",""""),
   required,VALUE(REGEXEXTRACT(id,""@(\d+)$"")),
   current,XLOOKUP(
    base,
    tblPlayer[PlayerStateID],
    tblPlayer[Value],
    0
   ),
   current&gt;=required
  )"&amp;",
  IF(
   T21=""AUTO"",
   L21=0,
   COUNTIFS(
    tblChecklist[TargetID],id,
    tblChecklist[PlayerCompleted],TRUE
   )&gt;0
  )
 )
)"),FALSE)</f>
        <v>0</v>
      </c>
      <c r="E21" s="26" t="str">
        <f t="array" ref="E21">_xlfn.XLOOKUP(
 A21,
 tblTargets[TargetID],
 tblTargets[TargetType],
 ""
)</f>
        <v>BUILDING</v>
      </c>
      <c r="F21" s="26" t="str">
        <f t="array" ref="F21">_xlfn.XLOOKUP(
 A21,
 tblTargets[TargetID],
 tblTargets[StateType],
 ""
)</f>
        <v/>
      </c>
      <c r="G21" s="26">
        <f>LET(
 id,A21,
 depCount,COUNTIF(tblDependencies[TargetID],id),
 objCount,COUNTIF(tblQuestObjectives[QuestTargetID],id),
 depCount+objCount
)</f>
        <v>1</v>
      </c>
      <c r="H21" s="26">
        <f t="shared" si="2"/>
        <v>1</v>
      </c>
      <c r="I21" s="26">
        <f>IFERROR(__xludf.DUMMYFUNCTION("LET(
 id,A21,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 s="26">
        <f t="shared" si="3"/>
        <v>0</v>
      </c>
      <c r="K21" s="26" t="b">
        <f t="shared" si="4"/>
        <v>0</v>
      </c>
      <c r="L21" s="26">
        <f t="shared" si="5"/>
        <v>1</v>
      </c>
      <c r="M21" s="26" t="str">
        <f>IFERROR(__xludf.DUMMYFUNCTION("LET(
 id,A21,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L21=0,
  """",
  IFERROR(INDEX(incomplete,1),"""")
 "&amp;")
)"),"building.chicken@1")</f>
        <v>building.chicken@1</v>
      </c>
      <c r="N21" s="26" t="str">
        <f t="array" ref="N21">IF(
 M21="",
 "",
 _xlfn.XLOOKUP(
  M21,
  tblTargets[TargetID],
  tblTargets[DisplayName],
  M21
 )
)</f>
        <v>Chicken Lv 1</v>
      </c>
      <c r="O21" s="26" t="str">
        <f>IFERROR(__xludf.DUMMYFUNCTION("SWITCH(
 E21,
 ""BUILDING"",XLOOKUP(A21,tblBuildings[BuildingID],tblBuildings[costtext],""""),
 ""TECH"",XLOOKUP(A21,tblTechnologies[TechnologyID],tblTechnologies[costtext],""""),
 ""QUEST"",XLOOKUP(
  REGEXREPLACE(A21,""\.[^.]+$"",""""),
  tblQuests[Ques"&amp;"tID],
  tblQuests[Costtext],
  """"
 ),
 ""CITADEL"",XLOOKUP(A21,tblCitadel[CitadelID],tblCitadel[costtext],""""),
 ""COLLECTION"",XLOOKUP(A21,tblCollections[CollectionID],tblCollections[costtext],""""),
 ""CRAFTIFACT"",XLOOKUP(A21,tblCraftifacts[Craftifa"&amp;"ctID],tblCraftifacts[costtext],""""),
 """"
)"),"3 ruby,600 coin,600 beam,300 stone,20 wheat,10 thread,1 egg")</f>
        <v>3 ruby,600 coin,600 beam,300 stone,20 wheat,10 thread,1 egg</v>
      </c>
      <c r="P21" s="26" t="str">
        <f t="shared" si="6"/>
        <v>BLOCKED</v>
      </c>
      <c r="Q21" s="26" t="str">
        <f t="shared" si="7"/>
        <v>BLOCKED</v>
      </c>
      <c r="R21" s="26">
        <f t="array" ref="R21">IFERROR(
 _xlfn.XLOOKUP(
  A21,
  tblChecklist[TargetID],
  tblChecklist[PlayerSort],
  ""
 ),
 ""
)</f>
        <v>56</v>
      </c>
      <c r="S21" s="26" t="str">
        <f>IFERROR(__xludf.DUMMYFUNCTION("LET(
 id,A21,
 successorIDs,
  IFERROR(
   UNIQUE(
    FILTER(
     {
      Dependencies!$A$2:$A$1000;
      QuestObjectives!$A$2:$A$1000
     },
     {
      Dependencies!$B$2:$B$1000;
      QuestObjectives!$E$2:$E$1000
     }=id
    )
   ),
   """"
  ),"&amp;"
 names,
  MAP(
   successorIDs,
   LAMBDA(s,
    IF(
     s="""",
     """",
     XLOOKUP(
      s,
      $A$2:$A$1000,
      $B$2:$B$1000,
      s
     )
    )
   )
  ),
 IF(
  successorIDs="""",
  """",
  TEXTJOIN("", "",TRUE,names)
 )
)"),"")</f>
        <v/>
      </c>
      <c r="T21" s="26" t="str">
        <f t="array" ref="T21">_xlfn.XLOOKUP(
 A21,
 tblTargets[TargetID],
 tblTargets[CompletionMethod],
 ""
)</f>
        <v>PLAYER</v>
      </c>
      <c r="U21" s="84" t="b">
        <f>COUNTIF(tblCost[TargetID],A21)&gt;0</f>
        <v>1</v>
      </c>
      <c r="V21" s="85">
        <f t="array" ref="V21">IF(
 U21=FALSE,
 "",
 _xlfn.XLOOKUP(
  A21,
  tblCost[TargetID],
  tblCost[FundingPercent],
  ""
 )
)</f>
        <v>0</v>
      </c>
      <c r="W21" s="26">
        <f t="array" ref="W21">IF(
 U21=FALSE,
 "",
 _xlfn.XLOOKUP(
  A21,
  tblCost[TargetID],
  tblCost[RemainingRequirements],
  ""
 )
)</f>
        <v>7</v>
      </c>
      <c r="X21" s="45" t="b">
        <f t="array" ref="X21">IF(
 U21=FALSE,
 "N/A",
 _xlfn.XLOOKUP(
  A22,
  tblCost[TargetID],
  tblCost[TargetFunded],
  FALSE
 )
)</f>
        <v>0</v>
      </c>
      <c r="Y21" s="26" t="str">
        <f>IFERROR(__xludf.DUMMYFUNCTION("IFERROR(
 TEXTJOIN(
  "", "",
  TRUE,
  FILTER(
   'cost checklist'!$E$2:$E1000&amp;"": ""&amp;'cost checklist'!$G$2:$G1000,
   'cost checklist'!$B$2:$B1000=A21,
   'cost checklist'!$J$2:$J1000=FALSE
  )
 ),
 """"
)"),"beam: 600, coin: 600, egg: 1, ruby: 3, stone: 300, thread: 10, wheat: 20")</f>
        <v>beam: 600, coin: 600, egg: 1, ruby: 3, stone: 300, thread: 10, wheat: 20</v>
      </c>
      <c r="Z21" s="26" t="b">
        <f>IFERROR(__xludf.DUMMYFUNCTION("IF(
 AND(
  E21=""QUEST"",
  RIGHT(A21,9)="".accepted"",
  D21=TRUE
 ),
 XLOOKUP(
  REGEXREPLACE(A21,""\.accepted$"","""")&amp;"".finished"",
  $A$2:$A1000,
  $D$2:$D1000,
  TRUE
 )=FALSE,
 FALSE
)"),FALSE)</f>
        <v>0</v>
      </c>
      <c r="AA21" s="26" t="str">
        <f>IFERROR(__xludf.DUMMYFUNCTION("LET(
 id,A21,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22" ht="14.25" customHeight="1">
      <c r="A22" s="26" t="s">
        <v>679</v>
      </c>
      <c r="B22" s="26" t="str">
        <f t="array" ref="B22">_xlfn.XLOOKUP(
 A22,
 tblTargets[TargetID],
 tblTargets[DisplayName],
 ""
)</f>
        <v>dairy maxed</v>
      </c>
      <c r="C22" s="26" t="str">
        <f t="shared" si="1"/>
        <v>BLOCKED</v>
      </c>
      <c r="D22" s="26" t="b">
        <f>IFERROR(__xludf.DUMMYFUNCTION("LET(
 id,A22,
 IF(
  F22=""CHARACTER"",
  LET(
   base,REGEXREPLACE(id,""@\d+$"",""""),
   required,VALUE(REGEXEXTRACT(id,""@(\d+)$"")),
   current,XLOOKUP(
    base,
    tblPlayer[PlayerStateID],
    tblPlayer[Value],
    0
   ),
   current&gt;=required
  )"&amp;",
  IF(
   T22=""AUTO"",
   L22=0,
   COUNTIFS(
    tblChecklist[TargetID],id,
    tblChecklist[PlayerCompleted],TRUE
   )&gt;0
  )
 )
)"),FALSE)</f>
        <v>0</v>
      </c>
      <c r="E22" s="26" t="str">
        <f t="array" ref="E22">_xlfn.XLOOKUP(
 A22,
 tblTargets[TargetID],
 tblTargets[TargetType],
 ""
)</f>
        <v>BUILDING</v>
      </c>
      <c r="F22" s="26" t="str">
        <f t="array" ref="F22">_xlfn.XLOOKUP(
 A22,
 tblTargets[TargetID],
 tblTargets[StateType],
 ""
)</f>
        <v/>
      </c>
      <c r="G22" s="26">
        <f>LET(
 id,A22,
 depCount,COUNTIF(tblDependencies[TargetID],id),
 objCount,COUNTIF(tblQuestObjectives[QuestTargetID],id),
 depCount+objCount
)</f>
        <v>1</v>
      </c>
      <c r="H22" s="26">
        <f t="shared" si="2"/>
        <v>1</v>
      </c>
      <c r="I22" s="26">
        <f>IFERROR(__xludf.DUMMYFUNCTION("LET(
 id,A22,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 s="26">
        <f t="shared" si="3"/>
        <v>0</v>
      </c>
      <c r="K22" s="26" t="b">
        <f t="shared" si="4"/>
        <v>0</v>
      </c>
      <c r="L22" s="26">
        <f t="shared" si="5"/>
        <v>1</v>
      </c>
      <c r="M22" s="26" t="str">
        <f>IFERROR(__xludf.DUMMYFUNCTION("LET(
 id,A22,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L22=0,
  """",
  IFERROR(INDEX(incomplete,1),"""")
 "&amp;")
)"),"building.dairy@2")</f>
        <v>building.dairy@2</v>
      </c>
      <c r="N22" s="26" t="str">
        <f t="array" ref="N22">IF(
 M22="",
 "",
 _xlfn.XLOOKUP(
  M22,
  tblTargets[TargetID],
  tblTargets[DisplayName],
  M22
 )
)</f>
        <v>Dairy Lv 2</v>
      </c>
      <c r="O22" s="26" t="str">
        <f>IFERROR(__xludf.DUMMYFUNCTION("SWITCH(
 E22,
 ""BUILDING"",XLOOKUP(A22,tblBuildings[BuildingID],tblBuildings[costtext],""""),
 ""TECH"",XLOOKUP(A22,tblTechnologies[TechnologyID],tblTechnologies[costtext],""""),
 ""QUEST"",XLOOKUP(
  REGEXREPLACE(A22,""\.[^.]+$"",""""),
  tblQuests[Ques"&amp;"tID],
  tblQuests[Costtext],
  """"
 ),
 ""CITADEL"",XLOOKUP(A22,tblCitadel[CitadelID],tblCitadel[costtext],""""),
 ""COLLECTION"",XLOOKUP(A22,tblCollections[CollectionID],tblCollections[costtext],""""),
 ""CRAFTIFACT"",XLOOKUP(A22,tblCraftifacts[Craftifa"&amp;"ctID],tblCraftifacts[costtext],""""),
 """"
)"),"")</f>
        <v/>
      </c>
      <c r="P22" s="26" t="str">
        <f t="shared" si="6"/>
        <v>BLOCKED</v>
      </c>
      <c r="Q22" s="26" t="str">
        <f t="shared" si="7"/>
        <v>BLOCKED</v>
      </c>
      <c r="R22" s="26" t="str">
        <f t="array" ref="R22">IFERROR(
 _xlfn.XLOOKUP(
  A22,
  tblChecklist[TargetID],
  tblChecklist[PlayerSort],
  ""
 ),
 ""
)</f>
        <v/>
      </c>
      <c r="S22" s="26" t="str">
        <f>IFERROR(__xludf.DUMMYFUNCTION("LET(
 id,A22,
 successorIDs,
  IFERROR(
   UNIQUE(
    FILTER(
     {
      Dependencies!$A$2:$A$1000;
      QuestObjectives!$A$2:$A$1000
     },
     {
      Dependencies!$B$2:$B$1000;
      QuestObjectives!$E$2:$E$1000
     }=id
    )
   ),
   """"
  ),"&amp;"
 names,
  MAP(
   successorIDs,
   LAMBDA(s,
    IF(
     s="""",
     """",
     XLOOKUP(
      s,
      $A$2:$A$1000,
      $B$2:$B$1000,
      s
     )
    )
   )
  ),
 IF(
  successorIDs="""",
  """",
  TEXTJOIN("", "",TRUE,names)
 )
)"),"Dairy - Classical Music For The Farm")</f>
        <v>Dairy - Classical Music For The Farm</v>
      </c>
      <c r="T22" s="26" t="str">
        <f t="array" ref="T22">_xlfn.XLOOKUP(
 A22,
 tblTargets[TargetID],
 tblTargets[CompletionMethod],
 ""
)</f>
        <v>AUTO</v>
      </c>
      <c r="U22" s="84" t="b">
        <f>COUNTIF(tblCost[TargetID],A22)&gt;0</f>
        <v>0</v>
      </c>
      <c r="V22" s="85" t="str">
        <f t="array" ref="V22">IF(
 U22=FALSE,
 "",
 _xlfn.XLOOKUP(
  A22,
  tblCost[TargetID],
  tblCost[FundingPercent],
  ""
 )
)</f>
        <v/>
      </c>
      <c r="W22" s="26" t="str">
        <f t="array" ref="W22">IF(
 U22=FALSE,
 "",
 _xlfn.XLOOKUP(
  A22,
  tblCost[TargetID],
  tblCost[RemainingRequirements],
  ""
 )
)</f>
        <v/>
      </c>
      <c r="X22" s="45" t="str">
        <f t="array" ref="X22">IF(
 U22=FALSE,
 "N/A",
 _xlfn.XLOOKUP(
  A23,
  tblCost[TargetID],
  tblCost[TargetFunded],
  FALSE
 )
)</f>
        <v>N/A</v>
      </c>
      <c r="Y22" s="26" t="str">
        <f>IFERROR(__xludf.DUMMYFUNCTION("IFERROR(
 TEXTJOIN(
  "", "",
  TRUE,
  FILTER(
   'cost checklist'!$E$2:$E1000&amp;"": ""&amp;'cost checklist'!$G$2:$G1000,
   'cost checklist'!$B$2:$B1000=A22,
   'cost checklist'!$J$2:$J1000=FALSE
  )
 ),
 """"
)"),"")</f>
        <v/>
      </c>
      <c r="Z22" s="26" t="b">
        <f>IFERROR(__xludf.DUMMYFUNCTION("IF(
 AND(
  E22=""QUEST"",
  RIGHT(A22,9)="".accepted"",
  D22=TRUE
 ),
 XLOOKUP(
  REGEXREPLACE(A22,""\.accepted$"","""")&amp;"".finished"",
  $A$2:$A1000,
  $D$2:$D1000,
  TRUE
 )=FALSE,
 FALSE
)"),FALSE)</f>
        <v>0</v>
      </c>
      <c r="AA22" s="26" t="str">
        <f>IFERROR(__xludf.DUMMYFUNCTION("LET(
 id,A22,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23" ht="14.25" customHeight="1">
      <c r="A23" s="26" t="s">
        <v>138</v>
      </c>
      <c r="B23" s="26" t="str">
        <f t="array" ref="B23">_xlfn.XLOOKUP(
 A23,
 tblTargets[TargetID],
 tblTargets[DisplayName],
 ""
)</f>
        <v>Dairy Lv 1</v>
      </c>
      <c r="C23" s="26" t="str">
        <f t="shared" si="1"/>
        <v>BLOCKED</v>
      </c>
      <c r="D23" s="26" t="b">
        <f>IFERROR(__xludf.DUMMYFUNCTION("LET(
 id,A23,
 IF(
  F23=""CHARACTER"",
  LET(
   base,REGEXREPLACE(id,""@\d+$"",""""),
   required,VALUE(REGEXEXTRACT(id,""@(\d+)$"")),
   current,XLOOKUP(
    base,
    tblPlayer[PlayerStateID],
    tblPlayer[Value],
    0
   ),
   current&gt;=required
  )"&amp;",
  IF(
   T23=""AUTO"",
   L23=0,
   COUNTIFS(
    tblChecklist[TargetID],id,
    tblChecklist[PlayerCompleted],TRUE
   )&gt;0
  )
 )
)"),FALSE)</f>
        <v>0</v>
      </c>
      <c r="E23" s="26" t="str">
        <f t="array" ref="E23">_xlfn.XLOOKUP(
 A23,
 tblTargets[TargetID],
 tblTargets[TargetType],
 ""
)</f>
        <v>BUILDING</v>
      </c>
      <c r="F23" s="26" t="str">
        <f t="array" ref="F23">_xlfn.XLOOKUP(
 A23,
 tblTargets[TargetID],
 tblTargets[StateType],
 ""
)</f>
        <v/>
      </c>
      <c r="G23" s="26">
        <f>LET(
 id,A23,
 depCount,COUNTIF(tblDependencies[TargetID],id),
 objCount,COUNTIF(tblQuestObjectives[QuestTargetID],id),
 depCount+objCount
)</f>
        <v>2</v>
      </c>
      <c r="H23" s="26">
        <f t="shared" si="2"/>
        <v>2</v>
      </c>
      <c r="I23" s="26">
        <f>IFERROR(__xludf.DUMMYFUNCTION("LET(
 id,A23,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 s="26">
        <f t="shared" si="3"/>
        <v>0</v>
      </c>
      <c r="K23" s="26" t="b">
        <f t="shared" si="4"/>
        <v>0</v>
      </c>
      <c r="L23" s="26">
        <f t="shared" si="5"/>
        <v>2</v>
      </c>
      <c r="M23" s="26" t="str">
        <f>IFERROR(__xludf.DUMMYFUNCTION("LET(
 id,A23,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L23=0,
  """",
  IFERROR(INDEX(incomplete,1),"""")
 "&amp;")
)"),"state.character_level@15")</f>
        <v>state.character_level@15</v>
      </c>
      <c r="N23" s="26" t="str">
        <f t="array" ref="N23">IF(
 M23="",
 "",
 _xlfn.XLOOKUP(
  M23,
  tblTargets[TargetID],
  tblTargets[DisplayName],
  M23
 )
)</f>
        <v>Character Level@15</v>
      </c>
      <c r="O23" s="26" t="str">
        <f>IFERROR(__xludf.DUMMYFUNCTION("SWITCH(
 E23,
 ""BUILDING"",XLOOKUP(A23,tblBuildings[BuildingID],tblBuildings[costtext],""""),
 ""TECH"",XLOOKUP(A23,tblTechnologies[TechnologyID],tblTechnologies[costtext],""""),
 ""QUEST"",XLOOKUP(
  REGEXREPLACE(A23,""\.[^.]+$"",""""),
  tblQuests[Ques"&amp;"tID],
  tblQuests[Costtext],
  """"
 ),
 ""CITADEL"",XLOOKUP(A23,tblCitadel[CitadelID],tblCitadel[costtext],""""),
 ""COLLECTION"",XLOOKUP(A23,tblCollections[CollectionID],tblCollections[costtext],""""),
 ""CRAFTIFACT"",XLOOKUP(A23,tblCraftifacts[Craftifa"&amp;"ctID],tblCraftifacts[costtext],""""),
 """"
)"),"5 ruby,1000 coin,700 beam,300 stone,20 thread,40 glass,100 wheat,20 herbs,1 goat")</f>
        <v>5 ruby,1000 coin,700 beam,300 stone,20 thread,40 glass,100 wheat,20 herbs,1 goat</v>
      </c>
      <c r="P23" s="26" t="str">
        <f t="shared" si="6"/>
        <v>READY</v>
      </c>
      <c r="Q23" s="26" t="str">
        <f t="shared" si="7"/>
        <v>BLOCKED</v>
      </c>
      <c r="R23" s="26">
        <f t="array" ref="R23">IFERROR(
 _xlfn.XLOOKUP(
  A23,
  tblChecklist[TargetID],
  tblChecklist[PlayerSort],
  ""
 ),
 ""
)</f>
        <v>77</v>
      </c>
      <c r="S23" s="26" t="str">
        <f>IFERROR(__xludf.DUMMYFUNCTION("LET(
 id,A23,
 successorIDs,
  IFERROR(
   UNIQUE(
    FILTER(
     {
      Dependencies!$A$2:$A$1000;
      QuestObjectives!$A$2:$A$1000
     },
     {
      Dependencies!$B$2:$B$1000;
      QuestObjectives!$E$2:$E$1000
     }=id
    )
   ),
   """"
  ),"&amp;"
 names,
  MAP(
   successorIDs,
   LAMBDA(s,
    IF(
     s="""",
     """",
     XLOOKUP(
      s,
      $A$2:$A$1000,
      $B$2:$B$1000,
      s
     )
    )
   )
  ),
 IF(
  successorIDs="""",
  """",
  TEXTJOIN("", "",TRUE,names)
 )
)"),"Dairy Lv 2")</f>
        <v>Dairy Lv 2</v>
      </c>
      <c r="T23" s="26" t="str">
        <f t="array" ref="T23">_xlfn.XLOOKUP(
 A23,
 tblTargets[TargetID],
 tblTargets[CompletionMethod],
 ""
)</f>
        <v>PLAYER</v>
      </c>
      <c r="U23" s="84" t="b">
        <f>COUNTIF(tblCost[TargetID],A23)&gt;0</f>
        <v>1</v>
      </c>
      <c r="V23" s="85">
        <f t="array" ref="V23">IF(
 U23=FALSE,
 "",
 _xlfn.XLOOKUP(
  A23,
  tblCost[TargetID],
  tblCost[FundingPercent],
  ""
 )
)</f>
        <v>0</v>
      </c>
      <c r="W23" s="26">
        <f t="array" ref="W23">IF(
 U23=FALSE,
 "",
 _xlfn.XLOOKUP(
  A23,
  tblCost[TargetID],
  tblCost[RemainingRequirements],
  ""
 )
)</f>
        <v>9</v>
      </c>
      <c r="X23" s="45" t="b">
        <f t="array" ref="X23">IF(
 U23=FALSE,
 "N/A",
 _xlfn.XLOOKUP(
  A24,
  tblCost[TargetID],
  tblCost[TargetFunded],
  FALSE
 )
)</f>
        <v>0</v>
      </c>
      <c r="Y23" s="26" t="str">
        <f>IFERROR(__xludf.DUMMYFUNCTION("IFERROR(
 TEXTJOIN(
  "", "",
  TRUE,
  FILTER(
   'cost checklist'!$E$2:$E1000&amp;"": ""&amp;'cost checklist'!$G$2:$G1000,
   'cost checklist'!$B$2:$B1000=A23,
   'cost checklist'!$J$2:$J1000=FALSE
  )
 ),
 """"
)"),"beam: 700, coin: 1000, glass: 40, goat: 1, herbs: 20, ruby: 5, stone: 300, thread: 20, wheat: 100")</f>
        <v>beam: 700, coin: 1000, glass: 40, goat: 1, herbs: 20, ruby: 5, stone: 300, thread: 20, wheat: 100</v>
      </c>
      <c r="Z23" s="26" t="b">
        <f>IFERROR(__xludf.DUMMYFUNCTION("IF(
 AND(
  E23=""QUEST"",
  RIGHT(A23,9)="".accepted"",
  D23=TRUE
 ),
 XLOOKUP(
  REGEXREPLACE(A23,""\.accepted$"","""")&amp;"".finished"",
  $A$2:$A1000,
  $D$2:$D1000,
  TRUE
 )=FALSE,
 FALSE
)"),FALSE)</f>
        <v>0</v>
      </c>
      <c r="AA23" s="26" t="str">
        <f>IFERROR(__xludf.DUMMYFUNCTION("LET(
 id,A23,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24" ht="14.25" customHeight="1">
      <c r="A24" s="26" t="s">
        <v>145</v>
      </c>
      <c r="B24" s="26" t="str">
        <f t="array" ref="B24">_xlfn.XLOOKUP(
 A24,
 tblTargets[TargetID],
 tblTargets[DisplayName],
 ""
)</f>
        <v>Dairy Lv 2</v>
      </c>
      <c r="C24" s="26" t="str">
        <f t="shared" si="1"/>
        <v>BLOCKED</v>
      </c>
      <c r="D24" s="26" t="b">
        <f>IFERROR(__xludf.DUMMYFUNCTION("LET(
 id,A24,
 IF(
  F24=""CHARACTER"",
  LET(
   base,REGEXREPLACE(id,""@\d+$"",""""),
   required,VALUE(REGEXEXTRACT(id,""@(\d+)$"")),
   current,XLOOKUP(
    base,
    tblPlayer[PlayerStateID],
    tblPlayer[Value],
    0
   ),
   current&gt;=required
  )"&amp;",
  IF(
   T24=""AUTO"",
   L24=0,
   COUNTIFS(
    tblChecklist[TargetID],id,
    tblChecklist[PlayerCompleted],TRUE
   )&gt;0
  )
 )
)"),FALSE)</f>
        <v>0</v>
      </c>
      <c r="E24" s="26" t="str">
        <f t="array" ref="E24">_xlfn.XLOOKUP(
 A24,
 tblTargets[TargetID],
 tblTargets[TargetType],
 ""
)</f>
        <v>BUILDING</v>
      </c>
      <c r="F24" s="26" t="str">
        <f t="array" ref="F24">_xlfn.XLOOKUP(
 A24,
 tblTargets[TargetID],
 tblTargets[StateType],
 ""
)</f>
        <v/>
      </c>
      <c r="G24" s="26">
        <f>LET(
 id,A24,
 depCount,COUNTIF(tblDependencies[TargetID],id),
 objCount,COUNTIF(tblQuestObjectives[QuestTargetID],id),
 depCount+objCount
)</f>
        <v>1</v>
      </c>
      <c r="H24" s="26">
        <f t="shared" si="2"/>
        <v>1</v>
      </c>
      <c r="I24" s="26">
        <f>IFERROR(__xludf.DUMMYFUNCTION("LET(
 id,A24,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 s="26">
        <f t="shared" si="3"/>
        <v>0</v>
      </c>
      <c r="K24" s="26" t="b">
        <f t="shared" si="4"/>
        <v>0</v>
      </c>
      <c r="L24" s="26">
        <f t="shared" si="5"/>
        <v>1</v>
      </c>
      <c r="M24" s="26" t="str">
        <f>IFERROR(__xludf.DUMMYFUNCTION("LET(
 id,A24,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L24=0,
  """",
  IFERROR(INDEX(incomplete,1),"""")
 "&amp;")
)"),"building.dairy@1")</f>
        <v>building.dairy@1</v>
      </c>
      <c r="N24" s="26" t="str">
        <f t="array" ref="N24">IF(
 M24="",
 "",
 _xlfn.XLOOKUP(
  M24,
  tblTargets[TargetID],
  tblTargets[DisplayName],
  M24
 )
)</f>
        <v>Dairy Lv 1</v>
      </c>
      <c r="O24" s="26" t="str">
        <f>IFERROR(__xludf.DUMMYFUNCTION("SWITCH(
 E24,
 ""BUILDING"",XLOOKUP(A24,tblBuildings[BuildingID],tblBuildings[costtext],""""),
 ""TECH"",XLOOKUP(A24,tblTechnologies[TechnologyID],tblTechnologies[costtext],""""),
 ""QUEST"",XLOOKUP(
  REGEXREPLACE(A24,""\.[^.]+$"",""""),
  tblQuests[Ques"&amp;"tID],
  tblQuests[Costtext],
  """"
 ),
 ""CITADEL"",XLOOKUP(A24,tblCitadel[CitadelID],tblCitadel[costtext],""""),
 ""COLLECTION"",XLOOKUP(A24,tblCollections[CollectionID],tblCollections[costtext],""""),
 ""CRAFTIFACT"",XLOOKUP(A24,tblCraftifacts[Craftifa"&amp;"ctID],tblCraftifacts[costtext],""""),
 """"
)"),"5 ruby,1000 coin,900 beam,500 stone,30 thread,20 bamboo,20 milk,10 enzyme,5 grimoire")</f>
        <v>5 ruby,1000 coin,900 beam,500 stone,30 thread,20 bamboo,20 milk,10 enzyme,5 grimoire</v>
      </c>
      <c r="P24" s="26" t="str">
        <f t="shared" si="6"/>
        <v>BLOCKED</v>
      </c>
      <c r="Q24" s="26" t="str">
        <f t="shared" si="7"/>
        <v>BLOCKED</v>
      </c>
      <c r="R24" s="26">
        <f t="array" ref="R24">IFERROR(
 _xlfn.XLOOKUP(
  A24,
  tblChecklist[TargetID],
  tblChecklist[PlayerSort],
  ""
 ),
 ""
)</f>
        <v>78</v>
      </c>
      <c r="S24" s="26" t="str">
        <f>IFERROR(__xludf.DUMMYFUNCTION("LET(
 id,A24,
 successorIDs,
  IFERROR(
   UNIQUE(
    FILTER(
     {
      Dependencies!$A$2:$A$1000;
      QuestObjectives!$A$2:$A$1000
     },
     {
      Dependencies!$B$2:$B$1000;
      QuestObjectives!$E$2:$E$1000
     }=id
    )
   ),
   """"
  ),"&amp;"
 names,
  MAP(
   successorIDs,
   LAMBDA(s,
    IF(
     s="""",
     """",
     XLOOKUP(
      s,
      $A$2:$A$1000,
      $B$2:$B$1000,
      s
     )
    )
   )
  ),
 IF(
  successorIDs="""",
  """",
  TEXTJOIN("", "",TRUE,names)
 )
)"),"dairy maxed, The Ordinary Days of an Adventurer Chapter 6 Accepted, Visit Dungeon@ 6B")</f>
        <v>dairy maxed, The Ordinary Days of an Adventurer Chapter 6 Accepted, Visit Dungeon@ 6B</v>
      </c>
      <c r="T24" s="26" t="str">
        <f t="array" ref="T24">_xlfn.XLOOKUP(
 A24,
 tblTargets[TargetID],
 tblTargets[CompletionMethod],
 ""
)</f>
        <v>PLAYER</v>
      </c>
      <c r="U24" s="84" t="b">
        <f>COUNTIF(tblCost[TargetID],A24)&gt;0</f>
        <v>1</v>
      </c>
      <c r="V24" s="85">
        <f t="array" ref="V24">IF(
 U24=FALSE,
 "",
 _xlfn.XLOOKUP(
  A24,
  tblCost[TargetID],
  tblCost[FundingPercent],
  ""
 )
)</f>
        <v>0</v>
      </c>
      <c r="W24" s="26">
        <f t="array" ref="W24">IF(
 U24=FALSE,
 "",
 _xlfn.XLOOKUP(
  A24,
  tblCost[TargetID],
  tblCost[RemainingRequirements],
  ""
 )
)</f>
        <v>9</v>
      </c>
      <c r="X24" s="45" t="b">
        <f t="array" ref="X24">IF(
 U24=FALSE,
 "N/A",
 _xlfn.XLOOKUP(
  A25,
  tblCost[TargetID],
  tblCost[TargetFunded],
  FALSE
 )
)</f>
        <v>0</v>
      </c>
      <c r="Y24" s="26" t="str">
        <f>IFERROR(__xludf.DUMMYFUNCTION("IFERROR(
 TEXTJOIN(
  "", "",
  TRUE,
  FILTER(
   'cost checklist'!$E$2:$E1000&amp;"": ""&amp;'cost checklist'!$G$2:$G1000,
   'cost checklist'!$B$2:$B1000=A24,
   'cost checklist'!$J$2:$J1000=FALSE
  )
 ),
 """"
)"),"bamboo: 20, beam: 900, coin: 1000, enzyme: 10, grimoire: 5, milk: 20, ruby: 5, stone: 500, thread: 30")</f>
        <v>bamboo: 20, beam: 900, coin: 1000, enzyme: 10, grimoire: 5, milk: 20, ruby: 5, stone: 500, thread: 30</v>
      </c>
      <c r="Z24" s="26" t="b">
        <f>IFERROR(__xludf.DUMMYFUNCTION("IF(
 AND(
  E24=""QUEST"",
  RIGHT(A24,9)="".accepted"",
  D24=TRUE
 ),
 XLOOKUP(
  REGEXREPLACE(A24,""\.accepted$"","""")&amp;"".finished"",
  $A$2:$A1000,
  $D$2:$D1000,
  TRUE
 )=FALSE,
 FALSE
)"),FALSE)</f>
        <v>0</v>
      </c>
      <c r="AA24" s="26" t="str">
        <f>IFERROR(__xludf.DUMMYFUNCTION("LET(
 id,A24,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)"),"The Ordinary Days of an Adventurer Chapter 6")</f>
        <v>The Ordinary Days of an Adventurer Chapter 6</v>
      </c>
    </row>
    <row r="25" ht="14.25" customHeight="1">
      <c r="A25" s="26" t="s">
        <v>687</v>
      </c>
      <c r="B25" s="26" t="str">
        <f t="array" ref="B25">_xlfn.XLOOKUP(
 A25,
 tblTargets[TargetID],
 tblTargets[DisplayName],
 ""
)</f>
        <v>dungeon maxed</v>
      </c>
      <c r="C25" s="26" t="str">
        <f t="shared" si="1"/>
        <v>BLOCKED</v>
      </c>
      <c r="D25" s="26" t="b">
        <f>IFERROR(__xludf.DUMMYFUNCTION("LET(
 id,A25,
 IF(
  F25=""CHARACTER"",
  LET(
   base,REGEXREPLACE(id,""@\d+$"",""""),
   required,VALUE(REGEXEXTRACT(id,""@(\d+)$"")),
   current,XLOOKUP(
    base,
    tblPlayer[PlayerStateID],
    tblPlayer[Value],
    0
   ),
   current&gt;=required
  )"&amp;",
  IF(
   T25=""AUTO"",
   L25=0,
   COUNTIFS(
    tblChecklist[TargetID],id,
    tblChecklist[PlayerCompleted],TRUE
   )&gt;0
  )
 )
)"),FALSE)</f>
        <v>0</v>
      </c>
      <c r="E25" s="26" t="str">
        <f t="array" ref="E25">_xlfn.XLOOKUP(
 A25,
 tblTargets[TargetID],
 tblTargets[TargetType],
 ""
)</f>
        <v>BUILDING</v>
      </c>
      <c r="F25" s="26" t="str">
        <f t="array" ref="F25">_xlfn.XLOOKUP(
 A25,
 tblTargets[TargetID],
 tblTargets[StateType],
 ""
)</f>
        <v/>
      </c>
      <c r="G25" s="26">
        <f>LET(
 id,A25,
 depCount,COUNTIF(tblDependencies[TargetID],id),
 objCount,COUNTIF(tblQuestObjectives[QuestTargetID],id),
 depCount+objCount
)</f>
        <v>1</v>
      </c>
      <c r="H25" s="26">
        <f t="shared" si="2"/>
        <v>1</v>
      </c>
      <c r="I25" s="26">
        <f>IFERROR(__xludf.DUMMYFUNCTION("LET(
 id,A25,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 s="26">
        <f t="shared" si="3"/>
        <v>0</v>
      </c>
      <c r="K25" s="26" t="b">
        <f t="shared" si="4"/>
        <v>0</v>
      </c>
      <c r="L25" s="26">
        <f t="shared" si="5"/>
        <v>1</v>
      </c>
      <c r="M25" s="26" t="str">
        <f>IFERROR(__xludf.DUMMYFUNCTION("LET(
 id,A25,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L25=0,
  """",
  IFERROR(INDEX(incomplete,1),"""")
 "&amp;")
)"),"building.dungeon@5")</f>
        <v>building.dungeon@5</v>
      </c>
      <c r="N25" s="26" t="str">
        <f t="array" ref="N25">IF(
 M25="",
 "",
 _xlfn.XLOOKUP(
  M25,
  tblTargets[TargetID],
  tblTargets[DisplayName],
  M25
 )
)</f>
        <v>Dungeon Lv 5</v>
      </c>
      <c r="O25" s="26" t="str">
        <f>IFERROR(__xludf.DUMMYFUNCTION("SWITCH(
 E25,
 ""BUILDING"",XLOOKUP(A25,tblBuildings[BuildingID],tblBuildings[costtext],""""),
 ""TECH"",XLOOKUP(A25,tblTechnologies[TechnologyID],tblTechnologies[costtext],""""),
 ""QUEST"",XLOOKUP(
  REGEXREPLACE(A25,""\.[^.]+$"",""""),
  tblQuests[Ques"&amp;"tID],
  tblQuests[Costtext],
  """"
 ),
 ""CITADEL"",XLOOKUP(A25,tblCitadel[CitadelID],tblCitadel[costtext],""""),
 ""COLLECTION"",XLOOKUP(A25,tblCollections[CollectionID],tblCollections[costtext],""""),
 ""CRAFTIFACT"",XLOOKUP(A25,tblCraftifacts[Craftifa"&amp;"ctID],tblCraftifacts[costtext],""""),
 """"
)"),"")</f>
        <v/>
      </c>
      <c r="P25" s="26" t="str">
        <f t="shared" si="6"/>
        <v>BLOCKED</v>
      </c>
      <c r="Q25" s="26" t="str">
        <f t="shared" si="7"/>
        <v>BLOCKED</v>
      </c>
      <c r="R25" s="26" t="str">
        <f t="array" ref="R25">IFERROR(
 _xlfn.XLOOKUP(
  A25,
  tblChecklist[TargetID],
  tblChecklist[PlayerSort],
  ""
 ),
 ""
)</f>
        <v/>
      </c>
      <c r="S25" s="26" t="str">
        <f>IFERROR(__xludf.DUMMYFUNCTION("LET(
 id,A25,
 successorIDs,
  IFERROR(
   UNIQUE(
    FILTER(
     {
      Dependencies!$A$2:$A$1000;
      QuestObjectives!$A$2:$A$1000
     },
     {
      Dependencies!$B$2:$B$1000;
      QuestObjectives!$E$2:$E$1000
     }=id
    )
   ),
   """"
  ),"&amp;"
 names,
  MAP(
   successorIDs,
   LAMBDA(s,
    IF(
     s="""",
     """",
     XLOOKUP(
      s,
      $A$2:$A$1000,
      $B$2:$B$1000,
      s
     )
    )
   )
  ),
 IF(
  successorIDs="""",
  """",
  TEXTJOIN("", "",TRUE,names)
 )
)"),"")</f>
        <v/>
      </c>
      <c r="T25" s="26" t="str">
        <f t="array" ref="T25">_xlfn.XLOOKUP(
 A25,
 tblTargets[TargetID],
 tblTargets[CompletionMethod],
 ""
)</f>
        <v>AUTO</v>
      </c>
      <c r="U25" s="84" t="b">
        <f>COUNTIF(tblCost[TargetID],A25)&gt;0</f>
        <v>0</v>
      </c>
      <c r="V25" s="85" t="str">
        <f t="array" ref="V25">IF(
 U25=FALSE,
 "",
 _xlfn.XLOOKUP(
  A25,
  tblCost[TargetID],
  tblCost[FundingPercent],
  ""
 )
)</f>
        <v/>
      </c>
      <c r="W25" s="26" t="str">
        <f t="array" ref="W25">IF(
 U25=FALSE,
 "",
 _xlfn.XLOOKUP(
  A25,
  tblCost[TargetID],
  tblCost[RemainingRequirements],
  ""
 )
)</f>
        <v/>
      </c>
      <c r="X25" s="45" t="str">
        <f t="array" ref="X25">IF(
 U25=FALSE,
 "N/A",
 _xlfn.XLOOKUP(
  A26,
  tblCost[TargetID],
  tblCost[TargetFunded],
  FALSE
 )
)</f>
        <v>N/A</v>
      </c>
      <c r="Y25" s="26" t="str">
        <f>IFERROR(__xludf.DUMMYFUNCTION("IFERROR(
 TEXTJOIN(
  "", "",
  TRUE,
  FILTER(
   'cost checklist'!$E$2:$E1000&amp;"": ""&amp;'cost checklist'!$G$2:$G1000,
   'cost checklist'!$B$2:$B1000=A25,
   'cost checklist'!$J$2:$J1000=FALSE
  )
 ),
 """"
)"),"")</f>
        <v/>
      </c>
      <c r="Z25" s="26" t="b">
        <f>IFERROR(__xludf.DUMMYFUNCTION("IF(
 AND(
  E25=""QUEST"",
  RIGHT(A25,9)="".accepted"",
  D25=TRUE
 ),
 XLOOKUP(
  REGEXREPLACE(A25,""\.accepted$"","""")&amp;"".finished"",
  $A$2:$A1000,
  $D$2:$D1000,
  TRUE
 )=FALSE,
 FALSE
)"),FALSE)</f>
        <v>0</v>
      </c>
      <c r="AA25" s="26" t="str">
        <f>IFERROR(__xludf.DUMMYFUNCTION("LET(
 id,A25,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26" ht="14.25" customHeight="1">
      <c r="A26" s="26" t="s">
        <v>151</v>
      </c>
      <c r="B26" s="26" t="str">
        <f t="array" ref="B26">_xlfn.XLOOKUP(
 A26,
 tblTargets[TargetID],
 tblTargets[DisplayName],
 ""
)</f>
        <v>Dungeon Lv 1</v>
      </c>
      <c r="C26" s="26" t="str">
        <f t="shared" si="1"/>
        <v>BLOCKED</v>
      </c>
      <c r="D26" s="26" t="b">
        <f>IFERROR(__xludf.DUMMYFUNCTION("LET(
 id,A26,
 IF(
  F26=""CHARACTER"",
  LET(
   base,REGEXREPLACE(id,""@\d+$"",""""),
   required,VALUE(REGEXEXTRACT(id,""@(\d+)$"")),
   current,XLOOKUP(
    base,
    tblPlayer[PlayerStateID],
    tblPlayer[Value],
    0
   ),
   current&gt;=required
  )"&amp;",
  IF(
   T26=""AUTO"",
   L26=0,
   COUNTIFS(
    tblChecklist[TargetID],id,
    tblChecklist[PlayerCompleted],TRUE
   )&gt;0
  )
 )
)"),FALSE)</f>
        <v>0</v>
      </c>
      <c r="E26" s="26" t="str">
        <f t="array" ref="E26">_xlfn.XLOOKUP(
 A26,
 tblTargets[TargetID],
 tblTargets[TargetType],
 ""
)</f>
        <v>BUILDING</v>
      </c>
      <c r="F26" s="26" t="str">
        <f t="array" ref="F26">_xlfn.XLOOKUP(
 A26,
 tblTargets[TargetID],
 tblTargets[StateType],
 ""
)</f>
        <v/>
      </c>
      <c r="G26" s="26">
        <f>LET(
 id,A26,
 depCount,COUNTIF(tblDependencies[TargetID],id),
 objCount,COUNTIF(tblQuestObjectives[QuestTargetID],id),
 depCount+objCount
)</f>
        <v>1</v>
      </c>
      <c r="H26" s="26">
        <f t="shared" si="2"/>
        <v>1</v>
      </c>
      <c r="I26" s="26">
        <f>IFERROR(__xludf.DUMMYFUNCTION("LET(
 id,A26,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 s="26">
        <f t="shared" si="3"/>
        <v>0</v>
      </c>
      <c r="K26" s="26" t="b">
        <f t="shared" si="4"/>
        <v>0</v>
      </c>
      <c r="L26" s="26">
        <f t="shared" si="5"/>
        <v>1</v>
      </c>
      <c r="M26" s="26" t="str">
        <f>IFERROR(__xludf.DUMMYFUNCTION("LET(
 id,A26,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L26=0,
  """",
  IFERROR(INDEX(incomplete,1),"""")
 "&amp;")
)"),"state.character_level@10")</f>
        <v>state.character_level@10</v>
      </c>
      <c r="N26" s="26" t="str">
        <f t="array" ref="N26">IF(
 M26="",
 "",
 _xlfn.XLOOKUP(
  M26,
  tblTargets[TargetID],
  tblTargets[DisplayName],
  M26
 )
)</f>
        <v>Character Level@10</v>
      </c>
      <c r="O26" s="26" t="str">
        <f>IFERROR(__xludf.DUMMYFUNCTION("SWITCH(
 E26,
 ""BUILDING"",XLOOKUP(A26,tblBuildings[BuildingID],tblBuildings[costtext],""""),
 ""TECH"",XLOOKUP(A26,tblTechnologies[TechnologyID],tblTechnologies[costtext],""""),
 ""QUEST"",XLOOKUP(
  REGEXREPLACE(A26,""\.[^.]+$"",""""),
  tblQuests[Ques"&amp;"tID],
  tblQuests[Costtext],
  """"
 ),
 ""CITADEL"",XLOOKUP(A26,tblCitadel[CitadelID],tblCitadel[costtext],""""),
 ""COLLECTION"",XLOOKUP(A26,tblCollections[CollectionID],tblCollections[costtext],""""),
 ""CRAFTIFACT"",XLOOKUP(A26,tblCraftifacts[Craftifa"&amp;"ctID],tblCraftifacts[costtext],""""),
 """"
)"),"1 ruby,300 coin,200 wood,50 stone,100 steel,30 fan")</f>
        <v>1 ruby,300 coin,200 wood,50 stone,100 steel,30 fan</v>
      </c>
      <c r="P26" s="26" t="str">
        <f t="shared" si="6"/>
        <v>READY</v>
      </c>
      <c r="Q26" s="26" t="str">
        <f t="shared" si="7"/>
        <v>ONE AWAY</v>
      </c>
      <c r="R26" s="26">
        <f t="array" ref="R26">IFERROR(
 _xlfn.XLOOKUP(
  A26,
  tblChecklist[TargetID],
  tblChecklist[PlayerSort],
  ""
 ),
 ""
)</f>
        <v>12</v>
      </c>
      <c r="S26" s="26" t="str">
        <f>IFERROR(__xludf.DUMMYFUNCTION("LET(
 id,A26,
 successorIDs,
  IFERROR(
   UNIQUE(
    FILTER(
     {
      Dependencies!$A$2:$A$1000;
      QuestObjectives!$A$2:$A$1000
     },
     {
      Dependencies!$B$2:$B$1000;
      QuestObjectives!$E$2:$E$1000
     }=id
    )
   ),
   """"
  ),"&amp;"
 names,
  MAP(
   successorIDs,
   LAMBDA(s,
    IF(
     s="""",
     """",
     XLOOKUP(
      s,
      $A$2:$A$1000,
      $B$2:$B$1000,
      s
     )
    )
   )
  ),
 IF(
  successorIDs="""",
  """",
  TEXTJOIN("", "",TRUE,names)
 )
)"),"Dungeon Lv 2, Emerald Tablet, Historical Library, Trigonometry, Quest for Knowledge Chapter 1 Accepted, Meet Traveling Merchant @1B, Complete Dungeon 1A")</f>
        <v>Dungeon Lv 2, Emerald Tablet, Historical Library, Trigonometry, Quest for Knowledge Chapter 1 Accepted, Meet Traveling Merchant @1B, Complete Dungeon 1A</v>
      </c>
      <c r="T26" s="26" t="str">
        <f t="array" ref="T26">_xlfn.XLOOKUP(
 A26,
 tblTargets[TargetID],
 tblTargets[CompletionMethod],
 ""
)</f>
        <v>PLAYER</v>
      </c>
      <c r="U26" s="84" t="b">
        <f>COUNTIF(tblCost[TargetID],A26)&gt;0</f>
        <v>1</v>
      </c>
      <c r="V26" s="85">
        <f t="array" ref="V26">IF(
 U26=FALSE,
 "",
 _xlfn.XLOOKUP(
  A26,
  tblCost[TargetID],
  tblCost[FundingPercent],
  ""
 )
)</f>
        <v>0</v>
      </c>
      <c r="W26" s="26">
        <f t="array" ref="W26">IF(
 U26=FALSE,
 "",
 _xlfn.XLOOKUP(
  A26,
  tblCost[TargetID],
  tblCost[RemainingRequirements],
  ""
 )
)</f>
        <v>6</v>
      </c>
      <c r="X26" s="45" t="b">
        <f t="array" ref="X26">IF(
 U26=FALSE,
 "N/A",
 _xlfn.XLOOKUP(
  A27,
  tblCost[TargetID],
  tblCost[TargetFunded],
  FALSE
 )
)</f>
        <v>0</v>
      </c>
      <c r="Y26" s="26" t="str">
        <f>IFERROR(__xludf.DUMMYFUNCTION("IFERROR(
 TEXTJOIN(
  "", "",
  TRUE,
  FILTER(
   'cost checklist'!$E$2:$E1000&amp;"": ""&amp;'cost checklist'!$G$2:$G1000,
   'cost checklist'!$B$2:$B1000=A26,
   'cost checklist'!$J$2:$J1000=FALSE
  )
 ),
 """"
)"),"coin: 300, fan: 30, ruby: 1, steel: 100, stone: 50, wood: 200")</f>
        <v>coin: 300, fan: 30, ruby: 1, steel: 100, stone: 50, wood: 200</v>
      </c>
      <c r="Z26" s="26" t="b">
        <f>IFERROR(__xludf.DUMMYFUNCTION("IF(
 AND(
  E26=""QUEST"",
  RIGHT(A26,9)="".accepted"",
  D26=TRUE
 ),
 XLOOKUP(
  REGEXREPLACE(A26,""\.accepted$"","""")&amp;"".finished"",
  $A$2:$A1000,
  $D$2:$D1000,
  TRUE
 )=FALSE,
 FALSE
)"),FALSE)</f>
        <v>0</v>
      </c>
      <c r="AA26" s="26" t="str">
        <f>IFERROR(__xludf.DUMMYFUNCTION("LET(
 id,A26,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)"),"Quest for Knowledge Chapter 1")</f>
        <v>Quest for Knowledge Chapter 1</v>
      </c>
    </row>
    <row r="27" ht="14.25" customHeight="1">
      <c r="A27" s="26" t="s">
        <v>159</v>
      </c>
      <c r="B27" s="26" t="str">
        <f t="array" ref="B27">_xlfn.XLOOKUP(
 A27,
 tblTargets[TargetID],
 tblTargets[DisplayName],
 ""
)</f>
        <v>Dungeon Lv 2</v>
      </c>
      <c r="C27" s="26" t="str">
        <f t="shared" si="1"/>
        <v>BLOCKED</v>
      </c>
      <c r="D27" s="26" t="b">
        <f>IFERROR(__xludf.DUMMYFUNCTION("LET(
 id,A27,
 IF(
  F27=""CHARACTER"",
  LET(
   base,REGEXREPLACE(id,""@\d+$"",""""),
   required,VALUE(REGEXEXTRACT(id,""@(\d+)$"")),
   current,XLOOKUP(
    base,
    tblPlayer[PlayerStateID],
    tblPlayer[Value],
    0
   ),
   current&gt;=required
  )"&amp;",
  IF(
   T27=""AUTO"",
   L27=0,
   COUNTIFS(
    tblChecklist[TargetID],id,
    tblChecklist[PlayerCompleted],TRUE
   )&gt;0
  )
 )
)"),FALSE)</f>
        <v>0</v>
      </c>
      <c r="E27" s="26" t="str">
        <f t="array" ref="E27">_xlfn.XLOOKUP(
 A27,
 tblTargets[TargetID],
 tblTargets[TargetType],
 ""
)</f>
        <v>BUILDING</v>
      </c>
      <c r="F27" s="26" t="str">
        <f t="array" ref="F27">_xlfn.XLOOKUP(
 A27,
 tblTargets[TargetID],
 tblTargets[StateType],
 ""
)</f>
        <v/>
      </c>
      <c r="G27" s="26">
        <f>LET(
 id,A27,
 depCount,COUNTIF(tblDependencies[TargetID],id),
 objCount,COUNTIF(tblQuestObjectives[QuestTargetID],id),
 depCount+objCount
)</f>
        <v>2</v>
      </c>
      <c r="H27" s="26">
        <f t="shared" si="2"/>
        <v>2</v>
      </c>
      <c r="I27" s="26">
        <f>IFERROR(__xludf.DUMMYFUNCTION("LET(
 id,A27,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 s="26">
        <f t="shared" si="3"/>
        <v>0</v>
      </c>
      <c r="K27" s="26" t="b">
        <f t="shared" si="4"/>
        <v>0</v>
      </c>
      <c r="L27" s="26">
        <f t="shared" si="5"/>
        <v>2</v>
      </c>
      <c r="M27" s="26" t="str">
        <f>IFERROR(__xludf.DUMMYFUNCTION("LET(
 id,A27,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L27=0,
  """",
  IFERROR(INDEX(incomplete,1),"""")
 "&amp;")
)"),"building.dungeon@1")</f>
        <v>building.dungeon@1</v>
      </c>
      <c r="N27" s="26" t="str">
        <f t="array" ref="N27">IF(
 M27="",
 "",
 _xlfn.XLOOKUP(
  M27,
  tblTargets[TargetID],
  tblTargets[DisplayName],
  M27
 )
)</f>
        <v>Dungeon Lv 1</v>
      </c>
      <c r="O27" s="26" t="str">
        <f>IFERROR(__xludf.DUMMYFUNCTION("SWITCH(
 E27,
 ""BUILDING"",XLOOKUP(A27,tblBuildings[BuildingID],tblBuildings[costtext],""""),
 ""TECH"",XLOOKUP(A27,tblTechnologies[TechnologyID],tblTechnologies[costtext],""""),
 ""QUEST"",XLOOKUP(
  REGEXREPLACE(A27,""\.[^.]+$"",""""),
  tblQuests[Ques"&amp;"tID],
  tblQuests[Costtext],
  """"
 ),
 ""CITADEL"",XLOOKUP(A27,tblCitadel[CitadelID],tblCitadel[costtext],""""),
 ""COLLECTION"",XLOOKUP(A27,tblCollections[CollectionID],tblCollections[costtext],""""),
 ""CRAFTIFACT"",XLOOKUP(A27,tblCraftifacts[Craftifa"&amp;"ctID],tblCraftifacts[costtext],""""),
 """"
)"),"2 ruby,500 coin,500 beam,400 steel,100 petard,5 bento,15 page")</f>
        <v>2 ruby,500 coin,500 beam,400 steel,100 petard,5 bento,15 page</v>
      </c>
      <c r="P27" s="26" t="str">
        <f t="shared" si="6"/>
        <v>BLOCKED</v>
      </c>
      <c r="Q27" s="26" t="str">
        <f t="shared" si="7"/>
        <v>BLOCKED</v>
      </c>
      <c r="R27" s="26">
        <f t="array" ref="R27">IFERROR(
 _xlfn.XLOOKUP(
  A27,
  tblChecklist[TargetID],
  tblChecklist[PlayerSort],
  ""
 ),
 ""
)</f>
        <v>16</v>
      </c>
      <c r="S27" s="26" t="str">
        <f>IFERROR(__xludf.DUMMYFUNCTION("LET(
 id,A27,
 successorIDs,
  IFERROR(
   UNIQUE(
    FILTER(
     {
      Dependencies!$A$2:$A$1000;
      QuestObjectives!$A$2:$A$1000
     },
     {
      Dependencies!$B$2:$B$1000;
      QuestObjectives!$E$2:$E$1000
     }=id
    )
   ),
   """"
  ),"&amp;"
 names,
  MAP(
   successorIDs,
   LAMBDA(s,
    IF(
     s="""",
     """",
     XLOOKUP(
      s,
      $A$2:$A$1000,
      $B$2:$B$1000,
      s
     )
    )
   )
  ),
 IF(
  successorIDs="""",
  """",
  TEXTJOIN("", "",TRUE,names)
 )
)"),"Dungeon Lv 3, Meet Mech Adventurer@2B")</f>
        <v>Dungeon Lv 3, Meet Mech Adventurer@2B</v>
      </c>
      <c r="T27" s="26" t="str">
        <f t="array" ref="T27">_xlfn.XLOOKUP(
 A27,
 tblTargets[TargetID],
 tblTargets[CompletionMethod],
 ""
)</f>
        <v>PLAYER</v>
      </c>
      <c r="U27" s="84" t="b">
        <f>COUNTIF(tblCost[TargetID],A27)&gt;0</f>
        <v>1</v>
      </c>
      <c r="V27" s="85">
        <f t="array" ref="V27">IF(
 U27=FALSE,
 "",
 _xlfn.XLOOKUP(
  A27,
  tblCost[TargetID],
  tblCost[FundingPercent],
  ""
 )
)</f>
        <v>0</v>
      </c>
      <c r="W27" s="26">
        <f t="array" ref="W27">IF(
 U27=FALSE,
 "",
 _xlfn.XLOOKUP(
  A27,
  tblCost[TargetID],
  tblCost[RemainingRequirements],
  ""
 )
)</f>
        <v>7</v>
      </c>
      <c r="X27" s="45" t="b">
        <f t="array" ref="X27">IF(
 U27=FALSE,
 "N/A",
 _xlfn.XLOOKUP(
  A28,
  tblCost[TargetID],
  tblCost[TargetFunded],
  FALSE
 )
)</f>
        <v>0</v>
      </c>
      <c r="Y27" s="26" t="str">
        <f>IFERROR(__xludf.DUMMYFUNCTION("IFERROR(
 TEXTJOIN(
  "", "",
  TRUE,
  FILTER(
   'cost checklist'!$E$2:$E1000&amp;"": ""&amp;'cost checklist'!$G$2:$G1000,
   'cost checklist'!$B$2:$B1000=A27,
   'cost checklist'!$J$2:$J1000=FALSE
  )
 ),
 """"
)"),"beam: 500, bento: 5, coin: 500, page: 15, petard: 100, ruby: 2, steel: 400")</f>
        <v>beam: 500, bento: 5, coin: 500, page: 15, petard: 100, ruby: 2, steel: 400</v>
      </c>
      <c r="Z27" s="26" t="b">
        <f>IFERROR(__xludf.DUMMYFUNCTION("IF(
 AND(
  E27=""QUEST"",
  RIGHT(A27,9)="".accepted"",
  D27=TRUE
 ),
 XLOOKUP(
  REGEXREPLACE(A27,""\.accepted$"","""")&amp;"".finished"",
  $A$2:$A1000,
  $D$2:$D1000,
  TRUE
 )=FALSE,
 FALSE
)"),FALSE)</f>
        <v>0</v>
      </c>
      <c r="AA27" s="26" t="str">
        <f>IFERROR(__xludf.DUMMYFUNCTION("LET(
 id,A27,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28" ht="14.25" customHeight="1">
      <c r="A28" s="26" t="s">
        <v>165</v>
      </c>
      <c r="B28" s="26" t="str">
        <f t="array" ref="B28">_xlfn.XLOOKUP(
 A28,
 tblTargets[TargetID],
 tblTargets[DisplayName],
 ""
)</f>
        <v>Dungeon Lv 3</v>
      </c>
      <c r="C28" s="26" t="str">
        <f t="shared" si="1"/>
        <v>BLOCKED</v>
      </c>
      <c r="D28" s="26" t="b">
        <f>IFERROR(__xludf.DUMMYFUNCTION("LET(
 id,A28,
 IF(
  F28=""CHARACTER"",
  LET(
   base,REGEXREPLACE(id,""@\d+$"",""""),
   required,VALUE(REGEXEXTRACT(id,""@(\d+)$"")),
   current,XLOOKUP(
    base,
    tblPlayer[PlayerStateID],
    tblPlayer[Value],
    0
   ),
   current&gt;=required
  )"&amp;",
  IF(
   T28=""AUTO"",
   L28=0,
   COUNTIFS(
    tblChecklist[TargetID],id,
    tblChecklist[PlayerCompleted],TRUE
   )&gt;0
  )
 )
)"),FALSE)</f>
        <v>0</v>
      </c>
      <c r="E28" s="26" t="str">
        <f t="array" ref="E28">_xlfn.XLOOKUP(
 A28,
 tblTargets[TargetID],
 tblTargets[TargetType],
 ""
)</f>
        <v>BUILDING</v>
      </c>
      <c r="F28" s="26" t="str">
        <f t="array" ref="F28">_xlfn.XLOOKUP(
 A28,
 tblTargets[TargetID],
 tblTargets[StateType],
 ""
)</f>
        <v/>
      </c>
      <c r="G28" s="26">
        <f>LET(
 id,A28,
 depCount,COUNTIF(tblDependencies[TargetID],id),
 objCount,COUNTIF(tblQuestObjectives[QuestTargetID],id),
 depCount+objCount
)</f>
        <v>2</v>
      </c>
      <c r="H28" s="26">
        <f t="shared" si="2"/>
        <v>2</v>
      </c>
      <c r="I28" s="26">
        <f>IFERROR(__xludf.DUMMYFUNCTION("LET(
 id,A28,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 s="26">
        <f t="shared" si="3"/>
        <v>0</v>
      </c>
      <c r="K28" s="26" t="b">
        <f t="shared" si="4"/>
        <v>0</v>
      </c>
      <c r="L28" s="26">
        <f t="shared" si="5"/>
        <v>2</v>
      </c>
      <c r="M28" s="26" t="str">
        <f>IFERROR(__xludf.DUMMYFUNCTION("LET(
 id,A28,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L28=0,
  """",
  IFERROR(INDEX(incomplete,1),"""")
 "&amp;")
)"),"building.dungeon@2")</f>
        <v>building.dungeon@2</v>
      </c>
      <c r="N28" s="26" t="str">
        <f t="array" ref="N28">IF(
 M28="",
 "",
 _xlfn.XLOOKUP(
  M28,
  tblTargets[TargetID],
  tblTargets[DisplayName],
  M28
 )
)</f>
        <v>Dungeon Lv 2</v>
      </c>
      <c r="O28" s="26" t="str">
        <f>IFERROR(__xludf.DUMMYFUNCTION("SWITCH(
 E28,
 ""BUILDING"",XLOOKUP(A28,tblBuildings[BuildingID],tblBuildings[costtext],""""),
 ""TECH"",XLOOKUP(A28,tblTechnologies[TechnologyID],tblTechnologies[costtext],""""),
 ""QUEST"",XLOOKUP(
  REGEXREPLACE(A28,""\.[^.]+$"",""""),
  tblQuests[Ques"&amp;"tID],
  tblQuests[Costtext],
  """"
 ),
 ""CITADEL"",XLOOKUP(A28,tblCitadel[CitadelID],tblCitadel[costtext],""""),
 ""COLLECTION"",XLOOKUP(A28,tblCollections[CollectionID],tblCollections[costtext],""""),
 ""CRAFTIFACT"",XLOOKUP(A28,tblCraftifacts[Craftifa"&amp;"ctID],tblCraftifacts[costtext],""""),
 """"
)"),"3 ruby,1000 coin,500 beam,400 steel,50 kunai,3 ramen,15 page")</f>
        <v>3 ruby,1000 coin,500 beam,400 steel,50 kunai,3 ramen,15 page</v>
      </c>
      <c r="P28" s="26" t="str">
        <f t="shared" si="6"/>
        <v>BLOCKED</v>
      </c>
      <c r="Q28" s="26" t="str">
        <f t="shared" si="7"/>
        <v>BLOCKED</v>
      </c>
      <c r="R28" s="26">
        <f t="array" ref="R28">IFERROR(
 _xlfn.XLOOKUP(
  A28,
  tblChecklist[TargetID],
  tblChecklist[PlayerSort],
  ""
 ),
 ""
)</f>
        <v>43</v>
      </c>
      <c r="S28" s="26" t="str">
        <f>IFERROR(__xludf.DUMMYFUNCTION("LET(
 id,A28,
 successorIDs,
  IFERROR(
   UNIQUE(
    FILTER(
     {
      Dependencies!$A$2:$A$1000;
      QuestObjectives!$A$2:$A$1000
     },
     {
      Dependencies!$B$2:$B$1000;
      QuestObjectives!$E$2:$E$1000
     }=id
    )
   ),
   """"
  ),"&amp;"
 names,
  MAP(
   successorIDs,
   LAMBDA(s,
    IF(
     s="""",
     """",
     XLOOKUP(
      s,
      $A$2:$A$1000,
      $B$2:$B$1000,
      s
     )
    )
   )
  ),
 IF(
  successorIDs="""",
  """",
  TEXTJOIN("", "",TRUE,names)
 )
)"),"Dungeon Lv 4, Great Hall, Dungeon - Great Hall, Green Potion Finished")</f>
        <v>Dungeon Lv 4, Great Hall, Dungeon - Great Hall, Green Potion Finished</v>
      </c>
      <c r="T28" s="26" t="str">
        <f t="array" ref="T28">_xlfn.XLOOKUP(
 A28,
 tblTargets[TargetID],
 tblTargets[CompletionMethod],
 ""
)</f>
        <v>PLAYER</v>
      </c>
      <c r="U28" s="84" t="b">
        <f>COUNTIF(tblCost[TargetID],A28)&gt;0</f>
        <v>1</v>
      </c>
      <c r="V28" s="85">
        <f t="array" ref="V28">IF(
 U28=FALSE,
 "",
 _xlfn.XLOOKUP(
  A28,
  tblCost[TargetID],
  tblCost[FundingPercent],
  ""
 )
)</f>
        <v>0</v>
      </c>
      <c r="W28" s="26">
        <f t="array" ref="W28">IF(
 U28=FALSE,
 "",
 _xlfn.XLOOKUP(
  A28,
  tblCost[TargetID],
  tblCost[RemainingRequirements],
  ""
 )
)</f>
        <v>7</v>
      </c>
      <c r="X28" s="45" t="b">
        <f t="array" ref="X28">IF(
 U28=FALSE,
 "N/A",
 _xlfn.XLOOKUP(
  A29,
  tblCost[TargetID],
  tblCost[TargetFunded],
  FALSE
 )
)</f>
        <v>0</v>
      </c>
      <c r="Y28" s="26" t="str">
        <f>IFERROR(__xludf.DUMMYFUNCTION("IFERROR(
 TEXTJOIN(
  "", "",
  TRUE,
  FILTER(
   'cost checklist'!$E$2:$E1000&amp;"": ""&amp;'cost checklist'!$G$2:$G1000,
   'cost checklist'!$B$2:$B1000=A28,
   'cost checklist'!$J$2:$J1000=FALSE
  )
 ),
 """"
)"),"beam: 500, coin: 1000, kunai: 50, page: 15, ramen: 3, ruby: 3, steel: 400")</f>
        <v>beam: 500, coin: 1000, kunai: 50, page: 15, ramen: 3, ruby: 3, steel: 400</v>
      </c>
      <c r="Z28" s="26" t="b">
        <f>IFERROR(__xludf.DUMMYFUNCTION("IF(
 AND(
  E28=""QUEST"",
  RIGHT(A28,9)="".accepted"",
  D28=TRUE
 ),
 XLOOKUP(
  REGEXREPLACE(A28,""\.accepted$"","""")&amp;"".finished"",
  $A$2:$A1000,
  $D$2:$D1000,
  TRUE
 )=FALSE,
 FALSE
)"),FALSE)</f>
        <v>0</v>
      </c>
      <c r="AA28" s="26" t="str">
        <f>IFERROR(__xludf.DUMMYFUNCTION("LET(
 id,A28,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29" ht="14.25" customHeight="1">
      <c r="A29" s="26" t="s">
        <v>172</v>
      </c>
      <c r="B29" s="26" t="str">
        <f t="array" ref="B29">_xlfn.XLOOKUP(
 A29,
 tblTargets[TargetID],
 tblTargets[DisplayName],
 ""
)</f>
        <v>Dungeon Lv 4</v>
      </c>
      <c r="C29" s="26" t="str">
        <f t="shared" si="1"/>
        <v>BLOCKED</v>
      </c>
      <c r="D29" s="26" t="b">
        <f>IFERROR(__xludf.DUMMYFUNCTION("LET(
 id,A29,
 IF(
  F29=""CHARACTER"",
  LET(
   base,REGEXREPLACE(id,""@\d+$"",""""),
   required,VALUE(REGEXEXTRACT(id,""@(\d+)$"")),
   current,XLOOKUP(
    base,
    tblPlayer[PlayerStateID],
    tblPlayer[Value],
    0
   ),
   current&gt;=required
  )"&amp;",
  IF(
   T29=""AUTO"",
   L29=0,
   COUNTIFS(
    tblChecklist[TargetID],id,
    tblChecklist[PlayerCompleted],TRUE
   )&gt;0
  )
 )
)"),FALSE)</f>
        <v>0</v>
      </c>
      <c r="E29" s="26" t="str">
        <f t="array" ref="E29">_xlfn.XLOOKUP(
 A29,
 tblTargets[TargetID],
 tblTargets[TargetType],
 ""
)</f>
        <v>BUILDING</v>
      </c>
      <c r="F29" s="26" t="str">
        <f t="array" ref="F29">_xlfn.XLOOKUP(
 A29,
 tblTargets[TargetID],
 tblTargets[StateType],
 ""
)</f>
        <v/>
      </c>
      <c r="G29" s="26">
        <f>LET(
 id,A29,
 depCount,COUNTIF(tblDependencies[TargetID],id),
 objCount,COUNTIF(tblQuestObjectives[QuestTargetID],id),
 depCount+objCount
)</f>
        <v>2</v>
      </c>
      <c r="H29" s="26">
        <f t="shared" si="2"/>
        <v>2</v>
      </c>
      <c r="I29" s="26">
        <f>IFERROR(__xludf.DUMMYFUNCTION("LET(
 id,A29,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 s="26">
        <f t="shared" si="3"/>
        <v>0</v>
      </c>
      <c r="K29" s="26" t="b">
        <f t="shared" si="4"/>
        <v>0</v>
      </c>
      <c r="L29" s="26">
        <f t="shared" si="5"/>
        <v>2</v>
      </c>
      <c r="M29" s="26" t="str">
        <f>IFERROR(__xludf.DUMMYFUNCTION("LET(
 id,A29,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L29=0,
  """",
  IFERROR(INDEX(incomplete,1),"""")
 "&amp;")
)"),"building.dungeon@3")</f>
        <v>building.dungeon@3</v>
      </c>
      <c r="N29" s="26" t="str">
        <f t="array" ref="N29">IF(
 M29="",
 "",
 _xlfn.XLOOKUP(
  M29,
  tblTargets[TargetID],
  tblTargets[DisplayName],
  M29
 )
)</f>
        <v>Dungeon Lv 3</v>
      </c>
      <c r="O29" s="26" t="str">
        <f>IFERROR(__xludf.DUMMYFUNCTION("SWITCH(
 E29,
 ""BUILDING"",XLOOKUP(A29,tblBuildings[BuildingID],tblBuildings[costtext],""""),
 ""TECH"",XLOOKUP(A29,tblTechnologies[TechnologyID],tblTechnologies[costtext],""""),
 ""QUEST"",XLOOKUP(
  REGEXREPLACE(A29,""\.[^.]+$"",""""),
  tblQuests[Ques"&amp;"tID],
  tblQuests[Costtext],
  """"
 ),
 ""CITADEL"",XLOOKUP(A29,tblCitadel[CitadelID],tblCitadel[costtext],""""),
 ""COLLECTION"",XLOOKUP(A29,tblCollections[CollectionID],tblCollections[costtext],""""),
 ""CRAFTIFACT"",XLOOKUP(A29,tblCraftifacts[Craftifa"&amp;"ctID],tblCraftifacts[costtext],""""),
 """"
)"),"5 ruby,1500 coin,750 beam,30 oil,5 clew,20 poe,20 page")</f>
        <v>5 ruby,1500 coin,750 beam,30 oil,5 clew,20 poe,20 page</v>
      </c>
      <c r="P29" s="26" t="str">
        <f t="shared" si="6"/>
        <v>BLOCKED</v>
      </c>
      <c r="Q29" s="26" t="str">
        <f t="shared" si="7"/>
        <v>BLOCKED</v>
      </c>
      <c r="R29" s="26">
        <f t="array" ref="R29">IFERROR(
 _xlfn.XLOOKUP(
  A29,
  tblChecklist[TargetID],
  tblChecklist[PlayerSort],
  ""
 ),
 ""
)</f>
        <v>64</v>
      </c>
      <c r="S29" s="26" t="str">
        <f>IFERROR(__xludf.DUMMYFUNCTION("LET(
 id,A29,
 successorIDs,
  IFERROR(
   UNIQUE(
    FILTER(
     {
      Dependencies!$A$2:$A$1000;
      QuestObjectives!$A$2:$A$1000
     },
     {
      Dependencies!$B$2:$B$1000;
      QuestObjectives!$E$2:$E$1000
     }=id
    )
   ),
   """"
  ),"&amp;"
 names,
  MAP(
   successorIDs,
   LAMBDA(s,
    IF(
     s="""",
     """",
     XLOOKUP(
      s,
      $A$2:$A$1000,
      $B$2:$B$1000,
      s
     )
    )
   )
  ),
 IF(
  successorIDs="""",
  """",
  TEXTJOIN("", "",TRUE,names)
 )
)"),"Dungeon Lv 5, Kitchen and Buttery, Pantry, Culinary Battle Accepted, Dragon teeth Accepted, Meet Fat Demon@4A, Meet Old Man@4C")</f>
        <v>Dungeon Lv 5, Kitchen and Buttery, Pantry, Culinary Battle Accepted, Dragon teeth Accepted, Meet Fat Demon@4A, Meet Old Man@4C</v>
      </c>
      <c r="T29" s="26" t="str">
        <f t="array" ref="T29">_xlfn.XLOOKUP(
 A29,
 tblTargets[TargetID],
 tblTargets[CompletionMethod],
 ""
)</f>
        <v>PLAYER</v>
      </c>
      <c r="U29" s="84" t="b">
        <f>COUNTIF(tblCost[TargetID],A29)&gt;0</f>
        <v>1</v>
      </c>
      <c r="V29" s="85">
        <f t="array" ref="V29">IF(
 U29=FALSE,
 "",
 _xlfn.XLOOKUP(
  A29,
  tblCost[TargetID],
  tblCost[FundingPercent],
  ""
 )
)</f>
        <v>0</v>
      </c>
      <c r="W29" s="26">
        <f t="array" ref="W29">IF(
 U29=FALSE,
 "",
 _xlfn.XLOOKUP(
  A29,
  tblCost[TargetID],
  tblCost[RemainingRequirements],
  ""
 )
)</f>
        <v>7</v>
      </c>
      <c r="X29" s="45" t="b">
        <f t="array" ref="X29">IF(
 U29=FALSE,
 "N/A",
 _xlfn.XLOOKUP(
  A30,
  tblCost[TargetID],
  tblCost[TargetFunded],
  FALSE
 )
)</f>
        <v>0</v>
      </c>
      <c r="Y29" s="26" t="str">
        <f>IFERROR(__xludf.DUMMYFUNCTION("IFERROR(
 TEXTJOIN(
  "", "",
  TRUE,
  FILTER(
   'cost checklist'!$E$2:$E1000&amp;"": ""&amp;'cost checklist'!$G$2:$G1000,
   'cost checklist'!$B$2:$B1000=A29,
   'cost checklist'!$J$2:$J1000=FALSE
  )
 ),
 """"
)"),"beam: 750, clew: 5, coin: 1500, oil: 30, page: 20, poe: 20, ruby: 5")</f>
        <v>beam: 750, clew: 5, coin: 1500, oil: 30, page: 20, poe: 20, ruby: 5</v>
      </c>
      <c r="Z29" s="26" t="b">
        <f>IFERROR(__xludf.DUMMYFUNCTION("IF(
 AND(
  E29=""QUEST"",
  RIGHT(A29,9)="".accepted"",
  D29=TRUE
 ),
 XLOOKUP(
  REGEXREPLACE(A29,""\.accepted$"","""")&amp;"".finished"",
  $A$2:$A1000,
  $D$2:$D1000,
  TRUE
 )=FALSE,
 FALSE
)"),FALSE)</f>
        <v>0</v>
      </c>
      <c r="AA29" s="26" t="str">
        <f>IFERROR(__xludf.DUMMYFUNCTION("LET(
 id,A29,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)"),"Culinary Battle, Dragon teeth")</f>
        <v>Culinary Battle, Dragon teeth</v>
      </c>
    </row>
    <row r="30" ht="14.25" customHeight="1">
      <c r="A30" s="26" t="s">
        <v>177</v>
      </c>
      <c r="B30" s="26" t="str">
        <f t="array" ref="B30">_xlfn.XLOOKUP(
 A30,
 tblTargets[TargetID],
 tblTargets[DisplayName],
 ""
)</f>
        <v>Dungeon Lv 5</v>
      </c>
      <c r="C30" s="26" t="str">
        <f t="shared" si="1"/>
        <v>BLOCKED</v>
      </c>
      <c r="D30" s="26" t="b">
        <f>IFERROR(__xludf.DUMMYFUNCTION("LET(
 id,A30,
 IF(
  F30=""CHARACTER"",
  LET(
   base,REGEXREPLACE(id,""@\d+$"",""""),
   required,VALUE(REGEXEXTRACT(id,""@(\d+)$"")),
   current,XLOOKUP(
    base,
    tblPlayer[PlayerStateID],
    tblPlayer[Value],
    0
   ),
   current&gt;=required
  )"&amp;",
  IF(
   T30=""AUTO"",
   L30=0,
   COUNTIFS(
    tblChecklist[TargetID],id,
    tblChecklist[PlayerCompleted],TRUE
   )&gt;0
  )
 )
)"),FALSE)</f>
        <v>0</v>
      </c>
      <c r="E30" s="26" t="str">
        <f t="array" ref="E30">_xlfn.XLOOKUP(
 A30,
 tblTargets[TargetID],
 tblTargets[TargetType],
 ""
)</f>
        <v>BUILDING</v>
      </c>
      <c r="F30" s="26" t="str">
        <f t="array" ref="F30">_xlfn.XLOOKUP(
 A30,
 tblTargets[TargetID],
 tblTargets[StateType],
 ""
)</f>
        <v/>
      </c>
      <c r="G30" s="26">
        <f>LET(
 id,A30,
 depCount,COUNTIF(tblDependencies[TargetID],id),
 objCount,COUNTIF(tblQuestObjectives[QuestTargetID],id),
 depCount+objCount
)</f>
        <v>2</v>
      </c>
      <c r="H30" s="26">
        <f t="shared" si="2"/>
        <v>2</v>
      </c>
      <c r="I30" s="26">
        <f>IFERROR(__xludf.DUMMYFUNCTION("LET(
 id,A30,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 s="26">
        <f t="shared" si="3"/>
        <v>0</v>
      </c>
      <c r="K30" s="26" t="b">
        <f t="shared" si="4"/>
        <v>0</v>
      </c>
      <c r="L30" s="26">
        <f t="shared" si="5"/>
        <v>2</v>
      </c>
      <c r="M30" s="26" t="str">
        <f>IFERROR(__xludf.DUMMYFUNCTION("LET(
 id,A30,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L30=0,
  """",
  IFERROR(INDEX(incomplete,1),"""")
 "&amp;")
)"),"building.dungeon@4")</f>
        <v>building.dungeon@4</v>
      </c>
      <c r="N30" s="26" t="str">
        <f t="array" ref="N30">IF(
 M30="",
 "",
 _xlfn.XLOOKUP(
  M30,
  tblTargets[TargetID],
  tblTargets[DisplayName],
  M30
 )
)</f>
        <v>Dungeon Lv 4</v>
      </c>
      <c r="O30" s="26" t="str">
        <f>IFERROR(__xludf.DUMMYFUNCTION("SWITCH(
 E30,
 ""BUILDING"",XLOOKUP(A30,tblBuildings[BuildingID],tblBuildings[costtext],""""),
 ""TECH"",XLOOKUP(A30,tblTechnologies[TechnologyID],tblTechnologies[costtext],""""),
 ""QUEST"",XLOOKUP(
  REGEXREPLACE(A30,""\.[^.]+$"",""""),
  tblQuests[Ques"&amp;"tID],
  tblQuests[Costtext],
  """"
 ),
 ""CITADEL"",XLOOKUP(A30,tblCitadel[CitadelID],tblCitadel[costtext],""""),
 ""COLLECTION"",XLOOKUP(A30,tblCollections[CollectionID],tblCollections[costtext],""""),
 ""CRAFTIFACT"",XLOOKUP(A30,tblCraftifacts[Craftifa"&amp;"ctID],tblCraftifacts[costtext],""""),
 """"
)"),"7 ruby,2000 coin,1000 beam,10 mspider,10 smoothie,25 page")</f>
        <v>7 ruby,2000 coin,1000 beam,10 mspider,10 smoothie,25 page</v>
      </c>
      <c r="P30" s="26" t="str">
        <f t="shared" si="6"/>
        <v>BLOCKED</v>
      </c>
      <c r="Q30" s="26" t="str">
        <f t="shared" si="7"/>
        <v>BLOCKED</v>
      </c>
      <c r="R30" s="26">
        <f t="array" ref="R30">IFERROR(
 _xlfn.XLOOKUP(
  A30,
  tblChecklist[TargetID],
  tblChecklist[PlayerSort],
  ""
 ),
 ""
)</f>
        <v>65</v>
      </c>
      <c r="S30" s="26" t="str">
        <f>IFERROR(__xludf.DUMMYFUNCTION("LET(
 id,A30,
 successorIDs,
  IFERROR(
   UNIQUE(
    FILTER(
     {
      Dependencies!$A$2:$A$1000;
      QuestObjectives!$A$2:$A$1000
     },
     {
      Dependencies!$B$2:$B$1000;
      QuestObjectives!$E$2:$E$1000
     }=id
    )
   ),
   """"
  ),"&amp;"
 names,
  MAP(
   successorIDs,
   LAMBDA(s,
    IF(
     s="""",
     """",
     XLOOKUP(
      s,
      $A$2:$A$1000,
      $B$2:$B$1000,
      s
     )
    )
   )
  ),
 IF(
  successorIDs="""",
  """",
  TEXTJOIN("", "",TRUE,names)
 )
)"),"dungeon maxed, Dungeon Lv 6, Attic, Courtyard, Lair lvl. 1, Tavern, Metal Detector, Magic Beans Accepted, Tame A Critter, Complete Dungeon 5C")</f>
        <v>dungeon maxed, Dungeon Lv 6, Attic, Courtyard, Lair lvl. 1, Tavern, Metal Detector, Magic Beans Accepted, Tame A Critter, Complete Dungeon 5C</v>
      </c>
      <c r="T30" s="26" t="str">
        <f t="array" ref="T30">_xlfn.XLOOKUP(
 A30,
 tblTargets[TargetID],
 tblTargets[CompletionMethod],
 ""
)</f>
        <v>PLAYER</v>
      </c>
      <c r="U30" s="84" t="b">
        <f>COUNTIF(tblCost[TargetID],A30)&gt;0</f>
        <v>1</v>
      </c>
      <c r="V30" s="85">
        <f t="array" ref="V30">IF(
 U30=FALSE,
 "",
 _xlfn.XLOOKUP(
  A30,
  tblCost[TargetID],
  tblCost[FundingPercent],
  ""
 )
)</f>
        <v>0</v>
      </c>
      <c r="W30" s="26">
        <f t="array" ref="W30">IF(
 U30=FALSE,
 "",
 _xlfn.XLOOKUP(
  A30,
  tblCost[TargetID],
  tblCost[RemainingRequirements],
  ""
 )
)</f>
        <v>6</v>
      </c>
      <c r="X30" s="45" t="b">
        <f t="array" ref="X30">IF(
 U30=FALSE,
 "N/A",
 _xlfn.XLOOKUP(
  A31,
  tblCost[TargetID],
  tblCost[TargetFunded],
  FALSE
 )
)</f>
        <v>0</v>
      </c>
      <c r="Y30" s="26" t="str">
        <f>IFERROR(__xludf.DUMMYFUNCTION("IFERROR(
 TEXTJOIN(
  "", "",
  TRUE,
  FILTER(
   'cost checklist'!$E$2:$E1000&amp;"": ""&amp;'cost checklist'!$G$2:$G1000,
   'cost checklist'!$B$2:$B1000=A30,
   'cost checklist'!$J$2:$J1000=FALSE
  )
 ),
 """"
)"),"beam: 1000, coin: 2000, mspider: 10, page: 25, ruby: 7, smoothie: 10")</f>
        <v>beam: 1000, coin: 2000, mspider: 10, page: 25, ruby: 7, smoothie: 10</v>
      </c>
      <c r="Z30" s="26" t="b">
        <f>IFERROR(__xludf.DUMMYFUNCTION("IF(
 AND(
  E30=""QUEST"",
  RIGHT(A30,9)="".accepted"",
  D30=TRUE
 ),
 XLOOKUP(
  REGEXREPLACE(A30,""\.accepted$"","""")&amp;"".finished"",
  $A$2:$A1000,
  $D$2:$D1000,
  TRUE
 )=FALSE,
 FALSE
)"),FALSE)</f>
        <v>0</v>
      </c>
      <c r="AA30" s="26" t="str">
        <f>IFERROR(__xludf.DUMMYFUNCTION("LET(
 id,A30,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)"),"Magic Beans")</f>
        <v>Magic Beans</v>
      </c>
    </row>
    <row r="31" ht="14.25" customHeight="1">
      <c r="A31" s="26" t="s">
        <v>182</v>
      </c>
      <c r="B31" s="26" t="str">
        <f t="array" ref="B31">_xlfn.XLOOKUP(
 A31,
 tblTargets[TargetID],
 tblTargets[DisplayName],
 ""
)</f>
        <v>Dungeon Lv 6</v>
      </c>
      <c r="C31" s="26" t="str">
        <f t="shared" si="1"/>
        <v>BLOCKED</v>
      </c>
      <c r="D31" s="26" t="b">
        <f>IFERROR(__xludf.DUMMYFUNCTION("LET(
 id,A31,
 IF(
  F31=""CHARACTER"",
  LET(
   base,REGEXREPLACE(id,""@\d+$"",""""),
   required,VALUE(REGEXEXTRACT(id,""@(\d+)$"")),
   current,XLOOKUP(
    base,
    tblPlayer[PlayerStateID],
    tblPlayer[Value],
    0
   ),
   current&gt;=required
  )"&amp;",
  IF(
   T31=""AUTO"",
   L31=0,
   COUNTIFS(
    tblChecklist[TargetID],id,
    tblChecklist[PlayerCompleted],TRUE
   )&gt;0
  )
 )
)"),FALSE)</f>
        <v>0</v>
      </c>
      <c r="E31" s="26" t="str">
        <f t="array" ref="E31">_xlfn.XLOOKUP(
 A31,
 tblTargets[TargetID],
 tblTargets[TargetType],
 ""
)</f>
        <v>BUILDING</v>
      </c>
      <c r="F31" s="26" t="str">
        <f t="array" ref="F31">_xlfn.XLOOKUP(
 A31,
 tblTargets[TargetID],
 tblTargets[StateType],
 ""
)</f>
        <v/>
      </c>
      <c r="G31" s="26">
        <f>LET(
 id,A31,
 depCount,COUNTIF(tblDependencies[TargetID],id),
 objCount,COUNTIF(tblQuestObjectives[QuestTargetID],id),
 depCount+objCount
)</f>
        <v>2</v>
      </c>
      <c r="H31" s="26">
        <f t="shared" si="2"/>
        <v>2</v>
      </c>
      <c r="I31" s="26">
        <f>IFERROR(__xludf.DUMMYFUNCTION("LET(
 id,A31,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 s="26">
        <f t="shared" si="3"/>
        <v>0</v>
      </c>
      <c r="K31" s="26" t="b">
        <f t="shared" si="4"/>
        <v>0</v>
      </c>
      <c r="L31" s="26">
        <f t="shared" si="5"/>
        <v>2</v>
      </c>
      <c r="M31" s="26" t="str">
        <f>IFERROR(__xludf.DUMMYFUNCTION("LET(
 id,A31,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L31=0,
  """",
  IFERROR(INDEX(incomplete,1),"""")
 "&amp;")
)"),"building.dungeon@5")</f>
        <v>building.dungeon@5</v>
      </c>
      <c r="N31" s="26" t="str">
        <f t="array" ref="N31">IF(
 M31="",
 "",
 _xlfn.XLOOKUP(
  M31,
  tblTargets[TargetID],
  tblTargets[DisplayName],
  M31
 )
)</f>
        <v>Dungeon Lv 5</v>
      </c>
      <c r="O31" s="26" t="str">
        <f>IFERROR(__xludf.DUMMYFUNCTION("SWITCH(
 E31,
 ""BUILDING"",XLOOKUP(A31,tblBuildings[BuildingID],tblBuildings[costtext],""""),
 ""TECH"",XLOOKUP(A31,tblTechnologies[TechnologyID],tblTechnologies[costtext],""""),
 ""QUEST"",XLOOKUP(
  REGEXREPLACE(A31,""\.[^.]+$"",""""),
  tblQuests[Ques"&amp;"tID],
  tblQuests[Costtext],
  """"
 ),
 ""CITADEL"",XLOOKUP(A31,tblCitadel[CitadelID],tblCitadel[costtext],""""),
 ""COLLECTION"",XLOOKUP(A31,tblCollections[CollectionID],tblCollections[costtext],""""),
 ""CRAFTIFACT"",XLOOKUP(A31,tblCraftifacts[Craftifa"&amp;"ctID],tblCraftifacts[costtext],""""),
 """"
)"),"")</f>
        <v/>
      </c>
      <c r="P31" s="26" t="str">
        <f t="shared" si="6"/>
        <v>BLOCKED</v>
      </c>
      <c r="Q31" s="26" t="str">
        <f t="shared" si="7"/>
        <v>BLOCKED</v>
      </c>
      <c r="R31" s="26" t="str">
        <f t="array" ref="R31">IFERROR(
 _xlfn.XLOOKUP(
  A31,
  tblChecklist[TargetID],
  tblChecklist[PlayerSort],
  ""
 ),
 ""
)</f>
        <v/>
      </c>
      <c r="S31" s="26" t="str">
        <f>IFERROR(__xludf.DUMMYFUNCTION("LET(
 id,A31,
 successorIDs,
  IFERROR(
   UNIQUE(
    FILTER(
     {
      Dependencies!$A$2:$A$1000;
      QuestObjectives!$A$2:$A$1000
     },
     {
      Dependencies!$B$2:$B$1000;
      QuestObjectives!$E$2:$E$1000
     }=id
    )
   ),
   """"
  ),"&amp;"
 names,
  MAP(
   successorIDs,
   LAMBDA(s,
    IF(
     s="""",
     """",
     XLOOKUP(
      s,
      $A$2:$A$1000,
      $B$2:$B$1000,
      s
     )
    )
   )
  ),
 IF(
  successorIDs="""",
  """",
  TEXTJOIN("", "",TRUE,names)
 )
)"),"Complete Dungeon 6C")</f>
        <v>Complete Dungeon 6C</v>
      </c>
      <c r="T31" s="26" t="str">
        <f t="array" ref="T31">_xlfn.XLOOKUP(
 A31,
 tblTargets[TargetID],
 tblTargets[CompletionMethod],
 ""
)</f>
        <v>PLAYER</v>
      </c>
      <c r="U31" s="84" t="b">
        <f>COUNTIF(tblCost[TargetID],A31)&gt;0</f>
        <v>0</v>
      </c>
      <c r="V31" s="85" t="str">
        <f t="array" ref="V31">IF(
 U31=FALSE,
 "",
 _xlfn.XLOOKUP(
  A31,
  tblCost[TargetID],
  tblCost[FundingPercent],
  ""
 )
)</f>
        <v/>
      </c>
      <c r="W31" s="26" t="str">
        <f t="array" ref="W31">IF(
 U31=FALSE,
 "",
 _xlfn.XLOOKUP(
  A31,
  tblCost[TargetID],
  tblCost[RemainingRequirements],
  ""
 )
)</f>
        <v/>
      </c>
      <c r="X31" s="45" t="str">
        <f t="array" ref="X31">IF(
 U31=FALSE,
 "N/A",
 _xlfn.XLOOKUP(
  A32,
  tblCost[TargetID],
  tblCost[TargetFunded],
  FALSE
 )
)</f>
        <v>N/A</v>
      </c>
      <c r="Y31" s="26" t="str">
        <f>IFERROR(__xludf.DUMMYFUNCTION("IFERROR(
 TEXTJOIN(
  "", "",
  TRUE,
  FILTER(
   'cost checklist'!$E$2:$E1000&amp;"": ""&amp;'cost checklist'!$G$2:$G1000,
   'cost checklist'!$B$2:$B1000=A31,
   'cost checklist'!$J$2:$J1000=FALSE
  )
 ),
 """"
)"),"")</f>
        <v/>
      </c>
      <c r="Z31" s="26" t="b">
        <f>IFERROR(__xludf.DUMMYFUNCTION("IF(
 AND(
  E31=""QUEST"",
  RIGHT(A31,9)="".accepted"",
  D31=TRUE
 ),
 XLOOKUP(
  REGEXREPLACE(A31,""\.accepted$"","""")&amp;"".finished"",
  $A$2:$A1000,
  $D$2:$D1000,
  TRUE
 )=FALSE,
 FALSE
)"),FALSE)</f>
        <v>0</v>
      </c>
      <c r="AA31" s="26" t="str">
        <f>IFERROR(__xludf.DUMMYFUNCTION("LET(
 id,A31,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32" ht="14.25" customHeight="1">
      <c r="A32" s="26" t="s">
        <v>705</v>
      </c>
      <c r="B32" s="26" t="str">
        <f t="array" ref="B32">_xlfn.XLOOKUP(
 A32,
 tblTargets[TargetID],
 tblTargets[DisplayName],
 ""
)</f>
        <v>Fermentory maxed</v>
      </c>
      <c r="C32" s="26" t="str">
        <f t="shared" si="1"/>
        <v>BLOCKED</v>
      </c>
      <c r="D32" s="26" t="b">
        <f>IFERROR(__xludf.DUMMYFUNCTION("LET(
 id,A32,
 IF(
  F32=""CHARACTER"",
  LET(
   base,REGEXREPLACE(id,""@\d+$"",""""),
   required,VALUE(REGEXEXTRACT(id,""@(\d+)$"")),
   current,XLOOKUP(
    base,
    tblPlayer[PlayerStateID],
    tblPlayer[Value],
    0
   ),
   current&gt;=required
  )"&amp;",
  IF(
   T32=""AUTO"",
   L32=0,
   COUNTIFS(
    tblChecklist[TargetID],id,
    tblChecklist[PlayerCompleted],TRUE
   )&gt;0
  )
 )
)"),FALSE)</f>
        <v>0</v>
      </c>
      <c r="E32" s="26" t="str">
        <f t="array" ref="E32">_xlfn.XLOOKUP(
 A32,
 tblTargets[TargetID],
 tblTargets[TargetType],
 ""
)</f>
        <v>BUILDING</v>
      </c>
      <c r="F32" s="26" t="str">
        <f t="array" ref="F32">_xlfn.XLOOKUP(
 A32,
 tblTargets[TargetID],
 tblTargets[StateType],
 ""
)</f>
        <v/>
      </c>
      <c r="G32" s="26">
        <f>LET(
 id,A32,
 depCount,COUNTIF(tblDependencies[TargetID],id),
 objCount,COUNTIF(tblQuestObjectives[QuestTargetID],id),
 depCount+objCount
)</f>
        <v>1</v>
      </c>
      <c r="H32" s="26">
        <f t="shared" si="2"/>
        <v>1</v>
      </c>
      <c r="I32" s="26">
        <f>IFERROR(__xludf.DUMMYFUNCTION("LET(
 id,A32,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 s="26">
        <f t="shared" si="3"/>
        <v>0</v>
      </c>
      <c r="K32" s="26" t="b">
        <f t="shared" si="4"/>
        <v>0</v>
      </c>
      <c r="L32" s="26">
        <f t="shared" si="5"/>
        <v>1</v>
      </c>
      <c r="M32" s="26" t="str">
        <f>IFERROR(__xludf.DUMMYFUNCTION("LET(
 id,A32,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L32=0,
  """",
  IFERROR(INDEX(incomplete,1),"""")
 "&amp;")
)"),"building.fermentory@6")</f>
        <v>building.fermentory@6</v>
      </c>
      <c r="N32" s="26" t="str">
        <f t="array" ref="N32">IF(
 M32="",
 "",
 _xlfn.XLOOKUP(
  M32,
  tblTargets[TargetID],
  tblTargets[DisplayName],
  M32
 )
)</f>
        <v>Fermentory Lv 6</v>
      </c>
      <c r="O32" s="26" t="str">
        <f>IFERROR(__xludf.DUMMYFUNCTION("SWITCH(
 E32,
 ""BUILDING"",XLOOKUP(A32,tblBuildings[BuildingID],tblBuildings[costtext],""""),
 ""TECH"",XLOOKUP(A32,tblTechnologies[TechnologyID],tblTechnologies[costtext],""""),
 ""QUEST"",XLOOKUP(
  REGEXREPLACE(A32,""\.[^.]+$"",""""),
  tblQuests[Ques"&amp;"tID],
  tblQuests[Costtext],
  """"
 ),
 ""CITADEL"",XLOOKUP(A32,tblCitadel[CitadelID],tblCitadel[costtext],""""),
 ""COLLECTION"",XLOOKUP(A32,tblCollections[CollectionID],tblCollections[costtext],""""),
 ""CRAFTIFACT"",XLOOKUP(A32,tblCraftifacts[Craftifa"&amp;"ctID],tblCraftifacts[costtext],""""),
 """"
)"),"")</f>
        <v/>
      </c>
      <c r="P32" s="26" t="str">
        <f t="shared" si="6"/>
        <v>BLOCKED</v>
      </c>
      <c r="Q32" s="26" t="str">
        <f t="shared" si="7"/>
        <v>BLOCKED</v>
      </c>
      <c r="R32" s="26" t="str">
        <f t="array" ref="R32">IFERROR(
 _xlfn.XLOOKUP(
  A32,
  tblChecklist[TargetID],
  tblChecklist[PlayerSort],
  ""
 ),
 ""
)</f>
        <v/>
      </c>
      <c r="S32" s="26" t="str">
        <f>IFERROR(__xludf.DUMMYFUNCTION("LET(
 id,A32,
 successorIDs,
  IFERROR(
   UNIQUE(
    FILTER(
     {
      Dependencies!$A$2:$A$1000;
      QuestObjectives!$A$2:$A$1000
     },
     {
      Dependencies!$B$2:$B$1000;
      QuestObjectives!$E$2:$E$1000
     }=id
    )
   ),
   """"
  ),"&amp;"
 names,
  MAP(
   successorIDs,
   LAMBDA(s,
    IF(
     s="""",
     """",
     XLOOKUP(
      s,
      $A$2:$A$1000,
      $B$2:$B$1000,
      s
     )
    )
   )
  ),
 IF(
  successorIDs="""",
  """",
  TEXTJOIN("", "",TRUE,names)
 )
)"),"Fermentory - Pasteurization")</f>
        <v>Fermentory - Pasteurization</v>
      </c>
      <c r="T32" s="26" t="str">
        <f t="array" ref="T32">_xlfn.XLOOKUP(
 A32,
 tblTargets[TargetID],
 tblTargets[CompletionMethod],
 ""
)</f>
        <v>AUTO</v>
      </c>
      <c r="U32" s="84" t="b">
        <f>COUNTIF(tblCost[TargetID],A32)&gt;0</f>
        <v>0</v>
      </c>
      <c r="V32" s="85" t="str">
        <f t="array" ref="V32">IF(
 U32=FALSE,
 "",
 _xlfn.XLOOKUP(
  A32,
  tblCost[TargetID],
  tblCost[FundingPercent],
  ""
 )
)</f>
        <v/>
      </c>
      <c r="W32" s="26" t="str">
        <f t="array" ref="W32">IF(
 U32=FALSE,
 "",
 _xlfn.XLOOKUP(
  A32,
  tblCost[TargetID],
  tblCost[RemainingRequirements],
  ""
 )
)</f>
        <v/>
      </c>
      <c r="X32" s="45" t="str">
        <f t="array" ref="X32">IF(
 U32=FALSE,
 "N/A",
 _xlfn.XLOOKUP(
  A33,
  tblCost[TargetID],
  tblCost[TargetFunded],
  FALSE
 )
)</f>
        <v>N/A</v>
      </c>
      <c r="Y32" s="26" t="str">
        <f>IFERROR(__xludf.DUMMYFUNCTION("IFERROR(
 TEXTJOIN(
  "", "",
  TRUE,
  FILTER(
   'cost checklist'!$E$2:$E1000&amp;"": ""&amp;'cost checklist'!$G$2:$G1000,
   'cost checklist'!$B$2:$B1000=A32,
   'cost checklist'!$J$2:$J1000=FALSE
  )
 ),
 """"
)"),"")</f>
        <v/>
      </c>
      <c r="Z32" s="26" t="b">
        <f>IFERROR(__xludf.DUMMYFUNCTION("IF(
 AND(
  E32=""QUEST"",
  RIGHT(A32,9)="".accepted"",
  D32=TRUE
 ),
 XLOOKUP(
  REGEXREPLACE(A32,""\.accepted$"","""")&amp;"".finished"",
  $A$2:$A1000,
  $D$2:$D1000,
  TRUE
 )=FALSE,
 FALSE
)"),FALSE)</f>
        <v>0</v>
      </c>
      <c r="AA32" s="26" t="str">
        <f>IFERROR(__xludf.DUMMYFUNCTION("LET(
 id,A32,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33" ht="14.25" customHeight="1">
      <c r="A33" s="26" t="s">
        <v>188</v>
      </c>
      <c r="B33" s="26" t="str">
        <f t="array" ref="B33">_xlfn.XLOOKUP(
 A33,
 tblTargets[TargetID],
 tblTargets[DisplayName],
 ""
)</f>
        <v>Fermentory Lv 1</v>
      </c>
      <c r="C33" s="26" t="str">
        <f t="shared" si="1"/>
        <v>BLOCKED</v>
      </c>
      <c r="D33" s="26" t="b">
        <f>IFERROR(__xludf.DUMMYFUNCTION("LET(
 id,A33,
 IF(
  F33=""CHARACTER"",
  LET(
   base,REGEXREPLACE(id,""@\d+$"",""""),
   required,VALUE(REGEXEXTRACT(id,""@(\d+)$"")),
   current,XLOOKUP(
    base,
    tblPlayer[PlayerStateID],
    tblPlayer[Value],
    0
   ),
   current&gt;=required
  )"&amp;",
  IF(
   T33=""AUTO"",
   L33=0,
   COUNTIFS(
    tblChecklist[TargetID],id,
    tblChecklist[PlayerCompleted],TRUE
   )&gt;0
  )
 )
)"),FALSE)</f>
        <v>0</v>
      </c>
      <c r="E33" s="26" t="str">
        <f t="array" ref="E33">_xlfn.XLOOKUP(
 A33,
 tblTargets[TargetID],
 tblTargets[TargetType],
 ""
)</f>
        <v>BUILDING</v>
      </c>
      <c r="F33" s="26" t="str">
        <f t="array" ref="F33">_xlfn.XLOOKUP(
 A33,
 tblTargets[TargetID],
 tblTargets[StateType],
 ""
)</f>
        <v/>
      </c>
      <c r="G33" s="26">
        <f>LET(
 id,A33,
 depCount,COUNTIF(tblDependencies[TargetID],id),
 objCount,COUNTIF(tblQuestObjectives[QuestTargetID],id),
 depCount+objCount
)</f>
        <v>2</v>
      </c>
      <c r="H33" s="26">
        <f t="shared" si="2"/>
        <v>2</v>
      </c>
      <c r="I33" s="26">
        <f>IFERROR(__xludf.DUMMYFUNCTION("LET(
 id,A33,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 s="26">
        <f t="shared" si="3"/>
        <v>0</v>
      </c>
      <c r="K33" s="26" t="b">
        <f t="shared" si="4"/>
        <v>0</v>
      </c>
      <c r="L33" s="26">
        <f t="shared" si="5"/>
        <v>2</v>
      </c>
      <c r="M33" s="26" t="str">
        <f>IFERROR(__xludf.DUMMYFUNCTION("LET(
 id,A33,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L33=0,
  """",
  IFERROR(INDEX(incomplete,1),"""")
 "&amp;")
)"),"quest.magic_beans.finished")</f>
        <v>quest.magic_beans.finished</v>
      </c>
      <c r="N33" s="26" t="str">
        <f t="array" ref="N33">IF(
 M33="",
 "",
 _xlfn.XLOOKUP(
  M33,
  tblTargets[TargetID],
  tblTargets[DisplayName],
  M33
 )
)</f>
        <v>Magic Beans Finished</v>
      </c>
      <c r="O33" s="26" t="str">
        <f>IFERROR(__xludf.DUMMYFUNCTION("SWITCH(
 E33,
 ""BUILDING"",XLOOKUP(A33,tblBuildings[BuildingID],tblBuildings[costtext],""""),
 ""TECH"",XLOOKUP(A33,tblTechnologies[TechnologyID],tblTechnologies[costtext],""""),
 ""QUEST"",XLOOKUP(
  REGEXREPLACE(A33,""\.[^.]+$"",""""),
  tblQuests[Ques"&amp;"tID],
  tblQuests[Costtext],
  """"
 ),
 ""CITADEL"",XLOOKUP(A33,tblCitadel[CitadelID],tblCitadel[costtext],""""),
 ""COLLECTION"",XLOOKUP(A33,tblCollections[CollectionID],tblCollections[costtext],""""),
 ""CRAFTIFACT"",XLOOKUP(A33,tblCraftifacts[Craftifa"&amp;"ctID],tblCraftifacts[costtext],""""),
 """"
)"),"5 ruby,1000 coin,700 beam,700 stone,300 steel,50 soybean,30 page")</f>
        <v>5 ruby,1000 coin,700 beam,700 stone,300 steel,50 soybean,30 page</v>
      </c>
      <c r="P33" s="26" t="str">
        <f t="shared" si="6"/>
        <v>BLOCKED</v>
      </c>
      <c r="Q33" s="26" t="str">
        <f t="shared" si="7"/>
        <v>BLOCKED</v>
      </c>
      <c r="R33" s="26">
        <f t="array" ref="R33">IFERROR(
 _xlfn.XLOOKUP(
  A33,
  tblChecklist[TargetID],
  tblChecklist[PlayerSort],
  ""
 ),
 ""
)</f>
        <v>72</v>
      </c>
      <c r="S33" s="26" t="str">
        <f>IFERROR(__xludf.DUMMYFUNCTION("LET(
 id,A33,
 successorIDs,
  IFERROR(
   UNIQUE(
    FILTER(
     {
      Dependencies!$A$2:$A$1000;
      QuestObjectives!$A$2:$A$1000
     },
     {
      Dependencies!$B$2:$B$1000;
      QuestObjectives!$E$2:$E$1000
     }=id
    )
   ),
   """"
  ),"&amp;"
 names,
  MAP(
   successorIDs,
   LAMBDA(s,
    IF(
     s="""",
     """",
     XLOOKUP(
      s,
      $A$2:$A$1000,
      $B$2:$B$1000,
      s
     )
    )
   )
  ),
 IF(
  successorIDs="""",
  """",
  TEXTJOIN("", "",TRUE,names)
 )
)"),"Fermentory Lv 2")</f>
        <v>Fermentory Lv 2</v>
      </c>
      <c r="T33" s="26" t="str">
        <f t="array" ref="T33">_xlfn.XLOOKUP(
 A33,
 tblTargets[TargetID],
 tblTargets[CompletionMethod],
 ""
)</f>
        <v>PLAYER</v>
      </c>
      <c r="U33" s="84" t="b">
        <f>COUNTIF(tblCost[TargetID],A33)&gt;0</f>
        <v>1</v>
      </c>
      <c r="V33" s="85">
        <f t="array" ref="V33">IF(
 U33=FALSE,
 "",
 _xlfn.XLOOKUP(
  A33,
  tblCost[TargetID],
  tblCost[FundingPercent],
  ""
 )
)</f>
        <v>0</v>
      </c>
      <c r="W33" s="26">
        <f t="array" ref="W33">IF(
 U33=FALSE,
 "",
 _xlfn.XLOOKUP(
  A33,
  tblCost[TargetID],
  tblCost[RemainingRequirements],
  ""
 )
)</f>
        <v>7</v>
      </c>
      <c r="X33" s="45" t="b">
        <f t="array" ref="X33">IF(
 U33=FALSE,
 "N/A",
 _xlfn.XLOOKUP(
  A34,
  tblCost[TargetID],
  tblCost[TargetFunded],
  FALSE
 )
)</f>
        <v>0</v>
      </c>
      <c r="Y33" s="26" t="str">
        <f>IFERROR(__xludf.DUMMYFUNCTION("IFERROR(
 TEXTJOIN(
  "", "",
  TRUE,
  FILTER(
   'cost checklist'!$E$2:$E1000&amp;"": ""&amp;'cost checklist'!$G$2:$G1000,
   'cost checklist'!$B$2:$B1000=A33,
   'cost checklist'!$J$2:$J1000=FALSE
  )
 ),
 """"
)"),"beam: 700, coin: 1000, page: 30, ruby: 5, soybean: 50, steel: 300, stone: 700")</f>
        <v>beam: 700, coin: 1000, page: 30, ruby: 5, soybean: 50, steel: 300, stone: 700</v>
      </c>
      <c r="Z33" s="26" t="b">
        <f>IFERROR(__xludf.DUMMYFUNCTION("IF(
 AND(
  E33=""QUEST"",
  RIGHT(A33,9)="".accepted"",
  D33=TRUE
 ),
 XLOOKUP(
  REGEXREPLACE(A33,""\.accepted$"","""")&amp;"".finished"",
  $A$2:$A1000,
  $D$2:$D1000,
  TRUE
 )=FALSE,
 FALSE
)"),FALSE)</f>
        <v>0</v>
      </c>
      <c r="AA33" s="26" t="str">
        <f>IFERROR(__xludf.DUMMYFUNCTION("LET(
 id,A33,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34" ht="14.25" customHeight="1">
      <c r="A34" s="26" t="s">
        <v>195</v>
      </c>
      <c r="B34" s="26" t="str">
        <f t="array" ref="B34">_xlfn.XLOOKUP(
 A34,
 tblTargets[TargetID],
 tblTargets[DisplayName],
 ""
)</f>
        <v>Fermentory Lv 2</v>
      </c>
      <c r="C34" s="26" t="str">
        <f t="shared" si="1"/>
        <v>BLOCKED</v>
      </c>
      <c r="D34" s="26" t="b">
        <f>IFERROR(__xludf.DUMMYFUNCTION("LET(
 id,A34,
 IF(
  F34=""CHARACTER"",
  LET(
   base,REGEXREPLACE(id,""@\d+$"",""""),
   required,VALUE(REGEXEXTRACT(id,""@(\d+)$"")),
   current,XLOOKUP(
    base,
    tblPlayer[PlayerStateID],
    tblPlayer[Value],
    0
   ),
   current&gt;=required
  )"&amp;",
  IF(
   T34=""AUTO"",
   L34=0,
   COUNTIFS(
    tblChecklist[TargetID],id,
    tblChecklist[PlayerCompleted],TRUE
   )&gt;0
  )
 )
)"),FALSE)</f>
        <v>0</v>
      </c>
      <c r="E34" s="26" t="str">
        <f t="array" ref="E34">_xlfn.XLOOKUP(
 A34,
 tblTargets[TargetID],
 tblTargets[TargetType],
 ""
)</f>
        <v>BUILDING</v>
      </c>
      <c r="F34" s="26" t="str">
        <f t="array" ref="F34">_xlfn.XLOOKUP(
 A34,
 tblTargets[TargetID],
 tblTargets[StateType],
 ""
)</f>
        <v/>
      </c>
      <c r="G34" s="26">
        <f>LET(
 id,A34,
 depCount,COUNTIF(tblDependencies[TargetID],id),
 objCount,COUNTIF(tblQuestObjectives[QuestTargetID],id),
 depCount+objCount
)</f>
        <v>1</v>
      </c>
      <c r="H34" s="26">
        <f t="shared" si="2"/>
        <v>1</v>
      </c>
      <c r="I34" s="26">
        <f>IFERROR(__xludf.DUMMYFUNCTION("LET(
 id,A34,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 s="26">
        <f t="shared" si="3"/>
        <v>0</v>
      </c>
      <c r="K34" s="26" t="b">
        <f t="shared" si="4"/>
        <v>0</v>
      </c>
      <c r="L34" s="26">
        <f t="shared" si="5"/>
        <v>1</v>
      </c>
      <c r="M34" s="26" t="str">
        <f>IFERROR(__xludf.DUMMYFUNCTION("LET(
 id,A34,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L34=0,
  """",
  IFERROR(INDEX(incomplete,1),"""")
 "&amp;")
)"),"building.fermentory@1")</f>
        <v>building.fermentory@1</v>
      </c>
      <c r="N34" s="26" t="str">
        <f t="array" ref="N34">IF(
 M34="",
 "",
 _xlfn.XLOOKUP(
  M34,
  tblTargets[TargetID],
  tblTargets[DisplayName],
  M34
 )
)</f>
        <v>Fermentory Lv 1</v>
      </c>
      <c r="O34" s="26" t="str">
        <f>IFERROR(__xludf.DUMMYFUNCTION("SWITCH(
 E34,
 ""BUILDING"",XLOOKUP(A34,tblBuildings[BuildingID],tblBuildings[costtext],""""),
 ""TECH"",XLOOKUP(A34,tblTechnologies[TechnologyID],tblTechnologies[costtext],""""),
 ""QUEST"",XLOOKUP(
  REGEXREPLACE(A34,""\.[^.]+$"",""""),
  tblQuests[Ques"&amp;"tID],
  tblQuests[Costtext],
  """"
 ),
 ""CITADEL"",XLOOKUP(A34,tblCitadel[CitadelID],tblCitadel[costtext],""""),
 ""COLLECTION"",XLOOKUP(A34,tblCollections[CollectionID],tblCollections[costtext],""""),
 ""CRAFTIFACT"",XLOOKUP(A34,tblCraftifacts[Craftifa"&amp;"ctID],tblCraftifacts[costtext],""""),
 """"
)"),"5 ruby,1000 coin,900 beam,500 stone,100 chemicals,30 reagent,200 charcoal,50 soybean")</f>
        <v>5 ruby,1000 coin,900 beam,500 stone,100 chemicals,30 reagent,200 charcoal,50 soybean</v>
      </c>
      <c r="P34" s="26" t="str">
        <f t="shared" si="6"/>
        <v>BLOCKED</v>
      </c>
      <c r="Q34" s="26" t="str">
        <f t="shared" si="7"/>
        <v>BLOCKED</v>
      </c>
      <c r="R34" s="26">
        <f t="array" ref="R34">IFERROR(
 _xlfn.XLOOKUP(
  A34,
  tblChecklist[TargetID],
  tblChecklist[PlayerSort],
  ""
 ),
 ""
)</f>
        <v>73</v>
      </c>
      <c r="S34" s="26" t="str">
        <f>IFERROR(__xludf.DUMMYFUNCTION("LET(
 id,A34,
 successorIDs,
  IFERROR(
   UNIQUE(
    FILTER(
     {
      Dependencies!$A$2:$A$1000;
      QuestObjectives!$A$2:$A$1000
     },
     {
      Dependencies!$B$2:$B$1000;
      QuestObjectives!$E$2:$E$1000
     }=id
    )
   ),
   """"
  ),"&amp;"
 names,
  MAP(
   successorIDs,
   LAMBDA(s,
    IF(
     s="""",
     """",
     XLOOKUP(
      s,
      $A$2:$A$1000,
      $B$2:$B$1000,
      s
     )
    )
   )
  ),
 IF(
  successorIDs="""",
  """",
  TEXTJOIN("", "",TRUE,names)
 )
)"),"Fermentory Lv 3")</f>
        <v>Fermentory Lv 3</v>
      </c>
      <c r="T34" s="26" t="str">
        <f t="array" ref="T34">_xlfn.XLOOKUP(
 A34,
 tblTargets[TargetID],
 tblTargets[CompletionMethod],
 ""
)</f>
        <v>PLAYER</v>
      </c>
      <c r="U34" s="84" t="b">
        <f>COUNTIF(tblCost[TargetID],A34)&gt;0</f>
        <v>1</v>
      </c>
      <c r="V34" s="85">
        <f t="array" ref="V34">IF(
 U34=FALSE,
 "",
 _xlfn.XLOOKUP(
  A34,
  tblCost[TargetID],
  tblCost[FundingPercent],
  ""
 )
)</f>
        <v>0</v>
      </c>
      <c r="W34" s="26">
        <f t="array" ref="W34">IF(
 U34=FALSE,
 "",
 _xlfn.XLOOKUP(
  A34,
  tblCost[TargetID],
  tblCost[RemainingRequirements],
  ""
 )
)</f>
        <v>8</v>
      </c>
      <c r="X34" s="45" t="b">
        <f t="array" ref="X34">IF(
 U34=FALSE,
 "N/A",
 _xlfn.XLOOKUP(
  A35,
  tblCost[TargetID],
  tblCost[TargetFunded],
  FALSE
 )
)</f>
        <v>0</v>
      </c>
      <c r="Y34" s="26" t="str">
        <f>IFERROR(__xludf.DUMMYFUNCTION("IFERROR(
 TEXTJOIN(
  "", "",
  TRUE,
  FILTER(
   'cost checklist'!$E$2:$E1000&amp;"": ""&amp;'cost checklist'!$G$2:$G1000,
   'cost checklist'!$B$2:$B1000=A34,
   'cost checklist'!$J$2:$J1000=FALSE
  )
 ),
 """"
)"),"beam: 900, charcoal: 200, chemicals: 100, coin: 1000, reagent: 30, ruby: 5, soybean: 50, stone: 500")</f>
        <v>beam: 900, charcoal: 200, chemicals: 100, coin: 1000, reagent: 30, ruby: 5, soybean: 50, stone: 500</v>
      </c>
      <c r="Z34" s="26" t="b">
        <f>IFERROR(__xludf.DUMMYFUNCTION("IF(
 AND(
  E34=""QUEST"",
  RIGHT(A34,9)="".accepted"",
  D34=TRUE
 ),
 XLOOKUP(
  REGEXREPLACE(A34,""\.accepted$"","""")&amp;"".finished"",
  $A$2:$A1000,
  $D$2:$D1000,
  TRUE
 )=FALSE,
 FALSE
)"),FALSE)</f>
        <v>0</v>
      </c>
      <c r="AA34" s="26" t="str">
        <f>IFERROR(__xludf.DUMMYFUNCTION("LET(
 id,A34,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35" ht="14.25" customHeight="1">
      <c r="A35" s="26" t="s">
        <v>199</v>
      </c>
      <c r="B35" s="26" t="str">
        <f t="array" ref="B35">_xlfn.XLOOKUP(
 A35,
 tblTargets[TargetID],
 tblTargets[DisplayName],
 ""
)</f>
        <v>Fermentory Lv 3</v>
      </c>
      <c r="C35" s="26" t="str">
        <f t="shared" si="1"/>
        <v>BLOCKED</v>
      </c>
      <c r="D35" s="26" t="b">
        <f>IFERROR(__xludf.DUMMYFUNCTION("LET(
 id,A35,
 IF(
  F35=""CHARACTER"",
  LET(
   base,REGEXREPLACE(id,""@\d+$"",""""),
   required,VALUE(REGEXEXTRACT(id,""@(\d+)$"")),
   current,XLOOKUP(
    base,
    tblPlayer[PlayerStateID],
    tblPlayer[Value],
    0
   ),
   current&gt;=required
  )"&amp;",
  IF(
   T35=""AUTO"",
   L35=0,
   COUNTIFS(
    tblChecklist[TargetID],id,
    tblChecklist[PlayerCompleted],TRUE
   )&gt;0
  )
 )
)"),FALSE)</f>
        <v>0</v>
      </c>
      <c r="E35" s="26" t="str">
        <f t="array" ref="E35">_xlfn.XLOOKUP(
 A35,
 tblTargets[TargetID],
 tblTargets[TargetType],
 ""
)</f>
        <v>BUILDING</v>
      </c>
      <c r="F35" s="26" t="str">
        <f t="array" ref="F35">_xlfn.XLOOKUP(
 A35,
 tblTargets[TargetID],
 tblTargets[StateType],
 ""
)</f>
        <v/>
      </c>
      <c r="G35" s="26">
        <f>LET(
 id,A35,
 depCount,COUNTIF(tblDependencies[TargetID],id),
 objCount,COUNTIF(tblQuestObjectives[QuestTargetID],id),
 depCount+objCount
)</f>
        <v>1</v>
      </c>
      <c r="H35" s="26">
        <f t="shared" si="2"/>
        <v>1</v>
      </c>
      <c r="I35" s="26">
        <f>IFERROR(__xludf.DUMMYFUNCTION("LET(
 id,A35,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 s="26">
        <f t="shared" si="3"/>
        <v>0</v>
      </c>
      <c r="K35" s="26" t="b">
        <f t="shared" si="4"/>
        <v>0</v>
      </c>
      <c r="L35" s="26">
        <f t="shared" si="5"/>
        <v>1</v>
      </c>
      <c r="M35" s="26" t="str">
        <f>IFERROR(__xludf.DUMMYFUNCTION("LET(
 id,A35,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L35=0,
  """",
  IFERROR(INDEX(incomplete,1),"""")
 "&amp;")
)"),"building.fermentory@2")</f>
        <v>building.fermentory@2</v>
      </c>
      <c r="N35" s="26" t="str">
        <f t="array" ref="N35">IF(
 M35="",
 "",
 _xlfn.XLOOKUP(
  M35,
  tblTargets[TargetID],
  tblTargets[DisplayName],
  M35
 )
)</f>
        <v>Fermentory Lv 2</v>
      </c>
      <c r="O35" s="26" t="str">
        <f>IFERROR(__xludf.DUMMYFUNCTION("SWITCH(
 E35,
 ""BUILDING"",XLOOKUP(A35,tblBuildings[BuildingID],tblBuildings[costtext],""""),
 ""TECH"",XLOOKUP(A35,tblTechnologies[TechnologyID],tblTechnologies[costtext],""""),
 ""QUEST"",XLOOKUP(
  REGEXREPLACE(A35,""\.[^.]+$"",""""),
  tblQuests[Ques"&amp;"tID],
  tblQuests[Costtext],
  """"
 ),
 ""CITADEL"",XLOOKUP(A35,tblCitadel[CitadelID],tblCitadel[costtext],""""),
 ""COLLECTION"",XLOOKUP(A35,tblCollections[CollectionID],tblCollections[costtext],""""),
 ""CRAFTIFACT"",XLOOKUP(A35,tblCraftifacts[Craftifa"&amp;"ctID],tblCraftifacts[costtext],""""),
 """"
)"),"7 ruby,1000 coin,700 plank,500 stone,200 steel,200 charcoal,50 soybean")</f>
        <v>7 ruby,1000 coin,700 plank,500 stone,200 steel,200 charcoal,50 soybean</v>
      </c>
      <c r="P35" s="26" t="str">
        <f t="shared" si="6"/>
        <v>BLOCKED</v>
      </c>
      <c r="Q35" s="26" t="str">
        <f t="shared" si="7"/>
        <v>BLOCKED</v>
      </c>
      <c r="R35" s="26">
        <f t="array" ref="R35">IFERROR(
 _xlfn.XLOOKUP(
  A35,
  tblChecklist[TargetID],
  tblChecklist[PlayerSort],
  ""
 ),
 ""
)</f>
        <v>74</v>
      </c>
      <c r="S35" s="26" t="str">
        <f>IFERROR(__xludf.DUMMYFUNCTION("LET(
 id,A35,
 successorIDs,
  IFERROR(
   UNIQUE(
    FILTER(
     {
      Dependencies!$A$2:$A$1000;
      QuestObjectives!$A$2:$A$1000
     },
     {
      Dependencies!$B$2:$B$1000;
      QuestObjectives!$E$2:$E$1000
     }=id
    )
   ),
   """"
  ),"&amp;"
 names,
  MAP(
   successorIDs,
   LAMBDA(s,
    IF(
     s="""",
     """",
     XLOOKUP(
      s,
      $A$2:$A$1000,
      $B$2:$B$1000,
      s
     )
    )
   )
  ),
 IF(
  successorIDs="""",
  """",
  TEXTJOIN("", "",TRUE,names)
 )
)"),"Fermentory Lv 4")</f>
        <v>Fermentory Lv 4</v>
      </c>
      <c r="T35" s="26" t="str">
        <f t="array" ref="T35">_xlfn.XLOOKUP(
 A35,
 tblTargets[TargetID],
 tblTargets[CompletionMethod],
 ""
)</f>
        <v>PLAYER</v>
      </c>
      <c r="U35" s="84" t="b">
        <f>COUNTIF(tblCost[TargetID],A35)&gt;0</f>
        <v>1</v>
      </c>
      <c r="V35" s="85">
        <f t="array" ref="V35">IF(
 U35=FALSE,
 "",
 _xlfn.XLOOKUP(
  A35,
  tblCost[TargetID],
  tblCost[FundingPercent],
  ""
 )
)</f>
        <v>0</v>
      </c>
      <c r="W35" s="26">
        <f t="array" ref="W35">IF(
 U35=FALSE,
 "",
 _xlfn.XLOOKUP(
  A35,
  tblCost[TargetID],
  tblCost[RemainingRequirements],
  ""
 )
)</f>
        <v>7</v>
      </c>
      <c r="X35" s="45" t="b">
        <f t="array" ref="X35">IF(
 U35=FALSE,
 "N/A",
 _xlfn.XLOOKUP(
  A36,
  tblCost[TargetID],
  tblCost[TargetFunded],
  FALSE
 )
)</f>
        <v>0</v>
      </c>
      <c r="Y35" s="26" t="str">
        <f>IFERROR(__xludf.DUMMYFUNCTION("IFERROR(
 TEXTJOIN(
  "", "",
  TRUE,
  FILTER(
   'cost checklist'!$E$2:$E1000&amp;"": ""&amp;'cost checklist'!$G$2:$G1000,
   'cost checklist'!$B$2:$B1000=A35,
   'cost checklist'!$J$2:$J1000=FALSE
  )
 ),
 """"
)"),"charcoal: 200, coin: 1000, plank: 700, ruby: 7, soybean: 50, steel: 200, stone: 500")</f>
        <v>charcoal: 200, coin: 1000, plank: 700, ruby: 7, soybean: 50, steel: 200, stone: 500</v>
      </c>
      <c r="Z35" s="26" t="b">
        <f>IFERROR(__xludf.DUMMYFUNCTION("IF(
 AND(
  E35=""QUEST"",
  RIGHT(A35,9)="".accepted"",
  D35=TRUE
 ),
 XLOOKUP(
  REGEXREPLACE(A35,""\.accepted$"","""")&amp;"".finished"",
  $A$2:$A1000,
  $D$2:$D1000,
  TRUE
 )=FALSE,
 FALSE
)"),FALSE)</f>
        <v>0</v>
      </c>
      <c r="AA35" s="26" t="str">
        <f>IFERROR(__xludf.DUMMYFUNCTION("LET(
 id,A35,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36" ht="14.25" customHeight="1">
      <c r="A36" s="26" t="s">
        <v>205</v>
      </c>
      <c r="B36" s="26" t="str">
        <f t="array" ref="B36">_xlfn.XLOOKUP(
 A36,
 tblTargets[TargetID],
 tblTargets[DisplayName],
 ""
)</f>
        <v>Fermentory Lv 4</v>
      </c>
      <c r="C36" s="26" t="str">
        <f t="shared" si="1"/>
        <v>BLOCKED</v>
      </c>
      <c r="D36" s="26" t="b">
        <f>IFERROR(__xludf.DUMMYFUNCTION("LET(
 id,A36,
 IF(
  F36=""CHARACTER"",
  LET(
   base,REGEXREPLACE(id,""@\d+$"",""""),
   required,VALUE(REGEXEXTRACT(id,""@(\d+)$"")),
   current,XLOOKUP(
    base,
    tblPlayer[PlayerStateID],
    tblPlayer[Value],
    0
   ),
   current&gt;=required
  )"&amp;",
  IF(
   T36=""AUTO"",
   L36=0,
   COUNTIFS(
    tblChecklist[TargetID],id,
    tblChecklist[PlayerCompleted],TRUE
   )&gt;0
  )
 )
)"),FALSE)</f>
        <v>0</v>
      </c>
      <c r="E36" s="26" t="str">
        <f t="array" ref="E36">_xlfn.XLOOKUP(
 A36,
 tblTargets[TargetID],
 tblTargets[TargetType],
 ""
)</f>
        <v>BUILDING</v>
      </c>
      <c r="F36" s="26" t="str">
        <f t="array" ref="F36">_xlfn.XLOOKUP(
 A36,
 tblTargets[TargetID],
 tblTargets[StateType],
 ""
)</f>
        <v/>
      </c>
      <c r="G36" s="26">
        <f>LET(
 id,A36,
 depCount,COUNTIF(tblDependencies[TargetID],id),
 objCount,COUNTIF(tblQuestObjectives[QuestTargetID],id),
 depCount+objCount
)</f>
        <v>1</v>
      </c>
      <c r="H36" s="26">
        <f t="shared" si="2"/>
        <v>1</v>
      </c>
      <c r="I36" s="26">
        <f>IFERROR(__xludf.DUMMYFUNCTION("LET(
 id,A36,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 s="26">
        <f t="shared" si="3"/>
        <v>0</v>
      </c>
      <c r="K36" s="26" t="b">
        <f t="shared" si="4"/>
        <v>0</v>
      </c>
      <c r="L36" s="26">
        <f t="shared" si="5"/>
        <v>1</v>
      </c>
      <c r="M36" s="26" t="str">
        <f>IFERROR(__xludf.DUMMYFUNCTION("LET(
 id,A36,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L36=0,
  """",
  IFERROR(INDEX(incomplete,1),"""")
 "&amp;")
)"),"building.fermentory@3")</f>
        <v>building.fermentory@3</v>
      </c>
      <c r="N36" s="26" t="str">
        <f t="array" ref="N36">IF(
 M36="",
 "",
 _xlfn.XLOOKUP(
  M36,
  tblTargets[TargetID],
  tblTargets[DisplayName],
  M36
 )
)</f>
        <v>Fermentory Lv 3</v>
      </c>
      <c r="O36" s="26" t="str">
        <f>IFERROR(__xludf.DUMMYFUNCTION("SWITCH(
 E36,
 ""BUILDING"",XLOOKUP(A36,tblBuildings[BuildingID],tblBuildings[costtext],""""),
 ""TECH"",XLOOKUP(A36,tblTechnologies[TechnologyID],tblTechnologies[costtext],""""),
 ""QUEST"",XLOOKUP(
  REGEXREPLACE(A36,""\.[^.]+$"",""""),
  tblQuests[Ques"&amp;"tID],
  tblQuests[Costtext],
  """"
 ),
 ""CITADEL"",XLOOKUP(A36,tblCitadel[CitadelID],tblCitadel[costtext],""""),
 ""COLLECTION"",XLOOKUP(A36,tblCollections[CollectionID],tblCollections[costtext],""""),
 ""CRAFTIFACT"",XLOOKUP(A36,tblCraftifacts[Craftifa"&amp;"ctID],tblCraftifacts[costtext],""""),
 """"
)"),"8 ruby,1000 coin,900 plank,500 stone,300 steel,50 rice,50 wheat,50 soybean,10 soy")</f>
        <v>8 ruby,1000 coin,900 plank,500 stone,300 steel,50 rice,50 wheat,50 soybean,10 soy</v>
      </c>
      <c r="P36" s="26" t="str">
        <f t="shared" si="6"/>
        <v>BLOCKED</v>
      </c>
      <c r="Q36" s="26" t="str">
        <f t="shared" si="7"/>
        <v>BLOCKED</v>
      </c>
      <c r="R36" s="26">
        <f t="array" ref="R36">IFERROR(
 _xlfn.XLOOKUP(
  A36,
  tblChecklist[TargetID],
  tblChecklist[PlayerSort],
  ""
 ),
 ""
)</f>
        <v>79</v>
      </c>
      <c r="S36" s="26" t="str">
        <f>IFERROR(__xludf.DUMMYFUNCTION("LET(
 id,A36,
 successorIDs,
  IFERROR(
   UNIQUE(
    FILTER(
     {
      Dependencies!$A$2:$A$1000;
      QuestObjectives!$A$2:$A$1000
     },
     {
      Dependencies!$B$2:$B$1000;
      QuestObjectives!$E$2:$E$1000
     }=id
    )
   ),
   """"
  ),"&amp;"
 names,
  MAP(
   successorIDs,
   LAMBDA(s,
    IF(
     s="""",
     """",
     XLOOKUP(
      s,
      $A$2:$A$1000,
      $B$2:$B$1000,
      s
     )
    )
   )
  ),
 IF(
  successorIDs="""",
  """",
  TEXTJOIN("", "",TRUE,names)
 )
)"),"Fermentory Lv 5")</f>
        <v>Fermentory Lv 5</v>
      </c>
      <c r="T36" s="26" t="str">
        <f t="array" ref="T36">_xlfn.XLOOKUP(
 A36,
 tblTargets[TargetID],
 tblTargets[CompletionMethod],
 ""
)</f>
        <v>PLAYER</v>
      </c>
      <c r="U36" s="84" t="b">
        <f>COUNTIF(tblCost[TargetID],A36)&gt;0</f>
        <v>1</v>
      </c>
      <c r="V36" s="85">
        <f t="array" ref="V36">IF(
 U36=FALSE,
 "",
 _xlfn.XLOOKUP(
  A36,
  tblCost[TargetID],
  tblCost[FundingPercent],
  ""
 )
)</f>
        <v>0</v>
      </c>
      <c r="W36" s="26">
        <f t="array" ref="W36">IF(
 U36=FALSE,
 "",
 _xlfn.XLOOKUP(
  A36,
  tblCost[TargetID],
  tblCost[RemainingRequirements],
  ""
 )
)</f>
        <v>9</v>
      </c>
      <c r="X36" s="45" t="b">
        <f t="array" ref="X36">IF(
 U36=FALSE,
 "N/A",
 _xlfn.XLOOKUP(
  A37,
  tblCost[TargetID],
  tblCost[TargetFunded],
  FALSE
 )
)</f>
        <v>0</v>
      </c>
      <c r="Y36" s="26" t="str">
        <f>IFERROR(__xludf.DUMMYFUNCTION("IFERROR(
 TEXTJOIN(
  "", "",
  TRUE,
  FILTER(
   'cost checklist'!$E$2:$E1000&amp;"": ""&amp;'cost checklist'!$G$2:$G1000,
   'cost checklist'!$B$2:$B1000=A36,
   'cost checklist'!$J$2:$J1000=FALSE
  )
 ),
 """"
)"),"coin: 1000, plank: 900, rice: 50, ruby: 8, soy: 10, soybean: 50, steel: 300, stone: 500, wheat: 50")</f>
        <v>coin: 1000, plank: 900, rice: 50, ruby: 8, soy: 10, soybean: 50, steel: 300, stone: 500, wheat: 50</v>
      </c>
      <c r="Z36" s="26" t="b">
        <f>IFERROR(__xludf.DUMMYFUNCTION("IF(
 AND(
  E36=""QUEST"",
  RIGHT(A36,9)="".accepted"",
  D36=TRUE
 ),
 XLOOKUP(
  REGEXREPLACE(A36,""\.accepted$"","""")&amp;"".finished"",
  $A$2:$A1000,
  $D$2:$D1000,
  TRUE
 )=FALSE,
 FALSE
)"),FALSE)</f>
        <v>0</v>
      </c>
      <c r="AA36" s="26" t="str">
        <f>IFERROR(__xludf.DUMMYFUNCTION("LET(
 id,A36,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37" ht="14.25" customHeight="1">
      <c r="A37" s="26" t="s">
        <v>208</v>
      </c>
      <c r="B37" s="26" t="str">
        <f t="array" ref="B37">_xlfn.XLOOKUP(
 A37,
 tblTargets[TargetID],
 tblTargets[DisplayName],
 ""
)</f>
        <v>Fermentory Lv 5</v>
      </c>
      <c r="C37" s="26" t="str">
        <f t="shared" si="1"/>
        <v>BLOCKED</v>
      </c>
      <c r="D37" s="26" t="b">
        <f>IFERROR(__xludf.DUMMYFUNCTION("LET(
 id,A37,
 IF(
  F37=""CHARACTER"",
  LET(
   base,REGEXREPLACE(id,""@\d+$"",""""),
   required,VALUE(REGEXEXTRACT(id,""@(\d+)$"")),
   current,XLOOKUP(
    base,
    tblPlayer[PlayerStateID],
    tblPlayer[Value],
    0
   ),
   current&gt;=required
  )"&amp;",
  IF(
   T37=""AUTO"",
   L37=0,
   COUNTIFS(
    tblChecklist[TargetID],id,
    tblChecklist[PlayerCompleted],TRUE
   )&gt;0
  )
 )
)"),FALSE)</f>
        <v>0</v>
      </c>
      <c r="E37" s="26" t="str">
        <f t="array" ref="E37">_xlfn.XLOOKUP(
 A37,
 tblTargets[TargetID],
 tblTargets[TargetType],
 ""
)</f>
        <v>BUILDING</v>
      </c>
      <c r="F37" s="26" t="str">
        <f t="array" ref="F37">_xlfn.XLOOKUP(
 A37,
 tblTargets[TargetID],
 tblTargets[StateType],
 ""
)</f>
        <v/>
      </c>
      <c r="G37" s="26">
        <f>LET(
 id,A37,
 depCount,COUNTIF(tblDependencies[TargetID],id),
 objCount,COUNTIF(tblQuestObjectives[QuestTargetID],id),
 depCount+objCount
)</f>
        <v>1</v>
      </c>
      <c r="H37" s="26">
        <f t="shared" si="2"/>
        <v>1</v>
      </c>
      <c r="I37" s="26">
        <f>IFERROR(__xludf.DUMMYFUNCTION("LET(
 id,A37,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 s="26">
        <f t="shared" si="3"/>
        <v>0</v>
      </c>
      <c r="K37" s="26" t="b">
        <f t="shared" si="4"/>
        <v>0</v>
      </c>
      <c r="L37" s="26">
        <f t="shared" si="5"/>
        <v>1</v>
      </c>
      <c r="M37" s="26" t="str">
        <f>IFERROR(__xludf.DUMMYFUNCTION("LET(
 id,A37,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L37=0,
  """",
  IFERROR(INDEX(incomplete,1),"""")
 "&amp;")
)"),"building.fermentory@4")</f>
        <v>building.fermentory@4</v>
      </c>
      <c r="N37" s="26" t="str">
        <f t="array" ref="N37">IF(
 M37="",
 "",
 _xlfn.XLOOKUP(
  M37,
  tblTargets[TargetID],
  tblTargets[DisplayName],
  M37
 )
)</f>
        <v>Fermentory Lv 4</v>
      </c>
      <c r="O37" s="26" t="str">
        <f>IFERROR(__xludf.DUMMYFUNCTION("SWITCH(
 E37,
 ""BUILDING"",XLOOKUP(A37,tblBuildings[BuildingID],tblBuildings[costtext],""""),
 ""TECH"",XLOOKUP(A37,tblTechnologies[TechnologyID],tblTechnologies[costtext],""""),
 ""QUEST"",XLOOKUP(
  REGEXREPLACE(A37,""\.[^.]+$"",""""),
  tblQuests[Ques"&amp;"tID],
  tblQuests[Costtext],
  """"
 ),
 ""CITADEL"",XLOOKUP(A37,tblCitadel[CitadelID],tblCitadel[costtext],""""),
 ""COLLECTION"",XLOOKUP(A37,tblCollections[CollectionID],tblCollections[costtext],""""),
 ""CRAFTIFACT"",XLOOKUP(A37,tblCraftifacts[Craftifa"&amp;"ctID],tblCraftifacts[costtext],""""),
 """"
)"),"9 ruby,1000 coin,900 plank,800 stone,20 thread,100 soybean,24 koji,10 grimoire")</f>
        <v>9 ruby,1000 coin,900 plank,800 stone,20 thread,100 soybean,24 koji,10 grimoire</v>
      </c>
      <c r="P37" s="26" t="str">
        <f t="shared" si="6"/>
        <v>BLOCKED</v>
      </c>
      <c r="Q37" s="26" t="str">
        <f t="shared" si="7"/>
        <v>BLOCKED</v>
      </c>
      <c r="R37" s="26">
        <f t="array" ref="R37">IFERROR(
 _xlfn.XLOOKUP(
  A37,
  tblChecklist[TargetID],
  tblChecklist[PlayerSort],
  ""
 ),
 ""
)</f>
        <v>80</v>
      </c>
      <c r="S37" s="26" t="str">
        <f>IFERROR(__xludf.DUMMYFUNCTION("LET(
 id,A37,
 successorIDs,
  IFERROR(
   UNIQUE(
    FILTER(
     {
      Dependencies!$A$2:$A$1000;
      QuestObjectives!$A$2:$A$1000
     },
     {
      Dependencies!$B$2:$B$1000;
      QuestObjectives!$E$2:$E$1000
     }=id
    )
   ),
   """"
  ),"&amp;"
 names,
  MAP(
   successorIDs,
   LAMBDA(s,
    IF(
     s="""",
     """",
     XLOOKUP(
      s,
      $A$2:$A$1000,
      $B$2:$B$1000,
      s
     )
    )
   )
  ),
 IF(
  successorIDs="""",
  """",
  TEXTJOIN("", "",TRUE,names)
 )
)"),"Fermentory Lv 6")</f>
        <v>Fermentory Lv 6</v>
      </c>
      <c r="T37" s="26" t="str">
        <f t="array" ref="T37">_xlfn.XLOOKUP(
 A37,
 tblTargets[TargetID],
 tblTargets[CompletionMethod],
 ""
)</f>
        <v>PLAYER</v>
      </c>
      <c r="U37" s="84" t="b">
        <f>COUNTIF(tblCost[TargetID],A37)&gt;0</f>
        <v>1</v>
      </c>
      <c r="V37" s="85">
        <f t="array" ref="V37">IF(
 U37=FALSE,
 "",
 _xlfn.XLOOKUP(
  A37,
  tblCost[TargetID],
  tblCost[FundingPercent],
  ""
 )
)</f>
        <v>0</v>
      </c>
      <c r="W37" s="26">
        <f t="array" ref="W37">IF(
 U37=FALSE,
 "",
 _xlfn.XLOOKUP(
  A37,
  tblCost[TargetID],
  tblCost[RemainingRequirements],
  ""
 )
)</f>
        <v>8</v>
      </c>
      <c r="X37" s="45" t="b">
        <f t="array" ref="X37">IF(
 U37=FALSE,
 "N/A",
 _xlfn.XLOOKUP(
  A38,
  tblCost[TargetID],
  tblCost[TargetFunded],
  FALSE
 )
)</f>
        <v>0</v>
      </c>
      <c r="Y37" s="26" t="str">
        <f>IFERROR(__xludf.DUMMYFUNCTION("IFERROR(
 TEXTJOIN(
  "", "",
  TRUE,
  FILTER(
   'cost checklist'!$E$2:$E1000&amp;"": ""&amp;'cost checklist'!$G$2:$G1000,
   'cost checklist'!$B$2:$B1000=A37,
   'cost checklist'!$J$2:$J1000=FALSE
  )
 ),
 """"
)"),"coin: 1000, grimoire: 10, koji: 24, plank: 900, ruby: 9, soybean: 100, stone: 800, thread: 20")</f>
        <v>coin: 1000, grimoire: 10, koji: 24, plank: 900, ruby: 9, soybean: 100, stone: 800, thread: 20</v>
      </c>
      <c r="Z37" s="26" t="b">
        <f>IFERROR(__xludf.DUMMYFUNCTION("IF(
 AND(
  E37=""QUEST"",
  RIGHT(A37,9)="".accepted"",
  D37=TRUE
 ),
 XLOOKUP(
  REGEXREPLACE(A37,""\.accepted$"","""")&amp;"".finished"",
  $A$2:$A1000,
  $D$2:$D1000,
  TRUE
 )=FALSE,
 FALSE
)"),FALSE)</f>
        <v>0</v>
      </c>
      <c r="AA37" s="26" t="str">
        <f>IFERROR(__xludf.DUMMYFUNCTION("LET(
 id,A37,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38" ht="14.25" customHeight="1">
      <c r="A38" s="26" t="s">
        <v>214</v>
      </c>
      <c r="B38" s="26" t="str">
        <f t="array" ref="B38">_xlfn.XLOOKUP(
 A38,
 tblTargets[TargetID],
 tblTargets[DisplayName],
 ""
)</f>
        <v>Fermentory Lv 6</v>
      </c>
      <c r="C38" s="26" t="str">
        <f t="shared" si="1"/>
        <v>BLOCKED</v>
      </c>
      <c r="D38" s="26" t="b">
        <f>IFERROR(__xludf.DUMMYFUNCTION("LET(
 id,A38,
 IF(
  F38=""CHARACTER"",
  LET(
   base,REGEXREPLACE(id,""@\d+$"",""""),
   required,VALUE(REGEXEXTRACT(id,""@(\d+)$"")),
   current,XLOOKUP(
    base,
    tblPlayer[PlayerStateID],
    tblPlayer[Value],
    0
   ),
   current&gt;=required
  )"&amp;",
  IF(
   T38=""AUTO"",
   L38=0,
   COUNTIFS(
    tblChecklist[TargetID],id,
    tblChecklist[PlayerCompleted],TRUE
   )&gt;0
  )
 )
)"),FALSE)</f>
        <v>0</v>
      </c>
      <c r="E38" s="26" t="str">
        <f t="array" ref="E38">_xlfn.XLOOKUP(
 A38,
 tblTargets[TargetID],
 tblTargets[TargetType],
 ""
)</f>
        <v>BUILDING</v>
      </c>
      <c r="F38" s="26" t="str">
        <f t="array" ref="F38">_xlfn.XLOOKUP(
 A38,
 tblTargets[TargetID],
 tblTargets[StateType],
 ""
)</f>
        <v/>
      </c>
      <c r="G38" s="26">
        <f>LET(
 id,A38,
 depCount,COUNTIF(tblDependencies[TargetID],id),
 objCount,COUNTIF(tblQuestObjectives[QuestTargetID],id),
 depCount+objCount
)</f>
        <v>1</v>
      </c>
      <c r="H38" s="26">
        <f t="shared" si="2"/>
        <v>1</v>
      </c>
      <c r="I38" s="26">
        <f>IFERROR(__xludf.DUMMYFUNCTION("LET(
 id,A38,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 s="26">
        <f t="shared" si="3"/>
        <v>0</v>
      </c>
      <c r="K38" s="26" t="b">
        <f t="shared" si="4"/>
        <v>0</v>
      </c>
      <c r="L38" s="26">
        <f t="shared" si="5"/>
        <v>1</v>
      </c>
      <c r="M38" s="26" t="str">
        <f>IFERROR(__xludf.DUMMYFUNCTION("LET(
 id,A38,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L38=0,
  """",
  IFERROR(INDEX(incomplete,1),"""")
 "&amp;")
)"),"building.fermentory@5")</f>
        <v>building.fermentory@5</v>
      </c>
      <c r="N38" s="26" t="str">
        <f t="array" ref="N38">IF(
 M38="",
 "",
 _xlfn.XLOOKUP(
  M38,
  tblTargets[TargetID],
  tblTargets[DisplayName],
  M38
 )
)</f>
        <v>Fermentory Lv 5</v>
      </c>
      <c r="O38" s="26" t="str">
        <f>IFERROR(__xludf.DUMMYFUNCTION("SWITCH(
 E38,
 ""BUILDING"",XLOOKUP(A38,tblBuildings[BuildingID],tblBuildings[costtext],""""),
 ""TECH"",XLOOKUP(A38,tblTechnologies[TechnologyID],tblTechnologies[costtext],""""),
 ""QUEST"",XLOOKUP(
  REGEXREPLACE(A38,""\.[^.]+$"",""""),
  tblQuests[Ques"&amp;"tID],
  tblQuests[Costtext],
  """"
 ),
 ""CITADEL"",XLOOKUP(A38,tblCitadel[CitadelID],tblCitadel[costtext],""""),
 ""COLLECTION"",XLOOKUP(A38,tblCollections[CollectionID],tblCollections[costtext],""""),
 ""CRAFTIFACT"",XLOOKUP(A38,tblCraftifacts[Craftifa"&amp;"ctID],tblCraftifacts[costtext],""""),
 """"
)"),"10 ruby,1000 coin,900 plank,500 stone,40 paper,30 glass,24 koji,10 enzyme,10 grimoire")</f>
        <v>10 ruby,1000 coin,900 plank,500 stone,40 paper,30 glass,24 koji,10 enzyme,10 grimoire</v>
      </c>
      <c r="P38" s="26" t="str">
        <f t="shared" si="6"/>
        <v>BLOCKED</v>
      </c>
      <c r="Q38" s="26" t="str">
        <f t="shared" si="7"/>
        <v>BLOCKED</v>
      </c>
      <c r="R38" s="26">
        <f t="array" ref="R38">IFERROR(
 _xlfn.XLOOKUP(
  A38,
  tblChecklist[TargetID],
  tblChecklist[PlayerSort],
  ""
 ),
 ""
)</f>
        <v>81</v>
      </c>
      <c r="S38" s="26" t="str">
        <f>IFERROR(__xludf.DUMMYFUNCTION("LET(
 id,A38,
 successorIDs,
  IFERROR(
   UNIQUE(
    FILTER(
     {
      Dependencies!$A$2:$A$1000;
      QuestObjectives!$A$2:$A$1000
     },
     {
      Dependencies!$B$2:$B$1000;
      QuestObjectives!$E$2:$E$1000
     }=id
    )
   ),
   """"
  ),"&amp;"
 names,
  MAP(
   successorIDs,
   LAMBDA(s,
    IF(
     s="""",
     """",
     XLOOKUP(
      s,
      $A$2:$A$1000,
      $B$2:$B$1000,
      s
     )
    )
   )
  ),
 IF(
  successorIDs="""",
  """",
  TEXTJOIN("", "",TRUE,names)
 )
)"),"Fermentory maxed, Festival of Beans Accepted")</f>
        <v>Fermentory maxed, Festival of Beans Accepted</v>
      </c>
      <c r="T38" s="26" t="str">
        <f t="array" ref="T38">_xlfn.XLOOKUP(
 A38,
 tblTargets[TargetID],
 tblTargets[CompletionMethod],
 ""
)</f>
        <v>PLAYER</v>
      </c>
      <c r="U38" s="84" t="b">
        <f>COUNTIF(tblCost[TargetID],A38)&gt;0</f>
        <v>1</v>
      </c>
      <c r="V38" s="85">
        <f t="array" ref="V38">IF(
 U38=FALSE,
 "",
 _xlfn.XLOOKUP(
  A38,
  tblCost[TargetID],
  tblCost[FundingPercent],
  ""
 )
)</f>
        <v>0</v>
      </c>
      <c r="W38" s="26">
        <f t="array" ref="W38">IF(
 U38=FALSE,
 "",
 _xlfn.XLOOKUP(
  A38,
  tblCost[TargetID],
  tblCost[RemainingRequirements],
  ""
 )
)</f>
        <v>9</v>
      </c>
      <c r="X38" s="45" t="b">
        <f t="array" ref="X38">IF(
 U38=FALSE,
 "N/A",
 _xlfn.XLOOKUP(
  A39,
  tblCost[TargetID],
  tblCost[TargetFunded],
  FALSE
 )
)</f>
        <v>0</v>
      </c>
      <c r="Y38" s="26" t="str">
        <f>IFERROR(__xludf.DUMMYFUNCTION("IFERROR(
 TEXTJOIN(
  "", "",
  TRUE,
  FILTER(
   'cost checklist'!$E$2:$E1000&amp;"": ""&amp;'cost checklist'!$G$2:$G1000,
   'cost checklist'!$B$2:$B1000=A38,
   'cost checklist'!$J$2:$J1000=FALSE
  )
 ),
 """"
)"),"coin: 1000, enzyme: 10, glass: 30, grimoire: 10, koji: 24, paper: 40, plank: 900, ruby: 10, stone: 500")</f>
        <v>coin: 1000, enzyme: 10, glass: 30, grimoire: 10, koji: 24, paper: 40, plank: 900, ruby: 10, stone: 500</v>
      </c>
      <c r="Z38" s="26" t="b">
        <f>IFERROR(__xludf.DUMMYFUNCTION("IF(
 AND(
  E38=""QUEST"",
  RIGHT(A38,9)="".accepted"",
  D38=TRUE
 ),
 XLOOKUP(
  REGEXREPLACE(A38,""\.accepted$"","""")&amp;"".finished"",
  $A$2:$A1000,
  $D$2:$D1000,
  TRUE
 )=FALSE,
 FALSE
)"),FALSE)</f>
        <v>0</v>
      </c>
      <c r="AA38" s="26" t="str">
        <f>IFERROR(__xludf.DUMMYFUNCTION("LET(
 id,A38,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)"),"Festival of Beans")</f>
        <v>Festival of Beans</v>
      </c>
    </row>
    <row r="39" ht="14.25" customHeight="1">
      <c r="A39" s="26" t="s">
        <v>725</v>
      </c>
      <c r="B39" s="26" t="str">
        <f t="array" ref="B39">_xlfn.XLOOKUP(
 A39,
 tblTargets[TargetID],
 tblTargets[DisplayName],
 ""
)</f>
        <v>Field maxed</v>
      </c>
      <c r="C39" s="26" t="str">
        <f t="shared" si="1"/>
        <v>BLOCKED</v>
      </c>
      <c r="D39" s="26" t="b">
        <f>IFERROR(__xludf.DUMMYFUNCTION("LET(
 id,A39,
 IF(
  F39=""CHARACTER"",
  LET(
   base,REGEXREPLACE(id,""@\d+$"",""""),
   required,VALUE(REGEXEXTRACT(id,""@(\d+)$"")),
   current,XLOOKUP(
    base,
    tblPlayer[PlayerStateID],
    tblPlayer[Value],
    0
   ),
   current&gt;=required
  )"&amp;",
  IF(
   T39=""AUTO"",
   L39=0,
   COUNTIFS(
    tblChecklist[TargetID],id,
    tblChecklist[PlayerCompleted],TRUE
   )&gt;0
  )
 )
)"),FALSE)</f>
        <v>0</v>
      </c>
      <c r="E39" s="26" t="str">
        <f t="array" ref="E39">_xlfn.XLOOKUP(
 A39,
 tblTargets[TargetID],
 tblTargets[TargetType],
 ""
)</f>
        <v>BUILDING</v>
      </c>
      <c r="F39" s="26" t="str">
        <f t="array" ref="F39">_xlfn.XLOOKUP(
 A39,
 tblTargets[TargetID],
 tblTargets[StateType],
 ""
)</f>
        <v/>
      </c>
      <c r="G39" s="26">
        <f>LET(
 id,A39,
 depCount,COUNTIF(tblDependencies[TargetID],id),
 objCount,COUNTIF(tblQuestObjectives[QuestTargetID],id),
 depCount+objCount
)</f>
        <v>1</v>
      </c>
      <c r="H39" s="26">
        <f t="shared" si="2"/>
        <v>1</v>
      </c>
      <c r="I39" s="26">
        <f>IFERROR(__xludf.DUMMYFUNCTION("LET(
 id,A39,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 s="26">
        <f t="shared" si="3"/>
        <v>0</v>
      </c>
      <c r="K39" s="26" t="b">
        <f t="shared" si="4"/>
        <v>0</v>
      </c>
      <c r="L39" s="26">
        <f t="shared" si="5"/>
        <v>1</v>
      </c>
      <c r="M39" s="26" t="str">
        <f>IFERROR(__xludf.DUMMYFUNCTION("LET(
 id,A39,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L39=0,
  """",
  IFERROR(INDEX(incomplete,1),"""")
 "&amp;")
)"),"building.field@2")</f>
        <v>building.field@2</v>
      </c>
      <c r="N39" s="26" t="str">
        <f t="array" ref="N39">IF(
 M39="",
 "",
 _xlfn.XLOOKUP(
  M39,
  tblTargets[TargetID],
  tblTargets[DisplayName],
  M39
 )
)</f>
        <v>Field Lv 2</v>
      </c>
      <c r="O39" s="26" t="str">
        <f>IFERROR(__xludf.DUMMYFUNCTION("SWITCH(
 E39,
 ""BUILDING"",XLOOKUP(A39,tblBuildings[BuildingID],tblBuildings[costtext],""""),
 ""TECH"",XLOOKUP(A39,tblTechnologies[TechnologyID],tblTechnologies[costtext],""""),
 ""QUEST"",XLOOKUP(
  REGEXREPLACE(A39,""\.[^.]+$"",""""),
  tblQuests[Ques"&amp;"tID],
  tblQuests[Costtext],
  """"
 ),
 ""CITADEL"",XLOOKUP(A39,tblCitadel[CitadelID],tblCitadel[costtext],""""),
 ""COLLECTION"",XLOOKUP(A39,tblCollections[CollectionID],tblCollections[costtext],""""),
 ""CRAFTIFACT"",XLOOKUP(A39,tblCraftifacts[Craftifa"&amp;"ctID],tblCraftifacts[costtext],""""),
 """"
)"),"")</f>
        <v/>
      </c>
      <c r="P39" s="26" t="str">
        <f t="shared" si="6"/>
        <v>BLOCKED</v>
      </c>
      <c r="Q39" s="26" t="str">
        <f t="shared" si="7"/>
        <v>BLOCKED</v>
      </c>
      <c r="R39" s="26" t="str">
        <f t="array" ref="R39">IFERROR(
 _xlfn.XLOOKUP(
  A39,
  tblChecklist[TargetID],
  tblChecklist[PlayerSort],
  ""
 ),
 ""
)</f>
        <v/>
      </c>
      <c r="S39" s="26" t="str">
        <f>IFERROR(__xludf.DUMMYFUNCTION("LET(
 id,A39,
 successorIDs,
  IFERROR(
   UNIQUE(
    FILTER(
     {
      Dependencies!$A$2:$A$1000;
      QuestObjectives!$A$2:$A$1000
     },
     {
      Dependencies!$B$2:$B$1000;
      QuestObjectives!$E$2:$E$1000
     }=id
    )
   ),
   """"
  ),"&amp;"
 names,
  MAP(
   successorIDs,
   LAMBDA(s,
    IF(
     s="""",
     """",
     XLOOKUP(
      s,
      $A$2:$A$1000,
      $B$2:$B$1000,
      s
     )
    )
   )
  ),
 IF(
  successorIDs="""",
  """",
  TEXTJOIN("", "",TRUE,names)
 )
)"),"Field - Seed Drill, Field - Soybean")</f>
        <v>Field - Seed Drill, Field - Soybean</v>
      </c>
      <c r="T39" s="26" t="str">
        <f t="array" ref="T39">_xlfn.XLOOKUP(
 A39,
 tblTargets[TargetID],
 tblTargets[CompletionMethod],
 ""
)</f>
        <v>AUTO</v>
      </c>
      <c r="U39" s="84" t="b">
        <f>COUNTIF(tblCost[TargetID],A39)&gt;0</f>
        <v>0</v>
      </c>
      <c r="V39" s="85" t="str">
        <f t="array" ref="V39">IF(
 U39=FALSE,
 "",
 _xlfn.XLOOKUP(
  A39,
  tblCost[TargetID],
  tblCost[FundingPercent],
  ""
 )
)</f>
        <v/>
      </c>
      <c r="W39" s="26" t="str">
        <f t="array" ref="W39">IF(
 U39=FALSE,
 "",
 _xlfn.XLOOKUP(
  A39,
  tblCost[TargetID],
  tblCost[RemainingRequirements],
  ""
 )
)</f>
        <v/>
      </c>
      <c r="X39" s="45" t="str">
        <f t="array" ref="X39">IF(
 U39=FALSE,
 "N/A",
 _xlfn.XLOOKUP(
  A40,
  tblCost[TargetID],
  tblCost[TargetFunded],
  FALSE
 )
)</f>
        <v>N/A</v>
      </c>
      <c r="Y39" s="26" t="str">
        <f>IFERROR(__xludf.DUMMYFUNCTION("IFERROR(
 TEXTJOIN(
  "", "",
  TRUE,
  FILTER(
   'cost checklist'!$E$2:$E1000&amp;"": ""&amp;'cost checklist'!$G$2:$G1000,
   'cost checklist'!$B$2:$B1000=A39,
   'cost checklist'!$J$2:$J1000=FALSE
  )
 ),
 """"
)"),"")</f>
        <v/>
      </c>
      <c r="Z39" s="26" t="b">
        <f>IFERROR(__xludf.DUMMYFUNCTION("IF(
 AND(
  E39=""QUEST"",
  RIGHT(A39,9)="".accepted"",
  D39=TRUE
 ),
 XLOOKUP(
  REGEXREPLACE(A39,""\.accepted$"","""")&amp;"".finished"",
  $A$2:$A1000,
  $D$2:$D1000,
  TRUE
 )=FALSE,
 FALSE
)"),FALSE)</f>
        <v>0</v>
      </c>
      <c r="AA39" s="26" t="str">
        <f>IFERROR(__xludf.DUMMYFUNCTION("LET(
 id,A39,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0" ht="14.25" customHeight="1">
      <c r="A40" s="26" t="s">
        <v>219</v>
      </c>
      <c r="B40" s="26" t="str">
        <f t="array" ref="B40">_xlfn.XLOOKUP(
 A40,
 tblTargets[TargetID],
 tblTargets[DisplayName],
 ""
)</f>
        <v>Field Lv 1</v>
      </c>
      <c r="C40" s="26" t="str">
        <f t="shared" si="1"/>
        <v>BLOCKED</v>
      </c>
      <c r="D40" s="26" t="b">
        <f>IFERROR(__xludf.DUMMYFUNCTION("LET(
 id,A40,
 IF(
  F40=""CHARACTER"",
  LET(
   base,REGEXREPLACE(id,""@\d+$"",""""),
   required,VALUE(REGEXEXTRACT(id,""@(\d+)$"")),
   current,XLOOKUP(
    base,
    tblPlayer[PlayerStateID],
    tblPlayer[Value],
    0
   ),
   current&gt;=required
  )"&amp;",
  IF(
   T40=""AUTO"",
   L40=0,
   COUNTIFS(
    tblChecklist[TargetID],id,
    tblChecklist[PlayerCompleted],TRUE
   )&gt;0
  )
 )
)"),FALSE)</f>
        <v>0</v>
      </c>
      <c r="E40" s="26" t="str">
        <f t="array" ref="E40">_xlfn.XLOOKUP(
 A40,
 tblTargets[TargetID],
 tblTargets[TargetType],
 ""
)</f>
        <v>BUILDING</v>
      </c>
      <c r="F40" s="26" t="str">
        <f t="array" ref="F40">_xlfn.XLOOKUP(
 A40,
 tblTargets[TargetID],
 tblTargets[StateType],
 ""
)</f>
        <v/>
      </c>
      <c r="G40" s="26">
        <f>LET(
 id,A40,
 depCount,COUNTIF(tblDependencies[TargetID],id),
 objCount,COUNTIF(tblQuestObjectives[QuestTargetID],id),
 depCount+objCount
)</f>
        <v>1</v>
      </c>
      <c r="H40" s="26">
        <f t="shared" si="2"/>
        <v>1</v>
      </c>
      <c r="I40" s="26">
        <f>IFERROR(__xludf.DUMMYFUNCTION("LET(
 id,A40,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 s="26">
        <f t="shared" si="3"/>
        <v>0</v>
      </c>
      <c r="K40" s="26" t="b">
        <f t="shared" si="4"/>
        <v>0</v>
      </c>
      <c r="L40" s="26">
        <f t="shared" si="5"/>
        <v>1</v>
      </c>
      <c r="M40" s="26" t="str">
        <f>IFERROR(__xludf.DUMMYFUNCTION("LET(
 id,A40,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L40=0,
  """",
  IFERROR(INDEX(incomplete,1),"""")
 "&amp;")
)"),"state.character_level@7")</f>
        <v>state.character_level@7</v>
      </c>
      <c r="N40" s="26" t="str">
        <f t="array" ref="N40">IF(
 M40="",
 "",
 _xlfn.XLOOKUP(
  M40,
  tblTargets[TargetID],
  tblTargets[DisplayName],
  M40
 )
)</f>
        <v>Character Level@7</v>
      </c>
      <c r="O40" s="26" t="str">
        <f>IFERROR(__xludf.DUMMYFUNCTION("SWITCH(
 E40,
 ""BUILDING"",XLOOKUP(A40,tblBuildings[BuildingID],tblBuildings[costtext],""""),
 ""TECH"",XLOOKUP(A40,tblTechnologies[TechnologyID],tblTechnologies[costtext],""""),
 ""QUEST"",XLOOKUP(
  REGEXREPLACE(A40,""\.[^.]+$"",""""),
  tblQuests[Ques"&amp;"tID],
  tblQuests[Costtext],
  """"
 ),
 ""CITADEL"",XLOOKUP(A40,tblCitadel[CitadelID],tblCitadel[costtext],""""),
 ""COLLECTION"",XLOOKUP(A40,tblCollections[CollectionID],tblCollections[costtext],""""),
 ""CRAFTIFACT"",XLOOKUP(A40,tblCraftifacts[Craftifa"&amp;"ctID],tblCraftifacts[costtext],""""),
 """"
)"),"1 ruby,200 coin,100 wood,20 chemicals")</f>
        <v>1 ruby,200 coin,100 wood,20 chemicals</v>
      </c>
      <c r="P40" s="26" t="str">
        <f t="shared" si="6"/>
        <v>READY</v>
      </c>
      <c r="Q40" s="26" t="str">
        <f t="shared" si="7"/>
        <v>ONE AWAY</v>
      </c>
      <c r="R40" s="26">
        <f t="array" ref="R40">IFERROR(
 _xlfn.XLOOKUP(
  A40,
  tblChecklist[TargetID],
  tblChecklist[PlayerSort],
  ""
 ),
 ""
)</f>
        <v>6</v>
      </c>
      <c r="S40" s="26" t="str">
        <f>IFERROR(__xludf.DUMMYFUNCTION("LET(
 id,A40,
 successorIDs,
  IFERROR(
   UNIQUE(
    FILTER(
     {
      Dependencies!$A$2:$A$1000;
      QuestObjectives!$A$2:$A$1000
     },
     {
      Dependencies!$B$2:$B$1000;
      QuestObjectives!$E$2:$E$1000
     }=id
    )
   ),
   """"
  ),"&amp;"
 names,
  MAP(
   successorIDs,
   LAMBDA(s,
    IF(
     s="""",
     """",
     XLOOKUP(
      s,
      $A$2:$A$1000,
      $B$2:$B$1000,
      s
     )
    )
   )
  ),
 IF(
  successorIDs="""",
  """",
  TEXTJOIN("", "",TRUE,names)
 )
)"),"Field Lv 2, Quest for Knowledge Chapter 1 Finished")</f>
        <v>Field Lv 2, Quest for Knowledge Chapter 1 Finished</v>
      </c>
      <c r="T40" s="26" t="str">
        <f t="array" ref="T40">_xlfn.XLOOKUP(
 A40,
 tblTargets[TargetID],
 tblTargets[CompletionMethod],
 ""
)</f>
        <v>PLAYER</v>
      </c>
      <c r="U40" s="84" t="b">
        <f>COUNTIF(tblCost[TargetID],A40)&gt;0</f>
        <v>1</v>
      </c>
      <c r="V40" s="85">
        <f t="array" ref="V40">IF(
 U40=FALSE,
 "",
 _xlfn.XLOOKUP(
  A40,
  tblCost[TargetID],
  tblCost[FundingPercent],
  ""
 )
)</f>
        <v>0</v>
      </c>
      <c r="W40" s="26">
        <f t="array" ref="W40">IF(
 U40=FALSE,
 "",
 _xlfn.XLOOKUP(
  A40,
  tblCost[TargetID],
  tblCost[RemainingRequirements],
  ""
 )
)</f>
        <v>4</v>
      </c>
      <c r="X40" s="45" t="b">
        <f t="array" ref="X40">IF(
 U40=FALSE,
 "N/A",
 _xlfn.XLOOKUP(
  A41,
  tblCost[TargetID],
  tblCost[TargetFunded],
  FALSE
 )
)</f>
        <v>0</v>
      </c>
      <c r="Y40" s="26" t="str">
        <f>IFERROR(__xludf.DUMMYFUNCTION("IFERROR(
 TEXTJOIN(
  "", "",
  TRUE,
  FILTER(
   'cost checklist'!$E$2:$E1000&amp;"": ""&amp;'cost checklist'!$G$2:$G1000,
   'cost checklist'!$B$2:$B1000=A40,
   'cost checklist'!$J$2:$J1000=FALSE
  )
 ),
 """"
)"),"chemicals: 20, coin: 200, ruby: 1, wood: 100")</f>
        <v>chemicals: 20, coin: 200, ruby: 1, wood: 100</v>
      </c>
      <c r="Z40" s="26" t="b">
        <f>IFERROR(__xludf.DUMMYFUNCTION("IF(
 AND(
  E40=""QUEST"",
  RIGHT(A40,9)="".accepted"",
  D40=TRUE
 ),
 XLOOKUP(
  REGEXREPLACE(A40,""\.accepted$"","""")&amp;"".finished"",
  $A$2:$A1000,
  $D$2:$D1000,
  TRUE
 )=FALSE,
 FALSE
)"),FALSE)</f>
        <v>0</v>
      </c>
      <c r="AA40" s="26" t="str">
        <f>IFERROR(__xludf.DUMMYFUNCTION("LET(
 id,A40,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1" ht="14.25" customHeight="1">
      <c r="A41" s="26" t="s">
        <v>225</v>
      </c>
      <c r="B41" s="26" t="str">
        <f t="array" ref="B41">_xlfn.XLOOKUP(
 A41,
 tblTargets[TargetID],
 tblTargets[DisplayName],
 ""
)</f>
        <v>Field Lv 2</v>
      </c>
      <c r="C41" s="26" t="str">
        <f t="shared" si="1"/>
        <v>BLOCKED</v>
      </c>
      <c r="D41" s="26" t="b">
        <f>IFERROR(__xludf.DUMMYFUNCTION("LET(
 id,A41,
 IF(
  F41=""CHARACTER"",
  LET(
   base,REGEXREPLACE(id,""@\d+$"",""""),
   required,VALUE(REGEXEXTRACT(id,""@(\d+)$"")),
   current,XLOOKUP(
    base,
    tblPlayer[PlayerStateID],
    tblPlayer[Value],
    0
   ),
   current&gt;=required
  )"&amp;",
  IF(
   T41=""AUTO"",
   L41=0,
   COUNTIFS(
    tblChecklist[TargetID],id,
    tblChecklist[PlayerCompleted],TRUE
   )&gt;0
  )
 )
)"),FALSE)</f>
        <v>0</v>
      </c>
      <c r="E41" s="26" t="str">
        <f t="array" ref="E41">_xlfn.XLOOKUP(
 A41,
 tblTargets[TargetID],
 tblTargets[TargetType],
 ""
)</f>
        <v>BUILDING</v>
      </c>
      <c r="F41" s="26" t="str">
        <f t="array" ref="F41">_xlfn.XLOOKUP(
 A41,
 tblTargets[TargetID],
 tblTargets[StateType],
 ""
)</f>
        <v/>
      </c>
      <c r="G41" s="26">
        <f>LET(
 id,A41,
 depCount,COUNTIF(tblDependencies[TargetID],id),
 objCount,COUNTIF(tblQuestObjectives[QuestTargetID],id),
 depCount+objCount
)</f>
        <v>1</v>
      </c>
      <c r="H41" s="26">
        <f t="shared" si="2"/>
        <v>1</v>
      </c>
      <c r="I41" s="26">
        <f>IFERROR(__xludf.DUMMYFUNCTION("LET(
 id,A41,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 s="26">
        <f t="shared" si="3"/>
        <v>0</v>
      </c>
      <c r="K41" s="26" t="b">
        <f t="shared" si="4"/>
        <v>0</v>
      </c>
      <c r="L41" s="26">
        <f t="shared" si="5"/>
        <v>1</v>
      </c>
      <c r="M41" s="26" t="str">
        <f>IFERROR(__xludf.DUMMYFUNCTION("LET(
 id,A41,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L41=0,
  """",
  IFERROR(INDEX(incomplete,1),"""")
 "&amp;")
)"),"building.field@1")</f>
        <v>building.field@1</v>
      </c>
      <c r="N41" s="26" t="str">
        <f t="array" ref="N41">IF(
 M41="",
 "",
 _xlfn.XLOOKUP(
  M41,
  tblTargets[TargetID],
  tblTargets[DisplayName],
  M41
 )
)</f>
        <v>Field Lv 1</v>
      </c>
      <c r="O41" s="26" t="str">
        <f>IFERROR(__xludf.DUMMYFUNCTION("SWITCH(
 E41,
 ""BUILDING"",XLOOKUP(A41,tblBuildings[BuildingID],tblBuildings[costtext],""""),
 ""TECH"",XLOOKUP(A41,tblTechnologies[TechnologyID],tblTechnologies[costtext],""""),
 ""QUEST"",XLOOKUP(
  REGEXREPLACE(A41,""\.[^.]+$"",""""),
  tblQuests[Ques"&amp;"tID],
  tblQuests[Costtext],
  """"
 ),
 ""CITADEL"",XLOOKUP(A41,tblCitadel[CitadelID],tblCitadel[costtext],""""),
 ""COLLECTION"",XLOOKUP(A41,tblCollections[CollectionID],tblCollections[costtext],""""),
 ""CRAFTIFACT"",XLOOKUP(A41,tblCraftifacts[Craftifa"&amp;"ctID],tblCraftifacts[costtext],""""),
 """"
)"),"3 ruby,300 coin,100 wood,50 chemicals,20 steel")</f>
        <v>3 ruby,300 coin,100 wood,50 chemicals,20 steel</v>
      </c>
      <c r="P41" s="26" t="str">
        <f t="shared" si="6"/>
        <v>BLOCKED</v>
      </c>
      <c r="Q41" s="26" t="str">
        <f t="shared" si="7"/>
        <v>BLOCKED</v>
      </c>
      <c r="R41" s="26">
        <f t="array" ref="R41">IFERROR(
 _xlfn.XLOOKUP(
  A41,
  tblChecklist[TargetID],
  tblChecklist[PlayerSort],
  ""
 ),
 ""
)</f>
        <v>8</v>
      </c>
      <c r="S41" s="26" t="str">
        <f>IFERROR(__xludf.DUMMYFUNCTION("LET(
 id,A41,
 successorIDs,
  IFERROR(
   UNIQUE(
    FILTER(
     {
      Dependencies!$A$2:$A$1000;
      QuestObjectives!$A$2:$A$1000
     },
     {
      Dependencies!$B$2:$B$1000;
      QuestObjectives!$E$2:$E$1000
     }=id
    )
   ),
   """"
  ),"&amp;"
 names,
  MAP(
   successorIDs,
   LAMBDA(s,
    IF(
     s="""",
     """",
     XLOOKUP(
      s,
      $A$2:$A$1000,
      $B$2:$B$1000,
      s
     )
    )
   )
  ),
 IF(
  successorIDs="""",
  """",
  TEXTJOIN("", "",TRUE,names)
 )
)"),"Field maxed")</f>
        <v>Field maxed</v>
      </c>
      <c r="T41" s="26" t="str">
        <f t="array" ref="T41">_xlfn.XLOOKUP(
 A41,
 tblTargets[TargetID],
 tblTargets[CompletionMethod],
 ""
)</f>
        <v>PLAYER</v>
      </c>
      <c r="U41" s="84" t="b">
        <f>COUNTIF(tblCost[TargetID],A41)&gt;0</f>
        <v>1</v>
      </c>
      <c r="V41" s="85">
        <f t="array" ref="V41">IF(
 U41=FALSE,
 "",
 _xlfn.XLOOKUP(
  A41,
  tblCost[TargetID],
  tblCost[FundingPercent],
  ""
 )
)</f>
        <v>0</v>
      </c>
      <c r="W41" s="26">
        <f t="array" ref="W41">IF(
 U41=FALSE,
 "",
 _xlfn.XLOOKUP(
  A41,
  tblCost[TargetID],
  tblCost[RemainingRequirements],
  ""
 )
)</f>
        <v>5</v>
      </c>
      <c r="X41" s="45" t="b">
        <f t="array" ref="X41">IF(
 U41=FALSE,
 "N/A",
 _xlfn.XLOOKUP(
  A42,
  tblCost[TargetID],
  tblCost[TargetFunded],
  FALSE
 )
)</f>
        <v>0</v>
      </c>
      <c r="Y41" s="26" t="str">
        <f>IFERROR(__xludf.DUMMYFUNCTION("IFERROR(
 TEXTJOIN(
  "", "",
  TRUE,
  FILTER(
   'cost checklist'!$E$2:$E1000&amp;"": ""&amp;'cost checklist'!$G$2:$G1000,
   'cost checklist'!$B$2:$B1000=A41,
   'cost checklist'!$J$2:$J1000=FALSE
  )
 ),
 """"
)"),"chemicals: 50, coin: 300, ruby: 3, steel: 20, wood: 100")</f>
        <v>chemicals: 50, coin: 300, ruby: 3, steel: 20, wood: 100</v>
      </c>
      <c r="Z41" s="26" t="b">
        <f>IFERROR(__xludf.DUMMYFUNCTION("IF(
 AND(
  E41=""QUEST"",
  RIGHT(A41,9)="".accepted"",
  D41=TRUE
 ),
 XLOOKUP(
  REGEXREPLACE(A41,""\.accepted$"","""")&amp;"".finished"",
  $A$2:$A1000,
  $D$2:$D1000,
  TRUE
 )=FALSE,
 FALSE
)"),FALSE)</f>
        <v>0</v>
      </c>
      <c r="AA41" s="26" t="str">
        <f>IFERROR(__xludf.DUMMYFUNCTION("LET(
 id,A41,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2" ht="14.25" customHeight="1">
      <c r="A42" s="26" t="s">
        <v>734</v>
      </c>
      <c r="B42" s="26" t="str">
        <f t="array" ref="B42">_xlfn.XLOOKUP(
 A42,
 tblTargets[TargetID],
 tblTargets[DisplayName],
 ""
)</f>
        <v>Food stall maxed</v>
      </c>
      <c r="C42" s="26" t="str">
        <f t="shared" si="1"/>
        <v>BLOCKED</v>
      </c>
      <c r="D42" s="26" t="b">
        <f>IFERROR(__xludf.DUMMYFUNCTION("LET(
 id,A42,
 IF(
  F42=""CHARACTER"",
  LET(
   base,REGEXREPLACE(id,""@\d+$"",""""),
   required,VALUE(REGEXEXTRACT(id,""@(\d+)$"")),
   current,XLOOKUP(
    base,
    tblPlayer[PlayerStateID],
    tblPlayer[Value],
    0
   ),
   current&gt;=required
  )"&amp;",
  IF(
   T42=""AUTO"",
   L42=0,
   COUNTIFS(
    tblChecklist[TargetID],id,
    tblChecklist[PlayerCompleted],TRUE
   )&gt;0
  )
 )
)"),FALSE)</f>
        <v>0</v>
      </c>
      <c r="E42" s="26" t="str">
        <f t="array" ref="E42">_xlfn.XLOOKUP(
 A42,
 tblTargets[TargetID],
 tblTargets[TargetType],
 ""
)</f>
        <v>BUILDING</v>
      </c>
      <c r="F42" s="26" t="str">
        <f t="array" ref="F42">_xlfn.XLOOKUP(
 A42,
 tblTargets[TargetID],
 tblTargets[StateType],
 ""
)</f>
        <v/>
      </c>
      <c r="G42" s="26">
        <f>LET(
 id,A42,
 depCount,COUNTIF(tblDependencies[TargetID],id),
 objCount,COUNTIF(tblQuestObjectives[QuestTargetID],id),
 depCount+objCount
)</f>
        <v>1</v>
      </c>
      <c r="H42" s="26">
        <f t="shared" si="2"/>
        <v>1</v>
      </c>
      <c r="I42" s="26">
        <f>IFERROR(__xludf.DUMMYFUNCTION("LET(
 id,A42,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 s="26">
        <f t="shared" si="3"/>
        <v>0</v>
      </c>
      <c r="K42" s="26" t="b">
        <f t="shared" si="4"/>
        <v>0</v>
      </c>
      <c r="L42" s="26">
        <f t="shared" si="5"/>
        <v>1</v>
      </c>
      <c r="M42" s="26" t="str">
        <f>IFERROR(__xludf.DUMMYFUNCTION("LET(
 id,A42,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L42=0,
  """",
  IFERROR(INDEX(incomplete,1),"""")
 "&amp;")
)"),"building.food_stall@3")</f>
        <v>building.food_stall@3</v>
      </c>
      <c r="N42" s="26" t="str">
        <f t="array" ref="N42">IF(
 M42="",
 "",
 _xlfn.XLOOKUP(
  M42,
  tblTargets[TargetID],
  tblTargets[DisplayName],
  M42
 )
)</f>
        <v>Food Stall Lv 3</v>
      </c>
      <c r="O42" s="26" t="str">
        <f>IFERROR(__xludf.DUMMYFUNCTION("SWITCH(
 E42,
 ""BUILDING"",XLOOKUP(A42,tblBuildings[BuildingID],tblBuildings[costtext],""""),
 ""TECH"",XLOOKUP(A42,tblTechnologies[TechnologyID],tblTechnologies[costtext],""""),
 ""QUEST"",XLOOKUP(
  REGEXREPLACE(A42,""\.[^.]+$"",""""),
  tblQuests[Ques"&amp;"tID],
  tblQuests[Costtext],
  """"
 ),
 ""CITADEL"",XLOOKUP(A42,tblCitadel[CitadelID],tblCitadel[costtext],""""),
 ""COLLECTION"",XLOOKUP(A42,tblCollections[CollectionID],tblCollections[costtext],""""),
 ""CRAFTIFACT"",XLOOKUP(A42,tblCraftifacts[Craftifa"&amp;"ctID],tblCraftifacts[costtext],""""),
 """"
)"),"")</f>
        <v/>
      </c>
      <c r="P42" s="26" t="str">
        <f t="shared" si="6"/>
        <v>BLOCKED</v>
      </c>
      <c r="Q42" s="26" t="str">
        <f t="shared" si="7"/>
        <v>BLOCKED</v>
      </c>
      <c r="R42" s="26" t="str">
        <f t="array" ref="R42">IFERROR(
 _xlfn.XLOOKUP(
  A42,
  tblChecklist[TargetID],
  tblChecklist[PlayerSort],
  ""
 ),
 ""
)</f>
        <v/>
      </c>
      <c r="S42" s="26" t="str">
        <f>IFERROR(__xludf.DUMMYFUNCTION("LET(
 id,A42,
 successorIDs,
  IFERROR(
   UNIQUE(
    FILTER(
     {
      Dependencies!$A$2:$A$1000;
      QuestObjectives!$A$2:$A$1000
     },
     {
      Dependencies!$B$2:$B$1000;
      QuestObjectives!$E$2:$E$1000
     }=id
    )
   ),
   """"
  ),"&amp;"
 names,
  MAP(
   successorIDs,
   LAMBDA(s,
    IF(
     s="""",
     """",
     XLOOKUP(
      s,
      $A$2:$A$1000,
      $B$2:$B$1000,
      s
     )
    )
   )
  ),
 IF(
  successorIDs="""",
  """",
  TEXTJOIN("", "",TRUE,names)
 )
)"),"Food Stall - Conveyor Belt Sushi, Food Stall - Inarizushi, Food Stall - Jam, Food Stall - Mandra Cola, Food Stall - Mayonnaise, Food Stall - Miso Soup, Food Stall - Quintessence Of Taste")</f>
        <v>Food Stall - Conveyor Belt Sushi, Food Stall - Inarizushi, Food Stall - Jam, Food Stall - Mandra Cola, Food Stall - Mayonnaise, Food Stall - Miso Soup, Food Stall - Quintessence Of Taste</v>
      </c>
      <c r="T42" s="26" t="str">
        <f t="array" ref="T42">_xlfn.XLOOKUP(
 A42,
 tblTargets[TargetID],
 tblTargets[CompletionMethod],
 ""
)</f>
        <v>AUTO</v>
      </c>
      <c r="U42" s="84" t="b">
        <f>COUNTIF(tblCost[TargetID],A42)&gt;0</f>
        <v>0</v>
      </c>
      <c r="V42" s="85" t="str">
        <f t="array" ref="V42">IF(
 U42=FALSE,
 "",
 _xlfn.XLOOKUP(
  A42,
  tblCost[TargetID],
  tblCost[FundingPercent],
  ""
 )
)</f>
        <v/>
      </c>
      <c r="W42" s="26" t="str">
        <f t="array" ref="W42">IF(
 U42=FALSE,
 "",
 _xlfn.XLOOKUP(
  A42,
  tblCost[TargetID],
  tblCost[RemainingRequirements],
  ""
 )
)</f>
        <v/>
      </c>
      <c r="X42" s="45" t="str">
        <f t="array" ref="X42">IF(
 U42=FALSE,
 "N/A",
 _xlfn.XLOOKUP(
  A43,
  tblCost[TargetID],
  tblCost[TargetFunded],
  FALSE
 )
)</f>
        <v>N/A</v>
      </c>
      <c r="Y42" s="26" t="str">
        <f>IFERROR(__xludf.DUMMYFUNCTION("IFERROR(
 TEXTJOIN(
  "", "",
  TRUE,
  FILTER(
   'cost checklist'!$E$2:$E1000&amp;"": ""&amp;'cost checklist'!$G$2:$G1000,
   'cost checklist'!$B$2:$B1000=A42,
   'cost checklist'!$J$2:$J1000=FALSE
  )
 ),
 """"
)"),"")</f>
        <v/>
      </c>
      <c r="Z42" s="26" t="b">
        <f>IFERROR(__xludf.DUMMYFUNCTION("IF(
 AND(
  E42=""QUEST"",
  RIGHT(A42,9)="".accepted"",
  D42=TRUE
 ),
 XLOOKUP(
  REGEXREPLACE(A42,""\.accepted$"","""")&amp;"".finished"",
  $A$2:$A1000,
  $D$2:$D1000,
  TRUE
 )=FALSE,
 FALSE
)"),FALSE)</f>
        <v>0</v>
      </c>
      <c r="AA42" s="26" t="str">
        <f>IFERROR(__xludf.DUMMYFUNCTION("LET(
 id,A42,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3" ht="14.25" customHeight="1">
      <c r="A43" s="26" t="s">
        <v>230</v>
      </c>
      <c r="B43" s="26" t="str">
        <f t="array" ref="B43">_xlfn.XLOOKUP(
 A43,
 tblTargets[TargetID],
 tblTargets[DisplayName],
 ""
)</f>
        <v>Food Stall Lv 1</v>
      </c>
      <c r="C43" s="26" t="str">
        <f t="shared" si="1"/>
        <v>BLOCKED</v>
      </c>
      <c r="D43" s="26" t="b">
        <f>IFERROR(__xludf.DUMMYFUNCTION("LET(
 id,A43,
 IF(
  F43=""CHARACTER"",
  LET(
   base,REGEXREPLACE(id,""@\d+$"",""""),
   required,VALUE(REGEXEXTRACT(id,""@(\d+)$"")),
   current,XLOOKUP(
    base,
    tblPlayer[PlayerStateID],
    tblPlayer[Value],
    0
   ),
   current&gt;=required
  )"&amp;",
  IF(
   T43=""AUTO"",
   L43=0,
   COUNTIFS(
    tblChecklist[TargetID],id,
    tblChecklist[PlayerCompleted],TRUE
   )&gt;0
  )
 )
)"),FALSE)</f>
        <v>0</v>
      </c>
      <c r="E43" s="26" t="str">
        <f t="array" ref="E43">_xlfn.XLOOKUP(
 A43,
 tblTargets[TargetID],
 tblTargets[TargetType],
 ""
)</f>
        <v>BUILDING</v>
      </c>
      <c r="F43" s="26" t="str">
        <f t="array" ref="F43">_xlfn.XLOOKUP(
 A43,
 tblTargets[TargetID],
 tblTargets[StateType],
 ""
)</f>
        <v/>
      </c>
      <c r="G43" s="26">
        <f>LET(
 id,A43,
 depCount,COUNTIF(tblDependencies[TargetID],id),
 objCount,COUNTIF(tblQuestObjectives[QuestTargetID],id),
 depCount+objCount
)</f>
        <v>1</v>
      </c>
      <c r="H43" s="26">
        <f t="shared" si="2"/>
        <v>1</v>
      </c>
      <c r="I43" s="26">
        <f>IFERROR(__xludf.DUMMYFUNCTION("LET(
 id,A43,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 s="26">
        <f t="shared" si="3"/>
        <v>0</v>
      </c>
      <c r="K43" s="26" t="b">
        <f t="shared" si="4"/>
        <v>0</v>
      </c>
      <c r="L43" s="26">
        <f t="shared" si="5"/>
        <v>1</v>
      </c>
      <c r="M43" s="26" t="str">
        <f>IFERROR(__xludf.DUMMYFUNCTION("LET(
 id,A43,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L43=0,
  """",
  IFERROR(INDEX(incomplete,1),"""")
 "&amp;")
)"),"state.character_level@8")</f>
        <v>state.character_level@8</v>
      </c>
      <c r="N43" s="26" t="str">
        <f t="array" ref="N43">IF(
 M43="",
 "",
 _xlfn.XLOOKUP(
  M43,
  tblTargets[TargetID],
  tblTargets[DisplayName],
  M43
 )
)</f>
        <v>Character Level@8</v>
      </c>
      <c r="O43" s="26" t="str">
        <f>IFERROR(__xludf.DUMMYFUNCTION("SWITCH(
 E43,
 ""BUILDING"",XLOOKUP(A43,tblBuildings[BuildingID],tblBuildings[costtext],""""),
 ""TECH"",XLOOKUP(A43,tblTechnologies[TechnologyID],tblTechnologies[costtext],""""),
 ""QUEST"",XLOOKUP(
  REGEXREPLACE(A43,""\.[^.]+$"",""""),
  tblQuests[Ques"&amp;"tID],
  tblQuests[Costtext],
  """"
 ),
 ""CITADEL"",XLOOKUP(A43,tblCitadel[CitadelID],tblCitadel[costtext],""""),
 ""COLLECTION"",XLOOKUP(A43,tblCollections[CollectionID],tblCollections[costtext],""""),
 ""CRAFTIFACT"",XLOOKUP(A43,tblCraftifacts[Craftifa"&amp;"ctID],tblCraftifacts[costtext],""""),
 """"
)"),"1 ruby,300 coin,150 wood,150 stone,20 rice")</f>
        <v>1 ruby,300 coin,150 wood,150 stone,20 rice</v>
      </c>
      <c r="P43" s="26" t="str">
        <f t="shared" si="6"/>
        <v>READY</v>
      </c>
      <c r="Q43" s="26" t="str">
        <f t="shared" si="7"/>
        <v>ONE AWAY</v>
      </c>
      <c r="R43" s="26">
        <f t="array" ref="R43">IFERROR(
 _xlfn.XLOOKUP(
  A43,
  tblChecklist[TargetID],
  tblChecklist[PlayerSort],
  ""
 ),
 ""
)</f>
        <v>7</v>
      </c>
      <c r="S43" s="26" t="str">
        <f>IFERROR(__xludf.DUMMYFUNCTION("LET(
 id,A43,
 successorIDs,
  IFERROR(
   UNIQUE(
    FILTER(
     {
      Dependencies!$A$2:$A$1000;
      QuestObjectives!$A$2:$A$1000
     },
     {
      Dependencies!$B$2:$B$1000;
      QuestObjectives!$E$2:$E$1000
     }=id
    )
   ),
   """"
  ),"&amp;"
 names,
  MAP(
   successorIDs,
   LAMBDA(s,
    IF(
     s="""",
     """",
     XLOOKUP(
      s,
      $A$2:$A$1000,
      $B$2:$B$1000,
      s
     )
    )
   )
  ),
 IF(
  successorIDs="""",
  """",
  TEXTJOIN("", "",TRUE,names)
 )
)"),"Food Stall Lv 2, Quest for Knowledge Chapter 1 Finished")</f>
        <v>Food Stall Lv 2, Quest for Knowledge Chapter 1 Finished</v>
      </c>
      <c r="T43" s="26" t="str">
        <f t="array" ref="T43">_xlfn.XLOOKUP(
 A43,
 tblTargets[TargetID],
 tblTargets[CompletionMethod],
 ""
)</f>
        <v>PLAYER</v>
      </c>
      <c r="U43" s="84" t="b">
        <f>COUNTIF(tblCost[TargetID],A43)&gt;0</f>
        <v>1</v>
      </c>
      <c r="V43" s="85">
        <f t="array" ref="V43">IF(
 U43=FALSE,
 "",
 _xlfn.XLOOKUP(
  A43,
  tblCost[TargetID],
  tblCost[FundingPercent],
  ""
 )
)</f>
        <v>0</v>
      </c>
      <c r="W43" s="26">
        <f t="array" ref="W43">IF(
 U43=FALSE,
 "",
 _xlfn.XLOOKUP(
  A43,
  tblCost[TargetID],
  tblCost[RemainingRequirements],
  ""
 )
)</f>
        <v>5</v>
      </c>
      <c r="X43" s="45" t="b">
        <f t="array" ref="X43">IF(
 U43=FALSE,
 "N/A",
 _xlfn.XLOOKUP(
  A44,
  tblCost[TargetID],
  tblCost[TargetFunded],
  FALSE
 )
)</f>
        <v>0</v>
      </c>
      <c r="Y43" s="26" t="str">
        <f>IFERROR(__xludf.DUMMYFUNCTION("IFERROR(
 TEXTJOIN(
  "", "",
  TRUE,
  FILTER(
   'cost checklist'!$E$2:$E1000&amp;"": ""&amp;'cost checklist'!$G$2:$G1000,
   'cost checklist'!$B$2:$B1000=A43,
   'cost checklist'!$J$2:$J1000=FALSE
  )
 ),
 """"
)"),"coin: 300, rice: 20, ruby: 1, stone: 150, wood: 150")</f>
        <v>coin: 300, rice: 20, ruby: 1, stone: 150, wood: 150</v>
      </c>
      <c r="Z43" s="26" t="b">
        <f>IFERROR(__xludf.DUMMYFUNCTION("IF(
 AND(
  E43=""QUEST"",
  RIGHT(A43,9)="".accepted"",
  D43=TRUE
 ),
 XLOOKUP(
  REGEXREPLACE(A43,""\.accepted$"","""")&amp;"".finished"",
  $A$2:$A1000,
  $D$2:$D1000,
  TRUE
 )=FALSE,
 FALSE
)"),FALSE)</f>
        <v>0</v>
      </c>
      <c r="AA43" s="26" t="str">
        <f>IFERROR(__xludf.DUMMYFUNCTION("LET(
 id,A43,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4" ht="14.25" customHeight="1">
      <c r="A44" s="26" t="s">
        <v>234</v>
      </c>
      <c r="B44" s="26" t="str">
        <f t="array" ref="B44">_xlfn.XLOOKUP(
 A44,
 tblTargets[TargetID],
 tblTargets[DisplayName],
 ""
)</f>
        <v>Food Stall Lv 2</v>
      </c>
      <c r="C44" s="26" t="str">
        <f t="shared" si="1"/>
        <v>BLOCKED</v>
      </c>
      <c r="D44" s="26" t="b">
        <f>IFERROR(__xludf.DUMMYFUNCTION("LET(
 id,A44,
 IF(
  F44=""CHARACTER"",
  LET(
   base,REGEXREPLACE(id,""@\d+$"",""""),
   required,VALUE(REGEXEXTRACT(id,""@(\d+)$"")),
   current,XLOOKUP(
    base,
    tblPlayer[PlayerStateID],
    tblPlayer[Value],
    0
   ),
   current&gt;=required
  )"&amp;",
  IF(
   T44=""AUTO"",
   L44=0,
   COUNTIFS(
    tblChecklist[TargetID],id,
    tblChecklist[PlayerCompleted],TRUE
   )&gt;0
  )
 )
)"),FALSE)</f>
        <v>0</v>
      </c>
      <c r="E44" s="26" t="str">
        <f t="array" ref="E44">_xlfn.XLOOKUP(
 A44,
 tblTargets[TargetID],
 tblTargets[TargetType],
 ""
)</f>
        <v>BUILDING</v>
      </c>
      <c r="F44" s="26" t="str">
        <f t="array" ref="F44">_xlfn.XLOOKUP(
 A44,
 tblTargets[TargetID],
 tblTargets[StateType],
 ""
)</f>
        <v/>
      </c>
      <c r="G44" s="26">
        <f>LET(
 id,A44,
 depCount,COUNTIF(tblDependencies[TargetID],id),
 objCount,COUNTIF(tblQuestObjectives[QuestTargetID],id),
 depCount+objCount
)</f>
        <v>3</v>
      </c>
      <c r="H44" s="26">
        <f t="shared" si="2"/>
        <v>3</v>
      </c>
      <c r="I44" s="26">
        <f>IFERROR(__xludf.DUMMYFUNCTION("LET(
 id,A44,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 s="26">
        <f t="shared" si="3"/>
        <v>0</v>
      </c>
      <c r="K44" s="26" t="b">
        <f t="shared" si="4"/>
        <v>0</v>
      </c>
      <c r="L44" s="26">
        <f t="shared" si="5"/>
        <v>3</v>
      </c>
      <c r="M44" s="26" t="str">
        <f>IFERROR(__xludf.DUMMYFUNCTION("LET(
 id,A44,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L44=0,
  """",
  IFERROR(INDEX(incomplete,1),"""")
 "&amp;")
)"),"building.guild@2")</f>
        <v>building.guild@2</v>
      </c>
      <c r="N44" s="26" t="str">
        <f t="array" ref="N44">IF(
 M44="",
 "",
 _xlfn.XLOOKUP(
  M44,
  tblTargets[TargetID],
  tblTargets[DisplayName],
  M44
 )
)</f>
        <v>Guild Lv 2</v>
      </c>
      <c r="O44" s="26" t="str">
        <f>IFERROR(__xludf.DUMMYFUNCTION("SWITCH(
 E44,
 ""BUILDING"",XLOOKUP(A44,tblBuildings[BuildingID],tblBuildings[costtext],""""),
 ""TECH"",XLOOKUP(A44,tblTechnologies[TechnologyID],tblTechnologies[costtext],""""),
 ""QUEST"",XLOOKUP(
  REGEXREPLACE(A44,""\.[^.]+$"",""""),
  tblQuests[Ques"&amp;"tID],
  tblQuests[Costtext],
  """"
 ),
 ""CITADEL"",XLOOKUP(A44,tblCitadel[CitadelID],tblCitadel[costtext],""""),
 ""COLLECTION"",XLOOKUP(A44,tblCollections[CollectionID],tblCollections[costtext],""""),
 ""CRAFTIFACT"",XLOOKUP(A44,tblCraftifacts[Craftifa"&amp;"ctID],tblCraftifacts[costtext],""""),
 """"
)"),"3 ruby,500 coin,500 plank,300 stone,5 spices")</f>
        <v>3 ruby,500 coin,500 plank,300 stone,5 spices</v>
      </c>
      <c r="P44" s="26" t="str">
        <f t="shared" si="6"/>
        <v>READY</v>
      </c>
      <c r="Q44" s="26" t="str">
        <f t="shared" si="7"/>
        <v>BLOCKED</v>
      </c>
      <c r="R44" s="26">
        <f t="array" ref="R44">IFERROR(
 _xlfn.XLOOKUP(
  A44,
  tblChecklist[TargetID],
  tblChecklist[PlayerSort],
  ""
 ),
 ""
)</f>
        <v>25</v>
      </c>
      <c r="S44" s="26" t="str">
        <f>IFERROR(__xludf.DUMMYFUNCTION("LET(
 id,A44,
 successorIDs,
  IFERROR(
   UNIQUE(
    FILTER(
     {
      Dependencies!$A$2:$A$1000;
      QuestObjectives!$A$2:$A$1000
     },
     {
      Dependencies!$B$2:$B$1000;
      QuestObjectives!$E$2:$E$1000
     }=id
    )
   ),
   """"
  ),"&amp;"
 names,
  MAP(
   successorIDs,
   LAMBDA(s,
    IF(
     s="""",
     """",
     XLOOKUP(
      s,
      $A$2:$A$1000,
      $B$2:$B$1000,
      s
     )
    )
   )
  ),
 IF(
  successorIDs="""",
  """",
  TEXTJOIN("", "",TRUE,names)
 )
)"),"Food Stall Lv 3, Shogun's Katana Chapter 3 Finished")</f>
        <v>Food Stall Lv 3, Shogun's Katana Chapter 3 Finished</v>
      </c>
      <c r="T44" s="26" t="str">
        <f t="array" ref="T44">_xlfn.XLOOKUP(
 A44,
 tblTargets[TargetID],
 tblTargets[CompletionMethod],
 ""
)</f>
        <v>PLAYER</v>
      </c>
      <c r="U44" s="84" t="b">
        <f>COUNTIF(tblCost[TargetID],A44)&gt;0</f>
        <v>1</v>
      </c>
      <c r="V44" s="85">
        <f t="array" ref="V44">IF(
 U44=FALSE,
 "",
 _xlfn.XLOOKUP(
  A44,
  tblCost[TargetID],
  tblCost[FundingPercent],
  ""
 )
)</f>
        <v>0</v>
      </c>
      <c r="W44" s="26">
        <f t="array" ref="W44">IF(
 U44=FALSE,
 "",
 _xlfn.XLOOKUP(
  A44,
  tblCost[TargetID],
  tblCost[RemainingRequirements],
  ""
 )
)</f>
        <v>5</v>
      </c>
      <c r="X44" s="45" t="b">
        <f t="array" ref="X44">IF(
 U44=FALSE,
 "N/A",
 _xlfn.XLOOKUP(
  A45,
  tblCost[TargetID],
  tblCost[TargetFunded],
  FALSE
 )
)</f>
        <v>0</v>
      </c>
      <c r="Y44" s="26" t="str">
        <f>IFERROR(__xludf.DUMMYFUNCTION("IFERROR(
 TEXTJOIN(
  "", "",
  TRUE,
  FILTER(
   'cost checklist'!$E$2:$E1000&amp;"": ""&amp;'cost checklist'!$G$2:$G1000,
   'cost checklist'!$B$2:$B1000=A44,
   'cost checklist'!$J$2:$J1000=FALSE
  )
 ),
 """"
)"),"coin: 500, plank: 500, ruby: 3, spices: 5, stone: 300")</f>
        <v>coin: 500, plank: 500, ruby: 3, spices: 5, stone: 300</v>
      </c>
      <c r="Z44" s="26" t="b">
        <f>IFERROR(__xludf.DUMMYFUNCTION("IF(
 AND(
  E44=""QUEST"",
  RIGHT(A44,9)="".accepted"",
  D44=TRUE
 ),
 XLOOKUP(
  REGEXREPLACE(A44,""\.accepted$"","""")&amp;"".finished"",
  $A$2:$A1000,
  $D$2:$D1000,
  TRUE
 )=FALSE,
 FALSE
)"),FALSE)</f>
        <v>0</v>
      </c>
      <c r="AA44" s="26" t="str">
        <f>IFERROR(__xludf.DUMMYFUNCTION("LET(
 id,A44,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5" ht="14.25" customHeight="1">
      <c r="A45" s="26" t="s">
        <v>239</v>
      </c>
      <c r="B45" s="26" t="str">
        <f t="array" ref="B45">_xlfn.XLOOKUP(
 A45,
 tblTargets[TargetID],
 tblTargets[DisplayName],
 ""
)</f>
        <v>Food Stall Lv 3</v>
      </c>
      <c r="C45" s="26" t="str">
        <f t="shared" si="1"/>
        <v>BLOCKED</v>
      </c>
      <c r="D45" s="26" t="b">
        <f>IFERROR(__xludf.DUMMYFUNCTION("LET(
 id,A45,
 IF(
  F45=""CHARACTER"",
  LET(
   base,REGEXREPLACE(id,""@\d+$"",""""),
   required,VALUE(REGEXEXTRACT(id,""@(\d+)$"")),
   current,XLOOKUP(
    base,
    tblPlayer[PlayerStateID],
    tblPlayer[Value],
    0
   ),
   current&gt;=required
  )"&amp;",
  IF(
   T45=""AUTO"",
   L45=0,
   COUNTIFS(
    tblChecklist[TargetID],id,
    tblChecklist[PlayerCompleted],TRUE
   )&gt;0
  )
 )
)"),FALSE)</f>
        <v>0</v>
      </c>
      <c r="E45" s="26" t="str">
        <f t="array" ref="E45">_xlfn.XLOOKUP(
 A45,
 tblTargets[TargetID],
 tblTargets[TargetType],
 ""
)</f>
        <v>BUILDING</v>
      </c>
      <c r="F45" s="26" t="str">
        <f t="array" ref="F45">_xlfn.XLOOKUP(
 A45,
 tblTargets[TargetID],
 tblTargets[StateType],
 ""
)</f>
        <v/>
      </c>
      <c r="G45" s="26">
        <f>LET(
 id,A45,
 depCount,COUNTIF(tblDependencies[TargetID],id),
 objCount,COUNTIF(tblQuestObjectives[QuestTargetID],id),
 depCount+objCount
)</f>
        <v>1</v>
      </c>
      <c r="H45" s="26">
        <f t="shared" si="2"/>
        <v>1</v>
      </c>
      <c r="I45" s="26">
        <f>IFERROR(__xludf.DUMMYFUNCTION("LET(
 id,A45,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 s="26">
        <f t="shared" si="3"/>
        <v>0</v>
      </c>
      <c r="K45" s="26" t="b">
        <f t="shared" si="4"/>
        <v>0</v>
      </c>
      <c r="L45" s="26">
        <f t="shared" si="5"/>
        <v>1</v>
      </c>
      <c r="M45" s="26" t="str">
        <f>IFERROR(__xludf.DUMMYFUNCTION("LET(
 id,A45,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L45=0,
  """",
  IFERROR(INDEX(incomplete,1),"""")
 "&amp;")
)"),"building.food_stall@2")</f>
        <v>building.food_stall@2</v>
      </c>
      <c r="N45" s="26" t="str">
        <f t="array" ref="N45">IF(
 M45="",
 "",
 _xlfn.XLOOKUP(
  M45,
  tblTargets[TargetID],
  tblTargets[DisplayName],
  M45
 )
)</f>
        <v>Food Stall Lv 2</v>
      </c>
      <c r="O45" s="26" t="str">
        <f>IFERROR(__xludf.DUMMYFUNCTION("SWITCH(
 E45,
 ""BUILDING"",XLOOKUP(A45,tblBuildings[BuildingID],tblBuildings[costtext],""""),
 ""TECH"",XLOOKUP(A45,tblTechnologies[TechnologyID],tblTechnologies[costtext],""""),
 ""QUEST"",XLOOKUP(
  REGEXREPLACE(A45,""\.[^.]+$"",""""),
  tblQuests[Ques"&amp;"tID],
  tblQuests[Costtext],
  """"
 ),
 ""CITADEL"",XLOOKUP(A45,tblCitadel[CitadelID],tblCitadel[costtext],""""),
 ""COLLECTION"",XLOOKUP(A45,tblCollections[CollectionID],tblCollections[costtext],""""),
 ""CRAFTIFACT"",XLOOKUP(A45,tblCraftifacts[Craftifa"&amp;"ctID],tblCraftifacts[costtext],""""),
 """"
)"),"5 ruby,800 coin,600 plank,50 beans,3 spices")</f>
        <v>5 ruby,800 coin,600 plank,50 beans,3 spices</v>
      </c>
      <c r="P45" s="26" t="str">
        <f t="shared" si="6"/>
        <v>BLOCKED</v>
      </c>
      <c r="Q45" s="26" t="str">
        <f t="shared" si="7"/>
        <v>BLOCKED</v>
      </c>
      <c r="R45" s="26">
        <f t="array" ref="R45">IFERROR(
 _xlfn.XLOOKUP(
  A45,
  tblChecklist[TargetID],
  tblChecklist[PlayerSort],
  ""
 ),
 ""
)</f>
        <v>26</v>
      </c>
      <c r="S45" s="26" t="str">
        <f>IFERROR(__xludf.DUMMYFUNCTION("LET(
 id,A45,
 successorIDs,
  IFERROR(
   UNIQUE(
    FILTER(
     {
      Dependencies!$A$2:$A$1000;
      QuestObjectives!$A$2:$A$1000
     },
     {
      Dependencies!$B$2:$B$1000;
      QuestObjectives!$E$2:$E$1000
     }=id
    )
   ),
   """"
  ),"&amp;"
 names,
  MAP(
   successorIDs,
   LAMBDA(s,
    IF(
     s="""",
     """",
     XLOOKUP(
      s,
      $A$2:$A$1000,
      $B$2:$B$1000,
      s
     )
    )
   )
  ),
 IF(
  successorIDs="""",
  """",
  TEXTJOIN("", "",TRUE,names)
 )
)"),"Food stall maxed, Guild Supplies, Shogun's Katana Chapter 6 Finished")</f>
        <v>Food stall maxed, Guild Supplies, Shogun's Katana Chapter 6 Finished</v>
      </c>
      <c r="T45" s="26" t="str">
        <f t="array" ref="T45">_xlfn.XLOOKUP(
 A45,
 tblTargets[TargetID],
 tblTargets[CompletionMethod],
 ""
)</f>
        <v>PLAYER</v>
      </c>
      <c r="U45" s="84" t="b">
        <f>COUNTIF(tblCost[TargetID],A45)&gt;0</f>
        <v>1</v>
      </c>
      <c r="V45" s="85">
        <f t="array" ref="V45">IF(
 U45=FALSE,
 "",
 _xlfn.XLOOKUP(
  A45,
  tblCost[TargetID],
  tblCost[FundingPercent],
  ""
 )
)</f>
        <v>0</v>
      </c>
      <c r="W45" s="26">
        <f t="array" ref="W45">IF(
 U45=FALSE,
 "",
 _xlfn.XLOOKUP(
  A45,
  tblCost[TargetID],
  tblCost[RemainingRequirements],
  ""
 )
)</f>
        <v>5</v>
      </c>
      <c r="X45" s="45" t="b">
        <f t="array" ref="X45">IF(
 U45=FALSE,
 "N/A",
 _xlfn.XLOOKUP(
  A46,
  tblCost[TargetID],
  tblCost[TargetFunded],
  FALSE
 )
)</f>
        <v>0</v>
      </c>
      <c r="Y45" s="26" t="str">
        <f>IFERROR(__xludf.DUMMYFUNCTION("IFERROR(
 TEXTJOIN(
  "", "",
  TRUE,
  FILTER(
   'cost checklist'!$E$2:$E1000&amp;"": ""&amp;'cost checklist'!$G$2:$G1000,
   'cost checklist'!$B$2:$B1000=A45,
   'cost checklist'!$J$2:$J1000=FALSE
  )
 ),
 """"
)"),"beans: 50, coin: 800, plank: 600, ruby: 5, spices: 3")</f>
        <v>beans: 50, coin: 800, plank: 600, ruby: 5, spices: 3</v>
      </c>
      <c r="Z45" s="26" t="b">
        <f>IFERROR(__xludf.DUMMYFUNCTION("IF(
 AND(
  E45=""QUEST"",
  RIGHT(A45,9)="".accepted"",
  D45=TRUE
 ),
 XLOOKUP(
  REGEXREPLACE(A45,""\.accepted$"","""")&amp;"".finished"",
  $A$2:$A1000,
  $D$2:$D1000,
  TRUE
 )=FALSE,
 FALSE
)"),FALSE)</f>
        <v>0</v>
      </c>
      <c r="AA45" s="26" t="str">
        <f>IFERROR(__xludf.DUMMYFUNCTION("LET(
 id,A45,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6" ht="14.25" customHeight="1">
      <c r="A46" s="26" t="s">
        <v>744</v>
      </c>
      <c r="B46" s="26" t="str">
        <f t="array" ref="B46">_xlfn.XLOOKUP(
 A46,
 tblTargets[TargetID],
 tblTargets[DisplayName],
 ""
)</f>
        <v>Furnace maxed</v>
      </c>
      <c r="C46" s="26" t="str">
        <f t="shared" si="1"/>
        <v>BLOCKED</v>
      </c>
      <c r="D46" s="26" t="b">
        <f>IFERROR(__xludf.DUMMYFUNCTION("LET(
 id,A46,
 IF(
  F46=""CHARACTER"",
  LET(
   base,REGEXREPLACE(id,""@\d+$"",""""),
   required,VALUE(REGEXEXTRACT(id,""@(\d+)$"")),
   current,XLOOKUP(
    base,
    tblPlayer[PlayerStateID],
    tblPlayer[Value],
    0
   ),
   current&gt;=required
  )"&amp;",
  IF(
   T46=""AUTO"",
   L46=0,
   COUNTIFS(
    tblChecklist[TargetID],id,
    tblChecklist[PlayerCompleted],TRUE
   )&gt;0
  )
 )
)"),FALSE)</f>
        <v>0</v>
      </c>
      <c r="E46" s="26" t="str">
        <f t="array" ref="E46">_xlfn.XLOOKUP(
 A46,
 tblTargets[TargetID],
 tblTargets[TargetType],
 ""
)</f>
        <v>BUILDING</v>
      </c>
      <c r="F46" s="26" t="str">
        <f t="array" ref="F46">_xlfn.XLOOKUP(
 A46,
 tblTargets[TargetID],
 tblTargets[StateType],
 ""
)</f>
        <v/>
      </c>
      <c r="G46" s="26">
        <f>LET(
 id,A46,
 depCount,COUNTIF(tblDependencies[TargetID],id),
 objCount,COUNTIF(tblQuestObjectives[QuestTargetID],id),
 depCount+objCount
)</f>
        <v>1</v>
      </c>
      <c r="H46" s="26">
        <f t="shared" si="2"/>
        <v>1</v>
      </c>
      <c r="I46" s="26">
        <f>IFERROR(__xludf.DUMMYFUNCTION("LET(
 id,A46,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 s="26">
        <f t="shared" si="3"/>
        <v>0</v>
      </c>
      <c r="K46" s="26" t="b">
        <f t="shared" si="4"/>
        <v>0</v>
      </c>
      <c r="L46" s="26">
        <f t="shared" si="5"/>
        <v>1</v>
      </c>
      <c r="M46" s="26" t="str">
        <f>IFERROR(__xludf.DUMMYFUNCTION("LET(
 id,A46,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L46=0,
  """",
  IFERROR(INDEX(incomplete,1),"""")
 "&amp;")
)"),"building.furnace@3")</f>
        <v>building.furnace@3</v>
      </c>
      <c r="N46" s="26" t="str">
        <f t="array" ref="N46">IF(
 M46="",
 "",
 _xlfn.XLOOKUP(
  M46,
  tblTargets[TargetID],
  tblTargets[DisplayName],
  M46
 )
)</f>
        <v>Furnace Lv 3</v>
      </c>
      <c r="O46" s="26" t="str">
        <f>IFERROR(__xludf.DUMMYFUNCTION("SWITCH(
 E46,
 ""BUILDING"",XLOOKUP(A46,tblBuildings[BuildingID],tblBuildings[costtext],""""),
 ""TECH"",XLOOKUP(A46,tblTechnologies[TechnologyID],tblTechnologies[costtext],""""),
 ""QUEST"",XLOOKUP(
  REGEXREPLACE(A46,""\.[^.]+$"",""""),
  tblQuests[Ques"&amp;"tID],
  tblQuests[Costtext],
  """"
 ),
 ""CITADEL"",XLOOKUP(A46,tblCitadel[CitadelID],tblCitadel[costtext],""""),
 ""COLLECTION"",XLOOKUP(A46,tblCollections[CollectionID],tblCollections[costtext],""""),
 ""CRAFTIFACT"",XLOOKUP(A46,tblCraftifacts[Craftifa"&amp;"ctID],tblCraftifacts[costtext],""""),
 """"
)"),"")</f>
        <v/>
      </c>
      <c r="P46" s="26" t="str">
        <f t="shared" si="6"/>
        <v>BLOCKED</v>
      </c>
      <c r="Q46" s="26" t="str">
        <f t="shared" si="7"/>
        <v>BLOCKED</v>
      </c>
      <c r="R46" s="26" t="str">
        <f t="array" ref="R46">IFERROR(
 _xlfn.XLOOKUP(
  A46,
  tblChecklist[TargetID],
  tblChecklist[PlayerSort],
  ""
 ),
 ""
)</f>
        <v/>
      </c>
      <c r="S46" s="26" t="str">
        <f>IFERROR(__xludf.DUMMYFUNCTION("LET(
 id,A46,
 successorIDs,
  IFERROR(
   UNIQUE(
    FILTER(
     {
      Dependencies!$A$2:$A$1000;
      QuestObjectives!$A$2:$A$1000
     },
     {
      Dependencies!$B$2:$B$1000;
      QuestObjectives!$E$2:$E$1000
     }=id
    )
   ),
   """"
  ),"&amp;"
 names,
  MAP(
   successorIDs,
   LAMBDA(s,
    IF(
     s="""",
     """",
     XLOOKUP(
      s,
      $A$2:$A$1000,
      $B$2:$B$1000,
      s
     )
    )
   )
  ),
 IF(
  successorIDs="""",
  """",
  TEXTJOIN("", "",TRUE,names)
 )
)"),"Furnace - Conveyor, Furnace - Glass, Furnace - Meteoric Steel, Furnace - Titanium Parts")</f>
        <v>Furnace - Conveyor, Furnace - Glass, Furnace - Meteoric Steel, Furnace - Titanium Parts</v>
      </c>
      <c r="T46" s="26" t="str">
        <f t="array" ref="T46">_xlfn.XLOOKUP(
 A46,
 tblTargets[TargetID],
 tblTargets[CompletionMethod],
 ""
)</f>
        <v>AUTO</v>
      </c>
      <c r="U46" s="84" t="b">
        <f>COUNTIF(tblCost[TargetID],A46)&gt;0</f>
        <v>0</v>
      </c>
      <c r="V46" s="85" t="str">
        <f t="array" ref="V46">IF(
 U46=FALSE,
 "",
 _xlfn.XLOOKUP(
  A46,
  tblCost[TargetID],
  tblCost[FundingPercent],
  ""
 )
)</f>
        <v/>
      </c>
      <c r="W46" s="26" t="str">
        <f t="array" ref="W46">IF(
 U46=FALSE,
 "",
 _xlfn.XLOOKUP(
  A46,
  tblCost[TargetID],
  tblCost[RemainingRequirements],
  ""
 )
)</f>
        <v/>
      </c>
      <c r="X46" s="45" t="str">
        <f t="array" ref="X46">IF(
 U46=FALSE,
 "N/A",
 _xlfn.XLOOKUP(
  A47,
  tblCost[TargetID],
  tblCost[TargetFunded],
  FALSE
 )
)</f>
        <v>N/A</v>
      </c>
      <c r="Y46" s="26" t="str">
        <f>IFERROR(__xludf.DUMMYFUNCTION("IFERROR(
 TEXTJOIN(
  "", "",
  TRUE,
  FILTER(
   'cost checklist'!$E$2:$E1000&amp;"": ""&amp;'cost checklist'!$G$2:$G1000,
   'cost checklist'!$B$2:$B1000=A46,
   'cost checklist'!$J$2:$J1000=FALSE
  )
 ),
 """"
)"),"")</f>
        <v/>
      </c>
      <c r="Z46" s="26" t="b">
        <f>IFERROR(__xludf.DUMMYFUNCTION("IF(
 AND(
  E46=""QUEST"",
  RIGHT(A46,9)="".accepted"",
  D46=TRUE
 ),
 XLOOKUP(
  REGEXREPLACE(A46,""\.accepted$"","""")&amp;"".finished"",
  $A$2:$A1000,
  $D$2:$D1000,
  TRUE
 )=FALSE,
 FALSE
)"),FALSE)</f>
        <v>0</v>
      </c>
      <c r="AA46" s="26" t="str">
        <f>IFERROR(__xludf.DUMMYFUNCTION("LET(
 id,A46,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7" ht="14.25" customHeight="1">
      <c r="A47" s="26" t="s">
        <v>243</v>
      </c>
      <c r="B47" s="26" t="str">
        <f t="array" ref="B47">_xlfn.XLOOKUP(
 A47,
 tblTargets[TargetID],
 tblTargets[DisplayName],
 ""
)</f>
        <v>Furnace Lv 1</v>
      </c>
      <c r="C47" s="26" t="str">
        <f t="shared" si="1"/>
        <v>BLOCKED</v>
      </c>
      <c r="D47" s="26" t="b">
        <f>IFERROR(__xludf.DUMMYFUNCTION("LET(
 id,A47,
 IF(
  F47=""CHARACTER"",
  LET(
   base,REGEXREPLACE(id,""@\d+$"",""""),
   required,VALUE(REGEXEXTRACT(id,""@(\d+)$"")),
   current,XLOOKUP(
    base,
    tblPlayer[PlayerStateID],
    tblPlayer[Value],
    0
   ),
   current&gt;=required
  )"&amp;",
  IF(
   T47=""AUTO"",
   L47=0,
   COUNTIFS(
    tblChecklist[TargetID],id,
    tblChecklist[PlayerCompleted],TRUE
   )&gt;0
  )
 )
)"),FALSE)</f>
        <v>0</v>
      </c>
      <c r="E47" s="26" t="str">
        <f t="array" ref="E47">_xlfn.XLOOKUP(
 A47,
 tblTargets[TargetID],
 tblTargets[TargetType],
 ""
)</f>
        <v>BUILDING</v>
      </c>
      <c r="F47" s="26" t="str">
        <f t="array" ref="F47">_xlfn.XLOOKUP(
 A47,
 tblTargets[TargetID],
 tblTargets[StateType],
 ""
)</f>
        <v/>
      </c>
      <c r="G47" s="26">
        <f>LET(
 id,A47,
 depCount,COUNTIF(tblDependencies[TargetID],id),
 objCount,COUNTIF(tblQuestObjectives[QuestTargetID],id),
 depCount+objCount
)</f>
        <v>1</v>
      </c>
      <c r="H47" s="26">
        <f t="shared" si="2"/>
        <v>1</v>
      </c>
      <c r="I47" s="26">
        <f>IFERROR(__xludf.DUMMYFUNCTION("LET(
 id,A47,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 s="26">
        <f t="shared" si="3"/>
        <v>0</v>
      </c>
      <c r="K47" s="26" t="b">
        <f t="shared" si="4"/>
        <v>0</v>
      </c>
      <c r="L47" s="26">
        <f t="shared" si="5"/>
        <v>1</v>
      </c>
      <c r="M47" s="26" t="str">
        <f>IFERROR(__xludf.DUMMYFUNCTION("LET(
 id,A47,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L47=0,
  """",
  IFERROR(INDEX(incomplete,1),"""")
 "&amp;")
)"),"state.character_level@8")</f>
        <v>state.character_level@8</v>
      </c>
      <c r="N47" s="26" t="str">
        <f t="array" ref="N47">IF(
 M47="",
 "",
 _xlfn.XLOOKUP(
  M47,
  tblTargets[TargetID],
  tblTargets[DisplayName],
  M47
 )
)</f>
        <v>Character Level@8</v>
      </c>
      <c r="O47" s="26" t="str">
        <f>IFERROR(__xludf.DUMMYFUNCTION("SWITCH(
 E47,
 ""BUILDING"",XLOOKUP(A47,tblBuildings[BuildingID],tblBuildings[costtext],""""),
 ""TECH"",XLOOKUP(A47,tblTechnologies[TechnologyID],tblTechnologies[costtext],""""),
 ""QUEST"",XLOOKUP(
  REGEXREPLACE(A47,""\.[^.]+$"",""""),
  tblQuests[Ques"&amp;"tID],
  tblQuests[Costtext],
  """"
 ),
 ""CITADEL"",XLOOKUP(A47,tblCitadel[CitadelID],tblCitadel[costtext],""""),
 ""COLLECTION"",XLOOKUP(A47,tblCollections[CollectionID],tblCollections[costtext],""""),
 ""CRAFTIFACT"",XLOOKUP(A47,tblCraftifacts[Craftifa"&amp;"ctID],tblCraftifacts[costtext],""""),
 """"
)"),"1 ruby,200 coin,100 wood,100 stone")</f>
        <v>1 ruby,200 coin,100 wood,100 stone</v>
      </c>
      <c r="P47" s="26" t="str">
        <f t="shared" si="6"/>
        <v>READY</v>
      </c>
      <c r="Q47" s="26" t="str">
        <f t="shared" si="7"/>
        <v>ONE AWAY</v>
      </c>
      <c r="R47" s="26">
        <f t="array" ref="R47">IFERROR(
 _xlfn.XLOOKUP(
  A47,
  tblChecklist[TargetID],
  tblChecklist[PlayerSort],
  ""
 ),
 ""
)</f>
        <v>10</v>
      </c>
      <c r="S47" s="26" t="str">
        <f>IFERROR(__xludf.DUMMYFUNCTION("LET(
 id,A47,
 successorIDs,
  IFERROR(
   UNIQUE(
    FILTER(
     {
      Dependencies!$A$2:$A$1000;
      QuestObjectives!$A$2:$A$1000
     },
     {
      Dependencies!$B$2:$B$1000;
      QuestObjectives!$E$2:$E$1000
     }=id
    )
   ),
   """"
  ),"&amp;"
 names,
  MAP(
   successorIDs,
   LAMBDA(s,
    IF(
     s="""",
     """",
     XLOOKUP(
      s,
      $A$2:$A$1000,
      $B$2:$B$1000,
      s
     )
    )
   )
  ),
 IF(
  successorIDs="""",
  """",
  TEXTJOIN("", "",TRUE,names)
 )
)"),"Furnace Lv 2, Shogun's Katana Chapter 1 Finished")</f>
        <v>Furnace Lv 2, Shogun's Katana Chapter 1 Finished</v>
      </c>
      <c r="T47" s="26" t="str">
        <f t="array" ref="T47">_xlfn.XLOOKUP(
 A47,
 tblTargets[TargetID],
 tblTargets[CompletionMethod],
 ""
)</f>
        <v>PLAYER</v>
      </c>
      <c r="U47" s="84" t="b">
        <f>COUNTIF(tblCost[TargetID],A47)&gt;0</f>
        <v>1</v>
      </c>
      <c r="V47" s="85">
        <f t="array" ref="V47">IF(
 U47=FALSE,
 "",
 _xlfn.XLOOKUP(
  A47,
  tblCost[TargetID],
  tblCost[FundingPercent],
  ""
 )
)</f>
        <v>0</v>
      </c>
      <c r="W47" s="26">
        <f t="array" ref="W47">IF(
 U47=FALSE,
 "",
 _xlfn.XLOOKUP(
  A47,
  tblCost[TargetID],
  tblCost[RemainingRequirements],
  ""
 )
)</f>
        <v>4</v>
      </c>
      <c r="X47" s="45" t="b">
        <f t="array" ref="X47">IF(
 U47=FALSE,
 "N/A",
 _xlfn.XLOOKUP(
  A48,
  tblCost[TargetID],
  tblCost[TargetFunded],
  FALSE
 )
)</f>
        <v>0</v>
      </c>
      <c r="Y47" s="26" t="str">
        <f>IFERROR(__xludf.DUMMYFUNCTION("IFERROR(
 TEXTJOIN(
  "", "",
  TRUE,
  FILTER(
   'cost checklist'!$E$2:$E1000&amp;"": ""&amp;'cost checklist'!$G$2:$G1000,
   'cost checklist'!$B$2:$B1000=A47,
   'cost checklist'!$J$2:$J1000=FALSE
  )
 ),
 """"
)"),"coin: 200, ruby: 1, stone: 100, wood: 100")</f>
        <v>coin: 200, ruby: 1, stone: 100, wood: 100</v>
      </c>
      <c r="Z47" s="26" t="b">
        <f>IFERROR(__xludf.DUMMYFUNCTION("IF(
 AND(
  E47=""QUEST"",
  RIGHT(A47,9)="".accepted"",
  D47=TRUE
 ),
 XLOOKUP(
  REGEXREPLACE(A47,""\.accepted$"","""")&amp;"".finished"",
  $A$2:$A1000,
  $D$2:$D1000,
  TRUE
 )=FALSE,
 FALSE
)"),FALSE)</f>
        <v>0</v>
      </c>
      <c r="AA47" s="26" t="str">
        <f>IFERROR(__xludf.DUMMYFUNCTION("LET(
 id,A47,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8" ht="14.25" customHeight="1">
      <c r="A48" s="26" t="s">
        <v>246</v>
      </c>
      <c r="B48" s="26" t="str">
        <f t="array" ref="B48">_xlfn.XLOOKUP(
 A48,
 tblTargets[TargetID],
 tblTargets[DisplayName],
 ""
)</f>
        <v>Furnace Lv 2</v>
      </c>
      <c r="C48" s="26" t="str">
        <f t="shared" si="1"/>
        <v>BLOCKED</v>
      </c>
      <c r="D48" s="26" t="b">
        <f>IFERROR(__xludf.DUMMYFUNCTION("LET(
 id,A48,
 IF(
  F48=""CHARACTER"",
  LET(
   base,REGEXREPLACE(id,""@\d+$"",""""),
   required,VALUE(REGEXEXTRACT(id,""@(\d+)$"")),
   current,XLOOKUP(
    base,
    tblPlayer[PlayerStateID],
    tblPlayer[Value],
    0
   ),
   current&gt;=required
  )"&amp;",
  IF(
   T48=""AUTO"",
   L48=0,
   COUNTIFS(
    tblChecklist[TargetID],id,
    tblChecklist[PlayerCompleted],TRUE
   )&gt;0
  )
 )
)"),FALSE)</f>
        <v>0</v>
      </c>
      <c r="E48" s="26" t="str">
        <f t="array" ref="E48">_xlfn.XLOOKUP(
 A48,
 tblTargets[TargetID],
 tblTargets[TargetType],
 ""
)</f>
        <v>BUILDING</v>
      </c>
      <c r="F48" s="26" t="str">
        <f t="array" ref="F48">_xlfn.XLOOKUP(
 A48,
 tblTargets[TargetID],
 tblTargets[StateType],
 ""
)</f>
        <v/>
      </c>
      <c r="G48" s="26">
        <f>LET(
 id,A48,
 depCount,COUNTIF(tblDependencies[TargetID],id),
 objCount,COUNTIF(tblQuestObjectives[QuestTargetID],id),
 depCount+objCount
)</f>
        <v>1</v>
      </c>
      <c r="H48" s="26">
        <f t="shared" si="2"/>
        <v>1</v>
      </c>
      <c r="I48" s="26">
        <f>IFERROR(__xludf.DUMMYFUNCTION("LET(
 id,A48,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 s="26">
        <f t="shared" si="3"/>
        <v>0</v>
      </c>
      <c r="K48" s="26" t="b">
        <f t="shared" si="4"/>
        <v>0</v>
      </c>
      <c r="L48" s="26">
        <f t="shared" si="5"/>
        <v>1</v>
      </c>
      <c r="M48" s="26" t="str">
        <f>IFERROR(__xludf.DUMMYFUNCTION("LET(
 id,A48,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L48=0,
  """",
  IFERROR(INDEX(incomplete,1),"""")
 "&amp;")
)"),"building.furnace@1")</f>
        <v>building.furnace@1</v>
      </c>
      <c r="N48" s="26" t="str">
        <f t="array" ref="N48">IF(
 M48="",
 "",
 _xlfn.XLOOKUP(
  M48,
  tblTargets[TargetID],
  tblTargets[DisplayName],
  M48
 )
)</f>
        <v>Furnace Lv 1</v>
      </c>
      <c r="O48" s="26" t="str">
        <f>IFERROR(__xludf.DUMMYFUNCTION("SWITCH(
 E48,
 ""BUILDING"",XLOOKUP(A48,tblBuildings[BuildingID],tblBuildings[costtext],""""),
 ""TECH"",XLOOKUP(A48,tblTechnologies[TechnologyID],tblTechnologies[costtext],""""),
 ""QUEST"",XLOOKUP(
  REGEXREPLACE(A48,""\.[^.]+$"",""""),
  tblQuests[Ques"&amp;"tID],
  tblQuests[Costtext],
  """"
 ),
 ""CITADEL"",XLOOKUP(A48,tblCitadel[CitadelID],tblCitadel[costtext],""""),
 ""COLLECTION"",XLOOKUP(A48,tblCollections[CollectionID],tblCollections[costtext],""""),
 ""CRAFTIFACT"",XLOOKUP(A48,tblCraftifacts[Craftifa"&amp;"ctID],tblCraftifacts[costtext],""""),
 """"
)"),"3 ruby,500 coin,400 beam,200 stone,20 steel")</f>
        <v>3 ruby,500 coin,400 beam,200 stone,20 steel</v>
      </c>
      <c r="P48" s="26" t="str">
        <f t="shared" si="6"/>
        <v>BLOCKED</v>
      </c>
      <c r="Q48" s="26" t="str">
        <f t="shared" si="7"/>
        <v>BLOCKED</v>
      </c>
      <c r="R48" s="26">
        <f t="array" ref="R48">IFERROR(
 _xlfn.XLOOKUP(
  A48,
  tblChecklist[TargetID],
  tblChecklist[PlayerSort],
  ""
 ),
 ""
)</f>
        <v>11</v>
      </c>
      <c r="S48" s="26" t="str">
        <f>IFERROR(__xludf.DUMMYFUNCTION("LET(
 id,A48,
 successorIDs,
  IFERROR(
   UNIQUE(
    FILTER(
     {
      Dependencies!$A$2:$A$1000;
      QuestObjectives!$A$2:$A$1000
     },
     {
      Dependencies!$B$2:$B$1000;
      QuestObjectives!$E$2:$E$1000
     }=id
    )
   ),
   """"
  ),"&amp;"
 names,
  MAP(
   successorIDs,
   LAMBDA(s,
    IF(
     s="""",
     """",
     XLOOKUP(
      s,
      $A$2:$A$1000,
      $B$2:$B$1000,
      s
     )
    )
   )
  ),
 IF(
  successorIDs="""",
  """",
  TEXTJOIN("", "",TRUE,names)
 )
)"),"Furnace Lv 3")</f>
        <v>Furnace Lv 3</v>
      </c>
      <c r="T48" s="26" t="str">
        <f t="array" ref="T48">_xlfn.XLOOKUP(
 A48,
 tblTargets[TargetID],
 tblTargets[CompletionMethod],
 ""
)</f>
        <v>PLAYER</v>
      </c>
      <c r="U48" s="84" t="b">
        <f>COUNTIF(tblCost[TargetID],A48)&gt;0</f>
        <v>1</v>
      </c>
      <c r="V48" s="85">
        <f t="array" ref="V48">IF(
 U48=FALSE,
 "",
 _xlfn.XLOOKUP(
  A48,
  tblCost[TargetID],
  tblCost[FundingPercent],
  ""
 )
)</f>
        <v>0</v>
      </c>
      <c r="W48" s="26">
        <f t="array" ref="W48">IF(
 U48=FALSE,
 "",
 _xlfn.XLOOKUP(
  A48,
  tblCost[TargetID],
  tblCost[RemainingRequirements],
  ""
 )
)</f>
        <v>5</v>
      </c>
      <c r="X48" s="45" t="b">
        <f t="array" ref="X48">IF(
 U48=FALSE,
 "N/A",
 _xlfn.XLOOKUP(
  A49,
  tblCost[TargetID],
  tblCost[TargetFunded],
  FALSE
 )
)</f>
        <v>0</v>
      </c>
      <c r="Y48" s="26" t="str">
        <f>IFERROR(__xludf.DUMMYFUNCTION("IFERROR(
 TEXTJOIN(
  "", "",
  TRUE,
  FILTER(
   'cost checklist'!$E$2:$E1000&amp;"": ""&amp;'cost checklist'!$G$2:$G1000,
   'cost checklist'!$B$2:$B1000=A48,
   'cost checklist'!$J$2:$J1000=FALSE
  )
 ),
 """"
)"),"beam: 400, coin: 500, ruby: 3, steel: 20, stone: 200")</f>
        <v>beam: 400, coin: 500, ruby: 3, steel: 20, stone: 200</v>
      </c>
      <c r="Z48" s="26" t="b">
        <f>IFERROR(__xludf.DUMMYFUNCTION("IF(
 AND(
  E48=""QUEST"",
  RIGHT(A48,9)="".accepted"",
  D48=TRUE
 ),
 XLOOKUP(
  REGEXREPLACE(A48,""\.accepted$"","""")&amp;"".finished"",
  $A$2:$A1000,
  $D$2:$D1000,
  TRUE
 )=FALSE,
 FALSE
)"),FALSE)</f>
        <v>0</v>
      </c>
      <c r="AA48" s="26" t="str">
        <f>IFERROR(__xludf.DUMMYFUNCTION("LET(
 id,A48,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49" ht="14.25" customHeight="1">
      <c r="A49" s="26" t="s">
        <v>251</v>
      </c>
      <c r="B49" s="26" t="str">
        <f t="array" ref="B49">_xlfn.XLOOKUP(
 A49,
 tblTargets[TargetID],
 tblTargets[DisplayName],
 ""
)</f>
        <v>Furnace Lv 3</v>
      </c>
      <c r="C49" s="26" t="str">
        <f t="shared" si="1"/>
        <v>BLOCKED</v>
      </c>
      <c r="D49" s="26" t="b">
        <f>IFERROR(__xludf.DUMMYFUNCTION("LET(
 id,A49,
 IF(
  F49=""CHARACTER"",
  LET(
   base,REGEXREPLACE(id,""@\d+$"",""""),
   required,VALUE(REGEXEXTRACT(id,""@(\d+)$"")),
   current,XLOOKUP(
    base,
    tblPlayer[PlayerStateID],
    tblPlayer[Value],
    0
   ),
   current&gt;=required
  )"&amp;",
  IF(
   T49=""AUTO"",
   L49=0,
   COUNTIFS(
    tblChecklist[TargetID],id,
    tblChecklist[PlayerCompleted],TRUE
   )&gt;0
  )
 )
)"),FALSE)</f>
        <v>0</v>
      </c>
      <c r="E49" s="26" t="str">
        <f t="array" ref="E49">_xlfn.XLOOKUP(
 A49,
 tblTargets[TargetID],
 tblTargets[TargetType],
 ""
)</f>
        <v>BUILDING</v>
      </c>
      <c r="F49" s="26" t="str">
        <f t="array" ref="F49">_xlfn.XLOOKUP(
 A49,
 tblTargets[TargetID],
 tblTargets[StateType],
 ""
)</f>
        <v/>
      </c>
      <c r="G49" s="26">
        <f>LET(
 id,A49,
 depCount,COUNTIF(tblDependencies[TargetID],id),
 objCount,COUNTIF(tblQuestObjectives[QuestTargetID],id),
 depCount+objCount
)</f>
        <v>1</v>
      </c>
      <c r="H49" s="26">
        <f t="shared" si="2"/>
        <v>1</v>
      </c>
      <c r="I49" s="26">
        <f>IFERROR(__xludf.DUMMYFUNCTION("LET(
 id,A49,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 s="26">
        <f t="shared" si="3"/>
        <v>0</v>
      </c>
      <c r="K49" s="26" t="b">
        <f t="shared" si="4"/>
        <v>0</v>
      </c>
      <c r="L49" s="26">
        <f t="shared" si="5"/>
        <v>1</v>
      </c>
      <c r="M49" s="26" t="str">
        <f>IFERROR(__xludf.DUMMYFUNCTION("LET(
 id,A49,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L49=0,
  """",
  IFERROR(INDEX(incomplete,1),"""")
 "&amp;")
)"),"building.furnace@2")</f>
        <v>building.furnace@2</v>
      </c>
      <c r="N49" s="26" t="str">
        <f t="array" ref="N49">IF(
 M49="",
 "",
 _xlfn.XLOOKUP(
  M49,
  tblTargets[TargetID],
  tblTargets[DisplayName],
  M49
 )
)</f>
        <v>Furnace Lv 2</v>
      </c>
      <c r="O49" s="26" t="str">
        <f>IFERROR(__xludf.DUMMYFUNCTION("SWITCH(
 E49,
 ""BUILDING"",XLOOKUP(A49,tblBuildings[BuildingID],tblBuildings[costtext],""""),
 ""TECH"",XLOOKUP(A49,tblTechnologies[TechnologyID],tblTechnologies[costtext],""""),
 ""QUEST"",XLOOKUP(
  REGEXREPLACE(A49,""\.[^.]+$"",""""),
  tblQuests[Ques"&amp;"tID],
  tblQuests[Costtext],
  """"
 ),
 ""CITADEL"",XLOOKUP(A49,tblCitadel[CitadelID],tblCitadel[costtext],""""),
 ""COLLECTION"",XLOOKUP(A49,tblCollections[CollectionID],tblCollections[costtext],""""),
 ""CRAFTIFACT"",XLOOKUP(A49,tblCraftifacts[Craftifa"&amp;"ctID],tblCraftifacts[costtext],""""),
 """"
)"),"5 ruby,800 coin,600 plank,300 stone,50 steel")</f>
        <v>5 ruby,800 coin,600 plank,300 stone,50 steel</v>
      </c>
      <c r="P49" s="26" t="str">
        <f t="shared" si="6"/>
        <v>BLOCKED</v>
      </c>
      <c r="Q49" s="26" t="str">
        <f t="shared" si="7"/>
        <v>BLOCKED</v>
      </c>
      <c r="R49" s="26">
        <f t="array" ref="R49">IFERROR(
 _xlfn.XLOOKUP(
  A49,
  tblChecklist[TargetID],
  tblChecklist[PlayerSort],
  ""
 ),
 ""
)</f>
        <v>46</v>
      </c>
      <c r="S49" s="26" t="str">
        <f>IFERROR(__xludf.DUMMYFUNCTION("LET(
 id,A49,
 successorIDs,
  IFERROR(
   UNIQUE(
    FILTER(
     {
      Dependencies!$A$2:$A$1000;
      QuestObjectives!$A$2:$A$1000
     },
     {
      Dependencies!$B$2:$B$1000;
      QuestObjectives!$E$2:$E$1000
     }=id
    )
   ),
   """"
  ),"&amp;"
 names,
  MAP(
   successorIDs,
   LAMBDA(s,
    IF(
     s="""",
     """",
     XLOOKUP(
      s,
      $A$2:$A$1000,
      $B$2:$B$1000,
      s
     )
    )
   )
  ),
 IF(
  successorIDs="""",
  """",
  TEXTJOIN("", "",TRUE,names)
 )
)"),"Furnace maxed, Hotei Statuette")</f>
        <v>Furnace maxed, Hotei Statuette</v>
      </c>
      <c r="T49" s="26" t="str">
        <f t="array" ref="T49">_xlfn.XLOOKUP(
 A49,
 tblTargets[TargetID],
 tblTargets[CompletionMethod],
 ""
)</f>
        <v>PLAYER</v>
      </c>
      <c r="U49" s="84" t="b">
        <f>COUNTIF(tblCost[TargetID],A49)&gt;0</f>
        <v>1</v>
      </c>
      <c r="V49" s="85">
        <f t="array" ref="V49">IF(
 U49=FALSE,
 "",
 _xlfn.XLOOKUP(
  A49,
  tblCost[TargetID],
  tblCost[FundingPercent],
  ""
 )
)</f>
        <v>0</v>
      </c>
      <c r="W49" s="26">
        <f t="array" ref="W49">IF(
 U49=FALSE,
 "",
 _xlfn.XLOOKUP(
  A49,
  tblCost[TargetID],
  tblCost[RemainingRequirements],
  ""
 )
)</f>
        <v>5</v>
      </c>
      <c r="X49" s="45" t="b">
        <f t="array" ref="X49">IF(
 U49=FALSE,
 "N/A",
 _xlfn.XLOOKUP(
  A50,
  tblCost[TargetID],
  tblCost[TargetFunded],
  FALSE
 )
)</f>
        <v>0</v>
      </c>
      <c r="Y49" s="26" t="str">
        <f>IFERROR(__xludf.DUMMYFUNCTION("IFERROR(
 TEXTJOIN(
  "", "",
  TRUE,
  FILTER(
   'cost checklist'!$E$2:$E1000&amp;"": ""&amp;'cost checklist'!$G$2:$G1000,
   'cost checklist'!$B$2:$B1000=A49,
   'cost checklist'!$J$2:$J1000=FALSE
  )
 ),
 """"
)"),"coin: 800, plank: 600, ruby: 5, steel: 50, stone: 300")</f>
        <v>coin: 800, plank: 600, ruby: 5, steel: 50, stone: 300</v>
      </c>
      <c r="Z49" s="26" t="b">
        <f>IFERROR(__xludf.DUMMYFUNCTION("IF(
 AND(
  E49=""QUEST"",
  RIGHT(A49,9)="".accepted"",
  D49=TRUE
 ),
 XLOOKUP(
  REGEXREPLACE(A49,""\.accepted$"","""")&amp;"".finished"",
  $A$2:$A1000,
  $D$2:$D1000,
  TRUE
 )=FALSE,
 FALSE
)"),FALSE)</f>
        <v>0</v>
      </c>
      <c r="AA49" s="26" t="str">
        <f>IFERROR(__xludf.DUMMYFUNCTION("LET(
 id,A49,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0" ht="14.25" customHeight="1">
      <c r="A50" s="26" t="s">
        <v>751</v>
      </c>
      <c r="B50" s="26" t="str">
        <f t="array" ref="B50">_xlfn.XLOOKUP(
 A50,
 tblTargets[TargetID],
 tblTargets[DisplayName],
 ""
)</f>
        <v>Garden maxed</v>
      </c>
      <c r="C50" s="26" t="str">
        <f t="shared" si="1"/>
        <v>BLOCKED</v>
      </c>
      <c r="D50" s="26" t="b">
        <f>IFERROR(__xludf.DUMMYFUNCTION("LET(
 id,A50,
 IF(
  F50=""CHARACTER"",
  LET(
   base,REGEXREPLACE(id,""@\d+$"",""""),
   required,VALUE(REGEXEXTRACT(id,""@(\d+)$"")),
   current,XLOOKUP(
    base,
    tblPlayer[PlayerStateID],
    tblPlayer[Value],
    0
   ),
   current&gt;=required
  )"&amp;",
  IF(
   T50=""AUTO"",
   L50=0,
   COUNTIFS(
    tblChecklist[TargetID],id,
    tblChecklist[PlayerCompleted],TRUE
   )&gt;0
  )
 )
)"),FALSE)</f>
        <v>0</v>
      </c>
      <c r="E50" s="26" t="str">
        <f t="array" ref="E50">_xlfn.XLOOKUP(
 A50,
 tblTargets[TargetID],
 tblTargets[TargetType],
 ""
)</f>
        <v>BUILDING</v>
      </c>
      <c r="F50" s="26" t="str">
        <f t="array" ref="F50">_xlfn.XLOOKUP(
 A50,
 tblTargets[TargetID],
 tblTargets[StateType],
 ""
)</f>
        <v/>
      </c>
      <c r="G50" s="26">
        <f>LET(
 id,A50,
 depCount,COUNTIF(tblDependencies[TargetID],id),
 objCount,COUNTIF(tblQuestObjectives[QuestTargetID],id),
 depCount+objCount
)</f>
        <v>1</v>
      </c>
      <c r="H50" s="26">
        <f t="shared" si="2"/>
        <v>1</v>
      </c>
      <c r="I50" s="26">
        <f>IFERROR(__xludf.DUMMYFUNCTION("LET(
 id,A50,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 s="26">
        <f t="shared" si="3"/>
        <v>0</v>
      </c>
      <c r="K50" s="26" t="b">
        <f t="shared" si="4"/>
        <v>0</v>
      </c>
      <c r="L50" s="26">
        <f t="shared" si="5"/>
        <v>1</v>
      </c>
      <c r="M50" s="26" t="str">
        <f>IFERROR(__xludf.DUMMYFUNCTION("LET(
 id,A50,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L50=0,
  """",
  IFERROR(INDEX(incomplete,1),"""")
 "&amp;")
)"),"building.garden@3")</f>
        <v>building.garden@3</v>
      </c>
      <c r="N50" s="26" t="str">
        <f t="array" ref="N50">IF(
 M50="",
 "",
 _xlfn.XLOOKUP(
  M50,
  tblTargets[TargetID],
  tblTargets[DisplayName],
  M50
 )
)</f>
        <v>Garden Lv 3</v>
      </c>
      <c r="O50" s="26" t="str">
        <f>IFERROR(__xludf.DUMMYFUNCTION("SWITCH(
 E50,
 ""BUILDING"",XLOOKUP(A50,tblBuildings[BuildingID],tblBuildings[costtext],""""),
 ""TECH"",XLOOKUP(A50,tblTechnologies[TechnologyID],tblTechnologies[costtext],""""),
 ""QUEST"",XLOOKUP(
  REGEXREPLACE(A50,""\.[^.]+$"",""""),
  tblQuests[Ques"&amp;"tID],
  tblQuests[Costtext],
  """"
 ),
 ""CITADEL"",XLOOKUP(A50,tblCitadel[CitadelID],tblCitadel[costtext],""""),
 ""COLLECTION"",XLOOKUP(A50,tblCollections[CollectionID],tblCollections[costtext],""""),
 ""CRAFTIFACT"",XLOOKUP(A50,tblCraftifacts[Craftifa"&amp;"ctID],tblCraftifacts[costtext],""""),
 """"
)"),"")</f>
        <v/>
      </c>
      <c r="P50" s="26" t="str">
        <f t="shared" si="6"/>
        <v>BLOCKED</v>
      </c>
      <c r="Q50" s="26" t="str">
        <f t="shared" si="7"/>
        <v>BLOCKED</v>
      </c>
      <c r="R50" s="26" t="str">
        <f t="array" ref="R50">IFERROR(
 _xlfn.XLOOKUP(
  A50,
  tblChecklist[TargetID],
  tblChecklist[PlayerSort],
  ""
 ),
 ""
)</f>
        <v/>
      </c>
      <c r="S50" s="26" t="str">
        <f>IFERROR(__xludf.DUMMYFUNCTION("LET(
 id,A50,
 successorIDs,
  IFERROR(
   UNIQUE(
    FILTER(
     {
      Dependencies!$A$2:$A$1000;
      QuestObjectives!$A$2:$A$1000
     },
     {
      Dependencies!$B$2:$B$1000;
      QuestObjectives!$E$2:$E$1000
     }=id
    )
   ),
   """"
  ),"&amp;"
 names,
  MAP(
   successorIDs,
   LAMBDA(s,
    IF(
     s="""",
     """",
     XLOOKUP(
      s,
      $A$2:$A$1000,
      $B$2:$B$1000,
      s
     )
    )
   )
  ),
 IF(
  successorIDs="""",
  """",
  TEXTJOIN("", "",TRUE,names)
 )
)"),"Garden - Sprinkler")</f>
        <v>Garden - Sprinkler</v>
      </c>
      <c r="T50" s="26" t="str">
        <f t="array" ref="T50">_xlfn.XLOOKUP(
 A50,
 tblTargets[TargetID],
 tblTargets[CompletionMethod],
 ""
)</f>
        <v>AUTO</v>
      </c>
      <c r="U50" s="84" t="b">
        <f>COUNTIF(tblCost[TargetID],A50)&gt;0</f>
        <v>0</v>
      </c>
      <c r="V50" s="85" t="str">
        <f t="array" ref="V50">IF(
 U50=FALSE,
 "",
 _xlfn.XLOOKUP(
  A50,
  tblCost[TargetID],
  tblCost[FundingPercent],
  ""
 )
)</f>
        <v/>
      </c>
      <c r="W50" s="26" t="str">
        <f t="array" ref="W50">IF(
 U50=FALSE,
 "",
 _xlfn.XLOOKUP(
  A50,
  tblCost[TargetID],
  tblCost[RemainingRequirements],
  ""
 )
)</f>
        <v/>
      </c>
      <c r="X50" s="45" t="str">
        <f t="array" ref="X50">IF(
 U50=FALSE,
 "N/A",
 _xlfn.XLOOKUP(
  A51,
  tblCost[TargetID],
  tblCost[TargetFunded],
  FALSE
 )
)</f>
        <v>N/A</v>
      </c>
      <c r="Y50" s="26" t="str">
        <f>IFERROR(__xludf.DUMMYFUNCTION("IFERROR(
 TEXTJOIN(
  "", "",
  TRUE,
  FILTER(
   'cost checklist'!$E$2:$E1000&amp;"": ""&amp;'cost checklist'!$G$2:$G1000,
   'cost checklist'!$B$2:$B1000=A50,
   'cost checklist'!$J$2:$J1000=FALSE
  )
 ),
 """"
)"),"")</f>
        <v/>
      </c>
      <c r="Z50" s="26" t="b">
        <f>IFERROR(__xludf.DUMMYFUNCTION("IF(
 AND(
  E50=""QUEST"",
  RIGHT(A50,9)="".accepted"",
  D50=TRUE
 ),
 XLOOKUP(
  REGEXREPLACE(A50,""\.accepted$"","""")&amp;"".finished"",
  $A$2:$A1000,
  $D$2:$D1000,
  TRUE
 )=FALSE,
 FALSE
)"),FALSE)</f>
        <v>0</v>
      </c>
      <c r="AA50" s="26" t="str">
        <f>IFERROR(__xludf.DUMMYFUNCTION("LET(
 id,A50,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1" ht="14.25" customHeight="1">
      <c r="A51" s="26" t="s">
        <v>255</v>
      </c>
      <c r="B51" s="26" t="str">
        <f t="array" ref="B51">_xlfn.XLOOKUP(
 A51,
 tblTargets[TargetID],
 tblTargets[DisplayName],
 ""
)</f>
        <v>Garden Lv 1</v>
      </c>
      <c r="C51" s="26" t="str">
        <f t="shared" si="1"/>
        <v>BLOCKED</v>
      </c>
      <c r="D51" s="26" t="b">
        <f>IFERROR(__xludf.DUMMYFUNCTION("LET(
 id,A51,
 IF(
  F51=""CHARACTER"",
  LET(
   base,REGEXREPLACE(id,""@\d+$"",""""),
   required,VALUE(REGEXEXTRACT(id,""@(\d+)$"")),
   current,XLOOKUP(
    base,
    tblPlayer[PlayerStateID],
    tblPlayer[Value],
    0
   ),
   current&gt;=required
  )"&amp;",
  IF(
   T51=""AUTO"",
   L51=0,
   COUNTIFS(
    tblChecklist[TargetID],id,
    tblChecklist[PlayerCompleted],TRUE
   )&gt;0
  )
 )
)"),FALSE)</f>
        <v>0</v>
      </c>
      <c r="E51" s="26" t="str">
        <f t="array" ref="E51">_xlfn.XLOOKUP(
 A51,
 tblTargets[TargetID],
 tblTargets[TargetType],
 ""
)</f>
        <v>BUILDING</v>
      </c>
      <c r="F51" s="26" t="str">
        <f t="array" ref="F51">_xlfn.XLOOKUP(
 A51,
 tblTargets[TargetID],
 tblTargets[StateType],
 ""
)</f>
        <v/>
      </c>
      <c r="G51" s="26">
        <f>LET(
 id,A51,
 depCount,COUNTIF(tblDependencies[TargetID],id),
 objCount,COUNTIF(tblQuestObjectives[QuestTargetID],id),
 depCount+objCount
)</f>
        <v>1</v>
      </c>
      <c r="H51" s="26">
        <f t="shared" si="2"/>
        <v>1</v>
      </c>
      <c r="I51" s="26">
        <f>IFERROR(__xludf.DUMMYFUNCTION("LET(
 id,A51,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 s="26">
        <f t="shared" si="3"/>
        <v>0</v>
      </c>
      <c r="K51" s="26" t="b">
        <f t="shared" si="4"/>
        <v>0</v>
      </c>
      <c r="L51" s="26">
        <f t="shared" si="5"/>
        <v>1</v>
      </c>
      <c r="M51" s="26" t="str">
        <f>IFERROR(__xludf.DUMMYFUNCTION("LET(
 id,A51,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L51=0,
  """",
  IFERROR(INDEX(incomplete,1),"""")
 "&amp;")
)"),"state.character_level@12")</f>
        <v>state.character_level@12</v>
      </c>
      <c r="N51" s="26" t="str">
        <f t="array" ref="N51">IF(
 M51="",
 "",
 _xlfn.XLOOKUP(
  M51,
  tblTargets[TargetID],
  tblTargets[DisplayName],
  M51
 )
)</f>
        <v>Character Level@12</v>
      </c>
      <c r="O51" s="26" t="str">
        <f>IFERROR(__xludf.DUMMYFUNCTION("SWITCH(
 E51,
 ""BUILDING"",XLOOKUP(A51,tblBuildings[BuildingID],tblBuildings[costtext],""""),
 ""TECH"",XLOOKUP(A51,tblTechnologies[TechnologyID],tblTechnologies[costtext],""""),
 ""QUEST"",XLOOKUP(
  REGEXREPLACE(A51,""\.[^.]+$"",""""),
  tblQuests[Ques"&amp;"tID],
  tblQuests[Costtext],
  """"
 ),
 ""CITADEL"",XLOOKUP(A51,tblCitadel[CitadelID],tblCitadel[costtext],""""),
 ""COLLECTION"",XLOOKUP(A51,tblCollections[CollectionID],tblCollections[costtext],""""),
 ""CRAFTIFACT"",XLOOKUP(A51,tblCraftifacts[Craftifa"&amp;"ctID],tblCraftifacts[costtext],""""),
 """"
)"),"1 ruby,400 coin,200 wood,100 stone")</f>
        <v>1 ruby,400 coin,200 wood,100 stone</v>
      </c>
      <c r="P51" s="26" t="str">
        <f t="shared" si="6"/>
        <v>READY</v>
      </c>
      <c r="Q51" s="26" t="str">
        <f t="shared" si="7"/>
        <v>ONE AWAY</v>
      </c>
      <c r="R51" s="26">
        <f t="array" ref="R51">IFERROR(
 _xlfn.XLOOKUP(
  A51,
  tblChecklist[TargetID],
  tblChecklist[PlayerSort],
  ""
 ),
 ""
)</f>
        <v>86</v>
      </c>
      <c r="S51" s="26" t="str">
        <f>IFERROR(__xludf.DUMMYFUNCTION("LET(
 id,A51,
 successorIDs,
  IFERROR(
   UNIQUE(
    FILTER(
     {
      Dependencies!$A$2:$A$1000;
      QuestObjectives!$A$2:$A$1000
     },
     {
      Dependencies!$B$2:$B$1000;
      QuestObjectives!$E$2:$E$1000
     }=id
    )
   ),
   """"
  ),"&amp;"
 names,
  MAP(
   successorIDs,
   LAMBDA(s,
    IF(
     s="""",
     """",
     XLOOKUP(
      s,
      $A$2:$A$1000,
      $B$2:$B$1000,
      s
     )
    )
   )
  ),
 IF(
  successorIDs="""",
  """",
  TEXTJOIN("", "",TRUE,names)
 )
)"),"Garden Lv 2")</f>
        <v>Garden Lv 2</v>
      </c>
      <c r="T51" s="26" t="str">
        <f t="array" ref="T51">_xlfn.XLOOKUP(
 A51,
 tblTargets[TargetID],
 tblTargets[CompletionMethod],
 ""
)</f>
        <v>PLAYER</v>
      </c>
      <c r="U51" s="84" t="b">
        <f>COUNTIF(tblCost[TargetID],A51)&gt;0</f>
        <v>1</v>
      </c>
      <c r="V51" s="85">
        <f t="array" ref="V51">IF(
 U51=FALSE,
 "",
 _xlfn.XLOOKUP(
  A51,
  tblCost[TargetID],
  tblCost[FundingPercent],
  ""
 )
)</f>
        <v>0</v>
      </c>
      <c r="W51" s="26">
        <f t="array" ref="W51">IF(
 U51=FALSE,
 "",
 _xlfn.XLOOKUP(
  A51,
  tblCost[TargetID],
  tblCost[RemainingRequirements],
  ""
 )
)</f>
        <v>4</v>
      </c>
      <c r="X51" s="45" t="b">
        <f t="array" ref="X51">IF(
 U51=FALSE,
 "N/A",
 _xlfn.XLOOKUP(
  A52,
  tblCost[TargetID],
  tblCost[TargetFunded],
  FALSE
 )
)</f>
        <v>0</v>
      </c>
      <c r="Y51" s="26" t="str">
        <f>IFERROR(__xludf.DUMMYFUNCTION("IFERROR(
 TEXTJOIN(
  "", "",
  TRUE,
  FILTER(
   'cost checklist'!$E$2:$E1000&amp;"": ""&amp;'cost checklist'!$G$2:$G1000,
   'cost checklist'!$B$2:$B1000=A51,
   'cost checklist'!$J$2:$J1000=FALSE
  )
 ),
 """"
)"),"coin: 400, ruby: 1, stone: 100, wood: 200")</f>
        <v>coin: 400, ruby: 1, stone: 100, wood: 200</v>
      </c>
      <c r="Z51" s="26" t="b">
        <f>IFERROR(__xludf.DUMMYFUNCTION("IF(
 AND(
  E51=""QUEST"",
  RIGHT(A51,9)="".accepted"",
  D51=TRUE
 ),
 XLOOKUP(
  REGEXREPLACE(A51,""\.accepted$"","""")&amp;"".finished"",
  $A$2:$A1000,
  $D$2:$D1000,
  TRUE
 )=FALSE,
 FALSE
)"),FALSE)</f>
        <v>0</v>
      </c>
      <c r="AA51" s="26" t="str">
        <f>IFERROR(__xludf.DUMMYFUNCTION("LET(
 id,A51,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2" ht="14.25" customHeight="1">
      <c r="A52" s="26" t="s">
        <v>258</v>
      </c>
      <c r="B52" s="26" t="str">
        <f t="array" ref="B52">_xlfn.XLOOKUP(
 A52,
 tblTargets[TargetID],
 tblTargets[DisplayName],
 ""
)</f>
        <v>Garden Lv 2</v>
      </c>
      <c r="C52" s="26" t="str">
        <f t="shared" si="1"/>
        <v>BLOCKED</v>
      </c>
      <c r="D52" s="26" t="b">
        <f>IFERROR(__xludf.DUMMYFUNCTION("LET(
 id,A52,
 IF(
  F52=""CHARACTER"",
  LET(
   base,REGEXREPLACE(id,""@\d+$"",""""),
   required,VALUE(REGEXEXTRACT(id,""@(\d+)$"")),
   current,XLOOKUP(
    base,
    tblPlayer[PlayerStateID],
    tblPlayer[Value],
    0
   ),
   current&gt;=required
  )"&amp;",
  IF(
   T52=""AUTO"",
   L52=0,
   COUNTIFS(
    tblChecklist[TargetID],id,
    tblChecklist[PlayerCompleted],TRUE
   )&gt;0
  )
 )
)"),FALSE)</f>
        <v>0</v>
      </c>
      <c r="E52" s="26" t="str">
        <f t="array" ref="E52">_xlfn.XLOOKUP(
 A52,
 tblTargets[TargetID],
 tblTargets[TargetType],
 ""
)</f>
        <v>BUILDING</v>
      </c>
      <c r="F52" s="26" t="str">
        <f t="array" ref="F52">_xlfn.XLOOKUP(
 A52,
 tblTargets[TargetID],
 tblTargets[StateType],
 ""
)</f>
        <v/>
      </c>
      <c r="G52" s="26">
        <f>LET(
 id,A52,
 depCount,COUNTIF(tblDependencies[TargetID],id),
 objCount,COUNTIF(tblQuestObjectives[QuestTargetID],id),
 depCount+objCount
)</f>
        <v>1</v>
      </c>
      <c r="H52" s="26">
        <f t="shared" si="2"/>
        <v>1</v>
      </c>
      <c r="I52" s="26">
        <f>IFERROR(__xludf.DUMMYFUNCTION("LET(
 id,A52,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 s="26">
        <f t="shared" si="3"/>
        <v>0</v>
      </c>
      <c r="K52" s="26" t="b">
        <f t="shared" si="4"/>
        <v>0</v>
      </c>
      <c r="L52" s="26">
        <f t="shared" si="5"/>
        <v>1</v>
      </c>
      <c r="M52" s="26" t="str">
        <f>IFERROR(__xludf.DUMMYFUNCTION("LET(
 id,A52,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L52=0,
  """",
  IFERROR(INDEX(incomplete,1),"""")
 "&amp;")
)"),"building.garden@1")</f>
        <v>building.garden@1</v>
      </c>
      <c r="N52" s="26" t="str">
        <f t="array" ref="N52">IF(
 M52="",
 "",
 _xlfn.XLOOKUP(
  M52,
  tblTargets[TargetID],
  tblTargets[DisplayName],
  M52
 )
)</f>
        <v>Garden Lv 1</v>
      </c>
      <c r="O52" s="26" t="str">
        <f>IFERROR(__xludf.DUMMYFUNCTION("SWITCH(
 E52,
 ""BUILDING"",XLOOKUP(A52,tblBuildings[BuildingID],tblBuildings[costtext],""""),
 ""TECH"",XLOOKUP(A52,tblTechnologies[TechnologyID],tblTechnologies[costtext],""""),
 ""QUEST"",XLOOKUP(
  REGEXREPLACE(A52,""\.[^.]+$"",""""),
  tblQuests[Ques"&amp;"tID],
  tblQuests[Costtext],
  """"
 ),
 ""CITADEL"",XLOOKUP(A52,tblCitadel[CitadelID],tblCitadel[costtext],""""),
 ""COLLECTION"",XLOOKUP(A52,tblCollections[CollectionID],tblCollections[costtext],""""),
 ""CRAFTIFACT"",XLOOKUP(A52,tblCraftifacts[Craftifa"&amp;"ctID],tblCraftifacts[costtext],""""),
 """"
)"),"2 ruby,600 coin,300 wood,150 stone")</f>
        <v>2 ruby,600 coin,300 wood,150 stone</v>
      </c>
      <c r="P52" s="26" t="str">
        <f t="shared" si="6"/>
        <v>BLOCKED</v>
      </c>
      <c r="Q52" s="26" t="str">
        <f t="shared" si="7"/>
        <v>BLOCKED</v>
      </c>
      <c r="R52" s="26">
        <f t="array" ref="R52">IFERROR(
 _xlfn.XLOOKUP(
  A52,
  tblChecklist[TargetID],
  tblChecklist[PlayerSort],
  ""
 ),
 ""
)</f>
        <v>87</v>
      </c>
      <c r="S52" s="26" t="str">
        <f>IFERROR(__xludf.DUMMYFUNCTION("LET(
 id,A52,
 successorIDs,
  IFERROR(
   UNIQUE(
    FILTER(
     {
      Dependencies!$A$2:$A$1000;
      QuestObjectives!$A$2:$A$1000
     },
     {
      Dependencies!$B$2:$B$1000;
      QuestObjectives!$E$2:$E$1000
     }=id
    )
   ),
   """"
  ),"&amp;"
 names,
  MAP(
   successorIDs,
   LAMBDA(s,
    IF(
     s="""",
     """",
     XLOOKUP(
      s,
      $A$2:$A$1000,
      $B$2:$B$1000,
      s
     )
    )
   )
  ),
 IF(
  successorIDs="""",
  """",
  TEXTJOIN("", "",TRUE,names)
 )
)"),"Garden Lv 3")</f>
        <v>Garden Lv 3</v>
      </c>
      <c r="T52" s="26" t="str">
        <f t="array" ref="T52">_xlfn.XLOOKUP(
 A52,
 tblTargets[TargetID],
 tblTargets[CompletionMethod],
 ""
)</f>
        <v>PLAYER</v>
      </c>
      <c r="U52" s="84" t="b">
        <f>COUNTIF(tblCost[TargetID],A52)&gt;0</f>
        <v>1</v>
      </c>
      <c r="V52" s="85">
        <f t="array" ref="V52">IF(
 U52=FALSE,
 "",
 _xlfn.XLOOKUP(
  A52,
  tblCost[TargetID],
  tblCost[FundingPercent],
  ""
 )
)</f>
        <v>0</v>
      </c>
      <c r="W52" s="26">
        <f t="array" ref="W52">IF(
 U52=FALSE,
 "",
 _xlfn.XLOOKUP(
  A52,
  tblCost[TargetID],
  tblCost[RemainingRequirements],
  ""
 )
)</f>
        <v>4</v>
      </c>
      <c r="X52" s="45" t="b">
        <f t="array" ref="X52">IF(
 U52=FALSE,
 "N/A",
 _xlfn.XLOOKUP(
  A53,
  tblCost[TargetID],
  tblCost[TargetFunded],
  FALSE
 )
)</f>
        <v>0</v>
      </c>
      <c r="Y52" s="26" t="str">
        <f>IFERROR(__xludf.DUMMYFUNCTION("IFERROR(
 TEXTJOIN(
  "", "",
  TRUE,
  FILTER(
   'cost checklist'!$E$2:$E1000&amp;"": ""&amp;'cost checklist'!$G$2:$G1000,
   'cost checklist'!$B$2:$B1000=A52,
   'cost checklist'!$J$2:$J1000=FALSE
  )
 ),
 """"
)"),"coin: 600, ruby: 2, stone: 150, wood: 300")</f>
        <v>coin: 600, ruby: 2, stone: 150, wood: 300</v>
      </c>
      <c r="Z52" s="26" t="b">
        <f>IFERROR(__xludf.DUMMYFUNCTION("IF(
 AND(
  E52=""QUEST"",
  RIGHT(A52,9)="".accepted"",
  D52=TRUE
 ),
 XLOOKUP(
  REGEXREPLACE(A52,""\.accepted$"","""")&amp;"".finished"",
  $A$2:$A1000,
  $D$2:$D1000,
  TRUE
 )=FALSE,
 FALSE
)"),FALSE)</f>
        <v>0</v>
      </c>
      <c r="AA52" s="26" t="str">
        <f>IFERROR(__xludf.DUMMYFUNCTION("LET(
 id,A52,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3" ht="14.25" customHeight="1">
      <c r="A53" s="26" t="s">
        <v>262</v>
      </c>
      <c r="B53" s="26" t="str">
        <f t="array" ref="B53">_xlfn.XLOOKUP(
 A53,
 tblTargets[TargetID],
 tblTargets[DisplayName],
 ""
)</f>
        <v>Garden Lv 3</v>
      </c>
      <c r="C53" s="26" t="str">
        <f t="shared" si="1"/>
        <v>BLOCKED</v>
      </c>
      <c r="D53" s="26" t="b">
        <f>IFERROR(__xludf.DUMMYFUNCTION("LET(
 id,A53,
 IF(
  F53=""CHARACTER"",
  LET(
   base,REGEXREPLACE(id,""@\d+$"",""""),
   required,VALUE(REGEXEXTRACT(id,""@(\d+)$"")),
   current,XLOOKUP(
    base,
    tblPlayer[PlayerStateID],
    tblPlayer[Value],
    0
   ),
   current&gt;=required
  )"&amp;",
  IF(
   T53=""AUTO"",
   L53=0,
   COUNTIFS(
    tblChecklist[TargetID],id,
    tblChecklist[PlayerCompleted],TRUE
   )&gt;0
  )
 )
)"),FALSE)</f>
        <v>0</v>
      </c>
      <c r="E53" s="26" t="str">
        <f t="array" ref="E53">_xlfn.XLOOKUP(
 A53,
 tblTargets[TargetID],
 tblTargets[TargetType],
 ""
)</f>
        <v>BUILDING</v>
      </c>
      <c r="F53" s="26" t="str">
        <f t="array" ref="F53">_xlfn.XLOOKUP(
 A53,
 tblTargets[TargetID],
 tblTargets[StateType],
 ""
)</f>
        <v/>
      </c>
      <c r="G53" s="26">
        <f>LET(
 id,A53,
 depCount,COUNTIF(tblDependencies[TargetID],id),
 objCount,COUNTIF(tblQuestObjectives[QuestTargetID],id),
 depCount+objCount
)</f>
        <v>1</v>
      </c>
      <c r="H53" s="26">
        <f t="shared" si="2"/>
        <v>1</v>
      </c>
      <c r="I53" s="26">
        <f>IFERROR(__xludf.DUMMYFUNCTION("LET(
 id,A53,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 s="26">
        <f t="shared" si="3"/>
        <v>0</v>
      </c>
      <c r="K53" s="26" t="b">
        <f t="shared" si="4"/>
        <v>0</v>
      </c>
      <c r="L53" s="26">
        <f t="shared" si="5"/>
        <v>1</v>
      </c>
      <c r="M53" s="26" t="str">
        <f>IFERROR(__xludf.DUMMYFUNCTION("LET(
 id,A53,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L53=0,
  """",
  IFERROR(INDEX(incomplete,1),"""")
 "&amp;")
)"),"building.garden@2")</f>
        <v>building.garden@2</v>
      </c>
      <c r="N53" s="26" t="str">
        <f t="array" ref="N53">IF(
 M53="",
 "",
 _xlfn.XLOOKUP(
  M53,
  tblTargets[TargetID],
  tblTargets[DisplayName],
  M53
 )
)</f>
        <v>Garden Lv 2</v>
      </c>
      <c r="O53" s="26" t="str">
        <f>IFERROR(__xludf.DUMMYFUNCTION("SWITCH(
 E53,
 ""BUILDING"",XLOOKUP(A53,tblBuildings[BuildingID],tblBuildings[costtext],""""),
 ""TECH"",XLOOKUP(A53,tblTechnologies[TechnologyID],tblTechnologies[costtext],""""),
 ""QUEST"",XLOOKUP(
  REGEXREPLACE(A53,""\.[^.]+$"",""""),
  tblQuests[Ques"&amp;"tID],
  tblQuests[Costtext],
  """"
 ),
 ""CITADEL"",XLOOKUP(A53,tblCitadel[CitadelID],tblCitadel[costtext],""""),
 ""COLLECTION"",XLOOKUP(A53,tblCollections[CollectionID],tblCollections[costtext],""""),
 ""CRAFTIFACT"",XLOOKUP(A53,tblCraftifacts[Craftifa"&amp;"ctID],tblCraftifacts[costtext],""""),
 """"
)"),"4 ruby,1000 coin,800 beam,200 stone")</f>
        <v>4 ruby,1000 coin,800 beam,200 stone</v>
      </c>
      <c r="P53" s="26" t="str">
        <f t="shared" si="6"/>
        <v>BLOCKED</v>
      </c>
      <c r="Q53" s="26" t="str">
        <f t="shared" si="7"/>
        <v>BLOCKED</v>
      </c>
      <c r="R53" s="26">
        <f t="array" ref="R53">IFERROR(
 _xlfn.XLOOKUP(
  A53,
  tblChecklist[TargetID],
  tblChecklist[PlayerSort],
  ""
 ),
 ""
)</f>
        <v>88</v>
      </c>
      <c r="S53" s="26" t="str">
        <f>IFERROR(__xludf.DUMMYFUNCTION("LET(
 id,A53,
 successorIDs,
  IFERROR(
   UNIQUE(
    FILTER(
     {
      Dependencies!$A$2:$A$1000;
      QuestObjectives!$A$2:$A$1000
     },
     {
      Dependencies!$B$2:$B$1000;
      QuestObjectives!$E$2:$E$1000
     }=id
    )
   ),
   """"
  ),"&amp;"
 names,
  MAP(
   successorIDs,
   LAMBDA(s,
    IF(
     s="""",
     """",
     XLOOKUP(
      s,
      $A$2:$A$1000,
      $B$2:$B$1000,
      s
     )
    )
   )
  ),
 IF(
  successorIDs="""",
  """",
  TEXTJOIN("", "",TRUE,names)
 )
)"),"Garden maxed")</f>
        <v>Garden maxed</v>
      </c>
      <c r="T53" s="26" t="str">
        <f t="array" ref="T53">_xlfn.XLOOKUP(
 A53,
 tblTargets[TargetID],
 tblTargets[CompletionMethod],
 ""
)</f>
        <v>PLAYER</v>
      </c>
      <c r="U53" s="84" t="b">
        <f>COUNTIF(tblCost[TargetID],A53)&gt;0</f>
        <v>1</v>
      </c>
      <c r="V53" s="85">
        <f t="array" ref="V53">IF(
 U53=FALSE,
 "",
 _xlfn.XLOOKUP(
  A53,
  tblCost[TargetID],
  tblCost[FundingPercent],
  ""
 )
)</f>
        <v>0</v>
      </c>
      <c r="W53" s="26">
        <f t="array" ref="W53">IF(
 U53=FALSE,
 "",
 _xlfn.XLOOKUP(
  A53,
  tblCost[TargetID],
  tblCost[RemainingRequirements],
  ""
 )
)</f>
        <v>4</v>
      </c>
      <c r="X53" s="45" t="b">
        <f t="array" ref="X53">IF(
 U53=FALSE,
 "N/A",
 _xlfn.XLOOKUP(
  A54,
  tblCost[TargetID],
  tblCost[TargetFunded],
  FALSE
 )
)</f>
        <v>0</v>
      </c>
      <c r="Y53" s="26" t="str">
        <f>IFERROR(__xludf.DUMMYFUNCTION("IFERROR(
 TEXTJOIN(
  "", "",
  TRUE,
  FILTER(
   'cost checklist'!$E$2:$E1000&amp;"": ""&amp;'cost checklist'!$G$2:$G1000,
   'cost checklist'!$B$2:$B1000=A53,
   'cost checklist'!$J$2:$J1000=FALSE
  )
 ),
 """"
)"),"beam: 800, coin: 1000, ruby: 4, stone: 200")</f>
        <v>beam: 800, coin: 1000, ruby: 4, stone: 200</v>
      </c>
      <c r="Z53" s="26" t="b">
        <f>IFERROR(__xludf.DUMMYFUNCTION("IF(
 AND(
  E53=""QUEST"",
  RIGHT(A53,9)="".accepted"",
  D53=TRUE
 ),
 XLOOKUP(
  REGEXREPLACE(A53,""\.accepted$"","""")&amp;"".finished"",
  $A$2:$A1000,
  $D$2:$D1000,
  TRUE
 )=FALSE,
 FALSE
)"),FALSE)</f>
        <v>0</v>
      </c>
      <c r="AA53" s="26" t="str">
        <f>IFERROR(__xludf.DUMMYFUNCTION("LET(
 id,A53,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4" ht="14.25" customHeight="1">
      <c r="A54" s="26" t="s">
        <v>269</v>
      </c>
      <c r="B54" s="26" t="str">
        <f t="array" ref="B54">_xlfn.XLOOKUP(
 A54,
 tblTargets[TargetID],
 tblTargets[DisplayName],
 ""
)</f>
        <v>Gong Lv 1</v>
      </c>
      <c r="C54" s="26" t="str">
        <f t="shared" si="1"/>
        <v>BLOCKED</v>
      </c>
      <c r="D54" s="26" t="b">
        <f>IFERROR(__xludf.DUMMYFUNCTION("LET(
 id,A54,
 IF(
  F54=""CHARACTER"",
  LET(
   base,REGEXREPLACE(id,""@\d+$"",""""),
   required,VALUE(REGEXEXTRACT(id,""@(\d+)$"")),
   current,XLOOKUP(
    base,
    tblPlayer[PlayerStateID],
    tblPlayer[Value],
    0
   ),
   current&gt;=required
  )"&amp;",
  IF(
   T54=""AUTO"",
   L54=0,
   COUNTIFS(
    tblChecklist[TargetID],id,
    tblChecklist[PlayerCompleted],TRUE
   )&gt;0
  )
 )
)"),FALSE)</f>
        <v>0</v>
      </c>
      <c r="E54" s="26" t="str">
        <f t="array" ref="E54">_xlfn.XLOOKUP(
 A54,
 tblTargets[TargetID],
 tblTargets[TargetType],
 ""
)</f>
        <v>BUILDING</v>
      </c>
      <c r="F54" s="26" t="str">
        <f t="array" ref="F54">_xlfn.XLOOKUP(
 A54,
 tblTargets[TargetID],
 tblTargets[StateType],
 ""
)</f>
        <v/>
      </c>
      <c r="G54" s="26">
        <f>LET(
 id,A54,
 depCount,COUNTIF(tblDependencies[TargetID],id),
 objCount,COUNTIF(tblQuestObjectives[QuestTargetID],id),
 depCount+objCount
)</f>
        <v>1</v>
      </c>
      <c r="H54" s="26">
        <f t="shared" si="2"/>
        <v>1</v>
      </c>
      <c r="I54" s="26">
        <f>IFERROR(__xludf.DUMMYFUNCTION("LET(
 id,A54,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 s="26">
        <f t="shared" si="3"/>
        <v>0</v>
      </c>
      <c r="K54" s="26" t="b">
        <f t="shared" si="4"/>
        <v>0</v>
      </c>
      <c r="L54" s="26">
        <f t="shared" si="5"/>
        <v>1</v>
      </c>
      <c r="M54" s="26" t="str">
        <f>IFERROR(__xludf.DUMMYFUNCTION("LET(
 id,A54,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L54=0,
  """",
  IFERROR(INDEX(incomplete,1),"""")
 "&amp;")
)"),"state.character_level@10")</f>
        <v>state.character_level@10</v>
      </c>
      <c r="N54" s="26" t="str">
        <f t="array" ref="N54">IF(
 M54="",
 "",
 _xlfn.XLOOKUP(
  M54,
  tblTargets[TargetID],
  tblTargets[DisplayName],
  M54
 )
)</f>
        <v>Character Level@10</v>
      </c>
      <c r="O54" s="26" t="str">
        <f>IFERROR(__xludf.DUMMYFUNCTION("SWITCH(
 E54,
 ""BUILDING"",XLOOKUP(A54,tblBuildings[BuildingID],tblBuildings[costtext],""""),
 ""TECH"",XLOOKUP(A54,tblTechnologies[TechnologyID],tblTechnologies[costtext],""""),
 ""QUEST"",XLOOKUP(
  REGEXREPLACE(A54,""\.[^.]+$"",""""),
  tblQuests[Ques"&amp;"tID],
  tblQuests[Costtext],
  """"
 ),
 ""CITADEL"",XLOOKUP(A54,tblCitadel[CitadelID],tblCitadel[costtext],""""),
 ""COLLECTION"",XLOOKUP(A54,tblCollections[CollectionID],tblCollections[costtext],""""),
 ""CRAFTIFACT"",XLOOKUP(A54,tblCraftifacts[Craftifa"&amp;"ctID],tblCraftifacts[costtext],""""),
 """"
)"),"3 ruby,200 coin,100 wood,50 stone,50 steel")</f>
        <v>3 ruby,200 coin,100 wood,50 stone,50 steel</v>
      </c>
      <c r="P54" s="26" t="str">
        <f t="shared" si="6"/>
        <v>READY</v>
      </c>
      <c r="Q54" s="26" t="str">
        <f t="shared" si="7"/>
        <v>ONE AWAY</v>
      </c>
      <c r="R54" s="26">
        <f t="array" ref="R54">IFERROR(
 _xlfn.XLOOKUP(
  A54,
  tblChecklist[TargetID],
  tblChecklist[PlayerSort],
  ""
 ),
 ""
)</f>
        <v>102</v>
      </c>
      <c r="S54" s="26" t="str">
        <f>IFERROR(__xludf.DUMMYFUNCTION("LET(
 id,A54,
 successorIDs,
  IFERROR(
   UNIQUE(
    FILTER(
     {
      Dependencies!$A$2:$A$1000;
      QuestObjectives!$A$2:$A$1000
     },
     {
      Dependencies!$B$2:$B$1000;
      QuestObjectives!$E$2:$E$1000
     }=id
    )
   ),
   """"
  ),"&amp;"
 names,
  MAP(
   successorIDs,
   LAMBDA(s,
    IF(
     s="""",
     """",
     XLOOKUP(
      s,
      $A$2:$A$1000,
      $B$2:$B$1000,
      s
     )
    )
   )
  ),
 IF(
  successorIDs="""",
  """",
  TEXTJOIN("", "",TRUE,names)
 )
)"),"")</f>
        <v/>
      </c>
      <c r="T54" s="26" t="str">
        <f t="array" ref="T54">_xlfn.XLOOKUP(
 A54,
 tblTargets[TargetID],
 tblTargets[CompletionMethod],
 ""
)</f>
        <v>PLAYER</v>
      </c>
      <c r="U54" s="84" t="b">
        <f>COUNTIF(tblCost[TargetID],A54)&gt;0</f>
        <v>1</v>
      </c>
      <c r="V54" s="85">
        <f t="array" ref="V54">IF(
 U54=FALSE,
 "",
 _xlfn.XLOOKUP(
  A54,
  tblCost[TargetID],
  tblCost[FundingPercent],
  ""
 )
)</f>
        <v>0</v>
      </c>
      <c r="W54" s="26">
        <f t="array" ref="W54">IF(
 U54=FALSE,
 "",
 _xlfn.XLOOKUP(
  A54,
  tblCost[TargetID],
  tblCost[RemainingRequirements],
  ""
 )
)</f>
        <v>5</v>
      </c>
      <c r="X54" s="45" t="b">
        <f t="array" ref="X54">IF(
 U54=FALSE,
 "N/A",
 _xlfn.XLOOKUP(
  A55,
  tblCost[TargetID],
  tblCost[TargetFunded],
  FALSE
 )
)</f>
        <v>0</v>
      </c>
      <c r="Y54" s="26" t="str">
        <f>IFERROR(__xludf.DUMMYFUNCTION("IFERROR(
 TEXTJOIN(
  "", "",
  TRUE,
  FILTER(
   'cost checklist'!$E$2:$E1000&amp;"": ""&amp;'cost checklist'!$G$2:$G1000,
   'cost checklist'!$B$2:$B1000=A54,
   'cost checklist'!$J$2:$J1000=FALSE
  )
 ),
 """"
)"),"coin: 200, ruby: 3, steel: 50, stone: 50, wood: 100")</f>
        <v>coin: 200, ruby: 3, steel: 50, stone: 50, wood: 100</v>
      </c>
      <c r="Z54" s="26" t="b">
        <f>IFERROR(__xludf.DUMMYFUNCTION("IF(
 AND(
  E54=""QUEST"",
  RIGHT(A54,9)="".accepted"",
  D54=TRUE
 ),
 XLOOKUP(
  REGEXREPLACE(A54,""\.accepted$"","""")&amp;"".finished"",
  $A$2:$A1000,
  $D$2:$D1000,
  TRUE
 )=FALSE,
 FALSE
)"),FALSE)</f>
        <v>0</v>
      </c>
      <c r="AA54" s="26" t="str">
        <f>IFERROR(__xludf.DUMMYFUNCTION("LET(
 id,A54,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5" ht="14.25" customHeight="1">
      <c r="A55" s="26" t="s">
        <v>275</v>
      </c>
      <c r="B55" s="26" t="str">
        <f t="array" ref="B55">_xlfn.XLOOKUP(
 A55,
 tblTargets[TargetID],
 tblTargets[DisplayName],
 ""
)</f>
        <v>Guild Lv 1</v>
      </c>
      <c r="C55" s="26" t="str">
        <f t="shared" si="1"/>
        <v>COMPLETED</v>
      </c>
      <c r="D55" s="26" t="b">
        <f>IFERROR(__xludf.DUMMYFUNCTION("LET(
 id,A55,
 IF(
  F55=""CHARACTER"",
  LET(
   base,REGEXREPLACE(id,""@\d+$"",""""),
   required,VALUE(REGEXEXTRACT(id,""@(\d+)$"")),
   current,XLOOKUP(
    base,
    tblPlayer[PlayerStateID],
    tblPlayer[Value],
    0
   ),
   current&gt;=required
  )"&amp;",
  IF(
   T55=""AUTO"",
   L55=0,
   COUNTIFS(
    tblChecklist[TargetID],id,
    tblChecklist[PlayerCompleted],TRUE
   )&gt;0
  )
 )
)"),TRUE)</f>
        <v>1</v>
      </c>
      <c r="E55" s="26" t="str">
        <f t="array" ref="E55">_xlfn.XLOOKUP(
 A55,
 tblTargets[TargetID],
 tblTargets[TargetType],
 ""
)</f>
        <v>BUILDING</v>
      </c>
      <c r="F55" s="26" t="str">
        <f t="array" ref="F55">_xlfn.XLOOKUP(
 A55,
 tblTargets[TargetID],
 tblTargets[StateType],
 ""
)</f>
        <v/>
      </c>
      <c r="G55" s="26">
        <f>LET(
 id,A55,
 depCount,COUNTIF(tblDependencies[TargetID],id),
 objCount,COUNTIF(tblQuestObjectives[QuestTargetID],id),
 depCount+objCount
)</f>
        <v>0</v>
      </c>
      <c r="H55" s="26">
        <f t="shared" si="2"/>
        <v>0</v>
      </c>
      <c r="I55" s="26">
        <f>IFERROR(__xludf.DUMMYFUNCTION("LET(
 id,A55,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 s="26">
        <f t="shared" si="3"/>
        <v>0</v>
      </c>
      <c r="K55" s="26" t="b">
        <f t="shared" si="4"/>
        <v>1</v>
      </c>
      <c r="L55" s="26">
        <f t="shared" si="5"/>
        <v>0</v>
      </c>
      <c r="M55" s="26" t="str">
        <f>IFERROR(__xludf.DUMMYFUNCTION("LET(
 id,A55,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L55=0,
  """",
  IFERROR(INDEX(incomplete,1),"""")
 "&amp;")
)"),"")</f>
        <v/>
      </c>
      <c r="N55" s="26" t="str">
        <f t="array" ref="N55">IF(
 M55="",
 "",
 _xlfn.XLOOKUP(
  M55,
  tblTargets[TargetID],
  tblTargets[DisplayName],
  M55
 )
)</f>
        <v/>
      </c>
      <c r="O55" s="26" t="str">
        <f>IFERROR(__xludf.DUMMYFUNCTION("SWITCH(
 E55,
 ""BUILDING"",XLOOKUP(A55,tblBuildings[BuildingID],tblBuildings[costtext],""""),
 ""TECH"",XLOOKUP(A55,tblTechnologies[TechnologyID],tblTechnologies[costtext],""""),
 ""QUEST"",XLOOKUP(
  REGEXREPLACE(A55,""\.[^.]+$"",""""),
  tblQuests[Ques"&amp;"tID],
  tblQuests[Costtext],
  """"
 ),
 ""CITADEL"",XLOOKUP(A55,tblCitadel[CitadelID],tblCitadel[costtext],""""),
 ""COLLECTION"",XLOOKUP(A55,tblCollections[CollectionID],tblCollections[costtext],""""),
 ""CRAFTIFACT"",XLOOKUP(A55,tblCraftifacts[Craftifa"&amp;"ctID],tblCraftifacts[costtext],""""),
 """"
)"),"")</f>
        <v/>
      </c>
      <c r="P55" s="26" t="str">
        <f t="shared" si="6"/>
        <v/>
      </c>
      <c r="Q55" s="26" t="str">
        <f t="shared" si="7"/>
        <v>COMPLETED</v>
      </c>
      <c r="R55" s="26" t="str">
        <f t="array" ref="R55">IFERROR(
 _xlfn.XLOOKUP(
  A55,
  tblChecklist[TargetID],
  tblChecklist[PlayerSort],
  ""
 ),
 ""
)</f>
        <v/>
      </c>
      <c r="S55" s="26" t="str">
        <f>IFERROR(__xludf.DUMMYFUNCTION("LET(
 id,A55,
 successorIDs,
  IFERROR(
   UNIQUE(
    FILTER(
     {
      Dependencies!$A$2:$A$1000;
      QuestObjectives!$A$2:$A$1000
     },
     {
      Dependencies!$B$2:$B$1000;
      QuestObjectives!$E$2:$E$1000
     }=id
    )
   ),
   """"
  ),"&amp;"
 names,
  MAP(
   successorIDs,
   LAMBDA(s,
    IF(
     s="""",
     """",
     XLOOKUP(
      s,
      $A$2:$A$1000,
      $B$2:$B$1000,
      s
     )
    )
   )
  ),
 IF(
  successorIDs="""",
  """",
  TEXTJOIN("", "",TRUE,names)
 )
)"),"Guild Lv 2")</f>
        <v>Guild Lv 2</v>
      </c>
      <c r="T55" s="26" t="str">
        <f t="array" ref="T55">_xlfn.XLOOKUP(
 A55,
 tblTargets[TargetID],
 tblTargets[CompletionMethod],
 ""
)</f>
        <v>PLAYER</v>
      </c>
      <c r="U55" s="84" t="b">
        <f>COUNTIF(tblCost[TargetID],A55)&gt;0</f>
        <v>0</v>
      </c>
      <c r="V55" s="85" t="str">
        <f t="array" ref="V55">IF(
 U55=FALSE,
 "",
 _xlfn.XLOOKUP(
  A55,
  tblCost[TargetID],
  tblCost[FundingPercent],
  ""
 )
)</f>
        <v/>
      </c>
      <c r="W55" s="26" t="str">
        <f t="array" ref="W55">IF(
 U55=FALSE,
 "",
 _xlfn.XLOOKUP(
  A55,
  tblCost[TargetID],
  tblCost[RemainingRequirements],
  ""
 )
)</f>
        <v/>
      </c>
      <c r="X55" s="45" t="str">
        <f t="array" ref="X55">IF(
 U55=FALSE,
 "N/A",
 _xlfn.XLOOKUP(
  A56,
  tblCost[TargetID],
  tblCost[TargetFunded],
  FALSE
 )
)</f>
        <v>N/A</v>
      </c>
      <c r="Y55" s="26" t="str">
        <f>IFERROR(__xludf.DUMMYFUNCTION("IFERROR(
 TEXTJOIN(
  "", "",
  TRUE,
  FILTER(
   'cost checklist'!$E$2:$E1000&amp;"": ""&amp;'cost checklist'!$G$2:$G1000,
   'cost checklist'!$B$2:$B1000=A55,
   'cost checklist'!$J$2:$J1000=FALSE
  )
 ),
 """"
)"),"")</f>
        <v/>
      </c>
      <c r="Z55" s="26" t="b">
        <f>IFERROR(__xludf.DUMMYFUNCTION("IF(
 AND(
  E55=""QUEST"",
  RIGHT(A55,9)="".accepted"",
  D55=TRUE
 ),
 XLOOKUP(
  REGEXREPLACE(A55,""\.accepted$"","""")&amp;"".finished"",
  $A$2:$A1000,
  $D$2:$D1000,
  TRUE
 )=FALSE,
 FALSE
)"),FALSE)</f>
        <v>0</v>
      </c>
      <c r="AA55" s="26" t="str">
        <f>IFERROR(__xludf.DUMMYFUNCTION("LET(
 id,A55,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6" ht="14.25" customHeight="1">
      <c r="A56" s="26" t="s">
        <v>282</v>
      </c>
      <c r="B56" s="26" t="str">
        <f t="array" ref="B56">_xlfn.XLOOKUP(
 A56,
 tblTargets[TargetID],
 tblTargets[DisplayName],
 ""
)</f>
        <v>Guild Lv 2</v>
      </c>
      <c r="C56" s="26" t="str">
        <f t="shared" si="1"/>
        <v>READY</v>
      </c>
      <c r="D56" s="26" t="b">
        <f>IFERROR(__xludf.DUMMYFUNCTION("LET(
 id,A56,
 IF(
  F56=""CHARACTER"",
  LET(
   base,REGEXREPLACE(id,""@\d+$"",""""),
   required,VALUE(REGEXEXTRACT(id,""@(\d+)$"")),
   current,XLOOKUP(
    base,
    tblPlayer[PlayerStateID],
    tblPlayer[Value],
    0
   ),
   current&gt;=required
  )"&amp;",
  IF(
   T56=""AUTO"",
   L56=0,
   COUNTIFS(
    tblChecklist[TargetID],id,
    tblChecklist[PlayerCompleted],TRUE
   )&gt;0
  )
 )
)"),FALSE)</f>
        <v>0</v>
      </c>
      <c r="E56" s="26" t="str">
        <f t="array" ref="E56">_xlfn.XLOOKUP(
 A56,
 tblTargets[TargetID],
 tblTargets[TargetType],
 ""
)</f>
        <v>BUILDING</v>
      </c>
      <c r="F56" s="26" t="str">
        <f t="array" ref="F56">_xlfn.XLOOKUP(
 A56,
 tblTargets[TargetID],
 tblTargets[StateType],
 ""
)</f>
        <v/>
      </c>
      <c r="G56" s="26">
        <f>LET(
 id,A56,
 depCount,COUNTIF(tblDependencies[TargetID],id),
 objCount,COUNTIF(tblQuestObjectives[QuestTargetID],id),
 depCount+objCount
)</f>
        <v>1</v>
      </c>
      <c r="H56" s="26">
        <f t="shared" si="2"/>
        <v>1</v>
      </c>
      <c r="I56" s="26">
        <f>IFERROR(__xludf.DUMMYFUNCTION("LET(
 id,A56,
 depPreds,
  IFERROR(
   FILTER(
    tblDependencies[DependencyID],
    tblDependencies[TargetID]=id
   ),
   """"
  ),
 objPreds,
  IFERROR(
   FILTER(
    tblQuestObjectives[ObjectiveID],
    tblQuestObjectives[QuestTargetID]=id
   ),
  "&amp;" """"
  ),
 preds,
  UNIQUE(
   VSTACK(
    depPreds,
    objPreds
   )
  ),
 IFERROR(
  SUM(
   N(
    XLOOKUP(
     preds,
     $A$2:$A1000,
     $D$2:$D1000,
     FALSE
    )
   )
  ),
  0
 )
)"),1.0)</f>
        <v>1</v>
      </c>
      <c r="J56" s="26">
        <f t="shared" si="3"/>
        <v>1</v>
      </c>
      <c r="K56" s="26" t="b">
        <f t="shared" si="4"/>
        <v>1</v>
      </c>
      <c r="L56" s="26">
        <f t="shared" si="5"/>
        <v>0</v>
      </c>
      <c r="M56" s="26" t="str">
        <f>IFERROR(__xludf.DUMMYFUNCTION("LET(
 id,A56,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L56=0,
  """",
  IFERROR(INDEX(incomplete,1),"""")
 "&amp;")
)"),"")</f>
        <v/>
      </c>
      <c r="N56" s="26" t="str">
        <f t="array" ref="N56">IF(
 M56="",
 "",
 _xlfn.XLOOKUP(
  M56,
  tblTargets[TargetID],
  tblTargets[DisplayName],
  M56
 )
)</f>
        <v/>
      </c>
      <c r="O56" s="26" t="str">
        <f>IFERROR(__xludf.DUMMYFUNCTION("SWITCH(
 E56,
 ""BUILDING"",XLOOKUP(A56,tblBuildings[BuildingID],tblBuildings[costtext],""""),
 ""TECH"",XLOOKUP(A56,tblTechnologies[TechnologyID],tblTechnologies[costtext],""""),
 ""QUEST"",XLOOKUP(
  REGEXREPLACE(A56,""\.[^.]+$"",""""),
  tblQuests[Ques"&amp;"tID],
  tblQuests[Costtext],
  """"
 ),
 ""CITADEL"",XLOOKUP(A56,tblCitadel[CitadelID],tblCitadel[costtext],""""),
 ""COLLECTION"",XLOOKUP(A56,tblCollections[CollectionID],tblCollections[costtext],""""),
 ""CRAFTIFACT"",XLOOKUP(A56,tblCraftifacts[Craftifa"&amp;"ctID],tblCraftifacts[costtext],""""),
 """"
)"),"1 ruby,50 coin,50 wood,50 stone")</f>
        <v>1 ruby,50 coin,50 wood,50 stone</v>
      </c>
      <c r="P56" s="26" t="str">
        <f t="shared" si="6"/>
        <v/>
      </c>
      <c r="Q56" s="26" t="str">
        <f t="shared" si="7"/>
        <v>READY</v>
      </c>
      <c r="R56" s="26">
        <f t="array" ref="R56">IFERROR(
 _xlfn.XLOOKUP(
  A56,
  tblChecklist[TargetID],
  tblChecklist[PlayerSort],
  ""
 ),
 ""
)</f>
        <v>1</v>
      </c>
      <c r="S56" s="26" t="str">
        <f>IFERROR(__xludf.DUMMYFUNCTION("LET(
 id,A56,
 successorIDs,
  IFERROR(
   UNIQUE(
    FILTER(
     {
      Dependencies!$A$2:$A$1000;
      QuestObjectives!$A$2:$A$1000
     },
     {
      Dependencies!$B$2:$B$1000;
      QuestObjectives!$E$2:$E$1000
     }=id
    )
   ),
   """"
  ),"&amp;"
 names,
  MAP(
   successorIDs,
   LAMBDA(s,
    IF(
     s="""",
     """",
     XLOOKUP(
      s,
      $A$2:$A$1000,
      $B$2:$B$1000,
      s
     )
    )
   )
  ),
 IF(
  successorIDs="""",
  """",
  TEXTJOIN("", "",TRUE,names)
 )
)"),"Alchemist's Hut Lv 2, Food Stall Lv 2, Guild Lv 3, Warehouse Lv 2")</f>
        <v>Alchemist's Hut Lv 2, Food Stall Lv 2, Guild Lv 3, Warehouse Lv 2</v>
      </c>
      <c r="T56" s="26" t="str">
        <f t="array" ref="T56">_xlfn.XLOOKUP(
 A56,
 tblTargets[TargetID],
 tblTargets[CompletionMethod],
 ""
)</f>
        <v>PLAYER</v>
      </c>
      <c r="U56" s="84" t="b">
        <f>COUNTIF(tblCost[TargetID],A56)&gt;0</f>
        <v>1</v>
      </c>
      <c r="V56" s="85">
        <f t="array" ref="V56">IF(
 U56=FALSE,
 "",
 _xlfn.XLOOKUP(
  A56,
  tblCost[TargetID],
  tblCost[FundingPercent],
  ""
 )
)</f>
        <v>0</v>
      </c>
      <c r="W56" s="26">
        <f t="array" ref="W56">IF(
 U56=FALSE,
 "",
 _xlfn.XLOOKUP(
  A56,
  tblCost[TargetID],
  tblCost[RemainingRequirements],
  ""
 )
)</f>
        <v>4</v>
      </c>
      <c r="X56" s="45" t="b">
        <f t="array" ref="X56">IF(
 U56=FALSE,
 "N/A",
 _xlfn.XLOOKUP(
  A57,
  tblCost[TargetID],
  tblCost[TargetFunded],
  FALSE
 )
)</f>
        <v>0</v>
      </c>
      <c r="Y56" s="26" t="str">
        <f>IFERROR(__xludf.DUMMYFUNCTION("IFERROR(
 TEXTJOIN(
  "", "",
  TRUE,
  FILTER(
   'cost checklist'!$E$2:$E1000&amp;"": ""&amp;'cost checklist'!$G$2:$G1000,
   'cost checklist'!$B$2:$B1000=A56,
   'cost checklist'!$J$2:$J1000=FALSE
  )
 ),
 """"
)"),"coin: 50, ruby: 1, stone: 50, wood: 50")</f>
        <v>coin: 50, ruby: 1, stone: 50, wood: 50</v>
      </c>
      <c r="Z56" s="26" t="b">
        <f>IFERROR(__xludf.DUMMYFUNCTION("IF(
 AND(
  E56=""QUEST"",
  RIGHT(A56,9)="".accepted"",
  D56=TRUE
 ),
 XLOOKUP(
  REGEXREPLACE(A56,""\.accepted$"","""")&amp;"".finished"",
  $A$2:$A1000,
  $D$2:$D1000,
  TRUE
 )=FALSE,
 FALSE
)"),FALSE)</f>
        <v>0</v>
      </c>
      <c r="AA56" s="26" t="str">
        <f>IFERROR(__xludf.DUMMYFUNCTION("LET(
 id,A56,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7" ht="14.25" customHeight="1">
      <c r="A57" s="26" t="s">
        <v>291</v>
      </c>
      <c r="B57" s="26" t="str">
        <f t="array" ref="B57">_xlfn.XLOOKUP(
 A57,
 tblTargets[TargetID],
 tblTargets[DisplayName],
 ""
)</f>
        <v>Guild Lv 3</v>
      </c>
      <c r="C57" s="26" t="str">
        <f t="shared" si="1"/>
        <v>BLOCKED</v>
      </c>
      <c r="D57" s="26" t="b">
        <f>IFERROR(__xludf.DUMMYFUNCTION("LET(
 id,A57,
 IF(
  F57=""CHARACTER"",
  LET(
   base,REGEXREPLACE(id,""@\d+$"",""""),
   required,VALUE(REGEXEXTRACT(id,""@(\d+)$"")),
   current,XLOOKUP(
    base,
    tblPlayer[PlayerStateID],
    tblPlayer[Value],
    0
   ),
   current&gt;=required
  )"&amp;",
  IF(
   T57=""AUTO"",
   L57=0,
   COUNTIFS(
    tblChecklist[TargetID],id,
    tblChecklist[PlayerCompleted],TRUE
   )&gt;0
  )
 )
)"),FALSE)</f>
        <v>0</v>
      </c>
      <c r="E57" s="26" t="str">
        <f t="array" ref="E57">_xlfn.XLOOKUP(
 A57,
 tblTargets[TargetID],
 tblTargets[TargetType],
 ""
)</f>
        <v>BUILDING</v>
      </c>
      <c r="F57" s="26" t="str">
        <f t="array" ref="F57">_xlfn.XLOOKUP(
 A57,
 tblTargets[TargetID],
 tblTargets[StateType],
 ""
)</f>
        <v/>
      </c>
      <c r="G57" s="26">
        <f>LET(
 id,A57,
 depCount,COUNTIF(tblDependencies[TargetID],id),
 objCount,COUNTIF(tblQuestObjectives[QuestTargetID],id),
 depCount+objCount
)</f>
        <v>1</v>
      </c>
      <c r="H57" s="26">
        <f t="shared" si="2"/>
        <v>1</v>
      </c>
      <c r="I57" s="26">
        <f>IFERROR(__xludf.DUMMYFUNCTION("LET(
 id,A57,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 s="26">
        <f t="shared" si="3"/>
        <v>0</v>
      </c>
      <c r="K57" s="26" t="b">
        <f t="shared" si="4"/>
        <v>0</v>
      </c>
      <c r="L57" s="26">
        <f t="shared" si="5"/>
        <v>1</v>
      </c>
      <c r="M57" s="26" t="str">
        <f>IFERROR(__xludf.DUMMYFUNCTION("LET(
 id,A57,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L57=0,
  """",
  IFERROR(INDEX(incomplete,1),"""")
 "&amp;")
)"),"building.guild@2")</f>
        <v>building.guild@2</v>
      </c>
      <c r="N57" s="26" t="str">
        <f t="array" ref="N57">IF(
 M57="",
 "",
 _xlfn.XLOOKUP(
  M57,
  tblTargets[TargetID],
  tblTargets[DisplayName],
  M57
 )
)</f>
        <v>Guild Lv 2</v>
      </c>
      <c r="O57" s="26" t="str">
        <f>IFERROR(__xludf.DUMMYFUNCTION("SWITCH(
 E57,
 ""BUILDING"",XLOOKUP(A57,tblBuildings[BuildingID],tblBuildings[costtext],""""),
 ""TECH"",XLOOKUP(A57,tblTechnologies[TechnologyID],tblTechnologies[costtext],""""),
 ""QUEST"",XLOOKUP(
  REGEXREPLACE(A57,""\.[^.]+$"",""""),
  tblQuests[Ques"&amp;"tID],
  tblQuests[Costtext],
  """"
 ),
 ""CITADEL"",XLOOKUP(A57,tblCitadel[CitadelID],tblCitadel[costtext],""""),
 ""COLLECTION"",XLOOKUP(A57,tblCollections[CollectionID],tblCollections[costtext],""""),
 ""CRAFTIFACT"",XLOOKUP(A57,tblCraftifacts[Craftifa"&amp;"ctID],tblCraftifacts[costtext],""""),
 """"
)"),"2 ruby,150 coin,300 beam,150 stone")</f>
        <v>2 ruby,150 coin,300 beam,150 stone</v>
      </c>
      <c r="P57" s="26" t="str">
        <f t="shared" si="6"/>
        <v>READY</v>
      </c>
      <c r="Q57" s="26" t="str">
        <f t="shared" si="7"/>
        <v>ONE AWAY</v>
      </c>
      <c r="R57" s="26">
        <f t="array" ref="R57">IFERROR(
 _xlfn.XLOOKUP(
  A57,
  tblChecklist[TargetID],
  tblChecklist[PlayerSort],
  ""
 ),
 ""
)</f>
        <v>17</v>
      </c>
      <c r="S57" s="26" t="str">
        <f>IFERROR(__xludf.DUMMYFUNCTION("LET(
 id,A57,
 successorIDs,
  IFERROR(
   UNIQUE(
    FILTER(
     {
      Dependencies!$A$2:$A$1000;
      QuestObjectives!$A$2:$A$1000
     },
     {
      Dependencies!$B$2:$B$1000;
      QuestObjectives!$E$2:$E$1000
     }=id
    )
   ),
   """"
  ),"&amp;"
 names,
  MAP(
   successorIDs,
   LAMBDA(s,
    IF(
     s="""",
     """",
     XLOOKUP(
      s,
      $A$2:$A$1000,
      $B$2:$B$1000,
      s
     )
    )
   )
  ),
 IF(
  successorIDs="""",
  """",
  TEXTJOIN("", "",TRUE,names)
 )
)"),"Alchemist's Hut Lv 3, Alchemist's Hut Lv 4, Guild Lv 4, Warehouse Lv 3")</f>
        <v>Alchemist's Hut Lv 3, Alchemist's Hut Lv 4, Guild Lv 4, Warehouse Lv 3</v>
      </c>
      <c r="T57" s="26" t="str">
        <f t="array" ref="T57">_xlfn.XLOOKUP(
 A57,
 tblTargets[TargetID],
 tblTargets[CompletionMethod],
 ""
)</f>
        <v>PLAYER</v>
      </c>
      <c r="U57" s="84" t="b">
        <f>COUNTIF(tblCost[TargetID],A57)&gt;0</f>
        <v>1</v>
      </c>
      <c r="V57" s="85">
        <f t="array" ref="V57">IF(
 U57=FALSE,
 "",
 _xlfn.XLOOKUP(
  A57,
  tblCost[TargetID],
  tblCost[FundingPercent],
  ""
 )
)</f>
        <v>0</v>
      </c>
      <c r="W57" s="26">
        <f t="array" ref="W57">IF(
 U57=FALSE,
 "",
 _xlfn.XLOOKUP(
  A57,
  tblCost[TargetID],
  tblCost[RemainingRequirements],
  ""
 )
)</f>
        <v>4</v>
      </c>
      <c r="X57" s="45" t="b">
        <f t="array" ref="X57">IF(
 U57=FALSE,
 "N/A",
 _xlfn.XLOOKUP(
  A58,
  tblCost[TargetID],
  tblCost[TargetFunded],
  FALSE
 )
)</f>
        <v>0</v>
      </c>
      <c r="Y57" s="26" t="str">
        <f>IFERROR(__xludf.DUMMYFUNCTION("IFERROR(
 TEXTJOIN(
  "", "",
  TRUE,
  FILTER(
   'cost checklist'!$E$2:$E1000&amp;"": ""&amp;'cost checklist'!$G$2:$G1000,
   'cost checklist'!$B$2:$B1000=A57,
   'cost checklist'!$J$2:$J1000=FALSE
  )
 ),
 """"
)"),"beam: 300, coin: 150, ruby: 2, stone: 150")</f>
        <v>beam: 300, coin: 150, ruby: 2, stone: 150</v>
      </c>
      <c r="Z57" s="26" t="b">
        <f>IFERROR(__xludf.DUMMYFUNCTION("IF(
 AND(
  E57=""QUEST"",
  RIGHT(A57,9)="".accepted"",
  D57=TRUE
 ),
 XLOOKUP(
  REGEXREPLACE(A57,""\.accepted$"","""")&amp;"".finished"",
  $A$2:$A1000,
  $D$2:$D1000,
  TRUE
 )=FALSE,
 FALSE
)"),FALSE)</f>
        <v>0</v>
      </c>
      <c r="AA57" s="26" t="str">
        <f>IFERROR(__xludf.DUMMYFUNCTION("LET(
 id,A57,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8" ht="14.25" customHeight="1">
      <c r="A58" s="26" t="s">
        <v>295</v>
      </c>
      <c r="B58" s="26" t="str">
        <f t="array" ref="B58">_xlfn.XLOOKUP(
 A58,
 tblTargets[TargetID],
 tblTargets[DisplayName],
 ""
)</f>
        <v>Guild Lv 4</v>
      </c>
      <c r="C58" s="26" t="str">
        <f t="shared" si="1"/>
        <v>BLOCKED</v>
      </c>
      <c r="D58" s="26" t="b">
        <f>IFERROR(__xludf.DUMMYFUNCTION("LET(
 id,A58,
 IF(
  F58=""CHARACTER"",
  LET(
   base,REGEXREPLACE(id,""@\d+$"",""""),
   required,VALUE(REGEXEXTRACT(id,""@(\d+)$"")),
   current,XLOOKUP(
    base,
    tblPlayer[PlayerStateID],
    tblPlayer[Value],
    0
   ),
   current&gt;=required
  )"&amp;",
  IF(
   T58=""AUTO"",
   L58=0,
   COUNTIFS(
    tblChecklist[TargetID],id,
    tblChecklist[PlayerCompleted],TRUE
   )&gt;0
  )
 )
)"),FALSE)</f>
        <v>0</v>
      </c>
      <c r="E58" s="26" t="str">
        <f t="array" ref="E58">_xlfn.XLOOKUP(
 A58,
 tblTargets[TargetID],
 tblTargets[TargetType],
 ""
)</f>
        <v>BUILDING</v>
      </c>
      <c r="F58" s="26" t="str">
        <f t="array" ref="F58">_xlfn.XLOOKUP(
 A58,
 tblTargets[TargetID],
 tblTargets[StateType],
 ""
)</f>
        <v/>
      </c>
      <c r="G58" s="26">
        <f>LET(
 id,A58,
 depCount,COUNTIF(tblDependencies[TargetID],id),
 objCount,COUNTIF(tblQuestObjectives[QuestTargetID],id),
 depCount+objCount
)</f>
        <v>1</v>
      </c>
      <c r="H58" s="26">
        <f t="shared" si="2"/>
        <v>1</v>
      </c>
      <c r="I58" s="26">
        <f>IFERROR(__xludf.DUMMYFUNCTION("LET(
 id,A58,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 s="26">
        <f t="shared" si="3"/>
        <v>0</v>
      </c>
      <c r="K58" s="26" t="b">
        <f t="shared" si="4"/>
        <v>0</v>
      </c>
      <c r="L58" s="26">
        <f t="shared" si="5"/>
        <v>1</v>
      </c>
      <c r="M58" s="26" t="str">
        <f>IFERROR(__xludf.DUMMYFUNCTION("LET(
 id,A58,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L58=0,
  """",
  IFERROR(INDEX(incomplete,1),"""")
 "&amp;")
)"),"building.guild@3")</f>
        <v>building.guild@3</v>
      </c>
      <c r="N58" s="26" t="str">
        <f t="array" ref="N58">IF(
 M58="",
 "",
 _xlfn.XLOOKUP(
  M58,
  tblTargets[TargetID],
  tblTargets[DisplayName],
  M58
 )
)</f>
        <v>Guild Lv 3</v>
      </c>
      <c r="O58" s="26" t="str">
        <f>IFERROR(__xludf.DUMMYFUNCTION("SWITCH(
 E58,
 ""BUILDING"",XLOOKUP(A58,tblBuildings[BuildingID],tblBuildings[costtext],""""),
 ""TECH"",XLOOKUP(A58,tblTechnologies[TechnologyID],tblTechnologies[costtext],""""),
 ""QUEST"",XLOOKUP(
  REGEXREPLACE(A58,""\.[^.]+$"",""""),
  tblQuests[Ques"&amp;"tID],
  tblQuests[Costtext],
  """"
 ),
 ""CITADEL"",XLOOKUP(A58,tblCitadel[CitadelID],tblCitadel[costtext],""""),
 ""COLLECTION"",XLOOKUP(A58,tblCollections[CollectionID],tblCollections[costtext],""""),
 ""CRAFTIFACT"",XLOOKUP(A58,tblCraftifacts[Craftifa"&amp;"ctID],tblCraftifacts[costtext],""""),
 """"
)"),"4 ruby,250 coin,500 beam,250 stone,40 steel")</f>
        <v>4 ruby,250 coin,500 beam,250 stone,40 steel</v>
      </c>
      <c r="P58" s="26" t="str">
        <f t="shared" si="6"/>
        <v>BLOCKED</v>
      </c>
      <c r="Q58" s="26" t="str">
        <f t="shared" si="7"/>
        <v>BLOCKED</v>
      </c>
      <c r="R58" s="26">
        <f t="array" ref="R58">IFERROR(
 _xlfn.XLOOKUP(
  A58,
  tblChecklist[TargetID],
  tblChecklist[PlayerSort],
  ""
 ),
 ""
)</f>
        <v>23</v>
      </c>
      <c r="S58" s="26" t="str">
        <f>IFERROR(__xludf.DUMMYFUNCTION("LET(
 id,A58,
 successorIDs,
  IFERROR(
   UNIQUE(
    FILTER(
     {
      Dependencies!$A$2:$A$1000;
      QuestObjectives!$A$2:$A$1000
     },
     {
      Dependencies!$B$2:$B$1000;
      QuestObjectives!$E$2:$E$1000
     }=id
    )
   ),
   """"
  ),"&amp;"
 names,
  MAP(
   successorIDs,
   LAMBDA(s,
    IF(
     s="""",
     """",
     XLOOKUP(
      s,
      $A$2:$A$1000,
      $B$2:$B$1000,
      s
     )
    )
   )
  ),
 IF(
  successorIDs="""",
  """",
  TEXTJOIN("", "",TRUE,names)
 )
)"),"Alchemist's Hut Lv 4, Guild Lv 5, Warehouse Lv 4")</f>
        <v>Alchemist's Hut Lv 4, Guild Lv 5, Warehouse Lv 4</v>
      </c>
      <c r="T58" s="26" t="str">
        <f t="array" ref="T58">_xlfn.XLOOKUP(
 A58,
 tblTargets[TargetID],
 tblTargets[CompletionMethod],
 ""
)</f>
        <v>PLAYER</v>
      </c>
      <c r="U58" s="84" t="b">
        <f>COUNTIF(tblCost[TargetID],A58)&gt;0</f>
        <v>1</v>
      </c>
      <c r="V58" s="85">
        <f t="array" ref="V58">IF(
 U58=FALSE,
 "",
 _xlfn.XLOOKUP(
  A58,
  tblCost[TargetID],
  tblCost[FundingPercent],
  ""
 )
)</f>
        <v>0</v>
      </c>
      <c r="W58" s="26">
        <f t="array" ref="W58">IF(
 U58=FALSE,
 "",
 _xlfn.XLOOKUP(
  A58,
  tblCost[TargetID],
  tblCost[RemainingRequirements],
  ""
 )
)</f>
        <v>5</v>
      </c>
      <c r="X58" s="45" t="b">
        <f t="array" ref="X58">IF(
 U58=FALSE,
 "N/A",
 _xlfn.XLOOKUP(
  A59,
  tblCost[TargetID],
  tblCost[TargetFunded],
  FALSE
 )
)</f>
        <v>0</v>
      </c>
      <c r="Y58" s="26" t="str">
        <f>IFERROR(__xludf.DUMMYFUNCTION("IFERROR(
 TEXTJOIN(
  "", "",
  TRUE,
  FILTER(
   'cost checklist'!$E$2:$E1000&amp;"": ""&amp;'cost checklist'!$G$2:$G1000,
   'cost checklist'!$B$2:$B1000=A58,
   'cost checklist'!$J$2:$J1000=FALSE
  )
 ),
 """"
)"),"beam: 500, coin: 250, ruby: 4, steel: 40, stone: 250")</f>
        <v>beam: 500, coin: 250, ruby: 4, steel: 40, stone: 250</v>
      </c>
      <c r="Z58" s="26" t="b">
        <f>IFERROR(__xludf.DUMMYFUNCTION("IF(
 AND(
  E58=""QUEST"",
  RIGHT(A58,9)="".accepted"",
  D58=TRUE
 ),
 XLOOKUP(
  REGEXREPLACE(A58,""\.accepted$"","""")&amp;"".finished"",
  $A$2:$A1000,
  $D$2:$D1000,
  TRUE
 )=FALSE,
 FALSE
)"),FALSE)</f>
        <v>0</v>
      </c>
      <c r="AA58" s="26" t="str">
        <f>IFERROR(__xludf.DUMMYFUNCTION("LET(
 id,A58,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59" ht="14.25" customHeight="1">
      <c r="A59" s="26" t="s">
        <v>302</v>
      </c>
      <c r="B59" s="26" t="str">
        <f t="array" ref="B59">_xlfn.XLOOKUP(
 A59,
 tblTargets[TargetID],
 tblTargets[DisplayName],
 ""
)</f>
        <v>Guild Lv 5</v>
      </c>
      <c r="C59" s="26" t="str">
        <f t="shared" si="1"/>
        <v>BLOCKED</v>
      </c>
      <c r="D59" s="26" t="b">
        <f>IFERROR(__xludf.DUMMYFUNCTION("LET(
 id,A59,
 IF(
  F59=""CHARACTER"",
  LET(
   base,REGEXREPLACE(id,""@\d+$"",""""),
   required,VALUE(REGEXEXTRACT(id,""@(\d+)$"")),
   current,XLOOKUP(
    base,
    tblPlayer[PlayerStateID],
    tblPlayer[Value],
    0
   ),
   current&gt;=required
  )"&amp;",
  IF(
   T59=""AUTO"",
   L59=0,
   COUNTIFS(
    tblChecklist[TargetID],id,
    tblChecklist[PlayerCompleted],TRUE
   )&gt;0
  )
 )
)"),FALSE)</f>
        <v>0</v>
      </c>
      <c r="E59" s="26" t="str">
        <f t="array" ref="E59">_xlfn.XLOOKUP(
 A59,
 tblTargets[TargetID],
 tblTargets[TargetType],
 ""
)</f>
        <v>BUILDING</v>
      </c>
      <c r="F59" s="26" t="str">
        <f t="array" ref="F59">_xlfn.XLOOKUP(
 A59,
 tblTargets[TargetID],
 tblTargets[StateType],
 ""
)</f>
        <v/>
      </c>
      <c r="G59" s="26">
        <f>LET(
 id,A59,
 depCount,COUNTIF(tblDependencies[TargetID],id),
 objCount,COUNTIF(tblQuestObjectives[QuestTargetID],id),
 depCount+objCount
)</f>
        <v>1</v>
      </c>
      <c r="H59" s="26">
        <f t="shared" si="2"/>
        <v>1</v>
      </c>
      <c r="I59" s="26">
        <f>IFERROR(__xludf.DUMMYFUNCTION("LET(
 id,A59,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 s="26">
        <f t="shared" si="3"/>
        <v>0</v>
      </c>
      <c r="K59" s="26" t="b">
        <f t="shared" si="4"/>
        <v>0</v>
      </c>
      <c r="L59" s="26">
        <f t="shared" si="5"/>
        <v>1</v>
      </c>
      <c r="M59" s="26" t="str">
        <f>IFERROR(__xludf.DUMMYFUNCTION("LET(
 id,A59,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L59=0,
  """",
  IFERROR(INDEX(incomplete,1),"""")
 "&amp;")
)"),"building.guild@4")</f>
        <v>building.guild@4</v>
      </c>
      <c r="N59" s="26" t="str">
        <f t="array" ref="N59">IF(
 M59="",
 "",
 _xlfn.XLOOKUP(
  M59,
  tblTargets[TargetID],
  tblTargets[DisplayName],
  M59
 )
)</f>
        <v>Guild Lv 4</v>
      </c>
      <c r="O59" s="26" t="str">
        <f>IFERROR(__xludf.DUMMYFUNCTION("SWITCH(
 E59,
 ""BUILDING"",XLOOKUP(A59,tblBuildings[BuildingID],tblBuildings[costtext],""""),
 ""TECH"",XLOOKUP(A59,tblTechnologies[TechnologyID],tblTechnologies[costtext],""""),
 ""QUEST"",XLOOKUP(
  REGEXREPLACE(A59,""\.[^.]+$"",""""),
  tblQuests[Ques"&amp;"tID],
  tblQuests[Costtext],
  """"
 ),
 ""CITADEL"",XLOOKUP(A59,tblCitadel[CitadelID],tblCitadel[costtext],""""),
 ""COLLECTION"",XLOOKUP(A59,tblCollections[CollectionID],tblCollections[costtext],""""),
 ""CRAFTIFACT"",XLOOKUP(A59,tblCraftifacts[Craftifa"&amp;"ctID],tblCraftifacts[costtext],""""),
 """"
)"),"8 ruby,300 coin,600 beam,300 stone,50 steel")</f>
        <v>8 ruby,300 coin,600 beam,300 stone,50 steel</v>
      </c>
      <c r="P59" s="26" t="str">
        <f t="shared" si="6"/>
        <v>BLOCKED</v>
      </c>
      <c r="Q59" s="26" t="str">
        <f t="shared" si="7"/>
        <v>BLOCKED</v>
      </c>
      <c r="R59" s="26">
        <f t="array" ref="R59">IFERROR(
 _xlfn.XLOOKUP(
  A59,
  tblChecklist[TargetID],
  tblChecklist[PlayerSort],
  ""
 ),
 ""
)</f>
        <v>29</v>
      </c>
      <c r="S59" s="26" t="str">
        <f>IFERROR(__xludf.DUMMYFUNCTION("LET(
 id,A59,
 successorIDs,
  IFERROR(
   UNIQUE(
    FILTER(
     {
      Dependencies!$A$2:$A$1000;
      QuestObjectives!$A$2:$A$1000
     },
     {
      Dependencies!$B$2:$B$1000;
      QuestObjectives!$E$2:$E$1000
     }=id
    )
   ),
   """"
  ),"&amp;"
 names,
  MAP(
   successorIDs,
   LAMBDA(s,
    IF(
     s="""",
     """",
     XLOOKUP(
      s,
      $A$2:$A$1000,
      $B$2:$B$1000,
      s
     )
    )
   )
  ),
 IF(
  successorIDs="""",
  """",
  TEXTJOIN("", "",TRUE,names)
 )
)"),"Alchemist's Hut Lv 5, Warehouse Lv 5, Emerald Tablet, Guild Codex, Historical Library, Trigonometry, Build the Guild Finished")</f>
        <v>Alchemist's Hut Lv 5, Warehouse Lv 5, Emerald Tablet, Guild Codex, Historical Library, Trigonometry, Build the Guild Finished</v>
      </c>
      <c r="T59" s="26" t="str">
        <f t="array" ref="T59">_xlfn.XLOOKUP(
 A59,
 tblTargets[TargetID],
 tblTargets[CompletionMethod],
 ""
)</f>
        <v>PLAYER</v>
      </c>
      <c r="U59" s="84" t="b">
        <f>COUNTIF(tblCost[TargetID],A59)&gt;0</f>
        <v>1</v>
      </c>
      <c r="V59" s="85">
        <f t="array" ref="V59">IF(
 U59=FALSE,
 "",
 _xlfn.XLOOKUP(
  A59,
  tblCost[TargetID],
  tblCost[FundingPercent],
  ""
 )
)</f>
        <v>0</v>
      </c>
      <c r="W59" s="26">
        <f t="array" ref="W59">IF(
 U59=FALSE,
 "",
 _xlfn.XLOOKUP(
  A59,
  tblCost[TargetID],
  tblCost[RemainingRequirements],
  ""
 )
)</f>
        <v>5</v>
      </c>
      <c r="X59" s="45" t="b">
        <f t="array" ref="X59">IF(
 U59=FALSE,
 "N/A",
 _xlfn.XLOOKUP(
  A60,
  tblCost[TargetID],
  tblCost[TargetFunded],
  FALSE
 )
)</f>
        <v>0</v>
      </c>
      <c r="Y59" s="26" t="str">
        <f>IFERROR(__xludf.DUMMYFUNCTION("IFERROR(
 TEXTJOIN(
  "", "",
  TRUE,
  FILTER(
   'cost checklist'!$E$2:$E1000&amp;"": ""&amp;'cost checklist'!$G$2:$G1000,
   'cost checklist'!$B$2:$B1000=A59,
   'cost checklist'!$J$2:$J1000=FALSE
  )
 ),
 """"
)"),"beam: 600, coin: 300, ruby: 8, steel: 50, stone: 300")</f>
        <v>beam: 600, coin: 300, ruby: 8, steel: 50, stone: 300</v>
      </c>
      <c r="Z59" s="26" t="b">
        <f>IFERROR(__xludf.DUMMYFUNCTION("IF(
 AND(
  E59=""QUEST"",
  RIGHT(A59,9)="".accepted"",
  D59=TRUE
 ),
 XLOOKUP(
  REGEXREPLACE(A59,""\.accepted$"","""")&amp;"".finished"",
  $A$2:$A1000,
  $D$2:$D1000,
  TRUE
 )=FALSE,
 FALSE
)"),FALSE)</f>
        <v>0</v>
      </c>
      <c r="AA59" s="26" t="str">
        <f>IFERROR(__xludf.DUMMYFUNCTION("LET(
 id,A59,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0" ht="14.25" customHeight="1">
      <c r="A60" s="26" t="s">
        <v>310</v>
      </c>
      <c r="B60" s="26" t="str">
        <f t="array" ref="B60">_xlfn.XLOOKUP(
 A60,
 tblTargets[TargetID],
 tblTargets[DisplayName],
 ""
)</f>
        <v>Guild: Video Game Arcade Lv 1</v>
      </c>
      <c r="C60" s="26" t="str">
        <f t="shared" si="1"/>
        <v>BLOCKED</v>
      </c>
      <c r="D60" s="26" t="b">
        <f>IFERROR(__xludf.DUMMYFUNCTION("LET(
 id,A60,
 IF(
  F60=""CHARACTER"",
  LET(
   base,REGEXREPLACE(id,""@\d+$"",""""),
   required,VALUE(REGEXEXTRACT(id,""@(\d+)$"")),
   current,XLOOKUP(
    base,
    tblPlayer[PlayerStateID],
    tblPlayer[Value],
    0
   ),
   current&gt;=required
  )"&amp;",
  IF(
   T60=""AUTO"",
   L60=0,
   COUNTIFS(
    tblChecklist[TargetID],id,
    tblChecklist[PlayerCompleted],TRUE
   )&gt;0
  )
 )
)"),FALSE)</f>
        <v>0</v>
      </c>
      <c r="E60" s="26" t="str">
        <f t="array" ref="E60">_xlfn.XLOOKUP(
 A60,
 tblTargets[TargetID],
 tblTargets[TargetType],
 ""
)</f>
        <v>BUILDING</v>
      </c>
      <c r="F60" s="26" t="str">
        <f t="array" ref="F60">_xlfn.XLOOKUP(
 A60,
 tblTargets[TargetID],
 tblTargets[StateType],
 ""
)</f>
        <v/>
      </c>
      <c r="G60" s="26">
        <f>LET(
 id,A60,
 depCount,COUNTIF(tblDependencies[TargetID],id),
 objCount,COUNTIF(tblQuestObjectives[QuestTargetID],id),
 depCount+objCount
)</f>
        <v>2</v>
      </c>
      <c r="H60" s="26">
        <f t="shared" si="2"/>
        <v>2</v>
      </c>
      <c r="I60" s="26">
        <f>IFERROR(__xludf.DUMMYFUNCTION("LET(
 id,A60,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 s="26">
        <f t="shared" si="3"/>
        <v>0</v>
      </c>
      <c r="K60" s="26" t="b">
        <f t="shared" si="4"/>
        <v>0</v>
      </c>
      <c r="L60" s="26">
        <f t="shared" si="5"/>
        <v>2</v>
      </c>
      <c r="M60" s="26" t="str">
        <f>IFERROR(__xludf.DUMMYFUNCTION("LET(
 id,A60,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L60=0,
  """",
  IFERROR(INDEX(incomplete,1),"""")
 "&amp;")
)"),"quest.ahead_of_time_chapter_4.finished")</f>
        <v>quest.ahead_of_time_chapter_4.finished</v>
      </c>
      <c r="N60" s="26" t="str">
        <f t="array" ref="N60">IF(
 M60="",
 "",
 _xlfn.XLOOKUP(
  M60,
  tblTargets[TargetID],
  tblTargets[DisplayName],
  M60
 )
)</f>
        <v>Ahead of Time Chapter 4 Finished</v>
      </c>
      <c r="O60" s="26" t="str">
        <f>IFERROR(__xludf.DUMMYFUNCTION("SWITCH(
 E60,
 ""BUILDING"",XLOOKUP(A60,tblBuildings[BuildingID],tblBuildings[costtext],""""),
 ""TECH"",XLOOKUP(A60,tblTechnologies[TechnologyID],tblTechnologies[costtext],""""),
 ""QUEST"",XLOOKUP(
  REGEXREPLACE(A60,""\.[^.]+$"",""""),
  tblQuests[Ques"&amp;"tID],
  tblQuests[Costtext],
  """"
 ),
 ""CITADEL"",XLOOKUP(A60,tblCitadel[CitadelID],tblCitadel[costtext],""""),
 ""COLLECTION"",XLOOKUP(A60,tblCollections[CollectionID],tblCollections[costtext],""""),
 ""CRAFTIFACT"",XLOOKUP(A60,tblCraftifacts[Craftifa"&amp;"ctID],tblCraftifacts[costtext],""""),
 """"
)"),"3 ruby,500 crypto,10 mechanism,10 drum,3 mspider,2 ninja,40 microchip,40 floppy,30 blueprint")</f>
        <v>3 ruby,500 crypto,10 mechanism,10 drum,3 mspider,2 ninja,40 microchip,40 floppy,30 blueprint</v>
      </c>
      <c r="P60" s="26" t="str">
        <f t="shared" si="6"/>
        <v>BLOCKED</v>
      </c>
      <c r="Q60" s="26" t="str">
        <f t="shared" si="7"/>
        <v>BLOCKED</v>
      </c>
      <c r="R60" s="26" t="str">
        <f t="array" ref="R60">IFERROR(
 _xlfn.XLOOKUP(
  A60,
  tblChecklist[TargetID],
  tblChecklist[PlayerSort],
  ""
 ),
 ""
)</f>
        <v/>
      </c>
      <c r="S60" s="26" t="str">
        <f>IFERROR(__xludf.DUMMYFUNCTION("LET(
 id,A60,
 successorIDs,
  IFERROR(
   UNIQUE(
    FILTER(
     {
      Dependencies!$A$2:$A$1000;
      QuestObjectives!$A$2:$A$1000
     },
     {
      Dependencies!$B$2:$B$1000;
      QuestObjectives!$E$2:$E$1000
     }=id
    )
   ),
   """"
  ),"&amp;"
 names,
  MAP(
   successorIDs,
   LAMBDA(s,
    IF(
     s="""",
     """",
     XLOOKUP(
      s,
      $A$2:$A$1000,
      $B$2:$B$1000,
      s
     )
    )
   )
  ),
 IF(
  successorIDs="""",
  """",
  TEXTJOIN("", "",TRUE,names)
 )
)"),"")</f>
        <v/>
      </c>
      <c r="T60" s="26" t="str">
        <f t="array" ref="T60">_xlfn.XLOOKUP(
 A60,
 tblTargets[TargetID],
 tblTargets[CompletionMethod],
 ""
)</f>
        <v>PLAYER</v>
      </c>
      <c r="U60" s="84" t="b">
        <f>COUNTIF(tblCost[TargetID],A60)&gt;0</f>
        <v>1</v>
      </c>
      <c r="V60" s="85">
        <f t="array" ref="V60">IF(
 U60=FALSE,
 "",
 _xlfn.XLOOKUP(
  A60,
  tblCost[TargetID],
  tblCost[FundingPercent],
  ""
 )
)</f>
        <v>0</v>
      </c>
      <c r="W60" s="26">
        <f t="array" ref="W60">IF(
 U60=FALSE,
 "",
 _xlfn.XLOOKUP(
  A60,
  tblCost[TargetID],
  tblCost[RemainingRequirements],
  ""
 )
)</f>
        <v>9</v>
      </c>
      <c r="X60" s="45" t="b">
        <f t="array" ref="X60">IF(
 U60=FALSE,
 "N/A",
 _xlfn.XLOOKUP(
  A61,
  tblCost[TargetID],
  tblCost[TargetFunded],
  FALSE
 )
)</f>
        <v>0</v>
      </c>
      <c r="Y60" s="26" t="str">
        <f>IFERROR(__xludf.DUMMYFUNCTION("IFERROR(
 TEXTJOIN(
  "", "",
  TRUE,
  FILTER(
   'cost checklist'!$E$2:$E1000&amp;"": ""&amp;'cost checklist'!$G$2:$G1000,
   'cost checklist'!$B$2:$B1000=A60,
   'cost checklist'!$J$2:$J1000=FALSE
  )
 ),
 """"
)"),"blueprint: 30, crypto: 500, drum: 10, floppy: 40, mechanism: 10, microchip: 40, mspider: 3, ninja: 2, ruby: 3")</f>
        <v>blueprint: 30, crypto: 500, drum: 10, floppy: 40, mechanism: 10, microchip: 40, mspider: 3, ninja: 2, ruby: 3</v>
      </c>
      <c r="Z60" s="26" t="b">
        <f>IFERROR(__xludf.DUMMYFUNCTION("IF(
 AND(
  E60=""QUEST"",
  RIGHT(A60,9)="".accepted"",
  D60=TRUE
 ),
 XLOOKUP(
  REGEXREPLACE(A60,""\.accepted$"","""")&amp;"".finished"",
  $A$2:$A1000,
  $D$2:$D1000,
  TRUE
 )=FALSE,
 FALSE
)"),FALSE)</f>
        <v>0</v>
      </c>
      <c r="AA60" s="26" t="str">
        <f>IFERROR(__xludf.DUMMYFUNCTION("LET(
 id,A60,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1" ht="14.25" customHeight="1">
      <c r="A61" s="26" t="s">
        <v>777</v>
      </c>
      <c r="B61" s="26" t="str">
        <f t="array" ref="B61">_xlfn.XLOOKUP(
 A61,
 tblTargets[TargetID],
 tblTargets[DisplayName],
 ""
)</f>
        <v>Laboratory maxed</v>
      </c>
      <c r="C61" s="26" t="str">
        <f t="shared" si="1"/>
        <v>BLOCKED</v>
      </c>
      <c r="D61" s="26" t="b">
        <f>IFERROR(__xludf.DUMMYFUNCTION("LET(
 id,A61,
 IF(
  F61=""CHARACTER"",
  LET(
   base,REGEXREPLACE(id,""@\d+$"",""""),
   required,VALUE(REGEXEXTRACT(id,""@(\d+)$"")),
   current,XLOOKUP(
    base,
    tblPlayer[PlayerStateID],
    tblPlayer[Value],
    0
   ),
   current&gt;=required
  )"&amp;",
  IF(
   T61=""AUTO"",
   L61=0,
   COUNTIFS(
    tblChecklist[TargetID],id,
    tblChecklist[PlayerCompleted],TRUE
   )&gt;0
  )
 )
)"),FALSE)</f>
        <v>0</v>
      </c>
      <c r="E61" s="26" t="str">
        <f t="array" ref="E61">_xlfn.XLOOKUP(
 A61,
 tblTargets[TargetID],
 tblTargets[TargetType],
 ""
)</f>
        <v>BUILDING</v>
      </c>
      <c r="F61" s="26" t="str">
        <f t="array" ref="F61">_xlfn.XLOOKUP(
 A61,
 tblTargets[TargetID],
 tblTargets[StateType],
 ""
)</f>
        <v/>
      </c>
      <c r="G61" s="26">
        <f>LET(
 id,A61,
 depCount,COUNTIF(tblDependencies[TargetID],id),
 objCount,COUNTIF(tblQuestObjectives[QuestTargetID],id),
 depCount+objCount
)</f>
        <v>1</v>
      </c>
      <c r="H61" s="26">
        <f t="shared" si="2"/>
        <v>1</v>
      </c>
      <c r="I61" s="26">
        <f>IFERROR(__xludf.DUMMYFUNCTION("LET(
 id,A61,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 s="26">
        <f t="shared" si="3"/>
        <v>0</v>
      </c>
      <c r="K61" s="26" t="b">
        <f t="shared" si="4"/>
        <v>0</v>
      </c>
      <c r="L61" s="26">
        <f t="shared" si="5"/>
        <v>1</v>
      </c>
      <c r="M61" s="26" t="str">
        <f>IFERROR(__xludf.DUMMYFUNCTION("LET(
 id,A61,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L61=0,
  """",
  IFERROR(INDEX(incomplete,1),"""")
 "&amp;")
)"),"building.laboratory@5")</f>
        <v>building.laboratory@5</v>
      </c>
      <c r="N61" s="26" t="str">
        <f t="array" ref="N61">IF(
 M61="",
 "",
 _xlfn.XLOOKUP(
  M61,
  tblTargets[TargetID],
  tblTargets[DisplayName],
  M61
 )
)</f>
        <v>Laboratory Lv 5</v>
      </c>
      <c r="O61" s="26" t="str">
        <f>IFERROR(__xludf.DUMMYFUNCTION("SWITCH(
 E61,
 ""BUILDING"",XLOOKUP(A61,tblBuildings[BuildingID],tblBuildings[costtext],""""),
 ""TECH"",XLOOKUP(A61,tblTechnologies[TechnologyID],tblTechnologies[costtext],""""),
 ""QUEST"",XLOOKUP(
  REGEXREPLACE(A61,""\.[^.]+$"",""""),
  tblQuests[Ques"&amp;"tID],
  tblQuests[Costtext],
  """"
 ),
 ""CITADEL"",XLOOKUP(A61,tblCitadel[CitadelID],tblCitadel[costtext],""""),
 ""COLLECTION"",XLOOKUP(A61,tblCollections[CollectionID],tblCollections[costtext],""""),
 ""CRAFTIFACT"",XLOOKUP(A61,tblCraftifacts[Craftifa"&amp;"ctID],tblCraftifacts[costtext],""""),
 """"
)"),"")</f>
        <v/>
      </c>
      <c r="P61" s="26" t="str">
        <f t="shared" si="6"/>
        <v>BLOCKED</v>
      </c>
      <c r="Q61" s="26" t="str">
        <f t="shared" si="7"/>
        <v>BLOCKED</v>
      </c>
      <c r="R61" s="26" t="str">
        <f t="array" ref="R61">IFERROR(
 _xlfn.XLOOKUP(
  A61,
  tblChecklist[TargetID],
  tblChecklist[PlayerSort],
  ""
 ),
 ""
)</f>
        <v/>
      </c>
      <c r="S61" s="26" t="str">
        <f>IFERROR(__xludf.DUMMYFUNCTION("LET(
 id,A61,
 successorIDs,
  IFERROR(
   UNIQUE(
    FILTER(
     {
      Dependencies!$A$2:$A$1000;
      QuestObjectives!$A$2:$A$1000
     },
     {
      Dependencies!$B$2:$B$1000;
      QuestObjectives!$E$2:$E$1000
     }=id
    )
   ),
   """"
  ),"&amp;"
 names,
  MAP(
   successorIDs,
   LAMBDA(s,
    IF(
     s="""",
     """",
     XLOOKUP(
      s,
      $A$2:$A$1000,
      $B$2:$B$1000,
      s
     )
    )
   )
  ),
 IF(
  successorIDs="""",
  """",
  TEXTJOIN("", "",TRUE,names)
 )
)"),"Laboratory: Data Center Lv 1, Laboratory - Digitization, Laboratory - Experiments, Laboratory - Research And Development")</f>
        <v>Laboratory: Data Center Lv 1, Laboratory - Digitization, Laboratory - Experiments, Laboratory - Research And Development</v>
      </c>
      <c r="T61" s="26" t="str">
        <f t="array" ref="T61">_xlfn.XLOOKUP(
 A61,
 tblTargets[TargetID],
 tblTargets[CompletionMethod],
 ""
)</f>
        <v>AUTO</v>
      </c>
      <c r="U61" s="84" t="b">
        <f>COUNTIF(tblCost[TargetID],A61)&gt;0</f>
        <v>0</v>
      </c>
      <c r="V61" s="85" t="str">
        <f t="array" ref="V61">IF(
 U61=FALSE,
 "",
 _xlfn.XLOOKUP(
  A61,
  tblCost[TargetID],
  tblCost[FundingPercent],
  ""
 )
)</f>
        <v/>
      </c>
      <c r="W61" s="26" t="str">
        <f t="array" ref="W61">IF(
 U61=FALSE,
 "",
 _xlfn.XLOOKUP(
  A61,
  tblCost[TargetID],
  tblCost[RemainingRequirements],
  ""
 )
)</f>
        <v/>
      </c>
      <c r="X61" s="45" t="str">
        <f t="array" ref="X61">IF(
 U61=FALSE,
 "N/A",
 _xlfn.XLOOKUP(
  A62,
  tblCost[TargetID],
  tblCost[TargetFunded],
  FALSE
 )
)</f>
        <v>N/A</v>
      </c>
      <c r="Y61" s="26" t="str">
        <f>IFERROR(__xludf.DUMMYFUNCTION("IFERROR(
 TEXTJOIN(
  "", "",
  TRUE,
  FILTER(
   'cost checklist'!$E$2:$E1000&amp;"": ""&amp;'cost checklist'!$G$2:$G1000,
   'cost checklist'!$B$2:$B1000=A61,
   'cost checklist'!$J$2:$J1000=FALSE
  )
 ),
 """"
)"),"")</f>
        <v/>
      </c>
      <c r="Z61" s="26" t="b">
        <f>IFERROR(__xludf.DUMMYFUNCTION("IF(
 AND(
  E61=""QUEST"",
  RIGHT(A61,9)="".accepted"",
  D61=TRUE
 ),
 XLOOKUP(
  REGEXREPLACE(A61,""\.accepted$"","""")&amp;"".finished"",
  $A$2:$A1000,
  $D$2:$D1000,
  TRUE
 )=FALSE,
 FALSE
)"),FALSE)</f>
        <v>0</v>
      </c>
      <c r="AA61" s="26" t="str">
        <f>IFERROR(__xludf.DUMMYFUNCTION("LET(
 id,A61,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2" ht="14.25" customHeight="1">
      <c r="A62" s="26" t="s">
        <v>314</v>
      </c>
      <c r="B62" s="26" t="str">
        <f t="array" ref="B62">_xlfn.XLOOKUP(
 A62,
 tblTargets[TargetID],
 tblTargets[DisplayName],
 ""
)</f>
        <v>Laboratory Lv 1</v>
      </c>
      <c r="C62" s="26" t="str">
        <f t="shared" si="1"/>
        <v>BLOCKED</v>
      </c>
      <c r="D62" s="26" t="b">
        <f>IFERROR(__xludf.DUMMYFUNCTION("LET(
 id,A62,
 IF(
  F62=""CHARACTER"",
  LET(
   base,REGEXREPLACE(id,""@\d+$"",""""),
   required,VALUE(REGEXEXTRACT(id,""@(\d+)$"")),
   current,XLOOKUP(
    base,
    tblPlayer[PlayerStateID],
    tblPlayer[Value],
    0
   ),
   current&gt;=required
  )"&amp;",
  IF(
   T62=""AUTO"",
   L62=0,
   COUNTIFS(
    tblChecklist[TargetID],id,
    tblChecklist[PlayerCompleted],TRUE
   )&gt;0
  )
 )
)"),FALSE)</f>
        <v>0</v>
      </c>
      <c r="E62" s="26" t="str">
        <f t="array" ref="E62">_xlfn.XLOOKUP(
 A62,
 tblTargets[TargetID],
 tblTargets[TargetType],
 ""
)</f>
        <v>BUILDING</v>
      </c>
      <c r="F62" s="26" t="str">
        <f t="array" ref="F62">_xlfn.XLOOKUP(
 A62,
 tblTargets[TargetID],
 tblTargets[StateType],
 ""
)</f>
        <v/>
      </c>
      <c r="G62" s="26">
        <f>LET(
 id,A62,
 depCount,COUNTIF(tblDependencies[TargetID],id),
 objCount,COUNTIF(tblQuestObjectives[QuestTargetID],id),
 depCount+objCount
)</f>
        <v>4</v>
      </c>
      <c r="H62" s="26">
        <f t="shared" si="2"/>
        <v>4</v>
      </c>
      <c r="I62" s="26">
        <f>IFERROR(__xludf.DUMMYFUNCTION("LET(
 id,A62,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2" s="26">
        <f t="shared" si="3"/>
        <v>0</v>
      </c>
      <c r="K62" s="26" t="b">
        <f t="shared" si="4"/>
        <v>0</v>
      </c>
      <c r="L62" s="26">
        <f t="shared" si="5"/>
        <v>4</v>
      </c>
      <c r="M62" s="26" t="str">
        <f>IFERROR(__xludf.DUMMYFUNCTION("LET(
 id,A62,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L62=0,
  """",
  IFERROR(INDEX(incomplete,1),"""")
 "&amp;")
)"),"quest.ahead_of_time_chapter_1.accepted")</f>
        <v>quest.ahead_of_time_chapter_1.accepted</v>
      </c>
      <c r="N62" s="26" t="str">
        <f t="array" ref="N62">IF(
 M62="",
 "",
 _xlfn.XLOOKUP(
  M62,
  tblTargets[TargetID],
  tblTargets[DisplayName],
  M62
 )
)</f>
        <v>Ahead of Time Chapter 1 Accepted</v>
      </c>
      <c r="O62" s="26" t="str">
        <f>IFERROR(__xludf.DUMMYFUNCTION("SWITCH(
 E62,
 ""BUILDING"",XLOOKUP(A62,tblBuildings[BuildingID],tblBuildings[costtext],""""),
 ""TECH"",XLOOKUP(A62,tblTechnologies[TechnologyID],tblTechnologies[costtext],""""),
 ""QUEST"",XLOOKUP(
  REGEXREPLACE(A62,""\.[^.]+$"",""""),
  tblQuests[Ques"&amp;"tID],
  tblQuests[Costtext],
  """"
 ),
 ""CITADEL"",XLOOKUP(A62,tblCitadel[CitadelID],tblCitadel[costtext],""""),
 ""COLLECTION"",XLOOKUP(A62,tblCollections[CollectionID],tblCollections[costtext],""""),
 ""CRAFTIFACT"",XLOOKUP(A62,tblCraftifacts[Craftifa"&amp;"ctID],tblCraftifacts[costtext],""""),
 """"
)"),"6 ruby,1000 coin,500 stone,300 steel,50 glass,100 chemicals,30 mechanism,40 blueprint,2 malu")</f>
        <v>6 ruby,1000 coin,500 stone,300 steel,50 glass,100 chemicals,30 mechanism,40 blueprint,2 malu</v>
      </c>
      <c r="P62" s="26" t="str">
        <f t="shared" si="6"/>
        <v>BLOCKED</v>
      </c>
      <c r="Q62" s="26" t="str">
        <f t="shared" si="7"/>
        <v>BLOCKED</v>
      </c>
      <c r="R62" s="26">
        <f t="array" ref="R62">IFERROR(
 _xlfn.XLOOKUP(
  A62,
  tblChecklist[TargetID],
  tblChecklist[PlayerSort],
  ""
 ),
 ""
)</f>
        <v>66</v>
      </c>
      <c r="S62" s="26" t="str">
        <f>IFERROR(__xludf.DUMMYFUNCTION("LET(
 id,A62,
 successorIDs,
  IFERROR(
   UNIQUE(
    FILTER(
     {
      Dependencies!$A$2:$A$1000;
      QuestObjectives!$A$2:$A$1000
     },
     {
      Dependencies!$B$2:$B$1000;
      QuestObjectives!$E$2:$E$1000
     }=id
    )
   ),
   """"
  ),"&amp;"
 names,
  MAP(
   successorIDs,
   LAMBDA(s,
    IF(
     s="""",
     """",
     XLOOKUP(
      s,
      $A$2:$A$1000,
      $B$2:$B$1000,
      s
     )
    )
   )
  ),
 IF(
  successorIDs="""",
  """",
  TEXTJOIN("", "",TRUE,names)
 )
)"),"Laboratory Lv 2")</f>
        <v>Laboratory Lv 2</v>
      </c>
      <c r="T62" s="26" t="str">
        <f t="array" ref="T62">_xlfn.XLOOKUP(
 A62,
 tblTargets[TargetID],
 tblTargets[CompletionMethod],
 ""
)</f>
        <v>PLAYER</v>
      </c>
      <c r="U62" s="84" t="b">
        <f>COUNTIF(tblCost[TargetID],A62)&gt;0</f>
        <v>1</v>
      </c>
      <c r="V62" s="85">
        <f t="array" ref="V62">IF(
 U62=FALSE,
 "",
 _xlfn.XLOOKUP(
  A62,
  tblCost[TargetID],
  tblCost[FundingPercent],
  ""
 )
)</f>
        <v>0</v>
      </c>
      <c r="W62" s="26">
        <f t="array" ref="W62">IF(
 U62=FALSE,
 "",
 _xlfn.XLOOKUP(
  A62,
  tblCost[TargetID],
  tblCost[RemainingRequirements],
  ""
 )
)</f>
        <v>9</v>
      </c>
      <c r="X62" s="45" t="b">
        <f t="array" ref="X62">IF(
 U62=FALSE,
 "N/A",
 _xlfn.XLOOKUP(
  A63,
  tblCost[TargetID],
  tblCost[TargetFunded],
  FALSE
 )
)</f>
        <v>0</v>
      </c>
      <c r="Y62" s="26" t="str">
        <f>IFERROR(__xludf.DUMMYFUNCTION("IFERROR(
 TEXTJOIN(
  "", "",
  TRUE,
  FILTER(
   'cost checklist'!$E$2:$E1000&amp;"": ""&amp;'cost checklist'!$G$2:$G1000,
   'cost checklist'!$B$2:$B1000=A62,
   'cost checklist'!$J$2:$J1000=FALSE
  )
 ),
 """"
)"),"blueprint: 40, chemicals: 100, coin: 1000, glass: 50, malu: 2, mechanism: 30, ruby: 6, steel: 300, stone: 500")</f>
        <v>blueprint: 40, chemicals: 100, coin: 1000, glass: 50, malu: 2, mechanism: 30, ruby: 6, steel: 300, stone: 500</v>
      </c>
      <c r="Z62" s="26" t="b">
        <f>IFERROR(__xludf.DUMMYFUNCTION("IF(
 AND(
  E62=""QUEST"",
  RIGHT(A62,9)="".accepted"",
  D62=TRUE
 ),
 XLOOKUP(
  REGEXREPLACE(A62,""\.accepted$"","""")&amp;"".finished"",
  $A$2:$A1000,
  $D$2:$D1000,
  TRUE
 )=FALSE,
 FALSE
)"),FALSE)</f>
        <v>0</v>
      </c>
      <c r="AA62" s="26" t="str">
        <f>IFERROR(__xludf.DUMMYFUNCTION("LET(
 id,A62,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3" ht="14.25" customHeight="1">
      <c r="A63" s="26" t="s">
        <v>319</v>
      </c>
      <c r="B63" s="26" t="str">
        <f t="array" ref="B63">_xlfn.XLOOKUP(
 A63,
 tblTargets[TargetID],
 tblTargets[DisplayName],
 ""
)</f>
        <v>Laboratory Lv 2</v>
      </c>
      <c r="C63" s="26" t="str">
        <f t="shared" si="1"/>
        <v>BLOCKED</v>
      </c>
      <c r="D63" s="26" t="b">
        <f>IFERROR(__xludf.DUMMYFUNCTION("LET(
 id,A63,
 IF(
  F63=""CHARACTER"",
  LET(
   base,REGEXREPLACE(id,""@\d+$"",""""),
   required,VALUE(REGEXEXTRACT(id,""@(\d+)$"")),
   current,XLOOKUP(
    base,
    tblPlayer[PlayerStateID],
    tblPlayer[Value],
    0
   ),
   current&gt;=required
  )"&amp;",
  IF(
   T63=""AUTO"",
   L63=0,
   COUNTIFS(
    tblChecklist[TargetID],id,
    tblChecklist[PlayerCompleted],TRUE
   )&gt;0
  )
 )
)"),FALSE)</f>
        <v>0</v>
      </c>
      <c r="E63" s="26" t="str">
        <f t="array" ref="E63">_xlfn.XLOOKUP(
 A63,
 tblTargets[TargetID],
 tblTargets[TargetType],
 ""
)</f>
        <v>BUILDING</v>
      </c>
      <c r="F63" s="26" t="str">
        <f t="array" ref="F63">_xlfn.XLOOKUP(
 A63,
 tblTargets[TargetID],
 tblTargets[StateType],
 ""
)</f>
        <v/>
      </c>
      <c r="G63" s="26">
        <f>LET(
 id,A63,
 depCount,COUNTIF(tblDependencies[TargetID],id),
 objCount,COUNTIF(tblQuestObjectives[QuestTargetID],id),
 depCount+objCount
)</f>
        <v>1</v>
      </c>
      <c r="H63" s="26">
        <f t="shared" si="2"/>
        <v>1</v>
      </c>
      <c r="I63" s="26">
        <f>IFERROR(__xludf.DUMMYFUNCTION("LET(
 id,A63,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3" s="26">
        <f t="shared" si="3"/>
        <v>0</v>
      </c>
      <c r="K63" s="26" t="b">
        <f t="shared" si="4"/>
        <v>0</v>
      </c>
      <c r="L63" s="26">
        <f t="shared" si="5"/>
        <v>1</v>
      </c>
      <c r="M63" s="26" t="str">
        <f>IFERROR(__xludf.DUMMYFUNCTION("LET(
 id,A63,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L63=0,
  """",
  IFERROR(INDEX(incomplete,1),"""")
 "&amp;")
)"),"building.laboratory@1")</f>
        <v>building.laboratory@1</v>
      </c>
      <c r="N63" s="26" t="str">
        <f t="array" ref="N63">IF(
 M63="",
 "",
 _xlfn.XLOOKUP(
  M63,
  tblTargets[TargetID],
  tblTargets[DisplayName],
  M63
 )
)</f>
        <v>Laboratory Lv 1</v>
      </c>
      <c r="O63" s="26" t="str">
        <f>IFERROR(__xludf.DUMMYFUNCTION("SWITCH(
 E63,
 ""BUILDING"",XLOOKUP(A63,tblBuildings[BuildingID],tblBuildings[costtext],""""),
 ""TECH"",XLOOKUP(A63,tblTechnologies[TechnologyID],tblTechnologies[costtext],""""),
 ""QUEST"",XLOOKUP(
  REGEXREPLACE(A63,""\.[^.]+$"",""""),
  tblQuests[Ques"&amp;"tID],
  tblQuests[Costtext],
  """"
 ),
 ""CITADEL"",XLOOKUP(A63,tblCitadel[CitadelID],tblCitadel[costtext],""""),
 ""COLLECTION"",XLOOKUP(A63,tblCollections[CollectionID],tblCollections[costtext],""""),
 ""CRAFTIFACT"",XLOOKUP(A63,tblCraftifacts[Craftifa"&amp;"ctID],tblCraftifacts[costtext],""""),
 """"
)"),"7 ruby,1000 coin,600 stone,400 steel,70 glass,30 mercury,20 titanium,40 blueprint,2 malu")</f>
        <v>7 ruby,1000 coin,600 stone,400 steel,70 glass,30 mercury,20 titanium,40 blueprint,2 malu</v>
      </c>
      <c r="P63" s="26" t="str">
        <f t="shared" si="6"/>
        <v>BLOCKED</v>
      </c>
      <c r="Q63" s="26" t="str">
        <f t="shared" si="7"/>
        <v>BLOCKED</v>
      </c>
      <c r="R63" s="26">
        <f t="array" ref="R63">IFERROR(
 _xlfn.XLOOKUP(
  A63,
  tblChecklist[TargetID],
  tblChecklist[PlayerSort],
  ""
 ),
 ""
)</f>
        <v>67</v>
      </c>
      <c r="S63" s="26" t="str">
        <f>IFERROR(__xludf.DUMMYFUNCTION("LET(
 id,A63,
 successorIDs,
  IFERROR(
   UNIQUE(
    FILTER(
     {
      Dependencies!$A$2:$A$1000;
      QuestObjectives!$A$2:$A$1000
     },
     {
      Dependencies!$B$2:$B$1000;
      QuestObjectives!$E$2:$E$1000
     }=id
    )
   ),
   """"
  ),"&amp;"
 names,
  MAP(
   successorIDs,
   LAMBDA(s,
    IF(
     s="""",
     """",
     XLOOKUP(
      s,
      $A$2:$A$1000,
      $B$2:$B$1000,
      s
     )
    )
   )
  ),
 IF(
  successorIDs="""",
  """",
  TEXTJOIN("", "",TRUE,names)
 )
)"),"Laboratory Lv 3")</f>
        <v>Laboratory Lv 3</v>
      </c>
      <c r="T63" s="26" t="str">
        <f t="array" ref="T63">_xlfn.XLOOKUP(
 A63,
 tblTargets[TargetID],
 tblTargets[CompletionMethod],
 ""
)</f>
        <v>PLAYER</v>
      </c>
      <c r="U63" s="84" t="b">
        <f>COUNTIF(tblCost[TargetID],A63)&gt;0</f>
        <v>1</v>
      </c>
      <c r="V63" s="85">
        <f t="array" ref="V63">IF(
 U63=FALSE,
 "",
 _xlfn.XLOOKUP(
  A63,
  tblCost[TargetID],
  tblCost[FundingPercent],
  ""
 )
)</f>
        <v>0</v>
      </c>
      <c r="W63" s="26">
        <f t="array" ref="W63">IF(
 U63=FALSE,
 "",
 _xlfn.XLOOKUP(
  A63,
  tblCost[TargetID],
  tblCost[RemainingRequirements],
  ""
 )
)</f>
        <v>9</v>
      </c>
      <c r="X63" s="45" t="b">
        <f t="array" ref="X63">IF(
 U63=FALSE,
 "N/A",
 _xlfn.XLOOKUP(
  A64,
  tblCost[TargetID],
  tblCost[TargetFunded],
  FALSE
 )
)</f>
        <v>0</v>
      </c>
      <c r="Y63" s="26" t="str">
        <f>IFERROR(__xludf.DUMMYFUNCTION("IFERROR(
 TEXTJOIN(
  "", "",
  TRUE,
  FILTER(
   'cost checklist'!$E$2:$E1000&amp;"": ""&amp;'cost checklist'!$G$2:$G1000,
   'cost checklist'!$B$2:$B1000=A63,
   'cost checklist'!$J$2:$J1000=FALSE
  )
 ),
 """"
)"),"blueprint: 40, coin: 1000, glass: 70, malu: 2, mercury: 30, ruby: 7, steel: 400, stone: 600, titanium: 20")</f>
        <v>blueprint: 40, coin: 1000, glass: 70, malu: 2, mercury: 30, ruby: 7, steel: 400, stone: 600, titanium: 20</v>
      </c>
      <c r="Z63" s="26" t="b">
        <f>IFERROR(__xludf.DUMMYFUNCTION("IF(
 AND(
  E63=""QUEST"",
  RIGHT(A63,9)="".accepted"",
  D63=TRUE
 ),
 XLOOKUP(
  REGEXREPLACE(A63,""\.accepted$"","""")&amp;"".finished"",
  $A$2:$A1000,
  $D$2:$D1000,
  TRUE
 )=FALSE,
 FALSE
)"),FALSE)</f>
        <v>0</v>
      </c>
      <c r="AA63" s="26" t="str">
        <f>IFERROR(__xludf.DUMMYFUNCTION("LET(
 id,A63,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4" ht="14.25" customHeight="1">
      <c r="A64" s="26" t="s">
        <v>322</v>
      </c>
      <c r="B64" s="26" t="str">
        <f t="array" ref="B64">_xlfn.XLOOKUP(
 A64,
 tblTargets[TargetID],
 tblTargets[DisplayName],
 ""
)</f>
        <v>Laboratory Lv 3</v>
      </c>
      <c r="C64" s="26" t="str">
        <f t="shared" si="1"/>
        <v>BLOCKED</v>
      </c>
      <c r="D64" s="26" t="b">
        <f>IFERROR(__xludf.DUMMYFUNCTION("LET(
 id,A64,
 IF(
  F64=""CHARACTER"",
  LET(
   base,REGEXREPLACE(id,""@\d+$"",""""),
   required,VALUE(REGEXEXTRACT(id,""@(\d+)$"")),
   current,XLOOKUP(
    base,
    tblPlayer[PlayerStateID],
    tblPlayer[Value],
    0
   ),
   current&gt;=required
  )"&amp;",
  IF(
   T64=""AUTO"",
   L64=0,
   COUNTIFS(
    tblChecklist[TargetID],id,
    tblChecklist[PlayerCompleted],TRUE
   )&gt;0
  )
 )
)"),FALSE)</f>
        <v>0</v>
      </c>
      <c r="E64" s="26" t="str">
        <f t="array" ref="E64">_xlfn.XLOOKUP(
 A64,
 tblTargets[TargetID],
 tblTargets[TargetType],
 ""
)</f>
        <v>BUILDING</v>
      </c>
      <c r="F64" s="26" t="str">
        <f t="array" ref="F64">_xlfn.XLOOKUP(
 A64,
 tblTargets[TargetID],
 tblTargets[StateType],
 ""
)</f>
        <v/>
      </c>
      <c r="G64" s="26">
        <f>LET(
 id,A64,
 depCount,COUNTIF(tblDependencies[TargetID],id),
 objCount,COUNTIF(tblQuestObjectives[QuestTargetID],id),
 depCount+objCount
)</f>
        <v>1</v>
      </c>
      <c r="H64" s="26">
        <f t="shared" si="2"/>
        <v>1</v>
      </c>
      <c r="I64" s="26">
        <f>IFERROR(__xludf.DUMMYFUNCTION("LET(
 id,A64,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4" s="26">
        <f t="shared" si="3"/>
        <v>0</v>
      </c>
      <c r="K64" s="26" t="b">
        <f t="shared" si="4"/>
        <v>0</v>
      </c>
      <c r="L64" s="26">
        <f t="shared" si="5"/>
        <v>1</v>
      </c>
      <c r="M64" s="26" t="str">
        <f>IFERROR(__xludf.DUMMYFUNCTION("LET(
 id,A64,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L64=0,
  """",
  IFERROR(INDEX(incomplete,1),"""")
 "&amp;")
)"),"building.laboratory@2")</f>
        <v>building.laboratory@2</v>
      </c>
      <c r="N64" s="26" t="str">
        <f t="array" ref="N64">IF(
 M64="",
 "",
 _xlfn.XLOOKUP(
  M64,
  tblTargets[TargetID],
  tblTargets[DisplayName],
  M64
 )
)</f>
        <v>Laboratory Lv 2</v>
      </c>
      <c r="O64" s="26" t="str">
        <f>IFERROR(__xludf.DUMMYFUNCTION("SWITCH(
 E64,
 ""BUILDING"",XLOOKUP(A64,tblBuildings[BuildingID],tblBuildings[costtext],""""),
 ""TECH"",XLOOKUP(A64,tblTechnologies[TechnologyID],tblTechnologies[costtext],""""),
 ""QUEST"",XLOOKUP(
  REGEXREPLACE(A64,""\.[^.]+$"",""""),
  tblQuests[Ques"&amp;"tID],
  tblQuests[Costtext],
  """"
 ),
 ""CITADEL"",XLOOKUP(A64,tblCitadel[CitadelID],tblCitadel[costtext],""""),
 ""COLLECTION"",XLOOKUP(A64,tblCollections[CollectionID],tblCollections[costtext],""""),
 ""CRAFTIFACT"",XLOOKUP(A64,tblCraftifacts[Craftifa"&amp;"ctID],tblCraftifacts[costtext],""""),
 """"
)"),"8 ruby,1500 coin,600 stone,400 steel,100 glass,20 bluecrystal,20 pcard,40 blueprint,2 malu")</f>
        <v>8 ruby,1500 coin,600 stone,400 steel,100 glass,20 bluecrystal,20 pcard,40 blueprint,2 malu</v>
      </c>
      <c r="P64" s="26" t="str">
        <f t="shared" si="6"/>
        <v>BLOCKED</v>
      </c>
      <c r="Q64" s="26" t="str">
        <f t="shared" si="7"/>
        <v>BLOCKED</v>
      </c>
      <c r="R64" s="26">
        <f t="array" ref="R64">IFERROR(
 _xlfn.XLOOKUP(
  A64,
  tblChecklist[TargetID],
  tblChecklist[PlayerSort],
  ""
 ),
 ""
)</f>
        <v>68</v>
      </c>
      <c r="S64" s="26" t="str">
        <f>IFERROR(__xludf.DUMMYFUNCTION("LET(
 id,A64,
 successorIDs,
  IFERROR(
   UNIQUE(
    FILTER(
     {
      Dependencies!$A$2:$A$1000;
      QuestObjectives!$A$2:$A$1000
     },
     {
      Dependencies!$B$2:$B$1000;
      QuestObjectives!$E$2:$E$1000
     }=id
    )
   ),
   """"
  ),"&amp;"
 names,
  MAP(
   successorIDs,
   LAMBDA(s,
    IF(
     s="""",
     """",
     XLOOKUP(
      s,
      $A$2:$A$1000,
      $B$2:$B$1000,
      s
     )
    )
   )
  ),
 IF(
  successorIDs="""",
  """",
  TEXTJOIN("", "",TRUE,names)
 )
)"),"Laboratory Lv 4")</f>
        <v>Laboratory Lv 4</v>
      </c>
      <c r="T64" s="26" t="str">
        <f t="array" ref="T64">_xlfn.XLOOKUP(
 A64,
 tblTargets[TargetID],
 tblTargets[CompletionMethod],
 ""
)</f>
        <v>PLAYER</v>
      </c>
      <c r="U64" s="84" t="b">
        <f>COUNTIF(tblCost[TargetID],A64)&gt;0</f>
        <v>1</v>
      </c>
      <c r="V64" s="85">
        <f t="array" ref="V64">IF(
 U64=FALSE,
 "",
 _xlfn.XLOOKUP(
  A64,
  tblCost[TargetID],
  tblCost[FundingPercent],
  ""
 )
)</f>
        <v>0</v>
      </c>
      <c r="W64" s="26">
        <f t="array" ref="W64">IF(
 U64=FALSE,
 "",
 _xlfn.XLOOKUP(
  A64,
  tblCost[TargetID],
  tblCost[RemainingRequirements],
  ""
 )
)</f>
        <v>9</v>
      </c>
      <c r="X64" s="45" t="b">
        <f t="array" ref="X64">IF(
 U64=FALSE,
 "N/A",
 _xlfn.XLOOKUP(
  A65,
  tblCost[TargetID],
  tblCost[TargetFunded],
  FALSE
 )
)</f>
        <v>0</v>
      </c>
      <c r="Y64" s="26" t="str">
        <f>IFERROR(__xludf.DUMMYFUNCTION("IFERROR(
 TEXTJOIN(
  "", "",
  TRUE,
  FILTER(
   'cost checklist'!$E$2:$E1000&amp;"": ""&amp;'cost checklist'!$G$2:$G1000,
   'cost checklist'!$B$2:$B1000=A64,
   'cost checklist'!$J$2:$J1000=FALSE
  )
 ),
 """"
)"),"bluecrystal: 20, blueprint: 40, coin: 1500, glass: 100, malu: 2, pcard: 20, ruby: 8, steel: 400, stone: 600")</f>
        <v>bluecrystal: 20, blueprint: 40, coin: 1500, glass: 100, malu: 2, pcard: 20, ruby: 8, steel: 400, stone: 600</v>
      </c>
      <c r="Z64" s="26" t="b">
        <f>IFERROR(__xludf.DUMMYFUNCTION("IF(
 AND(
  E64=""QUEST"",
  RIGHT(A64,9)="".accepted"",
  D64=TRUE
 ),
 XLOOKUP(
  REGEXREPLACE(A64,""\.accepted$"","""")&amp;"".finished"",
  $A$2:$A1000,
  $D$2:$D1000,
  TRUE
 )=FALSE,
 FALSE
)"),FALSE)</f>
        <v>0</v>
      </c>
      <c r="AA64" s="26" t="str">
        <f>IFERROR(__xludf.DUMMYFUNCTION("LET(
 id,A64,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5" ht="14.25" customHeight="1">
      <c r="A65" s="26" t="s">
        <v>325</v>
      </c>
      <c r="B65" s="26" t="str">
        <f t="array" ref="B65">_xlfn.XLOOKUP(
 A65,
 tblTargets[TargetID],
 tblTargets[DisplayName],
 ""
)</f>
        <v>Laboratory Lv 4</v>
      </c>
      <c r="C65" s="26" t="str">
        <f t="shared" si="1"/>
        <v>BLOCKED</v>
      </c>
      <c r="D65" s="26" t="b">
        <f>IFERROR(__xludf.DUMMYFUNCTION("LET(
 id,A65,
 IF(
  F65=""CHARACTER"",
  LET(
   base,REGEXREPLACE(id,""@\d+$"",""""),
   required,VALUE(REGEXEXTRACT(id,""@(\d+)$"")),
   current,XLOOKUP(
    base,
    tblPlayer[PlayerStateID],
    tblPlayer[Value],
    0
   ),
   current&gt;=required
  )"&amp;",
  IF(
   T65=""AUTO"",
   L65=0,
   COUNTIFS(
    tblChecklist[TargetID],id,
    tblChecklist[PlayerCompleted],TRUE
   )&gt;0
  )
 )
)"),FALSE)</f>
        <v>0</v>
      </c>
      <c r="E65" s="26" t="str">
        <f t="array" ref="E65">_xlfn.XLOOKUP(
 A65,
 tblTargets[TargetID],
 tblTargets[TargetType],
 ""
)</f>
        <v>BUILDING</v>
      </c>
      <c r="F65" s="26" t="str">
        <f t="array" ref="F65">_xlfn.XLOOKUP(
 A65,
 tblTargets[TargetID],
 tblTargets[StateType],
 ""
)</f>
        <v/>
      </c>
      <c r="G65" s="26">
        <f>LET(
 id,A65,
 depCount,COUNTIF(tblDependencies[TargetID],id),
 objCount,COUNTIF(tblQuestObjectives[QuestTargetID],id),
 depCount+objCount
)</f>
        <v>1</v>
      </c>
      <c r="H65" s="26">
        <f t="shared" si="2"/>
        <v>1</v>
      </c>
      <c r="I65" s="26">
        <f>IFERROR(__xludf.DUMMYFUNCTION("LET(
 id,A65,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5" s="26">
        <f t="shared" si="3"/>
        <v>0</v>
      </c>
      <c r="K65" s="26" t="b">
        <f t="shared" si="4"/>
        <v>0</v>
      </c>
      <c r="L65" s="26">
        <f t="shared" si="5"/>
        <v>1</v>
      </c>
      <c r="M65" s="26" t="str">
        <f>IFERROR(__xludf.DUMMYFUNCTION("LET(
 id,A65,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L65=0,
  """",
  IFERROR(INDEX(incomplete,1),"""")
 "&amp;")
)"),"building.laboratory@3")</f>
        <v>building.laboratory@3</v>
      </c>
      <c r="N65" s="26" t="str">
        <f t="array" ref="N65">IF(
 M65="",
 "",
 _xlfn.XLOOKUP(
  M65,
  tblTargets[TargetID],
  tblTargets[DisplayName],
  M65
 )
)</f>
        <v>Laboratory Lv 3</v>
      </c>
      <c r="O65" s="26" t="str">
        <f>IFERROR(__xludf.DUMMYFUNCTION("SWITCH(
 E65,
 ""BUILDING"",XLOOKUP(A65,tblBuildings[BuildingID],tblBuildings[costtext],""""),
 ""TECH"",XLOOKUP(A65,tblTechnologies[TechnologyID],tblTechnologies[costtext],""""),
 ""QUEST"",XLOOKUP(
  REGEXREPLACE(A65,""\.[^.]+$"",""""),
  tblQuests[Ques"&amp;"tID],
  tblQuests[Costtext],
  """"
 ),
 ""CITADEL"",XLOOKUP(A65,tblCitadel[CitadelID],tblCitadel[costtext],""""),
 ""COLLECTION"",XLOOKUP(A65,tblCollections[CollectionID],tblCollections[costtext],""""),
 ""CRAFTIFACT"",XLOOKUP(A65,tblCraftifacts[Craftifa"&amp;"ctID],tblCraftifacts[costtext],""""),
 """"
)"),"9 ruby,2000 coin,600 stone,400 steel,20 redcrystal,20 greencrystal,30 pcard,40 blueprint,1 malu")</f>
        <v>9 ruby,2000 coin,600 stone,400 steel,20 redcrystal,20 greencrystal,30 pcard,40 blueprint,1 malu</v>
      </c>
      <c r="P65" s="26" t="str">
        <f t="shared" si="6"/>
        <v>BLOCKED</v>
      </c>
      <c r="Q65" s="26" t="str">
        <f t="shared" si="7"/>
        <v>BLOCKED</v>
      </c>
      <c r="R65" s="26">
        <f t="array" ref="R65">IFERROR(
 _xlfn.XLOOKUP(
  A65,
  tblChecklist[TargetID],
  tblChecklist[PlayerSort],
  ""
 ),
 ""
)</f>
        <v>75</v>
      </c>
      <c r="S65" s="26" t="str">
        <f>IFERROR(__xludf.DUMMYFUNCTION("LET(
 id,A65,
 successorIDs,
  IFERROR(
   UNIQUE(
    FILTER(
     {
      Dependencies!$A$2:$A$1000;
      QuestObjectives!$A$2:$A$1000
     },
     {
      Dependencies!$B$2:$B$1000;
      QuestObjectives!$E$2:$E$1000
     }=id
    )
   ),
   """"
  ),"&amp;"
 names,
  MAP(
   successorIDs,
   LAMBDA(s,
    IF(
     s="""",
     """",
     XLOOKUP(
      s,
      $A$2:$A$1000,
      $B$2:$B$1000,
      s
     )
    )
   )
  ),
 IF(
  successorIDs="""",
  """",
  TEXTJOIN("", "",TRUE,names)
 )
)"),"Laboratory Lv 5")</f>
        <v>Laboratory Lv 5</v>
      </c>
      <c r="T65" s="26" t="str">
        <f t="array" ref="T65">_xlfn.XLOOKUP(
 A65,
 tblTargets[TargetID],
 tblTargets[CompletionMethod],
 ""
)</f>
        <v>PLAYER</v>
      </c>
      <c r="U65" s="84" t="b">
        <f>COUNTIF(tblCost[TargetID],A65)&gt;0</f>
        <v>1</v>
      </c>
      <c r="V65" s="85">
        <f t="array" ref="V65">IF(
 U65=FALSE,
 "",
 _xlfn.XLOOKUP(
  A65,
  tblCost[TargetID],
  tblCost[FundingPercent],
  ""
 )
)</f>
        <v>0</v>
      </c>
      <c r="W65" s="26">
        <f t="array" ref="W65">IF(
 U65=FALSE,
 "",
 _xlfn.XLOOKUP(
  A65,
  tblCost[TargetID],
  tblCost[RemainingRequirements],
  ""
 )
)</f>
        <v>9</v>
      </c>
      <c r="X65" s="45" t="b">
        <f t="array" ref="X65">IF(
 U65=FALSE,
 "N/A",
 _xlfn.XLOOKUP(
  A66,
  tblCost[TargetID],
  tblCost[TargetFunded],
  FALSE
 )
)</f>
        <v>0</v>
      </c>
      <c r="Y65" s="26" t="str">
        <f>IFERROR(__xludf.DUMMYFUNCTION("IFERROR(
 TEXTJOIN(
  "", "",
  TRUE,
  FILTER(
   'cost checklist'!$E$2:$E1000&amp;"": ""&amp;'cost checklist'!$G$2:$G1000,
   'cost checklist'!$B$2:$B1000=A65,
   'cost checklist'!$J$2:$J1000=FALSE
  )
 ),
 """"
)"),"blueprint: 40, coin: 2000, greencrystal: 20, malu: 1, pcard: 30, redcrystal: 20, ruby: 9, steel: 400, stone: 600")</f>
        <v>blueprint: 40, coin: 2000, greencrystal: 20, malu: 1, pcard: 30, redcrystal: 20, ruby: 9, steel: 400, stone: 600</v>
      </c>
      <c r="Z65" s="26" t="b">
        <f>IFERROR(__xludf.DUMMYFUNCTION("IF(
 AND(
  E65=""QUEST"",
  RIGHT(A65,9)="".accepted"",
  D65=TRUE
 ),
 XLOOKUP(
  REGEXREPLACE(A65,""\.accepted$"","""")&amp;"".finished"",
  $A$2:$A1000,
  $D$2:$D1000,
  TRUE
 )=FALSE,
 FALSE
)"),FALSE)</f>
        <v>0</v>
      </c>
      <c r="AA65" s="26" t="str">
        <f>IFERROR(__xludf.DUMMYFUNCTION("LET(
 id,A65,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6" ht="14.25" customHeight="1">
      <c r="A66" s="26" t="s">
        <v>328</v>
      </c>
      <c r="B66" s="26" t="str">
        <f t="array" ref="B66">_xlfn.XLOOKUP(
 A66,
 tblTargets[TargetID],
 tblTargets[DisplayName],
 ""
)</f>
        <v>Laboratory Lv 5</v>
      </c>
      <c r="C66" s="26" t="str">
        <f t="shared" si="1"/>
        <v>BLOCKED</v>
      </c>
      <c r="D66" s="26" t="b">
        <f>IFERROR(__xludf.DUMMYFUNCTION("LET(
 id,A66,
 IF(
  F66=""CHARACTER"",
  LET(
   base,REGEXREPLACE(id,""@\d+$"",""""),
   required,VALUE(REGEXEXTRACT(id,""@(\d+)$"")),
   current,XLOOKUP(
    base,
    tblPlayer[PlayerStateID],
    tblPlayer[Value],
    0
   ),
   current&gt;=required
  )"&amp;",
  IF(
   T66=""AUTO"",
   L66=0,
   COUNTIFS(
    tblChecklist[TargetID],id,
    tblChecklist[PlayerCompleted],TRUE
   )&gt;0
  )
 )
)"),FALSE)</f>
        <v>0</v>
      </c>
      <c r="E66" s="26" t="str">
        <f t="array" ref="E66">_xlfn.XLOOKUP(
 A66,
 tblTargets[TargetID],
 tblTargets[TargetType],
 ""
)</f>
        <v>BUILDING</v>
      </c>
      <c r="F66" s="26" t="str">
        <f t="array" ref="F66">_xlfn.XLOOKUP(
 A66,
 tblTargets[TargetID],
 tblTargets[StateType],
 ""
)</f>
        <v/>
      </c>
      <c r="G66" s="26">
        <f>LET(
 id,A66,
 depCount,COUNTIF(tblDependencies[TargetID],id),
 objCount,COUNTIF(tblQuestObjectives[QuestTargetID],id),
 depCount+objCount
)</f>
        <v>1</v>
      </c>
      <c r="H66" s="26">
        <f t="shared" si="2"/>
        <v>1</v>
      </c>
      <c r="I66" s="26">
        <f>IFERROR(__xludf.DUMMYFUNCTION("LET(
 id,A66,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6" s="26">
        <f t="shared" si="3"/>
        <v>0</v>
      </c>
      <c r="K66" s="26" t="b">
        <f t="shared" si="4"/>
        <v>0</v>
      </c>
      <c r="L66" s="26">
        <f t="shared" si="5"/>
        <v>1</v>
      </c>
      <c r="M66" s="26" t="str">
        <f>IFERROR(__xludf.DUMMYFUNCTION("LET(
 id,A66,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L66=0,
  """",
  IFERROR(INDEX(incomplete,1),"""")
 "&amp;")
)"),"building.laboratory@4")</f>
        <v>building.laboratory@4</v>
      </c>
      <c r="N66" s="26" t="str">
        <f t="array" ref="N66">IF(
 M66="",
 "",
 _xlfn.XLOOKUP(
  M66,
  tblTargets[TargetID],
  tblTargets[DisplayName],
  M66
 )
)</f>
        <v>Laboratory Lv 4</v>
      </c>
      <c r="O66" s="26" t="str">
        <f>IFERROR(__xludf.DUMMYFUNCTION("SWITCH(
 E66,
 ""BUILDING"",XLOOKUP(A66,tblBuildings[BuildingID],tblBuildings[costtext],""""),
 ""TECH"",XLOOKUP(A66,tblTechnologies[TechnologyID],tblTechnologies[costtext],""""),
 ""QUEST"",XLOOKUP(
  REGEXREPLACE(A66,""\.[^.]+$"",""""),
  tblQuests[Ques"&amp;"tID],
  tblQuests[Costtext],
  """"
 ),
 ""CITADEL"",XLOOKUP(A66,tblCitadel[CitadelID],tblCitadel[costtext],""""),
 ""COLLECTION"",XLOOKUP(A66,tblCollections[CollectionID],tblCollections[costtext],""""),
 ""CRAFTIFACT"",XLOOKUP(A66,tblCraftifacts[Craftifa"&amp;"ctID],tblCraftifacts[costtext],""""),
 """"
)"),"10 ruby,2000 coin,700 stone,500 steel,30 mechanism,20 quartz,40 pcard,40 blueprint,1 malu")</f>
        <v>10 ruby,2000 coin,700 stone,500 steel,30 mechanism,20 quartz,40 pcard,40 blueprint,1 malu</v>
      </c>
      <c r="P66" s="26" t="str">
        <f t="shared" si="6"/>
        <v>BLOCKED</v>
      </c>
      <c r="Q66" s="26" t="str">
        <f t="shared" si="7"/>
        <v>BLOCKED</v>
      </c>
      <c r="R66" s="26">
        <f t="array" ref="R66">IFERROR(
 _xlfn.XLOOKUP(
  A66,
  tblChecklist[TargetID],
  tblChecklist[PlayerSort],
  ""
 ),
 ""
)</f>
        <v>76</v>
      </c>
      <c r="S66" s="26" t="str">
        <f>IFERROR(__xludf.DUMMYFUNCTION("LET(
 id,A66,
 successorIDs,
  IFERROR(
   UNIQUE(
    FILTER(
     {
      Dependencies!$A$2:$A$1000;
      QuestObjectives!$A$2:$A$1000
     },
     {
      Dependencies!$B$2:$B$1000;
      QuestObjectives!$E$2:$E$1000
     }=id
    )
   ),
   """"
  ),"&amp;"
 names,
  MAP(
   successorIDs,
   LAMBDA(s,
    IF(
     s="""",
     """",
     XLOOKUP(
      s,
      $A$2:$A$1000,
      $B$2:$B$1000,
      s
     )
    )
   )
  ),
 IF(
  successorIDs="""",
  """",
  TEXTJOIN("", "",TRUE,names)
 )
)"),"Laboratory maxed, Ahead of Time Chapter 1 Finished")</f>
        <v>Laboratory maxed, Ahead of Time Chapter 1 Finished</v>
      </c>
      <c r="T66" s="26" t="str">
        <f t="array" ref="T66">_xlfn.XLOOKUP(
 A66,
 tblTargets[TargetID],
 tblTargets[CompletionMethod],
 ""
)</f>
        <v>PLAYER</v>
      </c>
      <c r="U66" s="84" t="b">
        <f>COUNTIF(tblCost[TargetID],A66)&gt;0</f>
        <v>1</v>
      </c>
      <c r="V66" s="85">
        <f t="array" ref="V66">IF(
 U66=FALSE,
 "",
 _xlfn.XLOOKUP(
  A66,
  tblCost[TargetID],
  tblCost[FundingPercent],
  ""
 )
)</f>
        <v>0</v>
      </c>
      <c r="W66" s="26">
        <f t="array" ref="W66">IF(
 U66=FALSE,
 "",
 _xlfn.XLOOKUP(
  A66,
  tblCost[TargetID],
  tblCost[RemainingRequirements],
  ""
 )
)</f>
        <v>9</v>
      </c>
      <c r="X66" s="45" t="b">
        <f t="array" ref="X66">IF(
 U66=FALSE,
 "N/A",
 _xlfn.XLOOKUP(
  A67,
  tblCost[TargetID],
  tblCost[TargetFunded],
  FALSE
 )
)</f>
        <v>0</v>
      </c>
      <c r="Y66" s="26" t="str">
        <f>IFERROR(__xludf.DUMMYFUNCTION("IFERROR(
 TEXTJOIN(
  "", "",
  TRUE,
  FILTER(
   'cost checklist'!$E$2:$E1000&amp;"": ""&amp;'cost checklist'!$G$2:$G1000,
   'cost checklist'!$B$2:$B1000=A66,
   'cost checklist'!$J$2:$J1000=FALSE
  )
 ),
 """"
)"),"blueprint: 40, coin: 2000, malu: 1, mechanism: 30, pcard: 40, quartz: 20, ruby: 10, steel: 500, stone: 700")</f>
        <v>blueprint: 40, coin: 2000, malu: 1, mechanism: 30, pcard: 40, quartz: 20, ruby: 10, steel: 500, stone: 700</v>
      </c>
      <c r="Z66" s="26" t="b">
        <f>IFERROR(__xludf.DUMMYFUNCTION("IF(
 AND(
  E66=""QUEST"",
  RIGHT(A66,9)="".accepted"",
  D66=TRUE
 ),
 XLOOKUP(
  REGEXREPLACE(A66,""\.accepted$"","""")&amp;"".finished"",
  $A$2:$A1000,
  $D$2:$D1000,
  TRUE
 )=FALSE,
 FALSE
)"),FALSE)</f>
        <v>0</v>
      </c>
      <c r="AA66" s="26" t="str">
        <f>IFERROR(__xludf.DUMMYFUNCTION("LET(
 id,A66,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7" ht="14.25" customHeight="1">
      <c r="A67" s="26" t="s">
        <v>790</v>
      </c>
      <c r="B67" s="26" t="str">
        <f t="array" ref="B67">_xlfn.XLOOKUP(
 A67,
 tblTargets[TargetID],
 tblTargets[DisplayName],
 ""
)</f>
        <v>Laboratory: Data Center maxed</v>
      </c>
      <c r="C67" s="26" t="str">
        <f t="shared" si="1"/>
        <v>BLOCKED</v>
      </c>
      <c r="D67" s="26" t="b">
        <f>IFERROR(__xludf.DUMMYFUNCTION("LET(
 id,A67,
 IF(
  F67=""CHARACTER"",
  LET(
   base,REGEXREPLACE(id,""@\d+$"",""""),
   required,VALUE(REGEXEXTRACT(id,""@(\d+)$"")),
   current,XLOOKUP(
    base,
    tblPlayer[PlayerStateID],
    tblPlayer[Value],
    0
   ),
   current&gt;=required
  )"&amp;",
  IF(
   T67=""AUTO"",
   L67=0,
   COUNTIFS(
    tblChecklist[TargetID],id,
    tblChecklist[PlayerCompleted],TRUE
   )&gt;0
  )
 )
)"),FALSE)</f>
        <v>0</v>
      </c>
      <c r="E67" s="26" t="str">
        <f t="array" ref="E67">_xlfn.XLOOKUP(
 A67,
 tblTargets[TargetID],
 tblTargets[TargetType],
 ""
)</f>
        <v>BUILDING</v>
      </c>
      <c r="F67" s="26" t="str">
        <f t="array" ref="F67">_xlfn.XLOOKUP(
 A67,
 tblTargets[TargetID],
 tblTargets[StateType],
 ""
)</f>
        <v/>
      </c>
      <c r="G67" s="26">
        <f>LET(
 id,A67,
 depCount,COUNTIF(tblDependencies[TargetID],id),
 objCount,COUNTIF(tblQuestObjectives[QuestTargetID],id),
 depCount+objCount
)</f>
        <v>1</v>
      </c>
      <c r="H67" s="26">
        <f t="shared" si="2"/>
        <v>1</v>
      </c>
      <c r="I67" s="26">
        <f>IFERROR(__xludf.DUMMYFUNCTION("LET(
 id,A67,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7" s="26">
        <f t="shared" si="3"/>
        <v>0</v>
      </c>
      <c r="K67" s="26" t="b">
        <f t="shared" si="4"/>
        <v>0</v>
      </c>
      <c r="L67" s="26">
        <f t="shared" si="5"/>
        <v>1</v>
      </c>
      <c r="M67" s="26" t="str">
        <f>IFERROR(__xludf.DUMMYFUNCTION("LET(
 id,A67,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L67=0,
  """",
  IFERROR(INDEX(incomplete,1),"""")
 "&amp;")
)"),"building.laboratory_data_center@1")</f>
        <v>building.laboratory_data_center@1</v>
      </c>
      <c r="N67" s="26" t="str">
        <f t="array" ref="N67">IF(
 M67="",
 "",
 _xlfn.XLOOKUP(
  M67,
  tblTargets[TargetID],
  tblTargets[DisplayName],
  M67
 )
)</f>
        <v>Laboratory: Data Center Lv 1</v>
      </c>
      <c r="O67" s="26" t="str">
        <f>IFERROR(__xludf.DUMMYFUNCTION("SWITCH(
 E67,
 ""BUILDING"",XLOOKUP(A67,tblBuildings[BuildingID],tblBuildings[costtext],""""),
 ""TECH"",XLOOKUP(A67,tblTechnologies[TechnologyID],tblTechnologies[costtext],""""),
 ""QUEST"",XLOOKUP(
  REGEXREPLACE(A67,""\.[^.]+$"",""""),
  tblQuests[Ques"&amp;"tID],
  tblQuests[Costtext],
  """"
 ),
 ""CITADEL"",XLOOKUP(A67,tblCitadel[CitadelID],tblCitadel[costtext],""""),
 ""COLLECTION"",XLOOKUP(A67,tblCollections[CollectionID],tblCollections[costtext],""""),
 ""CRAFTIFACT"",XLOOKUP(A67,tblCraftifacts[Craftifa"&amp;"ctID],tblCraftifacts[costtext],""""),
 """"
)"),"")</f>
        <v/>
      </c>
      <c r="P67" s="26" t="str">
        <f t="shared" si="6"/>
        <v>BLOCKED</v>
      </c>
      <c r="Q67" s="26" t="str">
        <f t="shared" si="7"/>
        <v>BLOCKED</v>
      </c>
      <c r="R67" s="26" t="str">
        <f t="array" ref="R67">IFERROR(
 _xlfn.XLOOKUP(
  A67,
  tblChecklist[TargetID],
  tblChecklist[PlayerSort],
  ""
 ),
 ""
)</f>
        <v/>
      </c>
      <c r="S67" s="26" t="str">
        <f>IFERROR(__xludf.DUMMYFUNCTION("LET(
 id,A67,
 successorIDs,
  IFERROR(
   UNIQUE(
    FILTER(
     {
      Dependencies!$A$2:$A$1000;
      QuestObjectives!$A$2:$A$1000
     },
     {
      Dependencies!$B$2:$B$1000;
      QuestObjectives!$E$2:$E$1000
     }=id
    )
   ),
   """"
  ),"&amp;"
 names,
  MAP(
   successorIDs,
   LAMBDA(s,
    IF(
     s="""",
     """",
     XLOOKUP(
      s,
      $A$2:$A$1000,
      $B$2:$B$1000,
      s
     )
    )
   )
  ),
 IF(
  successorIDs="""",
  """",
  TEXTJOIN("", "",TRUE,names)
 )
)"),"Laboratory - Digitization, Laboratory - Research And Development")</f>
        <v>Laboratory - Digitization, Laboratory - Research And Development</v>
      </c>
      <c r="T67" s="26" t="str">
        <f t="array" ref="T67">_xlfn.XLOOKUP(
 A67,
 tblTargets[TargetID],
 tblTargets[CompletionMethod],
 ""
)</f>
        <v>AUTO</v>
      </c>
      <c r="U67" s="84" t="b">
        <f>COUNTIF(tblCost[TargetID],A67)&gt;0</f>
        <v>0</v>
      </c>
      <c r="V67" s="85" t="str">
        <f t="array" ref="V67">IF(
 U67=FALSE,
 "",
 _xlfn.XLOOKUP(
  A67,
  tblCost[TargetID],
  tblCost[FundingPercent],
  ""
 )
)</f>
        <v/>
      </c>
      <c r="W67" s="26" t="str">
        <f t="array" ref="W67">IF(
 U67=FALSE,
 "",
 _xlfn.XLOOKUP(
  A67,
  tblCost[TargetID],
  tblCost[RemainingRequirements],
  ""
 )
)</f>
        <v/>
      </c>
      <c r="X67" s="45" t="str">
        <f t="array" ref="X67">IF(
 U67=FALSE,
 "N/A",
 _xlfn.XLOOKUP(
  A68,
  tblCost[TargetID],
  tblCost[TargetFunded],
  FALSE
 )
)</f>
        <v>N/A</v>
      </c>
      <c r="Y67" s="26" t="str">
        <f>IFERROR(__xludf.DUMMYFUNCTION("IFERROR(
 TEXTJOIN(
  "", "",
  TRUE,
  FILTER(
   'cost checklist'!$E$2:$E1000&amp;"": ""&amp;'cost checklist'!$G$2:$G1000,
   'cost checklist'!$B$2:$B1000=A67,
   'cost checklist'!$J$2:$J1000=FALSE
  )
 ),
 """"
)"),"")</f>
        <v/>
      </c>
      <c r="Z67" s="26" t="b">
        <f>IFERROR(__xludf.DUMMYFUNCTION("IF(
 AND(
  E67=""QUEST"",
  RIGHT(A67,9)="".accepted"",
  D67=TRUE
 ),
 XLOOKUP(
  REGEXREPLACE(A67,""\.accepted$"","""")&amp;"".finished"",
  $A$2:$A1000,
  $D$2:$D1000,
  TRUE
 )=FALSE,
 FALSE
)"),FALSE)</f>
        <v>0</v>
      </c>
      <c r="AA67" s="26" t="str">
        <f>IFERROR(__xludf.DUMMYFUNCTION("LET(
 id,A67,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8" ht="14.25" customHeight="1">
      <c r="A68" s="26" t="s">
        <v>333</v>
      </c>
      <c r="B68" s="26" t="str">
        <f t="array" ref="B68">_xlfn.XLOOKUP(
 A68,
 tblTargets[TargetID],
 tblTargets[DisplayName],
 ""
)</f>
        <v>Laboratory: Data Center Lv 1</v>
      </c>
      <c r="C68" s="26" t="str">
        <f t="shared" si="1"/>
        <v>BLOCKED</v>
      </c>
      <c r="D68" s="26" t="b">
        <f>IFERROR(__xludf.DUMMYFUNCTION("LET(
 id,A68,
 IF(
  F68=""CHARACTER"",
  LET(
   base,REGEXREPLACE(id,""@\d+$"",""""),
   required,VALUE(REGEXEXTRACT(id,""@(\d+)$"")),
   current,XLOOKUP(
    base,
    tblPlayer[PlayerStateID],
    tblPlayer[Value],
    0
   ),
   current&gt;=required
  )"&amp;",
  IF(
   T68=""AUTO"",
   L68=0,
   COUNTIFS(
    tblChecklist[TargetID],id,
    tblChecklist[PlayerCompleted],TRUE
   )&gt;0
  )
 )
)"),FALSE)</f>
        <v>0</v>
      </c>
      <c r="E68" s="26" t="str">
        <f t="array" ref="E68">_xlfn.XLOOKUP(
 A68,
 tblTargets[TargetID],
 tblTargets[TargetType],
 ""
)</f>
        <v>BUILDING</v>
      </c>
      <c r="F68" s="26" t="str">
        <f t="array" ref="F68">_xlfn.XLOOKUP(
 A68,
 tblTargets[TargetID],
 tblTargets[StateType],
 ""
)</f>
        <v/>
      </c>
      <c r="G68" s="26">
        <f>LET(
 id,A68,
 depCount,COUNTIF(tblDependencies[TargetID],id),
 objCount,COUNTIF(tblQuestObjectives[QuestTargetID],id),
 depCount+objCount
)</f>
        <v>2</v>
      </c>
      <c r="H68" s="26">
        <f t="shared" si="2"/>
        <v>2</v>
      </c>
      <c r="I68" s="26">
        <f>IFERROR(__xludf.DUMMYFUNCTION("LET(
 id,A68,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8" s="26">
        <f t="shared" si="3"/>
        <v>0</v>
      </c>
      <c r="K68" s="26" t="b">
        <f t="shared" si="4"/>
        <v>0</v>
      </c>
      <c r="L68" s="26">
        <f t="shared" si="5"/>
        <v>2</v>
      </c>
      <c r="M68" s="26" t="str">
        <f>IFERROR(__xludf.DUMMYFUNCTION("LET(
 id,A68,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L68=0,
  """",
  IFERROR(INDEX(incomplete,1),"""")
 "&amp;")
)"),"building.laboratory.maxed")</f>
        <v>building.laboratory.maxed</v>
      </c>
      <c r="N68" s="26" t="str">
        <f t="array" ref="N68">IF(
 M68="",
 "",
 _xlfn.XLOOKUP(
  M68,
  tblTargets[TargetID],
  tblTargets[DisplayName],
  M68
 )
)</f>
        <v>Laboratory maxed</v>
      </c>
      <c r="O68" s="26" t="str">
        <f>IFERROR(__xludf.DUMMYFUNCTION("SWITCH(
 E68,
 ""BUILDING"",XLOOKUP(A68,tblBuildings[BuildingID],tblBuildings[costtext],""""),
 ""TECH"",XLOOKUP(A68,tblTechnologies[TechnologyID],tblTechnologies[costtext],""""),
 ""QUEST"",XLOOKUP(
  REGEXREPLACE(A68,""\.[^.]+$"",""""),
  tblQuests[Ques"&amp;"tID],
  tblQuests[Costtext],
  """"
 ),
 ""CITADEL"",XLOOKUP(A68,tblCitadel[CitadelID],tblCitadel[costtext],""""),
 ""COLLECTION"",XLOOKUP(A68,tblCollections[CollectionID],tblCollections[costtext],""""),
 ""CRAFTIFACT"",XLOOKUP(A68,tblCraftifacts[Craftifa"&amp;"ctID],tblCraftifacts[costtext],""""),
 """"
)"),"10 ruby,1000 coin,500 stone,300 steel,50 glass,20 apy,20 quartz,50 microchip,50 blueprint")</f>
        <v>10 ruby,1000 coin,500 stone,300 steel,50 glass,20 apy,20 quartz,50 microchip,50 blueprint</v>
      </c>
      <c r="P68" s="26" t="str">
        <f t="shared" si="6"/>
        <v>BLOCKED</v>
      </c>
      <c r="Q68" s="26" t="str">
        <f t="shared" si="7"/>
        <v>BLOCKED</v>
      </c>
      <c r="R68" s="26" t="str">
        <f t="array" ref="R68">IFERROR(
 _xlfn.XLOOKUP(
  A68,
  tblChecklist[TargetID],
  tblChecklist[PlayerSort],
  ""
 ),
 ""
)</f>
        <v/>
      </c>
      <c r="S68" s="26" t="str">
        <f>IFERROR(__xludf.DUMMYFUNCTION("LET(
 id,A68,
 successorIDs,
  IFERROR(
   UNIQUE(
    FILTER(
     {
      Dependencies!$A$2:$A$1000;
      QuestObjectives!$A$2:$A$1000
     },
     {
      Dependencies!$B$2:$B$1000;
      QuestObjectives!$E$2:$E$1000
     }=id
    )
   ),
   """"
  ),"&amp;"
 names,
  MAP(
   successorIDs,
   LAMBDA(s,
    IF(
     s="""",
     """",
     XLOOKUP(
      s,
      $A$2:$A$1000,
      $B$2:$B$1000,
      s
     )
    )
   )
  ),
 IF(
  successorIDs="""",
  """",
  TEXTJOIN("", "",TRUE,names)
 )
)"),"Laboratory: Data Center maxed, Ahead of Time Chapter 5 Finished")</f>
        <v>Laboratory: Data Center maxed, Ahead of Time Chapter 5 Finished</v>
      </c>
      <c r="T68" s="26" t="str">
        <f t="array" ref="T68">_xlfn.XLOOKUP(
 A68,
 tblTargets[TargetID],
 tblTargets[CompletionMethod],
 ""
)</f>
        <v>PLAYER</v>
      </c>
      <c r="U68" s="84" t="b">
        <f>COUNTIF(tblCost[TargetID],A68)&gt;0</f>
        <v>1</v>
      </c>
      <c r="V68" s="85">
        <f t="array" ref="V68">IF(
 U68=FALSE,
 "",
 _xlfn.XLOOKUP(
  A68,
  tblCost[TargetID],
  tblCost[FundingPercent],
  ""
 )
)</f>
        <v>0</v>
      </c>
      <c r="W68" s="26">
        <f t="array" ref="W68">IF(
 U68=FALSE,
 "",
 _xlfn.XLOOKUP(
  A68,
  tblCost[TargetID],
  tblCost[RemainingRequirements],
  ""
 )
)</f>
        <v>9</v>
      </c>
      <c r="X68" s="45" t="b">
        <f t="array" ref="X68">IF(
 U68=FALSE,
 "N/A",
 _xlfn.XLOOKUP(
  A69,
  tblCost[TargetID],
  tblCost[TargetFunded],
  FALSE
 )
)</f>
        <v>0</v>
      </c>
      <c r="Y68" s="26" t="str">
        <f>IFERROR(__xludf.DUMMYFUNCTION("IFERROR(
 TEXTJOIN(
  "", "",
  TRUE,
  FILTER(
   'cost checklist'!$E$2:$E1000&amp;"": ""&amp;'cost checklist'!$G$2:$G1000,
   'cost checklist'!$B$2:$B1000=A68,
   'cost checklist'!$J$2:$J1000=FALSE
  )
 ),
 """"
)"),"apy: 20, blueprint: 50, coin: 1000, glass: 50, microchip: 50, quartz: 20, ruby: 10, steel: 300, stone: 500")</f>
        <v>apy: 20, blueprint: 50, coin: 1000, glass: 50, microchip: 50, quartz: 20, ruby: 10, steel: 300, stone: 500</v>
      </c>
      <c r="Z68" s="26" t="b">
        <f>IFERROR(__xludf.DUMMYFUNCTION("IF(
 AND(
  E68=""QUEST"",
  RIGHT(A68,9)="".accepted"",
  D68=TRUE
 ),
 XLOOKUP(
  REGEXREPLACE(A68,""\.accepted$"","""")&amp;"".finished"",
  $A$2:$A1000,
  $D$2:$D1000,
  TRUE
 )=FALSE,
 FALSE
)"),FALSE)</f>
        <v>0</v>
      </c>
      <c r="AA68" s="26" t="str">
        <f>IFERROR(__xludf.DUMMYFUNCTION("LET(
 id,A68,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69" ht="14.25" customHeight="1">
      <c r="A69" s="26" t="s">
        <v>338</v>
      </c>
      <c r="B69" s="26" t="str">
        <f t="array" ref="B69">_xlfn.XLOOKUP(
 A69,
 tblTargets[TargetID],
 tblTargets[DisplayName],
 ""
)</f>
        <v>Lumber Lv 1</v>
      </c>
      <c r="C69" s="26" t="str">
        <f t="shared" si="1"/>
        <v>BLOCKED</v>
      </c>
      <c r="D69" s="26" t="b">
        <f>IFERROR(__xludf.DUMMYFUNCTION("LET(
 id,A69,
 IF(
  F69=""CHARACTER"",
  LET(
   base,REGEXREPLACE(id,""@\d+$"",""""),
   required,VALUE(REGEXEXTRACT(id,""@(\d+)$"")),
   current,XLOOKUP(
    base,
    tblPlayer[PlayerStateID],
    tblPlayer[Value],
    0
   ),
   current&gt;=required
  )"&amp;",
  IF(
   T69=""AUTO"",
   L69=0,
   COUNTIFS(
    tblChecklist[TargetID],id,
    tblChecklist[PlayerCompleted],TRUE
   )&gt;0
  )
 )
)"),FALSE)</f>
        <v>0</v>
      </c>
      <c r="E69" s="26" t="str">
        <f t="array" ref="E69">_xlfn.XLOOKUP(
 A69,
 tblTargets[TargetID],
 tblTargets[TargetType],
 ""
)</f>
        <v>BUILDING</v>
      </c>
      <c r="F69" s="26" t="str">
        <f t="array" ref="F69">_xlfn.XLOOKUP(
 A69,
 tblTargets[TargetID],
 tblTargets[StateType],
 ""
)</f>
        <v/>
      </c>
      <c r="G69" s="26">
        <f>LET(
 id,A69,
 depCount,COUNTIF(tblDependencies[TargetID],id),
 objCount,COUNTIF(tblQuestObjectives[QuestTargetID],id),
 depCount+objCount
)</f>
        <v>1</v>
      </c>
      <c r="H69" s="26">
        <f t="shared" si="2"/>
        <v>1</v>
      </c>
      <c r="I69" s="26">
        <f>IFERROR(__xludf.DUMMYFUNCTION("LET(
 id,A69,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9" s="26">
        <f t="shared" si="3"/>
        <v>0</v>
      </c>
      <c r="K69" s="26" t="b">
        <f t="shared" si="4"/>
        <v>0</v>
      </c>
      <c r="L69" s="26">
        <f t="shared" si="5"/>
        <v>1</v>
      </c>
      <c r="M69" s="26" t="str">
        <f>IFERROR(__xludf.DUMMYFUNCTION("LET(
 id,A69,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L69=0,
  """",
  IFERROR(INDEX(incomplete,1),"""")
 "&amp;")
)"),"state.character_level@11")</f>
        <v>state.character_level@11</v>
      </c>
      <c r="N69" s="26" t="str">
        <f t="array" ref="N69">IF(
 M69="",
 "",
 _xlfn.XLOOKUP(
  M69,
  tblTargets[TargetID],
  tblTargets[DisplayName],
  M69
 )
)</f>
        <v>Character Level@11</v>
      </c>
      <c r="O69" s="26" t="str">
        <f>IFERROR(__xludf.DUMMYFUNCTION("SWITCH(
 E69,
 ""BUILDING"",XLOOKUP(A69,tblBuildings[BuildingID],tblBuildings[costtext],""""),
 ""TECH"",XLOOKUP(A69,tblTechnologies[TechnologyID],tblTechnologies[costtext],""""),
 ""QUEST"",XLOOKUP(
  REGEXREPLACE(A69,""\.[^.]+$"",""""),
  tblQuests[Ques"&amp;"tID],
  tblQuests[Costtext],
  """"
 ),
 ""CITADEL"",XLOOKUP(A69,tblCitadel[CitadelID],tblCitadel[costtext],""""),
 ""COLLECTION"",XLOOKUP(A69,tblCollections[CollectionID],tblCollections[costtext],""""),
 ""CRAFTIFACT"",XLOOKUP(A69,tblCraftifacts[Craftifa"&amp;"ctID],tblCraftifacts[costtext],""""),
 """"
)"),"1 ruby,300 coin,150 wood,150 stone")</f>
        <v>1 ruby,300 coin,150 wood,150 stone</v>
      </c>
      <c r="P69" s="26" t="str">
        <f t="shared" si="6"/>
        <v>READY</v>
      </c>
      <c r="Q69" s="26" t="str">
        <f t="shared" si="7"/>
        <v>ONE AWAY</v>
      </c>
      <c r="R69" s="26">
        <f t="array" ref="R69">IFERROR(
 _xlfn.XLOOKUP(
  A69,
  tblChecklist[TargetID],
  tblChecklist[PlayerSort],
  ""
 ),
 ""
)</f>
        <v>13</v>
      </c>
      <c r="S69" s="26" t="str">
        <f>IFERROR(__xludf.DUMMYFUNCTION("LET(
 id,A69,
 successorIDs,
  IFERROR(
   UNIQUE(
    FILTER(
     {
      Dependencies!$A$2:$A$1000;
      QuestObjectives!$A$2:$A$1000
     },
     {
      Dependencies!$B$2:$B$1000;
      QuestObjectives!$E$2:$E$1000
     }=id
    )
   ),
   """"
  ),"&amp;"
 names,
  MAP(
   successorIDs,
   LAMBDA(s,
    IF(
     s="""",
     """",
     XLOOKUP(
      s,
      $A$2:$A$1000,
      $B$2:$B$1000,
      s
     )
    )
   )
  ),
 IF(
  successorIDs="""",
  """",
  TEXTJOIN("", "",TRUE,names)
 )
)"),"Lumber Lv 2")</f>
        <v>Lumber Lv 2</v>
      </c>
      <c r="T69" s="26" t="str">
        <f t="array" ref="T69">_xlfn.XLOOKUP(
 A69,
 tblTargets[TargetID],
 tblTargets[CompletionMethod],
 ""
)</f>
        <v>PLAYER</v>
      </c>
      <c r="U69" s="84" t="b">
        <f>COUNTIF(tblCost[TargetID],A69)&gt;0</f>
        <v>1</v>
      </c>
      <c r="V69" s="85">
        <f t="array" ref="V69">IF(
 U69=FALSE,
 "",
 _xlfn.XLOOKUP(
  A69,
  tblCost[TargetID],
  tblCost[FundingPercent],
  ""
 )
)</f>
        <v>0</v>
      </c>
      <c r="W69" s="26">
        <f t="array" ref="W69">IF(
 U69=FALSE,
 "",
 _xlfn.XLOOKUP(
  A69,
  tblCost[TargetID],
  tblCost[RemainingRequirements],
  ""
 )
)</f>
        <v>4</v>
      </c>
      <c r="X69" s="45" t="b">
        <f t="array" ref="X69">IF(
 U69=FALSE,
 "N/A",
 _xlfn.XLOOKUP(
  A70,
  tblCost[TargetID],
  tblCost[TargetFunded],
  FALSE
 )
)</f>
        <v>0</v>
      </c>
      <c r="Y69" s="26" t="str">
        <f>IFERROR(__xludf.DUMMYFUNCTION("IFERROR(
 TEXTJOIN(
  "", "",
  TRUE,
  FILTER(
   'cost checklist'!$E$2:$E1000&amp;"": ""&amp;'cost checklist'!$G$2:$G1000,
   'cost checklist'!$B$2:$B1000=A69,
   'cost checklist'!$J$2:$J1000=FALSE
  )
 ),
 """"
)"),"coin: 300, ruby: 1, stone: 150, wood: 150")</f>
        <v>coin: 300, ruby: 1, stone: 150, wood: 150</v>
      </c>
      <c r="Z69" s="26" t="b">
        <f>IFERROR(__xludf.DUMMYFUNCTION("IF(
 AND(
  E69=""QUEST"",
  RIGHT(A69,9)="".accepted"",
  D69=TRUE
 ),
 XLOOKUP(
  REGEXREPLACE(A69,""\.accepted$"","""")&amp;"".finished"",
  $A$2:$A1000,
  $D$2:$D1000,
  TRUE
 )=FALSE,
 FALSE
)"),FALSE)</f>
        <v>0</v>
      </c>
      <c r="AA69" s="26" t="str">
        <f>IFERROR(__xludf.DUMMYFUNCTION("LET(
 id,A69,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0" ht="14.25" customHeight="1">
      <c r="A70" s="26" t="s">
        <v>344</v>
      </c>
      <c r="B70" s="26" t="str">
        <f t="array" ref="B70">_xlfn.XLOOKUP(
 A70,
 tblTargets[TargetID],
 tblTargets[DisplayName],
 ""
)</f>
        <v>Lumber Lv 2</v>
      </c>
      <c r="C70" s="26" t="str">
        <f t="shared" si="1"/>
        <v>BLOCKED</v>
      </c>
      <c r="D70" s="26" t="b">
        <f>IFERROR(__xludf.DUMMYFUNCTION("LET(
 id,A70,
 IF(
  F70=""CHARACTER"",
  LET(
   base,REGEXREPLACE(id,""@\d+$"",""""),
   required,VALUE(REGEXEXTRACT(id,""@(\d+)$"")),
   current,XLOOKUP(
    base,
    tblPlayer[PlayerStateID],
    tblPlayer[Value],
    0
   ),
   current&gt;=required
  )"&amp;",
  IF(
   T70=""AUTO"",
   L70=0,
   COUNTIFS(
    tblChecklist[TargetID],id,
    tblChecklist[PlayerCompleted],TRUE
   )&gt;0
  )
 )
)"),FALSE)</f>
        <v>0</v>
      </c>
      <c r="E70" s="26" t="str">
        <f t="array" ref="E70">_xlfn.XLOOKUP(
 A70,
 tblTargets[TargetID],
 tblTargets[TargetType],
 ""
)</f>
        <v>BUILDING</v>
      </c>
      <c r="F70" s="26" t="str">
        <f t="array" ref="F70">_xlfn.XLOOKUP(
 A70,
 tblTargets[TargetID],
 tblTargets[StateType],
 ""
)</f>
        <v/>
      </c>
      <c r="G70" s="26">
        <f>LET(
 id,A70,
 depCount,COUNTIF(tblDependencies[TargetID],id),
 objCount,COUNTIF(tblQuestObjectives[QuestTargetID],id),
 depCount+objCount
)</f>
        <v>1</v>
      </c>
      <c r="H70" s="26">
        <f t="shared" si="2"/>
        <v>1</v>
      </c>
      <c r="I70" s="26">
        <f>IFERROR(__xludf.DUMMYFUNCTION("LET(
 id,A70,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0" s="26">
        <f t="shared" si="3"/>
        <v>0</v>
      </c>
      <c r="K70" s="26" t="b">
        <f t="shared" si="4"/>
        <v>0</v>
      </c>
      <c r="L70" s="26">
        <f t="shared" si="5"/>
        <v>1</v>
      </c>
      <c r="M70" s="26" t="str">
        <f>IFERROR(__xludf.DUMMYFUNCTION("LET(
 id,A70,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L70=0,
  """",
  IFERROR(INDEX(incomplete,1),"""")
 "&amp;")
)"),"building.lumber@1")</f>
        <v>building.lumber@1</v>
      </c>
      <c r="N70" s="26" t="str">
        <f t="array" ref="N70">IF(
 M70="",
 "",
 _xlfn.XLOOKUP(
  M70,
  tblTargets[TargetID],
  tblTargets[DisplayName],
  M70
 )
)</f>
        <v>Lumber Lv 1</v>
      </c>
      <c r="O70" s="26" t="str">
        <f>IFERROR(__xludf.DUMMYFUNCTION("SWITCH(
 E70,
 ""BUILDING"",XLOOKUP(A70,tblBuildings[BuildingID],tblBuildings[costtext],""""),
 ""TECH"",XLOOKUP(A70,tblTechnologies[TechnologyID],tblTechnologies[costtext],""""),
 ""QUEST"",XLOOKUP(
  REGEXREPLACE(A70,""\.[^.]+$"",""""),
  tblQuests[Ques"&amp;"tID],
  tblQuests[Costtext],
  """"
 ),
 ""CITADEL"",XLOOKUP(A70,tblCitadel[CitadelID],tblCitadel[costtext],""""),
 ""COLLECTION"",XLOOKUP(A70,tblCollections[CollectionID],tblCollections[costtext],""""),
 ""CRAFTIFACT"",XLOOKUP(A70,tblCraftifacts[Craftifa"&amp;"ctID],tblCraftifacts[costtext],""""),
 """"
)"),"3 ruby,500 coin,400 beam,200 stone,20 steel")</f>
        <v>3 ruby,500 coin,400 beam,200 stone,20 steel</v>
      </c>
      <c r="P70" s="26" t="str">
        <f t="shared" si="6"/>
        <v>BLOCKED</v>
      </c>
      <c r="Q70" s="26" t="str">
        <f t="shared" si="7"/>
        <v>BLOCKED</v>
      </c>
      <c r="R70" s="26">
        <f t="array" ref="R70">IFERROR(
 _xlfn.XLOOKUP(
  A70,
  tblChecklist[TargetID],
  tblChecklist[PlayerSort],
  ""
 ),
 ""
)</f>
        <v>14</v>
      </c>
      <c r="S70" s="26" t="str">
        <f>IFERROR(__xludf.DUMMYFUNCTION("LET(
 id,A70,
 successorIDs,
  IFERROR(
   UNIQUE(
    FILTER(
     {
      Dependencies!$A$2:$A$1000;
      QuestObjectives!$A$2:$A$1000
     },
     {
      Dependencies!$B$2:$B$1000;
      QuestObjectives!$E$2:$E$1000
     }=id
    )
   ),
   """"
  ),"&amp;"
 names,
  MAP(
   successorIDs,
   LAMBDA(s,
    IF(
     s="""",
     """",
     XLOOKUP(
      s,
      $A$2:$A$1000,
      $B$2:$B$1000,
      s
     )
    )
   )
  ),
 IF(
  successorIDs="""",
  """",
  TEXTJOIN("", "",TRUE,names)
 )
)"),"Lumber Lv 3")</f>
        <v>Lumber Lv 3</v>
      </c>
      <c r="T70" s="26" t="str">
        <f t="array" ref="T70">_xlfn.XLOOKUP(
 A70,
 tblTargets[TargetID],
 tblTargets[CompletionMethod],
 ""
)</f>
        <v>PLAYER</v>
      </c>
      <c r="U70" s="84" t="b">
        <f>COUNTIF(tblCost[TargetID],A70)&gt;0</f>
        <v>1</v>
      </c>
      <c r="V70" s="85">
        <f t="array" ref="V70">IF(
 U70=FALSE,
 "",
 _xlfn.XLOOKUP(
  A70,
  tblCost[TargetID],
  tblCost[FundingPercent],
  ""
 )
)</f>
        <v>0</v>
      </c>
      <c r="W70" s="26">
        <f t="array" ref="W70">IF(
 U70=FALSE,
 "",
 _xlfn.XLOOKUP(
  A70,
  tblCost[TargetID],
  tblCost[RemainingRequirements],
  ""
 )
)</f>
        <v>5</v>
      </c>
      <c r="X70" s="45" t="b">
        <f t="array" ref="X70">IF(
 U70=FALSE,
 "N/A",
 _xlfn.XLOOKUP(
  A71,
  tblCost[TargetID],
  tblCost[TargetFunded],
  FALSE
 )
)</f>
        <v>0</v>
      </c>
      <c r="Y70" s="26" t="str">
        <f>IFERROR(__xludf.DUMMYFUNCTION("IFERROR(
 TEXTJOIN(
  "", "",
  TRUE,
  FILTER(
   'cost checklist'!$E$2:$E1000&amp;"": ""&amp;'cost checklist'!$G$2:$G1000,
   'cost checklist'!$B$2:$B1000=A70,
   'cost checklist'!$J$2:$J1000=FALSE
  )
 ),
 """"
)"),"beam: 400, coin: 500, ruby: 3, steel: 20, stone: 200")</f>
        <v>beam: 400, coin: 500, ruby: 3, steel: 20, stone: 200</v>
      </c>
      <c r="Z70" s="26" t="b">
        <f>IFERROR(__xludf.DUMMYFUNCTION("IF(
 AND(
  E70=""QUEST"",
  RIGHT(A70,9)="".accepted"",
  D70=TRUE
 ),
 XLOOKUP(
  REGEXREPLACE(A70,""\.accepted$"","""")&amp;"".finished"",
  $A$2:$A1000,
  $D$2:$D1000,
  TRUE
 )=FALSE,
 FALSE
)"),FALSE)</f>
        <v>0</v>
      </c>
      <c r="AA70" s="26" t="str">
        <f>IFERROR(__xludf.DUMMYFUNCTION("LET(
 id,A70,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1" ht="14.25" customHeight="1">
      <c r="A71" s="26" t="s">
        <v>348</v>
      </c>
      <c r="B71" s="26" t="str">
        <f t="array" ref="B71">_xlfn.XLOOKUP(
 A71,
 tblTargets[TargetID],
 tblTargets[DisplayName],
 ""
)</f>
        <v>Lumber Lv 3</v>
      </c>
      <c r="C71" s="26" t="str">
        <f t="shared" si="1"/>
        <v>BLOCKED</v>
      </c>
      <c r="D71" s="26" t="b">
        <f>IFERROR(__xludf.DUMMYFUNCTION("LET(
 id,A71,
 IF(
  F71=""CHARACTER"",
  LET(
   base,REGEXREPLACE(id,""@\d+$"",""""),
   required,VALUE(REGEXEXTRACT(id,""@(\d+)$"")),
   current,XLOOKUP(
    base,
    tblPlayer[PlayerStateID],
    tblPlayer[Value],
    0
   ),
   current&gt;=required
  )"&amp;",
  IF(
   T71=""AUTO"",
   L71=0,
   COUNTIFS(
    tblChecklist[TargetID],id,
    tblChecklist[PlayerCompleted],TRUE
   )&gt;0
  )
 )
)"),FALSE)</f>
        <v>0</v>
      </c>
      <c r="E71" s="26" t="str">
        <f t="array" ref="E71">_xlfn.XLOOKUP(
 A71,
 tblTargets[TargetID],
 tblTargets[TargetType],
 ""
)</f>
        <v>BUILDING</v>
      </c>
      <c r="F71" s="26" t="str">
        <f t="array" ref="F71">_xlfn.XLOOKUP(
 A71,
 tblTargets[TargetID],
 tblTargets[StateType],
 ""
)</f>
        <v/>
      </c>
      <c r="G71" s="26">
        <f>LET(
 id,A71,
 depCount,COUNTIF(tblDependencies[TargetID],id),
 objCount,COUNTIF(tblQuestObjectives[QuestTargetID],id),
 depCount+objCount
)</f>
        <v>1</v>
      </c>
      <c r="H71" s="26">
        <f t="shared" si="2"/>
        <v>1</v>
      </c>
      <c r="I71" s="26">
        <f>IFERROR(__xludf.DUMMYFUNCTION("LET(
 id,A71,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1" s="26">
        <f t="shared" si="3"/>
        <v>0</v>
      </c>
      <c r="K71" s="26" t="b">
        <f t="shared" si="4"/>
        <v>0</v>
      </c>
      <c r="L71" s="26">
        <f t="shared" si="5"/>
        <v>1</v>
      </c>
      <c r="M71" s="26" t="str">
        <f>IFERROR(__xludf.DUMMYFUNCTION("LET(
 id,A71,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L71=0,
  """",
  IFERROR(INDEX(incomplete,1),"""")
 "&amp;")
)"),"building.lumber@2")</f>
        <v>building.lumber@2</v>
      </c>
      <c r="N71" s="26" t="str">
        <f t="array" ref="N71">IF(
 M71="",
 "",
 _xlfn.XLOOKUP(
  M71,
  tblTargets[TargetID],
  tblTargets[DisplayName],
  M71
 )
)</f>
        <v>Lumber Lv 2</v>
      </c>
      <c r="O71" s="26" t="str">
        <f>IFERROR(__xludf.DUMMYFUNCTION("SWITCH(
 E71,
 ""BUILDING"",XLOOKUP(A71,tblBuildings[BuildingID],tblBuildings[costtext],""""),
 ""TECH"",XLOOKUP(A71,tblTechnologies[TechnologyID],tblTechnologies[costtext],""""),
 ""QUEST"",XLOOKUP(
  REGEXREPLACE(A71,""\.[^.]+$"",""""),
  tblQuests[Ques"&amp;"tID],
  tblQuests[Costtext],
  """"
 ),
 ""CITADEL"",XLOOKUP(A71,tblCitadel[CitadelID],tblCitadel[costtext],""""),
 ""COLLECTION"",XLOOKUP(A71,tblCollections[CollectionID],tblCollections[costtext],""""),
 ""CRAFTIFACT"",XLOOKUP(A71,tblCraftifacts[Craftifa"&amp;"ctID],tblCraftifacts[costtext],""""),
 """"
)"),"5 ruby,800 coin,600 beam,300 stone,100 steel")</f>
        <v>5 ruby,800 coin,600 beam,300 stone,100 steel</v>
      </c>
      <c r="P71" s="26" t="str">
        <f t="shared" si="6"/>
        <v>BLOCKED</v>
      </c>
      <c r="Q71" s="26" t="str">
        <f t="shared" si="7"/>
        <v>BLOCKED</v>
      </c>
      <c r="R71" s="26">
        <f t="array" ref="R71">IFERROR(
 _xlfn.XLOOKUP(
  A71,
  tblChecklist[TargetID],
  tblChecklist[PlayerSort],
  ""
 ),
 ""
)</f>
        <v>18</v>
      </c>
      <c r="S71" s="26" t="str">
        <f>IFERROR(__xludf.DUMMYFUNCTION("LET(
 id,A71,
 successorIDs,
  IFERROR(
   UNIQUE(
    FILTER(
     {
      Dependencies!$A$2:$A$1000;
      QuestObjectives!$A$2:$A$1000
     },
     {
      Dependencies!$B$2:$B$1000;
      QuestObjectives!$E$2:$E$1000
     }=id
    )
   ),
   """"
  ),"&amp;"
 names,
  MAP(
   successorIDs,
   LAMBDA(s,
    IF(
     s="""",
     """",
     XLOOKUP(
      s,
      $A$2:$A$1000,
      $B$2:$B$1000,
      s
     )
    )
   )
  ),
 IF(
  successorIDs="""",
  """",
  TEXTJOIN("", "",TRUE,names)
 )
)"),"Shogun's Katana Chapter 2 Finished")</f>
        <v>Shogun's Katana Chapter 2 Finished</v>
      </c>
      <c r="T71" s="26" t="str">
        <f t="array" ref="T71">_xlfn.XLOOKUP(
 A71,
 tblTargets[TargetID],
 tblTargets[CompletionMethod],
 ""
)</f>
        <v>PLAYER</v>
      </c>
      <c r="U71" s="84" t="b">
        <f>COUNTIF(tblCost[TargetID],A71)&gt;0</f>
        <v>1</v>
      </c>
      <c r="V71" s="85">
        <f t="array" ref="V71">IF(
 U71=FALSE,
 "",
 _xlfn.XLOOKUP(
  A71,
  tblCost[TargetID],
  tblCost[FundingPercent],
  ""
 )
)</f>
        <v>0</v>
      </c>
      <c r="W71" s="26">
        <f t="array" ref="W71">IF(
 U71=FALSE,
 "",
 _xlfn.XLOOKUP(
  A71,
  tblCost[TargetID],
  tblCost[RemainingRequirements],
  ""
 )
)</f>
        <v>5</v>
      </c>
      <c r="X71" s="45" t="b">
        <f t="array" ref="X71">IF(
 U71=FALSE,
 "N/A",
 _xlfn.XLOOKUP(
  A72,
  tblCost[TargetID],
  tblCost[TargetFunded],
  FALSE
 )
)</f>
        <v>0</v>
      </c>
      <c r="Y71" s="26" t="str">
        <f>IFERROR(__xludf.DUMMYFUNCTION("IFERROR(
 TEXTJOIN(
  "", "",
  TRUE,
  FILTER(
   'cost checklist'!$E$2:$E1000&amp;"": ""&amp;'cost checklist'!$G$2:$G1000,
   'cost checklist'!$B$2:$B1000=A71,
   'cost checklist'!$J$2:$J1000=FALSE
  )
 ),
 """"
)"),"beam: 600, coin: 800, ruby: 5, steel: 100, stone: 300")</f>
        <v>beam: 600, coin: 800, ruby: 5, steel: 100, stone: 300</v>
      </c>
      <c r="Z71" s="26" t="b">
        <f>IFERROR(__xludf.DUMMYFUNCTION("IF(
 AND(
  E71=""QUEST"",
  RIGHT(A71,9)="".accepted"",
  D71=TRUE
 ),
 XLOOKUP(
  REGEXREPLACE(A71,""\.accepted$"","""")&amp;"".finished"",
  $A$2:$A1000,
  $D$2:$D1000,
  TRUE
 )=FALSE,
 FALSE
)"),FALSE)</f>
        <v>0</v>
      </c>
      <c r="AA71" s="26" t="str">
        <f>IFERROR(__xludf.DUMMYFUNCTION("LET(
 id,A71,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2" ht="14.25" customHeight="1">
      <c r="A72" s="26" t="s">
        <v>354</v>
      </c>
      <c r="B72" s="26" t="str">
        <f t="array" ref="B72">_xlfn.XLOOKUP(
 A72,
 tblTargets[TargetID],
 tblTargets[DisplayName],
 ""
)</f>
        <v>Onsen Lv 1</v>
      </c>
      <c r="C72" s="26" t="str">
        <f t="shared" si="1"/>
        <v>BLOCKED</v>
      </c>
      <c r="D72" s="26" t="b">
        <f>IFERROR(__xludf.DUMMYFUNCTION("LET(
 id,A72,
 IF(
  F72=""CHARACTER"",
  LET(
   base,REGEXREPLACE(id,""@\d+$"",""""),
   required,VALUE(REGEXEXTRACT(id,""@(\d+)$"")),
   current,XLOOKUP(
    base,
    tblPlayer[PlayerStateID],
    tblPlayer[Value],
    0
   ),
   current&gt;=required
  )"&amp;",
  IF(
   T72=""AUTO"",
   L72=0,
   COUNTIFS(
    tblChecklist[TargetID],id,
    tblChecklist[PlayerCompleted],TRUE
   )&gt;0
  )
 )
)"),FALSE)</f>
        <v>0</v>
      </c>
      <c r="E72" s="26" t="str">
        <f t="array" ref="E72">_xlfn.XLOOKUP(
 A72,
 tblTargets[TargetID],
 tblTargets[TargetType],
 ""
)</f>
        <v>BUILDING</v>
      </c>
      <c r="F72" s="26" t="str">
        <f t="array" ref="F72">_xlfn.XLOOKUP(
 A72,
 tblTargets[TargetID],
 tblTargets[StateType],
 ""
)</f>
        <v/>
      </c>
      <c r="G72" s="26">
        <f>LET(
 id,A72,
 depCount,COUNTIF(tblDependencies[TargetID],id),
 objCount,COUNTIF(tblQuestObjectives[QuestTargetID],id),
 depCount+objCount
)</f>
        <v>1</v>
      </c>
      <c r="H72" s="26">
        <f t="shared" si="2"/>
        <v>1</v>
      </c>
      <c r="I72" s="26">
        <f>IFERROR(__xludf.DUMMYFUNCTION("LET(
 id,A72,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2" s="26">
        <f t="shared" si="3"/>
        <v>0</v>
      </c>
      <c r="K72" s="26" t="b">
        <f t="shared" si="4"/>
        <v>0</v>
      </c>
      <c r="L72" s="26">
        <f t="shared" si="5"/>
        <v>1</v>
      </c>
      <c r="M72" s="26" t="str">
        <f>IFERROR(__xludf.DUMMYFUNCTION("LET(
 id,A72,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L72=0,
  """",
  IFERROR(INDEX(incomplete,1),"""")
 "&amp;")
)"),"state.character_level@20")</f>
        <v>state.character_level@20</v>
      </c>
      <c r="N72" s="26" t="str">
        <f t="array" ref="N72">IF(
 M72="",
 "",
 _xlfn.XLOOKUP(
  M72,
  tblTargets[TargetID],
  tblTargets[DisplayName],
  M72
 )
)</f>
        <v>Character Level@20</v>
      </c>
      <c r="O72" s="26" t="str">
        <f>IFERROR(__xludf.DUMMYFUNCTION("SWITCH(
 E72,
 ""BUILDING"",XLOOKUP(A72,tblBuildings[BuildingID],tblBuildings[costtext],""""),
 ""TECH"",XLOOKUP(A72,tblTechnologies[TechnologyID],tblTechnologies[costtext],""""),
 ""QUEST"",XLOOKUP(
  REGEXREPLACE(A72,""\.[^.]+$"",""""),
  tblQuests[Ques"&amp;"tID],
  tblQuests[Costtext],
  """"
 ),
 ""CITADEL"",XLOOKUP(A72,tblCitadel[CitadelID],tblCitadel[costtext],""""),
 ""COLLECTION"",XLOOKUP(A72,tblCollections[CollectionID],tblCollections[costtext],""""),
 ""CRAFTIFACT"",XLOOKUP(A72,tblCraftifacts[Craftifa"&amp;"ctID],tblCraftifacts[costtext],""""),
 """"
)"),"3 ruby,500 coin,500 plank,400 stone")</f>
        <v>3 ruby,500 coin,500 plank,400 stone</v>
      </c>
      <c r="P72" s="26" t="str">
        <f t="shared" si="6"/>
        <v>READY</v>
      </c>
      <c r="Q72" s="26" t="str">
        <f t="shared" si="7"/>
        <v>ONE AWAY</v>
      </c>
      <c r="R72" s="26">
        <f t="array" ref="R72">IFERROR(
 _xlfn.XLOOKUP(
  A72,
  tblChecklist[TargetID],
  tblChecklist[PlayerSort],
  ""
 ),
 ""
)</f>
        <v>91</v>
      </c>
      <c r="S72" s="26" t="str">
        <f>IFERROR(__xludf.DUMMYFUNCTION("LET(
 id,A72,
 successorIDs,
  IFERROR(
   UNIQUE(
    FILTER(
     {
      Dependencies!$A$2:$A$1000;
      QuestObjectives!$A$2:$A$1000
     },
     {
      Dependencies!$B$2:$B$1000;
      QuestObjectives!$E$2:$E$1000
     }=id
    )
   ),
   """"
  ),"&amp;"
 names,
  MAP(
   successorIDs,
   LAMBDA(s,
    IF(
     s="""",
     """",
     XLOOKUP(
      s,
      $A$2:$A$1000,
      $B$2:$B$1000,
      s
     )
    )
   )
  ),
 IF(
  successorIDs="""",
  """",
  TEXTJOIN("", "",TRUE,names)
 )
)"),"Onsen Lv 2")</f>
        <v>Onsen Lv 2</v>
      </c>
      <c r="T72" s="26" t="str">
        <f t="array" ref="T72">_xlfn.XLOOKUP(
 A72,
 tblTargets[TargetID],
 tblTargets[CompletionMethod],
 ""
)</f>
        <v>PLAYER</v>
      </c>
      <c r="U72" s="84" t="b">
        <f>COUNTIF(tblCost[TargetID],A72)&gt;0</f>
        <v>1</v>
      </c>
      <c r="V72" s="85">
        <f t="array" ref="V72">IF(
 U72=FALSE,
 "",
 _xlfn.XLOOKUP(
  A72,
  tblCost[TargetID],
  tblCost[FundingPercent],
  ""
 )
)</f>
        <v>0</v>
      </c>
      <c r="W72" s="26">
        <f t="array" ref="W72">IF(
 U72=FALSE,
 "",
 _xlfn.XLOOKUP(
  A72,
  tblCost[TargetID],
  tblCost[RemainingRequirements],
  ""
 )
)</f>
        <v>4</v>
      </c>
      <c r="X72" s="45" t="b">
        <f t="array" ref="X72">IF(
 U72=FALSE,
 "N/A",
 _xlfn.XLOOKUP(
  A73,
  tblCost[TargetID],
  tblCost[TargetFunded],
  FALSE
 )
)</f>
        <v>0</v>
      </c>
      <c r="Y72" s="26" t="str">
        <f>IFERROR(__xludf.DUMMYFUNCTION("IFERROR(
 TEXTJOIN(
  "", "",
  TRUE,
  FILTER(
   'cost checklist'!$E$2:$E1000&amp;"": ""&amp;'cost checklist'!$G$2:$G1000,
   'cost checklist'!$B$2:$B1000=A72,
   'cost checklist'!$J$2:$J1000=FALSE
  )
 ),
 """"
)"),"coin: 500, plank: 500, ruby: 3, stone: 400")</f>
        <v>coin: 500, plank: 500, ruby: 3, stone: 400</v>
      </c>
      <c r="Z72" s="26" t="b">
        <f>IFERROR(__xludf.DUMMYFUNCTION("IF(
 AND(
  E72=""QUEST"",
  RIGHT(A72,9)="".accepted"",
  D72=TRUE
 ),
 XLOOKUP(
  REGEXREPLACE(A72,""\.accepted$"","""")&amp;"".finished"",
  $A$2:$A1000,
  $D$2:$D1000,
  TRUE
 )=FALSE,
 FALSE
)"),FALSE)</f>
        <v>0</v>
      </c>
      <c r="AA72" s="26" t="str">
        <f>IFERROR(__xludf.DUMMYFUNCTION("LET(
 id,A72,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3" ht="14.25" customHeight="1">
      <c r="A73" s="26" t="s">
        <v>359</v>
      </c>
      <c r="B73" s="26" t="str">
        <f t="array" ref="B73">_xlfn.XLOOKUP(
 A73,
 tblTargets[TargetID],
 tblTargets[DisplayName],
 ""
)</f>
        <v>Onsen Lv 2</v>
      </c>
      <c r="C73" s="26" t="str">
        <f t="shared" si="1"/>
        <v>BLOCKED</v>
      </c>
      <c r="D73" s="26" t="b">
        <f>IFERROR(__xludf.DUMMYFUNCTION("LET(
 id,A73,
 IF(
  F73=""CHARACTER"",
  LET(
   base,REGEXREPLACE(id,""@\d+$"",""""),
   required,VALUE(REGEXEXTRACT(id,""@(\d+)$"")),
   current,XLOOKUP(
    base,
    tblPlayer[PlayerStateID],
    tblPlayer[Value],
    0
   ),
   current&gt;=required
  )"&amp;",
  IF(
   T73=""AUTO"",
   L73=0,
   COUNTIFS(
    tblChecklist[TargetID],id,
    tblChecklist[PlayerCompleted],TRUE
   )&gt;0
  )
 )
)"),FALSE)</f>
        <v>0</v>
      </c>
      <c r="E73" s="26" t="str">
        <f t="array" ref="E73">_xlfn.XLOOKUP(
 A73,
 tblTargets[TargetID],
 tblTargets[TargetType],
 ""
)</f>
        <v>BUILDING</v>
      </c>
      <c r="F73" s="26" t="str">
        <f t="array" ref="F73">_xlfn.XLOOKUP(
 A73,
 tblTargets[TargetID],
 tblTargets[StateType],
 ""
)</f>
        <v/>
      </c>
      <c r="G73" s="26">
        <f>LET(
 id,A73,
 depCount,COUNTIF(tblDependencies[TargetID],id),
 objCount,COUNTIF(tblQuestObjectives[QuestTargetID],id),
 depCount+objCount
)</f>
        <v>1</v>
      </c>
      <c r="H73" s="26">
        <f t="shared" si="2"/>
        <v>1</v>
      </c>
      <c r="I73" s="26">
        <f>IFERROR(__xludf.DUMMYFUNCTION("LET(
 id,A73,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3" s="26">
        <f t="shared" si="3"/>
        <v>0</v>
      </c>
      <c r="K73" s="26" t="b">
        <f t="shared" si="4"/>
        <v>0</v>
      </c>
      <c r="L73" s="26">
        <f t="shared" si="5"/>
        <v>1</v>
      </c>
      <c r="M73" s="26" t="str">
        <f>IFERROR(__xludf.DUMMYFUNCTION("LET(
 id,A73,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L73=0,
  """",
  IFERROR(INDEX(incomplete,1),"""")
 "&amp;")
)"),"building.onsen@1")</f>
        <v>building.onsen@1</v>
      </c>
      <c r="N73" s="26" t="str">
        <f t="array" ref="N73">IF(
 M73="",
 "",
 _xlfn.XLOOKUP(
  M73,
  tblTargets[TargetID],
  tblTargets[DisplayName],
  M73
 )
)</f>
        <v>Onsen Lv 1</v>
      </c>
      <c r="O73" s="26" t="str">
        <f>IFERROR(__xludf.DUMMYFUNCTION("SWITCH(
 E73,
 ""BUILDING"",XLOOKUP(A73,tblBuildings[BuildingID],tblBuildings[costtext],""""),
 ""TECH"",XLOOKUP(A73,tblTechnologies[TechnologyID],tblTechnologies[costtext],""""),
 ""QUEST"",XLOOKUP(
  REGEXREPLACE(A73,""\.[^.]+$"",""""),
  tblQuests[Ques"&amp;"tID],
  tblQuests[Costtext],
  """"
 ),
 ""CITADEL"",XLOOKUP(A73,tblCitadel[CitadelID],tblCitadel[costtext],""""),
 ""COLLECTION"",XLOOKUP(A73,tblCollections[CollectionID],tblCollections[costtext],""""),
 ""CRAFTIFACT"",XLOOKUP(A73,tblCraftifacts[Craftifa"&amp;"ctID],tblCraftifacts[costtext],""""),
 """"
)"),"5 ruby,800 coin,600 plank,500 stone")</f>
        <v>5 ruby,800 coin,600 plank,500 stone</v>
      </c>
      <c r="P73" s="26" t="str">
        <f t="shared" si="6"/>
        <v>BLOCKED</v>
      </c>
      <c r="Q73" s="26" t="str">
        <f t="shared" si="7"/>
        <v>BLOCKED</v>
      </c>
      <c r="R73" s="26">
        <f t="array" ref="R73">IFERROR(
 _xlfn.XLOOKUP(
  A73,
  tblChecklist[TargetID],
  tblChecklist[PlayerSort],
  ""
 ),
 ""
)</f>
        <v>92</v>
      </c>
      <c r="S73" s="26" t="str">
        <f>IFERROR(__xludf.DUMMYFUNCTION("LET(
 id,A73,
 successorIDs,
  IFERROR(
   UNIQUE(
    FILTER(
     {
      Dependencies!$A$2:$A$1000;
      QuestObjectives!$A$2:$A$1000
     },
     {
      Dependencies!$B$2:$B$1000;
      QuestObjectives!$E$2:$E$1000
     }=id
    )
   ),
   """"
  ),"&amp;"
 names,
  MAP(
   successorIDs,
   LAMBDA(s,
    IF(
     s="""",
     """",
     XLOOKUP(
      s,
      $A$2:$A$1000,
      $B$2:$B$1000,
      s
     )
    )
   )
  ),
 IF(
  successorIDs="""",
  """",
  TEXTJOIN("", "",TRUE,names)
 )
)"),"")</f>
        <v/>
      </c>
      <c r="T73" s="26" t="str">
        <f t="array" ref="T73">_xlfn.XLOOKUP(
 A73,
 tblTargets[TargetID],
 tblTargets[CompletionMethod],
 ""
)</f>
        <v>PLAYER</v>
      </c>
      <c r="U73" s="84" t="b">
        <f>COUNTIF(tblCost[TargetID],A73)&gt;0</f>
        <v>1</v>
      </c>
      <c r="V73" s="85">
        <f t="array" ref="V73">IF(
 U73=FALSE,
 "",
 _xlfn.XLOOKUP(
  A73,
  tblCost[TargetID],
  tblCost[FundingPercent],
  ""
 )
)</f>
        <v>0</v>
      </c>
      <c r="W73" s="26">
        <f t="array" ref="W73">IF(
 U73=FALSE,
 "",
 _xlfn.XLOOKUP(
  A73,
  tblCost[TargetID],
  tblCost[RemainingRequirements],
  ""
 )
)</f>
        <v>4</v>
      </c>
      <c r="X73" s="45" t="b">
        <f t="array" ref="X73">IF(
 U73=FALSE,
 "N/A",
 _xlfn.XLOOKUP(
  A74,
  tblCost[TargetID],
  tblCost[TargetFunded],
  FALSE
 )
)</f>
        <v>0</v>
      </c>
      <c r="Y73" s="26" t="str">
        <f>IFERROR(__xludf.DUMMYFUNCTION("IFERROR(
 TEXTJOIN(
  "", "",
  TRUE,
  FILTER(
   'cost checklist'!$E$2:$E1000&amp;"": ""&amp;'cost checklist'!$G$2:$G1000,
   'cost checklist'!$B$2:$B1000=A73,
   'cost checklist'!$J$2:$J1000=FALSE
  )
 ),
 """"
)"),"coin: 800, plank: 600, ruby: 5, stone: 500")</f>
        <v>coin: 800, plank: 600, ruby: 5, stone: 500</v>
      </c>
      <c r="Z73" s="26" t="b">
        <f>IFERROR(__xludf.DUMMYFUNCTION("IF(
 AND(
  E73=""QUEST"",
  RIGHT(A73,9)="".accepted"",
  D73=TRUE
 ),
 XLOOKUP(
  REGEXREPLACE(A73,""\.accepted$"","""")&amp;"".finished"",
  $A$2:$A1000,
  $D$2:$D1000,
  TRUE
 )=FALSE,
 FALSE
)"),FALSE)</f>
        <v>0</v>
      </c>
      <c r="AA73" s="26" t="str">
        <f>IFERROR(__xludf.DUMMYFUNCTION("LET(
 id,A73,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4" ht="14.25" customHeight="1">
      <c r="A74" s="26" t="s">
        <v>806</v>
      </c>
      <c r="B74" s="26" t="str">
        <f t="array" ref="B74">_xlfn.XLOOKUP(
 A74,
 tblTargets[TargetID],
 tblTargets[DisplayName],
 ""
)</f>
        <v>Outpost maxed</v>
      </c>
      <c r="C74" s="26" t="str">
        <f t="shared" si="1"/>
        <v>BLOCKED</v>
      </c>
      <c r="D74" s="26" t="b">
        <f>IFERROR(__xludf.DUMMYFUNCTION("LET(
 id,A74,
 IF(
  F74=""CHARACTER"",
  LET(
   base,REGEXREPLACE(id,""@\d+$"",""""),
   required,VALUE(REGEXEXTRACT(id,""@(\d+)$"")),
   current,XLOOKUP(
    base,
    tblPlayer[PlayerStateID],
    tblPlayer[Value],
    0
   ),
   current&gt;=required
  )"&amp;",
  IF(
   T74=""AUTO"",
   L74=0,
   COUNTIFS(
    tblChecklist[TargetID],id,
    tblChecklist[PlayerCompleted],TRUE
   )&gt;0
  )
 )
)"),FALSE)</f>
        <v>0</v>
      </c>
      <c r="E74" s="26" t="str">
        <f t="array" ref="E74">_xlfn.XLOOKUP(
 A74,
 tblTargets[TargetID],
 tblTargets[TargetType],
 ""
)</f>
        <v>BUILDING</v>
      </c>
      <c r="F74" s="26" t="str">
        <f t="array" ref="F74">_xlfn.XLOOKUP(
 A74,
 tblTargets[TargetID],
 tblTargets[StateType],
 ""
)</f>
        <v/>
      </c>
      <c r="G74" s="26">
        <f>LET(
 id,A74,
 depCount,COUNTIF(tblDependencies[TargetID],id),
 objCount,COUNTIF(tblQuestObjectives[QuestTargetID],id),
 depCount+objCount
)</f>
        <v>1</v>
      </c>
      <c r="H74" s="26">
        <f t="shared" si="2"/>
        <v>1</v>
      </c>
      <c r="I74" s="26">
        <f>IFERROR(__xludf.DUMMYFUNCTION("LET(
 id,A74,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4" s="26">
        <f t="shared" si="3"/>
        <v>0</v>
      </c>
      <c r="K74" s="26" t="b">
        <f t="shared" si="4"/>
        <v>0</v>
      </c>
      <c r="L74" s="26">
        <f t="shared" si="5"/>
        <v>1</v>
      </c>
      <c r="M74" s="26" t="str">
        <f>IFERROR(__xludf.DUMMYFUNCTION("LET(
 id,A74,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L74=0,
  """",
  IFERROR(INDEX(incomplete,1),"""")
 "&amp;")
)"),"building.outpost@3")</f>
        <v>building.outpost@3</v>
      </c>
      <c r="N74" s="26" t="str">
        <f t="array" ref="N74">IF(
 M74="",
 "",
 _xlfn.XLOOKUP(
  M74,
  tblTargets[TargetID],
  tblTargets[DisplayName],
  M74
 )
)</f>
        <v>Outpost Lv 3</v>
      </c>
      <c r="O74" s="26" t="str">
        <f>IFERROR(__xludf.DUMMYFUNCTION("SWITCH(
 E74,
 ""BUILDING"",XLOOKUP(A74,tblBuildings[BuildingID],tblBuildings[costtext],""""),
 ""TECH"",XLOOKUP(A74,tblTechnologies[TechnologyID],tblTechnologies[costtext],""""),
 ""QUEST"",XLOOKUP(
  REGEXREPLACE(A74,""\.[^.]+$"",""""),
  tblQuests[Ques"&amp;"tID],
  tblQuests[Costtext],
  """"
 ),
 ""CITADEL"",XLOOKUP(A74,tblCitadel[CitadelID],tblCitadel[costtext],""""),
 ""COLLECTION"",XLOOKUP(A74,tblCollections[CollectionID],tblCollections[costtext],""""),
 ""CRAFTIFACT"",XLOOKUP(A74,tblCraftifacts[Craftifa"&amp;"ctID],tblCraftifacts[costtext],""""),
 """"
)"),"")</f>
        <v/>
      </c>
      <c r="P74" s="26" t="str">
        <f t="shared" si="6"/>
        <v>BLOCKED</v>
      </c>
      <c r="Q74" s="26" t="str">
        <f t="shared" si="7"/>
        <v>BLOCKED</v>
      </c>
      <c r="R74" s="26" t="str">
        <f t="array" ref="R74">IFERROR(
 _xlfn.XLOOKUP(
  A74,
  tblChecklist[TargetID],
  tblChecklist[PlayerSort],
  ""
 ),
 ""
)</f>
        <v/>
      </c>
      <c r="S74" s="26" t="str">
        <f>IFERROR(__xludf.DUMMYFUNCTION("LET(
 id,A74,
 successorIDs,
  IFERROR(
   UNIQUE(
    FILTER(
     {
      Dependencies!$A$2:$A$1000;
      QuestObjectives!$A$2:$A$1000
     },
     {
      Dependencies!$B$2:$B$1000;
      QuestObjectives!$E$2:$E$1000
     }=id
    )
   ),
   """"
  ),"&amp;"
 names,
  MAP(
   successorIDs,
   LAMBDA(s,
    IF(
     s="""",
     """",
     XLOOKUP(
      s,
      $A$2:$A$1000,
      $B$2:$B$1000,
      s
     )
    )
   )
  ),
 IF(
  successorIDs="""",
  """",
  TEXTJOIN("", "",TRUE,names)
 )
)"),"Outpost - Arsenal Lvl 1, Outpost - Arsenal Lvl 2, Outpost - Futures Contracts, Outpost - Optional Contracts, Outpost - Sayonara Tax, Outpost - Tax Return On Floppy Disk")</f>
        <v>Outpost - Arsenal Lvl 1, Outpost - Arsenal Lvl 2, Outpost - Futures Contracts, Outpost - Optional Contracts, Outpost - Sayonara Tax, Outpost - Tax Return On Floppy Disk</v>
      </c>
      <c r="T74" s="26" t="str">
        <f t="array" ref="T74">_xlfn.XLOOKUP(
 A74,
 tblTargets[TargetID],
 tblTargets[CompletionMethod],
 ""
)</f>
        <v>AUTO</v>
      </c>
      <c r="U74" s="84" t="b">
        <f>COUNTIF(tblCost[TargetID],A74)&gt;0</f>
        <v>0</v>
      </c>
      <c r="V74" s="85" t="str">
        <f t="array" ref="V74">IF(
 U74=FALSE,
 "",
 _xlfn.XLOOKUP(
  A74,
  tblCost[TargetID],
  tblCost[FundingPercent],
  ""
 )
)</f>
        <v/>
      </c>
      <c r="W74" s="26" t="str">
        <f t="array" ref="W74">IF(
 U74=FALSE,
 "",
 _xlfn.XLOOKUP(
  A74,
  tblCost[TargetID],
  tblCost[RemainingRequirements],
  ""
 )
)</f>
        <v/>
      </c>
      <c r="X74" s="45" t="str">
        <f t="array" ref="X74">IF(
 U74=FALSE,
 "N/A",
 _xlfn.XLOOKUP(
  A75,
  tblCost[TargetID],
  tblCost[TargetFunded],
  FALSE
 )
)</f>
        <v>N/A</v>
      </c>
      <c r="Y74" s="26" t="str">
        <f>IFERROR(__xludf.DUMMYFUNCTION("IFERROR(
 TEXTJOIN(
  "", "",
  TRUE,
  FILTER(
   'cost checklist'!$E$2:$E1000&amp;"": ""&amp;'cost checklist'!$G$2:$G1000,
   'cost checklist'!$B$2:$B1000=A74,
   'cost checklist'!$J$2:$J1000=FALSE
  )
 ),
 """"
)"),"")</f>
        <v/>
      </c>
      <c r="Z74" s="26" t="b">
        <f>IFERROR(__xludf.DUMMYFUNCTION("IF(
 AND(
  E74=""QUEST"",
  RIGHT(A74,9)="".accepted"",
  D74=TRUE
 ),
 XLOOKUP(
  REGEXREPLACE(A74,""\.accepted$"","""")&amp;"".finished"",
  $A$2:$A1000,
  $D$2:$D1000,
  TRUE
 )=FALSE,
 FALSE
)"),FALSE)</f>
        <v>0</v>
      </c>
      <c r="AA74" s="26" t="str">
        <f>IFERROR(__xludf.DUMMYFUNCTION("LET(
 id,A74,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5" ht="14.25" customHeight="1">
      <c r="A75" s="26" t="s">
        <v>362</v>
      </c>
      <c r="B75" s="26" t="str">
        <f t="array" ref="B75">_xlfn.XLOOKUP(
 A75,
 tblTargets[TargetID],
 tblTargets[DisplayName],
 ""
)</f>
        <v>Outpost Lv 1</v>
      </c>
      <c r="C75" s="26" t="str">
        <f t="shared" si="1"/>
        <v>BLOCKED</v>
      </c>
      <c r="D75" s="26" t="b">
        <f>IFERROR(__xludf.DUMMYFUNCTION("LET(
 id,A75,
 IF(
  F75=""CHARACTER"",
  LET(
   base,REGEXREPLACE(id,""@\d+$"",""""),
   required,VALUE(REGEXEXTRACT(id,""@(\d+)$"")),
   current,XLOOKUP(
    base,
    tblPlayer[PlayerStateID],
    tblPlayer[Value],
    0
   ),
   current&gt;=required
  )"&amp;",
  IF(
   T75=""AUTO"",
   L75=0,
   COUNTIFS(
    tblChecklist[TargetID],id,
    tblChecklist[PlayerCompleted],TRUE
   )&gt;0
  )
 )
)"),FALSE)</f>
        <v>0</v>
      </c>
      <c r="E75" s="26" t="str">
        <f t="array" ref="E75">_xlfn.XLOOKUP(
 A75,
 tblTargets[TargetID],
 tblTargets[TargetType],
 ""
)</f>
        <v>BUILDING</v>
      </c>
      <c r="F75" s="26" t="str">
        <f t="array" ref="F75">_xlfn.XLOOKUP(
 A75,
 tblTargets[TargetID],
 tblTargets[StateType],
 ""
)</f>
        <v/>
      </c>
      <c r="G75" s="26">
        <f>LET(
 id,A75,
 depCount,COUNTIF(tblDependencies[TargetID],id),
 objCount,COUNTIF(tblQuestObjectives[QuestTargetID],id),
 depCount+objCount
)</f>
        <v>2</v>
      </c>
      <c r="H75" s="26">
        <f t="shared" si="2"/>
        <v>2</v>
      </c>
      <c r="I75" s="26">
        <f>IFERROR(__xludf.DUMMYFUNCTION("LET(
 id,A75,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5" s="26">
        <f t="shared" si="3"/>
        <v>0</v>
      </c>
      <c r="K75" s="26" t="b">
        <f t="shared" si="4"/>
        <v>0</v>
      </c>
      <c r="L75" s="26">
        <f t="shared" si="5"/>
        <v>2</v>
      </c>
      <c r="M75" s="26" t="str">
        <f>IFERROR(__xludf.DUMMYFUNCTION("LET(
 id,A75,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L75=0,
  """",
  IFERROR(INDEX(incomplete,1),"""")
 "&amp;")
)"),"building.bridge@1")</f>
        <v>building.bridge@1</v>
      </c>
      <c r="N75" s="26" t="str">
        <f t="array" ref="N75">IF(
 M75="",
 "",
 _xlfn.XLOOKUP(
  M75,
  tblTargets[TargetID],
  tblTargets[DisplayName],
  M75
 )
)</f>
        <v>Bridge Lv 1</v>
      </c>
      <c r="O75" s="26" t="str">
        <f>IFERROR(__xludf.DUMMYFUNCTION("SWITCH(
 E75,
 ""BUILDING"",XLOOKUP(A75,tblBuildings[BuildingID],tblBuildings[costtext],""""),
 ""TECH"",XLOOKUP(A75,tblTechnologies[TechnologyID],tblTechnologies[costtext],""""),
 ""QUEST"",XLOOKUP(
  REGEXREPLACE(A75,""\.[^.]+$"",""""),
  tblQuests[Ques"&amp;"tID],
  tblQuests[Costtext],
  """"
 ),
 ""CITADEL"",XLOOKUP(A75,tblCitadel[CitadelID],tblCitadel[costtext],""""),
 ""COLLECTION"",XLOOKUP(A75,tblCollections[CollectionID],tblCollections[costtext],""""),
 ""CRAFTIFACT"",XLOOKUP(A75,tblCraftifacts[Craftifa"&amp;"ctID],tblCraftifacts[costtext],""""),
 """"
)"),"6 ruby,1000 coin,1000 beam,1000 stone,100 katana,300 arrows")</f>
        <v>6 ruby,1000 coin,1000 beam,1000 stone,100 katana,300 arrows</v>
      </c>
      <c r="P75" s="26" t="str">
        <f t="shared" si="6"/>
        <v>BLOCKED</v>
      </c>
      <c r="Q75" s="26" t="str">
        <f t="shared" si="7"/>
        <v>BLOCKED</v>
      </c>
      <c r="R75" s="26">
        <f t="array" ref="R75">IFERROR(
 _xlfn.XLOOKUP(
  A75,
  tblChecklist[TargetID],
  tblChecklist[PlayerSort],
  ""
 ),
 ""
)</f>
        <v>28</v>
      </c>
      <c r="S75" s="26" t="str">
        <f>IFERROR(__xludf.DUMMYFUNCTION("LET(
 id,A75,
 successorIDs,
  IFERROR(
   UNIQUE(
    FILTER(
     {
      Dependencies!$A$2:$A$1000;
      QuestObjectives!$A$2:$A$1000
     },
     {
      Dependencies!$B$2:$B$1000;
      QuestObjectives!$E$2:$E$1000
     }=id
    )
   ),
   """"
  ),"&amp;"
 names,
  MAP(
   successorIDs,
   LAMBDA(s,
    IF(
     s="""",
     """",
     XLOOKUP(
      s,
      $A$2:$A$1000,
      $B$2:$B$1000,
      s
     )
    )
   )
  ),
 IF(
  successorIDs="""",
  """",
  TEXTJOIN("", "",TRUE,names)
 )
)"),"Outpost Lv 2")</f>
        <v>Outpost Lv 2</v>
      </c>
      <c r="T75" s="26" t="str">
        <f t="array" ref="T75">_xlfn.XLOOKUP(
 A75,
 tblTargets[TargetID],
 tblTargets[CompletionMethod],
 ""
)</f>
        <v>PLAYER</v>
      </c>
      <c r="U75" s="84" t="b">
        <f>COUNTIF(tblCost[TargetID],A75)&gt;0</f>
        <v>1</v>
      </c>
      <c r="V75" s="85">
        <f t="array" ref="V75">IF(
 U75=FALSE,
 "",
 _xlfn.XLOOKUP(
  A75,
  tblCost[TargetID],
  tblCost[FundingPercent],
  ""
 )
)</f>
        <v>0</v>
      </c>
      <c r="W75" s="26">
        <f t="array" ref="W75">IF(
 U75=FALSE,
 "",
 _xlfn.XLOOKUP(
  A75,
  tblCost[TargetID],
  tblCost[RemainingRequirements],
  ""
 )
)</f>
        <v>6</v>
      </c>
      <c r="X75" s="45" t="b">
        <f t="array" ref="X75">IF(
 U75=FALSE,
 "N/A",
 _xlfn.XLOOKUP(
  A76,
  tblCost[TargetID],
  tblCost[TargetFunded],
  FALSE
 )
)</f>
        <v>0</v>
      </c>
      <c r="Y75" s="26" t="str">
        <f>IFERROR(__xludf.DUMMYFUNCTION("IFERROR(
 TEXTJOIN(
  "", "",
  TRUE,
  FILTER(
   'cost checklist'!$E$2:$E1000&amp;"": ""&amp;'cost checklist'!$G$2:$G1000,
   'cost checklist'!$B$2:$B1000=A75,
   'cost checklist'!$J$2:$J1000=FALSE
  )
 ),
 """"
)"),"arrows: 300, beam: 1000, coin: 1000, katana: 100, ruby: 6, stone: 1000")</f>
        <v>arrows: 300, beam: 1000, coin: 1000, katana: 100, ruby: 6, stone: 1000</v>
      </c>
      <c r="Z75" s="26" t="b">
        <f>IFERROR(__xludf.DUMMYFUNCTION("IF(
 AND(
  E75=""QUEST"",
  RIGHT(A75,9)="".accepted"",
  D75=TRUE
 ),
 XLOOKUP(
  REGEXREPLACE(A75,""\.accepted$"","""")&amp;"".finished"",
  $A$2:$A1000,
  $D$2:$D1000,
  TRUE
 )=FALSE,
 FALSE
)"),FALSE)</f>
        <v>0</v>
      </c>
      <c r="AA75" s="26" t="str">
        <f>IFERROR(__xludf.DUMMYFUNCTION("LET(
 id,A75,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6" ht="14.25" customHeight="1">
      <c r="A76" s="26" t="s">
        <v>364</v>
      </c>
      <c r="B76" s="26" t="str">
        <f t="array" ref="B76">_xlfn.XLOOKUP(
 A76,
 tblTargets[TargetID],
 tblTargets[DisplayName],
 ""
)</f>
        <v>Outpost Lv 2</v>
      </c>
      <c r="C76" s="26" t="str">
        <f t="shared" si="1"/>
        <v>BLOCKED</v>
      </c>
      <c r="D76" s="26" t="b">
        <f>IFERROR(__xludf.DUMMYFUNCTION("LET(
 id,A76,
 IF(
  F76=""CHARACTER"",
  LET(
   base,REGEXREPLACE(id,""@\d+$"",""""),
   required,VALUE(REGEXEXTRACT(id,""@(\d+)$"")),
   current,XLOOKUP(
    base,
    tblPlayer[PlayerStateID],
    tblPlayer[Value],
    0
   ),
   current&gt;=required
  )"&amp;",
  IF(
   T76=""AUTO"",
   L76=0,
   COUNTIFS(
    tblChecklist[TargetID],id,
    tblChecklist[PlayerCompleted],TRUE
   )&gt;0
  )
 )
)"),FALSE)</f>
        <v>0</v>
      </c>
      <c r="E76" s="26" t="str">
        <f t="array" ref="E76">_xlfn.XLOOKUP(
 A76,
 tblTargets[TargetID],
 tblTargets[TargetType],
 ""
)</f>
        <v>BUILDING</v>
      </c>
      <c r="F76" s="26" t="str">
        <f t="array" ref="F76">_xlfn.XLOOKUP(
 A76,
 tblTargets[TargetID],
 tblTargets[StateType],
 ""
)</f>
        <v/>
      </c>
      <c r="G76" s="26">
        <f>LET(
 id,A76,
 depCount,COUNTIF(tblDependencies[TargetID],id),
 objCount,COUNTIF(tblQuestObjectives[QuestTargetID],id),
 depCount+objCount
)</f>
        <v>1</v>
      </c>
      <c r="H76" s="26">
        <f t="shared" si="2"/>
        <v>1</v>
      </c>
      <c r="I76" s="26">
        <f>IFERROR(__xludf.DUMMYFUNCTION("LET(
 id,A76,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6" s="26">
        <f t="shared" si="3"/>
        <v>0</v>
      </c>
      <c r="K76" s="26" t="b">
        <f t="shared" si="4"/>
        <v>0</v>
      </c>
      <c r="L76" s="26">
        <f t="shared" si="5"/>
        <v>1</v>
      </c>
      <c r="M76" s="26" t="str">
        <f>IFERROR(__xludf.DUMMYFUNCTION("LET(
 id,A76,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L76=0,
  """",
  IFERROR(INDEX(incomplete,1),"""")
 "&amp;")
)"),"building.outpost@1")</f>
        <v>building.outpost@1</v>
      </c>
      <c r="N76" s="26" t="str">
        <f t="array" ref="N76">IF(
 M76="",
 "",
 _xlfn.XLOOKUP(
  M76,
  tblTargets[TargetID],
  tblTargets[DisplayName],
  M76
 )
)</f>
        <v>Outpost Lv 1</v>
      </c>
      <c r="O76" s="26" t="str">
        <f>IFERROR(__xludf.DUMMYFUNCTION("SWITCH(
 E76,
 ""BUILDING"",XLOOKUP(A76,tblBuildings[BuildingID],tblBuildings[costtext],""""),
 ""TECH"",XLOOKUP(A76,tblTechnologies[TechnologyID],tblTechnologies[costtext],""""),
 ""QUEST"",XLOOKUP(
  REGEXREPLACE(A76,""\.[^.]+$"",""""),
  tblQuests[Ques"&amp;"tID],
  tblQuests[Costtext],
  """"
 ),
 ""CITADEL"",XLOOKUP(A76,tblCitadel[CitadelID],tblCitadel[costtext],""""),
 ""COLLECTION"",XLOOKUP(A76,tblCollections[CollectionID],tblCollections[costtext],""""),
 ""CRAFTIFACT"",XLOOKUP(A76,tblCraftifacts[Craftifa"&amp;"ctID],tblCraftifacts[costtext],""""),
 """"
)"),"8 ruby,1500 coin,1500 beam,3000 stone,300 steel,30 mortar")</f>
        <v>8 ruby,1500 coin,1500 beam,3000 stone,300 steel,30 mortar</v>
      </c>
      <c r="P76" s="26" t="str">
        <f t="shared" si="6"/>
        <v>BLOCKED</v>
      </c>
      <c r="Q76" s="26" t="str">
        <f t="shared" si="7"/>
        <v>BLOCKED</v>
      </c>
      <c r="R76" s="26">
        <f t="array" ref="R76">IFERROR(
 _xlfn.XLOOKUP(
  A76,
  tblChecklist[TargetID],
  tblChecklist[PlayerSort],
  ""
 ),
 ""
)</f>
        <v>35</v>
      </c>
      <c r="S76" s="26" t="str">
        <f>IFERROR(__xludf.DUMMYFUNCTION("LET(
 id,A76,
 successorIDs,
  IFERROR(
   UNIQUE(
    FILTER(
     {
      Dependencies!$A$2:$A$1000;
      QuestObjectives!$A$2:$A$1000
     },
     {
      Dependencies!$B$2:$B$1000;
      QuestObjectives!$E$2:$E$1000
     }=id
    )
   ),
   """"
  ),"&amp;"
 names,
  MAP(
   successorIDs,
   LAMBDA(s,
    IF(
     s="""",
     """",
     XLOOKUP(
      s,
      $A$2:$A$1000,
      $B$2:$B$1000,
      s
     )
    )
   )
  ),
 IF(
  successorIDs="""",
  """",
  TEXTJOIN("", "",TRUE,names)
 )
)"),"Outpost Lv 3")</f>
        <v>Outpost Lv 3</v>
      </c>
      <c r="T76" s="26" t="str">
        <f t="array" ref="T76">_xlfn.XLOOKUP(
 A76,
 tblTargets[TargetID],
 tblTargets[CompletionMethod],
 ""
)</f>
        <v>PLAYER</v>
      </c>
      <c r="U76" s="84" t="b">
        <f>COUNTIF(tblCost[TargetID],A76)&gt;0</f>
        <v>1</v>
      </c>
      <c r="V76" s="85">
        <f t="array" ref="V76">IF(
 U76=FALSE,
 "",
 _xlfn.XLOOKUP(
  A76,
  tblCost[TargetID],
  tblCost[FundingPercent],
  ""
 )
)</f>
        <v>0</v>
      </c>
      <c r="W76" s="26">
        <f t="array" ref="W76">IF(
 U76=FALSE,
 "",
 _xlfn.XLOOKUP(
  A76,
  tblCost[TargetID],
  tblCost[RemainingRequirements],
  ""
 )
)</f>
        <v>6</v>
      </c>
      <c r="X76" s="45" t="b">
        <f t="array" ref="X76">IF(
 U76=FALSE,
 "N/A",
 _xlfn.XLOOKUP(
  A77,
  tblCost[TargetID],
  tblCost[TargetFunded],
  FALSE
 )
)</f>
        <v>0</v>
      </c>
      <c r="Y76" s="26" t="str">
        <f>IFERROR(__xludf.DUMMYFUNCTION("IFERROR(
 TEXTJOIN(
  "", "",
  TRUE,
  FILTER(
   'cost checklist'!$E$2:$E1000&amp;"": ""&amp;'cost checklist'!$G$2:$G1000,
   'cost checklist'!$B$2:$B1000=A76,
   'cost checklist'!$J$2:$J1000=FALSE
  )
 ),
 """"
)"),"beam: 1500, coin: 1500, mortar: 30, ruby: 8, steel: 300, stone: 3000")</f>
        <v>beam: 1500, coin: 1500, mortar: 30, ruby: 8, steel: 300, stone: 3000</v>
      </c>
      <c r="Z76" s="26" t="b">
        <f>IFERROR(__xludf.DUMMYFUNCTION("IF(
 AND(
  E76=""QUEST"",
  RIGHT(A76,9)="".accepted"",
  D76=TRUE
 ),
 XLOOKUP(
  REGEXREPLACE(A76,""\.accepted$"","""")&amp;"".finished"",
  $A$2:$A1000,
  $D$2:$D1000,
  TRUE
 )=FALSE,
 FALSE
)"),FALSE)</f>
        <v>0</v>
      </c>
      <c r="AA76" s="26" t="str">
        <f>IFERROR(__xludf.DUMMYFUNCTION("LET(
 id,A76,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7" ht="14.25" customHeight="1">
      <c r="A77" s="26" t="s">
        <v>366</v>
      </c>
      <c r="B77" s="26" t="str">
        <f t="array" ref="B77">_xlfn.XLOOKUP(
 A77,
 tblTargets[TargetID],
 tblTargets[DisplayName],
 ""
)</f>
        <v>Outpost Lv 3</v>
      </c>
      <c r="C77" s="26" t="str">
        <f t="shared" si="1"/>
        <v>BLOCKED</v>
      </c>
      <c r="D77" s="26" t="b">
        <f>IFERROR(__xludf.DUMMYFUNCTION("LET(
 id,A77,
 IF(
  F77=""CHARACTER"",
  LET(
   base,REGEXREPLACE(id,""@\d+$"",""""),
   required,VALUE(REGEXEXTRACT(id,""@(\d+)$"")),
   current,XLOOKUP(
    base,
    tblPlayer[PlayerStateID],
    tblPlayer[Value],
    0
   ),
   current&gt;=required
  )"&amp;",
  IF(
   T77=""AUTO"",
   L77=0,
   COUNTIFS(
    tblChecklist[TargetID],id,
    tblChecklist[PlayerCompleted],TRUE
   )&gt;0
  )
 )
)"),FALSE)</f>
        <v>0</v>
      </c>
      <c r="E77" s="26" t="str">
        <f t="array" ref="E77">_xlfn.XLOOKUP(
 A77,
 tblTargets[TargetID],
 tblTargets[TargetType],
 ""
)</f>
        <v>BUILDING</v>
      </c>
      <c r="F77" s="26" t="str">
        <f t="array" ref="F77">_xlfn.XLOOKUP(
 A77,
 tblTargets[TargetID],
 tblTargets[StateType],
 ""
)</f>
        <v/>
      </c>
      <c r="G77" s="26">
        <f>LET(
 id,A77,
 depCount,COUNTIF(tblDependencies[TargetID],id),
 objCount,COUNTIF(tblQuestObjectives[QuestTargetID],id),
 depCount+objCount
)</f>
        <v>1</v>
      </c>
      <c r="H77" s="26">
        <f t="shared" si="2"/>
        <v>1</v>
      </c>
      <c r="I77" s="26">
        <f>IFERROR(__xludf.DUMMYFUNCTION("LET(
 id,A77,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7" s="26">
        <f t="shared" si="3"/>
        <v>0</v>
      </c>
      <c r="K77" s="26" t="b">
        <f t="shared" si="4"/>
        <v>0</v>
      </c>
      <c r="L77" s="26">
        <f t="shared" si="5"/>
        <v>1</v>
      </c>
      <c r="M77" s="26" t="str">
        <f>IFERROR(__xludf.DUMMYFUNCTION("LET(
 id,A77,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L77=0,
  """",
  IFERROR(INDEX(incomplete,1),"""")
 "&amp;")
)"),"building.outpost@2")</f>
        <v>building.outpost@2</v>
      </c>
      <c r="N77" s="26" t="str">
        <f t="array" ref="N77">IF(
 M77="",
 "",
 _xlfn.XLOOKUP(
  M77,
  tblTargets[TargetID],
  tblTargets[DisplayName],
  M77
 )
)</f>
        <v>Outpost Lv 2</v>
      </c>
      <c r="O77" s="26" t="str">
        <f>IFERROR(__xludf.DUMMYFUNCTION("SWITCH(
 E77,
 ""BUILDING"",XLOOKUP(A77,tblBuildings[BuildingID],tblBuildings[costtext],""""),
 ""TECH"",XLOOKUP(A77,tblTechnologies[TechnologyID],tblTechnologies[costtext],""""),
 ""QUEST"",XLOOKUP(
  REGEXREPLACE(A77,""\.[^.]+$"",""""),
  tblQuests[Ques"&amp;"tID],
  tblQuests[Costtext],
  """"
 ),
 ""CITADEL"",XLOOKUP(A77,tblCitadel[CitadelID],tblCitadel[costtext],""""),
 ""COLLECTION"",XLOOKUP(A77,tblCollections[CollectionID],tblCollections[costtext],""""),
 ""CRAFTIFACT"",XLOOKUP(A77,tblCraftifacts[Craftifa"&amp;"ctID],tblCraftifacts[costtext],""""),
 """"
)"),"10 ruby,2000 coin,2000 beam,5000 stone,20 oil,20 samurai")</f>
        <v>10 ruby,2000 coin,2000 beam,5000 stone,20 oil,20 samurai</v>
      </c>
      <c r="P77" s="26" t="str">
        <f t="shared" si="6"/>
        <v>BLOCKED</v>
      </c>
      <c r="Q77" s="26" t="str">
        <f t="shared" si="7"/>
        <v>BLOCKED</v>
      </c>
      <c r="R77" s="26">
        <f t="array" ref="R77">IFERROR(
 _xlfn.XLOOKUP(
  A77,
  tblChecklist[TargetID],
  tblChecklist[PlayerSort],
  ""
 ),
 ""
)</f>
        <v>50</v>
      </c>
      <c r="S77" s="26" t="str">
        <f>IFERROR(__xludf.DUMMYFUNCTION("LET(
 id,A77,
 successorIDs,
  IFERROR(
   UNIQUE(
    FILTER(
     {
      Dependencies!$A$2:$A$1000;
      QuestObjectives!$A$2:$A$1000
     },
     {
      Dependencies!$B$2:$B$1000;
      QuestObjectives!$E$2:$E$1000
     }=id
    )
   ),
   """"
  ),"&amp;"
 names,
  MAP(
   successorIDs,
   LAMBDA(s,
    IF(
     s="""",
     """",
     XLOOKUP(
      s,
      $A$2:$A$1000,
      $B$2:$B$1000,
      s
     )
    )
   )
  ),
 IF(
  successorIDs="""",
  """",
  TEXTJOIN("", "",TRUE,names)
 )
)"),"Outpost maxed, Honor, Glory, Sushi Finished")</f>
        <v>Outpost maxed, Honor, Glory, Sushi Finished</v>
      </c>
      <c r="T77" s="26" t="str">
        <f t="array" ref="T77">_xlfn.XLOOKUP(
 A77,
 tblTargets[TargetID],
 tblTargets[CompletionMethod],
 ""
)</f>
        <v>PLAYER</v>
      </c>
      <c r="U77" s="84" t="b">
        <f>COUNTIF(tblCost[TargetID],A77)&gt;0</f>
        <v>1</v>
      </c>
      <c r="V77" s="85">
        <f t="array" ref="V77">IF(
 U77=FALSE,
 "",
 _xlfn.XLOOKUP(
  A77,
  tblCost[TargetID],
  tblCost[FundingPercent],
  ""
 )
)</f>
        <v>0</v>
      </c>
      <c r="W77" s="26">
        <f t="array" ref="W77">IF(
 U77=FALSE,
 "",
 _xlfn.XLOOKUP(
  A77,
  tblCost[TargetID],
  tblCost[RemainingRequirements],
  ""
 )
)</f>
        <v>6</v>
      </c>
      <c r="X77" s="45" t="b">
        <f t="array" ref="X77">IF(
 U77=FALSE,
 "N/A",
 _xlfn.XLOOKUP(
  A78,
  tblCost[TargetID],
  tblCost[TargetFunded],
  FALSE
 )
)</f>
        <v>0</v>
      </c>
      <c r="Y77" s="26" t="str">
        <f>IFERROR(__xludf.DUMMYFUNCTION("IFERROR(
 TEXTJOIN(
  "", "",
  TRUE,
  FILTER(
   'cost checklist'!$E$2:$E1000&amp;"": ""&amp;'cost checklist'!$G$2:$G1000,
   'cost checklist'!$B$2:$B1000=A77,
   'cost checklist'!$J$2:$J1000=FALSE
  )
 ),
 """"
)"),"beam: 2000, coin: 2000, oil: 20, ruby: 10, samurai: 20, stone: 5000")</f>
        <v>beam: 2000, coin: 2000, oil: 20, ruby: 10, samurai: 20, stone: 5000</v>
      </c>
      <c r="Z77" s="26" t="b">
        <f>IFERROR(__xludf.DUMMYFUNCTION("IF(
 AND(
  E77=""QUEST"",
  RIGHT(A77,9)="".accepted"",
  D77=TRUE
 ),
 XLOOKUP(
  REGEXREPLACE(A77,""\.accepted$"","""")&amp;"".finished"",
  $A$2:$A1000,
  $D$2:$D1000,
  TRUE
 )=FALSE,
 FALSE
)"),FALSE)</f>
        <v>0</v>
      </c>
      <c r="AA77" s="26" t="str">
        <f>IFERROR(__xludf.DUMMYFUNCTION("LET(
 id,A77,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8" ht="14.25" customHeight="1">
      <c r="A78" s="26" t="s">
        <v>368</v>
      </c>
      <c r="B78" s="26" t="str">
        <f t="array" ref="B78">_xlfn.XLOOKUP(
 A78,
 tblTargets[TargetID],
 tblTargets[DisplayName],
 ""
)</f>
        <v>Pagoda Lv 1</v>
      </c>
      <c r="C78" s="26" t="str">
        <f t="shared" si="1"/>
        <v>BLOCKED</v>
      </c>
      <c r="D78" s="26" t="b">
        <f>IFERROR(__xludf.DUMMYFUNCTION("LET(
 id,A78,
 IF(
  F78=""CHARACTER"",
  LET(
   base,REGEXREPLACE(id,""@\d+$"",""""),
   required,VALUE(REGEXEXTRACT(id,""@(\d+)$"")),
   current,XLOOKUP(
    base,
    tblPlayer[PlayerStateID],
    tblPlayer[Value],
    0
   ),
   current&gt;=required
  )"&amp;",
  IF(
   T78=""AUTO"",
   L78=0,
   COUNTIFS(
    tblChecklist[TargetID],id,
    tblChecklist[PlayerCompleted],TRUE
   )&gt;0
  )
 )
)"),FALSE)</f>
        <v>0</v>
      </c>
      <c r="E78" s="26" t="str">
        <f t="array" ref="E78">_xlfn.XLOOKUP(
 A78,
 tblTargets[TargetID],
 tblTargets[TargetType],
 ""
)</f>
        <v>BUILDING</v>
      </c>
      <c r="F78" s="26" t="str">
        <f t="array" ref="F78">_xlfn.XLOOKUP(
 A78,
 tblTargets[TargetID],
 tblTargets[StateType],
 ""
)</f>
        <v/>
      </c>
      <c r="G78" s="26">
        <f>LET(
 id,A78,
 depCount,COUNTIF(tblDependencies[TargetID],id),
 objCount,COUNTIF(tblQuestObjectives[QuestTargetID],id),
 depCount+objCount
)</f>
        <v>1</v>
      </c>
      <c r="H78" s="26">
        <f t="shared" si="2"/>
        <v>1</v>
      </c>
      <c r="I78" s="26">
        <f>IFERROR(__xludf.DUMMYFUNCTION("LET(
 id,A78,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8" s="26">
        <f t="shared" si="3"/>
        <v>0</v>
      </c>
      <c r="K78" s="26" t="b">
        <f t="shared" si="4"/>
        <v>0</v>
      </c>
      <c r="L78" s="26">
        <f t="shared" si="5"/>
        <v>1</v>
      </c>
      <c r="M78" s="26" t="str">
        <f>IFERROR(__xludf.DUMMYFUNCTION("LET(
 id,A78,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L78=0,
  """",
  IFERROR(INDEX(incomplete,1),"""")
 "&amp;")
)"),"state.character_level@4")</f>
        <v>state.character_level@4</v>
      </c>
      <c r="N78" s="26" t="str">
        <f t="array" ref="N78">IF(
 M78="",
 "",
 _xlfn.XLOOKUP(
  M78,
  tblTargets[TargetID],
  tblTargets[DisplayName],
  M78
 )
)</f>
        <v>Character Level@4</v>
      </c>
      <c r="O78" s="26" t="str">
        <f>IFERROR(__xludf.DUMMYFUNCTION("SWITCH(
 E78,
 ""BUILDING"",XLOOKUP(A78,tblBuildings[BuildingID],tblBuildings[costtext],""""),
 ""TECH"",XLOOKUP(A78,tblTechnologies[TechnologyID],tblTechnologies[costtext],""""),
 ""QUEST"",XLOOKUP(
  REGEXREPLACE(A78,""\.[^.]+$"",""""),
  tblQuests[Ques"&amp;"tID],
  tblQuests[Costtext],
  """"
 ),
 ""CITADEL"",XLOOKUP(A78,tblCitadel[CitadelID],tblCitadel[costtext],""""),
 ""COLLECTION"",XLOOKUP(A78,tblCollections[CollectionID],tblCollections[costtext],""""),
 ""CRAFTIFACT"",XLOOKUP(A78,tblCraftifacts[Craftifa"&amp;"ctID],tblCraftifacts[costtext],""""),
 """"
)"),"1 ruby,50 coin,50 wood,50 stone,5 petard")</f>
        <v>1 ruby,50 coin,50 wood,50 stone,5 petard</v>
      </c>
      <c r="P78" s="26" t="str">
        <f t="shared" si="6"/>
        <v>READY</v>
      </c>
      <c r="Q78" s="26" t="str">
        <f t="shared" si="7"/>
        <v>ONE AWAY</v>
      </c>
      <c r="R78" s="26">
        <f t="array" ref="R78">IFERROR(
 _xlfn.XLOOKUP(
  A78,
  tblChecklist[TargetID],
  tblChecklist[PlayerSort],
  ""
 ),
 ""
)</f>
        <v>57</v>
      </c>
      <c r="S78" s="26" t="str">
        <f>IFERROR(__xludf.DUMMYFUNCTION("LET(
 id,A78,
 successorIDs,
  IFERROR(
   UNIQUE(
    FILTER(
     {
      Dependencies!$A$2:$A$1000;
      QuestObjectives!$A$2:$A$1000
     },
     {
      Dependencies!$B$2:$B$1000;
      QuestObjectives!$E$2:$E$1000
     }=id
    )
   ),
   """"
  ),"&amp;"
 names,
  MAP(
   successorIDs,
   LAMBDA(s,
    IF(
     s="""",
     """",
     XLOOKUP(
      s,
      $A$2:$A$1000,
      $B$2:$B$1000,
      s
     )
    )
   )
  ),
 IF(
  successorIDs="""",
  """",
  TEXTJOIN("", "",TRUE,names)
 )
)"),"Pagoda Lv 2")</f>
        <v>Pagoda Lv 2</v>
      </c>
      <c r="T78" s="26" t="str">
        <f t="array" ref="T78">_xlfn.XLOOKUP(
 A78,
 tblTargets[TargetID],
 tblTargets[CompletionMethod],
 ""
)</f>
        <v>PLAYER</v>
      </c>
      <c r="U78" s="84" t="b">
        <f>COUNTIF(tblCost[TargetID],A78)&gt;0</f>
        <v>1</v>
      </c>
      <c r="V78" s="85">
        <f t="array" ref="V78">IF(
 U78=FALSE,
 "",
 _xlfn.XLOOKUP(
  A78,
  tblCost[TargetID],
  tblCost[FundingPercent],
  ""
 )
)</f>
        <v>0</v>
      </c>
      <c r="W78" s="26">
        <f t="array" ref="W78">IF(
 U78=FALSE,
 "",
 _xlfn.XLOOKUP(
  A78,
  tblCost[TargetID],
  tblCost[RemainingRequirements],
  ""
 )
)</f>
        <v>5</v>
      </c>
      <c r="X78" s="45" t="b">
        <f t="array" ref="X78">IF(
 U78=FALSE,
 "N/A",
 _xlfn.XLOOKUP(
  A79,
  tblCost[TargetID],
  tblCost[TargetFunded],
  FALSE
 )
)</f>
        <v>0</v>
      </c>
      <c r="Y78" s="26" t="str">
        <f>IFERROR(__xludf.DUMMYFUNCTION("IFERROR(
 TEXTJOIN(
  "", "",
  TRUE,
  FILTER(
   'cost checklist'!$E$2:$E1000&amp;"": ""&amp;'cost checklist'!$G$2:$G1000,
   'cost checklist'!$B$2:$B1000=A78,
   'cost checklist'!$J$2:$J1000=FALSE
  )
 ),
 """"
)"),"coin: 50, petard: 5, ruby: 1, stone: 50, wood: 50")</f>
        <v>coin: 50, petard: 5, ruby: 1, stone: 50, wood: 50</v>
      </c>
      <c r="Z78" s="26" t="b">
        <f>IFERROR(__xludf.DUMMYFUNCTION("IF(
 AND(
  E78=""QUEST"",
  RIGHT(A78,9)="".accepted"",
  D78=TRUE
 ),
 XLOOKUP(
  REGEXREPLACE(A78,""\.accepted$"","""")&amp;"".finished"",
  $A$2:$A1000,
  $D$2:$D1000,
  TRUE
 )=FALSE,
 FALSE
)"),FALSE)</f>
        <v>0</v>
      </c>
      <c r="AA78" s="26" t="str">
        <f>IFERROR(__xludf.DUMMYFUNCTION("LET(
 id,A78,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79" ht="14.25" customHeight="1">
      <c r="A79" s="26" t="s">
        <v>370</v>
      </c>
      <c r="B79" s="26" t="str">
        <f t="array" ref="B79">_xlfn.XLOOKUP(
 A79,
 tblTargets[TargetID],
 tblTargets[DisplayName],
 ""
)</f>
        <v>Pagoda Lv 2</v>
      </c>
      <c r="C79" s="26" t="str">
        <f t="shared" si="1"/>
        <v>BLOCKED</v>
      </c>
      <c r="D79" s="26" t="b">
        <f>IFERROR(__xludf.DUMMYFUNCTION("LET(
 id,A79,
 IF(
  F79=""CHARACTER"",
  LET(
   base,REGEXREPLACE(id,""@\d+$"",""""),
   required,VALUE(REGEXEXTRACT(id,""@(\d+)$"")),
   current,XLOOKUP(
    base,
    tblPlayer[PlayerStateID],
    tblPlayer[Value],
    0
   ),
   current&gt;=required
  )"&amp;",
  IF(
   T79=""AUTO"",
   L79=0,
   COUNTIFS(
    tblChecklist[TargetID],id,
    tblChecklist[PlayerCompleted],TRUE
   )&gt;0
  )
 )
)"),FALSE)</f>
        <v>0</v>
      </c>
      <c r="E79" s="26" t="str">
        <f t="array" ref="E79">_xlfn.XLOOKUP(
 A79,
 tblTargets[TargetID],
 tblTargets[TargetType],
 ""
)</f>
        <v>BUILDING</v>
      </c>
      <c r="F79" s="26" t="str">
        <f t="array" ref="F79">_xlfn.XLOOKUP(
 A79,
 tblTargets[TargetID],
 tblTargets[StateType],
 ""
)</f>
        <v/>
      </c>
      <c r="G79" s="26">
        <f>LET(
 id,A79,
 depCount,COUNTIF(tblDependencies[TargetID],id),
 objCount,COUNTIF(tblQuestObjectives[QuestTargetID],id),
 depCount+objCount
)</f>
        <v>2</v>
      </c>
      <c r="H79" s="26">
        <f t="shared" si="2"/>
        <v>2</v>
      </c>
      <c r="I79" s="26">
        <f>IFERROR(__xludf.DUMMYFUNCTION("LET(
 id,A79,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79" s="26">
        <f t="shared" si="3"/>
        <v>0</v>
      </c>
      <c r="K79" s="26" t="b">
        <f t="shared" si="4"/>
        <v>0</v>
      </c>
      <c r="L79" s="26">
        <f t="shared" si="5"/>
        <v>2</v>
      </c>
      <c r="M79" s="26" t="str">
        <f>IFERROR(__xludf.DUMMYFUNCTION("LET(
 id,A79,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L79=0,
  """",
  IFERROR(INDEX(incomplete,1),"""")
 "&amp;")
)"),"building.pagoda@1")</f>
        <v>building.pagoda@1</v>
      </c>
      <c r="N79" s="26" t="str">
        <f t="array" ref="N79">IF(
 M79="",
 "",
 _xlfn.XLOOKUP(
  M79,
  tblTargets[TargetID],
  tblTargets[DisplayName],
  M79
 )
)</f>
        <v>Pagoda Lv 1</v>
      </c>
      <c r="O79" s="26" t="str">
        <f>IFERROR(__xludf.DUMMYFUNCTION("SWITCH(
 E79,
 ""BUILDING"",XLOOKUP(A79,tblBuildings[BuildingID],tblBuildings[costtext],""""),
 ""TECH"",XLOOKUP(A79,tblTechnologies[TechnologyID],tblTechnologies[costtext],""""),
 ""QUEST"",XLOOKUP(
  REGEXREPLACE(A79,""\.[^.]+$"",""""),
  tblQuests[Ques"&amp;"tID],
  tblQuests[Costtext],
  """"
 ),
 ""CITADEL"",XLOOKUP(A79,tblCitadel[CitadelID],tblCitadel[costtext],""""),
 ""COLLECTION"",XLOOKUP(A79,tblCollections[CollectionID],tblCollections[costtext],""""),
 ""CRAFTIFACT"",XLOOKUP(A79,tblCraftifacts[Craftifa"&amp;"ctID],tblCraftifacts[costtext],""""),
 """"
)"),"2 ruby,200 coin,200 wood,200 stone,10 chemicals")</f>
        <v>2 ruby,200 coin,200 wood,200 stone,10 chemicals</v>
      </c>
      <c r="P79" s="26" t="str">
        <f t="shared" si="6"/>
        <v>BLOCKED</v>
      </c>
      <c r="Q79" s="26" t="str">
        <f t="shared" si="7"/>
        <v>BLOCKED</v>
      </c>
      <c r="R79" s="26">
        <f t="array" ref="R79">IFERROR(
 _xlfn.XLOOKUP(
  A79,
  tblChecklist[TargetID],
  tblChecklist[PlayerSort],
  ""
 ),
 ""
)</f>
        <v>58</v>
      </c>
      <c r="S79" s="26" t="str">
        <f>IFERROR(__xludf.DUMMYFUNCTION("LET(
 id,A79,
 successorIDs,
  IFERROR(
   UNIQUE(
    FILTER(
     {
      Dependencies!$A$2:$A$1000;
      QuestObjectives!$A$2:$A$1000
     },
     {
      Dependencies!$B$2:$B$1000;
      QuestObjectives!$E$2:$E$1000
     }=id
    )
   ),
   """"
  ),"&amp;"
 names,
  MAP(
   successorIDs,
   LAMBDA(s,
    IF(
     s="""",
     """",
     XLOOKUP(
      s,
      $A$2:$A$1000,
      $B$2:$B$1000,
      s
     )
    )
   )
  ),
 IF(
  successorIDs="""",
  """",
  TEXTJOIN("", "",TRUE,names)
 )
)"),"Pagoda Lv 3")</f>
        <v>Pagoda Lv 3</v>
      </c>
      <c r="T79" s="26" t="str">
        <f t="array" ref="T79">_xlfn.XLOOKUP(
 A79,
 tblTargets[TargetID],
 tblTargets[CompletionMethod],
 ""
)</f>
        <v>PLAYER</v>
      </c>
      <c r="U79" s="84" t="b">
        <f>COUNTIF(tblCost[TargetID],A79)&gt;0</f>
        <v>1</v>
      </c>
      <c r="V79" s="85">
        <f t="array" ref="V79">IF(
 U79=FALSE,
 "",
 _xlfn.XLOOKUP(
  A79,
  tblCost[TargetID],
  tblCost[FundingPercent],
  ""
 )
)</f>
        <v>0</v>
      </c>
      <c r="W79" s="26">
        <f t="array" ref="W79">IF(
 U79=FALSE,
 "",
 _xlfn.XLOOKUP(
  A79,
  tblCost[TargetID],
  tblCost[RemainingRequirements],
  ""
 )
)</f>
        <v>5</v>
      </c>
      <c r="X79" s="45" t="b">
        <f t="array" ref="X79">IF(
 U79=FALSE,
 "N/A",
 _xlfn.XLOOKUP(
  A80,
  tblCost[TargetID],
  tblCost[TargetFunded],
  FALSE
 )
)</f>
        <v>0</v>
      </c>
      <c r="Y79" s="26" t="str">
        <f>IFERROR(__xludf.DUMMYFUNCTION("IFERROR(
 TEXTJOIN(
  "", "",
  TRUE,
  FILTER(
   'cost checklist'!$E$2:$E1000&amp;"": ""&amp;'cost checklist'!$G$2:$G1000,
   'cost checklist'!$B$2:$B1000=A79,
   'cost checklist'!$J$2:$J1000=FALSE
  )
 ),
 """"
)"),"chemicals: 10, coin: 200, ruby: 2, stone: 200, wood: 200")</f>
        <v>chemicals: 10, coin: 200, ruby: 2, stone: 200, wood: 200</v>
      </c>
      <c r="Z79" s="26" t="b">
        <f>IFERROR(__xludf.DUMMYFUNCTION("IF(
 AND(
  E79=""QUEST"",
  RIGHT(A79,9)="".accepted"",
  D79=TRUE
 ),
 XLOOKUP(
  REGEXREPLACE(A79,""\.accepted$"","""")&amp;"".finished"",
  $A$2:$A1000,
  $D$2:$D1000,
  TRUE
 )=FALSE,
 FALSE
)"),FALSE)</f>
        <v>0</v>
      </c>
      <c r="AA79" s="26" t="str">
        <f>IFERROR(__xludf.DUMMYFUNCTION("LET(
 id,A79,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0" ht="14.25" customHeight="1">
      <c r="A80" s="26" t="s">
        <v>372</v>
      </c>
      <c r="B80" s="26" t="str">
        <f t="array" ref="B80">_xlfn.XLOOKUP(
 A80,
 tblTargets[TargetID],
 tblTargets[DisplayName],
 ""
)</f>
        <v>Pagoda Lv 3</v>
      </c>
      <c r="C80" s="26" t="str">
        <f t="shared" si="1"/>
        <v>BLOCKED</v>
      </c>
      <c r="D80" s="26" t="b">
        <f>IFERROR(__xludf.DUMMYFUNCTION("LET(
 id,A80,
 IF(
  F80=""CHARACTER"",
  LET(
   base,REGEXREPLACE(id,""@\d+$"",""""),
   required,VALUE(REGEXEXTRACT(id,""@(\d+)$"")),
   current,XLOOKUP(
    base,
    tblPlayer[PlayerStateID],
    tblPlayer[Value],
    0
   ),
   current&gt;=required
  )"&amp;",
  IF(
   T80=""AUTO"",
   L80=0,
   COUNTIFS(
    tblChecklist[TargetID],id,
    tblChecklist[PlayerCompleted],TRUE
   )&gt;0
  )
 )
)"),FALSE)</f>
        <v>0</v>
      </c>
      <c r="E80" s="26" t="str">
        <f t="array" ref="E80">_xlfn.XLOOKUP(
 A80,
 tblTargets[TargetID],
 tblTargets[TargetType],
 ""
)</f>
        <v>BUILDING</v>
      </c>
      <c r="F80" s="26" t="str">
        <f t="array" ref="F80">_xlfn.XLOOKUP(
 A80,
 tblTargets[TargetID],
 tblTargets[StateType],
 ""
)</f>
        <v/>
      </c>
      <c r="G80" s="26">
        <f>LET(
 id,A80,
 depCount,COUNTIF(tblDependencies[TargetID],id),
 objCount,COUNTIF(tblQuestObjectives[QuestTargetID],id),
 depCount+objCount
)</f>
        <v>2</v>
      </c>
      <c r="H80" s="26">
        <f t="shared" si="2"/>
        <v>2</v>
      </c>
      <c r="I80" s="26">
        <f>IFERROR(__xludf.DUMMYFUNCTION("LET(
 id,A80,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0" s="26">
        <f t="shared" si="3"/>
        <v>0</v>
      </c>
      <c r="K80" s="26" t="b">
        <f t="shared" si="4"/>
        <v>0</v>
      </c>
      <c r="L80" s="26">
        <f t="shared" si="5"/>
        <v>2</v>
      </c>
      <c r="M80" s="26" t="str">
        <f>IFERROR(__xludf.DUMMYFUNCTION("LET(
 id,A80,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L80=0,
  """",
  IFERROR(INDEX(incomplete,1),"""")
 "&amp;")
)"),"building.pagoda@2")</f>
        <v>building.pagoda@2</v>
      </c>
      <c r="N80" s="26" t="str">
        <f t="array" ref="N80">IF(
 M80="",
 "",
 _xlfn.XLOOKUP(
  M80,
  tblTargets[TargetID],
  tblTargets[DisplayName],
  M80
 )
)</f>
        <v>Pagoda Lv 2</v>
      </c>
      <c r="O80" s="26" t="str">
        <f>IFERROR(__xludf.DUMMYFUNCTION("SWITCH(
 E80,
 ""BUILDING"",XLOOKUP(A80,tblBuildings[BuildingID],tblBuildings[costtext],""""),
 ""TECH"",XLOOKUP(A80,tblTechnologies[TechnologyID],tblTechnologies[costtext],""""),
 ""QUEST"",XLOOKUP(
  REGEXREPLACE(A80,""\.[^.]+$"",""""),
  tblQuests[Ques"&amp;"tID],
  tblQuests[Costtext],
  """"
 ),
 ""CITADEL"",XLOOKUP(A80,tblCitadel[CitadelID],tblCitadel[costtext],""""),
 ""COLLECTION"",XLOOKUP(A80,tblCollections[CollectionID],tblCollections[costtext],""""),
 ""CRAFTIFACT"",XLOOKUP(A80,tblCraftifacts[Craftifa"&amp;"ctID],tblCraftifacts[costtext],""""),
 """"
)"),"4 ruby,300 coin,600 beam,300 stone,50 steel")</f>
        <v>4 ruby,300 coin,600 beam,300 stone,50 steel</v>
      </c>
      <c r="P80" s="26" t="str">
        <f t="shared" si="6"/>
        <v>BLOCKED</v>
      </c>
      <c r="Q80" s="26" t="str">
        <f t="shared" si="7"/>
        <v>BLOCKED</v>
      </c>
      <c r="R80" s="26">
        <f t="array" ref="R80">IFERROR(
 _xlfn.XLOOKUP(
  A80,
  tblChecklist[TargetID],
  tblChecklist[PlayerSort],
  ""
 ),
 ""
)</f>
        <v>59</v>
      </c>
      <c r="S80" s="26" t="str">
        <f>IFERROR(__xludf.DUMMYFUNCTION("LET(
 id,A80,
 successorIDs,
  IFERROR(
   UNIQUE(
    FILTER(
     {
      Dependencies!$A$2:$A$1000;
      QuestObjectives!$A$2:$A$1000
     },
     {
      Dependencies!$B$2:$B$1000;
      QuestObjectives!$E$2:$E$1000
     }=id
    )
   ),
   """"
  ),"&amp;"
 names,
  MAP(
   successorIDs,
   LAMBDA(s,
    IF(
     s="""",
     """",
     XLOOKUP(
      s,
      $A$2:$A$1000,
      $B$2:$B$1000,
      s
     )
    )
   )
  ),
 IF(
  successorIDs="""",
  """",
  TEXTJOIN("", "",TRUE,names)
 )
)"),"Pagoda Lv 4")</f>
        <v>Pagoda Lv 4</v>
      </c>
      <c r="T80" s="26" t="str">
        <f t="array" ref="T80">_xlfn.XLOOKUP(
 A80,
 tblTargets[TargetID],
 tblTargets[CompletionMethod],
 ""
)</f>
        <v>PLAYER</v>
      </c>
      <c r="U80" s="84" t="b">
        <f>COUNTIF(tblCost[TargetID],A80)&gt;0</f>
        <v>1</v>
      </c>
      <c r="V80" s="85">
        <f t="array" ref="V80">IF(
 U80=FALSE,
 "",
 _xlfn.XLOOKUP(
  A80,
  tblCost[TargetID],
  tblCost[FundingPercent],
  ""
 )
)</f>
        <v>0</v>
      </c>
      <c r="W80" s="26">
        <f t="array" ref="W80">IF(
 U80=FALSE,
 "",
 _xlfn.XLOOKUP(
  A80,
  tblCost[TargetID],
  tblCost[RemainingRequirements],
  ""
 )
)</f>
        <v>5</v>
      </c>
      <c r="X80" s="45" t="b">
        <f t="array" ref="X80">IF(
 U80=FALSE,
 "N/A",
 _xlfn.XLOOKUP(
  A81,
  tblCost[TargetID],
  tblCost[TargetFunded],
  FALSE
 )
)</f>
        <v>0</v>
      </c>
      <c r="Y80" s="26" t="str">
        <f>IFERROR(__xludf.DUMMYFUNCTION("IFERROR(
 TEXTJOIN(
  "", "",
  TRUE,
  FILTER(
   'cost checklist'!$E$2:$E1000&amp;"": ""&amp;'cost checklist'!$G$2:$G1000,
   'cost checklist'!$B$2:$B1000=A80,
   'cost checklist'!$J$2:$J1000=FALSE
  )
 ),
 """"
)"),"beam: 600, coin: 300, ruby: 4, steel: 50, stone: 300")</f>
        <v>beam: 600, coin: 300, ruby: 4, steel: 50, stone: 300</v>
      </c>
      <c r="Z80" s="26" t="b">
        <f>IFERROR(__xludf.DUMMYFUNCTION("IF(
 AND(
  E80=""QUEST"",
  RIGHT(A80,9)="".accepted"",
  D80=TRUE
 ),
 XLOOKUP(
  REGEXREPLACE(A80,""\.accepted$"","""")&amp;"".finished"",
  $A$2:$A1000,
  $D$2:$D1000,
  TRUE
 )=FALSE,
 FALSE
)"),FALSE)</f>
        <v>0</v>
      </c>
      <c r="AA80" s="26" t="str">
        <f>IFERROR(__xludf.DUMMYFUNCTION("LET(
 id,A80,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1" ht="14.25" customHeight="1">
      <c r="A81" s="26" t="s">
        <v>374</v>
      </c>
      <c r="B81" s="26" t="str">
        <f t="array" ref="B81">_xlfn.XLOOKUP(
 A81,
 tblTargets[TargetID],
 tblTargets[DisplayName],
 ""
)</f>
        <v>Pagoda Lv 4</v>
      </c>
      <c r="C81" s="26" t="str">
        <f t="shared" si="1"/>
        <v>BLOCKED</v>
      </c>
      <c r="D81" s="26" t="b">
        <f>IFERROR(__xludf.DUMMYFUNCTION("LET(
 id,A81,
 IF(
  F81=""CHARACTER"",
  LET(
   base,REGEXREPLACE(id,""@\d+$"",""""),
   required,VALUE(REGEXEXTRACT(id,""@(\d+)$"")),
   current,XLOOKUP(
    base,
    tblPlayer[PlayerStateID],
    tblPlayer[Value],
    0
   ),
   current&gt;=required
  )"&amp;",
  IF(
   T81=""AUTO"",
   L81=0,
   COUNTIFS(
    tblChecklist[TargetID],id,
    tblChecklist[PlayerCompleted],TRUE
   )&gt;0
  )
 )
)"),FALSE)</f>
        <v>0</v>
      </c>
      <c r="E81" s="26" t="str">
        <f t="array" ref="E81">_xlfn.XLOOKUP(
 A81,
 tblTargets[TargetID],
 tblTargets[TargetType],
 ""
)</f>
        <v>BUILDING</v>
      </c>
      <c r="F81" s="26" t="str">
        <f t="array" ref="F81">_xlfn.XLOOKUP(
 A81,
 tblTargets[TargetID],
 tblTargets[StateType],
 ""
)</f>
        <v/>
      </c>
      <c r="G81" s="26">
        <f>LET(
 id,A81,
 depCount,COUNTIF(tblDependencies[TargetID],id),
 objCount,COUNTIF(tblQuestObjectives[QuestTargetID],id),
 depCount+objCount
)</f>
        <v>2</v>
      </c>
      <c r="H81" s="26">
        <f t="shared" si="2"/>
        <v>2</v>
      </c>
      <c r="I81" s="26">
        <f>IFERROR(__xludf.DUMMYFUNCTION("LET(
 id,A81,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1" s="26">
        <f t="shared" si="3"/>
        <v>0</v>
      </c>
      <c r="K81" s="26" t="b">
        <f t="shared" si="4"/>
        <v>0</v>
      </c>
      <c r="L81" s="26">
        <f t="shared" si="5"/>
        <v>2</v>
      </c>
      <c r="M81" s="26" t="str">
        <f>IFERROR(__xludf.DUMMYFUNCTION("LET(
 id,A81,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L81=0,
  """",
  IFERROR(INDEX(incomplete,1),"""")
 "&amp;")
)"),"building.pagoda@3")</f>
        <v>building.pagoda@3</v>
      </c>
      <c r="N81" s="26" t="str">
        <f t="array" ref="N81">IF(
 M81="",
 "",
 _xlfn.XLOOKUP(
  M81,
  tblTargets[TargetID],
  tblTargets[DisplayName],
  M81
 )
)</f>
        <v>Pagoda Lv 3</v>
      </c>
      <c r="O81" s="26" t="str">
        <f>IFERROR(__xludf.DUMMYFUNCTION("SWITCH(
 E81,
 ""BUILDING"",XLOOKUP(A81,tblBuildings[BuildingID],tblBuildings[costtext],""""),
 ""TECH"",XLOOKUP(A81,tblTechnologies[TechnologyID],tblTechnologies[costtext],""""),
 ""QUEST"",XLOOKUP(
  REGEXREPLACE(A81,""\.[^.]+$"",""""),
  tblQuests[Ques"&amp;"tID],
  tblQuests[Costtext],
  """"
 ),
 ""CITADEL"",XLOOKUP(A81,tblCitadel[CitadelID],tblCitadel[costtext],""""),
 ""COLLECTION"",XLOOKUP(A81,tblCollections[CollectionID],tblCollections[costtext],""""),
 ""CRAFTIFACT"",XLOOKUP(A81,tblCraftifacts[Craftifa"&amp;"ctID],tblCraftifacts[costtext],""""),
 """"
)"),"6 ruby,350 coin,700 beam,350 stone,30 fan")</f>
        <v>6 ruby,350 coin,700 beam,350 stone,30 fan</v>
      </c>
      <c r="P81" s="26" t="str">
        <f t="shared" si="6"/>
        <v>BLOCKED</v>
      </c>
      <c r="Q81" s="26" t="str">
        <f t="shared" si="7"/>
        <v>BLOCKED</v>
      </c>
      <c r="R81" s="26">
        <f t="array" ref="R81">IFERROR(
 _xlfn.XLOOKUP(
  A81,
  tblChecklist[TargetID],
  tblChecklist[PlayerSort],
  ""
 ),
 ""
)</f>
        <v>60</v>
      </c>
      <c r="S81" s="26" t="str">
        <f>IFERROR(__xludf.DUMMYFUNCTION("LET(
 id,A81,
 successorIDs,
  IFERROR(
   UNIQUE(
    FILTER(
     {
      Dependencies!$A$2:$A$1000;
      QuestObjectives!$A$2:$A$1000
     },
     {
      Dependencies!$B$2:$B$1000;
      QuestObjectives!$E$2:$E$1000
     }=id
    )
   ),
   """"
  ),"&amp;"
 names,
  MAP(
   successorIDs,
   LAMBDA(s,
    IF(
     s="""",
     """",
     XLOOKUP(
      s,
      $A$2:$A$1000,
      $B$2:$B$1000,
      s
     )
    )
   )
  ),
 IF(
  successorIDs="""",
  """",
  TEXTJOIN("", "",TRUE,names)
 )
)"),"Pagoda Lv 5")</f>
        <v>Pagoda Lv 5</v>
      </c>
      <c r="T81" s="26" t="str">
        <f t="array" ref="T81">_xlfn.XLOOKUP(
 A81,
 tblTargets[TargetID],
 tblTargets[CompletionMethod],
 ""
)</f>
        <v>PLAYER</v>
      </c>
      <c r="U81" s="84" t="b">
        <f>COUNTIF(tblCost[TargetID],A81)&gt;0</f>
        <v>1</v>
      </c>
      <c r="V81" s="85">
        <f t="array" ref="V81">IF(
 U81=FALSE,
 "",
 _xlfn.XLOOKUP(
  A81,
  tblCost[TargetID],
  tblCost[FundingPercent],
  ""
 )
)</f>
        <v>0</v>
      </c>
      <c r="W81" s="26">
        <f t="array" ref="W81">IF(
 U81=FALSE,
 "",
 _xlfn.XLOOKUP(
  A81,
  tblCost[TargetID],
  tblCost[RemainingRequirements],
  ""
 )
)</f>
        <v>5</v>
      </c>
      <c r="X81" s="45" t="b">
        <f t="array" ref="X81">IF(
 U81=FALSE,
 "N/A",
 _xlfn.XLOOKUP(
  A82,
  tblCost[TargetID],
  tblCost[TargetFunded],
  FALSE
 )
)</f>
        <v>0</v>
      </c>
      <c r="Y81" s="26" t="str">
        <f>IFERROR(__xludf.DUMMYFUNCTION("IFERROR(
 TEXTJOIN(
  "", "",
  TRUE,
  FILTER(
   'cost checklist'!$E$2:$E1000&amp;"": ""&amp;'cost checklist'!$G$2:$G1000,
   'cost checklist'!$B$2:$B1000=A81,
   'cost checklist'!$J$2:$J1000=FALSE
  )
 ),
 """"
)"),"beam: 700, coin: 350, fan: 30, ruby: 6, stone: 350")</f>
        <v>beam: 700, coin: 350, fan: 30, ruby: 6, stone: 350</v>
      </c>
      <c r="Z81" s="26" t="b">
        <f>IFERROR(__xludf.DUMMYFUNCTION("IF(
 AND(
  E81=""QUEST"",
  RIGHT(A81,9)="".accepted"",
  D81=TRUE
 ),
 XLOOKUP(
  REGEXREPLACE(A81,""\.accepted$"","""")&amp;"".finished"",
  $A$2:$A1000,
  $D$2:$D1000,
  TRUE
 )=FALSE,
 FALSE
)"),FALSE)</f>
        <v>0</v>
      </c>
      <c r="AA81" s="26" t="str">
        <f>IFERROR(__xludf.DUMMYFUNCTION("LET(
 id,A81,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2" ht="14.25" customHeight="1">
      <c r="A82" s="26" t="s">
        <v>376</v>
      </c>
      <c r="B82" s="26" t="str">
        <f t="array" ref="B82">_xlfn.XLOOKUP(
 A82,
 tblTargets[TargetID],
 tblTargets[DisplayName],
 ""
)</f>
        <v>Pagoda Lv 5</v>
      </c>
      <c r="C82" s="26" t="str">
        <f t="shared" si="1"/>
        <v>BLOCKED</v>
      </c>
      <c r="D82" s="26" t="b">
        <f>IFERROR(__xludf.DUMMYFUNCTION("LET(
 id,A82,
 IF(
  F82=""CHARACTER"",
  LET(
   base,REGEXREPLACE(id,""@\d+$"",""""),
   required,VALUE(REGEXEXTRACT(id,""@(\d+)$"")),
   current,XLOOKUP(
    base,
    tblPlayer[PlayerStateID],
    tblPlayer[Value],
    0
   ),
   current&gt;=required
  )"&amp;",
  IF(
   T82=""AUTO"",
   L82=0,
   COUNTIFS(
    tblChecklist[TargetID],id,
    tblChecklist[PlayerCompleted],TRUE
   )&gt;0
  )
 )
)"),FALSE)</f>
        <v>0</v>
      </c>
      <c r="E82" s="26" t="str">
        <f t="array" ref="E82">_xlfn.XLOOKUP(
 A82,
 tblTargets[TargetID],
 tblTargets[TargetType],
 ""
)</f>
        <v>BUILDING</v>
      </c>
      <c r="F82" s="26" t="str">
        <f t="array" ref="F82">_xlfn.XLOOKUP(
 A82,
 tblTargets[TargetID],
 tblTargets[StateType],
 ""
)</f>
        <v/>
      </c>
      <c r="G82" s="26">
        <f>LET(
 id,A82,
 depCount,COUNTIF(tblDependencies[TargetID],id),
 objCount,COUNTIF(tblQuestObjectives[QuestTargetID],id),
 depCount+objCount
)</f>
        <v>2</v>
      </c>
      <c r="H82" s="26">
        <f t="shared" si="2"/>
        <v>2</v>
      </c>
      <c r="I82" s="26">
        <f>IFERROR(__xludf.DUMMYFUNCTION("LET(
 id,A82,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2" s="26">
        <f t="shared" si="3"/>
        <v>0</v>
      </c>
      <c r="K82" s="26" t="b">
        <f t="shared" si="4"/>
        <v>0</v>
      </c>
      <c r="L82" s="26">
        <f t="shared" si="5"/>
        <v>2</v>
      </c>
      <c r="M82" s="26" t="str">
        <f>IFERROR(__xludf.DUMMYFUNCTION("LET(
 id,A82,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L82=0,
  """",
  IFERROR(INDEX(incomplete,1),"""")
 "&amp;")
)"),"building.pagoda@4")</f>
        <v>building.pagoda@4</v>
      </c>
      <c r="N82" s="26" t="str">
        <f t="array" ref="N82">IF(
 M82="",
 "",
 _xlfn.XLOOKUP(
  M82,
  tblTargets[TargetID],
  tblTargets[DisplayName],
  M82
 )
)</f>
        <v>Pagoda Lv 4</v>
      </c>
      <c r="O82" s="26" t="str">
        <f>IFERROR(__xludf.DUMMYFUNCTION("SWITCH(
 E82,
 ""BUILDING"",XLOOKUP(A82,tblBuildings[BuildingID],tblBuildings[costtext],""""),
 ""TECH"",XLOOKUP(A82,tblTechnologies[TechnologyID],tblTechnologies[costtext],""""),
 ""QUEST"",XLOOKUP(
  REGEXREPLACE(A82,""\.[^.]+$"",""""),
  tblQuests[Ques"&amp;"tID],
  tblQuests[Costtext],
  """"
 ),
 ""CITADEL"",XLOOKUP(A82,tblCitadel[CitadelID],tblCitadel[costtext],""""),
 ""COLLECTION"",XLOOKUP(A82,tblCollections[CollectionID],tblCollections[costtext],""""),
 ""CRAFTIFACT"",XLOOKUP(A82,tblCraftifacts[Craftifa"&amp;"ctID],tblCraftifacts[costtext],""""),
 """"
)"),"8 ruby,400 coin,800 beam,400 stone,30 katana")</f>
        <v>8 ruby,400 coin,800 beam,400 stone,30 katana</v>
      </c>
      <c r="P82" s="26" t="str">
        <f t="shared" si="6"/>
        <v>BLOCKED</v>
      </c>
      <c r="Q82" s="26" t="str">
        <f t="shared" si="7"/>
        <v>BLOCKED</v>
      </c>
      <c r="R82" s="26">
        <f t="array" ref="R82">IFERROR(
 _xlfn.XLOOKUP(
  A82,
  tblChecklist[TargetID],
  tblChecklist[PlayerSort],
  ""
 ),
 ""
)</f>
        <v>61</v>
      </c>
      <c r="S82" s="26" t="str">
        <f>IFERROR(__xludf.DUMMYFUNCTION("LET(
 id,A82,
 successorIDs,
  IFERROR(
   UNIQUE(
    FILTER(
     {
      Dependencies!$A$2:$A$1000;
      QuestObjectives!$A$2:$A$1000
     },
     {
      Dependencies!$B$2:$B$1000;
      QuestObjectives!$E$2:$E$1000
     }=id
    )
   ),
   """"
  ),"&amp;"
 names,
  MAP(
   successorIDs,
   LAMBDA(s,
    IF(
     s="""",
     """",
     XLOOKUP(
      s,
      $A$2:$A$1000,
      $B$2:$B$1000,
      s
     )
    )
   )
  ),
 IF(
  successorIDs="""",
  """",
  TEXTJOIN("", "",TRUE,names)
 )
)"),"Pagoda Lv 6")</f>
        <v>Pagoda Lv 6</v>
      </c>
      <c r="T82" s="26" t="str">
        <f t="array" ref="T82">_xlfn.XLOOKUP(
 A82,
 tblTargets[TargetID],
 tblTargets[CompletionMethod],
 ""
)</f>
        <v>PLAYER</v>
      </c>
      <c r="U82" s="84" t="b">
        <f>COUNTIF(tblCost[TargetID],A82)&gt;0</f>
        <v>1</v>
      </c>
      <c r="V82" s="85">
        <f t="array" ref="V82">IF(
 U82=FALSE,
 "",
 _xlfn.XLOOKUP(
  A82,
  tblCost[TargetID],
  tblCost[FundingPercent],
  ""
 )
)</f>
        <v>0</v>
      </c>
      <c r="W82" s="26">
        <f t="array" ref="W82">IF(
 U82=FALSE,
 "",
 _xlfn.XLOOKUP(
  A82,
  tblCost[TargetID],
  tblCost[RemainingRequirements],
  ""
 )
)</f>
        <v>5</v>
      </c>
      <c r="X82" s="45" t="b">
        <f t="array" ref="X82">IF(
 U82=FALSE,
 "N/A",
 _xlfn.XLOOKUP(
  A83,
  tblCost[TargetID],
  tblCost[TargetFunded],
  FALSE
 )
)</f>
        <v>0</v>
      </c>
      <c r="Y82" s="26" t="str">
        <f>IFERROR(__xludf.DUMMYFUNCTION("IFERROR(
 TEXTJOIN(
  "", "",
  TRUE,
  FILTER(
   'cost checklist'!$E$2:$E1000&amp;"": ""&amp;'cost checklist'!$G$2:$G1000,
   'cost checklist'!$B$2:$B1000=A82,
   'cost checklist'!$J$2:$J1000=FALSE
  )
 ),
 """"
)"),"beam: 800, coin: 400, katana: 30, ruby: 8, stone: 400")</f>
        <v>beam: 800, coin: 400, katana: 30, ruby: 8, stone: 400</v>
      </c>
      <c r="Z82" s="26" t="b">
        <f>IFERROR(__xludf.DUMMYFUNCTION("IF(
 AND(
  E82=""QUEST"",
  RIGHT(A82,9)="".accepted"",
  D82=TRUE
 ),
 XLOOKUP(
  REGEXREPLACE(A82,""\.accepted$"","""")&amp;"".finished"",
  $A$2:$A1000,
  $D$2:$D1000,
  TRUE
 )=FALSE,
 FALSE
)"),FALSE)</f>
        <v>0</v>
      </c>
      <c r="AA82" s="26" t="str">
        <f>IFERROR(__xludf.DUMMYFUNCTION("LET(
 id,A82,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3" ht="14.25" customHeight="1">
      <c r="A83" s="26" t="s">
        <v>378</v>
      </c>
      <c r="B83" s="26" t="str">
        <f t="array" ref="B83">_xlfn.XLOOKUP(
 A83,
 tblTargets[TargetID],
 tblTargets[DisplayName],
 ""
)</f>
        <v>Pagoda Lv 6</v>
      </c>
      <c r="C83" s="26" t="str">
        <f t="shared" si="1"/>
        <v>BLOCKED</v>
      </c>
      <c r="D83" s="26" t="b">
        <f>IFERROR(__xludf.DUMMYFUNCTION("LET(
 id,A83,
 IF(
  F83=""CHARACTER"",
  LET(
   base,REGEXREPLACE(id,""@\d+$"",""""),
   required,VALUE(REGEXEXTRACT(id,""@(\d+)$"")),
   current,XLOOKUP(
    base,
    tblPlayer[PlayerStateID],
    tblPlayer[Value],
    0
   ),
   current&gt;=required
  )"&amp;",
  IF(
   T83=""AUTO"",
   L83=0,
   COUNTIFS(
    tblChecklist[TargetID],id,
    tblChecklist[PlayerCompleted],TRUE
   )&gt;0
  )
 )
)"),FALSE)</f>
        <v>0</v>
      </c>
      <c r="E83" s="26" t="str">
        <f t="array" ref="E83">_xlfn.XLOOKUP(
 A83,
 tblTargets[TargetID],
 tblTargets[TargetType],
 ""
)</f>
        <v>BUILDING</v>
      </c>
      <c r="F83" s="26" t="str">
        <f t="array" ref="F83">_xlfn.XLOOKUP(
 A83,
 tblTargets[TargetID],
 tblTargets[StateType],
 ""
)</f>
        <v/>
      </c>
      <c r="G83" s="26">
        <f>LET(
 id,A83,
 depCount,COUNTIF(tblDependencies[TargetID],id),
 objCount,COUNTIF(tblQuestObjectives[QuestTargetID],id),
 depCount+objCount
)</f>
        <v>2</v>
      </c>
      <c r="H83" s="26">
        <f t="shared" si="2"/>
        <v>2</v>
      </c>
      <c r="I83" s="26">
        <f>IFERROR(__xludf.DUMMYFUNCTION("LET(
 id,A83,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3" s="26">
        <f t="shared" si="3"/>
        <v>0</v>
      </c>
      <c r="K83" s="26" t="b">
        <f t="shared" si="4"/>
        <v>0</v>
      </c>
      <c r="L83" s="26">
        <f t="shared" si="5"/>
        <v>2</v>
      </c>
      <c r="M83" s="26" t="str">
        <f>IFERROR(__xludf.DUMMYFUNCTION("LET(
 id,A83,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L83=0,
  """",
  IFERROR(INDEX(incomplete,1),"""")
 "&amp;")
)"),"building.pagoda@5")</f>
        <v>building.pagoda@5</v>
      </c>
      <c r="N83" s="26" t="str">
        <f t="array" ref="N83">IF(
 M83="",
 "",
 _xlfn.XLOOKUP(
  M83,
  tblTargets[TargetID],
  tblTargets[DisplayName],
  M83
 )
)</f>
        <v>Pagoda Lv 5</v>
      </c>
      <c r="O83" s="26" t="str">
        <f>IFERROR(__xludf.DUMMYFUNCTION("SWITCH(
 E83,
 ""BUILDING"",XLOOKUP(A83,tblBuildings[BuildingID],tblBuildings[costtext],""""),
 ""TECH"",XLOOKUP(A83,tblTechnologies[TechnologyID],tblTechnologies[costtext],""""),
 ""QUEST"",XLOOKUP(
  REGEXREPLACE(A83,""\.[^.]+$"",""""),
  tblQuests[Ques"&amp;"tID],
  tblQuests[Costtext],
  """"
 ),
 ""CITADEL"",XLOOKUP(A83,tblCitadel[CitadelID],tblCitadel[costtext],""""),
 ""COLLECTION"",XLOOKUP(A83,tblCollections[CollectionID],tblCollections[costtext],""""),
 ""CRAFTIFACT"",XLOOKUP(A83,tblCraftifacts[Craftifa"&amp;"ctID],tblCraftifacts[costtext],""""),
 """"
)"),"10 ruby,450 coin,900 beam,450 stone,5 ingot,5 spices")</f>
        <v>10 ruby,450 coin,900 beam,450 stone,5 ingot,5 spices</v>
      </c>
      <c r="P83" s="26" t="str">
        <f t="shared" si="6"/>
        <v>BLOCKED</v>
      </c>
      <c r="Q83" s="26" t="str">
        <f t="shared" si="7"/>
        <v>BLOCKED</v>
      </c>
      <c r="R83" s="26">
        <f t="array" ref="R83">IFERROR(
 _xlfn.XLOOKUP(
  A83,
  tblChecklist[TargetID],
  tblChecklist[PlayerSort],
  ""
 ),
 ""
)</f>
        <v>62</v>
      </c>
      <c r="S83" s="26" t="str">
        <f>IFERROR(__xludf.DUMMYFUNCTION("LET(
 id,A83,
 successorIDs,
  IFERROR(
   UNIQUE(
    FILTER(
     {
      Dependencies!$A$2:$A$1000;
      QuestObjectives!$A$2:$A$1000
     },
     {
      Dependencies!$B$2:$B$1000;
      QuestObjectives!$E$2:$E$1000
     }=id
    )
   ),
   """"
  ),"&amp;"
 names,
  MAP(
   successorIDs,
   LAMBDA(s,
    IF(
     s="""",
     """",
     XLOOKUP(
      s,
      $A$2:$A$1000,
      $B$2:$B$1000,
      s
     )
    )
   )
  ),
 IF(
  successorIDs="""",
  """",
  TEXTJOIN("", "",TRUE,names)
 )
)"),"Pagoda Lv 7")</f>
        <v>Pagoda Lv 7</v>
      </c>
      <c r="T83" s="26" t="str">
        <f t="array" ref="T83">_xlfn.XLOOKUP(
 A83,
 tblTargets[TargetID],
 tblTargets[CompletionMethod],
 ""
)</f>
        <v>PLAYER</v>
      </c>
      <c r="U83" s="84" t="b">
        <f>COUNTIF(tblCost[TargetID],A83)&gt;0</f>
        <v>1</v>
      </c>
      <c r="V83" s="85">
        <f t="array" ref="V83">IF(
 U83=FALSE,
 "",
 _xlfn.XLOOKUP(
  A83,
  tblCost[TargetID],
  tblCost[FundingPercent],
  ""
 )
)</f>
        <v>0</v>
      </c>
      <c r="W83" s="26">
        <f t="array" ref="W83">IF(
 U83=FALSE,
 "",
 _xlfn.XLOOKUP(
  A83,
  tblCost[TargetID],
  tblCost[RemainingRequirements],
  ""
 )
)</f>
        <v>6</v>
      </c>
      <c r="X83" s="45" t="b">
        <f t="array" ref="X83">IF(
 U83=FALSE,
 "N/A",
 _xlfn.XLOOKUP(
  A84,
  tblCost[TargetID],
  tblCost[TargetFunded],
  FALSE
 )
)</f>
        <v>0</v>
      </c>
      <c r="Y83" s="26" t="str">
        <f>IFERROR(__xludf.DUMMYFUNCTION("IFERROR(
 TEXTJOIN(
  "", "",
  TRUE,
  FILTER(
   'cost checklist'!$E$2:$E1000&amp;"": ""&amp;'cost checklist'!$G$2:$G1000,
   'cost checklist'!$B$2:$B1000=A83,
   'cost checklist'!$J$2:$J1000=FALSE
  )
 ),
 """"
)"),"beam: 900, coin: 450, ingot: 5, ruby: 10, spices: 5, stone: 450")</f>
        <v>beam: 900, coin: 450, ingot: 5, ruby: 10, spices: 5, stone: 450</v>
      </c>
      <c r="Z83" s="26" t="b">
        <f>IFERROR(__xludf.DUMMYFUNCTION("IF(
 AND(
  E83=""QUEST"",
  RIGHT(A83,9)="".accepted"",
  D83=TRUE
 ),
 XLOOKUP(
  REGEXREPLACE(A83,""\.accepted$"","""")&amp;"".finished"",
  $A$2:$A1000,
  $D$2:$D1000,
  TRUE
 )=FALSE,
 FALSE
)"),FALSE)</f>
        <v>0</v>
      </c>
      <c r="AA83" s="26" t="str">
        <f>IFERROR(__xludf.DUMMYFUNCTION("LET(
 id,A83,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4" ht="14.25" customHeight="1">
      <c r="A84" s="26" t="s">
        <v>381</v>
      </c>
      <c r="B84" s="26" t="str">
        <f t="array" ref="B84">_xlfn.XLOOKUP(
 A84,
 tblTargets[TargetID],
 tblTargets[DisplayName],
 ""
)</f>
        <v>Pagoda Lv 7</v>
      </c>
      <c r="C84" s="26" t="str">
        <f t="shared" si="1"/>
        <v>BLOCKED</v>
      </c>
      <c r="D84" s="26" t="b">
        <f>IFERROR(__xludf.DUMMYFUNCTION("LET(
 id,A84,
 IF(
  F84=""CHARACTER"",
  LET(
   base,REGEXREPLACE(id,""@\d+$"",""""),
   required,VALUE(REGEXEXTRACT(id,""@(\d+)$"")),
   current,XLOOKUP(
    base,
    tblPlayer[PlayerStateID],
    tblPlayer[Value],
    0
   ),
   current&gt;=required
  )"&amp;",
  IF(
   T84=""AUTO"",
   L84=0,
   COUNTIFS(
    tblChecklist[TargetID],id,
    tblChecklist[PlayerCompleted],TRUE
   )&gt;0
  )
 )
)"),FALSE)</f>
        <v>0</v>
      </c>
      <c r="E84" s="26" t="str">
        <f t="array" ref="E84">_xlfn.XLOOKUP(
 A84,
 tblTargets[TargetID],
 tblTargets[TargetType],
 ""
)</f>
        <v>BUILDING</v>
      </c>
      <c r="F84" s="26" t="str">
        <f t="array" ref="F84">_xlfn.XLOOKUP(
 A84,
 tblTargets[TargetID],
 tblTargets[StateType],
 ""
)</f>
        <v/>
      </c>
      <c r="G84" s="26">
        <f>LET(
 id,A84,
 depCount,COUNTIF(tblDependencies[TargetID],id),
 objCount,COUNTIF(tblQuestObjectives[QuestTargetID],id),
 depCount+objCount
)</f>
        <v>2</v>
      </c>
      <c r="H84" s="26">
        <f t="shared" si="2"/>
        <v>2</v>
      </c>
      <c r="I84" s="26">
        <f>IFERROR(__xludf.DUMMYFUNCTION("LET(
 id,A84,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4" s="26">
        <f t="shared" si="3"/>
        <v>0</v>
      </c>
      <c r="K84" s="26" t="b">
        <f t="shared" si="4"/>
        <v>0</v>
      </c>
      <c r="L84" s="26">
        <f t="shared" si="5"/>
        <v>2</v>
      </c>
      <c r="M84" s="26" t="str">
        <f>IFERROR(__xludf.DUMMYFUNCTION("LET(
 id,A84,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L84=0,
  """",
  IFERROR(INDEX(incomplete,1),"""")
 "&amp;")
)"),"building.pagoda@6")</f>
        <v>building.pagoda@6</v>
      </c>
      <c r="N84" s="26" t="str">
        <f t="array" ref="N84">IF(
 M84="",
 "",
 _xlfn.XLOOKUP(
  M84,
  tblTargets[TargetID],
  tblTargets[DisplayName],
  M84
 )
)</f>
        <v>Pagoda Lv 6</v>
      </c>
      <c r="O84" s="26" t="str">
        <f>IFERROR(__xludf.DUMMYFUNCTION("SWITCH(
 E84,
 ""BUILDING"",XLOOKUP(A84,tblBuildings[BuildingID],tblBuildings[costtext],""""),
 ""TECH"",XLOOKUP(A84,tblTechnologies[TechnologyID],tblTechnologies[costtext],""""),
 ""QUEST"",XLOOKUP(
  REGEXREPLACE(A84,""\.[^.]+$"",""""),
  tblQuests[Ques"&amp;"tID],
  tblQuests[Costtext],
  """"
 ),
 ""CITADEL"",XLOOKUP(A84,tblCitadel[CitadelID],tblCitadel[costtext],""""),
 ""COLLECTION"",XLOOKUP(A84,tblCollections[CollectionID],tblCollections[costtext],""""),
 ""CRAFTIFACT"",XLOOKUP(A84,tblCraftifacts[Craftifa"&amp;"ctID],tblCraftifacts[costtext],""""),
 """"
)"),"15 ruby,500 coin,1000 beam,500 stone,3 treasure,5 pearl,5 silk,1 scroll")</f>
        <v>15 ruby,500 coin,1000 beam,500 stone,3 treasure,5 pearl,5 silk,1 scroll</v>
      </c>
      <c r="P84" s="26" t="str">
        <f t="shared" si="6"/>
        <v>BLOCKED</v>
      </c>
      <c r="Q84" s="26" t="str">
        <f t="shared" si="7"/>
        <v>BLOCKED</v>
      </c>
      <c r="R84" s="26">
        <f t="array" ref="R84">IFERROR(
 _xlfn.XLOOKUP(
  A84,
  tblChecklist[TargetID],
  tblChecklist[PlayerSort],
  ""
 ),
 ""
)</f>
        <v>63</v>
      </c>
      <c r="S84" s="26" t="str">
        <f>IFERROR(__xludf.DUMMYFUNCTION("LET(
 id,A84,
 successorIDs,
  IFERROR(
   UNIQUE(
    FILTER(
     {
      Dependencies!$A$2:$A$1000;
      QuestObjectives!$A$2:$A$1000
     },
     {
      Dependencies!$B$2:$B$1000;
      QuestObjectives!$E$2:$E$1000
     }=id
    )
   ),
   """"
  ),"&amp;"
 names,
  MAP(
   successorIDs,
   LAMBDA(s,
    IF(
     s="""",
     """",
     XLOOKUP(
      s,
      $A$2:$A$1000,
      $B$2:$B$1000,
      s
     )
    )
   )
  ),
 IF(
  successorIDs="""",
  """",
  TEXTJOIN("", "",TRUE,names)
 )
)"),"Build the Pagoda Finished")</f>
        <v>Build the Pagoda Finished</v>
      </c>
      <c r="T84" s="26" t="str">
        <f t="array" ref="T84">_xlfn.XLOOKUP(
 A84,
 tblTargets[TargetID],
 tblTargets[CompletionMethod],
 ""
)</f>
        <v>PLAYER</v>
      </c>
      <c r="U84" s="84" t="b">
        <f>COUNTIF(tblCost[TargetID],A84)&gt;0</f>
        <v>1</v>
      </c>
      <c r="V84" s="85">
        <f t="array" ref="V84">IF(
 U84=FALSE,
 "",
 _xlfn.XLOOKUP(
  A84,
  tblCost[TargetID],
  tblCost[FundingPercent],
  ""
 )
)</f>
        <v>0</v>
      </c>
      <c r="W84" s="26">
        <f t="array" ref="W84">IF(
 U84=FALSE,
 "",
 _xlfn.XLOOKUP(
  A84,
  tblCost[TargetID],
  tblCost[RemainingRequirements],
  ""
 )
)</f>
        <v>8</v>
      </c>
      <c r="X84" s="45" t="b">
        <f t="array" ref="X84">IF(
 U84=FALSE,
 "N/A",
 _xlfn.XLOOKUP(
  A85,
  tblCost[TargetID],
  tblCost[TargetFunded],
  FALSE
 )
)</f>
        <v>0</v>
      </c>
      <c r="Y84" s="26" t="str">
        <f>IFERROR(__xludf.DUMMYFUNCTION("IFERROR(
 TEXTJOIN(
  "", "",
  TRUE,
  FILTER(
   'cost checklist'!$E$2:$E1000&amp;"": ""&amp;'cost checklist'!$G$2:$G1000,
   'cost checklist'!$B$2:$B1000=A84,
   'cost checklist'!$J$2:$J1000=FALSE
  )
 ),
 """"
)"),"beam: 1000, coin: 500, pearl: 5, ruby: 15, scroll: 1, silk: 5, stone: 500, treasure: 3")</f>
        <v>beam: 1000, coin: 500, pearl: 5, ruby: 15, scroll: 1, silk: 5, stone: 500, treasure: 3</v>
      </c>
      <c r="Z84" s="26" t="b">
        <f>IFERROR(__xludf.DUMMYFUNCTION("IF(
 AND(
  E84=""QUEST"",
  RIGHT(A84,9)="".accepted"",
  D84=TRUE
 ),
 XLOOKUP(
  REGEXREPLACE(A84,""\.accepted$"","""")&amp;"".finished"",
  $A$2:$A1000,
  $D$2:$D1000,
  TRUE
 )=FALSE,
 FALSE
)"),FALSE)</f>
        <v>0</v>
      </c>
      <c r="AA84" s="26" t="str">
        <f>IFERROR(__xludf.DUMMYFUNCTION("LET(
 id,A84,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5" ht="14.25" customHeight="1">
      <c r="A85" s="26" t="s">
        <v>383</v>
      </c>
      <c r="B85" s="26" t="str">
        <f t="array" ref="B85">_xlfn.XLOOKUP(
 A85,
 tblTargets[TargetID],
 tblTargets[DisplayName],
 ""
)</f>
        <v>Pier Lv 1</v>
      </c>
      <c r="C85" s="26" t="str">
        <f t="shared" si="1"/>
        <v>BLOCKED</v>
      </c>
      <c r="D85" s="26" t="b">
        <f>IFERROR(__xludf.DUMMYFUNCTION("LET(
 id,A85,
 IF(
  F85=""CHARACTER"",
  LET(
   base,REGEXREPLACE(id,""@\d+$"",""""),
   required,VALUE(REGEXEXTRACT(id,""@(\d+)$"")),
   current,XLOOKUP(
    base,
    tblPlayer[PlayerStateID],
    tblPlayer[Value],
    0
   ),
   current&gt;=required
  )"&amp;",
  IF(
   T85=""AUTO"",
   L85=0,
   COUNTIFS(
    tblChecklist[TargetID],id,
    tblChecklist[PlayerCompleted],TRUE
   )&gt;0
  )
 )
)"),FALSE)</f>
        <v>0</v>
      </c>
      <c r="E85" s="26" t="str">
        <f t="array" ref="E85">_xlfn.XLOOKUP(
 A85,
 tblTargets[TargetID],
 tblTargets[TargetType],
 ""
)</f>
        <v>BUILDING</v>
      </c>
      <c r="F85" s="26" t="str">
        <f t="array" ref="F85">_xlfn.XLOOKUP(
 A85,
 tblTargets[TargetID],
 tblTargets[StateType],
 ""
)</f>
        <v/>
      </c>
      <c r="G85" s="26">
        <f>LET(
 id,A85,
 depCount,COUNTIF(tblDependencies[TargetID],id),
 objCount,COUNTIF(tblQuestObjectives[QuestTargetID],id),
 depCount+objCount
)</f>
        <v>2</v>
      </c>
      <c r="H85" s="26">
        <f t="shared" si="2"/>
        <v>2</v>
      </c>
      <c r="I85" s="26">
        <f>IFERROR(__xludf.DUMMYFUNCTION("LET(
 id,A85,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5" s="26">
        <f t="shared" si="3"/>
        <v>0</v>
      </c>
      <c r="K85" s="26" t="b">
        <f t="shared" si="4"/>
        <v>0</v>
      </c>
      <c r="L85" s="26">
        <f t="shared" si="5"/>
        <v>2</v>
      </c>
      <c r="M85" s="26" t="str">
        <f>IFERROR(__xludf.DUMMYFUNCTION("LET(
 id,A85,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L85=0,
  """",
  IFERROR(INDEX(incomplete,1),"""")
 "&amp;")
)"),"building.warehouse@1")</f>
        <v>building.warehouse@1</v>
      </c>
      <c r="N85" s="26" t="str">
        <f t="array" ref="N85">IF(
 M85="",
 "",
 _xlfn.XLOOKUP(
  M85,
  tblTargets[TargetID],
  tblTargets[DisplayName],
  M85
 )
)</f>
        <v>Warehouse Lv 1</v>
      </c>
      <c r="O85" s="26" t="str">
        <f>IFERROR(__xludf.DUMMYFUNCTION("SWITCH(
 E85,
 ""BUILDING"",XLOOKUP(A85,tblBuildings[BuildingID],tblBuildings[costtext],""""),
 ""TECH"",XLOOKUP(A85,tblTechnologies[TechnologyID],tblTechnologies[costtext],""""),
 ""QUEST"",XLOOKUP(
  REGEXREPLACE(A85,""\.[^.]+$"",""""),
  tblQuests[Ques"&amp;"tID],
  tblQuests[Costtext],
  """"
 ),
 ""CITADEL"",XLOOKUP(A85,tblCitadel[CitadelID],tblCitadel[costtext],""""),
 ""COLLECTION"",XLOOKUP(A85,tblCollections[CollectionID],tblCollections[costtext],""""),
 ""CRAFTIFACT"",XLOOKUP(A85,tblCraftifacts[Craftifa"&amp;"ctID],tblCraftifacts[costtext],""""),
 """"
)"),"3 ruby,400 coin,50 wood,400 plank,300 stone")</f>
        <v>3 ruby,400 coin,50 wood,400 plank,300 stone</v>
      </c>
      <c r="P85" s="26" t="str">
        <f t="shared" si="6"/>
        <v>BLOCKED</v>
      </c>
      <c r="Q85" s="26" t="str">
        <f t="shared" si="7"/>
        <v>BLOCKED</v>
      </c>
      <c r="R85" s="26">
        <f t="array" ref="R85">IFERROR(
 _xlfn.XLOOKUP(
  A85,
  tblChecklist[TargetID],
  tblChecklist[PlayerSort],
  ""
 ),
 ""
)</f>
        <v>19</v>
      </c>
      <c r="S85" s="26" t="str">
        <f>IFERROR(__xludf.DUMMYFUNCTION("LET(
 id,A85,
 successorIDs,
  IFERROR(
   UNIQUE(
    FILTER(
     {
      Dependencies!$A$2:$A$1000;
      QuestObjectives!$A$2:$A$1000
     },
     {
      Dependencies!$B$2:$B$1000;
      QuestObjectives!$E$2:$E$1000
     }=id
    )
   ),
   """"
  ),"&amp;"
 names,
  MAP(
   successorIDs,
   LAMBDA(s,
    IF(
     s="""",
     """",
     XLOOKUP(
      s,
      $A$2:$A$1000,
      $B$2:$B$1000,
      s
     )
    )
   )
  ),
 IF(
  successorIDs="""",
  """",
  TEXTJOIN("", "",TRUE,names)
 )
)"),"Ship Lv 1, Shogun's Katana Chapter 2 Finished")</f>
        <v>Ship Lv 1, Shogun's Katana Chapter 2 Finished</v>
      </c>
      <c r="T85" s="26" t="str">
        <f t="array" ref="T85">_xlfn.XLOOKUP(
 A85,
 tblTargets[TargetID],
 tblTargets[CompletionMethod],
 ""
)</f>
        <v>PLAYER</v>
      </c>
      <c r="U85" s="84" t="b">
        <f>COUNTIF(tblCost[TargetID],A85)&gt;0</f>
        <v>1</v>
      </c>
      <c r="V85" s="85">
        <f t="array" ref="V85">IF(
 U85=FALSE,
 "",
 _xlfn.XLOOKUP(
  A85,
  tblCost[TargetID],
  tblCost[FundingPercent],
  ""
 )
)</f>
        <v>0</v>
      </c>
      <c r="W85" s="26">
        <f t="array" ref="W85">IF(
 U85=FALSE,
 "",
 _xlfn.XLOOKUP(
  A85,
  tblCost[TargetID],
  tblCost[RemainingRequirements],
  ""
 )
)</f>
        <v>5</v>
      </c>
      <c r="X85" s="45" t="b">
        <f t="array" ref="X85">IF(
 U85=FALSE,
 "N/A",
 _xlfn.XLOOKUP(
  A86,
  tblCost[TargetID],
  tblCost[TargetFunded],
  FALSE
 )
)</f>
        <v>0</v>
      </c>
      <c r="Y85" s="26" t="str">
        <f>IFERROR(__xludf.DUMMYFUNCTION("IFERROR(
 TEXTJOIN(
  "", "",
  TRUE,
  FILTER(
   'cost checklist'!$E$2:$E1000&amp;"": ""&amp;'cost checklist'!$G$2:$G1000,
   'cost checklist'!$B$2:$B1000=A85,
   'cost checklist'!$J$2:$J1000=FALSE
  )
 ),
 """"
)"),"coin: 400, plank: 400, ruby: 3, stone: 300, wood: 50")</f>
        <v>coin: 400, plank: 400, ruby: 3, stone: 300, wood: 50</v>
      </c>
      <c r="Z85" s="26" t="b">
        <f>IFERROR(__xludf.DUMMYFUNCTION("IF(
 AND(
  E85=""QUEST"",
  RIGHT(A85,9)="".accepted"",
  D85=TRUE
 ),
 XLOOKUP(
  REGEXREPLACE(A85,""\.accepted$"","""")&amp;"".finished"",
  $A$2:$A1000,
  $D$2:$D1000,
  TRUE
 )=FALSE,
 FALSE
)"),FALSE)</f>
        <v>0</v>
      </c>
      <c r="AA85" s="26" t="str">
        <f>IFERROR(__xludf.DUMMYFUNCTION("LET(
 id,A85,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6" ht="14.25" customHeight="1">
      <c r="A86" s="26" t="s">
        <v>834</v>
      </c>
      <c r="B86" s="26" t="str">
        <f t="array" ref="B86">_xlfn.XLOOKUP(
 A86,
 tblTargets[TargetID],
 tblTargets[DisplayName],
 ""
)</f>
        <v>Rock Garden maxed</v>
      </c>
      <c r="C86" s="26" t="str">
        <f t="shared" si="1"/>
        <v>BLOCKED</v>
      </c>
      <c r="D86" s="26" t="b">
        <f>IFERROR(__xludf.DUMMYFUNCTION("LET(
 id,A86,
 IF(
  F86=""CHARACTER"",
  LET(
   base,REGEXREPLACE(id,""@\d+$"",""""),
   required,VALUE(REGEXEXTRACT(id,""@(\d+)$"")),
   current,XLOOKUP(
    base,
    tblPlayer[PlayerStateID],
    tblPlayer[Value],
    0
   ),
   current&gt;=required
  )"&amp;",
  IF(
   T86=""AUTO"",
   L86=0,
   COUNTIFS(
    tblChecklist[TargetID],id,
    tblChecklist[PlayerCompleted],TRUE
   )&gt;0
  )
 )
)"),FALSE)</f>
        <v>0</v>
      </c>
      <c r="E86" s="26" t="str">
        <f t="array" ref="E86">_xlfn.XLOOKUP(
 A86,
 tblTargets[TargetID],
 tblTargets[TargetType],
 ""
)</f>
        <v>BUILDING</v>
      </c>
      <c r="F86" s="26" t="str">
        <f t="array" ref="F86">_xlfn.XLOOKUP(
 A86,
 tblTargets[TargetID],
 tblTargets[StateType],
 ""
)</f>
        <v/>
      </c>
      <c r="G86" s="26">
        <f>LET(
 id,A86,
 depCount,COUNTIF(tblDependencies[TargetID],id),
 objCount,COUNTIF(tblQuestObjectives[QuestTargetID],id),
 depCount+objCount
)</f>
        <v>1</v>
      </c>
      <c r="H86" s="26">
        <f t="shared" si="2"/>
        <v>1</v>
      </c>
      <c r="I86" s="26">
        <f>IFERROR(__xludf.DUMMYFUNCTION("LET(
 id,A86,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6" s="26">
        <f t="shared" si="3"/>
        <v>0</v>
      </c>
      <c r="K86" s="26" t="b">
        <f t="shared" si="4"/>
        <v>0</v>
      </c>
      <c r="L86" s="26">
        <f t="shared" si="5"/>
        <v>1</v>
      </c>
      <c r="M86" s="26" t="str">
        <f>IFERROR(__xludf.DUMMYFUNCTION("LET(
 id,A86,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L86=0,
  """",
  IFERROR(INDEX(incomplete,1),"""")
 "&amp;")
)"),"building.rock_garden@3")</f>
        <v>building.rock_garden@3</v>
      </c>
      <c r="N86" s="26" t="str">
        <f t="array" ref="N86">IF(
 M86="",
 "",
 _xlfn.XLOOKUP(
  M86,
  tblTargets[TargetID],
  tblTargets[DisplayName],
  M86
 )
)</f>
        <v>Rock Garden Lv 3</v>
      </c>
      <c r="O86" s="26" t="str">
        <f>IFERROR(__xludf.DUMMYFUNCTION("SWITCH(
 E86,
 ""BUILDING"",XLOOKUP(A86,tblBuildings[BuildingID],tblBuildings[costtext],""""),
 ""TECH"",XLOOKUP(A86,tblTechnologies[TechnologyID],tblTechnologies[costtext],""""),
 ""QUEST"",XLOOKUP(
  REGEXREPLACE(A86,""\.[^.]+$"",""""),
  tblQuests[Ques"&amp;"tID],
  tblQuests[Costtext],
  """"
 ),
 ""CITADEL"",XLOOKUP(A86,tblCitadel[CitadelID],tblCitadel[costtext],""""),
 ""COLLECTION"",XLOOKUP(A86,tblCollections[CollectionID],tblCollections[costtext],""""),
 ""CRAFTIFACT"",XLOOKUP(A86,tblCraftifacts[Craftifa"&amp;"ctID],tblCraftifacts[costtext],""""),
 """"
)"),"")</f>
        <v/>
      </c>
      <c r="P86" s="26" t="str">
        <f t="shared" si="6"/>
        <v>BLOCKED</v>
      </c>
      <c r="Q86" s="26" t="str">
        <f t="shared" si="7"/>
        <v>BLOCKED</v>
      </c>
      <c r="R86" s="26" t="str">
        <f t="array" ref="R86">IFERROR(
 _xlfn.XLOOKUP(
  A86,
  tblChecklist[TargetID],
  tblChecklist[PlayerSort],
  ""
 ),
 ""
)</f>
        <v/>
      </c>
      <c r="S86" s="26" t="str">
        <f>IFERROR(__xludf.DUMMYFUNCTION("LET(
 id,A86,
 successorIDs,
  IFERROR(
   UNIQUE(
    FILTER(
     {
      Dependencies!$A$2:$A$1000;
      QuestObjectives!$A$2:$A$1000
     },
     {
      Dependencies!$B$2:$B$1000;
      QuestObjectives!$E$2:$E$1000
     }=id
    )
   ),
   """"
  ),"&amp;"
 names,
  MAP(
   successorIDs,
   LAMBDA(s,
    IF(
     s="""",
     """",
     XLOOKUP(
      s,
      $A$2:$A$1000,
      $B$2:$B$1000,
      s
     )
    )
   )
  ),
 IF(
  successorIDs="""",
  """",
  TEXTJOIN("", "",TRUE,names)
 )
)"),"Rock Garden - Rake")</f>
        <v>Rock Garden - Rake</v>
      </c>
      <c r="T86" s="26" t="str">
        <f t="array" ref="T86">_xlfn.XLOOKUP(
 A86,
 tblTargets[TargetID],
 tblTargets[CompletionMethod],
 ""
)</f>
        <v>AUTO</v>
      </c>
      <c r="U86" s="84" t="b">
        <f>COUNTIF(tblCost[TargetID],A86)&gt;0</f>
        <v>0</v>
      </c>
      <c r="V86" s="85" t="str">
        <f t="array" ref="V86">IF(
 U86=FALSE,
 "",
 _xlfn.XLOOKUP(
  A86,
  tblCost[TargetID],
  tblCost[FundingPercent],
  ""
 )
)</f>
        <v/>
      </c>
      <c r="W86" s="26" t="str">
        <f t="array" ref="W86">IF(
 U86=FALSE,
 "",
 _xlfn.XLOOKUP(
  A86,
  tblCost[TargetID],
  tblCost[RemainingRequirements],
  ""
 )
)</f>
        <v/>
      </c>
      <c r="X86" s="45" t="str">
        <f t="array" ref="X86">IF(
 U86=FALSE,
 "N/A",
 _xlfn.XLOOKUP(
  A87,
  tblCost[TargetID],
  tblCost[TargetFunded],
  FALSE
 )
)</f>
        <v>N/A</v>
      </c>
      <c r="Y86" s="26" t="str">
        <f>IFERROR(__xludf.DUMMYFUNCTION("IFERROR(
 TEXTJOIN(
  "", "",
  TRUE,
  FILTER(
   'cost checklist'!$E$2:$E1000&amp;"": ""&amp;'cost checklist'!$G$2:$G1000,
   'cost checklist'!$B$2:$B1000=A86,
   'cost checklist'!$J$2:$J1000=FALSE
  )
 ),
 """"
)"),"")</f>
        <v/>
      </c>
      <c r="Z86" s="26" t="b">
        <f>IFERROR(__xludf.DUMMYFUNCTION("IF(
 AND(
  E86=""QUEST"",
  RIGHT(A86,9)="".accepted"",
  D86=TRUE
 ),
 XLOOKUP(
  REGEXREPLACE(A86,""\.accepted$"","""")&amp;"".finished"",
  $A$2:$A1000,
  $D$2:$D1000,
  TRUE
 )=FALSE,
 FALSE
)"),FALSE)</f>
        <v>0</v>
      </c>
      <c r="AA86" s="26" t="str">
        <f>IFERROR(__xludf.DUMMYFUNCTION("LET(
 id,A86,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7" ht="14.25" customHeight="1">
      <c r="A87" s="26" t="s">
        <v>385</v>
      </c>
      <c r="B87" s="26" t="str">
        <f t="array" ref="B87">_xlfn.XLOOKUP(
 A87,
 tblTargets[TargetID],
 tblTargets[DisplayName],
 ""
)</f>
        <v>Rock Garden Lv 1</v>
      </c>
      <c r="C87" s="26" t="str">
        <f t="shared" si="1"/>
        <v>BLOCKED</v>
      </c>
      <c r="D87" s="26" t="b">
        <f>IFERROR(__xludf.DUMMYFUNCTION("LET(
 id,A87,
 IF(
  F87=""CHARACTER"",
  LET(
   base,REGEXREPLACE(id,""@\d+$"",""""),
   required,VALUE(REGEXEXTRACT(id,""@(\d+)$"")),
   current,XLOOKUP(
    base,
    tblPlayer[PlayerStateID],
    tblPlayer[Value],
    0
   ),
   current&gt;=required
  )"&amp;",
  IF(
   T87=""AUTO"",
   L87=0,
   COUNTIFS(
    tblChecklist[TargetID],id,
    tblChecklist[PlayerCompleted],TRUE
   )&gt;0
  )
 )
)"),FALSE)</f>
        <v>0</v>
      </c>
      <c r="E87" s="26" t="str">
        <f t="array" ref="E87">_xlfn.XLOOKUP(
 A87,
 tblTargets[TargetID],
 tblTargets[TargetType],
 ""
)</f>
        <v>BUILDING</v>
      </c>
      <c r="F87" s="26" t="str">
        <f t="array" ref="F87">_xlfn.XLOOKUP(
 A87,
 tblTargets[TargetID],
 tblTargets[StateType],
 ""
)</f>
        <v/>
      </c>
      <c r="G87" s="26">
        <f>LET(
 id,A87,
 depCount,COUNTIF(tblDependencies[TargetID],id),
 objCount,COUNTIF(tblQuestObjectives[QuestTargetID],id),
 depCount+objCount
)</f>
        <v>1</v>
      </c>
      <c r="H87" s="26">
        <f t="shared" si="2"/>
        <v>1</v>
      </c>
      <c r="I87" s="26">
        <f>IFERROR(__xludf.DUMMYFUNCTION("LET(
 id,A87,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7" s="26">
        <f t="shared" si="3"/>
        <v>0</v>
      </c>
      <c r="K87" s="26" t="b">
        <f t="shared" si="4"/>
        <v>0</v>
      </c>
      <c r="L87" s="26">
        <f t="shared" si="5"/>
        <v>1</v>
      </c>
      <c r="M87" s="26" t="str">
        <f>IFERROR(__xludf.DUMMYFUNCTION("LET(
 id,A87,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L87=0,
  """",
  IFERROR(INDEX(incomplete,1),"""")
 "&amp;")
)"),"state.character_level@13")</f>
        <v>state.character_level@13</v>
      </c>
      <c r="N87" s="26" t="str">
        <f t="array" ref="N87">IF(
 M87="",
 "",
 _xlfn.XLOOKUP(
  M87,
  tblTargets[TargetID],
  tblTargets[DisplayName],
  M87
 )
)</f>
        <v>Character Level@13</v>
      </c>
      <c r="O87" s="26" t="str">
        <f>IFERROR(__xludf.DUMMYFUNCTION("SWITCH(
 E87,
 ""BUILDING"",XLOOKUP(A87,tblBuildings[BuildingID],tblBuildings[costtext],""""),
 ""TECH"",XLOOKUP(A87,tblTechnologies[TechnologyID],tblTechnologies[costtext],""""),
 ""QUEST"",XLOOKUP(
  REGEXREPLACE(A87,""\.[^.]+$"",""""),
  tblQuests[Ques"&amp;"tID],
  tblQuests[Costtext],
  """"
 ),
 ""CITADEL"",XLOOKUP(A87,tblCitadel[CitadelID],tblCitadel[costtext],""""),
 ""COLLECTION"",XLOOKUP(A87,tblCollections[CollectionID],tblCollections[costtext],""""),
 ""CRAFTIFACT"",XLOOKUP(A87,tblCraftifacts[Craftifa"&amp;"ctID],tblCraftifacts[costtext],""""),
 """"
)"),"1 ruby,400 coin,100 wood,200 stone")</f>
        <v>1 ruby,400 coin,100 wood,200 stone</v>
      </c>
      <c r="P87" s="26" t="str">
        <f t="shared" si="6"/>
        <v>READY</v>
      </c>
      <c r="Q87" s="26" t="str">
        <f t="shared" si="7"/>
        <v>ONE AWAY</v>
      </c>
      <c r="R87" s="26">
        <f t="array" ref="R87">IFERROR(
 _xlfn.XLOOKUP(
  A87,
  tblChecklist[TargetID],
  tblChecklist[PlayerSort],
  ""
 ),
 ""
)</f>
        <v>83</v>
      </c>
      <c r="S87" s="26" t="str">
        <f>IFERROR(__xludf.DUMMYFUNCTION("LET(
 id,A87,
 successorIDs,
  IFERROR(
   UNIQUE(
    FILTER(
     {
      Dependencies!$A$2:$A$1000;
      QuestObjectives!$A$2:$A$1000
     },
     {
      Dependencies!$B$2:$B$1000;
      QuestObjectives!$E$2:$E$1000
     }=id
    )
   ),
   """"
  ),"&amp;"
 names,
  MAP(
   successorIDs,
   LAMBDA(s,
    IF(
     s="""",
     """",
     XLOOKUP(
      s,
      $A$2:$A$1000,
      $B$2:$B$1000,
      s
     )
    )
   )
  ),
 IF(
  successorIDs="""",
  """",
  TEXTJOIN("", "",TRUE,names)
 )
)"),"Rock Garden Lv 2")</f>
        <v>Rock Garden Lv 2</v>
      </c>
      <c r="T87" s="26" t="str">
        <f t="array" ref="T87">_xlfn.XLOOKUP(
 A87,
 tblTargets[TargetID],
 tblTargets[CompletionMethod],
 ""
)</f>
        <v>PLAYER</v>
      </c>
      <c r="U87" s="84" t="b">
        <f>COUNTIF(tblCost[TargetID],A87)&gt;0</f>
        <v>1</v>
      </c>
      <c r="V87" s="85">
        <f t="array" ref="V87">IF(
 U87=FALSE,
 "",
 _xlfn.XLOOKUP(
  A87,
  tblCost[TargetID],
  tblCost[FundingPercent],
  ""
 )
)</f>
        <v>0</v>
      </c>
      <c r="W87" s="26">
        <f t="array" ref="W87">IF(
 U87=FALSE,
 "",
 _xlfn.XLOOKUP(
  A87,
  tblCost[TargetID],
  tblCost[RemainingRequirements],
  ""
 )
)</f>
        <v>4</v>
      </c>
      <c r="X87" s="45" t="b">
        <f t="array" ref="X87">IF(
 U87=FALSE,
 "N/A",
 _xlfn.XLOOKUP(
  A88,
  tblCost[TargetID],
  tblCost[TargetFunded],
  FALSE
 )
)</f>
        <v>0</v>
      </c>
      <c r="Y87" s="26" t="str">
        <f>IFERROR(__xludf.DUMMYFUNCTION("IFERROR(
 TEXTJOIN(
  "", "",
  TRUE,
  FILTER(
   'cost checklist'!$E$2:$E1000&amp;"": ""&amp;'cost checklist'!$G$2:$G1000,
   'cost checklist'!$B$2:$B1000=A87,
   'cost checklist'!$J$2:$J1000=FALSE
  )
 ),
 """"
)"),"coin: 400, ruby: 1, stone: 200, wood: 100")</f>
        <v>coin: 400, ruby: 1, stone: 200, wood: 100</v>
      </c>
      <c r="Z87" s="26" t="b">
        <f>IFERROR(__xludf.DUMMYFUNCTION("IF(
 AND(
  E87=""QUEST"",
  RIGHT(A87,9)="".accepted"",
  D87=TRUE
 ),
 XLOOKUP(
  REGEXREPLACE(A87,""\.accepted$"","""")&amp;"".finished"",
  $A$2:$A1000,
  $D$2:$D1000,
  TRUE
 )=FALSE,
 FALSE
)"),FALSE)</f>
        <v>0</v>
      </c>
      <c r="AA87" s="26" t="str">
        <f>IFERROR(__xludf.DUMMYFUNCTION("LET(
 id,A87,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8" ht="14.25" customHeight="1">
      <c r="A88" s="26" t="s">
        <v>388</v>
      </c>
      <c r="B88" s="26" t="str">
        <f t="array" ref="B88">_xlfn.XLOOKUP(
 A88,
 tblTargets[TargetID],
 tblTargets[DisplayName],
 ""
)</f>
        <v>Rock Garden Lv 2</v>
      </c>
      <c r="C88" s="26" t="str">
        <f t="shared" si="1"/>
        <v>BLOCKED</v>
      </c>
      <c r="D88" s="26" t="b">
        <f>IFERROR(__xludf.DUMMYFUNCTION("LET(
 id,A88,
 IF(
  F88=""CHARACTER"",
  LET(
   base,REGEXREPLACE(id,""@\d+$"",""""),
   required,VALUE(REGEXEXTRACT(id,""@(\d+)$"")),
   current,XLOOKUP(
    base,
    tblPlayer[PlayerStateID],
    tblPlayer[Value],
    0
   ),
   current&gt;=required
  )"&amp;",
  IF(
   T88=""AUTO"",
   L88=0,
   COUNTIFS(
    tblChecklist[TargetID],id,
    tblChecklist[PlayerCompleted],TRUE
   )&gt;0
  )
 )
)"),FALSE)</f>
        <v>0</v>
      </c>
      <c r="E88" s="26" t="str">
        <f t="array" ref="E88">_xlfn.XLOOKUP(
 A88,
 tblTargets[TargetID],
 tblTargets[TargetType],
 ""
)</f>
        <v>BUILDING</v>
      </c>
      <c r="F88" s="26" t="str">
        <f t="array" ref="F88">_xlfn.XLOOKUP(
 A88,
 tblTargets[TargetID],
 tblTargets[StateType],
 ""
)</f>
        <v/>
      </c>
      <c r="G88" s="26">
        <f>LET(
 id,A88,
 depCount,COUNTIF(tblDependencies[TargetID],id),
 objCount,COUNTIF(tblQuestObjectives[QuestTargetID],id),
 depCount+objCount
)</f>
        <v>1</v>
      </c>
      <c r="H88" s="26">
        <f t="shared" si="2"/>
        <v>1</v>
      </c>
      <c r="I88" s="26">
        <f>IFERROR(__xludf.DUMMYFUNCTION("LET(
 id,A88,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8" s="26">
        <f t="shared" si="3"/>
        <v>0</v>
      </c>
      <c r="K88" s="26" t="b">
        <f t="shared" si="4"/>
        <v>0</v>
      </c>
      <c r="L88" s="26">
        <f t="shared" si="5"/>
        <v>1</v>
      </c>
      <c r="M88" s="26" t="str">
        <f>IFERROR(__xludf.DUMMYFUNCTION("LET(
 id,A88,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L88=0,
  """",
  IFERROR(INDEX(incomplete,1),"""")
 "&amp;")
)"),"building.rock_garden@1")</f>
        <v>building.rock_garden@1</v>
      </c>
      <c r="N88" s="26" t="str">
        <f t="array" ref="N88">IF(
 M88="",
 "",
 _xlfn.XLOOKUP(
  M88,
  tblTargets[TargetID],
  tblTargets[DisplayName],
  M88
 )
)</f>
        <v>Rock Garden Lv 1</v>
      </c>
      <c r="O88" s="26" t="str">
        <f>IFERROR(__xludf.DUMMYFUNCTION("SWITCH(
 E88,
 ""BUILDING"",XLOOKUP(A88,tblBuildings[BuildingID],tblBuildings[costtext],""""),
 ""TECH"",XLOOKUP(A88,tblTechnologies[TechnologyID],tblTechnologies[costtext],""""),
 ""QUEST"",XLOOKUP(
  REGEXREPLACE(A88,""\.[^.]+$"",""""),
  tblQuests[Ques"&amp;"tID],
  tblQuests[Costtext],
  """"
 ),
 ""CITADEL"",XLOOKUP(A88,tblCitadel[CitadelID],tblCitadel[costtext],""""),
 ""COLLECTION"",XLOOKUP(A88,tblCollections[CollectionID],tblCollections[costtext],""""),
 ""CRAFTIFACT"",XLOOKUP(A88,tblCraftifacts[Craftifa"&amp;"ctID],tblCraftifacts[costtext],""""),
 """"
)"),"2 ruby,600 coin,150 wood,300 stone")</f>
        <v>2 ruby,600 coin,150 wood,300 stone</v>
      </c>
      <c r="P88" s="26" t="str">
        <f t="shared" si="6"/>
        <v>BLOCKED</v>
      </c>
      <c r="Q88" s="26" t="str">
        <f t="shared" si="7"/>
        <v>BLOCKED</v>
      </c>
      <c r="R88" s="26">
        <f t="array" ref="R88">IFERROR(
 _xlfn.XLOOKUP(
  A88,
  tblChecklist[TargetID],
  tblChecklist[PlayerSort],
  ""
 ),
 ""
)</f>
        <v>84</v>
      </c>
      <c r="S88" s="26" t="str">
        <f>IFERROR(__xludf.DUMMYFUNCTION("LET(
 id,A88,
 successorIDs,
  IFERROR(
   UNIQUE(
    FILTER(
     {
      Dependencies!$A$2:$A$1000;
      QuestObjectives!$A$2:$A$1000
     },
     {
      Dependencies!$B$2:$B$1000;
      QuestObjectives!$E$2:$E$1000
     }=id
    )
   ),
   """"
  ),"&amp;"
 names,
  MAP(
   successorIDs,
   LAMBDA(s,
    IF(
     s="""",
     """",
     XLOOKUP(
      s,
      $A$2:$A$1000,
      $B$2:$B$1000,
      s
     )
    )
   )
  ),
 IF(
  successorIDs="""",
  """",
  TEXTJOIN("", "",TRUE,names)
 )
)"),"Rock Garden Lv 3")</f>
        <v>Rock Garden Lv 3</v>
      </c>
      <c r="T88" s="26" t="str">
        <f t="array" ref="T88">_xlfn.XLOOKUP(
 A88,
 tblTargets[TargetID],
 tblTargets[CompletionMethod],
 ""
)</f>
        <v>PLAYER</v>
      </c>
      <c r="U88" s="84" t="b">
        <f>COUNTIF(tblCost[TargetID],A88)&gt;0</f>
        <v>1</v>
      </c>
      <c r="V88" s="85">
        <f t="array" ref="V88">IF(
 U88=FALSE,
 "",
 _xlfn.XLOOKUP(
  A88,
  tblCost[TargetID],
  tblCost[FundingPercent],
  ""
 )
)</f>
        <v>0</v>
      </c>
      <c r="W88" s="26">
        <f t="array" ref="W88">IF(
 U88=FALSE,
 "",
 _xlfn.XLOOKUP(
  A88,
  tblCost[TargetID],
  tblCost[RemainingRequirements],
  ""
 )
)</f>
        <v>4</v>
      </c>
      <c r="X88" s="45" t="b">
        <f t="array" ref="X88">IF(
 U88=FALSE,
 "N/A",
 _xlfn.XLOOKUP(
  A89,
  tblCost[TargetID],
  tblCost[TargetFunded],
  FALSE
 )
)</f>
        <v>0</v>
      </c>
      <c r="Y88" s="26" t="str">
        <f>IFERROR(__xludf.DUMMYFUNCTION("IFERROR(
 TEXTJOIN(
  "", "",
  TRUE,
  FILTER(
   'cost checklist'!$E$2:$E1000&amp;"": ""&amp;'cost checklist'!$G$2:$G1000,
   'cost checklist'!$B$2:$B1000=A88,
   'cost checklist'!$J$2:$J1000=FALSE
  )
 ),
 """"
)"),"coin: 600, ruby: 2, stone: 300, wood: 150")</f>
        <v>coin: 600, ruby: 2, stone: 300, wood: 150</v>
      </c>
      <c r="Z88" s="26" t="b">
        <f>IFERROR(__xludf.DUMMYFUNCTION("IF(
 AND(
  E88=""QUEST"",
  RIGHT(A88,9)="".accepted"",
  D88=TRUE
 ),
 XLOOKUP(
  REGEXREPLACE(A88,""\.accepted$"","""")&amp;"".finished"",
  $A$2:$A1000,
  $D$2:$D1000,
  TRUE
 )=FALSE,
 FALSE
)"),FALSE)</f>
        <v>0</v>
      </c>
      <c r="AA88" s="26" t="str">
        <f>IFERROR(__xludf.DUMMYFUNCTION("LET(
 id,A88,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89" ht="14.25" customHeight="1">
      <c r="A89" s="26" t="s">
        <v>390</v>
      </c>
      <c r="B89" s="26" t="str">
        <f t="array" ref="B89">_xlfn.XLOOKUP(
 A89,
 tblTargets[TargetID],
 tblTargets[DisplayName],
 ""
)</f>
        <v>Rock Garden Lv 3</v>
      </c>
      <c r="C89" s="26" t="str">
        <f t="shared" si="1"/>
        <v>BLOCKED</v>
      </c>
      <c r="D89" s="26" t="b">
        <f>IFERROR(__xludf.DUMMYFUNCTION("LET(
 id,A89,
 IF(
  F89=""CHARACTER"",
  LET(
   base,REGEXREPLACE(id,""@\d+$"",""""),
   required,VALUE(REGEXEXTRACT(id,""@(\d+)$"")),
   current,XLOOKUP(
    base,
    tblPlayer[PlayerStateID],
    tblPlayer[Value],
    0
   ),
   current&gt;=required
  )"&amp;",
  IF(
   T89=""AUTO"",
   L89=0,
   COUNTIFS(
    tblChecklist[TargetID],id,
    tblChecklist[PlayerCompleted],TRUE
   )&gt;0
  )
 )
)"),FALSE)</f>
        <v>0</v>
      </c>
      <c r="E89" s="26" t="str">
        <f t="array" ref="E89">_xlfn.XLOOKUP(
 A89,
 tblTargets[TargetID],
 tblTargets[TargetType],
 ""
)</f>
        <v>BUILDING</v>
      </c>
      <c r="F89" s="26" t="str">
        <f t="array" ref="F89">_xlfn.XLOOKUP(
 A89,
 tblTargets[TargetID],
 tblTargets[StateType],
 ""
)</f>
        <v/>
      </c>
      <c r="G89" s="26">
        <f>LET(
 id,A89,
 depCount,COUNTIF(tblDependencies[TargetID],id),
 objCount,COUNTIF(tblQuestObjectives[QuestTargetID],id),
 depCount+objCount
)</f>
        <v>1</v>
      </c>
      <c r="H89" s="26">
        <f t="shared" si="2"/>
        <v>1</v>
      </c>
      <c r="I89" s="26">
        <f>IFERROR(__xludf.DUMMYFUNCTION("LET(
 id,A89,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89" s="26">
        <f t="shared" si="3"/>
        <v>0</v>
      </c>
      <c r="K89" s="26" t="b">
        <f t="shared" si="4"/>
        <v>0</v>
      </c>
      <c r="L89" s="26">
        <f t="shared" si="5"/>
        <v>1</v>
      </c>
      <c r="M89" s="26" t="str">
        <f>IFERROR(__xludf.DUMMYFUNCTION("LET(
 id,A89,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L89=0,
  """",
  IFERROR(INDEX(incomplete,1),"""")
 "&amp;")
)"),"building.rock_garden@2")</f>
        <v>building.rock_garden@2</v>
      </c>
      <c r="N89" s="26" t="str">
        <f t="array" ref="N89">IF(
 M89="",
 "",
 _xlfn.XLOOKUP(
  M89,
  tblTargets[TargetID],
  tblTargets[DisplayName],
  M89
 )
)</f>
        <v>Rock Garden Lv 2</v>
      </c>
      <c r="O89" s="26" t="str">
        <f>IFERROR(__xludf.DUMMYFUNCTION("SWITCH(
 E89,
 ""BUILDING"",XLOOKUP(A89,tblBuildings[BuildingID],tblBuildings[costtext],""""),
 ""TECH"",XLOOKUP(A89,tblTechnologies[TechnologyID],tblTechnologies[costtext],""""),
 ""QUEST"",XLOOKUP(
  REGEXREPLACE(A89,""\.[^.]+$"",""""),
  tblQuests[Ques"&amp;"tID],
  tblQuests[Costtext],
  """"
 ),
 ""CITADEL"",XLOOKUP(A89,tblCitadel[CitadelID],tblCitadel[costtext],""""),
 ""COLLECTION"",XLOOKUP(A89,tblCollections[CollectionID],tblCollections[costtext],""""),
 ""CRAFTIFACT"",XLOOKUP(A89,tblCraftifacts[Craftifa"&amp;"ctID],tblCraftifacts[costtext],""""),
 """"
)"),"4 ruby,1000 coin,400 beam,400 stone")</f>
        <v>4 ruby,1000 coin,400 beam,400 stone</v>
      </c>
      <c r="P89" s="26" t="str">
        <f t="shared" si="6"/>
        <v>BLOCKED</v>
      </c>
      <c r="Q89" s="26" t="str">
        <f t="shared" si="7"/>
        <v>BLOCKED</v>
      </c>
      <c r="R89" s="26">
        <f t="array" ref="R89">IFERROR(
 _xlfn.XLOOKUP(
  A89,
  tblChecklist[TargetID],
  tblChecklist[PlayerSort],
  ""
 ),
 ""
)</f>
        <v>85</v>
      </c>
      <c r="S89" s="26" t="str">
        <f>IFERROR(__xludf.DUMMYFUNCTION("LET(
 id,A89,
 successorIDs,
  IFERROR(
   UNIQUE(
    FILTER(
     {
      Dependencies!$A$2:$A$1000;
      QuestObjectives!$A$2:$A$1000
     },
     {
      Dependencies!$B$2:$B$1000;
      QuestObjectives!$E$2:$E$1000
     }=id
    )
   ),
   """"
  ),"&amp;"
 names,
  MAP(
   successorIDs,
   LAMBDA(s,
    IF(
     s="""",
     """",
     XLOOKUP(
      s,
      $A$2:$A$1000,
      $B$2:$B$1000,
      s
     )
    )
   )
  ),
 IF(
  successorIDs="""",
  """",
  TEXTJOIN("", "",TRUE,names)
 )
)"),"Rock Garden maxed")</f>
        <v>Rock Garden maxed</v>
      </c>
      <c r="T89" s="26" t="str">
        <f t="array" ref="T89">_xlfn.XLOOKUP(
 A89,
 tblTargets[TargetID],
 tblTargets[CompletionMethod],
 ""
)</f>
        <v>PLAYER</v>
      </c>
      <c r="U89" s="84" t="b">
        <f>COUNTIF(tblCost[TargetID],A89)&gt;0</f>
        <v>1</v>
      </c>
      <c r="V89" s="85">
        <f t="array" ref="V89">IF(
 U89=FALSE,
 "",
 _xlfn.XLOOKUP(
  A89,
  tblCost[TargetID],
  tblCost[FundingPercent],
  ""
 )
)</f>
        <v>0</v>
      </c>
      <c r="W89" s="26">
        <f t="array" ref="W89">IF(
 U89=FALSE,
 "",
 _xlfn.XLOOKUP(
  A89,
  tblCost[TargetID],
  tblCost[RemainingRequirements],
  ""
 )
)</f>
        <v>4</v>
      </c>
      <c r="X89" s="45" t="b">
        <f t="array" ref="X89">IF(
 U89=FALSE,
 "N/A",
 _xlfn.XLOOKUP(
  A90,
  tblCost[TargetID],
  tblCost[TargetFunded],
  FALSE
 )
)</f>
        <v>0</v>
      </c>
      <c r="Y89" s="26" t="str">
        <f>IFERROR(__xludf.DUMMYFUNCTION("IFERROR(
 TEXTJOIN(
  "", "",
  TRUE,
  FILTER(
   'cost checklist'!$E$2:$E1000&amp;"": ""&amp;'cost checklist'!$G$2:$G1000,
   'cost checklist'!$B$2:$B1000=A89,
   'cost checklist'!$J$2:$J1000=FALSE
  )
 ),
 """"
)"),"beam: 400, coin: 1000, ruby: 4, stone: 400")</f>
        <v>beam: 400, coin: 1000, ruby: 4, stone: 400</v>
      </c>
      <c r="Z89" s="26" t="b">
        <f>IFERROR(__xludf.DUMMYFUNCTION("IF(
 AND(
  E89=""QUEST"",
  RIGHT(A89,9)="".accepted"",
  D89=TRUE
 ),
 XLOOKUP(
  REGEXREPLACE(A89,""\.accepted$"","""")&amp;"".finished"",
  $A$2:$A1000,
  $D$2:$D1000,
  TRUE
 )=FALSE,
 FALSE
)"),FALSE)</f>
        <v>0</v>
      </c>
      <c r="AA89" s="26" t="str">
        <f>IFERROR(__xludf.DUMMYFUNCTION("LET(
 id,A89,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0" ht="14.25" customHeight="1">
      <c r="A90" s="26" t="s">
        <v>393</v>
      </c>
      <c r="B90" s="26" t="str">
        <f t="array" ref="B90">_xlfn.XLOOKUP(
 A90,
 tblTargets[TargetID],
 tblTargets[DisplayName],
 ""
)</f>
        <v>Ship Lv 1</v>
      </c>
      <c r="C90" s="26" t="str">
        <f t="shared" si="1"/>
        <v>BLOCKED</v>
      </c>
      <c r="D90" s="26" t="b">
        <f>IFERROR(__xludf.DUMMYFUNCTION("LET(
 id,A90,
 IF(
  F90=""CHARACTER"",
  LET(
   base,REGEXREPLACE(id,""@\d+$"",""""),
   required,VALUE(REGEXEXTRACT(id,""@(\d+)$"")),
   current,XLOOKUP(
    base,
    tblPlayer[PlayerStateID],
    tblPlayer[Value],
    0
   ),
   current&gt;=required
  )"&amp;",
  IF(
   T90=""AUTO"",
   L90=0,
   COUNTIFS(
    tblChecklist[TargetID],id,
    tblChecklist[PlayerCompleted],TRUE
   )&gt;0
  )
 )
)"),FALSE)</f>
        <v>0</v>
      </c>
      <c r="E90" s="26" t="str">
        <f t="array" ref="E90">_xlfn.XLOOKUP(
 A90,
 tblTargets[TargetID],
 tblTargets[TargetType],
 ""
)</f>
        <v>BUILDING</v>
      </c>
      <c r="F90" s="26" t="str">
        <f t="array" ref="F90">_xlfn.XLOOKUP(
 A90,
 tblTargets[TargetID],
 tblTargets[StateType],
 ""
)</f>
        <v/>
      </c>
      <c r="G90" s="26">
        <f>LET(
 id,A90,
 depCount,COUNTIF(tblDependencies[TargetID],id),
 objCount,COUNTIF(tblQuestObjectives[QuestTargetID],id),
 depCount+objCount
)</f>
        <v>2</v>
      </c>
      <c r="H90" s="26">
        <f t="shared" si="2"/>
        <v>2</v>
      </c>
      <c r="I90" s="26">
        <f>IFERROR(__xludf.DUMMYFUNCTION("LET(
 id,A90,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0" s="26">
        <f t="shared" si="3"/>
        <v>0</v>
      </c>
      <c r="K90" s="26" t="b">
        <f t="shared" si="4"/>
        <v>0</v>
      </c>
      <c r="L90" s="26">
        <f t="shared" si="5"/>
        <v>2</v>
      </c>
      <c r="M90" s="26" t="str">
        <f>IFERROR(__xludf.DUMMYFUNCTION("LET(
 id,A90,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L90=0,
  """",
  IFERROR(INDEX(incomplete,1),"""")
 "&amp;")
)"),"building.pier@1")</f>
        <v>building.pier@1</v>
      </c>
      <c r="N90" s="26" t="str">
        <f t="array" ref="N90">IF(
 M90="",
 "",
 _xlfn.XLOOKUP(
  M90,
  tblTargets[TargetID],
  tblTargets[DisplayName],
  M90
 )
)</f>
        <v>Pier Lv 1</v>
      </c>
      <c r="O90" s="26" t="str">
        <f>IFERROR(__xludf.DUMMYFUNCTION("SWITCH(
 E90,
 ""BUILDING"",XLOOKUP(A90,tblBuildings[BuildingID],tblBuildings[costtext],""""),
 ""TECH"",XLOOKUP(A90,tblTechnologies[TechnologyID],tblTechnologies[costtext],""""),
 ""QUEST"",XLOOKUP(
  REGEXREPLACE(A90,""\.[^.]+$"",""""),
  tblQuests[Ques"&amp;"tID],
  tblQuests[Costtext],
  """"
 ),
 ""CITADEL"",XLOOKUP(A90,tblCitadel[CitadelID],tblCitadel[costtext],""""),
 ""COLLECTION"",XLOOKUP(A90,tblCollections[CollectionID],tblCollections[costtext],""""),
 ""CRAFTIFACT"",XLOOKUP(A90,tblCraftifacts[Craftifa"&amp;"ctID],tblCraftifacts[costtext],""""),
 """"
)"),"3 ruby,500 coin,600 plank,1 stone,60 steel")</f>
        <v>3 ruby,500 coin,600 plank,1 stone,60 steel</v>
      </c>
      <c r="P90" s="26" t="str">
        <f t="shared" si="6"/>
        <v>BLOCKED</v>
      </c>
      <c r="Q90" s="26" t="str">
        <f t="shared" si="7"/>
        <v>BLOCKED</v>
      </c>
      <c r="R90" s="26">
        <f t="array" ref="R90">IFERROR(
 _xlfn.XLOOKUP(
  A90,
  tblChecklist[TargetID],
  tblChecklist[PlayerSort],
  ""
 ),
 ""
)</f>
        <v>20</v>
      </c>
      <c r="S90" s="26" t="str">
        <f>IFERROR(__xludf.DUMMYFUNCTION("LET(
 id,A90,
 successorIDs,
  IFERROR(
   UNIQUE(
    FILTER(
     {
      Dependencies!$A$2:$A$1000;
      QuestObjectives!$A$2:$A$1000
     },
     {
      Dependencies!$B$2:$B$1000;
      QuestObjectives!$E$2:$E$1000
     }=id
    )
   ),
   """"
  ),"&amp;"
 names,
  MAP(
   successorIDs,
   LAMBDA(s,
    IF(
     s="""",
     """",
     XLOOKUP(
      s,
      $A$2:$A$1000,
      $B$2:$B$1000,
      s
     )
    )
   )
  ),
 IF(
  successorIDs="""",
  """",
  TEXTJOIN("", "",TRUE,names)
 )
)"),"Ship Lv 2, Necklace For Haruka, Spicy Odyssey Accepted, Obtain Any Artifact, Shogun's Katana Chapter 3 Finished")</f>
        <v>Ship Lv 2, Necklace For Haruka, Spicy Odyssey Accepted, Obtain Any Artifact, Shogun's Katana Chapter 3 Finished</v>
      </c>
      <c r="T90" s="26" t="str">
        <f t="array" ref="T90">_xlfn.XLOOKUP(
 A90,
 tblTargets[TargetID],
 tblTargets[CompletionMethod],
 ""
)</f>
        <v>PLAYER</v>
      </c>
      <c r="U90" s="84" t="b">
        <f>COUNTIF(tblCost[TargetID],A90)&gt;0</f>
        <v>1</v>
      </c>
      <c r="V90" s="85">
        <f t="array" ref="V90">IF(
 U90=FALSE,
 "",
 _xlfn.XLOOKUP(
  A90,
  tblCost[TargetID],
  tblCost[FundingPercent],
  ""
 )
)</f>
        <v>0</v>
      </c>
      <c r="W90" s="26">
        <f t="array" ref="W90">IF(
 U90=FALSE,
 "",
 _xlfn.XLOOKUP(
  A90,
  tblCost[TargetID],
  tblCost[RemainingRequirements],
  ""
 )
)</f>
        <v>5</v>
      </c>
      <c r="X90" s="45" t="b">
        <f t="array" ref="X90">IF(
 U90=FALSE,
 "N/A",
 _xlfn.XLOOKUP(
  A91,
  tblCost[TargetID],
  tblCost[TargetFunded],
  FALSE
 )
)</f>
        <v>0</v>
      </c>
      <c r="Y90" s="26" t="str">
        <f>IFERROR(__xludf.DUMMYFUNCTION("IFERROR(
 TEXTJOIN(
  "", "",
  TRUE,
  FILTER(
   'cost checklist'!$E$2:$E1000&amp;"": ""&amp;'cost checklist'!$G$2:$G1000,
   'cost checklist'!$B$2:$B1000=A90,
   'cost checklist'!$J$2:$J1000=FALSE
  )
 ),
 """"
)"),"coin: 500, plank: 600, ruby: 3, steel: 60, stone: 1")</f>
        <v>coin: 500, plank: 600, ruby: 3, steel: 60, stone: 1</v>
      </c>
      <c r="Z90" s="26" t="b">
        <f>IFERROR(__xludf.DUMMYFUNCTION("IF(
 AND(
  E90=""QUEST"",
  RIGHT(A90,9)="".accepted"",
  D90=TRUE
 ),
 XLOOKUP(
  REGEXREPLACE(A90,""\.accepted$"","""")&amp;"".finished"",
  $A$2:$A1000,
  $D$2:$D1000,
  TRUE
 )=FALSE,
 FALSE
)"),FALSE)</f>
        <v>0</v>
      </c>
      <c r="AA90" s="26" t="str">
        <f>IFERROR(__xludf.DUMMYFUNCTION("LET(
 id,A90,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)"),"Spicy Odyssey")</f>
        <v>Spicy Odyssey</v>
      </c>
    </row>
    <row r="91" ht="14.25" customHeight="1">
      <c r="A91" s="26" t="s">
        <v>396</v>
      </c>
      <c r="B91" s="26" t="str">
        <f t="array" ref="B91">_xlfn.XLOOKUP(
 A91,
 tblTargets[TargetID],
 tblTargets[DisplayName],
 ""
)</f>
        <v>Ship Lv 2</v>
      </c>
      <c r="C91" s="26" t="str">
        <f t="shared" si="1"/>
        <v>BLOCKED</v>
      </c>
      <c r="D91" s="26" t="b">
        <f>IFERROR(__xludf.DUMMYFUNCTION("LET(
 id,A91,
 IF(
  F91=""CHARACTER"",
  LET(
   base,REGEXREPLACE(id,""@\d+$"",""""),
   required,VALUE(REGEXEXTRACT(id,""@(\d+)$"")),
   current,XLOOKUP(
    base,
    tblPlayer[PlayerStateID],
    tblPlayer[Value],
    0
   ),
   current&gt;=required
  )"&amp;",
  IF(
   T91=""AUTO"",
   L91=0,
   COUNTIFS(
    tblChecklist[TargetID],id,
    tblChecklist[PlayerCompleted],TRUE
   )&gt;0
  )
 )
)"),FALSE)</f>
        <v>0</v>
      </c>
      <c r="E91" s="26" t="str">
        <f t="array" ref="E91">_xlfn.XLOOKUP(
 A91,
 tblTargets[TargetID],
 tblTargets[TargetType],
 ""
)</f>
        <v>BUILDING</v>
      </c>
      <c r="F91" s="26" t="str">
        <f t="array" ref="F91">_xlfn.XLOOKUP(
 A91,
 tblTargets[TargetID],
 tblTargets[StateType],
 ""
)</f>
        <v/>
      </c>
      <c r="G91" s="26">
        <f>LET(
 id,A91,
 depCount,COUNTIF(tblDependencies[TargetID],id),
 objCount,COUNTIF(tblQuestObjectives[QuestTargetID],id),
 depCount+objCount
)</f>
        <v>1</v>
      </c>
      <c r="H91" s="26">
        <f t="shared" si="2"/>
        <v>1</v>
      </c>
      <c r="I91" s="26">
        <f>IFERROR(__xludf.DUMMYFUNCTION("LET(
 id,A91,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1" s="26">
        <f t="shared" si="3"/>
        <v>0</v>
      </c>
      <c r="K91" s="26" t="b">
        <f t="shared" si="4"/>
        <v>0</v>
      </c>
      <c r="L91" s="26">
        <f t="shared" si="5"/>
        <v>1</v>
      </c>
      <c r="M91" s="26" t="str">
        <f>IFERROR(__xludf.DUMMYFUNCTION("LET(
 id,A91,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L91=0,
  """",
  IFERROR(INDEX(incomplete,1),"""")
 "&amp;")
)"),"building.ship@1")</f>
        <v>building.ship@1</v>
      </c>
      <c r="N91" s="26" t="str">
        <f t="array" ref="N91">IF(
 M91="",
 "",
 _xlfn.XLOOKUP(
  M91,
  tblTargets[TargetID],
  tblTargets[DisplayName],
  M91
 )
)</f>
        <v>Ship Lv 1</v>
      </c>
      <c r="O91" s="26" t="str">
        <f>IFERROR(__xludf.DUMMYFUNCTION("SWITCH(
 E91,
 ""BUILDING"",XLOOKUP(A91,tblBuildings[BuildingID],tblBuildings[costtext],""""),
 ""TECH"",XLOOKUP(A91,tblTechnologies[TechnologyID],tblTechnologies[costtext],""""),
 ""QUEST"",XLOOKUP(
  REGEXREPLACE(A91,""\.[^.]+$"",""""),
  tblQuests[Ques"&amp;"tID],
  tblQuests[Costtext],
  """"
 ),
 ""CITADEL"",XLOOKUP(A91,tblCitadel[CitadelID],tblCitadel[costtext],""""),
 ""COLLECTION"",XLOOKUP(A91,tblCollections[CollectionID],tblCollections[costtext],""""),
 ""CRAFTIFACT"",XLOOKUP(A91,tblCraftifacts[Craftifa"&amp;"ctID],tblCraftifacts[costtext],""""),
 """"
)"),"6 ruby,750 coin,800 plank,60 steel,1 mortar")</f>
        <v>6 ruby,750 coin,800 plank,60 steel,1 mortar</v>
      </c>
      <c r="P91" s="26" t="str">
        <f t="shared" si="6"/>
        <v>BLOCKED</v>
      </c>
      <c r="Q91" s="26" t="str">
        <f t="shared" si="7"/>
        <v>BLOCKED</v>
      </c>
      <c r="R91" s="26">
        <f t="array" ref="R91">IFERROR(
 _xlfn.XLOOKUP(
  A91,
  tblChecklist[TargetID],
  tblChecklist[PlayerSort],
  ""
 ),
 ""
)</f>
        <v>21</v>
      </c>
      <c r="S91" s="26" t="str">
        <f>IFERROR(__xludf.DUMMYFUNCTION("LET(
 id,A91,
 successorIDs,
  IFERROR(
   UNIQUE(
    FILTER(
     {
      Dependencies!$A$2:$A$1000;
      QuestObjectives!$A$2:$A$1000
     },
     {
      Dependencies!$B$2:$B$1000;
      QuestObjectives!$E$2:$E$1000
     }=id
    )
   ),
   """"
  ),"&amp;"
 names,
  MAP(
   successorIDs,
   LAMBDA(s,
    IF(
     s="""",
     """",
     XLOOKUP(
      s,
      $A$2:$A$1000,
      $B$2:$B$1000,
      s
     )
    )
   )
  ),
 IF(
  successorIDs="""",
  """",
  TEXTJOIN("", "",TRUE,names)
 )
)"),"Ship Lv 3, Shogun's Katana Chapter 4 Finished")</f>
        <v>Ship Lv 3, Shogun's Katana Chapter 4 Finished</v>
      </c>
      <c r="T91" s="26" t="str">
        <f t="array" ref="T91">_xlfn.XLOOKUP(
 A91,
 tblTargets[TargetID],
 tblTargets[CompletionMethod],
 ""
)</f>
        <v>PLAYER</v>
      </c>
      <c r="U91" s="84" t="b">
        <f>COUNTIF(tblCost[TargetID],A91)&gt;0</f>
        <v>1</v>
      </c>
      <c r="V91" s="85">
        <f t="array" ref="V91">IF(
 U91=FALSE,
 "",
 _xlfn.XLOOKUP(
  A91,
  tblCost[TargetID],
  tblCost[FundingPercent],
  ""
 )
)</f>
        <v>0</v>
      </c>
      <c r="W91" s="26">
        <f t="array" ref="W91">IF(
 U91=FALSE,
 "",
 _xlfn.XLOOKUP(
  A91,
  tblCost[TargetID],
  tblCost[RemainingRequirements],
  ""
 )
)</f>
        <v>5</v>
      </c>
      <c r="X91" s="45" t="b">
        <f t="array" ref="X91">IF(
 U91=FALSE,
 "N/A",
 _xlfn.XLOOKUP(
  A92,
  tblCost[TargetID],
  tblCost[TargetFunded],
  FALSE
 )
)</f>
        <v>0</v>
      </c>
      <c r="Y91" s="26" t="str">
        <f>IFERROR(__xludf.DUMMYFUNCTION("IFERROR(
 TEXTJOIN(
  "", "",
  TRUE,
  FILTER(
   'cost checklist'!$E$2:$E1000&amp;"": ""&amp;'cost checklist'!$G$2:$G1000,
   'cost checklist'!$B$2:$B1000=A91,
   'cost checklist'!$J$2:$J1000=FALSE
  )
 ),
 """"
)"),"coin: 750, mortar: 1, plank: 800, ruby: 6, steel: 60")</f>
        <v>coin: 750, mortar: 1, plank: 800, ruby: 6, steel: 60</v>
      </c>
      <c r="Z91" s="26" t="b">
        <f>IFERROR(__xludf.DUMMYFUNCTION("IF(
 AND(
  E91=""QUEST"",
  RIGHT(A91,9)="".accepted"",
  D91=TRUE
 ),
 XLOOKUP(
  REGEXREPLACE(A91,""\.accepted$"","""")&amp;"".finished"",
  $A$2:$A1000,
  $D$2:$D1000,
  TRUE
 )=FALSE,
 FALSE
)"),FALSE)</f>
        <v>0</v>
      </c>
      <c r="AA91" s="26" t="str">
        <f>IFERROR(__xludf.DUMMYFUNCTION("LET(
 id,A91,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2" ht="14.25" customHeight="1">
      <c r="A92" s="26" t="s">
        <v>399</v>
      </c>
      <c r="B92" s="26" t="str">
        <f t="array" ref="B92">_xlfn.XLOOKUP(
 A92,
 tblTargets[TargetID],
 tblTargets[DisplayName],
 ""
)</f>
        <v>Ship Lv 3</v>
      </c>
      <c r="C92" s="26" t="str">
        <f t="shared" si="1"/>
        <v>BLOCKED</v>
      </c>
      <c r="D92" s="26" t="b">
        <f>IFERROR(__xludf.DUMMYFUNCTION("LET(
 id,A92,
 IF(
  F92=""CHARACTER"",
  LET(
   base,REGEXREPLACE(id,""@\d+$"",""""),
   required,VALUE(REGEXEXTRACT(id,""@(\d+)$"")),
   current,XLOOKUP(
    base,
    tblPlayer[PlayerStateID],
    tblPlayer[Value],
    0
   ),
   current&gt;=required
  )"&amp;",
  IF(
   T92=""AUTO"",
   L92=0,
   COUNTIFS(
    tblChecklist[TargetID],id,
    tblChecklist[PlayerCompleted],TRUE
   )&gt;0
  )
 )
)"),FALSE)</f>
        <v>0</v>
      </c>
      <c r="E92" s="26" t="str">
        <f t="array" ref="E92">_xlfn.XLOOKUP(
 A92,
 tblTargets[TargetID],
 tblTargets[TargetType],
 ""
)</f>
        <v>BUILDING</v>
      </c>
      <c r="F92" s="26" t="str">
        <f t="array" ref="F92">_xlfn.XLOOKUP(
 A92,
 tblTargets[TargetID],
 tblTargets[StateType],
 ""
)</f>
        <v/>
      </c>
      <c r="G92" s="26">
        <f>LET(
 id,A92,
 depCount,COUNTIF(tblDependencies[TargetID],id),
 objCount,COUNTIF(tblQuestObjectives[QuestTargetID],id),
 depCount+objCount
)</f>
        <v>1</v>
      </c>
      <c r="H92" s="26">
        <f t="shared" si="2"/>
        <v>1</v>
      </c>
      <c r="I92" s="26">
        <f>IFERROR(__xludf.DUMMYFUNCTION("LET(
 id,A92,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2" s="26">
        <f t="shared" si="3"/>
        <v>0</v>
      </c>
      <c r="K92" s="26" t="b">
        <f t="shared" si="4"/>
        <v>0</v>
      </c>
      <c r="L92" s="26">
        <f t="shared" si="5"/>
        <v>1</v>
      </c>
      <c r="M92" s="26" t="str">
        <f>IFERROR(__xludf.DUMMYFUNCTION("LET(
 id,A92,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L92=0,
  """",
  IFERROR(INDEX(incomplete,1),"""")
 "&amp;")
)"),"building.ship@2")</f>
        <v>building.ship@2</v>
      </c>
      <c r="N92" s="26" t="str">
        <f t="array" ref="N92">IF(
 M92="",
 "",
 _xlfn.XLOOKUP(
  M92,
  tblTargets[TargetID],
  tblTargets[DisplayName],
  M92
 )
)</f>
        <v>Ship Lv 2</v>
      </c>
      <c r="O92" s="26" t="str">
        <f>IFERROR(__xludf.DUMMYFUNCTION("SWITCH(
 E92,
 ""BUILDING"",XLOOKUP(A92,tblBuildings[BuildingID],tblBuildings[costtext],""""),
 ""TECH"",XLOOKUP(A92,tblTechnologies[TechnologyID],tblTechnologies[costtext],""""),
 ""QUEST"",XLOOKUP(
  REGEXREPLACE(A92,""\.[^.]+$"",""""),
  tblQuests[Ques"&amp;"tID],
  tblQuests[Costtext],
  """"
 ),
 ""CITADEL"",XLOOKUP(A92,tblCitadel[CitadelID],tblCitadel[costtext],""""),
 ""COLLECTION"",XLOOKUP(A92,tblCollections[CollectionID],tblCollections[costtext],""""),
 ""CRAFTIFACT"",XLOOKUP(A92,tblCraftifacts[Craftifa"&amp;"ctID],tblCraftifacts[costtext],""""),
 """"
)"),"9 ruby,1000 coin,1000 plank,1 anchor,1 spices")</f>
        <v>9 ruby,1000 coin,1000 plank,1 anchor,1 spices</v>
      </c>
      <c r="P92" s="26" t="str">
        <f t="shared" si="6"/>
        <v>BLOCKED</v>
      </c>
      <c r="Q92" s="26" t="str">
        <f t="shared" si="7"/>
        <v>BLOCKED</v>
      </c>
      <c r="R92" s="26">
        <f t="array" ref="R92">IFERROR(
 _xlfn.XLOOKUP(
  A92,
  tblChecklist[TargetID],
  tblChecklist[PlayerSort],
  ""
 ),
 ""
)</f>
        <v>22</v>
      </c>
      <c r="S92" s="26" t="str">
        <f>IFERROR(__xludf.DUMMYFUNCTION("LET(
 id,A92,
 successorIDs,
  IFERROR(
   UNIQUE(
    FILTER(
     {
      Dependencies!$A$2:$A$1000;
      QuestObjectives!$A$2:$A$1000
     },
     {
      Dependencies!$B$2:$B$1000;
      QuestObjectives!$E$2:$E$1000
     }=id
    )
   ),
   """"
  ),"&amp;"
 names,
  MAP(
   successorIDs,
   LAMBDA(s,
    IF(
     s="""",
     """",
     XLOOKUP(
      s,
      $A$2:$A$1000,
      $B$2:$B$1000,
      s
     )
    )
   )
  ),
 IF(
  successorIDs="""",
  """",
  TEXTJOIN("", "",TRUE,names)
 )
)"),"Ship Lv 4, Shogun's Katana Chapter 5 Finished, Shogun's Katana Chapter 6 Finished")</f>
        <v>Ship Lv 4, Shogun's Katana Chapter 5 Finished, Shogun's Katana Chapter 6 Finished</v>
      </c>
      <c r="T92" s="26" t="str">
        <f t="array" ref="T92">_xlfn.XLOOKUP(
 A92,
 tblTargets[TargetID],
 tblTargets[CompletionMethod],
 ""
)</f>
        <v>PLAYER</v>
      </c>
      <c r="U92" s="84" t="b">
        <f>COUNTIF(tblCost[TargetID],A92)&gt;0</f>
        <v>1</v>
      </c>
      <c r="V92" s="85">
        <f t="array" ref="V92">IF(
 U92=FALSE,
 "",
 _xlfn.XLOOKUP(
  A92,
  tblCost[TargetID],
  tblCost[FundingPercent],
  ""
 )
)</f>
        <v>0</v>
      </c>
      <c r="W92" s="26">
        <f t="array" ref="W92">IF(
 U92=FALSE,
 "",
 _xlfn.XLOOKUP(
  A92,
  tblCost[TargetID],
  tblCost[RemainingRequirements],
  ""
 )
)</f>
        <v>5</v>
      </c>
      <c r="X92" s="45" t="b">
        <f t="array" ref="X92">IF(
 U92=FALSE,
 "N/A",
 _xlfn.XLOOKUP(
  A93,
  tblCost[TargetID],
  tblCost[TargetFunded],
  FALSE
 )
)</f>
        <v>0</v>
      </c>
      <c r="Y92" s="26" t="str">
        <f>IFERROR(__xludf.DUMMYFUNCTION("IFERROR(
 TEXTJOIN(
  "", "",
  TRUE,
  FILTER(
   'cost checklist'!$E$2:$E1000&amp;"": ""&amp;'cost checklist'!$G$2:$G1000,
   'cost checklist'!$B$2:$B1000=A92,
   'cost checklist'!$J$2:$J1000=FALSE
  )
 ),
 """"
)"),"anchor: 1, coin: 1000, plank: 1000, ruby: 9, spices: 1")</f>
        <v>anchor: 1, coin: 1000, plank: 1000, ruby: 9, spices: 1</v>
      </c>
      <c r="Z92" s="26" t="b">
        <f>IFERROR(__xludf.DUMMYFUNCTION("IF(
 AND(
  E92=""QUEST"",
  RIGHT(A92,9)="".accepted"",
  D92=TRUE
 ),
 XLOOKUP(
  REGEXREPLACE(A92,""\.accepted$"","""")&amp;"".finished"",
  $A$2:$A1000,
  $D$2:$D1000,
  TRUE
 )=FALSE,
 FALSE
)"),FALSE)</f>
        <v>0</v>
      </c>
      <c r="AA92" s="26" t="str">
        <f>IFERROR(__xludf.DUMMYFUNCTION("LET(
 id,A92,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3" ht="14.25" customHeight="1">
      <c r="A93" s="26" t="s">
        <v>402</v>
      </c>
      <c r="B93" s="26" t="str">
        <f t="array" ref="B93">_xlfn.XLOOKUP(
 A93,
 tblTargets[TargetID],
 tblTargets[DisplayName],
 ""
)</f>
        <v>Ship Lv 4</v>
      </c>
      <c r="C93" s="26" t="str">
        <f t="shared" si="1"/>
        <v>BLOCKED</v>
      </c>
      <c r="D93" s="26" t="b">
        <f>IFERROR(__xludf.DUMMYFUNCTION("LET(
 id,A93,
 IF(
  F93=""CHARACTER"",
  LET(
   base,REGEXREPLACE(id,""@\d+$"",""""),
   required,VALUE(REGEXEXTRACT(id,""@(\d+)$"")),
   current,XLOOKUP(
    base,
    tblPlayer[PlayerStateID],
    tblPlayer[Value],
    0
   ),
   current&gt;=required
  )"&amp;",
  IF(
   T93=""AUTO"",
   L93=0,
   COUNTIFS(
    tblChecklist[TargetID],id,
    tblChecklist[PlayerCompleted],TRUE
   )&gt;0
  )
 )
)"),FALSE)</f>
        <v>0</v>
      </c>
      <c r="E93" s="26" t="str">
        <f t="array" ref="E93">_xlfn.XLOOKUP(
 A93,
 tblTargets[TargetID],
 tblTargets[TargetType],
 ""
)</f>
        <v>BUILDING</v>
      </c>
      <c r="F93" s="26" t="str">
        <f t="array" ref="F93">_xlfn.XLOOKUP(
 A93,
 tblTargets[TargetID],
 tblTargets[StateType],
 ""
)</f>
        <v/>
      </c>
      <c r="G93" s="26">
        <f>LET(
 id,A93,
 depCount,COUNTIF(tblDependencies[TargetID],id),
 objCount,COUNTIF(tblQuestObjectives[QuestTargetID],id),
 depCount+objCount
)</f>
        <v>1</v>
      </c>
      <c r="H93" s="26">
        <f t="shared" si="2"/>
        <v>1</v>
      </c>
      <c r="I93" s="26">
        <f>IFERROR(__xludf.DUMMYFUNCTION("LET(
 id,A93,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3" s="26">
        <f t="shared" si="3"/>
        <v>0</v>
      </c>
      <c r="K93" s="26" t="b">
        <f t="shared" si="4"/>
        <v>0</v>
      </c>
      <c r="L93" s="26">
        <f t="shared" si="5"/>
        <v>1</v>
      </c>
      <c r="M93" s="26" t="str">
        <f>IFERROR(__xludf.DUMMYFUNCTION("LET(
 id,A93,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L93=0,
  """",
  IFERROR(INDEX(incomplete,1),"""")
 "&amp;")
)"),"building.ship@3")</f>
        <v>building.ship@3</v>
      </c>
      <c r="N93" s="26" t="str">
        <f t="array" ref="N93">IF(
 M93="",
 "",
 _xlfn.XLOOKUP(
  M93,
  tblTargets[TargetID],
  tblTargets[DisplayName],
  M93
 )
)</f>
        <v>Ship Lv 3</v>
      </c>
      <c r="O93" s="26" t="str">
        <f>IFERROR(__xludf.DUMMYFUNCTION("SWITCH(
 E93,
 ""BUILDING"",XLOOKUP(A93,tblBuildings[BuildingID],tblBuildings[costtext],""""),
 ""TECH"",XLOOKUP(A93,tblTechnologies[TechnologyID],tblTechnologies[costtext],""""),
 ""QUEST"",XLOOKUP(
  REGEXREPLACE(A93,""\.[^.]+$"",""""),
  tblQuests[Ques"&amp;"tID],
  tblQuests[Costtext],
  """"
 ),
 ""CITADEL"",XLOOKUP(A93,tblCitadel[CitadelID],tblCitadel[costtext],""""),
 ""COLLECTION"",XLOOKUP(A93,tblCollections[CollectionID],tblCollections[costtext],""""),
 ""CRAFTIFACT"",XLOOKUP(A93,tblCraftifacts[Craftifa"&amp;"ctID],tblCraftifacts[costtext],""""),
 """"
)"),"10 ruby,1000 coin,1000 plank,2 spices,200 gunpowder")</f>
        <v>10 ruby,1000 coin,1000 plank,2 spices,200 gunpowder</v>
      </c>
      <c r="P93" s="26" t="str">
        <f t="shared" si="6"/>
        <v>BLOCKED</v>
      </c>
      <c r="Q93" s="26" t="str">
        <f t="shared" si="7"/>
        <v>BLOCKED</v>
      </c>
      <c r="R93" s="26">
        <f t="array" ref="R93">IFERROR(
 _xlfn.XLOOKUP(
  A93,
  tblChecklist[TargetID],
  tblChecklist[PlayerSort],
  ""
 ),
 ""
)</f>
        <v>24</v>
      </c>
      <c r="S93" s="26" t="str">
        <f>IFERROR(__xludf.DUMMYFUNCTION("LET(
 id,A93,
 successorIDs,
  IFERROR(
   UNIQUE(
    FILTER(
     {
      Dependencies!$A$2:$A$1000;
      QuestObjectives!$A$2:$A$1000
     },
     {
      Dependencies!$B$2:$B$1000;
      QuestObjectives!$E$2:$E$1000
     }=id
    )
   ),
   """"
  ),"&amp;"
 names,
  MAP(
   successorIDs,
   LAMBDA(s,
    IF(
     s="""",
     """",
     XLOOKUP(
      s,
      $A$2:$A$1000,
      $B$2:$B$1000,
      s
     )
    )
   )
  ),
 IF(
  successorIDs="""",
  """",
  TEXTJOIN("", "",TRUE,names)
 )
)"),"Astrolabe, Spicy Odyssey Finished")</f>
        <v>Astrolabe, Spicy Odyssey Finished</v>
      </c>
      <c r="T93" s="26" t="str">
        <f t="array" ref="T93">_xlfn.XLOOKUP(
 A93,
 tblTargets[TargetID],
 tblTargets[CompletionMethod],
 ""
)</f>
        <v>PLAYER</v>
      </c>
      <c r="U93" s="84" t="b">
        <f>COUNTIF(tblCost[TargetID],A93)&gt;0</f>
        <v>1</v>
      </c>
      <c r="V93" s="85">
        <f t="array" ref="V93">IF(
 U93=FALSE,
 "",
 _xlfn.XLOOKUP(
  A93,
  tblCost[TargetID],
  tblCost[FundingPercent],
  ""
 )
)</f>
        <v>0</v>
      </c>
      <c r="W93" s="26">
        <f t="array" ref="W93">IF(
 U93=FALSE,
 "",
 _xlfn.XLOOKUP(
  A93,
  tblCost[TargetID],
  tblCost[RemainingRequirements],
  ""
 )
)</f>
        <v>5</v>
      </c>
      <c r="X93" s="45" t="b">
        <f t="array" ref="X93">IF(
 U93=FALSE,
 "N/A",
 _xlfn.XLOOKUP(
  A94,
  tblCost[TargetID],
  tblCost[TargetFunded],
  FALSE
 )
)</f>
        <v>0</v>
      </c>
      <c r="Y93" s="26" t="str">
        <f>IFERROR(__xludf.DUMMYFUNCTION("IFERROR(
 TEXTJOIN(
  "", "",
  TRUE,
  FILTER(
   'cost checklist'!$E$2:$E1000&amp;"": ""&amp;'cost checklist'!$G$2:$G1000,
   'cost checklist'!$B$2:$B1000=A93,
   'cost checklist'!$J$2:$J1000=FALSE
  )
 ),
 """"
)"),"coin: 1000, gunpowder: 200, plank: 1000, ruby: 10, spices: 2")</f>
        <v>coin: 1000, gunpowder: 200, plank: 1000, ruby: 10, spices: 2</v>
      </c>
      <c r="Z93" s="26" t="b">
        <f>IFERROR(__xludf.DUMMYFUNCTION("IF(
 AND(
  E93=""QUEST"",
  RIGHT(A93,9)="".accepted"",
  D93=TRUE
 ),
 XLOOKUP(
  REGEXREPLACE(A93,""\.accepted$"","""")&amp;"".finished"",
  $A$2:$A1000,
  $D$2:$D1000,
  TRUE
 )=FALSE,
 FALSE
)"),FALSE)</f>
        <v>0</v>
      </c>
      <c r="AA93" s="26" t="str">
        <f>IFERROR(__xludf.DUMMYFUNCTION("LET(
 id,A93,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4" ht="14.25" customHeight="1">
      <c r="A94" s="26" t="s">
        <v>854</v>
      </c>
      <c r="B94" s="26" t="str">
        <f t="array" ref="B94">_xlfn.XLOOKUP(
 A94,
 tblTargets[TargetID],
 tblTargets[DisplayName],
 ""
)</f>
        <v>shop maxed</v>
      </c>
      <c r="C94" s="26" t="str">
        <f t="shared" si="1"/>
        <v>BLOCKED</v>
      </c>
      <c r="D94" s="26" t="b">
        <f>IFERROR(__xludf.DUMMYFUNCTION("LET(
 id,A94,
 IF(
  F94=""CHARACTER"",
  LET(
   base,REGEXREPLACE(id,""@\d+$"",""""),
   required,VALUE(REGEXEXTRACT(id,""@(\d+)$"")),
   current,XLOOKUP(
    base,
    tblPlayer[PlayerStateID],
    tblPlayer[Value],
    0
   ),
   current&gt;=required
  )"&amp;",
  IF(
   T94=""AUTO"",
   L94=0,
   COUNTIFS(
    tblChecklist[TargetID],id,
    tblChecklist[PlayerCompleted],TRUE
   )&gt;0
  )
 )
)"),FALSE)</f>
        <v>0</v>
      </c>
      <c r="E94" s="26" t="str">
        <f t="array" ref="E94">_xlfn.XLOOKUP(
 A94,
 tblTargets[TargetID],
 tblTargets[TargetType],
 ""
)</f>
        <v>BUILDING</v>
      </c>
      <c r="F94" s="26" t="str">
        <f t="array" ref="F94">_xlfn.XLOOKUP(
 A94,
 tblTargets[TargetID],
 tblTargets[StateType],
 ""
)</f>
        <v/>
      </c>
      <c r="G94" s="26">
        <f>LET(
 id,A94,
 depCount,COUNTIF(tblDependencies[TargetID],id),
 objCount,COUNTIF(tblQuestObjectives[QuestTargetID],id),
 depCount+objCount
)</f>
        <v>1</v>
      </c>
      <c r="H94" s="26">
        <f t="shared" si="2"/>
        <v>1</v>
      </c>
      <c r="I94" s="26">
        <f>IFERROR(__xludf.DUMMYFUNCTION("LET(
 id,A94,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4" s="26">
        <f t="shared" si="3"/>
        <v>0</v>
      </c>
      <c r="K94" s="26" t="b">
        <f t="shared" si="4"/>
        <v>0</v>
      </c>
      <c r="L94" s="26">
        <f t="shared" si="5"/>
        <v>1</v>
      </c>
      <c r="M94" s="26" t="str">
        <f>IFERROR(__xludf.DUMMYFUNCTION("LET(
 id,A94,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L94=0,
  """",
  IFERROR(INDEX(incomplete,1),"""")
 "&amp;")
)"),"building.shop@3")</f>
        <v>building.shop@3</v>
      </c>
      <c r="N94" s="26" t="str">
        <f t="array" ref="N94">IF(
 M94="",
 "",
 _xlfn.XLOOKUP(
  M94,
  tblTargets[TargetID],
  tblTargets[DisplayName],
  M94
 )
)</f>
        <v>Shop Lv 3</v>
      </c>
      <c r="O94" s="26" t="str">
        <f>IFERROR(__xludf.DUMMYFUNCTION("SWITCH(
 E94,
 ""BUILDING"",XLOOKUP(A94,tblBuildings[BuildingID],tblBuildings[costtext],""""),
 ""TECH"",XLOOKUP(A94,tblTechnologies[TechnologyID],tblTechnologies[costtext],""""),
 ""QUEST"",XLOOKUP(
  REGEXREPLACE(A94,""\.[^.]+$"",""""),
  tblQuests[Ques"&amp;"tID],
  tblQuests[Costtext],
  """"
 ),
 ""CITADEL"",XLOOKUP(A94,tblCitadel[CitadelID],tblCitadel[costtext],""""),
 ""COLLECTION"",XLOOKUP(A94,tblCollections[CollectionID],tblCollections[costtext],""""),
 ""CRAFTIFACT"",XLOOKUP(A94,tblCraftifacts[Craftifa"&amp;"ctID],tblCraftifacts[costtext],""""),
 """"
)"),"")</f>
        <v/>
      </c>
      <c r="P94" s="26" t="str">
        <f t="shared" si="6"/>
        <v>BLOCKED</v>
      </c>
      <c r="Q94" s="26" t="str">
        <f t="shared" si="7"/>
        <v>BLOCKED</v>
      </c>
      <c r="R94" s="26" t="str">
        <f t="array" ref="R94">IFERROR(
 _xlfn.XLOOKUP(
  A94,
  tblChecklist[TargetID],
  tblChecklist[PlayerSort],
  ""
 ),
 ""
)</f>
        <v/>
      </c>
      <c r="S94" s="26" t="str">
        <f>IFERROR(__xludf.DUMMYFUNCTION("LET(
 id,A94,
 successorIDs,
  IFERROR(
   UNIQUE(
    FILTER(
     {
      Dependencies!$A$2:$A$1000;
      QuestObjectives!$A$2:$A$1000
     },
     {
      Dependencies!$B$2:$B$1000;
      QuestObjectives!$E$2:$E$1000
     }=id
    )
   ),
   """"
  ),"&amp;"
 names,
  MAP(
   successorIDs,
   LAMBDA(s,
    IF(
     s="""",
     """",
     XLOOKUP(
      s,
      $A$2:$A$1000,
      $B$2:$B$1000,
      s
     )
    )
   )
  ),
 IF(
  successorIDs="""",
  """",
  TEXTJOIN("", "",TRUE,names)
 )
)"),"Shop - Glass Recycling, Shop - Pre Orders")</f>
        <v>Shop - Glass Recycling, Shop - Pre Orders</v>
      </c>
      <c r="T94" s="26" t="str">
        <f t="array" ref="T94">_xlfn.XLOOKUP(
 A94,
 tblTargets[TargetID],
 tblTargets[CompletionMethod],
 ""
)</f>
        <v>AUTO</v>
      </c>
      <c r="U94" s="84" t="b">
        <f>COUNTIF(tblCost[TargetID],A94)&gt;0</f>
        <v>0</v>
      </c>
      <c r="V94" s="85" t="str">
        <f t="array" ref="V94">IF(
 U94=FALSE,
 "",
 _xlfn.XLOOKUP(
  A94,
  tblCost[TargetID],
  tblCost[FundingPercent],
  ""
 )
)</f>
        <v/>
      </c>
      <c r="W94" s="26" t="str">
        <f t="array" ref="W94">IF(
 U94=FALSE,
 "",
 _xlfn.XLOOKUP(
  A94,
  tblCost[TargetID],
  tblCost[RemainingRequirements],
  ""
 )
)</f>
        <v/>
      </c>
      <c r="X94" s="45" t="str">
        <f t="array" ref="X94">IF(
 U94=FALSE,
 "N/A",
 _xlfn.XLOOKUP(
  A95,
  tblCost[TargetID],
  tblCost[TargetFunded],
  FALSE
 )
)</f>
        <v>N/A</v>
      </c>
      <c r="Y94" s="26" t="str">
        <f>IFERROR(__xludf.DUMMYFUNCTION("IFERROR(
 TEXTJOIN(
  "", "",
  TRUE,
  FILTER(
   'cost checklist'!$E$2:$E1000&amp;"": ""&amp;'cost checklist'!$G$2:$G1000,
   'cost checklist'!$B$2:$B1000=A94,
   'cost checklist'!$J$2:$J1000=FALSE
  )
 ),
 """"
)"),"")</f>
        <v/>
      </c>
      <c r="Z94" s="26" t="b">
        <f>IFERROR(__xludf.DUMMYFUNCTION("IF(
 AND(
  E94=""QUEST"",
  RIGHT(A94,9)="".accepted"",
  D94=TRUE
 ),
 XLOOKUP(
  REGEXREPLACE(A94,""\.accepted$"","""")&amp;"".finished"",
  $A$2:$A1000,
  $D$2:$D1000,
  TRUE
 )=FALSE,
 FALSE
)"),FALSE)</f>
        <v>0</v>
      </c>
      <c r="AA94" s="26" t="str">
        <f>IFERROR(__xludf.DUMMYFUNCTION("LET(
 id,A94,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5" ht="14.25" customHeight="1">
      <c r="A95" s="26" t="s">
        <v>404</v>
      </c>
      <c r="B95" s="26" t="str">
        <f t="array" ref="B95">_xlfn.XLOOKUP(
 A95,
 tblTargets[TargetID],
 tblTargets[DisplayName],
 ""
)</f>
        <v>Shop Lv 1</v>
      </c>
      <c r="C95" s="26" t="str">
        <f t="shared" si="1"/>
        <v>BLOCKED</v>
      </c>
      <c r="D95" s="26" t="b">
        <f>IFERROR(__xludf.DUMMYFUNCTION("LET(
 id,A95,
 IF(
  F95=""CHARACTER"",
  LET(
   base,REGEXREPLACE(id,""@\d+$"",""""),
   required,VALUE(REGEXEXTRACT(id,""@(\d+)$"")),
   current,XLOOKUP(
    base,
    tblPlayer[PlayerStateID],
    tblPlayer[Value],
    0
   ),
   current&gt;=required
  )"&amp;",
  IF(
   T95=""AUTO"",
   L95=0,
   COUNTIFS(
    tblChecklist[TargetID],id,
    tblChecklist[PlayerCompleted],TRUE
   )&gt;0
  )
 )
)"),FALSE)</f>
        <v>0</v>
      </c>
      <c r="E95" s="26" t="str">
        <f t="array" ref="E95">_xlfn.XLOOKUP(
 A95,
 tblTargets[TargetID],
 tblTargets[TargetType],
 ""
)</f>
        <v>BUILDING</v>
      </c>
      <c r="F95" s="26" t="str">
        <f t="array" ref="F95">_xlfn.XLOOKUP(
 A95,
 tblTargets[TargetID],
 tblTargets[StateType],
 ""
)</f>
        <v/>
      </c>
      <c r="G95" s="26">
        <f>LET(
 id,A95,
 depCount,COUNTIF(tblDependencies[TargetID],id),
 objCount,COUNTIF(tblQuestObjectives[QuestTargetID],id),
 depCount+objCount
)</f>
        <v>1</v>
      </c>
      <c r="H95" s="26">
        <f t="shared" si="2"/>
        <v>1</v>
      </c>
      <c r="I95" s="26">
        <f>IFERROR(__xludf.DUMMYFUNCTION("LET(
 id,A95,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5" s="26">
        <f t="shared" si="3"/>
        <v>0</v>
      </c>
      <c r="K95" s="26" t="b">
        <f t="shared" si="4"/>
        <v>0</v>
      </c>
      <c r="L95" s="26">
        <f t="shared" si="5"/>
        <v>1</v>
      </c>
      <c r="M95" s="26" t="str">
        <f>IFERROR(__xludf.DUMMYFUNCTION("LET(
 id,A95,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L95=0,
  """",
  IFERROR(INDEX(incomplete,1),"""")
 "&amp;")
)"),"state.character_level@3")</f>
        <v>state.character_level@3</v>
      </c>
      <c r="N95" s="26" t="str">
        <f t="array" ref="N95">IF(
 M95="",
 "",
 _xlfn.XLOOKUP(
  M95,
  tblTargets[TargetID],
  tblTargets[DisplayName],
  M95
 )
)</f>
        <v>Character Level@3</v>
      </c>
      <c r="O95" s="26" t="str">
        <f>IFERROR(__xludf.DUMMYFUNCTION("SWITCH(
 E95,
 ""BUILDING"",XLOOKUP(A95,tblBuildings[BuildingID],tblBuildings[costtext],""""),
 ""TECH"",XLOOKUP(A95,tblTechnologies[TechnologyID],tblTechnologies[costtext],""""),
 ""QUEST"",XLOOKUP(
  REGEXREPLACE(A95,""\.[^.]+$"",""""),
  tblQuests[Ques"&amp;"tID],
  tblQuests[Costtext],
  """"
 ),
 ""CITADEL"",XLOOKUP(A95,tblCitadel[CitadelID],tblCitadel[costtext],""""),
 ""COLLECTION"",XLOOKUP(A95,tblCollections[CollectionID],tblCollections[costtext],""""),
 ""CRAFTIFACT"",XLOOKUP(A95,tblCraftifacts[Craftifa"&amp;"ctID],tblCraftifacts[costtext],""""),
 """"
)"),"1 ruby,100 coin,20 wood,20 stone")</f>
        <v>1 ruby,100 coin,20 wood,20 stone</v>
      </c>
      <c r="P95" s="26" t="str">
        <f t="shared" si="6"/>
        <v>READY</v>
      </c>
      <c r="Q95" s="26" t="str">
        <f t="shared" si="7"/>
        <v>ONE AWAY</v>
      </c>
      <c r="R95" s="26">
        <f t="array" ref="R95">IFERROR(
 _xlfn.XLOOKUP(
  A95,
  tblChecklist[TargetID],
  tblChecklist[PlayerSort],
  ""
 ),
 ""
)</f>
        <v>3</v>
      </c>
      <c r="S95" s="26" t="str">
        <f>IFERROR(__xludf.DUMMYFUNCTION("LET(
 id,A95,
 successorIDs,
  IFERROR(
   UNIQUE(
    FILTER(
     {
      Dependencies!$A$2:$A$1000;
      QuestObjectives!$A$2:$A$1000
     },
     {
      Dependencies!$B$2:$B$1000;
      QuestObjectives!$E$2:$E$1000
     }=id
    )
   ),
   """"
  ),"&amp;"
 names,
  MAP(
   successorIDs,
   LAMBDA(s,
    IF(
     s="""",
     """",
     XLOOKUP(
      s,
      $A$2:$A$1000,
      $B$2:$B$1000,
      s
     )
    )
   )
  ),
 IF(
  successorIDs="""",
  """",
  TEXTJOIN("", "",TRUE,names)
 )
)"),"Shop Lv 2")</f>
        <v>Shop Lv 2</v>
      </c>
      <c r="T95" s="26" t="str">
        <f t="array" ref="T95">_xlfn.XLOOKUP(
 A95,
 tblTargets[TargetID],
 tblTargets[CompletionMethod],
 ""
)</f>
        <v>PLAYER</v>
      </c>
      <c r="U95" s="84" t="b">
        <f>COUNTIF(tblCost[TargetID],A95)&gt;0</f>
        <v>1</v>
      </c>
      <c r="V95" s="85">
        <f t="array" ref="V95">IF(
 U95=FALSE,
 "",
 _xlfn.XLOOKUP(
  A95,
  tblCost[TargetID],
  tblCost[FundingPercent],
  ""
 )
)</f>
        <v>0</v>
      </c>
      <c r="W95" s="26">
        <f t="array" ref="W95">IF(
 U95=FALSE,
 "",
 _xlfn.XLOOKUP(
  A95,
  tblCost[TargetID],
  tblCost[RemainingRequirements],
  ""
 )
)</f>
        <v>4</v>
      </c>
      <c r="X95" s="45" t="b">
        <f t="array" ref="X95">IF(
 U95=FALSE,
 "N/A",
 _xlfn.XLOOKUP(
  A96,
  tblCost[TargetID],
  tblCost[TargetFunded],
  FALSE
 )
)</f>
        <v>0</v>
      </c>
      <c r="Y95" s="26" t="str">
        <f>IFERROR(__xludf.DUMMYFUNCTION("IFERROR(
 TEXTJOIN(
  "", "",
  TRUE,
  FILTER(
   'cost checklist'!$E$2:$E1000&amp;"": ""&amp;'cost checklist'!$G$2:$G1000,
   'cost checklist'!$B$2:$B1000=A95,
   'cost checklist'!$J$2:$J1000=FALSE
  )
 ),
 """"
)"),"coin: 100, ruby: 1, stone: 20, wood: 20")</f>
        <v>coin: 100, ruby: 1, stone: 20, wood: 20</v>
      </c>
      <c r="Z95" s="26" t="b">
        <f>IFERROR(__xludf.DUMMYFUNCTION("IF(
 AND(
  E95=""QUEST"",
  RIGHT(A95,9)="".accepted"",
  D95=TRUE
 ),
 XLOOKUP(
  REGEXREPLACE(A95,""\.accepted$"","""")&amp;"".finished"",
  $A$2:$A1000,
  $D$2:$D1000,
  TRUE
 )=FALSE,
 FALSE
)"),FALSE)</f>
        <v>0</v>
      </c>
      <c r="AA95" s="26" t="str">
        <f>IFERROR(__xludf.DUMMYFUNCTION("LET(
 id,A95,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6" ht="14.25" customHeight="1">
      <c r="A96" s="26" t="s">
        <v>406</v>
      </c>
      <c r="B96" s="26" t="str">
        <f t="array" ref="B96">_xlfn.XLOOKUP(
 A96,
 tblTargets[TargetID],
 tblTargets[DisplayName],
 ""
)</f>
        <v>Shop Lv 2</v>
      </c>
      <c r="C96" s="26" t="str">
        <f t="shared" si="1"/>
        <v>BLOCKED</v>
      </c>
      <c r="D96" s="26" t="b">
        <f>IFERROR(__xludf.DUMMYFUNCTION("LET(
 id,A96,
 IF(
  F96=""CHARACTER"",
  LET(
   base,REGEXREPLACE(id,""@\d+$"",""""),
   required,VALUE(REGEXEXTRACT(id,""@(\d+)$"")),
   current,XLOOKUP(
    base,
    tblPlayer[PlayerStateID],
    tblPlayer[Value],
    0
   ),
   current&gt;=required
  )"&amp;",
  IF(
   T96=""AUTO"",
   L96=0,
   COUNTIFS(
    tblChecklist[TargetID],id,
    tblChecklist[PlayerCompleted],TRUE
   )&gt;0
  )
 )
)"),FALSE)</f>
        <v>0</v>
      </c>
      <c r="E96" s="26" t="str">
        <f t="array" ref="E96">_xlfn.XLOOKUP(
 A96,
 tblTargets[TargetID],
 tblTargets[TargetType],
 ""
)</f>
        <v>BUILDING</v>
      </c>
      <c r="F96" s="26" t="str">
        <f t="array" ref="F96">_xlfn.XLOOKUP(
 A96,
 tblTargets[TargetID],
 tblTargets[StateType],
 ""
)</f>
        <v/>
      </c>
      <c r="G96" s="26">
        <f>LET(
 id,A96,
 depCount,COUNTIF(tblDependencies[TargetID],id),
 objCount,COUNTIF(tblQuestObjectives[QuestTargetID],id),
 depCount+objCount
)</f>
        <v>1</v>
      </c>
      <c r="H96" s="26">
        <f t="shared" si="2"/>
        <v>1</v>
      </c>
      <c r="I96" s="26">
        <f>IFERROR(__xludf.DUMMYFUNCTION("LET(
 id,A96,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6" s="26">
        <f t="shared" si="3"/>
        <v>0</v>
      </c>
      <c r="K96" s="26" t="b">
        <f t="shared" si="4"/>
        <v>0</v>
      </c>
      <c r="L96" s="26">
        <f t="shared" si="5"/>
        <v>1</v>
      </c>
      <c r="M96" s="26" t="str">
        <f>IFERROR(__xludf.DUMMYFUNCTION("LET(
 id,A96,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L96=0,
  """",
  IFERROR(INDEX(incomplete,1),"""")
 "&amp;")
)"),"building.shop@1")</f>
        <v>building.shop@1</v>
      </c>
      <c r="N96" s="26" t="str">
        <f t="array" ref="N96">IF(
 M96="",
 "",
 _xlfn.XLOOKUP(
  M96,
  tblTargets[TargetID],
  tblTargets[DisplayName],
  M96
 )
)</f>
        <v>Shop Lv 1</v>
      </c>
      <c r="O96" s="26" t="str">
        <f>IFERROR(__xludf.DUMMYFUNCTION("SWITCH(
 E96,
 ""BUILDING"",XLOOKUP(A96,tblBuildings[BuildingID],tblBuildings[costtext],""""),
 ""TECH"",XLOOKUP(A96,tblTechnologies[TechnologyID],tblTechnologies[costtext],""""),
 ""QUEST"",XLOOKUP(
  REGEXREPLACE(A96,""\.[^.]+$"",""""),
  tblQuests[Ques"&amp;"tID],
  tblQuests[Costtext],
  """"
 ),
 ""CITADEL"",XLOOKUP(A96,tblCitadel[CitadelID],tblCitadel[costtext],""""),
 ""COLLECTION"",XLOOKUP(A96,tblCollections[CollectionID],tblCollections[costtext],""""),
 ""CRAFTIFACT"",XLOOKUP(A96,tblCraftifacts[Craftifa"&amp;"ctID],tblCraftifacts[costtext],""""),
 """"
)"),"2 ruby,400 coin,80 wood,80 stone")</f>
        <v>2 ruby,400 coin,80 wood,80 stone</v>
      </c>
      <c r="P96" s="26" t="str">
        <f t="shared" si="6"/>
        <v>BLOCKED</v>
      </c>
      <c r="Q96" s="26" t="str">
        <f t="shared" si="7"/>
        <v>BLOCKED</v>
      </c>
      <c r="R96" s="26">
        <f t="array" ref="R96">IFERROR(
 _xlfn.XLOOKUP(
  A96,
  tblChecklist[TargetID],
  tblChecklist[PlayerSort],
  ""
 ),
 ""
)</f>
        <v>100</v>
      </c>
      <c r="S96" s="26" t="str">
        <f>IFERROR(__xludf.DUMMYFUNCTION("LET(
 id,A96,
 successorIDs,
  IFERROR(
   UNIQUE(
    FILTER(
     {
      Dependencies!$A$2:$A$1000;
      QuestObjectives!$A$2:$A$1000
     },
     {
      Dependencies!$B$2:$B$1000;
      QuestObjectives!$E$2:$E$1000
     }=id
    )
   ),
   """"
  ),"&amp;"
 names,
  MAP(
   successorIDs,
   LAMBDA(s,
    IF(
     s="""",
     """",
     XLOOKUP(
      s,
      $A$2:$A$1000,
      $B$2:$B$1000,
      s
     )
    )
   )
  ),
 IF(
  successorIDs="""",
  """",
  TEXTJOIN("", "",TRUE,names)
 )
)"),"Shop Lv 3")</f>
        <v>Shop Lv 3</v>
      </c>
      <c r="T96" s="26" t="str">
        <f t="array" ref="T96">_xlfn.XLOOKUP(
 A96,
 tblTargets[TargetID],
 tblTargets[CompletionMethod],
 ""
)</f>
        <v>PLAYER</v>
      </c>
      <c r="U96" s="84" t="b">
        <f>COUNTIF(tblCost[TargetID],A96)&gt;0</f>
        <v>1</v>
      </c>
      <c r="V96" s="85">
        <f t="array" ref="V96">IF(
 U96=FALSE,
 "",
 _xlfn.XLOOKUP(
  A96,
  tblCost[TargetID],
  tblCost[FundingPercent],
  ""
 )
)</f>
        <v>0</v>
      </c>
      <c r="W96" s="26">
        <f t="array" ref="W96">IF(
 U96=FALSE,
 "",
 _xlfn.XLOOKUP(
  A96,
  tblCost[TargetID],
  tblCost[RemainingRequirements],
  ""
 )
)</f>
        <v>4</v>
      </c>
      <c r="X96" s="45" t="b">
        <f t="array" ref="X96">IF(
 U96=FALSE,
 "N/A",
 _xlfn.XLOOKUP(
  A97,
  tblCost[TargetID],
  tblCost[TargetFunded],
  FALSE
 )
)</f>
        <v>0</v>
      </c>
      <c r="Y96" s="26" t="str">
        <f>IFERROR(__xludf.DUMMYFUNCTION("IFERROR(
 TEXTJOIN(
  "", "",
  TRUE,
  FILTER(
   'cost checklist'!$E$2:$E1000&amp;"": ""&amp;'cost checklist'!$G$2:$G1000,
   'cost checklist'!$B$2:$B1000=A96,
   'cost checklist'!$J$2:$J1000=FALSE
  )
 ),
 """"
)"),"coin: 400, ruby: 2, stone: 80, wood: 80")</f>
        <v>coin: 400, ruby: 2, stone: 80, wood: 80</v>
      </c>
      <c r="Z96" s="26" t="b">
        <f>IFERROR(__xludf.DUMMYFUNCTION("IF(
 AND(
  E96=""QUEST"",
  RIGHT(A96,9)="".accepted"",
  D96=TRUE
 ),
 XLOOKUP(
  REGEXREPLACE(A96,""\.accepted$"","""")&amp;"".finished"",
  $A$2:$A1000,
  $D$2:$D1000,
  TRUE
 )=FALSE,
 FALSE
)"),FALSE)</f>
        <v>0</v>
      </c>
      <c r="AA96" s="26" t="str">
        <f>IFERROR(__xludf.DUMMYFUNCTION("LET(
 id,A96,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7" ht="14.25" customHeight="1">
      <c r="A97" s="26" t="s">
        <v>408</v>
      </c>
      <c r="B97" s="26" t="str">
        <f t="array" ref="B97">_xlfn.XLOOKUP(
 A97,
 tblTargets[TargetID],
 tblTargets[DisplayName],
 ""
)</f>
        <v>Shop Lv 3</v>
      </c>
      <c r="C97" s="26" t="str">
        <f t="shared" si="1"/>
        <v>BLOCKED</v>
      </c>
      <c r="D97" s="26" t="b">
        <f>IFERROR(__xludf.DUMMYFUNCTION("LET(
 id,A97,
 IF(
  F97=""CHARACTER"",
  LET(
   base,REGEXREPLACE(id,""@\d+$"",""""),
   required,VALUE(REGEXEXTRACT(id,""@(\d+)$"")),
   current,XLOOKUP(
    base,
    tblPlayer[PlayerStateID],
    tblPlayer[Value],
    0
   ),
   current&gt;=required
  )"&amp;",
  IF(
   T97=""AUTO"",
   L97=0,
   COUNTIFS(
    tblChecklist[TargetID],id,
    tblChecklist[PlayerCompleted],TRUE
   )&gt;0
  )
 )
)"),FALSE)</f>
        <v>0</v>
      </c>
      <c r="E97" s="26" t="str">
        <f t="array" ref="E97">_xlfn.XLOOKUP(
 A97,
 tblTargets[TargetID],
 tblTargets[TargetType],
 ""
)</f>
        <v>BUILDING</v>
      </c>
      <c r="F97" s="26" t="str">
        <f t="array" ref="F97">_xlfn.XLOOKUP(
 A97,
 tblTargets[TargetID],
 tblTargets[StateType],
 ""
)</f>
        <v/>
      </c>
      <c r="G97" s="26">
        <f>LET(
 id,A97,
 depCount,COUNTIF(tblDependencies[TargetID],id),
 objCount,COUNTIF(tblQuestObjectives[QuestTargetID],id),
 depCount+objCount
)</f>
        <v>1</v>
      </c>
      <c r="H97" s="26">
        <f t="shared" si="2"/>
        <v>1</v>
      </c>
      <c r="I97" s="26">
        <f>IFERROR(__xludf.DUMMYFUNCTION("LET(
 id,A97,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7" s="26">
        <f t="shared" si="3"/>
        <v>0</v>
      </c>
      <c r="K97" s="26" t="b">
        <f t="shared" si="4"/>
        <v>0</v>
      </c>
      <c r="L97" s="26">
        <f t="shared" si="5"/>
        <v>1</v>
      </c>
      <c r="M97" s="26" t="str">
        <f>IFERROR(__xludf.DUMMYFUNCTION("LET(
 id,A97,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L97=0,
  """",
  IFERROR(INDEX(incomplete,1),"""")
 "&amp;")
)"),"building.shop@2")</f>
        <v>building.shop@2</v>
      </c>
      <c r="N97" s="26" t="str">
        <f t="array" ref="N97">IF(
 M97="",
 "",
 _xlfn.XLOOKUP(
  M97,
  tblTargets[TargetID],
  tblTargets[DisplayName],
  M97
 )
)</f>
        <v>Shop Lv 2</v>
      </c>
      <c r="O97" s="26" t="str">
        <f>IFERROR(__xludf.DUMMYFUNCTION("SWITCH(
 E97,
 ""BUILDING"",XLOOKUP(A97,tblBuildings[BuildingID],tblBuildings[costtext],""""),
 ""TECH"",XLOOKUP(A97,tblTechnologies[TechnologyID],tblTechnologies[costtext],""""),
 ""QUEST"",XLOOKUP(
  REGEXREPLACE(A97,""\.[^.]+$"",""""),
  tblQuests[Ques"&amp;"tID],
  tblQuests[Costtext],
  """"
 ),
 ""CITADEL"",XLOOKUP(A97,tblCitadel[CitadelID],tblCitadel[costtext],""""),
 ""COLLECTION"",XLOOKUP(A97,tblCollections[CollectionID],tblCollections[costtext],""""),
 ""CRAFTIFACT"",XLOOKUP(A97,tblCraftifacts[Craftifa"&amp;"ctID],tblCraftifacts[costtext],""""),
 """"
)"),"3 ruby,800 coin,400 beam,200 stone")</f>
        <v>3 ruby,800 coin,400 beam,200 stone</v>
      </c>
      <c r="P97" s="26" t="str">
        <f t="shared" si="6"/>
        <v>BLOCKED</v>
      </c>
      <c r="Q97" s="26" t="str">
        <f t="shared" si="7"/>
        <v>BLOCKED</v>
      </c>
      <c r="R97" s="26">
        <f t="array" ref="R97">IFERROR(
 _xlfn.XLOOKUP(
  A97,
  tblChecklist[TargetID],
  tblChecklist[PlayerSort],
  ""
 ),
 ""
)</f>
        <v>101</v>
      </c>
      <c r="S97" s="26" t="str">
        <f>IFERROR(__xludf.DUMMYFUNCTION("LET(
 id,A97,
 successorIDs,
  IFERROR(
   UNIQUE(
    FILTER(
     {
      Dependencies!$A$2:$A$1000;
      QuestObjectives!$A$2:$A$1000
     },
     {
      Dependencies!$B$2:$B$1000;
      QuestObjectives!$E$2:$E$1000
     }=id
    )
   ),
   """"
  ),"&amp;"
 names,
  MAP(
   successorIDs,
   LAMBDA(s,
    IF(
     s="""",
     """",
     XLOOKUP(
      s,
      $A$2:$A$1000,
      $B$2:$B$1000,
      s
     )
    )
   )
  ),
 IF(
  successorIDs="""",
  """",
  TEXTJOIN("", "",TRUE,names)
 )
)"),"shop maxed")</f>
        <v>shop maxed</v>
      </c>
      <c r="T97" s="26" t="str">
        <f t="array" ref="T97">_xlfn.XLOOKUP(
 A97,
 tblTargets[TargetID],
 tblTargets[CompletionMethod],
 ""
)</f>
        <v>PLAYER</v>
      </c>
      <c r="U97" s="84" t="b">
        <f>COUNTIF(tblCost[TargetID],A97)&gt;0</f>
        <v>1</v>
      </c>
      <c r="V97" s="85">
        <f t="array" ref="V97">IF(
 U97=FALSE,
 "",
 _xlfn.XLOOKUP(
  A97,
  tblCost[TargetID],
  tblCost[FundingPercent],
  ""
 )
)</f>
        <v>0</v>
      </c>
      <c r="W97" s="26">
        <f t="array" ref="W97">IF(
 U97=FALSE,
 "",
 _xlfn.XLOOKUP(
  A97,
  tblCost[TargetID],
  tblCost[RemainingRequirements],
  ""
 )
)</f>
        <v>4</v>
      </c>
      <c r="X97" s="45" t="b">
        <f t="array" ref="X97">IF(
 U97=FALSE,
 "N/A",
 _xlfn.XLOOKUP(
  A98,
  tblCost[TargetID],
  tblCost[TargetFunded],
  FALSE
 )
)</f>
        <v>0</v>
      </c>
      <c r="Y97" s="26" t="str">
        <f>IFERROR(__xludf.DUMMYFUNCTION("IFERROR(
 TEXTJOIN(
  "", "",
  TRUE,
  FILTER(
   'cost checklist'!$E$2:$E1000&amp;"": ""&amp;'cost checklist'!$G$2:$G1000,
   'cost checklist'!$B$2:$B1000=A97,
   'cost checklist'!$J$2:$J1000=FALSE
  )
 ),
 """"
)"),"beam: 400, coin: 800, ruby: 3, stone: 200")</f>
        <v>beam: 400, coin: 800, ruby: 3, stone: 200</v>
      </c>
      <c r="Z97" s="26" t="b">
        <f>IFERROR(__xludf.DUMMYFUNCTION("IF(
 AND(
  E97=""QUEST"",
  RIGHT(A97,9)="".accepted"",
  D97=TRUE
 ),
 XLOOKUP(
  REGEXREPLACE(A97,""\.accepted$"","""")&amp;"".finished"",
  $A$2:$A1000,
  $D$2:$D1000,
  TRUE
 )=FALSE,
 FALSE
)"),FALSE)</f>
        <v>0</v>
      </c>
      <c r="AA97" s="26" t="str">
        <f>IFERROR(__xludf.DUMMYFUNCTION("LET(
 id,A97,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8" ht="14.25" customHeight="1">
      <c r="A98" s="26" t="s">
        <v>865</v>
      </c>
      <c r="B98" s="26" t="str">
        <f t="array" ref="B98">_xlfn.XLOOKUP(
 A98,
 tblTargets[TargetID],
 tblTargets[DisplayName],
 ""
)</f>
        <v>smithy maxed</v>
      </c>
      <c r="C98" s="26" t="str">
        <f t="shared" si="1"/>
        <v>BLOCKED</v>
      </c>
      <c r="D98" s="26" t="b">
        <f>IFERROR(__xludf.DUMMYFUNCTION("LET(
 id,A98,
 IF(
  F98=""CHARACTER"",
  LET(
   base,REGEXREPLACE(id,""@\d+$"",""""),
   required,VALUE(REGEXEXTRACT(id,""@(\d+)$"")),
   current,XLOOKUP(
    base,
    tblPlayer[PlayerStateID],
    tblPlayer[Value],
    0
   ),
   current&gt;=required
  )"&amp;",
  IF(
   T98=""AUTO"",
   L98=0,
   COUNTIFS(
    tblChecklist[TargetID],id,
    tblChecklist[PlayerCompleted],TRUE
   )&gt;0
  )
 )
)"),FALSE)</f>
        <v>0</v>
      </c>
      <c r="E98" s="26" t="str">
        <f t="array" ref="E98">_xlfn.XLOOKUP(
 A98,
 tblTargets[TargetID],
 tblTargets[TargetType],
 ""
)</f>
        <v>BUILDING</v>
      </c>
      <c r="F98" s="26" t="str">
        <f t="array" ref="F98">_xlfn.XLOOKUP(
 A98,
 tblTargets[TargetID],
 tblTargets[StateType],
 ""
)</f>
        <v/>
      </c>
      <c r="G98" s="26">
        <f>LET(
 id,A98,
 depCount,COUNTIF(tblDependencies[TargetID],id),
 objCount,COUNTIF(tblQuestObjectives[QuestTargetID],id),
 depCount+objCount
)</f>
        <v>1</v>
      </c>
      <c r="H98" s="26">
        <f t="shared" si="2"/>
        <v>1</v>
      </c>
      <c r="I98" s="26">
        <f>IFERROR(__xludf.DUMMYFUNCTION("LET(
 id,A98,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8" s="26">
        <f t="shared" si="3"/>
        <v>0</v>
      </c>
      <c r="K98" s="26" t="b">
        <f t="shared" si="4"/>
        <v>0</v>
      </c>
      <c r="L98" s="26">
        <f t="shared" si="5"/>
        <v>1</v>
      </c>
      <c r="M98" s="26" t="str">
        <f>IFERROR(__xludf.DUMMYFUNCTION("LET(
 id,A98,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L98=0,
  """",
  IFERROR(INDEX(incomplete,1),"""")
 "&amp;")
)"),"building.smithy@3")</f>
        <v>building.smithy@3</v>
      </c>
      <c r="N98" s="26" t="str">
        <f t="array" ref="N98">IF(
 M98="",
 "",
 _xlfn.XLOOKUP(
  M98,
  tblTargets[TargetID],
  tblTargets[DisplayName],
  M98
 )
)</f>
        <v>Smithy Lv 3</v>
      </c>
      <c r="O98" s="26" t="str">
        <f>IFERROR(__xludf.DUMMYFUNCTION("SWITCH(
 E98,
 ""BUILDING"",XLOOKUP(A98,tblBuildings[BuildingID],tblBuildings[costtext],""""),
 ""TECH"",XLOOKUP(A98,tblTechnologies[TechnologyID],tblTechnologies[costtext],""""),
 ""QUEST"",XLOOKUP(
  REGEXREPLACE(A98,""\.[^.]+$"",""""),
  tblQuests[Ques"&amp;"tID],
  tblQuests[Costtext],
  """"
 ),
 ""CITADEL"",XLOOKUP(A98,tblCitadel[CitadelID],tblCitadel[costtext],""""),
 ""COLLECTION"",XLOOKUP(A98,tblCollections[CollectionID],tblCollections[costtext],""""),
 ""CRAFTIFACT"",XLOOKUP(A98,tblCraftifacts[Craftifa"&amp;"ctID],tblCraftifacts[costtext],""""),
 """"
)"),"")</f>
        <v/>
      </c>
      <c r="P98" s="26" t="str">
        <f t="shared" si="6"/>
        <v>BLOCKED</v>
      </c>
      <c r="Q98" s="26" t="str">
        <f t="shared" si="7"/>
        <v>BLOCKED</v>
      </c>
      <c r="R98" s="26" t="str">
        <f t="array" ref="R98">IFERROR(
 _xlfn.XLOOKUP(
  A98,
  tblChecklist[TargetID],
  tblChecklist[PlayerSort],
  ""
 ),
 ""
)</f>
        <v/>
      </c>
      <c r="S98" s="26" t="str">
        <f>IFERROR(__xludf.DUMMYFUNCTION("LET(
 id,A98,
 successorIDs,
  IFERROR(
   UNIQUE(
    FILTER(
     {
      Dependencies!$A$2:$A$1000;
      QuestObjectives!$A$2:$A$1000
     },
     {
      Dependencies!$B$2:$B$1000;
      QuestObjectives!$E$2:$E$1000
     }=id
    )
   ),
   """"
  ),"&amp;"
 names,
  MAP(
   successorIDs,
   LAMBDA(s,
    IF(
     s="""",
     """",
     XLOOKUP(
      s,
      $A$2:$A$1000,
      $B$2:$B$1000,
      s
     )
    )
   )
  ),
 IF(
  successorIDs="""",
  """",
  TEXTJOIN("", "",TRUE,names)
 )
)"),"Smithy - Gears, Smithy - Sword For A Hero Lvl 1, Smithy - Sword For A Hero Lvl 2, Smithy - Sword For A Hero Lvl 3, Smithy - Sword For A Hero Lvl 4, Smithy - Sword For A Hero Lvl 4+, Smithy - Throwing Knife, Smithy - Treasure, Smithy - Weapon Grease")</f>
        <v>Smithy - Gears, Smithy - Sword For A Hero Lvl 1, Smithy - Sword For A Hero Lvl 2, Smithy - Sword For A Hero Lvl 3, Smithy - Sword For A Hero Lvl 4, Smithy - Sword For A Hero Lvl 4+, Smithy - Throwing Knife, Smithy - Treasure, Smithy - Weapon Grease</v>
      </c>
      <c r="T98" s="26" t="str">
        <f t="array" ref="T98">_xlfn.XLOOKUP(
 A98,
 tblTargets[TargetID],
 tblTargets[CompletionMethod],
 ""
)</f>
        <v>AUTO</v>
      </c>
      <c r="U98" s="84" t="b">
        <f>COUNTIF(tblCost[TargetID],A98)&gt;0</f>
        <v>0</v>
      </c>
      <c r="V98" s="85" t="str">
        <f t="array" ref="V98">IF(
 U98=FALSE,
 "",
 _xlfn.XLOOKUP(
  A98,
  tblCost[TargetID],
  tblCost[FundingPercent],
  ""
 )
)</f>
        <v/>
      </c>
      <c r="W98" s="26" t="str">
        <f t="array" ref="W98">IF(
 U98=FALSE,
 "",
 _xlfn.XLOOKUP(
  A98,
  tblCost[TargetID],
  tblCost[RemainingRequirements],
  ""
 )
)</f>
        <v/>
      </c>
      <c r="X98" s="45" t="str">
        <f t="array" ref="X98">IF(
 U98=FALSE,
 "N/A",
 _xlfn.XLOOKUP(
  A99,
  tblCost[TargetID],
  tblCost[TargetFunded],
  FALSE
 )
)</f>
        <v>N/A</v>
      </c>
      <c r="Y98" s="26" t="str">
        <f>IFERROR(__xludf.DUMMYFUNCTION("IFERROR(
 TEXTJOIN(
  "", "",
  TRUE,
  FILTER(
   'cost checklist'!$E$2:$E1000&amp;"": ""&amp;'cost checklist'!$G$2:$G1000,
   'cost checklist'!$B$2:$B1000=A98,
   'cost checklist'!$J$2:$J1000=FALSE
  )
 ),
 """"
)"),"")</f>
        <v/>
      </c>
      <c r="Z98" s="26" t="b">
        <f>IFERROR(__xludf.DUMMYFUNCTION("IF(
 AND(
  E98=""QUEST"",
  RIGHT(A98,9)="".accepted"",
  D98=TRUE
 ),
 XLOOKUP(
  REGEXREPLACE(A98,""\.accepted$"","""")&amp;"".finished"",
  $A$2:$A1000,
  $D$2:$D1000,
  TRUE
 )=FALSE,
 FALSE
)"),FALSE)</f>
        <v>0</v>
      </c>
      <c r="AA98" s="26" t="str">
        <f>IFERROR(__xludf.DUMMYFUNCTION("LET(
 id,A98,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99" ht="14.25" customHeight="1">
      <c r="A99" s="26" t="s">
        <v>410</v>
      </c>
      <c r="B99" s="26" t="str">
        <f t="array" ref="B99">_xlfn.XLOOKUP(
 A99,
 tblTargets[TargetID],
 tblTargets[DisplayName],
 ""
)</f>
        <v>Smithy Lv 1</v>
      </c>
      <c r="C99" s="26" t="str">
        <f t="shared" si="1"/>
        <v>BLOCKED</v>
      </c>
      <c r="D99" s="26" t="b">
        <f>IFERROR(__xludf.DUMMYFUNCTION("LET(
 id,A99,
 IF(
  F99=""CHARACTER"",
  LET(
   base,REGEXREPLACE(id,""@\d+$"",""""),
   required,VALUE(REGEXEXTRACT(id,""@(\d+)$"")),
   current,XLOOKUP(
    base,
    tblPlayer[PlayerStateID],
    tblPlayer[Value],
    0
   ),
   current&gt;=required
  )"&amp;",
  IF(
   T99=""AUTO"",
   L99=0,
   COUNTIFS(
    tblChecklist[TargetID],id,
    tblChecklist[PlayerCompleted],TRUE
   )&gt;0
  )
 )
)"),FALSE)</f>
        <v>0</v>
      </c>
      <c r="E99" s="26" t="str">
        <f t="array" ref="E99">_xlfn.XLOOKUP(
 A99,
 tblTargets[TargetID],
 tblTargets[TargetType],
 ""
)</f>
        <v>BUILDING</v>
      </c>
      <c r="F99" s="26" t="str">
        <f t="array" ref="F99">_xlfn.XLOOKUP(
 A99,
 tblTargets[TargetID],
 tblTargets[StateType],
 ""
)</f>
        <v/>
      </c>
      <c r="G99" s="26">
        <f>LET(
 id,A99,
 depCount,COUNTIF(tblDependencies[TargetID],id),
 objCount,COUNTIF(tblQuestObjectives[QuestTargetID],id),
 depCount+objCount
)</f>
        <v>1</v>
      </c>
      <c r="H99" s="26">
        <f t="shared" si="2"/>
        <v>1</v>
      </c>
      <c r="I99" s="26">
        <f>IFERROR(__xludf.DUMMYFUNCTION("LET(
 id,A99,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99" s="26">
        <f t="shared" si="3"/>
        <v>0</v>
      </c>
      <c r="K99" s="26" t="b">
        <f t="shared" si="4"/>
        <v>0</v>
      </c>
      <c r="L99" s="26">
        <f t="shared" si="5"/>
        <v>1</v>
      </c>
      <c r="M99" s="26" t="str">
        <f>IFERROR(__xludf.DUMMYFUNCTION("LET(
 id,A99,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L99=0,
  """",
  IFERROR(INDEX(incomplete,1),"""")
 "&amp;")
)"),"state.character_level@9")</f>
        <v>state.character_level@9</v>
      </c>
      <c r="N99" s="26" t="str">
        <f t="array" ref="N99">IF(
 M99="",
 "",
 _xlfn.XLOOKUP(
  M99,
  tblTargets[TargetID],
  tblTargets[DisplayName],
  M99
 )
)</f>
        <v>Character Level@9</v>
      </c>
      <c r="O99" s="26" t="str">
        <f>IFERROR(__xludf.DUMMYFUNCTION("SWITCH(
 E99,
 ""BUILDING"",XLOOKUP(A99,tblBuildings[BuildingID],tblBuildings[costtext],""""),
 ""TECH"",XLOOKUP(A99,tblTechnologies[TechnologyID],tblTechnologies[costtext],""""),
 ""QUEST"",XLOOKUP(
  REGEXREPLACE(A99,""\.[^.]+$"",""""),
  tblQuests[Ques"&amp;"tID],
  tblQuests[Costtext],
  """"
 ),
 ""CITADEL"",XLOOKUP(A99,tblCitadel[CitadelID],tblCitadel[costtext],""""),
 ""COLLECTION"",XLOOKUP(A99,tblCollections[CollectionID],tblCollections[costtext],""""),
 ""CRAFTIFACT"",XLOOKUP(A99,tblCraftifacts[Craftifa"&amp;"ctID],tblCraftifacts[costtext],""""),
 """"
)"),"1 ruby,240 coin,120 wood,120 stone,20 steel")</f>
        <v>1 ruby,240 coin,120 wood,120 stone,20 steel</v>
      </c>
      <c r="P99" s="26" t="str">
        <f t="shared" si="6"/>
        <v>READY</v>
      </c>
      <c r="Q99" s="26" t="str">
        <f t="shared" si="7"/>
        <v>ONE AWAY</v>
      </c>
      <c r="R99" s="26">
        <f t="array" ref="R99">IFERROR(
 _xlfn.XLOOKUP(
  A99,
  tblChecklist[TargetID],
  tblChecklist[PlayerSort],
  ""
 ),
 ""
)</f>
        <v>40</v>
      </c>
      <c r="S99" s="26" t="str">
        <f>IFERROR(__xludf.DUMMYFUNCTION("LET(
 id,A99,
 successorIDs,
  IFERROR(
   UNIQUE(
    FILTER(
     {
      Dependencies!$A$2:$A$1000;
      QuestObjectives!$A$2:$A$1000
     },
     {
      Dependencies!$B$2:$B$1000;
      QuestObjectives!$E$2:$E$1000
     }=id
    )
   ),
   """"
  ),"&amp;"
 names,
  MAP(
   successorIDs,
   LAMBDA(s,
    IF(
     s="""",
     """",
     XLOOKUP(
      s,
      $A$2:$A$1000,
      $B$2:$B$1000,
      s
     )
    )
   )
  ),
 IF(
  successorIDs="""",
  """",
  TEXTJOIN("", "",TRUE,names)
 )
)"),"Smithy Lv 2")</f>
        <v>Smithy Lv 2</v>
      </c>
      <c r="T99" s="26" t="str">
        <f t="array" ref="T99">_xlfn.XLOOKUP(
 A99,
 tblTargets[TargetID],
 tblTargets[CompletionMethod],
 ""
)</f>
        <v>PLAYER</v>
      </c>
      <c r="U99" s="84" t="b">
        <f>COUNTIF(tblCost[TargetID],A99)&gt;0</f>
        <v>1</v>
      </c>
      <c r="V99" s="85">
        <f t="array" ref="V99">IF(
 U99=FALSE,
 "",
 _xlfn.XLOOKUP(
  A99,
  tblCost[TargetID],
  tblCost[FundingPercent],
  ""
 )
)</f>
        <v>0</v>
      </c>
      <c r="W99" s="26">
        <f t="array" ref="W99">IF(
 U99=FALSE,
 "",
 _xlfn.XLOOKUP(
  A99,
  tblCost[TargetID],
  tblCost[RemainingRequirements],
  ""
 )
)</f>
        <v>5</v>
      </c>
      <c r="X99" s="45" t="b">
        <f t="array" ref="X99">IF(
 U99=FALSE,
 "N/A",
 _xlfn.XLOOKUP(
  A100,
  tblCost[TargetID],
  tblCost[TargetFunded],
  FALSE
 )
)</f>
        <v>0</v>
      </c>
      <c r="Y99" s="26" t="str">
        <f>IFERROR(__xludf.DUMMYFUNCTION("IFERROR(
 TEXTJOIN(
  "", "",
  TRUE,
  FILTER(
   'cost checklist'!$E$2:$E1000&amp;"": ""&amp;'cost checklist'!$G$2:$G1000,
   'cost checklist'!$B$2:$B1000=A99,
   'cost checklist'!$J$2:$J1000=FALSE
  )
 ),
 """"
)"),"coin: 240, ruby: 1, steel: 20, stone: 120, wood: 120")</f>
        <v>coin: 240, ruby: 1, steel: 20, stone: 120, wood: 120</v>
      </c>
      <c r="Z99" s="26" t="b">
        <f>IFERROR(__xludf.DUMMYFUNCTION("IF(
 AND(
  E99=""QUEST"",
  RIGHT(A99,9)="".accepted"",
  D99=TRUE
 ),
 XLOOKUP(
  REGEXREPLACE(A99,""\.accepted$"","""")&amp;"".finished"",
  $A$2:$A1000,
  $D$2:$D1000,
  TRUE
 )=FALSE,
 FALSE
)"),FALSE)</f>
        <v>0</v>
      </c>
      <c r="AA99" s="26" t="str">
        <f>IFERROR(__xludf.DUMMYFUNCTION("LET(
 id,A99,
 successorIDs,
  IFERROR(
   UNIQUE(
    FILTER(
     {
      Dependencies!$A$2:$A$1000;
      QuestObjectives!$A$2:$A$1000
     },
     {
      Dependencies!$B$2:$B$1000;
      QuestObjectives!$E$2:$E$1000
     }=id,
     RIGHT(
      {
  "&amp;"     Dependencies!$A$2:$A$1000;
       QuestObjectives!$A$2:$A$1000
      },
      9
     )="".accepted""
    )
   ),
   """"
  ),
 isCompleted,
  MAP(
   successorIDs,
   LAMBDA(s,
    IF(
     s="""",
     TRUE,
     XLOOKUP(
      s,
      $A$2:$A$100"&amp;"0,
      $D$2:$D$1000,
      FALSE
     )
    )
   )
  ),
 pendingIDs,
  IFERROR(
   FILTER(
    successorIDs,
    isCompleted=FALSE
   ),
   """"
  ),
 names,
  MAP(
   pendingIDs,
   LAMBDA(p,
    IF(
     p="""",
     """",
     SUBSTITUTE(
      XLO"&amp;"OKUP(
       p,
       $A$2:$A$1000,
       $B$2:$B$1000,
       p
      ),
      "" Accepted"",
      """"
     )
    )
   )
  ),
 IF(
  pendingIDs="""",
  """",
  TEXTJOIN("", "",TRUE,names)
 )
)"),"")</f>
        <v/>
      </c>
    </row>
    <row r="100" ht="14.25" customHeight="1">
      <c r="A100" s="26" t="s">
        <v>414</v>
      </c>
      <c r="B100" s="26" t="str">
        <f t="array" ref="B100">_xlfn.XLOOKUP(
 A100,
 tblTargets[TargetID],
 tblTargets[DisplayName],
 ""
)</f>
        <v>Smithy Lv 2</v>
      </c>
      <c r="C100" s="26" t="str">
        <f t="shared" si="1"/>
        <v>BLOCKED</v>
      </c>
      <c r="D100" s="26" t="b">
        <f>IFERROR(__xludf.DUMMYFUNCTION("LET(
 id,A100,
 IF(
  F100=""CHARACTER"",
  LET(
   base,REGEXREPLACE(id,""@\d+$"",""""),
   required,VALUE(REGEXEXTRACT(id,""@(\d+)$"")),
   current,XLOOKUP(
    base,
    tblPlayer[PlayerStateID],
    tblPlayer[Value],
    0
   ),
   current&gt;=required
 "&amp;" ),
  IF(
   T100=""AUTO"",
   L100=0,
   COUNTIFS(
    tblChecklist[TargetID],id,
    tblChecklist[PlayerCompleted],TRUE
   )&gt;0
  )
 )
)"),FALSE)</f>
        <v>0</v>
      </c>
      <c r="E100" s="26" t="str">
        <f t="array" ref="E100">_xlfn.XLOOKUP(
 A100,
 tblTargets[TargetID],
 tblTargets[TargetType],
 ""
)</f>
        <v>BUILDING</v>
      </c>
      <c r="F100" s="26" t="str">
        <f t="array" ref="F100">_xlfn.XLOOKUP(
 A100,
 tblTargets[TargetID],
 tblTargets[StateType],
 ""
)</f>
        <v/>
      </c>
      <c r="G100" s="26">
        <f>LET(
 id,A100,
 depCount,COUNTIF(tblDependencies[TargetID],id),
 objCount,COUNTIF(tblQuestObjectives[QuestTargetID],id),
 depCount+objCount
)</f>
        <v>1</v>
      </c>
      <c r="H100" s="26">
        <f t="shared" si="2"/>
        <v>1</v>
      </c>
      <c r="I100" s="26">
        <f>IFERROR(__xludf.DUMMYFUNCTION("LET(
 id,A100,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0" s="26">
        <f t="shared" si="3"/>
        <v>0</v>
      </c>
      <c r="K100" s="26" t="b">
        <f t="shared" si="4"/>
        <v>0</v>
      </c>
      <c r="L100" s="26">
        <f t="shared" si="5"/>
        <v>1</v>
      </c>
      <c r="M100" s="26" t="str">
        <f>IFERROR(__xludf.DUMMYFUNCTION("LET(
 id,A100,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L100=0,
  """",
  IFERROR(INDEX(incomplete,1),"""")"&amp;"
 )
)"),"building.smithy@1")</f>
        <v>building.smithy@1</v>
      </c>
      <c r="N100" s="26" t="str">
        <f t="array" ref="N100">IF(
 M100="",
 "",
 _xlfn.XLOOKUP(
  M100,
  tblTargets[TargetID],
  tblTargets[DisplayName],
  M100
 )
)</f>
        <v>Smithy Lv 1</v>
      </c>
      <c r="O100" s="26" t="str">
        <f>IFERROR(__xludf.DUMMYFUNCTION("SWITCH(
 E100,
 ""BUILDING"",XLOOKUP(A100,tblBuildings[BuildingID],tblBuildings[costtext],""""),
 ""TECH"",XLOOKUP(A100,tblTechnologies[TechnologyID],tblTechnologies[costtext],""""),
 ""QUEST"",XLOOKUP(
  REGEXREPLACE(A100,""\.[^.]+$"",""""),
  tblQuests["&amp;"QuestID],
  tblQuests[Costtext],
  """"
 ),
 ""CITADEL"",XLOOKUP(A100,tblCitadel[CitadelID],tblCitadel[costtext],""""),
 ""COLLECTION"",XLOOKUP(A100,tblCollections[CollectionID],tblCollections[costtext],""""),
 ""CRAFTIFACT"",XLOOKUP(A100,tblCraftifacts[C"&amp;"raftifactID],tblCraftifacts[costtext],""""),
 """"
)"),"2 ruby,280 coin,140 wood,140 stone,40 steel")</f>
        <v>2 ruby,280 coin,140 wood,140 stone,40 steel</v>
      </c>
      <c r="P100" s="26" t="str">
        <f t="shared" si="6"/>
        <v>BLOCKED</v>
      </c>
      <c r="Q100" s="26" t="str">
        <f t="shared" si="7"/>
        <v>BLOCKED</v>
      </c>
      <c r="R100" s="26">
        <f t="array" ref="R100">IFERROR(
 _xlfn.XLOOKUP(
  A100,
  tblChecklist[TargetID],
  tblChecklist[PlayerSort],
  ""
 ),
 ""
)</f>
        <v>41</v>
      </c>
      <c r="S100" s="26" t="str">
        <f>IFERROR(__xludf.DUMMYFUNCTION("LET(
 id,A100,
 successorIDs,
  IFERROR(
   UNIQUE(
    FILTER(
     {
      Dependencies!$A$2:$A$1000;
      QuestObjectives!$A$2:$A$1000
     },
     {
      Dependencies!$B$2:$B$1000;
      QuestObjectives!$E$2:$E$1000
     }=id
    )
   ),
   """"
  )"&amp;",
 names,
  MAP(
   successorIDs,
   LAMBDA(s,
    IF(
     s="""",
     """",
     XLOOKUP(
      s,
      $A$2:$A$1000,
      $B$2:$B$1000,
      s
     )
    )
   )
  ),
 IF(
  successorIDs="""",
  """",
  TEXTJOIN("", "",TRUE,names)
 )
)"),"Smithy Lv 3")</f>
        <v>Smithy Lv 3</v>
      </c>
      <c r="T100" s="26" t="str">
        <f t="array" ref="T100">_xlfn.XLOOKUP(
 A100,
 tblTargets[TargetID],
 tblTargets[CompletionMethod],
 ""
)</f>
        <v>PLAYER</v>
      </c>
      <c r="U100" s="84" t="b">
        <f>COUNTIF(tblCost[TargetID],A100)&gt;0</f>
        <v>1</v>
      </c>
      <c r="V100" s="85">
        <f t="array" ref="V100">IF(
 U100=FALSE,
 "",
 _xlfn.XLOOKUP(
  A100,
  tblCost[TargetID],
  tblCost[FundingPercent],
  ""
 )
)</f>
        <v>0</v>
      </c>
      <c r="W100" s="26">
        <f t="array" ref="W100">IF(
 U100=FALSE,
 "",
 _xlfn.XLOOKUP(
  A100,
  tblCost[TargetID],
  tblCost[RemainingRequirements],
  ""
 )
)</f>
        <v>5</v>
      </c>
      <c r="X100" s="45" t="b">
        <f t="array" ref="X100">IF(
 U100=FALSE,
 "N/A",
 _xlfn.XLOOKUP(
  A101,
  tblCost[TargetID],
  tblCost[TargetFunded],
  FALSE
 )
)</f>
        <v>0</v>
      </c>
      <c r="Y100" s="26" t="str">
        <f>IFERROR(__xludf.DUMMYFUNCTION("IFERROR(
 TEXTJOIN(
  "", "",
  TRUE,
  FILTER(
   'cost checklist'!$E$2:$E1000&amp;"": ""&amp;'cost checklist'!$G$2:$G1000,
   'cost checklist'!$B$2:$B1000=A100,
   'cost checklist'!$J$2:$J1000=FALSE
  )
 ),
 """"
)"),"coin: 280, ruby: 2, steel: 40, stone: 140, wood: 140")</f>
        <v>coin: 280, ruby: 2, steel: 40, stone: 140, wood: 140</v>
      </c>
      <c r="Z100" s="26" t="b">
        <f>IFERROR(__xludf.DUMMYFUNCTION("IF(
 AND(
  E100=""QUEST"",
  RIGHT(A100,9)="".accepted"",
  D100=TRUE
 ),
 XLOOKUP(
  REGEXREPLACE(A100,""\.accepted$"","""")&amp;"".finished"",
  $A$2:$A1000,
  $D$2:$D1000,
  TRUE
 )=FALSE,
 FALSE
)"),FALSE)</f>
        <v>0</v>
      </c>
      <c r="AA100" s="26" t="str">
        <f>IFERROR(__xludf.DUMMYFUNCTION("LET(
 id,A100,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01" ht="14.25" customHeight="1">
      <c r="A101" s="26" t="s">
        <v>415</v>
      </c>
      <c r="B101" s="26" t="str">
        <f t="array" ref="B101">_xlfn.XLOOKUP(
 A101,
 tblTargets[TargetID],
 tblTargets[DisplayName],
 ""
)</f>
        <v>Smithy Lv 3</v>
      </c>
      <c r="C101" s="26" t="str">
        <f t="shared" si="1"/>
        <v>BLOCKED</v>
      </c>
      <c r="D101" s="26" t="b">
        <f>IFERROR(__xludf.DUMMYFUNCTION("LET(
 id,A101,
 IF(
  F101=""CHARACTER"",
  LET(
   base,REGEXREPLACE(id,""@\d+$"",""""),
   required,VALUE(REGEXEXTRACT(id,""@(\d+)$"")),
   current,XLOOKUP(
    base,
    tblPlayer[PlayerStateID],
    tblPlayer[Value],
    0
   ),
   current&gt;=required
 "&amp;" ),
  IF(
   T101=""AUTO"",
   L101=0,
   COUNTIFS(
    tblChecklist[TargetID],id,
    tblChecklist[PlayerCompleted],TRUE
   )&gt;0
  )
 )
)"),FALSE)</f>
        <v>0</v>
      </c>
      <c r="E101" s="26" t="str">
        <f t="array" ref="E101">_xlfn.XLOOKUP(
 A101,
 tblTargets[TargetID],
 tblTargets[TargetType],
 ""
)</f>
        <v>BUILDING</v>
      </c>
      <c r="F101" s="26" t="str">
        <f t="array" ref="F101">_xlfn.XLOOKUP(
 A101,
 tblTargets[TargetID],
 tblTargets[StateType],
 ""
)</f>
        <v/>
      </c>
      <c r="G101" s="26">
        <f>LET(
 id,A101,
 depCount,COUNTIF(tblDependencies[TargetID],id),
 objCount,COUNTIF(tblQuestObjectives[QuestTargetID],id),
 depCount+objCount
)</f>
        <v>1</v>
      </c>
      <c r="H101" s="26">
        <f t="shared" si="2"/>
        <v>1</v>
      </c>
      <c r="I101" s="26">
        <f>IFERROR(__xludf.DUMMYFUNCTION("LET(
 id,A101,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1" s="26">
        <f t="shared" si="3"/>
        <v>0</v>
      </c>
      <c r="K101" s="26" t="b">
        <f t="shared" si="4"/>
        <v>0</v>
      </c>
      <c r="L101" s="26">
        <f t="shared" si="5"/>
        <v>1</v>
      </c>
      <c r="M101" s="26" t="str">
        <f>IFERROR(__xludf.DUMMYFUNCTION("LET(
 id,A101,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L101=0,
  """",
  IFERROR(INDEX(incomplete,1),"""")"&amp;"
 )
)"),"building.smithy@2")</f>
        <v>building.smithy@2</v>
      </c>
      <c r="N101" s="26" t="str">
        <f t="array" ref="N101">IF(
 M101="",
 "",
 _xlfn.XLOOKUP(
  M101,
  tblTargets[TargetID],
  tblTargets[DisplayName],
  M101
 )
)</f>
        <v>Smithy Lv 2</v>
      </c>
      <c r="O101" s="26" t="str">
        <f>IFERROR(__xludf.DUMMYFUNCTION("SWITCH(
 E101,
 ""BUILDING"",XLOOKUP(A101,tblBuildings[BuildingID],tblBuildings[costtext],""""),
 ""TECH"",XLOOKUP(A101,tblTechnologies[TechnologyID],tblTechnologies[costtext],""""),
 ""QUEST"",XLOOKUP(
  REGEXREPLACE(A101,""\.[^.]+$"",""""),
  tblQuests["&amp;"QuestID],
  tblQuests[Costtext],
  """"
 ),
 ""CITADEL"",XLOOKUP(A101,tblCitadel[CitadelID],tblCitadel[costtext],""""),
 ""COLLECTION"",XLOOKUP(A101,tblCollections[CollectionID],tblCollections[costtext],""""),
 ""CRAFTIFACT"",XLOOKUP(A101,tblCraftifacts[C"&amp;"raftifactID],tblCraftifacts[costtext],""""),
 """"
)"),"4 ruby,500 coin,400 beam,200 stone,60 steel")</f>
        <v>4 ruby,500 coin,400 beam,200 stone,60 steel</v>
      </c>
      <c r="P101" s="26" t="str">
        <f t="shared" si="6"/>
        <v>BLOCKED</v>
      </c>
      <c r="Q101" s="26" t="str">
        <f t="shared" si="7"/>
        <v>BLOCKED</v>
      </c>
      <c r="R101" s="26">
        <f t="array" ref="R101">IFERROR(
 _xlfn.XLOOKUP(
  A101,
  tblChecklist[TargetID],
  tblChecklist[PlayerSort],
  ""
 ),
 ""
)</f>
        <v>42</v>
      </c>
      <c r="S101" s="26" t="str">
        <f>IFERROR(__xludf.DUMMYFUNCTION("LET(
 id,A101,
 successorIDs,
  IFERROR(
   UNIQUE(
    FILTER(
     {
      Dependencies!$A$2:$A$1000;
      QuestObjectives!$A$2:$A$1000
     },
     {
      Dependencies!$B$2:$B$1000;
      QuestObjectives!$E$2:$E$1000
     }=id
    )
   ),
   """"
  )"&amp;",
 names,
  MAP(
   successorIDs,
   LAMBDA(s,
    IF(
     s="""",
     """",
     XLOOKUP(
      s,
      $A$2:$A$1000,
      $B$2:$B$1000,
      s
     )
    )
   )
  ),
 IF(
  successorIDs="""",
  """",
  TEXTJOIN("", "",TRUE,names)
 )
)"),"smithy maxed, Dagger")</f>
        <v>smithy maxed, Dagger</v>
      </c>
      <c r="T101" s="26" t="str">
        <f t="array" ref="T101">_xlfn.XLOOKUP(
 A101,
 tblTargets[TargetID],
 tblTargets[CompletionMethod],
 ""
)</f>
        <v>PLAYER</v>
      </c>
      <c r="U101" s="84" t="b">
        <f>COUNTIF(tblCost[TargetID],A101)&gt;0</f>
        <v>1</v>
      </c>
      <c r="V101" s="85">
        <f t="array" ref="V101">IF(
 U101=FALSE,
 "",
 _xlfn.XLOOKUP(
  A101,
  tblCost[TargetID],
  tblCost[FundingPercent],
  ""
 )
)</f>
        <v>0</v>
      </c>
      <c r="W101" s="26">
        <f t="array" ref="W101">IF(
 U101=FALSE,
 "",
 _xlfn.XLOOKUP(
  A101,
  tblCost[TargetID],
  tblCost[RemainingRequirements],
  ""
 )
)</f>
        <v>5</v>
      </c>
      <c r="X101" s="45" t="b">
        <f t="array" ref="X101">IF(
 U101=FALSE,
 "N/A",
 _xlfn.XLOOKUP(
  A102,
  tblCost[TargetID],
  tblCost[TargetFunded],
  FALSE
 )
)</f>
        <v>0</v>
      </c>
      <c r="Y101" s="26" t="str">
        <f>IFERROR(__xludf.DUMMYFUNCTION("IFERROR(
 TEXTJOIN(
  "", "",
  TRUE,
  FILTER(
   'cost checklist'!$E$2:$E1000&amp;"": ""&amp;'cost checklist'!$G$2:$G1000,
   'cost checklist'!$B$2:$B1000=A101,
   'cost checklist'!$J$2:$J1000=FALSE
  )
 ),
 """"
)"),"beam: 400, coin: 500, ruby: 4, steel: 60, stone: 200")</f>
        <v>beam: 400, coin: 500, ruby: 4, steel: 60, stone: 200</v>
      </c>
      <c r="Z101" s="26" t="b">
        <f>IFERROR(__xludf.DUMMYFUNCTION("IF(
 AND(
  E101=""QUEST"",
  RIGHT(A101,9)="".accepted"",
  D101=TRUE
 ),
 XLOOKUP(
  REGEXREPLACE(A101,""\.accepted$"","""")&amp;"".finished"",
  $A$2:$A1000,
  $D$2:$D1000,
  TRUE
 )=FALSE,
 FALSE
)"),FALSE)</f>
        <v>0</v>
      </c>
      <c r="AA101" s="26" t="str">
        <f>IFERROR(__xludf.DUMMYFUNCTION("LET(
 id,A101,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02" ht="14.25" customHeight="1">
      <c r="A102" s="26" t="s">
        <v>418</v>
      </c>
      <c r="B102" s="26" t="str">
        <f t="array" ref="B102">_xlfn.XLOOKUP(
 A102,
 tblTargets[TargetID],
 tblTargets[DisplayName],
 ""
)</f>
        <v>Station Lv 1</v>
      </c>
      <c r="C102" s="26" t="str">
        <f t="shared" si="1"/>
        <v>BLOCKED</v>
      </c>
      <c r="D102" s="26" t="b">
        <f>IFERROR(__xludf.DUMMYFUNCTION("LET(
 id,A102,
 IF(
  F102=""CHARACTER"",
  LET(
   base,REGEXREPLACE(id,""@\d+$"",""""),
   required,VALUE(REGEXEXTRACT(id,""@(\d+)$"")),
   current,XLOOKUP(
    base,
    tblPlayer[PlayerStateID],
    tblPlayer[Value],
    0
   ),
   current&gt;=required
 "&amp;" ),
  IF(
   T102=""AUTO"",
   L102=0,
   COUNTIFS(
    tblChecklist[TargetID],id,
    tblChecklist[PlayerCompleted],TRUE
   )&gt;0
  )
 )
)"),FALSE)</f>
        <v>0</v>
      </c>
      <c r="E102" s="26" t="str">
        <f t="array" ref="E102">_xlfn.XLOOKUP(
 A102,
 tblTargets[TargetID],
 tblTargets[TargetType],
 ""
)</f>
        <v>BUILDING</v>
      </c>
      <c r="F102" s="26" t="str">
        <f t="array" ref="F102">_xlfn.XLOOKUP(
 A102,
 tblTargets[TargetID],
 tblTargets[StateType],
 ""
)</f>
        <v/>
      </c>
      <c r="G102" s="26">
        <f>LET(
 id,A102,
 depCount,COUNTIF(tblDependencies[TargetID],id),
 objCount,COUNTIF(tblQuestObjectives[QuestTargetID],id),
 depCount+objCount
)</f>
        <v>2</v>
      </c>
      <c r="H102" s="26">
        <f t="shared" si="2"/>
        <v>2</v>
      </c>
      <c r="I102" s="26">
        <f>IFERROR(__xludf.DUMMYFUNCTION("LET(
 id,A102,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2" s="26">
        <f t="shared" si="3"/>
        <v>0</v>
      </c>
      <c r="K102" s="26" t="b">
        <f t="shared" si="4"/>
        <v>0</v>
      </c>
      <c r="L102" s="26">
        <f t="shared" si="5"/>
        <v>2</v>
      </c>
      <c r="M102" s="26" t="str">
        <f>IFERROR(__xludf.DUMMYFUNCTION("LET(
 id,A102,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L102=0,
  """",
  IFERROR(INDEX(incomplete,1),"""")"&amp;"
 )
)"),"state.character_level@50")</f>
        <v>state.character_level@50</v>
      </c>
      <c r="N102" s="26" t="str">
        <f t="array" ref="N102">IF(
 M102="",
 "",
 _xlfn.XLOOKUP(
  M102,
  tblTargets[TargetID],
  tblTargets[DisplayName],
  M102
 )
)</f>
        <v>Character Level@50</v>
      </c>
      <c r="O102" s="26" t="str">
        <f>IFERROR(__xludf.DUMMYFUNCTION("SWITCH(
 E102,
 ""BUILDING"",XLOOKUP(A102,tblBuildings[BuildingID],tblBuildings[costtext],""""),
 ""TECH"",XLOOKUP(A102,tblTechnologies[TechnologyID],tblTechnologies[costtext],""""),
 ""QUEST"",XLOOKUP(
  REGEXREPLACE(A102,""\.[^.]+$"",""""),
  tblQuests["&amp;"QuestID],
  tblQuests[Costtext],
  """"
 ),
 ""CITADEL"",XLOOKUP(A102,tblCitadel[CitadelID],tblCitadel[costtext],""""),
 ""COLLECTION"",XLOOKUP(A102,tblCollections[CollectionID],tblCollections[costtext],""""),
 ""CRAFTIFACT"",XLOOKUP(A102,tblCraftifacts[C"&amp;"raftifactID],tblCraftifacts[costtext],""""),
 """"
)"),"10 ruby,1000 coin,8000 beam,800 plank,500 stone,1000 steel,1 ingot,10 kimono,20 blueprint")</f>
        <v>10 ruby,1000 coin,8000 beam,800 plank,500 stone,1000 steel,1 ingot,10 kimono,20 blueprint</v>
      </c>
      <c r="P102" s="26" t="str">
        <f t="shared" si="6"/>
        <v>READY</v>
      </c>
      <c r="Q102" s="26" t="str">
        <f t="shared" si="7"/>
        <v>BLOCKED</v>
      </c>
      <c r="R102" s="26">
        <f t="array" ref="R102">IFERROR(
 _xlfn.XLOOKUP(
  A102,
  tblChecklist[TargetID],
  tblChecklist[PlayerSort],
  ""
 ),
 ""
)</f>
        <v>69</v>
      </c>
      <c r="S102" s="26" t="str">
        <f>IFERROR(__xludf.DUMMYFUNCTION("LET(
 id,A102,
 successorIDs,
  IFERROR(
   UNIQUE(
    FILTER(
     {
      Dependencies!$A$2:$A$1000;
      QuestObjectives!$A$2:$A$1000
     },
     {
      Dependencies!$B$2:$B$1000;
      QuestObjectives!$E$2:$E$1000
     }=id
    )
   ),
   """"
  )"&amp;",
 names,
  MAP(
   successorIDs,
   LAMBDA(s,
    IF(
     s="""",
     """",
     XLOOKUP(
      s,
      $A$2:$A$1000,
      $B$2:$B$1000,
      s
     )
    )
   )
  ),
 IF(
  successorIDs="""",
  """",
  TEXTJOIN("", "",TRUE,names)
 )
)"),"Train Lv 1, Journey Through Japan By Train Accepted, Journey Through Japan By Train Finished")</f>
        <v>Train Lv 1, Journey Through Japan By Train Accepted, Journey Through Japan By Train Finished</v>
      </c>
      <c r="T102" s="26" t="str">
        <f t="array" ref="T102">_xlfn.XLOOKUP(
 A102,
 tblTargets[TargetID],
 tblTargets[CompletionMethod],
 ""
)</f>
        <v>PLAYER</v>
      </c>
      <c r="U102" s="84" t="b">
        <f>COUNTIF(tblCost[TargetID],A102)&gt;0</f>
        <v>1</v>
      </c>
      <c r="V102" s="85">
        <f t="array" ref="V102">IF(
 U102=FALSE,
 "",
 _xlfn.XLOOKUP(
  A102,
  tblCost[TargetID],
  tblCost[FundingPercent],
  ""
 )
)</f>
        <v>0</v>
      </c>
      <c r="W102" s="26">
        <f t="array" ref="W102">IF(
 U102=FALSE,
 "",
 _xlfn.XLOOKUP(
  A102,
  tblCost[TargetID],
  tblCost[RemainingRequirements],
  ""
 )
)</f>
        <v>9</v>
      </c>
      <c r="X102" s="45" t="b">
        <f t="array" ref="X102">IF(
 U102=FALSE,
 "N/A",
 _xlfn.XLOOKUP(
  A103,
  tblCost[TargetID],
  tblCost[TargetFunded],
  FALSE
 )
)</f>
        <v>0</v>
      </c>
      <c r="Y102" s="26" t="str">
        <f>IFERROR(__xludf.DUMMYFUNCTION("IFERROR(
 TEXTJOIN(
  "", "",
  TRUE,
  FILTER(
   'cost checklist'!$E$2:$E1000&amp;"": ""&amp;'cost checklist'!$G$2:$G1000,
   'cost checklist'!$B$2:$B1000=A102,
   'cost checklist'!$J$2:$J1000=FALSE
  )
 ),
 """"
)"),"beam: 8000, blueprint: 20, coin: 1000, ingot: 1, kimono: 10, plank: 800, ruby: 10, steel: 1000, stone: 500")</f>
        <v>beam: 8000, blueprint: 20, coin: 1000, ingot: 1, kimono: 10, plank: 800, ruby: 10, steel: 1000, stone: 500</v>
      </c>
      <c r="Z102" s="26" t="b">
        <f>IFERROR(__xludf.DUMMYFUNCTION("IF(
 AND(
  E102=""QUEST"",
  RIGHT(A102,9)="".accepted"",
  D102=TRUE
 ),
 XLOOKUP(
  REGEXREPLACE(A102,""\.accepted$"","""")&amp;"".finished"",
  $A$2:$A1000,
  $D$2:$D1000,
  TRUE
 )=FALSE,
 FALSE
)"),FALSE)</f>
        <v>0</v>
      </c>
      <c r="AA102" s="26" t="str">
        <f>IFERROR(__xludf.DUMMYFUNCTION("LET(
 id,A102,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)"),"Journey Through Japan By Train")</f>
        <v>Journey Through Japan By Train</v>
      </c>
    </row>
    <row r="103" ht="14.25" customHeight="1">
      <c r="A103" s="26" t="s">
        <v>877</v>
      </c>
      <c r="B103" s="26" t="str">
        <f t="array" ref="B103">_xlfn.XLOOKUP(
 A103,
 tblTargets[TargetID],
 tblTargets[DisplayName],
 ""
)</f>
        <v>tailor maxed</v>
      </c>
      <c r="C103" s="26" t="str">
        <f t="shared" si="1"/>
        <v>BLOCKED</v>
      </c>
      <c r="D103" s="26" t="b">
        <f>IFERROR(__xludf.DUMMYFUNCTION("LET(
 id,A103,
 IF(
  F103=""CHARACTER"",
  LET(
   base,REGEXREPLACE(id,""@\d+$"",""""),
   required,VALUE(REGEXEXTRACT(id,""@(\d+)$"")),
   current,XLOOKUP(
    base,
    tblPlayer[PlayerStateID],
    tblPlayer[Value],
    0
   ),
   current&gt;=required
 "&amp;" ),
  IF(
   T103=""AUTO"",
   L103=0,
   COUNTIFS(
    tblChecklist[TargetID],id,
    tblChecklist[PlayerCompleted],TRUE
   )&gt;0
  )
 )
)"),FALSE)</f>
        <v>0</v>
      </c>
      <c r="E103" s="26" t="str">
        <f t="array" ref="E103">_xlfn.XLOOKUP(
 A103,
 tblTargets[TargetID],
 tblTargets[TargetType],
 ""
)</f>
        <v>BUILDING</v>
      </c>
      <c r="F103" s="26" t="str">
        <f t="array" ref="F103">_xlfn.XLOOKUP(
 A103,
 tblTargets[TargetID],
 tblTargets[StateType],
 ""
)</f>
        <v/>
      </c>
      <c r="G103" s="26">
        <f>LET(
 id,A103,
 depCount,COUNTIF(tblDependencies[TargetID],id),
 objCount,COUNTIF(tblQuestObjectives[QuestTargetID],id),
 depCount+objCount
)</f>
        <v>1</v>
      </c>
      <c r="H103" s="26">
        <f t="shared" si="2"/>
        <v>1</v>
      </c>
      <c r="I103" s="26">
        <f>IFERROR(__xludf.DUMMYFUNCTION("LET(
 id,A103,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3" s="26">
        <f t="shared" si="3"/>
        <v>0</v>
      </c>
      <c r="K103" s="26" t="b">
        <f t="shared" si="4"/>
        <v>0</v>
      </c>
      <c r="L103" s="26">
        <f t="shared" si="5"/>
        <v>1</v>
      </c>
      <c r="M103" s="26" t="str">
        <f>IFERROR(__xludf.DUMMYFUNCTION("LET(
 id,A103,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L103=0,
  """",
  IFERROR(INDEX(incomplete,1),"""")"&amp;"
 )
)"),"building.tailor@3")</f>
        <v>building.tailor@3</v>
      </c>
      <c r="N103" s="26" t="str">
        <f t="array" ref="N103">IF(
 M103="",
 "",
 _xlfn.XLOOKUP(
  M103,
  tblTargets[TargetID],
  tblTargets[DisplayName],
  M103
 )
)</f>
        <v>Tailor Lv 3</v>
      </c>
      <c r="O103" s="26" t="str">
        <f>IFERROR(__xludf.DUMMYFUNCTION("SWITCH(
 E103,
 ""BUILDING"",XLOOKUP(A103,tblBuildings[BuildingID],tblBuildings[costtext],""""),
 ""TECH"",XLOOKUP(A103,tblTechnologies[TechnologyID],tblTechnologies[costtext],""""),
 ""QUEST"",XLOOKUP(
  REGEXREPLACE(A103,""\.[^.]+$"",""""),
  tblQuests["&amp;"QuestID],
  tblQuests[Costtext],
  """"
 ),
 ""CITADEL"",XLOOKUP(A103,tblCitadel[CitadelID],tblCitadel[costtext],""""),
 ""COLLECTION"",XLOOKUP(A103,tblCollections[CollectionID],tblCollections[costtext],""""),
 ""CRAFTIFACT"",XLOOKUP(A103,tblCraftifacts[C"&amp;"raftifactID],tblCraftifacts[costtext],""""),
 """"
)"),"")</f>
        <v/>
      </c>
      <c r="P103" s="26" t="str">
        <f t="shared" si="6"/>
        <v>BLOCKED</v>
      </c>
      <c r="Q103" s="26" t="str">
        <f t="shared" si="7"/>
        <v>BLOCKED</v>
      </c>
      <c r="R103" s="26" t="str">
        <f t="array" ref="R103">IFERROR(
 _xlfn.XLOOKUP(
  A103,
  tblChecklist[TargetID],
  tblChecklist[PlayerSort],
  ""
 ),
 ""
)</f>
        <v/>
      </c>
      <c r="S103" s="26" t="str">
        <f>IFERROR(__xludf.DUMMYFUNCTION("LET(
 id,A103,
 successorIDs,
  IFERROR(
   UNIQUE(
    FILTER(
     {
      Dependencies!$A$2:$A$1000;
      QuestObjectives!$A$2:$A$1000
     },
     {
      Dependencies!$B$2:$B$1000;
      QuestObjectives!$E$2:$E$1000
     }=id
    )
   ),
   """"
  )"&amp;",
 names,
  MAP(
   successorIDs,
   LAMBDA(s,
    IF(
     s="""",
     """",
     XLOOKUP(
      s,
      $A$2:$A$1000,
      $B$2:$B$1000,
      s
     )
    )
   )
  ),
 IF(
  successorIDs="""",
  """",
  TEXTJOIN("", "",TRUE,names)
 )
)"),"Tailor - Ariadnes Thread, Tailor - Armor For A Hero Lvl 1, Tailor - Armor For A Hero Lvl 2, Tailor - Armor For A Hero Lvl 3, Tailor - Armor For A Hero Lvl 4, Tailor - Armor For A Hero Lvl 4+, Tailor - Bedroll, Tailor - Colored Threads, Tailor - Salamander"&amp;" Velour, Tailor - Strong Rivets, Tailor - Strong Stitch")</f>
        <v>Tailor - Ariadnes Thread, Tailor - Armor For A Hero Lvl 1, Tailor - Armor For A Hero Lvl 2, Tailor - Armor For A Hero Lvl 3, Tailor - Armor For A Hero Lvl 4, Tailor - Armor For A Hero Lvl 4+, Tailor - Bedroll, Tailor - Colored Threads, Tailor - Salamander Velour, Tailor - Strong Rivets, Tailor - Strong Stitch</v>
      </c>
      <c r="T103" s="26" t="str">
        <f t="array" ref="T103">_xlfn.XLOOKUP(
 A103,
 tblTargets[TargetID],
 tblTargets[CompletionMethod],
 ""
)</f>
        <v>AUTO</v>
      </c>
      <c r="U103" s="84" t="b">
        <f>COUNTIF(tblCost[TargetID],A103)&gt;0</f>
        <v>0</v>
      </c>
      <c r="V103" s="85" t="str">
        <f t="array" ref="V103">IF(
 U103=FALSE,
 "",
 _xlfn.XLOOKUP(
  A103,
  tblCost[TargetID],
  tblCost[FundingPercent],
  ""
 )
)</f>
        <v/>
      </c>
      <c r="W103" s="26" t="str">
        <f t="array" ref="W103">IF(
 U103=FALSE,
 "",
 _xlfn.XLOOKUP(
  A103,
  tblCost[TargetID],
  tblCost[RemainingRequirements],
  ""
 )
)</f>
        <v/>
      </c>
      <c r="X103" s="45" t="str">
        <f t="array" ref="X103">IF(
 U103=FALSE,
 "N/A",
 _xlfn.XLOOKUP(
  A104,
  tblCost[TargetID],
  tblCost[TargetFunded],
  FALSE
 )
)</f>
        <v>N/A</v>
      </c>
      <c r="Y103" s="26" t="str">
        <f>IFERROR(__xludf.DUMMYFUNCTION("IFERROR(
 TEXTJOIN(
  "", "",
  TRUE,
  FILTER(
   'cost checklist'!$E$2:$E1000&amp;"": ""&amp;'cost checklist'!$G$2:$G1000,
   'cost checklist'!$B$2:$B1000=A103,
   'cost checklist'!$J$2:$J1000=FALSE
  )
 ),
 """"
)"),"")</f>
        <v/>
      </c>
      <c r="Z103" s="26" t="b">
        <f>IFERROR(__xludf.DUMMYFUNCTION("IF(
 AND(
  E103=""QUEST"",
  RIGHT(A103,9)="".accepted"",
  D103=TRUE
 ),
 XLOOKUP(
  REGEXREPLACE(A103,""\.accepted$"","""")&amp;"".finished"",
  $A$2:$A1000,
  $D$2:$D1000,
  TRUE
 )=FALSE,
 FALSE
)"),FALSE)</f>
        <v>0</v>
      </c>
      <c r="AA103" s="26" t="str">
        <f>IFERROR(__xludf.DUMMYFUNCTION("LET(
 id,A103,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04" ht="14.25" customHeight="1">
      <c r="A104" s="26" t="s">
        <v>420</v>
      </c>
      <c r="B104" s="26" t="str">
        <f t="array" ref="B104">_xlfn.XLOOKUP(
 A104,
 tblTargets[TargetID],
 tblTargets[DisplayName],
 ""
)</f>
        <v>Tailor Lv 1</v>
      </c>
      <c r="C104" s="26" t="str">
        <f t="shared" si="1"/>
        <v>BLOCKED</v>
      </c>
      <c r="D104" s="26" t="b">
        <f>IFERROR(__xludf.DUMMYFUNCTION("LET(
 id,A104,
 IF(
  F104=""CHARACTER"",
  LET(
   base,REGEXREPLACE(id,""@\d+$"",""""),
   required,VALUE(REGEXEXTRACT(id,""@(\d+)$"")),
   current,XLOOKUP(
    base,
    tblPlayer[PlayerStateID],
    tblPlayer[Value],
    0
   ),
   current&gt;=required
 "&amp;" ),
  IF(
   T104=""AUTO"",
   L104=0,
   COUNTIFS(
    tblChecklist[TargetID],id,
    tblChecklist[PlayerCompleted],TRUE
   )&gt;0
  )
 )
)"),FALSE)</f>
        <v>0</v>
      </c>
      <c r="E104" s="26" t="str">
        <f t="array" ref="E104">_xlfn.XLOOKUP(
 A104,
 tblTargets[TargetID],
 tblTargets[TargetType],
 ""
)</f>
        <v>BUILDING</v>
      </c>
      <c r="F104" s="26" t="str">
        <f t="array" ref="F104">_xlfn.XLOOKUP(
 A104,
 tblTargets[TargetID],
 tblTargets[StateType],
 ""
)</f>
        <v/>
      </c>
      <c r="G104" s="26">
        <f>LET(
 id,A104,
 depCount,COUNTIF(tblDependencies[TargetID],id),
 objCount,COUNTIF(tblQuestObjectives[QuestTargetID],id),
 depCount+objCount
)</f>
        <v>2</v>
      </c>
      <c r="H104" s="26">
        <f t="shared" si="2"/>
        <v>2</v>
      </c>
      <c r="I104" s="26">
        <f>IFERROR(__xludf.DUMMYFUNCTION("LET(
 id,A104,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4" s="26">
        <f t="shared" si="3"/>
        <v>0</v>
      </c>
      <c r="K104" s="26" t="b">
        <f t="shared" si="4"/>
        <v>0</v>
      </c>
      <c r="L104" s="26">
        <f t="shared" si="5"/>
        <v>2</v>
      </c>
      <c r="M104" s="26" t="str">
        <f>IFERROR(__xludf.DUMMYFUNCTION("LET(
 id,A104,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L104=0,
  """",
  IFERROR(INDEX(incomplete,1),"""")"&amp;"
 )
)"),"building.bridge@1")</f>
        <v>building.bridge@1</v>
      </c>
      <c r="N104" s="26" t="str">
        <f t="array" ref="N104">IF(
 M104="",
 "",
 _xlfn.XLOOKUP(
  M104,
  tblTargets[TargetID],
  tblTargets[DisplayName],
  M104
 )
)</f>
        <v>Bridge Lv 1</v>
      </c>
      <c r="O104" s="26" t="str">
        <f>IFERROR(__xludf.DUMMYFUNCTION("SWITCH(
 E104,
 ""BUILDING"",XLOOKUP(A104,tblBuildings[BuildingID],tblBuildings[costtext],""""),
 ""TECH"",XLOOKUP(A104,tblTechnologies[TechnologyID],tblTechnologies[costtext],""""),
 ""QUEST"",XLOOKUP(
  REGEXREPLACE(A104,""\.[^.]+$"",""""),
  tblQuests["&amp;"QuestID],
  tblQuests[Costtext],
  """"
 ),
 ""CITADEL"",XLOOKUP(A104,tblCitadel[CitadelID],tblCitadel[costtext],""""),
 ""COLLECTION"",XLOOKUP(A104,tblCollections[CollectionID],tblCollections[costtext],""""),
 ""CRAFTIFACT"",XLOOKUP(A104,tblCraftifacts[C"&amp;"raftifactID],tblCraftifacts[costtext],""""),
 """"
)"),"4 ruby,600 coin,600 beam,300 stone,10 silk,10 paper")</f>
        <v>4 ruby,600 coin,600 beam,300 stone,10 silk,10 paper</v>
      </c>
      <c r="P104" s="26" t="str">
        <f t="shared" si="6"/>
        <v>BLOCKED</v>
      </c>
      <c r="Q104" s="26" t="str">
        <f t="shared" si="7"/>
        <v>BLOCKED</v>
      </c>
      <c r="R104" s="26">
        <f t="array" ref="R104">IFERROR(
 _xlfn.XLOOKUP(
  A104,
  tblChecklist[TargetID],
  tblChecklist[PlayerSort],
  ""
 ),
 ""
)</f>
        <v>47</v>
      </c>
      <c r="S104" s="26" t="str">
        <f>IFERROR(__xludf.DUMMYFUNCTION("LET(
 id,A104,
 successorIDs,
  IFERROR(
   UNIQUE(
    FILTER(
     {
      Dependencies!$A$2:$A$1000;
      QuestObjectives!$A$2:$A$1000
     },
     {
      Dependencies!$B$2:$B$1000;
      QuestObjectives!$E$2:$E$1000
     }=id
    )
   ),
   """"
  )"&amp;",
 names,
  MAP(
   successorIDs,
   LAMBDA(s,
    IF(
     s="""",
     """",
     XLOOKUP(
      s,
      $A$2:$A$1000,
      $B$2:$B$1000,
      s
     )
    )
   )
  ),
 IF(
  successorIDs="""",
  """",
  TEXTJOIN("", "",TRUE,names)
 )
)"),"Tailor Lv 2")</f>
        <v>Tailor Lv 2</v>
      </c>
      <c r="T104" s="26" t="str">
        <f t="array" ref="T104">_xlfn.XLOOKUP(
 A104,
 tblTargets[TargetID],
 tblTargets[CompletionMethod],
 ""
)</f>
        <v>PLAYER</v>
      </c>
      <c r="U104" s="84" t="b">
        <f>COUNTIF(tblCost[TargetID],A104)&gt;0</f>
        <v>1</v>
      </c>
      <c r="V104" s="85">
        <f t="array" ref="V104">IF(
 U104=FALSE,
 "",
 _xlfn.XLOOKUP(
  A104,
  tblCost[TargetID],
  tblCost[FundingPercent],
  ""
 )
)</f>
        <v>0</v>
      </c>
      <c r="W104" s="26">
        <f t="array" ref="W104">IF(
 U104=FALSE,
 "",
 _xlfn.XLOOKUP(
  A104,
  tblCost[TargetID],
  tblCost[RemainingRequirements],
  ""
 )
)</f>
        <v>6</v>
      </c>
      <c r="X104" s="45" t="b">
        <f t="array" ref="X104">IF(
 U104=FALSE,
 "N/A",
 _xlfn.XLOOKUP(
  A105,
  tblCost[TargetID],
  tblCost[TargetFunded],
  FALSE
 )
)</f>
        <v>0</v>
      </c>
      <c r="Y104" s="26" t="str">
        <f>IFERROR(__xludf.DUMMYFUNCTION("IFERROR(
 TEXTJOIN(
  "", "",
  TRUE,
  FILTER(
   'cost checklist'!$E$2:$E1000&amp;"": ""&amp;'cost checklist'!$G$2:$G1000,
   'cost checklist'!$B$2:$B1000=A104,
   'cost checklist'!$J$2:$J1000=FALSE
  )
 ),
 """"
)"),"beam: 600, coin: 600, paper: 10, ruby: 4, silk: 10, stone: 300")</f>
        <v>beam: 600, coin: 600, paper: 10, ruby: 4, silk: 10, stone: 300</v>
      </c>
      <c r="Z104" s="26" t="b">
        <f>IFERROR(__xludf.DUMMYFUNCTION("IF(
 AND(
  E104=""QUEST"",
  RIGHT(A104,9)="".accepted"",
  D104=TRUE
 ),
 XLOOKUP(
  REGEXREPLACE(A104,""\.accepted$"","""")&amp;"".finished"",
  $A$2:$A1000,
  $D$2:$D1000,
  TRUE
 )=FALSE,
 FALSE
)"),FALSE)</f>
        <v>0</v>
      </c>
      <c r="AA104" s="26" t="str">
        <f>IFERROR(__xludf.DUMMYFUNCTION("LET(
 id,A104,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05" ht="14.25" customHeight="1">
      <c r="A105" s="26" t="s">
        <v>421</v>
      </c>
      <c r="B105" s="26" t="str">
        <f t="array" ref="B105">_xlfn.XLOOKUP(
 A105,
 tblTargets[TargetID],
 tblTargets[DisplayName],
 ""
)</f>
        <v>Tailor Lv 2</v>
      </c>
      <c r="C105" s="26" t="str">
        <f t="shared" si="1"/>
        <v>BLOCKED</v>
      </c>
      <c r="D105" s="26" t="b">
        <f>IFERROR(__xludf.DUMMYFUNCTION("LET(
 id,A105,
 IF(
  F105=""CHARACTER"",
  LET(
   base,REGEXREPLACE(id,""@\d+$"",""""),
   required,VALUE(REGEXEXTRACT(id,""@(\d+)$"")),
   current,XLOOKUP(
    base,
    tblPlayer[PlayerStateID],
    tblPlayer[Value],
    0
   ),
   current&gt;=required
 "&amp;" ),
  IF(
   T105=""AUTO"",
   L105=0,
   COUNTIFS(
    tblChecklist[TargetID],id,
    tblChecklist[PlayerCompleted],TRUE
   )&gt;0
  )
 )
)"),FALSE)</f>
        <v>0</v>
      </c>
      <c r="E105" s="26" t="str">
        <f t="array" ref="E105">_xlfn.XLOOKUP(
 A105,
 tblTargets[TargetID],
 tblTargets[TargetType],
 ""
)</f>
        <v>BUILDING</v>
      </c>
      <c r="F105" s="26" t="str">
        <f t="array" ref="F105">_xlfn.XLOOKUP(
 A105,
 tblTargets[TargetID],
 tblTargets[StateType],
 ""
)</f>
        <v/>
      </c>
      <c r="G105" s="26">
        <f>LET(
 id,A105,
 depCount,COUNTIF(tblDependencies[TargetID],id),
 objCount,COUNTIF(tblQuestObjectives[QuestTargetID],id),
 depCount+objCount
)</f>
        <v>1</v>
      </c>
      <c r="H105" s="26">
        <f t="shared" si="2"/>
        <v>1</v>
      </c>
      <c r="I105" s="26">
        <f>IFERROR(__xludf.DUMMYFUNCTION("LET(
 id,A105,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5" s="26">
        <f t="shared" si="3"/>
        <v>0</v>
      </c>
      <c r="K105" s="26" t="b">
        <f t="shared" si="4"/>
        <v>0</v>
      </c>
      <c r="L105" s="26">
        <f t="shared" si="5"/>
        <v>1</v>
      </c>
      <c r="M105" s="26" t="str">
        <f>IFERROR(__xludf.DUMMYFUNCTION("LET(
 id,A105,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L105=0,
  """",
  IFERROR(INDEX(incomplete,1),"""")"&amp;"
 )
)"),"building.tailor@1")</f>
        <v>building.tailor@1</v>
      </c>
      <c r="N105" s="26" t="str">
        <f t="array" ref="N105">IF(
 M105="",
 "",
 _xlfn.XLOOKUP(
  M105,
  tblTargets[TargetID],
  tblTargets[DisplayName],
  M105
 )
)</f>
        <v>Tailor Lv 1</v>
      </c>
      <c r="O105" s="26" t="str">
        <f>IFERROR(__xludf.DUMMYFUNCTION("SWITCH(
 E105,
 ""BUILDING"",XLOOKUP(A105,tblBuildings[BuildingID],tblBuildings[costtext],""""),
 ""TECH"",XLOOKUP(A105,tblTechnologies[TechnologyID],tblTechnologies[costtext],""""),
 ""QUEST"",XLOOKUP(
  REGEXREPLACE(A105,""\.[^.]+$"",""""),
  tblQuests["&amp;"QuestID],
  tblQuests[Costtext],
  """"
 ),
 ""CITADEL"",XLOOKUP(A105,tblCitadel[CitadelID],tblCitadel[costtext],""""),
 ""COLLECTION"",XLOOKUP(A105,tblCollections[CollectionID],tblCollections[costtext],""""),
 ""CRAFTIFACT"",XLOOKUP(A105,tblCraftifacts[C"&amp;"raftifactID],tblCraftifacts[costtext],""""),
 """"
)"),"6 ruby,800 coin,800 plank,400 stone,20 silk,20 glass")</f>
        <v>6 ruby,800 coin,800 plank,400 stone,20 silk,20 glass</v>
      </c>
      <c r="P105" s="26" t="str">
        <f t="shared" si="6"/>
        <v>BLOCKED</v>
      </c>
      <c r="Q105" s="26" t="str">
        <f t="shared" si="7"/>
        <v>BLOCKED</v>
      </c>
      <c r="R105" s="26">
        <f t="array" ref="R105">IFERROR(
 _xlfn.XLOOKUP(
  A105,
  tblChecklist[TargetID],
  tblChecklist[PlayerSort],
  ""
 ),
 ""
)</f>
        <v>48</v>
      </c>
      <c r="S105" s="26" t="str">
        <f>IFERROR(__xludf.DUMMYFUNCTION("LET(
 id,A105,
 successorIDs,
  IFERROR(
   UNIQUE(
    FILTER(
     {
      Dependencies!$A$2:$A$1000;
      QuestObjectives!$A$2:$A$1000
     },
     {
      Dependencies!$B$2:$B$1000;
      QuestObjectives!$E$2:$E$1000
     }=id
    )
   ),
   """"
  )"&amp;",
 names,
  MAP(
   successorIDs,
   LAMBDA(s,
    IF(
     s="""",
     """",
     XLOOKUP(
      s,
      $A$2:$A$1000,
      $B$2:$B$1000,
      s
     )
    )
   )
  ),
 IF(
  successorIDs="""",
  """",
  TEXTJOIN("", "",TRUE,names)
 )
)"),"Tailor Lv 3, Guild Banner, Tailor - Ariadnes Thread, Tailor - Armor For A Hero Lvl 1, Tailor - Colored Threads, Tailor - Strong Stitch")</f>
        <v>Tailor Lv 3, Guild Banner, Tailor - Ariadnes Thread, Tailor - Armor For A Hero Lvl 1, Tailor - Colored Threads, Tailor - Strong Stitch</v>
      </c>
      <c r="T105" s="26" t="str">
        <f t="array" ref="T105">_xlfn.XLOOKUP(
 A105,
 tblTargets[TargetID],
 tblTargets[CompletionMethod],
 ""
)</f>
        <v>PLAYER</v>
      </c>
      <c r="U105" s="84" t="b">
        <f>COUNTIF(tblCost[TargetID],A105)&gt;0</f>
        <v>1</v>
      </c>
      <c r="V105" s="85">
        <f t="array" ref="V105">IF(
 U105=FALSE,
 "",
 _xlfn.XLOOKUP(
  A105,
  tblCost[TargetID],
  tblCost[FundingPercent],
  ""
 )
)</f>
        <v>0</v>
      </c>
      <c r="W105" s="26">
        <f t="array" ref="W105">IF(
 U105=FALSE,
 "",
 _xlfn.XLOOKUP(
  A105,
  tblCost[TargetID],
  tblCost[RemainingRequirements],
  ""
 )
)</f>
        <v>6</v>
      </c>
      <c r="X105" s="45" t="b">
        <f t="array" ref="X105">IF(
 U105=FALSE,
 "N/A",
 _xlfn.XLOOKUP(
  A106,
  tblCost[TargetID],
  tblCost[TargetFunded],
  FALSE
 )
)</f>
        <v>0</v>
      </c>
      <c r="Y105" s="26" t="str">
        <f>IFERROR(__xludf.DUMMYFUNCTION("IFERROR(
 TEXTJOIN(
  "", "",
  TRUE,
  FILTER(
   'cost checklist'!$E$2:$E1000&amp;"": ""&amp;'cost checklist'!$G$2:$G1000,
   'cost checklist'!$B$2:$B1000=A105,
   'cost checklist'!$J$2:$J1000=FALSE
  )
 ),
 """"
)"),"coin: 800, glass: 20, plank: 800, ruby: 6, silk: 20, stone: 400")</f>
        <v>coin: 800, glass: 20, plank: 800, ruby: 6, silk: 20, stone: 400</v>
      </c>
      <c r="Z105" s="26" t="b">
        <f>IFERROR(__xludf.DUMMYFUNCTION("IF(
 AND(
  E105=""QUEST"",
  RIGHT(A105,9)="".accepted"",
  D105=TRUE
 ),
 XLOOKUP(
  REGEXREPLACE(A105,""\.accepted$"","""")&amp;"".finished"",
  $A$2:$A1000,
  $D$2:$D1000,
  TRUE
 )=FALSE,
 FALSE
)"),FALSE)</f>
        <v>0</v>
      </c>
      <c r="AA105" s="26" t="str">
        <f>IFERROR(__xludf.DUMMYFUNCTION("LET(
 id,A105,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06" ht="14.25" customHeight="1">
      <c r="A106" s="26" t="s">
        <v>424</v>
      </c>
      <c r="B106" s="26" t="str">
        <f t="array" ref="B106">_xlfn.XLOOKUP(
 A106,
 tblTargets[TargetID],
 tblTargets[DisplayName],
 ""
)</f>
        <v>Tailor Lv 3</v>
      </c>
      <c r="C106" s="26" t="str">
        <f t="shared" si="1"/>
        <v>BLOCKED</v>
      </c>
      <c r="D106" s="26" t="b">
        <f>IFERROR(__xludf.DUMMYFUNCTION("LET(
 id,A106,
 IF(
  F106=""CHARACTER"",
  LET(
   base,REGEXREPLACE(id,""@\d+$"",""""),
   required,VALUE(REGEXEXTRACT(id,""@(\d+)$"")),
   current,XLOOKUP(
    base,
    tblPlayer[PlayerStateID],
    tblPlayer[Value],
    0
   ),
   current&gt;=required
 "&amp;" ),
  IF(
   T106=""AUTO"",
   L106=0,
   COUNTIFS(
    tblChecklist[TargetID],id,
    tblChecklist[PlayerCompleted],TRUE
   )&gt;0
  )
 )
)"),FALSE)</f>
        <v>0</v>
      </c>
      <c r="E106" s="26" t="str">
        <f t="array" ref="E106">_xlfn.XLOOKUP(
 A106,
 tblTargets[TargetID],
 tblTargets[TargetType],
 ""
)</f>
        <v>BUILDING</v>
      </c>
      <c r="F106" s="26" t="str">
        <f t="array" ref="F106">_xlfn.XLOOKUP(
 A106,
 tblTargets[TargetID],
 tblTargets[StateType],
 ""
)</f>
        <v/>
      </c>
      <c r="G106" s="26">
        <f>LET(
 id,A106,
 depCount,COUNTIF(tblDependencies[TargetID],id),
 objCount,COUNTIF(tblQuestObjectives[QuestTargetID],id),
 depCount+objCount
)</f>
        <v>1</v>
      </c>
      <c r="H106" s="26">
        <f t="shared" si="2"/>
        <v>1</v>
      </c>
      <c r="I106" s="26">
        <f>IFERROR(__xludf.DUMMYFUNCTION("LET(
 id,A106,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6" s="26">
        <f t="shared" si="3"/>
        <v>0</v>
      </c>
      <c r="K106" s="26" t="b">
        <f t="shared" si="4"/>
        <v>0</v>
      </c>
      <c r="L106" s="26">
        <f t="shared" si="5"/>
        <v>1</v>
      </c>
      <c r="M106" s="26" t="str">
        <f>IFERROR(__xludf.DUMMYFUNCTION("LET(
 id,A106,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L106=0,
  """",
  IFERROR(INDEX(incomplete,1),"""")"&amp;"
 )
)"),"building.tailor@2")</f>
        <v>building.tailor@2</v>
      </c>
      <c r="N106" s="26" t="str">
        <f t="array" ref="N106">IF(
 M106="",
 "",
 _xlfn.XLOOKUP(
  M106,
  tblTargets[TargetID],
  tblTargets[DisplayName],
  M106
 )
)</f>
        <v>Tailor Lv 2</v>
      </c>
      <c r="O106" s="26" t="str">
        <f>IFERROR(__xludf.DUMMYFUNCTION("SWITCH(
 E106,
 ""BUILDING"",XLOOKUP(A106,tblBuildings[BuildingID],tblBuildings[costtext],""""),
 ""TECH"",XLOOKUP(A106,tblTechnologies[TechnologyID],tblTechnologies[costtext],""""),
 ""QUEST"",XLOOKUP(
  REGEXREPLACE(A106,""\.[^.]+$"",""""),
  tblQuests["&amp;"QuestID],
  tblQuests[Costtext],
  """"
 ),
 ""CITADEL"",XLOOKUP(A106,tblCitadel[CitadelID],tblCitadel[costtext],""""),
 ""COLLECTION"",XLOOKUP(A106,tblCollections[CollectionID],tblCollections[costtext],""""),
 ""CRAFTIFACT"",XLOOKUP(A106,tblCraftifacts[C"&amp;"raftifactID],tblCraftifacts[costtext],""""),
 """"
)"),"8 ruby,1000 coin,1000 plank,500 stone,100 steel,30 silk")</f>
        <v>8 ruby,1000 coin,1000 plank,500 stone,100 steel,30 silk</v>
      </c>
      <c r="P106" s="26" t="str">
        <f t="shared" si="6"/>
        <v>BLOCKED</v>
      </c>
      <c r="Q106" s="26" t="str">
        <f t="shared" si="7"/>
        <v>BLOCKED</v>
      </c>
      <c r="R106" s="26">
        <f t="array" ref="R106">IFERROR(
 _xlfn.XLOOKUP(
  A106,
  tblChecklist[TargetID],
  tblChecklist[PlayerSort],
  ""
 ),
 ""
)</f>
        <v>49</v>
      </c>
      <c r="S106" s="26" t="str">
        <f>IFERROR(__xludf.DUMMYFUNCTION("LET(
 id,A106,
 successorIDs,
  IFERROR(
   UNIQUE(
    FILTER(
     {
      Dependencies!$A$2:$A$1000;
      QuestObjectives!$A$2:$A$1000
     },
     {
      Dependencies!$B$2:$B$1000;
      QuestObjectives!$E$2:$E$1000
     }=id
    )
   ),
   """"
  )"&amp;",
 names,
  MAP(
   successorIDs,
   LAMBDA(s,
    IF(
     s="""",
     """",
     XLOOKUP(
      s,
      $A$2:$A$1000,
      $B$2:$B$1000,
      s
     )
    )
   )
  ),
 IF(
  successorIDs="""",
  """",
  TEXTJOIN("", "",TRUE,names)
 )
)"),"tailor maxed, Hat Of Concentration, Helmet")</f>
        <v>tailor maxed, Hat Of Concentration, Helmet</v>
      </c>
      <c r="T106" s="26" t="str">
        <f t="array" ref="T106">_xlfn.XLOOKUP(
 A106,
 tblTargets[TargetID],
 tblTargets[CompletionMethod],
 ""
)</f>
        <v>PLAYER</v>
      </c>
      <c r="U106" s="84" t="b">
        <f>COUNTIF(tblCost[TargetID],A106)&gt;0</f>
        <v>1</v>
      </c>
      <c r="V106" s="85">
        <f t="array" ref="V106">IF(
 U106=FALSE,
 "",
 _xlfn.XLOOKUP(
  A106,
  tblCost[TargetID],
  tblCost[FundingPercent],
  ""
 )
)</f>
        <v>0</v>
      </c>
      <c r="W106" s="26">
        <f t="array" ref="W106">IF(
 U106=FALSE,
 "",
 _xlfn.XLOOKUP(
  A106,
  tblCost[TargetID],
  tblCost[RemainingRequirements],
  ""
 )
)</f>
        <v>6</v>
      </c>
      <c r="X106" s="45" t="b">
        <f t="array" ref="X106">IF(
 U106=FALSE,
 "N/A",
 _xlfn.XLOOKUP(
  A107,
  tblCost[TargetID],
  tblCost[TargetFunded],
  FALSE
 )
)</f>
        <v>0</v>
      </c>
      <c r="Y106" s="26" t="str">
        <f>IFERROR(__xludf.DUMMYFUNCTION("IFERROR(
 TEXTJOIN(
  "", "",
  TRUE,
  FILTER(
   'cost checklist'!$E$2:$E1000&amp;"": ""&amp;'cost checklist'!$G$2:$G1000,
   'cost checklist'!$B$2:$B1000=A106,
   'cost checklist'!$J$2:$J1000=FALSE
  )
 ),
 """"
)"),"coin: 1000, plank: 1000, ruby: 8, silk: 30, steel: 100, stone: 500")</f>
        <v>coin: 1000, plank: 1000, ruby: 8, silk: 30, steel: 100, stone: 500</v>
      </c>
      <c r="Z106" s="26" t="b">
        <f>IFERROR(__xludf.DUMMYFUNCTION("IF(
 AND(
  E106=""QUEST"",
  RIGHT(A106,9)="".accepted"",
  D106=TRUE
 ),
 XLOOKUP(
  REGEXREPLACE(A106,""\.accepted$"","""")&amp;"".finished"",
  $A$2:$A1000,
  $D$2:$D1000,
  TRUE
 )=FALSE,
 FALSE
)"),FALSE)</f>
        <v>0</v>
      </c>
      <c r="AA106" s="26" t="str">
        <f>IFERROR(__xludf.DUMMYFUNCTION("LET(
 id,A106,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07" ht="14.25" customHeight="1">
      <c r="A107" s="26" t="s">
        <v>886</v>
      </c>
      <c r="B107" s="26" t="str">
        <f t="array" ref="B107">_xlfn.XLOOKUP(
 A107,
 tblTargets[TargetID],
 tblTargets[DisplayName],
 ""
)</f>
        <v>train maxed</v>
      </c>
      <c r="C107" s="26" t="str">
        <f t="shared" si="1"/>
        <v>BLOCKED</v>
      </c>
      <c r="D107" s="26" t="b">
        <f>IFERROR(__xludf.DUMMYFUNCTION("LET(
 id,A107,
 IF(
  F107=""CHARACTER"",
  LET(
   base,REGEXREPLACE(id,""@\d+$"",""""),
   required,VALUE(REGEXEXTRACT(id,""@(\d+)$"")),
   current,XLOOKUP(
    base,
    tblPlayer[PlayerStateID],
    tblPlayer[Value],
    0
   ),
   current&gt;=required
 "&amp;" ),
  IF(
   T107=""AUTO"",
   L107=0,
   COUNTIFS(
    tblChecklist[TargetID],id,
    tblChecklist[PlayerCompleted],TRUE
   )&gt;0
  )
 )
)"),FALSE)</f>
        <v>0</v>
      </c>
      <c r="E107" s="26" t="str">
        <f t="array" ref="E107">_xlfn.XLOOKUP(
 A107,
 tblTargets[TargetID],
 tblTargets[TargetType],
 ""
)</f>
        <v>BUILDING</v>
      </c>
      <c r="F107" s="26" t="str">
        <f t="array" ref="F107">_xlfn.XLOOKUP(
 A107,
 tblTargets[TargetID],
 tblTargets[StateType],
 ""
)</f>
        <v/>
      </c>
      <c r="G107" s="26">
        <f>LET(
 id,A107,
 depCount,COUNTIF(tblDependencies[TargetID],id),
 objCount,COUNTIF(tblQuestObjectives[QuestTargetID],id),
 depCount+objCount
)</f>
        <v>1</v>
      </c>
      <c r="H107" s="26">
        <f t="shared" si="2"/>
        <v>1</v>
      </c>
      <c r="I107" s="26">
        <f>IFERROR(__xludf.DUMMYFUNCTION("LET(
 id,A107,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7" s="26">
        <f t="shared" si="3"/>
        <v>0</v>
      </c>
      <c r="K107" s="26" t="b">
        <f t="shared" si="4"/>
        <v>0</v>
      </c>
      <c r="L107" s="26">
        <f t="shared" si="5"/>
        <v>1</v>
      </c>
      <c r="M107" s="26" t="str">
        <f>IFERROR(__xludf.DUMMYFUNCTION("LET(
 id,A107,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L107=0,
  """",
  IFERROR(INDEX(incomplete,1),"""")"&amp;"
 )
)"),"building.train@2")</f>
        <v>building.train@2</v>
      </c>
      <c r="N107" s="26" t="str">
        <f t="array" ref="N107">IF(
 M107="",
 "",
 _xlfn.XLOOKUP(
  M107,
  tblTargets[TargetID],
  tblTargets[DisplayName],
  M107
 )
)</f>
        <v>Train Lv 2</v>
      </c>
      <c r="O107" s="26" t="str">
        <f>IFERROR(__xludf.DUMMYFUNCTION("SWITCH(
 E107,
 ""BUILDING"",XLOOKUP(A107,tblBuildings[BuildingID],tblBuildings[costtext],""""),
 ""TECH"",XLOOKUP(A107,tblTechnologies[TechnologyID],tblTechnologies[costtext],""""),
 ""QUEST"",XLOOKUP(
  REGEXREPLACE(A107,""\.[^.]+$"",""""),
  tblQuests["&amp;"QuestID],
  tblQuests[Costtext],
  """"
 ),
 ""CITADEL"",XLOOKUP(A107,tblCitadel[CitadelID],tblCitadel[costtext],""""),
 ""COLLECTION"",XLOOKUP(A107,tblCollections[CollectionID],tblCollections[costtext],""""),
 ""CRAFTIFACT"",XLOOKUP(A107,tblCraftifacts[C"&amp;"raftifactID],tblCraftifacts[costtext],""""),
 """"
)"),"")</f>
        <v/>
      </c>
      <c r="P107" s="26" t="str">
        <f t="shared" si="6"/>
        <v>BLOCKED</v>
      </c>
      <c r="Q107" s="26" t="str">
        <f t="shared" si="7"/>
        <v>BLOCKED</v>
      </c>
      <c r="R107" s="26" t="str">
        <f t="array" ref="R107">IFERROR(
 _xlfn.XLOOKUP(
  A107,
  tblChecklist[TargetID],
  tblChecklist[PlayerSort],
  ""
 ),
 ""
)</f>
        <v/>
      </c>
      <c r="S107" s="26" t="str">
        <f>IFERROR(__xludf.DUMMYFUNCTION("LET(
 id,A107,
 successorIDs,
  IFERROR(
   UNIQUE(
    FILTER(
     {
      Dependencies!$A$2:$A$1000;
      QuestObjectives!$A$2:$A$1000
     },
     {
      Dependencies!$B$2:$B$1000;
      QuestObjectives!$E$2:$E$1000
     }=id
    )
   ),
   """"
  )"&amp;",
 names,
  MAP(
   successorIDs,
   LAMBDA(s,
    IF(
     s="""",
     """",
     XLOOKUP(
      s,
      $A$2:$A$1000,
      $B$2:$B$1000,
      s
     )
    )
   )
  ),
 IF(
  successorIDs="""",
  """",
  TEXTJOIN("", "",TRUE,names)
 )
)"),"Train - Automatic Lubricator, Train - Compound Engine, Train - Onboard Computer, Train - Superheater, Train - Titanium Components")</f>
        <v>Train - Automatic Lubricator, Train - Compound Engine, Train - Onboard Computer, Train - Superheater, Train - Titanium Components</v>
      </c>
      <c r="T107" s="26" t="str">
        <f t="array" ref="T107">_xlfn.XLOOKUP(
 A107,
 tblTargets[TargetID],
 tblTargets[CompletionMethod],
 ""
)</f>
        <v>AUTO</v>
      </c>
      <c r="U107" s="84" t="b">
        <f>COUNTIF(tblCost[TargetID],A107)&gt;0</f>
        <v>0</v>
      </c>
      <c r="V107" s="85" t="str">
        <f t="array" ref="V107">IF(
 U107=FALSE,
 "",
 _xlfn.XLOOKUP(
  A107,
  tblCost[TargetID],
  tblCost[FundingPercent],
  ""
 )
)</f>
        <v/>
      </c>
      <c r="W107" s="26" t="str">
        <f t="array" ref="W107">IF(
 U107=FALSE,
 "",
 _xlfn.XLOOKUP(
  A107,
  tblCost[TargetID],
  tblCost[RemainingRequirements],
  ""
 )
)</f>
        <v/>
      </c>
      <c r="X107" s="45" t="str">
        <f t="array" ref="X107">IF(
 U107=FALSE,
 "N/A",
 _xlfn.XLOOKUP(
  A108,
  tblCost[TargetID],
  tblCost[TargetFunded],
  FALSE
 )
)</f>
        <v>N/A</v>
      </c>
      <c r="Y107" s="26" t="str">
        <f>IFERROR(__xludf.DUMMYFUNCTION("IFERROR(
 TEXTJOIN(
  "", "",
  TRUE,
  FILTER(
   'cost checklist'!$E$2:$E1000&amp;"": ""&amp;'cost checklist'!$G$2:$G1000,
   'cost checklist'!$B$2:$B1000=A107,
   'cost checklist'!$J$2:$J1000=FALSE
  )
 ),
 """"
)"),"")</f>
        <v/>
      </c>
      <c r="Z107" s="26" t="b">
        <f>IFERROR(__xludf.DUMMYFUNCTION("IF(
 AND(
  E107=""QUEST"",
  RIGHT(A107,9)="".accepted"",
  D107=TRUE
 ),
 XLOOKUP(
  REGEXREPLACE(A107,""\.accepted$"","""")&amp;"".finished"",
  $A$2:$A1000,
  $D$2:$D1000,
  TRUE
 )=FALSE,
 FALSE
)"),FALSE)</f>
        <v>0</v>
      </c>
      <c r="AA107" s="26" t="str">
        <f>IFERROR(__xludf.DUMMYFUNCTION("LET(
 id,A107,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08" ht="14.25" customHeight="1">
      <c r="A108" s="26" t="s">
        <v>427</v>
      </c>
      <c r="B108" s="26" t="str">
        <f t="array" ref="B108">_xlfn.XLOOKUP(
 A108,
 tblTargets[TargetID],
 tblTargets[DisplayName],
 ""
)</f>
        <v>Train Lv 1</v>
      </c>
      <c r="C108" s="26" t="str">
        <f t="shared" si="1"/>
        <v>BLOCKED</v>
      </c>
      <c r="D108" s="26" t="b">
        <f>IFERROR(__xludf.DUMMYFUNCTION("LET(
 id,A108,
 IF(
  F108=""CHARACTER"",
  LET(
   base,REGEXREPLACE(id,""@\d+$"",""""),
   required,VALUE(REGEXEXTRACT(id,""@(\d+)$"")),
   current,XLOOKUP(
    base,
    tblPlayer[PlayerStateID],
    tblPlayer[Value],
    0
   ),
   current&gt;=required
 "&amp;" ),
  IF(
   T108=""AUTO"",
   L108=0,
   COUNTIFS(
    tblChecklist[TargetID],id,
    tblChecklist[PlayerCompleted],TRUE
   )&gt;0
  )
 )
)"),FALSE)</f>
        <v>0</v>
      </c>
      <c r="E108" s="26" t="str">
        <f t="array" ref="E108">_xlfn.XLOOKUP(
 A108,
 tblTargets[TargetID],
 tblTargets[TargetType],
 ""
)</f>
        <v>BUILDING</v>
      </c>
      <c r="F108" s="26" t="str">
        <f t="array" ref="F108">_xlfn.XLOOKUP(
 A108,
 tblTargets[TargetID],
 tblTargets[StateType],
 ""
)</f>
        <v/>
      </c>
      <c r="G108" s="26">
        <f>LET(
 id,A108,
 depCount,COUNTIF(tblDependencies[TargetID],id),
 objCount,COUNTIF(tblQuestObjectives[QuestTargetID],id),
 depCount+objCount
)</f>
        <v>2</v>
      </c>
      <c r="H108" s="26">
        <f t="shared" si="2"/>
        <v>2</v>
      </c>
      <c r="I108" s="26">
        <f>IFERROR(__xludf.DUMMYFUNCTION("LET(
 id,A108,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8" s="26">
        <f t="shared" si="3"/>
        <v>0</v>
      </c>
      <c r="K108" s="26" t="b">
        <f t="shared" si="4"/>
        <v>0</v>
      </c>
      <c r="L108" s="26">
        <f t="shared" si="5"/>
        <v>2</v>
      </c>
      <c r="M108" s="26" t="str">
        <f>IFERROR(__xludf.DUMMYFUNCTION("LET(
 id,A108,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L108=0,
  """",
  IFERROR(INDEX(incomplete,1),"""")"&amp;"
 )
)"),"building.station@1")</f>
        <v>building.station@1</v>
      </c>
      <c r="N108" s="26" t="str">
        <f t="array" ref="N108">IF(
 M108="",
 "",
 _xlfn.XLOOKUP(
  M108,
  tblTargets[TargetID],
  tblTargets[DisplayName],
  M108
 )
)</f>
        <v>Station Lv 1</v>
      </c>
      <c r="O108" s="26" t="str">
        <f>IFERROR(__xludf.DUMMYFUNCTION("SWITCH(
 E108,
 ""BUILDING"",XLOOKUP(A108,tblBuildings[BuildingID],tblBuildings[costtext],""""),
 ""TECH"",XLOOKUP(A108,tblTechnologies[TechnologyID],tblTechnologies[costtext],""""),
 ""QUEST"",XLOOKUP(
  REGEXREPLACE(A108,""\.[^.]+$"",""""),
  tblQuests["&amp;"QuestID],
  tblQuests[Costtext],
  """"
 ),
 ""CITADEL"",XLOOKUP(A108,tblCitadel[CitadelID],tblCitadel[costtext],""""),
 ""COLLECTION"",XLOOKUP(A108,tblCollections[CollectionID],tblCollections[costtext],""""),
 ""CRAFTIFACT"",XLOOKUP(A108,tblCraftifacts[C"&amp;"raftifactID],tblCraftifacts[costtext],""""),
 """"
)"),"10 ruby,2000 coin,3000 steel,100 msteel,80 mechanism,10 glass,100 blueprint")</f>
        <v>10 ruby,2000 coin,3000 steel,100 msteel,80 mechanism,10 glass,100 blueprint</v>
      </c>
      <c r="P108" s="26" t="str">
        <f t="shared" si="6"/>
        <v>BLOCKED</v>
      </c>
      <c r="Q108" s="26" t="str">
        <f t="shared" si="7"/>
        <v>BLOCKED</v>
      </c>
      <c r="R108" s="26">
        <f t="array" ref="R108">IFERROR(
 _xlfn.XLOOKUP(
  A108,
  tblChecklist[TargetID],
  tblChecklist[PlayerSort],
  ""
 ),
 ""
)</f>
        <v>70</v>
      </c>
      <c r="S108" s="26" t="str">
        <f>IFERROR(__xludf.DUMMYFUNCTION("LET(
 id,A108,
 successorIDs,
  IFERROR(
   UNIQUE(
    FILTER(
     {
      Dependencies!$A$2:$A$1000;
      QuestObjectives!$A$2:$A$1000
     },
     {
      Dependencies!$B$2:$B$1000;
      QuestObjectives!$E$2:$E$1000
     }=id
    )
   ),
   """"
  )"&amp;",
 names,
  MAP(
   successorIDs,
   LAMBDA(s,
    IF(
     s="""",
     """",
     XLOOKUP(
      s,
      $A$2:$A$1000,
      $B$2:$B$1000,
      s
     )
    )
   )
  ),
 IF(
  successorIDs="""",
  """",
  TEXTJOIN("", "",TRUE,names)
 )
)"),"Train Lv 2, Train: Freight Carriage Lv 1, Train: Passenger Carriage Lv 1, Train - Automatic Lubricator, Train - Compound Engine, Train - Superheater, Visit Kyoto, Visit Nagasaki, Visit Osaka, Visit Wakayama, Journey Through Japan By Train Finished")</f>
        <v>Train Lv 2, Train: Freight Carriage Lv 1, Train: Passenger Carriage Lv 1, Train - Automatic Lubricator, Train - Compound Engine, Train - Superheater, Visit Kyoto, Visit Nagasaki, Visit Osaka, Visit Wakayama, Journey Through Japan By Train Finished</v>
      </c>
      <c r="T108" s="26" t="str">
        <f t="array" ref="T108">_xlfn.XLOOKUP(
 A108,
 tblTargets[TargetID],
 tblTargets[CompletionMethod],
 ""
)</f>
        <v>PLAYER</v>
      </c>
      <c r="U108" s="84" t="b">
        <f>COUNTIF(tblCost[TargetID],A108)&gt;0</f>
        <v>1</v>
      </c>
      <c r="V108" s="85">
        <f t="array" ref="V108">IF(
 U108=FALSE,
 "",
 _xlfn.XLOOKUP(
  A108,
  tblCost[TargetID],
  tblCost[FundingPercent],
  ""
 )
)</f>
        <v>0</v>
      </c>
      <c r="W108" s="26">
        <f t="array" ref="W108">IF(
 U108=FALSE,
 "",
 _xlfn.XLOOKUP(
  A108,
  tblCost[TargetID],
  tblCost[RemainingRequirements],
  ""
 )
)</f>
        <v>7</v>
      </c>
      <c r="X108" s="45" t="b">
        <f t="array" ref="X108">IF(
 U108=FALSE,
 "N/A",
 _xlfn.XLOOKUP(
  A109,
  tblCost[TargetID],
  tblCost[TargetFunded],
  FALSE
 )
)</f>
        <v>0</v>
      </c>
      <c r="Y108" s="26" t="str">
        <f>IFERROR(__xludf.DUMMYFUNCTION("IFERROR(
 TEXTJOIN(
  "", "",
  TRUE,
  FILTER(
   'cost checklist'!$E$2:$E1000&amp;"": ""&amp;'cost checklist'!$G$2:$G1000,
   'cost checklist'!$B$2:$B1000=A108,
   'cost checklist'!$J$2:$J1000=FALSE
  )
 ),
 """"
)"),"blueprint: 100, coin: 2000, glass: 10, mechanism: 80, msteel: 100, ruby: 10, steel: 3000")</f>
        <v>blueprint: 100, coin: 2000, glass: 10, mechanism: 80, msteel: 100, ruby: 10, steel: 3000</v>
      </c>
      <c r="Z108" s="26" t="b">
        <f>IFERROR(__xludf.DUMMYFUNCTION("IF(
 AND(
  E108=""QUEST"",
  RIGHT(A108,9)="".accepted"",
  D108=TRUE
 ),
 XLOOKUP(
  REGEXREPLACE(A108,""\.accepted$"","""")&amp;"".finished"",
  $A$2:$A1000,
  $D$2:$D1000,
  TRUE
 )=FALSE,
 FALSE
)"),FALSE)</f>
        <v>0</v>
      </c>
      <c r="AA108" s="26" t="str">
        <f>IFERROR(__xludf.DUMMYFUNCTION("LET(
 id,A108,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09" ht="14.25" customHeight="1">
      <c r="A109" s="26" t="s">
        <v>429</v>
      </c>
      <c r="B109" s="26" t="str">
        <f t="array" ref="B109">_xlfn.XLOOKUP(
 A109,
 tblTargets[TargetID],
 tblTargets[DisplayName],
 ""
)</f>
        <v>Train Lv 2</v>
      </c>
      <c r="C109" s="26" t="str">
        <f t="shared" si="1"/>
        <v>BLOCKED</v>
      </c>
      <c r="D109" s="26" t="b">
        <f>IFERROR(__xludf.DUMMYFUNCTION("LET(
 id,A109,
 IF(
  F109=""CHARACTER"",
  LET(
   base,REGEXREPLACE(id,""@\d+$"",""""),
   required,VALUE(REGEXEXTRACT(id,""@(\d+)$"")),
   current,XLOOKUP(
    base,
    tblPlayer[PlayerStateID],
    tblPlayer[Value],
    0
   ),
   current&gt;=required
 "&amp;" ),
  IF(
   T109=""AUTO"",
   L109=0,
   COUNTIFS(
    tblChecklist[TargetID],id,
    tblChecklist[PlayerCompleted],TRUE
   )&gt;0
  )
 )
)"),FALSE)</f>
        <v>0</v>
      </c>
      <c r="E109" s="26" t="str">
        <f t="array" ref="E109">_xlfn.XLOOKUP(
 A109,
 tblTargets[TargetID],
 tblTargets[TargetType],
 ""
)</f>
        <v>BUILDING</v>
      </c>
      <c r="F109" s="26" t="str">
        <f t="array" ref="F109">_xlfn.XLOOKUP(
 A109,
 tblTargets[TargetID],
 tblTargets[StateType],
 ""
)</f>
        <v/>
      </c>
      <c r="G109" s="26">
        <f>LET(
 id,A109,
 depCount,COUNTIF(tblDependencies[TargetID],id),
 objCount,COUNTIF(tblQuestObjectives[QuestTargetID],id),
 depCount+objCount
)</f>
        <v>2</v>
      </c>
      <c r="H109" s="26">
        <f t="shared" si="2"/>
        <v>2</v>
      </c>
      <c r="I109" s="26">
        <f>IFERROR(__xludf.DUMMYFUNCTION("LET(
 id,A109,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09" s="26">
        <f t="shared" si="3"/>
        <v>0</v>
      </c>
      <c r="K109" s="26" t="b">
        <f t="shared" si="4"/>
        <v>0</v>
      </c>
      <c r="L109" s="26">
        <f t="shared" si="5"/>
        <v>2</v>
      </c>
      <c r="M109" s="26" t="str">
        <f>IFERROR(__xludf.DUMMYFUNCTION("LET(
 id,A109,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L109=0,
  """",
  IFERROR(INDEX(incomplete,1),"""")"&amp;"
 )
)"),"building.train@1")</f>
        <v>building.train@1</v>
      </c>
      <c r="N109" s="26" t="str">
        <f t="array" ref="N109">IF(
 M109="",
 "",
 _xlfn.XLOOKUP(
  M109,
  tblTargets[TargetID],
  tblTargets[DisplayName],
  M109
 )
)</f>
        <v>Train Lv 1</v>
      </c>
      <c r="O109" s="26" t="str">
        <f>IFERROR(__xludf.DUMMYFUNCTION("SWITCH(
 E109,
 ""BUILDING"",XLOOKUP(A109,tblBuildings[BuildingID],tblBuildings[costtext],""""),
 ""TECH"",XLOOKUP(A109,tblTechnologies[TechnologyID],tblTechnologies[costtext],""""),
 ""QUEST"",XLOOKUP(
  REGEXREPLACE(A109,""\.[^.]+$"",""""),
  tblQuests["&amp;"QuestID],
  tblQuests[Costtext],
  """"
 ),
 ""CITADEL"",XLOOKUP(A109,tblCitadel[CitadelID],tblCitadel[costtext],""""),
 ""COLLECTION"",XLOOKUP(A109,tblCollections[CollectionID],tblCollections[costtext],""""),
 ""CRAFTIFACT"",XLOOKUP(A109,tblCraftifacts[C"&amp;"raftifactID],tblCraftifacts[costtext],""""),
 """"
)"),"10 ruby,2000 coin,1000 steel,40 mechanism,30 mercury,40 blueprint")</f>
        <v>10 ruby,2000 coin,1000 steel,40 mechanism,30 mercury,40 blueprint</v>
      </c>
      <c r="P109" s="26" t="str">
        <f t="shared" si="6"/>
        <v>BLOCKED</v>
      </c>
      <c r="Q109" s="26" t="str">
        <f t="shared" si="7"/>
        <v>BLOCKED</v>
      </c>
      <c r="R109" s="26">
        <f t="array" ref="R109">IFERROR(
 _xlfn.XLOOKUP(
  A109,
  tblChecklist[TargetID],
  tblChecklist[PlayerSort],
  ""
 ),
 ""
)</f>
        <v>71</v>
      </c>
      <c r="S109" s="26" t="str">
        <f>IFERROR(__xludf.DUMMYFUNCTION("LET(
 id,A109,
 successorIDs,
  IFERROR(
   UNIQUE(
    FILTER(
     {
      Dependencies!$A$2:$A$1000;
      QuestObjectives!$A$2:$A$1000
     },
     {
      Dependencies!$B$2:$B$1000;
      QuestObjectives!$E$2:$E$1000
     }=id
    )
   ),
   """"
  )"&amp;",
 names,
  MAP(
   successorIDs,
   LAMBDA(s,
    IF(
     s="""",
     """",
     XLOOKUP(
      s,
      $A$2:$A$1000,
      $B$2:$B$1000,
      s
     )
    )
   )
  ),
 IF(
  successorIDs="""",
  """",
  TEXTJOIN("", "",TRUE,names)
 )
)"),"train maxed, Visit Aomori, Visit Fukushima, Visit Tokyo, Journey Through Japan By Train Finished")</f>
        <v>train maxed, Visit Aomori, Visit Fukushima, Visit Tokyo, Journey Through Japan By Train Finished</v>
      </c>
      <c r="T109" s="26" t="str">
        <f t="array" ref="T109">_xlfn.XLOOKUP(
 A109,
 tblTargets[TargetID],
 tblTargets[CompletionMethod],
 ""
)</f>
        <v>PLAYER</v>
      </c>
      <c r="U109" s="84" t="b">
        <f>COUNTIF(tblCost[TargetID],A109)&gt;0</f>
        <v>1</v>
      </c>
      <c r="V109" s="85">
        <f t="array" ref="V109">IF(
 U109=FALSE,
 "",
 _xlfn.XLOOKUP(
  A109,
  tblCost[TargetID],
  tblCost[FundingPercent],
  ""
 )
)</f>
        <v>0</v>
      </c>
      <c r="W109" s="26">
        <f t="array" ref="W109">IF(
 U109=FALSE,
 "",
 _xlfn.XLOOKUP(
  A109,
  tblCost[TargetID],
  tblCost[RemainingRequirements],
  ""
 )
)</f>
        <v>6</v>
      </c>
      <c r="X109" s="45" t="b">
        <f t="array" ref="X109">IF(
 U109=FALSE,
 "N/A",
 _xlfn.XLOOKUP(
  A110,
  tblCost[TargetID],
  tblCost[TargetFunded],
  FALSE
 )
)</f>
        <v>0</v>
      </c>
      <c r="Y109" s="26" t="str">
        <f>IFERROR(__xludf.DUMMYFUNCTION("IFERROR(
 TEXTJOIN(
  "", "",
  TRUE,
  FILTER(
   'cost checklist'!$E$2:$E1000&amp;"": ""&amp;'cost checklist'!$G$2:$G1000,
   'cost checklist'!$B$2:$B1000=A109,
   'cost checklist'!$J$2:$J1000=FALSE
  )
 ),
 """"
)"),"blueprint: 40, coin: 2000, mechanism: 40, mercury: 30, ruby: 10, steel: 1000")</f>
        <v>blueprint: 40, coin: 2000, mechanism: 40, mercury: 30, ruby: 10, steel: 1000</v>
      </c>
      <c r="Z109" s="26" t="b">
        <f>IFERROR(__xludf.DUMMYFUNCTION("IF(
 AND(
  E109=""QUEST"",
  RIGHT(A109,9)="".accepted"",
  D109=TRUE
 ),
 XLOOKUP(
  REGEXREPLACE(A109,""\.accepted$"","""")&amp;"".finished"",
  $A$2:$A1000,
  $D$2:$D1000,
  TRUE
 )=FALSE,
 FALSE
)"),FALSE)</f>
        <v>0</v>
      </c>
      <c r="AA109" s="26" t="str">
        <f>IFERROR(__xludf.DUMMYFUNCTION("LET(
 id,A109,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0" ht="14.25" customHeight="1">
      <c r="A110" s="26" t="s">
        <v>431</v>
      </c>
      <c r="B110" s="26" t="str">
        <f t="array" ref="B110">_xlfn.XLOOKUP(
 A110,
 tblTargets[TargetID],
 tblTargets[DisplayName],
 ""
)</f>
        <v>Train: Freight Carriage Lv 1</v>
      </c>
      <c r="C110" s="26" t="str">
        <f t="shared" si="1"/>
        <v>BLOCKED</v>
      </c>
      <c r="D110" s="26" t="b">
        <f>IFERROR(__xludf.DUMMYFUNCTION("LET(
 id,A110,
 IF(
  F110=""CHARACTER"",
  LET(
   base,REGEXREPLACE(id,""@\d+$"",""""),
   required,VALUE(REGEXEXTRACT(id,""@(\d+)$"")),
   current,XLOOKUP(
    base,
    tblPlayer[PlayerStateID],
    tblPlayer[Value],
    0
   ),
   current&gt;=required
 "&amp;" ),
  IF(
   T110=""AUTO"",
   L110=0,
   COUNTIFS(
    tblChecklist[TargetID],id,
    tblChecklist[PlayerCompleted],TRUE
   )&gt;0
  )
 )
)"),FALSE)</f>
        <v>0</v>
      </c>
      <c r="E110" s="26" t="str">
        <f t="array" ref="E110">_xlfn.XLOOKUP(
 A110,
 tblTargets[TargetID],
 tblTargets[TargetType],
 ""
)</f>
        <v>BUILDING</v>
      </c>
      <c r="F110" s="26" t="str">
        <f t="array" ref="F110">_xlfn.XLOOKUP(
 A110,
 tblTargets[TargetID],
 tblTargets[StateType],
 ""
)</f>
        <v/>
      </c>
      <c r="G110" s="26">
        <f>LET(
 id,A110,
 depCount,COUNTIF(tblDependencies[TargetID],id),
 objCount,COUNTIF(tblQuestObjectives[QuestTargetID],id),
 depCount+objCount
)</f>
        <v>1</v>
      </c>
      <c r="H110" s="26">
        <f t="shared" si="2"/>
        <v>1</v>
      </c>
      <c r="I110" s="26">
        <f>IFERROR(__xludf.DUMMYFUNCTION("LET(
 id,A110,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0" s="26">
        <f t="shared" si="3"/>
        <v>0</v>
      </c>
      <c r="K110" s="26" t="b">
        <f t="shared" si="4"/>
        <v>0</v>
      </c>
      <c r="L110" s="26">
        <f t="shared" si="5"/>
        <v>1</v>
      </c>
      <c r="M110" s="26" t="str">
        <f>IFERROR(__xludf.DUMMYFUNCTION("LET(
 id,A110,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L110=0,
  """",
  IFERROR(INDEX(incomplete,1),"""")"&amp;"
 )
)"),"building.train@1")</f>
        <v>building.train@1</v>
      </c>
      <c r="N110" s="26" t="str">
        <f t="array" ref="N110">IF(
 M110="",
 "",
 _xlfn.XLOOKUP(
  M110,
  tblTargets[TargetID],
  tblTargets[DisplayName],
  M110
 )
)</f>
        <v>Train Lv 1</v>
      </c>
      <c r="O110" s="26" t="str">
        <f>IFERROR(__xludf.DUMMYFUNCTION("SWITCH(
 E110,
 ""BUILDING"",XLOOKUP(A110,tblBuildings[BuildingID],tblBuildings[costtext],""""),
 ""TECH"",XLOOKUP(A110,tblTechnologies[TechnologyID],tblTechnologies[costtext],""""),
 ""QUEST"",XLOOKUP(
  REGEXREPLACE(A110,""\.[^.]+$"",""""),
  tblQuests["&amp;"QuestID],
  tblQuests[Costtext],
  """"
 ),
 ""CITADEL"",XLOOKUP(A110,tblCitadel[CitadelID],tblCitadel[costtext],""""),
 ""COLLECTION"",XLOOKUP(A110,tblCollections[CollectionID],tblCollections[costtext],""""),
 ""CRAFTIFACT"",XLOOKUP(A110,tblCraftifacts[C"&amp;"raftifactID],tblCraftifacts[costtext],""""),
 """"
)"),"2 ruby,500 coin,500 plank,250 steel,12 mechanism,15 blueprint")</f>
        <v>2 ruby,500 coin,500 plank,250 steel,12 mechanism,15 blueprint</v>
      </c>
      <c r="P110" s="26" t="str">
        <f t="shared" si="6"/>
        <v>BLOCKED</v>
      </c>
      <c r="Q110" s="26" t="str">
        <f t="shared" si="7"/>
        <v>BLOCKED</v>
      </c>
      <c r="R110" s="26" t="str">
        <f t="array" ref="R110">IFERROR(
 _xlfn.XLOOKUP(
  A110,
  tblChecklist[TargetID],
  tblChecklist[PlayerSort],
  ""
 ),
 ""
)</f>
        <v/>
      </c>
      <c r="S110" s="26" t="str">
        <f>IFERROR(__xludf.DUMMYFUNCTION("LET(
 id,A110,
 successorIDs,
  IFERROR(
   UNIQUE(
    FILTER(
     {
      Dependencies!$A$2:$A$1000;
      QuestObjectives!$A$2:$A$1000
     },
     {
      Dependencies!$B$2:$B$1000;
      QuestObjectives!$E$2:$E$1000
     }=id
    )
   ),
   """"
  )"&amp;",
 names,
  MAP(
   successorIDs,
   LAMBDA(s,
    IF(
     s="""",
     """",
     XLOOKUP(
      s,
      $A$2:$A$1000,
      $B$2:$B$1000,
      s
     )
    )
   )
  ),
 IF(
  successorIDs="""",
  """",
  TEXTJOIN("", "",TRUE,names)
 )
)"),"Train: Freight Carriage Lv 2")</f>
        <v>Train: Freight Carriage Lv 2</v>
      </c>
      <c r="T110" s="26" t="str">
        <f t="array" ref="T110">_xlfn.XLOOKUP(
 A110,
 tblTargets[TargetID],
 tblTargets[CompletionMethod],
 ""
)</f>
        <v>PLAYER</v>
      </c>
      <c r="U110" s="84" t="b">
        <f>COUNTIF(tblCost[TargetID],A110)&gt;0</f>
        <v>1</v>
      </c>
      <c r="V110" s="85">
        <f t="array" ref="V110">IF(
 U110=FALSE,
 "",
 _xlfn.XLOOKUP(
  A110,
  tblCost[TargetID],
  tblCost[FundingPercent],
  ""
 )
)</f>
        <v>0</v>
      </c>
      <c r="W110" s="26">
        <f t="array" ref="W110">IF(
 U110=FALSE,
 "",
 _xlfn.XLOOKUP(
  A110,
  tblCost[TargetID],
  tblCost[RemainingRequirements],
  ""
 )
)</f>
        <v>6</v>
      </c>
      <c r="X110" s="45" t="b">
        <f t="array" ref="X110">IF(
 U110=FALSE,
 "N/A",
 _xlfn.XLOOKUP(
  A111,
  tblCost[TargetID],
  tblCost[TargetFunded],
  FALSE
 )
)</f>
        <v>0</v>
      </c>
      <c r="Y110" s="26" t="str">
        <f>IFERROR(__xludf.DUMMYFUNCTION("IFERROR(
 TEXTJOIN(
  "", "",
  TRUE,
  FILTER(
   'cost checklist'!$E$2:$E1000&amp;"": ""&amp;'cost checklist'!$G$2:$G1000,
   'cost checklist'!$B$2:$B1000=A110,
   'cost checklist'!$J$2:$J1000=FALSE
  )
 ),
 """"
)"),"blueprint: 15, coin: 500, mechanism: 12, plank: 500, ruby: 2, steel: 250")</f>
        <v>blueprint: 15, coin: 500, mechanism: 12, plank: 500, ruby: 2, steel: 250</v>
      </c>
      <c r="Z110" s="26" t="b">
        <f>IFERROR(__xludf.DUMMYFUNCTION("IF(
 AND(
  E110=""QUEST"",
  RIGHT(A110,9)="".accepted"",
  D110=TRUE
 ),
 XLOOKUP(
  REGEXREPLACE(A110,""\.accepted$"","""")&amp;"".finished"",
  $A$2:$A1000,
  $D$2:$D1000,
  TRUE
 )=FALSE,
 FALSE
)"),FALSE)</f>
        <v>0</v>
      </c>
      <c r="AA110" s="26" t="str">
        <f>IFERROR(__xludf.DUMMYFUNCTION("LET(
 id,A110,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1" ht="14.25" customHeight="1">
      <c r="A111" s="26" t="s">
        <v>433</v>
      </c>
      <c r="B111" s="26" t="str">
        <f t="array" ref="B111">_xlfn.XLOOKUP(
 A111,
 tblTargets[TargetID],
 tblTargets[DisplayName],
 ""
)</f>
        <v>Train: Freight Carriage Lv 2</v>
      </c>
      <c r="C111" s="26" t="str">
        <f t="shared" si="1"/>
        <v>BLOCKED</v>
      </c>
      <c r="D111" s="26" t="b">
        <f>IFERROR(__xludf.DUMMYFUNCTION("LET(
 id,A111,
 IF(
  F111=""CHARACTER"",
  LET(
   base,REGEXREPLACE(id,""@\d+$"",""""),
   required,VALUE(REGEXEXTRACT(id,""@(\d+)$"")),
   current,XLOOKUP(
    base,
    tblPlayer[PlayerStateID],
    tblPlayer[Value],
    0
   ),
   current&gt;=required
 "&amp;" ),
  IF(
   T111=""AUTO"",
   L111=0,
   COUNTIFS(
    tblChecklist[TargetID],id,
    tblChecklist[PlayerCompleted],TRUE
   )&gt;0
  )
 )
)"),FALSE)</f>
        <v>0</v>
      </c>
      <c r="E111" s="26" t="str">
        <f t="array" ref="E111">_xlfn.XLOOKUP(
 A111,
 tblTargets[TargetID],
 tblTargets[TargetType],
 ""
)</f>
        <v>BUILDING</v>
      </c>
      <c r="F111" s="26" t="str">
        <f t="array" ref="F111">_xlfn.XLOOKUP(
 A111,
 tblTargets[TargetID],
 tblTargets[StateType],
 ""
)</f>
        <v/>
      </c>
      <c r="G111" s="26">
        <f>LET(
 id,A111,
 depCount,COUNTIF(tblDependencies[TargetID],id),
 objCount,COUNTIF(tblQuestObjectives[QuestTargetID],id),
 depCount+objCount
)</f>
        <v>1</v>
      </c>
      <c r="H111" s="26">
        <f t="shared" si="2"/>
        <v>1</v>
      </c>
      <c r="I111" s="26">
        <f>IFERROR(__xludf.DUMMYFUNCTION("LET(
 id,A111,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1" s="26">
        <f t="shared" si="3"/>
        <v>0</v>
      </c>
      <c r="K111" s="26" t="b">
        <f t="shared" si="4"/>
        <v>0</v>
      </c>
      <c r="L111" s="26">
        <f t="shared" si="5"/>
        <v>1</v>
      </c>
      <c r="M111" s="26" t="str">
        <f>IFERROR(__xludf.DUMMYFUNCTION("LET(
 id,A111,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L111=0,
  """",
  IFERROR(INDEX(incomplete,1),"""")"&amp;"
 )
)"),"building.train_freight_carriage@1")</f>
        <v>building.train_freight_carriage@1</v>
      </c>
      <c r="N111" s="26" t="str">
        <f t="array" ref="N111">IF(
 M111="",
 "",
 _xlfn.XLOOKUP(
  M111,
  tblTargets[TargetID],
  tblTargets[DisplayName],
  M111
 )
)</f>
        <v>Train: Freight Carriage Lv 1</v>
      </c>
      <c r="O111" s="26" t="str">
        <f>IFERROR(__xludf.DUMMYFUNCTION("SWITCH(
 E111,
 ""BUILDING"",XLOOKUP(A111,tblBuildings[BuildingID],tblBuildings[costtext],""""),
 ""TECH"",XLOOKUP(A111,tblTechnologies[TechnologyID],tblTechnologies[costtext],""""),
 ""QUEST"",XLOOKUP(
  REGEXREPLACE(A111,""\.[^.]+$"",""""),
  tblQuests["&amp;"QuestID],
  tblQuests[Costtext],
  """"
 ),
 ""CITADEL"",XLOOKUP(A111,tblCitadel[CitadelID],tblCitadel[costtext],""""),
 ""COLLECTION"",XLOOKUP(A111,tblCollections[CollectionID],tblCollections[costtext],""""),
 ""CRAFTIFACT"",XLOOKUP(A111,tblCraftifacts[C"&amp;"raftifactID],tblCraftifacts[costtext],""""),
 """"
)"),"2 ruby,500 coin,500 plank,250 steel,12 mechanism")</f>
        <v>2 ruby,500 coin,500 plank,250 steel,12 mechanism</v>
      </c>
      <c r="P111" s="26" t="str">
        <f t="shared" si="6"/>
        <v>BLOCKED</v>
      </c>
      <c r="Q111" s="26" t="str">
        <f t="shared" si="7"/>
        <v>BLOCKED</v>
      </c>
      <c r="R111" s="26" t="str">
        <f t="array" ref="R111">IFERROR(
 _xlfn.XLOOKUP(
  A111,
  tblChecklist[TargetID],
  tblChecklist[PlayerSort],
  ""
 ),
 ""
)</f>
        <v/>
      </c>
      <c r="S111" s="26" t="str">
        <f>IFERROR(__xludf.DUMMYFUNCTION("LET(
 id,A111,
 successorIDs,
  IFERROR(
   UNIQUE(
    FILTER(
     {
      Dependencies!$A$2:$A$1000;
      QuestObjectives!$A$2:$A$1000
     },
     {
      Dependencies!$B$2:$B$1000;
      QuestObjectives!$E$2:$E$1000
     }=id
    )
   ),
   """"
  )"&amp;",
 names,
  MAP(
   successorIDs,
   LAMBDA(s,
    IF(
     s="""",
     """",
     XLOOKUP(
      s,
      $A$2:$A$1000,
      $B$2:$B$1000,
      s
     )
    )
   )
  ),
 IF(
  successorIDs="""",
  """",
  TEXTJOIN("", "",TRUE,names)
 )
)"),"")</f>
        <v/>
      </c>
      <c r="T111" s="26" t="str">
        <f t="array" ref="T111">_xlfn.XLOOKUP(
 A111,
 tblTargets[TargetID],
 tblTargets[CompletionMethod],
 ""
)</f>
        <v>PLAYER</v>
      </c>
      <c r="U111" s="84" t="b">
        <f>COUNTIF(tblCost[TargetID],A111)&gt;0</f>
        <v>1</v>
      </c>
      <c r="V111" s="85">
        <f t="array" ref="V111">IF(
 U111=FALSE,
 "",
 _xlfn.XLOOKUP(
  A111,
  tblCost[TargetID],
  tblCost[FundingPercent],
  ""
 )
)</f>
        <v>0</v>
      </c>
      <c r="W111" s="26">
        <f t="array" ref="W111">IF(
 U111=FALSE,
 "",
 _xlfn.XLOOKUP(
  A111,
  tblCost[TargetID],
  tblCost[RemainingRequirements],
  ""
 )
)</f>
        <v>5</v>
      </c>
      <c r="X111" s="45" t="b">
        <f t="array" ref="X111">IF(
 U111=FALSE,
 "N/A",
 _xlfn.XLOOKUP(
  A112,
  tblCost[TargetID],
  tblCost[TargetFunded],
  FALSE
 )
)</f>
        <v>0</v>
      </c>
      <c r="Y111" s="26" t="str">
        <f>IFERROR(__xludf.DUMMYFUNCTION("IFERROR(
 TEXTJOIN(
  "", "",
  TRUE,
  FILTER(
   'cost checklist'!$E$2:$E1000&amp;"": ""&amp;'cost checklist'!$G$2:$G1000,
   'cost checklist'!$B$2:$B1000=A111,
   'cost checklist'!$J$2:$J1000=FALSE
  )
 ),
 """"
)"),"coin: 500, mechanism: 12, plank: 500, ruby: 2, steel: 250")</f>
        <v>coin: 500, mechanism: 12, plank: 500, ruby: 2, steel: 250</v>
      </c>
      <c r="Z111" s="26" t="b">
        <f>IFERROR(__xludf.DUMMYFUNCTION("IF(
 AND(
  E111=""QUEST"",
  RIGHT(A111,9)="".accepted"",
  D111=TRUE
 ),
 XLOOKUP(
  REGEXREPLACE(A111,""\.accepted$"","""")&amp;"".finished"",
  $A$2:$A1000,
  $D$2:$D1000,
  TRUE
 )=FALSE,
 FALSE
)"),FALSE)</f>
        <v>0</v>
      </c>
      <c r="AA111" s="26" t="str">
        <f>IFERROR(__xludf.DUMMYFUNCTION("LET(
 id,A111,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2" ht="14.25" customHeight="1">
      <c r="A112" s="26" t="s">
        <v>435</v>
      </c>
      <c r="B112" s="26" t="str">
        <f t="array" ref="B112">_xlfn.XLOOKUP(
 A112,
 tblTargets[TargetID],
 tblTargets[DisplayName],
 ""
)</f>
        <v>Train: Passenger Carriage Lv 1</v>
      </c>
      <c r="C112" s="26" t="str">
        <f t="shared" si="1"/>
        <v>BLOCKED</v>
      </c>
      <c r="D112" s="26" t="b">
        <f>IFERROR(__xludf.DUMMYFUNCTION("LET(
 id,A112,
 IF(
  F112=""CHARACTER"",
  LET(
   base,REGEXREPLACE(id,""@\d+$"",""""),
   required,VALUE(REGEXEXTRACT(id,""@(\d+)$"")),
   current,XLOOKUP(
    base,
    tblPlayer[PlayerStateID],
    tblPlayer[Value],
    0
   ),
   current&gt;=required
 "&amp;" ),
  IF(
   T112=""AUTO"",
   L112=0,
   COUNTIFS(
    tblChecklist[TargetID],id,
    tblChecklist[PlayerCompleted],TRUE
   )&gt;0
  )
 )
)"),FALSE)</f>
        <v>0</v>
      </c>
      <c r="E112" s="26" t="str">
        <f t="array" ref="E112">_xlfn.XLOOKUP(
 A112,
 tblTargets[TargetID],
 tblTargets[TargetType],
 ""
)</f>
        <v>BUILDING</v>
      </c>
      <c r="F112" s="26" t="str">
        <f t="array" ref="F112">_xlfn.XLOOKUP(
 A112,
 tblTargets[TargetID],
 tblTargets[StateType],
 ""
)</f>
        <v/>
      </c>
      <c r="G112" s="26">
        <f>LET(
 id,A112,
 depCount,COUNTIF(tblDependencies[TargetID],id),
 objCount,COUNTIF(tblQuestObjectives[QuestTargetID],id),
 depCount+objCount
)</f>
        <v>1</v>
      </c>
      <c r="H112" s="26">
        <f t="shared" si="2"/>
        <v>1</v>
      </c>
      <c r="I112" s="26">
        <f>IFERROR(__xludf.DUMMYFUNCTION("LET(
 id,A112,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2" s="26">
        <f t="shared" si="3"/>
        <v>0</v>
      </c>
      <c r="K112" s="26" t="b">
        <f t="shared" si="4"/>
        <v>0</v>
      </c>
      <c r="L112" s="26">
        <f t="shared" si="5"/>
        <v>1</v>
      </c>
      <c r="M112" s="26" t="str">
        <f>IFERROR(__xludf.DUMMYFUNCTION("LET(
 id,A112,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L112=0,
  """",
  IFERROR(INDEX(incomplete,1),"""")"&amp;"
 )
)"),"building.train@1")</f>
        <v>building.train@1</v>
      </c>
      <c r="N112" s="26" t="str">
        <f t="array" ref="N112">IF(
 M112="",
 "",
 _xlfn.XLOOKUP(
  M112,
  tblTargets[TargetID],
  tblTargets[DisplayName],
  M112
 )
)</f>
        <v>Train Lv 1</v>
      </c>
      <c r="O112" s="26" t="str">
        <f>IFERROR(__xludf.DUMMYFUNCTION("SWITCH(
 E112,
 ""BUILDING"",XLOOKUP(A112,tblBuildings[BuildingID],tblBuildings[costtext],""""),
 ""TECH"",XLOOKUP(A112,tblTechnologies[TechnologyID],tblTechnologies[costtext],""""),
 ""QUEST"",XLOOKUP(
  REGEXREPLACE(A112,""\.[^.]+$"",""""),
  tblQuests["&amp;"QuestID],
  tblQuests[Costtext],
  """"
 ),
 ""CITADEL"",XLOOKUP(A112,tblCitadel[CitadelID],tblCitadel[costtext],""""),
 ""COLLECTION"",XLOOKUP(A112,tblCollections[CollectionID],tblCollections[costtext],""""),
 ""CRAFTIFACT"",XLOOKUP(A112,tblCraftifacts[C"&amp;"raftifactID],tblCraftifacts[costtext],""""),
 """"
)"),"2 ruby,500 coin,600 plank,200 steel,12 mechanism,12 glass,15 blueprint")</f>
        <v>2 ruby,500 coin,600 plank,200 steel,12 mechanism,12 glass,15 blueprint</v>
      </c>
      <c r="P112" s="26" t="str">
        <f t="shared" si="6"/>
        <v>BLOCKED</v>
      </c>
      <c r="Q112" s="26" t="str">
        <f t="shared" si="7"/>
        <v>BLOCKED</v>
      </c>
      <c r="R112" s="26" t="str">
        <f t="array" ref="R112">IFERROR(
 _xlfn.XLOOKUP(
  A112,
  tblChecklist[TargetID],
  tblChecklist[PlayerSort],
  ""
 ),
 ""
)</f>
        <v/>
      </c>
      <c r="S112" s="26" t="str">
        <f>IFERROR(__xludf.DUMMYFUNCTION("LET(
 id,A112,
 successorIDs,
  IFERROR(
   UNIQUE(
    FILTER(
     {
      Dependencies!$A$2:$A$1000;
      QuestObjectives!$A$2:$A$1000
     },
     {
      Dependencies!$B$2:$B$1000;
      QuestObjectives!$E$2:$E$1000
     }=id
    )
   ),
   """"
  )"&amp;",
 names,
  MAP(
   successorIDs,
   LAMBDA(s,
    IF(
     s="""",
     """",
     XLOOKUP(
      s,
      $A$2:$A$1000,
      $B$2:$B$1000,
      s
     )
    )
   )
  ),
 IF(
  successorIDs="""",
  """",
  TEXTJOIN("", "",TRUE,names)
 )
)"),"Train: Passenger Carriage Lv 2, Journey Through Japan By Train Finished")</f>
        <v>Train: Passenger Carriage Lv 2, Journey Through Japan By Train Finished</v>
      </c>
      <c r="T112" s="26" t="str">
        <f t="array" ref="T112">_xlfn.XLOOKUP(
 A112,
 tblTargets[TargetID],
 tblTargets[CompletionMethod],
 ""
)</f>
        <v>PLAYER</v>
      </c>
      <c r="U112" s="84" t="b">
        <f>COUNTIF(tblCost[TargetID],A112)&gt;0</f>
        <v>1</v>
      </c>
      <c r="V112" s="85">
        <f t="array" ref="V112">IF(
 U112=FALSE,
 "",
 _xlfn.XLOOKUP(
  A112,
  tblCost[TargetID],
  tblCost[FundingPercent],
  ""
 )
)</f>
        <v>0</v>
      </c>
      <c r="W112" s="26">
        <f t="array" ref="W112">IF(
 U112=FALSE,
 "",
 _xlfn.XLOOKUP(
  A112,
  tblCost[TargetID],
  tblCost[RemainingRequirements],
  ""
 )
)</f>
        <v>7</v>
      </c>
      <c r="X112" s="45" t="b">
        <f t="array" ref="X112">IF(
 U112=FALSE,
 "N/A",
 _xlfn.XLOOKUP(
  A113,
  tblCost[TargetID],
  tblCost[TargetFunded],
  FALSE
 )
)</f>
        <v>0</v>
      </c>
      <c r="Y112" s="26" t="str">
        <f>IFERROR(__xludf.DUMMYFUNCTION("IFERROR(
 TEXTJOIN(
  "", "",
  TRUE,
  FILTER(
   'cost checklist'!$E$2:$E1000&amp;"": ""&amp;'cost checklist'!$G$2:$G1000,
   'cost checklist'!$B$2:$B1000=A112,
   'cost checklist'!$J$2:$J1000=FALSE
  )
 ),
 """"
)"),"blueprint: 15, coin: 500, glass: 12, mechanism: 12, plank: 600, ruby: 2, steel: 200")</f>
        <v>blueprint: 15, coin: 500, glass: 12, mechanism: 12, plank: 600, ruby: 2, steel: 200</v>
      </c>
      <c r="Z112" s="26" t="b">
        <f>IFERROR(__xludf.DUMMYFUNCTION("IF(
 AND(
  E112=""QUEST"",
  RIGHT(A112,9)="".accepted"",
  D112=TRUE
 ),
 XLOOKUP(
  REGEXREPLACE(A112,""\.accepted$"","""")&amp;"".finished"",
  $A$2:$A1000,
  $D$2:$D1000,
  TRUE
 )=FALSE,
 FALSE
)"),FALSE)</f>
        <v>0</v>
      </c>
      <c r="AA112" s="26" t="str">
        <f>IFERROR(__xludf.DUMMYFUNCTION("LET(
 id,A112,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3" ht="14.25" customHeight="1">
      <c r="A113" s="26" t="s">
        <v>438</v>
      </c>
      <c r="B113" s="26" t="str">
        <f t="array" ref="B113">_xlfn.XLOOKUP(
 A113,
 tblTargets[TargetID],
 tblTargets[DisplayName],
 ""
)</f>
        <v>Train: Passenger Carriage Lv 2</v>
      </c>
      <c r="C113" s="26" t="str">
        <f t="shared" si="1"/>
        <v>BLOCKED</v>
      </c>
      <c r="D113" s="26" t="b">
        <f>IFERROR(__xludf.DUMMYFUNCTION("LET(
 id,A113,
 IF(
  F113=""CHARACTER"",
  LET(
   base,REGEXREPLACE(id,""@\d+$"",""""),
   required,VALUE(REGEXEXTRACT(id,""@(\d+)$"")),
   current,XLOOKUP(
    base,
    tblPlayer[PlayerStateID],
    tblPlayer[Value],
    0
   ),
   current&gt;=required
 "&amp;" ),
  IF(
   T113=""AUTO"",
   L113=0,
   COUNTIFS(
    tblChecklist[TargetID],id,
    tblChecklist[PlayerCompleted],TRUE
   )&gt;0
  )
 )
)"),FALSE)</f>
        <v>0</v>
      </c>
      <c r="E113" s="26" t="str">
        <f t="array" ref="E113">_xlfn.XLOOKUP(
 A113,
 tblTargets[TargetID],
 tblTargets[TargetType],
 ""
)</f>
        <v>BUILDING</v>
      </c>
      <c r="F113" s="26" t="str">
        <f t="array" ref="F113">_xlfn.XLOOKUP(
 A113,
 tblTargets[TargetID],
 tblTargets[StateType],
 ""
)</f>
        <v/>
      </c>
      <c r="G113" s="26">
        <f>LET(
 id,A113,
 depCount,COUNTIF(tblDependencies[TargetID],id),
 objCount,COUNTIF(tblQuestObjectives[QuestTargetID],id),
 depCount+objCount
)</f>
        <v>1</v>
      </c>
      <c r="H113" s="26">
        <f t="shared" si="2"/>
        <v>1</v>
      </c>
      <c r="I113" s="26">
        <f>IFERROR(__xludf.DUMMYFUNCTION("LET(
 id,A113,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3" s="26">
        <f t="shared" si="3"/>
        <v>0</v>
      </c>
      <c r="K113" s="26" t="b">
        <f t="shared" si="4"/>
        <v>0</v>
      </c>
      <c r="L113" s="26">
        <f t="shared" si="5"/>
        <v>1</v>
      </c>
      <c r="M113" s="26" t="str">
        <f>IFERROR(__xludf.DUMMYFUNCTION("LET(
 id,A113,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L113=0,
  """",
  IFERROR(INDEX(incomplete,1),"""")"&amp;"
 )
)"),"building.train_passenger_carriage@1")</f>
        <v>building.train_passenger_carriage@1</v>
      </c>
      <c r="N113" s="26" t="str">
        <f t="array" ref="N113">IF(
 M113="",
 "",
 _xlfn.XLOOKUP(
  M113,
  tblTargets[TargetID],
  tblTargets[DisplayName],
  M113
 )
)</f>
        <v>Train: Passenger Carriage Lv 1</v>
      </c>
      <c r="O113" s="26" t="str">
        <f>IFERROR(__xludf.DUMMYFUNCTION("SWITCH(
 E113,
 ""BUILDING"",XLOOKUP(A113,tblBuildings[BuildingID],tblBuildings[costtext],""""),
 ""TECH"",XLOOKUP(A113,tblTechnologies[TechnologyID],tblTechnologies[costtext],""""),
 ""QUEST"",XLOOKUP(
  REGEXREPLACE(A113,""\.[^.]+$"",""""),
  tblQuests["&amp;"QuestID],
  tblQuests[Costtext],
  """"
 ),
 ""CITADEL"",XLOOKUP(A113,tblCitadel[CitadelID],tblCitadel[costtext],""""),
 ""COLLECTION"",XLOOKUP(A113,tblCollections[CollectionID],tblCollections[costtext],""""),
 ""CRAFTIFACT"",XLOOKUP(A113,tblCraftifacts[C"&amp;"raftifactID],tblCraftifacts[costtext],""""),
 """"
)"),"2 ruby,500 coin,600 plank,200 steel,12 mechanism,12 glass")</f>
        <v>2 ruby,500 coin,600 plank,200 steel,12 mechanism,12 glass</v>
      </c>
      <c r="P113" s="26" t="str">
        <f t="shared" si="6"/>
        <v>BLOCKED</v>
      </c>
      <c r="Q113" s="26" t="str">
        <f t="shared" si="7"/>
        <v>BLOCKED</v>
      </c>
      <c r="R113" s="26" t="str">
        <f t="array" ref="R113">IFERROR(
 _xlfn.XLOOKUP(
  A113,
  tblChecklist[TargetID],
  tblChecklist[PlayerSort],
  ""
 ),
 ""
)</f>
        <v/>
      </c>
      <c r="S113" s="26" t="str">
        <f>IFERROR(__xludf.DUMMYFUNCTION("LET(
 id,A113,
 successorIDs,
  IFERROR(
   UNIQUE(
    FILTER(
     {
      Dependencies!$A$2:$A$1000;
      QuestObjectives!$A$2:$A$1000
     },
     {
      Dependencies!$B$2:$B$1000;
      QuestObjectives!$E$2:$E$1000
     }=id
    )
   ),
   """"
  )"&amp;",
 names,
  MAP(
   successorIDs,
   LAMBDA(s,
    IF(
     s="""",
     """",
     XLOOKUP(
      s,
      $A$2:$A$1000,
      $B$2:$B$1000,
      s
     )
    )
   )
  ),
 IF(
  successorIDs="""",
  """",
  TEXTJOIN("", "",TRUE,names)
 )
)"),"")</f>
        <v/>
      </c>
      <c r="T113" s="26" t="str">
        <f t="array" ref="T113">_xlfn.XLOOKUP(
 A113,
 tblTargets[TargetID],
 tblTargets[CompletionMethod],
 ""
)</f>
        <v>PLAYER</v>
      </c>
      <c r="U113" s="84" t="b">
        <f>COUNTIF(tblCost[TargetID],A113)&gt;0</f>
        <v>1</v>
      </c>
      <c r="V113" s="85">
        <f t="array" ref="V113">IF(
 U113=FALSE,
 "",
 _xlfn.XLOOKUP(
  A113,
  tblCost[TargetID],
  tblCost[FundingPercent],
  ""
 )
)</f>
        <v>0</v>
      </c>
      <c r="W113" s="26">
        <f t="array" ref="W113">IF(
 U113=FALSE,
 "",
 _xlfn.XLOOKUP(
  A113,
  tblCost[TargetID],
  tblCost[RemainingRequirements],
  ""
 )
)</f>
        <v>6</v>
      </c>
      <c r="X113" s="45" t="b">
        <f t="array" ref="X113">IF(
 U113=FALSE,
 "N/A",
 _xlfn.XLOOKUP(
  A114,
  tblCost[TargetID],
  tblCost[TargetFunded],
  FALSE
 )
)</f>
        <v>0</v>
      </c>
      <c r="Y113" s="26" t="str">
        <f>IFERROR(__xludf.DUMMYFUNCTION("IFERROR(
 TEXTJOIN(
  "", "",
  TRUE,
  FILTER(
   'cost checklist'!$E$2:$E1000&amp;"": ""&amp;'cost checklist'!$G$2:$G1000,
   'cost checklist'!$B$2:$B1000=A113,
   'cost checklist'!$J$2:$J1000=FALSE
  )
 ),
 """"
)"),"coin: 500, glass: 12, mechanism: 12, plank: 600, ruby: 2, steel: 200")</f>
        <v>coin: 500, glass: 12, mechanism: 12, plank: 600, ruby: 2, steel: 200</v>
      </c>
      <c r="Z113" s="26" t="b">
        <f>IFERROR(__xludf.DUMMYFUNCTION("IF(
 AND(
  E113=""QUEST"",
  RIGHT(A113,9)="".accepted"",
  D113=TRUE
 ),
 XLOOKUP(
  REGEXREPLACE(A113,""\.accepted$"","""")&amp;"".finished"",
  $A$2:$A1000,
  $D$2:$D1000,
  TRUE
 )=FALSE,
 FALSE
)"),FALSE)</f>
        <v>0</v>
      </c>
      <c r="AA113" s="26" t="str">
        <f>IFERROR(__xludf.DUMMYFUNCTION("LET(
 id,A113,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4" ht="14.25" customHeight="1">
      <c r="A114" s="26" t="s">
        <v>900</v>
      </c>
      <c r="B114" s="26" t="str">
        <f t="array" ref="B114">_xlfn.XLOOKUP(
 A114,
 tblTargets[TargetID],
 tblTargets[DisplayName],
 ""
)</f>
        <v>warehouse maxed</v>
      </c>
      <c r="C114" s="26" t="str">
        <f t="shared" si="1"/>
        <v>BLOCKED</v>
      </c>
      <c r="D114" s="26" t="b">
        <f>IFERROR(__xludf.DUMMYFUNCTION("LET(
 id,A114,
 IF(
  F114=""CHARACTER"",
  LET(
   base,REGEXREPLACE(id,""@\d+$"",""""),
   required,VALUE(REGEXEXTRACT(id,""@(\d+)$"")),
   current,XLOOKUP(
    base,
    tblPlayer[PlayerStateID],
    tblPlayer[Value],
    0
   ),
   current&gt;=required
 "&amp;" ),
  IF(
   T114=""AUTO"",
   L114=0,
   COUNTIFS(
    tblChecklist[TargetID],id,
    tblChecklist[PlayerCompleted],TRUE
   )&gt;0
  )
 )
)"),FALSE)</f>
        <v>0</v>
      </c>
      <c r="E114" s="26" t="str">
        <f t="array" ref="E114">_xlfn.XLOOKUP(
 A114,
 tblTargets[TargetID],
 tblTargets[TargetType],
 ""
)</f>
        <v>BUILDING</v>
      </c>
      <c r="F114" s="26" t="str">
        <f t="array" ref="F114">_xlfn.XLOOKUP(
 A114,
 tblTargets[TargetID],
 tblTargets[StateType],
 ""
)</f>
        <v/>
      </c>
      <c r="G114" s="26">
        <f>LET(
 id,A114,
 depCount,COUNTIF(tblDependencies[TargetID],id),
 objCount,COUNTIF(tblQuestObjectives[QuestTargetID],id),
 depCount+objCount
)</f>
        <v>1</v>
      </c>
      <c r="H114" s="26">
        <f t="shared" si="2"/>
        <v>1</v>
      </c>
      <c r="I114" s="26">
        <f>IFERROR(__xludf.DUMMYFUNCTION("LET(
 id,A114,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4" s="26">
        <f t="shared" si="3"/>
        <v>0</v>
      </c>
      <c r="K114" s="26" t="b">
        <f t="shared" si="4"/>
        <v>0</v>
      </c>
      <c r="L114" s="26">
        <f t="shared" si="5"/>
        <v>1</v>
      </c>
      <c r="M114" s="26" t="str">
        <f>IFERROR(__xludf.DUMMYFUNCTION("LET(
 id,A114,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L114=0,
  """",
  IFERROR(INDEX(incomplete,1),"""")"&amp;"
 )
)"),"building.warehouse@7")</f>
        <v>building.warehouse@7</v>
      </c>
      <c r="N114" s="26" t="str">
        <f t="array" ref="N114">IF(
 M114="",
 "",
 _xlfn.XLOOKUP(
  M114,
  tblTargets[TargetID],
  tblTargets[DisplayName],
  M114
 )
)</f>
        <v>Warehouse Lv 7</v>
      </c>
      <c r="O114" s="26" t="str">
        <f>IFERROR(__xludf.DUMMYFUNCTION("SWITCH(
 E114,
 ""BUILDING"",XLOOKUP(A114,tblBuildings[BuildingID],tblBuildings[costtext],""""),
 ""TECH"",XLOOKUP(A114,tblTechnologies[TechnologyID],tblTechnologies[costtext],""""),
 ""QUEST"",XLOOKUP(
  REGEXREPLACE(A114,""\.[^.]+$"",""""),
  tblQuests["&amp;"QuestID],
  tblQuests[Costtext],
  """"
 ),
 ""CITADEL"",XLOOKUP(A114,tblCitadel[CitadelID],tblCitadel[costtext],""""),
 ""COLLECTION"",XLOOKUP(A114,tblCollections[CollectionID],tblCollections[costtext],""""),
 ""CRAFTIFACT"",XLOOKUP(A114,tblCraftifacts[C"&amp;"raftifactID],tblCraftifacts[costtext],""""),
 """"
)"),"")</f>
        <v/>
      </c>
      <c r="P114" s="26" t="str">
        <f t="shared" si="6"/>
        <v>BLOCKED</v>
      </c>
      <c r="Q114" s="26" t="str">
        <f t="shared" si="7"/>
        <v>BLOCKED</v>
      </c>
      <c r="R114" s="26" t="str">
        <f t="array" ref="R114">IFERROR(
 _xlfn.XLOOKUP(
  A114,
  tblChecklist[TargetID],
  tblChecklist[PlayerSort],
  ""
 ),
 ""
)</f>
        <v/>
      </c>
      <c r="S114" s="26" t="str">
        <f>IFERROR(__xludf.DUMMYFUNCTION("LET(
 id,A114,
 successorIDs,
  IFERROR(
   UNIQUE(
    FILTER(
     {
      Dependencies!$A$2:$A$1000;
      QuestObjectives!$A$2:$A$1000
     },
     {
      Dependencies!$B$2:$B$1000;
      QuestObjectives!$E$2:$E$1000
     }=id
    )
   ),
   """"
  )"&amp;",
 names,
  MAP(
   successorIDs,
   LAMBDA(s,
    IF(
     s="""",
     """",
     XLOOKUP(
      s,
      $A$2:$A$1000,
      $B$2:$B$1000,
      s
     )
    )
   )
  ),
 IF(
  successorIDs="""",
  """",
  TEXTJOIN("", "",TRUE,names)
 )
)"),"Warehouse - Stackable Racks Lvl 1, Warehouse - Stackable Racks Lvl 2, Warehouse - Stackable Racks Lvl 3")</f>
        <v>Warehouse - Stackable Racks Lvl 1, Warehouse - Stackable Racks Lvl 2, Warehouse - Stackable Racks Lvl 3</v>
      </c>
      <c r="T114" s="26" t="str">
        <f t="array" ref="T114">_xlfn.XLOOKUP(
 A114,
 tblTargets[TargetID],
 tblTargets[CompletionMethod],
 ""
)</f>
        <v>AUTO</v>
      </c>
      <c r="U114" s="84" t="b">
        <f>COUNTIF(tblCost[TargetID],A114)&gt;0</f>
        <v>0</v>
      </c>
      <c r="V114" s="85" t="str">
        <f t="array" ref="V114">IF(
 U114=FALSE,
 "",
 _xlfn.XLOOKUP(
  A114,
  tblCost[TargetID],
  tblCost[FundingPercent],
  ""
 )
)</f>
        <v/>
      </c>
      <c r="W114" s="26" t="str">
        <f t="array" ref="W114">IF(
 U114=FALSE,
 "",
 _xlfn.XLOOKUP(
  A114,
  tblCost[TargetID],
  tblCost[RemainingRequirements],
  ""
 )
)</f>
        <v/>
      </c>
      <c r="X114" s="45" t="str">
        <f t="array" ref="X114">IF(
 U114=FALSE,
 "N/A",
 _xlfn.XLOOKUP(
  A115,
  tblCost[TargetID],
  tblCost[TargetFunded],
  FALSE
 )
)</f>
        <v>N/A</v>
      </c>
      <c r="Y114" s="26" t="str">
        <f>IFERROR(__xludf.DUMMYFUNCTION("IFERROR(
 TEXTJOIN(
  "", "",
  TRUE,
  FILTER(
   'cost checklist'!$E$2:$E1000&amp;"": ""&amp;'cost checklist'!$G$2:$G1000,
   'cost checklist'!$B$2:$B1000=A114,
   'cost checklist'!$J$2:$J1000=FALSE
  )
 ),
 """"
)"),"")</f>
        <v/>
      </c>
      <c r="Z114" s="26" t="b">
        <f>IFERROR(__xludf.DUMMYFUNCTION("IF(
 AND(
  E114=""QUEST"",
  RIGHT(A114,9)="".accepted"",
  D114=TRUE
 ),
 XLOOKUP(
  REGEXREPLACE(A114,""\.accepted$"","""")&amp;"".finished"",
  $A$2:$A1000,
  $D$2:$D1000,
  TRUE
 )=FALSE,
 FALSE
)"),FALSE)</f>
        <v>0</v>
      </c>
      <c r="AA114" s="26" t="str">
        <f>IFERROR(__xludf.DUMMYFUNCTION("LET(
 id,A114,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5" ht="14.25" customHeight="1">
      <c r="A115" s="26" t="s">
        <v>440</v>
      </c>
      <c r="B115" s="26" t="str">
        <f t="array" ref="B115">_xlfn.XLOOKUP(
 A115,
 tblTargets[TargetID],
 tblTargets[DisplayName],
 ""
)</f>
        <v>Warehouse Lv 1</v>
      </c>
      <c r="C115" s="26" t="str">
        <f t="shared" si="1"/>
        <v>BLOCKED</v>
      </c>
      <c r="D115" s="26" t="b">
        <f>IFERROR(__xludf.DUMMYFUNCTION("LET(
 id,A115,
 IF(
  F115=""CHARACTER"",
  LET(
   base,REGEXREPLACE(id,""@\d+$"",""""),
   required,VALUE(REGEXEXTRACT(id,""@(\d+)$"")),
   current,XLOOKUP(
    base,
    tblPlayer[PlayerStateID],
    tblPlayer[Value],
    0
   ),
   current&gt;=required
 "&amp;" ),
  IF(
   T115=""AUTO"",
   L115=0,
   COUNTIFS(
    tblChecklist[TargetID],id,
    tblChecklist[PlayerCompleted],TRUE
   )&gt;0
  )
 )
)"),FALSE)</f>
        <v>0</v>
      </c>
      <c r="E115" s="26" t="str">
        <f t="array" ref="E115">_xlfn.XLOOKUP(
 A115,
 tblTargets[TargetID],
 tblTargets[TargetType],
 ""
)</f>
        <v>BUILDING</v>
      </c>
      <c r="F115" s="26" t="str">
        <f t="array" ref="F115">_xlfn.XLOOKUP(
 A115,
 tblTargets[TargetID],
 tblTargets[StateType],
 ""
)</f>
        <v/>
      </c>
      <c r="G115" s="26">
        <f>LET(
 id,A115,
 depCount,COUNTIF(tblDependencies[TargetID],id),
 objCount,COUNTIF(tblQuestObjectives[QuestTargetID],id),
 depCount+objCount
)</f>
        <v>1</v>
      </c>
      <c r="H115" s="26">
        <f t="shared" si="2"/>
        <v>1</v>
      </c>
      <c r="I115" s="26">
        <f>IFERROR(__xludf.DUMMYFUNCTION("LET(
 id,A115,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5" s="26">
        <f t="shared" si="3"/>
        <v>0</v>
      </c>
      <c r="K115" s="26" t="b">
        <f t="shared" si="4"/>
        <v>0</v>
      </c>
      <c r="L115" s="26">
        <f t="shared" si="5"/>
        <v>1</v>
      </c>
      <c r="M115" s="26" t="str">
        <f>IFERROR(__xludf.DUMMYFUNCTION("LET(
 id,A115,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L115=0,
  """",
  IFERROR(INDEX(incomplete,1),"""")"&amp;"
 )
)"),"state.character_level@5")</f>
        <v>state.character_level@5</v>
      </c>
      <c r="N115" s="26" t="str">
        <f t="array" ref="N115">IF(
 M115="",
 "",
 _xlfn.XLOOKUP(
  M115,
  tblTargets[TargetID],
  tblTargets[DisplayName],
  M115
 )
)</f>
        <v>Character Level@5</v>
      </c>
      <c r="O115" s="26" t="str">
        <f>IFERROR(__xludf.DUMMYFUNCTION("SWITCH(
 E115,
 ""BUILDING"",XLOOKUP(A115,tblBuildings[BuildingID],tblBuildings[costtext],""""),
 ""TECH"",XLOOKUP(A115,tblTechnologies[TechnologyID],tblTechnologies[costtext],""""),
 ""QUEST"",XLOOKUP(
  REGEXREPLACE(A115,""\.[^.]+$"",""""),
  tblQuests["&amp;"QuestID],
  tblQuests[Costtext],
  """"
 ),
 ""CITADEL"",XLOOKUP(A115,tblCitadel[CitadelID],tblCitadel[costtext],""""),
 ""COLLECTION"",XLOOKUP(A115,tblCollections[CollectionID],tblCollections[costtext],""""),
 ""CRAFTIFACT"",XLOOKUP(A115,tblCraftifacts[C"&amp;"raftifactID],tblCraftifacts[costtext],""""),
 """"
)"),"1 ruby,100 coin,60 wood,60 stone")</f>
        <v>1 ruby,100 coin,60 wood,60 stone</v>
      </c>
      <c r="P115" s="26" t="str">
        <f t="shared" si="6"/>
        <v>READY</v>
      </c>
      <c r="Q115" s="26" t="str">
        <f t="shared" si="7"/>
        <v>ONE AWAY</v>
      </c>
      <c r="R115" s="26">
        <f t="array" ref="R115">IFERROR(
 _xlfn.XLOOKUP(
  A115,
  tblChecklist[TargetID],
  tblChecklist[PlayerSort],
  ""
 ),
 ""
)</f>
        <v>2</v>
      </c>
      <c r="S115" s="26" t="str">
        <f>IFERROR(__xludf.DUMMYFUNCTION("LET(
 id,A115,
 successorIDs,
  IFERROR(
   UNIQUE(
    FILTER(
     {
      Dependencies!$A$2:$A$1000;
      QuestObjectives!$A$2:$A$1000
     },
     {
      Dependencies!$B$2:$B$1000;
      QuestObjectives!$E$2:$E$1000
     }=id
    )
   ),
   """"
  )"&amp;",
 names,
  MAP(
   successorIDs,
   LAMBDA(s,
    IF(
     s="""",
     """",
     XLOOKUP(
      s,
      $A$2:$A$1000,
      $B$2:$B$1000,
      s
     )
    )
   )
  ),
 IF(
  successorIDs="""",
  """",
  TEXTJOIN("", "",TRUE,names)
 )
)"),"Pier Lv 1, Warehouse Lv 2, Shogun's Katana Chapter 2 Finished")</f>
        <v>Pier Lv 1, Warehouse Lv 2, Shogun's Katana Chapter 2 Finished</v>
      </c>
      <c r="T115" s="26" t="str">
        <f t="array" ref="T115">_xlfn.XLOOKUP(
 A115,
 tblTargets[TargetID],
 tblTargets[CompletionMethod],
 ""
)</f>
        <v>PLAYER</v>
      </c>
      <c r="U115" s="84" t="b">
        <f>COUNTIF(tblCost[TargetID],A115)&gt;0</f>
        <v>1</v>
      </c>
      <c r="V115" s="85">
        <f t="array" ref="V115">IF(
 U115=FALSE,
 "",
 _xlfn.XLOOKUP(
  A115,
  tblCost[TargetID],
  tblCost[FundingPercent],
  ""
 )
)</f>
        <v>0</v>
      </c>
      <c r="W115" s="26">
        <f t="array" ref="W115">IF(
 U115=FALSE,
 "",
 _xlfn.XLOOKUP(
  A115,
  tblCost[TargetID],
  tblCost[RemainingRequirements],
  ""
 )
)</f>
        <v>4</v>
      </c>
      <c r="X115" s="45" t="b">
        <f t="array" ref="X115">IF(
 U115=FALSE,
 "N/A",
 _xlfn.XLOOKUP(
  A116,
  tblCost[TargetID],
  tblCost[TargetFunded],
  FALSE
 )
)</f>
        <v>0</v>
      </c>
      <c r="Y115" s="26" t="str">
        <f>IFERROR(__xludf.DUMMYFUNCTION("IFERROR(
 TEXTJOIN(
  "", "",
  TRUE,
  FILTER(
   'cost checklist'!$E$2:$E1000&amp;"": ""&amp;'cost checklist'!$G$2:$G1000,
   'cost checklist'!$B$2:$B1000=A115,
   'cost checklist'!$J$2:$J1000=FALSE
  )
 ),
 """"
)"),"coin: 100, ruby: 1, stone: 60, wood: 60")</f>
        <v>coin: 100, ruby: 1, stone: 60, wood: 60</v>
      </c>
      <c r="Z115" s="26" t="b">
        <f>IFERROR(__xludf.DUMMYFUNCTION("IF(
 AND(
  E115=""QUEST"",
  RIGHT(A115,9)="".accepted"",
  D115=TRUE
 ),
 XLOOKUP(
  REGEXREPLACE(A115,""\.accepted$"","""")&amp;"".finished"",
  $A$2:$A1000,
  $D$2:$D1000,
  TRUE
 )=FALSE,
 FALSE
)"),FALSE)</f>
        <v>0</v>
      </c>
      <c r="AA115" s="26" t="str">
        <f>IFERROR(__xludf.DUMMYFUNCTION("LET(
 id,A115,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6" ht="14.25" customHeight="1">
      <c r="A116" s="26" t="s">
        <v>442</v>
      </c>
      <c r="B116" s="26" t="str">
        <f t="array" ref="B116">_xlfn.XLOOKUP(
 A116,
 tblTargets[TargetID],
 tblTargets[DisplayName],
 ""
)</f>
        <v>Warehouse Lv 2</v>
      </c>
      <c r="C116" s="26" t="str">
        <f t="shared" si="1"/>
        <v>BLOCKED</v>
      </c>
      <c r="D116" s="26" t="b">
        <f>IFERROR(__xludf.DUMMYFUNCTION("LET(
 id,A116,
 IF(
  F116=""CHARACTER"",
  LET(
   base,REGEXREPLACE(id,""@\d+$"",""""),
   required,VALUE(REGEXEXTRACT(id,""@(\d+)$"")),
   current,XLOOKUP(
    base,
    tblPlayer[PlayerStateID],
    tblPlayer[Value],
    0
   ),
   current&gt;=required
 "&amp;" ),
  IF(
   T116=""AUTO"",
   L116=0,
   COUNTIFS(
    tblChecklist[TargetID],id,
    tblChecklist[PlayerCompleted],TRUE
   )&gt;0
  )
 )
)"),FALSE)</f>
        <v>0</v>
      </c>
      <c r="E116" s="26" t="str">
        <f t="array" ref="E116">_xlfn.XLOOKUP(
 A116,
 tblTargets[TargetID],
 tblTargets[TargetType],
 ""
)</f>
        <v>BUILDING</v>
      </c>
      <c r="F116" s="26" t="str">
        <f t="array" ref="F116">_xlfn.XLOOKUP(
 A116,
 tblTargets[TargetID],
 tblTargets[StateType],
 ""
)</f>
        <v/>
      </c>
      <c r="G116" s="26">
        <f>LET(
 id,A116,
 depCount,COUNTIF(tblDependencies[TargetID],id),
 objCount,COUNTIF(tblQuestObjectives[QuestTargetID],id),
 depCount+objCount
)</f>
        <v>2</v>
      </c>
      <c r="H116" s="26">
        <f t="shared" si="2"/>
        <v>2</v>
      </c>
      <c r="I116" s="26">
        <f>IFERROR(__xludf.DUMMYFUNCTION("LET(
 id,A116,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6" s="26">
        <f t="shared" si="3"/>
        <v>0</v>
      </c>
      <c r="K116" s="26" t="b">
        <f t="shared" si="4"/>
        <v>0</v>
      </c>
      <c r="L116" s="26">
        <f t="shared" si="5"/>
        <v>2</v>
      </c>
      <c r="M116" s="26" t="str">
        <f>IFERROR(__xludf.DUMMYFUNCTION("LET(
 id,A116,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L116=0,
  """",
  IFERROR(INDEX(incomplete,1),"""")"&amp;"
 )
)"),"building.guild@2")</f>
        <v>building.guild@2</v>
      </c>
      <c r="N116" s="26" t="str">
        <f t="array" ref="N116">IF(
 M116="",
 "",
 _xlfn.XLOOKUP(
  M116,
  tblTargets[TargetID],
  tblTargets[DisplayName],
  M116
 )
)</f>
        <v>Guild Lv 2</v>
      </c>
      <c r="O116" s="26" t="str">
        <f>IFERROR(__xludf.DUMMYFUNCTION("SWITCH(
 E116,
 ""BUILDING"",XLOOKUP(A116,tblBuildings[BuildingID],tblBuildings[costtext],""""),
 ""TECH"",XLOOKUP(A116,tblTechnologies[TechnologyID],tblTechnologies[costtext],""""),
 ""QUEST"",XLOOKUP(
  REGEXREPLACE(A116,""\.[^.]+$"",""""),
  tblQuests["&amp;"QuestID],
  tblQuests[Costtext],
  """"
 ),
 ""CITADEL"",XLOOKUP(A116,tblCitadel[CitadelID],tblCitadel[costtext],""""),
 ""COLLECTION"",XLOOKUP(A116,tblCollections[CollectionID],tblCollections[costtext],""""),
 ""CRAFTIFACT"",XLOOKUP(A116,tblCraftifacts[C"&amp;"raftifactID],tblCraftifacts[costtext],""""),
 """"
)"),"2 ruby,200 coin,80 wood,80 stone")</f>
        <v>2 ruby,200 coin,80 wood,80 stone</v>
      </c>
      <c r="P116" s="26" t="str">
        <f t="shared" si="6"/>
        <v>READY</v>
      </c>
      <c r="Q116" s="26" t="str">
        <f t="shared" si="7"/>
        <v>BLOCKED</v>
      </c>
      <c r="R116" s="26">
        <f t="array" ref="R116">IFERROR(
 _xlfn.XLOOKUP(
  A116,
  tblChecklist[TargetID],
  tblChecklist[PlayerSort],
  ""
 ),
 ""
)</f>
        <v>94</v>
      </c>
      <c r="S116" s="26" t="str">
        <f>IFERROR(__xludf.DUMMYFUNCTION("LET(
 id,A116,
 successorIDs,
  IFERROR(
   UNIQUE(
    FILTER(
     {
      Dependencies!$A$2:$A$1000;
      QuestObjectives!$A$2:$A$1000
     },
     {
      Dependencies!$B$2:$B$1000;
      QuestObjectives!$E$2:$E$1000
     }=id
    )
   ),
   """"
  )"&amp;",
 names,
  MAP(
   successorIDs,
   LAMBDA(s,
    IF(
     s="""",
     """",
     XLOOKUP(
      s,
      $A$2:$A$1000,
      $B$2:$B$1000,
      s
     )
    )
   )
  ),
 IF(
  successorIDs="""",
  """",
  TEXTJOIN("", "",TRUE,names)
 )
)"),"Warehouse Lv 3")</f>
        <v>Warehouse Lv 3</v>
      </c>
      <c r="T116" s="26" t="str">
        <f t="array" ref="T116">_xlfn.XLOOKUP(
 A116,
 tblTargets[TargetID],
 tblTargets[CompletionMethod],
 ""
)</f>
        <v>PLAYER</v>
      </c>
      <c r="U116" s="84" t="b">
        <f>COUNTIF(tblCost[TargetID],A116)&gt;0</f>
        <v>1</v>
      </c>
      <c r="V116" s="85">
        <f t="array" ref="V116">IF(
 U116=FALSE,
 "",
 _xlfn.XLOOKUP(
  A116,
  tblCost[TargetID],
  tblCost[FundingPercent],
  ""
 )
)</f>
        <v>0</v>
      </c>
      <c r="W116" s="26">
        <f t="array" ref="W116">IF(
 U116=FALSE,
 "",
 _xlfn.XLOOKUP(
  A116,
  tblCost[TargetID],
  tblCost[RemainingRequirements],
  ""
 )
)</f>
        <v>4</v>
      </c>
      <c r="X116" s="45" t="b">
        <f t="array" ref="X116">IF(
 U116=FALSE,
 "N/A",
 _xlfn.XLOOKUP(
  A117,
  tblCost[TargetID],
  tblCost[TargetFunded],
  FALSE
 )
)</f>
        <v>0</v>
      </c>
      <c r="Y116" s="26" t="str">
        <f>IFERROR(__xludf.DUMMYFUNCTION("IFERROR(
 TEXTJOIN(
  "", "",
  TRUE,
  FILTER(
   'cost checklist'!$E$2:$E1000&amp;"": ""&amp;'cost checklist'!$G$2:$G1000,
   'cost checklist'!$B$2:$B1000=A116,
   'cost checklist'!$J$2:$J1000=FALSE
  )
 ),
 """"
)"),"coin: 200, ruby: 2, stone: 80, wood: 80")</f>
        <v>coin: 200, ruby: 2, stone: 80, wood: 80</v>
      </c>
      <c r="Z116" s="26" t="b">
        <f>IFERROR(__xludf.DUMMYFUNCTION("IF(
 AND(
  E116=""QUEST"",
  RIGHT(A116,9)="".accepted"",
  D116=TRUE
 ),
 XLOOKUP(
  REGEXREPLACE(A116,""\.accepted$"","""")&amp;"".finished"",
  $A$2:$A1000,
  $D$2:$D1000,
  TRUE
 )=FALSE,
 FALSE
)"),FALSE)</f>
        <v>0</v>
      </c>
      <c r="AA116" s="26" t="str">
        <f>IFERROR(__xludf.DUMMYFUNCTION("LET(
 id,A116,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7" ht="14.25" customHeight="1">
      <c r="A117" s="26" t="s">
        <v>445</v>
      </c>
      <c r="B117" s="26" t="str">
        <f t="array" ref="B117">_xlfn.XLOOKUP(
 A117,
 tblTargets[TargetID],
 tblTargets[DisplayName],
 ""
)</f>
        <v>Warehouse Lv 3</v>
      </c>
      <c r="C117" s="26" t="str">
        <f t="shared" si="1"/>
        <v>BLOCKED</v>
      </c>
      <c r="D117" s="26" t="b">
        <f>IFERROR(__xludf.DUMMYFUNCTION("LET(
 id,A117,
 IF(
  F117=""CHARACTER"",
  LET(
   base,REGEXREPLACE(id,""@\d+$"",""""),
   required,VALUE(REGEXEXTRACT(id,""@(\d+)$"")),
   current,XLOOKUP(
    base,
    tblPlayer[PlayerStateID],
    tblPlayer[Value],
    0
   ),
   current&gt;=required
 "&amp;" ),
  IF(
   T117=""AUTO"",
   L117=0,
   COUNTIFS(
    tblChecklist[TargetID],id,
    tblChecklist[PlayerCompleted],TRUE
   )&gt;0
  )
 )
)"),FALSE)</f>
        <v>0</v>
      </c>
      <c r="E117" s="26" t="str">
        <f t="array" ref="E117">_xlfn.XLOOKUP(
 A117,
 tblTargets[TargetID],
 tblTargets[TargetType],
 ""
)</f>
        <v>BUILDING</v>
      </c>
      <c r="F117" s="26" t="str">
        <f t="array" ref="F117">_xlfn.XLOOKUP(
 A117,
 tblTargets[TargetID],
 tblTargets[StateType],
 ""
)</f>
        <v/>
      </c>
      <c r="G117" s="26">
        <f>LET(
 id,A117,
 depCount,COUNTIF(tblDependencies[TargetID],id),
 objCount,COUNTIF(tblQuestObjectives[QuestTargetID],id),
 depCount+objCount
)</f>
        <v>2</v>
      </c>
      <c r="H117" s="26">
        <f t="shared" si="2"/>
        <v>2</v>
      </c>
      <c r="I117" s="26">
        <f>IFERROR(__xludf.DUMMYFUNCTION("LET(
 id,A117,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7" s="26">
        <f t="shared" si="3"/>
        <v>0</v>
      </c>
      <c r="K117" s="26" t="b">
        <f t="shared" si="4"/>
        <v>0</v>
      </c>
      <c r="L117" s="26">
        <f t="shared" si="5"/>
        <v>2</v>
      </c>
      <c r="M117" s="26" t="str">
        <f>IFERROR(__xludf.DUMMYFUNCTION("LET(
 id,A117,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L117=0,
  """",
  IFERROR(INDEX(incomplete,1),"""")"&amp;"
 )
)"),"building.guild@3")</f>
        <v>building.guild@3</v>
      </c>
      <c r="N117" s="26" t="str">
        <f t="array" ref="N117">IF(
 M117="",
 "",
 _xlfn.XLOOKUP(
  M117,
  tblTargets[TargetID],
  tblTargets[DisplayName],
  M117
 )
)</f>
        <v>Guild Lv 3</v>
      </c>
      <c r="O117" s="26" t="str">
        <f>IFERROR(__xludf.DUMMYFUNCTION("SWITCH(
 E117,
 ""BUILDING"",XLOOKUP(A117,tblBuildings[BuildingID],tblBuildings[costtext],""""),
 ""TECH"",XLOOKUP(A117,tblTechnologies[TechnologyID],tblTechnologies[costtext],""""),
 ""QUEST"",XLOOKUP(
  REGEXREPLACE(A117,""\.[^.]+$"",""""),
  tblQuests["&amp;"QuestID],
  tblQuests[Costtext],
  """"
 ),
 ""CITADEL"",XLOOKUP(A117,tblCitadel[CitadelID],tblCitadel[costtext],""""),
 ""COLLECTION"",XLOOKUP(A117,tblCollections[CollectionID],tblCollections[costtext],""""),
 ""CRAFTIFACT"",XLOOKUP(A117,tblCraftifacts[C"&amp;"raftifactID],tblCraftifacts[costtext],""""),
 """"
)"),"3 ruby,300 coin,200 beam,100 stone")</f>
        <v>3 ruby,300 coin,200 beam,100 stone</v>
      </c>
      <c r="P117" s="26" t="str">
        <f t="shared" si="6"/>
        <v>BLOCKED</v>
      </c>
      <c r="Q117" s="26" t="str">
        <f t="shared" si="7"/>
        <v>BLOCKED</v>
      </c>
      <c r="R117" s="26">
        <f t="array" ref="R117">IFERROR(
 _xlfn.XLOOKUP(
  A117,
  tblChecklist[TargetID],
  tblChecklist[PlayerSort],
  ""
 ),
 ""
)</f>
        <v>95</v>
      </c>
      <c r="S117" s="26" t="str">
        <f>IFERROR(__xludf.DUMMYFUNCTION("LET(
 id,A117,
 successorIDs,
  IFERROR(
   UNIQUE(
    FILTER(
     {
      Dependencies!$A$2:$A$1000;
      QuestObjectives!$A$2:$A$1000
     },
     {
      Dependencies!$B$2:$B$1000;
      QuestObjectives!$E$2:$E$1000
     }=id
    )
   ),
   """"
  )"&amp;",
 names,
  MAP(
   successorIDs,
   LAMBDA(s,
    IF(
     s="""",
     """",
     XLOOKUP(
      s,
      $A$2:$A$1000,
      $B$2:$B$1000,
      s
     )
    )
   )
  ),
 IF(
  successorIDs="""",
  """",
  TEXTJOIN("", "",TRUE,names)
 )
)"),"Warehouse Lv 4")</f>
        <v>Warehouse Lv 4</v>
      </c>
      <c r="T117" s="26" t="str">
        <f t="array" ref="T117">_xlfn.XLOOKUP(
 A117,
 tblTargets[TargetID],
 tblTargets[CompletionMethod],
 ""
)</f>
        <v>PLAYER</v>
      </c>
      <c r="U117" s="84" t="b">
        <f>COUNTIF(tblCost[TargetID],A117)&gt;0</f>
        <v>1</v>
      </c>
      <c r="V117" s="85">
        <f t="array" ref="V117">IF(
 U117=FALSE,
 "",
 _xlfn.XLOOKUP(
  A117,
  tblCost[TargetID],
  tblCost[FundingPercent],
  ""
 )
)</f>
        <v>0</v>
      </c>
      <c r="W117" s="26">
        <f t="array" ref="W117">IF(
 U117=FALSE,
 "",
 _xlfn.XLOOKUP(
  A117,
  tblCost[TargetID],
  tblCost[RemainingRequirements],
  ""
 )
)</f>
        <v>4</v>
      </c>
      <c r="X117" s="45" t="b">
        <f t="array" ref="X117">IF(
 U117=FALSE,
 "N/A",
 _xlfn.XLOOKUP(
  A118,
  tblCost[TargetID],
  tblCost[TargetFunded],
  FALSE
 )
)</f>
        <v>0</v>
      </c>
      <c r="Y117" s="26" t="str">
        <f>IFERROR(__xludf.DUMMYFUNCTION("IFERROR(
 TEXTJOIN(
  "", "",
  TRUE,
  FILTER(
   'cost checklist'!$E$2:$E1000&amp;"": ""&amp;'cost checklist'!$G$2:$G1000,
   'cost checklist'!$B$2:$B1000=A117,
   'cost checklist'!$J$2:$J1000=FALSE
  )
 ),
 """"
)"),"beam: 200, coin: 300, ruby: 3, stone: 100")</f>
        <v>beam: 200, coin: 300, ruby: 3, stone: 100</v>
      </c>
      <c r="Z117" s="26" t="b">
        <f>IFERROR(__xludf.DUMMYFUNCTION("IF(
 AND(
  E117=""QUEST"",
  RIGHT(A117,9)="".accepted"",
  D117=TRUE
 ),
 XLOOKUP(
  REGEXREPLACE(A117,""\.accepted$"","""")&amp;"".finished"",
  $A$2:$A1000,
  $D$2:$D1000,
  TRUE
 )=FALSE,
 FALSE
)"),FALSE)</f>
        <v>0</v>
      </c>
      <c r="AA117" s="26" t="str">
        <f>IFERROR(__xludf.DUMMYFUNCTION("LET(
 id,A117,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8" ht="14.25" customHeight="1">
      <c r="A118" s="26" t="s">
        <v>447</v>
      </c>
      <c r="B118" s="26" t="str">
        <f t="array" ref="B118">_xlfn.XLOOKUP(
 A118,
 tblTargets[TargetID],
 tblTargets[DisplayName],
 ""
)</f>
        <v>Warehouse Lv 4</v>
      </c>
      <c r="C118" s="26" t="str">
        <f t="shared" si="1"/>
        <v>BLOCKED</v>
      </c>
      <c r="D118" s="26" t="b">
        <f>IFERROR(__xludf.DUMMYFUNCTION("LET(
 id,A118,
 IF(
  F118=""CHARACTER"",
  LET(
   base,REGEXREPLACE(id,""@\d+$"",""""),
   required,VALUE(REGEXEXTRACT(id,""@(\d+)$"")),
   current,XLOOKUP(
    base,
    tblPlayer[PlayerStateID],
    tblPlayer[Value],
    0
   ),
   current&gt;=required
 "&amp;" ),
  IF(
   T118=""AUTO"",
   L118=0,
   COUNTIFS(
    tblChecklist[TargetID],id,
    tblChecklist[PlayerCompleted],TRUE
   )&gt;0
  )
 )
)"),FALSE)</f>
        <v>0</v>
      </c>
      <c r="E118" s="26" t="str">
        <f t="array" ref="E118">_xlfn.XLOOKUP(
 A118,
 tblTargets[TargetID],
 tblTargets[TargetType],
 ""
)</f>
        <v>BUILDING</v>
      </c>
      <c r="F118" s="26" t="str">
        <f t="array" ref="F118">_xlfn.XLOOKUP(
 A118,
 tblTargets[TargetID],
 tblTargets[StateType],
 ""
)</f>
        <v/>
      </c>
      <c r="G118" s="26">
        <f>LET(
 id,A118,
 depCount,COUNTIF(tblDependencies[TargetID],id),
 objCount,COUNTIF(tblQuestObjectives[QuestTargetID],id),
 depCount+objCount
)</f>
        <v>2</v>
      </c>
      <c r="H118" s="26">
        <f t="shared" si="2"/>
        <v>2</v>
      </c>
      <c r="I118" s="26">
        <f>IFERROR(__xludf.DUMMYFUNCTION("LET(
 id,A118,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8" s="26">
        <f t="shared" si="3"/>
        <v>0</v>
      </c>
      <c r="K118" s="26" t="b">
        <f t="shared" si="4"/>
        <v>0</v>
      </c>
      <c r="L118" s="26">
        <f t="shared" si="5"/>
        <v>2</v>
      </c>
      <c r="M118" s="26" t="str">
        <f>IFERROR(__xludf.DUMMYFUNCTION("LET(
 id,A118,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L118=0,
  """",
  IFERROR(INDEX(incomplete,1),"""")"&amp;"
 )
)"),"building.guild@4")</f>
        <v>building.guild@4</v>
      </c>
      <c r="N118" s="26" t="str">
        <f t="array" ref="N118">IF(
 M118="",
 "",
 _xlfn.XLOOKUP(
  M118,
  tblTargets[TargetID],
  tblTargets[DisplayName],
  M118
 )
)</f>
        <v>Guild Lv 4</v>
      </c>
      <c r="O118" s="26" t="str">
        <f>IFERROR(__xludf.DUMMYFUNCTION("SWITCH(
 E118,
 ""BUILDING"",XLOOKUP(A118,tblBuildings[BuildingID],tblBuildings[costtext],""""),
 ""TECH"",XLOOKUP(A118,tblTechnologies[TechnologyID],tblTechnologies[costtext],""""),
 ""QUEST"",XLOOKUP(
  REGEXREPLACE(A118,""\.[^.]+$"",""""),
  tblQuests["&amp;"QuestID],
  tblQuests[Costtext],
  """"
 ),
 ""CITADEL"",XLOOKUP(A118,tblCitadel[CitadelID],tblCitadel[costtext],""""),
 ""COLLECTION"",XLOOKUP(A118,tblCollections[CollectionID],tblCollections[costtext],""""),
 ""CRAFTIFACT"",XLOOKUP(A118,tblCraftifacts[C"&amp;"raftifactID],tblCraftifacts[costtext],""""),
 """"
)"),"4 ruby,400 coin,280 beam,140 stone")</f>
        <v>4 ruby,400 coin,280 beam,140 stone</v>
      </c>
      <c r="P118" s="26" t="str">
        <f t="shared" si="6"/>
        <v>BLOCKED</v>
      </c>
      <c r="Q118" s="26" t="str">
        <f t="shared" si="7"/>
        <v>BLOCKED</v>
      </c>
      <c r="R118" s="26">
        <f t="array" ref="R118">IFERROR(
 _xlfn.XLOOKUP(
  A118,
  tblChecklist[TargetID],
  tblChecklist[PlayerSort],
  ""
 ),
 ""
)</f>
        <v>96</v>
      </c>
      <c r="S118" s="26" t="str">
        <f>IFERROR(__xludf.DUMMYFUNCTION("LET(
 id,A118,
 successorIDs,
  IFERROR(
   UNIQUE(
    FILTER(
     {
      Dependencies!$A$2:$A$1000;
      QuestObjectives!$A$2:$A$1000
     },
     {
      Dependencies!$B$2:$B$1000;
      QuestObjectives!$E$2:$E$1000
     }=id
    )
   ),
   """"
  )"&amp;",
 names,
  MAP(
   successorIDs,
   LAMBDA(s,
    IF(
     s="""",
     """",
     XLOOKUP(
      s,
      $A$2:$A$1000,
      $B$2:$B$1000,
      s
     )
    )
   )
  ),
 IF(
  successorIDs="""",
  """",
  TEXTJOIN("", "",TRUE,names)
 )
)"),"Warehouse Lv 5")</f>
        <v>Warehouse Lv 5</v>
      </c>
      <c r="T118" s="26" t="str">
        <f t="array" ref="T118">_xlfn.XLOOKUP(
 A118,
 tblTargets[TargetID],
 tblTargets[CompletionMethod],
 ""
)</f>
        <v>PLAYER</v>
      </c>
      <c r="U118" s="84" t="b">
        <f>COUNTIF(tblCost[TargetID],A118)&gt;0</f>
        <v>1</v>
      </c>
      <c r="V118" s="85">
        <f t="array" ref="V118">IF(
 U118=FALSE,
 "",
 _xlfn.XLOOKUP(
  A118,
  tblCost[TargetID],
  tblCost[FundingPercent],
  ""
 )
)</f>
        <v>0</v>
      </c>
      <c r="W118" s="26">
        <f t="array" ref="W118">IF(
 U118=FALSE,
 "",
 _xlfn.XLOOKUP(
  A118,
  tblCost[TargetID],
  tblCost[RemainingRequirements],
  ""
 )
)</f>
        <v>4</v>
      </c>
      <c r="X118" s="45" t="b">
        <f t="array" ref="X118">IF(
 U118=FALSE,
 "N/A",
 _xlfn.XLOOKUP(
  A119,
  tblCost[TargetID],
  tblCost[TargetFunded],
  FALSE
 )
)</f>
        <v>0</v>
      </c>
      <c r="Y118" s="26" t="str">
        <f>IFERROR(__xludf.DUMMYFUNCTION("IFERROR(
 TEXTJOIN(
  "", "",
  TRUE,
  FILTER(
   'cost checklist'!$E$2:$E1000&amp;"": ""&amp;'cost checklist'!$G$2:$G1000,
   'cost checklist'!$B$2:$B1000=A118,
   'cost checklist'!$J$2:$J1000=FALSE
  )
 ),
 """"
)"),"beam: 280, coin: 400, ruby: 4, stone: 140")</f>
        <v>beam: 280, coin: 400, ruby: 4, stone: 140</v>
      </c>
      <c r="Z118" s="26" t="b">
        <f>IFERROR(__xludf.DUMMYFUNCTION("IF(
 AND(
  E118=""QUEST"",
  RIGHT(A118,9)="".accepted"",
  D118=TRUE
 ),
 XLOOKUP(
  REGEXREPLACE(A118,""\.accepted$"","""")&amp;"".finished"",
  $A$2:$A1000,
  $D$2:$D1000,
  TRUE
 )=FALSE,
 FALSE
)"),FALSE)</f>
        <v>0</v>
      </c>
      <c r="AA118" s="26" t="str">
        <f>IFERROR(__xludf.DUMMYFUNCTION("LET(
 id,A118,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19" ht="14.25" customHeight="1">
      <c r="A119" s="26" t="s">
        <v>449</v>
      </c>
      <c r="B119" s="26" t="str">
        <f t="array" ref="B119">_xlfn.XLOOKUP(
 A119,
 tblTargets[TargetID],
 tblTargets[DisplayName],
 ""
)</f>
        <v>Warehouse Lv 5</v>
      </c>
      <c r="C119" s="26" t="str">
        <f t="shared" si="1"/>
        <v>BLOCKED</v>
      </c>
      <c r="D119" s="26" t="b">
        <f>IFERROR(__xludf.DUMMYFUNCTION("LET(
 id,A119,
 IF(
  F119=""CHARACTER"",
  LET(
   base,REGEXREPLACE(id,""@\d+$"",""""),
   required,VALUE(REGEXEXTRACT(id,""@(\d+)$"")),
   current,XLOOKUP(
    base,
    tblPlayer[PlayerStateID],
    tblPlayer[Value],
    0
   ),
   current&gt;=required
 "&amp;" ),
  IF(
   T119=""AUTO"",
   L119=0,
   COUNTIFS(
    tblChecklist[TargetID],id,
    tblChecklist[PlayerCompleted],TRUE
   )&gt;0
  )
 )
)"),FALSE)</f>
        <v>0</v>
      </c>
      <c r="E119" s="26" t="str">
        <f t="array" ref="E119">_xlfn.XLOOKUP(
 A119,
 tblTargets[TargetID],
 tblTargets[TargetType],
 ""
)</f>
        <v>BUILDING</v>
      </c>
      <c r="F119" s="26" t="str">
        <f t="array" ref="F119">_xlfn.XLOOKUP(
 A119,
 tblTargets[TargetID],
 tblTargets[StateType],
 ""
)</f>
        <v/>
      </c>
      <c r="G119" s="26">
        <f>LET(
 id,A119,
 depCount,COUNTIF(tblDependencies[TargetID],id),
 objCount,COUNTIF(tblQuestObjectives[QuestTargetID],id),
 depCount+objCount
)</f>
        <v>2</v>
      </c>
      <c r="H119" s="26">
        <f t="shared" si="2"/>
        <v>2</v>
      </c>
      <c r="I119" s="26">
        <f>IFERROR(__xludf.DUMMYFUNCTION("LET(
 id,A119,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19" s="26">
        <f t="shared" si="3"/>
        <v>0</v>
      </c>
      <c r="K119" s="26" t="b">
        <f t="shared" si="4"/>
        <v>0</v>
      </c>
      <c r="L119" s="26">
        <f t="shared" si="5"/>
        <v>2</v>
      </c>
      <c r="M119" s="26" t="str">
        <f>IFERROR(__xludf.DUMMYFUNCTION("LET(
 id,A119,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L119=0,
  """",
  IFERROR(INDEX(incomplete,1),"""")"&amp;"
 )
)"),"building.guild@5")</f>
        <v>building.guild@5</v>
      </c>
      <c r="N119" s="26" t="str">
        <f t="array" ref="N119">IF(
 M119="",
 "",
 _xlfn.XLOOKUP(
  M119,
  tblTargets[TargetID],
  tblTargets[DisplayName],
  M119
 )
)</f>
        <v>Guild Lv 5</v>
      </c>
      <c r="O119" s="26" t="str">
        <f>IFERROR(__xludf.DUMMYFUNCTION("SWITCH(
 E119,
 ""BUILDING"",XLOOKUP(A119,tblBuildings[BuildingID],tblBuildings[costtext],""""),
 ""TECH"",XLOOKUP(A119,tblTechnologies[TechnologyID],tblTechnologies[costtext],""""),
 ""QUEST"",XLOOKUP(
  REGEXREPLACE(A119,""\.[^.]+$"",""""),
  tblQuests["&amp;"QuestID],
  tblQuests[Costtext],
  """"
 ),
 ""CITADEL"",XLOOKUP(A119,tblCitadel[CitadelID],tblCitadel[costtext],""""),
 ""COLLECTION"",XLOOKUP(A119,tblCollections[CollectionID],tblCollections[costtext],""""),
 ""CRAFTIFACT"",XLOOKUP(A119,tblCraftifacts[C"&amp;"raftifactID],tblCraftifacts[costtext],""""),
 """"
)"),"5 ruby,500 coin,360 beam,180 stone")</f>
        <v>5 ruby,500 coin,360 beam,180 stone</v>
      </c>
      <c r="P119" s="26" t="str">
        <f t="shared" si="6"/>
        <v>BLOCKED</v>
      </c>
      <c r="Q119" s="26" t="str">
        <f t="shared" si="7"/>
        <v>BLOCKED</v>
      </c>
      <c r="R119" s="26">
        <f t="array" ref="R119">IFERROR(
 _xlfn.XLOOKUP(
  A119,
  tblChecklist[TargetID],
  tblChecklist[PlayerSort],
  ""
 ),
 ""
)</f>
        <v>97</v>
      </c>
      <c r="S119" s="26" t="str">
        <f>IFERROR(__xludf.DUMMYFUNCTION("LET(
 id,A119,
 successorIDs,
  IFERROR(
   UNIQUE(
    FILTER(
     {
      Dependencies!$A$2:$A$1000;
      QuestObjectives!$A$2:$A$1000
     },
     {
      Dependencies!$B$2:$B$1000;
      QuestObjectives!$E$2:$E$1000
     }=id
    )
   ),
   """"
  )"&amp;",
 names,
  MAP(
   successorIDs,
   LAMBDA(s,
    IF(
     s="""",
     """",
     XLOOKUP(
      s,
      $A$2:$A$1000,
      $B$2:$B$1000,
      s
     )
    )
   )
  ),
 IF(
  successorIDs="""",
  """",
  TEXTJOIN("", "",TRUE,names)
 )
)"),"Warehouse Lv 6")</f>
        <v>Warehouse Lv 6</v>
      </c>
      <c r="T119" s="26" t="str">
        <f t="array" ref="T119">_xlfn.XLOOKUP(
 A119,
 tblTargets[TargetID],
 tblTargets[CompletionMethod],
 ""
)</f>
        <v>PLAYER</v>
      </c>
      <c r="U119" s="84" t="b">
        <f>COUNTIF(tblCost[TargetID],A119)&gt;0</f>
        <v>1</v>
      </c>
      <c r="V119" s="85">
        <f t="array" ref="V119">IF(
 U119=FALSE,
 "",
 _xlfn.XLOOKUP(
  A119,
  tblCost[TargetID],
  tblCost[FundingPercent],
  ""
 )
)</f>
        <v>0</v>
      </c>
      <c r="W119" s="26">
        <f t="array" ref="W119">IF(
 U119=FALSE,
 "",
 _xlfn.XLOOKUP(
  A119,
  tblCost[TargetID],
  tblCost[RemainingRequirements],
  ""
 )
)</f>
        <v>4</v>
      </c>
      <c r="X119" s="45" t="b">
        <f t="array" ref="X119">IF(
 U119=FALSE,
 "N/A",
 _xlfn.XLOOKUP(
  A120,
  tblCost[TargetID],
  tblCost[TargetFunded],
  FALSE
 )
)</f>
        <v>0</v>
      </c>
      <c r="Y119" s="26" t="str">
        <f>IFERROR(__xludf.DUMMYFUNCTION("IFERROR(
 TEXTJOIN(
  "", "",
  TRUE,
  FILTER(
   'cost checklist'!$E$2:$E1000&amp;"": ""&amp;'cost checklist'!$G$2:$G1000,
   'cost checklist'!$B$2:$B1000=A119,
   'cost checklist'!$J$2:$J1000=FALSE
  )
 ),
 """"
)"),"beam: 360, coin: 500, ruby: 5, stone: 180")</f>
        <v>beam: 360, coin: 500, ruby: 5, stone: 180</v>
      </c>
      <c r="Z119" s="26" t="b">
        <f>IFERROR(__xludf.DUMMYFUNCTION("IF(
 AND(
  E119=""QUEST"",
  RIGHT(A119,9)="".accepted"",
  D119=TRUE
 ),
 XLOOKUP(
  REGEXREPLACE(A119,""\.accepted$"","""")&amp;"".finished"",
  $A$2:$A1000,
  $D$2:$D1000,
  TRUE
 )=FALSE,
 FALSE
)"),FALSE)</f>
        <v>0</v>
      </c>
      <c r="AA119" s="26" t="str">
        <f>IFERROR(__xludf.DUMMYFUNCTION("LET(
 id,A119,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0" ht="14.25" customHeight="1">
      <c r="A120" s="26" t="s">
        <v>451</v>
      </c>
      <c r="B120" s="26" t="str">
        <f t="array" ref="B120">_xlfn.XLOOKUP(
 A120,
 tblTargets[TargetID],
 tblTargets[DisplayName],
 ""
)</f>
        <v>Warehouse Lv 6</v>
      </c>
      <c r="C120" s="26" t="str">
        <f t="shared" si="1"/>
        <v>BLOCKED</v>
      </c>
      <c r="D120" s="26" t="b">
        <f>IFERROR(__xludf.DUMMYFUNCTION("LET(
 id,A120,
 IF(
  F120=""CHARACTER"",
  LET(
   base,REGEXREPLACE(id,""@\d+$"",""""),
   required,VALUE(REGEXEXTRACT(id,""@(\d+)$"")),
   current,XLOOKUP(
    base,
    tblPlayer[PlayerStateID],
    tblPlayer[Value],
    0
   ),
   current&gt;=required
 "&amp;" ),
  IF(
   T120=""AUTO"",
   L120=0,
   COUNTIFS(
    tblChecklist[TargetID],id,
    tblChecklist[PlayerCompleted],TRUE
   )&gt;0
  )
 )
)"),FALSE)</f>
        <v>0</v>
      </c>
      <c r="E120" s="26" t="str">
        <f t="array" ref="E120">_xlfn.XLOOKUP(
 A120,
 tblTargets[TargetID],
 tblTargets[TargetType],
 ""
)</f>
        <v>BUILDING</v>
      </c>
      <c r="F120" s="26" t="str">
        <f t="array" ref="F120">_xlfn.XLOOKUP(
 A120,
 tblTargets[TargetID],
 tblTargets[StateType],
 ""
)</f>
        <v/>
      </c>
      <c r="G120" s="26">
        <f>LET(
 id,A120,
 depCount,COUNTIF(tblDependencies[TargetID],id),
 objCount,COUNTIF(tblQuestObjectives[QuestTargetID],id),
 depCount+objCount
)</f>
        <v>1</v>
      </c>
      <c r="H120" s="26">
        <f t="shared" si="2"/>
        <v>1</v>
      </c>
      <c r="I120" s="26">
        <f>IFERROR(__xludf.DUMMYFUNCTION("LET(
 id,A120,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0" s="26">
        <f t="shared" si="3"/>
        <v>0</v>
      </c>
      <c r="K120" s="26" t="b">
        <f t="shared" si="4"/>
        <v>0</v>
      </c>
      <c r="L120" s="26">
        <f t="shared" si="5"/>
        <v>1</v>
      </c>
      <c r="M120" s="26" t="str">
        <f>IFERROR(__xludf.DUMMYFUNCTION("LET(
 id,A120,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L120=0,
  """",
  IFERROR(INDEX(incomplete,1),"""")"&amp;"
 )
)"),"building.warehouse@5")</f>
        <v>building.warehouse@5</v>
      </c>
      <c r="N120" s="26" t="str">
        <f t="array" ref="N120">IF(
 M120="",
 "",
 _xlfn.XLOOKUP(
  M120,
  tblTargets[TargetID],
  tblTargets[DisplayName],
  M120
 )
)</f>
        <v>Warehouse Lv 5</v>
      </c>
      <c r="O120" s="26" t="str">
        <f>IFERROR(__xludf.DUMMYFUNCTION("SWITCH(
 E120,
 ""BUILDING"",XLOOKUP(A120,tblBuildings[BuildingID],tblBuildings[costtext],""""),
 ""TECH"",XLOOKUP(A120,tblTechnologies[TechnologyID],tblTechnologies[costtext],""""),
 ""QUEST"",XLOOKUP(
  REGEXREPLACE(A120,""\.[^.]+$"",""""),
  tblQuests["&amp;"QuestID],
  tblQuests[Costtext],
  """"
 ),
 ""CITADEL"",XLOOKUP(A120,tblCitadel[CitadelID],tblCitadel[costtext],""""),
 ""COLLECTION"",XLOOKUP(A120,tblCollections[CollectionID],tblCollections[costtext],""""),
 ""CRAFTIFACT"",XLOOKUP(A120,tblCraftifacts[C"&amp;"raftifactID],tblCraftifacts[costtext],""""),
 """"
)"),"6 ruby,600 coin,440 beam,220 stone,20 steel")</f>
        <v>6 ruby,600 coin,440 beam,220 stone,20 steel</v>
      </c>
      <c r="P120" s="26" t="str">
        <f t="shared" si="6"/>
        <v>BLOCKED</v>
      </c>
      <c r="Q120" s="26" t="str">
        <f t="shared" si="7"/>
        <v>BLOCKED</v>
      </c>
      <c r="R120" s="26">
        <f t="array" ref="R120">IFERROR(
 _xlfn.XLOOKUP(
  A120,
  tblChecklist[TargetID],
  tblChecklist[PlayerSort],
  ""
 ),
 ""
)</f>
        <v>98</v>
      </c>
      <c r="S120" s="26" t="str">
        <f>IFERROR(__xludf.DUMMYFUNCTION("LET(
 id,A120,
 successorIDs,
  IFERROR(
   UNIQUE(
    FILTER(
     {
      Dependencies!$A$2:$A$1000;
      QuestObjectives!$A$2:$A$1000
     },
     {
      Dependencies!$B$2:$B$1000;
      QuestObjectives!$E$2:$E$1000
     }=id
    )
   ),
   """"
  )"&amp;",
 names,
  MAP(
   successorIDs,
   LAMBDA(s,
    IF(
     s="""",
     """",
     XLOOKUP(
      s,
      $A$2:$A$1000,
      $B$2:$B$1000,
      s
     )
    )
   )
  ),
 IF(
  successorIDs="""",
  """",
  TEXTJOIN("", "",TRUE,names)
 )
)"),"Warehouse Lv 7")</f>
        <v>Warehouse Lv 7</v>
      </c>
      <c r="T120" s="26" t="str">
        <f t="array" ref="T120">_xlfn.XLOOKUP(
 A120,
 tblTargets[TargetID],
 tblTargets[CompletionMethod],
 ""
)</f>
        <v>PLAYER</v>
      </c>
      <c r="U120" s="84" t="b">
        <f>COUNTIF(tblCost[TargetID],A120)&gt;0</f>
        <v>1</v>
      </c>
      <c r="V120" s="85">
        <f t="array" ref="V120">IF(
 U120=FALSE,
 "",
 _xlfn.XLOOKUP(
  A120,
  tblCost[TargetID],
  tblCost[FundingPercent],
  ""
 )
)</f>
        <v>0</v>
      </c>
      <c r="W120" s="26">
        <f t="array" ref="W120">IF(
 U120=FALSE,
 "",
 _xlfn.XLOOKUP(
  A120,
  tblCost[TargetID],
  tblCost[RemainingRequirements],
  ""
 )
)</f>
        <v>5</v>
      </c>
      <c r="X120" s="45" t="b">
        <f t="array" ref="X120">IF(
 U120=FALSE,
 "N/A",
 _xlfn.XLOOKUP(
  A121,
  tblCost[TargetID],
  tblCost[TargetFunded],
  FALSE
 )
)</f>
        <v>0</v>
      </c>
      <c r="Y120" s="26" t="str">
        <f>IFERROR(__xludf.DUMMYFUNCTION("IFERROR(
 TEXTJOIN(
  "", "",
  TRUE,
  FILTER(
   'cost checklist'!$E$2:$E1000&amp;"": ""&amp;'cost checklist'!$G$2:$G1000,
   'cost checklist'!$B$2:$B1000=A120,
   'cost checklist'!$J$2:$J1000=FALSE
  )
 ),
 """"
)"),"beam: 440, coin: 600, ruby: 6, steel: 20, stone: 220")</f>
        <v>beam: 440, coin: 600, ruby: 6, steel: 20, stone: 220</v>
      </c>
      <c r="Z120" s="26" t="b">
        <f>IFERROR(__xludf.DUMMYFUNCTION("IF(
 AND(
  E120=""QUEST"",
  RIGHT(A120,9)="".accepted"",
  D120=TRUE
 ),
 XLOOKUP(
  REGEXREPLACE(A120,""\.accepted$"","""")&amp;"".finished"",
  $A$2:$A1000,
  $D$2:$D1000,
  TRUE
 )=FALSE,
 FALSE
)"),FALSE)</f>
        <v>0</v>
      </c>
      <c r="AA120" s="26" t="str">
        <f>IFERROR(__xludf.DUMMYFUNCTION("LET(
 id,A120,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1" ht="14.25" customHeight="1">
      <c r="A121" s="26" t="s">
        <v>453</v>
      </c>
      <c r="B121" s="26" t="str">
        <f t="array" ref="B121">_xlfn.XLOOKUP(
 A121,
 tblTargets[TargetID],
 tblTargets[DisplayName],
 ""
)</f>
        <v>Warehouse Lv 7</v>
      </c>
      <c r="C121" s="26" t="str">
        <f t="shared" si="1"/>
        <v>BLOCKED</v>
      </c>
      <c r="D121" s="26" t="b">
        <f>IFERROR(__xludf.DUMMYFUNCTION("LET(
 id,A121,
 IF(
  F121=""CHARACTER"",
  LET(
   base,REGEXREPLACE(id,""@\d+$"",""""),
   required,VALUE(REGEXEXTRACT(id,""@(\d+)$"")),
   current,XLOOKUP(
    base,
    tblPlayer[PlayerStateID],
    tblPlayer[Value],
    0
   ),
   current&gt;=required
 "&amp;" ),
  IF(
   T121=""AUTO"",
   L121=0,
   COUNTIFS(
    tblChecklist[TargetID],id,
    tblChecklist[PlayerCompleted],TRUE
   )&gt;0
  )
 )
)"),FALSE)</f>
        <v>0</v>
      </c>
      <c r="E121" s="26" t="str">
        <f t="array" ref="E121">_xlfn.XLOOKUP(
 A121,
 tblTargets[TargetID],
 tblTargets[TargetType],
 ""
)</f>
        <v>BUILDING</v>
      </c>
      <c r="F121" s="26" t="str">
        <f t="array" ref="F121">_xlfn.XLOOKUP(
 A121,
 tblTargets[TargetID],
 tblTargets[StateType],
 ""
)</f>
        <v/>
      </c>
      <c r="G121" s="26">
        <f>LET(
 id,A121,
 depCount,COUNTIF(tblDependencies[TargetID],id),
 objCount,COUNTIF(tblQuestObjectives[QuestTargetID],id),
 depCount+objCount
)</f>
        <v>1</v>
      </c>
      <c r="H121" s="26">
        <f t="shared" si="2"/>
        <v>1</v>
      </c>
      <c r="I121" s="26">
        <f>IFERROR(__xludf.DUMMYFUNCTION("LET(
 id,A121,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1" s="26">
        <f t="shared" si="3"/>
        <v>0</v>
      </c>
      <c r="K121" s="26" t="b">
        <f t="shared" si="4"/>
        <v>0</v>
      </c>
      <c r="L121" s="26">
        <f t="shared" si="5"/>
        <v>1</v>
      </c>
      <c r="M121" s="26" t="str">
        <f>IFERROR(__xludf.DUMMYFUNCTION("LET(
 id,A121,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L121=0,
  """",
  IFERROR(INDEX(incomplete,1),"""")"&amp;"
 )
)"),"building.warehouse@6")</f>
        <v>building.warehouse@6</v>
      </c>
      <c r="N121" s="26" t="str">
        <f t="array" ref="N121">IF(
 M121="",
 "",
 _xlfn.XLOOKUP(
  M121,
  tblTargets[TargetID],
  tblTargets[DisplayName],
  M121
 )
)</f>
        <v>Warehouse Lv 6</v>
      </c>
      <c r="O121" s="26" t="str">
        <f>IFERROR(__xludf.DUMMYFUNCTION("SWITCH(
 E121,
 ""BUILDING"",XLOOKUP(A121,tblBuildings[BuildingID],tblBuildings[costtext],""""),
 ""TECH"",XLOOKUP(A121,tblTechnologies[TechnologyID],tblTechnologies[costtext],""""),
 ""QUEST"",XLOOKUP(
  REGEXREPLACE(A121,""\.[^.]+$"",""""),
  tblQuests["&amp;"QuestID],
  tblQuests[Costtext],
  """"
 ),
 ""CITADEL"",XLOOKUP(A121,tblCitadel[CitadelID],tblCitadel[costtext],""""),
 ""COLLECTION"",XLOOKUP(A121,tblCollections[CollectionID],tblCollections[costtext],""""),
 ""CRAFTIFACT"",XLOOKUP(A121,tblCraftifacts[C"&amp;"raftifactID],tblCraftifacts[costtext],""""),
 """"
)"),"7 ruby,700 coin,520 beam,260 stone,30 steel")</f>
        <v>7 ruby,700 coin,520 beam,260 stone,30 steel</v>
      </c>
      <c r="P121" s="26" t="str">
        <f t="shared" si="6"/>
        <v>BLOCKED</v>
      </c>
      <c r="Q121" s="26" t="str">
        <f t="shared" si="7"/>
        <v>BLOCKED</v>
      </c>
      <c r="R121" s="26">
        <f t="array" ref="R121">IFERROR(
 _xlfn.XLOOKUP(
  A121,
  tblChecklist[TargetID],
  tblChecklist[PlayerSort],
  ""
 ),
 ""
)</f>
        <v>99</v>
      </c>
      <c r="S121" s="26" t="str">
        <f>IFERROR(__xludf.DUMMYFUNCTION("LET(
 id,A121,
 successorIDs,
  IFERROR(
   UNIQUE(
    FILTER(
     {
      Dependencies!$A$2:$A$1000;
      QuestObjectives!$A$2:$A$1000
     },
     {
      Dependencies!$B$2:$B$1000;
      QuestObjectives!$E$2:$E$1000
     }=id
    )
   ),
   """"
  )"&amp;",
 names,
  MAP(
   successorIDs,
   LAMBDA(s,
    IF(
     s="""",
     """",
     XLOOKUP(
      s,
      $A$2:$A$1000,
      $B$2:$B$1000,
      s
     )
    )
   )
  ),
 IF(
  successorIDs="""",
  """",
  TEXTJOIN("", "",TRUE,names)
 )
)"),"warehouse maxed")</f>
        <v>warehouse maxed</v>
      </c>
      <c r="T121" s="26" t="str">
        <f t="array" ref="T121">_xlfn.XLOOKUP(
 A121,
 tblTargets[TargetID],
 tblTargets[CompletionMethod],
 ""
)</f>
        <v>PLAYER</v>
      </c>
      <c r="U121" s="84" t="b">
        <f>COUNTIF(tblCost[TargetID],A121)&gt;0</f>
        <v>1</v>
      </c>
      <c r="V121" s="85">
        <f t="array" ref="V121">IF(
 U121=FALSE,
 "",
 _xlfn.XLOOKUP(
  A121,
  tblCost[TargetID],
  tblCost[FundingPercent],
  ""
 )
)</f>
        <v>0</v>
      </c>
      <c r="W121" s="26">
        <f t="array" ref="W121">IF(
 U121=FALSE,
 "",
 _xlfn.XLOOKUP(
  A121,
  tblCost[TargetID],
  tblCost[RemainingRequirements],
  ""
 )
)</f>
        <v>5</v>
      </c>
      <c r="X121" s="45" t="b">
        <f t="array" ref="X121">IF(
 U121=FALSE,
 "N/A",
 _xlfn.XLOOKUP(
  A122,
  tblCost[TargetID],
  tblCost[TargetFunded],
  FALSE
 )
)</f>
        <v>0</v>
      </c>
      <c r="Y121" s="26" t="str">
        <f>IFERROR(__xludf.DUMMYFUNCTION("IFERROR(
 TEXTJOIN(
  "", "",
  TRUE,
  FILTER(
   'cost checklist'!$E$2:$E1000&amp;"": ""&amp;'cost checklist'!$G$2:$G1000,
   'cost checklist'!$B$2:$B1000=A121,
   'cost checklist'!$J$2:$J1000=FALSE
  )
 ),
 """"
)"),"beam: 520, coin: 700, ruby: 7, steel: 30, stone: 260")</f>
        <v>beam: 520, coin: 700, ruby: 7, steel: 30, stone: 260</v>
      </c>
      <c r="Z121" s="26" t="b">
        <f>IFERROR(__xludf.DUMMYFUNCTION("IF(
 AND(
  E121=""QUEST"",
  RIGHT(A121,9)="".accepted"",
  D121=TRUE
 ),
 XLOOKUP(
  REGEXREPLACE(A121,""\.accepted$"","""")&amp;"".finished"",
  $A$2:$A1000,
  $D$2:$D1000,
  TRUE
 )=FALSE,
 FALSE
)"),FALSE)</f>
        <v>0</v>
      </c>
      <c r="AA121" s="26" t="str">
        <f>IFERROR(__xludf.DUMMYFUNCTION("LET(
 id,A121,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2" ht="14.25" customHeight="1">
      <c r="A122" s="26" t="s">
        <v>915</v>
      </c>
      <c r="B122" s="26" t="str">
        <f t="array" ref="B122">_xlfn.XLOOKUP(
 A122,
 tblTargets[TargetID],
 tblTargets[DisplayName],
 ""
)</f>
        <v>windmill maxed</v>
      </c>
      <c r="C122" s="26" t="str">
        <f t="shared" si="1"/>
        <v>BLOCKED</v>
      </c>
      <c r="D122" s="26" t="b">
        <f>IFERROR(__xludf.DUMMYFUNCTION("LET(
 id,A122,
 IF(
  F122=""CHARACTER"",
  LET(
   base,REGEXREPLACE(id,""@\d+$"",""""),
   required,VALUE(REGEXEXTRACT(id,""@(\d+)$"")),
   current,XLOOKUP(
    base,
    tblPlayer[PlayerStateID],
    tblPlayer[Value],
    0
   ),
   current&gt;=required
 "&amp;" ),
  IF(
   T122=""AUTO"",
   L122=0,
   COUNTIFS(
    tblChecklist[TargetID],id,
    tblChecklist[PlayerCompleted],TRUE
   )&gt;0
  )
 )
)"),FALSE)</f>
        <v>0</v>
      </c>
      <c r="E122" s="26" t="str">
        <f t="array" ref="E122">_xlfn.XLOOKUP(
 A122,
 tblTargets[TargetID],
 tblTargets[TargetType],
 ""
)</f>
        <v>BUILDING</v>
      </c>
      <c r="F122" s="26" t="str">
        <f t="array" ref="F122">_xlfn.XLOOKUP(
 A122,
 tblTargets[TargetID],
 tblTargets[StateType],
 ""
)</f>
        <v/>
      </c>
      <c r="G122" s="26">
        <f>LET(
 id,A122,
 depCount,COUNTIF(tblDependencies[TargetID],id),
 objCount,COUNTIF(tblQuestObjectives[QuestTargetID],id),
 depCount+objCount
)</f>
        <v>1</v>
      </c>
      <c r="H122" s="26">
        <f t="shared" si="2"/>
        <v>1</v>
      </c>
      <c r="I122" s="26">
        <f>IFERROR(__xludf.DUMMYFUNCTION("LET(
 id,A122,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2" s="26">
        <f t="shared" si="3"/>
        <v>0</v>
      </c>
      <c r="K122" s="26" t="b">
        <f t="shared" si="4"/>
        <v>0</v>
      </c>
      <c r="L122" s="26">
        <f t="shared" si="5"/>
        <v>1</v>
      </c>
      <c r="M122" s="26" t="str">
        <f>IFERROR(__xludf.DUMMYFUNCTION("LET(
 id,A122,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L122=0,
  """",
  IFERROR(INDEX(incomplete,1),"""")"&amp;"
 )
)"),"building.windmill@2")</f>
        <v>building.windmill@2</v>
      </c>
      <c r="N122" s="26" t="str">
        <f t="array" ref="N122">IF(
 M122="",
 "",
 _xlfn.XLOOKUP(
  M122,
  tblTargets[TargetID],
  tblTargets[DisplayName],
  M122
 )
)</f>
        <v>Windmill Lv 2</v>
      </c>
      <c r="O122" s="26" t="str">
        <f>IFERROR(__xludf.DUMMYFUNCTION("SWITCH(
 E122,
 ""BUILDING"",XLOOKUP(A122,tblBuildings[BuildingID],tblBuildings[costtext],""""),
 ""TECH"",XLOOKUP(A122,tblTechnologies[TechnologyID],tblTechnologies[costtext],""""),
 ""QUEST"",XLOOKUP(
  REGEXREPLACE(A122,""\.[^.]+$"",""""),
  tblQuests["&amp;"QuestID],
  tblQuests[Costtext],
  """"
 ),
 ""CITADEL"",XLOOKUP(A122,tblCitadel[CitadelID],tblCitadel[costtext],""""),
 ""COLLECTION"",XLOOKUP(A122,tblCollections[CollectionID],tblCollections[costtext],""""),
 ""CRAFTIFACT"",XLOOKUP(A122,tblCraftifacts[C"&amp;"raftifactID],tblCraftifacts[costtext],""""),
 """"
)"),"")</f>
        <v/>
      </c>
      <c r="P122" s="26" t="str">
        <f t="shared" si="6"/>
        <v>BLOCKED</v>
      </c>
      <c r="Q122" s="26" t="str">
        <f t="shared" si="7"/>
        <v>BLOCKED</v>
      </c>
      <c r="R122" s="26" t="str">
        <f t="array" ref="R122">IFERROR(
 _xlfn.XLOOKUP(
  A122,
  tblChecklist[TargetID],
  tblChecklist[PlayerSort],
  ""
 ),
 ""
)</f>
        <v/>
      </c>
      <c r="S122" s="26" t="str">
        <f>IFERROR(__xludf.DUMMYFUNCTION("LET(
 id,A122,
 successorIDs,
  IFERROR(
   UNIQUE(
    FILTER(
     {
      Dependencies!$A$2:$A$1000;
      QuestObjectives!$A$2:$A$1000
     },
     {
      Dependencies!$B$2:$B$1000;
      QuestObjectives!$E$2:$E$1000
     }=id
    )
   ),
   """"
  )"&amp;",
 names,
  MAP(
   successorIDs,
   LAMBDA(s,
    IF(
     s="""",
     """",
     XLOOKUP(
      s,
      $A$2:$A$1000,
      $B$2:$B$1000,
      s
     )
    )
   )
  ),
 IF(
  successorIDs="""",
  """",
  TEXTJOIN("", "",TRUE,names)
 )
)"),"Windmill -  Bone Meal")</f>
        <v>Windmill -  Bone Meal</v>
      </c>
      <c r="T122" s="26" t="str">
        <f t="array" ref="T122">_xlfn.XLOOKUP(
 A122,
 tblTargets[TargetID],
 tblTargets[CompletionMethod],
 ""
)</f>
        <v>AUTO</v>
      </c>
      <c r="U122" s="84" t="b">
        <f>COUNTIF(tblCost[TargetID],A122)&gt;0</f>
        <v>0</v>
      </c>
      <c r="V122" s="85" t="str">
        <f t="array" ref="V122">IF(
 U122=FALSE,
 "",
 _xlfn.XLOOKUP(
  A122,
  tblCost[TargetID],
  tblCost[FundingPercent],
  ""
 )
)</f>
        <v/>
      </c>
      <c r="W122" s="26" t="str">
        <f t="array" ref="W122">IF(
 U122=FALSE,
 "",
 _xlfn.XLOOKUP(
  A122,
  tblCost[TargetID],
  tblCost[RemainingRequirements],
  ""
 )
)</f>
        <v/>
      </c>
      <c r="X122" s="45" t="str">
        <f t="array" ref="X122">IF(
 U122=FALSE,
 "N/A",
 _xlfn.XLOOKUP(
  A123,
  tblCost[TargetID],
  tblCost[TargetFunded],
  FALSE
 )
)</f>
        <v>N/A</v>
      </c>
      <c r="Y122" s="26" t="str">
        <f>IFERROR(__xludf.DUMMYFUNCTION("IFERROR(
 TEXTJOIN(
  "", "",
  TRUE,
  FILTER(
   'cost checklist'!$E$2:$E1000&amp;"": ""&amp;'cost checklist'!$G$2:$G1000,
   'cost checklist'!$B$2:$B1000=A122,
   'cost checklist'!$J$2:$J1000=FALSE
  )
 ),
 """"
)"),"")</f>
        <v/>
      </c>
      <c r="Z122" s="26" t="b">
        <f>IFERROR(__xludf.DUMMYFUNCTION("IF(
 AND(
  E122=""QUEST"",
  RIGHT(A122,9)="".accepted"",
  D122=TRUE
 ),
 XLOOKUP(
  REGEXREPLACE(A122,""\.accepted$"","""")&amp;"".finished"",
  $A$2:$A1000,
  $D$2:$D1000,
  TRUE
 )=FALSE,
 FALSE
)"),FALSE)</f>
        <v>0</v>
      </c>
      <c r="AA122" s="26" t="str">
        <f>IFERROR(__xludf.DUMMYFUNCTION("LET(
 id,A122,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3" ht="14.25" customHeight="1">
      <c r="A123" s="26" t="s">
        <v>455</v>
      </c>
      <c r="B123" s="26" t="str">
        <f t="array" ref="B123">_xlfn.XLOOKUP(
 A123,
 tblTargets[TargetID],
 tblTargets[DisplayName],
 ""
)</f>
        <v>Windmill Lv 1</v>
      </c>
      <c r="C123" s="26" t="str">
        <f t="shared" si="1"/>
        <v>BLOCKED</v>
      </c>
      <c r="D123" s="26" t="b">
        <f>IFERROR(__xludf.DUMMYFUNCTION("LET(
 id,A123,
 IF(
  F123=""CHARACTER"",
  LET(
   base,REGEXREPLACE(id,""@\d+$"",""""),
   required,VALUE(REGEXEXTRACT(id,""@(\d+)$"")),
   current,XLOOKUP(
    base,
    tblPlayer[PlayerStateID],
    tblPlayer[Value],
    0
   ),
   current&gt;=required
 "&amp;" ),
  IF(
   T123=""AUTO"",
   L123=0,
   COUNTIFS(
    tblChecklist[TargetID],id,
    tblChecklist[PlayerCompleted],TRUE
   )&gt;0
  )
 )
)"),FALSE)</f>
        <v>0</v>
      </c>
      <c r="E123" s="26" t="str">
        <f t="array" ref="E123">_xlfn.XLOOKUP(
 A123,
 tblTargets[TargetID],
 tblTargets[TargetType],
 ""
)</f>
        <v>BUILDING</v>
      </c>
      <c r="F123" s="26" t="str">
        <f t="array" ref="F123">_xlfn.XLOOKUP(
 A123,
 tblTargets[TargetID],
 tblTargets[StateType],
 ""
)</f>
        <v/>
      </c>
      <c r="G123" s="26">
        <f>LET(
 id,A123,
 depCount,COUNTIF(tblDependencies[TargetID],id),
 objCount,COUNTIF(tblQuestObjectives[QuestTargetID],id),
 depCount+objCount
)</f>
        <v>1</v>
      </c>
      <c r="H123" s="26">
        <f t="shared" si="2"/>
        <v>1</v>
      </c>
      <c r="I123" s="26">
        <f>IFERROR(__xludf.DUMMYFUNCTION("LET(
 id,A123,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3" s="26">
        <f t="shared" si="3"/>
        <v>0</v>
      </c>
      <c r="K123" s="26" t="b">
        <f t="shared" si="4"/>
        <v>0</v>
      </c>
      <c r="L123" s="26">
        <f t="shared" si="5"/>
        <v>1</v>
      </c>
      <c r="M123" s="26" t="str">
        <f>IFERROR(__xludf.DUMMYFUNCTION("LET(
 id,A123,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L123=0,
  """",
  IFERROR(INDEX(incomplete,1),"""")"&amp;"
 )
)"),"state.character_level@9")</f>
        <v>state.character_level@9</v>
      </c>
      <c r="N123" s="26" t="str">
        <f t="array" ref="N123">IF(
 M123="",
 "",
 _xlfn.XLOOKUP(
  M123,
  tblTargets[TargetID],
  tblTargets[DisplayName],
  M123
 )
)</f>
        <v>Character Level@9</v>
      </c>
      <c r="O123" s="26" t="str">
        <f>IFERROR(__xludf.DUMMYFUNCTION("SWITCH(
 E123,
 ""BUILDING"",XLOOKUP(A123,tblBuildings[BuildingID],tblBuildings[costtext],""""),
 ""TECH"",XLOOKUP(A123,tblTechnologies[TechnologyID],tblTechnologies[costtext],""""),
 ""QUEST"",XLOOKUP(
  REGEXREPLACE(A123,""\.[^.]+$"",""""),
  tblQuests["&amp;"QuestID],
  tblQuests[Costtext],
  """"
 ),
 ""CITADEL"",XLOOKUP(A123,tblCitadel[CitadelID],tblCitadel[costtext],""""),
 ""COLLECTION"",XLOOKUP(A123,tblCollections[CollectionID],tblCollections[costtext],""""),
 ""CRAFTIFACT"",XLOOKUP(A123,tblCraftifacts[C"&amp;"raftifactID],tblCraftifacts[costtext],""""),
 """"
)"),"1 ruby,300 coin,150 wood,150 stone,40 steel")</f>
        <v>1 ruby,300 coin,150 wood,150 stone,40 steel</v>
      </c>
      <c r="P123" s="26" t="str">
        <f t="shared" si="6"/>
        <v>READY</v>
      </c>
      <c r="Q123" s="26" t="str">
        <f t="shared" si="7"/>
        <v>ONE AWAY</v>
      </c>
      <c r="R123" s="26">
        <f t="array" ref="R123">IFERROR(
 _xlfn.XLOOKUP(
  A123,
  tblChecklist[TargetID],
  tblChecklist[PlayerSort],
  ""
 ),
 ""
)</f>
        <v>9</v>
      </c>
      <c r="S123" s="26" t="str">
        <f>IFERROR(__xludf.DUMMYFUNCTION("LET(
 id,A123,
 successorIDs,
  IFERROR(
   UNIQUE(
    FILTER(
     {
      Dependencies!$A$2:$A$1000;
      QuestObjectives!$A$2:$A$1000
     },
     {
      Dependencies!$B$2:$B$1000;
      QuestObjectives!$E$2:$E$1000
     }=id
    )
   ),
   """"
  )"&amp;",
 names,
  MAP(
   successorIDs,
   LAMBDA(s,
    IF(
     s="""",
     """",
     XLOOKUP(
      s,
      $A$2:$A$1000,
      $B$2:$B$1000,
      s
     )
    )
   )
  ),
 IF(
  successorIDs="""",
  """",
  TEXTJOIN("", "",TRUE,names)
 )
)"),"Windmill Lv 2")</f>
        <v>Windmill Lv 2</v>
      </c>
      <c r="T123" s="26" t="str">
        <f t="array" ref="T123">_xlfn.XLOOKUP(
 A123,
 tblTargets[TargetID],
 tblTargets[CompletionMethod],
 ""
)</f>
        <v>PLAYER</v>
      </c>
      <c r="U123" s="84" t="b">
        <f>COUNTIF(tblCost[TargetID],A123)&gt;0</f>
        <v>1</v>
      </c>
      <c r="V123" s="85">
        <f t="array" ref="V123">IF(
 U123=FALSE,
 "",
 _xlfn.XLOOKUP(
  A123,
  tblCost[TargetID],
  tblCost[FundingPercent],
  ""
 )
)</f>
        <v>0</v>
      </c>
      <c r="W123" s="26">
        <f t="array" ref="W123">IF(
 U123=FALSE,
 "",
 _xlfn.XLOOKUP(
  A123,
  tblCost[TargetID],
  tblCost[RemainingRequirements],
  ""
 )
)</f>
        <v>5</v>
      </c>
      <c r="X123" s="45" t="b">
        <f t="array" ref="X123">IF(
 U123=FALSE,
 "N/A",
 _xlfn.XLOOKUP(
  A124,
  tblCost[TargetID],
  tblCost[TargetFunded],
  FALSE
 )
)</f>
        <v>0</v>
      </c>
      <c r="Y123" s="26" t="str">
        <f>IFERROR(__xludf.DUMMYFUNCTION("IFERROR(
 TEXTJOIN(
  "", "",
  TRUE,
  FILTER(
   'cost checklist'!$E$2:$E1000&amp;"": ""&amp;'cost checklist'!$G$2:$G1000,
   'cost checklist'!$B$2:$B1000=A123,
   'cost checklist'!$J$2:$J1000=FALSE
  )
 ),
 """"
)"),"coin: 300, ruby: 1, steel: 40, stone: 150, wood: 150")</f>
        <v>coin: 300, ruby: 1, steel: 40, stone: 150, wood: 150</v>
      </c>
      <c r="Z123" s="26" t="b">
        <f>IFERROR(__xludf.DUMMYFUNCTION("IF(
 AND(
  E123=""QUEST"",
  RIGHT(A123,9)="".accepted"",
  D123=TRUE
 ),
 XLOOKUP(
  REGEXREPLACE(A123,""\.accepted$"","""")&amp;"".finished"",
  $A$2:$A1000,
  $D$2:$D1000,
  TRUE
 )=FALSE,
 FALSE
)"),FALSE)</f>
        <v>0</v>
      </c>
      <c r="AA123" s="26" t="str">
        <f>IFERROR(__xludf.DUMMYFUNCTION("LET(
 id,A123,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4" ht="14.25" customHeight="1">
      <c r="A124" s="26" t="s">
        <v>457</v>
      </c>
      <c r="B124" s="26" t="str">
        <f t="array" ref="B124">_xlfn.XLOOKUP(
 A124,
 tblTargets[TargetID],
 tblTargets[DisplayName],
 ""
)</f>
        <v>Windmill Lv 2</v>
      </c>
      <c r="C124" s="26" t="str">
        <f t="shared" si="1"/>
        <v>BLOCKED</v>
      </c>
      <c r="D124" s="26" t="b">
        <f>IFERROR(__xludf.DUMMYFUNCTION("LET(
 id,A124,
 IF(
  F124=""CHARACTER"",
  LET(
   base,REGEXREPLACE(id,""@\d+$"",""""),
   required,VALUE(REGEXEXTRACT(id,""@(\d+)$"")),
   current,XLOOKUP(
    base,
    tblPlayer[PlayerStateID],
    tblPlayer[Value],
    0
   ),
   current&gt;=required
 "&amp;" ),
  IF(
   T124=""AUTO"",
   L124=0,
   COUNTIFS(
    tblChecklist[TargetID],id,
    tblChecklist[PlayerCompleted],TRUE
   )&gt;0
  )
 )
)"),FALSE)</f>
        <v>0</v>
      </c>
      <c r="E124" s="26" t="str">
        <f t="array" ref="E124">_xlfn.XLOOKUP(
 A124,
 tblTargets[TargetID],
 tblTargets[TargetType],
 ""
)</f>
        <v>BUILDING</v>
      </c>
      <c r="F124" s="26" t="str">
        <f t="array" ref="F124">_xlfn.XLOOKUP(
 A124,
 tblTargets[TargetID],
 tblTargets[StateType],
 ""
)</f>
        <v/>
      </c>
      <c r="G124" s="26">
        <f>LET(
 id,A124,
 depCount,COUNTIF(tblDependencies[TargetID],id),
 objCount,COUNTIF(tblQuestObjectives[QuestTargetID],id),
 depCount+objCount
)</f>
        <v>1</v>
      </c>
      <c r="H124" s="26">
        <f t="shared" si="2"/>
        <v>1</v>
      </c>
      <c r="I124" s="26">
        <f>IFERROR(__xludf.DUMMYFUNCTION("LET(
 id,A124,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4" s="26">
        <f t="shared" si="3"/>
        <v>0</v>
      </c>
      <c r="K124" s="26" t="b">
        <f t="shared" si="4"/>
        <v>0</v>
      </c>
      <c r="L124" s="26">
        <f t="shared" si="5"/>
        <v>1</v>
      </c>
      <c r="M124" s="26" t="str">
        <f>IFERROR(__xludf.DUMMYFUNCTION("LET(
 id,A124,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L124=0,
  """",
  IFERROR(INDEX(incomplete,1),"""")"&amp;"
 )
)"),"building.windmill@1")</f>
        <v>building.windmill@1</v>
      </c>
      <c r="N124" s="26" t="str">
        <f t="array" ref="N124">IF(
 M124="",
 "",
 _xlfn.XLOOKUP(
  M124,
  tblTargets[TargetID],
  tblTargets[DisplayName],
  M124
 )
)</f>
        <v>Windmill Lv 1</v>
      </c>
      <c r="O124" s="26" t="str">
        <f>IFERROR(__xludf.DUMMYFUNCTION("SWITCH(
 E124,
 ""BUILDING"",XLOOKUP(A124,tblBuildings[BuildingID],tblBuildings[costtext],""""),
 ""TECH"",XLOOKUP(A124,tblTechnologies[TechnologyID],tblTechnologies[costtext],""""),
 ""QUEST"",XLOOKUP(
  REGEXREPLACE(A124,""\.[^.]+$"",""""),
  tblQuests["&amp;"QuestID],
  tblQuests[Costtext],
  """"
 ),
 ""CITADEL"",XLOOKUP(A124,tblCitadel[CitadelID],tblCitadel[costtext],""""),
 ""COLLECTION"",XLOOKUP(A124,tblCollections[CollectionID],tblCollections[costtext],""""),
 ""CRAFTIFACT"",XLOOKUP(A124,tblCraftifacts[C"&amp;"raftifactID],tblCraftifacts[costtext],""""),
 """"
)"),"3 ruby,500 coin,400 beam,200 stone,30 miron")</f>
        <v>3 ruby,500 coin,400 beam,200 stone,30 miron</v>
      </c>
      <c r="P124" s="26" t="str">
        <f t="shared" si="6"/>
        <v>BLOCKED</v>
      </c>
      <c r="Q124" s="26" t="str">
        <f t="shared" si="7"/>
        <v>BLOCKED</v>
      </c>
      <c r="R124" s="26">
        <f t="array" ref="R124">IFERROR(
 _xlfn.XLOOKUP(
  A124,
  tblChecklist[TargetID],
  tblChecklist[PlayerSort],
  ""
 ),
 ""
)</f>
        <v>15</v>
      </c>
      <c r="S124" s="26" t="str">
        <f>IFERROR(__xludf.DUMMYFUNCTION("LET(
 id,A124,
 successorIDs,
  IFERROR(
   UNIQUE(
    FILTER(
     {
      Dependencies!$A$2:$A$1000;
      QuestObjectives!$A$2:$A$1000
     },
     {
      Dependencies!$B$2:$B$1000;
      QuestObjectives!$E$2:$E$1000
     }=id
    )
   ),
   """"
  )"&amp;",
 names,
  MAP(
   successorIDs,
   LAMBDA(s,
    IF(
     s="""",
     """",
     XLOOKUP(
      s,
      $A$2:$A$1000,
      $B$2:$B$1000,
      s
     )
    )
   )
  ),
 IF(
  successorIDs="""",
  """",
  TEXTJOIN("", "",TRUE,names)
 )
)"),"windmill maxed")</f>
        <v>windmill maxed</v>
      </c>
      <c r="T124" s="26" t="str">
        <f t="array" ref="T124">_xlfn.XLOOKUP(
 A124,
 tblTargets[TargetID],
 tblTargets[CompletionMethod],
 ""
)</f>
        <v>PLAYER</v>
      </c>
      <c r="U124" s="84" t="b">
        <f>COUNTIF(tblCost[TargetID],A124)&gt;0</f>
        <v>1</v>
      </c>
      <c r="V124" s="85">
        <f t="array" ref="V124">IF(
 U124=FALSE,
 "",
 _xlfn.XLOOKUP(
  A124,
  tblCost[TargetID],
  tblCost[FundingPercent],
  ""
 )
)</f>
        <v>0</v>
      </c>
      <c r="W124" s="26">
        <f t="array" ref="W124">IF(
 U124=FALSE,
 "",
 _xlfn.XLOOKUP(
  A124,
  tblCost[TargetID],
  tblCost[RemainingRequirements],
  ""
 )
)</f>
        <v>5</v>
      </c>
      <c r="X124" s="45" t="b">
        <f t="array" ref="X124">IF(
 U124=FALSE,
 "N/A",
 _xlfn.XLOOKUP(
  A125,
  tblCost[TargetID],
  tblCost[TargetFunded],
  FALSE
 )
)</f>
        <v>0</v>
      </c>
      <c r="Y124" s="26" t="str">
        <f>IFERROR(__xludf.DUMMYFUNCTION("IFERROR(
 TEXTJOIN(
  "", "",
  TRUE,
  FILTER(
   'cost checklist'!$E$2:$E1000&amp;"": ""&amp;'cost checklist'!$G$2:$G1000,
   'cost checklist'!$B$2:$B1000=A124,
   'cost checklist'!$J$2:$J1000=FALSE
  )
 ),
 """"
)"),"beam: 400, coin: 500, miron: 30, ruby: 3, stone: 200")</f>
        <v>beam: 400, coin: 500, miron: 30, ruby: 3, stone: 200</v>
      </c>
      <c r="Z124" s="26" t="b">
        <f>IFERROR(__xludf.DUMMYFUNCTION("IF(
 AND(
  E124=""QUEST"",
  RIGHT(A124,9)="".accepted"",
  D124=TRUE
 ),
 XLOOKUP(
  REGEXREPLACE(A124,""\.accepted$"","""")&amp;"".finished"",
  $A$2:$A1000,
  $D$2:$D1000,
  TRUE
 )=FALSE,
 FALSE
)"),FALSE)</f>
        <v>0</v>
      </c>
      <c r="AA124" s="26" t="str">
        <f>IFERROR(__xludf.DUMMYFUNCTION("LET(
 id,A124,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5" ht="14.25" customHeight="1">
      <c r="A125" s="26" t="s">
        <v>921</v>
      </c>
      <c r="B125" s="26" t="str">
        <f t="array" ref="B125">_xlfn.XLOOKUP(
 A125,
 tblTargets[TargetID],
 tblTargets[DisplayName],
 ""
)</f>
        <v>workshop maxed</v>
      </c>
      <c r="C125" s="26" t="str">
        <f t="shared" si="1"/>
        <v>BLOCKED</v>
      </c>
      <c r="D125" s="26" t="b">
        <f>IFERROR(__xludf.DUMMYFUNCTION("LET(
 id,A125,
 IF(
  F125=""CHARACTER"",
  LET(
   base,REGEXREPLACE(id,""@\d+$"",""""),
   required,VALUE(REGEXEXTRACT(id,""@(\d+)$"")),
   current,XLOOKUP(
    base,
    tblPlayer[PlayerStateID],
    tblPlayer[Value],
    0
   ),
   current&gt;=required
 "&amp;" ),
  IF(
   T125=""AUTO"",
   L125=0,
   COUNTIFS(
    tblChecklist[TargetID],id,
    tblChecklist[PlayerCompleted],TRUE
   )&gt;0
  )
 )
)"),FALSE)</f>
        <v>0</v>
      </c>
      <c r="E125" s="26" t="str">
        <f t="array" ref="E125">_xlfn.XLOOKUP(
 A125,
 tblTargets[TargetID],
 tblTargets[TargetType],
 ""
)</f>
        <v>BUILDING</v>
      </c>
      <c r="F125" s="26" t="str">
        <f t="array" ref="F125">_xlfn.XLOOKUP(
 A125,
 tblTargets[TargetID],
 tblTargets[StateType],
 ""
)</f>
        <v/>
      </c>
      <c r="G125" s="26">
        <f>LET(
 id,A125,
 depCount,COUNTIF(tblDependencies[TargetID],id),
 objCount,COUNTIF(tblQuestObjectives[QuestTargetID],id),
 depCount+objCount
)</f>
        <v>1</v>
      </c>
      <c r="H125" s="26">
        <f t="shared" si="2"/>
        <v>1</v>
      </c>
      <c r="I125" s="26">
        <f>IFERROR(__xludf.DUMMYFUNCTION("LET(
 id,A125,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5" s="26">
        <f t="shared" si="3"/>
        <v>0</v>
      </c>
      <c r="K125" s="26" t="b">
        <f t="shared" si="4"/>
        <v>0</v>
      </c>
      <c r="L125" s="26">
        <f t="shared" si="5"/>
        <v>1</v>
      </c>
      <c r="M125" s="26" t="str">
        <f>IFERROR(__xludf.DUMMYFUNCTION("LET(
 id,A125,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L125=0,
  """",
  IFERROR(INDEX(incomplete,1),"""")"&amp;"
 )
)"),"building.workshop@5")</f>
        <v>building.workshop@5</v>
      </c>
      <c r="N125" s="26" t="str">
        <f t="array" ref="N125">IF(
 M125="",
 "",
 _xlfn.XLOOKUP(
  M125,
  tblTargets[TargetID],
  tblTargets[DisplayName],
  M125
 )
)</f>
        <v>Workshop Lv 5</v>
      </c>
      <c r="O125" s="26" t="str">
        <f>IFERROR(__xludf.DUMMYFUNCTION("SWITCH(
 E125,
 ""BUILDING"",XLOOKUP(A125,tblBuildings[BuildingID],tblBuildings[costtext],""""),
 ""TECH"",XLOOKUP(A125,tblTechnologies[TechnologyID],tblTechnologies[costtext],""""),
 ""QUEST"",XLOOKUP(
  REGEXREPLACE(A125,""\.[^.]+$"",""""),
  tblQuests["&amp;"QuestID],
  tblQuests[Costtext],
  """"
 ),
 ""CITADEL"",XLOOKUP(A125,tblCitadel[CitadelID],tblCitadel[costtext],""""),
 ""COLLECTION"",XLOOKUP(A125,tblCollections[CollectionID],tblCollections[costtext],""""),
 ""CRAFTIFACT"",XLOOKUP(A125,tblCraftifacts[C"&amp;"raftifactID],tblCraftifacts[costtext],""""),
 """"
)"),"")</f>
        <v/>
      </c>
      <c r="P125" s="26" t="str">
        <f t="shared" si="6"/>
        <v>BLOCKED</v>
      </c>
      <c r="Q125" s="26" t="str">
        <f t="shared" si="7"/>
        <v>BLOCKED</v>
      </c>
      <c r="R125" s="26" t="str">
        <f t="array" ref="R125">IFERROR(
 _xlfn.XLOOKUP(
  A125,
  tblChecklist[TargetID],
  tblChecklist[PlayerSort],
  ""
 ),
 ""
)</f>
        <v/>
      </c>
      <c r="S125" s="26" t="str">
        <f>IFERROR(__xludf.DUMMYFUNCTION("LET(
 id,A125,
 successorIDs,
  IFERROR(
   UNIQUE(
    FILTER(
     {
      Dependencies!$A$2:$A$1000;
      QuestObjectives!$A$2:$A$1000
     },
     {
      Dependencies!$B$2:$B$1000;
      QuestObjectives!$E$2:$E$1000
     }=id
    )
   ),
   """"
  )"&amp;",
 names,
  MAP(
   successorIDs,
   LAMBDA(s,
    IF(
     s="""",
     """",
     XLOOKUP(
      s,
      $A$2:$A$1000,
      $B$2:$B$1000,
      s
     )
    )
   )
  ),
 IF(
  successorIDs="""",
  """",
  TEXTJOIN("", "",TRUE,names)
 )
)"),"Alchemists Hut - Conveyor Lvl 1, Workshop - Conveyor Lvl 1, Workshop - Explosive Mechanical Spider, Workshop - Mechanical Spider, Workshop - Mechanism, Workshop - Shield For A Hero Lvl 1, Workshop - Shield For A Hero Lvl 2, Workshop - Shield For A Hero Lv"&amp;"l 3, Workshop - Shield For A Hero Lvl 4, Workshop - Shield For A Hero Lvl 4+, Workshop - Steamobile, Workshop - Strong Glue, Workshop - Throwing Net, Workshop - Zen Fountain")</f>
        <v>Alchemists Hut - Conveyor Lvl 1, Workshop - Conveyor Lvl 1, Workshop - Explosive Mechanical Spider, Workshop - Mechanical Spider, Workshop - Mechanism, Workshop - Shield For A Hero Lvl 1, Workshop - Shield For A Hero Lvl 2, Workshop - Shield For A Hero Lvl 3, Workshop - Shield For A Hero Lvl 4, Workshop - Shield For A Hero Lvl 4+, Workshop - Steamobile, Workshop - Strong Glue, Workshop - Throwing Net, Workshop - Zen Fountain</v>
      </c>
      <c r="T125" s="26" t="str">
        <f t="array" ref="T125">_xlfn.XLOOKUP(
 A125,
 tblTargets[TargetID],
 tblTargets[CompletionMethod],
 ""
)</f>
        <v>AUTO</v>
      </c>
      <c r="U125" s="84" t="b">
        <f>COUNTIF(tblCost[TargetID],A125)&gt;0</f>
        <v>0</v>
      </c>
      <c r="V125" s="85" t="str">
        <f t="array" ref="V125">IF(
 U125=FALSE,
 "",
 _xlfn.XLOOKUP(
  A125,
  tblCost[TargetID],
  tblCost[FundingPercent],
  ""
 )
)</f>
        <v/>
      </c>
      <c r="W125" s="26" t="str">
        <f t="array" ref="W125">IF(
 U125=FALSE,
 "",
 _xlfn.XLOOKUP(
  A125,
  tblCost[TargetID],
  tblCost[RemainingRequirements],
  ""
 )
)</f>
        <v/>
      </c>
      <c r="X125" s="45" t="str">
        <f t="array" ref="X125">IF(
 U125=FALSE,
 "N/A",
 _xlfn.XLOOKUP(
  A126,
  tblCost[TargetID],
  tblCost[TargetFunded],
  FALSE
 )
)</f>
        <v>N/A</v>
      </c>
      <c r="Y125" s="26" t="str">
        <f>IFERROR(__xludf.DUMMYFUNCTION("IFERROR(
 TEXTJOIN(
  "", "",
  TRUE,
  FILTER(
   'cost checklist'!$E$2:$E1000&amp;"": ""&amp;'cost checklist'!$G$2:$G1000,
   'cost checklist'!$B$2:$B1000=A125,
   'cost checklist'!$J$2:$J1000=FALSE
  )
 ),
 """"
)"),"")</f>
        <v/>
      </c>
      <c r="Z125" s="26" t="b">
        <f>IFERROR(__xludf.DUMMYFUNCTION("IF(
 AND(
  E125=""QUEST"",
  RIGHT(A125,9)="".accepted"",
  D125=TRUE
 ),
 XLOOKUP(
  REGEXREPLACE(A125,""\.accepted$"","""")&amp;"".finished"",
  $A$2:$A1000,
  $D$2:$D1000,
  TRUE
 )=FALSE,
 FALSE
)"),FALSE)</f>
        <v>0</v>
      </c>
      <c r="AA125" s="26" t="str">
        <f>IFERROR(__xludf.DUMMYFUNCTION("LET(
 id,A125,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6" ht="14.25" customHeight="1">
      <c r="A126" s="26" t="s">
        <v>460</v>
      </c>
      <c r="B126" s="26" t="str">
        <f t="array" ref="B126">_xlfn.XLOOKUP(
 A126,
 tblTargets[TargetID],
 tblTargets[DisplayName],
 ""
)</f>
        <v>Workshop Lv 1</v>
      </c>
      <c r="C126" s="26" t="str">
        <f t="shared" si="1"/>
        <v>BLOCKED</v>
      </c>
      <c r="D126" s="26" t="b">
        <f>IFERROR(__xludf.DUMMYFUNCTION("LET(
 id,A126,
 IF(
  F126=""CHARACTER"",
  LET(
   base,REGEXREPLACE(id,""@\d+$"",""""),
   required,VALUE(REGEXEXTRACT(id,""@(\d+)$"")),
   current,XLOOKUP(
    base,
    tblPlayer[PlayerStateID],
    tblPlayer[Value],
    0
   ),
   current&gt;=required
 "&amp;" ),
  IF(
   T126=""AUTO"",
   L126=0,
   COUNTIFS(
    tblChecklist[TargetID],id,
    tblChecklist[PlayerCompleted],TRUE
   )&gt;0
  )
 )
)"),FALSE)</f>
        <v>0</v>
      </c>
      <c r="E126" s="26" t="str">
        <f t="array" ref="E126">_xlfn.XLOOKUP(
 A126,
 tblTargets[TargetID],
 tblTargets[TargetType],
 ""
)</f>
        <v>BUILDING</v>
      </c>
      <c r="F126" s="26" t="str">
        <f t="array" ref="F126">_xlfn.XLOOKUP(
 A126,
 tblTargets[TargetID],
 tblTargets[StateType],
 ""
)</f>
        <v/>
      </c>
      <c r="G126" s="26">
        <f>LET(
 id,A126,
 depCount,COUNTIF(tblDependencies[TargetID],id),
 objCount,COUNTIF(tblQuestObjectives[QuestTargetID],id),
 depCount+objCount
)</f>
        <v>1</v>
      </c>
      <c r="H126" s="26">
        <f t="shared" si="2"/>
        <v>1</v>
      </c>
      <c r="I126" s="26">
        <f>IFERROR(__xludf.DUMMYFUNCTION("LET(
 id,A126,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6" s="26">
        <f t="shared" si="3"/>
        <v>0</v>
      </c>
      <c r="K126" s="26" t="b">
        <f t="shared" si="4"/>
        <v>0</v>
      </c>
      <c r="L126" s="26">
        <f t="shared" si="5"/>
        <v>1</v>
      </c>
      <c r="M126" s="26" t="str">
        <f>IFERROR(__xludf.DUMMYFUNCTION("LET(
 id,A126,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L126=0,
  """",
  IFERROR(INDEX(incomplete,1),"""")"&amp;"
 )
)"),"state.character_level@2")</f>
        <v>state.character_level@2</v>
      </c>
      <c r="N126" s="26" t="str">
        <f t="array" ref="N126">IF(
 M126="",
 "",
 _xlfn.XLOOKUP(
  M126,
  tblTargets[TargetID],
  tblTargets[DisplayName],
  M126
 )
)</f>
        <v>Character Level@2</v>
      </c>
      <c r="O126" s="26" t="str">
        <f>IFERROR(__xludf.DUMMYFUNCTION("SWITCH(
 E126,
 ""BUILDING"",XLOOKUP(A126,tblBuildings[BuildingID],tblBuildings[costtext],""""),
 ""TECH"",XLOOKUP(A126,tblTechnologies[TechnologyID],tblTechnologies[costtext],""""),
 ""QUEST"",XLOOKUP(
  REGEXREPLACE(A126,""\.[^.]+$"",""""),
  tblQuests["&amp;"QuestID],
  tblQuests[Costtext],
  """"
 ),
 ""CITADEL"",XLOOKUP(A126,tblCitadel[CitadelID],tblCitadel[costtext],""""),
 ""COLLECTION"",XLOOKUP(A126,tblCollections[CollectionID],tblCollections[costtext],""""),
 ""CRAFTIFACT"",XLOOKUP(A126,tblCraftifacts[C"&amp;"raftifactID],tblCraftifacts[costtext],""""),
 """"
)"),"1 ruby,20 coin,10 wood,10 stone")</f>
        <v>1 ruby,20 coin,10 wood,10 stone</v>
      </c>
      <c r="P126" s="26" t="str">
        <f t="shared" si="6"/>
        <v>READY</v>
      </c>
      <c r="Q126" s="26" t="str">
        <f t="shared" si="7"/>
        <v>ONE AWAY</v>
      </c>
      <c r="R126" s="26">
        <f t="array" ref="R126">IFERROR(
 _xlfn.XLOOKUP(
  A126,
  tblChecklist[TargetID],
  tblChecklist[PlayerSort],
  ""
 ),
 ""
)</f>
        <v>30</v>
      </c>
      <c r="S126" s="26" t="str">
        <f>IFERROR(__xludf.DUMMYFUNCTION("LET(
 id,A126,
 successorIDs,
  IFERROR(
   UNIQUE(
    FILTER(
     {
      Dependencies!$A$2:$A$1000;
      QuestObjectives!$A$2:$A$1000
     },
     {
      Dependencies!$B$2:$B$1000;
      QuestObjectives!$E$2:$E$1000
     }=id
    )
   ),
   """"
  )"&amp;",
 names,
  MAP(
   successorIDs,
   LAMBDA(s,
    IF(
     s="""",
     """",
     XLOOKUP(
      s,
      $A$2:$A$1000,
      $B$2:$B$1000,
      s
     )
    )
   )
  ),
 IF(
  successorIDs="""",
  """",
  TEXTJOIN("", "",TRUE,names)
 )
)"),"Workshop Lv 2")</f>
        <v>Workshop Lv 2</v>
      </c>
      <c r="T126" s="26" t="str">
        <f t="array" ref="T126">_xlfn.XLOOKUP(
 A126,
 tblTargets[TargetID],
 tblTargets[CompletionMethod],
 ""
)</f>
        <v>PLAYER</v>
      </c>
      <c r="U126" s="84" t="b">
        <f>COUNTIF(tblCost[TargetID],A126)&gt;0</f>
        <v>1</v>
      </c>
      <c r="V126" s="85">
        <f t="array" ref="V126">IF(
 U126=FALSE,
 "",
 _xlfn.XLOOKUP(
  A126,
  tblCost[TargetID],
  tblCost[FundingPercent],
  ""
 )
)</f>
        <v>0</v>
      </c>
      <c r="W126" s="26">
        <f t="array" ref="W126">IF(
 U126=FALSE,
 "",
 _xlfn.XLOOKUP(
  A126,
  tblCost[TargetID],
  tblCost[RemainingRequirements],
  ""
 )
)</f>
        <v>4</v>
      </c>
      <c r="X126" s="45" t="b">
        <f t="array" ref="X126">IF(
 U126=FALSE,
 "N/A",
 _xlfn.XLOOKUP(
  A127,
  tblCost[TargetID],
  tblCost[TargetFunded],
  FALSE
 )
)</f>
        <v>0</v>
      </c>
      <c r="Y126" s="26" t="str">
        <f>IFERROR(__xludf.DUMMYFUNCTION("IFERROR(
 TEXTJOIN(
  "", "",
  TRUE,
  FILTER(
   'cost checklist'!$E$2:$E1000&amp;"": ""&amp;'cost checklist'!$G$2:$G1000,
   'cost checklist'!$B$2:$B1000=A126,
   'cost checklist'!$J$2:$J1000=FALSE
  )
 ),
 """"
)"),"coin: 20, ruby: 1, stone: 10, wood: 10")</f>
        <v>coin: 20, ruby: 1, stone: 10, wood: 10</v>
      </c>
      <c r="Z126" s="26" t="b">
        <f>IFERROR(__xludf.DUMMYFUNCTION("IF(
 AND(
  E126=""QUEST"",
  RIGHT(A126,9)="".accepted"",
  D126=TRUE
 ),
 XLOOKUP(
  REGEXREPLACE(A126,""\.accepted$"","""")&amp;"".finished"",
  $A$2:$A1000,
  $D$2:$D1000,
  TRUE
 )=FALSE,
 FALSE
)"),FALSE)</f>
        <v>0</v>
      </c>
      <c r="AA126" s="26" t="str">
        <f>IFERROR(__xludf.DUMMYFUNCTION("LET(
 id,A126,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7" ht="14.25" customHeight="1">
      <c r="A127" s="26" t="s">
        <v>463</v>
      </c>
      <c r="B127" s="26" t="str">
        <f t="array" ref="B127">_xlfn.XLOOKUP(
 A127,
 tblTargets[TargetID],
 tblTargets[DisplayName],
 ""
)</f>
        <v>Workshop Lv 2</v>
      </c>
      <c r="C127" s="26" t="str">
        <f t="shared" si="1"/>
        <v>BLOCKED</v>
      </c>
      <c r="D127" s="26" t="b">
        <f>IFERROR(__xludf.DUMMYFUNCTION("LET(
 id,A127,
 IF(
  F127=""CHARACTER"",
  LET(
   base,REGEXREPLACE(id,""@\d+$"",""""),
   required,VALUE(REGEXEXTRACT(id,""@(\d+)$"")),
   current,XLOOKUP(
    base,
    tblPlayer[PlayerStateID],
    tblPlayer[Value],
    0
   ),
   current&gt;=required
 "&amp;" ),
  IF(
   T127=""AUTO"",
   L127=0,
   COUNTIFS(
    tblChecklist[TargetID],id,
    tblChecklist[PlayerCompleted],TRUE
   )&gt;0
  )
 )
)"),FALSE)</f>
        <v>0</v>
      </c>
      <c r="E127" s="26" t="str">
        <f t="array" ref="E127">_xlfn.XLOOKUP(
 A127,
 tblTargets[TargetID],
 tblTargets[TargetType],
 ""
)</f>
        <v>BUILDING</v>
      </c>
      <c r="F127" s="26" t="str">
        <f t="array" ref="F127">_xlfn.XLOOKUP(
 A127,
 tblTargets[TargetID],
 tblTargets[StateType],
 ""
)</f>
        <v/>
      </c>
      <c r="G127" s="26">
        <f>LET(
 id,A127,
 depCount,COUNTIF(tblDependencies[TargetID],id),
 objCount,COUNTIF(tblQuestObjectives[QuestTargetID],id),
 depCount+objCount
)</f>
        <v>1</v>
      </c>
      <c r="H127" s="26">
        <f t="shared" si="2"/>
        <v>1</v>
      </c>
      <c r="I127" s="26">
        <f>IFERROR(__xludf.DUMMYFUNCTION("LET(
 id,A127,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7" s="26">
        <f t="shared" si="3"/>
        <v>0</v>
      </c>
      <c r="K127" s="26" t="b">
        <f t="shared" si="4"/>
        <v>0</v>
      </c>
      <c r="L127" s="26">
        <f t="shared" si="5"/>
        <v>1</v>
      </c>
      <c r="M127" s="26" t="str">
        <f>IFERROR(__xludf.DUMMYFUNCTION("LET(
 id,A127,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L127=0,
  """",
  IFERROR(INDEX(incomplete,1),"""")"&amp;"
 )
)"),"building.workshop@1")</f>
        <v>building.workshop@1</v>
      </c>
      <c r="N127" s="26" t="str">
        <f t="array" ref="N127">IF(
 M127="",
 "",
 _xlfn.XLOOKUP(
  M127,
  tblTargets[TargetID],
  tblTargets[DisplayName],
  M127
 )
)</f>
        <v>Workshop Lv 1</v>
      </c>
      <c r="O127" s="26" t="str">
        <f>IFERROR(__xludf.DUMMYFUNCTION("SWITCH(
 E127,
 ""BUILDING"",XLOOKUP(A127,tblBuildings[BuildingID],tblBuildings[costtext],""""),
 ""TECH"",XLOOKUP(A127,tblTechnologies[TechnologyID],tblTechnologies[costtext],""""),
 ""QUEST"",XLOOKUP(
  REGEXREPLACE(A127,""\.[^.]+$"",""""),
  tblQuests["&amp;"QuestID],
  tblQuests[Costtext],
  """"
 ),
 ""CITADEL"",XLOOKUP(A127,tblCitadel[CitadelID],tblCitadel[costtext],""""),
 ""COLLECTION"",XLOOKUP(A127,tblCollections[CollectionID],tblCollections[costtext],""""),
 ""CRAFTIFACT"",XLOOKUP(A127,tblCraftifacts[C"&amp;"raftifactID],tblCraftifacts[costtext],""""),
 """"
)"),"2 ruby,80 coin,40 wood,40 stone")</f>
        <v>2 ruby,80 coin,40 wood,40 stone</v>
      </c>
      <c r="P127" s="26" t="str">
        <f t="shared" si="6"/>
        <v>BLOCKED</v>
      </c>
      <c r="Q127" s="26" t="str">
        <f t="shared" si="7"/>
        <v>BLOCKED</v>
      </c>
      <c r="R127" s="26">
        <f t="array" ref="R127">IFERROR(
 _xlfn.XLOOKUP(
  A127,
  tblChecklist[TargetID],
  tblChecklist[PlayerSort],
  ""
 ),
 ""
)</f>
        <v>31</v>
      </c>
      <c r="S127" s="26" t="str">
        <f>IFERROR(__xludf.DUMMYFUNCTION("LET(
 id,A127,
 successorIDs,
  IFERROR(
   UNIQUE(
    FILTER(
     {
      Dependencies!$A$2:$A$1000;
      QuestObjectives!$A$2:$A$1000
     },
     {
      Dependencies!$B$2:$B$1000;
      QuestObjectives!$E$2:$E$1000
     }=id
    )
   ),
   """"
  )"&amp;",
 names,
  MAP(
   successorIDs,
   LAMBDA(s,
    IF(
     s="""",
     """",
     XLOOKUP(
      s,
      $A$2:$A$1000,
      $B$2:$B$1000,
      s
     )
    )
   )
  ),
 IF(
  successorIDs="""",
  """",
  TEXTJOIN("", "",TRUE,names)
 )
)"),"Workshop Lv 3")</f>
        <v>Workshop Lv 3</v>
      </c>
      <c r="T127" s="26" t="str">
        <f t="array" ref="T127">_xlfn.XLOOKUP(
 A127,
 tblTargets[TargetID],
 tblTargets[CompletionMethod],
 ""
)</f>
        <v>PLAYER</v>
      </c>
      <c r="U127" s="84" t="b">
        <f>COUNTIF(tblCost[TargetID],A127)&gt;0</f>
        <v>1</v>
      </c>
      <c r="V127" s="85">
        <f t="array" ref="V127">IF(
 U127=FALSE,
 "",
 _xlfn.XLOOKUP(
  A127,
  tblCost[TargetID],
  tblCost[FundingPercent],
  ""
 )
)</f>
        <v>0</v>
      </c>
      <c r="W127" s="26">
        <f t="array" ref="W127">IF(
 U127=FALSE,
 "",
 _xlfn.XLOOKUP(
  A127,
  tblCost[TargetID],
  tblCost[RemainingRequirements],
  ""
 )
)</f>
        <v>4</v>
      </c>
      <c r="X127" s="45" t="b">
        <f t="array" ref="X127">IF(
 U127=FALSE,
 "N/A",
 _xlfn.XLOOKUP(
  A128,
  tblCost[TargetID],
  tblCost[TargetFunded],
  FALSE
 )
)</f>
        <v>0</v>
      </c>
      <c r="Y127" s="26" t="str">
        <f>IFERROR(__xludf.DUMMYFUNCTION("IFERROR(
 TEXTJOIN(
  "", "",
  TRUE,
  FILTER(
   'cost checklist'!$E$2:$E1000&amp;"": ""&amp;'cost checklist'!$G$2:$G1000,
   'cost checklist'!$B$2:$B1000=A127,
   'cost checklist'!$J$2:$J1000=FALSE
  )
 ),
 """"
)"),"coin: 80, ruby: 2, stone: 40, wood: 40")</f>
        <v>coin: 80, ruby: 2, stone: 40, wood: 40</v>
      </c>
      <c r="Z127" s="26" t="b">
        <f>IFERROR(__xludf.DUMMYFUNCTION("IF(
 AND(
  E127=""QUEST"",
  RIGHT(A127,9)="".accepted"",
  D127=TRUE
 ),
 XLOOKUP(
  REGEXREPLACE(A127,""\.accepted$"","""")&amp;"".finished"",
  $A$2:$A1000,
  $D$2:$D1000,
  TRUE
 )=FALSE,
 FALSE
)"),FALSE)</f>
        <v>0</v>
      </c>
      <c r="AA127" s="26" t="str">
        <f>IFERROR(__xludf.DUMMYFUNCTION("LET(
 id,A127,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8" ht="14.25" customHeight="1">
      <c r="A128" s="26" t="s">
        <v>473</v>
      </c>
      <c r="B128" s="26" t="str">
        <f t="array" ref="B128">_xlfn.XLOOKUP(
 A128,
 tblTargets[TargetID],
 tblTargets[DisplayName],
 ""
)</f>
        <v>Workshop Lv 3</v>
      </c>
      <c r="C128" s="26" t="str">
        <f t="shared" si="1"/>
        <v>BLOCKED</v>
      </c>
      <c r="D128" s="26" t="b">
        <f>IFERROR(__xludf.DUMMYFUNCTION("LET(
 id,A128,
 IF(
  F128=""CHARACTER"",
  LET(
   base,REGEXREPLACE(id,""@\d+$"",""""),
   required,VALUE(REGEXEXTRACT(id,""@(\d+)$"")),
   current,XLOOKUP(
    base,
    tblPlayer[PlayerStateID],
    tblPlayer[Value],
    0
   ),
   current&gt;=required
 "&amp;" ),
  IF(
   T128=""AUTO"",
   L128=0,
   COUNTIFS(
    tblChecklist[TargetID],id,
    tblChecklist[PlayerCompleted],TRUE
   )&gt;0
  )
 )
)"),FALSE)</f>
        <v>0</v>
      </c>
      <c r="E128" s="26" t="str">
        <f t="array" ref="E128">_xlfn.XLOOKUP(
 A128,
 tblTargets[TargetID],
 tblTargets[TargetType],
 ""
)</f>
        <v>BUILDING</v>
      </c>
      <c r="F128" s="26" t="str">
        <f t="array" ref="F128">_xlfn.XLOOKUP(
 A128,
 tblTargets[TargetID],
 tblTargets[StateType],
 ""
)</f>
        <v/>
      </c>
      <c r="G128" s="26">
        <f>LET(
 id,A128,
 depCount,COUNTIF(tblDependencies[TargetID],id),
 objCount,COUNTIF(tblQuestObjectives[QuestTargetID],id),
 depCount+objCount
)</f>
        <v>1</v>
      </c>
      <c r="H128" s="26">
        <f t="shared" si="2"/>
        <v>1</v>
      </c>
      <c r="I128" s="26">
        <f>IFERROR(__xludf.DUMMYFUNCTION("LET(
 id,A128,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8" s="26">
        <f t="shared" si="3"/>
        <v>0</v>
      </c>
      <c r="K128" s="26" t="b">
        <f t="shared" si="4"/>
        <v>0</v>
      </c>
      <c r="L128" s="26">
        <f t="shared" si="5"/>
        <v>1</v>
      </c>
      <c r="M128" s="26" t="str">
        <f>IFERROR(__xludf.DUMMYFUNCTION("LET(
 id,A128,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L128=0,
  """",
  IFERROR(INDEX(incomplete,1),"""")"&amp;"
 )
)"),"building.workshop@2")</f>
        <v>building.workshop@2</v>
      </c>
      <c r="N128" s="26" t="str">
        <f t="array" ref="N128">IF(
 M128="",
 "",
 _xlfn.XLOOKUP(
  M128,
  tblTargets[TargetID],
  tblTargets[DisplayName],
  M128
 )
)</f>
        <v>Workshop Lv 2</v>
      </c>
      <c r="O128" s="26" t="str">
        <f>IFERROR(__xludf.DUMMYFUNCTION("SWITCH(
 E128,
 ""BUILDING"",XLOOKUP(A128,tblBuildings[BuildingID],tblBuildings[costtext],""""),
 ""TECH"",XLOOKUP(A128,tblTechnologies[TechnologyID],tblTechnologies[costtext],""""),
 ""QUEST"",XLOOKUP(
  REGEXREPLACE(A128,""\.[^.]+$"",""""),
  tblQuests["&amp;"QuestID],
  tblQuests[Costtext],
  """"
 ),
 ""CITADEL"",XLOOKUP(A128,tblCitadel[CitadelID],tblCitadel[costtext],""""),
 ""COLLECTION"",XLOOKUP(A128,tblCollections[CollectionID],tblCollections[costtext],""""),
 ""CRAFTIFACT"",XLOOKUP(A128,tblCraftifacts[C"&amp;"raftifactID],tblCraftifacts[costtext],""""),
 """"
)"),"3 ruby,160 coin,160 beam,80 stone")</f>
        <v>3 ruby,160 coin,160 beam,80 stone</v>
      </c>
      <c r="P128" s="26" t="str">
        <f t="shared" si="6"/>
        <v>BLOCKED</v>
      </c>
      <c r="Q128" s="26" t="str">
        <f t="shared" si="7"/>
        <v>BLOCKED</v>
      </c>
      <c r="R128" s="26">
        <f t="array" ref="R128">IFERROR(
 _xlfn.XLOOKUP(
  A128,
  tblChecklist[TargetID],
  tblChecklist[PlayerSort],
  ""
 ),
 ""
)</f>
        <v>32</v>
      </c>
      <c r="S128" s="26" t="str">
        <f>IFERROR(__xludf.DUMMYFUNCTION("LET(
 id,A128,
 successorIDs,
  IFERROR(
   UNIQUE(
    FILTER(
     {
      Dependencies!$A$2:$A$1000;
      QuestObjectives!$A$2:$A$1000
     },
     {
      Dependencies!$B$2:$B$1000;
      QuestObjectives!$E$2:$E$1000
     }=id
    )
   ),
   """"
  )"&amp;",
 names,
  MAP(
   successorIDs,
   LAMBDA(s,
    IF(
     s="""",
     """",
     XLOOKUP(
      s,
      $A$2:$A$1000,
      $B$2:$B$1000,
      s
     )
    )
   )
  ),
 IF(
  successorIDs="""",
  """",
  TEXTJOIN("", "",TRUE,names)
 )
)"),"Workshop Lv 4")</f>
        <v>Workshop Lv 4</v>
      </c>
      <c r="T128" s="26" t="str">
        <f t="array" ref="T128">_xlfn.XLOOKUP(
 A128,
 tblTargets[TargetID],
 tblTargets[CompletionMethod],
 ""
)</f>
        <v>PLAYER</v>
      </c>
      <c r="U128" s="84" t="b">
        <f>COUNTIF(tblCost[TargetID],A128)&gt;0</f>
        <v>1</v>
      </c>
      <c r="V128" s="85">
        <f t="array" ref="V128">IF(
 U128=FALSE,
 "",
 _xlfn.XLOOKUP(
  A128,
  tblCost[TargetID],
  tblCost[FundingPercent],
  ""
 )
)</f>
        <v>0</v>
      </c>
      <c r="W128" s="26">
        <f t="array" ref="W128">IF(
 U128=FALSE,
 "",
 _xlfn.XLOOKUP(
  A128,
  tblCost[TargetID],
  tblCost[RemainingRequirements],
  ""
 )
)</f>
        <v>4</v>
      </c>
      <c r="X128" s="45" t="b">
        <f t="array" ref="X128">IF(
 U128=FALSE,
 "N/A",
 _xlfn.XLOOKUP(
  A129,
  tblCost[TargetID],
  tblCost[TargetFunded],
  FALSE
 )
)</f>
        <v>0</v>
      </c>
      <c r="Y128" s="26" t="str">
        <f>IFERROR(__xludf.DUMMYFUNCTION("IFERROR(
 TEXTJOIN(
  "", "",
  TRUE,
  FILTER(
   'cost checklist'!$E$2:$E1000&amp;"": ""&amp;'cost checklist'!$G$2:$G1000,
   'cost checklist'!$B$2:$B1000=A128,
   'cost checklist'!$J$2:$J1000=FALSE
  )
 ),
 """"
)"),"beam: 160, coin: 160, ruby: 3, stone: 80")</f>
        <v>beam: 160, coin: 160, ruby: 3, stone: 80</v>
      </c>
      <c r="Z128" s="26" t="b">
        <f>IFERROR(__xludf.DUMMYFUNCTION("IF(
 AND(
  E128=""QUEST"",
  RIGHT(A128,9)="".accepted"",
  D128=TRUE
 ),
 XLOOKUP(
  REGEXREPLACE(A128,""\.accepted$"","""")&amp;"".finished"",
  $A$2:$A1000,
  $D$2:$D1000,
  TRUE
 )=FALSE,
 FALSE
)"),FALSE)</f>
        <v>0</v>
      </c>
      <c r="AA128" s="26" t="str">
        <f>IFERROR(__xludf.DUMMYFUNCTION("LET(
 id,A128,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29" ht="14.25" customHeight="1">
      <c r="A129" s="26" t="s">
        <v>475</v>
      </c>
      <c r="B129" s="26" t="str">
        <f t="array" ref="B129">_xlfn.XLOOKUP(
 A129,
 tblTargets[TargetID],
 tblTargets[DisplayName],
 ""
)</f>
        <v>Workshop Lv 4</v>
      </c>
      <c r="C129" s="26" t="str">
        <f t="shared" si="1"/>
        <v>BLOCKED</v>
      </c>
      <c r="D129" s="26" t="b">
        <f>IFERROR(__xludf.DUMMYFUNCTION("LET(
 id,A129,
 IF(
  F129=""CHARACTER"",
  LET(
   base,REGEXREPLACE(id,""@\d+$"",""""),
   required,VALUE(REGEXEXTRACT(id,""@(\d+)$"")),
   current,XLOOKUP(
    base,
    tblPlayer[PlayerStateID],
    tblPlayer[Value],
    0
   ),
   current&gt;=required
 "&amp;" ),
  IF(
   T129=""AUTO"",
   L129=0,
   COUNTIFS(
    tblChecklist[TargetID],id,
    tblChecklist[PlayerCompleted],TRUE
   )&gt;0
  )
 )
)"),FALSE)</f>
        <v>0</v>
      </c>
      <c r="E129" s="26" t="str">
        <f t="array" ref="E129">_xlfn.XLOOKUP(
 A129,
 tblTargets[TargetID],
 tblTargets[TargetType],
 ""
)</f>
        <v>BUILDING</v>
      </c>
      <c r="F129" s="26" t="str">
        <f t="array" ref="F129">_xlfn.XLOOKUP(
 A129,
 tblTargets[TargetID],
 tblTargets[StateType],
 ""
)</f>
        <v/>
      </c>
      <c r="G129" s="26">
        <f>LET(
 id,A129,
 depCount,COUNTIF(tblDependencies[TargetID],id),
 objCount,COUNTIF(tblQuestObjectives[QuestTargetID],id),
 depCount+objCount
)</f>
        <v>1</v>
      </c>
      <c r="H129" s="26">
        <f t="shared" si="2"/>
        <v>1</v>
      </c>
      <c r="I129" s="26">
        <f>IFERROR(__xludf.DUMMYFUNCTION("LET(
 id,A129,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29" s="26">
        <f t="shared" si="3"/>
        <v>0</v>
      </c>
      <c r="K129" s="26" t="b">
        <f t="shared" si="4"/>
        <v>0</v>
      </c>
      <c r="L129" s="26">
        <f t="shared" si="5"/>
        <v>1</v>
      </c>
      <c r="M129" s="26" t="str">
        <f>IFERROR(__xludf.DUMMYFUNCTION("LET(
 id,A129,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L129=0,
  """",
  IFERROR(INDEX(incomplete,1),"""")"&amp;"
 )
)"),"building.workshop@3")</f>
        <v>building.workshop@3</v>
      </c>
      <c r="N129" s="26" t="str">
        <f t="array" ref="N129">IF(
 M129="",
 "",
 _xlfn.XLOOKUP(
  M129,
  tblTargets[TargetID],
  tblTargets[DisplayName],
  M129
 )
)</f>
        <v>Workshop Lv 3</v>
      </c>
      <c r="O129" s="26" t="str">
        <f>IFERROR(__xludf.DUMMYFUNCTION("SWITCH(
 E129,
 ""BUILDING"",XLOOKUP(A129,tblBuildings[BuildingID],tblBuildings[costtext],""""),
 ""TECH"",XLOOKUP(A129,tblTechnologies[TechnologyID],tblTechnologies[costtext],""""),
 ""QUEST"",XLOOKUP(
  REGEXREPLACE(A129,""\.[^.]+$"",""""),
  tblQuests["&amp;"QuestID],
  tblQuests[Costtext],
  """"
 ),
 ""CITADEL"",XLOOKUP(A129,tblCitadel[CitadelID],tblCitadel[costtext],""""),
 ""COLLECTION"",XLOOKUP(A129,tblCollections[CollectionID],tblCollections[costtext],""""),
 ""CRAFTIFACT"",XLOOKUP(A129,tblCraftifacts[C"&amp;"raftifactID],tblCraftifacts[costtext],""""),
 """"
)"),"4 ruby,500 coin,500 beam,250 stone,20 steel")</f>
        <v>4 ruby,500 coin,500 beam,250 stone,20 steel</v>
      </c>
      <c r="P129" s="26" t="str">
        <f t="shared" si="6"/>
        <v>BLOCKED</v>
      </c>
      <c r="Q129" s="26" t="str">
        <f t="shared" si="7"/>
        <v>BLOCKED</v>
      </c>
      <c r="R129" s="26">
        <f t="array" ref="R129">IFERROR(
 _xlfn.XLOOKUP(
  A129,
  tblChecklist[TargetID],
  tblChecklist[PlayerSort],
  ""
 ),
 ""
)</f>
        <v>33</v>
      </c>
      <c r="S129" s="26" t="str">
        <f>IFERROR(__xludf.DUMMYFUNCTION("LET(
 id,A129,
 successorIDs,
  IFERROR(
   UNIQUE(
    FILTER(
     {
      Dependencies!$A$2:$A$1000;
      QuestObjectives!$A$2:$A$1000
     },
     {
      Dependencies!$B$2:$B$1000;
      QuestObjectives!$E$2:$E$1000
     }=id
    )
   ),
   """"
  )"&amp;",
 names,
  MAP(
   successorIDs,
   LAMBDA(s,
    IF(
     s="""",
     """",
     XLOOKUP(
      s,
      $A$2:$A$1000,
      $B$2:$B$1000,
      s
     )
    )
   )
  ),
 IF(
  successorIDs="""",
  """",
  TEXTJOIN("", "",TRUE,names)
 )
)"),"Workshop Lv 5")</f>
        <v>Workshop Lv 5</v>
      </c>
      <c r="T129" s="26" t="str">
        <f t="array" ref="T129">_xlfn.XLOOKUP(
 A129,
 tblTargets[TargetID],
 tblTargets[CompletionMethod],
 ""
)</f>
        <v>PLAYER</v>
      </c>
      <c r="U129" s="84" t="b">
        <f>COUNTIF(tblCost[TargetID],A129)&gt;0</f>
        <v>1</v>
      </c>
      <c r="V129" s="85">
        <f t="array" ref="V129">IF(
 U129=FALSE,
 "",
 _xlfn.XLOOKUP(
  A129,
  tblCost[TargetID],
  tblCost[FundingPercent],
  ""
 )
)</f>
        <v>0</v>
      </c>
      <c r="W129" s="26">
        <f t="array" ref="W129">IF(
 U129=FALSE,
 "",
 _xlfn.XLOOKUP(
  A129,
  tblCost[TargetID],
  tblCost[RemainingRequirements],
  ""
 )
)</f>
        <v>5</v>
      </c>
      <c r="X129" s="45" t="b">
        <f t="array" ref="X129">IF(
 U129=FALSE,
 "N/A",
 _xlfn.XLOOKUP(
  A130,
  tblCost[TargetID],
  tblCost[TargetFunded],
  FALSE
 )
)</f>
        <v>0</v>
      </c>
      <c r="Y129" s="26" t="str">
        <f>IFERROR(__xludf.DUMMYFUNCTION("IFERROR(
 TEXTJOIN(
  "", "",
  TRUE,
  FILTER(
   'cost checklist'!$E$2:$E1000&amp;"": ""&amp;'cost checklist'!$G$2:$G1000,
   'cost checklist'!$B$2:$B1000=A129,
   'cost checklist'!$J$2:$J1000=FALSE
  )
 ),
 """"
)"),"beam: 500, coin: 500, ruby: 4, steel: 20, stone: 250")</f>
        <v>beam: 500, coin: 500, ruby: 4, steel: 20, stone: 250</v>
      </c>
      <c r="Z129" s="26" t="b">
        <f>IFERROR(__xludf.DUMMYFUNCTION("IF(
 AND(
  E129=""QUEST"",
  RIGHT(A129,9)="".accepted"",
  D129=TRUE
 ),
 XLOOKUP(
  REGEXREPLACE(A129,""\.accepted$"","""")&amp;"".finished"",
  $A$2:$A1000,
  $D$2:$D1000,
  TRUE
 )=FALSE,
 FALSE
)"),FALSE)</f>
        <v>0</v>
      </c>
      <c r="AA129" s="26" t="str">
        <f>IFERROR(__xludf.DUMMYFUNCTION("LET(
 id,A129,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0" ht="14.25" customHeight="1">
      <c r="A130" s="26" t="s">
        <v>478</v>
      </c>
      <c r="B130" s="26" t="str">
        <f t="array" ref="B130">_xlfn.XLOOKUP(
 A130,
 tblTargets[TargetID],
 tblTargets[DisplayName],
 ""
)</f>
        <v>Workshop Lv 5</v>
      </c>
      <c r="C130" s="26" t="str">
        <f t="shared" si="1"/>
        <v>BLOCKED</v>
      </c>
      <c r="D130" s="26" t="b">
        <f>IFERROR(__xludf.DUMMYFUNCTION("LET(
 id,A130,
 IF(
  F130=""CHARACTER"",
  LET(
   base,REGEXREPLACE(id,""@\d+$"",""""),
   required,VALUE(REGEXEXTRACT(id,""@(\d+)$"")),
   current,XLOOKUP(
    base,
    tblPlayer[PlayerStateID],
    tblPlayer[Value],
    0
   ),
   current&gt;=required
 "&amp;" ),
  IF(
   T130=""AUTO"",
   L130=0,
   COUNTIFS(
    tblChecklist[TargetID],id,
    tblChecklist[PlayerCompleted],TRUE
   )&gt;0
  )
 )
)"),FALSE)</f>
        <v>0</v>
      </c>
      <c r="E130" s="26" t="str">
        <f t="array" ref="E130">_xlfn.XLOOKUP(
 A130,
 tblTargets[TargetID],
 tblTargets[TargetType],
 ""
)</f>
        <v>BUILDING</v>
      </c>
      <c r="F130" s="26" t="str">
        <f t="array" ref="F130">_xlfn.XLOOKUP(
 A130,
 tblTargets[TargetID],
 tblTargets[StateType],
 ""
)</f>
        <v/>
      </c>
      <c r="G130" s="26">
        <f>LET(
 id,A130,
 depCount,COUNTIF(tblDependencies[TargetID],id),
 objCount,COUNTIF(tblQuestObjectives[QuestTargetID],id),
 depCount+objCount
)</f>
        <v>1</v>
      </c>
      <c r="H130" s="26">
        <f t="shared" si="2"/>
        <v>1</v>
      </c>
      <c r="I130" s="26">
        <f>IFERROR(__xludf.DUMMYFUNCTION("LET(
 id,A130,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0" s="26">
        <f t="shared" si="3"/>
        <v>0</v>
      </c>
      <c r="K130" s="26" t="b">
        <f t="shared" si="4"/>
        <v>0</v>
      </c>
      <c r="L130" s="26">
        <f t="shared" si="5"/>
        <v>1</v>
      </c>
      <c r="M130" s="26" t="str">
        <f>IFERROR(__xludf.DUMMYFUNCTION("LET(
 id,A130,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L130=0,
  """",
  IFERROR(INDEX(incomplete,1),"""")"&amp;"
 )
)"),"building.workshop@4")</f>
        <v>building.workshop@4</v>
      </c>
      <c r="N130" s="26" t="str">
        <f t="array" ref="N130">IF(
 M130="",
 "",
 _xlfn.XLOOKUP(
  M130,
  tblTargets[TargetID],
  tblTargets[DisplayName],
  M130
 )
)</f>
        <v>Workshop Lv 4</v>
      </c>
      <c r="O130" s="26" t="str">
        <f>IFERROR(__xludf.DUMMYFUNCTION("SWITCH(
 E130,
 ""BUILDING"",XLOOKUP(A130,tblBuildings[BuildingID],tblBuildings[costtext],""""),
 ""TECH"",XLOOKUP(A130,tblTechnologies[TechnologyID],tblTechnologies[costtext],""""),
 ""QUEST"",XLOOKUP(
  REGEXREPLACE(A130,""\.[^.]+$"",""""),
  tblQuests["&amp;"QuestID],
  tblQuests[Costtext],
  """"
 ),
 ""CITADEL"",XLOOKUP(A130,tblCitadel[CitadelID],tblCitadel[costtext],""""),
 ""COLLECTION"",XLOOKUP(A130,tblCollections[CollectionID],tblCollections[costtext],""""),
 ""CRAFTIFACT"",XLOOKUP(A130,tblCraftifacts[C"&amp;"raftifactID],tblCraftifacts[costtext],""""),
 """"
)"),"5 ruby,1000 coin,600 beam,300 stone,40 steel")</f>
        <v>5 ruby,1000 coin,600 beam,300 stone,40 steel</v>
      </c>
      <c r="P130" s="26" t="str">
        <f t="shared" si="6"/>
        <v>BLOCKED</v>
      </c>
      <c r="Q130" s="26" t="str">
        <f t="shared" si="7"/>
        <v>BLOCKED</v>
      </c>
      <c r="R130" s="26">
        <f t="array" ref="R130">IFERROR(
 _xlfn.XLOOKUP(
  A130,
  tblChecklist[TargetID],
  tblChecklist[PlayerSort],
  ""
 ),
 ""
)</f>
        <v>34</v>
      </c>
      <c r="S130" s="26" t="str">
        <f>IFERROR(__xludf.DUMMYFUNCTION("LET(
 id,A130,
 successorIDs,
  IFERROR(
   UNIQUE(
    FILTER(
     {
      Dependencies!$A$2:$A$1000;
      QuestObjectives!$A$2:$A$1000
     },
     {
      Dependencies!$B$2:$B$1000;
      QuestObjectives!$E$2:$E$1000
     }=id
    )
   ),
   """"
  )"&amp;",
 names,
  MAP(
   successorIDs,
   LAMBDA(s,
    IF(
     s="""",
     """",
     XLOOKUP(
      s,
      $A$2:$A$1000,
      $B$2:$B$1000,
      s
     )
    )
   )
  ),
 IF(
  successorIDs="""",
  """",
  TEXTJOIN("", "",TRUE,names)
 )
)"),"workshop maxed, Barometer, Cinema Projector, Necklace For Haruka, Safe, Solver 1 Prototype, Telescope")</f>
        <v>workshop maxed, Barometer, Cinema Projector, Necklace For Haruka, Safe, Solver 1 Prototype, Telescope</v>
      </c>
      <c r="T130" s="26" t="str">
        <f t="array" ref="T130">_xlfn.XLOOKUP(
 A130,
 tblTargets[TargetID],
 tblTargets[CompletionMethod],
 ""
)</f>
        <v>PLAYER</v>
      </c>
      <c r="U130" s="84" t="b">
        <f>COUNTIF(tblCost[TargetID],A130)&gt;0</f>
        <v>1</v>
      </c>
      <c r="V130" s="85">
        <f t="array" ref="V130">IF(
 U130=FALSE,
 "",
 _xlfn.XLOOKUP(
  A130,
  tblCost[TargetID],
  tblCost[FundingPercent],
  ""
 )
)</f>
        <v>0</v>
      </c>
      <c r="W130" s="26">
        <f t="array" ref="W130">IF(
 U130=FALSE,
 "",
 _xlfn.XLOOKUP(
  A130,
  tblCost[TargetID],
  tblCost[RemainingRequirements],
  ""
 )
)</f>
        <v>5</v>
      </c>
      <c r="X130" s="45" t="b">
        <f t="array" ref="X130">IF(
 U130=FALSE,
 "N/A",
 _xlfn.XLOOKUP(
  A131,
  tblCost[TargetID],
  tblCost[TargetFunded],
  FALSE
 )
)</f>
        <v>0</v>
      </c>
      <c r="Y130" s="26" t="str">
        <f>IFERROR(__xludf.DUMMYFUNCTION("IFERROR(
 TEXTJOIN(
  "", "",
  TRUE,
  FILTER(
   'cost checklist'!$E$2:$E1000&amp;"": ""&amp;'cost checklist'!$G$2:$G1000,
   'cost checklist'!$B$2:$B1000=A130,
   'cost checklist'!$J$2:$J1000=FALSE
  )
 ),
 """"
)"),"beam: 600, coin: 1000, ruby: 5, steel: 40, stone: 300")</f>
        <v>beam: 600, coin: 1000, ruby: 5, steel: 40, stone: 300</v>
      </c>
      <c r="Z130" s="26" t="b">
        <f>IFERROR(__xludf.DUMMYFUNCTION("IF(
 AND(
  E130=""QUEST"",
  RIGHT(A130,9)="".accepted"",
  D130=TRUE
 ),
 XLOOKUP(
  REGEXREPLACE(A130,""\.accepted$"","""")&amp;"".finished"",
  $A$2:$A1000,
  $D$2:$D1000,
  TRUE
 )=FALSE,
 FALSE
)"),FALSE)</f>
        <v>0</v>
      </c>
      <c r="AA130" s="26" t="str">
        <f>IFERROR(__xludf.DUMMYFUNCTION("LET(
 id,A130,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1" ht="14.25" customHeight="1">
      <c r="A131" s="26" t="s">
        <v>480</v>
      </c>
      <c r="B131" s="26" t="str">
        <f t="array" ref="B131">_xlfn.XLOOKUP(
 A131,
 tblTargets[TargetID],
 tblTargets[DisplayName],
 ""
)</f>
        <v>Armory</v>
      </c>
      <c r="C131" s="26" t="str">
        <f t="shared" si="1"/>
        <v>BLOCKED</v>
      </c>
      <c r="D131" s="26" t="b">
        <f>IFERROR(__xludf.DUMMYFUNCTION("LET(
 id,A131,
 IF(
  F131=""CHARACTER"",
  LET(
   base,REGEXREPLACE(id,""@\d+$"",""""),
   required,VALUE(REGEXEXTRACT(id,""@(\d+)$"")),
   current,XLOOKUP(
    base,
    tblPlayer[PlayerStateID],
    tblPlayer[Value],
    0
   ),
   current&gt;=required
 "&amp;" ),
  IF(
   T131=""AUTO"",
   L131=0,
   COUNTIFS(
    tblChecklist[TargetID],id,
    tblChecklist[PlayerCompleted],TRUE
   )&gt;0
  )
 )
)"),FALSE)</f>
        <v>0</v>
      </c>
      <c r="E131" s="26" t="str">
        <f t="array" ref="E131">_xlfn.XLOOKUP(
 A131,
 tblTargets[TargetID],
 tblTargets[TargetType],
 ""
)</f>
        <v>CITADEL</v>
      </c>
      <c r="F131" s="26" t="str">
        <f t="array" ref="F131">_xlfn.XLOOKUP(
 A131,
 tblTargets[TargetID],
 tblTargets[StateType],
 ""
)</f>
        <v/>
      </c>
      <c r="G131" s="26">
        <f>LET(
 id,A131,
 depCount,COUNTIF(tblDependencies[TargetID],id),
 objCount,COUNTIF(tblQuestObjectives[QuestTargetID],id),
 depCount+objCount
)</f>
        <v>2</v>
      </c>
      <c r="H131" s="26">
        <f t="shared" si="2"/>
        <v>2</v>
      </c>
      <c r="I131" s="26">
        <f>IFERROR(__xludf.DUMMYFUNCTION("LET(
 id,A131,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1" s="26">
        <f t="shared" si="3"/>
        <v>0</v>
      </c>
      <c r="K131" s="26" t="b">
        <f t="shared" si="4"/>
        <v>0</v>
      </c>
      <c r="L131" s="26">
        <f t="shared" si="5"/>
        <v>2</v>
      </c>
      <c r="M131" s="26" t="str">
        <f>IFERROR(__xludf.DUMMYFUNCTION("LET(
 id,A131,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L131=0,
  """",
  IFERROR(INDEX(incomplete,1),"""")"&amp;"
 )
)"),"tech.dungeon.great_hall")</f>
        <v>tech.dungeon.great_hall</v>
      </c>
      <c r="N131" s="26" t="str">
        <f t="array" ref="N131">IF(
 M131="",
 "",
 _xlfn.XLOOKUP(
  M131,
  tblTargets[TargetID],
  tblTargets[DisplayName],
  M131
 )
)</f>
        <v>Dungeon - Great Hall</v>
      </c>
      <c r="O131" s="26" t="str">
        <f>IFERROR(__xludf.DUMMYFUNCTION("SWITCH(
 E131,
 ""BUILDING"",XLOOKUP(A131,tblBuildings[BuildingID],tblBuildings[costtext],""""),
 ""TECH"",XLOOKUP(A131,tblTechnologies[TechnologyID],tblTechnologies[costtext],""""),
 ""QUEST"",XLOOKUP(
  REGEXREPLACE(A131,""\.[^.]+$"",""""),
  tblQuests["&amp;"QuestID],
  tblQuests[Costtext],
  """"
 ),
 ""CITADEL"",XLOOKUP(A131,tblCitadel[CitadelID],tblCitadel[costtext],""""),
 ""COLLECTION"",XLOOKUP(A131,tblCollections[CollectionID],tblCollections[costtext],""""),
 ""CRAFTIFACT"",XLOOKUP(A131,tblCraftifacts[C"&amp;"raftifactID],tblCraftifacts[costtext],""""),
 """"
)"),"500 beam,500 coin,15 page,3 ruby,100 steel,500 stone")</f>
        <v>500 beam,500 coin,15 page,3 ruby,100 steel,500 stone</v>
      </c>
      <c r="P131" s="26" t="str">
        <f t="shared" si="6"/>
        <v>BLOCKED</v>
      </c>
      <c r="Q131" s="26" t="str">
        <f t="shared" si="7"/>
        <v>BLOCKED</v>
      </c>
      <c r="R131" s="26" t="str">
        <f t="array" ref="R131">IFERROR(
 _xlfn.XLOOKUP(
  A131,
  tblChecklist[TargetID],
  tblChecklist[PlayerSort],
  ""
 ),
 ""
)</f>
        <v/>
      </c>
      <c r="S131" s="26" t="str">
        <f>IFERROR(__xludf.DUMMYFUNCTION("LET(
 id,A131,
 successorIDs,
  IFERROR(
   UNIQUE(
    FILTER(
     {
      Dependencies!$A$2:$A$1000;
      QuestObjectives!$A$2:$A$1000
     },
     {
      Dependencies!$B$2:$B$1000;
      QuestObjectives!$E$2:$E$1000
     }=id
    )
   ),
   """"
  )"&amp;",
 names,
  MAP(
   successorIDs,
   LAMBDA(s,
    IF(
     s="""",
     """",
     XLOOKUP(
      s,
      $A$2:$A$1000,
      $B$2:$B$1000,
      s
     )
    )
   )
  ),
 IF(
  successorIDs="""",
  """",
  TEXTJOIN("", "",TRUE,names)
 )
)"),"Armory 1 Lv 1")</f>
        <v>Armory 1 Lv 1</v>
      </c>
      <c r="T131" s="26" t="str">
        <f t="array" ref="T131">_xlfn.XLOOKUP(
 A131,
 tblTargets[TargetID],
 tblTargets[CompletionMethod],
 ""
)</f>
        <v>PLAYER</v>
      </c>
      <c r="U131" s="84" t="b">
        <f>COUNTIF(tblCost[TargetID],A131)&gt;0</f>
        <v>1</v>
      </c>
      <c r="V131" s="85">
        <f t="array" ref="V131">IF(
 U131=FALSE,
 "",
 _xlfn.XLOOKUP(
  A131,
  tblCost[TargetID],
  tblCost[FundingPercent],
  ""
 )
)</f>
        <v>0</v>
      </c>
      <c r="W131" s="26">
        <f t="array" ref="W131">IF(
 U131=FALSE,
 "",
 _xlfn.XLOOKUP(
  A131,
  tblCost[TargetID],
  tblCost[RemainingRequirements],
  ""
 )
)</f>
        <v>6</v>
      </c>
      <c r="X131" s="45" t="b">
        <f t="array" ref="X131">IF(
 U131=FALSE,
 "N/A",
 _xlfn.XLOOKUP(
  A132,
  tblCost[TargetID],
  tblCost[TargetFunded],
  FALSE
 )
)</f>
        <v>0</v>
      </c>
      <c r="Y131" s="26" t="str">
        <f>IFERROR(__xludf.DUMMYFUNCTION("IFERROR(
 TEXTJOIN(
  "", "",
  TRUE,
  FILTER(
   'cost checklist'!$E$2:$E1000&amp;"": ""&amp;'cost checklist'!$G$2:$G1000,
   'cost checklist'!$B$2:$B1000=A131,
   'cost checklist'!$J$2:$J1000=FALSE
  )
 ),
 """"
)"),"beam: 500, coin: 500, page: 15, ruby: 3, steel: 100, stone: 500")</f>
        <v>beam: 500, coin: 500, page: 15, ruby: 3, steel: 100, stone: 500</v>
      </c>
      <c r="Z131" s="26" t="b">
        <f>IFERROR(__xludf.DUMMYFUNCTION("IF(
 AND(
  E131=""QUEST"",
  RIGHT(A131,9)="".accepted"",
  D131=TRUE
 ),
 XLOOKUP(
  REGEXREPLACE(A131,""\.accepted$"","""")&amp;"".finished"",
  $A$2:$A1000,
  $D$2:$D1000,
  TRUE
 )=FALSE,
 FALSE
)"),FALSE)</f>
        <v>0</v>
      </c>
      <c r="AA131" s="26" t="str">
        <f>IFERROR(__xludf.DUMMYFUNCTION("LET(
 id,A131,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2" ht="14.25" customHeight="1">
      <c r="A132" s="26" t="s">
        <v>482</v>
      </c>
      <c r="B132" s="26" t="str">
        <f t="array" ref="B132">_xlfn.XLOOKUP(
 A132,
 tblTargets[TargetID],
 tblTargets[DisplayName],
 ""
)</f>
        <v>Attic</v>
      </c>
      <c r="C132" s="26" t="str">
        <f t="shared" si="1"/>
        <v>BLOCKED</v>
      </c>
      <c r="D132" s="26" t="b">
        <f>IFERROR(__xludf.DUMMYFUNCTION("LET(
 id,A132,
 IF(
  F132=""CHARACTER"",
  LET(
   base,REGEXREPLACE(id,""@\d+$"",""""),
   required,VALUE(REGEXEXTRACT(id,""@(\d+)$"")),
   current,XLOOKUP(
    base,
    tblPlayer[PlayerStateID],
    tblPlayer[Value],
    0
   ),
   current&gt;=required
 "&amp;" ),
  IF(
   T132=""AUTO"",
   L132=0,
   COUNTIFS(
    tblChecklist[TargetID],id,
    tblChecklist[PlayerCompleted],TRUE
   )&gt;0
  )
 )
)"),FALSE)</f>
        <v>0</v>
      </c>
      <c r="E132" s="26" t="str">
        <f t="array" ref="E132">_xlfn.XLOOKUP(
 A132,
 tblTargets[TargetID],
 tblTargets[TargetType],
 ""
)</f>
        <v>CITADEL</v>
      </c>
      <c r="F132" s="26" t="str">
        <f t="array" ref="F132">_xlfn.XLOOKUP(
 A132,
 tblTargets[TargetID],
 tblTargets[StateType],
 ""
)</f>
        <v/>
      </c>
      <c r="G132" s="26">
        <f>LET(
 id,A132,
 depCount,COUNTIF(tblDependencies[TargetID],id),
 objCount,COUNTIF(tblQuestObjectives[QuestTargetID],id),
 depCount+objCount
)</f>
        <v>2</v>
      </c>
      <c r="H132" s="26">
        <f t="shared" si="2"/>
        <v>2</v>
      </c>
      <c r="I132" s="26">
        <f>IFERROR(__xludf.DUMMYFUNCTION("LET(
 id,A132,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2" s="26">
        <f t="shared" si="3"/>
        <v>0</v>
      </c>
      <c r="K132" s="26" t="b">
        <f t="shared" si="4"/>
        <v>0</v>
      </c>
      <c r="L132" s="26">
        <f t="shared" si="5"/>
        <v>2</v>
      </c>
      <c r="M132" s="26" t="str">
        <f>IFERROR(__xludf.DUMMYFUNCTION("LET(
 id,A132,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L132=0,
  """",
  IFERROR(INDEX(incomplete,1),"""")"&amp;"
 )
)"),"tech.dungeon.great_hall")</f>
        <v>tech.dungeon.great_hall</v>
      </c>
      <c r="N132" s="26" t="str">
        <f t="array" ref="N132">IF(
 M132="",
 "",
 _xlfn.XLOOKUP(
  M132,
  tblTargets[TargetID],
  tblTargets[DisplayName],
  M132
 )
)</f>
        <v>Dungeon - Great Hall</v>
      </c>
      <c r="O132" s="26" t="str">
        <f>IFERROR(__xludf.DUMMYFUNCTION("SWITCH(
 E132,
 ""BUILDING"",XLOOKUP(A132,tblBuildings[BuildingID],tblBuildings[costtext],""""),
 ""TECH"",XLOOKUP(A132,tblTechnologies[TechnologyID],tblTechnologies[costtext],""""),
 ""QUEST"",XLOOKUP(
  REGEXREPLACE(A132,""\.[^.]+$"",""""),
  tblQuests["&amp;"QuestID],
  tblQuests[Costtext],
  """"
 ),
 ""CITADEL"",XLOOKUP(A132,tblCitadel[CitadelID],tblCitadel[costtext],""""),
 ""COLLECTION"",XLOOKUP(A132,tblCollections[CollectionID],tblCollections[costtext],""""),
 ""CRAFTIFACT"",XLOOKUP(A132,tblCraftifacts[C"&amp;"raftifactID],tblCraftifacts[costtext],""""),
 """"
)"),"400 beam,400 coin,10 page,2 ruby,400 stone")</f>
        <v>400 beam,400 coin,10 page,2 ruby,400 stone</v>
      </c>
      <c r="P132" s="26" t="str">
        <f t="shared" si="6"/>
        <v>BLOCKED</v>
      </c>
      <c r="Q132" s="26" t="str">
        <f t="shared" si="7"/>
        <v>BLOCKED</v>
      </c>
      <c r="R132" s="26" t="str">
        <f t="array" ref="R132">IFERROR(
 _xlfn.XLOOKUP(
  A132,
  tblChecklist[TargetID],
  tblChecklist[PlayerSort],
  ""
 ),
 ""
)</f>
        <v/>
      </c>
      <c r="S132" s="26" t="str">
        <f>IFERROR(__xludf.DUMMYFUNCTION("LET(
 id,A132,
 successorIDs,
  IFERROR(
   UNIQUE(
    FILTER(
     {
      Dependencies!$A$2:$A$1000;
      QuestObjectives!$A$2:$A$1000
     },
     {
      Dependencies!$B$2:$B$1000;
      QuestObjectives!$E$2:$E$1000
     }=id
    )
   ),
   """"
  )"&amp;",
 names,
  MAP(
   successorIDs,
   LAMBDA(s,
    IF(
     s="""",
     """",
     XLOOKUP(
      s,
      $A$2:$A$1000,
      $B$2:$B$1000,
      s
     )
    )
   )
  ),
 IF(
  successorIDs="""",
  """",
  TEXTJOIN("", "",TRUE,names)
 )
)"),"Attic Lv 1")</f>
        <v>Attic Lv 1</v>
      </c>
      <c r="T132" s="26" t="str">
        <f t="array" ref="T132">_xlfn.XLOOKUP(
 A132,
 tblTargets[TargetID],
 tblTargets[CompletionMethod],
 ""
)</f>
        <v>PLAYER</v>
      </c>
      <c r="U132" s="84" t="b">
        <f>COUNTIF(tblCost[TargetID],A132)&gt;0</f>
        <v>1</v>
      </c>
      <c r="V132" s="85">
        <f t="array" ref="V132">IF(
 U132=FALSE,
 "",
 _xlfn.XLOOKUP(
  A132,
  tblCost[TargetID],
  tblCost[FundingPercent],
  ""
 )
)</f>
        <v>0</v>
      </c>
      <c r="W132" s="26">
        <f t="array" ref="W132">IF(
 U132=FALSE,
 "",
 _xlfn.XLOOKUP(
  A132,
  tblCost[TargetID],
  tblCost[RemainingRequirements],
  ""
 )
)</f>
        <v>5</v>
      </c>
      <c r="X132" s="45" t="b">
        <f t="array" ref="X132">IF(
 U132=FALSE,
 "N/A",
 _xlfn.XLOOKUP(
  A133,
  tblCost[TargetID],
  tblCost[TargetFunded],
  FALSE
 )
)</f>
        <v>0</v>
      </c>
      <c r="Y132" s="26" t="str">
        <f>IFERROR(__xludf.DUMMYFUNCTION("IFERROR(
 TEXTJOIN(
  "", "",
  TRUE,
  FILTER(
   'cost checklist'!$E$2:$E1000&amp;"": ""&amp;'cost checklist'!$G$2:$G1000,
   'cost checklist'!$B$2:$B1000=A132,
   'cost checklist'!$J$2:$J1000=FALSE
  )
 ),
 """"
)"),"beam: 400, coin: 400, page: 10, ruby: 2, stone: 400")</f>
        <v>beam: 400, coin: 400, page: 10, ruby: 2, stone: 400</v>
      </c>
      <c r="Z132" s="26" t="b">
        <f>IFERROR(__xludf.DUMMYFUNCTION("IF(
 AND(
  E132=""QUEST"",
  RIGHT(A132,9)="".accepted"",
  D132=TRUE
 ),
 XLOOKUP(
  REGEXREPLACE(A132,""\.accepted$"","""")&amp;"".finished"",
  $A$2:$A1000,
  $D$2:$D1000,
  TRUE
 )=FALSE,
 FALSE
)"),FALSE)</f>
        <v>0</v>
      </c>
      <c r="AA132" s="26" t="str">
        <f>IFERROR(__xludf.DUMMYFUNCTION("LET(
 id,A132,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3" ht="14.25" customHeight="1">
      <c r="A133" s="26" t="s">
        <v>498</v>
      </c>
      <c r="B133" s="26" t="str">
        <f t="array" ref="B133">_xlfn.XLOOKUP(
 A133,
 tblTargets[TargetID],
 tblTargets[DisplayName],
 ""
)</f>
        <v>Cheese Cave</v>
      </c>
      <c r="C133" s="26" t="str">
        <f t="shared" si="1"/>
        <v>BLOCKED</v>
      </c>
      <c r="D133" s="26" t="b">
        <f>IFERROR(__xludf.DUMMYFUNCTION("LET(
 id,A133,
 IF(
  F133=""CHARACTER"",
  LET(
   base,REGEXREPLACE(id,""@\d+$"",""""),
   required,VALUE(REGEXEXTRACT(id,""@(\d+)$"")),
   current,XLOOKUP(
    base,
    tblPlayer[PlayerStateID],
    tblPlayer[Value],
    0
   ),
   current&gt;=required
 "&amp;" ),
  IF(
   T133=""AUTO"",
   L133=0,
   COUNTIFS(
    tblChecklist[TargetID],id,
    tblChecklist[PlayerCompleted],TRUE
   )&gt;0
  )
 )
)"),FALSE)</f>
        <v>0</v>
      </c>
      <c r="E133" s="26" t="str">
        <f t="array" ref="E133">_xlfn.XLOOKUP(
 A133,
 tblTargets[TargetID],
 tblTargets[TargetType],
 ""
)</f>
        <v>CITADEL</v>
      </c>
      <c r="F133" s="26" t="str">
        <f t="array" ref="F133">_xlfn.XLOOKUP(
 A133,
 tblTargets[TargetID],
 tblTargets[StateType],
 ""
)</f>
        <v/>
      </c>
      <c r="G133" s="26">
        <f>LET(
 id,A133,
 depCount,COUNTIF(tblDependencies[TargetID],id),
 objCount,COUNTIF(tblQuestObjectives[QuestTargetID],id),
 depCount+objCount
)</f>
        <v>2</v>
      </c>
      <c r="H133" s="26">
        <f t="shared" si="2"/>
        <v>2</v>
      </c>
      <c r="I133" s="26">
        <f>IFERROR(__xludf.DUMMYFUNCTION("LET(
 id,A133,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3" s="26">
        <f t="shared" si="3"/>
        <v>0</v>
      </c>
      <c r="K133" s="26" t="b">
        <f t="shared" si="4"/>
        <v>0</v>
      </c>
      <c r="L133" s="26">
        <f t="shared" si="5"/>
        <v>2</v>
      </c>
      <c r="M133" s="26" t="str">
        <f>IFERROR(__xludf.DUMMYFUNCTION("LET(
 id,A133,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L133=0,
  """",
  IFERROR(INDEX(incomplete,1),"""")"&amp;"
 )
)"),"citadel.great_hall")</f>
        <v>citadel.great_hall</v>
      </c>
      <c r="N133" s="26" t="str">
        <f t="array" ref="N133">IF(
 M133="",
 "",
 _xlfn.XLOOKUP(
  M133,
  tblTargets[TargetID],
  tblTargets[DisplayName],
  M133
 )
)</f>
        <v>Great Hall</v>
      </c>
      <c r="O133" s="26" t="str">
        <f>IFERROR(__xludf.DUMMYFUNCTION("SWITCH(
 E133,
 ""BUILDING"",XLOOKUP(A133,tblBuildings[BuildingID],tblBuildings[costtext],""""),
 ""TECH"",XLOOKUP(A133,tblTechnologies[TechnologyID],tblTechnologies[costtext],""""),
 ""QUEST"",XLOOKUP(
  REGEXREPLACE(A133,""\.[^.]+$"",""""),
  tblQuests["&amp;"QuestID],
  tblQuests[Costtext],
  """"
 ),
 ""CITADEL"",XLOOKUP(A133,tblCitadel[CitadelID],tblCitadel[costtext],""""),
 ""COLLECTION"",XLOOKUP(A133,tblCollections[CollectionID],tblCollections[costtext],""""),
 ""CRAFTIFACT"",XLOOKUP(A133,tblCraftifacts[C"&amp;"raftifactID],tblCraftifacts[costtext],""""),
 """"
)"),"1000 coin,10 enzyme,5 grimoire,600 plank,5 ruby,10 softcheese,100 stone")</f>
        <v>1000 coin,10 enzyme,5 grimoire,600 plank,5 ruby,10 softcheese,100 stone</v>
      </c>
      <c r="P133" s="26" t="str">
        <f t="shared" si="6"/>
        <v>BLOCKED</v>
      </c>
      <c r="Q133" s="26" t="str">
        <f t="shared" si="7"/>
        <v>BLOCKED</v>
      </c>
      <c r="R133" s="26" t="str">
        <f t="array" ref="R133">IFERROR(
 _xlfn.XLOOKUP(
  A133,
  tblChecklist[TargetID],
  tblChecklist[PlayerSort],
  ""
 ),
 ""
)</f>
        <v/>
      </c>
      <c r="S133" s="26" t="str">
        <f>IFERROR(__xludf.DUMMYFUNCTION("LET(
 id,A133,
 successorIDs,
  IFERROR(
   UNIQUE(
    FILTER(
     {
      Dependencies!$A$2:$A$1000;
      QuestObjectives!$A$2:$A$1000
     },
     {
      Dependencies!$B$2:$B$1000;
      QuestObjectives!$E$2:$E$1000
     }=id
    )
   ),
   """"
  )"&amp;",
 names,
  MAP(
   successorIDs,
   LAMBDA(s,
    IF(
     s="""",
     """",
     XLOOKUP(
      s,
      $A$2:$A$1000,
      $B$2:$B$1000,
      s
     )
    )
   )
  ),
 IF(
  successorIDs="""",
  """",
  TEXTJOIN("", "",TRUE,names)
 )
)"),"")</f>
        <v/>
      </c>
      <c r="T133" s="26" t="str">
        <f t="array" ref="T133">_xlfn.XLOOKUP(
 A133,
 tblTargets[TargetID],
 tblTargets[CompletionMethod],
 ""
)</f>
        <v>PLAYER</v>
      </c>
      <c r="U133" s="84" t="b">
        <f>COUNTIF(tblCost[TargetID],A133)&gt;0</f>
        <v>1</v>
      </c>
      <c r="V133" s="85">
        <f t="array" ref="V133">IF(
 U133=FALSE,
 "",
 _xlfn.XLOOKUP(
  A133,
  tblCost[TargetID],
  tblCost[FundingPercent],
  ""
 )
)</f>
        <v>0</v>
      </c>
      <c r="W133" s="26">
        <f t="array" ref="W133">IF(
 U133=FALSE,
 "",
 _xlfn.XLOOKUP(
  A133,
  tblCost[TargetID],
  tblCost[RemainingRequirements],
  ""
 )
)</f>
        <v>7</v>
      </c>
      <c r="X133" s="45" t="b">
        <f t="array" ref="X133">IF(
 U133=FALSE,
 "N/A",
 _xlfn.XLOOKUP(
  A134,
  tblCost[TargetID],
  tblCost[TargetFunded],
  FALSE
 )
)</f>
        <v>0</v>
      </c>
      <c r="Y133" s="26" t="str">
        <f>IFERROR(__xludf.DUMMYFUNCTION("IFERROR(
 TEXTJOIN(
  "", "",
  TRUE,
  FILTER(
   'cost checklist'!$E$2:$E1000&amp;"": ""&amp;'cost checklist'!$G$2:$G1000,
   'cost checklist'!$B$2:$B1000=A133,
   'cost checklist'!$J$2:$J1000=FALSE
  )
 ),
 """"
)"),"coin: 1000, enzyme: 10, grimoire: 5, plank: 600, ruby: 5, softcheese: 10, stone: 100")</f>
        <v>coin: 1000, enzyme: 10, grimoire: 5, plank: 600, ruby: 5, softcheese: 10, stone: 100</v>
      </c>
      <c r="Z133" s="26" t="b">
        <f>IFERROR(__xludf.DUMMYFUNCTION("IF(
 AND(
  E133=""QUEST"",
  RIGHT(A133,9)="".accepted"",
  D133=TRUE
 ),
 XLOOKUP(
  REGEXREPLACE(A133,""\.accepted$"","""")&amp;"".finished"",
  $A$2:$A1000,
  $D$2:$D1000,
  TRUE
 )=FALSE,
 FALSE
)"),FALSE)</f>
        <v>0</v>
      </c>
      <c r="AA133" s="26" t="str">
        <f>IFERROR(__xludf.DUMMYFUNCTION("LET(
 id,A133,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4" ht="14.25" customHeight="1">
      <c r="A134" s="26" t="s">
        <v>500</v>
      </c>
      <c r="B134" s="26" t="str">
        <f t="array" ref="B134">_xlfn.XLOOKUP(
 A134,
 tblTargets[TargetID],
 tblTargets[DisplayName],
 ""
)</f>
        <v>Courtyard</v>
      </c>
      <c r="C134" s="26" t="str">
        <f t="shared" si="1"/>
        <v>BLOCKED</v>
      </c>
      <c r="D134" s="26" t="b">
        <f>IFERROR(__xludf.DUMMYFUNCTION("LET(
 id,A134,
 IF(
  F134=""CHARACTER"",
  LET(
   base,REGEXREPLACE(id,""@\d+$"",""""),
   required,VALUE(REGEXEXTRACT(id,""@(\d+)$"")),
   current,XLOOKUP(
    base,
    tblPlayer[PlayerStateID],
    tblPlayer[Value],
    0
   ),
   current&gt;=required
 "&amp;" ),
  IF(
   T134=""AUTO"",
   L134=0,
   COUNTIFS(
    tblChecklist[TargetID],id,
    tblChecklist[PlayerCompleted],TRUE
   )&gt;0
  )
 )
)"),FALSE)</f>
        <v>0</v>
      </c>
      <c r="E134" s="26" t="str">
        <f t="array" ref="E134">_xlfn.XLOOKUP(
 A134,
 tblTargets[TargetID],
 tblTargets[TargetType],
 ""
)</f>
        <v>CITADEL</v>
      </c>
      <c r="F134" s="26" t="str">
        <f t="array" ref="F134">_xlfn.XLOOKUP(
 A134,
 tblTargets[TargetID],
 tblTargets[StateType],
 ""
)</f>
        <v/>
      </c>
      <c r="G134" s="26">
        <f>LET(
 id,A134,
 depCount,COUNTIF(tblDependencies[TargetID],id),
 objCount,COUNTIF(tblQuestObjectives[QuestTargetID],id),
 depCount+objCount
)</f>
        <v>3</v>
      </c>
      <c r="H134" s="26">
        <f t="shared" si="2"/>
        <v>3</v>
      </c>
      <c r="I134" s="26">
        <f>IFERROR(__xludf.DUMMYFUNCTION("LET(
 id,A134,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4" s="26">
        <f t="shared" si="3"/>
        <v>0</v>
      </c>
      <c r="K134" s="26" t="b">
        <f t="shared" si="4"/>
        <v>0</v>
      </c>
      <c r="L134" s="26">
        <f t="shared" si="5"/>
        <v>3</v>
      </c>
      <c r="M134" s="26" t="str">
        <f>IFERROR(__xludf.DUMMYFUNCTION("LET(
 id,A134,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L134=0,
  """",
  IFERROR(INDEX(incomplete,1),"""")"&amp;"
 )
)"),"citadel.great_hall")</f>
        <v>citadel.great_hall</v>
      </c>
      <c r="N134" s="26" t="str">
        <f t="array" ref="N134">IF(
 M134="",
 "",
 _xlfn.XLOOKUP(
  M134,
  tblTargets[TargetID],
  tblTargets[DisplayName],
  M134
 )
)</f>
        <v>Great Hall</v>
      </c>
      <c r="O134" s="26" t="str">
        <f>IFERROR(__xludf.DUMMYFUNCTION("SWITCH(
 E134,
 ""BUILDING"",XLOOKUP(A134,tblBuildings[BuildingID],tblBuildings[costtext],""""),
 ""TECH"",XLOOKUP(A134,tblTechnologies[TechnologyID],tblTechnologies[costtext],""""),
 ""QUEST"",XLOOKUP(
  REGEXREPLACE(A134,""\.[^.]+$"",""""),
  tblQuests["&amp;"QuestID],
  tblQuests[Costtext],
  """"
 ),
 ""CITADEL"",XLOOKUP(A134,tblCitadel[CitadelID],tblCitadel[costtext],""""),
 ""COLLECTION"",XLOOKUP(A134,tblCollections[CollectionID],tblCollections[costtext],""""),
 ""CRAFTIFACT"",XLOOKUP(A134,tblCraftifacts[C"&amp;"raftifactID],tblCraftifacts[costtext],""""),
 """"
)"),"500 beam,500 coin,15 page,3 ruby,500 stone")</f>
        <v>500 beam,500 coin,15 page,3 ruby,500 stone</v>
      </c>
      <c r="P134" s="26" t="str">
        <f t="shared" si="6"/>
        <v>BLOCKED</v>
      </c>
      <c r="Q134" s="26" t="str">
        <f t="shared" si="7"/>
        <v>BLOCKED</v>
      </c>
      <c r="R134" s="26" t="str">
        <f t="array" ref="R134">IFERROR(
 _xlfn.XLOOKUP(
  A134,
  tblChecklist[TargetID],
  tblChecklist[PlayerSort],
  ""
 ),
 ""
)</f>
        <v/>
      </c>
      <c r="S134" s="26" t="str">
        <f>IFERROR(__xludf.DUMMYFUNCTION("LET(
 id,A134,
 successorIDs,
  IFERROR(
   UNIQUE(
    FILTER(
     {
      Dependencies!$A$2:$A$1000;
      QuestObjectives!$A$2:$A$1000
     },
     {
      Dependencies!$B$2:$B$1000;
      QuestObjectives!$E$2:$E$1000
     }=id
    )
   ),
   """"
  )"&amp;",
 names,
  MAP(
   successorIDs,
   LAMBDA(s,
    IF(
     s="""",
     """",
     XLOOKUP(
      s,
      $A$2:$A$1000,
      $B$2:$B$1000,
      s
     )
    )
   )
  ),
 IF(
  successorIDs="""",
  """",
  TEXTJOIN("", "",TRUE,names)
 )
)"),"Courtyard 1 Lv 1, Courtyard 2 Lv 1")</f>
        <v>Courtyard 1 Lv 1, Courtyard 2 Lv 1</v>
      </c>
      <c r="T134" s="26" t="str">
        <f t="array" ref="T134">_xlfn.XLOOKUP(
 A134,
 tblTargets[TargetID],
 tblTargets[CompletionMethod],
 ""
)</f>
        <v>PLAYER</v>
      </c>
      <c r="U134" s="84" t="b">
        <f>COUNTIF(tblCost[TargetID],A134)&gt;0</f>
        <v>1</v>
      </c>
      <c r="V134" s="85">
        <f t="array" ref="V134">IF(
 U134=FALSE,
 "",
 _xlfn.XLOOKUP(
  A134,
  tblCost[TargetID],
  tblCost[FundingPercent],
  ""
 )
)</f>
        <v>0</v>
      </c>
      <c r="W134" s="26">
        <f t="array" ref="W134">IF(
 U134=FALSE,
 "",
 _xlfn.XLOOKUP(
  A134,
  tblCost[TargetID],
  tblCost[RemainingRequirements],
  ""
 )
)</f>
        <v>5</v>
      </c>
      <c r="X134" s="45" t="b">
        <f t="array" ref="X134">IF(
 U134=FALSE,
 "N/A",
 _xlfn.XLOOKUP(
  A135,
  tblCost[TargetID],
  tblCost[TargetFunded],
  FALSE
 )
)</f>
        <v>0</v>
      </c>
      <c r="Y134" s="26" t="str">
        <f>IFERROR(__xludf.DUMMYFUNCTION("IFERROR(
 TEXTJOIN(
  "", "",
  TRUE,
  FILTER(
   'cost checklist'!$E$2:$E1000&amp;"": ""&amp;'cost checklist'!$G$2:$G1000,
   'cost checklist'!$B$2:$B1000=A134,
   'cost checklist'!$J$2:$J1000=FALSE
  )
 ),
 """"
)"),"beam: 500, coin: 500, page: 15, ruby: 3, stone: 500")</f>
        <v>beam: 500, coin: 500, page: 15, ruby: 3, stone: 500</v>
      </c>
      <c r="Z134" s="26" t="b">
        <f>IFERROR(__xludf.DUMMYFUNCTION("IF(
 AND(
  E134=""QUEST"",
  RIGHT(A134,9)="".accepted"",
  D134=TRUE
 ),
 XLOOKUP(
  REGEXREPLACE(A134,""\.accepted$"","""")&amp;"".finished"",
  $A$2:$A1000,
  $D$2:$D1000,
  TRUE
 )=FALSE,
 FALSE
)"),FALSE)</f>
        <v>0</v>
      </c>
      <c r="AA134" s="26" t="str">
        <f>IFERROR(__xludf.DUMMYFUNCTION("LET(
 id,A134,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5" ht="14.25" customHeight="1">
      <c r="A135" s="26" t="s">
        <v>502</v>
      </c>
      <c r="B135" s="26" t="str">
        <f t="array" ref="B135">_xlfn.XLOOKUP(
 A135,
 tblTargets[TargetID],
 tblTargets[DisplayName],
 ""
)</f>
        <v>Gallery</v>
      </c>
      <c r="C135" s="26" t="str">
        <f t="shared" si="1"/>
        <v>BLOCKED</v>
      </c>
      <c r="D135" s="26" t="b">
        <f>IFERROR(__xludf.DUMMYFUNCTION("LET(
 id,A135,
 IF(
  F135=""CHARACTER"",
  LET(
   base,REGEXREPLACE(id,""@\d+$"",""""),
   required,VALUE(REGEXEXTRACT(id,""@(\d+)$"")),
   current,XLOOKUP(
    base,
    tblPlayer[PlayerStateID],
    tblPlayer[Value],
    0
   ),
   current&gt;=required
 "&amp;" ),
  IF(
   T135=""AUTO"",
   L135=0,
   COUNTIFS(
    tblChecklist[TargetID],id,
    tblChecklist[PlayerCompleted],TRUE
   )&gt;0
  )
 )
)"),FALSE)</f>
        <v>0</v>
      </c>
      <c r="E135" s="26" t="str">
        <f t="array" ref="E135">_xlfn.XLOOKUP(
 A135,
 tblTargets[TargetID],
 tblTargets[TargetType],
 ""
)</f>
        <v>CITADEL</v>
      </c>
      <c r="F135" s="26" t="str">
        <f t="array" ref="F135">_xlfn.XLOOKUP(
 A135,
 tblTargets[TargetID],
 tblTargets[StateType],
 ""
)</f>
        <v/>
      </c>
      <c r="G135" s="26">
        <f>LET(
 id,A135,
 depCount,COUNTIF(tblDependencies[TargetID],id),
 objCount,COUNTIF(tblQuestObjectives[QuestTargetID],id),
 depCount+objCount
)</f>
        <v>2</v>
      </c>
      <c r="H135" s="26">
        <f t="shared" si="2"/>
        <v>2</v>
      </c>
      <c r="I135" s="26">
        <f>IFERROR(__xludf.DUMMYFUNCTION("LET(
 id,A135,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5" s="26">
        <f t="shared" si="3"/>
        <v>0</v>
      </c>
      <c r="K135" s="26" t="b">
        <f t="shared" si="4"/>
        <v>0</v>
      </c>
      <c r="L135" s="26">
        <f t="shared" si="5"/>
        <v>2</v>
      </c>
      <c r="M135" s="26" t="str">
        <f>IFERROR(__xludf.DUMMYFUNCTION("LET(
 id,A135,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L135=0,
  """",
  IFERROR(INDEX(incomplete,1),"""")"&amp;"
 )
)"),"tech.dungeon.great_hall")</f>
        <v>tech.dungeon.great_hall</v>
      </c>
      <c r="N135" s="26" t="str">
        <f t="array" ref="N135">IF(
 M135="",
 "",
 _xlfn.XLOOKUP(
  M135,
  tblTargets[TargetID],
  tblTargets[DisplayName],
  M135
 )
)</f>
        <v>Dungeon - Great Hall</v>
      </c>
      <c r="O135" s="26" t="str">
        <f>IFERROR(__xludf.DUMMYFUNCTION("SWITCH(
 E135,
 ""BUILDING"",XLOOKUP(A135,tblBuildings[BuildingID],tblBuildings[costtext],""""),
 ""TECH"",XLOOKUP(A135,tblTechnologies[TechnologyID],tblTechnologies[costtext],""""),
 ""QUEST"",XLOOKUP(
  REGEXREPLACE(A135,""\.[^.]+$"",""""),
  tblQuests["&amp;"QuestID],
  tblQuests[Costtext],
  """"
 ),
 ""CITADEL"",XLOOKUP(A135,tblCitadel[CitadelID],tblCitadel[costtext],""""),
 ""COLLECTION"",XLOOKUP(A135,tblCollections[CollectionID],tblCollections[costtext],""""),
 ""CRAFTIFACT"",XLOOKUP(A135,tblCraftifacts[C"&amp;"raftifactID],tblCraftifacts[costtext],""""),
 """"
)"),"500 beam,500 coin,15 page,3 ruby,100 steel,500 stone")</f>
        <v>500 beam,500 coin,15 page,3 ruby,100 steel,500 stone</v>
      </c>
      <c r="P135" s="26" t="str">
        <f t="shared" si="6"/>
        <v>BLOCKED</v>
      </c>
      <c r="Q135" s="26" t="str">
        <f t="shared" si="7"/>
        <v>BLOCKED</v>
      </c>
      <c r="R135" s="26" t="str">
        <f t="array" ref="R135">IFERROR(
 _xlfn.XLOOKUP(
  A135,
  tblChecklist[TargetID],
  tblChecklist[PlayerSort],
  ""
 ),
 ""
)</f>
        <v/>
      </c>
      <c r="S135" s="26" t="str">
        <f>IFERROR(__xludf.DUMMYFUNCTION("LET(
 id,A135,
 successorIDs,
  IFERROR(
   UNIQUE(
    FILTER(
     {
      Dependencies!$A$2:$A$1000;
      QuestObjectives!$A$2:$A$1000
     },
     {
      Dependencies!$B$2:$B$1000;
      QuestObjectives!$E$2:$E$1000
     }=id
    )
   ),
   """"
  )"&amp;",
 names,
  MAP(
   successorIDs,
   LAMBDA(s,
    IF(
     s="""",
     """",
     XLOOKUP(
      s,
      $A$2:$A$1000,
      $B$2:$B$1000,
      s
     )
    )
   )
  ),
 IF(
  successorIDs="""",
  """",
  TEXTJOIN("", "",TRUE,names)
 )
)"),"Gallery 1 Lv 1, Gallery 2 Lv 1, Gallery 3 Lv 1")</f>
        <v>Gallery 1 Lv 1, Gallery 2 Lv 1, Gallery 3 Lv 1</v>
      </c>
      <c r="T135" s="26" t="str">
        <f t="array" ref="T135">_xlfn.XLOOKUP(
 A135,
 tblTargets[TargetID],
 tblTargets[CompletionMethod],
 ""
)</f>
        <v>PLAYER</v>
      </c>
      <c r="U135" s="84" t="b">
        <f>COUNTIF(tblCost[TargetID],A135)&gt;0</f>
        <v>1</v>
      </c>
      <c r="V135" s="85">
        <f t="array" ref="V135">IF(
 U135=FALSE,
 "",
 _xlfn.XLOOKUP(
  A135,
  tblCost[TargetID],
  tblCost[FundingPercent],
  ""
 )
)</f>
        <v>0</v>
      </c>
      <c r="W135" s="26">
        <f t="array" ref="W135">IF(
 U135=FALSE,
 "",
 _xlfn.XLOOKUP(
  A135,
  tblCost[TargetID],
  tblCost[RemainingRequirements],
  ""
 )
)</f>
        <v>6</v>
      </c>
      <c r="X135" s="45" t="b">
        <f t="array" ref="X135">IF(
 U135=FALSE,
 "N/A",
 _xlfn.XLOOKUP(
  A136,
  tblCost[TargetID],
  tblCost[TargetFunded],
  FALSE
 )
)</f>
        <v>0</v>
      </c>
      <c r="Y135" s="26" t="str">
        <f>IFERROR(__xludf.DUMMYFUNCTION("IFERROR(
 TEXTJOIN(
  "", "",
  TRUE,
  FILTER(
   'cost checklist'!$E$2:$E1000&amp;"": ""&amp;'cost checklist'!$G$2:$G1000,
   'cost checklist'!$B$2:$B1000=A135,
   'cost checklist'!$J$2:$J1000=FALSE
  )
 ),
 """"
)"),"beam: 500, coin: 500, page: 15, ruby: 3, steel: 100, stone: 500")</f>
        <v>beam: 500, coin: 500, page: 15, ruby: 3, steel: 100, stone: 500</v>
      </c>
      <c r="Z135" s="26" t="b">
        <f>IFERROR(__xludf.DUMMYFUNCTION("IF(
 AND(
  E135=""QUEST"",
  RIGHT(A135,9)="".accepted"",
  D135=TRUE
 ),
 XLOOKUP(
  REGEXREPLACE(A135,""\.accepted$"","""")&amp;"".finished"",
  $A$2:$A1000,
  $D$2:$D1000,
  TRUE
 )=FALSE,
 FALSE
)"),FALSE)</f>
        <v>0</v>
      </c>
      <c r="AA135" s="26" t="str">
        <f>IFERROR(__xludf.DUMMYFUNCTION("LET(
 id,A135,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6" ht="14.25" customHeight="1">
      <c r="A136" s="26" t="s">
        <v>505</v>
      </c>
      <c r="B136" s="26" t="str">
        <f t="array" ref="B136">_xlfn.XLOOKUP(
 A136,
 tblTargets[TargetID],
 tblTargets[DisplayName],
 ""
)</f>
        <v>Great Hall</v>
      </c>
      <c r="C136" s="26" t="str">
        <f t="shared" si="1"/>
        <v>BLOCKED</v>
      </c>
      <c r="D136" s="26" t="b">
        <f>IFERROR(__xludf.DUMMYFUNCTION("LET(
 id,A136,
 IF(
  F136=""CHARACTER"",
  LET(
   base,REGEXREPLACE(id,""@\d+$"",""""),
   required,VALUE(REGEXEXTRACT(id,""@(\d+)$"")),
   current,XLOOKUP(
    base,
    tblPlayer[PlayerStateID],
    tblPlayer[Value],
    0
   ),
   current&gt;=required
 "&amp;" ),
  IF(
   T136=""AUTO"",
   L136=0,
   COUNTIFS(
    tblChecklist[TargetID],id,
    tblChecklist[PlayerCompleted],TRUE
   )&gt;0
  )
 )
)"),FALSE)</f>
        <v>0</v>
      </c>
      <c r="E136" s="26" t="str">
        <f t="array" ref="E136">_xlfn.XLOOKUP(
 A136,
 tblTargets[TargetID],
 tblTargets[TargetType],
 ""
)</f>
        <v>CITADEL</v>
      </c>
      <c r="F136" s="26" t="str">
        <f t="array" ref="F136">_xlfn.XLOOKUP(
 A136,
 tblTargets[TargetID],
 tblTargets[StateType],
 ""
)</f>
        <v/>
      </c>
      <c r="G136" s="26">
        <f>LET(
 id,A136,
 depCount,COUNTIF(tblDependencies[TargetID],id),
 objCount,COUNTIF(tblQuestObjectives[QuestTargetID],id),
 depCount+objCount
)</f>
        <v>1</v>
      </c>
      <c r="H136" s="26">
        <f t="shared" si="2"/>
        <v>1</v>
      </c>
      <c r="I136" s="26">
        <f>IFERROR(__xludf.DUMMYFUNCTION("LET(
 id,A136,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6" s="26">
        <f t="shared" si="3"/>
        <v>0</v>
      </c>
      <c r="K136" s="26" t="b">
        <f t="shared" si="4"/>
        <v>0</v>
      </c>
      <c r="L136" s="26">
        <f t="shared" si="5"/>
        <v>1</v>
      </c>
      <c r="M136" s="26" t="str">
        <f>IFERROR(__xludf.DUMMYFUNCTION("LET(
 id,A136,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L136=0,
  """",
  IFERROR(INDEX(incomplete,1),"""")"&amp;"
 )
)"),"building.dungeon@3")</f>
        <v>building.dungeon@3</v>
      </c>
      <c r="N136" s="26" t="str">
        <f t="array" ref="N136">IF(
 M136="",
 "",
 _xlfn.XLOOKUP(
  M136,
  tblTargets[TargetID],
  tblTargets[DisplayName],
  M136
 )
)</f>
        <v>Dungeon Lv 3</v>
      </c>
      <c r="O136" s="26" t="str">
        <f>IFERROR(__xludf.DUMMYFUNCTION("SWITCH(
 E136,
 ""BUILDING"",XLOOKUP(A136,tblBuildings[BuildingID],tblBuildings[costtext],""""),
 ""TECH"",XLOOKUP(A136,tblTechnologies[TechnologyID],tblTechnologies[costtext],""""),
 ""QUEST"",XLOOKUP(
  REGEXREPLACE(A136,""\.[^.]+$"",""""),
  tblQuests["&amp;"QuestID],
  tblQuests[Costtext],
  """"
 ),
 ""CITADEL"",XLOOKUP(A136,tblCitadel[CitadelID],tblCitadel[costtext],""""),
 ""COLLECTION"",XLOOKUP(A136,tblCollections[CollectionID],tblCollections[costtext],""""),
 ""CRAFTIFACT"",XLOOKUP(A136,tblCraftifacts[C"&amp;"raftifactID],tblCraftifacts[costtext],""""),
 """"
)"),"600 beam,800 coin,20 page,5 ruby,600 stone")</f>
        <v>600 beam,800 coin,20 page,5 ruby,600 stone</v>
      </c>
      <c r="P136" s="26" t="str">
        <f t="shared" si="6"/>
        <v>BLOCKED</v>
      </c>
      <c r="Q136" s="26" t="str">
        <f t="shared" si="7"/>
        <v>BLOCKED</v>
      </c>
      <c r="R136" s="26" t="str">
        <f t="array" ref="R136">IFERROR(
 _xlfn.XLOOKUP(
  A136,
  tblChecklist[TargetID],
  tblChecklist[PlayerSort],
  ""
 ),
 ""
)</f>
        <v/>
      </c>
      <c r="S136" s="26" t="str">
        <f>IFERROR(__xludf.DUMMYFUNCTION("LET(
 id,A136,
 successorIDs,
  IFERROR(
   UNIQUE(
    FILTER(
     {
      Dependencies!$A$2:$A$1000;
      QuestObjectives!$A$2:$A$1000
     },
     {
      Dependencies!$B$2:$B$1000;
      QuestObjectives!$E$2:$E$1000
     }=id
    )
   ),
   """"
  )"&amp;",
 names,
  MAP(
   successorIDs,
   LAMBDA(s,
    IF(
     s="""",
     """",
     XLOOKUP(
      s,
      $A$2:$A$1000,
      $B$2:$B$1000,
      s
     )
    )
   )
  ),
 IF(
  successorIDs="""",
  """",
  TEXTJOIN("", "",TRUE,names)
 )
)"),"Cheese Cave, Courtyard, Historical Library 1 Lv 1, Historical Library 2 Lv 1, Horse Lv 1, Statue Lv 1, Tame A Critter")</f>
        <v>Cheese Cave, Courtyard, Historical Library 1 Lv 1, Historical Library 2 Lv 1, Horse Lv 1, Statue Lv 1, Tame A Critter</v>
      </c>
      <c r="T136" s="26" t="str">
        <f t="array" ref="T136">_xlfn.XLOOKUP(
 A136,
 tblTargets[TargetID],
 tblTargets[CompletionMethod],
 ""
)</f>
        <v>PLAYER</v>
      </c>
      <c r="U136" s="84" t="b">
        <f>COUNTIF(tblCost[TargetID],A136)&gt;0</f>
        <v>1</v>
      </c>
      <c r="V136" s="85">
        <f t="array" ref="V136">IF(
 U136=FALSE,
 "",
 _xlfn.XLOOKUP(
  A136,
  tblCost[TargetID],
  tblCost[FundingPercent],
  ""
 )
)</f>
        <v>0</v>
      </c>
      <c r="W136" s="26">
        <f t="array" ref="W136">IF(
 U136=FALSE,
 "",
 _xlfn.XLOOKUP(
  A136,
  tblCost[TargetID],
  tblCost[RemainingRequirements],
  ""
 )
)</f>
        <v>5</v>
      </c>
      <c r="X136" s="45" t="b">
        <f t="array" ref="X136">IF(
 U136=FALSE,
 "N/A",
 _xlfn.XLOOKUP(
  A137,
  tblCost[TargetID],
  tblCost[TargetFunded],
  FALSE
 )
)</f>
        <v>0</v>
      </c>
      <c r="Y136" s="26" t="str">
        <f>IFERROR(__xludf.DUMMYFUNCTION("IFERROR(
 TEXTJOIN(
  "", "",
  TRUE,
  FILTER(
   'cost checklist'!$E$2:$E1000&amp;"": ""&amp;'cost checklist'!$G$2:$G1000,
   'cost checklist'!$B$2:$B1000=A136,
   'cost checklist'!$J$2:$J1000=FALSE
  )
 ),
 """"
)"),"beam: 600, coin: 800, page: 20, ruby: 5, stone: 600")</f>
        <v>beam: 600, coin: 800, page: 20, ruby: 5, stone: 600</v>
      </c>
      <c r="Z136" s="26" t="b">
        <f>IFERROR(__xludf.DUMMYFUNCTION("IF(
 AND(
  E136=""QUEST"",
  RIGHT(A136,9)="".accepted"",
  D136=TRUE
 ),
 XLOOKUP(
  REGEXREPLACE(A136,""\.accepted$"","""")&amp;"".finished"",
  $A$2:$A1000,
  $D$2:$D1000,
  TRUE
 )=FALSE,
 FALSE
)"),FALSE)</f>
        <v>0</v>
      </c>
      <c r="AA136" s="26" t="str">
        <f>IFERROR(__xludf.DUMMYFUNCTION("LET(
 id,A136,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7" ht="14.25" customHeight="1">
      <c r="A137" s="26" t="s">
        <v>509</v>
      </c>
      <c r="B137" s="26" t="str">
        <f t="array" ref="B137">_xlfn.XLOOKUP(
 A137,
 tblTargets[TargetID],
 tblTargets[DisplayName],
 ""
)</f>
        <v>Kitchen and Buttery</v>
      </c>
      <c r="C137" s="26" t="str">
        <f t="shared" si="1"/>
        <v>BLOCKED</v>
      </c>
      <c r="D137" s="26" t="b">
        <f>IFERROR(__xludf.DUMMYFUNCTION("LET(
 id,A137,
 IF(
  F137=""CHARACTER"",
  LET(
   base,REGEXREPLACE(id,""@\d+$"",""""),
   required,VALUE(REGEXEXTRACT(id,""@(\d+)$"")),
   current,XLOOKUP(
    base,
    tblPlayer[PlayerStateID],
    tblPlayer[Value],
    0
   ),
   current&gt;=required
 "&amp;" ),
  IF(
   T137=""AUTO"",
   L137=0,
   COUNTIFS(
    tblChecklist[TargetID],id,
    tblChecklist[PlayerCompleted],TRUE
   )&gt;0
  )
 )
)"),FALSE)</f>
        <v>0</v>
      </c>
      <c r="E137" s="26" t="str">
        <f t="array" ref="E137">_xlfn.XLOOKUP(
 A137,
 tblTargets[TargetID],
 tblTargets[TargetType],
 ""
)</f>
        <v>CITADEL</v>
      </c>
      <c r="F137" s="26" t="str">
        <f t="array" ref="F137">_xlfn.XLOOKUP(
 A137,
 tblTargets[TargetID],
 tblTargets[StateType],
 ""
)</f>
        <v/>
      </c>
      <c r="G137" s="26">
        <f>LET(
 id,A137,
 depCount,COUNTIF(tblDependencies[TargetID],id),
 objCount,COUNTIF(tblQuestObjectives[QuestTargetID],id),
 depCount+objCount
)</f>
        <v>2</v>
      </c>
      <c r="H137" s="26">
        <f t="shared" si="2"/>
        <v>2</v>
      </c>
      <c r="I137" s="26">
        <f>IFERROR(__xludf.DUMMYFUNCTION("LET(
 id,A137,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7" s="26">
        <f t="shared" si="3"/>
        <v>0</v>
      </c>
      <c r="K137" s="26" t="b">
        <f t="shared" si="4"/>
        <v>0</v>
      </c>
      <c r="L137" s="26">
        <f t="shared" si="5"/>
        <v>2</v>
      </c>
      <c r="M137" s="26" t="str">
        <f>IFERROR(__xludf.DUMMYFUNCTION("LET(
 id,A137,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L137=0,
  """",
  IFERROR(INDEX(incomplete,1),"""")"&amp;"
 )
)"),"tech.dungeon.great_hall")</f>
        <v>tech.dungeon.great_hall</v>
      </c>
      <c r="N137" s="26" t="str">
        <f t="array" ref="N137">IF(
 M137="",
 "",
 _xlfn.XLOOKUP(
  M137,
  tblTargets[TargetID],
  tblTargets[DisplayName],
  M137
 )
)</f>
        <v>Dungeon - Great Hall</v>
      </c>
      <c r="O137" s="26" t="str">
        <f>IFERROR(__xludf.DUMMYFUNCTION("SWITCH(
 E137,
 ""BUILDING"",XLOOKUP(A137,tblBuildings[BuildingID],tblBuildings[costtext],""""),
 ""TECH"",XLOOKUP(A137,tblTechnologies[TechnologyID],tblTechnologies[costtext],""""),
 ""QUEST"",XLOOKUP(
  REGEXREPLACE(A137,""\.[^.]+$"",""""),
  tblQuests["&amp;"QuestID],
  tblQuests[Costtext],
  """"
 ),
 ""CITADEL"",XLOOKUP(A137,tblCitadel[CitadelID],tblCitadel[costtext],""""),
 ""COLLECTION"",XLOOKUP(A137,tblCollections[CollectionID],tblCollections[costtext],""""),
 ""CRAFTIFACT"",XLOOKUP(A137,tblCraftifacts[C"&amp;"raftifactID],tblCraftifacts[costtext],""""),
 """"
)"),"400 beam,400 coin,10 page,2 ruby,400 stone")</f>
        <v>400 beam,400 coin,10 page,2 ruby,400 stone</v>
      </c>
      <c r="P137" s="26" t="str">
        <f t="shared" si="6"/>
        <v>BLOCKED</v>
      </c>
      <c r="Q137" s="26" t="str">
        <f t="shared" si="7"/>
        <v>BLOCKED</v>
      </c>
      <c r="R137" s="26" t="str">
        <f t="array" ref="R137">IFERROR(
 _xlfn.XLOOKUP(
  A137,
  tblChecklist[TargetID],
  tblChecklist[PlayerSort],
  ""
 ),
 ""
)</f>
        <v/>
      </c>
      <c r="S137" s="26" t="str">
        <f>IFERROR(__xludf.DUMMYFUNCTION("LET(
 id,A137,
 successorIDs,
  IFERROR(
   UNIQUE(
    FILTER(
     {
      Dependencies!$A$2:$A$1000;
      QuestObjectives!$A$2:$A$1000
     },
     {
      Dependencies!$B$2:$B$1000;
      QuestObjectives!$E$2:$E$1000
     }=id
    )
   ),
   """"
  )"&amp;",
 names,
  MAP(
   successorIDs,
   LAMBDA(s,
    IF(
     s="""",
     """",
     XLOOKUP(
      s,
      $A$2:$A$1000,
      $B$2:$B$1000,
      s
     )
    )
   )
  ),
 IF(
  successorIDs="""",
  """",
  TEXTJOIN("", "",TRUE,names)
 )
)"),"Kitchen And Buttery 1 Lv 1, Kitchen And Buttery 2 Lv 1")</f>
        <v>Kitchen And Buttery 1 Lv 1, Kitchen And Buttery 2 Lv 1</v>
      </c>
      <c r="T137" s="26" t="str">
        <f t="array" ref="T137">_xlfn.XLOOKUP(
 A137,
 tblTargets[TargetID],
 tblTargets[CompletionMethod],
 ""
)</f>
        <v>PLAYER</v>
      </c>
      <c r="U137" s="84" t="b">
        <f>COUNTIF(tblCost[TargetID],A137)&gt;0</f>
        <v>1</v>
      </c>
      <c r="V137" s="85">
        <f t="array" ref="V137">IF(
 U137=FALSE,
 "",
 _xlfn.XLOOKUP(
  A137,
  tblCost[TargetID],
  tblCost[FundingPercent],
  ""
 )
)</f>
        <v>0</v>
      </c>
      <c r="W137" s="26">
        <f t="array" ref="W137">IF(
 U137=FALSE,
 "",
 _xlfn.XLOOKUP(
  A137,
  tblCost[TargetID],
  tblCost[RemainingRequirements],
  ""
 )
)</f>
        <v>5</v>
      </c>
      <c r="X137" s="45" t="b">
        <f t="array" ref="X137">IF(
 U137=FALSE,
 "N/A",
 _xlfn.XLOOKUP(
  A138,
  tblCost[TargetID],
  tblCost[TargetFunded],
  FALSE
 )
)</f>
        <v>0</v>
      </c>
      <c r="Y137" s="26" t="str">
        <f>IFERROR(__xludf.DUMMYFUNCTION("IFERROR(
 TEXTJOIN(
  "", "",
  TRUE,
  FILTER(
   'cost checklist'!$E$2:$E1000&amp;"": ""&amp;'cost checklist'!$G$2:$G1000,
   'cost checklist'!$B$2:$B1000=A137,
   'cost checklist'!$J$2:$J1000=FALSE
  )
 ),
 """"
)"),"beam: 400, coin: 400, page: 10, ruby: 2, stone: 400")</f>
        <v>beam: 400, coin: 400, page: 10, ruby: 2, stone: 400</v>
      </c>
      <c r="Z137" s="26" t="b">
        <f>IFERROR(__xludf.DUMMYFUNCTION("IF(
 AND(
  E137=""QUEST"",
  RIGHT(A137,9)="".accepted"",
  D137=TRUE
 ),
 XLOOKUP(
  REGEXREPLACE(A137,""\.accepted$"","""")&amp;"".finished"",
  $A$2:$A1000,
  $D$2:$D1000,
  TRUE
 )=FALSE,
 FALSE
)"),FALSE)</f>
        <v>0</v>
      </c>
      <c r="AA137" s="26" t="str">
        <f>IFERROR(__xludf.DUMMYFUNCTION("LET(
 id,A137,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8" ht="14.25" customHeight="1">
      <c r="A138" s="26" t="s">
        <v>511</v>
      </c>
      <c r="B138" s="26" t="str">
        <f t="array" ref="B138">_xlfn.XLOOKUP(
 A138,
 tblTargets[TargetID],
 tblTargets[DisplayName],
 ""
)</f>
        <v>Lair lvl. 1</v>
      </c>
      <c r="C138" s="26" t="str">
        <f t="shared" si="1"/>
        <v>BLOCKED</v>
      </c>
      <c r="D138" s="26" t="b">
        <f>IFERROR(__xludf.DUMMYFUNCTION("LET(
 id,A138,
 IF(
  F138=""CHARACTER"",
  LET(
   base,REGEXREPLACE(id,""@\d+$"",""""),
   required,VALUE(REGEXEXTRACT(id,""@(\d+)$"")),
   current,XLOOKUP(
    base,
    tblPlayer[PlayerStateID],
    tblPlayer[Value],
    0
   ),
   current&gt;=required
 "&amp;" ),
  IF(
   T138=""AUTO"",
   L138=0,
   COUNTIFS(
    tblChecklist[TargetID],id,
    tblChecklist[PlayerCompleted],TRUE
   )&gt;0
  )
 )
)"),FALSE)</f>
        <v>0</v>
      </c>
      <c r="E138" s="26" t="str">
        <f t="array" ref="E138">_xlfn.XLOOKUP(
 A138,
 tblTargets[TargetID],
 tblTargets[TargetType],
 ""
)</f>
        <v>CITADEL</v>
      </c>
      <c r="F138" s="26" t="str">
        <f t="array" ref="F138">_xlfn.XLOOKUP(
 A138,
 tblTargets[TargetID],
 tblTargets[StateType],
 ""
)</f>
        <v/>
      </c>
      <c r="G138" s="26">
        <f>LET(
 id,A138,
 depCount,COUNTIF(tblDependencies[TargetID],id),
 objCount,COUNTIF(tblQuestObjectives[QuestTargetID],id),
 depCount+objCount
)</f>
        <v>3</v>
      </c>
      <c r="H138" s="26">
        <f t="shared" si="2"/>
        <v>3</v>
      </c>
      <c r="I138" s="26">
        <f>IFERROR(__xludf.DUMMYFUNCTION("LET(
 id,A138,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8" s="26">
        <f t="shared" si="3"/>
        <v>0</v>
      </c>
      <c r="K138" s="26" t="b">
        <f t="shared" si="4"/>
        <v>0</v>
      </c>
      <c r="L138" s="26">
        <f t="shared" si="5"/>
        <v>3</v>
      </c>
      <c r="M138" s="26" t="str">
        <f>IFERROR(__xludf.DUMMYFUNCTION("LET(
 id,A138,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L138=0,
  """",
  IFERROR(INDEX(incomplete,1),"""")"&amp;"
 )
)"),"tech.dungeon.great_hall")</f>
        <v>tech.dungeon.great_hall</v>
      </c>
      <c r="N138" s="26" t="str">
        <f t="array" ref="N138">IF(
 M138="",
 "",
 _xlfn.XLOOKUP(
  M138,
  tblTargets[TargetID],
  tblTargets[DisplayName],
  M138
 )
)</f>
        <v>Dungeon - Great Hall</v>
      </c>
      <c r="O138" s="26" t="str">
        <f>IFERROR(__xludf.DUMMYFUNCTION("SWITCH(
 E138,
 ""BUILDING"",XLOOKUP(A138,tblBuildings[BuildingID],tblBuildings[costtext],""""),
 ""TECH"",XLOOKUP(A138,tblTechnologies[TechnologyID],tblTechnologies[costtext],""""),
 ""QUEST"",XLOOKUP(
  REGEXREPLACE(A138,""\.[^.]+$"",""""),
  tblQuests["&amp;"QuestID],
  tblQuests[Costtext],
  """"
 ),
 ""CITADEL"",XLOOKUP(A138,tblCitadel[CitadelID],tblCitadel[costtext],""""),
 ""COLLECTION"",XLOOKUP(A138,tblCollections[CollectionID],tblCollections[costtext],""""),
 ""CRAFTIFACT"",XLOOKUP(A138,tblCraftifacts[C"&amp;"raftifactID],tblCraftifacts[costtext],""""),
 """"
)"),"200 crypto,17 grimoire,10 inarizushi,5 ruby,3 treasure,300 wood")</f>
        <v>200 crypto,17 grimoire,10 inarizushi,5 ruby,3 treasure,300 wood</v>
      </c>
      <c r="P138" s="26" t="str">
        <f t="shared" si="6"/>
        <v>BLOCKED</v>
      </c>
      <c r="Q138" s="26" t="str">
        <f t="shared" si="7"/>
        <v>BLOCKED</v>
      </c>
      <c r="R138" s="26">
        <f t="array" ref="R138">IFERROR(
 _xlfn.XLOOKUP(
  A138,
  tblChecklist[TargetID],
  tblChecklist[PlayerSort],
  ""
 ),
 ""
)</f>
        <v>50</v>
      </c>
      <c r="S138" s="26" t="str">
        <f>IFERROR(__xludf.DUMMYFUNCTION("LET(
 id,A138,
 successorIDs,
  IFERROR(
   UNIQUE(
    FILTER(
     {
      Dependencies!$A$2:$A$1000;
      QuestObjectives!$A$2:$A$1000
     },
     {
      Dependencies!$B$2:$B$1000;
      QuestObjectives!$E$2:$E$1000
     }=id
    )
   ),
   """"
  )"&amp;",
 names,
  MAP(
   successorIDs,
   LAMBDA(s,
    IF(
     s="""",
     """",
     XLOOKUP(
      s,
      $A$2:$A$1000,
      $B$2:$B$1000,
      s
     )
    )
   )
  ),
 IF(
  successorIDs="""",
  """",
  TEXTJOIN("", "",TRUE,names)
 )
)"),"Lair lvl. 2")</f>
        <v>Lair lvl. 2</v>
      </c>
      <c r="T138" s="26" t="str">
        <f t="array" ref="T138">_xlfn.XLOOKUP(
 A138,
 tblTargets[TargetID],
 tblTargets[CompletionMethod],
 ""
)</f>
        <v>PLAYER</v>
      </c>
      <c r="U138" s="84" t="b">
        <f>COUNTIF(tblCost[TargetID],A138)&gt;0</f>
        <v>1</v>
      </c>
      <c r="V138" s="85">
        <f t="array" ref="V138">IF(
 U138=FALSE,
 "",
 _xlfn.XLOOKUP(
  A138,
  tblCost[TargetID],
  tblCost[FundingPercent],
  ""
 )
)</f>
        <v>0</v>
      </c>
      <c r="W138" s="26">
        <f t="array" ref="W138">IF(
 U138=FALSE,
 "",
 _xlfn.XLOOKUP(
  A138,
  tblCost[TargetID],
  tblCost[RemainingRequirements],
  ""
 )
)</f>
        <v>6</v>
      </c>
      <c r="X138" s="45" t="b">
        <f t="array" ref="X138">IF(
 U138=FALSE,
 "N/A",
 _xlfn.XLOOKUP(
  A139,
  tblCost[TargetID],
  tblCost[TargetFunded],
  FALSE
 )
)</f>
        <v>0</v>
      </c>
      <c r="Y138" s="26" t="str">
        <f>IFERROR(__xludf.DUMMYFUNCTION("IFERROR(
 TEXTJOIN(
  "", "",
  TRUE,
  FILTER(
   'cost checklist'!$E$2:$E1000&amp;"": ""&amp;'cost checklist'!$G$2:$G1000,
   'cost checklist'!$B$2:$B1000=A138,
   'cost checklist'!$J$2:$J1000=FALSE
  )
 ),
 """"
)"),"crypto: 200, grimoire: 17, inarizushi: 10, ruby: 5, treasure: 3, wood: 300")</f>
        <v>crypto: 200, grimoire: 17, inarizushi: 10, ruby: 5, treasure: 3, wood: 300</v>
      </c>
      <c r="Z138" s="26" t="b">
        <f>IFERROR(__xludf.DUMMYFUNCTION("IF(
 AND(
  E138=""QUEST"",
  RIGHT(A138,9)="".accepted"",
  D138=TRUE
 ),
 XLOOKUP(
  REGEXREPLACE(A138,""\.accepted$"","""")&amp;"".finished"",
  $A$2:$A1000,
  $D$2:$D1000,
  TRUE
 )=FALSE,
 FALSE
)"),FALSE)</f>
        <v>0</v>
      </c>
      <c r="AA138" s="26" t="str">
        <f>IFERROR(__xludf.DUMMYFUNCTION("LET(
 id,A138,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39" ht="14.25" customHeight="1">
      <c r="A139" s="26" t="s">
        <v>513</v>
      </c>
      <c r="B139" s="26" t="str">
        <f t="array" ref="B139">_xlfn.XLOOKUP(
 A139,
 tblTargets[TargetID],
 tblTargets[DisplayName],
 ""
)</f>
        <v>Lair lvl. 2</v>
      </c>
      <c r="C139" s="26" t="str">
        <f t="shared" si="1"/>
        <v>BLOCKED</v>
      </c>
      <c r="D139" s="26" t="b">
        <f>IFERROR(__xludf.DUMMYFUNCTION("LET(
 id,A139,
 IF(
  F139=""CHARACTER"",
  LET(
   base,REGEXREPLACE(id,""@\d+$"",""""),
   required,VALUE(REGEXEXTRACT(id,""@(\d+)$"")),
   current,XLOOKUP(
    base,
    tblPlayer[PlayerStateID],
    tblPlayer[Value],
    0
   ),
   current&gt;=required
 "&amp;" ),
  IF(
   T139=""AUTO"",
   L139=0,
   COUNTIFS(
    tblChecklist[TargetID],id,
    tblChecklist[PlayerCompleted],TRUE
   )&gt;0
  )
 )
)"),FALSE)</f>
        <v>0</v>
      </c>
      <c r="E139" s="26" t="str">
        <f t="array" ref="E139">_xlfn.XLOOKUP(
 A139,
 tblTargets[TargetID],
 tblTargets[TargetType],
 ""
)</f>
        <v>CITADEL</v>
      </c>
      <c r="F139" s="26" t="str">
        <f t="array" ref="F139">_xlfn.XLOOKUP(
 A139,
 tblTargets[TargetID],
 tblTargets[StateType],
 ""
)</f>
        <v/>
      </c>
      <c r="G139" s="26">
        <f>LET(
 id,A139,
 depCount,COUNTIF(tblDependencies[TargetID],id),
 objCount,COUNTIF(tblQuestObjectives[QuestTargetID],id),
 depCount+objCount
)</f>
        <v>1</v>
      </c>
      <c r="H139" s="26">
        <f t="shared" si="2"/>
        <v>1</v>
      </c>
      <c r="I139" s="26">
        <f>IFERROR(__xludf.DUMMYFUNCTION("LET(
 id,A139,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39" s="26">
        <f t="shared" si="3"/>
        <v>0</v>
      </c>
      <c r="K139" s="26" t="b">
        <f t="shared" si="4"/>
        <v>0</v>
      </c>
      <c r="L139" s="26">
        <f t="shared" si="5"/>
        <v>1</v>
      </c>
      <c r="M139" s="26" t="str">
        <f>IFERROR(__xludf.DUMMYFUNCTION("LET(
 id,A139,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L139=0,
  """",
  IFERROR(INDEX(incomplete,1),"""")"&amp;"
 )
)"),"citadel.lair_lvl_1")</f>
        <v>citadel.lair_lvl_1</v>
      </c>
      <c r="N139" s="26" t="str">
        <f t="array" ref="N139">IF(
 M139="",
 "",
 _xlfn.XLOOKUP(
  M139,
  tblTargets[TargetID],
  tblTargets[DisplayName],
  M139
 )
)</f>
        <v>Lair lvl. 1</v>
      </c>
      <c r="O139" s="26" t="str">
        <f>IFERROR(__xludf.DUMMYFUNCTION("SWITCH(
 E139,
 ""BUILDING"",XLOOKUP(A139,tblBuildings[BuildingID],tblBuildings[costtext],""""),
 ""TECH"",XLOOKUP(A139,tblTechnologies[TechnologyID],tblTechnologies[costtext],""""),
 ""QUEST"",XLOOKUP(
  REGEXREPLACE(A139,""\.[^.]+$"",""""),
  tblQuests["&amp;"QuestID],
  tblQuests[Costtext],
  """"
 ),
 ""CITADEL"",XLOOKUP(A139,tblCitadel[CitadelID],tblCitadel[costtext],""""),
 ""COLLECTION"",XLOOKUP(A139,tblCollections[CollectionID],tblCollections[costtext],""""),
 ""CRAFTIFACT"",XLOOKUP(A139,tblCraftifacts[C"&amp;"raftifactID],tblCraftifacts[costtext],""""),
 """"
)"),"400 crypto,19 grimoire,20 inarizushi,10 ruby,6 treasure,600 wood")</f>
        <v>400 crypto,19 grimoire,20 inarizushi,10 ruby,6 treasure,600 wood</v>
      </c>
      <c r="P139" s="26" t="str">
        <f t="shared" si="6"/>
        <v>BLOCKED</v>
      </c>
      <c r="Q139" s="26" t="str">
        <f t="shared" si="7"/>
        <v>BLOCKED</v>
      </c>
      <c r="R139" s="26" t="str">
        <f t="array" ref="R139">IFERROR(
 _xlfn.XLOOKUP(
  A139,
  tblChecklist[TargetID],
  tblChecklist[PlayerSort],
  ""
 ),
 ""
)</f>
        <v/>
      </c>
      <c r="S139" s="26" t="str">
        <f>IFERROR(__xludf.DUMMYFUNCTION("LET(
 id,A139,
 successorIDs,
  IFERROR(
   UNIQUE(
    FILTER(
     {
      Dependencies!$A$2:$A$1000;
      QuestObjectives!$A$2:$A$1000
     },
     {
      Dependencies!$B$2:$B$1000;
      QuestObjectives!$E$2:$E$1000
     }=id
    )
   ),
   """"
  )"&amp;",
 names,
  MAP(
   successorIDs,
   LAMBDA(s,
    IF(
     s="""",
     """",
     XLOOKUP(
      s,
      $A$2:$A$1000,
      $B$2:$B$1000,
      s
     )
    )
   )
  ),
 IF(
  successorIDs="""",
  """",
  TEXTJOIN("", "",TRUE,names)
 )
)"),"")</f>
        <v/>
      </c>
      <c r="T139" s="26" t="str">
        <f t="array" ref="T139">_xlfn.XLOOKUP(
 A139,
 tblTargets[TargetID],
 tblTargets[CompletionMethod],
 ""
)</f>
        <v>PLAYER</v>
      </c>
      <c r="U139" s="84" t="b">
        <f>COUNTIF(tblCost[TargetID],A139)&gt;0</f>
        <v>1</v>
      </c>
      <c r="V139" s="85">
        <f t="array" ref="V139">IF(
 U139=FALSE,
 "",
 _xlfn.XLOOKUP(
  A139,
  tblCost[TargetID],
  tblCost[FundingPercent],
  ""
 )
)</f>
        <v>0</v>
      </c>
      <c r="W139" s="26">
        <f t="array" ref="W139">IF(
 U139=FALSE,
 "",
 _xlfn.XLOOKUP(
  A139,
  tblCost[TargetID],
  tblCost[RemainingRequirements],
  ""
 )
)</f>
        <v>6</v>
      </c>
      <c r="X139" s="45" t="b">
        <f t="array" ref="X139">IF(
 U139=FALSE,
 "N/A",
 _xlfn.XLOOKUP(
  A140,
  tblCost[TargetID],
  tblCost[TargetFunded],
  FALSE
 )
)</f>
        <v>0</v>
      </c>
      <c r="Y139" s="26" t="str">
        <f>IFERROR(__xludf.DUMMYFUNCTION("IFERROR(
 TEXTJOIN(
  "", "",
  TRUE,
  FILTER(
   'cost checklist'!$E$2:$E1000&amp;"": ""&amp;'cost checklist'!$G$2:$G1000,
   'cost checklist'!$B$2:$B1000=A139,
   'cost checklist'!$J$2:$J1000=FALSE
  )
 ),
 """"
)"),"crypto: 400, grimoire: 19, inarizushi: 20, ruby: 10, treasure: 6, wood: 600")</f>
        <v>crypto: 400, grimoire: 19, inarizushi: 20, ruby: 10, treasure: 6, wood: 600</v>
      </c>
      <c r="Z139" s="26" t="b">
        <f>IFERROR(__xludf.DUMMYFUNCTION("IF(
 AND(
  E139=""QUEST"",
  RIGHT(A139,9)="".accepted"",
  D139=TRUE
 ),
 XLOOKUP(
  REGEXREPLACE(A139,""\.accepted$"","""")&amp;"".finished"",
  $A$2:$A1000,
  $D$2:$D1000,
  TRUE
 )=FALSE,
 FALSE
)"),FALSE)</f>
        <v>0</v>
      </c>
      <c r="AA139" s="26" t="str">
        <f>IFERROR(__xludf.DUMMYFUNCTION("LET(
 id,A139,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0" ht="14.25" customHeight="1">
      <c r="A140" s="26" t="s">
        <v>515</v>
      </c>
      <c r="B140" s="26" t="str">
        <f t="array" ref="B140">_xlfn.XLOOKUP(
 A140,
 tblTargets[TargetID],
 tblTargets[DisplayName],
 ""
)</f>
        <v>Mushroom Farm</v>
      </c>
      <c r="C140" s="26" t="str">
        <f t="shared" si="1"/>
        <v>BLOCKED</v>
      </c>
      <c r="D140" s="26" t="b">
        <f>IFERROR(__xludf.DUMMYFUNCTION("LET(
 id,A140,
 IF(
  F140=""CHARACTER"",
  LET(
   base,REGEXREPLACE(id,""@\d+$"",""""),
   required,VALUE(REGEXEXTRACT(id,""@(\d+)$"")),
   current,XLOOKUP(
    base,
    tblPlayer[PlayerStateID],
    tblPlayer[Value],
    0
   ),
   current&gt;=required
 "&amp;" ),
  IF(
   T140=""AUTO"",
   L140=0,
   COUNTIFS(
    tblChecklist[TargetID],id,
    tblChecklist[PlayerCompleted],TRUE
   )&gt;0
  )
 )
)"),FALSE)</f>
        <v>0</v>
      </c>
      <c r="E140" s="26" t="str">
        <f t="array" ref="E140">_xlfn.XLOOKUP(
 A140,
 tblTargets[TargetID],
 tblTargets[TargetType],
 ""
)</f>
        <v>CITADEL</v>
      </c>
      <c r="F140" s="26" t="str">
        <f t="array" ref="F140">_xlfn.XLOOKUP(
 A140,
 tblTargets[TargetID],
 tblTargets[StateType],
 ""
)</f>
        <v/>
      </c>
      <c r="G140" s="26">
        <f>LET(
 id,A140,
 depCount,COUNTIF(tblDependencies[TargetID],id),
 objCount,COUNTIF(tblQuestObjectives[QuestTargetID],id),
 depCount+objCount
)</f>
        <v>1</v>
      </c>
      <c r="H140" s="26">
        <f t="shared" si="2"/>
        <v>1</v>
      </c>
      <c r="I140" s="26">
        <f>IFERROR(__xludf.DUMMYFUNCTION("LET(
 id,A140,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0" s="26">
        <f t="shared" si="3"/>
        <v>0</v>
      </c>
      <c r="K140" s="26" t="b">
        <f t="shared" si="4"/>
        <v>0</v>
      </c>
      <c r="L140" s="26">
        <f t="shared" si="5"/>
        <v>1</v>
      </c>
      <c r="M140" s="26" t="str">
        <f>IFERROR(__xludf.DUMMYFUNCTION("LET(
 id,A140,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L140=0,
  """",
  IFERROR(INDEX(incomplete,1),"""")"&amp;"
 )
)"),"tech.dungeon.great_hall")</f>
        <v>tech.dungeon.great_hall</v>
      </c>
      <c r="N140" s="26" t="str">
        <f t="array" ref="N140">IF(
 M140="",
 "",
 _xlfn.XLOOKUP(
  M140,
  tblTargets[TargetID],
  tblTargets[DisplayName],
  M140
 )
)</f>
        <v>Dungeon - Great Hall</v>
      </c>
      <c r="O140" s="26" t="str">
        <f>IFERROR(__xludf.DUMMYFUNCTION("SWITCH(
 E140,
 ""BUILDING"",XLOOKUP(A140,tblBuildings[BuildingID],tblBuildings[costtext],""""),
 ""TECH"",XLOOKUP(A140,tblTechnologies[TechnologyID],tblTechnologies[costtext],""""),
 ""QUEST"",XLOOKUP(
  REGEXREPLACE(A140,""\.[^.]+$"",""""),
  tblQuests["&amp;"QuestID],
  tblQuests[Costtext],
  """"
 ),
 ""CITADEL"",XLOOKUP(A140,tblCitadel[CitadelID],tblCitadel[costtext],""""),
 ""COLLECTION"",XLOOKUP(A140,tblCollections[CollectionID],tblCollections[costtext],""""),
 ""CRAFTIFACT"",XLOOKUP(A140,tblCraftifacts[C"&amp;"raftifactID],tblCraftifacts[costtext],""""),
 """"
)"),"400 beam,400 coin,10 page,2 ruby,400 stone")</f>
        <v>400 beam,400 coin,10 page,2 ruby,400 stone</v>
      </c>
      <c r="P140" s="26" t="str">
        <f t="shared" si="6"/>
        <v>BLOCKED</v>
      </c>
      <c r="Q140" s="26" t="str">
        <f t="shared" si="7"/>
        <v>BLOCKED</v>
      </c>
      <c r="R140" s="26" t="str">
        <f t="array" ref="R140">IFERROR(
 _xlfn.XLOOKUP(
  A140,
  tblChecklist[TargetID],
  tblChecklist[PlayerSort],
  ""
 ),
 ""
)</f>
        <v/>
      </c>
      <c r="S140" s="26" t="str">
        <f>IFERROR(__xludf.DUMMYFUNCTION("LET(
 id,A140,
 successorIDs,
  IFERROR(
   UNIQUE(
    FILTER(
     {
      Dependencies!$A$2:$A$1000;
      QuestObjectives!$A$2:$A$1000
     },
     {
      Dependencies!$B$2:$B$1000;
      QuestObjectives!$E$2:$E$1000
     }=id
    )
   ),
   """"
  )"&amp;",
 names,
  MAP(
   successorIDs,
   LAMBDA(s,
    IF(
     s="""",
     """",
     XLOOKUP(
      s,
      $A$2:$A$1000,
      $B$2:$B$1000,
      s
     )
    )
   )
  ),
 IF(
  successorIDs="""",
  """",
  TEXTJOIN("", "",TRUE,names)
 )
)"),"Mushroom Farm Lv 1")</f>
        <v>Mushroom Farm Lv 1</v>
      </c>
      <c r="T140" s="26" t="str">
        <f t="array" ref="T140">_xlfn.XLOOKUP(
 A140,
 tblTargets[TargetID],
 tblTargets[CompletionMethod],
 ""
)</f>
        <v>PLAYER</v>
      </c>
      <c r="U140" s="84" t="b">
        <f>COUNTIF(tblCost[TargetID],A140)&gt;0</f>
        <v>1</v>
      </c>
      <c r="V140" s="85">
        <f t="array" ref="V140">IF(
 U140=FALSE,
 "",
 _xlfn.XLOOKUP(
  A140,
  tblCost[TargetID],
  tblCost[FundingPercent],
  ""
 )
)</f>
        <v>0</v>
      </c>
      <c r="W140" s="26">
        <f t="array" ref="W140">IF(
 U140=FALSE,
 "",
 _xlfn.XLOOKUP(
  A140,
  tblCost[TargetID],
  tblCost[RemainingRequirements],
  ""
 )
)</f>
        <v>5</v>
      </c>
      <c r="X140" s="45" t="b">
        <f t="array" ref="X140">IF(
 U140=FALSE,
 "N/A",
 _xlfn.XLOOKUP(
  A141,
  tblCost[TargetID],
  tblCost[TargetFunded],
  FALSE
 )
)</f>
        <v>0</v>
      </c>
      <c r="Y140" s="26" t="str">
        <f>IFERROR(__xludf.DUMMYFUNCTION("IFERROR(
 TEXTJOIN(
  "", "",
  TRUE,
  FILTER(
   'cost checklist'!$E$2:$E1000&amp;"": ""&amp;'cost checklist'!$G$2:$G1000,
   'cost checklist'!$B$2:$B1000=A140,
   'cost checklist'!$J$2:$J1000=FALSE
  )
 ),
 """"
)"),"beam: 400, coin: 400, page: 10, ruby: 2, stone: 400")</f>
        <v>beam: 400, coin: 400, page: 10, ruby: 2, stone: 400</v>
      </c>
      <c r="Z140" s="26" t="b">
        <f>IFERROR(__xludf.DUMMYFUNCTION("IF(
 AND(
  E140=""QUEST"",
  RIGHT(A140,9)="".accepted"",
  D140=TRUE
 ),
 XLOOKUP(
  REGEXREPLACE(A140,""\.accepted$"","""")&amp;"".finished"",
  $A$2:$A1000,
  $D$2:$D1000,
  TRUE
 )=FALSE,
 FALSE
)"),FALSE)</f>
        <v>0</v>
      </c>
      <c r="AA140" s="26" t="str">
        <f>IFERROR(__xludf.DUMMYFUNCTION("LET(
 id,A140,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1" ht="14.25" customHeight="1">
      <c r="A141" s="26" t="s">
        <v>516</v>
      </c>
      <c r="B141" s="26" t="str">
        <f t="array" ref="B141">_xlfn.XLOOKUP(
 A141,
 tblTargets[TargetID],
 tblTargets[DisplayName],
 ""
)</f>
        <v>Orangery</v>
      </c>
      <c r="C141" s="26" t="str">
        <f t="shared" si="1"/>
        <v>BLOCKED</v>
      </c>
      <c r="D141" s="26" t="b">
        <f>IFERROR(__xludf.DUMMYFUNCTION("LET(
 id,A141,
 IF(
  F141=""CHARACTER"",
  LET(
   base,REGEXREPLACE(id,""@\d+$"",""""),
   required,VALUE(REGEXEXTRACT(id,""@(\d+)$"")),
   current,XLOOKUP(
    base,
    tblPlayer[PlayerStateID],
    tblPlayer[Value],
    0
   ),
   current&gt;=required
 "&amp;" ),
  IF(
   T141=""AUTO"",
   L141=0,
   COUNTIFS(
    tblChecklist[TargetID],id,
    tblChecklist[PlayerCompleted],TRUE
   )&gt;0
  )
 )
)"),FALSE)</f>
        <v>0</v>
      </c>
      <c r="E141" s="26" t="str">
        <f t="array" ref="E141">_xlfn.XLOOKUP(
 A141,
 tblTargets[TargetID],
 tblTargets[TargetType],
 ""
)</f>
        <v>CITADEL</v>
      </c>
      <c r="F141" s="26" t="str">
        <f t="array" ref="F141">_xlfn.XLOOKUP(
 A141,
 tblTargets[TargetID],
 tblTargets[StateType],
 ""
)</f>
        <v/>
      </c>
      <c r="G141" s="26">
        <f>LET(
 id,A141,
 depCount,COUNTIF(tblDependencies[TargetID],id),
 objCount,COUNTIF(tblQuestObjectives[QuestTargetID],id),
 depCount+objCount
)</f>
        <v>1</v>
      </c>
      <c r="H141" s="26">
        <f t="shared" si="2"/>
        <v>1</v>
      </c>
      <c r="I141" s="26">
        <f>IFERROR(__xludf.DUMMYFUNCTION("LET(
 id,A141,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1" s="26">
        <f t="shared" si="3"/>
        <v>0</v>
      </c>
      <c r="K141" s="26" t="b">
        <f t="shared" si="4"/>
        <v>0</v>
      </c>
      <c r="L141" s="26">
        <f t="shared" si="5"/>
        <v>1</v>
      </c>
      <c r="M141" s="26" t="str">
        <f>IFERROR(__xludf.DUMMYFUNCTION("LET(
 id,A141,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L141=0,
  """",
  IFERROR(INDEX(incomplete,1),"""")"&amp;"
 )
)"),"tech.dungeon.great_hall")</f>
        <v>tech.dungeon.great_hall</v>
      </c>
      <c r="N141" s="26" t="str">
        <f t="array" ref="N141">IF(
 M141="",
 "",
 _xlfn.XLOOKUP(
  M141,
  tblTargets[TargetID],
  tblTargets[DisplayName],
  M141
 )
)</f>
        <v>Dungeon - Great Hall</v>
      </c>
      <c r="O141" s="26" t="str">
        <f>IFERROR(__xludf.DUMMYFUNCTION("SWITCH(
 E141,
 ""BUILDING"",XLOOKUP(A141,tblBuildings[BuildingID],tblBuildings[costtext],""""),
 ""TECH"",XLOOKUP(A141,tblTechnologies[TechnologyID],tblTechnologies[costtext],""""),
 ""QUEST"",XLOOKUP(
  REGEXREPLACE(A141,""\.[^.]+$"",""""),
  tblQuests["&amp;"QuestID],
  tblQuests[Costtext],
  """"
 ),
 ""CITADEL"",XLOOKUP(A141,tblCitadel[CitadelID],tblCitadel[costtext],""""),
 ""COLLECTION"",XLOOKUP(A141,tblCollections[CollectionID],tblCollections[costtext],""""),
 ""CRAFTIFACT"",XLOOKUP(A141,tblCraftifacts[C"&amp;"raftifactID],tblCraftifacts[costtext],""""),
 """"
)"),"400 beam,400 coin,10 page,2 ruby,400 stone")</f>
        <v>400 beam,400 coin,10 page,2 ruby,400 stone</v>
      </c>
      <c r="P141" s="26" t="str">
        <f t="shared" si="6"/>
        <v>BLOCKED</v>
      </c>
      <c r="Q141" s="26" t="str">
        <f t="shared" si="7"/>
        <v>BLOCKED</v>
      </c>
      <c r="R141" s="26" t="str">
        <f t="array" ref="R141">IFERROR(
 _xlfn.XLOOKUP(
  A141,
  tblChecklist[TargetID],
  tblChecklist[PlayerSort],
  ""
 ),
 ""
)</f>
        <v/>
      </c>
      <c r="S141" s="26" t="str">
        <f>IFERROR(__xludf.DUMMYFUNCTION("LET(
 id,A141,
 successorIDs,
  IFERROR(
   UNIQUE(
    FILTER(
     {
      Dependencies!$A$2:$A$1000;
      QuestObjectives!$A$2:$A$1000
     },
     {
      Dependencies!$B$2:$B$1000;
      QuestObjectives!$E$2:$E$1000
     }=id
    )
   ),
   """"
  )"&amp;",
 names,
  MAP(
   successorIDs,
   LAMBDA(s,
    IF(
     s="""",
     """",
     XLOOKUP(
      s,
      $A$2:$A$1000,
      $B$2:$B$1000,
      s
     )
    )
   )
  ),
 IF(
  successorIDs="""",
  """",
  TEXTJOIN("", "",TRUE,names)
 )
)"),"Orangery Lv 1")</f>
        <v>Orangery Lv 1</v>
      </c>
      <c r="T141" s="26" t="str">
        <f t="array" ref="T141">_xlfn.XLOOKUP(
 A141,
 tblTargets[TargetID],
 tblTargets[CompletionMethod],
 ""
)</f>
        <v>PLAYER</v>
      </c>
      <c r="U141" s="84" t="b">
        <f>COUNTIF(tblCost[TargetID],A141)&gt;0</f>
        <v>1</v>
      </c>
      <c r="V141" s="85">
        <f t="array" ref="V141">IF(
 U141=FALSE,
 "",
 _xlfn.XLOOKUP(
  A141,
  tblCost[TargetID],
  tblCost[FundingPercent],
  ""
 )
)</f>
        <v>0</v>
      </c>
      <c r="W141" s="26">
        <f t="array" ref="W141">IF(
 U141=FALSE,
 "",
 _xlfn.XLOOKUP(
  A141,
  tblCost[TargetID],
  tblCost[RemainingRequirements],
  ""
 )
)</f>
        <v>5</v>
      </c>
      <c r="X141" s="45" t="b">
        <f t="array" ref="X141">IF(
 U141=FALSE,
 "N/A",
 _xlfn.XLOOKUP(
  A142,
  tblCost[TargetID],
  tblCost[TargetFunded],
  FALSE
 )
)</f>
        <v>0</v>
      </c>
      <c r="Y141" s="26" t="str">
        <f>IFERROR(__xludf.DUMMYFUNCTION("IFERROR(
 TEXTJOIN(
  "", "",
  TRUE,
  FILTER(
   'cost checklist'!$E$2:$E1000&amp;"": ""&amp;'cost checklist'!$G$2:$G1000,
   'cost checklist'!$B$2:$B1000=A141,
   'cost checklist'!$J$2:$J1000=FALSE
  )
 ),
 """"
)"),"beam: 400, coin: 400, page: 10, ruby: 2, stone: 400")</f>
        <v>beam: 400, coin: 400, page: 10, ruby: 2, stone: 400</v>
      </c>
      <c r="Z141" s="26" t="b">
        <f>IFERROR(__xludf.DUMMYFUNCTION("IF(
 AND(
  E141=""QUEST"",
  RIGHT(A141,9)="".accepted"",
  D141=TRUE
 ),
 XLOOKUP(
  REGEXREPLACE(A141,""\.accepted$"","""")&amp;"".finished"",
  $A$2:$A1000,
  $D$2:$D1000,
  TRUE
 )=FALSE,
 FALSE
)"),FALSE)</f>
        <v>0</v>
      </c>
      <c r="AA141" s="26" t="str">
        <f>IFERROR(__xludf.DUMMYFUNCTION("LET(
 id,A141,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2" ht="14.25" customHeight="1">
      <c r="A142" s="26" t="s">
        <v>518</v>
      </c>
      <c r="B142" s="26" t="str">
        <f t="array" ref="B142">_xlfn.XLOOKUP(
 A142,
 tblTargets[TargetID],
 tblTargets[DisplayName],
 ""
)</f>
        <v>Pantry</v>
      </c>
      <c r="C142" s="26" t="str">
        <f t="shared" si="1"/>
        <v>BLOCKED</v>
      </c>
      <c r="D142" s="26" t="b">
        <f>IFERROR(__xludf.DUMMYFUNCTION("LET(
 id,A142,
 IF(
  F142=""CHARACTER"",
  LET(
   base,REGEXREPLACE(id,""@\d+$"",""""),
   required,VALUE(REGEXEXTRACT(id,""@(\d+)$"")),
   current,XLOOKUP(
    base,
    tblPlayer[PlayerStateID],
    tblPlayer[Value],
    0
   ),
   current&gt;=required
 "&amp;" ),
  IF(
   T142=""AUTO"",
   L142=0,
   COUNTIFS(
    tblChecklist[TargetID],id,
    tblChecklist[PlayerCompleted],TRUE
   )&gt;0
  )
 )
)"),FALSE)</f>
        <v>0</v>
      </c>
      <c r="E142" s="26" t="str">
        <f t="array" ref="E142">_xlfn.XLOOKUP(
 A142,
 tblTargets[TargetID],
 tblTargets[TargetType],
 ""
)</f>
        <v>CITADEL</v>
      </c>
      <c r="F142" s="26" t="str">
        <f t="array" ref="F142">_xlfn.XLOOKUP(
 A142,
 tblTargets[TargetID],
 tblTargets[StateType],
 ""
)</f>
        <v/>
      </c>
      <c r="G142" s="26">
        <f>LET(
 id,A142,
 depCount,COUNTIF(tblDependencies[TargetID],id),
 objCount,COUNTIF(tblQuestObjectives[QuestTargetID],id),
 depCount+objCount
)</f>
        <v>2</v>
      </c>
      <c r="H142" s="26">
        <f t="shared" si="2"/>
        <v>2</v>
      </c>
      <c r="I142" s="26">
        <f>IFERROR(__xludf.DUMMYFUNCTION("LET(
 id,A142,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2" s="26">
        <f t="shared" si="3"/>
        <v>0</v>
      </c>
      <c r="K142" s="26" t="b">
        <f t="shared" si="4"/>
        <v>0</v>
      </c>
      <c r="L142" s="26">
        <f t="shared" si="5"/>
        <v>2</v>
      </c>
      <c r="M142" s="26" t="str">
        <f>IFERROR(__xludf.DUMMYFUNCTION("LET(
 id,A142,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L142=0,
  """",
  IFERROR(INDEX(incomplete,1),"""")"&amp;"
 )
)"),"tech.dungeon.great_hall")</f>
        <v>tech.dungeon.great_hall</v>
      </c>
      <c r="N142" s="26" t="str">
        <f t="array" ref="N142">IF(
 M142="",
 "",
 _xlfn.XLOOKUP(
  M142,
  tblTargets[TargetID],
  tblTargets[DisplayName],
  M142
 )
)</f>
        <v>Dungeon - Great Hall</v>
      </c>
      <c r="O142" s="26" t="str">
        <f>IFERROR(__xludf.DUMMYFUNCTION("SWITCH(
 E142,
 ""BUILDING"",XLOOKUP(A142,tblBuildings[BuildingID],tblBuildings[costtext],""""),
 ""TECH"",XLOOKUP(A142,tblTechnologies[TechnologyID],tblTechnologies[costtext],""""),
 ""QUEST"",XLOOKUP(
  REGEXREPLACE(A142,""\.[^.]+$"",""""),
  tblQuests["&amp;"QuestID],
  tblQuests[Costtext],
  """"
 ),
 ""CITADEL"",XLOOKUP(A142,tblCitadel[CitadelID],tblCitadel[costtext],""""),
 ""COLLECTION"",XLOOKUP(A142,tblCollections[CollectionID],tblCollections[costtext],""""),
 ""CRAFTIFACT"",XLOOKUP(A142,tblCraftifacts[C"&amp;"raftifactID],tblCraftifacts[costtext],""""),
 """"
)"),"400 beam,400 coin,10 page,2 ruby,400 stone")</f>
        <v>400 beam,400 coin,10 page,2 ruby,400 stone</v>
      </c>
      <c r="P142" s="26" t="str">
        <f t="shared" si="6"/>
        <v>BLOCKED</v>
      </c>
      <c r="Q142" s="26" t="str">
        <f t="shared" si="7"/>
        <v>BLOCKED</v>
      </c>
      <c r="R142" s="26" t="str">
        <f t="array" ref="R142">IFERROR(
 _xlfn.XLOOKUP(
  A142,
  tblChecklist[TargetID],
  tblChecklist[PlayerSort],
  ""
 ),
 ""
)</f>
        <v/>
      </c>
      <c r="S142" s="26" t="str">
        <f>IFERROR(__xludf.DUMMYFUNCTION("LET(
 id,A142,
 successorIDs,
  IFERROR(
   UNIQUE(
    FILTER(
     {
      Dependencies!$A$2:$A$1000;
      QuestObjectives!$A$2:$A$1000
     },
     {
      Dependencies!$B$2:$B$1000;
      QuestObjectives!$E$2:$E$1000
     }=id
    )
   ),
   """"
  )"&amp;",
 names,
  MAP(
   successorIDs,
   LAMBDA(s,
    IF(
     s="""",
     """",
     XLOOKUP(
      s,
      $A$2:$A$1000,
      $B$2:$B$1000,
      s
     )
    )
   )
  ),
 IF(
  successorIDs="""",
  """",
  TEXTJOIN("", "",TRUE,names)
 )
)"),"Pantry 1 Lv 1, Pantry 2 Lv 1, Pantry 3 Lv 1, Pantry 4 Lv 1")</f>
        <v>Pantry 1 Lv 1, Pantry 2 Lv 1, Pantry 3 Lv 1, Pantry 4 Lv 1</v>
      </c>
      <c r="T142" s="26" t="str">
        <f t="array" ref="T142">_xlfn.XLOOKUP(
 A142,
 tblTargets[TargetID],
 tblTargets[CompletionMethod],
 ""
)</f>
        <v>PLAYER</v>
      </c>
      <c r="U142" s="84" t="b">
        <f>COUNTIF(tblCost[TargetID],A142)&gt;0</f>
        <v>1</v>
      </c>
      <c r="V142" s="85">
        <f t="array" ref="V142">IF(
 U142=FALSE,
 "",
 _xlfn.XLOOKUP(
  A142,
  tblCost[TargetID],
  tblCost[FundingPercent],
  ""
 )
)</f>
        <v>0</v>
      </c>
      <c r="W142" s="26">
        <f t="array" ref="W142">IF(
 U142=FALSE,
 "",
 _xlfn.XLOOKUP(
  A142,
  tblCost[TargetID],
  tblCost[RemainingRequirements],
  ""
 )
)</f>
        <v>5</v>
      </c>
      <c r="X142" s="45" t="b">
        <f t="array" ref="X142">IF(
 U142=FALSE,
 "N/A",
 _xlfn.XLOOKUP(
  A143,
  tblCost[TargetID],
  tblCost[TargetFunded],
  FALSE
 )
)</f>
        <v>0</v>
      </c>
      <c r="Y142" s="26" t="str">
        <f>IFERROR(__xludf.DUMMYFUNCTION("IFERROR(
 TEXTJOIN(
  "", "",
  TRUE,
  FILTER(
   'cost checklist'!$E$2:$E1000&amp;"": ""&amp;'cost checklist'!$G$2:$G1000,
   'cost checklist'!$B$2:$B1000=A142,
   'cost checklist'!$J$2:$J1000=FALSE
  )
 ),
 """"
)"),"beam: 400, coin: 400, page: 10, ruby: 2, stone: 400")</f>
        <v>beam: 400, coin: 400, page: 10, ruby: 2, stone: 400</v>
      </c>
      <c r="Z142" s="26" t="b">
        <f>IFERROR(__xludf.DUMMYFUNCTION("IF(
 AND(
  E142=""QUEST"",
  RIGHT(A142,9)="".accepted"",
  D142=TRUE
 ),
 XLOOKUP(
  REGEXREPLACE(A142,""\.accepted$"","""")&amp;"".finished"",
  $A$2:$A1000,
  $D$2:$D1000,
  TRUE
 )=FALSE,
 FALSE
)"),FALSE)</f>
        <v>0</v>
      </c>
      <c r="AA142" s="26" t="str">
        <f>IFERROR(__xludf.DUMMYFUNCTION("LET(
 id,A142,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3" ht="14.25" customHeight="1">
      <c r="A143" s="26" t="s">
        <v>521</v>
      </c>
      <c r="B143" s="26" t="str">
        <f t="array" ref="B143">_xlfn.XLOOKUP(
 A143,
 tblTargets[TargetID],
 tblTargets[DisplayName],
 ""
)</f>
        <v>Tavern</v>
      </c>
      <c r="C143" s="26" t="str">
        <f t="shared" si="1"/>
        <v>BLOCKED</v>
      </c>
      <c r="D143" s="26" t="b">
        <f>IFERROR(__xludf.DUMMYFUNCTION("LET(
 id,A143,
 IF(
  F143=""CHARACTER"",
  LET(
   base,REGEXREPLACE(id,""@\d+$"",""""),
   required,VALUE(REGEXEXTRACT(id,""@(\d+)$"")),
   current,XLOOKUP(
    base,
    tblPlayer[PlayerStateID],
    tblPlayer[Value],
    0
   ),
   current&gt;=required
 "&amp;" ),
  IF(
   T143=""AUTO"",
   L143=0,
   COUNTIFS(
    tblChecklist[TargetID],id,
    tblChecklist[PlayerCompleted],TRUE
   )&gt;0
  )
 )
)"),FALSE)</f>
        <v>0</v>
      </c>
      <c r="E143" s="26" t="str">
        <f t="array" ref="E143">_xlfn.XLOOKUP(
 A143,
 tblTargets[TargetID],
 tblTargets[TargetType],
 ""
)</f>
        <v>CITADEL</v>
      </c>
      <c r="F143" s="26" t="str">
        <f t="array" ref="F143">_xlfn.XLOOKUP(
 A143,
 tblTargets[TargetID],
 tblTargets[StateType],
 ""
)</f>
        <v/>
      </c>
      <c r="G143" s="26">
        <f>LET(
 id,A143,
 depCount,COUNTIF(tblDependencies[TargetID],id),
 objCount,COUNTIF(tblQuestObjectives[QuestTargetID],id),
 depCount+objCount
)</f>
        <v>2</v>
      </c>
      <c r="H143" s="26">
        <f t="shared" si="2"/>
        <v>2</v>
      </c>
      <c r="I143" s="26">
        <f>IFERROR(__xludf.DUMMYFUNCTION("LET(
 id,A143,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3" s="26">
        <f t="shared" si="3"/>
        <v>0</v>
      </c>
      <c r="K143" s="26" t="b">
        <f t="shared" si="4"/>
        <v>0</v>
      </c>
      <c r="L143" s="26">
        <f t="shared" si="5"/>
        <v>2</v>
      </c>
      <c r="M143" s="26" t="str">
        <f>IFERROR(__xludf.DUMMYFUNCTION("LET(
 id,A143,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L143=0,
  """",
  IFERROR(INDEX(incomplete,1),"""")"&amp;"
 )
)"),"tech.dungeon.great_hall")</f>
        <v>tech.dungeon.great_hall</v>
      </c>
      <c r="N143" s="26" t="str">
        <f t="array" ref="N143">IF(
 M143="",
 "",
 _xlfn.XLOOKUP(
  M143,
  tblTargets[TargetID],
  tblTargets[DisplayName],
  M143
 )
)</f>
        <v>Dungeon - Great Hall</v>
      </c>
      <c r="O143" s="26" t="str">
        <f>IFERROR(__xludf.DUMMYFUNCTION("SWITCH(
 E143,
 ""BUILDING"",XLOOKUP(A143,tblBuildings[BuildingID],tblBuildings[costtext],""""),
 ""TECH"",XLOOKUP(A143,tblTechnologies[TechnologyID],tblTechnologies[costtext],""""),
 ""QUEST"",XLOOKUP(
  REGEXREPLACE(A143,""\.[^.]+$"",""""),
  tblQuests["&amp;"QuestID],
  tblQuests[Costtext],
  """"
 ),
 ""CITADEL"",XLOOKUP(A143,tblCitadel[CitadelID],tblCitadel[costtext],""""),
 ""COLLECTION"",XLOOKUP(A143,tblCollections[CollectionID],tblCollections[costtext],""""),
 ""CRAFTIFACT"",XLOOKUP(A143,tblCraftifacts[C"&amp;"raftifactID],tblCraftifacts[costtext],""""),
 """"
)"),"400 beam,400 coin,10 page,2 ruby,400 stone")</f>
        <v>400 beam,400 coin,10 page,2 ruby,400 stone</v>
      </c>
      <c r="P143" s="26" t="str">
        <f t="shared" si="6"/>
        <v>BLOCKED</v>
      </c>
      <c r="Q143" s="26" t="str">
        <f t="shared" si="7"/>
        <v>BLOCKED</v>
      </c>
      <c r="R143" s="26" t="str">
        <f t="array" ref="R143">IFERROR(
 _xlfn.XLOOKUP(
  A143,
  tblChecklist[TargetID],
  tblChecklist[PlayerSort],
  ""
 ),
 ""
)</f>
        <v/>
      </c>
      <c r="S143" s="26" t="str">
        <f>IFERROR(__xludf.DUMMYFUNCTION("LET(
 id,A143,
 successorIDs,
  IFERROR(
   UNIQUE(
    FILTER(
     {
      Dependencies!$A$2:$A$1000;
      QuestObjectives!$A$2:$A$1000
     },
     {
      Dependencies!$B$2:$B$1000;
      QuestObjectives!$E$2:$E$1000
     }=id
    )
   ),
   """"
  )"&amp;",
 names,
  MAP(
   successorIDs,
   LAMBDA(s,
    IF(
     s="""",
     """",
     XLOOKUP(
      s,
      $A$2:$A$1000,
      $B$2:$B$1000,
      s
     )
    )
   )
  ),
 IF(
  successorIDs="""",
  """",
  TEXTJOIN("", "",TRUE,names)
 )
)"),"Tavern Lv 1")</f>
        <v>Tavern Lv 1</v>
      </c>
      <c r="T143" s="26" t="str">
        <f t="array" ref="T143">_xlfn.XLOOKUP(
 A143,
 tblTargets[TargetID],
 tblTargets[CompletionMethod],
 ""
)</f>
        <v>PLAYER</v>
      </c>
      <c r="U143" s="84" t="b">
        <f>COUNTIF(tblCost[TargetID],A143)&gt;0</f>
        <v>1</v>
      </c>
      <c r="V143" s="85">
        <f t="array" ref="V143">IF(
 U143=FALSE,
 "",
 _xlfn.XLOOKUP(
  A143,
  tblCost[TargetID],
  tblCost[FundingPercent],
  ""
 )
)</f>
        <v>0</v>
      </c>
      <c r="W143" s="26">
        <f t="array" ref="W143">IF(
 U143=FALSE,
 "",
 _xlfn.XLOOKUP(
  A143,
  tblCost[TargetID],
  tblCost[RemainingRequirements],
  ""
 )
)</f>
        <v>5</v>
      </c>
      <c r="X143" s="45" t="b">
        <f t="array" ref="X143">IF(
 U143=FALSE,
 "N/A",
 _xlfn.XLOOKUP(
  A144,
  tblCost[TargetID],
  tblCost[TargetFunded],
  FALSE
 )
)</f>
        <v>0</v>
      </c>
      <c r="Y143" s="26" t="str">
        <f>IFERROR(__xludf.DUMMYFUNCTION("IFERROR(
 TEXTJOIN(
  "", "",
  TRUE,
  FILTER(
   'cost checklist'!$E$2:$E1000&amp;"": ""&amp;'cost checklist'!$G$2:$G1000,
   'cost checklist'!$B$2:$B1000=A143,
   'cost checklist'!$J$2:$J1000=FALSE
  )
 ),
 """"
)"),"beam: 400, coin: 400, page: 10, ruby: 2, stone: 400")</f>
        <v>beam: 400, coin: 400, page: 10, ruby: 2, stone: 400</v>
      </c>
      <c r="Z143" s="26" t="b">
        <f>IFERROR(__xludf.DUMMYFUNCTION("IF(
 AND(
  E143=""QUEST"",
  RIGHT(A143,9)="".accepted"",
  D143=TRUE
 ),
 XLOOKUP(
  REGEXREPLACE(A143,""\.accepted$"","""")&amp;"".finished"",
  $A$2:$A1000,
  $D$2:$D1000,
  TRUE
 )=FALSE,
 FALSE
)"),FALSE)</f>
        <v>0</v>
      </c>
      <c r="AA143" s="26" t="str">
        <f>IFERROR(__xludf.DUMMYFUNCTION("LET(
 id,A143,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4" ht="14.25" customHeight="1">
      <c r="A144" s="26" t="s">
        <v>523</v>
      </c>
      <c r="B144" s="26" t="str">
        <f t="array" ref="B144">_xlfn.XLOOKUP(
 A144,
 tblTargets[TargetID],
 tblTargets[DisplayName],
 ""
)</f>
        <v>Treasury</v>
      </c>
      <c r="C144" s="26" t="str">
        <f t="shared" si="1"/>
        <v>BLOCKED</v>
      </c>
      <c r="D144" s="26" t="b">
        <f>IFERROR(__xludf.DUMMYFUNCTION("LET(
 id,A144,
 IF(
  F144=""CHARACTER"",
  LET(
   base,REGEXREPLACE(id,""@\d+$"",""""),
   required,VALUE(REGEXEXTRACT(id,""@(\d+)$"")),
   current,XLOOKUP(
    base,
    tblPlayer[PlayerStateID],
    tblPlayer[Value],
    0
   ),
   current&gt;=required
 "&amp;" ),
  IF(
   T144=""AUTO"",
   L144=0,
   COUNTIFS(
    tblChecklist[TargetID],id,
    tblChecklist[PlayerCompleted],TRUE
   )&gt;0
  )
 )
)"),FALSE)</f>
        <v>0</v>
      </c>
      <c r="E144" s="26" t="str">
        <f t="array" ref="E144">_xlfn.XLOOKUP(
 A144,
 tblTargets[TargetID],
 tblTargets[TargetType],
 ""
)</f>
        <v>CITADEL</v>
      </c>
      <c r="F144" s="26" t="str">
        <f t="array" ref="F144">_xlfn.XLOOKUP(
 A144,
 tblTargets[TargetID],
 tblTargets[StateType],
 ""
)</f>
        <v/>
      </c>
      <c r="G144" s="26">
        <f>LET(
 id,A144,
 depCount,COUNTIF(tblDependencies[TargetID],id),
 objCount,COUNTIF(tblQuestObjectives[QuestTargetID],id),
 depCount+objCount
)</f>
        <v>2</v>
      </c>
      <c r="H144" s="26">
        <f t="shared" si="2"/>
        <v>2</v>
      </c>
      <c r="I144" s="26">
        <f>IFERROR(__xludf.DUMMYFUNCTION("LET(
 id,A144,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4" s="26">
        <f t="shared" si="3"/>
        <v>0</v>
      </c>
      <c r="K144" s="26" t="b">
        <f t="shared" si="4"/>
        <v>0</v>
      </c>
      <c r="L144" s="26">
        <f t="shared" si="5"/>
        <v>2</v>
      </c>
      <c r="M144" s="26" t="str">
        <f>IFERROR(__xludf.DUMMYFUNCTION("LET(
 id,A144,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L144=0,
  """",
  IFERROR(INDEX(incomplete,1),"""")"&amp;"
 )
)"),"tech.dungeon.great_hall")</f>
        <v>tech.dungeon.great_hall</v>
      </c>
      <c r="N144" s="26" t="str">
        <f t="array" ref="N144">IF(
 M144="",
 "",
 _xlfn.XLOOKUP(
  M144,
  tblTargets[TargetID],
  tblTargets[DisplayName],
  M144
 )
)</f>
        <v>Dungeon - Great Hall</v>
      </c>
      <c r="O144" s="26" t="str">
        <f>IFERROR(__xludf.DUMMYFUNCTION("SWITCH(
 E144,
 ""BUILDING"",XLOOKUP(A144,tblBuildings[BuildingID],tblBuildings[costtext],""""),
 ""TECH"",XLOOKUP(A144,tblTechnologies[TechnologyID],tblTechnologies[costtext],""""),
 ""QUEST"",XLOOKUP(
  REGEXREPLACE(A144,""\.[^.]+$"",""""),
  tblQuests["&amp;"QuestID],
  tblQuests[Costtext],
  """"
 ),
 ""CITADEL"",XLOOKUP(A144,tblCitadel[CitadelID],tblCitadel[costtext],""""),
 ""COLLECTION"",XLOOKUP(A144,tblCollections[CollectionID],tblCollections[costtext],""""),
 ""CRAFTIFACT"",XLOOKUP(A144,tblCraftifacts[C"&amp;"raftifactID],tblCraftifacts[costtext],""""),
 """"
)"),"600 beam,600 coin,20 page,3 ruby,300 steel,600 stone")</f>
        <v>600 beam,600 coin,20 page,3 ruby,300 steel,600 stone</v>
      </c>
      <c r="P144" s="26" t="str">
        <f t="shared" si="6"/>
        <v>BLOCKED</v>
      </c>
      <c r="Q144" s="26" t="str">
        <f t="shared" si="7"/>
        <v>BLOCKED</v>
      </c>
      <c r="R144" s="26" t="str">
        <f t="array" ref="R144">IFERROR(
 _xlfn.XLOOKUP(
  A144,
  tblChecklist[TargetID],
  tblChecklist[PlayerSort],
  ""
 ),
 ""
)</f>
        <v/>
      </c>
      <c r="S144" s="26" t="str">
        <f>IFERROR(__xludf.DUMMYFUNCTION("LET(
 id,A144,
 successorIDs,
  IFERROR(
   UNIQUE(
    FILTER(
     {
      Dependencies!$A$2:$A$1000;
      QuestObjectives!$A$2:$A$1000
     },
     {
      Dependencies!$B$2:$B$1000;
      QuestObjectives!$E$2:$E$1000
     }=id
    )
   ),
   """"
  )"&amp;",
 names,
  MAP(
   successorIDs,
   LAMBDA(s,
    IF(
     s="""",
     """",
     XLOOKUP(
      s,
      $A$2:$A$1000,
      $B$2:$B$1000,
      s
     )
    )
   )
  ),
 IF(
  successorIDs="""",
  """",
  TEXTJOIN("", "",TRUE,names)
 )
)"),"Treasury 1 Lv 1, Treasury 2 Lv 1, Treasury 3 Lv 1")</f>
        <v>Treasury 1 Lv 1, Treasury 2 Lv 1, Treasury 3 Lv 1</v>
      </c>
      <c r="T144" s="26" t="str">
        <f t="array" ref="T144">_xlfn.XLOOKUP(
 A144,
 tblTargets[TargetID],
 tblTargets[CompletionMethod],
 ""
)</f>
        <v>PLAYER</v>
      </c>
      <c r="U144" s="84" t="b">
        <f>COUNTIF(tblCost[TargetID],A144)&gt;0</f>
        <v>1</v>
      </c>
      <c r="V144" s="85">
        <f t="array" ref="V144">IF(
 U144=FALSE,
 "",
 _xlfn.XLOOKUP(
  A144,
  tblCost[TargetID],
  tblCost[FundingPercent],
  ""
 )
)</f>
        <v>0</v>
      </c>
      <c r="W144" s="26">
        <f t="array" ref="W144">IF(
 U144=FALSE,
 "",
 _xlfn.XLOOKUP(
  A144,
  tblCost[TargetID],
  tblCost[RemainingRequirements],
  ""
 )
)</f>
        <v>6</v>
      </c>
      <c r="X144" s="45" t="b">
        <f t="array" ref="X144">IF(
 U144=FALSE,
 "N/A",
 _xlfn.XLOOKUP(
  A145,
  tblCost[TargetID],
  tblCost[TargetFunded],
  FALSE
 )
)</f>
        <v>0</v>
      </c>
      <c r="Y144" s="26" t="str">
        <f>IFERROR(__xludf.DUMMYFUNCTION("IFERROR(
 TEXTJOIN(
  "", "",
  TRUE,
  FILTER(
   'cost checklist'!$E$2:$E1000&amp;"": ""&amp;'cost checklist'!$G$2:$G1000,
   'cost checklist'!$B$2:$B1000=A144,
   'cost checklist'!$J$2:$J1000=FALSE
  )
 ),
 """"
)"),"beam: 600, coin: 600, page: 20, ruby: 3, steel: 300, stone: 600")</f>
        <v>beam: 600, coin: 600, page: 20, ruby: 3, steel: 300, stone: 600</v>
      </c>
      <c r="Z144" s="26" t="b">
        <f>IFERROR(__xludf.DUMMYFUNCTION("IF(
 AND(
  E144=""QUEST"",
  RIGHT(A144,9)="".accepted"",
  D144=TRUE
 ),
 XLOOKUP(
  REGEXREPLACE(A144,""\.accepted$"","""")&amp;"".finished"",
  $A$2:$A1000,
  $D$2:$D1000,
  TRUE
 )=FALSE,
 FALSE
)"),FALSE)</f>
        <v>0</v>
      </c>
      <c r="AA144" s="26" t="str">
        <f>IFERROR(__xludf.DUMMYFUNCTION("LET(
 id,A144,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5" ht="14.25" customHeight="1">
      <c r="A145" s="26" t="s">
        <v>525</v>
      </c>
      <c r="B145" s="26" t="str">
        <f t="array" ref="B145">_xlfn.XLOOKUP(
 A145,
 tblTargets[TargetID],
 tblTargets[DisplayName],
 ""
)</f>
        <v>Tunnel</v>
      </c>
      <c r="C145" s="26" t="str">
        <f t="shared" si="1"/>
        <v>BLOCKED</v>
      </c>
      <c r="D145" s="26" t="b">
        <f>IFERROR(__xludf.DUMMYFUNCTION("LET(
 id,A145,
 IF(
  F145=""CHARACTER"",
  LET(
   base,REGEXREPLACE(id,""@\d+$"",""""),
   required,VALUE(REGEXEXTRACT(id,""@(\d+)$"")),
   current,XLOOKUP(
    base,
    tblPlayer[PlayerStateID],
    tblPlayer[Value],
    0
   ),
   current&gt;=required
 "&amp;" ),
  IF(
   T145=""AUTO"",
   L145=0,
   COUNTIFS(
    tblChecklist[TargetID],id,
    tblChecklist[PlayerCompleted],TRUE
   )&gt;0
  )
 )
)"),FALSE)</f>
        <v>0</v>
      </c>
      <c r="E145" s="26" t="str">
        <f t="array" ref="E145">_xlfn.XLOOKUP(
 A145,
 tblTargets[TargetID],
 tblTargets[TargetType],
 ""
)</f>
        <v>CITADEL</v>
      </c>
      <c r="F145" s="26" t="str">
        <f t="array" ref="F145">_xlfn.XLOOKUP(
 A145,
 tblTargets[TargetID],
 tblTargets[StateType],
 ""
)</f>
        <v/>
      </c>
      <c r="G145" s="26">
        <f>LET(
 id,A145,
 depCount,COUNTIF(tblDependencies[TargetID],id),
 objCount,COUNTIF(tblQuestObjectives[QuestTargetID],id),
 depCount+objCount
)</f>
        <v>1</v>
      </c>
      <c r="H145" s="26">
        <f t="shared" si="2"/>
        <v>1</v>
      </c>
      <c r="I145" s="26">
        <f>IFERROR(__xludf.DUMMYFUNCTION("LET(
 id,A145,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5" s="26">
        <f t="shared" si="3"/>
        <v>0</v>
      </c>
      <c r="K145" s="26" t="b">
        <f t="shared" si="4"/>
        <v>0</v>
      </c>
      <c r="L145" s="26">
        <f t="shared" si="5"/>
        <v>1</v>
      </c>
      <c r="M145" s="26" t="str">
        <f>IFERROR(__xludf.DUMMYFUNCTION("LET(
 id,A145,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L145=0,
  """",
  IFERROR(INDEX(incomplete,1),"""")"&amp;"
 )
)"),"quest.ahead_of_time_chapter_2.accepted")</f>
        <v>quest.ahead_of_time_chapter_2.accepted</v>
      </c>
      <c r="N145" s="26" t="str">
        <f t="array" ref="N145">IF(
 M145="",
 "",
 _xlfn.XLOOKUP(
  M145,
  tblTargets[TargetID],
  tblTargets[DisplayName],
  M145
 )
)</f>
        <v>Ahead of Time Chapter 2 Accepted</v>
      </c>
      <c r="O145" s="26" t="str">
        <f>IFERROR(__xludf.DUMMYFUNCTION("SWITCH(
 E145,
 ""BUILDING"",XLOOKUP(A145,tblBuildings[BuildingID],tblBuildings[costtext],""""),
 ""TECH"",XLOOKUP(A145,tblTechnologies[TechnologyID],tblTechnologies[costtext],""""),
 ""QUEST"",XLOOKUP(
  REGEXREPLACE(A145,""\.[^.]+$"",""""),
  tblQuests["&amp;"QuestID],
  tblQuests[Costtext],
  """"
 ),
 ""CITADEL"",XLOOKUP(A145,tblCitadel[CitadelID],tblCitadel[costtext],""""),
 ""COLLECTION"",XLOOKUP(A145,tblCollections[CollectionID],tblCollections[costtext],""""),
 ""CRAFTIFACT"",XLOOKUP(A145,tblCraftifacts[C"&amp;"raftifactID],tblCraftifacts[costtext],""""),
 """"
)"),"ruby:5,coin:1000,beam:8000,stone:500,steel:1000,mechanism:40,petard:100,pcard:100,blueprint:100")</f>
        <v>ruby:5,coin:1000,beam:8000,stone:500,steel:1000,mechanism:40,petard:100,pcard:100,blueprint:100</v>
      </c>
      <c r="P145" s="26" t="str">
        <f t="shared" si="6"/>
        <v>BLOCKED</v>
      </c>
      <c r="Q145" s="26" t="str">
        <f t="shared" si="7"/>
        <v>BLOCKED</v>
      </c>
      <c r="R145" s="26" t="str">
        <f t="array" ref="R145">IFERROR(
 _xlfn.XLOOKUP(
  A145,
  tblChecklist[TargetID],
  tblChecklist[PlayerSort],
  ""
 ),
 ""
)</f>
        <v/>
      </c>
      <c r="S145" s="26" t="str">
        <f>IFERROR(__xludf.DUMMYFUNCTION("LET(
 id,A145,
 successorIDs,
  IFERROR(
   UNIQUE(
    FILTER(
     {
      Dependencies!$A$2:$A$1000;
      QuestObjectives!$A$2:$A$1000
     },
     {
      Dependencies!$B$2:$B$1000;
      QuestObjectives!$E$2:$E$1000
     }=id
    )
   ),
   """"
  )"&amp;",
 names,
  MAP(
   successorIDs,
   LAMBDA(s,
    IF(
     s="""",
     """",
     XLOOKUP(
      s,
      $A$2:$A$1000,
      $B$2:$B$1000,
      s
     )
    )
   )
  ),
 IF(
  successorIDs="""",
  """",
  TEXTJOIN("", "",TRUE,names)
 )
)"),"Send Train to Sapporo, Ahead of Time Chapter 2 Finished")</f>
        <v>Send Train to Sapporo, Ahead of Time Chapter 2 Finished</v>
      </c>
      <c r="T145" s="26" t="str">
        <f t="array" ref="T145">_xlfn.XLOOKUP(
 A145,
 tblTargets[TargetID],
 tblTargets[CompletionMethod],
 ""
)</f>
        <v>PLAYER</v>
      </c>
      <c r="U145" s="84" t="b">
        <f>COUNTIF(tblCost[TargetID],A145)&gt;0</f>
        <v>1</v>
      </c>
      <c r="V145" s="85">
        <f t="array" ref="V145">IF(
 U145=FALSE,
 "",
 _xlfn.XLOOKUP(
  A145,
  tblCost[TargetID],
  tblCost[FundingPercent],
  ""
 )
)</f>
        <v>0</v>
      </c>
      <c r="W145" s="26">
        <f t="array" ref="W145">IF(
 U145=FALSE,
 "",
 _xlfn.XLOOKUP(
  A145,
  tblCost[TargetID],
  tblCost[RemainingRequirements],
  ""
 )
)</f>
        <v>9</v>
      </c>
      <c r="X145" s="45" t="b">
        <f t="array" ref="X145">IF(
 U145=FALSE,
 "N/A",
 _xlfn.XLOOKUP(
  A146,
  tblCost[TargetID],
  tblCost[TargetFunded],
  FALSE
 )
)</f>
        <v>0</v>
      </c>
      <c r="Y145" s="26" t="str">
        <f>IFERROR(__xludf.DUMMYFUNCTION("IFERROR(
 TEXTJOIN(
  "", "",
  TRUE,
  FILTER(
   'cost checklist'!$E$2:$E1000&amp;"": ""&amp;'cost checklist'!$G$2:$G1000,
   'cost checklist'!$B$2:$B1000=A145,
   'cost checklist'!$J$2:$J1000=FALSE
  )
 ),
 """"
)"),"beam: 8000, blueprint: 100, coin: 1000, mechanism: 40, pcard: 100, petard: 100, ruby: 5, steel: 1000, stone: 500")</f>
        <v>beam: 8000, blueprint: 100, coin: 1000, mechanism: 40, pcard: 100, petard: 100, ruby: 5, steel: 1000, stone: 500</v>
      </c>
      <c r="Z145" s="26" t="b">
        <f>IFERROR(__xludf.DUMMYFUNCTION("IF(
 AND(
  E145=""QUEST"",
  RIGHT(A145,9)="".accepted"",
  D145=TRUE
 ),
 XLOOKUP(
  REGEXREPLACE(A145,""\.accepted$"","""")&amp;"".finished"",
  $A$2:$A1000,
  $D$2:$D1000,
  TRUE
 )=FALSE,
 FALSE
)"),FALSE)</f>
        <v>0</v>
      </c>
      <c r="AA145" s="26" t="str">
        <f>IFERROR(__xludf.DUMMYFUNCTION("LET(
 id,A145,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6" ht="14.25" customHeight="1">
      <c r="A146" s="26" t="s">
        <v>528</v>
      </c>
      <c r="B146" s="26" t="str">
        <f t="array" ref="B146">_xlfn.XLOOKUP(
 A146,
 tblTargets[TargetID],
 tblTargets[DisplayName],
 ""
)</f>
        <v>Alchemist Hall Lv 1</v>
      </c>
      <c r="C146" s="26" t="str">
        <f t="shared" si="1"/>
        <v>BLOCKED</v>
      </c>
      <c r="D146" s="26" t="b">
        <f>IFERROR(__xludf.DUMMYFUNCTION("LET(
 id,A146,
 IF(
  F146=""CHARACTER"",
  LET(
   base,REGEXREPLACE(id,""@\d+$"",""""),
   required,VALUE(REGEXEXTRACT(id,""@(\d+)$"")),
   current,XLOOKUP(
    base,
    tblPlayer[PlayerStateID],
    tblPlayer[Value],
    0
   ),
   current&gt;=required
 "&amp;" ),
  IF(
   T146=""AUTO"",
   L146=0,
   COUNTIFS(
    tblChecklist[TargetID],id,
    tblChecklist[PlayerCompleted],TRUE
   )&gt;0
  )
 )
)"),FALSE)</f>
        <v>0</v>
      </c>
      <c r="E146" s="26" t="str">
        <f t="array" ref="E146">_xlfn.XLOOKUP(
 A146,
 tblTargets[TargetID],
 tblTargets[TargetType],
 ""
)</f>
        <v>COLLECTION</v>
      </c>
      <c r="F146" s="26" t="str">
        <f t="array" ref="F146">_xlfn.XLOOKUP(
 A146,
 tblTargets[TargetID],
 tblTargets[StateType],
 ""
)</f>
        <v/>
      </c>
      <c r="G146" s="26">
        <f>LET(
 id,A146,
 depCount,COUNTIF(tblDependencies[TargetID],id),
 objCount,COUNTIF(tblQuestObjectives[QuestTargetID],id),
 depCount+objCount
)</f>
        <v>1</v>
      </c>
      <c r="H146" s="26">
        <f t="shared" si="2"/>
        <v>1</v>
      </c>
      <c r="I146" s="26">
        <f>IFERROR(__xludf.DUMMYFUNCTION("LET(
 id,A146,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6" s="26">
        <f t="shared" si="3"/>
        <v>0</v>
      </c>
      <c r="K146" s="26" t="b">
        <f t="shared" si="4"/>
        <v>0</v>
      </c>
      <c r="L146" s="26">
        <f t="shared" si="5"/>
        <v>1</v>
      </c>
      <c r="M146" s="26" t="str">
        <f>IFERROR(__xludf.DUMMYFUNCTION("LET(
 id,A146,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L146=0,
  """",
  IFERROR(INDEX(incomplete,1),"""")"&amp;"
 )
)"),"collection.cave_in_alchemist_hall@1")</f>
        <v>collection.cave_in_alchemist_hall@1</v>
      </c>
      <c r="N146" s="26" t="str">
        <f t="array" ref="N146">IF(
 M146="",
 "",
 _xlfn.XLOOKUP(
  M146,
  tblTargets[TargetID],
  tblTargets[DisplayName],
  M146
 )
)</f>
        <v>Cave-in Alchemist Hall</v>
      </c>
      <c r="O146" s="26" t="str">
        <f>IFERROR(__xludf.DUMMYFUNCTION("SWITCH(
 E146,
 ""BUILDING"",XLOOKUP(A146,tblBuildings[BuildingID],tblBuildings[costtext],""""),
 ""TECH"",XLOOKUP(A146,tblTechnologies[TechnologyID],tblTechnologies[costtext],""""),
 ""QUEST"",XLOOKUP(
  REGEXREPLACE(A146,""\.[^.]+$"",""""),
  tblQuests["&amp;"QuestID],
  tblQuests[Costtext],
  """"
 ),
 ""CITADEL"",XLOOKUP(A146,tblCitadel[CitadelID],tblCitadel[costtext],""""),
 ""COLLECTION"",XLOOKUP(A146,tblCollections[CollectionID],tblCollections[costtext],""""),
 ""CRAFTIFACT"",XLOOKUP(A146,tblCraftifacts[C"&amp;"raftifactID],tblCraftifacts[costtext],""""),
 """"
)"),"20 cherry, 20 catalyst, 20 mercury, 10 hide, 20 mandrake, 5 grimoire, 10 violetcrystal, 111 reagent")</f>
        <v>20 cherry, 20 catalyst, 20 mercury, 10 hide, 20 mandrake, 5 grimoire, 10 violetcrystal, 111 reagent</v>
      </c>
      <c r="P146" s="26" t="str">
        <f t="shared" si="6"/>
        <v>BLOCKED</v>
      </c>
      <c r="Q146" s="26" t="str">
        <f t="shared" si="7"/>
        <v>BLOCKED</v>
      </c>
      <c r="R146" s="26" t="str">
        <f t="array" ref="R146">IFERROR(
 _xlfn.XLOOKUP(
  A146,
  tblChecklist[TargetID],
  tblChecklist[PlayerSort],
  ""
 ),
 ""
)</f>
        <v/>
      </c>
      <c r="S146" s="26" t="str">
        <f>IFERROR(__xludf.DUMMYFUNCTION("LET(
 id,A146,
 successorIDs,
  IFERROR(
   UNIQUE(
    FILTER(
     {
      Dependencies!$A$2:$A$1000;
      QuestObjectives!$A$2:$A$1000
     },
     {
      Dependencies!$B$2:$B$1000;
      QuestObjectives!$E$2:$E$1000
     }=id
    )
   ),
   """"
  )"&amp;",
 names,
  MAP(
   successorIDs,
   LAMBDA(s,
    IF(
     s="""",
     """",
     XLOOKUP(
      s,
      $A$2:$A$1000,
      $B$2:$B$1000,
      s
     )
    )
   )
  ),
 IF(
  successorIDs="""",
  """",
  TEXTJOIN("", "",TRUE,names)
 )
)"),"Alchemist Hall Lv 2, Letter from the Dark Lady Finished")</f>
        <v>Alchemist Hall Lv 2, Letter from the Dark Lady Finished</v>
      </c>
      <c r="T146" s="26" t="str">
        <f t="array" ref="T146">_xlfn.XLOOKUP(
 A146,
 tblTargets[TargetID],
 tblTargets[CompletionMethod],
 ""
)</f>
        <v>PLAYER</v>
      </c>
      <c r="U146" s="84" t="b">
        <f>COUNTIF(tblCost[TargetID],A146)&gt;0</f>
        <v>1</v>
      </c>
      <c r="V146" s="85">
        <f t="array" ref="V146">IF(
 U146=FALSE,
 "",
 _xlfn.XLOOKUP(
  A146,
  tblCost[TargetID],
  tblCost[FundingPercent],
  ""
 )
)</f>
        <v>0</v>
      </c>
      <c r="W146" s="26">
        <f t="array" ref="W146">IF(
 U146=FALSE,
 "",
 _xlfn.XLOOKUP(
  A146,
  tblCost[TargetID],
  tblCost[RemainingRequirements],
  ""
 )
)</f>
        <v>8</v>
      </c>
      <c r="X146" s="45" t="b">
        <f t="array" ref="X146">IF(
 U146=FALSE,
 "N/A",
 _xlfn.XLOOKUP(
  A147,
  tblCost[TargetID],
  tblCost[TargetFunded],
  FALSE
 )
)</f>
        <v>0</v>
      </c>
      <c r="Y146" s="26" t="str">
        <f>IFERROR(__xludf.DUMMYFUNCTION("IFERROR(
 TEXTJOIN(
  "", "",
  TRUE,
  FILTER(
   'cost checklist'!$E$2:$E1000&amp;"": ""&amp;'cost checklist'!$G$2:$G1000,
   'cost checklist'!$B$2:$B1000=A146,
   'cost checklist'!$J$2:$J1000=FALSE
  )
 ),
 """"
)"),"catalyst: 20, cherry: 20, grimoire: 5, hide: 10, mandrake: 20, mercury: 20, reagent: 111, violetcrystal: 10")</f>
        <v>catalyst: 20, cherry: 20, grimoire: 5, hide: 10, mandrake: 20, mercury: 20, reagent: 111, violetcrystal: 10</v>
      </c>
      <c r="Z146" s="26" t="b">
        <f>IFERROR(__xludf.DUMMYFUNCTION("IF(
 AND(
  E146=""QUEST"",
  RIGHT(A146,9)="".accepted"",
  D146=TRUE
 ),
 XLOOKUP(
  REGEXREPLACE(A146,""\.accepted$"","""")&amp;"".finished"",
  $A$2:$A1000,
  $D$2:$D1000,
  TRUE
 )=FALSE,
 FALSE
)"),FALSE)</f>
        <v>0</v>
      </c>
      <c r="AA146" s="26" t="str">
        <f>IFERROR(__xludf.DUMMYFUNCTION("LET(
 id,A146,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7" ht="14.25" customHeight="1">
      <c r="A147" s="26" t="s">
        <v>532</v>
      </c>
      <c r="B147" s="26" t="str">
        <f t="array" ref="B147">_xlfn.XLOOKUP(
 A147,
 tblTargets[TargetID],
 tblTargets[DisplayName],
 ""
)</f>
        <v>Alchemist Hall Lv 2</v>
      </c>
      <c r="C147" s="26" t="str">
        <f t="shared" si="1"/>
        <v>BLOCKED</v>
      </c>
      <c r="D147" s="26" t="b">
        <f>IFERROR(__xludf.DUMMYFUNCTION("LET(
 id,A147,
 IF(
  F147=""CHARACTER"",
  LET(
   base,REGEXREPLACE(id,""@\d+$"",""""),
   required,VALUE(REGEXEXTRACT(id,""@(\d+)$"")),
   current,XLOOKUP(
    base,
    tblPlayer[PlayerStateID],
    tblPlayer[Value],
    0
   ),
   current&gt;=required
 "&amp;" ),
  IF(
   T147=""AUTO"",
   L147=0,
   COUNTIFS(
    tblChecklist[TargetID],id,
    tblChecklist[PlayerCompleted],TRUE
   )&gt;0
  )
 )
)"),FALSE)</f>
        <v>0</v>
      </c>
      <c r="E147" s="26" t="str">
        <f t="array" ref="E147">_xlfn.XLOOKUP(
 A147,
 tblTargets[TargetID],
 tblTargets[TargetType],
 ""
)</f>
        <v>COLLECTION</v>
      </c>
      <c r="F147" s="26" t="str">
        <f t="array" ref="F147">_xlfn.XLOOKUP(
 A147,
 tblTargets[TargetID],
 tblTargets[StateType],
 ""
)</f>
        <v/>
      </c>
      <c r="G147" s="26">
        <f>LET(
 id,A147,
 depCount,COUNTIF(tblDependencies[TargetID],id),
 objCount,COUNTIF(tblQuestObjectives[QuestTargetID],id),
 depCount+objCount
)</f>
        <v>1</v>
      </c>
      <c r="H147" s="26">
        <f t="shared" si="2"/>
        <v>1</v>
      </c>
      <c r="I147" s="26">
        <f>IFERROR(__xludf.DUMMYFUNCTION("LET(
 id,A147,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7" s="26">
        <f t="shared" si="3"/>
        <v>0</v>
      </c>
      <c r="K147" s="26" t="b">
        <f t="shared" si="4"/>
        <v>0</v>
      </c>
      <c r="L147" s="26">
        <f t="shared" si="5"/>
        <v>1</v>
      </c>
      <c r="M147" s="26" t="str">
        <f>IFERROR(__xludf.DUMMYFUNCTION("LET(
 id,A147,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L147=0,
  """",
  IFERROR(INDEX(incomplete,1),"""")"&amp;"
 )
)"),"collection.alchemist_hall_1@1")</f>
        <v>collection.alchemist_hall_1@1</v>
      </c>
      <c r="N147" s="26" t="str">
        <f t="array" ref="N147">IF(
 M147="",
 "",
 _xlfn.XLOOKUP(
  M147,
  tblTargets[TargetID],
  tblTargets[DisplayName],
  M147
 )
)</f>
        <v>Alchemist Hall Lv 1</v>
      </c>
      <c r="O147" s="26" t="str">
        <f>IFERROR(__xludf.DUMMYFUNCTION("SWITCH(
 E147,
 ""BUILDING"",XLOOKUP(A147,tblBuildings[BuildingID],tblBuildings[costtext],""""),
 ""TECH"",XLOOKUP(A147,tblTechnologies[TechnologyID],tblTechnologies[costtext],""""),
 ""QUEST"",XLOOKUP(
  REGEXREPLACE(A147,""\.[^.]+$"",""""),
  tblQuests["&amp;"QuestID],
  tblQuests[Costtext],
  """"
 ),
 ""CITADEL"",XLOOKUP(A147,tblCitadel[CitadelID],tblCitadel[costtext],""""),
 ""COLLECTION"",XLOOKUP(A147,tblCollections[CollectionID],tblCollections[costtext],""""),
 ""CRAFTIFACT"",XLOOKUP(A147,tblCraftifacts[C"&amp;"raftifactID],tblCraftifacts[costtext],""""),
 """"
)"),"40 cherry, 40 catalyst, 40 mercury, 20 hide, 40 mandrake, 10 grimoire, 20 violetcrystal, 222 reagent")</f>
        <v>40 cherry, 40 catalyst, 40 mercury, 20 hide, 40 mandrake, 10 grimoire, 20 violetcrystal, 222 reagent</v>
      </c>
      <c r="P147" s="26" t="str">
        <f t="shared" si="6"/>
        <v>BLOCKED</v>
      </c>
      <c r="Q147" s="26" t="str">
        <f t="shared" si="7"/>
        <v>BLOCKED</v>
      </c>
      <c r="R147" s="26" t="str">
        <f t="array" ref="R147">IFERROR(
 _xlfn.XLOOKUP(
  A147,
  tblChecklist[TargetID],
  tblChecklist[PlayerSort],
  ""
 ),
 ""
)</f>
        <v/>
      </c>
      <c r="S147" s="26" t="str">
        <f>IFERROR(__xludf.DUMMYFUNCTION("LET(
 id,A147,
 successorIDs,
  IFERROR(
   UNIQUE(
    FILTER(
     {
      Dependencies!$A$2:$A$1000;
      QuestObjectives!$A$2:$A$1000
     },
     {
      Dependencies!$B$2:$B$1000;
      QuestObjectives!$E$2:$E$1000
     }=id
    )
   ),
   """"
  )"&amp;",
 names,
  MAP(
   successorIDs,
   LAMBDA(s,
    IF(
     s="""",
     """",
     XLOOKUP(
      s,
      $A$2:$A$1000,
      $B$2:$B$1000,
      s
     )
    )
   )
  ),
 IF(
  successorIDs="""",
  """",
  TEXTJOIN("", "",TRUE,names)
 )
)"),"")</f>
        <v/>
      </c>
      <c r="T147" s="26" t="str">
        <f t="array" ref="T147">_xlfn.XLOOKUP(
 A147,
 tblTargets[TargetID],
 tblTargets[CompletionMethod],
 ""
)</f>
        <v>PLAYER</v>
      </c>
      <c r="U147" s="84" t="b">
        <f>COUNTIF(tblCost[TargetID],A147)&gt;0</f>
        <v>1</v>
      </c>
      <c r="V147" s="85">
        <f t="array" ref="V147">IF(
 U147=FALSE,
 "",
 _xlfn.XLOOKUP(
  A147,
  tblCost[TargetID],
  tblCost[FundingPercent],
  ""
 )
)</f>
        <v>0</v>
      </c>
      <c r="W147" s="26">
        <f t="array" ref="W147">IF(
 U147=FALSE,
 "",
 _xlfn.XLOOKUP(
  A147,
  tblCost[TargetID],
  tblCost[RemainingRequirements],
  ""
 )
)</f>
        <v>8</v>
      </c>
      <c r="X147" s="45" t="b">
        <f t="array" ref="X147">IF(
 U147=FALSE,
 "N/A",
 _xlfn.XLOOKUP(
  A148,
  tblCost[TargetID],
  tblCost[TargetFunded],
  FALSE
 )
)</f>
        <v>0</v>
      </c>
      <c r="Y147" s="26" t="str">
        <f>IFERROR(__xludf.DUMMYFUNCTION("IFERROR(
 TEXTJOIN(
  "", "",
  TRUE,
  FILTER(
   'cost checklist'!$E$2:$E1000&amp;"": ""&amp;'cost checklist'!$G$2:$G1000,
   'cost checklist'!$B$2:$B1000=A147,
   'cost checklist'!$J$2:$J1000=FALSE
  )
 ),
 """"
)"),"catalyst: 40, cherry: 40, grimoire: 10, hide: 20, mandrake: 40, mercury: 40, reagent: 222, violetcrystal: 20")</f>
        <v>catalyst: 40, cherry: 40, grimoire: 10, hide: 20, mandrake: 40, mercury: 40, reagent: 222, violetcrystal: 20</v>
      </c>
      <c r="Z147" s="26" t="b">
        <f>IFERROR(__xludf.DUMMYFUNCTION("IF(
 AND(
  E147=""QUEST"",
  RIGHT(A147,9)="".accepted"",
  D147=TRUE
 ),
 XLOOKUP(
  REGEXREPLACE(A147,""\.accepted$"","""")&amp;"".finished"",
  $A$2:$A1000,
  $D$2:$D1000,
  TRUE
 )=FALSE,
 FALSE
)"),FALSE)</f>
        <v>0</v>
      </c>
      <c r="AA147" s="26" t="str">
        <f>IFERROR(__xludf.DUMMYFUNCTION("LET(
 id,A147,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8" ht="14.25" customHeight="1">
      <c r="A148" s="26" t="s">
        <v>535</v>
      </c>
      <c r="B148" s="26" t="str">
        <f t="array" ref="B148">_xlfn.XLOOKUP(
 A148,
 tblTargets[TargetID],
 tblTargets[DisplayName],
 ""
)</f>
        <v>Alchemist Hall Lv 1</v>
      </c>
      <c r="C148" s="26" t="str">
        <f t="shared" si="1"/>
        <v>BLOCKED</v>
      </c>
      <c r="D148" s="26" t="b">
        <f>IFERROR(__xludf.DUMMYFUNCTION("LET(
 id,A148,
 IF(
  F148=""CHARACTER"",
  LET(
   base,REGEXREPLACE(id,""@\d+$"",""""),
   required,VALUE(REGEXEXTRACT(id,""@(\d+)$"")),
   current,XLOOKUP(
    base,
    tblPlayer[PlayerStateID],
    tblPlayer[Value],
    0
   ),
   current&gt;=required
 "&amp;" ),
  IF(
   T148=""AUTO"",
   L148=0,
   COUNTIFS(
    tblChecklist[TargetID],id,
    tblChecklist[PlayerCompleted],TRUE
   )&gt;0
  )
 )
)"),FALSE)</f>
        <v>0</v>
      </c>
      <c r="E148" s="26" t="str">
        <f t="array" ref="E148">_xlfn.XLOOKUP(
 A148,
 tblTargets[TargetID],
 tblTargets[TargetType],
 ""
)</f>
        <v>COLLECTION</v>
      </c>
      <c r="F148" s="26" t="str">
        <f t="array" ref="F148">_xlfn.XLOOKUP(
 A148,
 tblTargets[TargetID],
 tblTargets[StateType],
 ""
)</f>
        <v/>
      </c>
      <c r="G148" s="26">
        <f>LET(
 id,A148,
 depCount,COUNTIF(tblDependencies[TargetID],id),
 objCount,COUNTIF(tblQuestObjectives[QuestTargetID],id),
 depCount+objCount
)</f>
        <v>1</v>
      </c>
      <c r="H148" s="26">
        <f t="shared" si="2"/>
        <v>1</v>
      </c>
      <c r="I148" s="26">
        <f>IFERROR(__xludf.DUMMYFUNCTION("LET(
 id,A148,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8" s="26">
        <f t="shared" si="3"/>
        <v>0</v>
      </c>
      <c r="K148" s="26" t="b">
        <f t="shared" si="4"/>
        <v>0</v>
      </c>
      <c r="L148" s="26">
        <f t="shared" si="5"/>
        <v>1</v>
      </c>
      <c r="M148" s="26" t="str">
        <f>IFERROR(__xludf.DUMMYFUNCTION("LET(
 id,A148,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L148=0,
  """",
  IFERROR(INDEX(incomplete,1),"""")"&amp;"
 )
)"),"collection.cave_in_alchemist_hall@1")</f>
        <v>collection.cave_in_alchemist_hall@1</v>
      </c>
      <c r="N148" s="26" t="str">
        <f t="array" ref="N148">IF(
 M148="",
 "",
 _xlfn.XLOOKUP(
  M148,
  tblTargets[TargetID],
  tblTargets[DisplayName],
  M148
 )
)</f>
        <v>Cave-in Alchemist Hall</v>
      </c>
      <c r="O148" s="26" t="str">
        <f>IFERROR(__xludf.DUMMYFUNCTION("SWITCH(
 E148,
 ""BUILDING"",XLOOKUP(A148,tblBuildings[BuildingID],tblBuildings[costtext],""""),
 ""TECH"",XLOOKUP(A148,tblTechnologies[TechnologyID],tblTechnologies[costtext],""""),
 ""QUEST"",XLOOKUP(
  REGEXREPLACE(A148,""\.[^.]+$"",""""),
  tblQuests["&amp;"QuestID],
  tblQuests[Costtext],
  """"
 ),
 ""CITADEL"",XLOOKUP(A148,tblCitadel[CitadelID],tblCitadel[costtext],""""),
 ""COLLECTION"",XLOOKUP(A148,tblCollections[CollectionID],tblCollections[costtext],""""),
 ""CRAFTIFACT"",XLOOKUP(A148,tblCraftifacts[C"&amp;"raftifactID],tblCraftifacts[costtext],""""),
 """"
)"),"10 herbs, 10 herbs.2, 20 mushrooms, 24 bone, 24 bone.2, 20 page, 1 scroll, 10 quartz")</f>
        <v>10 herbs, 10 herbs.2, 20 mushrooms, 24 bone, 24 bone.2, 20 page, 1 scroll, 10 quartz</v>
      </c>
      <c r="P148" s="26" t="str">
        <f t="shared" si="6"/>
        <v>BLOCKED</v>
      </c>
      <c r="Q148" s="26" t="str">
        <f t="shared" si="7"/>
        <v>BLOCKED</v>
      </c>
      <c r="R148" s="26" t="str">
        <f t="array" ref="R148">IFERROR(
 _xlfn.XLOOKUP(
  A148,
  tblChecklist[TargetID],
  tblChecklist[PlayerSort],
  ""
 ),
 ""
)</f>
        <v/>
      </c>
      <c r="S148" s="26" t="str">
        <f>IFERROR(__xludf.DUMMYFUNCTION("LET(
 id,A148,
 successorIDs,
  IFERROR(
   UNIQUE(
    FILTER(
     {
      Dependencies!$A$2:$A$1000;
      QuestObjectives!$A$2:$A$1000
     },
     {
      Dependencies!$B$2:$B$1000;
      QuestObjectives!$E$2:$E$1000
     }=id
    )
   ),
   """"
  )"&amp;",
 names,
  MAP(
   successorIDs,
   LAMBDA(s,
    IF(
     s="""",
     """",
     XLOOKUP(
      s,
      $A$2:$A$1000,
      $B$2:$B$1000,
      s
     )
    )
   )
  ),
 IF(
  successorIDs="""",
  """",
  TEXTJOIN("", "",TRUE,names)
 )
)"),"Alchemist Hall Lv 2, Letter from the Dark Lady Finished")</f>
        <v>Alchemist Hall Lv 2, Letter from the Dark Lady Finished</v>
      </c>
      <c r="T148" s="26" t="str">
        <f t="array" ref="T148">_xlfn.XLOOKUP(
 A148,
 tblTargets[TargetID],
 tblTargets[CompletionMethod],
 ""
)</f>
        <v>PLAYER</v>
      </c>
      <c r="U148" s="84" t="b">
        <f>COUNTIF(tblCost[TargetID],A148)&gt;0</f>
        <v>1</v>
      </c>
      <c r="V148" s="85">
        <f t="array" ref="V148">IF(
 U148=FALSE,
 "",
 _xlfn.XLOOKUP(
  A148,
  tblCost[TargetID],
  tblCost[FundingPercent],
  ""
 )
)</f>
        <v>0</v>
      </c>
      <c r="W148" s="26">
        <f t="array" ref="W148">IF(
 U148=FALSE,
 "",
 _xlfn.XLOOKUP(
  A148,
  tblCost[TargetID],
  tblCost[RemainingRequirements],
  ""
 )
)</f>
        <v>8</v>
      </c>
      <c r="X148" s="45" t="b">
        <f t="array" ref="X148">IF(
 U148=FALSE,
 "N/A",
 _xlfn.XLOOKUP(
  A149,
  tblCost[TargetID],
  tblCost[TargetFunded],
  FALSE
 )
)</f>
        <v>0</v>
      </c>
      <c r="Y148" s="26" t="str">
        <f>IFERROR(__xludf.DUMMYFUNCTION("IFERROR(
 TEXTJOIN(
  "", "",
  TRUE,
  FILTER(
   'cost checklist'!$E$2:$E1000&amp;"": ""&amp;'cost checklist'!$G$2:$G1000,
   'cost checklist'!$B$2:$B1000=A148,
   'cost checklist'!$J$2:$J1000=FALSE
  )
 ),
 """"
)"),"bone: 24, bone: 24, herbs: 10, herbs: 10, mushrooms: 20, page: 20, quartz: 10, scroll: 1")</f>
        <v>bone: 24, bone: 24, herbs: 10, herbs: 10, mushrooms: 20, page: 20, quartz: 10, scroll: 1</v>
      </c>
      <c r="Z148" s="26" t="b">
        <f>IFERROR(__xludf.DUMMYFUNCTION("IF(
 AND(
  E148=""QUEST"",
  RIGHT(A148,9)="".accepted"",
  D148=TRUE
 ),
 XLOOKUP(
  REGEXREPLACE(A148,""\.accepted$"","""")&amp;"".finished"",
  $A$2:$A1000,
  $D$2:$D1000,
  TRUE
 )=FALSE,
 FALSE
)"),FALSE)</f>
        <v>0</v>
      </c>
      <c r="AA148" s="26" t="str">
        <f>IFERROR(__xludf.DUMMYFUNCTION("LET(
 id,A148,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49" ht="14.25" customHeight="1">
      <c r="A149" s="26" t="s">
        <v>537</v>
      </c>
      <c r="B149" s="26" t="str">
        <f t="array" ref="B149">_xlfn.XLOOKUP(
 A149,
 tblTargets[TargetID],
 tblTargets[DisplayName],
 ""
)</f>
        <v>Alchemist Hall Lv 2</v>
      </c>
      <c r="C149" s="26" t="str">
        <f t="shared" si="1"/>
        <v>BLOCKED</v>
      </c>
      <c r="D149" s="26" t="b">
        <f>IFERROR(__xludf.DUMMYFUNCTION("LET(
 id,A149,
 IF(
  F149=""CHARACTER"",
  LET(
   base,REGEXREPLACE(id,""@\d+$"",""""),
   required,VALUE(REGEXEXTRACT(id,""@(\d+)$"")),
   current,XLOOKUP(
    base,
    tblPlayer[PlayerStateID],
    tblPlayer[Value],
    0
   ),
   current&gt;=required
 "&amp;" ),
  IF(
   T149=""AUTO"",
   L149=0,
   COUNTIFS(
    tblChecklist[TargetID],id,
    tblChecklist[PlayerCompleted],TRUE
   )&gt;0
  )
 )
)"),FALSE)</f>
        <v>0</v>
      </c>
      <c r="E149" s="26" t="str">
        <f t="array" ref="E149">_xlfn.XLOOKUP(
 A149,
 tblTargets[TargetID],
 tblTargets[TargetType],
 ""
)</f>
        <v>COLLECTION</v>
      </c>
      <c r="F149" s="26" t="str">
        <f t="array" ref="F149">_xlfn.XLOOKUP(
 A149,
 tblTargets[TargetID],
 tblTargets[StateType],
 ""
)</f>
        <v/>
      </c>
      <c r="G149" s="26">
        <f>LET(
 id,A149,
 depCount,COUNTIF(tblDependencies[TargetID],id),
 objCount,COUNTIF(tblQuestObjectives[QuestTargetID],id),
 depCount+objCount
)</f>
        <v>1</v>
      </c>
      <c r="H149" s="26">
        <f t="shared" si="2"/>
        <v>1</v>
      </c>
      <c r="I149" s="26">
        <f>IFERROR(__xludf.DUMMYFUNCTION("LET(
 id,A149,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49" s="26">
        <f t="shared" si="3"/>
        <v>0</v>
      </c>
      <c r="K149" s="26" t="b">
        <f t="shared" si="4"/>
        <v>0</v>
      </c>
      <c r="L149" s="26">
        <f t="shared" si="5"/>
        <v>1</v>
      </c>
      <c r="M149" s="26" t="str">
        <f>IFERROR(__xludf.DUMMYFUNCTION("LET(
 id,A149,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L149=0,
  """",
  IFERROR(INDEX(incomplete,1),"""")"&amp;"
 )
)"),"collection.alchemist_hall_2@1")</f>
        <v>collection.alchemist_hall_2@1</v>
      </c>
      <c r="N149" s="26" t="str">
        <f t="array" ref="N149">IF(
 M149="",
 "",
 _xlfn.XLOOKUP(
  M149,
  tblTargets[TargetID],
  tblTargets[DisplayName],
  M149
 )
)</f>
        <v>Alchemist Hall Lv 1</v>
      </c>
      <c r="O149" s="26" t="str">
        <f>IFERROR(__xludf.DUMMYFUNCTION("SWITCH(
 E149,
 ""BUILDING"",XLOOKUP(A149,tblBuildings[BuildingID],tblBuildings[costtext],""""),
 ""TECH"",XLOOKUP(A149,tblTechnologies[TechnologyID],tblTechnologies[costtext],""""),
 ""QUEST"",XLOOKUP(
  REGEXREPLACE(A149,""\.[^.]+$"",""""),
  tblQuests["&amp;"QuestID],
  tblQuests[Costtext],
  """"
 ),
 ""CITADEL"",XLOOKUP(A149,tblCitadel[CitadelID],tblCitadel[costtext],""""),
 ""COLLECTION"",XLOOKUP(A149,tblCollections[CollectionID],tblCollections[costtext],""""),
 ""CRAFTIFACT"",XLOOKUP(A149,tblCraftifacts[C"&amp;"raftifactID],tblCraftifacts[costtext],""""),
 """"
)"),"20 herbs, 20 herbs.2, 40 mushrooms, 48 bone, 48 bone.2, 40 page, 2 scroll, 20 quartz")</f>
        <v>20 herbs, 20 herbs.2, 40 mushrooms, 48 bone, 48 bone.2, 40 page, 2 scroll, 20 quartz</v>
      </c>
      <c r="P149" s="26" t="str">
        <f t="shared" si="6"/>
        <v>BLOCKED</v>
      </c>
      <c r="Q149" s="26" t="str">
        <f t="shared" si="7"/>
        <v>BLOCKED</v>
      </c>
      <c r="R149" s="26" t="str">
        <f t="array" ref="R149">IFERROR(
 _xlfn.XLOOKUP(
  A149,
  tblChecklist[TargetID],
  tblChecklist[PlayerSort],
  ""
 ),
 ""
)</f>
        <v/>
      </c>
      <c r="S149" s="26" t="str">
        <f>IFERROR(__xludf.DUMMYFUNCTION("LET(
 id,A149,
 successorIDs,
  IFERROR(
   UNIQUE(
    FILTER(
     {
      Dependencies!$A$2:$A$1000;
      QuestObjectives!$A$2:$A$1000
     },
     {
      Dependencies!$B$2:$B$1000;
      QuestObjectives!$E$2:$E$1000
     }=id
    )
   ),
   """"
  )"&amp;",
 names,
  MAP(
   successorIDs,
   LAMBDA(s,
    IF(
     s="""",
     """",
     XLOOKUP(
      s,
      $A$2:$A$1000,
      $B$2:$B$1000,
      s
     )
    )
   )
  ),
 IF(
  successorIDs="""",
  """",
  TEXTJOIN("", "",TRUE,names)
 )
)"),"")</f>
        <v/>
      </c>
      <c r="T149" s="26" t="str">
        <f t="array" ref="T149">_xlfn.XLOOKUP(
 A149,
 tblTargets[TargetID],
 tblTargets[CompletionMethod],
 ""
)</f>
        <v>PLAYER</v>
      </c>
      <c r="U149" s="84" t="b">
        <f>COUNTIF(tblCost[TargetID],A149)&gt;0</f>
        <v>1</v>
      </c>
      <c r="V149" s="85">
        <f t="array" ref="V149">IF(
 U149=FALSE,
 "",
 _xlfn.XLOOKUP(
  A149,
  tblCost[TargetID],
  tblCost[FundingPercent],
  ""
 )
)</f>
        <v>0</v>
      </c>
      <c r="W149" s="26">
        <f t="array" ref="W149">IF(
 U149=FALSE,
 "",
 _xlfn.XLOOKUP(
  A149,
  tblCost[TargetID],
  tblCost[RemainingRequirements],
  ""
 )
)</f>
        <v>8</v>
      </c>
      <c r="X149" s="45" t="b">
        <f t="array" ref="X149">IF(
 U149=FALSE,
 "N/A",
 _xlfn.XLOOKUP(
  A150,
  tblCost[TargetID],
  tblCost[TargetFunded],
  FALSE
 )
)</f>
        <v>0</v>
      </c>
      <c r="Y149" s="26" t="str">
        <f>IFERROR(__xludf.DUMMYFUNCTION("IFERROR(
 TEXTJOIN(
  "", "",
  TRUE,
  FILTER(
   'cost checklist'!$E$2:$E1000&amp;"": ""&amp;'cost checklist'!$G$2:$G1000,
   'cost checklist'!$B$2:$B1000=A149,
   'cost checklist'!$J$2:$J1000=FALSE
  )
 ),
 """"
)"),"bone: 48, bone: 48, herbs: 20, herbs: 20, mushrooms: 40, page: 40, quartz: 20, scroll: 2")</f>
        <v>bone: 48, bone: 48, herbs: 20, herbs: 20, mushrooms: 40, page: 40, quartz: 20, scroll: 2</v>
      </c>
      <c r="Z149" s="26" t="b">
        <f>IFERROR(__xludf.DUMMYFUNCTION("IF(
 AND(
  E149=""QUEST"",
  RIGHT(A149,9)="".accepted"",
  D149=TRUE
 ),
 XLOOKUP(
  REGEXREPLACE(A149,""\.accepted$"","""")&amp;"".finished"",
  $A$2:$A1000,
  $D$2:$D1000,
  TRUE
 )=FALSE,
 FALSE
)"),FALSE)</f>
        <v>0</v>
      </c>
      <c r="AA149" s="26" t="str">
        <f>IFERROR(__xludf.DUMMYFUNCTION("LET(
 id,A149,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0" ht="14.25" customHeight="1">
      <c r="A150" s="26" t="s">
        <v>540</v>
      </c>
      <c r="B150" s="26" t="str">
        <f t="array" ref="B150">_xlfn.XLOOKUP(
 A150,
 tblTargets[TargetID],
 tblTargets[DisplayName],
 ""
)</f>
        <v>Alchemist Hall Lv 1</v>
      </c>
      <c r="C150" s="26" t="str">
        <f t="shared" si="1"/>
        <v>BLOCKED</v>
      </c>
      <c r="D150" s="26" t="b">
        <f>IFERROR(__xludf.DUMMYFUNCTION("LET(
 id,A150,
 IF(
  F150=""CHARACTER"",
  LET(
   base,REGEXREPLACE(id,""@\d+$"",""""),
   required,VALUE(REGEXEXTRACT(id,""@(\d+)$"")),
   current,XLOOKUP(
    base,
    tblPlayer[PlayerStateID],
    tblPlayer[Value],
    0
   ),
   current&gt;=required
 "&amp;" ),
  IF(
   T150=""AUTO"",
   L150=0,
   COUNTIFS(
    tblChecklist[TargetID],id,
    tblChecklist[PlayerCompleted],TRUE
   )&gt;0
  )
 )
)"),FALSE)</f>
        <v>0</v>
      </c>
      <c r="E150" s="26" t="str">
        <f t="array" ref="E150">_xlfn.XLOOKUP(
 A150,
 tblTargets[TargetID],
 tblTargets[TargetType],
 ""
)</f>
        <v>COLLECTION</v>
      </c>
      <c r="F150" s="26" t="str">
        <f t="array" ref="F150">_xlfn.XLOOKUP(
 A150,
 tblTargets[TargetID],
 tblTargets[StateType],
 ""
)</f>
        <v/>
      </c>
      <c r="G150" s="26">
        <f>LET(
 id,A150,
 depCount,COUNTIF(tblDependencies[TargetID],id),
 objCount,COUNTIF(tblQuestObjectives[QuestTargetID],id),
 depCount+objCount
)</f>
        <v>1</v>
      </c>
      <c r="H150" s="26">
        <f t="shared" si="2"/>
        <v>1</v>
      </c>
      <c r="I150" s="26">
        <f>IFERROR(__xludf.DUMMYFUNCTION("LET(
 id,A150,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0" s="26">
        <f t="shared" si="3"/>
        <v>0</v>
      </c>
      <c r="K150" s="26" t="b">
        <f t="shared" si="4"/>
        <v>0</v>
      </c>
      <c r="L150" s="26">
        <f t="shared" si="5"/>
        <v>1</v>
      </c>
      <c r="M150" s="26" t="str">
        <f>IFERROR(__xludf.DUMMYFUNCTION("LET(
 id,A150,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L150=0,
  """",
  IFERROR(INDEX(incomplete,1),"""")"&amp;"
 )
)"),"collection.cave_in_alchemist_hall@1")</f>
        <v>collection.cave_in_alchemist_hall@1</v>
      </c>
      <c r="N150" s="26" t="str">
        <f t="array" ref="N150">IF(
 M150="",
 "",
 _xlfn.XLOOKUP(
  M150,
  tblTargets[TargetID],
  tblTargets[DisplayName],
  M150
 )
)</f>
        <v>Cave-in Alchemist Hall</v>
      </c>
      <c r="O150" s="26" t="str">
        <f>IFERROR(__xludf.DUMMYFUNCTION("SWITCH(
 E150,
 ""BUILDING"",XLOOKUP(A150,tblBuildings[BuildingID],tblBuildings[costtext],""""),
 ""TECH"",XLOOKUP(A150,tblTechnologies[TechnologyID],tblTechnologies[costtext],""""),
 ""QUEST"",XLOOKUP(
  REGEXREPLACE(A150,""\.[^.]+$"",""""),
  tblQuests["&amp;"QuestID],
  tblQuests[Costtext],
  """"
 ),
 ""CITADEL"",XLOOKUP(A150,tblCitadel[CitadelID],tblCitadel[costtext],""""),
 ""COLLECTION"",XLOOKUP(A150,tblCollections[CollectionID],tblCollections[costtext],""""),
 ""CRAFTIFACT"",XLOOKUP(A150,tblCraftifacts[C"&amp;"raftifactID],tblCraftifacts[costtext],""""),
 """"
)"),"12 bonemeal, 24 ginkgo, 24 ginkgo.2, 10 grimoire, 10 bluecrystal")</f>
        <v>12 bonemeal, 24 ginkgo, 24 ginkgo.2, 10 grimoire, 10 bluecrystal</v>
      </c>
      <c r="P150" s="26" t="str">
        <f t="shared" si="6"/>
        <v>BLOCKED</v>
      </c>
      <c r="Q150" s="26" t="str">
        <f t="shared" si="7"/>
        <v>BLOCKED</v>
      </c>
      <c r="R150" s="26" t="str">
        <f t="array" ref="R150">IFERROR(
 _xlfn.XLOOKUP(
  A150,
  tblChecklist[TargetID],
  tblChecklist[PlayerSort],
  ""
 ),
 ""
)</f>
        <v/>
      </c>
      <c r="S150" s="26" t="str">
        <f>IFERROR(__xludf.DUMMYFUNCTION("LET(
 id,A150,
 successorIDs,
  IFERROR(
   UNIQUE(
    FILTER(
     {
      Dependencies!$A$2:$A$1000;
      QuestObjectives!$A$2:$A$1000
     },
     {
      Dependencies!$B$2:$B$1000;
      QuestObjectives!$E$2:$E$1000
     }=id
    )
   ),
   """"
  )"&amp;",
 names,
  MAP(
   successorIDs,
   LAMBDA(s,
    IF(
     s="""",
     """",
     XLOOKUP(
      s,
      $A$2:$A$1000,
      $B$2:$B$1000,
      s
     )
    )
   )
  ),
 IF(
  successorIDs="""",
  """",
  TEXTJOIN("", "",TRUE,names)
 )
)"),"Alchemist Hall Lv 2, Letter from the Dark Lady Finished")</f>
        <v>Alchemist Hall Lv 2, Letter from the Dark Lady Finished</v>
      </c>
      <c r="T150" s="26" t="str">
        <f t="array" ref="T150">_xlfn.XLOOKUP(
 A150,
 tblTargets[TargetID],
 tblTargets[CompletionMethod],
 ""
)</f>
        <v>PLAYER</v>
      </c>
      <c r="U150" s="84" t="b">
        <f>COUNTIF(tblCost[TargetID],A150)&gt;0</f>
        <v>1</v>
      </c>
      <c r="V150" s="85">
        <f t="array" ref="V150">IF(
 U150=FALSE,
 "",
 _xlfn.XLOOKUP(
  A150,
  tblCost[TargetID],
  tblCost[FundingPercent],
  ""
 )
)</f>
        <v>0</v>
      </c>
      <c r="W150" s="26">
        <f t="array" ref="W150">IF(
 U150=FALSE,
 "",
 _xlfn.XLOOKUP(
  A150,
  tblCost[TargetID],
  tblCost[RemainingRequirements],
  ""
 )
)</f>
        <v>5</v>
      </c>
      <c r="X150" s="45" t="b">
        <f t="array" ref="X150">IF(
 U150=FALSE,
 "N/A",
 _xlfn.XLOOKUP(
  A151,
  tblCost[TargetID],
  tblCost[TargetFunded],
  FALSE
 )
)</f>
        <v>0</v>
      </c>
      <c r="Y150" s="26" t="str">
        <f>IFERROR(__xludf.DUMMYFUNCTION("IFERROR(
 TEXTJOIN(
  "", "",
  TRUE,
  FILTER(
   'cost checklist'!$E$2:$E1000&amp;"": ""&amp;'cost checklist'!$G$2:$G1000,
   'cost checklist'!$B$2:$B1000=A150,
   'cost checklist'!$J$2:$J1000=FALSE
  )
 ),
 """"
)"),"bluecrystal: 10, bonemeal: 12, ginkgo: 24, ginkgo: 24, grimoire: 10")</f>
        <v>bluecrystal: 10, bonemeal: 12, ginkgo: 24, ginkgo: 24, grimoire: 10</v>
      </c>
      <c r="Z150" s="26" t="b">
        <f>IFERROR(__xludf.DUMMYFUNCTION("IF(
 AND(
  E150=""QUEST"",
  RIGHT(A150,9)="".accepted"",
  D150=TRUE
 ),
 XLOOKUP(
  REGEXREPLACE(A150,""\.accepted$"","""")&amp;"".finished"",
  $A$2:$A1000,
  $D$2:$D1000,
  TRUE
 )=FALSE,
 FALSE
)"),FALSE)</f>
        <v>0</v>
      </c>
      <c r="AA150" s="26" t="str">
        <f>IFERROR(__xludf.DUMMYFUNCTION("LET(
 id,A150,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1" ht="14.25" customHeight="1">
      <c r="A151" s="26" t="s">
        <v>542</v>
      </c>
      <c r="B151" s="26" t="str">
        <f t="array" ref="B151">_xlfn.XLOOKUP(
 A151,
 tblTargets[TargetID],
 tblTargets[DisplayName],
 ""
)</f>
        <v>Alchemist Hall Lv 2</v>
      </c>
      <c r="C151" s="26" t="str">
        <f t="shared" si="1"/>
        <v>BLOCKED</v>
      </c>
      <c r="D151" s="26" t="b">
        <f>IFERROR(__xludf.DUMMYFUNCTION("LET(
 id,A151,
 IF(
  F151=""CHARACTER"",
  LET(
   base,REGEXREPLACE(id,""@\d+$"",""""),
   required,VALUE(REGEXEXTRACT(id,""@(\d+)$"")),
   current,XLOOKUP(
    base,
    tblPlayer[PlayerStateID],
    tblPlayer[Value],
    0
   ),
   current&gt;=required
 "&amp;" ),
  IF(
   T151=""AUTO"",
   L151=0,
   COUNTIFS(
    tblChecklist[TargetID],id,
    tblChecklist[PlayerCompleted],TRUE
   )&gt;0
  )
 )
)"),FALSE)</f>
        <v>0</v>
      </c>
      <c r="E151" s="26" t="str">
        <f t="array" ref="E151">_xlfn.XLOOKUP(
 A151,
 tblTargets[TargetID],
 tblTargets[TargetType],
 ""
)</f>
        <v>COLLECTION</v>
      </c>
      <c r="F151" s="26" t="str">
        <f t="array" ref="F151">_xlfn.XLOOKUP(
 A151,
 tblTargets[TargetID],
 tblTargets[StateType],
 ""
)</f>
        <v/>
      </c>
      <c r="G151" s="26">
        <f>LET(
 id,A151,
 depCount,COUNTIF(tblDependencies[TargetID],id),
 objCount,COUNTIF(tblQuestObjectives[QuestTargetID],id),
 depCount+objCount
)</f>
        <v>1</v>
      </c>
      <c r="H151" s="26">
        <f t="shared" si="2"/>
        <v>1</v>
      </c>
      <c r="I151" s="26">
        <f>IFERROR(__xludf.DUMMYFUNCTION("LET(
 id,A151,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1" s="26">
        <f t="shared" si="3"/>
        <v>0</v>
      </c>
      <c r="K151" s="26" t="b">
        <f t="shared" si="4"/>
        <v>0</v>
      </c>
      <c r="L151" s="26">
        <f t="shared" si="5"/>
        <v>1</v>
      </c>
      <c r="M151" s="26" t="str">
        <f>IFERROR(__xludf.DUMMYFUNCTION("LET(
 id,A151,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L151=0,
  """",
  IFERROR(INDEX(incomplete,1),"""")"&amp;"
 )
)"),"collection.alchemist_hall_3@1")</f>
        <v>collection.alchemist_hall_3@1</v>
      </c>
      <c r="N151" s="26" t="str">
        <f t="array" ref="N151">IF(
 M151="",
 "",
 _xlfn.XLOOKUP(
  M151,
  tblTargets[TargetID],
  tblTargets[DisplayName],
  M151
 )
)</f>
        <v>Alchemist Hall Lv 1</v>
      </c>
      <c r="O151" s="26" t="str">
        <f>IFERROR(__xludf.DUMMYFUNCTION("SWITCH(
 E151,
 ""BUILDING"",XLOOKUP(A151,tblBuildings[BuildingID],tblBuildings[costtext],""""),
 ""TECH"",XLOOKUP(A151,tblTechnologies[TechnologyID],tblTechnologies[costtext],""""),
 ""QUEST"",XLOOKUP(
  REGEXREPLACE(A151,""\.[^.]+$"",""""),
  tblQuests["&amp;"QuestID],
  tblQuests[Costtext],
  """"
 ),
 ""CITADEL"",XLOOKUP(A151,tblCitadel[CitadelID],tblCitadel[costtext],""""),
 ""COLLECTION"",XLOOKUP(A151,tblCollections[CollectionID],tblCollections[costtext],""""),
 ""CRAFTIFACT"",XLOOKUP(A151,tblCraftifacts[C"&amp;"raftifactID],tblCraftifacts[costtext],""""),
 """"
)"),"24 bonemeal, 48 ginkgo, 48 ginkgo.2, 20 grimoire, 20 bluecrystal")</f>
        <v>24 bonemeal, 48 ginkgo, 48 ginkgo.2, 20 grimoire, 20 bluecrystal</v>
      </c>
      <c r="P151" s="26" t="str">
        <f t="shared" si="6"/>
        <v>BLOCKED</v>
      </c>
      <c r="Q151" s="26" t="str">
        <f t="shared" si="7"/>
        <v>BLOCKED</v>
      </c>
      <c r="R151" s="26" t="str">
        <f t="array" ref="R151">IFERROR(
 _xlfn.XLOOKUP(
  A151,
  tblChecklist[TargetID],
  tblChecklist[PlayerSort],
  ""
 ),
 ""
)</f>
        <v/>
      </c>
      <c r="S151" s="26" t="str">
        <f>IFERROR(__xludf.DUMMYFUNCTION("LET(
 id,A151,
 successorIDs,
  IFERROR(
   UNIQUE(
    FILTER(
     {
      Dependencies!$A$2:$A$1000;
      QuestObjectives!$A$2:$A$1000
     },
     {
      Dependencies!$B$2:$B$1000;
      QuestObjectives!$E$2:$E$1000
     }=id
    )
   ),
   """"
  )"&amp;",
 names,
  MAP(
   successorIDs,
   LAMBDA(s,
    IF(
     s="""",
     """",
     XLOOKUP(
      s,
      $A$2:$A$1000,
      $B$2:$B$1000,
      s
     )
    )
   )
  ),
 IF(
  successorIDs="""",
  """",
  TEXTJOIN("", "",TRUE,names)
 )
)"),"")</f>
        <v/>
      </c>
      <c r="T151" s="26" t="str">
        <f t="array" ref="T151">_xlfn.XLOOKUP(
 A151,
 tblTargets[TargetID],
 tblTargets[CompletionMethod],
 ""
)</f>
        <v>PLAYER</v>
      </c>
      <c r="U151" s="84" t="b">
        <f>COUNTIF(tblCost[TargetID],A151)&gt;0</f>
        <v>1</v>
      </c>
      <c r="V151" s="85">
        <f t="array" ref="V151">IF(
 U151=FALSE,
 "",
 _xlfn.XLOOKUP(
  A151,
  tblCost[TargetID],
  tblCost[FundingPercent],
  ""
 )
)</f>
        <v>0</v>
      </c>
      <c r="W151" s="26">
        <f t="array" ref="W151">IF(
 U151=FALSE,
 "",
 _xlfn.XLOOKUP(
  A151,
  tblCost[TargetID],
  tblCost[RemainingRequirements],
  ""
 )
)</f>
        <v>5</v>
      </c>
      <c r="X151" s="45" t="b">
        <f t="array" ref="X151">IF(
 U151=FALSE,
 "N/A",
 _xlfn.XLOOKUP(
  A152,
  tblCost[TargetID],
  tblCost[TargetFunded],
  FALSE
 )
)</f>
        <v>0</v>
      </c>
      <c r="Y151" s="26" t="str">
        <f>IFERROR(__xludf.DUMMYFUNCTION("IFERROR(
 TEXTJOIN(
  "", "",
  TRUE,
  FILTER(
   'cost checklist'!$E$2:$E1000&amp;"": ""&amp;'cost checklist'!$G$2:$G1000,
   'cost checklist'!$B$2:$B1000=A151,
   'cost checklist'!$J$2:$J1000=FALSE
  )
 ),
 """"
)"),"bluecrystal: 20, bonemeal: 24, ginkgo: 48, ginkgo: 48, grimoire: 20")</f>
        <v>bluecrystal: 20, bonemeal: 24, ginkgo: 48, ginkgo: 48, grimoire: 20</v>
      </c>
      <c r="Z151" s="26" t="b">
        <f>IFERROR(__xludf.DUMMYFUNCTION("IF(
 AND(
  E151=""QUEST"",
  RIGHT(A151,9)="".accepted"",
  D151=TRUE
 ),
 XLOOKUP(
  REGEXREPLACE(A151,""\.accepted$"","""")&amp;"".finished"",
  $A$2:$A1000,
  $D$2:$D1000,
  TRUE
 )=FALSE,
 FALSE
)"),FALSE)</f>
        <v>0</v>
      </c>
      <c r="AA151" s="26" t="str">
        <f>IFERROR(__xludf.DUMMYFUNCTION("LET(
 id,A151,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2" ht="14.25" customHeight="1">
      <c r="A152" s="26" t="s">
        <v>544</v>
      </c>
      <c r="B152" s="26" t="str">
        <f t="array" ref="B152">_xlfn.XLOOKUP(
 A152,
 tblTargets[TargetID],
 tblTargets[DisplayName],
 ""
)</f>
        <v>Armory 1 Lv 1</v>
      </c>
      <c r="C152" s="26" t="str">
        <f t="shared" si="1"/>
        <v>BLOCKED</v>
      </c>
      <c r="D152" s="26" t="b">
        <f>IFERROR(__xludf.DUMMYFUNCTION("LET(
 id,A152,
 IF(
  F152=""CHARACTER"",
  LET(
   base,REGEXREPLACE(id,""@\d+$"",""""),
   required,VALUE(REGEXEXTRACT(id,""@(\d+)$"")),
   current,XLOOKUP(
    base,
    tblPlayer[PlayerStateID],
    tblPlayer[Value],
    0
   ),
   current&gt;=required
 "&amp;" ),
  IF(
   T152=""AUTO"",
   L152=0,
   COUNTIFS(
    tblChecklist[TargetID],id,
    tblChecklist[PlayerCompleted],TRUE
   )&gt;0
  )
 )
)"),FALSE)</f>
        <v>0</v>
      </c>
      <c r="E152" s="26" t="str">
        <f t="array" ref="E152">_xlfn.XLOOKUP(
 A152,
 tblTargets[TargetID],
 tblTargets[TargetType],
 ""
)</f>
        <v>COLLECTION</v>
      </c>
      <c r="F152" s="26" t="str">
        <f t="array" ref="F152">_xlfn.XLOOKUP(
 A152,
 tblTargets[TargetID],
 tblTargets[StateType],
 ""
)</f>
        <v/>
      </c>
      <c r="G152" s="26">
        <f>LET(
 id,A152,
 depCount,COUNTIF(tblDependencies[TargetID],id),
 objCount,COUNTIF(tblQuestObjectives[QuestTargetID],id),
 depCount+objCount
)</f>
        <v>1</v>
      </c>
      <c r="H152" s="26">
        <f t="shared" si="2"/>
        <v>1</v>
      </c>
      <c r="I152" s="26">
        <f>IFERROR(__xludf.DUMMYFUNCTION("LET(
 id,A152,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2" s="26">
        <f t="shared" si="3"/>
        <v>0</v>
      </c>
      <c r="K152" s="26" t="b">
        <f t="shared" si="4"/>
        <v>0</v>
      </c>
      <c r="L152" s="26">
        <f t="shared" si="5"/>
        <v>1</v>
      </c>
      <c r="M152" s="26" t="str">
        <f>IFERROR(__xludf.DUMMYFUNCTION("LET(
 id,A152,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L152=0,
  """",
  IFERROR(INDEX(incomplete,1),"""")"&amp;"
 )
)"),"citadel.armory")</f>
        <v>citadel.armory</v>
      </c>
      <c r="N152" s="26" t="str">
        <f t="array" ref="N152">IF(
 M152="",
 "",
 _xlfn.XLOOKUP(
  M152,
  tblTargets[TargetID],
  tblTargets[DisplayName],
  M152
 )
)</f>
        <v>Armory</v>
      </c>
      <c r="O152" s="26" t="str">
        <f>IFERROR(__xludf.DUMMYFUNCTION("SWITCH(
 E152,
 ""BUILDING"",XLOOKUP(A152,tblBuildings[BuildingID],tblBuildings[costtext],""""),
 ""TECH"",XLOOKUP(A152,tblTechnologies[TechnologyID],tblTechnologies[costtext],""""),
 ""QUEST"",XLOOKUP(
  REGEXREPLACE(A152,""\.[^.]+$"",""""),
  tblQuests["&amp;"QuestID],
  tblQuests[Costtext],
  """"
 ),
 ""CITADEL"",XLOOKUP(A152,tblCitadel[CitadelID],tblCitadel[costtext],""""),
 ""COLLECTION"",XLOOKUP(A152,tblCollections[CollectionID],tblCollections[costtext],""""),
 ""CRAFTIFACT"",XLOOKUP(A152,tblCraftifacts[C"&amp;"raftifactID],tblCraftifacts[costtext],""""),
 """"
)"),"3 armor1,3 armor2,3 armor3,3 armor4,3 shield1,3 shield2,3 shield3,3 shield4,3 sword1,3 sword2,3 sword3,3 sword4")</f>
        <v>3 armor1,3 armor2,3 armor3,3 armor4,3 shield1,3 shield2,3 shield3,3 shield4,3 sword1,3 sword2,3 sword3,3 sword4</v>
      </c>
      <c r="P152" s="26" t="str">
        <f t="shared" si="6"/>
        <v>BLOCKED</v>
      </c>
      <c r="Q152" s="26" t="str">
        <f t="shared" si="7"/>
        <v>BLOCKED</v>
      </c>
      <c r="R152" s="26" t="str">
        <f t="array" ref="R152">IFERROR(
 _xlfn.XLOOKUP(
  A152,
  tblChecklist[TargetID],
  tblChecklist[PlayerSort],
  ""
 ),
 ""
)</f>
        <v/>
      </c>
      <c r="S152" s="26" t="str">
        <f>IFERROR(__xludf.DUMMYFUNCTION("LET(
 id,A152,
 successorIDs,
  IFERROR(
   UNIQUE(
    FILTER(
     {
      Dependencies!$A$2:$A$1000;
      QuestObjectives!$A$2:$A$1000
     },
     {
      Dependencies!$B$2:$B$1000;
      QuestObjectives!$E$2:$E$1000
     }=id
    )
   ),
   """"
  )"&amp;",
 names,
  MAP(
   successorIDs,
   LAMBDA(s,
    IF(
     s="""",
     """",
     XLOOKUP(
      s,
      $A$2:$A$1000,
      $B$2:$B$1000,
      s
     )
    )
   )
  ),
 IF(
  successorIDs="""",
  """",
  TEXTJOIN("", "",TRUE,names)
 )
)"),"Armory 1 Lv 2")</f>
        <v>Armory 1 Lv 2</v>
      </c>
      <c r="T152" s="26" t="str">
        <f t="array" ref="T152">_xlfn.XLOOKUP(
 A152,
 tblTargets[TargetID],
 tblTargets[CompletionMethod],
 ""
)</f>
        <v>PLAYER</v>
      </c>
      <c r="U152" s="84" t="b">
        <f>COUNTIF(tblCost[TargetID],A152)&gt;0</f>
        <v>1</v>
      </c>
      <c r="V152" s="85">
        <f t="array" ref="V152">IF(
 U152=FALSE,
 "",
 _xlfn.XLOOKUP(
  A152,
  tblCost[TargetID],
  tblCost[FundingPercent],
  ""
 )
)</f>
        <v>0</v>
      </c>
      <c r="W152" s="26">
        <f t="array" ref="W152">IF(
 U152=FALSE,
 "",
 _xlfn.XLOOKUP(
  A152,
  tblCost[TargetID],
  tblCost[RemainingRequirements],
  ""
 )
)</f>
        <v>12</v>
      </c>
      <c r="X152" s="45" t="b">
        <f t="array" ref="X152">IF(
 U152=FALSE,
 "N/A",
 _xlfn.XLOOKUP(
  A153,
  tblCost[TargetID],
  tblCost[TargetFunded],
  FALSE
 )
)</f>
        <v>0</v>
      </c>
      <c r="Y152" s="26" t="str">
        <f>IFERROR(__xludf.DUMMYFUNCTION("IFERROR(
 TEXTJOIN(
  "", "",
  TRUE,
  FILTER(
   'cost checklist'!$E$2:$E1000&amp;"": ""&amp;'cost checklist'!$G$2:$G1000,
   'cost checklist'!$B$2:$B1000=A152,
   'cost checklist'!$J$2:$J1000=FALSE
  )
 ),
 """"
)"),"armor1: 3, armor2: 3, armor3: 3, armor4: 3, shield1: 3, shield2: 3, shield3: 3, shield4: 3, sword1: 3, sword2: 3, sword3: 3, sword4: 3")</f>
        <v>armor1: 3, armor2: 3, armor3: 3, armor4: 3, shield1: 3, shield2: 3, shield3: 3, shield4: 3, sword1: 3, sword2: 3, sword3: 3, sword4: 3</v>
      </c>
      <c r="Z152" s="26" t="b">
        <f>IFERROR(__xludf.DUMMYFUNCTION("IF(
 AND(
  E152=""QUEST"",
  RIGHT(A152,9)="".accepted"",
  D152=TRUE
 ),
 XLOOKUP(
  REGEXREPLACE(A152,""\.accepted$"","""")&amp;"".finished"",
  $A$2:$A1000,
  $D$2:$D1000,
  TRUE
 )=FALSE,
 FALSE
)"),FALSE)</f>
        <v>0</v>
      </c>
      <c r="AA152" s="26" t="str">
        <f>IFERROR(__xludf.DUMMYFUNCTION("LET(
 id,A152,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3" ht="14.25" customHeight="1">
      <c r="A153" s="26" t="s">
        <v>546</v>
      </c>
      <c r="B153" s="26" t="str">
        <f t="array" ref="B153">_xlfn.XLOOKUP(
 A153,
 tblTargets[TargetID],
 tblTargets[DisplayName],
 ""
)</f>
        <v>Armory 1 Lv 2</v>
      </c>
      <c r="C153" s="26" t="str">
        <f t="shared" si="1"/>
        <v>BLOCKED</v>
      </c>
      <c r="D153" s="26" t="b">
        <f>IFERROR(__xludf.DUMMYFUNCTION("LET(
 id,A153,
 IF(
  F153=""CHARACTER"",
  LET(
   base,REGEXREPLACE(id,""@\d+$"",""""),
   required,VALUE(REGEXEXTRACT(id,""@(\d+)$"")),
   current,XLOOKUP(
    base,
    tblPlayer[PlayerStateID],
    tblPlayer[Value],
    0
   ),
   current&gt;=required
 "&amp;" ),
  IF(
   T153=""AUTO"",
   L153=0,
   COUNTIFS(
    tblChecklist[TargetID],id,
    tblChecklist[PlayerCompleted],TRUE
   )&gt;0
  )
 )
)"),FALSE)</f>
        <v>0</v>
      </c>
      <c r="E153" s="26" t="str">
        <f t="array" ref="E153">_xlfn.XLOOKUP(
 A153,
 tblTargets[TargetID],
 tblTargets[TargetType],
 ""
)</f>
        <v>COLLECTION</v>
      </c>
      <c r="F153" s="26" t="str">
        <f t="array" ref="F153">_xlfn.XLOOKUP(
 A153,
 tblTargets[TargetID],
 tblTargets[StateType],
 ""
)</f>
        <v/>
      </c>
      <c r="G153" s="26">
        <f>LET(
 id,A153,
 depCount,COUNTIF(tblDependencies[TargetID],id),
 objCount,COUNTIF(tblQuestObjectives[QuestTargetID],id),
 depCount+objCount
)</f>
        <v>1</v>
      </c>
      <c r="H153" s="26">
        <f t="shared" si="2"/>
        <v>1</v>
      </c>
      <c r="I153" s="26">
        <f>IFERROR(__xludf.DUMMYFUNCTION("LET(
 id,A153,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3" s="26">
        <f t="shared" si="3"/>
        <v>0</v>
      </c>
      <c r="K153" s="26" t="b">
        <f t="shared" si="4"/>
        <v>0</v>
      </c>
      <c r="L153" s="26">
        <f t="shared" si="5"/>
        <v>1</v>
      </c>
      <c r="M153" s="26" t="str">
        <f>IFERROR(__xludf.DUMMYFUNCTION("LET(
 id,A153,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L153=0,
  """",
  IFERROR(INDEX(incomplete,1),"""")"&amp;"
 )
)"),"collection.armory_1@1")</f>
        <v>collection.armory_1@1</v>
      </c>
      <c r="N153" s="26" t="str">
        <f t="array" ref="N153">IF(
 M153="",
 "",
 _xlfn.XLOOKUP(
  M153,
  tblTargets[TargetID],
  tblTargets[DisplayName],
  M153
 )
)</f>
        <v>Armory 1 Lv 1</v>
      </c>
      <c r="O153" s="26" t="str">
        <f>IFERROR(__xludf.DUMMYFUNCTION("SWITCH(
 E153,
 ""BUILDING"",XLOOKUP(A153,tblBuildings[BuildingID],tblBuildings[costtext],""""),
 ""TECH"",XLOOKUP(A153,tblTechnologies[TechnologyID],tblTechnologies[costtext],""""),
 ""QUEST"",XLOOKUP(
  REGEXREPLACE(A153,""\.[^.]+$"",""""),
  tblQuests["&amp;"QuestID],
  tblQuests[Costtext],
  """"
 ),
 ""CITADEL"",XLOOKUP(A153,tblCitadel[CitadelID],tblCitadel[costtext],""""),
 ""COLLECTION"",XLOOKUP(A153,tblCollections[CollectionID],tblCollections[costtext],""""),
 ""CRAFTIFACT"",XLOOKUP(A153,tblCraftifacts[C"&amp;"raftifactID],tblCraftifacts[costtext],""""),
 """"
)"),"6 armor1,6 armor2,6 armor3,6 armor4,6 shield1,6 shield2,6 shield3,6 shield4,6 sword1,6 sword2,6 sword3,6 sword4")</f>
        <v>6 armor1,6 armor2,6 armor3,6 armor4,6 shield1,6 shield2,6 shield3,6 shield4,6 sword1,6 sword2,6 sword3,6 sword4</v>
      </c>
      <c r="P153" s="26" t="str">
        <f t="shared" si="6"/>
        <v>BLOCKED</v>
      </c>
      <c r="Q153" s="26" t="str">
        <f t="shared" si="7"/>
        <v>BLOCKED</v>
      </c>
      <c r="R153" s="26" t="str">
        <f t="array" ref="R153">IFERROR(
 _xlfn.XLOOKUP(
  A153,
  tblChecklist[TargetID],
  tblChecklist[PlayerSort],
  ""
 ),
 ""
)</f>
        <v/>
      </c>
      <c r="S153" s="26" t="str">
        <f>IFERROR(__xludf.DUMMYFUNCTION("LET(
 id,A153,
 successorIDs,
  IFERROR(
   UNIQUE(
    FILTER(
     {
      Dependencies!$A$2:$A$1000;
      QuestObjectives!$A$2:$A$1000
     },
     {
      Dependencies!$B$2:$B$1000;
      QuestObjectives!$E$2:$E$1000
     }=id
    )
   ),
   """"
  )"&amp;",
 names,
  MAP(
   successorIDs,
   LAMBDA(s,
    IF(
     s="""",
     """",
     XLOOKUP(
      s,
      $A$2:$A$1000,
      $B$2:$B$1000,
      s
     )
    )
   )
  ),
 IF(
  successorIDs="""",
  """",
  TEXTJOIN("", "",TRUE,names)
 )
)"),"Armory 1 Lv 3")</f>
        <v>Armory 1 Lv 3</v>
      </c>
      <c r="T153" s="26" t="str">
        <f t="array" ref="T153">_xlfn.XLOOKUP(
 A153,
 tblTargets[TargetID],
 tblTargets[CompletionMethod],
 ""
)</f>
        <v>PLAYER</v>
      </c>
      <c r="U153" s="84" t="b">
        <f>COUNTIF(tblCost[TargetID],A153)&gt;0</f>
        <v>1</v>
      </c>
      <c r="V153" s="85">
        <f t="array" ref="V153">IF(
 U153=FALSE,
 "",
 _xlfn.XLOOKUP(
  A153,
  tblCost[TargetID],
  tblCost[FundingPercent],
  ""
 )
)</f>
        <v>0</v>
      </c>
      <c r="W153" s="26">
        <f t="array" ref="W153">IF(
 U153=FALSE,
 "",
 _xlfn.XLOOKUP(
  A153,
  tblCost[TargetID],
  tblCost[RemainingRequirements],
  ""
 )
)</f>
        <v>12</v>
      </c>
      <c r="X153" s="45" t="b">
        <f t="array" ref="X153">IF(
 U153=FALSE,
 "N/A",
 _xlfn.XLOOKUP(
  A154,
  tblCost[TargetID],
  tblCost[TargetFunded],
  FALSE
 )
)</f>
        <v>0</v>
      </c>
      <c r="Y153" s="26" t="str">
        <f>IFERROR(__xludf.DUMMYFUNCTION("IFERROR(
 TEXTJOIN(
  "", "",
  TRUE,
  FILTER(
   'cost checklist'!$E$2:$E1000&amp;"": ""&amp;'cost checklist'!$G$2:$G1000,
   'cost checklist'!$B$2:$B1000=A153,
   'cost checklist'!$J$2:$J1000=FALSE
  )
 ),
 """"
)"),"armor1: 6, armor2: 6, armor3: 6, armor4: 6, shield1: 6, shield2: 6, shield3: 6, shield4: 6, sword1: 6, sword2: 6, sword3: 6, sword4: 6")</f>
        <v>armor1: 6, armor2: 6, armor3: 6, armor4: 6, shield1: 6, shield2: 6, shield3: 6, shield4: 6, sword1: 6, sword2: 6, sword3: 6, sword4: 6</v>
      </c>
      <c r="Z153" s="26" t="b">
        <f>IFERROR(__xludf.DUMMYFUNCTION("IF(
 AND(
  E153=""QUEST"",
  RIGHT(A153,9)="".accepted"",
  D153=TRUE
 ),
 XLOOKUP(
  REGEXREPLACE(A153,""\.accepted$"","""")&amp;"".finished"",
  $A$2:$A1000,
  $D$2:$D1000,
  TRUE
 )=FALSE,
 FALSE
)"),FALSE)</f>
        <v>0</v>
      </c>
      <c r="AA153" s="26" t="str">
        <f>IFERROR(__xludf.DUMMYFUNCTION("LET(
 id,A153,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4" ht="14.25" customHeight="1">
      <c r="A154" s="26" t="s">
        <v>549</v>
      </c>
      <c r="B154" s="26" t="str">
        <f t="array" ref="B154">_xlfn.XLOOKUP(
 A154,
 tblTargets[TargetID],
 tblTargets[DisplayName],
 ""
)</f>
        <v>Armory 1 Lv 3</v>
      </c>
      <c r="C154" s="26" t="str">
        <f t="shared" si="1"/>
        <v>BLOCKED</v>
      </c>
      <c r="D154" s="26" t="b">
        <f>IFERROR(__xludf.DUMMYFUNCTION("LET(
 id,A154,
 IF(
  F154=""CHARACTER"",
  LET(
   base,REGEXREPLACE(id,""@\d+$"",""""),
   required,VALUE(REGEXEXTRACT(id,""@(\d+)$"")),
   current,XLOOKUP(
    base,
    tblPlayer[PlayerStateID],
    tblPlayer[Value],
    0
   ),
   current&gt;=required
 "&amp;" ),
  IF(
   T154=""AUTO"",
   L154=0,
   COUNTIFS(
    tblChecklist[TargetID],id,
    tblChecklist[PlayerCompleted],TRUE
   )&gt;0
  )
 )
)"),FALSE)</f>
        <v>0</v>
      </c>
      <c r="E154" s="26" t="str">
        <f t="array" ref="E154">_xlfn.XLOOKUP(
 A154,
 tblTargets[TargetID],
 tblTargets[TargetType],
 ""
)</f>
        <v>COLLECTION</v>
      </c>
      <c r="F154" s="26" t="str">
        <f t="array" ref="F154">_xlfn.XLOOKUP(
 A154,
 tblTargets[TargetID],
 tblTargets[StateType],
 ""
)</f>
        <v/>
      </c>
      <c r="G154" s="26">
        <f>LET(
 id,A154,
 depCount,COUNTIF(tblDependencies[TargetID],id),
 objCount,COUNTIF(tblQuestObjectives[QuestTargetID],id),
 depCount+objCount
)</f>
        <v>1</v>
      </c>
      <c r="H154" s="26">
        <f t="shared" si="2"/>
        <v>1</v>
      </c>
      <c r="I154" s="26">
        <f>IFERROR(__xludf.DUMMYFUNCTION("LET(
 id,A154,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4" s="26">
        <f t="shared" si="3"/>
        <v>0</v>
      </c>
      <c r="K154" s="26" t="b">
        <f t="shared" si="4"/>
        <v>0</v>
      </c>
      <c r="L154" s="26">
        <f t="shared" si="5"/>
        <v>1</v>
      </c>
      <c r="M154" s="26" t="str">
        <f>IFERROR(__xludf.DUMMYFUNCTION("LET(
 id,A154,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L154=0,
  """",
  IFERROR(INDEX(incomplete,1),"""")"&amp;"
 )
)"),"collection.armory_1@2")</f>
        <v>collection.armory_1@2</v>
      </c>
      <c r="N154" s="26" t="str">
        <f t="array" ref="N154">IF(
 M154="",
 "",
 _xlfn.XLOOKUP(
  M154,
  tblTargets[TargetID],
  tblTargets[DisplayName],
  M154
 )
)</f>
        <v>Armory 1 Lv 2</v>
      </c>
      <c r="O154" s="26" t="str">
        <f>IFERROR(__xludf.DUMMYFUNCTION("SWITCH(
 E154,
 ""BUILDING"",XLOOKUP(A154,tblBuildings[BuildingID],tblBuildings[costtext],""""),
 ""TECH"",XLOOKUP(A154,tblTechnologies[TechnologyID],tblTechnologies[costtext],""""),
 ""QUEST"",XLOOKUP(
  REGEXREPLACE(A154,""\.[^.]+$"",""""),
  tblQuests["&amp;"QuestID],
  tblQuests[Costtext],
  """"
 ),
 ""CITADEL"",XLOOKUP(A154,tblCitadel[CitadelID],tblCitadel[costtext],""""),
 ""COLLECTION"",XLOOKUP(A154,tblCollections[CollectionID],tblCollections[costtext],""""),
 ""CRAFTIFACT"",XLOOKUP(A154,tblCraftifacts[C"&amp;"raftifactID],tblCraftifacts[costtext],""""),
 """"
)"),"9 armor1,9 armor2,9 armor3,9 armor4,9 shield1,9 shield2,9 shield3,9 shield4,9 sword1,9 sword2,9 sword3,9 sword4")</f>
        <v>9 armor1,9 armor2,9 armor3,9 armor4,9 shield1,9 shield2,9 shield3,9 shield4,9 sword1,9 sword2,9 sword3,9 sword4</v>
      </c>
      <c r="P154" s="26" t="str">
        <f t="shared" si="6"/>
        <v>BLOCKED</v>
      </c>
      <c r="Q154" s="26" t="str">
        <f t="shared" si="7"/>
        <v>BLOCKED</v>
      </c>
      <c r="R154" s="26" t="str">
        <f t="array" ref="R154">IFERROR(
 _xlfn.XLOOKUP(
  A154,
  tblChecklist[TargetID],
  tblChecklist[PlayerSort],
  ""
 ),
 ""
)</f>
        <v/>
      </c>
      <c r="S154" s="26" t="str">
        <f>IFERROR(__xludf.DUMMYFUNCTION("LET(
 id,A154,
 successorIDs,
  IFERROR(
   UNIQUE(
    FILTER(
     {
      Dependencies!$A$2:$A$1000;
      QuestObjectives!$A$2:$A$1000
     },
     {
      Dependencies!$B$2:$B$1000;
      QuestObjectives!$E$2:$E$1000
     }=id
    )
   ),
   """"
  )"&amp;",
 names,
  MAP(
   successorIDs,
   LAMBDA(s,
    IF(
     s="""",
     """",
     XLOOKUP(
      s,
      $A$2:$A$1000,
      $B$2:$B$1000,
      s
     )
    )
   )
  ),
 IF(
  successorIDs="""",
  """",
  TEXTJOIN("", "",TRUE,names)
 )
)"),"")</f>
        <v/>
      </c>
      <c r="T154" s="26" t="str">
        <f t="array" ref="T154">_xlfn.XLOOKUP(
 A154,
 tblTargets[TargetID],
 tblTargets[CompletionMethod],
 ""
)</f>
        <v>PLAYER</v>
      </c>
      <c r="U154" s="84" t="b">
        <f>COUNTIF(tblCost[TargetID],A154)&gt;0</f>
        <v>1</v>
      </c>
      <c r="V154" s="85">
        <f t="array" ref="V154">IF(
 U154=FALSE,
 "",
 _xlfn.XLOOKUP(
  A154,
  tblCost[TargetID],
  tblCost[FundingPercent],
  ""
 )
)</f>
        <v>0</v>
      </c>
      <c r="W154" s="26">
        <f t="array" ref="W154">IF(
 U154=FALSE,
 "",
 _xlfn.XLOOKUP(
  A154,
  tblCost[TargetID],
  tblCost[RemainingRequirements],
  ""
 )
)</f>
        <v>12</v>
      </c>
      <c r="X154" s="45" t="b">
        <f t="array" ref="X154">IF(
 U154=FALSE,
 "N/A",
 _xlfn.XLOOKUP(
  A155,
  tblCost[TargetID],
  tblCost[TargetFunded],
  FALSE
 )
)</f>
        <v>0</v>
      </c>
      <c r="Y154" s="26" t="str">
        <f>IFERROR(__xludf.DUMMYFUNCTION("IFERROR(
 TEXTJOIN(
  "", "",
  TRUE,
  FILTER(
   'cost checklist'!$E$2:$E1000&amp;"": ""&amp;'cost checklist'!$G$2:$G1000,
   'cost checklist'!$B$2:$B1000=A154,
   'cost checklist'!$J$2:$J1000=FALSE
  )
 ),
 """"
)"),"armor1: 9, armor2: 9, armor3: 9, armor4: 9, shield1: 9, shield2: 9, shield3: 9, shield4: 9, sword1: 9, sword2: 9, sword3: 9, sword4: 9")</f>
        <v>armor1: 9, armor2: 9, armor3: 9, armor4: 9, shield1: 9, shield2: 9, shield3: 9, shield4: 9, sword1: 9, sword2: 9, sword3: 9, sword4: 9</v>
      </c>
      <c r="Z154" s="26" t="b">
        <f>IFERROR(__xludf.DUMMYFUNCTION("IF(
 AND(
  E154=""QUEST"",
  RIGHT(A154,9)="".accepted"",
  D154=TRUE
 ),
 XLOOKUP(
  REGEXREPLACE(A154,""\.accepted$"","""")&amp;"".finished"",
  $A$2:$A1000,
  $D$2:$D1000,
  TRUE
 )=FALSE,
 FALSE
)"),FALSE)</f>
        <v>0</v>
      </c>
      <c r="AA154" s="26" t="str">
        <f>IFERROR(__xludf.DUMMYFUNCTION("LET(
 id,A154,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5" ht="14.25" customHeight="1">
      <c r="A155" s="26" t="s">
        <v>551</v>
      </c>
      <c r="B155" s="26" t="str">
        <f t="array" ref="B155">_xlfn.XLOOKUP(
 A155,
 tblTargets[TargetID],
 tblTargets[DisplayName],
 ""
)</f>
        <v>Armory 2 Lv 1</v>
      </c>
      <c r="C155" s="26" t="str">
        <f t="shared" si="1"/>
        <v>BLOCKED</v>
      </c>
      <c r="D155" s="26" t="b">
        <f>IFERROR(__xludf.DUMMYFUNCTION("LET(
 id,A155,
 IF(
  F155=""CHARACTER"",
  LET(
   base,REGEXREPLACE(id,""@\d+$"",""""),
   required,VALUE(REGEXEXTRACT(id,""@(\d+)$"")),
   current,XLOOKUP(
    base,
    tblPlayer[PlayerStateID],
    tblPlayer[Value],
    0
   ),
   current&gt;=required
 "&amp;" ),
  IF(
   T155=""AUTO"",
   L155=0,
   COUNTIFS(
    tblChecklist[TargetID],id,
    tblChecklist[PlayerCompleted],TRUE
   )&gt;0
  )
 )
)"),FALSE)</f>
        <v>0</v>
      </c>
      <c r="E155" s="26" t="str">
        <f t="array" ref="E155">_xlfn.XLOOKUP(
 A155,
 tblTargets[TargetID],
 tblTargets[TargetType],
 ""
)</f>
        <v>COLLECTION</v>
      </c>
      <c r="F155" s="26" t="str">
        <f t="array" ref="F155">_xlfn.XLOOKUP(
 A155,
 tblTargets[TargetID],
 tblTargets[StateType],
 ""
)</f>
        <v/>
      </c>
      <c r="G155" s="26">
        <f>LET(
 id,A155,
 depCount,COUNTIF(tblDependencies[TargetID],id),
 objCount,COUNTIF(tblQuestObjectives[QuestTargetID],id),
 depCount+objCount
)</f>
        <v>1</v>
      </c>
      <c r="H155" s="26">
        <f t="shared" si="2"/>
        <v>1</v>
      </c>
      <c r="I155" s="26">
        <f>IFERROR(__xludf.DUMMYFUNCTION("LET(
 id,A155,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5" s="26">
        <f t="shared" si="3"/>
        <v>0</v>
      </c>
      <c r="K155" s="26" t="b">
        <f t="shared" si="4"/>
        <v>0</v>
      </c>
      <c r="L155" s="26">
        <f t="shared" si="5"/>
        <v>1</v>
      </c>
      <c r="M155" s="26" t="str">
        <f>IFERROR(__xludf.DUMMYFUNCTION("LET(
 id,A155,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L155=0,
  """",
  IFERROR(INDEX(incomplete,1),"""")"&amp;"
 )
)"),"quest.the_ordinary_days_of_an_adventurer_chapter_7.finished")</f>
        <v>quest.the_ordinary_days_of_an_adventurer_chapter_7.finished</v>
      </c>
      <c r="N155" s="26" t="str">
        <f t="array" ref="N155">IF(
 M155="",
 "",
 _xlfn.XLOOKUP(
  M155,
  tblTargets[TargetID],
  tblTargets[DisplayName],
  M155
 )
)</f>
        <v>The Ordinary Days of an Adventurer Chapter 7 Finished</v>
      </c>
      <c r="O155" s="26" t="str">
        <f>IFERROR(__xludf.DUMMYFUNCTION("SWITCH(
 E155,
 ""BUILDING"",XLOOKUP(A155,tblBuildings[BuildingID],tblBuildings[costtext],""""),
 ""TECH"",XLOOKUP(A155,tblTechnologies[TechnologyID],tblTechnologies[costtext],""""),
 ""QUEST"",XLOOKUP(
  REGEXREPLACE(A155,""\.[^.]+$"",""""),
  tblQuests["&amp;"QuestID],
  tblQuests[Costtext],
  """"
 ),
 ""CITADEL"",XLOOKUP(A155,tblCitadel[CitadelID],tblCitadel[costtext],""""),
 ""COLLECTION"",XLOOKUP(A155,tblCollections[CollectionID],tblCollections[costtext],""""),
 ""CRAFTIFACT"",XLOOKUP(A155,tblCraftifacts[C"&amp;"raftifactID],tblCraftifacts[costtext],""""),
 """"
)"),"3 armor4p,3 shield4p,3 sword4p")</f>
        <v>3 armor4p,3 shield4p,3 sword4p</v>
      </c>
      <c r="P155" s="26" t="str">
        <f t="shared" si="6"/>
        <v>BLOCKED</v>
      </c>
      <c r="Q155" s="26" t="str">
        <f t="shared" si="7"/>
        <v>BLOCKED</v>
      </c>
      <c r="R155" s="26" t="str">
        <f t="array" ref="R155">IFERROR(
 _xlfn.XLOOKUP(
  A155,
  tblChecklist[TargetID],
  tblChecklist[PlayerSort],
  ""
 ),
 ""
)</f>
        <v/>
      </c>
      <c r="S155" s="26" t="str">
        <f>IFERROR(__xludf.DUMMYFUNCTION("LET(
 id,A155,
 successorIDs,
  IFERROR(
   UNIQUE(
    FILTER(
     {
      Dependencies!$A$2:$A$1000;
      QuestObjectives!$A$2:$A$1000
     },
     {
      Dependencies!$B$2:$B$1000;
      QuestObjectives!$E$2:$E$1000
     }=id
    )
   ),
   """"
  )"&amp;",
 names,
  MAP(
   successorIDs,
   LAMBDA(s,
    IF(
     s="""",
     """",
     XLOOKUP(
      s,
      $A$2:$A$1000,
      $B$2:$B$1000,
      s
     )
    )
   )
  ),
 IF(
  successorIDs="""",
  """",
  TEXTJOIN("", "",TRUE,names)
 )
)"),"")</f>
        <v/>
      </c>
      <c r="T155" s="26" t="str">
        <f t="array" ref="T155">_xlfn.XLOOKUP(
 A155,
 tblTargets[TargetID],
 tblTargets[CompletionMethod],
 ""
)</f>
        <v>PLAYER</v>
      </c>
      <c r="U155" s="84" t="b">
        <f>COUNTIF(tblCost[TargetID],A155)&gt;0</f>
        <v>1</v>
      </c>
      <c r="V155" s="85">
        <f t="array" ref="V155">IF(
 U155=FALSE,
 "",
 _xlfn.XLOOKUP(
  A155,
  tblCost[TargetID],
  tblCost[FundingPercent],
  ""
 )
)</f>
        <v>0</v>
      </c>
      <c r="W155" s="26">
        <f t="array" ref="W155">IF(
 U155=FALSE,
 "",
 _xlfn.XLOOKUP(
  A155,
  tblCost[TargetID],
  tblCost[RemainingRequirements],
  ""
 )
)</f>
        <v>3</v>
      </c>
      <c r="X155" s="45" t="b">
        <f t="array" ref="X155">IF(
 U155=FALSE,
 "N/A",
 _xlfn.XLOOKUP(
  A156,
  tblCost[TargetID],
  tblCost[TargetFunded],
  FALSE
 )
)</f>
        <v>0</v>
      </c>
      <c r="Y155" s="26" t="str">
        <f>IFERROR(__xludf.DUMMYFUNCTION("IFERROR(
 TEXTJOIN(
  "", "",
  TRUE,
  FILTER(
   'cost checklist'!$E$2:$E1000&amp;"": ""&amp;'cost checklist'!$G$2:$G1000,
   'cost checklist'!$B$2:$B1000=A155,
   'cost checklist'!$J$2:$J1000=FALSE
  )
 ),
 """"
)"),"armor4p: 3, shield4p: 3, sword4p: 3")</f>
        <v>armor4p: 3, shield4p: 3, sword4p: 3</v>
      </c>
      <c r="Z155" s="26" t="b">
        <f>IFERROR(__xludf.DUMMYFUNCTION("IF(
 AND(
  E155=""QUEST"",
  RIGHT(A155,9)="".accepted"",
  D155=TRUE
 ),
 XLOOKUP(
  REGEXREPLACE(A155,""\.accepted$"","""")&amp;"".finished"",
  $A$2:$A1000,
  $D$2:$D1000,
  TRUE
 )=FALSE,
 FALSE
)"),FALSE)</f>
        <v>0</v>
      </c>
      <c r="AA155" s="26" t="str">
        <f>IFERROR(__xludf.DUMMYFUNCTION("LET(
 id,A155,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6" ht="14.25" customHeight="1">
      <c r="A156" s="26" t="s">
        <v>553</v>
      </c>
      <c r="B156" s="26" t="str">
        <f t="array" ref="B156">_xlfn.XLOOKUP(
 A156,
 tblTargets[TargetID],
 tblTargets[DisplayName],
 ""
)</f>
        <v>Attic Lv 1</v>
      </c>
      <c r="C156" s="26" t="str">
        <f t="shared" si="1"/>
        <v>BLOCKED</v>
      </c>
      <c r="D156" s="26" t="b">
        <f>IFERROR(__xludf.DUMMYFUNCTION("LET(
 id,A156,
 IF(
  F156=""CHARACTER"",
  LET(
   base,REGEXREPLACE(id,""@\d+$"",""""),
   required,VALUE(REGEXEXTRACT(id,""@(\d+)$"")),
   current,XLOOKUP(
    base,
    tblPlayer[PlayerStateID],
    tblPlayer[Value],
    0
   ),
   current&gt;=required
 "&amp;" ),
  IF(
   T156=""AUTO"",
   L156=0,
   COUNTIFS(
    tblChecklist[TargetID],id,
    tblChecklist[PlayerCompleted],TRUE
   )&gt;0
  )
 )
)"),FALSE)</f>
        <v>0</v>
      </c>
      <c r="E156" s="26" t="str">
        <f t="array" ref="E156">_xlfn.XLOOKUP(
 A156,
 tblTargets[TargetID],
 tblTargets[TargetType],
 ""
)</f>
        <v>COLLECTION</v>
      </c>
      <c r="F156" s="26" t="str">
        <f t="array" ref="F156">_xlfn.XLOOKUP(
 A156,
 tblTargets[TargetID],
 tblTargets[StateType],
 ""
)</f>
        <v/>
      </c>
      <c r="G156" s="26">
        <f>LET(
 id,A156,
 depCount,COUNTIF(tblDependencies[TargetID],id),
 objCount,COUNTIF(tblQuestObjectives[QuestTargetID],id),
 depCount+objCount
)</f>
        <v>1</v>
      </c>
      <c r="H156" s="26">
        <f t="shared" si="2"/>
        <v>1</v>
      </c>
      <c r="I156" s="26">
        <f>IFERROR(__xludf.DUMMYFUNCTION("LET(
 id,A156,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6" s="26">
        <f t="shared" si="3"/>
        <v>0</v>
      </c>
      <c r="K156" s="26" t="b">
        <f t="shared" si="4"/>
        <v>0</v>
      </c>
      <c r="L156" s="26">
        <f t="shared" si="5"/>
        <v>1</v>
      </c>
      <c r="M156" s="26" t="str">
        <f>IFERROR(__xludf.DUMMYFUNCTION("LET(
 id,A156,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L156=0,
  """",
  IFERROR(INDEX(incomplete,1),"""")"&amp;"
 )
)"),"citadel.attic")</f>
        <v>citadel.attic</v>
      </c>
      <c r="N156" s="26" t="str">
        <f t="array" ref="N156">IF(
 M156="",
 "",
 _xlfn.XLOOKUP(
  M156,
  tblTargets[TargetID],
  tblTargets[DisplayName],
  M156
 )
)</f>
        <v>Attic</v>
      </c>
      <c r="O156" s="26" t="str">
        <f>IFERROR(__xludf.DUMMYFUNCTION("SWITCH(
 E156,
 ""BUILDING"",XLOOKUP(A156,tblBuildings[BuildingID],tblBuildings[costtext],""""),
 ""TECH"",XLOOKUP(A156,tblTechnologies[TechnologyID],tblTechnologies[costtext],""""),
 ""QUEST"",XLOOKUP(
  REGEXREPLACE(A156,""\.[^.]+$"",""""),
  tblQuests["&amp;"QuestID],
  tblQuests[Costtext],
  """"
 ),
 ""CITADEL"",XLOOKUP(A156,tblCitadel[CitadelID],tblCitadel[costtext],""""),
 ""COLLECTION"",XLOOKUP(A156,tblCollections[CollectionID],tblCollections[costtext],""""),
 ""CRAFTIFACT"",XLOOKUP(A156,tblCraftifacts[C"&amp;"raftifactID],tblCraftifacts[costtext],""""),
 """"
)"),"3 drum,20 fan,3 firework,10 katana,3 kimono,3 ninja,3 samurai,20 shuriken,20 spikes")</f>
        <v>3 drum,20 fan,3 firework,10 katana,3 kimono,3 ninja,3 samurai,20 shuriken,20 spikes</v>
      </c>
      <c r="P156" s="26" t="str">
        <f t="shared" si="6"/>
        <v>BLOCKED</v>
      </c>
      <c r="Q156" s="26" t="str">
        <f t="shared" si="7"/>
        <v>BLOCKED</v>
      </c>
      <c r="R156" s="26" t="str">
        <f t="array" ref="R156">IFERROR(
 _xlfn.XLOOKUP(
  A156,
  tblChecklist[TargetID],
  tblChecklist[PlayerSort],
  ""
 ),
 ""
)</f>
        <v/>
      </c>
      <c r="S156" s="26" t="str">
        <f>IFERROR(__xludf.DUMMYFUNCTION("LET(
 id,A156,
 successorIDs,
  IFERROR(
   UNIQUE(
    FILTER(
     {
      Dependencies!$A$2:$A$1000;
      QuestObjectives!$A$2:$A$1000
     },
     {
      Dependencies!$B$2:$B$1000;
      QuestObjectives!$E$2:$E$1000
     }=id
    )
   ),
   """"
  )"&amp;",
 names,
  MAP(
   successorIDs,
   LAMBDA(s,
    IF(
     s="""",
     """",
     XLOOKUP(
      s,
      $A$2:$A$1000,
      $B$2:$B$1000,
      s
     )
    )
   )
  ),
 IF(
  successorIDs="""",
  """",
  TEXTJOIN("", "",TRUE,names)
 )
)"),"Attic Lv 2")</f>
        <v>Attic Lv 2</v>
      </c>
      <c r="T156" s="26" t="str">
        <f t="array" ref="T156">_xlfn.XLOOKUP(
 A156,
 tblTargets[TargetID],
 tblTargets[CompletionMethod],
 ""
)</f>
        <v>PLAYER</v>
      </c>
      <c r="U156" s="84" t="b">
        <f>COUNTIF(tblCost[TargetID],A156)&gt;0</f>
        <v>1</v>
      </c>
      <c r="V156" s="85">
        <f t="array" ref="V156">IF(
 U156=FALSE,
 "",
 _xlfn.XLOOKUP(
  A156,
  tblCost[TargetID],
  tblCost[FundingPercent],
  ""
 )
)</f>
        <v>0</v>
      </c>
      <c r="W156" s="26">
        <f t="array" ref="W156">IF(
 U156=FALSE,
 "",
 _xlfn.XLOOKUP(
  A156,
  tblCost[TargetID],
  tblCost[RemainingRequirements],
  ""
 )
)</f>
        <v>9</v>
      </c>
      <c r="X156" s="45" t="b">
        <f t="array" ref="X156">IF(
 U156=FALSE,
 "N/A",
 _xlfn.XLOOKUP(
  A157,
  tblCost[TargetID],
  tblCost[TargetFunded],
  FALSE
 )
)</f>
        <v>0</v>
      </c>
      <c r="Y156" s="26" t="str">
        <f>IFERROR(__xludf.DUMMYFUNCTION("IFERROR(
 TEXTJOIN(
  "", "",
  TRUE,
  FILTER(
   'cost checklist'!$E$2:$E1000&amp;"": ""&amp;'cost checklist'!$G$2:$G1000,
   'cost checklist'!$B$2:$B1000=A156,
   'cost checklist'!$J$2:$J1000=FALSE
  )
 ),
 """"
)"),"drum: 3, fan: 20, firework: 3, katana: 10, kimono: 3, ninja: 3, samurai: 3, shuriken: 20, spikes: 20")</f>
        <v>drum: 3, fan: 20, firework: 3, katana: 10, kimono: 3, ninja: 3, samurai: 3, shuriken: 20, spikes: 20</v>
      </c>
      <c r="Z156" s="26" t="b">
        <f>IFERROR(__xludf.DUMMYFUNCTION("IF(
 AND(
  E156=""QUEST"",
  RIGHT(A156,9)="".accepted"",
  D156=TRUE
 ),
 XLOOKUP(
  REGEXREPLACE(A156,""\.accepted$"","""")&amp;"".finished"",
  $A$2:$A1000,
  $D$2:$D1000,
  TRUE
 )=FALSE,
 FALSE
)"),FALSE)</f>
        <v>0</v>
      </c>
      <c r="AA156" s="26" t="str">
        <f>IFERROR(__xludf.DUMMYFUNCTION("LET(
 id,A156,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7" ht="14.25" customHeight="1">
      <c r="A157" s="26" t="s">
        <v>556</v>
      </c>
      <c r="B157" s="26" t="str">
        <f t="array" ref="B157">_xlfn.XLOOKUP(
 A157,
 tblTargets[TargetID],
 tblTargets[DisplayName],
 ""
)</f>
        <v>Attic Lv 2</v>
      </c>
      <c r="C157" s="26" t="str">
        <f t="shared" si="1"/>
        <v>BLOCKED</v>
      </c>
      <c r="D157" s="26" t="b">
        <f>IFERROR(__xludf.DUMMYFUNCTION("LET(
 id,A157,
 IF(
  F157=""CHARACTER"",
  LET(
   base,REGEXREPLACE(id,""@\d+$"",""""),
   required,VALUE(REGEXEXTRACT(id,""@(\d+)$"")),
   current,XLOOKUP(
    base,
    tblPlayer[PlayerStateID],
    tblPlayer[Value],
    0
   ),
   current&gt;=required
 "&amp;" ),
  IF(
   T157=""AUTO"",
   L157=0,
   COUNTIFS(
    tblChecklist[TargetID],id,
    tblChecklist[PlayerCompleted],TRUE
   )&gt;0
  )
 )
)"),FALSE)</f>
        <v>0</v>
      </c>
      <c r="E157" s="26" t="str">
        <f t="array" ref="E157">_xlfn.XLOOKUP(
 A157,
 tblTargets[TargetID],
 tblTargets[TargetType],
 ""
)</f>
        <v>COLLECTION</v>
      </c>
      <c r="F157" s="26" t="str">
        <f t="array" ref="F157">_xlfn.XLOOKUP(
 A157,
 tblTargets[TargetID],
 tblTargets[StateType],
 ""
)</f>
        <v/>
      </c>
      <c r="G157" s="26">
        <f>LET(
 id,A157,
 depCount,COUNTIF(tblDependencies[TargetID],id),
 objCount,COUNTIF(tblQuestObjectives[QuestTargetID],id),
 depCount+objCount
)</f>
        <v>1</v>
      </c>
      <c r="H157" s="26">
        <f t="shared" si="2"/>
        <v>1</v>
      </c>
      <c r="I157" s="26">
        <f>IFERROR(__xludf.DUMMYFUNCTION("LET(
 id,A157,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7" s="26">
        <f t="shared" si="3"/>
        <v>0</v>
      </c>
      <c r="K157" s="26" t="b">
        <f t="shared" si="4"/>
        <v>0</v>
      </c>
      <c r="L157" s="26">
        <f t="shared" si="5"/>
        <v>1</v>
      </c>
      <c r="M157" s="26" t="str">
        <f>IFERROR(__xludf.DUMMYFUNCTION("LET(
 id,A157,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L157=0,
  """",
  IFERROR(INDEX(incomplete,1),"""")"&amp;"
 )
)"),"collection.attic@1")</f>
        <v>collection.attic@1</v>
      </c>
      <c r="N157" s="26" t="str">
        <f t="array" ref="N157">IF(
 M157="",
 "",
 _xlfn.XLOOKUP(
  M157,
  tblTargets[TargetID],
  tblTargets[DisplayName],
  M157
 )
)</f>
        <v>Attic Lv 1</v>
      </c>
      <c r="O157" s="26" t="str">
        <f>IFERROR(__xludf.DUMMYFUNCTION("SWITCH(
 E157,
 ""BUILDING"",XLOOKUP(A157,tblBuildings[BuildingID],tblBuildings[costtext],""""),
 ""TECH"",XLOOKUP(A157,tblTechnologies[TechnologyID],tblTechnologies[costtext],""""),
 ""QUEST"",XLOOKUP(
  REGEXREPLACE(A157,""\.[^.]+$"",""""),
  tblQuests["&amp;"QuestID],
  tblQuests[Costtext],
  """"
 ),
 ""CITADEL"",XLOOKUP(A157,tblCitadel[CitadelID],tblCitadel[costtext],""""),
 ""COLLECTION"",XLOOKUP(A157,tblCollections[CollectionID],tblCollections[costtext],""""),
 ""CRAFTIFACT"",XLOOKUP(A157,tblCraftifacts[C"&amp;"raftifactID],tblCraftifacts[costtext],""""),
 """"
)"),"6 drum,40 fan,6 firework,20 katana,6 kimono,6 ninja,6 samurai,40 shuriken,40 spikes")</f>
        <v>6 drum,40 fan,6 firework,20 katana,6 kimono,6 ninja,6 samurai,40 shuriken,40 spikes</v>
      </c>
      <c r="P157" s="26" t="str">
        <f t="shared" si="6"/>
        <v>BLOCKED</v>
      </c>
      <c r="Q157" s="26" t="str">
        <f t="shared" si="7"/>
        <v>BLOCKED</v>
      </c>
      <c r="R157" s="26" t="str">
        <f t="array" ref="R157">IFERROR(
 _xlfn.XLOOKUP(
  A157,
  tblChecklist[TargetID],
  tblChecklist[PlayerSort],
  ""
 ),
 ""
)</f>
        <v/>
      </c>
      <c r="S157" s="26" t="str">
        <f>IFERROR(__xludf.DUMMYFUNCTION("LET(
 id,A157,
 successorIDs,
  IFERROR(
   UNIQUE(
    FILTER(
     {
      Dependencies!$A$2:$A$1000;
      QuestObjectives!$A$2:$A$1000
     },
     {
      Dependencies!$B$2:$B$1000;
      QuestObjectives!$E$2:$E$1000
     }=id
    )
   ),
   """"
  )"&amp;",
 names,
  MAP(
   successorIDs,
   LAMBDA(s,
    IF(
     s="""",
     """",
     XLOOKUP(
      s,
      $A$2:$A$1000,
      $B$2:$B$1000,
      s
     )
    )
   )
  ),
 IF(
  successorIDs="""",
  """",
  TEXTJOIN("", "",TRUE,names)
 )
)"),"Attic Lv 3")</f>
        <v>Attic Lv 3</v>
      </c>
      <c r="T157" s="26" t="str">
        <f t="array" ref="T157">_xlfn.XLOOKUP(
 A157,
 tblTargets[TargetID],
 tblTargets[CompletionMethod],
 ""
)</f>
        <v>PLAYER</v>
      </c>
      <c r="U157" s="84" t="b">
        <f>COUNTIF(tblCost[TargetID],A157)&gt;0</f>
        <v>1</v>
      </c>
      <c r="V157" s="85">
        <f t="array" ref="V157">IF(
 U157=FALSE,
 "",
 _xlfn.XLOOKUP(
  A157,
  tblCost[TargetID],
  tblCost[FundingPercent],
  ""
 )
)</f>
        <v>0</v>
      </c>
      <c r="W157" s="26">
        <f t="array" ref="W157">IF(
 U157=FALSE,
 "",
 _xlfn.XLOOKUP(
  A157,
  tblCost[TargetID],
  tblCost[RemainingRequirements],
  ""
 )
)</f>
        <v>9</v>
      </c>
      <c r="X157" s="45" t="b">
        <f t="array" ref="X157">IF(
 U157=FALSE,
 "N/A",
 _xlfn.XLOOKUP(
  A158,
  tblCost[TargetID],
  tblCost[TargetFunded],
  FALSE
 )
)</f>
        <v>0</v>
      </c>
      <c r="Y157" s="26" t="str">
        <f>IFERROR(__xludf.DUMMYFUNCTION("IFERROR(
 TEXTJOIN(
  "", "",
  TRUE,
  FILTER(
   'cost checklist'!$E$2:$E1000&amp;"": ""&amp;'cost checklist'!$G$2:$G1000,
   'cost checklist'!$B$2:$B1000=A157,
   'cost checklist'!$J$2:$J1000=FALSE
  )
 ),
 """"
)"),"drum: 6, fan: 40, firework: 6, katana: 20, kimono: 6, ninja: 6, samurai: 6, shuriken: 40, spikes: 40")</f>
        <v>drum: 6, fan: 40, firework: 6, katana: 20, kimono: 6, ninja: 6, samurai: 6, shuriken: 40, spikes: 40</v>
      </c>
      <c r="Z157" s="26" t="b">
        <f>IFERROR(__xludf.DUMMYFUNCTION("IF(
 AND(
  E157=""QUEST"",
  RIGHT(A157,9)="".accepted"",
  D157=TRUE
 ),
 XLOOKUP(
  REGEXREPLACE(A157,""\.accepted$"","""")&amp;"".finished"",
  $A$2:$A1000,
  $D$2:$D1000,
  TRUE
 )=FALSE,
 FALSE
)"),FALSE)</f>
        <v>0</v>
      </c>
      <c r="AA157" s="26" t="str">
        <f>IFERROR(__xludf.DUMMYFUNCTION("LET(
 id,A157,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8" ht="14.25" customHeight="1">
      <c r="A158" s="26" t="s">
        <v>558</v>
      </c>
      <c r="B158" s="26" t="str">
        <f t="array" ref="B158">_xlfn.XLOOKUP(
 A158,
 tblTargets[TargetID],
 tblTargets[DisplayName],
 ""
)</f>
        <v>Attic Lv 3</v>
      </c>
      <c r="C158" s="26" t="str">
        <f t="shared" si="1"/>
        <v>BLOCKED</v>
      </c>
      <c r="D158" s="26" t="b">
        <f>IFERROR(__xludf.DUMMYFUNCTION("LET(
 id,A158,
 IF(
  F158=""CHARACTER"",
  LET(
   base,REGEXREPLACE(id,""@\d+$"",""""),
   required,VALUE(REGEXEXTRACT(id,""@(\d+)$"")),
   current,XLOOKUP(
    base,
    tblPlayer[PlayerStateID],
    tblPlayer[Value],
    0
   ),
   current&gt;=required
 "&amp;" ),
  IF(
   T158=""AUTO"",
   L158=0,
   COUNTIFS(
    tblChecklist[TargetID],id,
    tblChecklist[PlayerCompleted],TRUE
   )&gt;0
  )
 )
)"),FALSE)</f>
        <v>0</v>
      </c>
      <c r="E158" s="26" t="str">
        <f t="array" ref="E158">_xlfn.XLOOKUP(
 A158,
 tblTargets[TargetID],
 tblTargets[TargetType],
 ""
)</f>
        <v>COLLECTION</v>
      </c>
      <c r="F158" s="26" t="str">
        <f t="array" ref="F158">_xlfn.XLOOKUP(
 A158,
 tblTargets[TargetID],
 tblTargets[StateType],
 ""
)</f>
        <v/>
      </c>
      <c r="G158" s="26">
        <f>LET(
 id,A158,
 depCount,COUNTIF(tblDependencies[TargetID],id),
 objCount,COUNTIF(tblQuestObjectives[QuestTargetID],id),
 depCount+objCount
)</f>
        <v>1</v>
      </c>
      <c r="H158" s="26">
        <f t="shared" si="2"/>
        <v>1</v>
      </c>
      <c r="I158" s="26">
        <f>IFERROR(__xludf.DUMMYFUNCTION("LET(
 id,A158,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8" s="26">
        <f t="shared" si="3"/>
        <v>0</v>
      </c>
      <c r="K158" s="26" t="b">
        <f t="shared" si="4"/>
        <v>0</v>
      </c>
      <c r="L158" s="26">
        <f t="shared" si="5"/>
        <v>1</v>
      </c>
      <c r="M158" s="26" t="str">
        <f>IFERROR(__xludf.DUMMYFUNCTION("LET(
 id,A158,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L158=0,
  """",
  IFERROR(INDEX(incomplete,1),"""")"&amp;"
 )
)"),"collection.attic@2")</f>
        <v>collection.attic@2</v>
      </c>
      <c r="N158" s="26" t="str">
        <f t="array" ref="N158">IF(
 M158="",
 "",
 _xlfn.XLOOKUP(
  M158,
  tblTargets[TargetID],
  tblTargets[DisplayName],
  M158
 )
)</f>
        <v>Attic Lv 2</v>
      </c>
      <c r="O158" s="26" t="str">
        <f>IFERROR(__xludf.DUMMYFUNCTION("SWITCH(
 E158,
 ""BUILDING"",XLOOKUP(A158,tblBuildings[BuildingID],tblBuildings[costtext],""""),
 ""TECH"",XLOOKUP(A158,tblTechnologies[TechnologyID],tblTechnologies[costtext],""""),
 ""QUEST"",XLOOKUP(
  REGEXREPLACE(A158,""\.[^.]+$"",""""),
  tblQuests["&amp;"QuestID],
  tblQuests[Costtext],
  """"
 ),
 ""CITADEL"",XLOOKUP(A158,tblCitadel[CitadelID],tblCitadel[costtext],""""),
 ""COLLECTION"",XLOOKUP(A158,tblCollections[CollectionID],tblCollections[costtext],""""),
 ""CRAFTIFACT"",XLOOKUP(A158,tblCraftifacts[C"&amp;"raftifactID],tblCraftifacts[costtext],""""),
 """"
)"),"9 drum,60 fan,9 firework,30 katana,9 kimono,9 ninja,9 samurai,60 shuriken,60 spikes")</f>
        <v>9 drum,60 fan,9 firework,30 katana,9 kimono,9 ninja,9 samurai,60 shuriken,60 spikes</v>
      </c>
      <c r="P158" s="26" t="str">
        <f t="shared" si="6"/>
        <v>BLOCKED</v>
      </c>
      <c r="Q158" s="26" t="str">
        <f t="shared" si="7"/>
        <v>BLOCKED</v>
      </c>
      <c r="R158" s="26" t="str">
        <f t="array" ref="R158">IFERROR(
 _xlfn.XLOOKUP(
  A158,
  tblChecklist[TargetID],
  tblChecklist[PlayerSort],
  ""
 ),
 ""
)</f>
        <v/>
      </c>
      <c r="S158" s="26" t="str">
        <f>IFERROR(__xludf.DUMMYFUNCTION("LET(
 id,A158,
 successorIDs,
  IFERROR(
   UNIQUE(
    FILTER(
     {
      Dependencies!$A$2:$A$1000;
      QuestObjectives!$A$2:$A$1000
     },
     {
      Dependencies!$B$2:$B$1000;
      QuestObjectives!$E$2:$E$1000
     }=id
    )
   ),
   """"
  )"&amp;",
 names,
  MAP(
   successorIDs,
   LAMBDA(s,
    IF(
     s="""",
     """",
     XLOOKUP(
      s,
      $A$2:$A$1000,
      $B$2:$B$1000,
      s
     )
    )
   )
  ),
 IF(
  successorIDs="""",
  """",
  TEXTJOIN("", "",TRUE,names)
 )
)"),"Attic Lv 4")</f>
        <v>Attic Lv 4</v>
      </c>
      <c r="T158" s="26" t="str">
        <f t="array" ref="T158">_xlfn.XLOOKUP(
 A158,
 tblTargets[TargetID],
 tblTargets[CompletionMethod],
 ""
)</f>
        <v>PLAYER</v>
      </c>
      <c r="U158" s="84" t="b">
        <f>COUNTIF(tblCost[TargetID],A158)&gt;0</f>
        <v>1</v>
      </c>
      <c r="V158" s="85">
        <f t="array" ref="V158">IF(
 U158=FALSE,
 "",
 _xlfn.XLOOKUP(
  A158,
  tblCost[TargetID],
  tblCost[FundingPercent],
  ""
 )
)</f>
        <v>0</v>
      </c>
      <c r="W158" s="26">
        <f t="array" ref="W158">IF(
 U158=FALSE,
 "",
 _xlfn.XLOOKUP(
  A158,
  tblCost[TargetID],
  tblCost[RemainingRequirements],
  ""
 )
)</f>
        <v>9</v>
      </c>
      <c r="X158" s="45" t="b">
        <f t="array" ref="X158">IF(
 U158=FALSE,
 "N/A",
 _xlfn.XLOOKUP(
  A159,
  tblCost[TargetID],
  tblCost[TargetFunded],
  FALSE
 )
)</f>
        <v>0</v>
      </c>
      <c r="Y158" s="26" t="str">
        <f>IFERROR(__xludf.DUMMYFUNCTION("IFERROR(
 TEXTJOIN(
  "", "",
  TRUE,
  FILTER(
   'cost checklist'!$E$2:$E1000&amp;"": ""&amp;'cost checklist'!$G$2:$G1000,
   'cost checklist'!$B$2:$B1000=A158,
   'cost checklist'!$J$2:$J1000=FALSE
  )
 ),
 """"
)"),"drum: 9, fan: 60, firework: 9, katana: 30, kimono: 9, ninja: 9, samurai: 9, shuriken: 60, spikes: 60")</f>
        <v>drum: 9, fan: 60, firework: 9, katana: 30, kimono: 9, ninja: 9, samurai: 9, shuriken: 60, spikes: 60</v>
      </c>
      <c r="Z158" s="26" t="b">
        <f>IFERROR(__xludf.DUMMYFUNCTION("IF(
 AND(
  E158=""QUEST"",
  RIGHT(A158,9)="".accepted"",
  D158=TRUE
 ),
 XLOOKUP(
  REGEXREPLACE(A158,""\.accepted$"","""")&amp;"".finished"",
  $A$2:$A1000,
  $D$2:$D1000,
  TRUE
 )=FALSE,
 FALSE
)"),FALSE)</f>
        <v>0</v>
      </c>
      <c r="AA158" s="26" t="str">
        <f>IFERROR(__xludf.DUMMYFUNCTION("LET(
 id,A158,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59" ht="14.25" customHeight="1">
      <c r="A159" s="26" t="s">
        <v>560</v>
      </c>
      <c r="B159" s="26" t="str">
        <f t="array" ref="B159">_xlfn.XLOOKUP(
 A159,
 tblTargets[TargetID],
 tblTargets[DisplayName],
 ""
)</f>
        <v>Attic Lv 4</v>
      </c>
      <c r="C159" s="26" t="str">
        <f t="shared" si="1"/>
        <v>BLOCKED</v>
      </c>
      <c r="D159" s="26" t="b">
        <f>IFERROR(__xludf.DUMMYFUNCTION("LET(
 id,A159,
 IF(
  F159=""CHARACTER"",
  LET(
   base,REGEXREPLACE(id,""@\d+$"",""""),
   required,VALUE(REGEXEXTRACT(id,""@(\d+)$"")),
   current,XLOOKUP(
    base,
    tblPlayer[PlayerStateID],
    tblPlayer[Value],
    0
   ),
   current&gt;=required
 "&amp;" ),
  IF(
   T159=""AUTO"",
   L159=0,
   COUNTIFS(
    tblChecklist[TargetID],id,
    tblChecklist[PlayerCompleted],TRUE
   )&gt;0
  )
 )
)"),FALSE)</f>
        <v>0</v>
      </c>
      <c r="E159" s="26" t="str">
        <f t="array" ref="E159">_xlfn.XLOOKUP(
 A159,
 tblTargets[TargetID],
 tblTargets[TargetType],
 ""
)</f>
        <v>COLLECTION</v>
      </c>
      <c r="F159" s="26" t="str">
        <f t="array" ref="F159">_xlfn.XLOOKUP(
 A159,
 tblTargets[TargetID],
 tblTargets[StateType],
 ""
)</f>
        <v/>
      </c>
      <c r="G159" s="26">
        <f>LET(
 id,A159,
 depCount,COUNTIF(tblDependencies[TargetID],id),
 objCount,COUNTIF(tblQuestObjectives[QuestTargetID],id),
 depCount+objCount
)</f>
        <v>1</v>
      </c>
      <c r="H159" s="26">
        <f t="shared" si="2"/>
        <v>1</v>
      </c>
      <c r="I159" s="26">
        <f>IFERROR(__xludf.DUMMYFUNCTION("LET(
 id,A159,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59" s="26">
        <f t="shared" si="3"/>
        <v>0</v>
      </c>
      <c r="K159" s="26" t="b">
        <f t="shared" si="4"/>
        <v>0</v>
      </c>
      <c r="L159" s="26">
        <f t="shared" si="5"/>
        <v>1</v>
      </c>
      <c r="M159" s="26" t="str">
        <f>IFERROR(__xludf.DUMMYFUNCTION("LET(
 id,A159,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L159=0,
  """",
  IFERROR(INDEX(incomplete,1),"""")"&amp;"
 )
)"),"collection.attic@3")</f>
        <v>collection.attic@3</v>
      </c>
      <c r="N159" s="26" t="str">
        <f t="array" ref="N159">IF(
 M159="",
 "",
 _xlfn.XLOOKUP(
  M159,
  tblTargets[TargetID],
  tblTargets[DisplayName],
  M159
 )
)</f>
        <v>Attic Lv 3</v>
      </c>
      <c r="O159" s="26" t="str">
        <f>IFERROR(__xludf.DUMMYFUNCTION("SWITCH(
 E159,
 ""BUILDING"",XLOOKUP(A159,tblBuildings[BuildingID],tblBuildings[costtext],""""),
 ""TECH"",XLOOKUP(A159,tblTechnologies[TechnologyID],tblTechnologies[costtext],""""),
 ""QUEST"",XLOOKUP(
  REGEXREPLACE(A159,""\.[^.]+$"",""""),
  tblQuests["&amp;"QuestID],
  tblQuests[Costtext],
  """"
 ),
 ""CITADEL"",XLOOKUP(A159,tblCitadel[CitadelID],tblCitadel[costtext],""""),
 ""COLLECTION"",XLOOKUP(A159,tblCollections[CollectionID],tblCollections[costtext],""""),
 ""CRAFTIFACT"",XLOOKUP(A159,tblCraftifacts[C"&amp;"raftifactID],tblCraftifacts[costtext],""""),
 """"
)"),"12 drum,80 fan,12 firework,40 katana,12 kimono,12 ninja,12 samurai,80 shuriken,80 spikes")</f>
        <v>12 drum,80 fan,12 firework,40 katana,12 kimono,12 ninja,12 samurai,80 shuriken,80 spikes</v>
      </c>
      <c r="P159" s="26" t="str">
        <f t="shared" si="6"/>
        <v>BLOCKED</v>
      </c>
      <c r="Q159" s="26" t="str">
        <f t="shared" si="7"/>
        <v>BLOCKED</v>
      </c>
      <c r="R159" s="26" t="str">
        <f t="array" ref="R159">IFERROR(
 _xlfn.XLOOKUP(
  A159,
  tblChecklist[TargetID],
  tblChecklist[PlayerSort],
  ""
 ),
 ""
)</f>
        <v/>
      </c>
      <c r="S159" s="26" t="str">
        <f>IFERROR(__xludf.DUMMYFUNCTION("LET(
 id,A159,
 successorIDs,
  IFERROR(
   UNIQUE(
    FILTER(
     {
      Dependencies!$A$2:$A$1000;
      QuestObjectives!$A$2:$A$1000
     },
     {
      Dependencies!$B$2:$B$1000;
      QuestObjectives!$E$2:$E$1000
     }=id
    )
   ),
   """"
  )"&amp;",
 names,
  MAP(
   successorIDs,
   LAMBDA(s,
    IF(
     s="""",
     """",
     XLOOKUP(
      s,
      $A$2:$A$1000,
      $B$2:$B$1000,
      s
     )
    )
   )
  ),
 IF(
  successorIDs="""",
  """",
  TEXTJOIN("", "",TRUE,names)
 )
)"),"Attic Lv 5")</f>
        <v>Attic Lv 5</v>
      </c>
      <c r="T159" s="26" t="str">
        <f t="array" ref="T159">_xlfn.XLOOKUP(
 A159,
 tblTargets[TargetID],
 tblTargets[CompletionMethod],
 ""
)</f>
        <v>PLAYER</v>
      </c>
      <c r="U159" s="84" t="b">
        <f>COUNTIF(tblCost[TargetID],A159)&gt;0</f>
        <v>1</v>
      </c>
      <c r="V159" s="85">
        <f t="array" ref="V159">IF(
 U159=FALSE,
 "",
 _xlfn.XLOOKUP(
  A159,
  tblCost[TargetID],
  tblCost[FundingPercent],
  ""
 )
)</f>
        <v>0</v>
      </c>
      <c r="W159" s="26">
        <f t="array" ref="W159">IF(
 U159=FALSE,
 "",
 _xlfn.XLOOKUP(
  A159,
  tblCost[TargetID],
  tblCost[RemainingRequirements],
  ""
 )
)</f>
        <v>9</v>
      </c>
      <c r="X159" s="45" t="b">
        <f t="array" ref="X159">IF(
 U159=FALSE,
 "N/A",
 _xlfn.XLOOKUP(
  A160,
  tblCost[TargetID],
  tblCost[TargetFunded],
  FALSE
 )
)</f>
        <v>0</v>
      </c>
      <c r="Y159" s="26" t="str">
        <f>IFERROR(__xludf.DUMMYFUNCTION("IFERROR(
 TEXTJOIN(
  "", "",
  TRUE,
  FILTER(
   'cost checklist'!$E$2:$E1000&amp;"": ""&amp;'cost checklist'!$G$2:$G1000,
   'cost checklist'!$B$2:$B1000=A159,
   'cost checklist'!$J$2:$J1000=FALSE
  )
 ),
 """"
)"),"drum: 12, fan: 80, firework: 12, katana: 40, kimono: 12, ninja: 12, samurai: 12, shuriken: 80, spikes: 80")</f>
        <v>drum: 12, fan: 80, firework: 12, katana: 40, kimono: 12, ninja: 12, samurai: 12, shuriken: 80, spikes: 80</v>
      </c>
      <c r="Z159" s="26" t="b">
        <f>IFERROR(__xludf.DUMMYFUNCTION("IF(
 AND(
  E159=""QUEST"",
  RIGHT(A159,9)="".accepted"",
  D159=TRUE
 ),
 XLOOKUP(
  REGEXREPLACE(A159,""\.accepted$"","""")&amp;"".finished"",
  $A$2:$A1000,
  $D$2:$D1000,
  TRUE
 )=FALSE,
 FALSE
)"),FALSE)</f>
        <v>0</v>
      </c>
      <c r="AA159" s="26" t="str">
        <f>IFERROR(__xludf.DUMMYFUNCTION("LET(
 id,A159,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0" ht="14.25" customHeight="1">
      <c r="A160" s="26" t="s">
        <v>563</v>
      </c>
      <c r="B160" s="26" t="str">
        <f t="array" ref="B160">_xlfn.XLOOKUP(
 A160,
 tblTargets[TargetID],
 tblTargets[DisplayName],
 ""
)</f>
        <v>Attic Lv 5</v>
      </c>
      <c r="C160" s="26" t="str">
        <f t="shared" si="1"/>
        <v>BLOCKED</v>
      </c>
      <c r="D160" s="26" t="b">
        <f>IFERROR(__xludf.DUMMYFUNCTION("LET(
 id,A160,
 IF(
  F160=""CHARACTER"",
  LET(
   base,REGEXREPLACE(id,""@\d+$"",""""),
   required,VALUE(REGEXEXTRACT(id,""@(\d+)$"")),
   current,XLOOKUP(
    base,
    tblPlayer[PlayerStateID],
    tblPlayer[Value],
    0
   ),
   current&gt;=required
 "&amp;" ),
  IF(
   T160=""AUTO"",
   L160=0,
   COUNTIFS(
    tblChecklist[TargetID],id,
    tblChecklist[PlayerCompleted],TRUE
   )&gt;0
  )
 )
)"),FALSE)</f>
        <v>0</v>
      </c>
      <c r="E160" s="26" t="str">
        <f t="array" ref="E160">_xlfn.XLOOKUP(
 A160,
 tblTargets[TargetID],
 tblTargets[TargetType],
 ""
)</f>
        <v>COLLECTION</v>
      </c>
      <c r="F160" s="26" t="str">
        <f t="array" ref="F160">_xlfn.XLOOKUP(
 A160,
 tblTargets[TargetID],
 tblTargets[StateType],
 ""
)</f>
        <v/>
      </c>
      <c r="G160" s="26">
        <f>LET(
 id,A160,
 depCount,COUNTIF(tblDependencies[TargetID],id),
 objCount,COUNTIF(tblQuestObjectives[QuestTargetID],id),
 depCount+objCount
)</f>
        <v>1</v>
      </c>
      <c r="H160" s="26">
        <f t="shared" si="2"/>
        <v>1</v>
      </c>
      <c r="I160" s="26">
        <f>IFERROR(__xludf.DUMMYFUNCTION("LET(
 id,A160,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0" s="26">
        <f t="shared" si="3"/>
        <v>0</v>
      </c>
      <c r="K160" s="26" t="b">
        <f t="shared" si="4"/>
        <v>0</v>
      </c>
      <c r="L160" s="26">
        <f t="shared" si="5"/>
        <v>1</v>
      </c>
      <c r="M160" s="26" t="str">
        <f>IFERROR(__xludf.DUMMYFUNCTION("LET(
 id,A160,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L160=0,
  """",
  IFERROR(INDEX(incomplete,1),"""")"&amp;"
 )
)"),"collection.attic@4")</f>
        <v>collection.attic@4</v>
      </c>
      <c r="N160" s="26" t="str">
        <f t="array" ref="N160">IF(
 M160="",
 "",
 _xlfn.XLOOKUP(
  M160,
  tblTargets[TargetID],
  tblTargets[DisplayName],
  M160
 )
)</f>
        <v>Attic Lv 4</v>
      </c>
      <c r="O160" s="26" t="str">
        <f>IFERROR(__xludf.DUMMYFUNCTION("SWITCH(
 E160,
 ""BUILDING"",XLOOKUP(A160,tblBuildings[BuildingID],tblBuildings[costtext],""""),
 ""TECH"",XLOOKUP(A160,tblTechnologies[TechnologyID],tblTechnologies[costtext],""""),
 ""QUEST"",XLOOKUP(
  REGEXREPLACE(A160,""\.[^.]+$"",""""),
  tblQuests["&amp;"QuestID],
  tblQuests[Costtext],
  """"
 ),
 ""CITADEL"",XLOOKUP(A160,tblCitadel[CitadelID],tblCitadel[costtext],""""),
 ""COLLECTION"",XLOOKUP(A160,tblCollections[CollectionID],tblCollections[costtext],""""),
 ""CRAFTIFACT"",XLOOKUP(A160,tblCraftifacts[C"&amp;"raftifactID],tblCraftifacts[costtext],""""),
 """"
)"),"15 drum,100 fan,15 firework,50 katana,15 kimono,15 ninja,15 samurai,100 shuriken,100 spikes")</f>
        <v>15 drum,100 fan,15 firework,50 katana,15 kimono,15 ninja,15 samurai,100 shuriken,100 spikes</v>
      </c>
      <c r="P160" s="26" t="str">
        <f t="shared" si="6"/>
        <v>BLOCKED</v>
      </c>
      <c r="Q160" s="26" t="str">
        <f t="shared" si="7"/>
        <v>BLOCKED</v>
      </c>
      <c r="R160" s="26" t="str">
        <f t="array" ref="R160">IFERROR(
 _xlfn.XLOOKUP(
  A160,
  tblChecklist[TargetID],
  tblChecklist[PlayerSort],
  ""
 ),
 ""
)</f>
        <v/>
      </c>
      <c r="S160" s="26" t="str">
        <f>IFERROR(__xludf.DUMMYFUNCTION("LET(
 id,A160,
 successorIDs,
  IFERROR(
   UNIQUE(
    FILTER(
     {
      Dependencies!$A$2:$A$1000;
      QuestObjectives!$A$2:$A$1000
     },
     {
      Dependencies!$B$2:$B$1000;
      QuestObjectives!$E$2:$E$1000
     }=id
    )
   ),
   """"
  )"&amp;",
 names,
  MAP(
   successorIDs,
   LAMBDA(s,
    IF(
     s="""",
     """",
     XLOOKUP(
      s,
      $A$2:$A$1000,
      $B$2:$B$1000,
      s
     )
    )
   )
  ),
 IF(
  successorIDs="""",
  """",
  TEXTJOIN("", "",TRUE,names)
 )
)"),"")</f>
        <v/>
      </c>
      <c r="T160" s="26" t="str">
        <f t="array" ref="T160">_xlfn.XLOOKUP(
 A160,
 tblTargets[TargetID],
 tblTargets[CompletionMethod],
 ""
)</f>
        <v>PLAYER</v>
      </c>
      <c r="U160" s="84" t="b">
        <f>COUNTIF(tblCost[TargetID],A160)&gt;0</f>
        <v>1</v>
      </c>
      <c r="V160" s="85">
        <f t="array" ref="V160">IF(
 U160=FALSE,
 "",
 _xlfn.XLOOKUP(
  A160,
  tblCost[TargetID],
  tblCost[FundingPercent],
  ""
 )
)</f>
        <v>0</v>
      </c>
      <c r="W160" s="26">
        <f t="array" ref="W160">IF(
 U160=FALSE,
 "",
 _xlfn.XLOOKUP(
  A160,
  tblCost[TargetID],
  tblCost[RemainingRequirements],
  ""
 )
)</f>
        <v>9</v>
      </c>
      <c r="X160" s="45" t="b">
        <f t="array" ref="X160">IF(
 U160=FALSE,
 "N/A",
 _xlfn.XLOOKUP(
  A161,
  tblCost[TargetID],
  tblCost[TargetFunded],
  FALSE
 )
)</f>
        <v>0</v>
      </c>
      <c r="Y160" s="26" t="str">
        <f>IFERROR(__xludf.DUMMYFUNCTION("IFERROR(
 TEXTJOIN(
  "", "",
  TRUE,
  FILTER(
   'cost checklist'!$E$2:$E1000&amp;"": ""&amp;'cost checklist'!$G$2:$G1000,
   'cost checklist'!$B$2:$B1000=A160,
   'cost checklist'!$J$2:$J1000=FALSE
  )
 ),
 """"
)"),"drum: 15, fan: 100, firework: 15, katana: 50, kimono: 15, ninja: 15, samurai: 15, shuriken: 100, spikes: 100")</f>
        <v>drum: 15, fan: 100, firework: 15, katana: 50, kimono: 15, ninja: 15, samurai: 15, shuriken: 100, spikes: 100</v>
      </c>
      <c r="Z160" s="26" t="b">
        <f>IFERROR(__xludf.DUMMYFUNCTION("IF(
 AND(
  E160=""QUEST"",
  RIGHT(A160,9)="".accepted"",
  D160=TRUE
 ),
 XLOOKUP(
  REGEXREPLACE(A160,""\.accepted$"","""")&amp;"".finished"",
  $A$2:$A1000,
  $D$2:$D1000,
  TRUE
 )=FALSE,
 FALSE
)"),FALSE)</f>
        <v>0</v>
      </c>
      <c r="AA160" s="26" t="str">
        <f>IFERROR(__xludf.DUMMYFUNCTION("LET(
 id,A160,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1" ht="14.25" customHeight="1">
      <c r="A161" s="26" t="s">
        <v>565</v>
      </c>
      <c r="B161" s="26" t="str">
        <f t="array" ref="B161">_xlfn.XLOOKUP(
 A161,
 tblTargets[TargetID],
 tblTargets[DisplayName],
 ""
)</f>
        <v>Bone Dragon Lv 1</v>
      </c>
      <c r="C161" s="26" t="str">
        <f t="shared" si="1"/>
        <v>BLOCKED</v>
      </c>
      <c r="D161" s="26" t="b">
        <f>IFERROR(__xludf.DUMMYFUNCTION("LET(
 id,A161,
 IF(
  F161=""CHARACTER"",
  LET(
   base,REGEXREPLACE(id,""@\d+$"",""""),
   required,VALUE(REGEXEXTRACT(id,""@(\d+)$"")),
   current,XLOOKUP(
    base,
    tblPlayer[PlayerStateID],
    tblPlayer[Value],
    0
   ),
   current&gt;=required
 "&amp;" ),
  IF(
   T161=""AUTO"",
   L161=0,
   COUNTIFS(
    tblChecklist[TargetID],id,
    tblChecklist[PlayerCompleted],TRUE
   )&gt;0
  )
 )
)"),FALSE)</f>
        <v>0</v>
      </c>
      <c r="E161" s="26" t="str">
        <f t="array" ref="E161">_xlfn.XLOOKUP(
 A161,
 tblTargets[TargetID],
 tblTargets[TargetType],
 ""
)</f>
        <v>COLLECTION</v>
      </c>
      <c r="F161" s="26" t="str">
        <f t="array" ref="F161">_xlfn.XLOOKUP(
 A161,
 tblTargets[TargetID],
 tblTargets[StateType],
 ""
)</f>
        <v/>
      </c>
      <c r="G161" s="26">
        <f>LET(
 id,A161,
 depCount,COUNTIF(tblDependencies[TargetID],id),
 objCount,COUNTIF(tblQuestObjectives[QuestTargetID],id),
 depCount+objCount
)</f>
        <v>1</v>
      </c>
      <c r="H161" s="26">
        <f t="shared" si="2"/>
        <v>1</v>
      </c>
      <c r="I161" s="26">
        <f>IFERROR(__xludf.DUMMYFUNCTION("LET(
 id,A161,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1" s="26">
        <f t="shared" si="3"/>
        <v>0</v>
      </c>
      <c r="K161" s="26" t="b">
        <f t="shared" si="4"/>
        <v>0</v>
      </c>
      <c r="L161" s="26">
        <f t="shared" si="5"/>
        <v>1</v>
      </c>
      <c r="M161" s="26" t="str">
        <f>IFERROR(__xludf.DUMMYFUNCTION("LET(
 id,A161,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L161=0,
  """",
  IFERROR(INDEX(incomplete,1),"""")"&amp;"
 )
)"),"collection.cave_in_bone_dragon@1")</f>
        <v>collection.cave_in_bone_dragon@1</v>
      </c>
      <c r="N161" s="26" t="str">
        <f t="array" ref="N161">IF(
 M161="",
 "",
 _xlfn.XLOOKUP(
  M161,
  tblTargets[TargetID],
  tblTargets[DisplayName],
  M161
 )
)</f>
        <v>Cave-in Bone Dragon</v>
      </c>
      <c r="O161" s="26" t="str">
        <f>IFERROR(__xludf.DUMMYFUNCTION("SWITCH(
 E161,
 ""BUILDING"",XLOOKUP(A161,tblBuildings[BuildingID],tblBuildings[costtext],""""),
 ""TECH"",XLOOKUP(A161,tblTechnologies[TechnologyID],tblTechnologies[costtext],""""),
 ""QUEST"",XLOOKUP(
  REGEXREPLACE(A161,""\.[^.]+$"",""""),
  tblQuests["&amp;"QuestID],
  tblQuests[Costtext],
  """"
 ),
 ""CITADEL"",XLOOKUP(A161,tblCitadel[CitadelID],tblCitadel[costtext],""""),
 ""COLLECTION"",XLOOKUP(A161,tblCollections[CollectionID],tblCollections[costtext],""""),
 ""CRAFTIFACT"",XLOOKUP(A161,tblCraftifacts[C"&amp;"raftifactID],tblCraftifacts[costtext],""""),
 """"
)"),"30 bone, 10 teeth, 11 bonemeal, 2 diamond, 150 bone.2, 30 bone.3, 30 bone.4, 30 bone.5, 30 bone.6, 555 crypto, 5 grimoire")</f>
        <v>30 bone, 10 teeth, 11 bonemeal, 2 diamond, 150 bone.2, 30 bone.3, 30 bone.4, 30 bone.5, 30 bone.6, 555 crypto, 5 grimoire</v>
      </c>
      <c r="P161" s="26" t="str">
        <f t="shared" si="6"/>
        <v>BLOCKED</v>
      </c>
      <c r="Q161" s="26" t="str">
        <f t="shared" si="7"/>
        <v>BLOCKED</v>
      </c>
      <c r="R161" s="26" t="str">
        <f t="array" ref="R161">IFERROR(
 _xlfn.XLOOKUP(
  A161,
  tblChecklist[TargetID],
  tblChecklist[PlayerSort],
  ""
 ),
 ""
)</f>
        <v/>
      </c>
      <c r="S161" s="26" t="str">
        <f>IFERROR(__xludf.DUMMYFUNCTION("LET(
 id,A161,
 successorIDs,
  IFERROR(
   UNIQUE(
    FILTER(
     {
      Dependencies!$A$2:$A$1000;
      QuestObjectives!$A$2:$A$1000
     },
     {
      Dependencies!$B$2:$B$1000;
      QuestObjectives!$E$2:$E$1000
     }=id
    )
   ),
   """"
  )"&amp;",
 names,
  MAP(
   successorIDs,
   LAMBDA(s,
    IF(
     s="""",
     """",
     XLOOKUP(
      s,
      $A$2:$A$1000,
      $B$2:$B$1000,
      s
     )
    )
   )
  ),
 IF(
  successorIDs="""",
  """",
  TEXTJOIN("", "",TRUE,names)
 )
)"),"Bone Dragon Lv 2, Letter from the Dark Lady Finished")</f>
        <v>Bone Dragon Lv 2, Letter from the Dark Lady Finished</v>
      </c>
      <c r="T161" s="26" t="str">
        <f t="array" ref="T161">_xlfn.XLOOKUP(
 A161,
 tblTargets[TargetID],
 tblTargets[CompletionMethod],
 ""
)</f>
        <v>PLAYER</v>
      </c>
      <c r="U161" s="84" t="b">
        <f>COUNTIF(tblCost[TargetID],A161)&gt;0</f>
        <v>1</v>
      </c>
      <c r="V161" s="85">
        <f t="array" ref="V161">IF(
 U161=FALSE,
 "",
 _xlfn.XLOOKUP(
  A161,
  tblCost[TargetID],
  tblCost[FundingPercent],
  ""
 )
)</f>
        <v>0</v>
      </c>
      <c r="W161" s="26">
        <f t="array" ref="W161">IF(
 U161=FALSE,
 "",
 _xlfn.XLOOKUP(
  A161,
  tblCost[TargetID],
  tblCost[RemainingRequirements],
  ""
 )
)</f>
        <v>11</v>
      </c>
      <c r="X161" s="45" t="b">
        <f t="array" ref="X161">IF(
 U161=FALSE,
 "N/A",
 _xlfn.XLOOKUP(
  A162,
  tblCost[TargetID],
  tblCost[TargetFunded],
  FALSE
 )
)</f>
        <v>0</v>
      </c>
      <c r="Y161" s="26" t="str">
        <f>IFERROR(__xludf.DUMMYFUNCTION("IFERROR(
 TEXTJOIN(
  "", "",
  TRUE,
  FILTER(
   'cost checklist'!$E$2:$E1000&amp;"": ""&amp;'cost checklist'!$G$2:$G1000,
   'cost checklist'!$B$2:$B1000=A161,
   'cost checklist'!$J$2:$J1000=FALSE
  )
 ),
 """"
)"),"bone: 30, bone: 150, bone: 30, bone: 30, bone: 30, bone: 30, bonemeal: 11, crypto: 555, diamond: 2, grimoire: 5, teeth: 10")</f>
        <v>bone: 30, bone: 150, bone: 30, bone: 30, bone: 30, bone: 30, bonemeal: 11, crypto: 555, diamond: 2, grimoire: 5, teeth: 10</v>
      </c>
      <c r="Z161" s="26" t="b">
        <f>IFERROR(__xludf.DUMMYFUNCTION("IF(
 AND(
  E161=""QUEST"",
  RIGHT(A161,9)="".accepted"",
  D161=TRUE
 ),
 XLOOKUP(
  REGEXREPLACE(A161,""\.accepted$"","""")&amp;"".finished"",
  $A$2:$A1000,
  $D$2:$D1000,
  TRUE
 )=FALSE,
 FALSE
)"),FALSE)</f>
        <v>0</v>
      </c>
      <c r="AA161" s="26" t="str">
        <f>IFERROR(__xludf.DUMMYFUNCTION("LET(
 id,A161,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2" ht="14.25" customHeight="1">
      <c r="A162" s="26" t="s">
        <v>567</v>
      </c>
      <c r="B162" s="26" t="str">
        <f t="array" ref="B162">_xlfn.XLOOKUP(
 A162,
 tblTargets[TargetID],
 tblTargets[DisplayName],
 ""
)</f>
        <v>Bone Dragon Lv 2</v>
      </c>
      <c r="C162" s="26" t="str">
        <f t="shared" si="1"/>
        <v>BLOCKED</v>
      </c>
      <c r="D162" s="26" t="b">
        <f>IFERROR(__xludf.DUMMYFUNCTION("LET(
 id,A162,
 IF(
  F162=""CHARACTER"",
  LET(
   base,REGEXREPLACE(id,""@\d+$"",""""),
   required,VALUE(REGEXEXTRACT(id,""@(\d+)$"")),
   current,XLOOKUP(
    base,
    tblPlayer[PlayerStateID],
    tblPlayer[Value],
    0
   ),
   current&gt;=required
 "&amp;" ),
  IF(
   T162=""AUTO"",
   L162=0,
   COUNTIFS(
    tblChecklist[TargetID],id,
    tblChecklist[PlayerCompleted],TRUE
   )&gt;0
  )
 )
)"),FALSE)</f>
        <v>0</v>
      </c>
      <c r="E162" s="26" t="str">
        <f t="array" ref="E162">_xlfn.XLOOKUP(
 A162,
 tblTargets[TargetID],
 tblTargets[TargetType],
 ""
)</f>
        <v>COLLECTION</v>
      </c>
      <c r="F162" s="26" t="str">
        <f t="array" ref="F162">_xlfn.XLOOKUP(
 A162,
 tblTargets[TargetID],
 tblTargets[StateType],
 ""
)</f>
        <v/>
      </c>
      <c r="G162" s="26">
        <f>LET(
 id,A162,
 depCount,COUNTIF(tblDependencies[TargetID],id),
 objCount,COUNTIF(tblQuestObjectives[QuestTargetID],id),
 depCount+objCount
)</f>
        <v>1</v>
      </c>
      <c r="H162" s="26">
        <f t="shared" si="2"/>
        <v>1</v>
      </c>
      <c r="I162" s="26">
        <f>IFERROR(__xludf.DUMMYFUNCTION("LET(
 id,A162,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2" s="26">
        <f t="shared" si="3"/>
        <v>0</v>
      </c>
      <c r="K162" s="26" t="b">
        <f t="shared" si="4"/>
        <v>0</v>
      </c>
      <c r="L162" s="26">
        <f t="shared" si="5"/>
        <v>1</v>
      </c>
      <c r="M162" s="26" t="str">
        <f>IFERROR(__xludf.DUMMYFUNCTION("LET(
 id,A162,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L162=0,
  """",
  IFERROR(INDEX(incomplete,1),"""")"&amp;"
 )
)"),"collection.bone_dragon@1")</f>
        <v>collection.bone_dragon@1</v>
      </c>
      <c r="N162" s="26" t="str">
        <f t="array" ref="N162">IF(
 M162="",
 "",
 _xlfn.XLOOKUP(
  M162,
  tblTargets[TargetID],
  tblTargets[DisplayName],
  M162
 )
)</f>
        <v>Bone Dragon Lv 1</v>
      </c>
      <c r="O162" s="26" t="str">
        <f>IFERROR(__xludf.DUMMYFUNCTION("SWITCH(
 E162,
 ""BUILDING"",XLOOKUP(A162,tblBuildings[BuildingID],tblBuildings[costtext],""""),
 ""TECH"",XLOOKUP(A162,tblTechnologies[TechnologyID],tblTechnologies[costtext],""""),
 ""QUEST"",XLOOKUP(
  REGEXREPLACE(A162,""\.[^.]+$"",""""),
  tblQuests["&amp;"QuestID],
  tblQuests[Costtext],
  """"
 ),
 ""CITADEL"",XLOOKUP(A162,tblCitadel[CitadelID],tblCitadel[costtext],""""),
 ""COLLECTION"",XLOOKUP(A162,tblCollections[CollectionID],tblCollections[costtext],""""),
 ""CRAFTIFACT"",XLOOKUP(A162,tblCraftifacts[C"&amp;"raftifactID],tblCraftifacts[costtext],""""),
 """"
)"),"60 bone, 20 teeth, 22 bonemeal, 4 diamond, 300 bone.2, 60 bone.3, 60 bone.4, 60 bone.5, 60 bone.6, 1110 crypto, 10 grimoire")</f>
        <v>60 bone, 20 teeth, 22 bonemeal, 4 diamond, 300 bone.2, 60 bone.3, 60 bone.4, 60 bone.5, 60 bone.6, 1110 crypto, 10 grimoire</v>
      </c>
      <c r="P162" s="26" t="str">
        <f t="shared" si="6"/>
        <v>BLOCKED</v>
      </c>
      <c r="Q162" s="26" t="str">
        <f t="shared" si="7"/>
        <v>BLOCKED</v>
      </c>
      <c r="R162" s="26" t="str">
        <f t="array" ref="R162">IFERROR(
 _xlfn.XLOOKUP(
  A162,
  tblChecklist[TargetID],
  tblChecklist[PlayerSort],
  ""
 ),
 ""
)</f>
        <v/>
      </c>
      <c r="S162" s="26" t="str">
        <f>IFERROR(__xludf.DUMMYFUNCTION("LET(
 id,A162,
 successorIDs,
  IFERROR(
   UNIQUE(
    FILTER(
     {
      Dependencies!$A$2:$A$1000;
      QuestObjectives!$A$2:$A$1000
     },
     {
      Dependencies!$B$2:$B$1000;
      QuestObjectives!$E$2:$E$1000
     }=id
    )
   ),
   """"
  )"&amp;",
 names,
  MAP(
   successorIDs,
   LAMBDA(s,
    IF(
     s="""",
     """",
     XLOOKUP(
      s,
      $A$2:$A$1000,
      $B$2:$B$1000,
      s
     )
    )
   )
  ),
 IF(
  successorIDs="""",
  """",
  TEXTJOIN("", "",TRUE,names)
 )
)"),"")</f>
        <v/>
      </c>
      <c r="T162" s="26" t="str">
        <f t="array" ref="T162">_xlfn.XLOOKUP(
 A162,
 tblTargets[TargetID],
 tblTargets[CompletionMethod],
 ""
)</f>
        <v>PLAYER</v>
      </c>
      <c r="U162" s="84" t="b">
        <f>COUNTIF(tblCost[TargetID],A162)&gt;0</f>
        <v>1</v>
      </c>
      <c r="V162" s="85">
        <f t="array" ref="V162">IF(
 U162=FALSE,
 "",
 _xlfn.XLOOKUP(
  A162,
  tblCost[TargetID],
  tblCost[FundingPercent],
  ""
 )
)</f>
        <v>0</v>
      </c>
      <c r="W162" s="26">
        <f t="array" ref="W162">IF(
 U162=FALSE,
 "",
 _xlfn.XLOOKUP(
  A162,
  tblCost[TargetID],
  tblCost[RemainingRequirements],
  ""
 )
)</f>
        <v>11</v>
      </c>
      <c r="X162" s="45" t="b">
        <f t="array" ref="X162">IF(
 U162=FALSE,
 "N/A",
 _xlfn.XLOOKUP(
  A163,
  tblCost[TargetID],
  tblCost[TargetFunded],
  FALSE
 )
)</f>
        <v>0</v>
      </c>
      <c r="Y162" s="26" t="str">
        <f>IFERROR(__xludf.DUMMYFUNCTION("IFERROR(
 TEXTJOIN(
  "", "",
  TRUE,
  FILTER(
   'cost checklist'!$E$2:$E1000&amp;"": ""&amp;'cost checklist'!$G$2:$G1000,
   'cost checklist'!$B$2:$B1000=A162,
   'cost checklist'!$J$2:$J1000=FALSE
  )
 ),
 """"
)"),"bone: 60, bone: 300, bone: 60, bone: 60, bone: 60, bone: 60, bonemeal: 22, crypto: 1110, diamond: 4, grimoire: 10, teeth: 20")</f>
        <v>bone: 60, bone: 300, bone: 60, bone: 60, bone: 60, bone: 60, bonemeal: 22, crypto: 1110, diamond: 4, grimoire: 10, teeth: 20</v>
      </c>
      <c r="Z162" s="26" t="b">
        <f>IFERROR(__xludf.DUMMYFUNCTION("IF(
 AND(
  E162=""QUEST"",
  RIGHT(A162,9)="".accepted"",
  D162=TRUE
 ),
 XLOOKUP(
  REGEXREPLACE(A162,""\.accepted$"","""")&amp;"".finished"",
  $A$2:$A1000,
  $D$2:$D1000,
  TRUE
 )=FALSE,
 FALSE
)"),FALSE)</f>
        <v>0</v>
      </c>
      <c r="AA162" s="26" t="str">
        <f>IFERROR(__xludf.DUMMYFUNCTION("LET(
 id,A162,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3" ht="14.25" customHeight="1">
      <c r="A163" s="26" t="s">
        <v>569</v>
      </c>
      <c r="B163" s="26" t="str">
        <f t="array" ref="B163">_xlfn.XLOOKUP(
 A163,
 tblTargets[TargetID],
 tblTargets[DisplayName],
 ""
)</f>
        <v>Broken Lever</v>
      </c>
      <c r="C163" s="26" t="str">
        <f t="shared" si="1"/>
        <v>BLOCKED</v>
      </c>
      <c r="D163" s="26" t="b">
        <f>IFERROR(__xludf.DUMMYFUNCTION("LET(
 id,A163,
 IF(
  F163=""CHARACTER"",
  LET(
   base,REGEXREPLACE(id,""@\d+$"",""""),
   required,VALUE(REGEXEXTRACT(id,""@(\d+)$"")),
   current,XLOOKUP(
    base,
    tblPlayer[PlayerStateID],
    tblPlayer[Value],
    0
   ),
   current&gt;=required
 "&amp;" ),
  IF(
   T163=""AUTO"",
   L163=0,
   COUNTIFS(
    tblChecklist[TargetID],id,
    tblChecklist[PlayerCompleted],TRUE
   )&gt;0
  )
 )
)"),FALSE)</f>
        <v>0</v>
      </c>
      <c r="E163" s="26" t="str">
        <f t="array" ref="E163">_xlfn.XLOOKUP(
 A163,
 tblTargets[TargetID],
 tblTargets[TargetType],
 ""
)</f>
        <v>COLLECTION</v>
      </c>
      <c r="F163" s="26" t="str">
        <f t="array" ref="F163">_xlfn.XLOOKUP(
 A163,
 tblTargets[TargetID],
 tblTargets[StateType],
 ""
)</f>
        <v/>
      </c>
      <c r="G163" s="26">
        <f>LET(
 id,A163,
 depCount,COUNTIF(tblDependencies[TargetID],id),
 objCount,COUNTIF(tblQuestObjectives[QuestTargetID],id),
 depCount+objCount
)</f>
        <v>1</v>
      </c>
      <c r="H163" s="26">
        <f t="shared" si="2"/>
        <v>1</v>
      </c>
      <c r="I163" s="26">
        <f>IFERROR(__xludf.DUMMYFUNCTION("LET(
 id,A163,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3" s="26">
        <f t="shared" si="3"/>
        <v>0</v>
      </c>
      <c r="K163" s="26" t="b">
        <f t="shared" si="4"/>
        <v>0</v>
      </c>
      <c r="L163" s="26">
        <f t="shared" si="5"/>
        <v>1</v>
      </c>
      <c r="M163" s="26" t="str">
        <f>IFERROR(__xludf.DUMMYFUNCTION("LET(
 id,A163,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L163=0,
  """",
  IFERROR(INDEX(incomplete,1),"""")"&amp;"
 )
)"),"quest.letter_from_the_dark_lady.accepted")</f>
        <v>quest.letter_from_the_dark_lady.accepted</v>
      </c>
      <c r="N163" s="26" t="str">
        <f t="array" ref="N163">IF(
 M163="",
 "",
 _xlfn.XLOOKUP(
  M163,
  tblTargets[TargetID],
  tblTargets[DisplayName],
  M163
 )
)</f>
        <v>Letter from the Dark Lady Accepted</v>
      </c>
      <c r="O163" s="26" t="str">
        <f>IFERROR(__xludf.DUMMYFUNCTION("SWITCH(
 E163,
 ""BUILDING"",XLOOKUP(A163,tblBuildings[BuildingID],tblBuildings[costtext],""""),
 ""TECH"",XLOOKUP(A163,tblTechnologies[TechnologyID],tblTechnologies[costtext],""""),
 ""QUEST"",XLOOKUP(
  REGEXREPLACE(A163,""\.[^.]+$"",""""),
  tblQuests["&amp;"QuestID],
  tblQuests[Costtext],
  """"
 ),
 ""CITADEL"",XLOOKUP(A163,tblCitadel[CitadelID],tblCitadel[costtext],""""),
 ""COLLECTION"",XLOOKUP(A163,tblCollections[CollectionID],tblCollections[costtext],""""),
 ""CRAFTIFACT"",XLOOKUP(A163,tblCraftifacts[C"&amp;"raftifactID],tblCraftifacts[costtext],""""),
 """"
)"),"5 mechanism")</f>
        <v>5 mechanism</v>
      </c>
      <c r="P163" s="26" t="str">
        <f t="shared" si="6"/>
        <v>BLOCKED</v>
      </c>
      <c r="Q163" s="26" t="str">
        <f t="shared" si="7"/>
        <v>BLOCKED</v>
      </c>
      <c r="R163" s="26" t="str">
        <f t="array" ref="R163">IFERROR(
 _xlfn.XLOOKUP(
  A163,
  tblChecklist[TargetID],
  tblChecklist[PlayerSort],
  ""
 ),
 ""
)</f>
        <v/>
      </c>
      <c r="S163" s="26" t="str">
        <f>IFERROR(__xludf.DUMMYFUNCTION("LET(
 id,A163,
 successorIDs,
  IFERROR(
   UNIQUE(
    FILTER(
     {
      Dependencies!$A$2:$A$1000;
      QuestObjectives!$A$2:$A$1000
     },
     {
      Dependencies!$B$2:$B$1000;
      QuestObjectives!$E$2:$E$1000
     }=id
    )
   ),
   """"
  )"&amp;",
 names,
  MAP(
   successorIDs,
   LAMBDA(s,
    IF(
     s="""",
     """",
     XLOOKUP(
      s,
      $A$2:$A$1000,
      $B$2:$B$1000,
      s
     )
    )
   )
  ),
 IF(
  successorIDs="""",
  """",
  TEXTJOIN("", "",TRUE,names)
 )
)"),"Collapsed Staircase, Letter from the Dark Lady Finished")</f>
        <v>Collapsed Staircase, Letter from the Dark Lady Finished</v>
      </c>
      <c r="T163" s="26" t="str">
        <f t="array" ref="T163">_xlfn.XLOOKUP(
 A163,
 tblTargets[TargetID],
 tblTargets[CompletionMethod],
 ""
)</f>
        <v>PLAYER</v>
      </c>
      <c r="U163" s="84" t="b">
        <f>COUNTIF(tblCost[TargetID],A163)&gt;0</f>
        <v>1</v>
      </c>
      <c r="V163" s="85">
        <f t="array" ref="V163">IF(
 U163=FALSE,
 "",
 _xlfn.XLOOKUP(
  A163,
  tblCost[TargetID],
  tblCost[FundingPercent],
  ""
 )
)</f>
        <v>0</v>
      </c>
      <c r="W163" s="26">
        <f t="array" ref="W163">IF(
 U163=FALSE,
 "",
 _xlfn.XLOOKUP(
  A163,
  tblCost[TargetID],
  tblCost[RemainingRequirements],
  ""
 )
)</f>
        <v>1</v>
      </c>
      <c r="X163" s="45" t="b">
        <f t="array" ref="X163">IF(
 U163=FALSE,
 "N/A",
 _xlfn.XLOOKUP(
  A164,
  tblCost[TargetID],
  tblCost[TargetFunded],
  FALSE
 )
)</f>
        <v>0</v>
      </c>
      <c r="Y163" s="26" t="str">
        <f>IFERROR(__xludf.DUMMYFUNCTION("IFERROR(
 TEXTJOIN(
  "", "",
  TRUE,
  FILTER(
   'cost checklist'!$E$2:$E1000&amp;"": ""&amp;'cost checklist'!$G$2:$G1000,
   'cost checklist'!$B$2:$B1000=A163,
   'cost checklist'!$J$2:$J1000=FALSE
  )
 ),
 """"
)"),"mechanism: 5")</f>
        <v>mechanism: 5</v>
      </c>
      <c r="Z163" s="26" t="b">
        <f>IFERROR(__xludf.DUMMYFUNCTION("IF(
 AND(
  E163=""QUEST"",
  RIGHT(A163,9)="".accepted"",
  D163=TRUE
 ),
 XLOOKUP(
  REGEXREPLACE(A163,""\.accepted$"","""")&amp;"".finished"",
  $A$2:$A1000,
  $D$2:$D1000,
  TRUE
 )=FALSE,
 FALSE
)"),FALSE)</f>
        <v>0</v>
      </c>
      <c r="AA163" s="26" t="str">
        <f>IFERROR(__xludf.DUMMYFUNCTION("LET(
 id,A163,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4" ht="14.25" customHeight="1">
      <c r="A164" s="26" t="s">
        <v>572</v>
      </c>
      <c r="B164" s="26" t="str">
        <f t="array" ref="B164">_xlfn.XLOOKUP(
 A164,
 tblTargets[TargetID],
 tblTargets[DisplayName],
 ""
)</f>
        <v>Broken Minecart</v>
      </c>
      <c r="C164" s="26" t="str">
        <f t="shared" si="1"/>
        <v>BLOCKED</v>
      </c>
      <c r="D164" s="26" t="b">
        <f>IFERROR(__xludf.DUMMYFUNCTION("LET(
 id,A164,
 IF(
  F164=""CHARACTER"",
  LET(
   base,REGEXREPLACE(id,""@\d+$"",""""),
   required,VALUE(REGEXEXTRACT(id,""@(\d+)$"")),
   current,XLOOKUP(
    base,
    tblPlayer[PlayerStateID],
    tblPlayer[Value],
    0
   ),
   current&gt;=required
 "&amp;" ),
  IF(
   T164=""AUTO"",
   L164=0,
   COUNTIFS(
    tblChecklist[TargetID],id,
    tblChecklist[PlayerCompleted],TRUE
   )&gt;0
  )
 )
)"),FALSE)</f>
        <v>0</v>
      </c>
      <c r="E164" s="26" t="str">
        <f t="array" ref="E164">_xlfn.XLOOKUP(
 A164,
 tblTargets[TargetID],
 tblTargets[TargetType],
 ""
)</f>
        <v>COLLECTION</v>
      </c>
      <c r="F164" s="26" t="str">
        <f t="array" ref="F164">_xlfn.XLOOKUP(
 A164,
 tblTargets[TargetID],
 tblTargets[StateType],
 ""
)</f>
        <v/>
      </c>
      <c r="G164" s="26">
        <f>LET(
 id,A164,
 depCount,COUNTIF(tblDependencies[TargetID],id),
 objCount,COUNTIF(tblQuestObjectives[QuestTargetID],id),
 depCount+objCount
)</f>
        <v>1</v>
      </c>
      <c r="H164" s="26">
        <f t="shared" si="2"/>
        <v>1</v>
      </c>
      <c r="I164" s="26">
        <f>IFERROR(__xludf.DUMMYFUNCTION("LET(
 id,A164,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4" s="26">
        <f t="shared" si="3"/>
        <v>0</v>
      </c>
      <c r="K164" s="26" t="b">
        <f t="shared" si="4"/>
        <v>0</v>
      </c>
      <c r="L164" s="26">
        <f t="shared" si="5"/>
        <v>1</v>
      </c>
      <c r="M164" s="26" t="str">
        <f>IFERROR(__xludf.DUMMYFUNCTION("LET(
 id,A164,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L164=0,
  """",
  IFERROR(INDEX(incomplete,1),"""")"&amp;"
 )
)"),"collection.rotten_ladder@1")</f>
        <v>collection.rotten_ladder@1</v>
      </c>
      <c r="N164" s="26" t="str">
        <f t="array" ref="N164">IF(
 M164="",
 "",
 _xlfn.XLOOKUP(
  M164,
  tblTargets[TargetID],
  tblTargets[DisplayName],
  M164
 )
)</f>
        <v>Rotten Ladder</v>
      </c>
      <c r="O164" s="26" t="str">
        <f>IFERROR(__xludf.DUMMYFUNCTION("SWITCH(
 E164,
 ""BUILDING"",XLOOKUP(A164,tblBuildings[BuildingID],tblBuildings[costtext],""""),
 ""TECH"",XLOOKUP(A164,tblTechnologies[TechnologyID],tblTechnologies[costtext],""""),
 ""QUEST"",XLOOKUP(
  REGEXREPLACE(A164,""\.[^.]+$"",""""),
  tblQuests["&amp;"QuestID],
  tblQuests[Costtext],
  """"
 ),
 ""CITADEL"",XLOOKUP(A164,tblCitadel[CitadelID],tblCitadel[costtext],""""),
 ""COLLECTION"",XLOOKUP(A164,tblCollections[CollectionID],tblCollections[costtext],""""),
 ""CRAFTIFACT"",XLOOKUP(A164,tblCraftifacts[C"&amp;"raftifactID],tblCraftifacts[costtext],""""),
 """"
)"),"20 msteel")</f>
        <v>20 msteel</v>
      </c>
      <c r="P164" s="26" t="str">
        <f t="shared" si="6"/>
        <v>BLOCKED</v>
      </c>
      <c r="Q164" s="26" t="str">
        <f t="shared" si="7"/>
        <v>BLOCKED</v>
      </c>
      <c r="R164" s="26" t="str">
        <f t="array" ref="R164">IFERROR(
 _xlfn.XLOOKUP(
  A164,
  tblChecklist[TargetID],
  tblChecklist[PlayerSort],
  ""
 ),
 ""
)</f>
        <v/>
      </c>
      <c r="S164" s="26" t="str">
        <f>IFERROR(__xludf.DUMMYFUNCTION("LET(
 id,A164,
 successorIDs,
  IFERROR(
   UNIQUE(
    FILTER(
     {
      Dependencies!$A$2:$A$1000;
      QuestObjectives!$A$2:$A$1000
     },
     {
      Dependencies!$B$2:$B$1000;
      QuestObjectives!$E$2:$E$1000
     }=id
    )
   ),
   """"
  )"&amp;",
 names,
  MAP(
   successorIDs,
   LAMBDA(s,
    IF(
     s="""",
     """",
     XLOOKUP(
      s,
      $A$2:$A$1000,
      $B$2:$B$1000,
      s
     )
    )
   )
  ),
 IF(
  successorIDs="""",
  """",
  TEXTJOIN("", "",TRUE,names)
 )
)"),"Crystal Cave, Letter from the Dark Lady Finished")</f>
        <v>Crystal Cave, Letter from the Dark Lady Finished</v>
      </c>
      <c r="T164" s="26" t="str">
        <f t="array" ref="T164">_xlfn.XLOOKUP(
 A164,
 tblTargets[TargetID],
 tblTargets[CompletionMethod],
 ""
)</f>
        <v>PLAYER</v>
      </c>
      <c r="U164" s="84" t="b">
        <f>COUNTIF(tblCost[TargetID],A164)&gt;0</f>
        <v>1</v>
      </c>
      <c r="V164" s="85">
        <f t="array" ref="V164">IF(
 U164=FALSE,
 "",
 _xlfn.XLOOKUP(
  A164,
  tblCost[TargetID],
  tblCost[FundingPercent],
  ""
 )
)</f>
        <v>0</v>
      </c>
      <c r="W164" s="26">
        <f t="array" ref="W164">IF(
 U164=FALSE,
 "",
 _xlfn.XLOOKUP(
  A164,
  tblCost[TargetID],
  tblCost[RemainingRequirements],
  ""
 )
)</f>
        <v>1</v>
      </c>
      <c r="X164" s="45" t="b">
        <f t="array" ref="X164">IF(
 U164=FALSE,
 "N/A",
 _xlfn.XLOOKUP(
  A165,
  tblCost[TargetID],
  tblCost[TargetFunded],
  FALSE
 )
)</f>
        <v>0</v>
      </c>
      <c r="Y164" s="26" t="str">
        <f>IFERROR(__xludf.DUMMYFUNCTION("IFERROR(
 TEXTJOIN(
  "", "",
  TRUE,
  FILTER(
   'cost checklist'!$E$2:$E1000&amp;"": ""&amp;'cost checklist'!$G$2:$G1000,
   'cost checklist'!$B$2:$B1000=A164,
   'cost checklist'!$J$2:$J1000=FALSE
  )
 ),
 """"
)"),"msteel: 20")</f>
        <v>msteel: 20</v>
      </c>
      <c r="Z164" s="26" t="b">
        <f>IFERROR(__xludf.DUMMYFUNCTION("IF(
 AND(
  E164=""QUEST"",
  RIGHT(A164,9)="".accepted"",
  D164=TRUE
 ),
 XLOOKUP(
  REGEXREPLACE(A164,""\.accepted$"","""")&amp;"".finished"",
  $A$2:$A1000,
  $D$2:$D1000,
  TRUE
 )=FALSE,
 FALSE
)"),FALSE)</f>
        <v>0</v>
      </c>
      <c r="AA164" s="26" t="str">
        <f>IFERROR(__xludf.DUMMYFUNCTION("LET(
 id,A164,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5" ht="14.25" customHeight="1">
      <c r="A165" s="26" t="s">
        <v>575</v>
      </c>
      <c r="B165" s="26" t="str">
        <f t="array" ref="B165">_xlfn.XLOOKUP(
 A165,
 tblTargets[TargetID],
 tblTargets[DisplayName],
 ""
)</f>
        <v>Cave-in Alchemist Hall</v>
      </c>
      <c r="C165" s="26" t="str">
        <f t="shared" si="1"/>
        <v>BLOCKED</v>
      </c>
      <c r="D165" s="26" t="b">
        <f>IFERROR(__xludf.DUMMYFUNCTION("LET(
 id,A165,
 IF(
  F165=""CHARACTER"",
  LET(
   base,REGEXREPLACE(id,""@\d+$"",""""),
   required,VALUE(REGEXEXTRACT(id,""@(\d+)$"")),
   current,XLOOKUP(
    base,
    tblPlayer[PlayerStateID],
    tblPlayer[Value],
    0
   ),
   current&gt;=required
 "&amp;" ),
  IF(
   T165=""AUTO"",
   L165=0,
   COUNTIFS(
    tblChecklist[TargetID],id,
    tblChecklist[PlayerCompleted],TRUE
   )&gt;0
  )
 )
)"),FALSE)</f>
        <v>0</v>
      </c>
      <c r="E165" s="26" t="str">
        <f t="array" ref="E165">_xlfn.XLOOKUP(
 A165,
 tblTargets[TargetID],
 tblTargets[TargetType],
 ""
)</f>
        <v>COLLECTION</v>
      </c>
      <c r="F165" s="26" t="str">
        <f t="array" ref="F165">_xlfn.XLOOKUP(
 A165,
 tblTargets[TargetID],
 tblTargets[StateType],
 ""
)</f>
        <v/>
      </c>
      <c r="G165" s="26">
        <f>LET(
 id,A165,
 depCount,COUNTIF(tblDependencies[TargetID],id),
 objCount,COUNTIF(tblQuestObjectives[QuestTargetID],id),
 depCount+objCount
)</f>
        <v>1</v>
      </c>
      <c r="H165" s="26">
        <f t="shared" si="2"/>
        <v>1</v>
      </c>
      <c r="I165" s="26">
        <f>IFERROR(__xludf.DUMMYFUNCTION("LET(
 id,A165,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5" s="26">
        <f t="shared" si="3"/>
        <v>0</v>
      </c>
      <c r="K165" s="26" t="b">
        <f t="shared" si="4"/>
        <v>0</v>
      </c>
      <c r="L165" s="26">
        <f t="shared" si="5"/>
        <v>1</v>
      </c>
      <c r="M165" s="26" t="str">
        <f>IFERROR(__xludf.DUMMYFUNCTION("LET(
 id,A165,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L165=0,
  """",
  IFERROR(INDEX(incomplete,1),"""")"&amp;"
 )
)"),"collection.collapsed_staircase@1")</f>
        <v>collection.collapsed_staircase@1</v>
      </c>
      <c r="N165" s="26" t="str">
        <f t="array" ref="N165">IF(
 M165="",
 "",
 _xlfn.XLOOKUP(
  M165,
  tblTargets[TargetID],
  tblTargets[DisplayName],
  M165
 )
)</f>
        <v>Collapsed Staircase</v>
      </c>
      <c r="O165" s="26" t="str">
        <f>IFERROR(__xludf.DUMMYFUNCTION("SWITCH(
 E165,
 ""BUILDING"",XLOOKUP(A165,tblBuildings[BuildingID],tblBuildings[costtext],""""),
 ""TECH"",XLOOKUP(A165,tblTechnologies[TechnologyID],tblTechnologies[costtext],""""),
 ""QUEST"",XLOOKUP(
  REGEXREPLACE(A165,""\.[^.]+$"",""""),
  tblQuests["&amp;"QuestID],
  tblQuests[Costtext],
  """"
 ),
 ""CITADEL"",XLOOKUP(A165,tblCitadel[CitadelID],tblCitadel[costtext],""""),
 ""COLLECTION"",XLOOKUP(A165,tblCollections[CollectionID],tblCollections[costtext],""""),
 ""CRAFTIFACT"",XLOOKUP(A165,tblCraftifacts[C"&amp;"raftifactID],tblCraftifacts[costtext],""""),
 """"
)"),"30 petard")</f>
        <v>30 petard</v>
      </c>
      <c r="P165" s="26" t="str">
        <f t="shared" si="6"/>
        <v>BLOCKED</v>
      </c>
      <c r="Q165" s="26" t="str">
        <f t="shared" si="7"/>
        <v>BLOCKED</v>
      </c>
      <c r="R165" s="26" t="str">
        <f t="array" ref="R165">IFERROR(
 _xlfn.XLOOKUP(
  A165,
  tblChecklist[TargetID],
  tblChecklist[PlayerSort],
  ""
 ),
 ""
)</f>
        <v/>
      </c>
      <c r="S165" s="26" t="str">
        <f>IFERROR(__xludf.DUMMYFUNCTION("LET(
 id,A165,
 successorIDs,
  IFERROR(
   UNIQUE(
    FILTER(
     {
      Dependencies!$A$2:$A$1000;
      QuestObjectives!$A$2:$A$1000
     },
     {
      Dependencies!$B$2:$B$1000;
      QuestObjectives!$E$2:$E$1000
     }=id
    )
   ),
   """"
  )"&amp;",
 names,
  MAP(
   successorIDs,
   LAMBDA(s,
    IF(
     s="""",
     """",
     XLOOKUP(
      s,
      $A$2:$A$1000,
      $B$2:$B$1000,
      s
     )
    )
   )
  ),
 IF(
  successorIDs="""",
  """",
  TEXTJOIN("", "",TRUE,names)
 )
)"),"Alchemist Hall Lv 1, Alchemist Hall Lv 1, Alchemist Hall Lv 1, Letter from the Dark Lady Finished")</f>
        <v>Alchemist Hall Lv 1, Alchemist Hall Lv 1, Alchemist Hall Lv 1, Letter from the Dark Lady Finished</v>
      </c>
      <c r="T165" s="26" t="str">
        <f t="array" ref="T165">_xlfn.XLOOKUP(
 A165,
 tblTargets[TargetID],
 tblTargets[CompletionMethod],
 ""
)</f>
        <v>PLAYER</v>
      </c>
      <c r="U165" s="84" t="b">
        <f>COUNTIF(tblCost[TargetID],A165)&gt;0</f>
        <v>1</v>
      </c>
      <c r="V165" s="85">
        <f t="array" ref="V165">IF(
 U165=FALSE,
 "",
 _xlfn.XLOOKUP(
  A165,
  tblCost[TargetID],
  tblCost[FundingPercent],
  ""
 )
)</f>
        <v>0</v>
      </c>
      <c r="W165" s="26">
        <f t="array" ref="W165">IF(
 U165=FALSE,
 "",
 _xlfn.XLOOKUP(
  A165,
  tblCost[TargetID],
  tblCost[RemainingRequirements],
  ""
 )
)</f>
        <v>1</v>
      </c>
      <c r="X165" s="45" t="b">
        <f t="array" ref="X165">IF(
 U165=FALSE,
 "N/A",
 _xlfn.XLOOKUP(
  A166,
  tblCost[TargetID],
  tblCost[TargetFunded],
  FALSE
 )
)</f>
        <v>0</v>
      </c>
      <c r="Y165" s="26" t="str">
        <f>IFERROR(__xludf.DUMMYFUNCTION("IFERROR(
 TEXTJOIN(
  "", "",
  TRUE,
  FILTER(
   'cost checklist'!$E$2:$E1000&amp;"": ""&amp;'cost checklist'!$G$2:$G1000,
   'cost checklist'!$B$2:$B1000=A165,
   'cost checklist'!$J$2:$J1000=FALSE
  )
 ),
 """"
)"),"petard: 30")</f>
        <v>petard: 30</v>
      </c>
      <c r="Z165" s="26" t="b">
        <f>IFERROR(__xludf.DUMMYFUNCTION("IF(
 AND(
  E165=""QUEST"",
  RIGHT(A165,9)="".accepted"",
  D165=TRUE
 ),
 XLOOKUP(
  REGEXREPLACE(A165,""\.accepted$"","""")&amp;"".finished"",
  $A$2:$A1000,
  $D$2:$D1000,
  TRUE
 )=FALSE,
 FALSE
)"),FALSE)</f>
        <v>0</v>
      </c>
      <c r="AA165" s="26" t="str">
        <f>IFERROR(__xludf.DUMMYFUNCTION("LET(
 id,A165,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6" ht="14.25" customHeight="1">
      <c r="A166" s="26" t="s">
        <v>578</v>
      </c>
      <c r="B166" s="26" t="str">
        <f t="array" ref="B166">_xlfn.XLOOKUP(
 A166,
 tblTargets[TargetID],
 tblTargets[DisplayName],
 ""
)</f>
        <v>Cave-in Bone Dragon</v>
      </c>
      <c r="C166" s="26" t="str">
        <f t="shared" si="1"/>
        <v>BLOCKED</v>
      </c>
      <c r="D166" s="26" t="b">
        <f>IFERROR(__xludf.DUMMYFUNCTION("LET(
 id,A166,
 IF(
  F166=""CHARACTER"",
  LET(
   base,REGEXREPLACE(id,""@\d+$"",""""),
   required,VALUE(REGEXEXTRACT(id,""@(\d+)$"")),
   current,XLOOKUP(
    base,
    tblPlayer[PlayerStateID],
    tblPlayer[Value],
    0
   ),
   current&gt;=required
 "&amp;" ),
  IF(
   T166=""AUTO"",
   L166=0,
   COUNTIFS(
    tblChecklist[TargetID],id,
    tblChecklist[PlayerCompleted],TRUE
   )&gt;0
  )
 )
)"),FALSE)</f>
        <v>0</v>
      </c>
      <c r="E166" s="26" t="str">
        <f t="array" ref="E166">_xlfn.XLOOKUP(
 A166,
 tblTargets[TargetID],
 tblTargets[TargetType],
 ""
)</f>
        <v>COLLECTION</v>
      </c>
      <c r="F166" s="26" t="str">
        <f t="array" ref="F166">_xlfn.XLOOKUP(
 A166,
 tblTargets[TargetID],
 tblTargets[StateType],
 ""
)</f>
        <v/>
      </c>
      <c r="G166" s="26">
        <f>LET(
 id,A166,
 depCount,COUNTIF(tblDependencies[TargetID],id),
 objCount,COUNTIF(tblQuestObjectives[QuestTargetID],id),
 depCount+objCount
)</f>
        <v>1</v>
      </c>
      <c r="H166" s="26">
        <f t="shared" si="2"/>
        <v>1</v>
      </c>
      <c r="I166" s="26">
        <f>IFERROR(__xludf.DUMMYFUNCTION("LET(
 id,A166,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6" s="26">
        <f t="shared" si="3"/>
        <v>0</v>
      </c>
      <c r="K166" s="26" t="b">
        <f t="shared" si="4"/>
        <v>0</v>
      </c>
      <c r="L166" s="26">
        <f t="shared" si="5"/>
        <v>1</v>
      </c>
      <c r="M166" s="26" t="str">
        <f>IFERROR(__xludf.DUMMYFUNCTION("LET(
 id,A166,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L166=0,
  """",
  IFERROR(INDEX(incomplete,1),"""")"&amp;"
 )
)"),"collection.collapsed_staircase@1")</f>
        <v>collection.collapsed_staircase@1</v>
      </c>
      <c r="N166" s="26" t="str">
        <f t="array" ref="N166">IF(
 M166="",
 "",
 _xlfn.XLOOKUP(
  M166,
  tblTargets[TargetID],
  tblTargets[DisplayName],
  M166
 )
)</f>
        <v>Collapsed Staircase</v>
      </c>
      <c r="O166" s="26" t="str">
        <f>IFERROR(__xludf.DUMMYFUNCTION("SWITCH(
 E166,
 ""BUILDING"",XLOOKUP(A166,tblBuildings[BuildingID],tblBuildings[costtext],""""),
 ""TECH"",XLOOKUP(A166,tblTechnologies[TechnologyID],tblTechnologies[costtext],""""),
 ""QUEST"",XLOOKUP(
  REGEXREPLACE(A166,""\.[^.]+$"",""""),
  tblQuests["&amp;"QuestID],
  tblQuests[Costtext],
  """"
 ),
 ""CITADEL"",XLOOKUP(A166,tblCitadel[CitadelID],tblCitadel[costtext],""""),
 ""COLLECTION"",XLOOKUP(A166,tblCollections[CollectionID],tblCollections[costtext],""""),
 ""CRAFTIFACT"",XLOOKUP(A166,tblCraftifacts[C"&amp;"raftifactID],tblCraftifacts[costtext],""""),
 """"
)"),"30 petard")</f>
        <v>30 petard</v>
      </c>
      <c r="P166" s="26" t="str">
        <f t="shared" si="6"/>
        <v>BLOCKED</v>
      </c>
      <c r="Q166" s="26" t="str">
        <f t="shared" si="7"/>
        <v>BLOCKED</v>
      </c>
      <c r="R166" s="26" t="str">
        <f t="array" ref="R166">IFERROR(
 _xlfn.XLOOKUP(
  A166,
  tblChecklist[TargetID],
  tblChecklist[PlayerSort],
  ""
 ),
 ""
)</f>
        <v/>
      </c>
      <c r="S166" s="26" t="str">
        <f>IFERROR(__xludf.DUMMYFUNCTION("LET(
 id,A166,
 successorIDs,
  IFERROR(
   UNIQUE(
    FILTER(
     {
      Dependencies!$A$2:$A$1000;
      QuestObjectives!$A$2:$A$1000
     },
     {
      Dependencies!$B$2:$B$1000;
      QuestObjectives!$E$2:$E$1000
     }=id
    )
   ),
   """"
  )"&amp;",
 names,
  MAP(
   successorIDs,
   LAMBDA(s,
    IF(
     s="""",
     """",
     XLOOKUP(
      s,
      $A$2:$A$1000,
      $B$2:$B$1000,
      s
     )
    )
   )
  ),
 IF(
  successorIDs="""",
  """",
  TEXTJOIN("", "",TRUE,names)
 )
)"),"Bone Dragon Lv 1, Letter from the Dark Lady Finished")</f>
        <v>Bone Dragon Lv 1, Letter from the Dark Lady Finished</v>
      </c>
      <c r="T166" s="26" t="str">
        <f t="array" ref="T166">_xlfn.XLOOKUP(
 A166,
 tblTargets[TargetID],
 tblTargets[CompletionMethod],
 ""
)</f>
        <v>PLAYER</v>
      </c>
      <c r="U166" s="84" t="b">
        <f>COUNTIF(tblCost[TargetID],A166)&gt;0</f>
        <v>1</v>
      </c>
      <c r="V166" s="85">
        <f t="array" ref="V166">IF(
 U166=FALSE,
 "",
 _xlfn.XLOOKUP(
  A166,
  tblCost[TargetID],
  tblCost[FundingPercent],
  ""
 )
)</f>
        <v>0</v>
      </c>
      <c r="W166" s="26">
        <f t="array" ref="W166">IF(
 U166=FALSE,
 "",
 _xlfn.XLOOKUP(
  A166,
  tblCost[TargetID],
  tblCost[RemainingRequirements],
  ""
 )
)</f>
        <v>1</v>
      </c>
      <c r="X166" s="45" t="b">
        <f t="array" ref="X166">IF(
 U166=FALSE,
 "N/A",
 _xlfn.XLOOKUP(
  A167,
  tblCost[TargetID],
  tblCost[TargetFunded],
  FALSE
 )
)</f>
        <v>0</v>
      </c>
      <c r="Y166" s="26" t="str">
        <f>IFERROR(__xludf.DUMMYFUNCTION("IFERROR(
 TEXTJOIN(
  "", "",
  TRUE,
  FILTER(
   'cost checklist'!$E$2:$E1000&amp;"": ""&amp;'cost checklist'!$G$2:$G1000,
   'cost checklist'!$B$2:$B1000=A166,
   'cost checklist'!$J$2:$J1000=FALSE
  )
 ),
 """"
)"),"petard: 30")</f>
        <v>petard: 30</v>
      </c>
      <c r="Z166" s="26" t="b">
        <f>IFERROR(__xludf.DUMMYFUNCTION("IF(
 AND(
  E166=""QUEST"",
  RIGHT(A166,9)="".accepted"",
  D166=TRUE
 ),
 XLOOKUP(
  REGEXREPLACE(A166,""\.accepted$"","""")&amp;"".finished"",
  $A$2:$A1000,
  $D$2:$D1000,
  TRUE
 )=FALSE,
 FALSE
)"),FALSE)</f>
        <v>0</v>
      </c>
      <c r="AA166" s="26" t="str">
        <f>IFERROR(__xludf.DUMMYFUNCTION("LET(
 id,A166,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7" ht="14.25" customHeight="1">
      <c r="A167" s="26" t="s">
        <v>581</v>
      </c>
      <c r="B167" s="26" t="str">
        <f t="array" ref="B167">_xlfn.XLOOKUP(
 A167,
 tblTargets[TargetID],
 tblTargets[DisplayName],
 ""
)</f>
        <v>Collapsed Staircase</v>
      </c>
      <c r="C167" s="26" t="str">
        <f t="shared" si="1"/>
        <v>BLOCKED</v>
      </c>
      <c r="D167" s="26" t="b">
        <f>IFERROR(__xludf.DUMMYFUNCTION("LET(
 id,A167,
 IF(
  F167=""CHARACTER"",
  LET(
   base,REGEXREPLACE(id,""@\d+$"",""""),
   required,VALUE(REGEXEXTRACT(id,""@(\d+)$"")),
   current,XLOOKUP(
    base,
    tblPlayer[PlayerStateID],
    tblPlayer[Value],
    0
   ),
   current&gt;=required
 "&amp;" ),
  IF(
   T167=""AUTO"",
   L167=0,
   COUNTIFS(
    tblChecklist[TargetID],id,
    tblChecklist[PlayerCompleted],TRUE
   )&gt;0
  )
 )
)"),FALSE)</f>
        <v>0</v>
      </c>
      <c r="E167" s="26" t="str">
        <f t="array" ref="E167">_xlfn.XLOOKUP(
 A167,
 tblTargets[TargetID],
 tblTargets[TargetType],
 ""
)</f>
        <v>COLLECTION</v>
      </c>
      <c r="F167" s="26" t="str">
        <f t="array" ref="F167">_xlfn.XLOOKUP(
 A167,
 tblTargets[TargetID],
 tblTargets[StateType],
 ""
)</f>
        <v/>
      </c>
      <c r="G167" s="26">
        <f>LET(
 id,A167,
 depCount,COUNTIF(tblDependencies[TargetID],id),
 objCount,COUNTIF(tblQuestObjectives[QuestTargetID],id),
 depCount+objCount
)</f>
        <v>1</v>
      </c>
      <c r="H167" s="26">
        <f t="shared" si="2"/>
        <v>1</v>
      </c>
      <c r="I167" s="26">
        <f>IFERROR(__xludf.DUMMYFUNCTION("LET(
 id,A167,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7" s="26">
        <f t="shared" si="3"/>
        <v>0</v>
      </c>
      <c r="K167" s="26" t="b">
        <f t="shared" si="4"/>
        <v>0</v>
      </c>
      <c r="L167" s="26">
        <f t="shared" si="5"/>
        <v>1</v>
      </c>
      <c r="M167" s="26" t="str">
        <f>IFERROR(__xludf.DUMMYFUNCTION("LET(
 id,A167,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L167=0,
  """",
  IFERROR(INDEX(incomplete,1),"""")"&amp;"
 )
)"),"collection.broken_lever@1")</f>
        <v>collection.broken_lever@1</v>
      </c>
      <c r="N167" s="26" t="str">
        <f t="array" ref="N167">IF(
 M167="",
 "",
 _xlfn.XLOOKUP(
  M167,
  tblTargets[TargetID],
  tblTargets[DisplayName],
  M167
 )
)</f>
        <v>Broken Lever</v>
      </c>
      <c r="O167" s="26" t="str">
        <f>IFERROR(__xludf.DUMMYFUNCTION("SWITCH(
 E167,
 ""BUILDING"",XLOOKUP(A167,tblBuildings[BuildingID],tblBuildings[costtext],""""),
 ""TECH"",XLOOKUP(A167,tblTechnologies[TechnologyID],tblTechnologies[costtext],""""),
 ""QUEST"",XLOOKUP(
  REGEXREPLACE(A167,""\.[^.]+$"",""""),
  tblQuests["&amp;"QuestID],
  tblQuests[Costtext],
  """"
 ),
 ""CITADEL"",XLOOKUP(A167,tblCitadel[CitadelID],tblCitadel[costtext],""""),
 ""COLLECTION"",XLOOKUP(A167,tblCollections[CollectionID],tblCollections[costtext],""""),
 ""CRAFTIFACT"",XLOOKUP(A167,tblCraftifacts[C"&amp;"raftifactID],tblCraftifacts[costtext],""""),
 """"
)"),"50 beam, 150 stone, 10 bonemeal, 5 blueprint")</f>
        <v>50 beam, 150 stone, 10 bonemeal, 5 blueprint</v>
      </c>
      <c r="P167" s="26" t="str">
        <f t="shared" si="6"/>
        <v>BLOCKED</v>
      </c>
      <c r="Q167" s="26" t="str">
        <f t="shared" si="7"/>
        <v>BLOCKED</v>
      </c>
      <c r="R167" s="26" t="str">
        <f t="array" ref="R167">IFERROR(
 _xlfn.XLOOKUP(
  A167,
  tblChecklist[TargetID],
  tblChecklist[PlayerSort],
  ""
 ),
 ""
)</f>
        <v/>
      </c>
      <c r="S167" s="26" t="str">
        <f>IFERROR(__xludf.DUMMYFUNCTION("LET(
 id,A167,
 successorIDs,
  IFERROR(
   UNIQUE(
    FILTER(
     {
      Dependencies!$A$2:$A$1000;
      QuestObjectives!$A$2:$A$1000
     },
     {
      Dependencies!$B$2:$B$1000;
      QuestObjectives!$E$2:$E$1000
     }=id
    )
   ),
   """"
  )"&amp;",
 names,
  MAP(
   successorIDs,
   LAMBDA(s,
    IF(
     s="""",
     """",
     XLOOKUP(
      s,
      $A$2:$A$1000,
      $B$2:$B$1000,
      s
     )
    )
   )
  ),
 IF(
  successorIDs="""",
  """",
  TEXTJOIN("", "",TRUE,names)
 )
)"),"Cave-in Alchemist Hall, Cave-in Bone Dragon, Rotten Ladder, Collection Staircase, Letter from the Dark Lady Finished")</f>
        <v>Cave-in Alchemist Hall, Cave-in Bone Dragon, Rotten Ladder, Collection Staircase, Letter from the Dark Lady Finished</v>
      </c>
      <c r="T167" s="26" t="str">
        <f t="array" ref="T167">_xlfn.XLOOKUP(
 A167,
 tblTargets[TargetID],
 tblTargets[CompletionMethod],
 ""
)</f>
        <v>PLAYER</v>
      </c>
      <c r="U167" s="84" t="b">
        <f>COUNTIF(tblCost[TargetID],A167)&gt;0</f>
        <v>1</v>
      </c>
      <c r="V167" s="85">
        <f t="array" ref="V167">IF(
 U167=FALSE,
 "",
 _xlfn.XLOOKUP(
  A167,
  tblCost[TargetID],
  tblCost[FundingPercent],
  ""
 )
)</f>
        <v>0</v>
      </c>
      <c r="W167" s="26">
        <f t="array" ref="W167">IF(
 U167=FALSE,
 "",
 _xlfn.XLOOKUP(
  A167,
  tblCost[TargetID],
  tblCost[RemainingRequirements],
  ""
 )
)</f>
        <v>4</v>
      </c>
      <c r="X167" s="45" t="b">
        <f t="array" ref="X167">IF(
 U167=FALSE,
 "N/A",
 _xlfn.XLOOKUP(
  A168,
  tblCost[TargetID],
  tblCost[TargetFunded],
  FALSE
 )
)</f>
        <v>0</v>
      </c>
      <c r="Y167" s="26" t="str">
        <f>IFERROR(__xludf.DUMMYFUNCTION("IFERROR(
 TEXTJOIN(
  "", "",
  TRUE,
  FILTER(
   'cost checklist'!$E$2:$E1000&amp;"": ""&amp;'cost checklist'!$G$2:$G1000,
   'cost checklist'!$B$2:$B1000=A167,
   'cost checklist'!$J$2:$J1000=FALSE
  )
 ),
 """"
)"),"beam: 50, blueprint: 5, bonemeal: 10, stone: 150")</f>
        <v>beam: 50, blueprint: 5, bonemeal: 10, stone: 150</v>
      </c>
      <c r="Z167" s="26" t="b">
        <f>IFERROR(__xludf.DUMMYFUNCTION("IF(
 AND(
  E167=""QUEST"",
  RIGHT(A167,9)="".accepted"",
  D167=TRUE
 ),
 XLOOKUP(
  REGEXREPLACE(A167,""\.accepted$"","""")&amp;"".finished"",
  $A$2:$A1000,
  $D$2:$D1000,
  TRUE
 )=FALSE,
 FALSE
)"),FALSE)</f>
        <v>0</v>
      </c>
      <c r="AA167" s="26" t="str">
        <f>IFERROR(__xludf.DUMMYFUNCTION("LET(
 id,A167,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8" ht="14.25" customHeight="1">
      <c r="A168" s="26" t="s">
        <v>584</v>
      </c>
      <c r="B168" s="26" t="str">
        <f t="array" ref="B168">_xlfn.XLOOKUP(
 A168,
 tblTargets[TargetID],
 tblTargets[DisplayName],
 ""
)</f>
        <v>Courtyard 1 Lv 1</v>
      </c>
      <c r="C168" s="26" t="str">
        <f t="shared" si="1"/>
        <v>BLOCKED</v>
      </c>
      <c r="D168" s="26" t="b">
        <f>IFERROR(__xludf.DUMMYFUNCTION("LET(
 id,A168,
 IF(
  F168=""CHARACTER"",
  LET(
   base,REGEXREPLACE(id,""@\d+$"",""""),
   required,VALUE(REGEXEXTRACT(id,""@(\d+)$"")),
   current,XLOOKUP(
    base,
    tblPlayer[PlayerStateID],
    tblPlayer[Value],
    0
   ),
   current&gt;=required
 "&amp;" ),
  IF(
   T168=""AUTO"",
   L168=0,
   COUNTIFS(
    tblChecklist[TargetID],id,
    tblChecklist[PlayerCompleted],TRUE
   )&gt;0
  )
 )
)"),FALSE)</f>
        <v>0</v>
      </c>
      <c r="E168" s="26" t="str">
        <f t="array" ref="E168">_xlfn.XLOOKUP(
 A168,
 tblTargets[TargetID],
 tblTargets[TargetType],
 ""
)</f>
        <v>COLLECTION</v>
      </c>
      <c r="F168" s="26" t="str">
        <f t="array" ref="F168">_xlfn.XLOOKUP(
 A168,
 tblTargets[TargetID],
 tblTargets[StateType],
 ""
)</f>
        <v/>
      </c>
      <c r="G168" s="26">
        <f>LET(
 id,A168,
 depCount,COUNTIF(tblDependencies[TargetID],id),
 objCount,COUNTIF(tblQuestObjectives[QuestTargetID],id),
 depCount+objCount
)</f>
        <v>2</v>
      </c>
      <c r="H168" s="26">
        <f t="shared" si="2"/>
        <v>2</v>
      </c>
      <c r="I168" s="26">
        <f>IFERROR(__xludf.DUMMYFUNCTION("LET(
 id,A168,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8" s="26">
        <f t="shared" si="3"/>
        <v>0</v>
      </c>
      <c r="K168" s="26" t="b">
        <f t="shared" si="4"/>
        <v>0</v>
      </c>
      <c r="L168" s="26">
        <f t="shared" si="5"/>
        <v>2</v>
      </c>
      <c r="M168" s="26" t="str">
        <f>IFERROR(__xludf.DUMMYFUNCTION("LET(
 id,A168,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L168=0,
  """",
  IFERROR(INDEX(incomplete,1),"""")"&amp;"
 )
)"),"citadel.courtyard")</f>
        <v>citadel.courtyard</v>
      </c>
      <c r="N168" s="26" t="str">
        <f t="array" ref="N168">IF(
 M168="",
 "",
 _xlfn.XLOOKUP(
  M168,
  tblTargets[TargetID],
  tblTargets[DisplayName],
  M168
 )
)</f>
        <v>Courtyard</v>
      </c>
      <c r="O168" s="26" t="str">
        <f>IFERROR(__xludf.DUMMYFUNCTION("SWITCH(
 E168,
 ""BUILDING"",XLOOKUP(A168,tblBuildings[BuildingID],tblBuildings[costtext],""""),
 ""TECH"",XLOOKUP(A168,tblTechnologies[TechnologyID],tblTechnologies[costtext],""""),
 ""QUEST"",XLOOKUP(
  REGEXREPLACE(A168,""\.[^.]+$"",""""),
  tblQuests["&amp;"QuestID],
  tblQuests[Costtext],
  """"
 ),
 ""CITADEL"",XLOOKUP(A168,tblCitadel[CitadelID],tblCitadel[costtext],""""),
 ""COLLECTION"",XLOOKUP(A168,tblCollections[CollectionID],tblCollections[costtext],""""),
 ""CRAFTIFACT"",XLOOKUP(A168,tblCraftifacts[C"&amp;"raftifactID],tblCraftifacts[costtext],""""),
 """"
)"),"20 ginkgo,5 herbs,5 herbs.2,5 herbs.3,15 honey,10 porcini,5 strawberry,5 strawberry.2,5 strawberry.3,50 wood")</f>
        <v>20 ginkgo,5 herbs,5 herbs.2,5 herbs.3,15 honey,10 porcini,5 strawberry,5 strawberry.2,5 strawberry.3,50 wood</v>
      </c>
      <c r="P168" s="26" t="str">
        <f t="shared" si="6"/>
        <v>BLOCKED</v>
      </c>
      <c r="Q168" s="26" t="str">
        <f t="shared" si="7"/>
        <v>BLOCKED</v>
      </c>
      <c r="R168" s="26" t="str">
        <f t="array" ref="R168">IFERROR(
 _xlfn.XLOOKUP(
  A168,
  tblChecklist[TargetID],
  tblChecklist[PlayerSort],
  ""
 ),
 ""
)</f>
        <v/>
      </c>
      <c r="S168" s="26" t="str">
        <f>IFERROR(__xludf.DUMMYFUNCTION("LET(
 id,A168,
 successorIDs,
  IFERROR(
   UNIQUE(
    FILTER(
     {
      Dependencies!$A$2:$A$1000;
      QuestObjectives!$A$2:$A$1000
     },
     {
      Dependencies!$B$2:$B$1000;
      QuestObjectives!$E$2:$E$1000
     }=id
    )
   ),
   """"
  )"&amp;",
 names,
  MAP(
   successorIDs,
   LAMBDA(s,
    IF(
     s="""",
     """",
     XLOOKUP(
      s,
      $A$2:$A$1000,
      $B$2:$B$1000,
      s
     )
    )
   )
  ),
 IF(
  successorIDs="""",
  """",
  TEXTJOIN("", "",TRUE,names)
 )
)"),"Courtyard 1 Lv 2")</f>
        <v>Courtyard 1 Lv 2</v>
      </c>
      <c r="T168" s="26" t="str">
        <f t="array" ref="T168">_xlfn.XLOOKUP(
 A168,
 tblTargets[TargetID],
 tblTargets[CompletionMethod],
 ""
)</f>
        <v>PLAYER</v>
      </c>
      <c r="U168" s="84" t="b">
        <f>COUNTIF(tblCost[TargetID],A168)&gt;0</f>
        <v>1</v>
      </c>
      <c r="V168" s="85">
        <f t="array" ref="V168">IF(
 U168=FALSE,
 "",
 _xlfn.XLOOKUP(
  A168,
  tblCost[TargetID],
  tblCost[FundingPercent],
  ""
 )
)</f>
        <v>0</v>
      </c>
      <c r="W168" s="26">
        <f t="array" ref="W168">IF(
 U168=FALSE,
 "",
 _xlfn.XLOOKUP(
  A168,
  tblCost[TargetID],
  tblCost[RemainingRequirements],
  ""
 )
)</f>
        <v>10</v>
      </c>
      <c r="X168" s="45" t="b">
        <f t="array" ref="X168">IF(
 U168=FALSE,
 "N/A",
 _xlfn.XLOOKUP(
  A169,
  tblCost[TargetID],
  tblCost[TargetFunded],
  FALSE
 )
)</f>
        <v>0</v>
      </c>
      <c r="Y168" s="26" t="str">
        <f>IFERROR(__xludf.DUMMYFUNCTION("IFERROR(
 TEXTJOIN(
  "", "",
  TRUE,
  FILTER(
   'cost checklist'!$E$2:$E1000&amp;"": ""&amp;'cost checklist'!$G$2:$G1000,
   'cost checklist'!$B$2:$B1000=A168,
   'cost checklist'!$J$2:$J1000=FALSE
  )
 ),
 """"
)"),"ginkgo: 20, herbs: 5, herbs: 5, herbs: 5, honey: 15, porcini: 10, strawberry: 5, strawberry: 5, strawberry: 5, wood: 50")</f>
        <v>ginkgo: 20, herbs: 5, herbs: 5, herbs: 5, honey: 15, porcini: 10, strawberry: 5, strawberry: 5, strawberry: 5, wood: 50</v>
      </c>
      <c r="Z168" s="26" t="b">
        <f>IFERROR(__xludf.DUMMYFUNCTION("IF(
 AND(
  E168=""QUEST"",
  RIGHT(A168,9)="".accepted"",
  D168=TRUE
 ),
 XLOOKUP(
  REGEXREPLACE(A168,""\.accepted$"","""")&amp;"".finished"",
  $A$2:$A1000,
  $D$2:$D1000,
  TRUE
 )=FALSE,
 FALSE
)"),FALSE)</f>
        <v>0</v>
      </c>
      <c r="AA168" s="26" t="str">
        <f>IFERROR(__xludf.DUMMYFUNCTION("LET(
 id,A168,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69" ht="14.25" customHeight="1">
      <c r="A169" s="26" t="s">
        <v>586</v>
      </c>
      <c r="B169" s="26" t="str">
        <f t="array" ref="B169">_xlfn.XLOOKUP(
 A169,
 tblTargets[TargetID],
 tblTargets[DisplayName],
 ""
)</f>
        <v>Courtyard 1 Lv 2</v>
      </c>
      <c r="C169" s="26" t="str">
        <f t="shared" si="1"/>
        <v>BLOCKED</v>
      </c>
      <c r="D169" s="26" t="b">
        <f>IFERROR(__xludf.DUMMYFUNCTION("LET(
 id,A169,
 IF(
  F169=""CHARACTER"",
  LET(
   base,REGEXREPLACE(id,""@\d+$"",""""),
   required,VALUE(REGEXEXTRACT(id,""@(\d+)$"")),
   current,XLOOKUP(
    base,
    tblPlayer[PlayerStateID],
    tblPlayer[Value],
    0
   ),
   current&gt;=required
 "&amp;" ),
  IF(
   T169=""AUTO"",
   L169=0,
   COUNTIFS(
    tblChecklist[TargetID],id,
    tblChecklist[PlayerCompleted],TRUE
   )&gt;0
  )
 )
)"),FALSE)</f>
        <v>0</v>
      </c>
      <c r="E169" s="26" t="str">
        <f t="array" ref="E169">_xlfn.XLOOKUP(
 A169,
 tblTargets[TargetID],
 tblTargets[TargetType],
 ""
)</f>
        <v>COLLECTION</v>
      </c>
      <c r="F169" s="26" t="str">
        <f t="array" ref="F169">_xlfn.XLOOKUP(
 A169,
 tblTargets[TargetID],
 tblTargets[StateType],
 ""
)</f>
        <v/>
      </c>
      <c r="G169" s="26">
        <f>LET(
 id,A169,
 depCount,COUNTIF(tblDependencies[TargetID],id),
 objCount,COUNTIF(tblQuestObjectives[QuestTargetID],id),
 depCount+objCount
)</f>
        <v>1</v>
      </c>
      <c r="H169" s="26">
        <f t="shared" si="2"/>
        <v>1</v>
      </c>
      <c r="I169" s="26">
        <f>IFERROR(__xludf.DUMMYFUNCTION("LET(
 id,A169,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69" s="26">
        <f t="shared" si="3"/>
        <v>0</v>
      </c>
      <c r="K169" s="26" t="b">
        <f t="shared" si="4"/>
        <v>0</v>
      </c>
      <c r="L169" s="26">
        <f t="shared" si="5"/>
        <v>1</v>
      </c>
      <c r="M169" s="26" t="str">
        <f>IFERROR(__xludf.DUMMYFUNCTION("LET(
 id,A169,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L169=0,
  """",
  IFERROR(INDEX(incomplete,1),"""")"&amp;"
 )
)"),"collection.courtyard_1@1")</f>
        <v>collection.courtyard_1@1</v>
      </c>
      <c r="N169" s="26" t="str">
        <f t="array" ref="N169">IF(
 M169="",
 "",
 _xlfn.XLOOKUP(
  M169,
  tblTargets[TargetID],
  tblTargets[DisplayName],
  M169
 )
)</f>
        <v>Courtyard 1 Lv 1</v>
      </c>
      <c r="O169" s="26" t="str">
        <f>IFERROR(__xludf.DUMMYFUNCTION("SWITCH(
 E169,
 ""BUILDING"",XLOOKUP(A169,tblBuildings[BuildingID],tblBuildings[costtext],""""),
 ""TECH"",XLOOKUP(A169,tblTechnologies[TechnologyID],tblTechnologies[costtext],""""),
 ""QUEST"",XLOOKUP(
  REGEXREPLACE(A169,""\.[^.]+$"",""""),
  tblQuests["&amp;"QuestID],
  tblQuests[Costtext],
  """"
 ),
 ""CITADEL"",XLOOKUP(A169,tblCitadel[CitadelID],tblCitadel[costtext],""""),
 ""COLLECTION"",XLOOKUP(A169,tblCollections[CollectionID],tblCollections[costtext],""""),
 ""CRAFTIFACT"",XLOOKUP(A169,tblCraftifacts[C"&amp;"raftifactID],tblCraftifacts[costtext],""""),
 """"
)"),"40 ginkgo,10 herbs,10 herbs.2,10 herbs.3,30 honey,20 porcini,10 strawberry,10 strawberry.2,10 strawberry.3,100 wood")</f>
        <v>40 ginkgo,10 herbs,10 herbs.2,10 herbs.3,30 honey,20 porcini,10 strawberry,10 strawberry.2,10 strawberry.3,100 wood</v>
      </c>
      <c r="P169" s="26" t="str">
        <f t="shared" si="6"/>
        <v>BLOCKED</v>
      </c>
      <c r="Q169" s="26" t="str">
        <f t="shared" si="7"/>
        <v>BLOCKED</v>
      </c>
      <c r="R169" s="26" t="str">
        <f t="array" ref="R169">IFERROR(
 _xlfn.XLOOKUP(
  A169,
  tblChecklist[TargetID],
  tblChecklist[PlayerSort],
  ""
 ),
 ""
)</f>
        <v/>
      </c>
      <c r="S169" s="26" t="str">
        <f>IFERROR(__xludf.DUMMYFUNCTION("LET(
 id,A169,
 successorIDs,
  IFERROR(
   UNIQUE(
    FILTER(
     {
      Dependencies!$A$2:$A$1000;
      QuestObjectives!$A$2:$A$1000
     },
     {
      Dependencies!$B$2:$B$1000;
      QuestObjectives!$E$2:$E$1000
     }=id
    )
   ),
   """"
  )"&amp;",
 names,
  MAP(
   successorIDs,
   LAMBDA(s,
    IF(
     s="""",
     """",
     XLOOKUP(
      s,
      $A$2:$A$1000,
      $B$2:$B$1000,
      s
     )
    )
   )
  ),
 IF(
  successorIDs="""",
  """",
  TEXTJOIN("", "",TRUE,names)
 )
)"),"")</f>
        <v/>
      </c>
      <c r="T169" s="26" t="str">
        <f t="array" ref="T169">_xlfn.XLOOKUP(
 A169,
 tblTargets[TargetID],
 tblTargets[CompletionMethod],
 ""
)</f>
        <v>PLAYER</v>
      </c>
      <c r="U169" s="84" t="b">
        <f>COUNTIF(tblCost[TargetID],A169)&gt;0</f>
        <v>1</v>
      </c>
      <c r="V169" s="85">
        <f t="array" ref="V169">IF(
 U169=FALSE,
 "",
 _xlfn.XLOOKUP(
  A169,
  tblCost[TargetID],
  tblCost[FundingPercent],
  ""
 )
)</f>
        <v>0</v>
      </c>
      <c r="W169" s="26">
        <f t="array" ref="W169">IF(
 U169=FALSE,
 "",
 _xlfn.XLOOKUP(
  A169,
  tblCost[TargetID],
  tblCost[RemainingRequirements],
  ""
 )
)</f>
        <v>10</v>
      </c>
      <c r="X169" s="45" t="b">
        <f t="array" ref="X169">IF(
 U169=FALSE,
 "N/A",
 _xlfn.XLOOKUP(
  A170,
  tblCost[TargetID],
  tblCost[TargetFunded],
  FALSE
 )
)</f>
        <v>0</v>
      </c>
      <c r="Y169" s="26" t="str">
        <f>IFERROR(__xludf.DUMMYFUNCTION("IFERROR(
 TEXTJOIN(
  "", "",
  TRUE,
  FILTER(
   'cost checklist'!$E$2:$E1000&amp;"": ""&amp;'cost checklist'!$G$2:$G1000,
   'cost checklist'!$B$2:$B1000=A169,
   'cost checklist'!$J$2:$J1000=FALSE
  )
 ),
 """"
)"),"ginkgo: 40, herbs: 10, herbs: 10, herbs: 10, honey: 30, porcini: 20, strawberry: 10, strawberry: 10, strawberry: 10, wood: 100")</f>
        <v>ginkgo: 40, herbs: 10, herbs: 10, herbs: 10, honey: 30, porcini: 20, strawberry: 10, strawberry: 10, strawberry: 10, wood: 100</v>
      </c>
      <c r="Z169" s="26" t="b">
        <f>IFERROR(__xludf.DUMMYFUNCTION("IF(
 AND(
  E169=""QUEST"",
  RIGHT(A169,9)="".accepted"",
  D169=TRUE
 ),
 XLOOKUP(
  REGEXREPLACE(A169,""\.accepted$"","""")&amp;"".finished"",
  $A$2:$A1000,
  $D$2:$D1000,
  TRUE
 )=FALSE,
 FALSE
)"),FALSE)</f>
        <v>0</v>
      </c>
      <c r="AA169" s="26" t="str">
        <f>IFERROR(__xludf.DUMMYFUNCTION("LET(
 id,A169,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0" ht="14.25" customHeight="1">
      <c r="A170" s="26" t="s">
        <v>589</v>
      </c>
      <c r="B170" s="26" t="str">
        <f t="array" ref="B170">_xlfn.XLOOKUP(
 A170,
 tblTargets[TargetID],
 tblTargets[DisplayName],
 ""
)</f>
        <v>Courtyard 2 Lv 1</v>
      </c>
      <c r="C170" s="26" t="str">
        <f t="shared" si="1"/>
        <v>BLOCKED</v>
      </c>
      <c r="D170" s="26" t="b">
        <f>IFERROR(__xludf.DUMMYFUNCTION("LET(
 id,A170,
 IF(
  F170=""CHARACTER"",
  LET(
   base,REGEXREPLACE(id,""@\d+$"",""""),
   required,VALUE(REGEXEXTRACT(id,""@(\d+)$"")),
   current,XLOOKUP(
    base,
    tblPlayer[PlayerStateID],
    tblPlayer[Value],
    0
   ),
   current&gt;=required
 "&amp;" ),
  IF(
   T170=""AUTO"",
   L170=0,
   COUNTIFS(
    tblChecklist[TargetID],id,
    tblChecklist[PlayerCompleted],TRUE
   )&gt;0
  )
 )
)"),FALSE)</f>
        <v>0</v>
      </c>
      <c r="E170" s="26" t="str">
        <f t="array" ref="E170">_xlfn.XLOOKUP(
 A170,
 tblTargets[TargetID],
 tblTargets[TargetType],
 ""
)</f>
        <v>COLLECTION</v>
      </c>
      <c r="F170" s="26" t="str">
        <f t="array" ref="F170">_xlfn.XLOOKUP(
 A170,
 tblTargets[TargetID],
 tblTargets[StateType],
 ""
)</f>
        <v/>
      </c>
      <c r="G170" s="26">
        <f>LET(
 id,A170,
 depCount,COUNTIF(tblDependencies[TargetID],id),
 objCount,COUNTIF(tblQuestObjectives[QuestTargetID],id),
 depCount+objCount
)</f>
        <v>2</v>
      </c>
      <c r="H170" s="26">
        <f t="shared" si="2"/>
        <v>2</v>
      </c>
      <c r="I170" s="26">
        <f>IFERROR(__xludf.DUMMYFUNCTION("LET(
 id,A170,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0" s="26">
        <f t="shared" si="3"/>
        <v>0</v>
      </c>
      <c r="K170" s="26" t="b">
        <f t="shared" si="4"/>
        <v>0</v>
      </c>
      <c r="L170" s="26">
        <f t="shared" si="5"/>
        <v>2</v>
      </c>
      <c r="M170" s="26" t="str">
        <f>IFERROR(__xludf.DUMMYFUNCTION("LET(
 id,A170,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L170=0,
  """",
  IFERROR(INDEX(incomplete,1),"""")"&amp;"
 )
)"),"citadel.courtyard")</f>
        <v>citadel.courtyard</v>
      </c>
      <c r="N170" s="26" t="str">
        <f t="array" ref="N170">IF(
 M170="",
 "",
 _xlfn.XLOOKUP(
  M170,
  tblTargets[TargetID],
  tblTargets[DisplayName],
  M170
 )
)</f>
        <v>Courtyard</v>
      </c>
      <c r="O170" s="26" t="str">
        <f>IFERROR(__xludf.DUMMYFUNCTION("SWITCH(
 E170,
 ""BUILDING"",XLOOKUP(A170,tblBuildings[BuildingID],tblBuildings[costtext],""""),
 ""TECH"",XLOOKUP(A170,tblTechnologies[TechnologyID],tblTechnologies[costtext],""""),
 ""QUEST"",XLOOKUP(
  REGEXREPLACE(A170,""\.[^.]+$"",""""),
  tblQuests["&amp;"QuestID],
  tblQuests[Costtext],
  """"
 ),
 ""CITADEL"",XLOOKUP(A170,tblCitadel[CitadelID],tblCitadel[costtext],""""),
 ""COLLECTION"",XLOOKUP(A170,tblCollections[CollectionID],tblCollections[costtext],""""),
 ""CRAFTIFACT"",XLOOKUP(A170,tblCraftifacts[C"&amp;"raftifactID],tblCraftifacts[costtext],""""),
 """"
)"),"15 bamboo,15 bamboo.2,15 bamboo.3")</f>
        <v>15 bamboo,15 bamboo.2,15 bamboo.3</v>
      </c>
      <c r="P170" s="26" t="str">
        <f t="shared" si="6"/>
        <v>BLOCKED</v>
      </c>
      <c r="Q170" s="26" t="str">
        <f t="shared" si="7"/>
        <v>BLOCKED</v>
      </c>
      <c r="R170" s="26" t="str">
        <f t="array" ref="R170">IFERROR(
 _xlfn.XLOOKUP(
  A170,
  tblChecklist[TargetID],
  tblChecklist[PlayerSort],
  ""
 ),
 ""
)</f>
        <v/>
      </c>
      <c r="S170" s="26" t="str">
        <f>IFERROR(__xludf.DUMMYFUNCTION("LET(
 id,A170,
 successorIDs,
  IFERROR(
   UNIQUE(
    FILTER(
     {
      Dependencies!$A$2:$A$1000;
      QuestObjectives!$A$2:$A$1000
     },
     {
      Dependencies!$B$2:$B$1000;
      QuestObjectives!$E$2:$E$1000
     }=id
    )
   ),
   """"
  )"&amp;",
 names,
  MAP(
   successorIDs,
   LAMBDA(s,
    IF(
     s="""",
     """",
     XLOOKUP(
      s,
      $A$2:$A$1000,
      $B$2:$B$1000,
      s
     )
    )
   )
  ),
 IF(
  successorIDs="""",
  """",
  TEXTJOIN("", "",TRUE,names)
 )
)"),"")</f>
        <v/>
      </c>
      <c r="T170" s="26" t="str">
        <f t="array" ref="T170">_xlfn.XLOOKUP(
 A170,
 tblTargets[TargetID],
 tblTargets[CompletionMethod],
 ""
)</f>
        <v>PLAYER</v>
      </c>
      <c r="U170" s="84" t="b">
        <f>COUNTIF(tblCost[TargetID],A170)&gt;0</f>
        <v>1</v>
      </c>
      <c r="V170" s="85">
        <f t="array" ref="V170">IF(
 U170=FALSE,
 "",
 _xlfn.XLOOKUP(
  A170,
  tblCost[TargetID],
  tblCost[FundingPercent],
  ""
 )
)</f>
        <v>0</v>
      </c>
      <c r="W170" s="26">
        <f t="array" ref="W170">IF(
 U170=FALSE,
 "",
 _xlfn.XLOOKUP(
  A170,
  tblCost[TargetID],
  tblCost[RemainingRequirements],
  ""
 )
)</f>
        <v>3</v>
      </c>
      <c r="X170" s="45" t="b">
        <f t="array" ref="X170">IF(
 U170=FALSE,
 "N/A",
 _xlfn.XLOOKUP(
  A171,
  tblCost[TargetID],
  tblCost[TargetFunded],
  FALSE
 )
)</f>
        <v>0</v>
      </c>
      <c r="Y170" s="26" t="str">
        <f>IFERROR(__xludf.DUMMYFUNCTION("IFERROR(
 TEXTJOIN(
  "", "",
  TRUE,
  FILTER(
   'cost checklist'!$E$2:$E1000&amp;"": ""&amp;'cost checklist'!$G$2:$G1000,
   'cost checklist'!$B$2:$B1000=A170,
   'cost checklist'!$J$2:$J1000=FALSE
  )
 ),
 """"
)"),"bamboo: 15, bamboo: 15, bamboo: 15")</f>
        <v>bamboo: 15, bamboo: 15, bamboo: 15</v>
      </c>
      <c r="Z170" s="26" t="b">
        <f>IFERROR(__xludf.DUMMYFUNCTION("IF(
 AND(
  E170=""QUEST"",
  RIGHT(A170,9)="".accepted"",
  D170=TRUE
 ),
 XLOOKUP(
  REGEXREPLACE(A170,""\.accepted$"","""")&amp;"".finished"",
  $A$2:$A1000,
  $D$2:$D1000,
  TRUE
 )=FALSE,
 FALSE
)"),FALSE)</f>
        <v>0</v>
      </c>
      <c r="AA170" s="26" t="str">
        <f>IFERROR(__xludf.DUMMYFUNCTION("LET(
 id,A170,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1" ht="14.25" customHeight="1">
      <c r="A171" s="26" t="s">
        <v>591</v>
      </c>
      <c r="B171" s="26" t="str">
        <f t="array" ref="B171">_xlfn.XLOOKUP(
 A171,
 tblTargets[TargetID],
 tblTargets[DisplayName],
 ""
)</f>
        <v>Crystal Cave</v>
      </c>
      <c r="C171" s="26" t="str">
        <f t="shared" si="1"/>
        <v>BLOCKED</v>
      </c>
      <c r="D171" s="26" t="b">
        <f>IFERROR(__xludf.DUMMYFUNCTION("LET(
 id,A171,
 IF(
  F171=""CHARACTER"",
  LET(
   base,REGEXREPLACE(id,""@\d+$"",""""),
   required,VALUE(REGEXEXTRACT(id,""@(\d+)$"")),
   current,XLOOKUP(
    base,
    tblPlayer[PlayerStateID],
    tblPlayer[Value],
    0
   ),
   current&gt;=required
 "&amp;" ),
  IF(
   T171=""AUTO"",
   L171=0,
   COUNTIFS(
    tblChecklist[TargetID],id,
    tblChecklist[PlayerCompleted],TRUE
   )&gt;0
  )
 )
)"),FALSE)</f>
        <v>0</v>
      </c>
      <c r="E171" s="26" t="str">
        <f t="array" ref="E171">_xlfn.XLOOKUP(
 A171,
 tblTargets[TargetID],
 tblTargets[TargetType],
 ""
)</f>
        <v>COLLECTION</v>
      </c>
      <c r="F171" s="26" t="str">
        <f t="array" ref="F171">_xlfn.XLOOKUP(
 A171,
 tblTargets[TargetID],
 tblTargets[StateType],
 ""
)</f>
        <v/>
      </c>
      <c r="G171" s="26">
        <f>LET(
 id,A171,
 depCount,COUNTIF(tblDependencies[TargetID],id),
 objCount,COUNTIF(tblQuestObjectives[QuestTargetID],id),
 depCount+objCount
)</f>
        <v>1</v>
      </c>
      <c r="H171" s="26">
        <f t="shared" si="2"/>
        <v>1</v>
      </c>
      <c r="I171" s="26">
        <f>IFERROR(__xludf.DUMMYFUNCTION("LET(
 id,A171,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1" s="26">
        <f t="shared" si="3"/>
        <v>0</v>
      </c>
      <c r="K171" s="26" t="b">
        <f t="shared" si="4"/>
        <v>0</v>
      </c>
      <c r="L171" s="26">
        <f t="shared" si="5"/>
        <v>1</v>
      </c>
      <c r="M171" s="26" t="str">
        <f>IFERROR(__xludf.DUMMYFUNCTION("LET(
 id,A171,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L171=0,
  """",
  IFERROR(INDEX(incomplete,1),"""")"&amp;"
 )
)"),"collection.broken_minecart@1")</f>
        <v>collection.broken_minecart@1</v>
      </c>
      <c r="N171" s="26" t="str">
        <f t="array" ref="N171">IF(
 M171="",
 "",
 _xlfn.XLOOKUP(
  M171,
  tblTargets[TargetID],
  tblTargets[DisplayName],
  M171
 )
)</f>
        <v>Broken Minecart</v>
      </c>
      <c r="O171" s="26" t="str">
        <f>IFERROR(__xludf.DUMMYFUNCTION("SWITCH(
 E171,
 ""BUILDING"",XLOOKUP(A171,tblBuildings[BuildingID],tblBuildings[costtext],""""),
 ""TECH"",XLOOKUP(A171,tblTechnologies[TechnologyID],tblTechnologies[costtext],""""),
 ""QUEST"",XLOOKUP(
  REGEXREPLACE(A171,""\.[^.]+$"",""""),
  tblQuests["&amp;"QuestID],
  tblQuests[Costtext],
  """"
 ),
 ""CITADEL"",XLOOKUP(A171,tblCitadel[CitadelID],tblCitadel[costtext],""""),
 ""COLLECTION"",XLOOKUP(A171,tblCollections[CollectionID],tblCollections[costtext],""""),
 ""CRAFTIFACT"",XLOOKUP(A171,tblCraftifacts[C"&amp;"raftifactID],tblCraftifacts[costtext],""""),
 """"
)"),"20 quartz, 20 bluecrystal, 20 greencrystal, 20 redcrystal, 20 violetcrystal")</f>
        <v>20 quartz, 20 bluecrystal, 20 greencrystal, 20 redcrystal, 20 violetcrystal</v>
      </c>
      <c r="P171" s="26" t="str">
        <f t="shared" si="6"/>
        <v>BLOCKED</v>
      </c>
      <c r="Q171" s="26" t="str">
        <f t="shared" si="7"/>
        <v>BLOCKED</v>
      </c>
      <c r="R171" s="26" t="str">
        <f t="array" ref="R171">IFERROR(
 _xlfn.XLOOKUP(
  A171,
  tblChecklist[TargetID],
  tblChecklist[PlayerSort],
  ""
 ),
 ""
)</f>
        <v/>
      </c>
      <c r="S171" s="26" t="str">
        <f>IFERROR(__xludf.DUMMYFUNCTION("LET(
 id,A171,
 successorIDs,
  IFERROR(
   UNIQUE(
    FILTER(
     {
      Dependencies!$A$2:$A$1000;
      QuestObjectives!$A$2:$A$1000
     },
     {
      Dependencies!$B$2:$B$1000;
      QuestObjectives!$E$2:$E$1000
     }=id
    )
   ),
   """"
  )"&amp;",
 names,
  MAP(
   successorIDs,
   LAMBDA(s,
    IF(
     s="""",
     """",
     XLOOKUP(
      s,
      $A$2:$A$1000,
      $B$2:$B$1000,
      s
     )
    )
   )
  ),
 IF(
  successorIDs="""",
  """",
  TEXTJOIN("", "",TRUE,names)
 )
)"),"")</f>
        <v/>
      </c>
      <c r="T171" s="26" t="str">
        <f t="array" ref="T171">_xlfn.XLOOKUP(
 A171,
 tblTargets[TargetID],
 tblTargets[CompletionMethod],
 ""
)</f>
        <v>PLAYER</v>
      </c>
      <c r="U171" s="84" t="b">
        <f>COUNTIF(tblCost[TargetID],A171)&gt;0</f>
        <v>1</v>
      </c>
      <c r="V171" s="85">
        <f t="array" ref="V171">IF(
 U171=FALSE,
 "",
 _xlfn.XLOOKUP(
  A171,
  tblCost[TargetID],
  tblCost[FundingPercent],
  ""
 )
)</f>
        <v>0</v>
      </c>
      <c r="W171" s="26">
        <f t="array" ref="W171">IF(
 U171=FALSE,
 "",
 _xlfn.XLOOKUP(
  A171,
  tblCost[TargetID],
  tblCost[RemainingRequirements],
  ""
 )
)</f>
        <v>5</v>
      </c>
      <c r="X171" s="45" t="b">
        <f t="array" ref="X171">IF(
 U171=FALSE,
 "N/A",
 _xlfn.XLOOKUP(
  A172,
  tblCost[TargetID],
  tblCost[TargetFunded],
  FALSE
 )
)</f>
        <v>0</v>
      </c>
      <c r="Y171" s="26" t="str">
        <f>IFERROR(__xludf.DUMMYFUNCTION("IFERROR(
 TEXTJOIN(
  "", "",
  TRUE,
  FILTER(
   'cost checklist'!$E$2:$E1000&amp;"": ""&amp;'cost checklist'!$G$2:$G1000,
   'cost checklist'!$B$2:$B1000=A171,
   'cost checklist'!$J$2:$J1000=FALSE
  )
 ),
 """"
)"),"bluecrystal: 20, greencrystal: 20, quartz: 20, redcrystal: 20, violetcrystal: 20")</f>
        <v>bluecrystal: 20, greencrystal: 20, quartz: 20, redcrystal: 20, violetcrystal: 20</v>
      </c>
      <c r="Z171" s="26" t="b">
        <f>IFERROR(__xludf.DUMMYFUNCTION("IF(
 AND(
  E171=""QUEST"",
  RIGHT(A171,9)="".accepted"",
  D171=TRUE
 ),
 XLOOKUP(
  REGEXREPLACE(A171,""\.accepted$"","""")&amp;"".finished"",
  $A$2:$A1000,
  $D$2:$D1000,
  TRUE
 )=FALSE,
 FALSE
)"),FALSE)</f>
        <v>0</v>
      </c>
      <c r="AA171" s="26" t="str">
        <f>IFERROR(__xludf.DUMMYFUNCTION("LET(
 id,A171,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2" ht="14.25" customHeight="1">
      <c r="A172" s="26" t="s">
        <v>594</v>
      </c>
      <c r="B172" s="26" t="str">
        <f t="array" ref="B172">_xlfn.XLOOKUP(
 A172,
 tblTargets[TargetID],
 tblTargets[DisplayName],
 ""
)</f>
        <v>Gallery 1 Lv 1</v>
      </c>
      <c r="C172" s="26" t="str">
        <f t="shared" si="1"/>
        <v>BLOCKED</v>
      </c>
      <c r="D172" s="26" t="b">
        <f>IFERROR(__xludf.DUMMYFUNCTION("LET(
 id,A172,
 IF(
  F172=""CHARACTER"",
  LET(
   base,REGEXREPLACE(id,""@\d+$"",""""),
   required,VALUE(REGEXEXTRACT(id,""@(\d+)$"")),
   current,XLOOKUP(
    base,
    tblPlayer[PlayerStateID],
    tblPlayer[Value],
    0
   ),
   current&gt;=required
 "&amp;" ),
  IF(
   T172=""AUTO"",
   L172=0,
   COUNTIFS(
    tblChecklist[TargetID],id,
    tblChecklist[PlayerCompleted],TRUE
   )&gt;0
  )
 )
)"),FALSE)</f>
        <v>0</v>
      </c>
      <c r="E172" s="26" t="str">
        <f t="array" ref="E172">_xlfn.XLOOKUP(
 A172,
 tblTargets[TargetID],
 tblTargets[TargetType],
 ""
)</f>
        <v>COLLECTION</v>
      </c>
      <c r="F172" s="26" t="str">
        <f t="array" ref="F172">_xlfn.XLOOKUP(
 A172,
 tblTargets[TargetID],
 tblTargets[StateType],
 ""
)</f>
        <v/>
      </c>
      <c r="G172" s="26">
        <f>LET(
 id,A172,
 depCount,COUNTIF(tblDependencies[TargetID],id),
 objCount,COUNTIF(tblQuestObjectives[QuestTargetID],id),
 depCount+objCount
)</f>
        <v>1</v>
      </c>
      <c r="H172" s="26">
        <f t="shared" si="2"/>
        <v>1</v>
      </c>
      <c r="I172" s="26">
        <f>IFERROR(__xludf.DUMMYFUNCTION("LET(
 id,A172,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2" s="26">
        <f t="shared" si="3"/>
        <v>0</v>
      </c>
      <c r="K172" s="26" t="b">
        <f t="shared" si="4"/>
        <v>0</v>
      </c>
      <c r="L172" s="26">
        <f t="shared" si="5"/>
        <v>1</v>
      </c>
      <c r="M172" s="26" t="str">
        <f>IFERROR(__xludf.DUMMYFUNCTION("LET(
 id,A172,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L172=0,
  """",
  IFERROR(INDEX(incomplete,1),"""")"&amp;"
 )
)"),"citadel.gallery")</f>
        <v>citadel.gallery</v>
      </c>
      <c r="N172" s="26" t="str">
        <f t="array" ref="N172">IF(
 M172="",
 "",
 _xlfn.XLOOKUP(
  M172,
  tblTargets[TargetID],
  tblTargets[DisplayName],
  M172
 )
)</f>
        <v>Gallery</v>
      </c>
      <c r="O172" s="26" t="str">
        <f>IFERROR(__xludf.DUMMYFUNCTION("SWITCH(
 E172,
 ""BUILDING"",XLOOKUP(A172,tblBuildings[BuildingID],tblBuildings[costtext],""""),
 ""TECH"",XLOOKUP(A172,tblTechnologies[TechnologyID],tblTechnologies[costtext],""""),
 ""QUEST"",XLOOKUP(
  REGEXREPLACE(A172,""\.[^.]+$"",""""),
  tblQuests["&amp;"QuestID],
  tblQuests[Costtext],
  """"
 ),
 ""CITADEL"",XLOOKUP(A172,tblCitadel[CitadelID],tblCitadel[costtext],""""),
 ""COLLECTION"",XLOOKUP(A172,tblCollections[CollectionID],tblCollections[costtext],""""),
 ""CRAFTIFACT"",XLOOKUP(A172,tblCraftifacts[C"&amp;"raftifactID],tblCraftifacts[costtext],""""),
 """"
)"),"5 apy,10 cinnabar,10 mandrake,15 miron,15 reagent,5 titanium")</f>
        <v>5 apy,10 cinnabar,10 mandrake,15 miron,15 reagent,5 titanium</v>
      </c>
      <c r="P172" s="26" t="str">
        <f t="shared" si="6"/>
        <v>BLOCKED</v>
      </c>
      <c r="Q172" s="26" t="str">
        <f t="shared" si="7"/>
        <v>BLOCKED</v>
      </c>
      <c r="R172" s="26" t="str">
        <f t="array" ref="R172">IFERROR(
 _xlfn.XLOOKUP(
  A172,
  tblChecklist[TargetID],
  tblChecklist[PlayerSort],
  ""
 ),
 ""
)</f>
        <v/>
      </c>
      <c r="S172" s="26" t="str">
        <f>IFERROR(__xludf.DUMMYFUNCTION("LET(
 id,A172,
 successorIDs,
  IFERROR(
   UNIQUE(
    FILTER(
     {
      Dependencies!$A$2:$A$1000;
      QuestObjectives!$A$2:$A$1000
     },
     {
      Dependencies!$B$2:$B$1000;
      QuestObjectives!$E$2:$E$1000
     }=id
    )
   ),
   """"
  )"&amp;",
 names,
  MAP(
   successorIDs,
   LAMBDA(s,
    IF(
     s="""",
     """",
     XLOOKUP(
      s,
      $A$2:$A$1000,
      $B$2:$B$1000,
      s
     )
    )
   )
  ),
 IF(
  successorIDs="""",
  """",
  TEXTJOIN("", "",TRUE,names)
 )
)"),"Gallery 1 Lv 2")</f>
        <v>Gallery 1 Lv 2</v>
      </c>
      <c r="T172" s="26" t="str">
        <f t="array" ref="T172">_xlfn.XLOOKUP(
 A172,
 tblTargets[TargetID],
 tblTargets[CompletionMethod],
 ""
)</f>
        <v>PLAYER</v>
      </c>
      <c r="U172" s="84" t="b">
        <f>COUNTIF(tblCost[TargetID],A172)&gt;0</f>
        <v>1</v>
      </c>
      <c r="V172" s="85">
        <f t="array" ref="V172">IF(
 U172=FALSE,
 "",
 _xlfn.XLOOKUP(
  A172,
  tblCost[TargetID],
  tblCost[FundingPercent],
  ""
 )
)</f>
        <v>0</v>
      </c>
      <c r="W172" s="26">
        <f t="array" ref="W172">IF(
 U172=FALSE,
 "",
 _xlfn.XLOOKUP(
  A172,
  tblCost[TargetID],
  tblCost[RemainingRequirements],
  ""
 )
)</f>
        <v>6</v>
      </c>
      <c r="X172" s="45" t="b">
        <f t="array" ref="X172">IF(
 U172=FALSE,
 "N/A",
 _xlfn.XLOOKUP(
  A173,
  tblCost[TargetID],
  tblCost[TargetFunded],
  FALSE
 )
)</f>
        <v>0</v>
      </c>
      <c r="Y172" s="26" t="str">
        <f>IFERROR(__xludf.DUMMYFUNCTION("IFERROR(
 TEXTJOIN(
  "", "",
  TRUE,
  FILTER(
   'cost checklist'!$E$2:$E1000&amp;"": ""&amp;'cost checklist'!$G$2:$G1000,
   'cost checklist'!$B$2:$B1000=A172,
   'cost checklist'!$J$2:$J1000=FALSE
  )
 ),
 """"
)"),"apy: 5, cinnabar: 10, mandrake: 10, miron: 15, reagent: 15, titanium: 5")</f>
        <v>apy: 5, cinnabar: 10, mandrake: 10, miron: 15, reagent: 15, titanium: 5</v>
      </c>
      <c r="Z172" s="26" t="b">
        <f>IFERROR(__xludf.DUMMYFUNCTION("IF(
 AND(
  E172=""QUEST"",
  RIGHT(A172,9)="".accepted"",
  D172=TRUE
 ),
 XLOOKUP(
  REGEXREPLACE(A172,""\.accepted$"","""")&amp;"".finished"",
  $A$2:$A1000,
  $D$2:$D1000,
  TRUE
 )=FALSE,
 FALSE
)"),FALSE)</f>
        <v>0</v>
      </c>
      <c r="AA172" s="26" t="str">
        <f>IFERROR(__xludf.DUMMYFUNCTION("LET(
 id,A172,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3" ht="14.25" customHeight="1">
      <c r="A173" s="26" t="s">
        <v>596</v>
      </c>
      <c r="B173" s="26" t="str">
        <f t="array" ref="B173">_xlfn.XLOOKUP(
 A173,
 tblTargets[TargetID],
 tblTargets[DisplayName],
 ""
)</f>
        <v>Gallery 1 Lv 2</v>
      </c>
      <c r="C173" s="26" t="str">
        <f t="shared" si="1"/>
        <v>BLOCKED</v>
      </c>
      <c r="D173" s="26" t="b">
        <f>IFERROR(__xludf.DUMMYFUNCTION("LET(
 id,A173,
 IF(
  F173=""CHARACTER"",
  LET(
   base,REGEXREPLACE(id,""@\d+$"",""""),
   required,VALUE(REGEXEXTRACT(id,""@(\d+)$"")),
   current,XLOOKUP(
    base,
    tblPlayer[PlayerStateID],
    tblPlayer[Value],
    0
   ),
   current&gt;=required
 "&amp;" ),
  IF(
   T173=""AUTO"",
   L173=0,
   COUNTIFS(
    tblChecklist[TargetID],id,
    tblChecklist[PlayerCompleted],TRUE
   )&gt;0
  )
 )
)"),FALSE)</f>
        <v>0</v>
      </c>
      <c r="E173" s="26" t="str">
        <f t="array" ref="E173">_xlfn.XLOOKUP(
 A173,
 tblTargets[TargetID],
 tblTargets[TargetType],
 ""
)</f>
        <v>COLLECTION</v>
      </c>
      <c r="F173" s="26" t="str">
        <f t="array" ref="F173">_xlfn.XLOOKUP(
 A173,
 tblTargets[TargetID],
 tblTargets[StateType],
 ""
)</f>
        <v/>
      </c>
      <c r="G173" s="26">
        <f>LET(
 id,A173,
 depCount,COUNTIF(tblDependencies[TargetID],id),
 objCount,COUNTIF(tblQuestObjectives[QuestTargetID],id),
 depCount+objCount
)</f>
        <v>1</v>
      </c>
      <c r="H173" s="26">
        <f t="shared" si="2"/>
        <v>1</v>
      </c>
      <c r="I173" s="26">
        <f>IFERROR(__xludf.DUMMYFUNCTION("LET(
 id,A173,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3" s="26">
        <f t="shared" si="3"/>
        <v>0</v>
      </c>
      <c r="K173" s="26" t="b">
        <f t="shared" si="4"/>
        <v>0</v>
      </c>
      <c r="L173" s="26">
        <f t="shared" si="5"/>
        <v>1</v>
      </c>
      <c r="M173" s="26" t="str">
        <f>IFERROR(__xludf.DUMMYFUNCTION("LET(
 id,A173,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L173=0,
  """",
  IFERROR(INDEX(incomplete,1),"""")"&amp;"
 )
)"),"collection.gallery_1@1")</f>
        <v>collection.gallery_1@1</v>
      </c>
      <c r="N173" s="26" t="str">
        <f t="array" ref="N173">IF(
 M173="",
 "",
 _xlfn.XLOOKUP(
  M173,
  tblTargets[TargetID],
  tblTargets[DisplayName],
  M173
 )
)</f>
        <v>Gallery 1 Lv 1</v>
      </c>
      <c r="O173" s="26" t="str">
        <f>IFERROR(__xludf.DUMMYFUNCTION("SWITCH(
 E173,
 ""BUILDING"",XLOOKUP(A173,tblBuildings[BuildingID],tblBuildings[costtext],""""),
 ""TECH"",XLOOKUP(A173,tblTechnologies[TechnologyID],tblTechnologies[costtext],""""),
 ""QUEST"",XLOOKUP(
  REGEXREPLACE(A173,""\.[^.]+$"",""""),
  tblQuests["&amp;"QuestID],
  tblQuests[Costtext],
  """"
 ),
 ""CITADEL"",XLOOKUP(A173,tblCitadel[CitadelID],tblCitadel[costtext],""""),
 ""COLLECTION"",XLOOKUP(A173,tblCollections[CollectionID],tblCollections[costtext],""""),
 ""CRAFTIFACT"",XLOOKUP(A173,tblCraftifacts[C"&amp;"raftifactID],tblCraftifacts[costtext],""""),
 """"
)"),"10 apy,20 cinnabar,20 mandrake,30 miron,30 reagent,10 titanium")</f>
        <v>10 apy,20 cinnabar,20 mandrake,30 miron,30 reagent,10 titanium</v>
      </c>
      <c r="P173" s="26" t="str">
        <f t="shared" si="6"/>
        <v>BLOCKED</v>
      </c>
      <c r="Q173" s="26" t="str">
        <f t="shared" si="7"/>
        <v>BLOCKED</v>
      </c>
      <c r="R173" s="26" t="str">
        <f t="array" ref="R173">IFERROR(
 _xlfn.XLOOKUP(
  A173,
  tblChecklist[TargetID],
  tblChecklist[PlayerSort],
  ""
 ),
 ""
)</f>
        <v/>
      </c>
      <c r="S173" s="26" t="str">
        <f>IFERROR(__xludf.DUMMYFUNCTION("LET(
 id,A173,
 successorIDs,
  IFERROR(
   UNIQUE(
    FILTER(
     {
      Dependencies!$A$2:$A$1000;
      QuestObjectives!$A$2:$A$1000
     },
     {
      Dependencies!$B$2:$B$1000;
      QuestObjectives!$E$2:$E$1000
     }=id
    )
   ),
   """"
  )"&amp;",
 names,
  MAP(
   successorIDs,
   LAMBDA(s,
    IF(
     s="""",
     """",
     XLOOKUP(
      s,
      $A$2:$A$1000,
      $B$2:$B$1000,
      s
     )
    )
   )
  ),
 IF(
  successorIDs="""",
  """",
  TEXTJOIN("", "",TRUE,names)
 )
)"),"Gallery 1 Lv 3")</f>
        <v>Gallery 1 Lv 3</v>
      </c>
      <c r="T173" s="26" t="str">
        <f t="array" ref="T173">_xlfn.XLOOKUP(
 A173,
 tblTargets[TargetID],
 tblTargets[CompletionMethod],
 ""
)</f>
        <v>PLAYER</v>
      </c>
      <c r="U173" s="84" t="b">
        <f>COUNTIF(tblCost[TargetID],A173)&gt;0</f>
        <v>1</v>
      </c>
      <c r="V173" s="85">
        <f t="array" ref="V173">IF(
 U173=FALSE,
 "",
 _xlfn.XLOOKUP(
  A173,
  tblCost[TargetID],
  tblCost[FundingPercent],
  ""
 )
)</f>
        <v>0</v>
      </c>
      <c r="W173" s="26">
        <f t="array" ref="W173">IF(
 U173=FALSE,
 "",
 _xlfn.XLOOKUP(
  A173,
  tblCost[TargetID],
  tblCost[RemainingRequirements],
  ""
 )
)</f>
        <v>6</v>
      </c>
      <c r="X173" s="45" t="b">
        <f t="array" ref="X173">IF(
 U173=FALSE,
 "N/A",
 _xlfn.XLOOKUP(
  A174,
  tblCost[TargetID],
  tblCost[TargetFunded],
  FALSE
 )
)</f>
        <v>0</v>
      </c>
      <c r="Y173" s="26" t="str">
        <f>IFERROR(__xludf.DUMMYFUNCTION("IFERROR(
 TEXTJOIN(
  "", "",
  TRUE,
  FILTER(
   'cost checklist'!$E$2:$E1000&amp;"": ""&amp;'cost checklist'!$G$2:$G1000,
   'cost checklist'!$B$2:$B1000=A173,
   'cost checklist'!$J$2:$J1000=FALSE
  )
 ),
 """"
)"),"apy: 10, cinnabar: 20, mandrake: 20, miron: 30, reagent: 30, titanium: 10")</f>
        <v>apy: 10, cinnabar: 20, mandrake: 20, miron: 30, reagent: 30, titanium: 10</v>
      </c>
      <c r="Z173" s="26" t="b">
        <f>IFERROR(__xludf.DUMMYFUNCTION("IF(
 AND(
  E173=""QUEST"",
  RIGHT(A173,9)="".accepted"",
  D173=TRUE
 ),
 XLOOKUP(
  REGEXREPLACE(A173,""\.accepted$"","""")&amp;"".finished"",
  $A$2:$A1000,
  $D$2:$D1000,
  TRUE
 )=FALSE,
 FALSE
)"),FALSE)</f>
        <v>0</v>
      </c>
      <c r="AA173" s="26" t="str">
        <f>IFERROR(__xludf.DUMMYFUNCTION("LET(
 id,A173,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4" ht="14.25" customHeight="1">
      <c r="A174" s="26" t="s">
        <v>598</v>
      </c>
      <c r="B174" s="26" t="str">
        <f t="array" ref="B174">_xlfn.XLOOKUP(
 A174,
 tblTargets[TargetID],
 tblTargets[DisplayName],
 ""
)</f>
        <v>Gallery 1 Lv 3</v>
      </c>
      <c r="C174" s="26" t="str">
        <f t="shared" si="1"/>
        <v>BLOCKED</v>
      </c>
      <c r="D174" s="26" t="b">
        <f>IFERROR(__xludf.DUMMYFUNCTION("LET(
 id,A174,
 IF(
  F174=""CHARACTER"",
  LET(
   base,REGEXREPLACE(id,""@\d+$"",""""),
   required,VALUE(REGEXEXTRACT(id,""@(\d+)$"")),
   current,XLOOKUP(
    base,
    tblPlayer[PlayerStateID],
    tblPlayer[Value],
    0
   ),
   current&gt;=required
 "&amp;" ),
  IF(
   T174=""AUTO"",
   L174=0,
   COUNTIFS(
    tblChecklist[TargetID],id,
    tblChecklist[PlayerCompleted],TRUE
   )&gt;0
  )
 )
)"),FALSE)</f>
        <v>0</v>
      </c>
      <c r="E174" s="26" t="str">
        <f t="array" ref="E174">_xlfn.XLOOKUP(
 A174,
 tblTargets[TargetID],
 tblTargets[TargetType],
 ""
)</f>
        <v>COLLECTION</v>
      </c>
      <c r="F174" s="26" t="str">
        <f t="array" ref="F174">_xlfn.XLOOKUP(
 A174,
 tblTargets[TargetID],
 tblTargets[StateType],
 ""
)</f>
        <v/>
      </c>
      <c r="G174" s="26">
        <f>LET(
 id,A174,
 depCount,COUNTIF(tblDependencies[TargetID],id),
 objCount,COUNTIF(tblQuestObjectives[QuestTargetID],id),
 depCount+objCount
)</f>
        <v>1</v>
      </c>
      <c r="H174" s="26">
        <f t="shared" si="2"/>
        <v>1</v>
      </c>
      <c r="I174" s="26">
        <f>IFERROR(__xludf.DUMMYFUNCTION("LET(
 id,A174,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4" s="26">
        <f t="shared" si="3"/>
        <v>0</v>
      </c>
      <c r="K174" s="26" t="b">
        <f t="shared" si="4"/>
        <v>0</v>
      </c>
      <c r="L174" s="26">
        <f t="shared" si="5"/>
        <v>1</v>
      </c>
      <c r="M174" s="26" t="str">
        <f>IFERROR(__xludf.DUMMYFUNCTION("LET(
 id,A174,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L174=0,
  """",
  IFERROR(INDEX(incomplete,1),"""")"&amp;"
 )
)"),"collection.gallery_1@2")</f>
        <v>collection.gallery_1@2</v>
      </c>
      <c r="N174" s="26" t="str">
        <f t="array" ref="N174">IF(
 M174="",
 "",
 _xlfn.XLOOKUP(
  M174,
  tblTargets[TargetID],
  tblTargets[DisplayName],
  M174
 )
)</f>
        <v>Gallery 1 Lv 2</v>
      </c>
      <c r="O174" s="26" t="str">
        <f>IFERROR(__xludf.DUMMYFUNCTION("SWITCH(
 E174,
 ""BUILDING"",XLOOKUP(A174,tblBuildings[BuildingID],tblBuildings[costtext],""""),
 ""TECH"",XLOOKUP(A174,tblTechnologies[TechnologyID],tblTechnologies[costtext],""""),
 ""QUEST"",XLOOKUP(
  REGEXREPLACE(A174,""\.[^.]+$"",""""),
  tblQuests["&amp;"QuestID],
  tblQuests[Costtext],
  """"
 ),
 ""CITADEL"",XLOOKUP(A174,tblCitadel[CitadelID],tblCitadel[costtext],""""),
 ""COLLECTION"",XLOOKUP(A174,tblCollections[CollectionID],tblCollections[costtext],""""),
 ""CRAFTIFACT"",XLOOKUP(A174,tblCraftifacts[C"&amp;"raftifactID],tblCraftifacts[costtext],""""),
 """"
)"),"15 apy,30 cinnabar,30 mandrake,45 miron,45 reagent,15 titanium")</f>
        <v>15 apy,30 cinnabar,30 mandrake,45 miron,45 reagent,15 titanium</v>
      </c>
      <c r="P174" s="26" t="str">
        <f t="shared" si="6"/>
        <v>BLOCKED</v>
      </c>
      <c r="Q174" s="26" t="str">
        <f t="shared" si="7"/>
        <v>BLOCKED</v>
      </c>
      <c r="R174" s="26" t="str">
        <f t="array" ref="R174">IFERROR(
 _xlfn.XLOOKUP(
  A174,
  tblChecklist[TargetID],
  tblChecklist[PlayerSort],
  ""
 ),
 ""
)</f>
        <v/>
      </c>
      <c r="S174" s="26" t="str">
        <f>IFERROR(__xludf.DUMMYFUNCTION("LET(
 id,A174,
 successorIDs,
  IFERROR(
   UNIQUE(
    FILTER(
     {
      Dependencies!$A$2:$A$1000;
      QuestObjectives!$A$2:$A$1000
     },
     {
      Dependencies!$B$2:$B$1000;
      QuestObjectives!$E$2:$E$1000
     }=id
    )
   ),
   """"
  )"&amp;",
 names,
  MAP(
   successorIDs,
   LAMBDA(s,
    IF(
     s="""",
     """",
     XLOOKUP(
      s,
      $A$2:$A$1000,
      $B$2:$B$1000,
      s
     )
    )
   )
  ),
 IF(
  successorIDs="""",
  """",
  TEXTJOIN("", "",TRUE,names)
 )
)"),"Gallery 1 Lv 4")</f>
        <v>Gallery 1 Lv 4</v>
      </c>
      <c r="T174" s="26" t="str">
        <f t="array" ref="T174">_xlfn.XLOOKUP(
 A174,
 tblTargets[TargetID],
 tblTargets[CompletionMethod],
 ""
)</f>
        <v>PLAYER</v>
      </c>
      <c r="U174" s="84" t="b">
        <f>COUNTIF(tblCost[TargetID],A174)&gt;0</f>
        <v>1</v>
      </c>
      <c r="V174" s="85">
        <f t="array" ref="V174">IF(
 U174=FALSE,
 "",
 _xlfn.XLOOKUP(
  A174,
  tblCost[TargetID],
  tblCost[FundingPercent],
  ""
 )
)</f>
        <v>0</v>
      </c>
      <c r="W174" s="26">
        <f t="array" ref="W174">IF(
 U174=FALSE,
 "",
 _xlfn.XLOOKUP(
  A174,
  tblCost[TargetID],
  tblCost[RemainingRequirements],
  ""
 )
)</f>
        <v>6</v>
      </c>
      <c r="X174" s="45" t="b">
        <f t="array" ref="X174">IF(
 U174=FALSE,
 "N/A",
 _xlfn.XLOOKUP(
  A175,
  tblCost[TargetID],
  tblCost[TargetFunded],
  FALSE
 )
)</f>
        <v>0</v>
      </c>
      <c r="Y174" s="26" t="str">
        <f>IFERROR(__xludf.DUMMYFUNCTION("IFERROR(
 TEXTJOIN(
  "", "",
  TRUE,
  FILTER(
   'cost checklist'!$E$2:$E1000&amp;"": ""&amp;'cost checklist'!$G$2:$G1000,
   'cost checklist'!$B$2:$B1000=A174,
   'cost checklist'!$J$2:$J1000=FALSE
  )
 ),
 """"
)"),"apy: 15, cinnabar: 30, mandrake: 30, miron: 45, reagent: 45, titanium: 15")</f>
        <v>apy: 15, cinnabar: 30, mandrake: 30, miron: 45, reagent: 45, titanium: 15</v>
      </c>
      <c r="Z174" s="26" t="b">
        <f>IFERROR(__xludf.DUMMYFUNCTION("IF(
 AND(
  E174=""QUEST"",
  RIGHT(A174,9)="".accepted"",
  D174=TRUE
 ),
 XLOOKUP(
  REGEXREPLACE(A174,""\.accepted$"","""")&amp;"".finished"",
  $A$2:$A1000,
  $D$2:$D1000,
  TRUE
 )=FALSE,
 FALSE
)"),FALSE)</f>
        <v>0</v>
      </c>
      <c r="AA174" s="26" t="str">
        <f>IFERROR(__xludf.DUMMYFUNCTION("LET(
 id,A174,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5" ht="14.25" customHeight="1">
      <c r="A175" s="26" t="s">
        <v>600</v>
      </c>
      <c r="B175" s="26" t="str">
        <f t="array" ref="B175">_xlfn.XLOOKUP(
 A175,
 tblTargets[TargetID],
 tblTargets[DisplayName],
 ""
)</f>
        <v>Gallery 1 Lv 4</v>
      </c>
      <c r="C175" s="26" t="str">
        <f t="shared" si="1"/>
        <v>BLOCKED</v>
      </c>
      <c r="D175" s="26" t="b">
        <f>IFERROR(__xludf.DUMMYFUNCTION("LET(
 id,A175,
 IF(
  F175=""CHARACTER"",
  LET(
   base,REGEXREPLACE(id,""@\d+$"",""""),
   required,VALUE(REGEXEXTRACT(id,""@(\d+)$"")),
   current,XLOOKUP(
    base,
    tblPlayer[PlayerStateID],
    tblPlayer[Value],
    0
   ),
   current&gt;=required
 "&amp;" ),
  IF(
   T175=""AUTO"",
   L175=0,
   COUNTIFS(
    tblChecklist[TargetID],id,
    tblChecklist[PlayerCompleted],TRUE
   )&gt;0
  )
 )
)"),FALSE)</f>
        <v>0</v>
      </c>
      <c r="E175" s="26" t="str">
        <f t="array" ref="E175">_xlfn.XLOOKUP(
 A175,
 tblTargets[TargetID],
 tblTargets[TargetType],
 ""
)</f>
        <v>COLLECTION</v>
      </c>
      <c r="F175" s="26" t="str">
        <f t="array" ref="F175">_xlfn.XLOOKUP(
 A175,
 tblTargets[TargetID],
 tblTargets[StateType],
 ""
)</f>
        <v/>
      </c>
      <c r="G175" s="26">
        <f>LET(
 id,A175,
 depCount,COUNTIF(tblDependencies[TargetID],id),
 objCount,COUNTIF(tblQuestObjectives[QuestTargetID],id),
 depCount+objCount
)</f>
        <v>1</v>
      </c>
      <c r="H175" s="26">
        <f t="shared" si="2"/>
        <v>1</v>
      </c>
      <c r="I175" s="26">
        <f>IFERROR(__xludf.DUMMYFUNCTION("LET(
 id,A175,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5" s="26">
        <f t="shared" si="3"/>
        <v>0</v>
      </c>
      <c r="K175" s="26" t="b">
        <f t="shared" si="4"/>
        <v>0</v>
      </c>
      <c r="L175" s="26">
        <f t="shared" si="5"/>
        <v>1</v>
      </c>
      <c r="M175" s="26" t="str">
        <f>IFERROR(__xludf.DUMMYFUNCTION("LET(
 id,A175,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L175=0,
  """",
  IFERROR(INDEX(incomplete,1),"""")"&amp;"
 )
)"),"collection.gallery_1@3")</f>
        <v>collection.gallery_1@3</v>
      </c>
      <c r="N175" s="26" t="str">
        <f t="array" ref="N175">IF(
 M175="",
 "",
 _xlfn.XLOOKUP(
  M175,
  tblTargets[TargetID],
  tblTargets[DisplayName],
  M175
 )
)</f>
        <v>Gallery 1 Lv 3</v>
      </c>
      <c r="O175" s="26" t="str">
        <f>IFERROR(__xludf.DUMMYFUNCTION("SWITCH(
 E175,
 ""BUILDING"",XLOOKUP(A175,tblBuildings[BuildingID],tblBuildings[costtext],""""),
 ""TECH"",XLOOKUP(A175,tblTechnologies[TechnologyID],tblTechnologies[costtext],""""),
 ""QUEST"",XLOOKUP(
  REGEXREPLACE(A175,""\.[^.]+$"",""""),
  tblQuests["&amp;"QuestID],
  tblQuests[Costtext],
  """"
 ),
 ""CITADEL"",XLOOKUP(A175,tblCitadel[CitadelID],tblCitadel[costtext],""""),
 ""COLLECTION"",XLOOKUP(A175,tblCollections[CollectionID],tblCollections[costtext],""""),
 ""CRAFTIFACT"",XLOOKUP(A175,tblCraftifacts[C"&amp;"raftifactID],tblCraftifacts[costtext],""""),
 """"
)"),"20 apy,40 cinnabar,40 mandrake,60 miron,60 reagent,20 titanium")</f>
        <v>20 apy,40 cinnabar,40 mandrake,60 miron,60 reagent,20 titanium</v>
      </c>
      <c r="P175" s="26" t="str">
        <f t="shared" si="6"/>
        <v>BLOCKED</v>
      </c>
      <c r="Q175" s="26" t="str">
        <f t="shared" si="7"/>
        <v>BLOCKED</v>
      </c>
      <c r="R175" s="26" t="str">
        <f t="array" ref="R175">IFERROR(
 _xlfn.XLOOKUP(
  A175,
  tblChecklist[TargetID],
  tblChecklist[PlayerSort],
  ""
 ),
 ""
)</f>
        <v/>
      </c>
      <c r="S175" s="26" t="str">
        <f>IFERROR(__xludf.DUMMYFUNCTION("LET(
 id,A175,
 successorIDs,
  IFERROR(
   UNIQUE(
    FILTER(
     {
      Dependencies!$A$2:$A$1000;
      QuestObjectives!$A$2:$A$1000
     },
     {
      Dependencies!$B$2:$B$1000;
      QuestObjectives!$E$2:$E$1000
     }=id
    )
   ),
   """"
  )"&amp;",
 names,
  MAP(
   successorIDs,
   LAMBDA(s,
    IF(
     s="""",
     """",
     XLOOKUP(
      s,
      $A$2:$A$1000,
      $B$2:$B$1000,
      s
     )
    )
   )
  ),
 IF(
  successorIDs="""",
  """",
  TEXTJOIN("", "",TRUE,names)
 )
)"),"Gallery 1 Lv 5")</f>
        <v>Gallery 1 Lv 5</v>
      </c>
      <c r="T175" s="26" t="str">
        <f t="array" ref="T175">_xlfn.XLOOKUP(
 A175,
 tblTargets[TargetID],
 tblTargets[CompletionMethod],
 ""
)</f>
        <v>PLAYER</v>
      </c>
      <c r="U175" s="84" t="b">
        <f>COUNTIF(tblCost[TargetID],A175)&gt;0</f>
        <v>1</v>
      </c>
      <c r="V175" s="85">
        <f t="array" ref="V175">IF(
 U175=FALSE,
 "",
 _xlfn.XLOOKUP(
  A175,
  tblCost[TargetID],
  tblCost[FundingPercent],
  ""
 )
)</f>
        <v>0</v>
      </c>
      <c r="W175" s="26">
        <f t="array" ref="W175">IF(
 U175=FALSE,
 "",
 _xlfn.XLOOKUP(
  A175,
  tblCost[TargetID],
  tblCost[RemainingRequirements],
  ""
 )
)</f>
        <v>6</v>
      </c>
      <c r="X175" s="45" t="b">
        <f t="array" ref="X175">IF(
 U175=FALSE,
 "N/A",
 _xlfn.XLOOKUP(
  A176,
  tblCost[TargetID],
  tblCost[TargetFunded],
  FALSE
 )
)</f>
        <v>0</v>
      </c>
      <c r="Y175" s="26" t="str">
        <f>IFERROR(__xludf.DUMMYFUNCTION("IFERROR(
 TEXTJOIN(
  "", "",
  TRUE,
  FILTER(
   'cost checklist'!$E$2:$E1000&amp;"": ""&amp;'cost checklist'!$G$2:$G1000,
   'cost checklist'!$B$2:$B1000=A175,
   'cost checklist'!$J$2:$J1000=FALSE
  )
 ),
 """"
)"),"apy: 20, cinnabar: 40, mandrake: 40, miron: 60, reagent: 60, titanium: 20")</f>
        <v>apy: 20, cinnabar: 40, mandrake: 40, miron: 60, reagent: 60, titanium: 20</v>
      </c>
      <c r="Z175" s="26" t="b">
        <f>IFERROR(__xludf.DUMMYFUNCTION("IF(
 AND(
  E175=""QUEST"",
  RIGHT(A175,9)="".accepted"",
  D175=TRUE
 ),
 XLOOKUP(
  REGEXREPLACE(A175,""\.accepted$"","""")&amp;"".finished"",
  $A$2:$A1000,
  $D$2:$D1000,
  TRUE
 )=FALSE,
 FALSE
)"),FALSE)</f>
        <v>0</v>
      </c>
      <c r="AA175" s="26" t="str">
        <f>IFERROR(__xludf.DUMMYFUNCTION("LET(
 id,A175,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6" ht="14.25" customHeight="1">
      <c r="A176" s="26" t="s">
        <v>603</v>
      </c>
      <c r="B176" s="26" t="str">
        <f t="array" ref="B176">_xlfn.XLOOKUP(
 A176,
 tblTargets[TargetID],
 tblTargets[DisplayName],
 ""
)</f>
        <v>Gallery 1 Lv 5</v>
      </c>
      <c r="C176" s="26" t="str">
        <f t="shared" si="1"/>
        <v>BLOCKED</v>
      </c>
      <c r="D176" s="26" t="b">
        <f>IFERROR(__xludf.DUMMYFUNCTION("LET(
 id,A176,
 IF(
  F176=""CHARACTER"",
  LET(
   base,REGEXREPLACE(id,""@\d+$"",""""),
   required,VALUE(REGEXEXTRACT(id,""@(\d+)$"")),
   current,XLOOKUP(
    base,
    tblPlayer[PlayerStateID],
    tblPlayer[Value],
    0
   ),
   current&gt;=required
 "&amp;" ),
  IF(
   T176=""AUTO"",
   L176=0,
   COUNTIFS(
    tblChecklist[TargetID],id,
    tblChecklist[PlayerCompleted],TRUE
   )&gt;0
  )
 )
)"),FALSE)</f>
        <v>0</v>
      </c>
      <c r="E176" s="26" t="str">
        <f t="array" ref="E176">_xlfn.XLOOKUP(
 A176,
 tblTargets[TargetID],
 tblTargets[TargetType],
 ""
)</f>
        <v>COLLECTION</v>
      </c>
      <c r="F176" s="26" t="str">
        <f t="array" ref="F176">_xlfn.XLOOKUP(
 A176,
 tblTargets[TargetID],
 tblTargets[StateType],
 ""
)</f>
        <v/>
      </c>
      <c r="G176" s="26">
        <f>LET(
 id,A176,
 depCount,COUNTIF(tblDependencies[TargetID],id),
 objCount,COUNTIF(tblQuestObjectives[QuestTargetID],id),
 depCount+objCount
)</f>
        <v>1</v>
      </c>
      <c r="H176" s="26">
        <f t="shared" si="2"/>
        <v>1</v>
      </c>
      <c r="I176" s="26">
        <f>IFERROR(__xludf.DUMMYFUNCTION("LET(
 id,A176,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6" s="26">
        <f t="shared" si="3"/>
        <v>0</v>
      </c>
      <c r="K176" s="26" t="b">
        <f t="shared" si="4"/>
        <v>0</v>
      </c>
      <c r="L176" s="26">
        <f t="shared" si="5"/>
        <v>1</v>
      </c>
      <c r="M176" s="26" t="str">
        <f>IFERROR(__xludf.DUMMYFUNCTION("LET(
 id,A176,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L176=0,
  """",
  IFERROR(INDEX(incomplete,1),"""")"&amp;"
 )
)"),"collection.gallery_1@4")</f>
        <v>collection.gallery_1@4</v>
      </c>
      <c r="N176" s="26" t="str">
        <f t="array" ref="N176">IF(
 M176="",
 "",
 _xlfn.XLOOKUP(
  M176,
  tblTargets[TargetID],
  tblTargets[DisplayName],
  M176
 )
)</f>
        <v>Gallery 1 Lv 4</v>
      </c>
      <c r="O176" s="26" t="str">
        <f>IFERROR(__xludf.DUMMYFUNCTION("SWITCH(
 E176,
 ""BUILDING"",XLOOKUP(A176,tblBuildings[BuildingID],tblBuildings[costtext],""""),
 ""TECH"",XLOOKUP(A176,tblTechnologies[TechnologyID],tblTechnologies[costtext],""""),
 ""QUEST"",XLOOKUP(
  REGEXREPLACE(A176,""\.[^.]+$"",""""),
  tblQuests["&amp;"QuestID],
  tblQuests[Costtext],
  """"
 ),
 ""CITADEL"",XLOOKUP(A176,tblCitadel[CitadelID],tblCitadel[costtext],""""),
 ""COLLECTION"",XLOOKUP(A176,tblCollections[CollectionID],tblCollections[costtext],""""),
 ""CRAFTIFACT"",XLOOKUP(A176,tblCraftifacts[C"&amp;"raftifactID],tblCraftifacts[costtext],""""),
 """"
)"),"25 apy,50 cinnabar,50 mandrake,75 miron,75 reagent,25 titanium")</f>
        <v>25 apy,50 cinnabar,50 mandrake,75 miron,75 reagent,25 titanium</v>
      </c>
      <c r="P176" s="26" t="str">
        <f t="shared" si="6"/>
        <v>BLOCKED</v>
      </c>
      <c r="Q176" s="26" t="str">
        <f t="shared" si="7"/>
        <v>BLOCKED</v>
      </c>
      <c r="R176" s="26" t="str">
        <f t="array" ref="R176">IFERROR(
 _xlfn.XLOOKUP(
  A176,
  tblChecklist[TargetID],
  tblChecklist[PlayerSort],
  ""
 ),
 ""
)</f>
        <v/>
      </c>
      <c r="S176" s="26" t="str">
        <f>IFERROR(__xludf.DUMMYFUNCTION("LET(
 id,A176,
 successorIDs,
  IFERROR(
   UNIQUE(
    FILTER(
     {
      Dependencies!$A$2:$A$1000;
      QuestObjectives!$A$2:$A$1000
     },
     {
      Dependencies!$B$2:$B$1000;
      QuestObjectives!$E$2:$E$1000
     }=id
    )
   ),
   """"
  )"&amp;",
 names,
  MAP(
   successorIDs,
   LAMBDA(s,
    IF(
     s="""",
     """",
     XLOOKUP(
      s,
      $A$2:$A$1000,
      $B$2:$B$1000,
      s
     )
    )
   )
  ),
 IF(
  successorIDs="""",
  """",
  TEXTJOIN("", "",TRUE,names)
 )
)"),"")</f>
        <v/>
      </c>
      <c r="T176" s="26" t="str">
        <f t="array" ref="T176">_xlfn.XLOOKUP(
 A176,
 tblTargets[TargetID],
 tblTargets[CompletionMethod],
 ""
)</f>
        <v>PLAYER</v>
      </c>
      <c r="U176" s="84" t="b">
        <f>COUNTIF(tblCost[TargetID],A176)&gt;0</f>
        <v>1</v>
      </c>
      <c r="V176" s="85">
        <f t="array" ref="V176">IF(
 U176=FALSE,
 "",
 _xlfn.XLOOKUP(
  A176,
  tblCost[TargetID],
  tblCost[FundingPercent],
  ""
 )
)</f>
        <v>0</v>
      </c>
      <c r="W176" s="26">
        <f t="array" ref="W176">IF(
 U176=FALSE,
 "",
 _xlfn.XLOOKUP(
  A176,
  tblCost[TargetID],
  tblCost[RemainingRequirements],
  ""
 )
)</f>
        <v>6</v>
      </c>
      <c r="X176" s="45" t="b">
        <f t="array" ref="X176">IF(
 U176=FALSE,
 "N/A",
 _xlfn.XLOOKUP(
  A177,
  tblCost[TargetID],
  tblCost[TargetFunded],
  FALSE
 )
)</f>
        <v>0</v>
      </c>
      <c r="Y176" s="26" t="str">
        <f>IFERROR(__xludf.DUMMYFUNCTION("IFERROR(
 TEXTJOIN(
  "", "",
  TRUE,
  FILTER(
   'cost checklist'!$E$2:$E1000&amp;"": ""&amp;'cost checklist'!$G$2:$G1000,
   'cost checklist'!$B$2:$B1000=A176,
   'cost checklist'!$J$2:$J1000=FALSE
  )
 ),
 """"
)"),"apy: 25, cinnabar: 50, mandrake: 50, miron: 75, reagent: 75, titanium: 25")</f>
        <v>apy: 25, cinnabar: 50, mandrake: 50, miron: 75, reagent: 75, titanium: 25</v>
      </c>
      <c r="Z176" s="26" t="b">
        <f>IFERROR(__xludf.DUMMYFUNCTION("IF(
 AND(
  E176=""QUEST"",
  RIGHT(A176,9)="".accepted"",
  D176=TRUE
 ),
 XLOOKUP(
  REGEXREPLACE(A176,""\.accepted$"","""")&amp;"".finished"",
  $A$2:$A1000,
  $D$2:$D1000,
  TRUE
 )=FALSE,
 FALSE
)"),FALSE)</f>
        <v>0</v>
      </c>
      <c r="AA176" s="26" t="str">
        <f>IFERROR(__xludf.DUMMYFUNCTION("LET(
 id,A176,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7" ht="14.25" customHeight="1">
      <c r="A177" s="26" t="s">
        <v>605</v>
      </c>
      <c r="B177" s="26" t="str">
        <f t="array" ref="B177">_xlfn.XLOOKUP(
 A177,
 tblTargets[TargetID],
 tblTargets[DisplayName],
 ""
)</f>
        <v>Gallery 2 Lv 1</v>
      </c>
      <c r="C177" s="26" t="str">
        <f t="shared" si="1"/>
        <v>BLOCKED</v>
      </c>
      <c r="D177" s="26" t="b">
        <f>IFERROR(__xludf.DUMMYFUNCTION("LET(
 id,A177,
 IF(
  F177=""CHARACTER"",
  LET(
   base,REGEXREPLACE(id,""@\d+$"",""""),
   required,VALUE(REGEXEXTRACT(id,""@(\d+)$"")),
   current,XLOOKUP(
    base,
    tblPlayer[PlayerStateID],
    tblPlayer[Value],
    0
   ),
   current&gt;=required
 "&amp;" ),
  IF(
   T177=""AUTO"",
   L177=0,
   COUNTIFS(
    tblChecklist[TargetID],id,
    tblChecklist[PlayerCompleted],TRUE
   )&gt;0
  )
 )
)"),FALSE)</f>
        <v>0</v>
      </c>
      <c r="E177" s="26" t="str">
        <f t="array" ref="E177">_xlfn.XLOOKUP(
 A177,
 tblTargets[TargetID],
 tblTargets[TargetType],
 ""
)</f>
        <v>COLLECTION</v>
      </c>
      <c r="F177" s="26" t="str">
        <f t="array" ref="F177">_xlfn.XLOOKUP(
 A177,
 tblTargets[TargetID],
 tblTargets[StateType],
 ""
)</f>
        <v/>
      </c>
      <c r="G177" s="26">
        <f>LET(
 id,A177,
 depCount,COUNTIF(tblDependencies[TargetID],id),
 objCount,COUNTIF(tblQuestObjectives[QuestTargetID],id),
 depCount+objCount
)</f>
        <v>1</v>
      </c>
      <c r="H177" s="26">
        <f t="shared" si="2"/>
        <v>1</v>
      </c>
      <c r="I177" s="26">
        <f>IFERROR(__xludf.DUMMYFUNCTION("LET(
 id,A177,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7" s="26">
        <f t="shared" si="3"/>
        <v>0</v>
      </c>
      <c r="K177" s="26" t="b">
        <f t="shared" si="4"/>
        <v>0</v>
      </c>
      <c r="L177" s="26">
        <f t="shared" si="5"/>
        <v>1</v>
      </c>
      <c r="M177" s="26" t="str">
        <f>IFERROR(__xludf.DUMMYFUNCTION("LET(
 id,A177,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L177=0,
  """",
  IFERROR(INDEX(incomplete,1),"""")"&amp;"
 )
)"),"citadel.gallery")</f>
        <v>citadel.gallery</v>
      </c>
      <c r="N177" s="26" t="str">
        <f t="array" ref="N177">IF(
 M177="",
 "",
 _xlfn.XLOOKUP(
  M177,
  tblTargets[TargetID],
  tblTargets[DisplayName],
  M177
 )
)</f>
        <v>Gallery</v>
      </c>
      <c r="O177" s="26" t="str">
        <f>IFERROR(__xludf.DUMMYFUNCTION("SWITCH(
 E177,
 ""BUILDING"",XLOOKUP(A177,tblBuildings[BuildingID],tblBuildings[costtext],""""),
 ""TECH"",XLOOKUP(A177,tblTechnologies[TechnologyID],tblTechnologies[costtext],""""),
 ""QUEST"",XLOOKUP(
  REGEXREPLACE(A177,""\.[^.]+$"",""""),
  tblQuests["&amp;"QuestID],
  tblQuests[Costtext],
  """"
 ),
 ""CITADEL"",XLOOKUP(A177,tblCitadel[CitadelID],tblCitadel[costtext],""""),
 ""COLLECTION"",XLOOKUP(A177,tblCollections[CollectionID],tblCollections[costtext],""""),
 ""CRAFTIFACT"",XLOOKUP(A177,tblCraftifacts[C"&amp;"raftifactID],tblCraftifacts[costtext],""""),
 """"
)"),"3 hide,1 horn,3 teeth")</f>
        <v>3 hide,1 horn,3 teeth</v>
      </c>
      <c r="P177" s="26" t="str">
        <f t="shared" si="6"/>
        <v>BLOCKED</v>
      </c>
      <c r="Q177" s="26" t="str">
        <f t="shared" si="7"/>
        <v>BLOCKED</v>
      </c>
      <c r="R177" s="26" t="str">
        <f t="array" ref="R177">IFERROR(
 _xlfn.XLOOKUP(
  A177,
  tblChecklist[TargetID],
  tblChecklist[PlayerSort],
  ""
 ),
 ""
)</f>
        <v/>
      </c>
      <c r="S177" s="26" t="str">
        <f>IFERROR(__xludf.DUMMYFUNCTION("LET(
 id,A177,
 successorIDs,
  IFERROR(
   UNIQUE(
    FILTER(
     {
      Dependencies!$A$2:$A$1000;
      QuestObjectives!$A$2:$A$1000
     },
     {
      Dependencies!$B$2:$B$1000;
      QuestObjectives!$E$2:$E$1000
     }=id
    )
   ),
   """"
  )"&amp;",
 names,
  MAP(
   successorIDs,
   LAMBDA(s,
    IF(
     s="""",
     """",
     XLOOKUP(
      s,
      $A$2:$A$1000,
      $B$2:$B$1000,
      s
     )
    )
   )
  ),
 IF(
  successorIDs="""",
  """",
  TEXTJOIN("", "",TRUE,names)
 )
)"),"Gallery 2 Lv 2")</f>
        <v>Gallery 2 Lv 2</v>
      </c>
      <c r="T177" s="26" t="str">
        <f t="array" ref="T177">_xlfn.XLOOKUP(
 A177,
 tblTargets[TargetID],
 tblTargets[CompletionMethod],
 ""
)</f>
        <v>PLAYER</v>
      </c>
      <c r="U177" s="84" t="b">
        <f>COUNTIF(tblCost[TargetID],A177)&gt;0</f>
        <v>1</v>
      </c>
      <c r="V177" s="85">
        <f t="array" ref="V177">IF(
 U177=FALSE,
 "",
 _xlfn.XLOOKUP(
  A177,
  tblCost[TargetID],
  tblCost[FundingPercent],
  ""
 )
)</f>
        <v>0</v>
      </c>
      <c r="W177" s="26">
        <f t="array" ref="W177">IF(
 U177=FALSE,
 "",
 _xlfn.XLOOKUP(
  A177,
  tblCost[TargetID],
  tblCost[RemainingRequirements],
  ""
 )
)</f>
        <v>3</v>
      </c>
      <c r="X177" s="45" t="b">
        <f t="array" ref="X177">IF(
 U177=FALSE,
 "N/A",
 _xlfn.XLOOKUP(
  A178,
  tblCost[TargetID],
  tblCost[TargetFunded],
  FALSE
 )
)</f>
        <v>0</v>
      </c>
      <c r="Y177" s="26" t="str">
        <f>IFERROR(__xludf.DUMMYFUNCTION("IFERROR(
 TEXTJOIN(
  "", "",
  TRUE,
  FILTER(
   'cost checklist'!$E$2:$E1000&amp;"": ""&amp;'cost checklist'!$G$2:$G1000,
   'cost checklist'!$B$2:$B1000=A177,
   'cost checklist'!$J$2:$J1000=FALSE
  )
 ),
 """"
)"),"hide: 3, horn: 1, teeth: 3")</f>
        <v>hide: 3, horn: 1, teeth: 3</v>
      </c>
      <c r="Z177" s="26" t="b">
        <f>IFERROR(__xludf.DUMMYFUNCTION("IF(
 AND(
  E177=""QUEST"",
  RIGHT(A177,9)="".accepted"",
  D177=TRUE
 ),
 XLOOKUP(
  REGEXREPLACE(A177,""\.accepted$"","""")&amp;"".finished"",
  $A$2:$A1000,
  $D$2:$D1000,
  TRUE
 )=FALSE,
 FALSE
)"),FALSE)</f>
        <v>0</v>
      </c>
      <c r="AA177" s="26" t="str">
        <f>IFERROR(__xludf.DUMMYFUNCTION("LET(
 id,A177,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8" ht="14.25" customHeight="1">
      <c r="A178" s="26" t="s">
        <v>607</v>
      </c>
      <c r="B178" s="26" t="str">
        <f t="array" ref="B178">_xlfn.XLOOKUP(
 A178,
 tblTargets[TargetID],
 tblTargets[DisplayName],
 ""
)</f>
        <v>Gallery 2 Lv 2</v>
      </c>
      <c r="C178" s="26" t="str">
        <f t="shared" si="1"/>
        <v>BLOCKED</v>
      </c>
      <c r="D178" s="26" t="b">
        <f>IFERROR(__xludf.DUMMYFUNCTION("LET(
 id,A178,
 IF(
  F178=""CHARACTER"",
  LET(
   base,REGEXREPLACE(id,""@\d+$"",""""),
   required,VALUE(REGEXEXTRACT(id,""@(\d+)$"")),
   current,XLOOKUP(
    base,
    tblPlayer[PlayerStateID],
    tblPlayer[Value],
    0
   ),
   current&gt;=required
 "&amp;" ),
  IF(
   T178=""AUTO"",
   L178=0,
   COUNTIFS(
    tblChecklist[TargetID],id,
    tblChecklist[PlayerCompleted],TRUE
   )&gt;0
  )
 )
)"),FALSE)</f>
        <v>0</v>
      </c>
      <c r="E178" s="26" t="str">
        <f t="array" ref="E178">_xlfn.XLOOKUP(
 A178,
 tblTargets[TargetID],
 tblTargets[TargetType],
 ""
)</f>
        <v>COLLECTION</v>
      </c>
      <c r="F178" s="26" t="str">
        <f t="array" ref="F178">_xlfn.XLOOKUP(
 A178,
 tblTargets[TargetID],
 tblTargets[StateType],
 ""
)</f>
        <v/>
      </c>
      <c r="G178" s="26">
        <f>LET(
 id,A178,
 depCount,COUNTIF(tblDependencies[TargetID],id),
 objCount,COUNTIF(tblQuestObjectives[QuestTargetID],id),
 depCount+objCount
)</f>
        <v>1</v>
      </c>
      <c r="H178" s="26">
        <f t="shared" si="2"/>
        <v>1</v>
      </c>
      <c r="I178" s="26">
        <f>IFERROR(__xludf.DUMMYFUNCTION("LET(
 id,A178,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8" s="26">
        <f t="shared" si="3"/>
        <v>0</v>
      </c>
      <c r="K178" s="26" t="b">
        <f t="shared" si="4"/>
        <v>0</v>
      </c>
      <c r="L178" s="26">
        <f t="shared" si="5"/>
        <v>1</v>
      </c>
      <c r="M178" s="26" t="str">
        <f>IFERROR(__xludf.DUMMYFUNCTION("LET(
 id,A178,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L178=0,
  """",
  IFERROR(INDEX(incomplete,1),"""")"&amp;"
 )
)"),"collection.gallery_2@1")</f>
        <v>collection.gallery_2@1</v>
      </c>
      <c r="N178" s="26" t="str">
        <f t="array" ref="N178">IF(
 M178="",
 "",
 _xlfn.XLOOKUP(
  M178,
  tblTargets[TargetID],
  tblTargets[DisplayName],
  M178
 )
)</f>
        <v>Gallery 2 Lv 1</v>
      </c>
      <c r="O178" s="26" t="str">
        <f>IFERROR(__xludf.DUMMYFUNCTION("SWITCH(
 E178,
 ""BUILDING"",XLOOKUP(A178,tblBuildings[BuildingID],tblBuildings[costtext],""""),
 ""TECH"",XLOOKUP(A178,tblTechnologies[TechnologyID],tblTechnologies[costtext],""""),
 ""QUEST"",XLOOKUP(
  REGEXREPLACE(A178,""\.[^.]+$"",""""),
  tblQuests["&amp;"QuestID],
  tblQuests[Costtext],
  """"
 ),
 ""CITADEL"",XLOOKUP(A178,tblCitadel[CitadelID],tblCitadel[costtext],""""),
 ""COLLECTION"",XLOOKUP(A178,tblCollections[CollectionID],tblCollections[costtext],""""),
 ""CRAFTIFACT"",XLOOKUP(A178,tblCraftifacts[C"&amp;"raftifactID],tblCraftifacts[costtext],""""),
 """"
)"),"6 hide,2 horn,6 teeth")</f>
        <v>6 hide,2 horn,6 teeth</v>
      </c>
      <c r="P178" s="26" t="str">
        <f t="shared" si="6"/>
        <v>BLOCKED</v>
      </c>
      <c r="Q178" s="26" t="str">
        <f t="shared" si="7"/>
        <v>BLOCKED</v>
      </c>
      <c r="R178" s="26" t="str">
        <f t="array" ref="R178">IFERROR(
 _xlfn.XLOOKUP(
  A178,
  tblChecklist[TargetID],
  tblChecklist[PlayerSort],
  ""
 ),
 ""
)</f>
        <v/>
      </c>
      <c r="S178" s="26" t="str">
        <f>IFERROR(__xludf.DUMMYFUNCTION("LET(
 id,A178,
 successorIDs,
  IFERROR(
   UNIQUE(
    FILTER(
     {
      Dependencies!$A$2:$A$1000;
      QuestObjectives!$A$2:$A$1000
     },
     {
      Dependencies!$B$2:$B$1000;
      QuestObjectives!$E$2:$E$1000
     }=id
    )
   ),
   """"
  )"&amp;",
 names,
  MAP(
   successorIDs,
   LAMBDA(s,
    IF(
     s="""",
     """",
     XLOOKUP(
      s,
      $A$2:$A$1000,
      $B$2:$B$1000,
      s
     )
    )
   )
  ),
 IF(
  successorIDs="""",
  """",
  TEXTJOIN("", "",TRUE,names)
 )
)"),"Gallery 2 Lv 3")</f>
        <v>Gallery 2 Lv 3</v>
      </c>
      <c r="T178" s="26" t="str">
        <f t="array" ref="T178">_xlfn.XLOOKUP(
 A178,
 tblTargets[TargetID],
 tblTargets[CompletionMethod],
 ""
)</f>
        <v>PLAYER</v>
      </c>
      <c r="U178" s="84" t="b">
        <f>COUNTIF(tblCost[TargetID],A178)&gt;0</f>
        <v>1</v>
      </c>
      <c r="V178" s="85">
        <f t="array" ref="V178">IF(
 U178=FALSE,
 "",
 _xlfn.XLOOKUP(
  A178,
  tblCost[TargetID],
  tblCost[FundingPercent],
  ""
 )
)</f>
        <v>0</v>
      </c>
      <c r="W178" s="26">
        <f t="array" ref="W178">IF(
 U178=FALSE,
 "",
 _xlfn.XLOOKUP(
  A178,
  tblCost[TargetID],
  tblCost[RemainingRequirements],
  ""
 )
)</f>
        <v>3</v>
      </c>
      <c r="X178" s="45" t="b">
        <f t="array" ref="X178">IF(
 U178=FALSE,
 "N/A",
 _xlfn.XLOOKUP(
  A179,
  tblCost[TargetID],
  tblCost[TargetFunded],
  FALSE
 )
)</f>
        <v>0</v>
      </c>
      <c r="Y178" s="26" t="str">
        <f>IFERROR(__xludf.DUMMYFUNCTION("IFERROR(
 TEXTJOIN(
  "", "",
  TRUE,
  FILTER(
   'cost checklist'!$E$2:$E1000&amp;"": ""&amp;'cost checklist'!$G$2:$G1000,
   'cost checklist'!$B$2:$B1000=A178,
   'cost checklist'!$J$2:$J1000=FALSE
  )
 ),
 """"
)"),"hide: 6, horn: 2, teeth: 6")</f>
        <v>hide: 6, horn: 2, teeth: 6</v>
      </c>
      <c r="Z178" s="26" t="b">
        <f>IFERROR(__xludf.DUMMYFUNCTION("IF(
 AND(
  E178=""QUEST"",
  RIGHT(A178,9)="".accepted"",
  D178=TRUE
 ),
 XLOOKUP(
  REGEXREPLACE(A178,""\.accepted$"","""")&amp;"".finished"",
  $A$2:$A1000,
  $D$2:$D1000,
  TRUE
 )=FALSE,
 FALSE
)"),FALSE)</f>
        <v>0</v>
      </c>
      <c r="AA178" s="26" t="str">
        <f>IFERROR(__xludf.DUMMYFUNCTION("LET(
 id,A178,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79" ht="14.25" customHeight="1">
      <c r="A179" s="26" t="s">
        <v>610</v>
      </c>
      <c r="B179" s="26" t="str">
        <f t="array" ref="B179">_xlfn.XLOOKUP(
 A179,
 tblTargets[TargetID],
 tblTargets[DisplayName],
 ""
)</f>
        <v>Gallery 2 Lv 3</v>
      </c>
      <c r="C179" s="26" t="str">
        <f t="shared" si="1"/>
        <v>BLOCKED</v>
      </c>
      <c r="D179" s="26" t="b">
        <f>IFERROR(__xludf.DUMMYFUNCTION("LET(
 id,A179,
 IF(
  F179=""CHARACTER"",
  LET(
   base,REGEXREPLACE(id,""@\d+$"",""""),
   required,VALUE(REGEXEXTRACT(id,""@(\d+)$"")),
   current,XLOOKUP(
    base,
    tblPlayer[PlayerStateID],
    tblPlayer[Value],
    0
   ),
   current&gt;=required
 "&amp;" ),
  IF(
   T179=""AUTO"",
   L179=0,
   COUNTIFS(
    tblChecklist[TargetID],id,
    tblChecklist[PlayerCompleted],TRUE
   )&gt;0
  )
 )
)"),FALSE)</f>
        <v>0</v>
      </c>
      <c r="E179" s="26" t="str">
        <f t="array" ref="E179">_xlfn.XLOOKUP(
 A179,
 tblTargets[TargetID],
 tblTargets[TargetType],
 ""
)</f>
        <v>COLLECTION</v>
      </c>
      <c r="F179" s="26" t="str">
        <f t="array" ref="F179">_xlfn.XLOOKUP(
 A179,
 tblTargets[TargetID],
 tblTargets[StateType],
 ""
)</f>
        <v/>
      </c>
      <c r="G179" s="26">
        <f>LET(
 id,A179,
 depCount,COUNTIF(tblDependencies[TargetID],id),
 objCount,COUNTIF(tblQuestObjectives[QuestTargetID],id),
 depCount+objCount
)</f>
        <v>1</v>
      </c>
      <c r="H179" s="26">
        <f t="shared" si="2"/>
        <v>1</v>
      </c>
      <c r="I179" s="26">
        <f>IFERROR(__xludf.DUMMYFUNCTION("LET(
 id,A179,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79" s="26">
        <f t="shared" si="3"/>
        <v>0</v>
      </c>
      <c r="K179" s="26" t="b">
        <f t="shared" si="4"/>
        <v>0</v>
      </c>
      <c r="L179" s="26">
        <f t="shared" si="5"/>
        <v>1</v>
      </c>
      <c r="M179" s="26" t="str">
        <f>IFERROR(__xludf.DUMMYFUNCTION("LET(
 id,A179,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L179=0,
  """",
  IFERROR(INDEX(incomplete,1),"""")"&amp;"
 )
)"),"collection.gallery_2@2")</f>
        <v>collection.gallery_2@2</v>
      </c>
      <c r="N179" s="26" t="str">
        <f t="array" ref="N179">IF(
 M179="",
 "",
 _xlfn.XLOOKUP(
  M179,
  tblTargets[TargetID],
  tblTargets[DisplayName],
  M179
 )
)</f>
        <v>Gallery 2 Lv 2</v>
      </c>
      <c r="O179" s="26" t="str">
        <f>IFERROR(__xludf.DUMMYFUNCTION("SWITCH(
 E179,
 ""BUILDING"",XLOOKUP(A179,tblBuildings[BuildingID],tblBuildings[costtext],""""),
 ""TECH"",XLOOKUP(A179,tblTechnologies[TechnologyID],tblTechnologies[costtext],""""),
 ""QUEST"",XLOOKUP(
  REGEXREPLACE(A179,""\.[^.]+$"",""""),
  tblQuests["&amp;"QuestID],
  tblQuests[Costtext],
  """"
 ),
 ""CITADEL"",XLOOKUP(A179,tblCitadel[CitadelID],tblCitadel[costtext],""""),
 ""COLLECTION"",XLOOKUP(A179,tblCollections[CollectionID],tblCollections[costtext],""""),
 ""CRAFTIFACT"",XLOOKUP(A179,tblCraftifacts[C"&amp;"raftifactID],tblCraftifacts[costtext],""""),
 """"
)"),"9 hide,3 horn,9 teeth")</f>
        <v>9 hide,3 horn,9 teeth</v>
      </c>
      <c r="P179" s="26" t="str">
        <f t="shared" si="6"/>
        <v>BLOCKED</v>
      </c>
      <c r="Q179" s="26" t="str">
        <f t="shared" si="7"/>
        <v>BLOCKED</v>
      </c>
      <c r="R179" s="26" t="str">
        <f t="array" ref="R179">IFERROR(
 _xlfn.XLOOKUP(
  A179,
  tblChecklist[TargetID],
  tblChecklist[PlayerSort],
  ""
 ),
 ""
)</f>
        <v/>
      </c>
      <c r="S179" s="26" t="str">
        <f>IFERROR(__xludf.DUMMYFUNCTION("LET(
 id,A179,
 successorIDs,
  IFERROR(
   UNIQUE(
    FILTER(
     {
      Dependencies!$A$2:$A$1000;
      QuestObjectives!$A$2:$A$1000
     },
     {
      Dependencies!$B$2:$B$1000;
      QuestObjectives!$E$2:$E$1000
     }=id
    )
   ),
   """"
  )"&amp;",
 names,
  MAP(
   successorIDs,
   LAMBDA(s,
    IF(
     s="""",
     """",
     XLOOKUP(
      s,
      $A$2:$A$1000,
      $B$2:$B$1000,
      s
     )
    )
   )
  ),
 IF(
  successorIDs="""",
  """",
  TEXTJOIN("", "",TRUE,names)
 )
)"),"Gallery 2 Lv 4")</f>
        <v>Gallery 2 Lv 4</v>
      </c>
      <c r="T179" s="26" t="str">
        <f t="array" ref="T179">_xlfn.XLOOKUP(
 A179,
 tblTargets[TargetID],
 tblTargets[CompletionMethod],
 ""
)</f>
        <v>PLAYER</v>
      </c>
      <c r="U179" s="84" t="b">
        <f>COUNTIF(tblCost[TargetID],A179)&gt;0</f>
        <v>1</v>
      </c>
      <c r="V179" s="85">
        <f t="array" ref="V179">IF(
 U179=FALSE,
 "",
 _xlfn.XLOOKUP(
  A179,
  tblCost[TargetID],
  tblCost[FundingPercent],
  ""
 )
)</f>
        <v>0</v>
      </c>
      <c r="W179" s="26">
        <f t="array" ref="W179">IF(
 U179=FALSE,
 "",
 _xlfn.XLOOKUP(
  A179,
  tblCost[TargetID],
  tblCost[RemainingRequirements],
  ""
 )
)</f>
        <v>3</v>
      </c>
      <c r="X179" s="45" t="b">
        <f t="array" ref="X179">IF(
 U179=FALSE,
 "N/A",
 _xlfn.XLOOKUP(
  A180,
  tblCost[TargetID],
  tblCost[TargetFunded],
  FALSE
 )
)</f>
        <v>0</v>
      </c>
      <c r="Y179" s="26" t="str">
        <f>IFERROR(__xludf.DUMMYFUNCTION("IFERROR(
 TEXTJOIN(
  "", "",
  TRUE,
  FILTER(
   'cost checklist'!$E$2:$E1000&amp;"": ""&amp;'cost checklist'!$G$2:$G1000,
   'cost checklist'!$B$2:$B1000=A179,
   'cost checklist'!$J$2:$J1000=FALSE
  )
 ),
 """"
)"),"hide: 9, horn: 3, teeth: 9")</f>
        <v>hide: 9, horn: 3, teeth: 9</v>
      </c>
      <c r="Z179" s="26" t="b">
        <f>IFERROR(__xludf.DUMMYFUNCTION("IF(
 AND(
  E179=""QUEST"",
  RIGHT(A179,9)="".accepted"",
  D179=TRUE
 ),
 XLOOKUP(
  REGEXREPLACE(A179,""\.accepted$"","""")&amp;"".finished"",
  $A$2:$A1000,
  $D$2:$D1000,
  TRUE
 )=FALSE,
 FALSE
)"),FALSE)</f>
        <v>0</v>
      </c>
      <c r="AA179" s="26" t="str">
        <f>IFERROR(__xludf.DUMMYFUNCTION("LET(
 id,A179,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0" ht="14.25" customHeight="1">
      <c r="A180" s="26" t="s">
        <v>612</v>
      </c>
      <c r="B180" s="26" t="str">
        <f t="array" ref="B180">_xlfn.XLOOKUP(
 A180,
 tblTargets[TargetID],
 tblTargets[DisplayName],
 ""
)</f>
        <v>Gallery 2 Lv 4</v>
      </c>
      <c r="C180" s="26" t="str">
        <f t="shared" si="1"/>
        <v>BLOCKED</v>
      </c>
      <c r="D180" s="26" t="b">
        <f>IFERROR(__xludf.DUMMYFUNCTION("LET(
 id,A180,
 IF(
  F180=""CHARACTER"",
  LET(
   base,REGEXREPLACE(id,""@\d+$"",""""),
   required,VALUE(REGEXEXTRACT(id,""@(\d+)$"")),
   current,XLOOKUP(
    base,
    tblPlayer[PlayerStateID],
    tblPlayer[Value],
    0
   ),
   current&gt;=required
 "&amp;" ),
  IF(
   T180=""AUTO"",
   L180=0,
   COUNTIFS(
    tblChecklist[TargetID],id,
    tblChecklist[PlayerCompleted],TRUE
   )&gt;0
  )
 )
)"),FALSE)</f>
        <v>0</v>
      </c>
      <c r="E180" s="26" t="str">
        <f t="array" ref="E180">_xlfn.XLOOKUP(
 A180,
 tblTargets[TargetID],
 tblTargets[TargetType],
 ""
)</f>
        <v>COLLECTION</v>
      </c>
      <c r="F180" s="26" t="str">
        <f t="array" ref="F180">_xlfn.XLOOKUP(
 A180,
 tblTargets[TargetID],
 tblTargets[StateType],
 ""
)</f>
        <v/>
      </c>
      <c r="G180" s="26">
        <f>LET(
 id,A180,
 depCount,COUNTIF(tblDependencies[TargetID],id),
 objCount,COUNTIF(tblQuestObjectives[QuestTargetID],id),
 depCount+objCount
)</f>
        <v>1</v>
      </c>
      <c r="H180" s="26">
        <f t="shared" si="2"/>
        <v>1</v>
      </c>
      <c r="I180" s="26">
        <f>IFERROR(__xludf.DUMMYFUNCTION("LET(
 id,A180,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0" s="26">
        <f t="shared" si="3"/>
        <v>0</v>
      </c>
      <c r="K180" s="26" t="b">
        <f t="shared" si="4"/>
        <v>0</v>
      </c>
      <c r="L180" s="26">
        <f t="shared" si="5"/>
        <v>1</v>
      </c>
      <c r="M180" s="26" t="str">
        <f>IFERROR(__xludf.DUMMYFUNCTION("LET(
 id,A180,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L180=0,
  """",
  IFERROR(INDEX(incomplete,1),"""")"&amp;"
 )
)"),"collection.gallery_2@3")</f>
        <v>collection.gallery_2@3</v>
      </c>
      <c r="N180" s="26" t="str">
        <f t="array" ref="N180">IF(
 M180="",
 "",
 _xlfn.XLOOKUP(
  M180,
  tblTargets[TargetID],
  tblTargets[DisplayName],
  M180
 )
)</f>
        <v>Gallery 2 Lv 3</v>
      </c>
      <c r="O180" s="26" t="str">
        <f>IFERROR(__xludf.DUMMYFUNCTION("SWITCH(
 E180,
 ""BUILDING"",XLOOKUP(A180,tblBuildings[BuildingID],tblBuildings[costtext],""""),
 ""TECH"",XLOOKUP(A180,tblTechnologies[TechnologyID],tblTechnologies[costtext],""""),
 ""QUEST"",XLOOKUP(
  REGEXREPLACE(A180,""\.[^.]+$"",""""),
  tblQuests["&amp;"QuestID],
  tblQuests[Costtext],
  """"
 ),
 ""CITADEL"",XLOOKUP(A180,tblCitadel[CitadelID],tblCitadel[costtext],""""),
 ""COLLECTION"",XLOOKUP(A180,tblCollections[CollectionID],tblCollections[costtext],""""),
 ""CRAFTIFACT"",XLOOKUP(A180,tblCraftifacts[C"&amp;"raftifactID],tblCraftifacts[costtext],""""),
 """"
)"),"12 hide,4 horn,12 teeth")</f>
        <v>12 hide,4 horn,12 teeth</v>
      </c>
      <c r="P180" s="26" t="str">
        <f t="shared" si="6"/>
        <v>BLOCKED</v>
      </c>
      <c r="Q180" s="26" t="str">
        <f t="shared" si="7"/>
        <v>BLOCKED</v>
      </c>
      <c r="R180" s="26" t="str">
        <f t="array" ref="R180">IFERROR(
 _xlfn.XLOOKUP(
  A180,
  tblChecklist[TargetID],
  tblChecklist[PlayerSort],
  ""
 ),
 ""
)</f>
        <v/>
      </c>
      <c r="S180" s="26" t="str">
        <f>IFERROR(__xludf.DUMMYFUNCTION("LET(
 id,A180,
 successorIDs,
  IFERROR(
   UNIQUE(
    FILTER(
     {
      Dependencies!$A$2:$A$1000;
      QuestObjectives!$A$2:$A$1000
     },
     {
      Dependencies!$B$2:$B$1000;
      QuestObjectives!$E$2:$E$1000
     }=id
    )
   ),
   """"
  )"&amp;",
 names,
  MAP(
   successorIDs,
   LAMBDA(s,
    IF(
     s="""",
     """",
     XLOOKUP(
      s,
      $A$2:$A$1000,
      $B$2:$B$1000,
      s
     )
    )
   )
  ),
 IF(
  successorIDs="""",
  """",
  TEXTJOIN("", "",TRUE,names)
 )
)"),"Gallery 2 Lv 5")</f>
        <v>Gallery 2 Lv 5</v>
      </c>
      <c r="T180" s="26" t="str">
        <f t="array" ref="T180">_xlfn.XLOOKUP(
 A180,
 tblTargets[TargetID],
 tblTargets[CompletionMethod],
 ""
)</f>
        <v>PLAYER</v>
      </c>
      <c r="U180" s="84" t="b">
        <f>COUNTIF(tblCost[TargetID],A180)&gt;0</f>
        <v>1</v>
      </c>
      <c r="V180" s="85">
        <f t="array" ref="V180">IF(
 U180=FALSE,
 "",
 _xlfn.XLOOKUP(
  A180,
  tblCost[TargetID],
  tblCost[FundingPercent],
  ""
 )
)</f>
        <v>0</v>
      </c>
      <c r="W180" s="26">
        <f t="array" ref="W180">IF(
 U180=FALSE,
 "",
 _xlfn.XLOOKUP(
  A180,
  tblCost[TargetID],
  tblCost[RemainingRequirements],
  ""
 )
)</f>
        <v>3</v>
      </c>
      <c r="X180" s="45" t="b">
        <f t="array" ref="X180">IF(
 U180=FALSE,
 "N/A",
 _xlfn.XLOOKUP(
  A181,
  tblCost[TargetID],
  tblCost[TargetFunded],
  FALSE
 )
)</f>
        <v>0</v>
      </c>
      <c r="Y180" s="26" t="str">
        <f>IFERROR(__xludf.DUMMYFUNCTION("IFERROR(
 TEXTJOIN(
  "", "",
  TRUE,
  FILTER(
   'cost checklist'!$E$2:$E1000&amp;"": ""&amp;'cost checklist'!$G$2:$G1000,
   'cost checklist'!$B$2:$B1000=A180,
   'cost checklist'!$J$2:$J1000=FALSE
  )
 ),
 """"
)"),"hide: 12, horn: 4, teeth: 12")</f>
        <v>hide: 12, horn: 4, teeth: 12</v>
      </c>
      <c r="Z180" s="26" t="b">
        <f>IFERROR(__xludf.DUMMYFUNCTION("IF(
 AND(
  E180=""QUEST"",
  RIGHT(A180,9)="".accepted"",
  D180=TRUE
 ),
 XLOOKUP(
  REGEXREPLACE(A180,""\.accepted$"","""")&amp;"".finished"",
  $A$2:$A1000,
  $D$2:$D1000,
  TRUE
 )=FALSE,
 FALSE
)"),FALSE)</f>
        <v>0</v>
      </c>
      <c r="AA180" s="26" t="str">
        <f>IFERROR(__xludf.DUMMYFUNCTION("LET(
 id,A180,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1" ht="14.25" customHeight="1">
      <c r="A181" s="26" t="s">
        <v>614</v>
      </c>
      <c r="B181" s="26" t="str">
        <f t="array" ref="B181">_xlfn.XLOOKUP(
 A181,
 tblTargets[TargetID],
 tblTargets[DisplayName],
 ""
)</f>
        <v>Gallery 2 Lv 5</v>
      </c>
      <c r="C181" s="26" t="str">
        <f t="shared" si="1"/>
        <v>BLOCKED</v>
      </c>
      <c r="D181" s="26" t="b">
        <f>IFERROR(__xludf.DUMMYFUNCTION("LET(
 id,A181,
 IF(
  F181=""CHARACTER"",
  LET(
   base,REGEXREPLACE(id,""@\d+$"",""""),
   required,VALUE(REGEXEXTRACT(id,""@(\d+)$"")),
   current,XLOOKUP(
    base,
    tblPlayer[PlayerStateID],
    tblPlayer[Value],
    0
   ),
   current&gt;=required
 "&amp;" ),
  IF(
   T181=""AUTO"",
   L181=0,
   COUNTIFS(
    tblChecklist[TargetID],id,
    tblChecklist[PlayerCompleted],TRUE
   )&gt;0
  )
 )
)"),FALSE)</f>
        <v>0</v>
      </c>
      <c r="E181" s="26" t="str">
        <f t="array" ref="E181">_xlfn.XLOOKUP(
 A181,
 tblTargets[TargetID],
 tblTargets[TargetType],
 ""
)</f>
        <v>COLLECTION</v>
      </c>
      <c r="F181" s="26" t="str">
        <f t="array" ref="F181">_xlfn.XLOOKUP(
 A181,
 tblTargets[TargetID],
 tblTargets[StateType],
 ""
)</f>
        <v/>
      </c>
      <c r="G181" s="26">
        <f>LET(
 id,A181,
 depCount,COUNTIF(tblDependencies[TargetID],id),
 objCount,COUNTIF(tblQuestObjectives[QuestTargetID],id),
 depCount+objCount
)</f>
        <v>1</v>
      </c>
      <c r="H181" s="26">
        <f t="shared" si="2"/>
        <v>1</v>
      </c>
      <c r="I181" s="26">
        <f>IFERROR(__xludf.DUMMYFUNCTION("LET(
 id,A181,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1" s="26">
        <f t="shared" si="3"/>
        <v>0</v>
      </c>
      <c r="K181" s="26" t="b">
        <f t="shared" si="4"/>
        <v>0</v>
      </c>
      <c r="L181" s="26">
        <f t="shared" si="5"/>
        <v>1</v>
      </c>
      <c r="M181" s="26" t="str">
        <f>IFERROR(__xludf.DUMMYFUNCTION("LET(
 id,A181,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L181=0,
  """",
  IFERROR(INDEX(incomplete,1),"""")"&amp;"
 )
)"),"collection.gallery_2@4")</f>
        <v>collection.gallery_2@4</v>
      </c>
      <c r="N181" s="26" t="str">
        <f t="array" ref="N181">IF(
 M181="",
 "",
 _xlfn.XLOOKUP(
  M181,
  tblTargets[TargetID],
  tblTargets[DisplayName],
  M181
 )
)</f>
        <v>Gallery 2 Lv 4</v>
      </c>
      <c r="O181" s="26" t="str">
        <f>IFERROR(__xludf.DUMMYFUNCTION("SWITCH(
 E181,
 ""BUILDING"",XLOOKUP(A181,tblBuildings[BuildingID],tblBuildings[costtext],""""),
 ""TECH"",XLOOKUP(A181,tblTechnologies[TechnologyID],tblTechnologies[costtext],""""),
 ""QUEST"",XLOOKUP(
  REGEXREPLACE(A181,""\.[^.]+$"",""""),
  tblQuests["&amp;"QuestID],
  tblQuests[Costtext],
  """"
 ),
 ""CITADEL"",XLOOKUP(A181,tblCitadel[CitadelID],tblCitadel[costtext],""""),
 ""COLLECTION"",XLOOKUP(A181,tblCollections[CollectionID],tblCollections[costtext],""""),
 ""CRAFTIFACT"",XLOOKUP(A181,tblCraftifacts[C"&amp;"raftifactID],tblCraftifacts[costtext],""""),
 """"
)"),"15 hide,5 horn,15 teeth")</f>
        <v>15 hide,5 horn,15 teeth</v>
      </c>
      <c r="P181" s="26" t="str">
        <f t="shared" si="6"/>
        <v>BLOCKED</v>
      </c>
      <c r="Q181" s="26" t="str">
        <f t="shared" si="7"/>
        <v>BLOCKED</v>
      </c>
      <c r="R181" s="26" t="str">
        <f t="array" ref="R181">IFERROR(
 _xlfn.XLOOKUP(
  A181,
  tblChecklist[TargetID],
  tblChecklist[PlayerSort],
  ""
 ),
 ""
)</f>
        <v/>
      </c>
      <c r="S181" s="26" t="str">
        <f>IFERROR(__xludf.DUMMYFUNCTION("LET(
 id,A181,
 successorIDs,
  IFERROR(
   UNIQUE(
    FILTER(
     {
      Dependencies!$A$2:$A$1000;
      QuestObjectives!$A$2:$A$1000
     },
     {
      Dependencies!$B$2:$B$1000;
      QuestObjectives!$E$2:$E$1000
     }=id
    )
   ),
   """"
  )"&amp;",
 names,
  MAP(
   successorIDs,
   LAMBDA(s,
    IF(
     s="""",
     """",
     XLOOKUP(
      s,
      $A$2:$A$1000,
      $B$2:$B$1000,
      s
     )
    )
   )
  ),
 IF(
  successorIDs="""",
  """",
  TEXTJOIN("", "",TRUE,names)
 )
)"),"")</f>
        <v/>
      </c>
      <c r="T181" s="26" t="str">
        <f t="array" ref="T181">_xlfn.XLOOKUP(
 A181,
 tblTargets[TargetID],
 tblTargets[CompletionMethod],
 ""
)</f>
        <v>PLAYER</v>
      </c>
      <c r="U181" s="84" t="b">
        <f>COUNTIF(tblCost[TargetID],A181)&gt;0</f>
        <v>1</v>
      </c>
      <c r="V181" s="85">
        <f t="array" ref="V181">IF(
 U181=FALSE,
 "",
 _xlfn.XLOOKUP(
  A181,
  tblCost[TargetID],
  tblCost[FundingPercent],
  ""
 )
)</f>
        <v>0</v>
      </c>
      <c r="W181" s="26">
        <f t="array" ref="W181">IF(
 U181=FALSE,
 "",
 _xlfn.XLOOKUP(
  A181,
  tblCost[TargetID],
  tblCost[RemainingRequirements],
  ""
 )
)</f>
        <v>3</v>
      </c>
      <c r="X181" s="45" t="b">
        <f t="array" ref="X181">IF(
 U181=FALSE,
 "N/A",
 _xlfn.XLOOKUP(
  A182,
  tblCost[TargetID],
  tblCost[TargetFunded],
  FALSE
 )
)</f>
        <v>0</v>
      </c>
      <c r="Y181" s="26" t="str">
        <f>IFERROR(__xludf.DUMMYFUNCTION("IFERROR(
 TEXTJOIN(
  "", "",
  TRUE,
  FILTER(
   'cost checklist'!$E$2:$E1000&amp;"": ""&amp;'cost checklist'!$G$2:$G1000,
   'cost checklist'!$B$2:$B1000=A181,
   'cost checklist'!$J$2:$J1000=FALSE
  )
 ),
 """"
)"),"hide: 15, horn: 5, teeth: 15")</f>
        <v>hide: 15, horn: 5, teeth: 15</v>
      </c>
      <c r="Z181" s="26" t="b">
        <f>IFERROR(__xludf.DUMMYFUNCTION("IF(
 AND(
  E181=""QUEST"",
  RIGHT(A181,9)="".accepted"",
  D181=TRUE
 ),
 XLOOKUP(
  REGEXREPLACE(A181,""\.accepted$"","""")&amp;"".finished"",
  $A$2:$A1000,
  $D$2:$D1000,
  TRUE
 )=FALSE,
 FALSE
)"),FALSE)</f>
        <v>0</v>
      </c>
      <c r="AA181" s="26" t="str">
        <f>IFERROR(__xludf.DUMMYFUNCTION("LET(
 id,A181,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2" ht="14.25" customHeight="1">
      <c r="A182" s="26" t="s">
        <v>616</v>
      </c>
      <c r="B182" s="26" t="str">
        <f t="array" ref="B182">_xlfn.XLOOKUP(
 A182,
 tblTargets[TargetID],
 tblTargets[DisplayName],
 ""
)</f>
        <v>Gallery 3 Lv 1</v>
      </c>
      <c r="C182" s="26" t="str">
        <f t="shared" si="1"/>
        <v>BLOCKED</v>
      </c>
      <c r="D182" s="26" t="b">
        <f>IFERROR(__xludf.DUMMYFUNCTION("LET(
 id,A182,
 IF(
  F182=""CHARACTER"",
  LET(
   base,REGEXREPLACE(id,""@\d+$"",""""),
   required,VALUE(REGEXEXTRACT(id,""@(\d+)$"")),
   current,XLOOKUP(
    base,
    tblPlayer[PlayerStateID],
    tblPlayer[Value],
    0
   ),
   current&gt;=required
 "&amp;" ),
  IF(
   T182=""AUTO"",
   L182=0,
   COUNTIFS(
    tblChecklist[TargetID],id,
    tblChecklist[PlayerCompleted],TRUE
   )&gt;0
  )
 )
)"),FALSE)</f>
        <v>0</v>
      </c>
      <c r="E182" s="26" t="str">
        <f t="array" ref="E182">_xlfn.XLOOKUP(
 A182,
 tblTargets[TargetID],
 tblTargets[TargetType],
 ""
)</f>
        <v>COLLECTION</v>
      </c>
      <c r="F182" s="26" t="str">
        <f t="array" ref="F182">_xlfn.XLOOKUP(
 A182,
 tblTargets[TargetID],
 tblTargets[StateType],
 ""
)</f>
        <v/>
      </c>
      <c r="G182" s="26">
        <f>LET(
 id,A182,
 depCount,COUNTIF(tblDependencies[TargetID],id),
 objCount,COUNTIF(tblQuestObjectives[QuestTargetID],id),
 depCount+objCount
)</f>
        <v>2</v>
      </c>
      <c r="H182" s="26">
        <f t="shared" si="2"/>
        <v>2</v>
      </c>
      <c r="I182" s="26">
        <f>IFERROR(__xludf.DUMMYFUNCTION("LET(
 id,A182,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2" s="26">
        <f t="shared" si="3"/>
        <v>0</v>
      </c>
      <c r="K182" s="26" t="b">
        <f t="shared" si="4"/>
        <v>0</v>
      </c>
      <c r="L182" s="26">
        <f t="shared" si="5"/>
        <v>2</v>
      </c>
      <c r="M182" s="26" t="str">
        <f>IFERROR(__xludf.DUMMYFUNCTION("LET(
 id,A182,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L182=0,
  """",
  IFERROR(INDEX(incomplete,1),"""")"&amp;"
 )
)"),"citadel.gallery")</f>
        <v>citadel.gallery</v>
      </c>
      <c r="N182" s="26" t="str">
        <f t="array" ref="N182">IF(
 M182="",
 "",
 _xlfn.XLOOKUP(
  M182,
  tblTargets[TargetID],
  tblTargets[DisplayName],
  M182
 )
)</f>
        <v>Gallery</v>
      </c>
      <c r="O182" s="26" t="str">
        <f>IFERROR(__xludf.DUMMYFUNCTION("SWITCH(
 E182,
 ""BUILDING"",XLOOKUP(A182,tblBuildings[BuildingID],tblBuildings[costtext],""""),
 ""TECH"",XLOOKUP(A182,tblTechnologies[TechnologyID],tblTechnologies[costtext],""""),
 ""QUEST"",XLOOKUP(
  REGEXREPLACE(A182,""\.[^.]+$"",""""),
  tblQuests["&amp;"QuestID],
  tblQuests[Costtext],
  """"
 ),
 ""CITADEL"",XLOOKUP(A182,tblCitadel[CitadelID],tblCitadel[costtext],""""),
 ""COLLECTION"",XLOOKUP(A182,tblCollections[CollectionID],tblCollections[costtext],""""),
 ""CRAFTIFACT"",XLOOKUP(A182,tblCraftifacts[C"&amp;"raftifactID],tblCraftifacts[costtext],""""),
 """"
)"),"5 bluecrystal,5 greencrystal,5 quartz,5 redcrystal,5 violetcrystal")</f>
        <v>5 bluecrystal,5 greencrystal,5 quartz,5 redcrystal,5 violetcrystal</v>
      </c>
      <c r="P182" s="26" t="str">
        <f t="shared" si="6"/>
        <v>BLOCKED</v>
      </c>
      <c r="Q182" s="26" t="str">
        <f t="shared" si="7"/>
        <v>BLOCKED</v>
      </c>
      <c r="R182" s="26" t="str">
        <f t="array" ref="R182">IFERROR(
 _xlfn.XLOOKUP(
  A182,
  tblChecklist[TargetID],
  tblChecklist[PlayerSort],
  ""
 ),
 ""
)</f>
        <v/>
      </c>
      <c r="S182" s="26" t="str">
        <f>IFERROR(__xludf.DUMMYFUNCTION("LET(
 id,A182,
 successorIDs,
  IFERROR(
   UNIQUE(
    FILTER(
     {
      Dependencies!$A$2:$A$1000;
      QuestObjectives!$A$2:$A$1000
     },
     {
      Dependencies!$B$2:$B$1000;
      QuestObjectives!$E$2:$E$1000
     }=id
    )
   ),
   """"
  )"&amp;",
 names,
  MAP(
   successorIDs,
   LAMBDA(s,
    IF(
     s="""",
     """",
     XLOOKUP(
      s,
      $A$2:$A$1000,
      $B$2:$B$1000,
      s
     )
    )
   )
  ),
 IF(
  successorIDs="""",
  """",
  TEXTJOIN("", "",TRUE,names)
 )
)"),"Gallery 3 Lv 2")</f>
        <v>Gallery 3 Lv 2</v>
      </c>
      <c r="T182" s="26" t="str">
        <f t="array" ref="T182">_xlfn.XLOOKUP(
 A182,
 tblTargets[TargetID],
 tblTargets[CompletionMethod],
 ""
)</f>
        <v>PLAYER</v>
      </c>
      <c r="U182" s="84" t="b">
        <f>COUNTIF(tblCost[TargetID],A182)&gt;0</f>
        <v>1</v>
      </c>
      <c r="V182" s="85">
        <f t="array" ref="V182">IF(
 U182=FALSE,
 "",
 _xlfn.XLOOKUP(
  A182,
  tblCost[TargetID],
  tblCost[FundingPercent],
  ""
 )
)</f>
        <v>0</v>
      </c>
      <c r="W182" s="26">
        <f t="array" ref="W182">IF(
 U182=FALSE,
 "",
 _xlfn.XLOOKUP(
  A182,
  tblCost[TargetID],
  tblCost[RemainingRequirements],
  ""
 )
)</f>
        <v>5</v>
      </c>
      <c r="X182" s="45" t="b">
        <f t="array" ref="X182">IF(
 U182=FALSE,
 "N/A",
 _xlfn.XLOOKUP(
  A183,
  tblCost[TargetID],
  tblCost[TargetFunded],
  FALSE
 )
)</f>
        <v>0</v>
      </c>
      <c r="Y182" s="26" t="str">
        <f>IFERROR(__xludf.DUMMYFUNCTION("IFERROR(
 TEXTJOIN(
  "", "",
  TRUE,
  FILTER(
   'cost checklist'!$E$2:$E1000&amp;"": ""&amp;'cost checklist'!$G$2:$G1000,
   'cost checklist'!$B$2:$B1000=A182,
   'cost checklist'!$J$2:$J1000=FALSE
  )
 ),
 """"
)"),"bluecrystal: 5, greencrystal: 5, quartz: 5, redcrystal: 5, violetcrystal: 5")</f>
        <v>bluecrystal: 5, greencrystal: 5, quartz: 5, redcrystal: 5, violetcrystal: 5</v>
      </c>
      <c r="Z182" s="26" t="b">
        <f>IFERROR(__xludf.DUMMYFUNCTION("IF(
 AND(
  E182=""QUEST"",
  RIGHT(A182,9)="".accepted"",
  D182=TRUE
 ),
 XLOOKUP(
  REGEXREPLACE(A182,""\.accepted$"","""")&amp;"".finished"",
  $A$2:$A1000,
  $D$2:$D1000,
  TRUE
 )=FALSE,
 FALSE
)"),FALSE)</f>
        <v>0</v>
      </c>
      <c r="AA182" s="26" t="str">
        <f>IFERROR(__xludf.DUMMYFUNCTION("LET(
 id,A182,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3" ht="14.25" customHeight="1">
      <c r="A183" s="26" t="s">
        <v>618</v>
      </c>
      <c r="B183" s="26" t="str">
        <f t="array" ref="B183">_xlfn.XLOOKUP(
 A183,
 tblTargets[TargetID],
 tblTargets[DisplayName],
 ""
)</f>
        <v>Gallery 3 Lv 2</v>
      </c>
      <c r="C183" s="26" t="str">
        <f t="shared" si="1"/>
        <v>BLOCKED</v>
      </c>
      <c r="D183" s="26" t="b">
        <f>IFERROR(__xludf.DUMMYFUNCTION("LET(
 id,A183,
 IF(
  F183=""CHARACTER"",
  LET(
   base,REGEXREPLACE(id,""@\d+$"",""""),
   required,VALUE(REGEXEXTRACT(id,""@(\d+)$"")),
   current,XLOOKUP(
    base,
    tblPlayer[PlayerStateID],
    tblPlayer[Value],
    0
   ),
   current&gt;=required
 "&amp;" ),
  IF(
   T183=""AUTO"",
   L183=0,
   COUNTIFS(
    tblChecklist[TargetID],id,
    tblChecklist[PlayerCompleted],TRUE
   )&gt;0
  )
 )
)"),FALSE)</f>
        <v>0</v>
      </c>
      <c r="E183" s="26" t="str">
        <f t="array" ref="E183">_xlfn.XLOOKUP(
 A183,
 tblTargets[TargetID],
 tblTargets[TargetType],
 ""
)</f>
        <v>COLLECTION</v>
      </c>
      <c r="F183" s="26" t="str">
        <f t="array" ref="F183">_xlfn.XLOOKUP(
 A183,
 tblTargets[TargetID],
 tblTargets[StateType],
 ""
)</f>
        <v/>
      </c>
      <c r="G183" s="26">
        <f>LET(
 id,A183,
 depCount,COUNTIF(tblDependencies[TargetID],id),
 objCount,COUNTIF(tblQuestObjectives[QuestTargetID],id),
 depCount+objCount
)</f>
        <v>1</v>
      </c>
      <c r="H183" s="26">
        <f t="shared" si="2"/>
        <v>1</v>
      </c>
      <c r="I183" s="26">
        <f>IFERROR(__xludf.DUMMYFUNCTION("LET(
 id,A183,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3" s="26">
        <f t="shared" si="3"/>
        <v>0</v>
      </c>
      <c r="K183" s="26" t="b">
        <f t="shared" si="4"/>
        <v>0</v>
      </c>
      <c r="L183" s="26">
        <f t="shared" si="5"/>
        <v>1</v>
      </c>
      <c r="M183" s="26" t="str">
        <f>IFERROR(__xludf.DUMMYFUNCTION("LET(
 id,A183,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L183=0,
  """",
  IFERROR(INDEX(incomplete,1),"""")"&amp;"
 )
)"),"collection.gallery_3@1")</f>
        <v>collection.gallery_3@1</v>
      </c>
      <c r="N183" s="26" t="str">
        <f t="array" ref="N183">IF(
 M183="",
 "",
 _xlfn.XLOOKUP(
  M183,
  tblTargets[TargetID],
  tblTargets[DisplayName],
  M183
 )
)</f>
        <v>Gallery 3 Lv 1</v>
      </c>
      <c r="O183" s="26" t="str">
        <f>IFERROR(__xludf.DUMMYFUNCTION("SWITCH(
 E183,
 ""BUILDING"",XLOOKUP(A183,tblBuildings[BuildingID],tblBuildings[costtext],""""),
 ""TECH"",XLOOKUP(A183,tblTechnologies[TechnologyID],tblTechnologies[costtext],""""),
 ""QUEST"",XLOOKUP(
  REGEXREPLACE(A183,""\.[^.]+$"",""""),
  tblQuests["&amp;"QuestID],
  tblQuests[Costtext],
  """"
 ),
 ""CITADEL"",XLOOKUP(A183,tblCitadel[CitadelID],tblCitadel[costtext],""""),
 ""COLLECTION"",XLOOKUP(A183,tblCollections[CollectionID],tblCollections[costtext],""""),
 ""CRAFTIFACT"",XLOOKUP(A183,tblCraftifacts[C"&amp;"raftifactID],tblCraftifacts[costtext],""""),
 """"
)"),"10 bluecrystal,10 greencrystal,10 quartz,10 redcrystal,10 violetcrystal")</f>
        <v>10 bluecrystal,10 greencrystal,10 quartz,10 redcrystal,10 violetcrystal</v>
      </c>
      <c r="P183" s="26" t="str">
        <f t="shared" si="6"/>
        <v>BLOCKED</v>
      </c>
      <c r="Q183" s="26" t="str">
        <f t="shared" si="7"/>
        <v>BLOCKED</v>
      </c>
      <c r="R183" s="26" t="str">
        <f t="array" ref="R183">IFERROR(
 _xlfn.XLOOKUP(
  A183,
  tblChecklist[TargetID],
  tblChecklist[PlayerSort],
  ""
 ),
 ""
)</f>
        <v/>
      </c>
      <c r="S183" s="26" t="str">
        <f>IFERROR(__xludf.DUMMYFUNCTION("LET(
 id,A183,
 successorIDs,
  IFERROR(
   UNIQUE(
    FILTER(
     {
      Dependencies!$A$2:$A$1000;
      QuestObjectives!$A$2:$A$1000
     },
     {
      Dependencies!$B$2:$B$1000;
      QuestObjectives!$E$2:$E$1000
     }=id
    )
   ),
   """"
  )"&amp;",
 names,
  MAP(
   successorIDs,
   LAMBDA(s,
    IF(
     s="""",
     """",
     XLOOKUP(
      s,
      $A$2:$A$1000,
      $B$2:$B$1000,
      s
     )
    )
   )
  ),
 IF(
  successorIDs="""",
  """",
  TEXTJOIN("", "",TRUE,names)
 )
)"),"Gallery 3 Lv 3")</f>
        <v>Gallery 3 Lv 3</v>
      </c>
      <c r="T183" s="26" t="str">
        <f t="array" ref="T183">_xlfn.XLOOKUP(
 A183,
 tblTargets[TargetID],
 tblTargets[CompletionMethod],
 ""
)</f>
        <v>PLAYER</v>
      </c>
      <c r="U183" s="84" t="b">
        <f>COUNTIF(tblCost[TargetID],A183)&gt;0</f>
        <v>1</v>
      </c>
      <c r="V183" s="85">
        <f t="array" ref="V183">IF(
 U183=FALSE,
 "",
 _xlfn.XLOOKUP(
  A183,
  tblCost[TargetID],
  tblCost[FundingPercent],
  ""
 )
)</f>
        <v>0</v>
      </c>
      <c r="W183" s="26">
        <f t="array" ref="W183">IF(
 U183=FALSE,
 "",
 _xlfn.XLOOKUP(
  A183,
  tblCost[TargetID],
  tblCost[RemainingRequirements],
  ""
 )
)</f>
        <v>5</v>
      </c>
      <c r="X183" s="45" t="b">
        <f t="array" ref="X183">IF(
 U183=FALSE,
 "N/A",
 _xlfn.XLOOKUP(
  A184,
  tblCost[TargetID],
  tblCost[TargetFunded],
  FALSE
 )
)</f>
        <v>0</v>
      </c>
      <c r="Y183" s="26" t="str">
        <f>IFERROR(__xludf.DUMMYFUNCTION("IFERROR(
 TEXTJOIN(
  "", "",
  TRUE,
  FILTER(
   'cost checklist'!$E$2:$E1000&amp;"": ""&amp;'cost checklist'!$G$2:$G1000,
   'cost checklist'!$B$2:$B1000=A183,
   'cost checklist'!$J$2:$J1000=FALSE
  )
 ),
 """"
)"),"bluecrystal: 10, greencrystal: 10, quartz: 10, redcrystal: 10, violetcrystal: 10")</f>
        <v>bluecrystal: 10, greencrystal: 10, quartz: 10, redcrystal: 10, violetcrystal: 10</v>
      </c>
      <c r="Z183" s="26" t="b">
        <f>IFERROR(__xludf.DUMMYFUNCTION("IF(
 AND(
  E183=""QUEST"",
  RIGHT(A183,9)="".accepted"",
  D183=TRUE
 ),
 XLOOKUP(
  REGEXREPLACE(A183,""\.accepted$"","""")&amp;"".finished"",
  $A$2:$A1000,
  $D$2:$D1000,
  TRUE
 )=FALSE,
 FALSE
)"),FALSE)</f>
        <v>0</v>
      </c>
      <c r="AA183" s="26" t="str">
        <f>IFERROR(__xludf.DUMMYFUNCTION("LET(
 id,A183,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4" ht="14.25" customHeight="1">
      <c r="A184" s="26" t="s">
        <v>627</v>
      </c>
      <c r="B184" s="26" t="str">
        <f t="array" ref="B184">_xlfn.XLOOKUP(
 A184,
 tblTargets[TargetID],
 tblTargets[DisplayName],
 ""
)</f>
        <v>Gallery 3 Lv 3</v>
      </c>
      <c r="C184" s="26" t="str">
        <f t="shared" si="1"/>
        <v>BLOCKED</v>
      </c>
      <c r="D184" s="26" t="b">
        <f>IFERROR(__xludf.DUMMYFUNCTION("LET(
 id,A184,
 IF(
  F184=""CHARACTER"",
  LET(
   base,REGEXREPLACE(id,""@\d+$"",""""),
   required,VALUE(REGEXEXTRACT(id,""@(\d+)$"")),
   current,XLOOKUP(
    base,
    tblPlayer[PlayerStateID],
    tblPlayer[Value],
    0
   ),
   current&gt;=required
 "&amp;" ),
  IF(
   T184=""AUTO"",
   L184=0,
   COUNTIFS(
    tblChecklist[TargetID],id,
    tblChecklist[PlayerCompleted],TRUE
   )&gt;0
  )
 )
)"),FALSE)</f>
        <v>0</v>
      </c>
      <c r="E184" s="26" t="str">
        <f t="array" ref="E184">_xlfn.XLOOKUP(
 A184,
 tblTargets[TargetID],
 tblTargets[TargetType],
 ""
)</f>
        <v>COLLECTION</v>
      </c>
      <c r="F184" s="26" t="str">
        <f t="array" ref="F184">_xlfn.XLOOKUP(
 A184,
 tblTargets[TargetID],
 tblTargets[StateType],
 ""
)</f>
        <v/>
      </c>
      <c r="G184" s="26">
        <f>LET(
 id,A184,
 depCount,COUNTIF(tblDependencies[TargetID],id),
 objCount,COUNTIF(tblQuestObjectives[QuestTargetID],id),
 depCount+objCount
)</f>
        <v>1</v>
      </c>
      <c r="H184" s="26">
        <f t="shared" si="2"/>
        <v>1</v>
      </c>
      <c r="I184" s="26">
        <f>IFERROR(__xludf.DUMMYFUNCTION("LET(
 id,A184,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4" s="26">
        <f t="shared" si="3"/>
        <v>0</v>
      </c>
      <c r="K184" s="26" t="b">
        <f t="shared" si="4"/>
        <v>0</v>
      </c>
      <c r="L184" s="26">
        <f t="shared" si="5"/>
        <v>1</v>
      </c>
      <c r="M184" s="26" t="str">
        <f>IFERROR(__xludf.DUMMYFUNCTION("LET(
 id,A184,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L184=0,
  """",
  IFERROR(INDEX(incomplete,1),"""")"&amp;"
 )
)"),"collection.gallery_3@2")</f>
        <v>collection.gallery_3@2</v>
      </c>
      <c r="N184" s="26" t="str">
        <f t="array" ref="N184">IF(
 M184="",
 "",
 _xlfn.XLOOKUP(
  M184,
  tblTargets[TargetID],
  tblTargets[DisplayName],
  M184
 )
)</f>
        <v>Gallery 3 Lv 2</v>
      </c>
      <c r="O184" s="26" t="str">
        <f>IFERROR(__xludf.DUMMYFUNCTION("SWITCH(
 E184,
 ""BUILDING"",XLOOKUP(A184,tblBuildings[BuildingID],tblBuildings[costtext],""""),
 ""TECH"",XLOOKUP(A184,tblTechnologies[TechnologyID],tblTechnologies[costtext],""""),
 ""QUEST"",XLOOKUP(
  REGEXREPLACE(A184,""\.[^.]+$"",""""),
  tblQuests["&amp;"QuestID],
  tblQuests[Costtext],
  """"
 ),
 ""CITADEL"",XLOOKUP(A184,tblCitadel[CitadelID],tblCitadel[costtext],""""),
 ""COLLECTION"",XLOOKUP(A184,tblCollections[CollectionID],tblCollections[costtext],""""),
 ""CRAFTIFACT"",XLOOKUP(A184,tblCraftifacts[C"&amp;"raftifactID],tblCraftifacts[costtext],""""),
 """"
)"),"15 bluecrystal,15 greencrystal,15 quartz,15 redcrystal,15 violetcrystal")</f>
        <v>15 bluecrystal,15 greencrystal,15 quartz,15 redcrystal,15 violetcrystal</v>
      </c>
      <c r="P184" s="26" t="str">
        <f t="shared" si="6"/>
        <v>BLOCKED</v>
      </c>
      <c r="Q184" s="26" t="str">
        <f t="shared" si="7"/>
        <v>BLOCKED</v>
      </c>
      <c r="R184" s="26" t="str">
        <f t="array" ref="R184">IFERROR(
 _xlfn.XLOOKUP(
  A184,
  tblChecklist[TargetID],
  tblChecklist[PlayerSort],
  ""
 ),
 ""
)</f>
        <v/>
      </c>
      <c r="S184" s="26" t="str">
        <f>IFERROR(__xludf.DUMMYFUNCTION("LET(
 id,A184,
 successorIDs,
  IFERROR(
   UNIQUE(
    FILTER(
     {
      Dependencies!$A$2:$A$1000;
      QuestObjectives!$A$2:$A$1000
     },
     {
      Dependencies!$B$2:$B$1000;
      QuestObjectives!$E$2:$E$1000
     }=id
    )
   ),
   """"
  )"&amp;",
 names,
  MAP(
   successorIDs,
   LAMBDA(s,
    IF(
     s="""",
     """",
     XLOOKUP(
      s,
      $A$2:$A$1000,
      $B$2:$B$1000,
      s
     )
    )
   )
  ),
 IF(
  successorIDs="""",
  """",
  TEXTJOIN("", "",TRUE,names)
 )
)"),"Gallery 3 Lv 4")</f>
        <v>Gallery 3 Lv 4</v>
      </c>
      <c r="T184" s="26" t="str">
        <f t="array" ref="T184">_xlfn.XLOOKUP(
 A184,
 tblTargets[TargetID],
 tblTargets[CompletionMethod],
 ""
)</f>
        <v>PLAYER</v>
      </c>
      <c r="U184" s="84" t="b">
        <f>COUNTIF(tblCost[TargetID],A184)&gt;0</f>
        <v>1</v>
      </c>
      <c r="V184" s="85">
        <f t="array" ref="V184">IF(
 U184=FALSE,
 "",
 _xlfn.XLOOKUP(
  A184,
  tblCost[TargetID],
  tblCost[FundingPercent],
  ""
 )
)</f>
        <v>0</v>
      </c>
      <c r="W184" s="26">
        <f t="array" ref="W184">IF(
 U184=FALSE,
 "",
 _xlfn.XLOOKUP(
  A184,
  tblCost[TargetID],
  tblCost[RemainingRequirements],
  ""
 )
)</f>
        <v>5</v>
      </c>
      <c r="X184" s="45" t="b">
        <f t="array" ref="X184">IF(
 U184=FALSE,
 "N/A",
 _xlfn.XLOOKUP(
  A185,
  tblCost[TargetID],
  tblCost[TargetFunded],
  FALSE
 )
)</f>
        <v>0</v>
      </c>
      <c r="Y184" s="26" t="str">
        <f>IFERROR(__xludf.DUMMYFUNCTION("IFERROR(
 TEXTJOIN(
  "", "",
  TRUE,
  FILTER(
   'cost checklist'!$E$2:$E1000&amp;"": ""&amp;'cost checklist'!$G$2:$G1000,
   'cost checklist'!$B$2:$B1000=A184,
   'cost checklist'!$J$2:$J1000=FALSE
  )
 ),
 """"
)"),"bluecrystal: 15, greencrystal: 15, quartz: 15, redcrystal: 15, violetcrystal: 15")</f>
        <v>bluecrystal: 15, greencrystal: 15, quartz: 15, redcrystal: 15, violetcrystal: 15</v>
      </c>
      <c r="Z184" s="26" t="b">
        <f>IFERROR(__xludf.DUMMYFUNCTION("IF(
 AND(
  E184=""QUEST"",
  RIGHT(A184,9)="".accepted"",
  D184=TRUE
 ),
 XLOOKUP(
  REGEXREPLACE(A184,""\.accepted$"","""")&amp;"".finished"",
  $A$2:$A1000,
  $D$2:$D1000,
  TRUE
 )=FALSE,
 FALSE
)"),FALSE)</f>
        <v>0</v>
      </c>
      <c r="AA184" s="26" t="str">
        <f>IFERROR(__xludf.DUMMYFUNCTION("LET(
 id,A184,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5" ht="14.25" customHeight="1">
      <c r="A185" s="26" t="s">
        <v>631</v>
      </c>
      <c r="B185" s="26" t="str">
        <f t="array" ref="B185">_xlfn.XLOOKUP(
 A185,
 tblTargets[TargetID],
 tblTargets[DisplayName],
 ""
)</f>
        <v>Gallery 3 Lv 4</v>
      </c>
      <c r="C185" s="26" t="str">
        <f t="shared" si="1"/>
        <v>BLOCKED</v>
      </c>
      <c r="D185" s="26" t="b">
        <f>IFERROR(__xludf.DUMMYFUNCTION("LET(
 id,A185,
 IF(
  F185=""CHARACTER"",
  LET(
   base,REGEXREPLACE(id,""@\d+$"",""""),
   required,VALUE(REGEXEXTRACT(id,""@(\d+)$"")),
   current,XLOOKUP(
    base,
    tblPlayer[PlayerStateID],
    tblPlayer[Value],
    0
   ),
   current&gt;=required
 "&amp;" ),
  IF(
   T185=""AUTO"",
   L185=0,
   COUNTIFS(
    tblChecklist[TargetID],id,
    tblChecklist[PlayerCompleted],TRUE
   )&gt;0
  )
 )
)"),FALSE)</f>
        <v>0</v>
      </c>
      <c r="E185" s="26" t="str">
        <f t="array" ref="E185">_xlfn.XLOOKUP(
 A185,
 tblTargets[TargetID],
 tblTargets[TargetType],
 ""
)</f>
        <v>COLLECTION</v>
      </c>
      <c r="F185" s="26" t="str">
        <f t="array" ref="F185">_xlfn.XLOOKUP(
 A185,
 tblTargets[TargetID],
 tblTargets[StateType],
 ""
)</f>
        <v/>
      </c>
      <c r="G185" s="26">
        <f>LET(
 id,A185,
 depCount,COUNTIF(tblDependencies[TargetID],id),
 objCount,COUNTIF(tblQuestObjectives[QuestTargetID],id),
 depCount+objCount
)</f>
        <v>1</v>
      </c>
      <c r="H185" s="26">
        <f t="shared" si="2"/>
        <v>1</v>
      </c>
      <c r="I185" s="26">
        <f>IFERROR(__xludf.DUMMYFUNCTION("LET(
 id,A185,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5" s="26">
        <f t="shared" si="3"/>
        <v>0</v>
      </c>
      <c r="K185" s="26" t="b">
        <f t="shared" si="4"/>
        <v>0</v>
      </c>
      <c r="L185" s="26">
        <f t="shared" si="5"/>
        <v>1</v>
      </c>
      <c r="M185" s="26" t="str">
        <f>IFERROR(__xludf.DUMMYFUNCTION("LET(
 id,A185,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L185=0,
  """",
  IFERROR(INDEX(incomplete,1),"""")"&amp;"
 )
)"),"collection.gallery_3@3")</f>
        <v>collection.gallery_3@3</v>
      </c>
      <c r="N185" s="26" t="str">
        <f t="array" ref="N185">IF(
 M185="",
 "",
 _xlfn.XLOOKUP(
  M185,
  tblTargets[TargetID],
  tblTargets[DisplayName],
  M185
 )
)</f>
        <v>Gallery 3 Lv 3</v>
      </c>
      <c r="O185" s="26" t="str">
        <f>IFERROR(__xludf.DUMMYFUNCTION("SWITCH(
 E185,
 ""BUILDING"",XLOOKUP(A185,tblBuildings[BuildingID],tblBuildings[costtext],""""),
 ""TECH"",XLOOKUP(A185,tblTechnologies[TechnologyID],tblTechnologies[costtext],""""),
 ""QUEST"",XLOOKUP(
  REGEXREPLACE(A185,""\.[^.]+$"",""""),
  tblQuests["&amp;"QuestID],
  tblQuests[Costtext],
  """"
 ),
 ""CITADEL"",XLOOKUP(A185,tblCitadel[CitadelID],tblCitadel[costtext],""""),
 ""COLLECTION"",XLOOKUP(A185,tblCollections[CollectionID],tblCollections[costtext],""""),
 ""CRAFTIFACT"",XLOOKUP(A185,tblCraftifacts[C"&amp;"raftifactID],tblCraftifacts[costtext],""""),
 """"
)"),"20 bluecrystal,20 greencrystal,20 quartz,20 redcrystal,20 violetcrystal")</f>
        <v>20 bluecrystal,20 greencrystal,20 quartz,20 redcrystal,20 violetcrystal</v>
      </c>
      <c r="P185" s="26" t="str">
        <f t="shared" si="6"/>
        <v>BLOCKED</v>
      </c>
      <c r="Q185" s="26" t="str">
        <f t="shared" si="7"/>
        <v>BLOCKED</v>
      </c>
      <c r="R185" s="26" t="str">
        <f t="array" ref="R185">IFERROR(
 _xlfn.XLOOKUP(
  A185,
  tblChecklist[TargetID],
  tblChecklist[PlayerSort],
  ""
 ),
 ""
)</f>
        <v/>
      </c>
      <c r="S185" s="26" t="str">
        <f>IFERROR(__xludf.DUMMYFUNCTION("LET(
 id,A185,
 successorIDs,
  IFERROR(
   UNIQUE(
    FILTER(
     {
      Dependencies!$A$2:$A$1000;
      QuestObjectives!$A$2:$A$1000
     },
     {
      Dependencies!$B$2:$B$1000;
      QuestObjectives!$E$2:$E$1000
     }=id
    )
   ),
   """"
  )"&amp;",
 names,
  MAP(
   successorIDs,
   LAMBDA(s,
    IF(
     s="""",
     """",
     XLOOKUP(
      s,
      $A$2:$A$1000,
      $B$2:$B$1000,
      s
     )
    )
   )
  ),
 IF(
  successorIDs="""",
  """",
  TEXTJOIN("", "",TRUE,names)
 )
)"),"Gallery 3 Lv 5")</f>
        <v>Gallery 3 Lv 5</v>
      </c>
      <c r="T185" s="26" t="str">
        <f t="array" ref="T185">_xlfn.XLOOKUP(
 A185,
 tblTargets[TargetID],
 tblTargets[CompletionMethod],
 ""
)</f>
        <v>PLAYER</v>
      </c>
      <c r="U185" s="84" t="b">
        <f>COUNTIF(tblCost[TargetID],A185)&gt;0</f>
        <v>1</v>
      </c>
      <c r="V185" s="85">
        <f t="array" ref="V185">IF(
 U185=FALSE,
 "",
 _xlfn.XLOOKUP(
  A185,
  tblCost[TargetID],
  tblCost[FundingPercent],
  ""
 )
)</f>
        <v>0</v>
      </c>
      <c r="W185" s="26">
        <f t="array" ref="W185">IF(
 U185=FALSE,
 "",
 _xlfn.XLOOKUP(
  A185,
  tblCost[TargetID],
  tblCost[RemainingRequirements],
  ""
 )
)</f>
        <v>5</v>
      </c>
      <c r="X185" s="45" t="b">
        <f t="array" ref="X185">IF(
 U185=FALSE,
 "N/A",
 _xlfn.XLOOKUP(
  A186,
  tblCost[TargetID],
  tblCost[TargetFunded],
  FALSE
 )
)</f>
        <v>0</v>
      </c>
      <c r="Y185" s="26" t="str">
        <f>IFERROR(__xludf.DUMMYFUNCTION("IFERROR(
 TEXTJOIN(
  "", "",
  TRUE,
  FILTER(
   'cost checklist'!$E$2:$E1000&amp;"": ""&amp;'cost checklist'!$G$2:$G1000,
   'cost checklist'!$B$2:$B1000=A185,
   'cost checklist'!$J$2:$J1000=FALSE
  )
 ),
 """"
)"),"bluecrystal: 20, greencrystal: 20, quartz: 20, redcrystal: 20, violetcrystal: 20")</f>
        <v>bluecrystal: 20, greencrystal: 20, quartz: 20, redcrystal: 20, violetcrystal: 20</v>
      </c>
      <c r="Z185" s="26" t="b">
        <f>IFERROR(__xludf.DUMMYFUNCTION("IF(
 AND(
  E185=""QUEST"",
  RIGHT(A185,9)="".accepted"",
  D185=TRUE
 ),
 XLOOKUP(
  REGEXREPLACE(A185,""\.accepted$"","""")&amp;"".finished"",
  $A$2:$A1000,
  $D$2:$D1000,
  TRUE
 )=FALSE,
 FALSE
)"),FALSE)</f>
        <v>0</v>
      </c>
      <c r="AA185" s="26" t="str">
        <f>IFERROR(__xludf.DUMMYFUNCTION("LET(
 id,A185,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6" ht="14.25" customHeight="1">
      <c r="A186" s="26" t="s">
        <v>635</v>
      </c>
      <c r="B186" s="26" t="str">
        <f t="array" ref="B186">_xlfn.XLOOKUP(
 A186,
 tblTargets[TargetID],
 tblTargets[DisplayName],
 ""
)</f>
        <v>Gallery 3 Lv 5</v>
      </c>
      <c r="C186" s="26" t="str">
        <f t="shared" si="1"/>
        <v>BLOCKED</v>
      </c>
      <c r="D186" s="26" t="b">
        <f>IFERROR(__xludf.DUMMYFUNCTION("LET(
 id,A186,
 IF(
  F186=""CHARACTER"",
  LET(
   base,REGEXREPLACE(id,""@\d+$"",""""),
   required,VALUE(REGEXEXTRACT(id,""@(\d+)$"")),
   current,XLOOKUP(
    base,
    tblPlayer[PlayerStateID],
    tblPlayer[Value],
    0
   ),
   current&gt;=required
 "&amp;" ),
  IF(
   T186=""AUTO"",
   L186=0,
   COUNTIFS(
    tblChecklist[TargetID],id,
    tblChecklist[PlayerCompleted],TRUE
   )&gt;0
  )
 )
)"),FALSE)</f>
        <v>0</v>
      </c>
      <c r="E186" s="26" t="str">
        <f t="array" ref="E186">_xlfn.XLOOKUP(
 A186,
 tblTargets[TargetID],
 tblTargets[TargetType],
 ""
)</f>
        <v>COLLECTION</v>
      </c>
      <c r="F186" s="26" t="str">
        <f t="array" ref="F186">_xlfn.XLOOKUP(
 A186,
 tblTargets[TargetID],
 tblTargets[StateType],
 ""
)</f>
        <v/>
      </c>
      <c r="G186" s="26">
        <f>LET(
 id,A186,
 depCount,COUNTIF(tblDependencies[TargetID],id),
 objCount,COUNTIF(tblQuestObjectives[QuestTargetID],id),
 depCount+objCount
)</f>
        <v>1</v>
      </c>
      <c r="H186" s="26">
        <f t="shared" si="2"/>
        <v>1</v>
      </c>
      <c r="I186" s="26">
        <f>IFERROR(__xludf.DUMMYFUNCTION("LET(
 id,A186,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6" s="26">
        <f t="shared" si="3"/>
        <v>0</v>
      </c>
      <c r="K186" s="26" t="b">
        <f t="shared" si="4"/>
        <v>0</v>
      </c>
      <c r="L186" s="26">
        <f t="shared" si="5"/>
        <v>1</v>
      </c>
      <c r="M186" s="26" t="str">
        <f>IFERROR(__xludf.DUMMYFUNCTION("LET(
 id,A186,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L186=0,
  """",
  IFERROR(INDEX(incomplete,1),"""")"&amp;"
 )
)"),"collection.gallery_3@4")</f>
        <v>collection.gallery_3@4</v>
      </c>
      <c r="N186" s="26" t="str">
        <f t="array" ref="N186">IF(
 M186="",
 "",
 _xlfn.XLOOKUP(
  M186,
  tblTargets[TargetID],
  tblTargets[DisplayName],
  M186
 )
)</f>
        <v>Gallery 3 Lv 4</v>
      </c>
      <c r="O186" s="26" t="str">
        <f>IFERROR(__xludf.DUMMYFUNCTION("SWITCH(
 E186,
 ""BUILDING"",XLOOKUP(A186,tblBuildings[BuildingID],tblBuildings[costtext],""""),
 ""TECH"",XLOOKUP(A186,tblTechnologies[TechnologyID],tblTechnologies[costtext],""""),
 ""QUEST"",XLOOKUP(
  REGEXREPLACE(A186,""\.[^.]+$"",""""),
  tblQuests["&amp;"QuestID],
  tblQuests[Costtext],
  """"
 ),
 ""CITADEL"",XLOOKUP(A186,tblCitadel[CitadelID],tblCitadel[costtext],""""),
 ""COLLECTION"",XLOOKUP(A186,tblCollections[CollectionID],tblCollections[costtext],""""),
 ""CRAFTIFACT"",XLOOKUP(A186,tblCraftifacts[C"&amp;"raftifactID],tblCraftifacts[costtext],""""),
 """"
)"),"25 bluecrystal,25 greencrystal,25 quartz,25 redcrystal,25 violetcrystal")</f>
        <v>25 bluecrystal,25 greencrystal,25 quartz,25 redcrystal,25 violetcrystal</v>
      </c>
      <c r="P186" s="26" t="str">
        <f t="shared" si="6"/>
        <v>BLOCKED</v>
      </c>
      <c r="Q186" s="26" t="str">
        <f t="shared" si="7"/>
        <v>BLOCKED</v>
      </c>
      <c r="R186" s="26" t="str">
        <f t="array" ref="R186">IFERROR(
 _xlfn.XLOOKUP(
  A186,
  tblChecklist[TargetID],
  tblChecklist[PlayerSort],
  ""
 ),
 ""
)</f>
        <v/>
      </c>
      <c r="S186" s="26" t="str">
        <f>IFERROR(__xludf.DUMMYFUNCTION("LET(
 id,A186,
 successorIDs,
  IFERROR(
   UNIQUE(
    FILTER(
     {
      Dependencies!$A$2:$A$1000;
      QuestObjectives!$A$2:$A$1000
     },
     {
      Dependencies!$B$2:$B$1000;
      QuestObjectives!$E$2:$E$1000
     }=id
    )
   ),
   """"
  )"&amp;",
 names,
  MAP(
   successorIDs,
   LAMBDA(s,
    IF(
     s="""",
     """",
     XLOOKUP(
      s,
      $A$2:$A$1000,
      $B$2:$B$1000,
      s
     )
    )
   )
  ),
 IF(
  successorIDs="""",
  """",
  TEXTJOIN("", "",TRUE,names)
 )
)"),"")</f>
        <v/>
      </c>
      <c r="T186" s="26" t="str">
        <f t="array" ref="T186">_xlfn.XLOOKUP(
 A186,
 tblTargets[TargetID],
 tblTargets[CompletionMethod],
 ""
)</f>
        <v>PLAYER</v>
      </c>
      <c r="U186" s="84" t="b">
        <f>COUNTIF(tblCost[TargetID],A186)&gt;0</f>
        <v>1</v>
      </c>
      <c r="V186" s="85">
        <f t="array" ref="V186">IF(
 U186=FALSE,
 "",
 _xlfn.XLOOKUP(
  A186,
  tblCost[TargetID],
  tblCost[FundingPercent],
  ""
 )
)</f>
        <v>0</v>
      </c>
      <c r="W186" s="26">
        <f t="array" ref="W186">IF(
 U186=FALSE,
 "",
 _xlfn.XLOOKUP(
  A186,
  tblCost[TargetID],
  tblCost[RemainingRequirements],
  ""
 )
)</f>
        <v>5</v>
      </c>
      <c r="X186" s="45" t="b">
        <f t="array" ref="X186">IF(
 U186=FALSE,
 "N/A",
 _xlfn.XLOOKUP(
  A187,
  tblCost[TargetID],
  tblCost[TargetFunded],
  FALSE
 )
)</f>
        <v>0</v>
      </c>
      <c r="Y186" s="26" t="str">
        <f>IFERROR(__xludf.DUMMYFUNCTION("IFERROR(
 TEXTJOIN(
  "", "",
  TRUE,
  FILTER(
   'cost checklist'!$E$2:$E1000&amp;"": ""&amp;'cost checklist'!$G$2:$G1000,
   'cost checklist'!$B$2:$B1000=A186,
   'cost checklist'!$J$2:$J1000=FALSE
  )
 ),
 """"
)"),"bluecrystal: 25, greencrystal: 25, quartz: 25, redcrystal: 25, violetcrystal: 25")</f>
        <v>bluecrystal: 25, greencrystal: 25, quartz: 25, redcrystal: 25, violetcrystal: 25</v>
      </c>
      <c r="Z186" s="26" t="b">
        <f>IFERROR(__xludf.DUMMYFUNCTION("IF(
 AND(
  E186=""QUEST"",
  RIGHT(A186,9)="".accepted"",
  D186=TRUE
 ),
 XLOOKUP(
  REGEXREPLACE(A186,""\.accepted$"","""")&amp;"".finished"",
  $A$2:$A1000,
  $D$2:$D1000,
  TRUE
 )=FALSE,
 FALSE
)"),FALSE)</f>
        <v>0</v>
      </c>
      <c r="AA186" s="26" t="str">
        <f>IFERROR(__xludf.DUMMYFUNCTION("LET(
 id,A186,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7" ht="14.25" customHeight="1">
      <c r="A187" s="26" t="s">
        <v>640</v>
      </c>
      <c r="B187" s="26" t="str">
        <f t="array" ref="B187">_xlfn.XLOOKUP(
 A187,
 tblTargets[TargetID],
 tblTargets[DisplayName],
 ""
)</f>
        <v>Historical Library 1 Lv 1</v>
      </c>
      <c r="C187" s="26" t="str">
        <f t="shared" si="1"/>
        <v>BLOCKED</v>
      </c>
      <c r="D187" s="26" t="b">
        <f>IFERROR(__xludf.DUMMYFUNCTION("LET(
 id,A187,
 IF(
  F187=""CHARACTER"",
  LET(
   base,REGEXREPLACE(id,""@\d+$"",""""),
   required,VALUE(REGEXEXTRACT(id,""@(\d+)$"")),
   current,XLOOKUP(
    base,
    tblPlayer[PlayerStateID],
    tblPlayer[Value],
    0
   ),
   current&gt;=required
 "&amp;" ),
  IF(
   T187=""AUTO"",
   L187=0,
   COUNTIFS(
    tblChecklist[TargetID],id,
    tblChecklist[PlayerCompleted],TRUE
   )&gt;0
  )
 )
)"),FALSE)</f>
        <v>0</v>
      </c>
      <c r="E187" s="26" t="str">
        <f t="array" ref="E187">_xlfn.XLOOKUP(
 A187,
 tblTargets[TargetID],
 tblTargets[TargetType],
 ""
)</f>
        <v>COLLECTION</v>
      </c>
      <c r="F187" s="26" t="str">
        <f t="array" ref="F187">_xlfn.XLOOKUP(
 A187,
 tblTargets[TargetID],
 tblTargets[StateType],
 ""
)</f>
        <v/>
      </c>
      <c r="G187" s="26">
        <f>LET(
 id,A187,
 depCount,COUNTIF(tblDependencies[TargetID],id),
 objCount,COUNTIF(tblQuestObjectives[QuestTargetID],id),
 depCount+objCount
)</f>
        <v>2</v>
      </c>
      <c r="H187" s="26">
        <f t="shared" si="2"/>
        <v>2</v>
      </c>
      <c r="I187" s="26">
        <f>IFERROR(__xludf.DUMMYFUNCTION("LET(
 id,A187,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7" s="26">
        <f t="shared" si="3"/>
        <v>0</v>
      </c>
      <c r="K187" s="26" t="b">
        <f t="shared" si="4"/>
        <v>0</v>
      </c>
      <c r="L187" s="26">
        <f t="shared" si="5"/>
        <v>2</v>
      </c>
      <c r="M187" s="26" t="str">
        <f>IFERROR(__xludf.DUMMYFUNCTION("LET(
 id,A187,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L187=0,
  """",
  IFERROR(INDEX(incomplete,1),"""")"&amp;"
 )
)"),"citadel.great_hall")</f>
        <v>citadel.great_hall</v>
      </c>
      <c r="N187" s="26" t="str">
        <f t="array" ref="N187">IF(
 M187="",
 "",
 _xlfn.XLOOKUP(
  M187,
  tblTargets[TargetID],
  tblTargets[DisplayName],
  M187
 )
)</f>
        <v>Great Hall</v>
      </c>
      <c r="O187" s="26" t="str">
        <f>IFERROR(__xludf.DUMMYFUNCTION("SWITCH(
 E187,
 ""BUILDING"",XLOOKUP(A187,tblBuildings[BuildingID],tblBuildings[costtext],""""),
 ""TECH"",XLOOKUP(A187,tblTechnologies[TechnologyID],tblTechnologies[costtext],""""),
 ""QUEST"",XLOOKUP(
  REGEXREPLACE(A187,""\.[^.]+$"",""""),
  tblQuests["&amp;"QuestID],
  tblQuests[Costtext],
  """"
 ),
 ""CITADEL"",XLOOKUP(A187,tblCitadel[CitadelID],tblCitadel[costtext],""""),
 ""COLLECTION"",XLOOKUP(A187,tblCollections[CollectionID],tblCollections[costtext],""""),
 ""CRAFTIFACT"",XLOOKUP(A187,tblCraftifacts[C"&amp;"raftifactID],tblCraftifacts[costtext],""""),
 """"
)"),"20 blueprint,10 grimoire,30 page,1 scroll")</f>
        <v>20 blueprint,10 grimoire,30 page,1 scroll</v>
      </c>
      <c r="P187" s="26" t="str">
        <f t="shared" si="6"/>
        <v>BLOCKED</v>
      </c>
      <c r="Q187" s="26" t="str">
        <f t="shared" si="7"/>
        <v>BLOCKED</v>
      </c>
      <c r="R187" s="26" t="str">
        <f t="array" ref="R187">IFERROR(
 _xlfn.XLOOKUP(
  A187,
  tblChecklist[TargetID],
  tblChecklist[PlayerSort],
  ""
 ),
 ""
)</f>
        <v/>
      </c>
      <c r="S187" s="26" t="str">
        <f>IFERROR(__xludf.DUMMYFUNCTION("LET(
 id,A187,
 successorIDs,
  IFERROR(
   UNIQUE(
    FILTER(
     {
      Dependencies!$A$2:$A$1000;
      QuestObjectives!$A$2:$A$1000
     },
     {
      Dependencies!$B$2:$B$1000;
      QuestObjectives!$E$2:$E$1000
     }=id
    )
   ),
   """"
  )"&amp;",
 names,
  MAP(
   successorIDs,
   LAMBDA(s,
    IF(
     s="""",
     """",
     XLOOKUP(
      s,
      $A$2:$A$1000,
      $B$2:$B$1000,
      s
     )
    )
   )
  ),
 IF(
  successorIDs="""",
  """",
  TEXTJOIN("", "",TRUE,names)
 )
)"),"Historical Library 1 Lv 2")</f>
        <v>Historical Library 1 Lv 2</v>
      </c>
      <c r="T187" s="26" t="str">
        <f t="array" ref="T187">_xlfn.XLOOKUP(
 A187,
 tblTargets[TargetID],
 tblTargets[CompletionMethod],
 ""
)</f>
        <v>PLAYER</v>
      </c>
      <c r="U187" s="84" t="b">
        <f>COUNTIF(tblCost[TargetID],A187)&gt;0</f>
        <v>1</v>
      </c>
      <c r="V187" s="85">
        <f t="array" ref="V187">IF(
 U187=FALSE,
 "",
 _xlfn.XLOOKUP(
  A187,
  tblCost[TargetID],
  tblCost[FundingPercent],
  ""
 )
)</f>
        <v>0</v>
      </c>
      <c r="W187" s="26">
        <f t="array" ref="W187">IF(
 U187=FALSE,
 "",
 _xlfn.XLOOKUP(
  A187,
  tblCost[TargetID],
  tblCost[RemainingRequirements],
  ""
 )
)</f>
        <v>4</v>
      </c>
      <c r="X187" s="45" t="b">
        <f t="array" ref="X187">IF(
 U187=FALSE,
 "N/A",
 _xlfn.XLOOKUP(
  A188,
  tblCost[TargetID],
  tblCost[TargetFunded],
  FALSE
 )
)</f>
        <v>0</v>
      </c>
      <c r="Y187" s="26" t="str">
        <f>IFERROR(__xludf.DUMMYFUNCTION("IFERROR(
 TEXTJOIN(
  "", "",
  TRUE,
  FILTER(
   'cost checklist'!$E$2:$E1000&amp;"": ""&amp;'cost checklist'!$G$2:$G1000,
   'cost checklist'!$B$2:$B1000=A187,
   'cost checklist'!$J$2:$J1000=FALSE
  )
 ),
 """"
)"),"blueprint: 20, grimoire: 10, page: 30, scroll: 1")</f>
        <v>blueprint: 20, grimoire: 10, page: 30, scroll: 1</v>
      </c>
      <c r="Z187" s="26" t="b">
        <f>IFERROR(__xludf.DUMMYFUNCTION("IF(
 AND(
  E187=""QUEST"",
  RIGHT(A187,9)="".accepted"",
  D187=TRUE
 ),
 XLOOKUP(
  REGEXREPLACE(A187,""\.accepted$"","""")&amp;"".finished"",
  $A$2:$A1000,
  $D$2:$D1000,
  TRUE
 )=FALSE,
 FALSE
)"),FALSE)</f>
        <v>0</v>
      </c>
      <c r="AA187" s="26" t="str">
        <f>IFERROR(__xludf.DUMMYFUNCTION("LET(
 id,A187,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8" ht="14.25" customHeight="1">
      <c r="A188" s="26" t="s">
        <v>643</v>
      </c>
      <c r="B188" s="26" t="str">
        <f t="array" ref="B188">_xlfn.XLOOKUP(
 A188,
 tblTargets[TargetID],
 tblTargets[DisplayName],
 ""
)</f>
        <v>Historical Library 1 Lv 2</v>
      </c>
      <c r="C188" s="26" t="str">
        <f t="shared" si="1"/>
        <v>BLOCKED</v>
      </c>
      <c r="D188" s="26" t="b">
        <f>IFERROR(__xludf.DUMMYFUNCTION("LET(
 id,A188,
 IF(
  F188=""CHARACTER"",
  LET(
   base,REGEXREPLACE(id,""@\d+$"",""""),
   required,VALUE(REGEXEXTRACT(id,""@(\d+)$"")),
   current,XLOOKUP(
    base,
    tblPlayer[PlayerStateID],
    tblPlayer[Value],
    0
   ),
   current&gt;=required
 "&amp;" ),
  IF(
   T188=""AUTO"",
   L188=0,
   COUNTIFS(
    tblChecklist[TargetID],id,
    tblChecklist[PlayerCompleted],TRUE
   )&gt;0
  )
 )
)"),FALSE)</f>
        <v>0</v>
      </c>
      <c r="E188" s="26" t="str">
        <f t="array" ref="E188">_xlfn.XLOOKUP(
 A188,
 tblTargets[TargetID],
 tblTargets[TargetType],
 ""
)</f>
        <v>COLLECTION</v>
      </c>
      <c r="F188" s="26" t="str">
        <f t="array" ref="F188">_xlfn.XLOOKUP(
 A188,
 tblTargets[TargetID],
 tblTargets[StateType],
 ""
)</f>
        <v/>
      </c>
      <c r="G188" s="26">
        <f>LET(
 id,A188,
 depCount,COUNTIF(tblDependencies[TargetID],id),
 objCount,COUNTIF(tblQuestObjectives[QuestTargetID],id),
 depCount+objCount
)</f>
        <v>1</v>
      </c>
      <c r="H188" s="26">
        <f t="shared" si="2"/>
        <v>1</v>
      </c>
      <c r="I188" s="26">
        <f>IFERROR(__xludf.DUMMYFUNCTION("LET(
 id,A188,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8" s="26">
        <f t="shared" si="3"/>
        <v>0</v>
      </c>
      <c r="K188" s="26" t="b">
        <f t="shared" si="4"/>
        <v>0</v>
      </c>
      <c r="L188" s="26">
        <f t="shared" si="5"/>
        <v>1</v>
      </c>
      <c r="M188" s="26" t="str">
        <f>IFERROR(__xludf.DUMMYFUNCTION("LET(
 id,A188,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L188=0,
  """",
  IFERROR(INDEX(incomplete,1),"""")"&amp;"
 )
)"),"collection.historical_library_1@1")</f>
        <v>collection.historical_library_1@1</v>
      </c>
      <c r="N188" s="26" t="str">
        <f t="array" ref="N188">IF(
 M188="",
 "",
 _xlfn.XLOOKUP(
  M188,
  tblTargets[TargetID],
  tblTargets[DisplayName],
  M188
 )
)</f>
        <v>Historical Library 1 Lv 1</v>
      </c>
      <c r="O188" s="26" t="str">
        <f>IFERROR(__xludf.DUMMYFUNCTION("SWITCH(
 E188,
 ""BUILDING"",XLOOKUP(A188,tblBuildings[BuildingID],tblBuildings[costtext],""""),
 ""TECH"",XLOOKUP(A188,tblTechnologies[TechnologyID],tblTechnologies[costtext],""""),
 ""QUEST"",XLOOKUP(
  REGEXREPLACE(A188,""\.[^.]+$"",""""),
  tblQuests["&amp;"QuestID],
  tblQuests[Costtext],
  """"
 ),
 ""CITADEL"",XLOOKUP(A188,tblCitadel[CitadelID],tblCitadel[costtext],""""),
 ""COLLECTION"",XLOOKUP(A188,tblCollections[CollectionID],tblCollections[costtext],""""),
 ""CRAFTIFACT"",XLOOKUP(A188,tblCraftifacts[C"&amp;"raftifactID],tblCraftifacts[costtext],""""),
 """"
)"),"40 blueprint,20 grimoire,60 page,2 scroll")</f>
        <v>40 blueprint,20 grimoire,60 page,2 scroll</v>
      </c>
      <c r="P188" s="26" t="str">
        <f t="shared" si="6"/>
        <v>BLOCKED</v>
      </c>
      <c r="Q188" s="26" t="str">
        <f t="shared" si="7"/>
        <v>BLOCKED</v>
      </c>
      <c r="R188" s="26">
        <f t="array" ref="R188">IFERROR(
 _xlfn.XLOOKUP(
  A188,
  tblChecklist[TargetID],
  tblChecklist[PlayerSort],
  ""
 ),
 ""
)</f>
        <v>20</v>
      </c>
      <c r="S188" s="26" t="str">
        <f>IFERROR(__xludf.DUMMYFUNCTION("LET(
 id,A188,
 successorIDs,
  IFERROR(
   UNIQUE(
    FILTER(
     {
      Dependencies!$A$2:$A$1000;
      QuestObjectives!$A$2:$A$1000
     },
     {
      Dependencies!$B$2:$B$1000;
      QuestObjectives!$E$2:$E$1000
     }=id
    )
   ),
   """"
  )"&amp;",
 names,
  MAP(
   successorIDs,
   LAMBDA(s,
    IF(
     s="""",
     """",
     XLOOKUP(
      s,
      $A$2:$A$1000,
      $B$2:$B$1000,
      s
     )
    )
   )
  ),
 IF(
  successorIDs="""",
  """",
  TEXTJOIN("", "",TRUE,names)
 )
)"),"Historical Library 1 Lv 3")</f>
        <v>Historical Library 1 Lv 3</v>
      </c>
      <c r="T188" s="26" t="str">
        <f t="array" ref="T188">_xlfn.XLOOKUP(
 A188,
 tblTargets[TargetID],
 tblTargets[CompletionMethod],
 ""
)</f>
        <v>PLAYER</v>
      </c>
      <c r="U188" s="84" t="b">
        <f>COUNTIF(tblCost[TargetID],A188)&gt;0</f>
        <v>1</v>
      </c>
      <c r="V188" s="85">
        <f t="array" ref="V188">IF(
 U188=FALSE,
 "",
 _xlfn.XLOOKUP(
  A188,
  tblCost[TargetID],
  tblCost[FundingPercent],
  ""
 )
)</f>
        <v>0</v>
      </c>
      <c r="W188" s="26">
        <f t="array" ref="W188">IF(
 U188=FALSE,
 "",
 _xlfn.XLOOKUP(
  A188,
  tblCost[TargetID],
  tblCost[RemainingRequirements],
  ""
 )
)</f>
        <v>4</v>
      </c>
      <c r="X188" s="45" t="b">
        <f t="array" ref="X188">IF(
 U188=FALSE,
 "N/A",
 _xlfn.XLOOKUP(
  A189,
  tblCost[TargetID],
  tblCost[TargetFunded],
  FALSE
 )
)</f>
        <v>0</v>
      </c>
      <c r="Y188" s="26" t="str">
        <f>IFERROR(__xludf.DUMMYFUNCTION("IFERROR(
 TEXTJOIN(
  "", "",
  TRUE,
  FILTER(
   'cost checklist'!$E$2:$E1000&amp;"": ""&amp;'cost checklist'!$G$2:$G1000,
   'cost checklist'!$B$2:$B1000=A188,
   'cost checklist'!$J$2:$J1000=FALSE
  )
 ),
 """"
)"),"blueprint: 40, grimoire: 20, page: 60, scroll: 2")</f>
        <v>blueprint: 40, grimoire: 20, page: 60, scroll: 2</v>
      </c>
      <c r="Z188" s="26" t="b">
        <f>IFERROR(__xludf.DUMMYFUNCTION("IF(
 AND(
  E188=""QUEST"",
  RIGHT(A188,9)="".accepted"",
  D188=TRUE
 ),
 XLOOKUP(
  REGEXREPLACE(A188,""\.accepted$"","""")&amp;"".finished"",
  $A$2:$A1000,
  $D$2:$D1000,
  TRUE
 )=FALSE,
 FALSE
)"),FALSE)</f>
        <v>0</v>
      </c>
      <c r="AA188" s="26" t="str">
        <f>IFERROR(__xludf.DUMMYFUNCTION("LET(
 id,A188,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89" ht="14.25" customHeight="1">
      <c r="A189" s="26" t="s">
        <v>647</v>
      </c>
      <c r="B189" s="26" t="str">
        <f t="array" ref="B189">_xlfn.XLOOKUP(
 A189,
 tblTargets[TargetID],
 tblTargets[DisplayName],
 ""
)</f>
        <v>Historical Library 1 Lv 3</v>
      </c>
      <c r="C189" s="26" t="str">
        <f t="shared" si="1"/>
        <v>BLOCKED</v>
      </c>
      <c r="D189" s="26" t="b">
        <f>IFERROR(__xludf.DUMMYFUNCTION("LET(
 id,A189,
 IF(
  F189=""CHARACTER"",
  LET(
   base,REGEXREPLACE(id,""@\d+$"",""""),
   required,VALUE(REGEXEXTRACT(id,""@(\d+)$"")),
   current,XLOOKUP(
    base,
    tblPlayer[PlayerStateID],
    tblPlayer[Value],
    0
   ),
   current&gt;=required
 "&amp;" ),
  IF(
   T189=""AUTO"",
   L189=0,
   COUNTIFS(
    tblChecklist[TargetID],id,
    tblChecklist[PlayerCompleted],TRUE
   )&gt;0
  )
 )
)"),FALSE)</f>
        <v>0</v>
      </c>
      <c r="E189" s="26" t="str">
        <f t="array" ref="E189">_xlfn.XLOOKUP(
 A189,
 tblTargets[TargetID],
 tblTargets[TargetType],
 ""
)</f>
        <v>COLLECTION</v>
      </c>
      <c r="F189" s="26" t="str">
        <f t="array" ref="F189">_xlfn.XLOOKUP(
 A189,
 tblTargets[TargetID],
 tblTargets[StateType],
 ""
)</f>
        <v/>
      </c>
      <c r="G189" s="26">
        <f>LET(
 id,A189,
 depCount,COUNTIF(tblDependencies[TargetID],id),
 objCount,COUNTIF(tblQuestObjectives[QuestTargetID],id),
 depCount+objCount
)</f>
        <v>1</v>
      </c>
      <c r="H189" s="26">
        <f t="shared" si="2"/>
        <v>1</v>
      </c>
      <c r="I189" s="26">
        <f>IFERROR(__xludf.DUMMYFUNCTION("LET(
 id,A189,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89" s="26">
        <f t="shared" si="3"/>
        <v>0</v>
      </c>
      <c r="K189" s="26" t="b">
        <f t="shared" si="4"/>
        <v>0</v>
      </c>
      <c r="L189" s="26">
        <f t="shared" si="5"/>
        <v>1</v>
      </c>
      <c r="M189" s="26" t="str">
        <f>IFERROR(__xludf.DUMMYFUNCTION("LET(
 id,A189,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L189=0,
  """",
  IFERROR(INDEX(incomplete,1),"""")"&amp;"
 )
)"),"collection.historical_library_1@2")</f>
        <v>collection.historical_library_1@2</v>
      </c>
      <c r="N189" s="26" t="str">
        <f t="array" ref="N189">IF(
 M189="",
 "",
 _xlfn.XLOOKUP(
  M189,
  tblTargets[TargetID],
  tblTargets[DisplayName],
  M189
 )
)</f>
        <v>Historical Library 1 Lv 2</v>
      </c>
      <c r="O189" s="26" t="str">
        <f>IFERROR(__xludf.DUMMYFUNCTION("SWITCH(
 E189,
 ""BUILDING"",XLOOKUP(A189,tblBuildings[BuildingID],tblBuildings[costtext],""""),
 ""TECH"",XLOOKUP(A189,tblTechnologies[TechnologyID],tblTechnologies[costtext],""""),
 ""QUEST"",XLOOKUP(
  REGEXREPLACE(A189,""\.[^.]+$"",""""),
  tblQuests["&amp;"QuestID],
  tblQuests[Costtext],
  """"
 ),
 ""CITADEL"",XLOOKUP(A189,tblCitadel[CitadelID],tblCitadel[costtext],""""),
 ""COLLECTION"",XLOOKUP(A189,tblCollections[CollectionID],tblCollections[costtext],""""),
 ""CRAFTIFACT"",XLOOKUP(A189,tblCraftifacts[C"&amp;"raftifactID],tblCraftifacts[costtext],""""),
 """"
)"),"60 blueprint,30 grimoire,90 page,3 scroll")</f>
        <v>60 blueprint,30 grimoire,90 page,3 scroll</v>
      </c>
      <c r="P189" s="26" t="str">
        <f t="shared" si="6"/>
        <v>BLOCKED</v>
      </c>
      <c r="Q189" s="26" t="str">
        <f t="shared" si="7"/>
        <v>BLOCKED</v>
      </c>
      <c r="R189" s="26" t="str">
        <f t="array" ref="R189">IFERROR(
 _xlfn.XLOOKUP(
  A189,
  tblChecklist[TargetID],
  tblChecklist[PlayerSort],
  ""
 ),
 ""
)</f>
        <v/>
      </c>
      <c r="S189" s="26" t="str">
        <f>IFERROR(__xludf.DUMMYFUNCTION("LET(
 id,A189,
 successorIDs,
  IFERROR(
   UNIQUE(
    FILTER(
     {
      Dependencies!$A$2:$A$1000;
      QuestObjectives!$A$2:$A$1000
     },
     {
      Dependencies!$B$2:$B$1000;
      QuestObjectives!$E$2:$E$1000
     }=id
    )
   ),
   """"
  )"&amp;",
 names,
  MAP(
   successorIDs,
   LAMBDA(s,
    IF(
     s="""",
     """",
     XLOOKUP(
      s,
      $A$2:$A$1000,
      $B$2:$B$1000,
      s
     )
    )
   )
  ),
 IF(
  successorIDs="""",
  """",
  TEXTJOIN("", "",TRUE,names)
 )
)"),"")</f>
        <v/>
      </c>
      <c r="T189" s="26" t="str">
        <f t="array" ref="T189">_xlfn.XLOOKUP(
 A189,
 tblTargets[TargetID],
 tblTargets[CompletionMethod],
 ""
)</f>
        <v>PLAYER</v>
      </c>
      <c r="U189" s="84" t="b">
        <f>COUNTIF(tblCost[TargetID],A189)&gt;0</f>
        <v>1</v>
      </c>
      <c r="V189" s="85">
        <f t="array" ref="V189">IF(
 U189=FALSE,
 "",
 _xlfn.XLOOKUP(
  A189,
  tblCost[TargetID],
  tblCost[FundingPercent],
  ""
 )
)</f>
        <v>0</v>
      </c>
      <c r="W189" s="26">
        <f t="array" ref="W189">IF(
 U189=FALSE,
 "",
 _xlfn.XLOOKUP(
  A189,
  tblCost[TargetID],
  tblCost[RemainingRequirements],
  ""
 )
)</f>
        <v>4</v>
      </c>
      <c r="X189" s="45" t="b">
        <f t="array" ref="X189">IF(
 U189=FALSE,
 "N/A",
 _xlfn.XLOOKUP(
  A190,
  tblCost[TargetID],
  tblCost[TargetFunded],
  FALSE
 )
)</f>
        <v>0</v>
      </c>
      <c r="Y189" s="26" t="str">
        <f>IFERROR(__xludf.DUMMYFUNCTION("IFERROR(
 TEXTJOIN(
  "", "",
  TRUE,
  FILTER(
   'cost checklist'!$E$2:$E1000&amp;"": ""&amp;'cost checklist'!$G$2:$G1000,
   'cost checklist'!$B$2:$B1000=A189,
   'cost checklist'!$J$2:$J1000=FALSE
  )
 ),
 """"
)"),"blueprint: 60, grimoire: 30, page: 90, scroll: 3")</f>
        <v>blueprint: 60, grimoire: 30, page: 90, scroll: 3</v>
      </c>
      <c r="Z189" s="26" t="b">
        <f>IFERROR(__xludf.DUMMYFUNCTION("IF(
 AND(
  E189=""QUEST"",
  RIGHT(A189,9)="".accepted"",
  D189=TRUE
 ),
 XLOOKUP(
  REGEXREPLACE(A189,""\.accepted$"","""")&amp;"".finished"",
  $A$2:$A1000,
  $D$2:$D1000,
  TRUE
 )=FALSE,
 FALSE
)"),FALSE)</f>
        <v>0</v>
      </c>
      <c r="AA189" s="26" t="str">
        <f>IFERROR(__xludf.DUMMYFUNCTION("LET(
 id,A189,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0" ht="14.25" customHeight="1">
      <c r="A190" s="26" t="s">
        <v>649</v>
      </c>
      <c r="B190" s="26" t="str">
        <f t="array" ref="B190">_xlfn.XLOOKUP(
 A190,
 tblTargets[TargetID],
 tblTargets[DisplayName],
 ""
)</f>
        <v>Historical Library 2 Lv 1</v>
      </c>
      <c r="C190" s="26" t="str">
        <f t="shared" si="1"/>
        <v>BLOCKED</v>
      </c>
      <c r="D190" s="26" t="b">
        <f>IFERROR(__xludf.DUMMYFUNCTION("LET(
 id,A190,
 IF(
  F190=""CHARACTER"",
  LET(
   base,REGEXREPLACE(id,""@\d+$"",""""),
   required,VALUE(REGEXEXTRACT(id,""@(\d+)$"")),
   current,XLOOKUP(
    base,
    tblPlayer[PlayerStateID],
    tblPlayer[Value],
    0
   ),
   current&gt;=required
 "&amp;" ),
  IF(
   T190=""AUTO"",
   L190=0,
   COUNTIFS(
    tblChecklist[TargetID],id,
    tblChecklist[PlayerCompleted],TRUE
   )&gt;0
  )
 )
)"),FALSE)</f>
        <v>0</v>
      </c>
      <c r="E190" s="26" t="str">
        <f t="array" ref="E190">_xlfn.XLOOKUP(
 A190,
 tblTargets[TargetID],
 tblTargets[TargetType],
 ""
)</f>
        <v>COLLECTION</v>
      </c>
      <c r="F190" s="26" t="str">
        <f t="array" ref="F190">_xlfn.XLOOKUP(
 A190,
 tblTargets[TargetID],
 tblTargets[StateType],
 ""
)</f>
        <v/>
      </c>
      <c r="G190" s="26">
        <f>LET(
 id,A190,
 depCount,COUNTIF(tblDependencies[TargetID],id),
 objCount,COUNTIF(tblQuestObjectives[QuestTargetID],id),
 depCount+objCount
)</f>
        <v>1</v>
      </c>
      <c r="H190" s="26">
        <f t="shared" si="2"/>
        <v>1</v>
      </c>
      <c r="I190" s="26">
        <f>IFERROR(__xludf.DUMMYFUNCTION("LET(
 id,A190,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0" s="26">
        <f t="shared" si="3"/>
        <v>0</v>
      </c>
      <c r="K190" s="26" t="b">
        <f t="shared" si="4"/>
        <v>0</v>
      </c>
      <c r="L190" s="26">
        <f t="shared" si="5"/>
        <v>1</v>
      </c>
      <c r="M190" s="26" t="str">
        <f>IFERROR(__xludf.DUMMYFUNCTION("LET(
 id,A190,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L190=0,
  """",
  IFERROR(INDEX(incomplete,1),"""")"&amp;"
 )
)"),"citadel.great_hall")</f>
        <v>citadel.great_hall</v>
      </c>
      <c r="N190" s="26" t="str">
        <f t="array" ref="N190">IF(
 M190="",
 "",
 _xlfn.XLOOKUP(
  M190,
  tblTargets[TargetID],
  tblTargets[DisplayName],
  M190
 )
)</f>
        <v>Great Hall</v>
      </c>
      <c r="O190" s="26" t="str">
        <f>IFERROR(__xludf.DUMMYFUNCTION("SWITCH(
 E190,
 ""BUILDING"",XLOOKUP(A190,tblBuildings[BuildingID],tblBuildings[costtext],""""),
 ""TECH"",XLOOKUP(A190,tblTechnologies[TechnologyID],tblTechnologies[costtext],""""),
 ""QUEST"",XLOOKUP(
  REGEXREPLACE(A190,""\.[^.]+$"",""""),
  tblQuests["&amp;"QuestID],
  tblQuests[Costtext],
  """"
 ),
 ""CITADEL"",XLOOKUP(A190,tblCitadel[CitadelID],tblCitadel[costtext],""""),
 ""COLLECTION"",XLOOKUP(A190,tblCollections[CollectionID],tblCollections[costtext],""""),
 ""CRAFTIFACT"",XLOOKUP(A190,tblCraftifacts[C"&amp;"raftifactID],tblCraftifacts[costtext],""""),
 """"
)"),"20 map1,10 map2,5 map3")</f>
        <v>20 map1,10 map2,5 map3</v>
      </c>
      <c r="P190" s="26" t="str">
        <f t="shared" si="6"/>
        <v>BLOCKED</v>
      </c>
      <c r="Q190" s="26" t="str">
        <f t="shared" si="7"/>
        <v>BLOCKED</v>
      </c>
      <c r="R190" s="26" t="str">
        <f t="array" ref="R190">IFERROR(
 _xlfn.XLOOKUP(
  A190,
  tblChecklist[TargetID],
  tblChecklist[PlayerSort],
  ""
 ),
 ""
)</f>
        <v/>
      </c>
      <c r="S190" s="26" t="str">
        <f>IFERROR(__xludf.DUMMYFUNCTION("LET(
 id,A190,
 successorIDs,
  IFERROR(
   UNIQUE(
    FILTER(
     {
      Dependencies!$A$2:$A$1000;
      QuestObjectives!$A$2:$A$1000
     },
     {
      Dependencies!$B$2:$B$1000;
      QuestObjectives!$E$2:$E$1000
     }=id
    )
   ),
   """"
  )"&amp;",
 names,
  MAP(
   successorIDs,
   LAMBDA(s,
    IF(
     s="""",
     """",
     XLOOKUP(
      s,
      $A$2:$A$1000,
      $B$2:$B$1000,
      s
     )
    )
   )
  ),
 IF(
  successorIDs="""",
  """",
  TEXTJOIN("", "",TRUE,names)
 )
)"),"Historical Library 2 Lv 2")</f>
        <v>Historical Library 2 Lv 2</v>
      </c>
      <c r="T190" s="26" t="str">
        <f t="array" ref="T190">_xlfn.XLOOKUP(
 A190,
 tblTargets[TargetID],
 tblTargets[CompletionMethod],
 ""
)</f>
        <v>PLAYER</v>
      </c>
      <c r="U190" s="84" t="b">
        <f>COUNTIF(tblCost[TargetID],A190)&gt;0</f>
        <v>1</v>
      </c>
      <c r="V190" s="85">
        <f t="array" ref="V190">IF(
 U190=FALSE,
 "",
 _xlfn.XLOOKUP(
  A190,
  tblCost[TargetID],
  tblCost[FundingPercent],
  ""
 )
)</f>
        <v>0</v>
      </c>
      <c r="W190" s="26">
        <f t="array" ref="W190">IF(
 U190=FALSE,
 "",
 _xlfn.XLOOKUP(
  A190,
  tblCost[TargetID],
  tblCost[RemainingRequirements],
  ""
 )
)</f>
        <v>3</v>
      </c>
      <c r="X190" s="45" t="b">
        <f t="array" ref="X190">IF(
 U190=FALSE,
 "N/A",
 _xlfn.XLOOKUP(
  A191,
  tblCost[TargetID],
  tblCost[TargetFunded],
  FALSE
 )
)</f>
        <v>0</v>
      </c>
      <c r="Y190" s="26" t="str">
        <f>IFERROR(__xludf.DUMMYFUNCTION("IFERROR(
 TEXTJOIN(
  "", "",
  TRUE,
  FILTER(
   'cost checklist'!$E$2:$E1000&amp;"": ""&amp;'cost checklist'!$G$2:$G1000,
   'cost checklist'!$B$2:$B1000=A190,
   'cost checklist'!$J$2:$J1000=FALSE
  )
 ),
 """"
)"),"map1: 20, map2: 10, map3: 5")</f>
        <v>map1: 20, map2: 10, map3: 5</v>
      </c>
      <c r="Z190" s="26" t="b">
        <f>IFERROR(__xludf.DUMMYFUNCTION("IF(
 AND(
  E190=""QUEST"",
  RIGHT(A190,9)="".accepted"",
  D190=TRUE
 ),
 XLOOKUP(
  REGEXREPLACE(A190,""\.accepted$"","""")&amp;"".finished"",
  $A$2:$A1000,
  $D$2:$D1000,
  TRUE
 )=FALSE,
 FALSE
)"),FALSE)</f>
        <v>0</v>
      </c>
      <c r="AA190" s="26" t="str">
        <f>IFERROR(__xludf.DUMMYFUNCTION("LET(
 id,A190,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1" ht="14.25" customHeight="1">
      <c r="A191" s="26" t="s">
        <v>654</v>
      </c>
      <c r="B191" s="26" t="str">
        <f t="array" ref="B191">_xlfn.XLOOKUP(
 A191,
 tblTargets[TargetID],
 tblTargets[DisplayName],
 ""
)</f>
        <v>Historical Library 2 Lv 2</v>
      </c>
      <c r="C191" s="26" t="str">
        <f t="shared" si="1"/>
        <v>BLOCKED</v>
      </c>
      <c r="D191" s="26" t="b">
        <f>IFERROR(__xludf.DUMMYFUNCTION("LET(
 id,A191,
 IF(
  F191=""CHARACTER"",
  LET(
   base,REGEXREPLACE(id,""@\d+$"",""""),
   required,VALUE(REGEXEXTRACT(id,""@(\d+)$"")),
   current,XLOOKUP(
    base,
    tblPlayer[PlayerStateID],
    tblPlayer[Value],
    0
   ),
   current&gt;=required
 "&amp;" ),
  IF(
   T191=""AUTO"",
   L191=0,
   COUNTIFS(
    tblChecklist[TargetID],id,
    tblChecklist[PlayerCompleted],TRUE
   )&gt;0
  )
 )
)"),FALSE)</f>
        <v>0</v>
      </c>
      <c r="E191" s="26" t="str">
        <f t="array" ref="E191">_xlfn.XLOOKUP(
 A191,
 tblTargets[TargetID],
 tblTargets[TargetType],
 ""
)</f>
        <v>COLLECTION</v>
      </c>
      <c r="F191" s="26" t="str">
        <f t="array" ref="F191">_xlfn.XLOOKUP(
 A191,
 tblTargets[TargetID],
 tblTargets[StateType],
 ""
)</f>
        <v/>
      </c>
      <c r="G191" s="26">
        <f>LET(
 id,A191,
 depCount,COUNTIF(tblDependencies[TargetID],id),
 objCount,COUNTIF(tblQuestObjectives[QuestTargetID],id),
 depCount+objCount
)</f>
        <v>1</v>
      </c>
      <c r="H191" s="26">
        <f t="shared" si="2"/>
        <v>1</v>
      </c>
      <c r="I191" s="26">
        <f>IFERROR(__xludf.DUMMYFUNCTION("LET(
 id,A191,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1" s="26">
        <f t="shared" si="3"/>
        <v>0</v>
      </c>
      <c r="K191" s="26" t="b">
        <f t="shared" si="4"/>
        <v>0</v>
      </c>
      <c r="L191" s="26">
        <f t="shared" si="5"/>
        <v>1</v>
      </c>
      <c r="M191" s="26" t="str">
        <f>IFERROR(__xludf.DUMMYFUNCTION("LET(
 id,A191,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L191=0,
  """",
  IFERROR(INDEX(incomplete,1),"""")"&amp;"
 )
)"),"collection.historical_library_2@1")</f>
        <v>collection.historical_library_2@1</v>
      </c>
      <c r="N191" s="26" t="str">
        <f t="array" ref="N191">IF(
 M191="",
 "",
 _xlfn.XLOOKUP(
  M191,
  tblTargets[TargetID],
  tblTargets[DisplayName],
  M191
 )
)</f>
        <v>Historical Library 2 Lv 1</v>
      </c>
      <c r="O191" s="26" t="str">
        <f>IFERROR(__xludf.DUMMYFUNCTION("SWITCH(
 E191,
 ""BUILDING"",XLOOKUP(A191,tblBuildings[BuildingID],tblBuildings[costtext],""""),
 ""TECH"",XLOOKUP(A191,tblTechnologies[TechnologyID],tblTechnologies[costtext],""""),
 ""QUEST"",XLOOKUP(
  REGEXREPLACE(A191,""\.[^.]+$"",""""),
  tblQuests["&amp;"QuestID],
  tblQuests[Costtext],
  """"
 ),
 ""CITADEL"",XLOOKUP(A191,tblCitadel[CitadelID],tblCitadel[costtext],""""),
 ""COLLECTION"",XLOOKUP(A191,tblCollections[CollectionID],tblCollections[costtext],""""),
 ""CRAFTIFACT"",XLOOKUP(A191,tblCraftifacts[C"&amp;"raftifactID],tblCraftifacts[costtext],""""),
 """"
)"),"40 map1,20 map2,10 map3")</f>
        <v>40 map1,20 map2,10 map3</v>
      </c>
      <c r="P191" s="26" t="str">
        <f t="shared" si="6"/>
        <v>BLOCKED</v>
      </c>
      <c r="Q191" s="26" t="str">
        <f t="shared" si="7"/>
        <v>BLOCKED</v>
      </c>
      <c r="R191" s="26" t="str">
        <f t="array" ref="R191">IFERROR(
 _xlfn.XLOOKUP(
  A191,
  tblChecklist[TargetID],
  tblChecklist[PlayerSort],
  ""
 ),
 ""
)</f>
        <v/>
      </c>
      <c r="S191" s="26" t="str">
        <f>IFERROR(__xludf.DUMMYFUNCTION("LET(
 id,A191,
 successorIDs,
  IFERROR(
   UNIQUE(
    FILTER(
     {
      Dependencies!$A$2:$A$1000;
      QuestObjectives!$A$2:$A$1000
     },
     {
      Dependencies!$B$2:$B$1000;
      QuestObjectives!$E$2:$E$1000
     }=id
    )
   ),
   """"
  )"&amp;",
 names,
  MAP(
   successorIDs,
   LAMBDA(s,
    IF(
     s="""",
     """",
     XLOOKUP(
      s,
      $A$2:$A$1000,
      $B$2:$B$1000,
      s
     )
    )
   )
  ),
 IF(
  successorIDs="""",
  """",
  TEXTJOIN("", "",TRUE,names)
 )
)"),"Historical Library 2 Lv 3")</f>
        <v>Historical Library 2 Lv 3</v>
      </c>
      <c r="T191" s="26" t="str">
        <f t="array" ref="T191">_xlfn.XLOOKUP(
 A191,
 tblTargets[TargetID],
 tblTargets[CompletionMethod],
 ""
)</f>
        <v>PLAYER</v>
      </c>
      <c r="U191" s="84" t="b">
        <f>COUNTIF(tblCost[TargetID],A191)&gt;0</f>
        <v>1</v>
      </c>
      <c r="V191" s="85">
        <f t="array" ref="V191">IF(
 U191=FALSE,
 "",
 _xlfn.XLOOKUP(
  A191,
  tblCost[TargetID],
  tblCost[FundingPercent],
  ""
 )
)</f>
        <v>0</v>
      </c>
      <c r="W191" s="26">
        <f t="array" ref="W191">IF(
 U191=FALSE,
 "",
 _xlfn.XLOOKUP(
  A191,
  tblCost[TargetID],
  tblCost[RemainingRequirements],
  ""
 )
)</f>
        <v>3</v>
      </c>
      <c r="X191" s="45" t="b">
        <f t="array" ref="X191">IF(
 U191=FALSE,
 "N/A",
 _xlfn.XLOOKUP(
  A192,
  tblCost[TargetID],
  tblCost[TargetFunded],
  FALSE
 )
)</f>
        <v>0</v>
      </c>
      <c r="Y191" s="26" t="str">
        <f>IFERROR(__xludf.DUMMYFUNCTION("IFERROR(
 TEXTJOIN(
  "", "",
  TRUE,
  FILTER(
   'cost checklist'!$E$2:$E1000&amp;"": ""&amp;'cost checklist'!$G$2:$G1000,
   'cost checklist'!$B$2:$B1000=A191,
   'cost checklist'!$J$2:$J1000=FALSE
  )
 ),
 """"
)"),"map1: 40, map2: 20, map3: 10")</f>
        <v>map1: 40, map2: 20, map3: 10</v>
      </c>
      <c r="Z191" s="26" t="b">
        <f>IFERROR(__xludf.DUMMYFUNCTION("IF(
 AND(
  E191=""QUEST"",
  RIGHT(A191,9)="".accepted"",
  D191=TRUE
 ),
 XLOOKUP(
  REGEXREPLACE(A191,""\.accepted$"","""")&amp;"".finished"",
  $A$2:$A1000,
  $D$2:$D1000,
  TRUE
 )=FALSE,
 FALSE
)"),FALSE)</f>
        <v>0</v>
      </c>
      <c r="AA191" s="26" t="str">
        <f>IFERROR(__xludf.DUMMYFUNCTION("LET(
 id,A191,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2" ht="14.25" customHeight="1">
      <c r="A192" s="26" t="s">
        <v>658</v>
      </c>
      <c r="B192" s="26" t="str">
        <f t="array" ref="B192">_xlfn.XLOOKUP(
 A192,
 tblTargets[TargetID],
 tblTargets[DisplayName],
 ""
)</f>
        <v>Historical Library 2 Lv 3</v>
      </c>
      <c r="C192" s="26" t="str">
        <f t="shared" si="1"/>
        <v>BLOCKED</v>
      </c>
      <c r="D192" s="26" t="b">
        <f>IFERROR(__xludf.DUMMYFUNCTION("LET(
 id,A192,
 IF(
  F192=""CHARACTER"",
  LET(
   base,REGEXREPLACE(id,""@\d+$"",""""),
   required,VALUE(REGEXEXTRACT(id,""@(\d+)$"")),
   current,XLOOKUP(
    base,
    tblPlayer[PlayerStateID],
    tblPlayer[Value],
    0
   ),
   current&gt;=required
 "&amp;" ),
  IF(
   T192=""AUTO"",
   L192=0,
   COUNTIFS(
    tblChecklist[TargetID],id,
    tblChecklist[PlayerCompleted],TRUE
   )&gt;0
  )
 )
)"),FALSE)</f>
        <v>0</v>
      </c>
      <c r="E192" s="26" t="str">
        <f t="array" ref="E192">_xlfn.XLOOKUP(
 A192,
 tblTargets[TargetID],
 tblTargets[TargetType],
 ""
)</f>
        <v>COLLECTION</v>
      </c>
      <c r="F192" s="26" t="str">
        <f t="array" ref="F192">_xlfn.XLOOKUP(
 A192,
 tblTargets[TargetID],
 tblTargets[StateType],
 ""
)</f>
        <v/>
      </c>
      <c r="G192" s="26">
        <f>LET(
 id,A192,
 depCount,COUNTIF(tblDependencies[TargetID],id),
 objCount,COUNTIF(tblQuestObjectives[QuestTargetID],id),
 depCount+objCount
)</f>
        <v>1</v>
      </c>
      <c r="H192" s="26">
        <f t="shared" si="2"/>
        <v>1</v>
      </c>
      <c r="I192" s="26">
        <f>IFERROR(__xludf.DUMMYFUNCTION("LET(
 id,A192,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2" s="26">
        <f t="shared" si="3"/>
        <v>0</v>
      </c>
      <c r="K192" s="26" t="b">
        <f t="shared" si="4"/>
        <v>0</v>
      </c>
      <c r="L192" s="26">
        <f t="shared" si="5"/>
        <v>1</v>
      </c>
      <c r="M192" s="26" t="str">
        <f>IFERROR(__xludf.DUMMYFUNCTION("LET(
 id,A192,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L192=0,
  """",
  IFERROR(INDEX(incomplete,1),"""")"&amp;"
 )
)"),"collection.historical_library_2@2")</f>
        <v>collection.historical_library_2@2</v>
      </c>
      <c r="N192" s="26" t="str">
        <f t="array" ref="N192">IF(
 M192="",
 "",
 _xlfn.XLOOKUP(
  M192,
  tblTargets[TargetID],
  tblTargets[DisplayName],
  M192
 )
)</f>
        <v>Historical Library 2 Lv 2</v>
      </c>
      <c r="O192" s="26" t="str">
        <f>IFERROR(__xludf.DUMMYFUNCTION("SWITCH(
 E192,
 ""BUILDING"",XLOOKUP(A192,tblBuildings[BuildingID],tblBuildings[costtext],""""),
 ""TECH"",XLOOKUP(A192,tblTechnologies[TechnologyID],tblTechnologies[costtext],""""),
 ""QUEST"",XLOOKUP(
  REGEXREPLACE(A192,""\.[^.]+$"",""""),
  tblQuests["&amp;"QuestID],
  tblQuests[Costtext],
  """"
 ),
 ""CITADEL"",XLOOKUP(A192,tblCitadel[CitadelID],tblCitadel[costtext],""""),
 ""COLLECTION"",XLOOKUP(A192,tblCollections[CollectionID],tblCollections[costtext],""""),
 ""CRAFTIFACT"",XLOOKUP(A192,tblCraftifacts[C"&amp;"raftifactID],tblCraftifacts[costtext],""""),
 """"
)"),"60 map1,30 map2,15 map3")</f>
        <v>60 map1,30 map2,15 map3</v>
      </c>
      <c r="P192" s="26" t="str">
        <f t="shared" si="6"/>
        <v>BLOCKED</v>
      </c>
      <c r="Q192" s="26" t="str">
        <f t="shared" si="7"/>
        <v>BLOCKED</v>
      </c>
      <c r="R192" s="26">
        <f t="array" ref="R192">IFERROR(
 _xlfn.XLOOKUP(
  A192,
  tblChecklist[TargetID],
  tblChecklist[PlayerSort],
  ""
 ),
 ""
)</f>
        <v>21</v>
      </c>
      <c r="S192" s="26" t="str">
        <f>IFERROR(__xludf.DUMMYFUNCTION("LET(
 id,A192,
 successorIDs,
  IFERROR(
   UNIQUE(
    FILTER(
     {
      Dependencies!$A$2:$A$1000;
      QuestObjectives!$A$2:$A$1000
     },
     {
      Dependencies!$B$2:$B$1000;
      QuestObjectives!$E$2:$E$1000
     }=id
    )
   ),
   """"
  )"&amp;",
 names,
  MAP(
   successorIDs,
   LAMBDA(s,
    IF(
     s="""",
     """",
     XLOOKUP(
      s,
      $A$2:$A$1000,
      $B$2:$B$1000,
      s
     )
    )
   )
  ),
 IF(
  successorIDs="""",
  """",
  TEXTJOIN("", "",TRUE,names)
 )
)"),"")</f>
        <v/>
      </c>
      <c r="T192" s="26" t="str">
        <f t="array" ref="T192">_xlfn.XLOOKUP(
 A192,
 tblTargets[TargetID],
 tblTargets[CompletionMethod],
 ""
)</f>
        <v>PLAYER</v>
      </c>
      <c r="U192" s="84" t="b">
        <f>COUNTIF(tblCost[TargetID],A192)&gt;0</f>
        <v>1</v>
      </c>
      <c r="V192" s="85">
        <f t="array" ref="V192">IF(
 U192=FALSE,
 "",
 _xlfn.XLOOKUP(
  A192,
  tblCost[TargetID],
  tblCost[FundingPercent],
  ""
 )
)</f>
        <v>0</v>
      </c>
      <c r="W192" s="26">
        <f t="array" ref="W192">IF(
 U192=FALSE,
 "",
 _xlfn.XLOOKUP(
  A192,
  tblCost[TargetID],
  tblCost[RemainingRequirements],
  ""
 )
)</f>
        <v>3</v>
      </c>
      <c r="X192" s="45" t="b">
        <f t="array" ref="X192">IF(
 U192=FALSE,
 "N/A",
 _xlfn.XLOOKUP(
  A193,
  tblCost[TargetID],
  tblCost[TargetFunded],
  FALSE
 )
)</f>
        <v>0</v>
      </c>
      <c r="Y192" s="26" t="str">
        <f>IFERROR(__xludf.DUMMYFUNCTION("IFERROR(
 TEXTJOIN(
  "", "",
  TRUE,
  FILTER(
   'cost checklist'!$E$2:$E1000&amp;"": ""&amp;'cost checklist'!$G$2:$G1000,
   'cost checklist'!$B$2:$B1000=A192,
   'cost checklist'!$J$2:$J1000=FALSE
  )
 ),
 """"
)"),"map1: 60, map2: 30, map3: 15")</f>
        <v>map1: 60, map2: 30, map3: 15</v>
      </c>
      <c r="Z192" s="26" t="b">
        <f>IFERROR(__xludf.DUMMYFUNCTION("IF(
 AND(
  E192=""QUEST"",
  RIGHT(A192,9)="".accepted"",
  D192=TRUE
 ),
 XLOOKUP(
  REGEXREPLACE(A192,""\.accepted$"","""")&amp;"".finished"",
  $A$2:$A1000,
  $D$2:$D1000,
  TRUE
 )=FALSE,
 FALSE
)"),FALSE)</f>
        <v>0</v>
      </c>
      <c r="AA192" s="26" t="str">
        <f>IFERROR(__xludf.DUMMYFUNCTION("LET(
 id,A192,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3" ht="14.25" customHeight="1">
      <c r="A193" s="26" t="s">
        <v>662</v>
      </c>
      <c r="B193" s="26" t="str">
        <f t="array" ref="B193">_xlfn.XLOOKUP(
 A193,
 tblTargets[TargetID],
 tblTargets[DisplayName],
 ""
)</f>
        <v>Horse Lv 1</v>
      </c>
      <c r="C193" s="26" t="str">
        <f t="shared" si="1"/>
        <v>BLOCKED</v>
      </c>
      <c r="D193" s="26" t="b">
        <f>IFERROR(__xludf.DUMMYFUNCTION("LET(
 id,A193,
 IF(
  F193=""CHARACTER"",
  LET(
   base,REGEXREPLACE(id,""@\d+$"",""""),
   required,VALUE(REGEXEXTRACT(id,""@(\d+)$"")),
   current,XLOOKUP(
    base,
    tblPlayer[PlayerStateID],
    tblPlayer[Value],
    0
   ),
   current&gt;=required
 "&amp;" ),
  IF(
   T193=""AUTO"",
   L193=0,
   COUNTIFS(
    tblChecklist[TargetID],id,
    tblChecklist[PlayerCompleted],TRUE
   )&gt;0
  )
 )
)"),FALSE)</f>
        <v>0</v>
      </c>
      <c r="E193" s="26" t="str">
        <f t="array" ref="E193">_xlfn.XLOOKUP(
 A193,
 tblTargets[TargetID],
 tblTargets[TargetType],
 ""
)</f>
        <v>COLLECTION</v>
      </c>
      <c r="F193" s="26" t="str">
        <f t="array" ref="F193">_xlfn.XLOOKUP(
 A193,
 tblTargets[TargetID],
 tblTargets[StateType],
 ""
)</f>
        <v/>
      </c>
      <c r="G193" s="26">
        <f>LET(
 id,A193,
 depCount,COUNTIF(tblDependencies[TargetID],id),
 objCount,COUNTIF(tblQuestObjectives[QuestTargetID],id),
 depCount+objCount
)</f>
        <v>2</v>
      </c>
      <c r="H193" s="26">
        <f t="shared" si="2"/>
        <v>2</v>
      </c>
      <c r="I193" s="26">
        <f>IFERROR(__xludf.DUMMYFUNCTION("LET(
 id,A193,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3" s="26">
        <f t="shared" si="3"/>
        <v>0</v>
      </c>
      <c r="K193" s="26" t="b">
        <f t="shared" si="4"/>
        <v>0</v>
      </c>
      <c r="L193" s="26">
        <f t="shared" si="5"/>
        <v>2</v>
      </c>
      <c r="M193" s="26" t="str">
        <f>IFERROR(__xludf.DUMMYFUNCTION("LET(
 id,A193,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L193=0,
  """",
  IFERROR(INDEX(incomplete,1),"""")"&amp;"
 )
)"),"citadel.great_hall")</f>
        <v>citadel.great_hall</v>
      </c>
      <c r="N193" s="26" t="str">
        <f t="array" ref="N193">IF(
 M193="",
 "",
 _xlfn.XLOOKUP(
  M193,
  tblTargets[TargetID],
  tblTargets[DisplayName],
  M193
 )
)</f>
        <v>Great Hall</v>
      </c>
      <c r="O193" s="26" t="str">
        <f>IFERROR(__xludf.DUMMYFUNCTION("SWITCH(
 E193,
 ""BUILDING"",XLOOKUP(A193,tblBuildings[BuildingID],tblBuildings[costtext],""""),
 ""TECH"",XLOOKUP(A193,tblTechnologies[TechnologyID],tblTechnologies[costtext],""""),
 ""QUEST"",XLOOKUP(
  REGEXREPLACE(A193,""\.[^.]+$"",""""),
  tblQuests["&amp;"QuestID],
  tblQuests[Costtext],
  """"
 ),
 ""CITADEL"",XLOOKUP(A193,tblCitadel[CitadelID],tblCitadel[costtext],""""),
 ""COLLECTION"",XLOOKUP(A193,tblCollections[CollectionID],tblCollections[costtext],""""),
 ""CRAFTIFACT"",XLOOKUP(A193,tblCraftifacts[C"&amp;"raftifactID],tblCraftifacts[costtext],""""),
 """"
)"),"3000 coin")</f>
        <v>3000 coin</v>
      </c>
      <c r="P193" s="26" t="str">
        <f t="shared" si="6"/>
        <v>BLOCKED</v>
      </c>
      <c r="Q193" s="26" t="str">
        <f t="shared" si="7"/>
        <v>BLOCKED</v>
      </c>
      <c r="R193" s="26">
        <f t="array" ref="R193">IFERROR(
 _xlfn.XLOOKUP(
  A193,
  tblChecklist[TargetID],
  tblChecklist[PlayerSort],
  ""
 ),
 ""
)</f>
        <v>800</v>
      </c>
      <c r="S193" s="26" t="str">
        <f>IFERROR(__xludf.DUMMYFUNCTION("LET(
 id,A193,
 successorIDs,
  IFERROR(
   UNIQUE(
    FILTER(
     {
      Dependencies!$A$2:$A$1000;
      QuestObjectives!$A$2:$A$1000
     },
     {
      Dependencies!$B$2:$B$1000;
      QuestObjectives!$E$2:$E$1000
     }=id
    )
   ),
   """"
  )"&amp;",
 names,
  MAP(
   successorIDs,
   LAMBDA(s,
    IF(
     s="""",
     """",
     XLOOKUP(
      s,
      $A$2:$A$1000,
      $B$2:$B$1000,
      s
     )
    )
   )
  ),
 IF(
  successorIDs="""",
  """",
  TEXTJOIN("", "",TRUE,names)
 )
)"),"")</f>
        <v/>
      </c>
      <c r="T193" s="26" t="str">
        <f t="array" ref="T193">_xlfn.XLOOKUP(
 A193,
 tblTargets[TargetID],
 tblTargets[CompletionMethod],
 ""
)</f>
        <v>PLAYER</v>
      </c>
      <c r="U193" s="84" t="b">
        <f>COUNTIF(tblCost[TargetID],A193)&gt;0</f>
        <v>1</v>
      </c>
      <c r="V193" s="85">
        <f t="array" ref="V193">IF(
 U193=FALSE,
 "",
 _xlfn.XLOOKUP(
  A193,
  tblCost[TargetID],
  tblCost[FundingPercent],
  ""
 )
)</f>
        <v>0</v>
      </c>
      <c r="W193" s="26">
        <f t="array" ref="W193">IF(
 U193=FALSE,
 "",
 _xlfn.XLOOKUP(
  A193,
  tblCost[TargetID],
  tblCost[RemainingRequirements],
  ""
 )
)</f>
        <v>1</v>
      </c>
      <c r="X193" s="45" t="b">
        <f t="array" ref="X193">IF(
 U193=FALSE,
 "N/A",
 _xlfn.XLOOKUP(
  A194,
  tblCost[TargetID],
  tblCost[TargetFunded],
  FALSE
 )
)</f>
        <v>0</v>
      </c>
      <c r="Y193" s="26" t="str">
        <f>IFERROR(__xludf.DUMMYFUNCTION("IFERROR(
 TEXTJOIN(
  "", "",
  TRUE,
  FILTER(
   'cost checklist'!$E$2:$E1000&amp;"": ""&amp;'cost checklist'!$G$2:$G1000,
   'cost checklist'!$B$2:$B1000=A193,
   'cost checklist'!$J$2:$J1000=FALSE
  )
 ),
 """"
)"),"coin: 3000")</f>
        <v>coin: 3000</v>
      </c>
      <c r="Z193" s="26" t="b">
        <f>IFERROR(__xludf.DUMMYFUNCTION("IF(
 AND(
  E193=""QUEST"",
  RIGHT(A193,9)="".accepted"",
  D193=TRUE
 ),
 XLOOKUP(
  REGEXREPLACE(A193,""\.accepted$"","""")&amp;"".finished"",
  $A$2:$A1000,
  $D$2:$D1000,
  TRUE
 )=FALSE,
 FALSE
)"),FALSE)</f>
        <v>0</v>
      </c>
      <c r="AA193" s="26" t="str">
        <f>IFERROR(__xludf.DUMMYFUNCTION("LET(
 id,A193,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4" ht="14.25" customHeight="1">
      <c r="A194" s="26" t="s">
        <v>666</v>
      </c>
      <c r="B194" s="26" t="str">
        <f t="array" ref="B194">_xlfn.XLOOKUP(
 A194,
 tblTargets[TargetID],
 tblTargets[DisplayName],
 ""
)</f>
        <v>Kitchen And Buttery 1 Lv 1</v>
      </c>
      <c r="C194" s="26" t="str">
        <f t="shared" si="1"/>
        <v>BLOCKED</v>
      </c>
      <c r="D194" s="26" t="b">
        <f>IFERROR(__xludf.DUMMYFUNCTION("LET(
 id,A194,
 IF(
  F194=""CHARACTER"",
  LET(
   base,REGEXREPLACE(id,""@\d+$"",""""),
   required,VALUE(REGEXEXTRACT(id,""@(\d+)$"")),
   current,XLOOKUP(
    base,
    tblPlayer[PlayerStateID],
    tblPlayer[Value],
    0
   ),
   current&gt;=required
 "&amp;" ),
  IF(
   T194=""AUTO"",
   L194=0,
   COUNTIFS(
    tblChecklist[TargetID],id,
    tblChecklist[PlayerCompleted],TRUE
   )&gt;0
  )
 )
)"),FALSE)</f>
        <v>0</v>
      </c>
      <c r="E194" s="26" t="str">
        <f t="array" ref="E194">_xlfn.XLOOKUP(
 A194,
 tblTargets[TargetID],
 tblTargets[TargetType],
 ""
)</f>
        <v>COLLECTION</v>
      </c>
      <c r="F194" s="26" t="str">
        <f t="array" ref="F194">_xlfn.XLOOKUP(
 A194,
 tblTargets[TargetID],
 tblTargets[StateType],
 ""
)</f>
        <v/>
      </c>
      <c r="G194" s="26">
        <f>LET(
 id,A194,
 depCount,COUNTIF(tblDependencies[TargetID],id),
 objCount,COUNTIF(tblQuestObjectives[QuestTargetID],id),
 depCount+objCount
)</f>
        <v>1</v>
      </c>
      <c r="H194" s="26">
        <f t="shared" si="2"/>
        <v>1</v>
      </c>
      <c r="I194" s="26">
        <f>IFERROR(__xludf.DUMMYFUNCTION("LET(
 id,A194,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4" s="26">
        <f t="shared" si="3"/>
        <v>0</v>
      </c>
      <c r="K194" s="26" t="b">
        <f t="shared" si="4"/>
        <v>0</v>
      </c>
      <c r="L194" s="26">
        <f t="shared" si="5"/>
        <v>1</v>
      </c>
      <c r="M194" s="26" t="str">
        <f>IFERROR(__xludf.DUMMYFUNCTION("LET(
 id,A194,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L194=0,
  """",
  IFERROR(INDEX(incomplete,1),"""")"&amp;"
 )
)"),"citadel.kitchen_and_buttery")</f>
        <v>citadel.kitchen_and_buttery</v>
      </c>
      <c r="N194" s="26" t="str">
        <f t="array" ref="N194">IF(
 M194="",
 "",
 _xlfn.XLOOKUP(
  M194,
  tblTargets[TargetID],
  tblTargets[DisplayName],
  M194
 )
)</f>
        <v>Kitchen and Buttery</v>
      </c>
      <c r="O194" s="26" t="str">
        <f>IFERROR(__xludf.DUMMYFUNCTION("SWITCH(
 E194,
 ""BUILDING"",XLOOKUP(A194,tblBuildings[BuildingID],tblBuildings[costtext],""""),
 ""TECH"",XLOOKUP(A194,tblTechnologies[TechnologyID],tblTechnologies[costtext],""""),
 ""QUEST"",XLOOKUP(
  REGEXREPLACE(A194,""\.[^.]+$"",""""),
  tblQuests["&amp;"QuestID],
  tblQuests[Costtext],
  """"
 ),
 ""CITADEL"",XLOOKUP(A194,tblCitadel[CitadelID],tblCitadel[costtext],""""),
 ""COLLECTION"",XLOOKUP(A194,tblCollections[CollectionID],tblCollections[costtext],""""),
 ""CRAFTIFACT"",XLOOKUP(A194,tblCraftifacts[C"&amp;"raftifactID],tblCraftifacts[costtext],""""),
 """"
)"),"10 honey,10 jam,15 oil,50 plank,50 plank.2,50 plank.3,50 plank.4,50 plank.5,50 plank.6,50 plank.7,50 plank.8,15 soy")</f>
        <v>10 honey,10 jam,15 oil,50 plank,50 plank.2,50 plank.3,50 plank.4,50 plank.5,50 plank.6,50 plank.7,50 plank.8,15 soy</v>
      </c>
      <c r="P194" s="26" t="str">
        <f t="shared" si="6"/>
        <v>BLOCKED</v>
      </c>
      <c r="Q194" s="26" t="str">
        <f t="shared" si="7"/>
        <v>BLOCKED</v>
      </c>
      <c r="R194" s="26" t="str">
        <f t="array" ref="R194">IFERROR(
 _xlfn.XLOOKUP(
  A194,
  tblChecklist[TargetID],
  tblChecklist[PlayerSort],
  ""
 ),
 ""
)</f>
        <v/>
      </c>
      <c r="S194" s="26" t="str">
        <f>IFERROR(__xludf.DUMMYFUNCTION("LET(
 id,A194,
 successorIDs,
  IFERROR(
   UNIQUE(
    FILTER(
     {
      Dependencies!$A$2:$A$1000;
      QuestObjectives!$A$2:$A$1000
     },
     {
      Dependencies!$B$2:$B$1000;
      QuestObjectives!$E$2:$E$1000
     }=id
    )
   ),
   """"
  )"&amp;",
 names,
  MAP(
   successorIDs,
   LAMBDA(s,
    IF(
     s="""",
     """",
     XLOOKUP(
      s,
      $A$2:$A$1000,
      $B$2:$B$1000,
      s
     )
    )
   )
  ),
 IF(
  successorIDs="""",
  """",
  TEXTJOIN("", "",TRUE,names)
 )
)"),"Kitchen And Buttery 1 Lv 2")</f>
        <v>Kitchen And Buttery 1 Lv 2</v>
      </c>
      <c r="T194" s="26" t="str">
        <f t="array" ref="T194">_xlfn.XLOOKUP(
 A194,
 tblTargets[TargetID],
 tblTargets[CompletionMethod],
 ""
)</f>
        <v>PLAYER</v>
      </c>
      <c r="U194" s="84" t="b">
        <f>COUNTIF(tblCost[TargetID],A194)&gt;0</f>
        <v>1</v>
      </c>
      <c r="V194" s="85">
        <f t="array" ref="V194">IF(
 U194=FALSE,
 "",
 _xlfn.XLOOKUP(
  A194,
  tblCost[TargetID],
  tblCost[FundingPercent],
  ""
 )
)</f>
        <v>0</v>
      </c>
      <c r="W194" s="26">
        <f t="array" ref="W194">IF(
 U194=FALSE,
 "",
 _xlfn.XLOOKUP(
  A194,
  tblCost[TargetID],
  tblCost[RemainingRequirements],
  ""
 )
)</f>
        <v>12</v>
      </c>
      <c r="X194" s="45" t="b">
        <f t="array" ref="X194">IF(
 U194=FALSE,
 "N/A",
 _xlfn.XLOOKUP(
  A195,
  tblCost[TargetID],
  tblCost[TargetFunded],
  FALSE
 )
)</f>
        <v>0</v>
      </c>
      <c r="Y194" s="26" t="str">
        <f>IFERROR(__xludf.DUMMYFUNCTION("IFERROR(
 TEXTJOIN(
  "", "",
  TRUE,
  FILTER(
   'cost checklist'!$E$2:$E1000&amp;"": ""&amp;'cost checklist'!$G$2:$G1000,
   'cost checklist'!$B$2:$B1000=A194,
   'cost checklist'!$J$2:$J1000=FALSE
  )
 ),
 """"
)"),"honey: 10, jam: 10, oil: 15, plank: 50, plank: 50, plank: 50, plank: 50, plank: 50, plank: 50, plank: 50, plank: 50, soy: 15")</f>
        <v>honey: 10, jam: 10, oil: 15, plank: 50, plank: 50, plank: 50, plank: 50, plank: 50, plank: 50, plank: 50, plank: 50, soy: 15</v>
      </c>
      <c r="Z194" s="26" t="b">
        <f>IFERROR(__xludf.DUMMYFUNCTION("IF(
 AND(
  E194=""QUEST"",
  RIGHT(A194,9)="".accepted"",
  D194=TRUE
 ),
 XLOOKUP(
  REGEXREPLACE(A194,""\.accepted$"","""")&amp;"".finished"",
  $A$2:$A1000,
  $D$2:$D1000,
  TRUE
 )=FALSE,
 FALSE
)"),FALSE)</f>
        <v>0</v>
      </c>
      <c r="AA194" s="26" t="str">
        <f>IFERROR(__xludf.DUMMYFUNCTION("LET(
 id,A194,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5" ht="14.25" customHeight="1">
      <c r="A195" s="26" t="s">
        <v>669</v>
      </c>
      <c r="B195" s="26" t="str">
        <f t="array" ref="B195">_xlfn.XLOOKUP(
 A195,
 tblTargets[TargetID],
 tblTargets[DisplayName],
 ""
)</f>
        <v>Kitchen And Buttery 1 Lv 2</v>
      </c>
      <c r="C195" s="26" t="str">
        <f t="shared" si="1"/>
        <v>BLOCKED</v>
      </c>
      <c r="D195" s="26" t="b">
        <f>IFERROR(__xludf.DUMMYFUNCTION("LET(
 id,A195,
 IF(
  F195=""CHARACTER"",
  LET(
   base,REGEXREPLACE(id,""@\d+$"",""""),
   required,VALUE(REGEXEXTRACT(id,""@(\d+)$"")),
   current,XLOOKUP(
    base,
    tblPlayer[PlayerStateID],
    tblPlayer[Value],
    0
   ),
   current&gt;=required
 "&amp;" ),
  IF(
   T195=""AUTO"",
   L195=0,
   COUNTIFS(
    tblChecklist[TargetID],id,
    tblChecklist[PlayerCompleted],TRUE
   )&gt;0
  )
 )
)"),FALSE)</f>
        <v>0</v>
      </c>
      <c r="E195" s="26" t="str">
        <f t="array" ref="E195">_xlfn.XLOOKUP(
 A195,
 tblTargets[TargetID],
 tblTargets[TargetType],
 ""
)</f>
        <v>COLLECTION</v>
      </c>
      <c r="F195" s="26" t="str">
        <f t="array" ref="F195">_xlfn.XLOOKUP(
 A195,
 tblTargets[TargetID],
 tblTargets[StateType],
 ""
)</f>
        <v/>
      </c>
      <c r="G195" s="26">
        <f>LET(
 id,A195,
 depCount,COUNTIF(tblDependencies[TargetID],id),
 objCount,COUNTIF(tblQuestObjectives[QuestTargetID],id),
 depCount+objCount
)</f>
        <v>1</v>
      </c>
      <c r="H195" s="26">
        <f t="shared" si="2"/>
        <v>1</v>
      </c>
      <c r="I195" s="26">
        <f>IFERROR(__xludf.DUMMYFUNCTION("LET(
 id,A195,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5" s="26">
        <f t="shared" si="3"/>
        <v>0</v>
      </c>
      <c r="K195" s="26" t="b">
        <f t="shared" si="4"/>
        <v>0</v>
      </c>
      <c r="L195" s="26">
        <f t="shared" si="5"/>
        <v>1</v>
      </c>
      <c r="M195" s="26" t="str">
        <f>IFERROR(__xludf.DUMMYFUNCTION("LET(
 id,A195,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L195=0,
  """",
  IFERROR(INDEX(incomplete,1),"""")"&amp;"
 )
)"),"collection.kitchen_and_buttery_1@1")</f>
        <v>collection.kitchen_and_buttery_1@1</v>
      </c>
      <c r="N195" s="26" t="str">
        <f t="array" ref="N195">IF(
 M195="",
 "",
 _xlfn.XLOOKUP(
  M195,
  tblTargets[TargetID],
  tblTargets[DisplayName],
  M195
 )
)</f>
        <v>Kitchen And Buttery 1 Lv 1</v>
      </c>
      <c r="O195" s="26" t="str">
        <f>IFERROR(__xludf.DUMMYFUNCTION("SWITCH(
 E195,
 ""BUILDING"",XLOOKUP(A195,tblBuildings[BuildingID],tblBuildings[costtext],""""),
 ""TECH"",XLOOKUP(A195,tblTechnologies[TechnologyID],tblTechnologies[costtext],""""),
 ""QUEST"",XLOOKUP(
  REGEXREPLACE(A195,""\.[^.]+$"",""""),
  tblQuests["&amp;"QuestID],
  tblQuests[Costtext],
  """"
 ),
 ""CITADEL"",XLOOKUP(A195,tblCitadel[CitadelID],tblCitadel[costtext],""""),
 ""COLLECTION"",XLOOKUP(A195,tblCollections[CollectionID],tblCollections[costtext],""""),
 ""CRAFTIFACT"",XLOOKUP(A195,tblCraftifacts[C"&amp;"raftifactID],tblCraftifacts[costtext],""""),
 """"
)"),"20 honey,20 jam,30 oil,100 plank,100 plank.2,100 plank.3,100 plank.4,100 plank.5,100 plank.6,100 plank.7,100 plank.8,30 soy")</f>
        <v>20 honey,20 jam,30 oil,100 plank,100 plank.2,100 plank.3,100 plank.4,100 plank.5,100 plank.6,100 plank.7,100 plank.8,30 soy</v>
      </c>
      <c r="P195" s="26" t="str">
        <f t="shared" si="6"/>
        <v>BLOCKED</v>
      </c>
      <c r="Q195" s="26" t="str">
        <f t="shared" si="7"/>
        <v>BLOCKED</v>
      </c>
      <c r="R195" s="26" t="str">
        <f t="array" ref="R195">IFERROR(
 _xlfn.XLOOKUP(
  A195,
  tblChecklist[TargetID],
  tblChecklist[PlayerSort],
  ""
 ),
 ""
)</f>
        <v/>
      </c>
      <c r="S195" s="26" t="str">
        <f>IFERROR(__xludf.DUMMYFUNCTION("LET(
 id,A195,
 successorIDs,
  IFERROR(
   UNIQUE(
    FILTER(
     {
      Dependencies!$A$2:$A$1000;
      QuestObjectives!$A$2:$A$1000
     },
     {
      Dependencies!$B$2:$B$1000;
      QuestObjectives!$E$2:$E$1000
     }=id
    )
   ),
   """"
  )"&amp;",
 names,
  MAP(
   successorIDs,
   LAMBDA(s,
    IF(
     s="""",
     """",
     XLOOKUP(
      s,
      $A$2:$A$1000,
      $B$2:$B$1000,
      s
     )
    )
   )
  ),
 IF(
  successorIDs="""",
  """",
  TEXTJOIN("", "",TRUE,names)
 )
)"),"Kitchen And Buttery 1 Lv 3")</f>
        <v>Kitchen And Buttery 1 Lv 3</v>
      </c>
      <c r="T195" s="26" t="str">
        <f t="array" ref="T195">_xlfn.XLOOKUP(
 A195,
 tblTargets[TargetID],
 tblTargets[CompletionMethod],
 ""
)</f>
        <v>PLAYER</v>
      </c>
      <c r="U195" s="84" t="b">
        <f>COUNTIF(tblCost[TargetID],A195)&gt;0</f>
        <v>1</v>
      </c>
      <c r="V195" s="85">
        <f t="array" ref="V195">IF(
 U195=FALSE,
 "",
 _xlfn.XLOOKUP(
  A195,
  tblCost[TargetID],
  tblCost[FundingPercent],
  ""
 )
)</f>
        <v>0</v>
      </c>
      <c r="W195" s="26">
        <f t="array" ref="W195">IF(
 U195=FALSE,
 "",
 _xlfn.XLOOKUP(
  A195,
  tblCost[TargetID],
  tblCost[RemainingRequirements],
  ""
 )
)</f>
        <v>12</v>
      </c>
      <c r="X195" s="45" t="b">
        <f t="array" ref="X195">IF(
 U195=FALSE,
 "N/A",
 _xlfn.XLOOKUP(
  A196,
  tblCost[TargetID],
  tblCost[TargetFunded],
  FALSE
 )
)</f>
        <v>0</v>
      </c>
      <c r="Y195" s="26" t="str">
        <f>IFERROR(__xludf.DUMMYFUNCTION("IFERROR(
 TEXTJOIN(
  "", "",
  TRUE,
  FILTER(
   'cost checklist'!$E$2:$E1000&amp;"": ""&amp;'cost checklist'!$G$2:$G1000,
   'cost checklist'!$B$2:$B1000=A195,
   'cost checklist'!$J$2:$J1000=FALSE
  )
 ),
 """"
)"),"honey: 20, jam: 20, oil: 30, plank: 100, plank: 100, plank: 100, plank: 100, plank: 100, plank: 100, plank: 100, plank: 100, soy: 30")</f>
        <v>honey: 20, jam: 20, oil: 30, plank: 100, plank: 100, plank: 100, plank: 100, plank: 100, plank: 100, plank: 100, plank: 100, soy: 30</v>
      </c>
      <c r="Z195" s="26" t="b">
        <f>IFERROR(__xludf.DUMMYFUNCTION("IF(
 AND(
  E195=""QUEST"",
  RIGHT(A195,9)="".accepted"",
  D195=TRUE
 ),
 XLOOKUP(
  REGEXREPLACE(A195,""\.accepted$"","""")&amp;"".finished"",
  $A$2:$A1000,
  $D$2:$D1000,
  TRUE
 )=FALSE,
 FALSE
)"),FALSE)</f>
        <v>0</v>
      </c>
      <c r="AA195" s="26" t="str">
        <f>IFERROR(__xludf.DUMMYFUNCTION("LET(
 id,A195,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6" ht="14.25" customHeight="1">
      <c r="A196" s="26" t="s">
        <v>673</v>
      </c>
      <c r="B196" s="26" t="str">
        <f t="array" ref="B196">_xlfn.XLOOKUP(
 A196,
 tblTargets[TargetID],
 tblTargets[DisplayName],
 ""
)</f>
        <v>Kitchen And Buttery 1 Lv 3</v>
      </c>
      <c r="C196" s="26" t="str">
        <f t="shared" si="1"/>
        <v>BLOCKED</v>
      </c>
      <c r="D196" s="26" t="b">
        <f>IFERROR(__xludf.DUMMYFUNCTION("LET(
 id,A196,
 IF(
  F196=""CHARACTER"",
  LET(
   base,REGEXREPLACE(id,""@\d+$"",""""),
   required,VALUE(REGEXEXTRACT(id,""@(\d+)$"")),
   current,XLOOKUP(
    base,
    tblPlayer[PlayerStateID],
    tblPlayer[Value],
    0
   ),
   current&gt;=required
 "&amp;" ),
  IF(
   T196=""AUTO"",
   L196=0,
   COUNTIFS(
    tblChecklist[TargetID],id,
    tblChecklist[PlayerCompleted],TRUE
   )&gt;0
  )
 )
)"),FALSE)</f>
        <v>0</v>
      </c>
      <c r="E196" s="26" t="str">
        <f t="array" ref="E196">_xlfn.XLOOKUP(
 A196,
 tblTargets[TargetID],
 tblTargets[TargetType],
 ""
)</f>
        <v>COLLECTION</v>
      </c>
      <c r="F196" s="26" t="str">
        <f t="array" ref="F196">_xlfn.XLOOKUP(
 A196,
 tblTargets[TargetID],
 tblTargets[StateType],
 ""
)</f>
        <v/>
      </c>
      <c r="G196" s="26">
        <f>LET(
 id,A196,
 depCount,COUNTIF(tblDependencies[TargetID],id),
 objCount,COUNTIF(tblQuestObjectives[QuestTargetID],id),
 depCount+objCount
)</f>
        <v>1</v>
      </c>
      <c r="H196" s="26">
        <f t="shared" si="2"/>
        <v>1</v>
      </c>
      <c r="I196" s="26">
        <f>IFERROR(__xludf.DUMMYFUNCTION("LET(
 id,A196,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6" s="26">
        <f t="shared" si="3"/>
        <v>0</v>
      </c>
      <c r="K196" s="26" t="b">
        <f t="shared" si="4"/>
        <v>0</v>
      </c>
      <c r="L196" s="26">
        <f t="shared" si="5"/>
        <v>1</v>
      </c>
      <c r="M196" s="26" t="str">
        <f>IFERROR(__xludf.DUMMYFUNCTION("LET(
 id,A196,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L196=0,
  """",
  IFERROR(INDEX(incomplete,1),"""")"&amp;"
 )
)"),"collection.kitchen_and_buttery_1@2")</f>
        <v>collection.kitchen_and_buttery_1@2</v>
      </c>
      <c r="N196" s="26" t="str">
        <f t="array" ref="N196">IF(
 M196="",
 "",
 _xlfn.XLOOKUP(
  M196,
  tblTargets[TargetID],
  tblTargets[DisplayName],
  M196
 )
)</f>
        <v>Kitchen And Buttery 1 Lv 2</v>
      </c>
      <c r="O196" s="26" t="str">
        <f>IFERROR(__xludf.DUMMYFUNCTION("SWITCH(
 E196,
 ""BUILDING"",XLOOKUP(A196,tblBuildings[BuildingID],tblBuildings[costtext],""""),
 ""TECH"",XLOOKUP(A196,tblTechnologies[TechnologyID],tblTechnologies[costtext],""""),
 ""QUEST"",XLOOKUP(
  REGEXREPLACE(A196,""\.[^.]+$"",""""),
  tblQuests["&amp;"QuestID],
  tblQuests[Costtext],
  """"
 ),
 ""CITADEL"",XLOOKUP(A196,tblCitadel[CitadelID],tblCitadel[costtext],""""),
 ""COLLECTION"",XLOOKUP(A196,tblCollections[CollectionID],tblCollections[costtext],""""),
 ""CRAFTIFACT"",XLOOKUP(A196,tblCraftifacts[C"&amp;"raftifactID],tblCraftifacts[costtext],""""),
 """"
)"),"30 honey,30 jam,45 oil,150 plank,150 plank.2,150 plank.3,150 plank.4,150 plank.5,150 plank.6,150 plank.7,150 plank.8,45 soy")</f>
        <v>30 honey,30 jam,45 oil,150 plank,150 plank.2,150 plank.3,150 plank.4,150 plank.5,150 plank.6,150 plank.7,150 plank.8,45 soy</v>
      </c>
      <c r="P196" s="26" t="str">
        <f t="shared" si="6"/>
        <v>BLOCKED</v>
      </c>
      <c r="Q196" s="26" t="str">
        <f t="shared" si="7"/>
        <v>BLOCKED</v>
      </c>
      <c r="R196" s="26" t="str">
        <f t="array" ref="R196">IFERROR(
 _xlfn.XLOOKUP(
  A196,
  tblChecklist[TargetID],
  tblChecklist[PlayerSort],
  ""
 ),
 ""
)</f>
        <v/>
      </c>
      <c r="S196" s="26" t="str">
        <f>IFERROR(__xludf.DUMMYFUNCTION("LET(
 id,A196,
 successorIDs,
  IFERROR(
   UNIQUE(
    FILTER(
     {
      Dependencies!$A$2:$A$1000;
      QuestObjectives!$A$2:$A$1000
     },
     {
      Dependencies!$B$2:$B$1000;
      QuestObjectives!$E$2:$E$1000
     }=id
    )
   ),
   """"
  )"&amp;",
 names,
  MAP(
   successorIDs,
   LAMBDA(s,
    IF(
     s="""",
     """",
     XLOOKUP(
      s,
      $A$2:$A$1000,
      $B$2:$B$1000,
      s
     )
    )
   )
  ),
 IF(
  successorIDs="""",
  """",
  TEXTJOIN("", "",TRUE,names)
 )
)"),"Kitchen And Buttery 1 Lv 4")</f>
        <v>Kitchen And Buttery 1 Lv 4</v>
      </c>
      <c r="T196" s="26" t="str">
        <f t="array" ref="T196">_xlfn.XLOOKUP(
 A196,
 tblTargets[TargetID],
 tblTargets[CompletionMethod],
 ""
)</f>
        <v>PLAYER</v>
      </c>
      <c r="U196" s="84" t="b">
        <f>COUNTIF(tblCost[TargetID],A196)&gt;0</f>
        <v>1</v>
      </c>
      <c r="V196" s="85">
        <f t="array" ref="V196">IF(
 U196=FALSE,
 "",
 _xlfn.XLOOKUP(
  A196,
  tblCost[TargetID],
  tblCost[FundingPercent],
  ""
 )
)</f>
        <v>0</v>
      </c>
      <c r="W196" s="26">
        <f t="array" ref="W196">IF(
 U196=FALSE,
 "",
 _xlfn.XLOOKUP(
  A196,
  tblCost[TargetID],
  tblCost[RemainingRequirements],
  ""
 )
)</f>
        <v>12</v>
      </c>
      <c r="X196" s="45" t="b">
        <f t="array" ref="X196">IF(
 U196=FALSE,
 "N/A",
 _xlfn.XLOOKUP(
  A197,
  tblCost[TargetID],
  tblCost[TargetFunded],
  FALSE
 )
)</f>
        <v>0</v>
      </c>
      <c r="Y196" s="26" t="str">
        <f>IFERROR(__xludf.DUMMYFUNCTION("IFERROR(
 TEXTJOIN(
  "", "",
  TRUE,
  FILTER(
   'cost checklist'!$E$2:$E1000&amp;"": ""&amp;'cost checklist'!$G$2:$G1000,
   'cost checklist'!$B$2:$B1000=A196,
   'cost checklist'!$J$2:$J1000=FALSE
  )
 ),
 """"
)"),"honey: 30, jam: 30, oil: 45, plank: 150, plank: 150, plank: 150, plank: 150, plank: 150, plank: 150, plank: 150, plank: 150, soy: 45")</f>
        <v>honey: 30, jam: 30, oil: 45, plank: 150, plank: 150, plank: 150, plank: 150, plank: 150, plank: 150, plank: 150, plank: 150, soy: 45</v>
      </c>
      <c r="Z196" s="26" t="b">
        <f>IFERROR(__xludf.DUMMYFUNCTION("IF(
 AND(
  E196=""QUEST"",
  RIGHT(A196,9)="".accepted"",
  D196=TRUE
 ),
 XLOOKUP(
  REGEXREPLACE(A196,""\.accepted$"","""")&amp;"".finished"",
  $A$2:$A1000,
  $D$2:$D1000,
  TRUE
 )=FALSE,
 FALSE
)"),FALSE)</f>
        <v>0</v>
      </c>
      <c r="AA196" s="26" t="str">
        <f>IFERROR(__xludf.DUMMYFUNCTION("LET(
 id,A196,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7" ht="14.25" customHeight="1">
      <c r="A197" s="26" t="s">
        <v>677</v>
      </c>
      <c r="B197" s="26" t="str">
        <f t="array" ref="B197">_xlfn.XLOOKUP(
 A197,
 tblTargets[TargetID],
 tblTargets[DisplayName],
 ""
)</f>
        <v>Kitchen And Buttery 1 Lv 4</v>
      </c>
      <c r="C197" s="26" t="str">
        <f t="shared" si="1"/>
        <v>BLOCKED</v>
      </c>
      <c r="D197" s="26" t="b">
        <f>IFERROR(__xludf.DUMMYFUNCTION("LET(
 id,A197,
 IF(
  F197=""CHARACTER"",
  LET(
   base,REGEXREPLACE(id,""@\d+$"",""""),
   required,VALUE(REGEXEXTRACT(id,""@(\d+)$"")),
   current,XLOOKUP(
    base,
    tblPlayer[PlayerStateID],
    tblPlayer[Value],
    0
   ),
   current&gt;=required
 "&amp;" ),
  IF(
   T197=""AUTO"",
   L197=0,
   COUNTIFS(
    tblChecklist[TargetID],id,
    tblChecklist[PlayerCompleted],TRUE
   )&gt;0
  )
 )
)"),FALSE)</f>
        <v>0</v>
      </c>
      <c r="E197" s="26" t="str">
        <f t="array" ref="E197">_xlfn.XLOOKUP(
 A197,
 tblTargets[TargetID],
 tblTargets[TargetType],
 ""
)</f>
        <v>COLLECTION</v>
      </c>
      <c r="F197" s="26" t="str">
        <f t="array" ref="F197">_xlfn.XLOOKUP(
 A197,
 tblTargets[TargetID],
 tblTargets[StateType],
 ""
)</f>
        <v/>
      </c>
      <c r="G197" s="26">
        <f>LET(
 id,A197,
 depCount,COUNTIF(tblDependencies[TargetID],id),
 objCount,COUNTIF(tblQuestObjectives[QuestTargetID],id),
 depCount+objCount
)</f>
        <v>1</v>
      </c>
      <c r="H197" s="26">
        <f t="shared" si="2"/>
        <v>1</v>
      </c>
      <c r="I197" s="26">
        <f>IFERROR(__xludf.DUMMYFUNCTION("LET(
 id,A197,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7" s="26">
        <f t="shared" si="3"/>
        <v>0</v>
      </c>
      <c r="K197" s="26" t="b">
        <f t="shared" si="4"/>
        <v>0</v>
      </c>
      <c r="L197" s="26">
        <f t="shared" si="5"/>
        <v>1</v>
      </c>
      <c r="M197" s="26" t="str">
        <f>IFERROR(__xludf.DUMMYFUNCTION("LET(
 id,A197,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L197=0,
  """",
  IFERROR(INDEX(incomplete,1),"""")"&amp;"
 )
)"),"collection.kitchen_and_buttery_1@3")</f>
        <v>collection.kitchen_and_buttery_1@3</v>
      </c>
      <c r="N197" s="26" t="str">
        <f t="array" ref="N197">IF(
 M197="",
 "",
 _xlfn.XLOOKUP(
  M197,
  tblTargets[TargetID],
  tblTargets[DisplayName],
  M197
 )
)</f>
        <v>Kitchen And Buttery 1 Lv 3</v>
      </c>
      <c r="O197" s="26" t="str">
        <f>IFERROR(__xludf.DUMMYFUNCTION("SWITCH(
 E197,
 ""BUILDING"",XLOOKUP(A197,tblBuildings[BuildingID],tblBuildings[costtext],""""),
 ""TECH"",XLOOKUP(A197,tblTechnologies[TechnologyID],tblTechnologies[costtext],""""),
 ""QUEST"",XLOOKUP(
  REGEXREPLACE(A197,""\.[^.]+$"",""""),
  tblQuests["&amp;"QuestID],
  tblQuests[Costtext],
  """"
 ),
 ""CITADEL"",XLOOKUP(A197,tblCitadel[CitadelID],tblCitadel[costtext],""""),
 ""COLLECTION"",XLOOKUP(A197,tblCollections[CollectionID],tblCollections[costtext],""""),
 ""CRAFTIFACT"",XLOOKUP(A197,tblCraftifacts[C"&amp;"raftifactID],tblCraftifacts[costtext],""""),
 """"
)"),"40 honey,40 jam,60 oil,200 plank,200 plank.2,200 plank.3,200 plank.4,200 plank.5,200 plank.6,200 plank.7,200 plank.8,60 soy")</f>
        <v>40 honey,40 jam,60 oil,200 plank,200 plank.2,200 plank.3,200 plank.4,200 plank.5,200 plank.6,200 plank.7,200 plank.8,60 soy</v>
      </c>
      <c r="P197" s="26" t="str">
        <f t="shared" si="6"/>
        <v>BLOCKED</v>
      </c>
      <c r="Q197" s="26" t="str">
        <f t="shared" si="7"/>
        <v>BLOCKED</v>
      </c>
      <c r="R197" s="26">
        <f t="array" ref="R197">IFERROR(
 _xlfn.XLOOKUP(
  A197,
  tblChecklist[TargetID],
  tblChecklist[PlayerSort],
  ""
 ),
 ""
)</f>
        <v>23</v>
      </c>
      <c r="S197" s="26" t="str">
        <f>IFERROR(__xludf.DUMMYFUNCTION("LET(
 id,A197,
 successorIDs,
  IFERROR(
   UNIQUE(
    FILTER(
     {
      Dependencies!$A$2:$A$1000;
      QuestObjectives!$A$2:$A$1000
     },
     {
      Dependencies!$B$2:$B$1000;
      QuestObjectives!$E$2:$E$1000
     }=id
    )
   ),
   """"
  )"&amp;",
 names,
  MAP(
   successorIDs,
   LAMBDA(s,
    IF(
     s="""",
     """",
     XLOOKUP(
      s,
      $A$2:$A$1000,
      $B$2:$B$1000,
      s
     )
    )
   )
  ),
 IF(
  successorIDs="""",
  """",
  TEXTJOIN("", "",TRUE,names)
 )
)"),"Kitchen And Buttery 1 Lv 5")</f>
        <v>Kitchen And Buttery 1 Lv 5</v>
      </c>
      <c r="T197" s="26" t="str">
        <f t="array" ref="T197">_xlfn.XLOOKUP(
 A197,
 tblTargets[TargetID],
 tblTargets[CompletionMethod],
 ""
)</f>
        <v>PLAYER</v>
      </c>
      <c r="U197" s="84" t="b">
        <f>COUNTIF(tblCost[TargetID],A197)&gt;0</f>
        <v>1</v>
      </c>
      <c r="V197" s="85">
        <f t="array" ref="V197">IF(
 U197=FALSE,
 "",
 _xlfn.XLOOKUP(
  A197,
  tblCost[TargetID],
  tblCost[FundingPercent],
  ""
 )
)</f>
        <v>0</v>
      </c>
      <c r="W197" s="26">
        <f t="array" ref="W197">IF(
 U197=FALSE,
 "",
 _xlfn.XLOOKUP(
  A197,
  tblCost[TargetID],
  tblCost[RemainingRequirements],
  ""
 )
)</f>
        <v>12</v>
      </c>
      <c r="X197" s="45" t="b">
        <f t="array" ref="X197">IF(
 U197=FALSE,
 "N/A",
 _xlfn.XLOOKUP(
  A198,
  tblCost[TargetID],
  tblCost[TargetFunded],
  FALSE
 )
)</f>
        <v>0</v>
      </c>
      <c r="Y197" s="26" t="str">
        <f>IFERROR(__xludf.DUMMYFUNCTION("IFERROR(
 TEXTJOIN(
  "", "",
  TRUE,
  FILTER(
   'cost checklist'!$E$2:$E1000&amp;"": ""&amp;'cost checklist'!$G$2:$G1000,
   'cost checklist'!$B$2:$B1000=A197,
   'cost checklist'!$J$2:$J1000=FALSE
  )
 ),
 """"
)"),"honey: 40, jam: 40, oil: 60, plank: 200, plank: 200, plank: 200, plank: 200, plank: 200, plank: 200, plank: 200, plank: 200, soy: 60")</f>
        <v>honey: 40, jam: 40, oil: 60, plank: 200, plank: 200, plank: 200, plank: 200, plank: 200, plank: 200, plank: 200, plank: 200, soy: 60</v>
      </c>
      <c r="Z197" s="26" t="b">
        <f>IFERROR(__xludf.DUMMYFUNCTION("IF(
 AND(
  E197=""QUEST"",
  RIGHT(A197,9)="".accepted"",
  D197=TRUE
 ),
 XLOOKUP(
  REGEXREPLACE(A197,""\.accepted$"","""")&amp;"".finished"",
  $A$2:$A1000,
  $D$2:$D1000,
  TRUE
 )=FALSE,
 FALSE
)"),FALSE)</f>
        <v>0</v>
      </c>
      <c r="AA197" s="26" t="str">
        <f>IFERROR(__xludf.DUMMYFUNCTION("LET(
 id,A197,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8" ht="14.25" customHeight="1">
      <c r="A198" s="26" t="s">
        <v>681</v>
      </c>
      <c r="B198" s="26" t="str">
        <f t="array" ref="B198">_xlfn.XLOOKUP(
 A198,
 tblTargets[TargetID],
 tblTargets[DisplayName],
 ""
)</f>
        <v>Kitchen And Buttery 1 Lv 5</v>
      </c>
      <c r="C198" s="26" t="str">
        <f t="shared" si="1"/>
        <v>BLOCKED</v>
      </c>
      <c r="D198" s="26" t="b">
        <f>IFERROR(__xludf.DUMMYFUNCTION("LET(
 id,A198,
 IF(
  F198=""CHARACTER"",
  LET(
   base,REGEXREPLACE(id,""@\d+$"",""""),
   required,VALUE(REGEXEXTRACT(id,""@(\d+)$"")),
   current,XLOOKUP(
    base,
    tblPlayer[PlayerStateID],
    tblPlayer[Value],
    0
   ),
   current&gt;=required
 "&amp;" ),
  IF(
   T198=""AUTO"",
   L198=0,
   COUNTIFS(
    tblChecklist[TargetID],id,
    tblChecklist[PlayerCompleted],TRUE
   )&gt;0
  )
 )
)"),FALSE)</f>
        <v>0</v>
      </c>
      <c r="E198" s="26" t="str">
        <f t="array" ref="E198">_xlfn.XLOOKUP(
 A198,
 tblTargets[TargetID],
 tblTargets[TargetType],
 ""
)</f>
        <v>COLLECTION</v>
      </c>
      <c r="F198" s="26" t="str">
        <f t="array" ref="F198">_xlfn.XLOOKUP(
 A198,
 tblTargets[TargetID],
 tblTargets[StateType],
 ""
)</f>
        <v/>
      </c>
      <c r="G198" s="26">
        <f>LET(
 id,A198,
 depCount,COUNTIF(tblDependencies[TargetID],id),
 objCount,COUNTIF(tblQuestObjectives[QuestTargetID],id),
 depCount+objCount
)</f>
        <v>1</v>
      </c>
      <c r="H198" s="26">
        <f t="shared" si="2"/>
        <v>1</v>
      </c>
      <c r="I198" s="26">
        <f>IFERROR(__xludf.DUMMYFUNCTION("LET(
 id,A198,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8" s="26">
        <f t="shared" si="3"/>
        <v>0</v>
      </c>
      <c r="K198" s="26" t="b">
        <f t="shared" si="4"/>
        <v>0</v>
      </c>
      <c r="L198" s="26">
        <f t="shared" si="5"/>
        <v>1</v>
      </c>
      <c r="M198" s="26" t="str">
        <f>IFERROR(__xludf.DUMMYFUNCTION("LET(
 id,A198,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L198=0,
  """",
  IFERROR(INDEX(incomplete,1),"""")"&amp;"
 )
)"),"collection.kitchen_and_buttery_1@4")</f>
        <v>collection.kitchen_and_buttery_1@4</v>
      </c>
      <c r="N198" s="26" t="str">
        <f t="array" ref="N198">IF(
 M198="",
 "",
 _xlfn.XLOOKUP(
  M198,
  tblTargets[TargetID],
  tblTargets[DisplayName],
  M198
 )
)</f>
        <v>Kitchen And Buttery 1 Lv 4</v>
      </c>
      <c r="O198" s="26" t="str">
        <f>IFERROR(__xludf.DUMMYFUNCTION("SWITCH(
 E198,
 ""BUILDING"",XLOOKUP(A198,tblBuildings[BuildingID],tblBuildings[costtext],""""),
 ""TECH"",XLOOKUP(A198,tblTechnologies[TechnologyID],tblTechnologies[costtext],""""),
 ""QUEST"",XLOOKUP(
  REGEXREPLACE(A198,""\.[^.]+$"",""""),
  tblQuests["&amp;"QuestID],
  tblQuests[Costtext],
  """"
 ),
 ""CITADEL"",XLOOKUP(A198,tblCitadel[CitadelID],tblCitadel[costtext],""""),
 ""COLLECTION"",XLOOKUP(A198,tblCollections[CollectionID],tblCollections[costtext],""""),
 ""CRAFTIFACT"",XLOOKUP(A198,tblCraftifacts[C"&amp;"raftifactID],tblCraftifacts[costtext],""""),
 """"
)"),"50 honey,50 jam,75 oil,250 plank,250 plank.2,250 plank.3,250 plank.4,250 plank.5,250 plank.6,250 plank.7,250 plank.8,75 soy")</f>
        <v>50 honey,50 jam,75 oil,250 plank,250 plank.2,250 plank.3,250 plank.4,250 plank.5,250 plank.6,250 plank.7,250 plank.8,75 soy</v>
      </c>
      <c r="P198" s="26" t="str">
        <f t="shared" si="6"/>
        <v>BLOCKED</v>
      </c>
      <c r="Q198" s="26" t="str">
        <f t="shared" si="7"/>
        <v>BLOCKED</v>
      </c>
      <c r="R198" s="26" t="str">
        <f t="array" ref="R198">IFERROR(
 _xlfn.XLOOKUP(
  A198,
  tblChecklist[TargetID],
  tblChecklist[PlayerSort],
  ""
 ),
 ""
)</f>
        <v/>
      </c>
      <c r="S198" s="26" t="str">
        <f>IFERROR(__xludf.DUMMYFUNCTION("LET(
 id,A198,
 successorIDs,
  IFERROR(
   UNIQUE(
    FILTER(
     {
      Dependencies!$A$2:$A$1000;
      QuestObjectives!$A$2:$A$1000
     },
     {
      Dependencies!$B$2:$B$1000;
      QuestObjectives!$E$2:$E$1000
     }=id
    )
   ),
   """"
  )"&amp;",
 names,
  MAP(
   successorIDs,
   LAMBDA(s,
    IF(
     s="""",
     """",
     XLOOKUP(
      s,
      $A$2:$A$1000,
      $B$2:$B$1000,
      s
     )
    )
   )
  ),
 IF(
  successorIDs="""",
  """",
  TEXTJOIN("", "",TRUE,names)
 )
)"),"")</f>
        <v/>
      </c>
      <c r="T198" s="26" t="str">
        <f t="array" ref="T198">_xlfn.XLOOKUP(
 A198,
 tblTargets[TargetID],
 tblTargets[CompletionMethod],
 ""
)</f>
        <v>PLAYER</v>
      </c>
      <c r="U198" s="84" t="b">
        <f>COUNTIF(tblCost[TargetID],A198)&gt;0</f>
        <v>1</v>
      </c>
      <c r="V198" s="85">
        <f t="array" ref="V198">IF(
 U198=FALSE,
 "",
 _xlfn.XLOOKUP(
  A198,
  tblCost[TargetID],
  tblCost[FundingPercent],
  ""
 )
)</f>
        <v>0</v>
      </c>
      <c r="W198" s="26">
        <f t="array" ref="W198">IF(
 U198=FALSE,
 "",
 _xlfn.XLOOKUP(
  A198,
  tblCost[TargetID],
  tblCost[RemainingRequirements],
  ""
 )
)</f>
        <v>12</v>
      </c>
      <c r="X198" s="45" t="b">
        <f t="array" ref="X198">IF(
 U198=FALSE,
 "N/A",
 _xlfn.XLOOKUP(
  A199,
  tblCost[TargetID],
  tblCost[TargetFunded],
  FALSE
 )
)</f>
        <v>0</v>
      </c>
      <c r="Y198" s="26" t="str">
        <f>IFERROR(__xludf.DUMMYFUNCTION("IFERROR(
 TEXTJOIN(
  "", "",
  TRUE,
  FILTER(
   'cost checklist'!$E$2:$E1000&amp;"": ""&amp;'cost checklist'!$G$2:$G1000,
   'cost checklist'!$B$2:$B1000=A198,
   'cost checklist'!$J$2:$J1000=FALSE
  )
 ),
 """"
)"),"honey: 50, jam: 50, oil: 75, plank: 250, plank: 250, plank: 250, plank: 250, plank: 250, plank: 250, plank: 250, plank: 250, soy: 75")</f>
        <v>honey: 50, jam: 50, oil: 75, plank: 250, plank: 250, plank: 250, plank: 250, plank: 250, plank: 250, plank: 250, plank: 250, soy: 75</v>
      </c>
      <c r="Z198" s="26" t="b">
        <f>IFERROR(__xludf.DUMMYFUNCTION("IF(
 AND(
  E198=""QUEST"",
  RIGHT(A198,9)="".accepted"",
  D198=TRUE
 ),
 XLOOKUP(
  REGEXREPLACE(A198,""\.accepted$"","""")&amp;"".finished"",
  $A$2:$A1000,
  $D$2:$D1000,
  TRUE
 )=FALSE,
 FALSE
)"),FALSE)</f>
        <v>0</v>
      </c>
      <c r="AA198" s="26" t="str">
        <f>IFERROR(__xludf.DUMMYFUNCTION("LET(
 id,A198,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199" ht="14.25" customHeight="1">
      <c r="A199" s="26" t="s">
        <v>685</v>
      </c>
      <c r="B199" s="26" t="str">
        <f t="array" ref="B199">_xlfn.XLOOKUP(
 A199,
 tblTargets[TargetID],
 tblTargets[DisplayName],
 ""
)</f>
        <v>Kitchen And Buttery 2 Lv 1</v>
      </c>
      <c r="C199" s="26" t="str">
        <f t="shared" si="1"/>
        <v>BLOCKED</v>
      </c>
      <c r="D199" s="26" t="b">
        <f>IFERROR(__xludf.DUMMYFUNCTION("LET(
 id,A199,
 IF(
  F199=""CHARACTER"",
  LET(
   base,REGEXREPLACE(id,""@\d+$"",""""),
   required,VALUE(REGEXEXTRACT(id,""@(\d+)$"")),
   current,XLOOKUP(
    base,
    tblPlayer[PlayerStateID],
    tblPlayer[Value],
    0
   ),
   current&gt;=required
 "&amp;" ),
  IF(
   T199=""AUTO"",
   L199=0,
   COUNTIFS(
    tblChecklist[TargetID],id,
    tblChecklist[PlayerCompleted],TRUE
   )&gt;0
  )
 )
)"),FALSE)</f>
        <v>0</v>
      </c>
      <c r="E199" s="26" t="str">
        <f t="array" ref="E199">_xlfn.XLOOKUP(
 A199,
 tblTargets[TargetID],
 tblTargets[TargetType],
 ""
)</f>
        <v>COLLECTION</v>
      </c>
      <c r="F199" s="26" t="str">
        <f t="array" ref="F199">_xlfn.XLOOKUP(
 A199,
 tblTargets[TargetID],
 tblTargets[StateType],
 ""
)</f>
        <v/>
      </c>
      <c r="G199" s="26">
        <f>LET(
 id,A199,
 depCount,COUNTIF(tblDependencies[TargetID],id),
 objCount,COUNTIF(tblQuestObjectives[QuestTargetID],id),
 depCount+objCount
)</f>
        <v>1</v>
      </c>
      <c r="H199" s="26">
        <f t="shared" si="2"/>
        <v>1</v>
      </c>
      <c r="I199" s="26">
        <f>IFERROR(__xludf.DUMMYFUNCTION("LET(
 id,A199,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199" s="26">
        <f t="shared" si="3"/>
        <v>0</v>
      </c>
      <c r="K199" s="26" t="b">
        <f t="shared" si="4"/>
        <v>0</v>
      </c>
      <c r="L199" s="26">
        <f t="shared" si="5"/>
        <v>1</v>
      </c>
      <c r="M199" s="26" t="str">
        <f>IFERROR(__xludf.DUMMYFUNCTION("LET(
 id,A199,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L199=0,
  """",
  IFERROR(INDEX(incomplete,1),"""")"&amp;"
 )
)"),"citadel.kitchen_and_buttery")</f>
        <v>citadel.kitchen_and_buttery</v>
      </c>
      <c r="N199" s="26" t="str">
        <f t="array" ref="N199">IF(
 M199="",
 "",
 _xlfn.XLOOKUP(
  M199,
  tblTargets[TargetID],
  tblTargets[DisplayName],
  M199
 )
)</f>
        <v>Kitchen and Buttery</v>
      </c>
      <c r="O199" s="26" t="str">
        <f>IFERROR(__xludf.DUMMYFUNCTION("SWITCH(
 E199,
 ""BUILDING"",XLOOKUP(A199,tblBuildings[BuildingID],tblBuildings[costtext],""""),
 ""TECH"",XLOOKUP(A199,tblTechnologies[TechnologyID],tblTechnologies[costtext],""""),
 ""QUEST"",XLOOKUP(
  REGEXREPLACE(A199,""\.[^.]+$"",""""),
  tblQuests["&amp;"QuestID],
  tblQuests[Costtext],
  """"
 ),
 ""CITADEL"",XLOOKUP(A199,tblCitadel[CitadelID],tblCitadel[costtext],""""),
 ""COLLECTION"",XLOOKUP(A199,tblCollections[CollectionID],tblCollections[costtext],""""),
 ""CRAFTIFACT"",XLOOKUP(A199,tblCraftifacts[C"&amp;"raftifactID],tblCraftifacts[costtext],""""),
 """"
)"),"100 charcoal,20 oil,100 plank,100 plank.2,200 plank.3")</f>
        <v>100 charcoal,20 oil,100 plank,100 plank.2,200 plank.3</v>
      </c>
      <c r="P199" s="26" t="str">
        <f t="shared" si="6"/>
        <v>BLOCKED</v>
      </c>
      <c r="Q199" s="26" t="str">
        <f t="shared" si="7"/>
        <v>BLOCKED</v>
      </c>
      <c r="R199" s="26" t="str">
        <f t="array" ref="R199">IFERROR(
 _xlfn.XLOOKUP(
  A199,
  tblChecklist[TargetID],
  tblChecklist[PlayerSort],
  ""
 ),
 ""
)</f>
        <v/>
      </c>
      <c r="S199" s="26" t="str">
        <f>IFERROR(__xludf.DUMMYFUNCTION("LET(
 id,A199,
 successorIDs,
  IFERROR(
   UNIQUE(
    FILTER(
     {
      Dependencies!$A$2:$A$1000;
      QuestObjectives!$A$2:$A$1000
     },
     {
      Dependencies!$B$2:$B$1000;
      QuestObjectives!$E$2:$E$1000
     }=id
    )
   ),
   """"
  )"&amp;",
 names,
  MAP(
   successorIDs,
   LAMBDA(s,
    IF(
     s="""",
     """",
     XLOOKUP(
      s,
      $A$2:$A$1000,
      $B$2:$B$1000,
      s
     )
    )
   )
  ),
 IF(
  successorIDs="""",
  """",
  TEXTJOIN("", "",TRUE,names)
 )
)"),"")</f>
        <v/>
      </c>
      <c r="T199" s="26" t="str">
        <f t="array" ref="T199">_xlfn.XLOOKUP(
 A199,
 tblTargets[TargetID],
 tblTargets[CompletionMethod],
 ""
)</f>
        <v>PLAYER</v>
      </c>
      <c r="U199" s="84" t="b">
        <f>COUNTIF(tblCost[TargetID],A199)&gt;0</f>
        <v>1</v>
      </c>
      <c r="V199" s="85">
        <f t="array" ref="V199">IF(
 U199=FALSE,
 "",
 _xlfn.XLOOKUP(
  A199,
  tblCost[TargetID],
  tblCost[FundingPercent],
  ""
 )
)</f>
        <v>0</v>
      </c>
      <c r="W199" s="26">
        <f t="array" ref="W199">IF(
 U199=FALSE,
 "",
 _xlfn.XLOOKUP(
  A199,
  tblCost[TargetID],
  tblCost[RemainingRequirements],
  ""
 )
)</f>
        <v>5</v>
      </c>
      <c r="X199" s="45" t="b">
        <f t="array" ref="X199">IF(
 U199=FALSE,
 "N/A",
 _xlfn.XLOOKUP(
  A200,
  tblCost[TargetID],
  tblCost[TargetFunded],
  FALSE
 )
)</f>
        <v>0</v>
      </c>
      <c r="Y199" s="26" t="str">
        <f>IFERROR(__xludf.DUMMYFUNCTION("IFERROR(
 TEXTJOIN(
  "", "",
  TRUE,
  FILTER(
   'cost checklist'!$E$2:$E1000&amp;"": ""&amp;'cost checklist'!$G$2:$G1000,
   'cost checklist'!$B$2:$B1000=A199,
   'cost checklist'!$J$2:$J1000=FALSE
  )
 ),
 """"
)"),"charcoal: 100, oil: 20, plank: 100, plank: 100, plank: 200")</f>
        <v>charcoal: 100, oil: 20, plank: 100, plank: 100, plank: 200</v>
      </c>
      <c r="Z199" s="26" t="b">
        <f>IFERROR(__xludf.DUMMYFUNCTION("IF(
 AND(
  E199=""QUEST"",
  RIGHT(A199,9)="".accepted"",
  D199=TRUE
 ),
 XLOOKUP(
  REGEXREPLACE(A199,""\.accepted$"","""")&amp;"".finished"",
  $A$2:$A1000,
  $D$2:$D1000,
  TRUE
 )=FALSE,
 FALSE
)"),FALSE)</f>
        <v>0</v>
      </c>
      <c r="AA199" s="26" t="str">
        <f>IFERROR(__xludf.DUMMYFUNCTION("LET(
 id,A199,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0" ht="14.25" customHeight="1">
      <c r="A200" s="26" t="s">
        <v>691</v>
      </c>
      <c r="B200" s="26" t="str">
        <f t="array" ref="B200">_xlfn.XLOOKUP(
 A200,
 tblTargets[TargetID],
 tblTargets[DisplayName],
 ""
)</f>
        <v>Mushroom Farm Lv 1</v>
      </c>
      <c r="C200" s="26" t="str">
        <f t="shared" si="1"/>
        <v>BLOCKED</v>
      </c>
      <c r="D200" s="26" t="b">
        <f>IFERROR(__xludf.DUMMYFUNCTION("LET(
 id,A200,
 IF(
  F200=""CHARACTER"",
  LET(
   base,REGEXREPLACE(id,""@\d+$"",""""),
   required,VALUE(REGEXEXTRACT(id,""@(\d+)$"")),
   current,XLOOKUP(
    base,
    tblPlayer[PlayerStateID],
    tblPlayer[Value],
    0
   ),
   current&gt;=required
 "&amp;" ),
  IF(
   T200=""AUTO"",
   L200=0,
   COUNTIFS(
    tblChecklist[TargetID],id,
    tblChecklist[PlayerCompleted],TRUE
   )&gt;0
  )
 )
)"),FALSE)</f>
        <v>0</v>
      </c>
      <c r="E200" s="26" t="str">
        <f t="array" ref="E200">_xlfn.XLOOKUP(
 A200,
 tblTargets[TargetID],
 tblTargets[TargetType],
 ""
)</f>
        <v>COLLECTION</v>
      </c>
      <c r="F200" s="26" t="str">
        <f t="array" ref="F200">_xlfn.XLOOKUP(
 A200,
 tblTargets[TargetID],
 tblTargets[StateType],
 ""
)</f>
        <v/>
      </c>
      <c r="G200" s="26">
        <f>LET(
 id,A200,
 depCount,COUNTIF(tblDependencies[TargetID],id),
 objCount,COUNTIF(tblQuestObjectives[QuestTargetID],id),
 depCount+objCount
)</f>
        <v>1</v>
      </c>
      <c r="H200" s="26">
        <f t="shared" si="2"/>
        <v>1</v>
      </c>
      <c r="I200" s="26">
        <f>IFERROR(__xludf.DUMMYFUNCTION("LET(
 id,A200,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0" s="26">
        <f t="shared" si="3"/>
        <v>0</v>
      </c>
      <c r="K200" s="26" t="b">
        <f t="shared" si="4"/>
        <v>0</v>
      </c>
      <c r="L200" s="26">
        <f t="shared" si="5"/>
        <v>1</v>
      </c>
      <c r="M200" s="26" t="str">
        <f>IFERROR(__xludf.DUMMYFUNCTION("LET(
 id,A200,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L200=0,
  """",
  IFERROR(INDEX(incomplete,1),"""")"&amp;"
 )
)"),"citadel.mushroom_farm")</f>
        <v>citadel.mushroom_farm</v>
      </c>
      <c r="N200" s="26" t="str">
        <f t="array" ref="N200">IF(
 M200="",
 "",
 _xlfn.XLOOKUP(
  M200,
  tblTargets[TargetID],
  tblTargets[DisplayName],
  M200
 )
)</f>
        <v>Mushroom Farm</v>
      </c>
      <c r="O200" s="26" t="str">
        <f>IFERROR(__xludf.DUMMYFUNCTION("SWITCH(
 E200,
 ""BUILDING"",XLOOKUP(A200,tblBuildings[BuildingID],tblBuildings[costtext],""""),
 ""TECH"",XLOOKUP(A200,tblTechnologies[TechnologyID],tblTechnologies[costtext],""""),
 ""QUEST"",XLOOKUP(
  REGEXREPLACE(A200,""\.[^.]+$"",""""),
  tblQuests["&amp;"QuestID],
  tblQuests[Costtext],
  """"
 ),
 ""CITADEL"",XLOOKUP(A200,tblCitadel[CitadelID],tblCitadel[costtext],""""),
 ""COLLECTION"",XLOOKUP(A200,tblCollections[CollectionID],tblCollections[costtext],""""),
 ""CRAFTIFACT"",XLOOKUP(A200,tblCraftifacts[C"&amp;"raftifactID],tblCraftifacts[costtext],""""),
 """"
)"),"10 mushrooms,10 mushrooms.2,10 mushrooms.3,10 mushrooms.4,10 mushrooms.5,10 mushrooms.6")</f>
        <v>10 mushrooms,10 mushrooms.2,10 mushrooms.3,10 mushrooms.4,10 mushrooms.5,10 mushrooms.6</v>
      </c>
      <c r="P200" s="26" t="str">
        <f t="shared" si="6"/>
        <v>BLOCKED</v>
      </c>
      <c r="Q200" s="26" t="str">
        <f t="shared" si="7"/>
        <v>BLOCKED</v>
      </c>
      <c r="R200" s="26" t="str">
        <f t="array" ref="R200">IFERROR(
 _xlfn.XLOOKUP(
  A200,
  tblChecklist[TargetID],
  tblChecklist[PlayerSort],
  ""
 ),
 ""
)</f>
        <v/>
      </c>
      <c r="S200" s="26" t="str">
        <f>IFERROR(__xludf.DUMMYFUNCTION("LET(
 id,A200,
 successorIDs,
  IFERROR(
   UNIQUE(
    FILTER(
     {
      Dependencies!$A$2:$A$1000;
      QuestObjectives!$A$2:$A$1000
     },
     {
      Dependencies!$B$2:$B$1000;
      QuestObjectives!$E$2:$E$1000
     }=id
    )
   ),
   """"
  )"&amp;",
 names,
  MAP(
   successorIDs,
   LAMBDA(s,
    IF(
     s="""",
     """",
     XLOOKUP(
      s,
      $A$2:$A$1000,
      $B$2:$B$1000,
      s
     )
    )
   )
  ),
 IF(
  successorIDs="""",
  """",
  TEXTJOIN("", "",TRUE,names)
 )
)"),"Mushroom Farm Lv 2")</f>
        <v>Mushroom Farm Lv 2</v>
      </c>
      <c r="T200" s="26" t="str">
        <f t="array" ref="T200">_xlfn.XLOOKUP(
 A200,
 tblTargets[TargetID],
 tblTargets[CompletionMethod],
 ""
)</f>
        <v>PLAYER</v>
      </c>
      <c r="U200" s="84" t="b">
        <f>COUNTIF(tblCost[TargetID],A200)&gt;0</f>
        <v>1</v>
      </c>
      <c r="V200" s="85">
        <f t="array" ref="V200">IF(
 U200=FALSE,
 "",
 _xlfn.XLOOKUP(
  A200,
  tblCost[TargetID],
  tblCost[FundingPercent],
  ""
 )
)</f>
        <v>0</v>
      </c>
      <c r="W200" s="26">
        <f t="array" ref="W200">IF(
 U200=FALSE,
 "",
 _xlfn.XLOOKUP(
  A200,
  tblCost[TargetID],
  tblCost[RemainingRequirements],
  ""
 )
)</f>
        <v>6</v>
      </c>
      <c r="X200" s="45" t="b">
        <f t="array" ref="X200">IF(
 U200=FALSE,
 "N/A",
 _xlfn.XLOOKUP(
  A201,
  tblCost[TargetID],
  tblCost[TargetFunded],
  FALSE
 )
)</f>
        <v>0</v>
      </c>
      <c r="Y200" s="26" t="str">
        <f>IFERROR(__xludf.DUMMYFUNCTION("IFERROR(
 TEXTJOIN(
  "", "",
  TRUE,
  FILTER(
   'cost checklist'!$E$2:$E1000&amp;"": ""&amp;'cost checklist'!$G$2:$G1000,
   'cost checklist'!$B$2:$B1000=A200,
   'cost checklist'!$J$2:$J1000=FALSE
  )
 ),
 """"
)"),"mushrooms: 10, mushrooms: 10, mushrooms: 10, mushrooms: 10, mushrooms: 10, mushrooms: 10")</f>
        <v>mushrooms: 10, mushrooms: 10, mushrooms: 10, mushrooms: 10, mushrooms: 10, mushrooms: 10</v>
      </c>
      <c r="Z200" s="26" t="b">
        <f>IFERROR(__xludf.DUMMYFUNCTION("IF(
 AND(
  E200=""QUEST"",
  RIGHT(A200,9)="".accepted"",
  D200=TRUE
 ),
 XLOOKUP(
  REGEXREPLACE(A200,""\.accepted$"","""")&amp;"".finished"",
  $A$2:$A1000,
  $D$2:$D1000,
  TRUE
 )=FALSE,
 FALSE
)"),FALSE)</f>
        <v>0</v>
      </c>
      <c r="AA200" s="26" t="str">
        <f>IFERROR(__xludf.DUMMYFUNCTION("LET(
 id,A200,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1" ht="14.25" customHeight="1">
      <c r="A201" s="26" t="s">
        <v>695</v>
      </c>
      <c r="B201" s="26" t="str">
        <f t="array" ref="B201">_xlfn.XLOOKUP(
 A201,
 tblTargets[TargetID],
 tblTargets[DisplayName],
 ""
)</f>
        <v>Mushroom Farm Lv 2</v>
      </c>
      <c r="C201" s="26" t="str">
        <f t="shared" si="1"/>
        <v>BLOCKED</v>
      </c>
      <c r="D201" s="26" t="b">
        <f>IFERROR(__xludf.DUMMYFUNCTION("LET(
 id,A201,
 IF(
  F201=""CHARACTER"",
  LET(
   base,REGEXREPLACE(id,""@\d+$"",""""),
   required,VALUE(REGEXEXTRACT(id,""@(\d+)$"")),
   current,XLOOKUP(
    base,
    tblPlayer[PlayerStateID],
    tblPlayer[Value],
    0
   ),
   current&gt;=required
 "&amp;" ),
  IF(
   T201=""AUTO"",
   L201=0,
   COUNTIFS(
    tblChecklist[TargetID],id,
    tblChecklist[PlayerCompleted],TRUE
   )&gt;0
  )
 )
)"),FALSE)</f>
        <v>0</v>
      </c>
      <c r="E201" s="26" t="str">
        <f t="array" ref="E201">_xlfn.XLOOKUP(
 A201,
 tblTargets[TargetID],
 tblTargets[TargetType],
 ""
)</f>
        <v>COLLECTION</v>
      </c>
      <c r="F201" s="26" t="str">
        <f t="array" ref="F201">_xlfn.XLOOKUP(
 A201,
 tblTargets[TargetID],
 tblTargets[StateType],
 ""
)</f>
        <v/>
      </c>
      <c r="G201" s="26">
        <f>LET(
 id,A201,
 depCount,COUNTIF(tblDependencies[TargetID],id),
 objCount,COUNTIF(tblQuestObjectives[QuestTargetID],id),
 depCount+objCount
)</f>
        <v>1</v>
      </c>
      <c r="H201" s="26">
        <f t="shared" si="2"/>
        <v>1</v>
      </c>
      <c r="I201" s="26">
        <f>IFERROR(__xludf.DUMMYFUNCTION("LET(
 id,A201,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1" s="26">
        <f t="shared" si="3"/>
        <v>0</v>
      </c>
      <c r="K201" s="26" t="b">
        <f t="shared" si="4"/>
        <v>0</v>
      </c>
      <c r="L201" s="26">
        <f t="shared" si="5"/>
        <v>1</v>
      </c>
      <c r="M201" s="26" t="str">
        <f>IFERROR(__xludf.DUMMYFUNCTION("LET(
 id,A201,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L201=0,
  """",
  IFERROR(INDEX(incomplete,1),"""")"&amp;"
 )
)"),"collection.mushroom_farm@1")</f>
        <v>collection.mushroom_farm@1</v>
      </c>
      <c r="N201" s="26" t="str">
        <f t="array" ref="N201">IF(
 M201="",
 "",
 _xlfn.XLOOKUP(
  M201,
  tblTargets[TargetID],
  tblTargets[DisplayName],
  M201
 )
)</f>
        <v>Mushroom Farm Lv 1</v>
      </c>
      <c r="O201" s="26" t="str">
        <f>IFERROR(__xludf.DUMMYFUNCTION("SWITCH(
 E201,
 ""BUILDING"",XLOOKUP(A201,tblBuildings[BuildingID],tblBuildings[costtext],""""),
 ""TECH"",XLOOKUP(A201,tblTechnologies[TechnologyID],tblTechnologies[costtext],""""),
 ""QUEST"",XLOOKUP(
  REGEXREPLACE(A201,""\.[^.]+$"",""""),
  tblQuests["&amp;"QuestID],
  tblQuests[Costtext],
  """"
 ),
 ""CITADEL"",XLOOKUP(A201,tblCitadel[CitadelID],tblCitadel[costtext],""""),
 ""COLLECTION"",XLOOKUP(A201,tblCollections[CollectionID],tblCollections[costtext],""""),
 ""CRAFTIFACT"",XLOOKUP(A201,tblCraftifacts[C"&amp;"raftifactID],tblCraftifacts[costtext],""""),
 """"
)"),"20 mushrooms,20 mushrooms.2,20 mushrooms.3,20 mushrooms.4,20 mushrooms.5,20 mushrooms.6")</f>
        <v>20 mushrooms,20 mushrooms.2,20 mushrooms.3,20 mushrooms.4,20 mushrooms.5,20 mushrooms.6</v>
      </c>
      <c r="P201" s="26" t="str">
        <f t="shared" si="6"/>
        <v>BLOCKED</v>
      </c>
      <c r="Q201" s="26" t="str">
        <f t="shared" si="7"/>
        <v>BLOCKED</v>
      </c>
      <c r="R201" s="26" t="str">
        <f t="array" ref="R201">IFERROR(
 _xlfn.XLOOKUP(
  A201,
  tblChecklist[TargetID],
  tblChecklist[PlayerSort],
  ""
 ),
 ""
)</f>
        <v/>
      </c>
      <c r="S201" s="26" t="str">
        <f>IFERROR(__xludf.DUMMYFUNCTION("LET(
 id,A201,
 successorIDs,
  IFERROR(
   UNIQUE(
    FILTER(
     {
      Dependencies!$A$2:$A$1000;
      QuestObjectives!$A$2:$A$1000
     },
     {
      Dependencies!$B$2:$B$1000;
      QuestObjectives!$E$2:$E$1000
     }=id
    )
   ),
   """"
  )"&amp;",
 names,
  MAP(
   successorIDs,
   LAMBDA(s,
    IF(
     s="""",
     """",
     XLOOKUP(
      s,
      $A$2:$A$1000,
      $B$2:$B$1000,
      s
     )
    )
   )
  ),
 IF(
  successorIDs="""",
  """",
  TEXTJOIN("", "",TRUE,names)
 )
)"),"")</f>
        <v/>
      </c>
      <c r="T201" s="26" t="str">
        <f t="array" ref="T201">_xlfn.XLOOKUP(
 A201,
 tblTargets[TargetID],
 tblTargets[CompletionMethod],
 ""
)</f>
        <v>PLAYER</v>
      </c>
      <c r="U201" s="84" t="b">
        <f>COUNTIF(tblCost[TargetID],A201)&gt;0</f>
        <v>1</v>
      </c>
      <c r="V201" s="85">
        <f t="array" ref="V201">IF(
 U201=FALSE,
 "",
 _xlfn.XLOOKUP(
  A201,
  tblCost[TargetID],
  tblCost[FundingPercent],
  ""
 )
)</f>
        <v>0</v>
      </c>
      <c r="W201" s="26">
        <f t="array" ref="W201">IF(
 U201=FALSE,
 "",
 _xlfn.XLOOKUP(
  A201,
  tblCost[TargetID],
  tblCost[RemainingRequirements],
  ""
 )
)</f>
        <v>6</v>
      </c>
      <c r="X201" s="45" t="b">
        <f t="array" ref="X201">IF(
 U201=FALSE,
 "N/A",
 _xlfn.XLOOKUP(
  A202,
  tblCost[TargetID],
  tblCost[TargetFunded],
  FALSE
 )
)</f>
        <v>0</v>
      </c>
      <c r="Y201" s="26" t="str">
        <f>IFERROR(__xludf.DUMMYFUNCTION("IFERROR(
 TEXTJOIN(
  "", "",
  TRUE,
  FILTER(
   'cost checklist'!$E$2:$E1000&amp;"": ""&amp;'cost checklist'!$G$2:$G1000,
   'cost checklist'!$B$2:$B1000=A201,
   'cost checklist'!$J$2:$J1000=FALSE
  )
 ),
 """"
)"),"mushrooms: 20, mushrooms: 20, mushrooms: 20, mushrooms: 20, mushrooms: 20, mushrooms: 20")</f>
        <v>mushrooms: 20, mushrooms: 20, mushrooms: 20, mushrooms: 20, mushrooms: 20, mushrooms: 20</v>
      </c>
      <c r="Z201" s="26" t="b">
        <f>IFERROR(__xludf.DUMMYFUNCTION("IF(
 AND(
  E201=""QUEST"",
  RIGHT(A201,9)="".accepted"",
  D201=TRUE
 ),
 XLOOKUP(
  REGEXREPLACE(A201,""\.accepted$"","""")&amp;"".finished"",
  $A$2:$A1000,
  $D$2:$D1000,
  TRUE
 )=FALSE,
 FALSE
)"),FALSE)</f>
        <v>0</v>
      </c>
      <c r="AA201" s="26" t="str">
        <f>IFERROR(__xludf.DUMMYFUNCTION("LET(
 id,A201,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2" ht="14.25" customHeight="1">
      <c r="A202" s="26" t="s">
        <v>698</v>
      </c>
      <c r="B202" s="26" t="str">
        <f t="array" ref="B202">_xlfn.XLOOKUP(
 A202,
 tblTargets[TargetID],
 tblTargets[DisplayName],
 ""
)</f>
        <v>Orangery Lv 1</v>
      </c>
      <c r="C202" s="26" t="str">
        <f t="shared" si="1"/>
        <v>BLOCKED</v>
      </c>
      <c r="D202" s="26" t="b">
        <f>IFERROR(__xludf.DUMMYFUNCTION("LET(
 id,A202,
 IF(
  F202=""CHARACTER"",
  LET(
   base,REGEXREPLACE(id,""@\d+$"",""""),
   required,VALUE(REGEXEXTRACT(id,""@(\d+)$"")),
   current,XLOOKUP(
    base,
    tblPlayer[PlayerStateID],
    tblPlayer[Value],
    0
   ),
   current&gt;=required
 "&amp;" ),
  IF(
   T202=""AUTO"",
   L202=0,
   COUNTIFS(
    tblChecklist[TargetID],id,
    tblChecklist[PlayerCompleted],TRUE
   )&gt;0
  )
 )
)"),FALSE)</f>
        <v>0</v>
      </c>
      <c r="E202" s="26" t="str">
        <f t="array" ref="E202">_xlfn.XLOOKUP(
 A202,
 tblTargets[TargetID],
 tblTargets[TargetType],
 ""
)</f>
        <v>COLLECTION</v>
      </c>
      <c r="F202" s="26" t="str">
        <f t="array" ref="F202">_xlfn.XLOOKUP(
 A202,
 tblTargets[TargetID],
 tblTargets[StateType],
 ""
)</f>
        <v/>
      </c>
      <c r="G202" s="26">
        <f>LET(
 id,A202,
 depCount,COUNTIF(tblDependencies[TargetID],id),
 objCount,COUNTIF(tblQuestObjectives[QuestTargetID],id),
 depCount+objCount
)</f>
        <v>1</v>
      </c>
      <c r="H202" s="26">
        <f t="shared" si="2"/>
        <v>1</v>
      </c>
      <c r="I202" s="26">
        <f>IFERROR(__xludf.DUMMYFUNCTION("LET(
 id,A202,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2" s="26">
        <f t="shared" si="3"/>
        <v>0</v>
      </c>
      <c r="K202" s="26" t="b">
        <f t="shared" si="4"/>
        <v>0</v>
      </c>
      <c r="L202" s="26">
        <f t="shared" si="5"/>
        <v>1</v>
      </c>
      <c r="M202" s="26" t="str">
        <f>IFERROR(__xludf.DUMMYFUNCTION("LET(
 id,A202,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L202=0,
  """",
  IFERROR(INDEX(incomplete,1),"""")"&amp;"
 )
)"),"citadel.orangery")</f>
        <v>citadel.orangery</v>
      </c>
      <c r="N202" s="26" t="str">
        <f t="array" ref="N202">IF(
 M202="",
 "",
 _xlfn.XLOOKUP(
  M202,
  tblTargets[TargetID],
  tblTargets[DisplayName],
  M202
 )
)</f>
        <v>Orangery</v>
      </c>
      <c r="O202" s="26" t="str">
        <f>IFERROR(__xludf.DUMMYFUNCTION("SWITCH(
 E202,
 ""BUILDING"",XLOOKUP(A202,tblBuildings[BuildingID],tblBuildings[costtext],""""),
 ""TECH"",XLOOKUP(A202,tblTechnologies[TechnologyID],tblTechnologies[costtext],""""),
 ""QUEST"",XLOOKUP(
  REGEXREPLACE(A202,""\.[^.]+$"",""""),
  tblQuests["&amp;"QuestID],
  tblQuests[Costtext],
  """"
 ),
 ""CITADEL"",XLOOKUP(A202,tblCitadel[CitadelID],tblCitadel[costtext],""""),
 ""COLLECTION"",XLOOKUP(A202,tblCollections[CollectionID],tblCollections[costtext],""""),
 ""CRAFTIFACT"",XLOOKUP(A202,tblCraftifacts[C"&amp;"raftifactID],tblCraftifacts[costtext],""""),
 """"
)"),"10 cherry,10 cherry.2,10 cherry.3,10 cherry.4,10 cherry.5,10 cherry.6,50 stone,50 stone.2")</f>
        <v>10 cherry,10 cherry.2,10 cherry.3,10 cherry.4,10 cherry.5,10 cherry.6,50 stone,50 stone.2</v>
      </c>
      <c r="P202" s="26" t="str">
        <f t="shared" si="6"/>
        <v>BLOCKED</v>
      </c>
      <c r="Q202" s="26" t="str">
        <f t="shared" si="7"/>
        <v>BLOCKED</v>
      </c>
      <c r="R202" s="26" t="str">
        <f t="array" ref="R202">IFERROR(
 _xlfn.XLOOKUP(
  A202,
  tblChecklist[TargetID],
  tblChecklist[PlayerSort],
  ""
 ),
 ""
)</f>
        <v/>
      </c>
      <c r="S202" s="26" t="str">
        <f>IFERROR(__xludf.DUMMYFUNCTION("LET(
 id,A202,
 successorIDs,
  IFERROR(
   UNIQUE(
    FILTER(
     {
      Dependencies!$A$2:$A$1000;
      QuestObjectives!$A$2:$A$1000
     },
     {
      Dependencies!$B$2:$B$1000;
      QuestObjectives!$E$2:$E$1000
     }=id
    )
   ),
   """"
  )"&amp;",
 names,
  MAP(
   successorIDs,
   LAMBDA(s,
    IF(
     s="""",
     """",
     XLOOKUP(
      s,
      $A$2:$A$1000,
      $B$2:$B$1000,
      s
     )
    )
   )
  ),
 IF(
  successorIDs="""",
  """",
  TEXTJOIN("", "",TRUE,names)
 )
)"),"Orangery Lv 2")</f>
        <v>Orangery Lv 2</v>
      </c>
      <c r="T202" s="26" t="str">
        <f t="array" ref="T202">_xlfn.XLOOKUP(
 A202,
 tblTargets[TargetID],
 tblTargets[CompletionMethod],
 ""
)</f>
        <v>PLAYER</v>
      </c>
      <c r="U202" s="84" t="b">
        <f>COUNTIF(tblCost[TargetID],A202)&gt;0</f>
        <v>1</v>
      </c>
      <c r="V202" s="85">
        <f t="array" ref="V202">IF(
 U202=FALSE,
 "",
 _xlfn.XLOOKUP(
  A202,
  tblCost[TargetID],
  tblCost[FundingPercent],
  ""
 )
)</f>
        <v>0</v>
      </c>
      <c r="W202" s="26">
        <f t="array" ref="W202">IF(
 U202=FALSE,
 "",
 _xlfn.XLOOKUP(
  A202,
  tblCost[TargetID],
  tblCost[RemainingRequirements],
  ""
 )
)</f>
        <v>8</v>
      </c>
      <c r="X202" s="45" t="b">
        <f t="array" ref="X202">IF(
 U202=FALSE,
 "N/A",
 _xlfn.XLOOKUP(
  A203,
  tblCost[TargetID],
  tblCost[TargetFunded],
  FALSE
 )
)</f>
        <v>0</v>
      </c>
      <c r="Y202" s="26" t="str">
        <f>IFERROR(__xludf.DUMMYFUNCTION("IFERROR(
 TEXTJOIN(
  "", "",
  TRUE,
  FILTER(
   'cost checklist'!$E$2:$E1000&amp;"": ""&amp;'cost checklist'!$G$2:$G1000,
   'cost checklist'!$B$2:$B1000=A202,
   'cost checklist'!$J$2:$J1000=FALSE
  )
 ),
 """"
)"),"cherry: 10, cherry: 10, cherry: 10, cherry: 10, cherry: 10, cherry: 10, stone: 50, stone: 50")</f>
        <v>cherry: 10, cherry: 10, cherry: 10, cherry: 10, cherry: 10, cherry: 10, stone: 50, stone: 50</v>
      </c>
      <c r="Z202" s="26" t="b">
        <f>IFERROR(__xludf.DUMMYFUNCTION("IF(
 AND(
  E202=""QUEST"",
  RIGHT(A202,9)="".accepted"",
  D202=TRUE
 ),
 XLOOKUP(
  REGEXREPLACE(A202,""\.accepted$"","""")&amp;"".finished"",
  $A$2:$A1000,
  $D$2:$D1000,
  TRUE
 )=FALSE,
 FALSE
)"),FALSE)</f>
        <v>0</v>
      </c>
      <c r="AA202" s="26" t="str">
        <f>IFERROR(__xludf.DUMMYFUNCTION("LET(
 id,A202,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3" ht="14.25" customHeight="1">
      <c r="A203" s="26" t="s">
        <v>703</v>
      </c>
      <c r="B203" s="26" t="str">
        <f t="array" ref="B203">_xlfn.XLOOKUP(
 A203,
 tblTargets[TargetID],
 tblTargets[DisplayName],
 ""
)</f>
        <v>Orangery Lv 2</v>
      </c>
      <c r="C203" s="26" t="str">
        <f t="shared" si="1"/>
        <v>BLOCKED</v>
      </c>
      <c r="D203" s="26" t="b">
        <f>IFERROR(__xludf.DUMMYFUNCTION("LET(
 id,A203,
 IF(
  F203=""CHARACTER"",
  LET(
   base,REGEXREPLACE(id,""@\d+$"",""""),
   required,VALUE(REGEXEXTRACT(id,""@(\d+)$"")),
   current,XLOOKUP(
    base,
    tblPlayer[PlayerStateID],
    tblPlayer[Value],
    0
   ),
   current&gt;=required
 "&amp;" ),
  IF(
   T203=""AUTO"",
   L203=0,
   COUNTIFS(
    tblChecklist[TargetID],id,
    tblChecklist[PlayerCompleted],TRUE
   )&gt;0
  )
 )
)"),FALSE)</f>
        <v>0</v>
      </c>
      <c r="E203" s="26" t="str">
        <f t="array" ref="E203">_xlfn.XLOOKUP(
 A203,
 tblTargets[TargetID],
 tblTargets[TargetType],
 ""
)</f>
        <v>COLLECTION</v>
      </c>
      <c r="F203" s="26" t="str">
        <f t="array" ref="F203">_xlfn.XLOOKUP(
 A203,
 tblTargets[TargetID],
 tblTargets[StateType],
 ""
)</f>
        <v/>
      </c>
      <c r="G203" s="26">
        <f>LET(
 id,A203,
 depCount,COUNTIF(tblDependencies[TargetID],id),
 objCount,COUNTIF(tblQuestObjectives[QuestTargetID],id),
 depCount+objCount
)</f>
        <v>1</v>
      </c>
      <c r="H203" s="26">
        <f t="shared" si="2"/>
        <v>1</v>
      </c>
      <c r="I203" s="26">
        <f>IFERROR(__xludf.DUMMYFUNCTION("LET(
 id,A203,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3" s="26">
        <f t="shared" si="3"/>
        <v>0</v>
      </c>
      <c r="K203" s="26" t="b">
        <f t="shared" si="4"/>
        <v>0</v>
      </c>
      <c r="L203" s="26">
        <f t="shared" si="5"/>
        <v>1</v>
      </c>
      <c r="M203" s="26" t="str">
        <f>IFERROR(__xludf.DUMMYFUNCTION("LET(
 id,A203,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L203=0,
  """",
  IFERROR(INDEX(incomplete,1),"""")"&amp;"
 )
)"),"collection.orangery@1")</f>
        <v>collection.orangery@1</v>
      </c>
      <c r="N203" s="26" t="str">
        <f t="array" ref="N203">IF(
 M203="",
 "",
 _xlfn.XLOOKUP(
  M203,
  tblTargets[TargetID],
  tblTargets[DisplayName],
  M203
 )
)</f>
        <v>Orangery Lv 1</v>
      </c>
      <c r="O203" s="26" t="str">
        <f>IFERROR(__xludf.DUMMYFUNCTION("SWITCH(
 E203,
 ""BUILDING"",XLOOKUP(A203,tblBuildings[BuildingID],tblBuildings[costtext],""""),
 ""TECH"",XLOOKUP(A203,tblTechnologies[TechnologyID],tblTechnologies[costtext],""""),
 ""QUEST"",XLOOKUP(
  REGEXREPLACE(A203,""\.[^.]+$"",""""),
  tblQuests["&amp;"QuestID],
  tblQuests[Costtext],
  """"
 ),
 ""CITADEL"",XLOOKUP(A203,tblCitadel[CitadelID],tblCitadel[costtext],""""),
 ""COLLECTION"",XLOOKUP(A203,tblCollections[CollectionID],tblCollections[costtext],""""),
 ""CRAFTIFACT"",XLOOKUP(A203,tblCraftifacts[C"&amp;"raftifactID],tblCraftifacts[costtext],""""),
 """"
)"),"20 cherry,20 cherry.2,20 cherry.3,20 cherry.4,20 cherry.5,20 cherry.6,100 stone,100 stone.2")</f>
        <v>20 cherry,20 cherry.2,20 cherry.3,20 cherry.4,20 cherry.5,20 cherry.6,100 stone,100 stone.2</v>
      </c>
      <c r="P203" s="26" t="str">
        <f t="shared" si="6"/>
        <v>BLOCKED</v>
      </c>
      <c r="Q203" s="26" t="str">
        <f t="shared" si="7"/>
        <v>BLOCKED</v>
      </c>
      <c r="R203" s="26" t="str">
        <f t="array" ref="R203">IFERROR(
 _xlfn.XLOOKUP(
  A203,
  tblChecklist[TargetID],
  tblChecklist[PlayerSort],
  ""
 ),
 ""
)</f>
        <v/>
      </c>
      <c r="S203" s="26" t="str">
        <f>IFERROR(__xludf.DUMMYFUNCTION("LET(
 id,A203,
 successorIDs,
  IFERROR(
   UNIQUE(
    FILTER(
     {
      Dependencies!$A$2:$A$1000;
      QuestObjectives!$A$2:$A$1000
     },
     {
      Dependencies!$B$2:$B$1000;
      QuestObjectives!$E$2:$E$1000
     }=id
    )
   ),
   """"
  )"&amp;",
 names,
  MAP(
   successorIDs,
   LAMBDA(s,
    IF(
     s="""",
     """",
     XLOOKUP(
      s,
      $A$2:$A$1000,
      $B$2:$B$1000,
      s
     )
    )
   )
  ),
 IF(
  successorIDs="""",
  """",
  TEXTJOIN("", "",TRUE,names)
 )
)"),"")</f>
        <v/>
      </c>
      <c r="T203" s="26" t="str">
        <f t="array" ref="T203">_xlfn.XLOOKUP(
 A203,
 tblTargets[TargetID],
 tblTargets[CompletionMethod],
 ""
)</f>
        <v>PLAYER</v>
      </c>
      <c r="U203" s="84" t="b">
        <f>COUNTIF(tblCost[TargetID],A203)&gt;0</f>
        <v>1</v>
      </c>
      <c r="V203" s="85">
        <f t="array" ref="V203">IF(
 U203=FALSE,
 "",
 _xlfn.XLOOKUP(
  A203,
  tblCost[TargetID],
  tblCost[FundingPercent],
  ""
 )
)</f>
        <v>0</v>
      </c>
      <c r="W203" s="26">
        <f t="array" ref="W203">IF(
 U203=FALSE,
 "",
 _xlfn.XLOOKUP(
  A203,
  tblCost[TargetID],
  tblCost[RemainingRequirements],
  ""
 )
)</f>
        <v>8</v>
      </c>
      <c r="X203" s="45" t="b">
        <f t="array" ref="X203">IF(
 U203=FALSE,
 "N/A",
 _xlfn.XLOOKUP(
  A204,
  tblCost[TargetID],
  tblCost[TargetFunded],
  FALSE
 )
)</f>
        <v>0</v>
      </c>
      <c r="Y203" s="26" t="str">
        <f>IFERROR(__xludf.DUMMYFUNCTION("IFERROR(
 TEXTJOIN(
  "", "",
  TRUE,
  FILTER(
   'cost checklist'!$E$2:$E1000&amp;"": ""&amp;'cost checklist'!$G$2:$G1000,
   'cost checklist'!$B$2:$B1000=A203,
   'cost checklist'!$J$2:$J1000=FALSE
  )
 ),
 """"
)"),"cherry: 20, cherry: 20, cherry: 20, cherry: 20, cherry: 20, cherry: 20, stone: 100, stone: 100")</f>
        <v>cherry: 20, cherry: 20, cherry: 20, cherry: 20, cherry: 20, cherry: 20, stone: 100, stone: 100</v>
      </c>
      <c r="Z203" s="26" t="b">
        <f>IFERROR(__xludf.DUMMYFUNCTION("IF(
 AND(
  E203=""QUEST"",
  RIGHT(A203,9)="".accepted"",
  D203=TRUE
 ),
 XLOOKUP(
  REGEXREPLACE(A203,""\.accepted$"","""")&amp;"".finished"",
  $A$2:$A1000,
  $D$2:$D1000,
  TRUE
 )=FALSE,
 FALSE
)"),FALSE)</f>
        <v>0</v>
      </c>
      <c r="AA203" s="26" t="str">
        <f>IFERROR(__xludf.DUMMYFUNCTION("LET(
 id,A203,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4" ht="14.25" customHeight="1">
      <c r="A204" s="26" t="s">
        <v>707</v>
      </c>
      <c r="B204" s="26" t="str">
        <f t="array" ref="B204">_xlfn.XLOOKUP(
 A204,
 tblTargets[TargetID],
 tblTargets[DisplayName],
 ""
)</f>
        <v>Pantry 1 Lv 1</v>
      </c>
      <c r="C204" s="26" t="str">
        <f t="shared" si="1"/>
        <v>BLOCKED</v>
      </c>
      <c r="D204" s="26" t="b">
        <f>IFERROR(__xludf.DUMMYFUNCTION("LET(
 id,A204,
 IF(
  F204=""CHARACTER"",
  LET(
   base,REGEXREPLACE(id,""@\d+$"",""""),
   required,VALUE(REGEXEXTRACT(id,""@(\d+)$"")),
   current,XLOOKUP(
    base,
    tblPlayer[PlayerStateID],
    tblPlayer[Value],
    0
   ),
   current&gt;=required
 "&amp;" ),
  IF(
   T204=""AUTO"",
   L204=0,
   COUNTIFS(
    tblChecklist[TargetID],id,
    tblChecklist[PlayerCompleted],TRUE
   )&gt;0
  )
 )
)"),FALSE)</f>
        <v>0</v>
      </c>
      <c r="E204" s="26" t="str">
        <f t="array" ref="E204">_xlfn.XLOOKUP(
 A204,
 tblTargets[TargetID],
 tblTargets[TargetType],
 ""
)</f>
        <v>COLLECTION</v>
      </c>
      <c r="F204" s="26" t="str">
        <f t="array" ref="F204">_xlfn.XLOOKUP(
 A204,
 tblTargets[TargetID],
 tblTargets[StateType],
 ""
)</f>
        <v/>
      </c>
      <c r="G204" s="26">
        <f>LET(
 id,A204,
 depCount,COUNTIF(tblDependencies[TargetID],id),
 objCount,COUNTIF(tblQuestObjectives[QuestTargetID],id),
 depCount+objCount
)</f>
        <v>1</v>
      </c>
      <c r="H204" s="26">
        <f t="shared" si="2"/>
        <v>1</v>
      </c>
      <c r="I204" s="26">
        <f>IFERROR(__xludf.DUMMYFUNCTION("LET(
 id,A204,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4" s="26">
        <f t="shared" si="3"/>
        <v>0</v>
      </c>
      <c r="K204" s="26" t="b">
        <f t="shared" si="4"/>
        <v>0</v>
      </c>
      <c r="L204" s="26">
        <f t="shared" si="5"/>
        <v>1</v>
      </c>
      <c r="M204" s="26" t="str">
        <f>IFERROR(__xludf.DUMMYFUNCTION("LET(
 id,A204,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L204=0,
  """",
  IFERROR(INDEX(incomplete,1),"""")"&amp;"
 )
)"),"citadel.pantry")</f>
        <v>citadel.pantry</v>
      </c>
      <c r="N204" s="26" t="str">
        <f t="array" ref="N204">IF(
 M204="",
 "",
 _xlfn.XLOOKUP(
  M204,
  tblTargets[TargetID],
  tblTargets[DisplayName],
  M204
 )
)</f>
        <v>Pantry</v>
      </c>
      <c r="O204" s="26" t="str">
        <f>IFERROR(__xludf.DUMMYFUNCTION("SWITCH(
 E204,
 ""BUILDING"",XLOOKUP(A204,tblBuildings[BuildingID],tblBuildings[costtext],""""),
 ""TECH"",XLOOKUP(A204,tblTechnologies[TechnologyID],tblTechnologies[costtext],""""),
 ""QUEST"",XLOOKUP(
  REGEXREPLACE(A204,""\.[^.]+$"",""""),
  tblQuests["&amp;"QuestID],
  tblQuests[Costtext],
  """"
 ),
 ""CITADEL"",XLOOKUP(A204,tblCitadel[CitadelID],tblCitadel[costtext],""""),
 ""COLLECTION"",XLOOKUP(A204,tblCollections[CollectionID],tblCollections[costtext],""""),
 ""CRAFTIFACT"",XLOOKUP(A204,tblCraftifacts[C"&amp;"raftifactID],tblCraftifacts[costtext],""""),
 """"
)"),"5 avocado,10 beans,10 dates,40 flour,10 glass,10 paper,40 rice,10 salmon,10 silk,5 spices,10 thread,5 tuna")</f>
        <v>5 avocado,10 beans,10 dates,40 flour,10 glass,10 paper,40 rice,10 salmon,10 silk,5 spices,10 thread,5 tuna</v>
      </c>
      <c r="P204" s="26" t="str">
        <f t="shared" si="6"/>
        <v>BLOCKED</v>
      </c>
      <c r="Q204" s="26" t="str">
        <f t="shared" si="7"/>
        <v>BLOCKED</v>
      </c>
      <c r="R204" s="26" t="str">
        <f t="array" ref="R204">IFERROR(
 _xlfn.XLOOKUP(
  A204,
  tblChecklist[TargetID],
  tblChecklist[PlayerSort],
  ""
 ),
 ""
)</f>
        <v/>
      </c>
      <c r="S204" s="26" t="str">
        <f>IFERROR(__xludf.DUMMYFUNCTION("LET(
 id,A204,
 successorIDs,
  IFERROR(
   UNIQUE(
    FILTER(
     {
      Dependencies!$A$2:$A$1000;
      QuestObjectives!$A$2:$A$1000
     },
     {
      Dependencies!$B$2:$B$1000;
      QuestObjectives!$E$2:$E$1000
     }=id
    )
   ),
   """"
  )"&amp;",
 names,
  MAP(
   successorIDs,
   LAMBDA(s,
    IF(
     s="""",
     """",
     XLOOKUP(
      s,
      $A$2:$A$1000,
      $B$2:$B$1000,
      s
     )
    )
   )
  ),
 IF(
  successorIDs="""",
  """",
  TEXTJOIN("", "",TRUE,names)
 )
)"),"Pantry 1 Lv 2")</f>
        <v>Pantry 1 Lv 2</v>
      </c>
      <c r="T204" s="26" t="str">
        <f t="array" ref="T204">_xlfn.XLOOKUP(
 A204,
 tblTargets[TargetID],
 tblTargets[CompletionMethod],
 ""
)</f>
        <v>PLAYER</v>
      </c>
      <c r="U204" s="84" t="b">
        <f>COUNTIF(tblCost[TargetID],A204)&gt;0</f>
        <v>1</v>
      </c>
      <c r="V204" s="85">
        <f t="array" ref="V204">IF(
 U204=FALSE,
 "",
 _xlfn.XLOOKUP(
  A204,
  tblCost[TargetID],
  tblCost[FundingPercent],
  ""
 )
)</f>
        <v>0</v>
      </c>
      <c r="W204" s="26">
        <f t="array" ref="W204">IF(
 U204=FALSE,
 "",
 _xlfn.XLOOKUP(
  A204,
  tblCost[TargetID],
  tblCost[RemainingRequirements],
  ""
 )
)</f>
        <v>12</v>
      </c>
      <c r="X204" s="45" t="b">
        <f t="array" ref="X204">IF(
 U204=FALSE,
 "N/A",
 _xlfn.XLOOKUP(
  A205,
  tblCost[TargetID],
  tblCost[TargetFunded],
  FALSE
 )
)</f>
        <v>0</v>
      </c>
      <c r="Y204" s="26" t="str">
        <f>IFERROR(__xludf.DUMMYFUNCTION("IFERROR(
 TEXTJOIN(
  "", "",
  TRUE,
  FILTER(
   'cost checklist'!$E$2:$E1000&amp;"": ""&amp;'cost checklist'!$G$2:$G1000,
   'cost checklist'!$B$2:$B1000=A204,
   'cost checklist'!$J$2:$J1000=FALSE
  )
 ),
 """"
)"),"avocado: 5, beans: 10, dates: 10, flour: 40, glass: 10, paper: 10, rice: 40, salmon: 10, silk: 10, spices: 5, thread: 10, tuna: 5")</f>
        <v>avocado: 5, beans: 10, dates: 10, flour: 40, glass: 10, paper: 10, rice: 40, salmon: 10, silk: 10, spices: 5, thread: 10, tuna: 5</v>
      </c>
      <c r="Z204" s="26" t="b">
        <f>IFERROR(__xludf.DUMMYFUNCTION("IF(
 AND(
  E204=""QUEST"",
  RIGHT(A204,9)="".accepted"",
  D204=TRUE
 ),
 XLOOKUP(
  REGEXREPLACE(A204,""\.accepted$"","""")&amp;"".finished"",
  $A$2:$A1000,
  $D$2:$D1000,
  TRUE
 )=FALSE,
 FALSE
)"),FALSE)</f>
        <v>0</v>
      </c>
      <c r="AA204" s="26" t="str">
        <f>IFERROR(__xludf.DUMMYFUNCTION("LET(
 id,A204,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5" ht="14.25" customHeight="1">
      <c r="A205" s="26" t="s">
        <v>710</v>
      </c>
      <c r="B205" s="26" t="str">
        <f t="array" ref="B205">_xlfn.XLOOKUP(
 A205,
 tblTargets[TargetID],
 tblTargets[DisplayName],
 ""
)</f>
        <v>Pantry 1 Lv 2</v>
      </c>
      <c r="C205" s="26" t="str">
        <f t="shared" si="1"/>
        <v>BLOCKED</v>
      </c>
      <c r="D205" s="26" t="b">
        <f>IFERROR(__xludf.DUMMYFUNCTION("LET(
 id,A205,
 IF(
  F205=""CHARACTER"",
  LET(
   base,REGEXREPLACE(id,""@\d+$"",""""),
   required,VALUE(REGEXEXTRACT(id,""@(\d+)$"")),
   current,XLOOKUP(
    base,
    tblPlayer[PlayerStateID],
    tblPlayer[Value],
    0
   ),
   current&gt;=required
 "&amp;" ),
  IF(
   T205=""AUTO"",
   L205=0,
   COUNTIFS(
    tblChecklist[TargetID],id,
    tblChecklist[PlayerCompleted],TRUE
   )&gt;0
  )
 )
)"),FALSE)</f>
        <v>0</v>
      </c>
      <c r="E205" s="26" t="str">
        <f t="array" ref="E205">_xlfn.XLOOKUP(
 A205,
 tblTargets[TargetID],
 tblTargets[TargetType],
 ""
)</f>
        <v>COLLECTION</v>
      </c>
      <c r="F205" s="26" t="str">
        <f t="array" ref="F205">_xlfn.XLOOKUP(
 A205,
 tblTargets[TargetID],
 tblTargets[StateType],
 ""
)</f>
        <v/>
      </c>
      <c r="G205" s="26">
        <f>LET(
 id,A205,
 depCount,COUNTIF(tblDependencies[TargetID],id),
 objCount,COUNTIF(tblQuestObjectives[QuestTargetID],id),
 depCount+objCount
)</f>
        <v>1</v>
      </c>
      <c r="H205" s="26">
        <f t="shared" si="2"/>
        <v>1</v>
      </c>
      <c r="I205" s="26">
        <f>IFERROR(__xludf.DUMMYFUNCTION("LET(
 id,A205,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5" s="26">
        <f t="shared" si="3"/>
        <v>0</v>
      </c>
      <c r="K205" s="26" t="b">
        <f t="shared" si="4"/>
        <v>0</v>
      </c>
      <c r="L205" s="26">
        <f t="shared" si="5"/>
        <v>1</v>
      </c>
      <c r="M205" s="26" t="str">
        <f>IFERROR(__xludf.DUMMYFUNCTION("LET(
 id,A205,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L205=0,
  """",
  IFERROR(INDEX(incomplete,1),"""")"&amp;"
 )
)"),"collection.pantry_1@1")</f>
        <v>collection.pantry_1@1</v>
      </c>
      <c r="N205" s="26" t="str">
        <f t="array" ref="N205">IF(
 M205="",
 "",
 _xlfn.XLOOKUP(
  M205,
  tblTargets[TargetID],
  tblTargets[DisplayName],
  M205
 )
)</f>
        <v>Pantry 1 Lv 1</v>
      </c>
      <c r="O205" s="26" t="str">
        <f>IFERROR(__xludf.DUMMYFUNCTION("SWITCH(
 E205,
 ""BUILDING"",XLOOKUP(A205,tblBuildings[BuildingID],tblBuildings[costtext],""""),
 ""TECH"",XLOOKUP(A205,tblTechnologies[TechnologyID],tblTechnologies[costtext],""""),
 ""QUEST"",XLOOKUP(
  REGEXREPLACE(A205,""\.[^.]+$"",""""),
  tblQuests["&amp;"QuestID],
  tblQuests[Costtext],
  """"
 ),
 ""CITADEL"",XLOOKUP(A205,tblCitadel[CitadelID],tblCitadel[costtext],""""),
 ""COLLECTION"",XLOOKUP(A205,tblCollections[CollectionID],tblCollections[costtext],""""),
 ""CRAFTIFACT"",XLOOKUP(A205,tblCraftifacts[C"&amp;"raftifactID],tblCraftifacts[costtext],""""),
 """"
)"),"10 avocado,20 beans,20 dates,80 flour,20 glass,20 paper,80 rice,20 salmon,20 silk,10 spices,20 thread,10 tuna")</f>
        <v>10 avocado,20 beans,20 dates,80 flour,20 glass,20 paper,80 rice,20 salmon,20 silk,10 spices,20 thread,10 tuna</v>
      </c>
      <c r="P205" s="26" t="str">
        <f t="shared" si="6"/>
        <v>BLOCKED</v>
      </c>
      <c r="Q205" s="26" t="str">
        <f t="shared" si="7"/>
        <v>BLOCKED</v>
      </c>
      <c r="R205" s="26" t="str">
        <f t="array" ref="R205">IFERROR(
 _xlfn.XLOOKUP(
  A205,
  tblChecklist[TargetID],
  tblChecklist[PlayerSort],
  ""
 ),
 ""
)</f>
        <v/>
      </c>
      <c r="S205" s="26" t="str">
        <f>IFERROR(__xludf.DUMMYFUNCTION("LET(
 id,A205,
 successorIDs,
  IFERROR(
   UNIQUE(
    FILTER(
     {
      Dependencies!$A$2:$A$1000;
      QuestObjectives!$A$2:$A$1000
     },
     {
      Dependencies!$B$2:$B$1000;
      QuestObjectives!$E$2:$E$1000
     }=id
    )
   ),
   """"
  )"&amp;",
 names,
  MAP(
   successorIDs,
   LAMBDA(s,
    IF(
     s="""",
     """",
     XLOOKUP(
      s,
      $A$2:$A$1000,
      $B$2:$B$1000,
      s
     )
    )
   )
  ),
 IF(
  successorIDs="""",
  """",
  TEXTJOIN("", "",TRUE,names)
 )
)"),"Pantry 1 Lv 3")</f>
        <v>Pantry 1 Lv 3</v>
      </c>
      <c r="T205" s="26" t="str">
        <f t="array" ref="T205">_xlfn.XLOOKUP(
 A205,
 tblTargets[TargetID],
 tblTargets[CompletionMethod],
 ""
)</f>
        <v>PLAYER</v>
      </c>
      <c r="U205" s="84" t="b">
        <f>COUNTIF(tblCost[TargetID],A205)&gt;0</f>
        <v>1</v>
      </c>
      <c r="V205" s="85">
        <f t="array" ref="V205">IF(
 U205=FALSE,
 "",
 _xlfn.XLOOKUP(
  A205,
  tblCost[TargetID],
  tblCost[FundingPercent],
  ""
 )
)</f>
        <v>0</v>
      </c>
      <c r="W205" s="26">
        <f t="array" ref="W205">IF(
 U205=FALSE,
 "",
 _xlfn.XLOOKUP(
  A205,
  tblCost[TargetID],
  tblCost[RemainingRequirements],
  ""
 )
)</f>
        <v>12</v>
      </c>
      <c r="X205" s="45" t="b">
        <f t="array" ref="X205">IF(
 U205=FALSE,
 "N/A",
 _xlfn.XLOOKUP(
  A206,
  tblCost[TargetID],
  tblCost[TargetFunded],
  FALSE
 )
)</f>
        <v>0</v>
      </c>
      <c r="Y205" s="26" t="str">
        <f>IFERROR(__xludf.DUMMYFUNCTION("IFERROR(
 TEXTJOIN(
  "", "",
  TRUE,
  FILTER(
   'cost checklist'!$E$2:$E1000&amp;"": ""&amp;'cost checklist'!$G$2:$G1000,
   'cost checklist'!$B$2:$B1000=A205,
   'cost checklist'!$J$2:$J1000=FALSE
  )
 ),
 """"
)"),"avocado: 10, beans: 20, dates: 20, flour: 80, glass: 20, paper: 20, rice: 80, salmon: 20, silk: 20, spices: 10, thread: 20, tuna: 10")</f>
        <v>avocado: 10, beans: 20, dates: 20, flour: 80, glass: 20, paper: 20, rice: 80, salmon: 20, silk: 20, spices: 10, thread: 20, tuna: 10</v>
      </c>
      <c r="Z205" s="26" t="b">
        <f>IFERROR(__xludf.DUMMYFUNCTION("IF(
 AND(
  E205=""QUEST"",
  RIGHT(A205,9)="".accepted"",
  D205=TRUE
 ),
 XLOOKUP(
  REGEXREPLACE(A205,""\.accepted$"","""")&amp;"".finished"",
  $A$2:$A1000,
  $D$2:$D1000,
  TRUE
 )=FALSE,
 FALSE
)"),FALSE)</f>
        <v>0</v>
      </c>
      <c r="AA205" s="26" t="str">
        <f>IFERROR(__xludf.DUMMYFUNCTION("LET(
 id,A205,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6" ht="14.25" customHeight="1">
      <c r="A206" s="26" t="s">
        <v>713</v>
      </c>
      <c r="B206" s="26" t="str">
        <f t="array" ref="B206">_xlfn.XLOOKUP(
 A206,
 tblTargets[TargetID],
 tblTargets[DisplayName],
 ""
)</f>
        <v>Pantry 1 Lv 3</v>
      </c>
      <c r="C206" s="26" t="str">
        <f t="shared" si="1"/>
        <v>BLOCKED</v>
      </c>
      <c r="D206" s="26" t="b">
        <f>IFERROR(__xludf.DUMMYFUNCTION("LET(
 id,A206,
 IF(
  F206=""CHARACTER"",
  LET(
   base,REGEXREPLACE(id,""@\d+$"",""""),
   required,VALUE(REGEXEXTRACT(id,""@(\d+)$"")),
   current,XLOOKUP(
    base,
    tblPlayer[PlayerStateID],
    tblPlayer[Value],
    0
   ),
   current&gt;=required
 "&amp;" ),
  IF(
   T206=""AUTO"",
   L206=0,
   COUNTIFS(
    tblChecklist[TargetID],id,
    tblChecklist[PlayerCompleted],TRUE
   )&gt;0
  )
 )
)"),FALSE)</f>
        <v>0</v>
      </c>
      <c r="E206" s="26" t="str">
        <f t="array" ref="E206">_xlfn.XLOOKUP(
 A206,
 tblTargets[TargetID],
 tblTargets[TargetType],
 ""
)</f>
        <v>COLLECTION</v>
      </c>
      <c r="F206" s="26" t="str">
        <f t="array" ref="F206">_xlfn.XLOOKUP(
 A206,
 tblTargets[TargetID],
 tblTargets[StateType],
 ""
)</f>
        <v/>
      </c>
      <c r="G206" s="26">
        <f>LET(
 id,A206,
 depCount,COUNTIF(tblDependencies[TargetID],id),
 objCount,COUNTIF(tblQuestObjectives[QuestTargetID],id),
 depCount+objCount
)</f>
        <v>1</v>
      </c>
      <c r="H206" s="26">
        <f t="shared" si="2"/>
        <v>1</v>
      </c>
      <c r="I206" s="26">
        <f>IFERROR(__xludf.DUMMYFUNCTION("LET(
 id,A206,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6" s="26">
        <f t="shared" si="3"/>
        <v>0</v>
      </c>
      <c r="K206" s="26" t="b">
        <f t="shared" si="4"/>
        <v>0</v>
      </c>
      <c r="L206" s="26">
        <f t="shared" si="5"/>
        <v>1</v>
      </c>
      <c r="M206" s="26" t="str">
        <f>IFERROR(__xludf.DUMMYFUNCTION("LET(
 id,A206,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L206=0,
  """",
  IFERROR(INDEX(incomplete,1),"""")"&amp;"
 )
)"),"collection.pantry_1@2")</f>
        <v>collection.pantry_1@2</v>
      </c>
      <c r="N206" s="26" t="str">
        <f t="array" ref="N206">IF(
 M206="",
 "",
 _xlfn.XLOOKUP(
  M206,
  tblTargets[TargetID],
  tblTargets[DisplayName],
  M206
 )
)</f>
        <v>Pantry 1 Lv 2</v>
      </c>
      <c r="O206" s="26" t="str">
        <f>IFERROR(__xludf.DUMMYFUNCTION("SWITCH(
 E206,
 ""BUILDING"",XLOOKUP(A206,tblBuildings[BuildingID],tblBuildings[costtext],""""),
 ""TECH"",XLOOKUP(A206,tblTechnologies[TechnologyID],tblTechnologies[costtext],""""),
 ""QUEST"",XLOOKUP(
  REGEXREPLACE(A206,""\.[^.]+$"",""""),
  tblQuests["&amp;"QuestID],
  tblQuests[Costtext],
  """"
 ),
 ""CITADEL"",XLOOKUP(A206,tblCitadel[CitadelID],tblCitadel[costtext],""""),
 ""COLLECTION"",XLOOKUP(A206,tblCollections[CollectionID],tblCollections[costtext],""""),
 ""CRAFTIFACT"",XLOOKUP(A206,tblCraftifacts[C"&amp;"raftifactID],tblCraftifacts[costtext],""""),
 """"
)"),"15 avocado,30 beans,30 dates,120 flour,30 glass,30 paper,120 rice,30 salmon,30 silk,15 spices,30 thread,15 tuna")</f>
        <v>15 avocado,30 beans,30 dates,120 flour,30 glass,30 paper,120 rice,30 salmon,30 silk,15 spices,30 thread,15 tuna</v>
      </c>
      <c r="P206" s="26" t="str">
        <f t="shared" si="6"/>
        <v>BLOCKED</v>
      </c>
      <c r="Q206" s="26" t="str">
        <f t="shared" si="7"/>
        <v>BLOCKED</v>
      </c>
      <c r="R206" s="26" t="str">
        <f t="array" ref="R206">IFERROR(
 _xlfn.XLOOKUP(
  A206,
  tblChecklist[TargetID],
  tblChecklist[PlayerSort],
  ""
 ),
 ""
)</f>
        <v/>
      </c>
      <c r="S206" s="26" t="str">
        <f>IFERROR(__xludf.DUMMYFUNCTION("LET(
 id,A206,
 successorIDs,
  IFERROR(
   UNIQUE(
    FILTER(
     {
      Dependencies!$A$2:$A$1000;
      QuestObjectives!$A$2:$A$1000
     },
     {
      Dependencies!$B$2:$B$1000;
      QuestObjectives!$E$2:$E$1000
     }=id
    )
   ),
   """"
  )"&amp;",
 names,
  MAP(
   successorIDs,
   LAMBDA(s,
    IF(
     s="""",
     """",
     XLOOKUP(
      s,
      $A$2:$A$1000,
      $B$2:$B$1000,
      s
     )
    )
   )
  ),
 IF(
  successorIDs="""",
  """",
  TEXTJOIN("", "",TRUE,names)
 )
)"),"Pantry 1 Lv 4")</f>
        <v>Pantry 1 Lv 4</v>
      </c>
      <c r="T206" s="26" t="str">
        <f t="array" ref="T206">_xlfn.XLOOKUP(
 A206,
 tblTargets[TargetID],
 tblTargets[CompletionMethod],
 ""
)</f>
        <v>PLAYER</v>
      </c>
      <c r="U206" s="84" t="b">
        <f>COUNTIF(tblCost[TargetID],A206)&gt;0</f>
        <v>1</v>
      </c>
      <c r="V206" s="85">
        <f t="array" ref="V206">IF(
 U206=FALSE,
 "",
 _xlfn.XLOOKUP(
  A206,
  tblCost[TargetID],
  tblCost[FundingPercent],
  ""
 )
)</f>
        <v>0</v>
      </c>
      <c r="W206" s="26">
        <f t="array" ref="W206">IF(
 U206=FALSE,
 "",
 _xlfn.XLOOKUP(
  A206,
  tblCost[TargetID],
  tblCost[RemainingRequirements],
  ""
 )
)</f>
        <v>12</v>
      </c>
      <c r="X206" s="45" t="b">
        <f t="array" ref="X206">IF(
 U206=FALSE,
 "N/A",
 _xlfn.XLOOKUP(
  A207,
  tblCost[TargetID],
  tblCost[TargetFunded],
  FALSE
 )
)</f>
        <v>0</v>
      </c>
      <c r="Y206" s="26" t="str">
        <f>IFERROR(__xludf.DUMMYFUNCTION("IFERROR(
 TEXTJOIN(
  "", "",
  TRUE,
  FILTER(
   'cost checklist'!$E$2:$E1000&amp;"": ""&amp;'cost checklist'!$G$2:$G1000,
   'cost checklist'!$B$2:$B1000=A206,
   'cost checklist'!$J$2:$J1000=FALSE
  )
 ),
 """"
)"),"avocado: 15, beans: 30, dates: 30, flour: 120, glass: 30, paper: 30, rice: 120, salmon: 30, silk: 30, spices: 15, thread: 30, tuna: 15")</f>
        <v>avocado: 15, beans: 30, dates: 30, flour: 120, glass: 30, paper: 30, rice: 120, salmon: 30, silk: 30, spices: 15, thread: 30, tuna: 15</v>
      </c>
      <c r="Z206" s="26" t="b">
        <f>IFERROR(__xludf.DUMMYFUNCTION("IF(
 AND(
  E206=""QUEST"",
  RIGHT(A206,9)="".accepted"",
  D206=TRUE
 ),
 XLOOKUP(
  REGEXREPLACE(A206,""\.accepted$"","""")&amp;"".finished"",
  $A$2:$A1000,
  $D$2:$D1000,
  TRUE
 )=FALSE,
 FALSE
)"),FALSE)</f>
        <v>0</v>
      </c>
      <c r="AA206" s="26" t="str">
        <f>IFERROR(__xludf.DUMMYFUNCTION("LET(
 id,A206,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7" ht="14.25" customHeight="1">
      <c r="A207" s="26" t="s">
        <v>716</v>
      </c>
      <c r="B207" s="26" t="str">
        <f t="array" ref="B207">_xlfn.XLOOKUP(
 A207,
 tblTargets[TargetID],
 tblTargets[DisplayName],
 ""
)</f>
        <v>Pantry 1 Lv 4</v>
      </c>
      <c r="C207" s="26" t="str">
        <f t="shared" si="1"/>
        <v>BLOCKED</v>
      </c>
      <c r="D207" s="26" t="b">
        <f>IFERROR(__xludf.DUMMYFUNCTION("LET(
 id,A207,
 IF(
  F207=""CHARACTER"",
  LET(
   base,REGEXREPLACE(id,""@\d+$"",""""),
   required,VALUE(REGEXEXTRACT(id,""@(\d+)$"")),
   current,XLOOKUP(
    base,
    tblPlayer[PlayerStateID],
    tblPlayer[Value],
    0
   ),
   current&gt;=required
 "&amp;" ),
  IF(
   T207=""AUTO"",
   L207=0,
   COUNTIFS(
    tblChecklist[TargetID],id,
    tblChecklist[PlayerCompleted],TRUE
   )&gt;0
  )
 )
)"),FALSE)</f>
        <v>0</v>
      </c>
      <c r="E207" s="26" t="str">
        <f t="array" ref="E207">_xlfn.XLOOKUP(
 A207,
 tblTargets[TargetID],
 tblTargets[TargetType],
 ""
)</f>
        <v>COLLECTION</v>
      </c>
      <c r="F207" s="26" t="str">
        <f t="array" ref="F207">_xlfn.XLOOKUP(
 A207,
 tblTargets[TargetID],
 tblTargets[StateType],
 ""
)</f>
        <v/>
      </c>
      <c r="G207" s="26">
        <f>LET(
 id,A207,
 depCount,COUNTIF(tblDependencies[TargetID],id),
 objCount,COUNTIF(tblQuestObjectives[QuestTargetID],id),
 depCount+objCount
)</f>
        <v>1</v>
      </c>
      <c r="H207" s="26">
        <f t="shared" si="2"/>
        <v>1</v>
      </c>
      <c r="I207" s="26">
        <f>IFERROR(__xludf.DUMMYFUNCTION("LET(
 id,A207,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7" s="26">
        <f t="shared" si="3"/>
        <v>0</v>
      </c>
      <c r="K207" s="26" t="b">
        <f t="shared" si="4"/>
        <v>0</v>
      </c>
      <c r="L207" s="26">
        <f t="shared" si="5"/>
        <v>1</v>
      </c>
      <c r="M207" s="26" t="str">
        <f>IFERROR(__xludf.DUMMYFUNCTION("LET(
 id,A207,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L207=0,
  """",
  IFERROR(INDEX(incomplete,1),"""")"&amp;"
 )
)"),"collection.pantry_1@3")</f>
        <v>collection.pantry_1@3</v>
      </c>
      <c r="N207" s="26" t="str">
        <f t="array" ref="N207">IF(
 M207="",
 "",
 _xlfn.XLOOKUP(
  M207,
  tblTargets[TargetID],
  tblTargets[DisplayName],
  M207
 )
)</f>
        <v>Pantry 1 Lv 3</v>
      </c>
      <c r="O207" s="26" t="str">
        <f>IFERROR(__xludf.DUMMYFUNCTION("SWITCH(
 E207,
 ""BUILDING"",XLOOKUP(A207,tblBuildings[BuildingID],tblBuildings[costtext],""""),
 ""TECH"",XLOOKUP(A207,tblTechnologies[TechnologyID],tblTechnologies[costtext],""""),
 ""QUEST"",XLOOKUP(
  REGEXREPLACE(A207,""\.[^.]+$"",""""),
  tblQuests["&amp;"QuestID],
  tblQuests[Costtext],
  """"
 ),
 ""CITADEL"",XLOOKUP(A207,tblCitadel[CitadelID],tblCitadel[costtext],""""),
 ""COLLECTION"",XLOOKUP(A207,tblCollections[CollectionID],tblCollections[costtext],""""),
 ""CRAFTIFACT"",XLOOKUP(A207,tblCraftifacts[C"&amp;"raftifactID],tblCraftifacts[costtext],""""),
 """"
)"),"20 avocado,40 beans,40 dates,160 flour,40 glass,40 paper,160 rice,40 salmon,40 silk,20 spices,40 thread,20 tuna")</f>
        <v>20 avocado,40 beans,40 dates,160 flour,40 glass,40 paper,160 rice,40 salmon,40 silk,20 spices,40 thread,20 tuna</v>
      </c>
      <c r="P207" s="26" t="str">
        <f t="shared" si="6"/>
        <v>BLOCKED</v>
      </c>
      <c r="Q207" s="26" t="str">
        <f t="shared" si="7"/>
        <v>BLOCKED</v>
      </c>
      <c r="R207" s="26" t="str">
        <f t="array" ref="R207">IFERROR(
 _xlfn.XLOOKUP(
  A207,
  tblChecklist[TargetID],
  tblChecklist[PlayerSort],
  ""
 ),
 ""
)</f>
        <v/>
      </c>
      <c r="S207" s="26" t="str">
        <f>IFERROR(__xludf.DUMMYFUNCTION("LET(
 id,A207,
 successorIDs,
  IFERROR(
   UNIQUE(
    FILTER(
     {
      Dependencies!$A$2:$A$1000;
      QuestObjectives!$A$2:$A$1000
     },
     {
      Dependencies!$B$2:$B$1000;
      QuestObjectives!$E$2:$E$1000
     }=id
    )
   ),
   """"
  )"&amp;",
 names,
  MAP(
   successorIDs,
   LAMBDA(s,
    IF(
     s="""",
     """",
     XLOOKUP(
      s,
      $A$2:$A$1000,
      $B$2:$B$1000,
      s
     )
    )
   )
  ),
 IF(
  successorIDs="""",
  """",
  TEXTJOIN("", "",TRUE,names)
 )
)"),"Pantry 1 Lv 5")</f>
        <v>Pantry 1 Lv 5</v>
      </c>
      <c r="T207" s="26" t="str">
        <f t="array" ref="T207">_xlfn.XLOOKUP(
 A207,
 tblTargets[TargetID],
 tblTargets[CompletionMethod],
 ""
)</f>
        <v>PLAYER</v>
      </c>
      <c r="U207" s="84" t="b">
        <f>COUNTIF(tblCost[TargetID],A207)&gt;0</f>
        <v>1</v>
      </c>
      <c r="V207" s="85">
        <f t="array" ref="V207">IF(
 U207=FALSE,
 "",
 _xlfn.XLOOKUP(
  A207,
  tblCost[TargetID],
  tblCost[FundingPercent],
  ""
 )
)</f>
        <v>0</v>
      </c>
      <c r="W207" s="26">
        <f t="array" ref="W207">IF(
 U207=FALSE,
 "",
 _xlfn.XLOOKUP(
  A207,
  tblCost[TargetID],
  tblCost[RemainingRequirements],
  ""
 )
)</f>
        <v>12</v>
      </c>
      <c r="X207" s="45" t="b">
        <f t="array" ref="X207">IF(
 U207=FALSE,
 "N/A",
 _xlfn.XLOOKUP(
  A208,
  tblCost[TargetID],
  tblCost[TargetFunded],
  FALSE
 )
)</f>
        <v>0</v>
      </c>
      <c r="Y207" s="26" t="str">
        <f>IFERROR(__xludf.DUMMYFUNCTION("IFERROR(
 TEXTJOIN(
  "", "",
  TRUE,
  FILTER(
   'cost checklist'!$E$2:$E1000&amp;"": ""&amp;'cost checklist'!$G$2:$G1000,
   'cost checklist'!$B$2:$B1000=A207,
   'cost checklist'!$J$2:$J1000=FALSE
  )
 ),
 """"
)"),"avocado: 20, beans: 40, dates: 40, flour: 160, glass: 40, paper: 40, rice: 160, salmon: 40, silk: 40, spices: 20, thread: 40, tuna: 20")</f>
        <v>avocado: 20, beans: 40, dates: 40, flour: 160, glass: 40, paper: 40, rice: 160, salmon: 40, silk: 40, spices: 20, thread: 40, tuna: 20</v>
      </c>
      <c r="Z207" s="26" t="b">
        <f>IFERROR(__xludf.DUMMYFUNCTION("IF(
 AND(
  E207=""QUEST"",
  RIGHT(A207,9)="".accepted"",
  D207=TRUE
 ),
 XLOOKUP(
  REGEXREPLACE(A207,""\.accepted$"","""")&amp;"".finished"",
  $A$2:$A1000,
  $D$2:$D1000,
  TRUE
 )=FALSE,
 FALSE
)"),FALSE)</f>
        <v>0</v>
      </c>
      <c r="AA207" s="26" t="str">
        <f>IFERROR(__xludf.DUMMYFUNCTION("LET(
 id,A207,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8" ht="14.25" customHeight="1">
      <c r="A208" s="26" t="s">
        <v>719</v>
      </c>
      <c r="B208" s="26" t="str">
        <f t="array" ref="B208">_xlfn.XLOOKUP(
 A208,
 tblTargets[TargetID],
 tblTargets[DisplayName],
 ""
)</f>
        <v>Pantry 1 Lv 5</v>
      </c>
      <c r="C208" s="26" t="str">
        <f t="shared" si="1"/>
        <v>BLOCKED</v>
      </c>
      <c r="D208" s="26" t="b">
        <f>IFERROR(__xludf.DUMMYFUNCTION("LET(
 id,A208,
 IF(
  F208=""CHARACTER"",
  LET(
   base,REGEXREPLACE(id,""@\d+$"",""""),
   required,VALUE(REGEXEXTRACT(id,""@(\d+)$"")),
   current,XLOOKUP(
    base,
    tblPlayer[PlayerStateID],
    tblPlayer[Value],
    0
   ),
   current&gt;=required
 "&amp;" ),
  IF(
   T208=""AUTO"",
   L208=0,
   COUNTIFS(
    tblChecklist[TargetID],id,
    tblChecklist[PlayerCompleted],TRUE
   )&gt;0
  )
 )
)"),FALSE)</f>
        <v>0</v>
      </c>
      <c r="E208" s="26" t="str">
        <f t="array" ref="E208">_xlfn.XLOOKUP(
 A208,
 tblTargets[TargetID],
 tblTargets[TargetType],
 ""
)</f>
        <v>COLLECTION</v>
      </c>
      <c r="F208" s="26" t="str">
        <f t="array" ref="F208">_xlfn.XLOOKUP(
 A208,
 tblTargets[TargetID],
 tblTargets[StateType],
 ""
)</f>
        <v/>
      </c>
      <c r="G208" s="26">
        <f>LET(
 id,A208,
 depCount,COUNTIF(tblDependencies[TargetID],id),
 objCount,COUNTIF(tblQuestObjectives[QuestTargetID],id),
 depCount+objCount
)</f>
        <v>1</v>
      </c>
      <c r="H208" s="26">
        <f t="shared" si="2"/>
        <v>1</v>
      </c>
      <c r="I208" s="26">
        <f>IFERROR(__xludf.DUMMYFUNCTION("LET(
 id,A208,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8" s="26">
        <f t="shared" si="3"/>
        <v>0</v>
      </c>
      <c r="K208" s="26" t="b">
        <f t="shared" si="4"/>
        <v>0</v>
      </c>
      <c r="L208" s="26">
        <f t="shared" si="5"/>
        <v>1</v>
      </c>
      <c r="M208" s="26" t="str">
        <f>IFERROR(__xludf.DUMMYFUNCTION("LET(
 id,A208,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L208=0,
  """",
  IFERROR(INDEX(incomplete,1),"""")"&amp;"
 )
)"),"collection.pantry_1@4")</f>
        <v>collection.pantry_1@4</v>
      </c>
      <c r="N208" s="26" t="str">
        <f t="array" ref="N208">IF(
 M208="",
 "",
 _xlfn.XLOOKUP(
  M208,
  tblTargets[TargetID],
  tblTargets[DisplayName],
  M208
 )
)</f>
        <v>Pantry 1 Lv 4</v>
      </c>
      <c r="O208" s="26" t="str">
        <f>IFERROR(__xludf.DUMMYFUNCTION("SWITCH(
 E208,
 ""BUILDING"",XLOOKUP(A208,tblBuildings[BuildingID],tblBuildings[costtext],""""),
 ""TECH"",XLOOKUP(A208,tblTechnologies[TechnologyID],tblTechnologies[costtext],""""),
 ""QUEST"",XLOOKUP(
  REGEXREPLACE(A208,""\.[^.]+$"",""""),
  tblQuests["&amp;"QuestID],
  tblQuests[Costtext],
  """"
 ),
 ""CITADEL"",XLOOKUP(A208,tblCitadel[CitadelID],tblCitadel[costtext],""""),
 ""COLLECTION"",XLOOKUP(A208,tblCollections[CollectionID],tblCollections[costtext],""""),
 ""CRAFTIFACT"",XLOOKUP(A208,tblCraftifacts[C"&amp;"raftifactID],tblCraftifacts[costtext],""""),
 """"
)"),"25 avocado,50 beans,50 dates,200 flour,50 glass,50 paper,200 rice,50 salmon,50 silk,25 spices,50 thread,25 tuna")</f>
        <v>25 avocado,50 beans,50 dates,200 flour,50 glass,50 paper,200 rice,50 salmon,50 silk,25 spices,50 thread,25 tuna</v>
      </c>
      <c r="P208" s="26" t="str">
        <f t="shared" si="6"/>
        <v>BLOCKED</v>
      </c>
      <c r="Q208" s="26" t="str">
        <f t="shared" si="7"/>
        <v>BLOCKED</v>
      </c>
      <c r="R208" s="26">
        <f t="array" ref="R208">IFERROR(
 _xlfn.XLOOKUP(
  A208,
  tblChecklist[TargetID],
  tblChecklist[PlayerSort],
  ""
 ),
 ""
)</f>
        <v>24</v>
      </c>
      <c r="S208" s="26" t="str">
        <f>IFERROR(__xludf.DUMMYFUNCTION("LET(
 id,A208,
 successorIDs,
  IFERROR(
   UNIQUE(
    FILTER(
     {
      Dependencies!$A$2:$A$1000;
      QuestObjectives!$A$2:$A$1000
     },
     {
      Dependencies!$B$2:$B$1000;
      QuestObjectives!$E$2:$E$1000
     }=id
    )
   ),
   """"
  )"&amp;",
 names,
  MAP(
   successorIDs,
   LAMBDA(s,
    IF(
     s="""",
     """",
     XLOOKUP(
      s,
      $A$2:$A$1000,
      $B$2:$B$1000,
      s
     )
    )
   )
  ),
 IF(
  successorIDs="""",
  """",
  TEXTJOIN("", "",TRUE,names)
 )
)"),"")</f>
        <v/>
      </c>
      <c r="T208" s="26" t="str">
        <f t="array" ref="T208">_xlfn.XLOOKUP(
 A208,
 tblTargets[TargetID],
 tblTargets[CompletionMethod],
 ""
)</f>
        <v>PLAYER</v>
      </c>
      <c r="U208" s="84" t="b">
        <f>COUNTIF(tblCost[TargetID],A208)&gt;0</f>
        <v>1</v>
      </c>
      <c r="V208" s="85">
        <f t="array" ref="V208">IF(
 U208=FALSE,
 "",
 _xlfn.XLOOKUP(
  A208,
  tblCost[TargetID],
  tblCost[FundingPercent],
  ""
 )
)</f>
        <v>0</v>
      </c>
      <c r="W208" s="26">
        <f t="array" ref="W208">IF(
 U208=FALSE,
 "",
 _xlfn.XLOOKUP(
  A208,
  tblCost[TargetID],
  tblCost[RemainingRequirements],
  ""
 )
)</f>
        <v>12</v>
      </c>
      <c r="X208" s="45" t="b">
        <f t="array" ref="X208">IF(
 U208=FALSE,
 "N/A",
 _xlfn.XLOOKUP(
  A209,
  tblCost[TargetID],
  tblCost[TargetFunded],
  FALSE
 )
)</f>
        <v>0</v>
      </c>
      <c r="Y208" s="26" t="str">
        <f>IFERROR(__xludf.DUMMYFUNCTION("IFERROR(
 TEXTJOIN(
  "", "",
  TRUE,
  FILTER(
   'cost checklist'!$E$2:$E1000&amp;"": ""&amp;'cost checklist'!$G$2:$G1000,
   'cost checklist'!$B$2:$B1000=A208,
   'cost checklist'!$J$2:$J1000=FALSE
  )
 ),
 """"
)"),"avocado: 25, beans: 50, dates: 50, flour: 200, glass: 50, paper: 50, rice: 200, salmon: 50, silk: 50, spices: 25, thread: 50, tuna: 25")</f>
        <v>avocado: 25, beans: 50, dates: 50, flour: 200, glass: 50, paper: 50, rice: 200, salmon: 50, silk: 50, spices: 25, thread: 50, tuna: 25</v>
      </c>
      <c r="Z208" s="26" t="b">
        <f>IFERROR(__xludf.DUMMYFUNCTION("IF(
 AND(
  E208=""QUEST"",
  RIGHT(A208,9)="".accepted"",
  D208=TRUE
 ),
 XLOOKUP(
  REGEXREPLACE(A208,""\.accepted$"","""")&amp;"".finished"",
  $A$2:$A1000,
  $D$2:$D1000,
  TRUE
 )=FALSE,
 FALSE
)"),FALSE)</f>
        <v>0</v>
      </c>
      <c r="AA208" s="26" t="str">
        <f>IFERROR(__xludf.DUMMYFUNCTION("LET(
 id,A208,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09" ht="14.25" customHeight="1">
      <c r="A209" s="26" t="s">
        <v>722</v>
      </c>
      <c r="B209" s="26" t="str">
        <f t="array" ref="B209">_xlfn.XLOOKUP(
 A209,
 tblTargets[TargetID],
 tblTargets[DisplayName],
 ""
)</f>
        <v>Pantry 2 Lv 1</v>
      </c>
      <c r="C209" s="26" t="str">
        <f t="shared" si="1"/>
        <v>BLOCKED</v>
      </c>
      <c r="D209" s="26" t="b">
        <f>IFERROR(__xludf.DUMMYFUNCTION("LET(
 id,A209,
 IF(
  F209=""CHARACTER"",
  LET(
   base,REGEXREPLACE(id,""@\d+$"",""""),
   required,VALUE(REGEXEXTRACT(id,""@(\d+)$"")),
   current,XLOOKUP(
    base,
    tblPlayer[PlayerStateID],
    tblPlayer[Value],
    0
   ),
   current&gt;=required
 "&amp;" ),
  IF(
   T209=""AUTO"",
   L209=0,
   COUNTIFS(
    tblChecklist[TargetID],id,
    tblChecklist[PlayerCompleted],TRUE
   )&gt;0
  )
 )
)"),FALSE)</f>
        <v>0</v>
      </c>
      <c r="E209" s="26" t="str">
        <f t="array" ref="E209">_xlfn.XLOOKUP(
 A209,
 tblTargets[TargetID],
 tblTargets[TargetType],
 ""
)</f>
        <v>COLLECTION</v>
      </c>
      <c r="F209" s="26" t="str">
        <f t="array" ref="F209">_xlfn.XLOOKUP(
 A209,
 tblTargets[TargetID],
 tblTargets[StateType],
 ""
)</f>
        <v/>
      </c>
      <c r="G209" s="26">
        <f>LET(
 id,A209,
 depCount,COUNTIF(tblDependencies[TargetID],id),
 objCount,COUNTIF(tblQuestObjectives[QuestTargetID],id),
 depCount+objCount
)</f>
        <v>1</v>
      </c>
      <c r="H209" s="26">
        <f t="shared" si="2"/>
        <v>1</v>
      </c>
      <c r="I209" s="26">
        <f>IFERROR(__xludf.DUMMYFUNCTION("LET(
 id,A209,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09" s="26">
        <f t="shared" si="3"/>
        <v>0</v>
      </c>
      <c r="K209" s="26" t="b">
        <f t="shared" si="4"/>
        <v>0</v>
      </c>
      <c r="L209" s="26">
        <f t="shared" si="5"/>
        <v>1</v>
      </c>
      <c r="M209" s="26" t="str">
        <f>IFERROR(__xludf.DUMMYFUNCTION("LET(
 id,A209,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L209=0,
  """",
  IFERROR(INDEX(incomplete,1),"""")"&amp;"
 )
)"),"citadel.pantry")</f>
        <v>citadel.pantry</v>
      </c>
      <c r="N209" s="26" t="str">
        <f t="array" ref="N209">IF(
 M209="",
 "",
 _xlfn.XLOOKUP(
  M209,
  tblTargets[TargetID],
  tblTargets[DisplayName],
  M209
 )
)</f>
        <v>Pantry</v>
      </c>
      <c r="O209" s="26" t="str">
        <f>IFERROR(__xludf.DUMMYFUNCTION("SWITCH(
 E209,
 ""BUILDING"",XLOOKUP(A209,tblBuildings[BuildingID],tblBuildings[costtext],""""),
 ""TECH"",XLOOKUP(A209,tblTechnologies[TechnologyID],tblTechnologies[costtext],""""),
 ""QUEST"",XLOOKUP(
  REGEXREPLACE(A209,""\.[^.]+$"",""""),
  tblQuests["&amp;"QuestID],
  tblQuests[Costtext],
  """"
 ),
 ""CITADEL"",XLOOKUP(A209,tblCitadel[CitadelID],tblCitadel[costtext],""""),
 ""COLLECTION"",XLOOKUP(A209,tblCollections[CollectionID],tblCollections[costtext],""""),
 ""CRAFTIFACT"",XLOOKUP(A209,tblCraftifacts[C"&amp;"raftifactID],tblCraftifacts[costtext],""""),
 """"
)"),"100 plank,100 plank.2,100 steel,100 stone")</f>
        <v>100 plank,100 plank.2,100 steel,100 stone</v>
      </c>
      <c r="P209" s="26" t="str">
        <f t="shared" si="6"/>
        <v>BLOCKED</v>
      </c>
      <c r="Q209" s="26" t="str">
        <f t="shared" si="7"/>
        <v>BLOCKED</v>
      </c>
      <c r="R209" s="26" t="str">
        <f t="array" ref="R209">IFERROR(
 _xlfn.XLOOKUP(
  A209,
  tblChecklist[TargetID],
  tblChecklist[PlayerSort],
  ""
 ),
 ""
)</f>
        <v/>
      </c>
      <c r="S209" s="26" t="str">
        <f>IFERROR(__xludf.DUMMYFUNCTION("LET(
 id,A209,
 successorIDs,
  IFERROR(
   UNIQUE(
    FILTER(
     {
      Dependencies!$A$2:$A$1000;
      QuestObjectives!$A$2:$A$1000
     },
     {
      Dependencies!$B$2:$B$1000;
      QuestObjectives!$E$2:$E$1000
     }=id
    )
   ),
   """"
  )"&amp;",
 names,
  MAP(
   successorIDs,
   LAMBDA(s,
    IF(
     s="""",
     """",
     XLOOKUP(
      s,
      $A$2:$A$1000,
      $B$2:$B$1000,
      s
     )
    )
   )
  ),
 IF(
  successorIDs="""",
  """",
  TEXTJOIN("", "",TRUE,names)
 )
)"),"Pantry 2 Lv 2")</f>
        <v>Pantry 2 Lv 2</v>
      </c>
      <c r="T209" s="26" t="str">
        <f t="array" ref="T209">_xlfn.XLOOKUP(
 A209,
 tblTargets[TargetID],
 tblTargets[CompletionMethod],
 ""
)</f>
        <v>PLAYER</v>
      </c>
      <c r="U209" s="84" t="b">
        <f>COUNTIF(tblCost[TargetID],A209)&gt;0</f>
        <v>1</v>
      </c>
      <c r="V209" s="85">
        <f t="array" ref="V209">IF(
 U209=FALSE,
 "",
 _xlfn.XLOOKUP(
  A209,
  tblCost[TargetID],
  tblCost[FundingPercent],
  ""
 )
)</f>
        <v>0</v>
      </c>
      <c r="W209" s="26">
        <f t="array" ref="W209">IF(
 U209=FALSE,
 "",
 _xlfn.XLOOKUP(
  A209,
  tblCost[TargetID],
  tblCost[RemainingRequirements],
  ""
 )
)</f>
        <v>4</v>
      </c>
      <c r="X209" s="45" t="b">
        <f t="array" ref="X209">IF(
 U209=FALSE,
 "N/A",
 _xlfn.XLOOKUP(
  A210,
  tblCost[TargetID],
  tblCost[TargetFunded],
  FALSE
 )
)</f>
        <v>0</v>
      </c>
      <c r="Y209" s="26" t="str">
        <f>IFERROR(__xludf.DUMMYFUNCTION("IFERROR(
 TEXTJOIN(
  "", "",
  TRUE,
  FILTER(
   'cost checklist'!$E$2:$E1000&amp;"": ""&amp;'cost checklist'!$G$2:$G1000,
   'cost checklist'!$B$2:$B1000=A209,
   'cost checklist'!$J$2:$J1000=FALSE
  )
 ),
 """"
)"),"plank: 100, plank: 100, steel: 100, stone: 100")</f>
        <v>plank: 100, plank: 100, steel: 100, stone: 100</v>
      </c>
      <c r="Z209" s="26" t="b">
        <f>IFERROR(__xludf.DUMMYFUNCTION("IF(
 AND(
  E209=""QUEST"",
  RIGHT(A209,9)="".accepted"",
  D209=TRUE
 ),
 XLOOKUP(
  REGEXREPLACE(A209,""\.accepted$"","""")&amp;"".finished"",
  $A$2:$A1000,
  $D$2:$D1000,
  TRUE
 )=FALSE,
 FALSE
)"),FALSE)</f>
        <v>0</v>
      </c>
      <c r="AA209" s="26" t="str">
        <f>IFERROR(__xludf.DUMMYFUNCTION("LET(
 id,A209,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0" ht="14.25" customHeight="1">
      <c r="A210" s="26" t="s">
        <v>727</v>
      </c>
      <c r="B210" s="26" t="str">
        <f t="array" ref="B210">_xlfn.XLOOKUP(
 A210,
 tblTargets[TargetID],
 tblTargets[DisplayName],
 ""
)</f>
        <v>Pantry 2 Lv 2</v>
      </c>
      <c r="C210" s="26" t="str">
        <f t="shared" si="1"/>
        <v>BLOCKED</v>
      </c>
      <c r="D210" s="26" t="b">
        <f>IFERROR(__xludf.DUMMYFUNCTION("LET(
 id,A210,
 IF(
  F210=""CHARACTER"",
  LET(
   base,REGEXREPLACE(id,""@\d+$"",""""),
   required,VALUE(REGEXEXTRACT(id,""@(\d+)$"")),
   current,XLOOKUP(
    base,
    tblPlayer[PlayerStateID],
    tblPlayer[Value],
    0
   ),
   current&gt;=required
 "&amp;" ),
  IF(
   T210=""AUTO"",
   L210=0,
   COUNTIFS(
    tblChecklist[TargetID],id,
    tblChecklist[PlayerCompleted],TRUE
   )&gt;0
  )
 )
)"),FALSE)</f>
        <v>0</v>
      </c>
      <c r="E210" s="26" t="str">
        <f t="array" ref="E210">_xlfn.XLOOKUP(
 A210,
 tblTargets[TargetID],
 tblTargets[TargetType],
 ""
)</f>
        <v>COLLECTION</v>
      </c>
      <c r="F210" s="26" t="str">
        <f t="array" ref="F210">_xlfn.XLOOKUP(
 A210,
 tblTargets[TargetID],
 tblTargets[StateType],
 ""
)</f>
        <v/>
      </c>
      <c r="G210" s="26">
        <f>LET(
 id,A210,
 depCount,COUNTIF(tblDependencies[TargetID],id),
 objCount,COUNTIF(tblQuestObjectives[QuestTargetID],id),
 depCount+objCount
)</f>
        <v>1</v>
      </c>
      <c r="H210" s="26">
        <f t="shared" si="2"/>
        <v>1</v>
      </c>
      <c r="I210" s="26">
        <f>IFERROR(__xludf.DUMMYFUNCTION("LET(
 id,A210,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0" s="26">
        <f t="shared" si="3"/>
        <v>0</v>
      </c>
      <c r="K210" s="26" t="b">
        <f t="shared" si="4"/>
        <v>0</v>
      </c>
      <c r="L210" s="26">
        <f t="shared" si="5"/>
        <v>1</v>
      </c>
      <c r="M210" s="26" t="str">
        <f>IFERROR(__xludf.DUMMYFUNCTION("LET(
 id,A210,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L210=0,
  """",
  IFERROR(INDEX(incomplete,1),"""")"&amp;"
 )
)"),"collection.pantry_2@1")</f>
        <v>collection.pantry_2@1</v>
      </c>
      <c r="N210" s="26" t="str">
        <f t="array" ref="N210">IF(
 M210="",
 "",
 _xlfn.XLOOKUP(
  M210,
  tblTargets[TargetID],
  tblTargets[DisplayName],
  M210
 )
)</f>
        <v>Pantry 2 Lv 1</v>
      </c>
      <c r="O210" s="26" t="str">
        <f>IFERROR(__xludf.DUMMYFUNCTION("SWITCH(
 E210,
 ""BUILDING"",XLOOKUP(A210,tblBuildings[BuildingID],tblBuildings[costtext],""""),
 ""TECH"",XLOOKUP(A210,tblTechnologies[TechnologyID],tblTechnologies[costtext],""""),
 ""QUEST"",XLOOKUP(
  REGEXREPLACE(A210,""\.[^.]+$"",""""),
  tblQuests["&amp;"QuestID],
  tblQuests[Costtext],
  """"
 ),
 ""CITADEL"",XLOOKUP(A210,tblCitadel[CitadelID],tblCitadel[costtext],""""),
 ""COLLECTION"",XLOOKUP(A210,tblCollections[CollectionID],tblCollections[costtext],""""),
 ""CRAFTIFACT"",XLOOKUP(A210,tblCraftifacts[C"&amp;"raftifactID],tblCraftifacts[costtext],""""),
 """"
)"),"200 plank,200 plank.2,200 steel,200 stone")</f>
        <v>200 plank,200 plank.2,200 steel,200 stone</v>
      </c>
      <c r="P210" s="26" t="str">
        <f t="shared" si="6"/>
        <v>BLOCKED</v>
      </c>
      <c r="Q210" s="26" t="str">
        <f t="shared" si="7"/>
        <v>BLOCKED</v>
      </c>
      <c r="R210" s="26" t="str">
        <f t="array" ref="R210">IFERROR(
 _xlfn.XLOOKUP(
  A210,
  tblChecklist[TargetID],
  tblChecklist[PlayerSort],
  ""
 ),
 ""
)</f>
        <v/>
      </c>
      <c r="S210" s="26" t="str">
        <f>IFERROR(__xludf.DUMMYFUNCTION("LET(
 id,A210,
 successorIDs,
  IFERROR(
   UNIQUE(
    FILTER(
     {
      Dependencies!$A$2:$A$1000;
      QuestObjectives!$A$2:$A$1000
     },
     {
      Dependencies!$B$2:$B$1000;
      QuestObjectives!$E$2:$E$1000
     }=id
    )
   ),
   """"
  )"&amp;",
 names,
  MAP(
   successorIDs,
   LAMBDA(s,
    IF(
     s="""",
     """",
     XLOOKUP(
      s,
      $A$2:$A$1000,
      $B$2:$B$1000,
      s
     )
    )
   )
  ),
 IF(
  successorIDs="""",
  """",
  TEXTJOIN("", "",TRUE,names)
 )
)"),"Pantry 2 Lv 3")</f>
        <v>Pantry 2 Lv 3</v>
      </c>
      <c r="T210" s="26" t="str">
        <f t="array" ref="T210">_xlfn.XLOOKUP(
 A210,
 tblTargets[TargetID],
 tblTargets[CompletionMethod],
 ""
)</f>
        <v>PLAYER</v>
      </c>
      <c r="U210" s="84" t="b">
        <f>COUNTIF(tblCost[TargetID],A210)&gt;0</f>
        <v>1</v>
      </c>
      <c r="V210" s="85">
        <f t="array" ref="V210">IF(
 U210=FALSE,
 "",
 _xlfn.XLOOKUP(
  A210,
  tblCost[TargetID],
  tblCost[FundingPercent],
  ""
 )
)</f>
        <v>0</v>
      </c>
      <c r="W210" s="26">
        <f t="array" ref="W210">IF(
 U210=FALSE,
 "",
 _xlfn.XLOOKUP(
  A210,
  tblCost[TargetID],
  tblCost[RemainingRequirements],
  ""
 )
)</f>
        <v>4</v>
      </c>
      <c r="X210" s="45" t="b">
        <f t="array" ref="X210">IF(
 U210=FALSE,
 "N/A",
 _xlfn.XLOOKUP(
  A211,
  tblCost[TargetID],
  tblCost[TargetFunded],
  FALSE
 )
)</f>
        <v>0</v>
      </c>
      <c r="Y210" s="26" t="str">
        <f>IFERROR(__xludf.DUMMYFUNCTION("IFERROR(
 TEXTJOIN(
  "", "",
  TRUE,
  FILTER(
   'cost checklist'!$E$2:$E1000&amp;"": ""&amp;'cost checklist'!$G$2:$G1000,
   'cost checklist'!$B$2:$B1000=A210,
   'cost checklist'!$J$2:$J1000=FALSE
  )
 ),
 """"
)"),"plank: 200, plank: 200, steel: 200, stone: 200")</f>
        <v>plank: 200, plank: 200, steel: 200, stone: 200</v>
      </c>
      <c r="Z210" s="26" t="b">
        <f>IFERROR(__xludf.DUMMYFUNCTION("IF(
 AND(
  E210=""QUEST"",
  RIGHT(A210,9)="".accepted"",
  D210=TRUE
 ),
 XLOOKUP(
  REGEXREPLACE(A210,""\.accepted$"","""")&amp;"".finished"",
  $A$2:$A1000,
  $D$2:$D1000,
  TRUE
 )=FALSE,
 FALSE
)"),FALSE)</f>
        <v>0</v>
      </c>
      <c r="AA210" s="26" t="str">
        <f>IFERROR(__xludf.DUMMYFUNCTION("LET(
 id,A210,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1" ht="14.25" customHeight="1">
      <c r="A211" s="26" t="s">
        <v>731</v>
      </c>
      <c r="B211" s="26" t="str">
        <f t="array" ref="B211">_xlfn.XLOOKUP(
 A211,
 tblTargets[TargetID],
 tblTargets[DisplayName],
 ""
)</f>
        <v>Pantry 2 Lv 3</v>
      </c>
      <c r="C211" s="26" t="str">
        <f t="shared" si="1"/>
        <v>BLOCKED</v>
      </c>
      <c r="D211" s="26" t="b">
        <f>IFERROR(__xludf.DUMMYFUNCTION("LET(
 id,A211,
 IF(
  F211=""CHARACTER"",
  LET(
   base,REGEXREPLACE(id,""@\d+$"",""""),
   required,VALUE(REGEXEXTRACT(id,""@(\d+)$"")),
   current,XLOOKUP(
    base,
    tblPlayer[PlayerStateID],
    tblPlayer[Value],
    0
   ),
   current&gt;=required
 "&amp;" ),
  IF(
   T211=""AUTO"",
   L211=0,
   COUNTIFS(
    tblChecklist[TargetID],id,
    tblChecklist[PlayerCompleted],TRUE
   )&gt;0
  )
 )
)"),FALSE)</f>
        <v>0</v>
      </c>
      <c r="E211" s="26" t="str">
        <f t="array" ref="E211">_xlfn.XLOOKUP(
 A211,
 tblTargets[TargetID],
 tblTargets[TargetType],
 ""
)</f>
        <v>COLLECTION</v>
      </c>
      <c r="F211" s="26" t="str">
        <f t="array" ref="F211">_xlfn.XLOOKUP(
 A211,
 tblTargets[TargetID],
 tblTargets[StateType],
 ""
)</f>
        <v/>
      </c>
      <c r="G211" s="26">
        <f>LET(
 id,A211,
 depCount,COUNTIF(tblDependencies[TargetID],id),
 objCount,COUNTIF(tblQuestObjectives[QuestTargetID],id),
 depCount+objCount
)</f>
        <v>1</v>
      </c>
      <c r="H211" s="26">
        <f t="shared" si="2"/>
        <v>1</v>
      </c>
      <c r="I211" s="26">
        <f>IFERROR(__xludf.DUMMYFUNCTION("LET(
 id,A211,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1" s="26">
        <f t="shared" si="3"/>
        <v>0</v>
      </c>
      <c r="K211" s="26" t="b">
        <f t="shared" si="4"/>
        <v>0</v>
      </c>
      <c r="L211" s="26">
        <f t="shared" si="5"/>
        <v>1</v>
      </c>
      <c r="M211" s="26" t="str">
        <f>IFERROR(__xludf.DUMMYFUNCTION("LET(
 id,A211,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L211=0,
  """",
  IFERROR(INDEX(incomplete,1),"""")"&amp;"
 )
)"),"collection.pantry_2@2")</f>
        <v>collection.pantry_2@2</v>
      </c>
      <c r="N211" s="26" t="str">
        <f t="array" ref="N211">IF(
 M211="",
 "",
 _xlfn.XLOOKUP(
  M211,
  tblTargets[TargetID],
  tblTargets[DisplayName],
  M211
 )
)</f>
        <v>Pantry 2 Lv 2</v>
      </c>
      <c r="O211" s="26" t="str">
        <f>IFERROR(__xludf.DUMMYFUNCTION("SWITCH(
 E211,
 ""BUILDING"",XLOOKUP(A211,tblBuildings[BuildingID],tblBuildings[costtext],""""),
 ""TECH"",XLOOKUP(A211,tblTechnologies[TechnologyID],tblTechnologies[costtext],""""),
 ""QUEST"",XLOOKUP(
  REGEXREPLACE(A211,""\.[^.]+$"",""""),
  tblQuests["&amp;"QuestID],
  tblQuests[Costtext],
  """"
 ),
 ""CITADEL"",XLOOKUP(A211,tblCitadel[CitadelID],tblCitadel[costtext],""""),
 ""COLLECTION"",XLOOKUP(A211,tblCollections[CollectionID],tblCollections[costtext],""""),
 ""CRAFTIFACT"",XLOOKUP(A211,tblCraftifacts[C"&amp;"raftifactID],tblCraftifacts[costtext],""""),
 """"
)"),"300 plank,300 plank.2,300 steel,300 stone")</f>
        <v>300 plank,300 plank.2,300 steel,300 stone</v>
      </c>
      <c r="P211" s="26" t="str">
        <f t="shared" si="6"/>
        <v>BLOCKED</v>
      </c>
      <c r="Q211" s="26" t="str">
        <f t="shared" si="7"/>
        <v>BLOCKED</v>
      </c>
      <c r="R211" s="26" t="str">
        <f t="array" ref="R211">IFERROR(
 _xlfn.XLOOKUP(
  A211,
  tblChecklist[TargetID],
  tblChecklist[PlayerSort],
  ""
 ),
 ""
)</f>
        <v/>
      </c>
      <c r="S211" s="26" t="str">
        <f>IFERROR(__xludf.DUMMYFUNCTION("LET(
 id,A211,
 successorIDs,
  IFERROR(
   UNIQUE(
    FILTER(
     {
      Dependencies!$A$2:$A$1000;
      QuestObjectives!$A$2:$A$1000
     },
     {
      Dependencies!$B$2:$B$1000;
      QuestObjectives!$E$2:$E$1000
     }=id
    )
   ),
   """"
  )"&amp;",
 names,
  MAP(
   successorIDs,
   LAMBDA(s,
    IF(
     s="""",
     """",
     XLOOKUP(
      s,
      $A$2:$A$1000,
      $B$2:$B$1000,
      s
     )
    )
   )
  ),
 IF(
  successorIDs="""",
  """",
  TEXTJOIN("", "",TRUE,names)
 )
)"),"Pantry 2 Lv 4")</f>
        <v>Pantry 2 Lv 4</v>
      </c>
      <c r="T211" s="26" t="str">
        <f t="array" ref="T211">_xlfn.XLOOKUP(
 A211,
 tblTargets[TargetID],
 tblTargets[CompletionMethod],
 ""
)</f>
        <v>PLAYER</v>
      </c>
      <c r="U211" s="84" t="b">
        <f>COUNTIF(tblCost[TargetID],A211)&gt;0</f>
        <v>1</v>
      </c>
      <c r="V211" s="85">
        <f t="array" ref="V211">IF(
 U211=FALSE,
 "",
 _xlfn.XLOOKUP(
  A211,
  tblCost[TargetID],
  tblCost[FundingPercent],
  ""
 )
)</f>
        <v>0</v>
      </c>
      <c r="W211" s="26">
        <f t="array" ref="W211">IF(
 U211=FALSE,
 "",
 _xlfn.XLOOKUP(
  A211,
  tblCost[TargetID],
  tblCost[RemainingRequirements],
  ""
 )
)</f>
        <v>4</v>
      </c>
      <c r="X211" s="45" t="b">
        <f t="array" ref="X211">IF(
 U211=FALSE,
 "N/A",
 _xlfn.XLOOKUP(
  A212,
  tblCost[TargetID],
  tblCost[TargetFunded],
  FALSE
 )
)</f>
        <v>0</v>
      </c>
      <c r="Y211" s="26" t="str">
        <f>IFERROR(__xludf.DUMMYFUNCTION("IFERROR(
 TEXTJOIN(
  "", "",
  TRUE,
  FILTER(
   'cost checklist'!$E$2:$E1000&amp;"": ""&amp;'cost checklist'!$G$2:$G1000,
   'cost checklist'!$B$2:$B1000=A211,
   'cost checklist'!$J$2:$J1000=FALSE
  )
 ),
 """"
)"),"plank: 300, plank: 300, steel: 300, stone: 300")</f>
        <v>plank: 300, plank: 300, steel: 300, stone: 300</v>
      </c>
      <c r="Z211" s="26" t="b">
        <f>IFERROR(__xludf.DUMMYFUNCTION("IF(
 AND(
  E211=""QUEST"",
  RIGHT(A211,9)="".accepted"",
  D211=TRUE
 ),
 XLOOKUP(
  REGEXREPLACE(A211,""\.accepted$"","""")&amp;"".finished"",
  $A$2:$A1000,
  $D$2:$D1000,
  TRUE
 )=FALSE,
 FALSE
)"),FALSE)</f>
        <v>0</v>
      </c>
      <c r="AA211" s="26" t="str">
        <f>IFERROR(__xludf.DUMMYFUNCTION("LET(
 id,A211,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2" ht="14.25" customHeight="1">
      <c r="A212" s="26" t="s">
        <v>735</v>
      </c>
      <c r="B212" s="26" t="str">
        <f t="array" ref="B212">_xlfn.XLOOKUP(
 A212,
 tblTargets[TargetID],
 tblTargets[DisplayName],
 ""
)</f>
        <v>Pantry 2 Lv 4</v>
      </c>
      <c r="C212" s="26" t="str">
        <f t="shared" si="1"/>
        <v>BLOCKED</v>
      </c>
      <c r="D212" s="26" t="b">
        <f>IFERROR(__xludf.DUMMYFUNCTION("LET(
 id,A212,
 IF(
  F212=""CHARACTER"",
  LET(
   base,REGEXREPLACE(id,""@\d+$"",""""),
   required,VALUE(REGEXEXTRACT(id,""@(\d+)$"")),
   current,XLOOKUP(
    base,
    tblPlayer[PlayerStateID],
    tblPlayer[Value],
    0
   ),
   current&gt;=required
 "&amp;" ),
  IF(
   T212=""AUTO"",
   L212=0,
   COUNTIFS(
    tblChecklist[TargetID],id,
    tblChecklist[PlayerCompleted],TRUE
   )&gt;0
  )
 )
)"),FALSE)</f>
        <v>0</v>
      </c>
      <c r="E212" s="26" t="str">
        <f t="array" ref="E212">_xlfn.XLOOKUP(
 A212,
 tblTargets[TargetID],
 tblTargets[TargetType],
 ""
)</f>
        <v>COLLECTION</v>
      </c>
      <c r="F212" s="26" t="str">
        <f t="array" ref="F212">_xlfn.XLOOKUP(
 A212,
 tblTargets[TargetID],
 tblTargets[StateType],
 ""
)</f>
        <v/>
      </c>
      <c r="G212" s="26">
        <f>LET(
 id,A212,
 depCount,COUNTIF(tblDependencies[TargetID],id),
 objCount,COUNTIF(tblQuestObjectives[QuestTargetID],id),
 depCount+objCount
)</f>
        <v>1</v>
      </c>
      <c r="H212" s="26">
        <f t="shared" si="2"/>
        <v>1</v>
      </c>
      <c r="I212" s="26">
        <f>IFERROR(__xludf.DUMMYFUNCTION("LET(
 id,A212,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2" s="26">
        <f t="shared" si="3"/>
        <v>0</v>
      </c>
      <c r="K212" s="26" t="b">
        <f t="shared" si="4"/>
        <v>0</v>
      </c>
      <c r="L212" s="26">
        <f t="shared" si="5"/>
        <v>1</v>
      </c>
      <c r="M212" s="26" t="str">
        <f>IFERROR(__xludf.DUMMYFUNCTION("LET(
 id,A212,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L212=0,
  """",
  IFERROR(INDEX(incomplete,1),"""")"&amp;"
 )
)"),"collection.pantry_2@3")</f>
        <v>collection.pantry_2@3</v>
      </c>
      <c r="N212" s="26" t="str">
        <f t="array" ref="N212">IF(
 M212="",
 "",
 _xlfn.XLOOKUP(
  M212,
  tblTargets[TargetID],
  tblTargets[DisplayName],
  M212
 )
)</f>
        <v>Pantry 2 Lv 3</v>
      </c>
      <c r="O212" s="26" t="str">
        <f>IFERROR(__xludf.DUMMYFUNCTION("SWITCH(
 E212,
 ""BUILDING"",XLOOKUP(A212,tblBuildings[BuildingID],tblBuildings[costtext],""""),
 ""TECH"",XLOOKUP(A212,tblTechnologies[TechnologyID],tblTechnologies[costtext],""""),
 ""QUEST"",XLOOKUP(
  REGEXREPLACE(A212,""\.[^.]+$"",""""),
  tblQuests["&amp;"QuestID],
  tblQuests[Costtext],
  """"
 ),
 ""CITADEL"",XLOOKUP(A212,tblCitadel[CitadelID],tblCitadel[costtext],""""),
 ""COLLECTION"",XLOOKUP(A212,tblCollections[CollectionID],tblCollections[costtext],""""),
 ""CRAFTIFACT"",XLOOKUP(A212,tblCraftifacts[C"&amp;"raftifactID],tblCraftifacts[costtext],""""),
 """"
)"),"400 plank,400 plank.2,400 steel,400 stone")</f>
        <v>400 plank,400 plank.2,400 steel,400 stone</v>
      </c>
      <c r="P212" s="26" t="str">
        <f t="shared" si="6"/>
        <v>BLOCKED</v>
      </c>
      <c r="Q212" s="26" t="str">
        <f t="shared" si="7"/>
        <v>BLOCKED</v>
      </c>
      <c r="R212" s="26" t="str">
        <f t="array" ref="R212">IFERROR(
 _xlfn.XLOOKUP(
  A212,
  tblChecklist[TargetID],
  tblChecklist[PlayerSort],
  ""
 ),
 ""
)</f>
        <v/>
      </c>
      <c r="S212" s="26" t="str">
        <f>IFERROR(__xludf.DUMMYFUNCTION("LET(
 id,A212,
 successorIDs,
  IFERROR(
   UNIQUE(
    FILTER(
     {
      Dependencies!$A$2:$A$1000;
      QuestObjectives!$A$2:$A$1000
     },
     {
      Dependencies!$B$2:$B$1000;
      QuestObjectives!$E$2:$E$1000
     }=id
    )
   ),
   """"
  )"&amp;",
 names,
  MAP(
   successorIDs,
   LAMBDA(s,
    IF(
     s="""",
     """",
     XLOOKUP(
      s,
      $A$2:$A$1000,
      $B$2:$B$1000,
      s
     )
    )
   )
  ),
 IF(
  successorIDs="""",
  """",
  TEXTJOIN("", "",TRUE,names)
 )
)"),"Pantry 2 Lv 5")</f>
        <v>Pantry 2 Lv 5</v>
      </c>
      <c r="T212" s="26" t="str">
        <f t="array" ref="T212">_xlfn.XLOOKUP(
 A212,
 tblTargets[TargetID],
 tblTargets[CompletionMethod],
 ""
)</f>
        <v>PLAYER</v>
      </c>
      <c r="U212" s="84" t="b">
        <f>COUNTIF(tblCost[TargetID],A212)&gt;0</f>
        <v>1</v>
      </c>
      <c r="V212" s="85">
        <f t="array" ref="V212">IF(
 U212=FALSE,
 "",
 _xlfn.XLOOKUP(
  A212,
  tblCost[TargetID],
  tblCost[FundingPercent],
  ""
 )
)</f>
        <v>0</v>
      </c>
      <c r="W212" s="26">
        <f t="array" ref="W212">IF(
 U212=FALSE,
 "",
 _xlfn.XLOOKUP(
  A212,
  tblCost[TargetID],
  tblCost[RemainingRequirements],
  ""
 )
)</f>
        <v>4</v>
      </c>
      <c r="X212" s="45" t="b">
        <f t="array" ref="X212">IF(
 U212=FALSE,
 "N/A",
 _xlfn.XLOOKUP(
  A213,
  tblCost[TargetID],
  tblCost[TargetFunded],
  FALSE
 )
)</f>
        <v>0</v>
      </c>
      <c r="Y212" s="26" t="str">
        <f>IFERROR(__xludf.DUMMYFUNCTION("IFERROR(
 TEXTJOIN(
  "", "",
  TRUE,
  FILTER(
   'cost checklist'!$E$2:$E1000&amp;"": ""&amp;'cost checklist'!$G$2:$G1000,
   'cost checklist'!$B$2:$B1000=A212,
   'cost checklist'!$J$2:$J1000=FALSE
  )
 ),
 """"
)"),"plank: 400, plank: 400, steel: 400, stone: 400")</f>
        <v>plank: 400, plank: 400, steel: 400, stone: 400</v>
      </c>
      <c r="Z212" s="26" t="b">
        <f>IFERROR(__xludf.DUMMYFUNCTION("IF(
 AND(
  E212=""QUEST"",
  RIGHT(A212,9)="".accepted"",
  D212=TRUE
 ),
 XLOOKUP(
  REGEXREPLACE(A212,""\.accepted$"","""")&amp;"".finished"",
  $A$2:$A1000,
  $D$2:$D1000,
  TRUE
 )=FALSE,
 FALSE
)"),FALSE)</f>
        <v>0</v>
      </c>
      <c r="AA212" s="26" t="str">
        <f>IFERROR(__xludf.DUMMYFUNCTION("LET(
 id,A212,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3" ht="14.25" customHeight="1">
      <c r="A213" s="26" t="s">
        <v>739</v>
      </c>
      <c r="B213" s="26" t="str">
        <f t="array" ref="B213">_xlfn.XLOOKUP(
 A213,
 tblTargets[TargetID],
 tblTargets[DisplayName],
 ""
)</f>
        <v>Pantry 2 Lv 5</v>
      </c>
      <c r="C213" s="26" t="str">
        <f t="shared" si="1"/>
        <v>BLOCKED</v>
      </c>
      <c r="D213" s="26" t="b">
        <f>IFERROR(__xludf.DUMMYFUNCTION("LET(
 id,A213,
 IF(
  F213=""CHARACTER"",
  LET(
   base,REGEXREPLACE(id,""@\d+$"",""""),
   required,VALUE(REGEXEXTRACT(id,""@(\d+)$"")),
   current,XLOOKUP(
    base,
    tblPlayer[PlayerStateID],
    tblPlayer[Value],
    0
   ),
   current&gt;=required
 "&amp;" ),
  IF(
   T213=""AUTO"",
   L213=0,
   COUNTIFS(
    tblChecklist[TargetID],id,
    tblChecklist[PlayerCompleted],TRUE
   )&gt;0
  )
 )
)"),FALSE)</f>
        <v>0</v>
      </c>
      <c r="E213" s="26" t="str">
        <f t="array" ref="E213">_xlfn.XLOOKUP(
 A213,
 tblTargets[TargetID],
 tblTargets[TargetType],
 ""
)</f>
        <v>COLLECTION</v>
      </c>
      <c r="F213" s="26" t="str">
        <f t="array" ref="F213">_xlfn.XLOOKUP(
 A213,
 tblTargets[TargetID],
 tblTargets[StateType],
 ""
)</f>
        <v/>
      </c>
      <c r="G213" s="26">
        <f>LET(
 id,A213,
 depCount,COUNTIF(tblDependencies[TargetID],id),
 objCount,COUNTIF(tblQuestObjectives[QuestTargetID],id),
 depCount+objCount
)</f>
        <v>1</v>
      </c>
      <c r="H213" s="26">
        <f t="shared" si="2"/>
        <v>1</v>
      </c>
      <c r="I213" s="26">
        <f>IFERROR(__xludf.DUMMYFUNCTION("LET(
 id,A213,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3" s="26">
        <f t="shared" si="3"/>
        <v>0</v>
      </c>
      <c r="K213" s="26" t="b">
        <f t="shared" si="4"/>
        <v>0</v>
      </c>
      <c r="L213" s="26">
        <f t="shared" si="5"/>
        <v>1</v>
      </c>
      <c r="M213" s="26" t="str">
        <f>IFERROR(__xludf.DUMMYFUNCTION("LET(
 id,A213,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L213=0,
  """",
  IFERROR(INDEX(incomplete,1),"""")"&amp;"
 )
)"),"collection.pantry_2@4")</f>
        <v>collection.pantry_2@4</v>
      </c>
      <c r="N213" s="26" t="str">
        <f t="array" ref="N213">IF(
 M213="",
 "",
 _xlfn.XLOOKUP(
  M213,
  tblTargets[TargetID],
  tblTargets[DisplayName],
  M213
 )
)</f>
        <v>Pantry 2 Lv 4</v>
      </c>
      <c r="O213" s="26" t="str">
        <f>IFERROR(__xludf.DUMMYFUNCTION("SWITCH(
 E213,
 ""BUILDING"",XLOOKUP(A213,tblBuildings[BuildingID],tblBuildings[costtext],""""),
 ""TECH"",XLOOKUP(A213,tblTechnologies[TechnologyID],tblTechnologies[costtext],""""),
 ""QUEST"",XLOOKUP(
  REGEXREPLACE(A213,""\.[^.]+$"",""""),
  tblQuests["&amp;"QuestID],
  tblQuests[Costtext],
  """"
 ),
 ""CITADEL"",XLOOKUP(A213,tblCitadel[CitadelID],tblCitadel[costtext],""""),
 ""COLLECTION"",XLOOKUP(A213,tblCollections[CollectionID],tblCollections[costtext],""""),
 ""CRAFTIFACT"",XLOOKUP(A213,tblCraftifacts[C"&amp;"raftifactID],tblCraftifacts[costtext],""""),
 """"
)"),"500 plank,500 plank.2,500 steel,500 stone")</f>
        <v>500 plank,500 plank.2,500 steel,500 stone</v>
      </c>
      <c r="P213" s="26" t="str">
        <f t="shared" si="6"/>
        <v>BLOCKED</v>
      </c>
      <c r="Q213" s="26" t="str">
        <f t="shared" si="7"/>
        <v>BLOCKED</v>
      </c>
      <c r="R213" s="26" t="str">
        <f t="array" ref="R213">IFERROR(
 _xlfn.XLOOKUP(
  A213,
  tblChecklist[TargetID],
  tblChecklist[PlayerSort],
  ""
 ),
 ""
)</f>
        <v/>
      </c>
      <c r="S213" s="26" t="str">
        <f>IFERROR(__xludf.DUMMYFUNCTION("LET(
 id,A213,
 successorIDs,
  IFERROR(
   UNIQUE(
    FILTER(
     {
      Dependencies!$A$2:$A$1000;
      QuestObjectives!$A$2:$A$1000
     },
     {
      Dependencies!$B$2:$B$1000;
      QuestObjectives!$E$2:$E$1000
     }=id
    )
   ),
   """"
  )"&amp;",
 names,
  MAP(
   successorIDs,
   LAMBDA(s,
    IF(
     s="""",
     """",
     XLOOKUP(
      s,
      $A$2:$A$1000,
      $B$2:$B$1000,
      s
     )
    )
   )
  ),
 IF(
  successorIDs="""",
  """",
  TEXTJOIN("", "",TRUE,names)
 )
)"),"")</f>
        <v/>
      </c>
      <c r="T213" s="26" t="str">
        <f t="array" ref="T213">_xlfn.XLOOKUP(
 A213,
 tblTargets[TargetID],
 tblTargets[CompletionMethod],
 ""
)</f>
        <v>PLAYER</v>
      </c>
      <c r="U213" s="84" t="b">
        <f>COUNTIF(tblCost[TargetID],A213)&gt;0</f>
        <v>1</v>
      </c>
      <c r="V213" s="85">
        <f t="array" ref="V213">IF(
 U213=FALSE,
 "",
 _xlfn.XLOOKUP(
  A213,
  tblCost[TargetID],
  tblCost[FundingPercent],
  ""
 )
)</f>
        <v>0</v>
      </c>
      <c r="W213" s="26">
        <f t="array" ref="W213">IF(
 U213=FALSE,
 "",
 _xlfn.XLOOKUP(
  A213,
  tblCost[TargetID],
  tblCost[RemainingRequirements],
  ""
 )
)</f>
        <v>4</v>
      </c>
      <c r="X213" s="45" t="b">
        <f t="array" ref="X213">IF(
 U213=FALSE,
 "N/A",
 _xlfn.XLOOKUP(
  A214,
  tblCost[TargetID],
  tblCost[TargetFunded],
  FALSE
 )
)</f>
        <v>0</v>
      </c>
      <c r="Y213" s="26" t="str">
        <f>IFERROR(__xludf.DUMMYFUNCTION("IFERROR(
 TEXTJOIN(
  "", "",
  TRUE,
  FILTER(
   'cost checklist'!$E$2:$E1000&amp;"": ""&amp;'cost checklist'!$G$2:$G1000,
   'cost checklist'!$B$2:$B1000=A213,
   'cost checklist'!$J$2:$J1000=FALSE
  )
 ),
 """"
)"),"plank: 500, plank: 500, steel: 500, stone: 500")</f>
        <v>plank: 500, plank: 500, steel: 500, stone: 500</v>
      </c>
      <c r="Z213" s="26" t="b">
        <f>IFERROR(__xludf.DUMMYFUNCTION("IF(
 AND(
  E213=""QUEST"",
  RIGHT(A213,9)="".accepted"",
  D213=TRUE
 ),
 XLOOKUP(
  REGEXREPLACE(A213,""\.accepted$"","""")&amp;"".finished"",
  $A$2:$A1000,
  $D$2:$D1000,
  TRUE
 )=FALSE,
 FALSE
)"),FALSE)</f>
        <v>0</v>
      </c>
      <c r="AA213" s="26" t="str">
        <f>IFERROR(__xludf.DUMMYFUNCTION("LET(
 id,A213,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4" ht="14.25" customHeight="1">
      <c r="A214" s="26" t="s">
        <v>754</v>
      </c>
      <c r="B214" s="26" t="str">
        <f t="array" ref="B214">_xlfn.XLOOKUP(
 A214,
 tblTargets[TargetID],
 tblTargets[DisplayName],
 ""
)</f>
        <v>Pantry 3 Lv 1</v>
      </c>
      <c r="C214" s="26" t="str">
        <f t="shared" si="1"/>
        <v>BLOCKED</v>
      </c>
      <c r="D214" s="26" t="b">
        <f>IFERROR(__xludf.DUMMYFUNCTION("LET(
 id,A214,
 IF(
  F214=""CHARACTER"",
  LET(
   base,REGEXREPLACE(id,""@\d+$"",""""),
   required,VALUE(REGEXEXTRACT(id,""@(\d+)$"")),
   current,XLOOKUP(
    base,
    tblPlayer[PlayerStateID],
    tblPlayer[Value],
    0
   ),
   current&gt;=required
 "&amp;" ),
  IF(
   T214=""AUTO"",
   L214=0,
   COUNTIFS(
    tblChecklist[TargetID],id,
    tblChecklist[PlayerCompleted],TRUE
   )&gt;0
  )
 )
)"),FALSE)</f>
        <v>0</v>
      </c>
      <c r="E214" s="26" t="str">
        <f t="array" ref="E214">_xlfn.XLOOKUP(
 A214,
 tblTargets[TargetID],
 tblTargets[TargetType],
 ""
)</f>
        <v>COLLECTION</v>
      </c>
      <c r="F214" s="26" t="str">
        <f t="array" ref="F214">_xlfn.XLOOKUP(
 A214,
 tblTargets[TargetID],
 tblTargets[StateType],
 ""
)</f>
        <v/>
      </c>
      <c r="G214" s="26">
        <f>LET(
 id,A214,
 depCount,COUNTIF(tblDependencies[TargetID],id),
 objCount,COUNTIF(tblQuestObjectives[QuestTargetID],id),
 depCount+objCount
)</f>
        <v>1</v>
      </c>
      <c r="H214" s="26">
        <f t="shared" si="2"/>
        <v>1</v>
      </c>
      <c r="I214" s="26">
        <f>IFERROR(__xludf.DUMMYFUNCTION("LET(
 id,A214,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4" s="26">
        <f t="shared" si="3"/>
        <v>0</v>
      </c>
      <c r="K214" s="26" t="b">
        <f t="shared" si="4"/>
        <v>0</v>
      </c>
      <c r="L214" s="26">
        <f t="shared" si="5"/>
        <v>1</v>
      </c>
      <c r="M214" s="26" t="str">
        <f>IFERROR(__xludf.DUMMYFUNCTION("LET(
 id,A214,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L214=0,
  """",
  IFERROR(INDEX(incomplete,1),"""")"&amp;"
 )
)"),"citadel.pantry")</f>
        <v>citadel.pantry</v>
      </c>
      <c r="N214" s="26" t="str">
        <f t="array" ref="N214">IF(
 M214="",
 "",
 _xlfn.XLOOKUP(
  M214,
  tblTargets[TargetID],
  tblTargets[DisplayName],
  M214
 )
)</f>
        <v>Pantry</v>
      </c>
      <c r="O214" s="26" t="str">
        <f>IFERROR(__xludf.DUMMYFUNCTION("SWITCH(
 E214,
 ""BUILDING"",XLOOKUP(A214,tblBuildings[BuildingID],tblBuildings[costtext],""""),
 ""TECH"",XLOOKUP(A214,tblTechnologies[TechnologyID],tblTechnologies[costtext],""""),
 ""QUEST"",XLOOKUP(
  REGEXREPLACE(A214,""\.[^.]+$"",""""),
  tblQuests["&amp;"QuestID],
  tblQuests[Costtext],
  """"
 ),
 ""CITADEL"",XLOOKUP(A214,tblCitadel[CitadelID],tblCitadel[costtext],""""),
 ""COLLECTION"",XLOOKUP(A214,tblCollections[CollectionID],tblCollections[costtext],""""),
 ""CRAFTIFACT"",XLOOKUP(A214,tblCraftifacts[C"&amp;"raftifactID],tblCraftifacts[costtext],""""),
 """"
)"),"100 charcoal,100 chemicals,100 gunpowder,100 isand")</f>
        <v>100 charcoal,100 chemicals,100 gunpowder,100 isand</v>
      </c>
      <c r="P214" s="26" t="str">
        <f t="shared" si="6"/>
        <v>BLOCKED</v>
      </c>
      <c r="Q214" s="26" t="str">
        <f t="shared" si="7"/>
        <v>BLOCKED</v>
      </c>
      <c r="R214" s="26" t="str">
        <f t="array" ref="R214">IFERROR(
 _xlfn.XLOOKUP(
  A214,
  tblChecklist[TargetID],
  tblChecklist[PlayerSort],
  ""
 ),
 ""
)</f>
        <v/>
      </c>
      <c r="S214" s="26" t="str">
        <f>IFERROR(__xludf.DUMMYFUNCTION("LET(
 id,A214,
 successorIDs,
  IFERROR(
   UNIQUE(
    FILTER(
     {
      Dependencies!$A$2:$A$1000;
      QuestObjectives!$A$2:$A$1000
     },
     {
      Dependencies!$B$2:$B$1000;
      QuestObjectives!$E$2:$E$1000
     }=id
    )
   ),
   """"
  )"&amp;",
 names,
  MAP(
   successorIDs,
   LAMBDA(s,
    IF(
     s="""",
     """",
     XLOOKUP(
      s,
      $A$2:$A$1000,
      $B$2:$B$1000,
      s
     )
    )
   )
  ),
 IF(
  successorIDs="""",
  """",
  TEXTJOIN("", "",TRUE,names)
 )
)"),"Pantry 3 Lv 2")</f>
        <v>Pantry 3 Lv 2</v>
      </c>
      <c r="T214" s="26" t="str">
        <f t="array" ref="T214">_xlfn.XLOOKUP(
 A214,
 tblTargets[TargetID],
 tblTargets[CompletionMethod],
 ""
)</f>
        <v>PLAYER</v>
      </c>
      <c r="U214" s="84" t="b">
        <f>COUNTIF(tblCost[TargetID],A214)&gt;0</f>
        <v>1</v>
      </c>
      <c r="V214" s="85">
        <f t="array" ref="V214">IF(
 U214=FALSE,
 "",
 _xlfn.XLOOKUP(
  A214,
  tblCost[TargetID],
  tblCost[FundingPercent],
  ""
 )
)</f>
        <v>0</v>
      </c>
      <c r="W214" s="26">
        <f t="array" ref="W214">IF(
 U214=FALSE,
 "",
 _xlfn.XLOOKUP(
  A214,
  tblCost[TargetID],
  tblCost[RemainingRequirements],
  ""
 )
)</f>
        <v>4</v>
      </c>
      <c r="X214" s="45" t="b">
        <f t="array" ref="X214">IF(
 U214=FALSE,
 "N/A",
 _xlfn.XLOOKUP(
  A215,
  tblCost[TargetID],
  tblCost[TargetFunded],
  FALSE
 )
)</f>
        <v>0</v>
      </c>
      <c r="Y214" s="26" t="str">
        <f>IFERROR(__xludf.DUMMYFUNCTION("IFERROR(
 TEXTJOIN(
  "", "",
  TRUE,
  FILTER(
   'cost checklist'!$E$2:$E1000&amp;"": ""&amp;'cost checklist'!$G$2:$G1000,
   'cost checklist'!$B$2:$B1000=A214,
   'cost checklist'!$J$2:$J1000=FALSE
  )
 ),
 """"
)"),"charcoal: 100, chemicals: 100, gunpowder: 100, isand: 100")</f>
        <v>charcoal: 100, chemicals: 100, gunpowder: 100, isand: 100</v>
      </c>
      <c r="Z214" s="26" t="b">
        <f>IFERROR(__xludf.DUMMYFUNCTION("IF(
 AND(
  E214=""QUEST"",
  RIGHT(A214,9)="".accepted"",
  D214=TRUE
 ),
 XLOOKUP(
  REGEXREPLACE(A214,""\.accepted$"","""")&amp;"".finished"",
  $A$2:$A1000,
  $D$2:$D1000,
  TRUE
 )=FALSE,
 FALSE
)"),FALSE)</f>
        <v>0</v>
      </c>
      <c r="AA214" s="26" t="str">
        <f>IFERROR(__xludf.DUMMYFUNCTION("LET(
 id,A214,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5" ht="14.25" customHeight="1">
      <c r="A215" s="26" t="s">
        <v>758</v>
      </c>
      <c r="B215" s="26" t="str">
        <f t="array" ref="B215">_xlfn.XLOOKUP(
 A215,
 tblTargets[TargetID],
 tblTargets[DisplayName],
 ""
)</f>
        <v>Pantry 3 Lv 2</v>
      </c>
      <c r="C215" s="26" t="str">
        <f t="shared" si="1"/>
        <v>BLOCKED</v>
      </c>
      <c r="D215" s="26" t="b">
        <f>IFERROR(__xludf.DUMMYFUNCTION("LET(
 id,A215,
 IF(
  F215=""CHARACTER"",
  LET(
   base,REGEXREPLACE(id,""@\d+$"",""""),
   required,VALUE(REGEXEXTRACT(id,""@(\d+)$"")),
   current,XLOOKUP(
    base,
    tblPlayer[PlayerStateID],
    tblPlayer[Value],
    0
   ),
   current&gt;=required
 "&amp;" ),
  IF(
   T215=""AUTO"",
   L215=0,
   COUNTIFS(
    tblChecklist[TargetID],id,
    tblChecklist[PlayerCompleted],TRUE
   )&gt;0
  )
 )
)"),FALSE)</f>
        <v>0</v>
      </c>
      <c r="E215" s="26" t="str">
        <f t="array" ref="E215">_xlfn.XLOOKUP(
 A215,
 tblTargets[TargetID],
 tblTargets[TargetType],
 ""
)</f>
        <v>COLLECTION</v>
      </c>
      <c r="F215" s="26" t="str">
        <f t="array" ref="F215">_xlfn.XLOOKUP(
 A215,
 tblTargets[TargetID],
 tblTargets[StateType],
 ""
)</f>
        <v/>
      </c>
      <c r="G215" s="26">
        <f>LET(
 id,A215,
 depCount,COUNTIF(tblDependencies[TargetID],id),
 objCount,COUNTIF(tblQuestObjectives[QuestTargetID],id),
 depCount+objCount
)</f>
        <v>1</v>
      </c>
      <c r="H215" s="26">
        <f t="shared" si="2"/>
        <v>1</v>
      </c>
      <c r="I215" s="26">
        <f>IFERROR(__xludf.DUMMYFUNCTION("LET(
 id,A215,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5" s="26">
        <f t="shared" si="3"/>
        <v>0</v>
      </c>
      <c r="K215" s="26" t="b">
        <f t="shared" si="4"/>
        <v>0</v>
      </c>
      <c r="L215" s="26">
        <f t="shared" si="5"/>
        <v>1</v>
      </c>
      <c r="M215" s="26" t="str">
        <f>IFERROR(__xludf.DUMMYFUNCTION("LET(
 id,A215,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L215=0,
  """",
  IFERROR(INDEX(incomplete,1),"""")"&amp;"
 )
)"),"collection.pantry_3@1")</f>
        <v>collection.pantry_3@1</v>
      </c>
      <c r="N215" s="26" t="str">
        <f t="array" ref="N215">IF(
 M215="",
 "",
 _xlfn.XLOOKUP(
  M215,
  tblTargets[TargetID],
  tblTargets[DisplayName],
  M215
 )
)</f>
        <v>Pantry 3 Lv 1</v>
      </c>
      <c r="O215" s="26" t="str">
        <f>IFERROR(__xludf.DUMMYFUNCTION("SWITCH(
 E215,
 ""BUILDING"",XLOOKUP(A215,tblBuildings[BuildingID],tblBuildings[costtext],""""),
 ""TECH"",XLOOKUP(A215,tblTechnologies[TechnologyID],tblTechnologies[costtext],""""),
 ""QUEST"",XLOOKUP(
  REGEXREPLACE(A215,""\.[^.]+$"",""""),
  tblQuests["&amp;"QuestID],
  tblQuests[Costtext],
  """"
 ),
 ""CITADEL"",XLOOKUP(A215,tblCitadel[CitadelID],tblCitadel[costtext],""""),
 ""COLLECTION"",XLOOKUP(A215,tblCollections[CollectionID],tblCollections[costtext],""""),
 ""CRAFTIFACT"",XLOOKUP(A215,tblCraftifacts[C"&amp;"raftifactID],tblCraftifacts[costtext],""""),
 """"
)"),"200 charcoal,200 chemicals,200 gunpowder,200 isand")</f>
        <v>200 charcoal,200 chemicals,200 gunpowder,200 isand</v>
      </c>
      <c r="P215" s="26" t="str">
        <f t="shared" si="6"/>
        <v>BLOCKED</v>
      </c>
      <c r="Q215" s="26" t="str">
        <f t="shared" si="7"/>
        <v>BLOCKED</v>
      </c>
      <c r="R215" s="26" t="str">
        <f t="array" ref="R215">IFERROR(
 _xlfn.XLOOKUP(
  A215,
  tblChecklist[TargetID],
  tblChecklist[PlayerSort],
  ""
 ),
 ""
)</f>
        <v/>
      </c>
      <c r="S215" s="26" t="str">
        <f>IFERROR(__xludf.DUMMYFUNCTION("LET(
 id,A215,
 successorIDs,
  IFERROR(
   UNIQUE(
    FILTER(
     {
      Dependencies!$A$2:$A$1000;
      QuestObjectives!$A$2:$A$1000
     },
     {
      Dependencies!$B$2:$B$1000;
      QuestObjectives!$E$2:$E$1000
     }=id
    )
   ),
   """"
  )"&amp;",
 names,
  MAP(
   successorIDs,
   LAMBDA(s,
    IF(
     s="""",
     """",
     XLOOKUP(
      s,
      $A$2:$A$1000,
      $B$2:$B$1000,
      s
     )
    )
   )
  ),
 IF(
  successorIDs="""",
  """",
  TEXTJOIN("", "",TRUE,names)
 )
)"),"Pantry 3 Lv 3")</f>
        <v>Pantry 3 Lv 3</v>
      </c>
      <c r="T215" s="26" t="str">
        <f t="array" ref="T215">_xlfn.XLOOKUP(
 A215,
 tblTargets[TargetID],
 tblTargets[CompletionMethod],
 ""
)</f>
        <v>PLAYER</v>
      </c>
      <c r="U215" s="84" t="b">
        <f>COUNTIF(tblCost[TargetID],A215)&gt;0</f>
        <v>1</v>
      </c>
      <c r="V215" s="85">
        <f t="array" ref="V215">IF(
 U215=FALSE,
 "",
 _xlfn.XLOOKUP(
  A215,
  tblCost[TargetID],
  tblCost[FundingPercent],
  ""
 )
)</f>
        <v>0</v>
      </c>
      <c r="W215" s="26">
        <f t="array" ref="W215">IF(
 U215=FALSE,
 "",
 _xlfn.XLOOKUP(
  A215,
  tblCost[TargetID],
  tblCost[RemainingRequirements],
  ""
 )
)</f>
        <v>4</v>
      </c>
      <c r="X215" s="45" t="b">
        <f t="array" ref="X215">IF(
 U215=FALSE,
 "N/A",
 _xlfn.XLOOKUP(
  A216,
  tblCost[TargetID],
  tblCost[TargetFunded],
  FALSE
 )
)</f>
        <v>0</v>
      </c>
      <c r="Y215" s="26" t="str">
        <f>IFERROR(__xludf.DUMMYFUNCTION("IFERROR(
 TEXTJOIN(
  "", "",
  TRUE,
  FILTER(
   'cost checklist'!$E$2:$E1000&amp;"": ""&amp;'cost checklist'!$G$2:$G1000,
   'cost checklist'!$B$2:$B1000=A215,
   'cost checklist'!$J$2:$J1000=FALSE
  )
 ),
 """"
)"),"charcoal: 200, chemicals: 200, gunpowder: 200, isand: 200")</f>
        <v>charcoal: 200, chemicals: 200, gunpowder: 200, isand: 200</v>
      </c>
      <c r="Z215" s="26" t="b">
        <f>IFERROR(__xludf.DUMMYFUNCTION("IF(
 AND(
  E215=""QUEST"",
  RIGHT(A215,9)="".accepted"",
  D215=TRUE
 ),
 XLOOKUP(
  REGEXREPLACE(A215,""\.accepted$"","""")&amp;"".finished"",
  $A$2:$A1000,
  $D$2:$D1000,
  TRUE
 )=FALSE,
 FALSE
)"),FALSE)</f>
        <v>0</v>
      </c>
      <c r="AA215" s="26" t="str">
        <f>IFERROR(__xludf.DUMMYFUNCTION("LET(
 id,A215,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6" ht="14.25" customHeight="1">
      <c r="A216" s="26" t="s">
        <v>762</v>
      </c>
      <c r="B216" s="26" t="str">
        <f t="array" ref="B216">_xlfn.XLOOKUP(
 A216,
 tblTargets[TargetID],
 tblTargets[DisplayName],
 ""
)</f>
        <v>Pantry 3 Lv 3</v>
      </c>
      <c r="C216" s="26" t="str">
        <f t="shared" si="1"/>
        <v>BLOCKED</v>
      </c>
      <c r="D216" s="26" t="b">
        <f>IFERROR(__xludf.DUMMYFUNCTION("LET(
 id,A216,
 IF(
  F216=""CHARACTER"",
  LET(
   base,REGEXREPLACE(id,""@\d+$"",""""),
   required,VALUE(REGEXEXTRACT(id,""@(\d+)$"")),
   current,XLOOKUP(
    base,
    tblPlayer[PlayerStateID],
    tblPlayer[Value],
    0
   ),
   current&gt;=required
 "&amp;" ),
  IF(
   T216=""AUTO"",
   L216=0,
   COUNTIFS(
    tblChecklist[TargetID],id,
    tblChecklist[PlayerCompleted],TRUE
   )&gt;0
  )
 )
)"),FALSE)</f>
        <v>0</v>
      </c>
      <c r="E216" s="26" t="str">
        <f t="array" ref="E216">_xlfn.XLOOKUP(
 A216,
 tblTargets[TargetID],
 tblTargets[TargetType],
 ""
)</f>
        <v>COLLECTION</v>
      </c>
      <c r="F216" s="26" t="str">
        <f t="array" ref="F216">_xlfn.XLOOKUP(
 A216,
 tblTargets[TargetID],
 tblTargets[StateType],
 ""
)</f>
        <v/>
      </c>
      <c r="G216" s="26">
        <f>LET(
 id,A216,
 depCount,COUNTIF(tblDependencies[TargetID],id),
 objCount,COUNTIF(tblQuestObjectives[QuestTargetID],id),
 depCount+objCount
)</f>
        <v>1</v>
      </c>
      <c r="H216" s="26">
        <f t="shared" si="2"/>
        <v>1</v>
      </c>
      <c r="I216" s="26">
        <f>IFERROR(__xludf.DUMMYFUNCTION("LET(
 id,A216,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6" s="26">
        <f t="shared" si="3"/>
        <v>0</v>
      </c>
      <c r="K216" s="26" t="b">
        <f t="shared" si="4"/>
        <v>0</v>
      </c>
      <c r="L216" s="26">
        <f t="shared" si="5"/>
        <v>1</v>
      </c>
      <c r="M216" s="26" t="str">
        <f>IFERROR(__xludf.DUMMYFUNCTION("LET(
 id,A216,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L216=0,
  """",
  IFERROR(INDEX(incomplete,1),"""")"&amp;"
 )
)"),"collection.pantry_3@2")</f>
        <v>collection.pantry_3@2</v>
      </c>
      <c r="N216" s="26" t="str">
        <f t="array" ref="N216">IF(
 M216="",
 "",
 _xlfn.XLOOKUP(
  M216,
  tblTargets[TargetID],
  tblTargets[DisplayName],
  M216
 )
)</f>
        <v>Pantry 3 Lv 2</v>
      </c>
      <c r="O216" s="26" t="str">
        <f>IFERROR(__xludf.DUMMYFUNCTION("SWITCH(
 E216,
 ""BUILDING"",XLOOKUP(A216,tblBuildings[BuildingID],tblBuildings[costtext],""""),
 ""TECH"",XLOOKUP(A216,tblTechnologies[TechnologyID],tblTechnologies[costtext],""""),
 ""QUEST"",XLOOKUP(
  REGEXREPLACE(A216,""\.[^.]+$"",""""),
  tblQuests["&amp;"QuestID],
  tblQuests[Costtext],
  """"
 ),
 ""CITADEL"",XLOOKUP(A216,tblCitadel[CitadelID],tblCitadel[costtext],""""),
 ""COLLECTION"",XLOOKUP(A216,tblCollections[CollectionID],tblCollections[costtext],""""),
 ""CRAFTIFACT"",XLOOKUP(A216,tblCraftifacts[C"&amp;"raftifactID],tblCraftifacts[costtext],""""),
 """"
)"),"300 charcoal,300 chemicals,300 gunpowder,300 isand")</f>
        <v>300 charcoal,300 chemicals,300 gunpowder,300 isand</v>
      </c>
      <c r="P216" s="26" t="str">
        <f t="shared" si="6"/>
        <v>BLOCKED</v>
      </c>
      <c r="Q216" s="26" t="str">
        <f t="shared" si="7"/>
        <v>BLOCKED</v>
      </c>
      <c r="R216" s="26" t="str">
        <f t="array" ref="R216">IFERROR(
 _xlfn.XLOOKUP(
  A216,
  tblChecklist[TargetID],
  tblChecklist[PlayerSort],
  ""
 ),
 ""
)</f>
        <v/>
      </c>
      <c r="S216" s="26" t="str">
        <f>IFERROR(__xludf.DUMMYFUNCTION("LET(
 id,A216,
 successorIDs,
  IFERROR(
   UNIQUE(
    FILTER(
     {
      Dependencies!$A$2:$A$1000;
      QuestObjectives!$A$2:$A$1000
     },
     {
      Dependencies!$B$2:$B$1000;
      QuestObjectives!$E$2:$E$1000
     }=id
    )
   ),
   """"
  )"&amp;",
 names,
  MAP(
   successorIDs,
   LAMBDA(s,
    IF(
     s="""",
     """",
     XLOOKUP(
      s,
      $A$2:$A$1000,
      $B$2:$B$1000,
      s
     )
    )
   )
  ),
 IF(
  successorIDs="""",
  """",
  TEXTJOIN("", "",TRUE,names)
 )
)"),"Pantry 3 Lv 4")</f>
        <v>Pantry 3 Lv 4</v>
      </c>
      <c r="T216" s="26" t="str">
        <f t="array" ref="T216">_xlfn.XLOOKUP(
 A216,
 tblTargets[TargetID],
 tblTargets[CompletionMethod],
 ""
)</f>
        <v>PLAYER</v>
      </c>
      <c r="U216" s="84" t="b">
        <f>COUNTIF(tblCost[TargetID],A216)&gt;0</f>
        <v>1</v>
      </c>
      <c r="V216" s="85">
        <f t="array" ref="V216">IF(
 U216=FALSE,
 "",
 _xlfn.XLOOKUP(
  A216,
  tblCost[TargetID],
  tblCost[FundingPercent],
  ""
 )
)</f>
        <v>0</v>
      </c>
      <c r="W216" s="26">
        <f t="array" ref="W216">IF(
 U216=FALSE,
 "",
 _xlfn.XLOOKUP(
  A216,
  tblCost[TargetID],
  tblCost[RemainingRequirements],
  ""
 )
)</f>
        <v>4</v>
      </c>
      <c r="X216" s="45" t="b">
        <f t="array" ref="X216">IF(
 U216=FALSE,
 "N/A",
 _xlfn.XLOOKUP(
  A217,
  tblCost[TargetID],
  tblCost[TargetFunded],
  FALSE
 )
)</f>
        <v>0</v>
      </c>
      <c r="Y216" s="26" t="str">
        <f>IFERROR(__xludf.DUMMYFUNCTION("IFERROR(
 TEXTJOIN(
  "", "",
  TRUE,
  FILTER(
   'cost checklist'!$E$2:$E1000&amp;"": ""&amp;'cost checklist'!$G$2:$G1000,
   'cost checklist'!$B$2:$B1000=A216,
   'cost checklist'!$J$2:$J1000=FALSE
  )
 ),
 """"
)"),"charcoal: 300, chemicals: 300, gunpowder: 300, isand: 300")</f>
        <v>charcoal: 300, chemicals: 300, gunpowder: 300, isand: 300</v>
      </c>
      <c r="Z216" s="26" t="b">
        <f>IFERROR(__xludf.DUMMYFUNCTION("IF(
 AND(
  E216=""QUEST"",
  RIGHT(A216,9)="".accepted"",
  D216=TRUE
 ),
 XLOOKUP(
  REGEXREPLACE(A216,""\.accepted$"","""")&amp;"".finished"",
  $A$2:$A1000,
  $D$2:$D1000,
  TRUE
 )=FALSE,
 FALSE
)"),FALSE)</f>
        <v>0</v>
      </c>
      <c r="AA216" s="26" t="str">
        <f>IFERROR(__xludf.DUMMYFUNCTION("LET(
 id,A216,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7" ht="14.25" customHeight="1">
      <c r="A217" s="26" t="s">
        <v>765</v>
      </c>
      <c r="B217" s="26" t="str">
        <f t="array" ref="B217">_xlfn.XLOOKUP(
 A217,
 tblTargets[TargetID],
 tblTargets[DisplayName],
 ""
)</f>
        <v>Pantry 3 Lv 4</v>
      </c>
      <c r="C217" s="26" t="str">
        <f t="shared" si="1"/>
        <v>BLOCKED</v>
      </c>
      <c r="D217" s="26" t="b">
        <f>IFERROR(__xludf.DUMMYFUNCTION("LET(
 id,A217,
 IF(
  F217=""CHARACTER"",
  LET(
   base,REGEXREPLACE(id,""@\d+$"",""""),
   required,VALUE(REGEXEXTRACT(id,""@(\d+)$"")),
   current,XLOOKUP(
    base,
    tblPlayer[PlayerStateID],
    tblPlayer[Value],
    0
   ),
   current&gt;=required
 "&amp;" ),
  IF(
   T217=""AUTO"",
   L217=0,
   COUNTIFS(
    tblChecklist[TargetID],id,
    tblChecklist[PlayerCompleted],TRUE
   )&gt;0
  )
 )
)"),FALSE)</f>
        <v>0</v>
      </c>
      <c r="E217" s="26" t="str">
        <f t="array" ref="E217">_xlfn.XLOOKUP(
 A217,
 tblTargets[TargetID],
 tblTargets[TargetType],
 ""
)</f>
        <v>COLLECTION</v>
      </c>
      <c r="F217" s="26" t="str">
        <f t="array" ref="F217">_xlfn.XLOOKUP(
 A217,
 tblTargets[TargetID],
 tblTargets[StateType],
 ""
)</f>
        <v/>
      </c>
      <c r="G217" s="26">
        <f>LET(
 id,A217,
 depCount,COUNTIF(tblDependencies[TargetID],id),
 objCount,COUNTIF(tblQuestObjectives[QuestTargetID],id),
 depCount+objCount
)</f>
        <v>1</v>
      </c>
      <c r="H217" s="26">
        <f t="shared" si="2"/>
        <v>1</v>
      </c>
      <c r="I217" s="26">
        <f>IFERROR(__xludf.DUMMYFUNCTION("LET(
 id,A217,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7" s="26">
        <f t="shared" si="3"/>
        <v>0</v>
      </c>
      <c r="K217" s="26" t="b">
        <f t="shared" si="4"/>
        <v>0</v>
      </c>
      <c r="L217" s="26">
        <f t="shared" si="5"/>
        <v>1</v>
      </c>
      <c r="M217" s="26" t="str">
        <f>IFERROR(__xludf.DUMMYFUNCTION("LET(
 id,A217,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L217=0,
  """",
  IFERROR(INDEX(incomplete,1),"""")"&amp;"
 )
)"),"collection.pantry_3@3")</f>
        <v>collection.pantry_3@3</v>
      </c>
      <c r="N217" s="26" t="str">
        <f t="array" ref="N217">IF(
 M217="",
 "",
 _xlfn.XLOOKUP(
  M217,
  tblTargets[TargetID],
  tblTargets[DisplayName],
  M217
 )
)</f>
        <v>Pantry 3 Lv 3</v>
      </c>
      <c r="O217" s="26" t="str">
        <f>IFERROR(__xludf.DUMMYFUNCTION("SWITCH(
 E217,
 ""BUILDING"",XLOOKUP(A217,tblBuildings[BuildingID],tblBuildings[costtext],""""),
 ""TECH"",XLOOKUP(A217,tblTechnologies[TechnologyID],tblTechnologies[costtext],""""),
 ""QUEST"",XLOOKUP(
  REGEXREPLACE(A217,""\.[^.]+$"",""""),
  tblQuests["&amp;"QuestID],
  tblQuests[Costtext],
  """"
 ),
 ""CITADEL"",XLOOKUP(A217,tblCitadel[CitadelID],tblCitadel[costtext],""""),
 ""COLLECTION"",XLOOKUP(A217,tblCollections[CollectionID],tblCollections[costtext],""""),
 ""CRAFTIFACT"",XLOOKUP(A217,tblCraftifacts[C"&amp;"raftifactID],tblCraftifacts[costtext],""""),
 """"
)"),"400 charcoal,400 chemicals,400 gunpowder,400 isand")</f>
        <v>400 charcoal,400 chemicals,400 gunpowder,400 isand</v>
      </c>
      <c r="P217" s="26" t="str">
        <f t="shared" si="6"/>
        <v>BLOCKED</v>
      </c>
      <c r="Q217" s="26" t="str">
        <f t="shared" si="7"/>
        <v>BLOCKED</v>
      </c>
      <c r="R217" s="26" t="str">
        <f t="array" ref="R217">IFERROR(
 _xlfn.XLOOKUP(
  A217,
  tblChecklist[TargetID],
  tblChecklist[PlayerSort],
  ""
 ),
 ""
)</f>
        <v/>
      </c>
      <c r="S217" s="26" t="str">
        <f>IFERROR(__xludf.DUMMYFUNCTION("LET(
 id,A217,
 successorIDs,
  IFERROR(
   UNIQUE(
    FILTER(
     {
      Dependencies!$A$2:$A$1000;
      QuestObjectives!$A$2:$A$1000
     },
     {
      Dependencies!$B$2:$B$1000;
      QuestObjectives!$E$2:$E$1000
     }=id
    )
   ),
   """"
  )"&amp;",
 names,
  MAP(
   successorIDs,
   LAMBDA(s,
    IF(
     s="""",
     """",
     XLOOKUP(
      s,
      $A$2:$A$1000,
      $B$2:$B$1000,
      s
     )
    )
   )
  ),
 IF(
  successorIDs="""",
  """",
  TEXTJOIN("", "",TRUE,names)
 )
)"),"Pantry 3 Lv 5")</f>
        <v>Pantry 3 Lv 5</v>
      </c>
      <c r="T217" s="26" t="str">
        <f t="array" ref="T217">_xlfn.XLOOKUP(
 A217,
 tblTargets[TargetID],
 tblTargets[CompletionMethod],
 ""
)</f>
        <v>PLAYER</v>
      </c>
      <c r="U217" s="84" t="b">
        <f>COUNTIF(tblCost[TargetID],A217)&gt;0</f>
        <v>1</v>
      </c>
      <c r="V217" s="85">
        <f t="array" ref="V217">IF(
 U217=FALSE,
 "",
 _xlfn.XLOOKUP(
  A217,
  tblCost[TargetID],
  tblCost[FundingPercent],
  ""
 )
)</f>
        <v>0</v>
      </c>
      <c r="W217" s="26">
        <f t="array" ref="W217">IF(
 U217=FALSE,
 "",
 _xlfn.XLOOKUP(
  A217,
  tblCost[TargetID],
  tblCost[RemainingRequirements],
  ""
 )
)</f>
        <v>4</v>
      </c>
      <c r="X217" s="45" t="b">
        <f t="array" ref="X217">IF(
 U217=FALSE,
 "N/A",
 _xlfn.XLOOKUP(
  A218,
  tblCost[TargetID],
  tblCost[TargetFunded],
  FALSE
 )
)</f>
        <v>0</v>
      </c>
      <c r="Y217" s="26" t="str">
        <f>IFERROR(__xludf.DUMMYFUNCTION("IFERROR(
 TEXTJOIN(
  "", "",
  TRUE,
  FILTER(
   'cost checklist'!$E$2:$E1000&amp;"": ""&amp;'cost checklist'!$G$2:$G1000,
   'cost checklist'!$B$2:$B1000=A217,
   'cost checklist'!$J$2:$J1000=FALSE
  )
 ),
 """"
)"),"charcoal: 400, chemicals: 400, gunpowder: 400, isand: 400")</f>
        <v>charcoal: 400, chemicals: 400, gunpowder: 400, isand: 400</v>
      </c>
      <c r="Z217" s="26" t="b">
        <f>IFERROR(__xludf.DUMMYFUNCTION("IF(
 AND(
  E217=""QUEST"",
  RIGHT(A217,9)="".accepted"",
  D217=TRUE
 ),
 XLOOKUP(
  REGEXREPLACE(A217,""\.accepted$"","""")&amp;"".finished"",
  $A$2:$A1000,
  $D$2:$D1000,
  TRUE
 )=FALSE,
 FALSE
)"),FALSE)</f>
        <v>0</v>
      </c>
      <c r="AA217" s="26" t="str">
        <f>IFERROR(__xludf.DUMMYFUNCTION("LET(
 id,A217,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8" ht="14.25" customHeight="1">
      <c r="A218" s="26" t="s">
        <v>769</v>
      </c>
      <c r="B218" s="26" t="str">
        <f t="array" ref="B218">_xlfn.XLOOKUP(
 A218,
 tblTargets[TargetID],
 tblTargets[DisplayName],
 ""
)</f>
        <v>Pantry 3 Lv 5</v>
      </c>
      <c r="C218" s="26" t="str">
        <f t="shared" si="1"/>
        <v>BLOCKED</v>
      </c>
      <c r="D218" s="26" t="b">
        <f>IFERROR(__xludf.DUMMYFUNCTION("LET(
 id,A218,
 IF(
  F218=""CHARACTER"",
  LET(
   base,REGEXREPLACE(id,""@\d+$"",""""),
   required,VALUE(REGEXEXTRACT(id,""@(\d+)$"")),
   current,XLOOKUP(
    base,
    tblPlayer[PlayerStateID],
    tblPlayer[Value],
    0
   ),
   current&gt;=required
 "&amp;" ),
  IF(
   T218=""AUTO"",
   L218=0,
   COUNTIFS(
    tblChecklist[TargetID],id,
    tblChecklist[PlayerCompleted],TRUE
   )&gt;0
  )
 )
)"),FALSE)</f>
        <v>0</v>
      </c>
      <c r="E218" s="26" t="str">
        <f t="array" ref="E218">_xlfn.XLOOKUP(
 A218,
 tblTargets[TargetID],
 tblTargets[TargetType],
 ""
)</f>
        <v>COLLECTION</v>
      </c>
      <c r="F218" s="26" t="str">
        <f t="array" ref="F218">_xlfn.XLOOKUP(
 A218,
 tblTargets[TargetID],
 tblTargets[StateType],
 ""
)</f>
        <v/>
      </c>
      <c r="G218" s="26">
        <f>LET(
 id,A218,
 depCount,COUNTIF(tblDependencies[TargetID],id),
 objCount,COUNTIF(tblQuestObjectives[QuestTargetID],id),
 depCount+objCount
)</f>
        <v>1</v>
      </c>
      <c r="H218" s="26">
        <f t="shared" si="2"/>
        <v>1</v>
      </c>
      <c r="I218" s="26">
        <f>IFERROR(__xludf.DUMMYFUNCTION("LET(
 id,A218,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8" s="26">
        <f t="shared" si="3"/>
        <v>0</v>
      </c>
      <c r="K218" s="26" t="b">
        <f t="shared" si="4"/>
        <v>0</v>
      </c>
      <c r="L218" s="26">
        <f t="shared" si="5"/>
        <v>1</v>
      </c>
      <c r="M218" s="26" t="str">
        <f>IFERROR(__xludf.DUMMYFUNCTION("LET(
 id,A218,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L218=0,
  """",
  IFERROR(INDEX(incomplete,1),"""")"&amp;"
 )
)"),"collection.pantry_3@4")</f>
        <v>collection.pantry_3@4</v>
      </c>
      <c r="N218" s="26" t="str">
        <f t="array" ref="N218">IF(
 M218="",
 "",
 _xlfn.XLOOKUP(
  M218,
  tblTargets[TargetID],
  tblTargets[DisplayName],
  M218
 )
)</f>
        <v>Pantry 3 Lv 4</v>
      </c>
      <c r="O218" s="26" t="str">
        <f>IFERROR(__xludf.DUMMYFUNCTION("SWITCH(
 E218,
 ""BUILDING"",XLOOKUP(A218,tblBuildings[BuildingID],tblBuildings[costtext],""""),
 ""TECH"",XLOOKUP(A218,tblTechnologies[TechnologyID],tblTechnologies[costtext],""""),
 ""QUEST"",XLOOKUP(
  REGEXREPLACE(A218,""\.[^.]+$"",""""),
  tblQuests["&amp;"QuestID],
  tblQuests[Costtext],
  """"
 ),
 ""CITADEL"",XLOOKUP(A218,tblCitadel[CitadelID],tblCitadel[costtext],""""),
 ""COLLECTION"",XLOOKUP(A218,tblCollections[CollectionID],tblCollections[costtext],""""),
 ""CRAFTIFACT"",XLOOKUP(A218,tblCraftifacts[C"&amp;"raftifactID],tblCraftifacts[costtext],""""),
 """"
)"),"500 charcoal,500 chemicals,500 gunpowder,500 isand")</f>
        <v>500 charcoal,500 chemicals,500 gunpowder,500 isand</v>
      </c>
      <c r="P218" s="26" t="str">
        <f t="shared" si="6"/>
        <v>BLOCKED</v>
      </c>
      <c r="Q218" s="26" t="str">
        <f t="shared" si="7"/>
        <v>BLOCKED</v>
      </c>
      <c r="R218" s="26">
        <f t="array" ref="R218">IFERROR(
 _xlfn.XLOOKUP(
  A218,
  tblChecklist[TargetID],
  tblChecklist[PlayerSort],
  ""
 ),
 ""
)</f>
        <v>26</v>
      </c>
      <c r="S218" s="26" t="str">
        <f>IFERROR(__xludf.DUMMYFUNCTION("LET(
 id,A218,
 successorIDs,
  IFERROR(
   UNIQUE(
    FILTER(
     {
      Dependencies!$A$2:$A$1000;
      QuestObjectives!$A$2:$A$1000
     },
     {
      Dependencies!$B$2:$B$1000;
      QuestObjectives!$E$2:$E$1000
     }=id
    )
   ),
   """"
  )"&amp;",
 names,
  MAP(
   successorIDs,
   LAMBDA(s,
    IF(
     s="""",
     """",
     XLOOKUP(
      s,
      $A$2:$A$1000,
      $B$2:$B$1000,
      s
     )
    )
   )
  ),
 IF(
  successorIDs="""",
  """",
  TEXTJOIN("", "",TRUE,names)
 )
)"),"")</f>
        <v/>
      </c>
      <c r="T218" s="26" t="str">
        <f t="array" ref="T218">_xlfn.XLOOKUP(
 A218,
 tblTargets[TargetID],
 tblTargets[CompletionMethod],
 ""
)</f>
        <v>PLAYER</v>
      </c>
      <c r="U218" s="84" t="b">
        <f>COUNTIF(tblCost[TargetID],A218)&gt;0</f>
        <v>1</v>
      </c>
      <c r="V218" s="85">
        <f t="array" ref="V218">IF(
 U218=FALSE,
 "",
 _xlfn.XLOOKUP(
  A218,
  tblCost[TargetID],
  tblCost[FundingPercent],
  ""
 )
)</f>
        <v>0</v>
      </c>
      <c r="W218" s="26">
        <f t="array" ref="W218">IF(
 U218=FALSE,
 "",
 _xlfn.XLOOKUP(
  A218,
  tblCost[TargetID],
  tblCost[RemainingRequirements],
  ""
 )
)</f>
        <v>4</v>
      </c>
      <c r="X218" s="45" t="b">
        <f t="array" ref="X218">IF(
 U218=FALSE,
 "N/A",
 _xlfn.XLOOKUP(
  A219,
  tblCost[TargetID],
  tblCost[TargetFunded],
  FALSE
 )
)</f>
        <v>0</v>
      </c>
      <c r="Y218" s="26" t="str">
        <f>IFERROR(__xludf.DUMMYFUNCTION("IFERROR(
 TEXTJOIN(
  "", "",
  TRUE,
  FILTER(
   'cost checklist'!$E$2:$E1000&amp;"": ""&amp;'cost checklist'!$G$2:$G1000,
   'cost checklist'!$B$2:$B1000=A218,
   'cost checklist'!$J$2:$J1000=FALSE
  )
 ),
 """"
)"),"charcoal: 500, chemicals: 500, gunpowder: 500, isand: 500")</f>
        <v>charcoal: 500, chemicals: 500, gunpowder: 500, isand: 500</v>
      </c>
      <c r="Z218" s="26" t="b">
        <f>IFERROR(__xludf.DUMMYFUNCTION("IF(
 AND(
  E218=""QUEST"",
  RIGHT(A218,9)="".accepted"",
  D218=TRUE
 ),
 XLOOKUP(
  REGEXREPLACE(A218,""\.accepted$"","""")&amp;"".finished"",
  $A$2:$A1000,
  $D$2:$D1000,
  TRUE
 )=FALSE,
 FALSE
)"),FALSE)</f>
        <v>0</v>
      </c>
      <c r="AA218" s="26" t="str">
        <f>IFERROR(__xludf.DUMMYFUNCTION("LET(
 id,A218,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19" ht="14.25" customHeight="1">
      <c r="A219" s="26" t="s">
        <v>773</v>
      </c>
      <c r="B219" s="26" t="str">
        <f t="array" ref="B219">_xlfn.XLOOKUP(
 A219,
 tblTargets[TargetID],
 tblTargets[DisplayName],
 ""
)</f>
        <v>Pantry 4 Lv 1</v>
      </c>
      <c r="C219" s="26" t="str">
        <f t="shared" si="1"/>
        <v>BLOCKED</v>
      </c>
      <c r="D219" s="26" t="b">
        <f>IFERROR(__xludf.DUMMYFUNCTION("LET(
 id,A219,
 IF(
  F219=""CHARACTER"",
  LET(
   base,REGEXREPLACE(id,""@\d+$"",""""),
   required,VALUE(REGEXEXTRACT(id,""@(\d+)$"")),
   current,XLOOKUP(
    base,
    tblPlayer[PlayerStateID],
    tblPlayer[Value],
    0
   ),
   current&gt;=required
 "&amp;" ),
  IF(
   T219=""AUTO"",
   L219=0,
   COUNTIFS(
    tblChecklist[TargetID],id,
    tblChecklist[PlayerCompleted],TRUE
   )&gt;0
  )
 )
)"),FALSE)</f>
        <v>0</v>
      </c>
      <c r="E219" s="26" t="str">
        <f t="array" ref="E219">_xlfn.XLOOKUP(
 A219,
 tblTargets[TargetID],
 tblTargets[TargetType],
 ""
)</f>
        <v>COLLECTION</v>
      </c>
      <c r="F219" s="26" t="str">
        <f t="array" ref="F219">_xlfn.XLOOKUP(
 A219,
 tblTargets[TargetID],
 tblTargets[StateType],
 ""
)</f>
        <v/>
      </c>
      <c r="G219" s="26">
        <f>LET(
 id,A219,
 depCount,COUNTIF(tblDependencies[TargetID],id),
 objCount,COUNTIF(tblQuestObjectives[QuestTargetID],id),
 depCount+objCount
)</f>
        <v>2</v>
      </c>
      <c r="H219" s="26">
        <f t="shared" si="2"/>
        <v>2</v>
      </c>
      <c r="I219" s="26">
        <f>IFERROR(__xludf.DUMMYFUNCTION("LET(
 id,A219,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19" s="26">
        <f t="shared" si="3"/>
        <v>0</v>
      </c>
      <c r="K219" s="26" t="b">
        <f t="shared" si="4"/>
        <v>0</v>
      </c>
      <c r="L219" s="26">
        <f t="shared" si="5"/>
        <v>2</v>
      </c>
      <c r="M219" s="26" t="str">
        <f>IFERROR(__xludf.DUMMYFUNCTION("LET(
 id,A219,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L219=0,
  """",
  IFERROR(INDEX(incomplete,1),"""")"&amp;"
 )
)"),"citadel.pantry")</f>
        <v>citadel.pantry</v>
      </c>
      <c r="N219" s="26" t="str">
        <f t="array" ref="N219">IF(
 M219="",
 "",
 _xlfn.XLOOKUP(
  M219,
  tblTargets[TargetID],
  tblTargets[DisplayName],
  M219
 )
)</f>
        <v>Pantry</v>
      </c>
      <c r="O219" s="26" t="str">
        <f>IFERROR(__xludf.DUMMYFUNCTION("SWITCH(
 E219,
 ""BUILDING"",XLOOKUP(A219,tblBuildings[BuildingID],tblBuildings[costtext],""""),
 ""TECH"",XLOOKUP(A219,tblTechnologies[TechnologyID],tblTechnologies[costtext],""""),
 ""QUEST"",XLOOKUP(
  REGEXREPLACE(A219,""\.[^.]+$"",""""),
  tblQuests["&amp;"QuestID],
  tblQuests[Costtext],
  """"
 ),
 ""CITADEL"",XLOOKUP(A219,tblCitadel[CitadelID],tblCitadel[costtext],""""),
 ""COLLECTION"",XLOOKUP(A219,tblCollections[CollectionID],tblCollections[costtext],""""),
 ""CRAFTIFACT"",XLOOKUP(A219,tblCraftifacts[C"&amp;"raftifactID],tblCraftifacts[costtext],""""),
 """"
)"),"20 egg,20 milk,10 vintcheese")</f>
        <v>20 egg,20 milk,10 vintcheese</v>
      </c>
      <c r="P219" s="26" t="str">
        <f t="shared" si="6"/>
        <v>BLOCKED</v>
      </c>
      <c r="Q219" s="26" t="str">
        <f t="shared" si="7"/>
        <v>BLOCKED</v>
      </c>
      <c r="R219" s="26" t="str">
        <f t="array" ref="R219">IFERROR(
 _xlfn.XLOOKUP(
  A219,
  tblChecklist[TargetID],
  tblChecklist[PlayerSort],
  ""
 ),
 ""
)</f>
        <v/>
      </c>
      <c r="S219" s="26" t="str">
        <f>IFERROR(__xludf.DUMMYFUNCTION("LET(
 id,A219,
 successorIDs,
  IFERROR(
   UNIQUE(
    FILTER(
     {
      Dependencies!$A$2:$A$1000;
      QuestObjectives!$A$2:$A$1000
     },
     {
      Dependencies!$B$2:$B$1000;
      QuestObjectives!$E$2:$E$1000
     }=id
    )
   ),
   """"
  )"&amp;",
 names,
  MAP(
   successorIDs,
   LAMBDA(s,
    IF(
     s="""",
     """",
     XLOOKUP(
      s,
      $A$2:$A$1000,
      $B$2:$B$1000,
      s
     )
    )
   )
  ),
 IF(
  successorIDs="""",
  """",
  TEXTJOIN("", "",TRUE,names)
 )
)"),"")</f>
        <v/>
      </c>
      <c r="T219" s="26" t="str">
        <f t="array" ref="T219">_xlfn.XLOOKUP(
 A219,
 tblTargets[TargetID],
 tblTargets[CompletionMethod],
 ""
)</f>
        <v>PLAYER</v>
      </c>
      <c r="U219" s="84" t="b">
        <f>COUNTIF(tblCost[TargetID],A219)&gt;0</f>
        <v>1</v>
      </c>
      <c r="V219" s="85">
        <f t="array" ref="V219">IF(
 U219=FALSE,
 "",
 _xlfn.XLOOKUP(
  A219,
  tblCost[TargetID],
  tblCost[FundingPercent],
  ""
 )
)</f>
        <v>0</v>
      </c>
      <c r="W219" s="26">
        <f t="array" ref="W219">IF(
 U219=FALSE,
 "",
 _xlfn.XLOOKUP(
  A219,
  tblCost[TargetID],
  tblCost[RemainingRequirements],
  ""
 )
)</f>
        <v>3</v>
      </c>
      <c r="X219" s="45" t="b">
        <f t="array" ref="X219">IF(
 U219=FALSE,
 "N/A",
 _xlfn.XLOOKUP(
  A220,
  tblCost[TargetID],
  tblCost[TargetFunded],
  FALSE
 )
)</f>
        <v>0</v>
      </c>
      <c r="Y219" s="26" t="str">
        <f>IFERROR(__xludf.DUMMYFUNCTION("IFERROR(
 TEXTJOIN(
  "", "",
  TRUE,
  FILTER(
   'cost checklist'!$E$2:$E1000&amp;"": ""&amp;'cost checklist'!$G$2:$G1000,
   'cost checklist'!$B$2:$B1000=A219,
   'cost checklist'!$J$2:$J1000=FALSE
  )
 ),
 """"
)"),"egg: 20, milk: 20, vintcheese: 10")</f>
        <v>egg: 20, milk: 20, vintcheese: 10</v>
      </c>
      <c r="Z219" s="26" t="b">
        <f>IFERROR(__xludf.DUMMYFUNCTION("IF(
 AND(
  E219=""QUEST"",
  RIGHT(A219,9)="".accepted"",
  D219=TRUE
 ),
 XLOOKUP(
  REGEXREPLACE(A219,""\.accepted$"","""")&amp;"".finished"",
  $A$2:$A1000,
  $D$2:$D1000,
  TRUE
 )=FALSE,
 FALSE
)"),FALSE)</f>
        <v>0</v>
      </c>
      <c r="AA219" s="26" t="str">
        <f>IFERROR(__xludf.DUMMYFUNCTION("LET(
 id,A219,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0" ht="14.25" customHeight="1">
      <c r="A220" s="26" t="s">
        <v>776</v>
      </c>
      <c r="B220" s="26" t="str">
        <f t="array" ref="B220">_xlfn.XLOOKUP(
 A220,
 tblTargets[TargetID],
 tblTargets[DisplayName],
 ""
)</f>
        <v>Rotten Ladder</v>
      </c>
      <c r="C220" s="26" t="str">
        <f t="shared" si="1"/>
        <v>BLOCKED</v>
      </c>
      <c r="D220" s="26" t="b">
        <f>IFERROR(__xludf.DUMMYFUNCTION("LET(
 id,A220,
 IF(
  F220=""CHARACTER"",
  LET(
   base,REGEXREPLACE(id,""@\d+$"",""""),
   required,VALUE(REGEXEXTRACT(id,""@(\d+)$"")),
   current,XLOOKUP(
    base,
    tblPlayer[PlayerStateID],
    tblPlayer[Value],
    0
   ),
   current&gt;=required
 "&amp;" ),
  IF(
   T220=""AUTO"",
   L220=0,
   COUNTIFS(
    tblChecklist[TargetID],id,
    tblChecklist[PlayerCompleted],TRUE
   )&gt;0
  )
 )
)"),FALSE)</f>
        <v>0</v>
      </c>
      <c r="E220" s="26" t="str">
        <f t="array" ref="E220">_xlfn.XLOOKUP(
 A220,
 tblTargets[TargetID],
 tblTargets[TargetType],
 ""
)</f>
        <v>COLLECTION</v>
      </c>
      <c r="F220" s="26" t="str">
        <f t="array" ref="F220">_xlfn.XLOOKUP(
 A220,
 tblTargets[TargetID],
 tblTargets[StateType],
 ""
)</f>
        <v/>
      </c>
      <c r="G220" s="26">
        <f>LET(
 id,A220,
 depCount,COUNTIF(tblDependencies[TargetID],id),
 objCount,COUNTIF(tblQuestObjectives[QuestTargetID],id),
 depCount+objCount
)</f>
        <v>1</v>
      </c>
      <c r="H220" s="26">
        <f t="shared" si="2"/>
        <v>1</v>
      </c>
      <c r="I220" s="26">
        <f>IFERROR(__xludf.DUMMYFUNCTION("LET(
 id,A220,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0" s="26">
        <f t="shared" si="3"/>
        <v>0</v>
      </c>
      <c r="K220" s="26" t="b">
        <f t="shared" si="4"/>
        <v>0</v>
      </c>
      <c r="L220" s="26">
        <f t="shared" si="5"/>
        <v>1</v>
      </c>
      <c r="M220" s="26" t="str">
        <f>IFERROR(__xludf.DUMMYFUNCTION("LET(
 id,A220,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L220=0,
  """",
  IFERROR(INDEX(incomplete,1),"""")"&amp;"
 )
)"),"collection.collapsed_staircase@1")</f>
        <v>collection.collapsed_staircase@1</v>
      </c>
      <c r="N220" s="26" t="str">
        <f t="array" ref="N220">IF(
 M220="",
 "",
 _xlfn.XLOOKUP(
  M220,
  tblTargets[TargetID],
  tblTargets[DisplayName],
  M220
 )
)</f>
        <v>Collapsed Staircase</v>
      </c>
      <c r="O220" s="26" t="str">
        <f>IFERROR(__xludf.DUMMYFUNCTION("SWITCH(
 E220,
 ""BUILDING"",XLOOKUP(A220,tblBuildings[BuildingID],tblBuildings[costtext],""""),
 ""TECH"",XLOOKUP(A220,tblTechnologies[TechnologyID],tblTechnologies[costtext],""""),
 ""QUEST"",XLOOKUP(
  REGEXREPLACE(A220,""\.[^.]+$"",""""),
  tblQuests["&amp;"QuestID],
  tblQuests[Costtext],
  """"
 ),
 ""CITADEL"",XLOOKUP(A220,tblCitadel[CitadelID],tblCitadel[costtext],""""),
 ""COLLECTION"",XLOOKUP(A220,tblCollections[CollectionID],tblCollections[costtext],""""),
 ""CRAFTIFACT"",XLOOKUP(A220,tblCraftifacts[C"&amp;"raftifactID],tblCraftifacts[costtext],""""),
 """"
)"),"200 plank")</f>
        <v>200 plank</v>
      </c>
      <c r="P220" s="26" t="str">
        <f t="shared" si="6"/>
        <v>BLOCKED</v>
      </c>
      <c r="Q220" s="26" t="str">
        <f t="shared" si="7"/>
        <v>BLOCKED</v>
      </c>
      <c r="R220" s="26" t="str">
        <f t="array" ref="R220">IFERROR(
 _xlfn.XLOOKUP(
  A220,
  tblChecklist[TargetID],
  tblChecklist[PlayerSort],
  ""
 ),
 ""
)</f>
        <v/>
      </c>
      <c r="S220" s="26" t="str">
        <f>IFERROR(__xludf.DUMMYFUNCTION("LET(
 id,A220,
 successorIDs,
  IFERROR(
   UNIQUE(
    FILTER(
     {
      Dependencies!$A$2:$A$1000;
      QuestObjectives!$A$2:$A$1000
     },
     {
      Dependencies!$B$2:$B$1000;
      QuestObjectives!$E$2:$E$1000
     }=id
    )
   ),
   """"
  )"&amp;",
 names,
  MAP(
   successorIDs,
   LAMBDA(s,
    IF(
     s="""",
     """",
     XLOOKUP(
      s,
      $A$2:$A$1000,
      $B$2:$B$1000,
      s
     )
    )
   )
  ),
 IF(
  successorIDs="""",
  """",
  TEXTJOIN("", "",TRUE,names)
 )
)"),"Broken Minecart, Letter from the Dark Lady Finished")</f>
        <v>Broken Minecart, Letter from the Dark Lady Finished</v>
      </c>
      <c r="T220" s="26" t="str">
        <f t="array" ref="T220">_xlfn.XLOOKUP(
 A220,
 tblTargets[TargetID],
 tblTargets[CompletionMethod],
 ""
)</f>
        <v>PLAYER</v>
      </c>
      <c r="U220" s="84" t="b">
        <f>COUNTIF(tblCost[TargetID],A220)&gt;0</f>
        <v>1</v>
      </c>
      <c r="V220" s="85">
        <f t="array" ref="V220">IF(
 U220=FALSE,
 "",
 _xlfn.XLOOKUP(
  A220,
  tblCost[TargetID],
  tblCost[FundingPercent],
  ""
 )
)</f>
        <v>0</v>
      </c>
      <c r="W220" s="26">
        <f t="array" ref="W220">IF(
 U220=FALSE,
 "",
 _xlfn.XLOOKUP(
  A220,
  tblCost[TargetID],
  tblCost[RemainingRequirements],
  ""
 )
)</f>
        <v>1</v>
      </c>
      <c r="X220" s="45" t="b">
        <f t="array" ref="X220">IF(
 U220=FALSE,
 "N/A",
 _xlfn.XLOOKUP(
  A221,
  tblCost[TargetID],
  tblCost[TargetFunded],
  FALSE
 )
)</f>
        <v>0</v>
      </c>
      <c r="Y220" s="26" t="str">
        <f>IFERROR(__xludf.DUMMYFUNCTION("IFERROR(
 TEXTJOIN(
  "", "",
  TRUE,
  FILTER(
   'cost checklist'!$E$2:$E1000&amp;"": ""&amp;'cost checklist'!$G$2:$G1000,
   'cost checklist'!$B$2:$B1000=A220,
   'cost checklist'!$J$2:$J1000=FALSE
  )
 ),
 """"
)"),"plank: 200")</f>
        <v>plank: 200</v>
      </c>
      <c r="Z220" s="26" t="b">
        <f>IFERROR(__xludf.DUMMYFUNCTION("IF(
 AND(
  E220=""QUEST"",
  RIGHT(A220,9)="".accepted"",
  D220=TRUE
 ),
 XLOOKUP(
  REGEXREPLACE(A220,""\.accepted$"","""")&amp;"".finished"",
  $A$2:$A1000,
  $D$2:$D1000,
  TRUE
 )=FALSE,
 FALSE
)"),FALSE)</f>
        <v>0</v>
      </c>
      <c r="AA220" s="26" t="str">
        <f>IFERROR(__xludf.DUMMYFUNCTION("LET(
 id,A220,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1" ht="14.25" customHeight="1">
      <c r="A221" s="26" t="s">
        <v>781</v>
      </c>
      <c r="B221" s="26" t="str">
        <f t="array" ref="B221">_xlfn.XLOOKUP(
 A221,
 tblTargets[TargetID],
 tblTargets[DisplayName],
 ""
)</f>
        <v>Collection Staircase</v>
      </c>
      <c r="C221" s="26" t="str">
        <f t="shared" si="1"/>
        <v>BLOCKED</v>
      </c>
      <c r="D221" s="26" t="b">
        <f>IFERROR(__xludf.DUMMYFUNCTION("LET(
 id,A221,
 IF(
  F221=""CHARACTER"",
  LET(
   base,REGEXREPLACE(id,""@\d+$"",""""),
   required,VALUE(REGEXEXTRACT(id,""@(\d+)$"")),
   current,XLOOKUP(
    base,
    tblPlayer[PlayerStateID],
    tblPlayer[Value],
    0
   ),
   current&gt;=required
 "&amp;" ),
  IF(
   T221=""AUTO"",
   L221=0,
   COUNTIFS(
    tblChecklist[TargetID],id,
    tblChecklist[PlayerCompleted],TRUE
   )&gt;0
  )
 )
)"),FALSE)</f>
        <v>0</v>
      </c>
      <c r="E221" s="26" t="str">
        <f t="array" ref="E221">_xlfn.XLOOKUP(
 A221,
 tblTargets[TargetID],
 tblTargets[TargetType],
 ""
)</f>
        <v>COLLECTION</v>
      </c>
      <c r="F221" s="26" t="str">
        <f t="array" ref="F221">_xlfn.XLOOKUP(
 A221,
 tblTargets[TargetID],
 tblTargets[StateType],
 ""
)</f>
        <v/>
      </c>
      <c r="G221" s="26">
        <f>LET(
 id,A221,
 depCount,COUNTIF(tblDependencies[TargetID],id),
 objCount,COUNTIF(tblQuestObjectives[QuestTargetID],id),
 depCount+objCount
)</f>
        <v>1</v>
      </c>
      <c r="H221" s="26">
        <f t="shared" si="2"/>
        <v>1</v>
      </c>
      <c r="I221" s="26">
        <f>IFERROR(__xludf.DUMMYFUNCTION("LET(
 id,A221,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1" s="26">
        <f t="shared" si="3"/>
        <v>0</v>
      </c>
      <c r="K221" s="26" t="b">
        <f t="shared" si="4"/>
        <v>0</v>
      </c>
      <c r="L221" s="26">
        <f t="shared" si="5"/>
        <v>1</v>
      </c>
      <c r="M221" s="26" t="str">
        <f>IFERROR(__xludf.DUMMYFUNCTION("LET(
 id,A221,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L221=0,
  """",
  IFERROR(INDEX(incomplete,1),"""")"&amp;"
 )
)"),"collection.collapsed_staircase@1")</f>
        <v>collection.collapsed_staircase@1</v>
      </c>
      <c r="N221" s="26" t="str">
        <f t="array" ref="N221">IF(
 M221="",
 "",
 _xlfn.XLOOKUP(
  M221,
  tblTargets[TargetID],
  tblTargets[DisplayName],
  M221
 )
)</f>
        <v>Collapsed Staircase</v>
      </c>
      <c r="O221" s="26" t="str">
        <f>IFERROR(__xludf.DUMMYFUNCTION("SWITCH(
 E221,
 ""BUILDING"",XLOOKUP(A221,tblBuildings[BuildingID],tblBuildings[costtext],""""),
 ""TECH"",XLOOKUP(A221,tblTechnologies[TechnologyID],tblTechnologies[costtext],""""),
 ""QUEST"",XLOOKUP(
  REGEXREPLACE(A221,""\.[^.]+$"",""""),
  tblQuests["&amp;"QuestID],
  tblQuests[Costtext],
  """"
 ),
 ""CITADEL"",XLOOKUP(A221,tblCitadel[CitadelID],tblCitadel[costtext],""""),
 ""COLLECTION"",XLOOKUP(A221,tblCollections[CollectionID],tblCollections[costtext],""""),
 ""CRAFTIFACT"",XLOOKUP(A221,tblCraftifacts[C"&amp;"raftifactID],tblCraftifacts[costtext],""""),
 """"
)"),"50 beam, 150 stone, 10 bonemeal, 5 blueprint")</f>
        <v>50 beam, 150 stone, 10 bonemeal, 5 blueprint</v>
      </c>
      <c r="P221" s="26" t="str">
        <f t="shared" si="6"/>
        <v>BLOCKED</v>
      </c>
      <c r="Q221" s="26" t="str">
        <f t="shared" si="7"/>
        <v>BLOCKED</v>
      </c>
      <c r="R221" s="26" t="str">
        <f t="array" ref="R221">IFERROR(
 _xlfn.XLOOKUP(
  A221,
  tblChecklist[TargetID],
  tblChecklist[PlayerSort],
  ""
 ),
 ""
)</f>
        <v/>
      </c>
      <c r="S221" s="26" t="str">
        <f>IFERROR(__xludf.DUMMYFUNCTION("LET(
 id,A221,
 successorIDs,
  IFERROR(
   UNIQUE(
    FILTER(
     {
      Dependencies!$A$2:$A$1000;
      QuestObjectives!$A$2:$A$1000
     },
     {
      Dependencies!$B$2:$B$1000;
      QuestObjectives!$E$2:$E$1000
     }=id
    )
   ),
   """"
  )"&amp;",
 names,
  MAP(
   successorIDs,
   LAMBDA(s,
    IF(
     s="""",
     """",
     XLOOKUP(
      s,
      $A$2:$A$1000,
      $B$2:$B$1000,
      s
     )
    )
   )
  ),
 IF(
  successorIDs="""",
  """",
  TEXTJOIN("", "",TRUE,names)
 )
)"),"")</f>
        <v/>
      </c>
      <c r="T221" s="26" t="str">
        <f t="array" ref="T221">_xlfn.XLOOKUP(
 A221,
 tblTargets[TargetID],
 tblTargets[CompletionMethod],
 ""
)</f>
        <v>PLAYER</v>
      </c>
      <c r="U221" s="84" t="b">
        <f>COUNTIF(tblCost[TargetID],A221)&gt;0</f>
        <v>1</v>
      </c>
      <c r="V221" s="85">
        <f t="array" ref="V221">IF(
 U221=FALSE,
 "",
 _xlfn.XLOOKUP(
  A221,
  tblCost[TargetID],
  tblCost[FundingPercent],
  ""
 )
)</f>
        <v>0</v>
      </c>
      <c r="W221" s="26">
        <f t="array" ref="W221">IF(
 U221=FALSE,
 "",
 _xlfn.XLOOKUP(
  A221,
  tblCost[TargetID],
  tblCost[RemainingRequirements],
  ""
 )
)</f>
        <v>4</v>
      </c>
      <c r="X221" s="45" t="b">
        <f t="array" ref="X221">IF(
 U221=FALSE,
 "N/A",
 _xlfn.XLOOKUP(
  A222,
  tblCost[TargetID],
  tblCost[TargetFunded],
  FALSE
 )
)</f>
        <v>0</v>
      </c>
      <c r="Y221" s="26" t="str">
        <f>IFERROR(__xludf.DUMMYFUNCTION("IFERROR(
 TEXTJOIN(
  "", "",
  TRUE,
  FILTER(
   'cost checklist'!$E$2:$E1000&amp;"": ""&amp;'cost checklist'!$G$2:$G1000,
   'cost checklist'!$B$2:$B1000=A221,
   'cost checklist'!$J$2:$J1000=FALSE
  )
 ),
 """"
)"),"beam: 50, blueprint: 5, bonemeal: 10, stone: 150")</f>
        <v>beam: 50, blueprint: 5, bonemeal: 10, stone: 150</v>
      </c>
      <c r="Z221" s="26" t="b">
        <f>IFERROR(__xludf.DUMMYFUNCTION("IF(
 AND(
  E221=""QUEST"",
  RIGHT(A221,9)="".accepted"",
  D221=TRUE
 ),
 XLOOKUP(
  REGEXREPLACE(A221,""\.accepted$"","""")&amp;"".finished"",
  $A$2:$A1000,
  $D$2:$D1000,
  TRUE
 )=FALSE,
 FALSE
)"),FALSE)</f>
        <v>0</v>
      </c>
      <c r="AA221" s="26" t="str">
        <f>IFERROR(__xludf.DUMMYFUNCTION("LET(
 id,A221,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2" ht="14.25" customHeight="1">
      <c r="A222" s="26" t="s">
        <v>785</v>
      </c>
      <c r="B222" s="26" t="str">
        <f t="array" ref="B222">_xlfn.XLOOKUP(
 A222,
 tblTargets[TargetID],
 tblTargets[DisplayName],
 ""
)</f>
        <v>Statue Lv 1</v>
      </c>
      <c r="C222" s="26" t="str">
        <f t="shared" si="1"/>
        <v>BLOCKED</v>
      </c>
      <c r="D222" s="26" t="b">
        <f>IFERROR(__xludf.DUMMYFUNCTION("LET(
 id,A222,
 IF(
  F222=""CHARACTER"",
  LET(
   base,REGEXREPLACE(id,""@\d+$"",""""),
   required,VALUE(REGEXEXTRACT(id,""@(\d+)$"")),
   current,XLOOKUP(
    base,
    tblPlayer[PlayerStateID],
    tblPlayer[Value],
    0
   ),
   current&gt;=required
 "&amp;" ),
  IF(
   T222=""AUTO"",
   L222=0,
   COUNTIFS(
    tblChecklist[TargetID],id,
    tblChecklist[PlayerCompleted],TRUE
   )&gt;0
  )
 )
)"),FALSE)</f>
        <v>0</v>
      </c>
      <c r="E222" s="26" t="str">
        <f t="array" ref="E222">_xlfn.XLOOKUP(
 A222,
 tblTargets[TargetID],
 tblTargets[TargetType],
 ""
)</f>
        <v>COLLECTION</v>
      </c>
      <c r="F222" s="26" t="str">
        <f t="array" ref="F222">_xlfn.XLOOKUP(
 A222,
 tblTargets[TargetID],
 tblTargets[StateType],
 ""
)</f>
        <v/>
      </c>
      <c r="G222" s="26">
        <f>LET(
 id,A222,
 depCount,COUNTIF(tblDependencies[TargetID],id),
 objCount,COUNTIF(tblQuestObjectives[QuestTargetID],id),
 depCount+objCount
)</f>
        <v>1</v>
      </c>
      <c r="H222" s="26">
        <f t="shared" si="2"/>
        <v>1</v>
      </c>
      <c r="I222" s="26">
        <f>IFERROR(__xludf.DUMMYFUNCTION("LET(
 id,A222,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2" s="26">
        <f t="shared" si="3"/>
        <v>0</v>
      </c>
      <c r="K222" s="26" t="b">
        <f t="shared" si="4"/>
        <v>0</v>
      </c>
      <c r="L222" s="26">
        <f t="shared" si="5"/>
        <v>1</v>
      </c>
      <c r="M222" s="26" t="str">
        <f>IFERROR(__xludf.DUMMYFUNCTION("LET(
 id,A222,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L222=0,
  """",
  IFERROR(INDEX(incomplete,1),"""")"&amp;"
 )
)"),"citadel.great_hall")</f>
        <v>citadel.great_hall</v>
      </c>
      <c r="N222" s="26" t="str">
        <f t="array" ref="N222">IF(
 M222="",
 "",
 _xlfn.XLOOKUP(
  M222,
  tblTargets[TargetID],
  tblTargets[DisplayName],
  M222
 )
)</f>
        <v>Great Hall</v>
      </c>
      <c r="O222" s="26" t="str">
        <f>IFERROR(__xludf.DUMMYFUNCTION("SWITCH(
 E222,
 ""BUILDING"",XLOOKUP(A222,tblBuildings[BuildingID],tblBuildings[costtext],""""),
 ""TECH"",XLOOKUP(A222,tblTechnologies[TechnologyID],tblTechnologies[costtext],""""),
 ""QUEST"",XLOOKUP(
  REGEXREPLACE(A222,""\.[^.]+$"",""""),
  tblQuests["&amp;"QuestID],
  tblQuests[Costtext],
  """"
 ),
 ""CITADEL"",XLOOKUP(A222,tblCitadel[CitadelID],tblCitadel[costtext],""""),
 ""COLLECTION"",XLOOKUP(A222,tblCollections[CollectionID],tblCollections[costtext],""""),
 ""CRAFTIFACT"",XLOOKUP(A222,tblCraftifacts[C"&amp;"raftifactID],tblCraftifacts[costtext],""""),
 """"
)"),"200 stone")</f>
        <v>200 stone</v>
      </c>
      <c r="P222" s="26" t="str">
        <f t="shared" si="6"/>
        <v>BLOCKED</v>
      </c>
      <c r="Q222" s="26" t="str">
        <f t="shared" si="7"/>
        <v>BLOCKED</v>
      </c>
      <c r="R222" s="26" t="str">
        <f t="array" ref="R222">IFERROR(
 _xlfn.XLOOKUP(
  A222,
  tblChecklist[TargetID],
  tblChecklist[PlayerSort],
  ""
 ),
 ""
)</f>
        <v/>
      </c>
      <c r="S222" s="26" t="str">
        <f>IFERROR(__xludf.DUMMYFUNCTION("LET(
 id,A222,
 successorIDs,
  IFERROR(
   UNIQUE(
    FILTER(
     {
      Dependencies!$A$2:$A$1000;
      QuestObjectives!$A$2:$A$1000
     },
     {
      Dependencies!$B$2:$B$1000;
      QuestObjectives!$E$2:$E$1000
     }=id
    )
   ),
   """"
  )"&amp;",
 names,
  MAP(
   successorIDs,
   LAMBDA(s,
    IF(
     s="""",
     """",
     XLOOKUP(
      s,
      $A$2:$A$1000,
      $B$2:$B$1000,
      s
     )
    )
   )
  ),
 IF(
  successorIDs="""",
  """",
  TEXTJOIN("", "",TRUE,names)
 )
)"),"")</f>
        <v/>
      </c>
      <c r="T222" s="26" t="str">
        <f t="array" ref="T222">_xlfn.XLOOKUP(
 A222,
 tblTargets[TargetID],
 tblTargets[CompletionMethod],
 ""
)</f>
        <v>PLAYER</v>
      </c>
      <c r="U222" s="84" t="b">
        <f>COUNTIF(tblCost[TargetID],A222)&gt;0</f>
        <v>1</v>
      </c>
      <c r="V222" s="85">
        <f t="array" ref="V222">IF(
 U222=FALSE,
 "",
 _xlfn.XLOOKUP(
  A222,
  tblCost[TargetID],
  tblCost[FundingPercent],
  ""
 )
)</f>
        <v>0</v>
      </c>
      <c r="W222" s="26">
        <f t="array" ref="W222">IF(
 U222=FALSE,
 "",
 _xlfn.XLOOKUP(
  A222,
  tblCost[TargetID],
  tblCost[RemainingRequirements],
  ""
 )
)</f>
        <v>1</v>
      </c>
      <c r="X222" s="45" t="b">
        <f t="array" ref="X222">IF(
 U222=FALSE,
 "N/A",
 _xlfn.XLOOKUP(
  A223,
  tblCost[TargetID],
  tblCost[TargetFunded],
  FALSE
 )
)</f>
        <v>0</v>
      </c>
      <c r="Y222" s="26" t="str">
        <f>IFERROR(__xludf.DUMMYFUNCTION("IFERROR(
 TEXTJOIN(
  "", "",
  TRUE,
  FILTER(
   'cost checklist'!$E$2:$E1000&amp;"": ""&amp;'cost checklist'!$G$2:$G1000,
   'cost checklist'!$B$2:$B1000=A222,
   'cost checklist'!$J$2:$J1000=FALSE
  )
 ),
 """"
)"),"stone: 200")</f>
        <v>stone: 200</v>
      </c>
      <c r="Z222" s="26" t="b">
        <f>IFERROR(__xludf.DUMMYFUNCTION("IF(
 AND(
  E222=""QUEST"",
  RIGHT(A222,9)="".accepted"",
  D222=TRUE
 ),
 XLOOKUP(
  REGEXREPLACE(A222,""\.accepted$"","""")&amp;"".finished"",
  $A$2:$A1000,
  $D$2:$D1000,
  TRUE
 )=FALSE,
 FALSE
)"),FALSE)</f>
        <v>0</v>
      </c>
      <c r="AA222" s="26" t="str">
        <f>IFERROR(__xludf.DUMMYFUNCTION("LET(
 id,A222,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3" ht="14.25" customHeight="1">
      <c r="A223" s="26" t="s">
        <v>789</v>
      </c>
      <c r="B223" s="26" t="str">
        <f t="array" ref="B223">_xlfn.XLOOKUP(
 A223,
 tblTargets[TargetID],
 tblTargets[DisplayName],
 ""
)</f>
        <v>Tavern Lv 1</v>
      </c>
      <c r="C223" s="26" t="str">
        <f t="shared" si="1"/>
        <v>BLOCKED</v>
      </c>
      <c r="D223" s="26" t="b">
        <f>IFERROR(__xludf.DUMMYFUNCTION("LET(
 id,A223,
 IF(
  F223=""CHARACTER"",
  LET(
   base,REGEXREPLACE(id,""@\d+$"",""""),
   required,VALUE(REGEXEXTRACT(id,""@(\d+)$"")),
   current,XLOOKUP(
    base,
    tblPlayer[PlayerStateID],
    tblPlayer[Value],
    0
   ),
   current&gt;=required
 "&amp;" ),
  IF(
   T223=""AUTO"",
   L223=0,
   COUNTIFS(
    tblChecklist[TargetID],id,
    tblChecklist[PlayerCompleted],TRUE
   )&gt;0
  )
 )
)"),FALSE)</f>
        <v>0</v>
      </c>
      <c r="E223" s="26" t="str">
        <f t="array" ref="E223">_xlfn.XLOOKUP(
 A223,
 tblTargets[TargetID],
 tblTargets[TargetType],
 ""
)</f>
        <v>COLLECTION</v>
      </c>
      <c r="F223" s="26" t="str">
        <f t="array" ref="F223">_xlfn.XLOOKUP(
 A223,
 tblTargets[TargetID],
 tblTargets[StateType],
 ""
)</f>
        <v/>
      </c>
      <c r="G223" s="26">
        <f>LET(
 id,A223,
 depCount,COUNTIF(tblDependencies[TargetID],id),
 objCount,COUNTIF(tblQuestObjectives[QuestTargetID],id),
 depCount+objCount
)</f>
        <v>1</v>
      </c>
      <c r="H223" s="26">
        <f t="shared" si="2"/>
        <v>1</v>
      </c>
      <c r="I223" s="26">
        <f>IFERROR(__xludf.DUMMYFUNCTION("LET(
 id,A223,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3" s="26">
        <f t="shared" si="3"/>
        <v>0</v>
      </c>
      <c r="K223" s="26" t="b">
        <f t="shared" si="4"/>
        <v>0</v>
      </c>
      <c r="L223" s="26">
        <f t="shared" si="5"/>
        <v>1</v>
      </c>
      <c r="M223" s="26" t="str">
        <f>IFERROR(__xludf.DUMMYFUNCTION("LET(
 id,A223,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L223=0,
  """",
  IFERROR(INDEX(incomplete,1),"""")"&amp;"
 )
)"),"citadel.tavern")</f>
        <v>citadel.tavern</v>
      </c>
      <c r="N223" s="26" t="str">
        <f t="array" ref="N223">IF(
 M223="",
 "",
 _xlfn.XLOOKUP(
  M223,
  tblTargets[TargetID],
  tblTargets[DisplayName],
  M223
 )
)</f>
        <v>Tavern</v>
      </c>
      <c r="O223" s="26" t="str">
        <f>IFERROR(__xludf.DUMMYFUNCTION("SWITCH(
 E223,
 ""BUILDING"",XLOOKUP(A223,tblBuildings[BuildingID],tblBuildings[costtext],""""),
 ""TECH"",XLOOKUP(A223,tblTechnologies[TechnologyID],tblTechnologies[costtext],""""),
 ""QUEST"",XLOOKUP(
  REGEXREPLACE(A223,""\.[^.]+$"",""""),
  tblQuests["&amp;"QuestID],
  tblQuests[Costtext],
  """"
 ),
 ""CITADEL"",XLOOKUP(A223,tblCitadel[CitadelID],tblCitadel[costtext],""""),
 ""COLLECTION"",XLOOKUP(A223,tblCollections[CollectionID],tblCollections[costtext],""""),
 ""CRAFTIFACT"",XLOOKUP(A223,tblCraftifacts[C"&amp;"raftifactID],tblCraftifacts[costtext],""""),
 """"
)"),"10 cake,10 cup,10 fried,20 mcola,10 pasta,10 ramen,10 smoothie2,10 sushi,10 teriyaki")</f>
        <v>10 cake,10 cup,10 fried,20 mcola,10 pasta,10 ramen,10 smoothie2,10 sushi,10 teriyaki</v>
      </c>
      <c r="P223" s="26" t="str">
        <f t="shared" si="6"/>
        <v>BLOCKED</v>
      </c>
      <c r="Q223" s="26" t="str">
        <f t="shared" si="7"/>
        <v>BLOCKED</v>
      </c>
      <c r="R223" s="26" t="str">
        <f t="array" ref="R223">IFERROR(
 _xlfn.XLOOKUP(
  A223,
  tblChecklist[TargetID],
  tblChecklist[PlayerSort],
  ""
 ),
 ""
)</f>
        <v/>
      </c>
      <c r="S223" s="26" t="str">
        <f>IFERROR(__xludf.DUMMYFUNCTION("LET(
 id,A223,
 successorIDs,
  IFERROR(
   UNIQUE(
    FILTER(
     {
      Dependencies!$A$2:$A$1000;
      QuestObjectives!$A$2:$A$1000
     },
     {
      Dependencies!$B$2:$B$1000;
      QuestObjectives!$E$2:$E$1000
     }=id
    )
   ),
   """"
  )"&amp;",
 names,
  MAP(
   successorIDs,
   LAMBDA(s,
    IF(
     s="""",
     """",
     XLOOKUP(
      s,
      $A$2:$A$1000,
      $B$2:$B$1000,
      s
     )
    )
   )
  ),
 IF(
  successorIDs="""",
  """",
  TEXTJOIN("", "",TRUE,names)
 )
)"),"Tavern Lv 2")</f>
        <v>Tavern Lv 2</v>
      </c>
      <c r="T223" s="26" t="str">
        <f t="array" ref="T223">_xlfn.XLOOKUP(
 A223,
 tblTargets[TargetID],
 tblTargets[CompletionMethod],
 ""
)</f>
        <v>PLAYER</v>
      </c>
      <c r="U223" s="84" t="b">
        <f>COUNTIF(tblCost[TargetID],A223)&gt;0</f>
        <v>1</v>
      </c>
      <c r="V223" s="85">
        <f t="array" ref="V223">IF(
 U223=FALSE,
 "",
 _xlfn.XLOOKUP(
  A223,
  tblCost[TargetID],
  tblCost[FundingPercent],
  ""
 )
)</f>
        <v>0</v>
      </c>
      <c r="W223" s="26">
        <f t="array" ref="W223">IF(
 U223=FALSE,
 "",
 _xlfn.XLOOKUP(
  A223,
  tblCost[TargetID],
  tblCost[RemainingRequirements],
  ""
 )
)</f>
        <v>9</v>
      </c>
      <c r="X223" s="45" t="b">
        <f t="array" ref="X223">IF(
 U223=FALSE,
 "N/A",
 _xlfn.XLOOKUP(
  A224,
  tblCost[TargetID],
  tblCost[TargetFunded],
  FALSE
 )
)</f>
        <v>0</v>
      </c>
      <c r="Y223" s="26" t="str">
        <f>IFERROR(__xludf.DUMMYFUNCTION("IFERROR(
 TEXTJOIN(
  "", "",
  TRUE,
  FILTER(
   'cost checklist'!$E$2:$E1000&amp;"": ""&amp;'cost checklist'!$G$2:$G1000,
   'cost checklist'!$B$2:$B1000=A223,
   'cost checklist'!$J$2:$J1000=FALSE
  )
 ),
 """"
)"),"cake: 10, cup: 10, fried: 10, mcola: 20, pasta: 10, ramen: 10, smoothie2: 10, sushi: 10, teriyaki: 10")</f>
        <v>cake: 10, cup: 10, fried: 10, mcola: 20, pasta: 10, ramen: 10, smoothie2: 10, sushi: 10, teriyaki: 10</v>
      </c>
      <c r="Z223" s="26" t="b">
        <f>IFERROR(__xludf.DUMMYFUNCTION("IF(
 AND(
  E223=""QUEST"",
  RIGHT(A223,9)="".accepted"",
  D223=TRUE
 ),
 XLOOKUP(
  REGEXREPLACE(A223,""\.accepted$"","""")&amp;"".finished"",
  $A$2:$A1000,
  $D$2:$D1000,
  TRUE
 )=FALSE,
 FALSE
)"),FALSE)</f>
        <v>0</v>
      </c>
      <c r="AA223" s="26" t="str">
        <f>IFERROR(__xludf.DUMMYFUNCTION("LET(
 id,A223,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4" ht="14.25" customHeight="1">
      <c r="A224" s="26" t="s">
        <v>795</v>
      </c>
      <c r="B224" s="26" t="str">
        <f t="array" ref="B224">_xlfn.XLOOKUP(
 A224,
 tblTargets[TargetID],
 tblTargets[DisplayName],
 ""
)</f>
        <v>Tavern Lv 2</v>
      </c>
      <c r="C224" s="26" t="str">
        <f t="shared" si="1"/>
        <v>BLOCKED</v>
      </c>
      <c r="D224" s="26" t="b">
        <f>IFERROR(__xludf.DUMMYFUNCTION("LET(
 id,A224,
 IF(
  F224=""CHARACTER"",
  LET(
   base,REGEXREPLACE(id,""@\d+$"",""""),
   required,VALUE(REGEXEXTRACT(id,""@(\d+)$"")),
   current,XLOOKUP(
    base,
    tblPlayer[PlayerStateID],
    tblPlayer[Value],
    0
   ),
   current&gt;=required
 "&amp;" ),
  IF(
   T224=""AUTO"",
   L224=0,
   COUNTIFS(
    tblChecklist[TargetID],id,
    tblChecklist[PlayerCompleted],TRUE
   )&gt;0
  )
 )
)"),FALSE)</f>
        <v>0</v>
      </c>
      <c r="E224" s="26" t="str">
        <f t="array" ref="E224">_xlfn.XLOOKUP(
 A224,
 tblTargets[TargetID],
 tblTargets[TargetType],
 ""
)</f>
        <v>COLLECTION</v>
      </c>
      <c r="F224" s="26" t="str">
        <f t="array" ref="F224">_xlfn.XLOOKUP(
 A224,
 tblTargets[TargetID],
 tblTargets[StateType],
 ""
)</f>
        <v/>
      </c>
      <c r="G224" s="26">
        <f>LET(
 id,A224,
 depCount,COUNTIF(tblDependencies[TargetID],id),
 objCount,COUNTIF(tblQuestObjectives[QuestTargetID],id),
 depCount+objCount
)</f>
        <v>1</v>
      </c>
      <c r="H224" s="26">
        <f t="shared" si="2"/>
        <v>1</v>
      </c>
      <c r="I224" s="26">
        <f>IFERROR(__xludf.DUMMYFUNCTION("LET(
 id,A224,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4" s="26">
        <f t="shared" si="3"/>
        <v>0</v>
      </c>
      <c r="K224" s="26" t="b">
        <f t="shared" si="4"/>
        <v>0</v>
      </c>
      <c r="L224" s="26">
        <f t="shared" si="5"/>
        <v>1</v>
      </c>
      <c r="M224" s="26" t="str">
        <f>IFERROR(__xludf.DUMMYFUNCTION("LET(
 id,A224,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L224=0,
  """",
  IFERROR(INDEX(incomplete,1),"""")"&amp;"
 )
)"),"collection.tavern@1")</f>
        <v>collection.tavern@1</v>
      </c>
      <c r="N224" s="26" t="str">
        <f t="array" ref="N224">IF(
 M224="",
 "",
 _xlfn.XLOOKUP(
  M224,
  tblTargets[TargetID],
  tblTargets[DisplayName],
  M224
 )
)</f>
        <v>Tavern Lv 1</v>
      </c>
      <c r="O224" s="26" t="str">
        <f>IFERROR(__xludf.DUMMYFUNCTION("SWITCH(
 E224,
 ""BUILDING"",XLOOKUP(A224,tblBuildings[BuildingID],tblBuildings[costtext],""""),
 ""TECH"",XLOOKUP(A224,tblTechnologies[TechnologyID],tblTechnologies[costtext],""""),
 ""QUEST"",XLOOKUP(
  REGEXREPLACE(A224,""\.[^.]+$"",""""),
  tblQuests["&amp;"QuestID],
  tblQuests[Costtext],
  """"
 ),
 ""CITADEL"",XLOOKUP(A224,tblCitadel[CitadelID],tblCitadel[costtext],""""),
 ""COLLECTION"",XLOOKUP(A224,tblCollections[CollectionID],tblCollections[costtext],""""),
 ""CRAFTIFACT"",XLOOKUP(A224,tblCraftifacts[C"&amp;"raftifactID],tblCraftifacts[costtext],""""),
 """"
)"),"20 cake,20 cup,20 fried,40 mcola,20 pasta,20 ramen,20 smoothie2,20 sushi,20 teriyaki")</f>
        <v>20 cake,20 cup,20 fried,40 mcola,20 pasta,20 ramen,20 smoothie2,20 sushi,20 teriyaki</v>
      </c>
      <c r="P224" s="26" t="str">
        <f t="shared" si="6"/>
        <v>BLOCKED</v>
      </c>
      <c r="Q224" s="26" t="str">
        <f t="shared" si="7"/>
        <v>BLOCKED</v>
      </c>
      <c r="R224" s="26" t="str">
        <f t="array" ref="R224">IFERROR(
 _xlfn.XLOOKUP(
  A224,
  tblChecklist[TargetID],
  tblChecklist[PlayerSort],
  ""
 ),
 ""
)</f>
        <v/>
      </c>
      <c r="S224" s="26" t="str">
        <f>IFERROR(__xludf.DUMMYFUNCTION("LET(
 id,A224,
 successorIDs,
  IFERROR(
   UNIQUE(
    FILTER(
     {
      Dependencies!$A$2:$A$1000;
      QuestObjectives!$A$2:$A$1000
     },
     {
      Dependencies!$B$2:$B$1000;
      QuestObjectives!$E$2:$E$1000
     }=id
    )
   ),
   """"
  )"&amp;",
 names,
  MAP(
   successorIDs,
   LAMBDA(s,
    IF(
     s="""",
     """",
     XLOOKUP(
      s,
      $A$2:$A$1000,
      $B$2:$B$1000,
      s
     )
    )
   )
  ),
 IF(
  successorIDs="""",
  """",
  TEXTJOIN("", "",TRUE,names)
 )
)"),"")</f>
        <v/>
      </c>
      <c r="T224" s="26" t="str">
        <f t="array" ref="T224">_xlfn.XLOOKUP(
 A224,
 tblTargets[TargetID],
 tblTargets[CompletionMethod],
 ""
)</f>
        <v>PLAYER</v>
      </c>
      <c r="U224" s="84" t="b">
        <f>COUNTIF(tblCost[TargetID],A224)&gt;0</f>
        <v>1</v>
      </c>
      <c r="V224" s="85">
        <f t="array" ref="V224">IF(
 U224=FALSE,
 "",
 _xlfn.XLOOKUP(
  A224,
  tblCost[TargetID],
  tblCost[FundingPercent],
  ""
 )
)</f>
        <v>0</v>
      </c>
      <c r="W224" s="26">
        <f t="array" ref="W224">IF(
 U224=FALSE,
 "",
 _xlfn.XLOOKUP(
  A224,
  tblCost[TargetID],
  tblCost[RemainingRequirements],
  ""
 )
)</f>
        <v>9</v>
      </c>
      <c r="X224" s="45" t="b">
        <f t="array" ref="X224">IF(
 U224=FALSE,
 "N/A",
 _xlfn.XLOOKUP(
  A225,
  tblCost[TargetID],
  tblCost[TargetFunded],
  FALSE
 )
)</f>
        <v>0</v>
      </c>
      <c r="Y224" s="26" t="str">
        <f>IFERROR(__xludf.DUMMYFUNCTION("IFERROR(
 TEXTJOIN(
  "", "",
  TRUE,
  FILTER(
   'cost checklist'!$E$2:$E1000&amp;"": ""&amp;'cost checklist'!$G$2:$G1000,
   'cost checklist'!$B$2:$B1000=A224,
   'cost checklist'!$J$2:$J1000=FALSE
  )
 ),
 """"
)"),"cake: 20, cup: 20, fried: 20, mcola: 40, pasta: 20, ramen: 20, smoothie2: 20, sushi: 20, teriyaki: 20")</f>
        <v>cake: 20, cup: 20, fried: 20, mcola: 40, pasta: 20, ramen: 20, smoothie2: 20, sushi: 20, teriyaki: 20</v>
      </c>
      <c r="Z224" s="26" t="b">
        <f>IFERROR(__xludf.DUMMYFUNCTION("IF(
 AND(
  E224=""QUEST"",
  RIGHT(A224,9)="".accepted"",
  D224=TRUE
 ),
 XLOOKUP(
  REGEXREPLACE(A224,""\.accepted$"","""")&amp;"".finished"",
  $A$2:$A1000,
  $D$2:$D1000,
  TRUE
 )=FALSE,
 FALSE
)"),FALSE)</f>
        <v>0</v>
      </c>
      <c r="AA224" s="26" t="str">
        <f>IFERROR(__xludf.DUMMYFUNCTION("LET(
 id,A224,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5" ht="14.25" customHeight="1">
      <c r="A225" s="26" t="s">
        <v>799</v>
      </c>
      <c r="B225" s="26" t="str">
        <f t="array" ref="B225">_xlfn.XLOOKUP(
 A225,
 tblTargets[TargetID],
 tblTargets[DisplayName],
 ""
)</f>
        <v>Treasury 1 Lv 1</v>
      </c>
      <c r="C225" s="26" t="str">
        <f t="shared" si="1"/>
        <v>BLOCKED</v>
      </c>
      <c r="D225" s="26" t="b">
        <f>IFERROR(__xludf.DUMMYFUNCTION("LET(
 id,A225,
 IF(
  F225=""CHARACTER"",
  LET(
   base,REGEXREPLACE(id,""@\d+$"",""""),
   required,VALUE(REGEXEXTRACT(id,""@(\d+)$"")),
   current,XLOOKUP(
    base,
    tblPlayer[PlayerStateID],
    tblPlayer[Value],
    0
   ),
   current&gt;=required
 "&amp;" ),
  IF(
   T225=""AUTO"",
   L225=0,
   COUNTIFS(
    tblChecklist[TargetID],id,
    tblChecklist[PlayerCompleted],TRUE
   )&gt;0
  )
 )
)"),FALSE)</f>
        <v>0</v>
      </c>
      <c r="E225" s="26" t="str">
        <f t="array" ref="E225">_xlfn.XLOOKUP(
 A225,
 tblTargets[TargetID],
 tblTargets[TargetType],
 ""
)</f>
        <v>COLLECTION</v>
      </c>
      <c r="F225" s="26" t="str">
        <f t="array" ref="F225">_xlfn.XLOOKUP(
 A225,
 tblTargets[TargetID],
 tblTargets[StateType],
 ""
)</f>
        <v/>
      </c>
      <c r="G225" s="26">
        <f>LET(
 id,A225,
 depCount,COUNTIF(tblDependencies[TargetID],id),
 objCount,COUNTIF(tblQuestObjectives[QuestTargetID],id),
 depCount+objCount
)</f>
        <v>1</v>
      </c>
      <c r="H225" s="26">
        <f t="shared" si="2"/>
        <v>1</v>
      </c>
      <c r="I225" s="26">
        <f>IFERROR(__xludf.DUMMYFUNCTION("LET(
 id,A225,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5" s="26">
        <f t="shared" si="3"/>
        <v>0</v>
      </c>
      <c r="K225" s="26" t="b">
        <f t="shared" si="4"/>
        <v>0</v>
      </c>
      <c r="L225" s="26">
        <f t="shared" si="5"/>
        <v>1</v>
      </c>
      <c r="M225" s="26" t="str">
        <f>IFERROR(__xludf.DUMMYFUNCTION("LET(
 id,A225,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L225=0,
  """",
  IFERROR(INDEX(incomplete,1),"""")"&amp;"
 )
)"),"citadel.treasury")</f>
        <v>citadel.treasury</v>
      </c>
      <c r="N225" s="26" t="str">
        <f t="array" ref="N225">IF(
 M225="",
 "",
 _xlfn.XLOOKUP(
  M225,
  tblTargets[TargetID],
  tblTargets[DisplayName],
  M225
 )
)</f>
        <v>Treasury</v>
      </c>
      <c r="O225" s="26" t="str">
        <f>IFERROR(__xludf.DUMMYFUNCTION("SWITCH(
 E225,
 ""BUILDING"",XLOOKUP(A225,tblBuildings[BuildingID],tblBuildings[costtext],""""),
 ""TECH"",XLOOKUP(A225,tblTechnologies[TechnologyID],tblTechnologies[costtext],""""),
 ""QUEST"",XLOOKUP(
  REGEXREPLACE(A225,""\.[^.]+$"",""""),
  tblQuests["&amp;"QuestID],
  tblQuests[Costtext],
  """"
 ),
 ""CITADEL"",XLOOKUP(A225,tblCitadel[CitadelID],tblCitadel[costtext],""""),
 ""COLLECTION"",XLOOKUP(A225,tblCollections[CollectionID],tblCollections[costtext],""""),
 ""CRAFTIFACT"",XLOOKUP(A225,tblCraftifacts[C"&amp;"raftifactID],tblCraftifacts[costtext],""""),
 """"
)"),"1000 coin,1000 coin.2,250 crypto,250 dinar,10 ingot,5 pearl,5 ruby,10 treasure")</f>
        <v>1000 coin,1000 coin.2,250 crypto,250 dinar,10 ingot,5 pearl,5 ruby,10 treasure</v>
      </c>
      <c r="P225" s="26" t="str">
        <f t="shared" si="6"/>
        <v>BLOCKED</v>
      </c>
      <c r="Q225" s="26" t="str">
        <f t="shared" si="7"/>
        <v>BLOCKED</v>
      </c>
      <c r="R225" s="26" t="str">
        <f t="array" ref="R225">IFERROR(
 _xlfn.XLOOKUP(
  A225,
  tblChecklist[TargetID],
  tblChecklist[PlayerSort],
  ""
 ),
 ""
)</f>
        <v/>
      </c>
      <c r="S225" s="26" t="str">
        <f>IFERROR(__xludf.DUMMYFUNCTION("LET(
 id,A225,
 successorIDs,
  IFERROR(
   UNIQUE(
    FILTER(
     {
      Dependencies!$A$2:$A$1000;
      QuestObjectives!$A$2:$A$1000
     },
     {
      Dependencies!$B$2:$B$1000;
      QuestObjectives!$E$2:$E$1000
     }=id
    )
   ),
   """"
  )"&amp;",
 names,
  MAP(
   successorIDs,
   LAMBDA(s,
    IF(
     s="""",
     """",
     XLOOKUP(
      s,
      $A$2:$A$1000,
      $B$2:$B$1000,
      s
     )
    )
   )
  ),
 IF(
  successorIDs="""",
  """",
  TEXTJOIN("", "",TRUE,names)
 )
)"),"Treasury 1 Lv 2")</f>
        <v>Treasury 1 Lv 2</v>
      </c>
      <c r="T225" s="26" t="str">
        <f t="array" ref="T225">_xlfn.XLOOKUP(
 A225,
 tblTargets[TargetID],
 tblTargets[CompletionMethod],
 ""
)</f>
        <v>PLAYER</v>
      </c>
      <c r="U225" s="84" t="b">
        <f>COUNTIF(tblCost[TargetID],A225)&gt;0</f>
        <v>1</v>
      </c>
      <c r="V225" s="85">
        <f t="array" ref="V225">IF(
 U225=FALSE,
 "",
 _xlfn.XLOOKUP(
  A225,
  tblCost[TargetID],
  tblCost[FundingPercent],
  ""
 )
)</f>
        <v>0</v>
      </c>
      <c r="W225" s="26">
        <f t="array" ref="W225">IF(
 U225=FALSE,
 "",
 _xlfn.XLOOKUP(
  A225,
  tblCost[TargetID],
  tblCost[RemainingRequirements],
  ""
 )
)</f>
        <v>8</v>
      </c>
      <c r="X225" s="45" t="b">
        <f t="array" ref="X225">IF(
 U225=FALSE,
 "N/A",
 _xlfn.XLOOKUP(
  A226,
  tblCost[TargetID],
  tblCost[TargetFunded],
  FALSE
 )
)</f>
        <v>0</v>
      </c>
      <c r="Y225" s="26" t="str">
        <f>IFERROR(__xludf.DUMMYFUNCTION("IFERROR(
 TEXTJOIN(
  "", "",
  TRUE,
  FILTER(
   'cost checklist'!$E$2:$E1000&amp;"": ""&amp;'cost checklist'!$G$2:$G1000,
   'cost checklist'!$B$2:$B1000=A225,
   'cost checklist'!$J$2:$J1000=FALSE
  )
 ),
 """"
)"),"coin: 1000, coin: 1000, crypto: 250, dinar: 250, ingot: 10, pearl: 5, ruby: 5, treasure: 10")</f>
        <v>coin: 1000, coin: 1000, crypto: 250, dinar: 250, ingot: 10, pearl: 5, ruby: 5, treasure: 10</v>
      </c>
      <c r="Z225" s="26" t="b">
        <f>IFERROR(__xludf.DUMMYFUNCTION("IF(
 AND(
  E225=""QUEST"",
  RIGHT(A225,9)="".accepted"",
  D225=TRUE
 ),
 XLOOKUP(
  REGEXREPLACE(A225,""\.accepted$"","""")&amp;"".finished"",
  $A$2:$A1000,
  $D$2:$D1000,
  TRUE
 )=FALSE,
 FALSE
)"),FALSE)</f>
        <v>0</v>
      </c>
      <c r="AA225" s="26" t="str">
        <f>IFERROR(__xludf.DUMMYFUNCTION("LET(
 id,A225,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6" ht="14.25" customHeight="1">
      <c r="A226" s="26" t="s">
        <v>803</v>
      </c>
      <c r="B226" s="26" t="str">
        <f t="array" ref="B226">_xlfn.XLOOKUP(
 A226,
 tblTargets[TargetID],
 tblTargets[DisplayName],
 ""
)</f>
        <v>Treasury 1 Lv 2</v>
      </c>
      <c r="C226" s="26" t="str">
        <f t="shared" si="1"/>
        <v>BLOCKED</v>
      </c>
      <c r="D226" s="26" t="b">
        <f>IFERROR(__xludf.DUMMYFUNCTION("LET(
 id,A226,
 IF(
  F226=""CHARACTER"",
  LET(
   base,REGEXREPLACE(id,""@\d+$"",""""),
   required,VALUE(REGEXEXTRACT(id,""@(\d+)$"")),
   current,XLOOKUP(
    base,
    tblPlayer[PlayerStateID],
    tblPlayer[Value],
    0
   ),
   current&gt;=required
 "&amp;" ),
  IF(
   T226=""AUTO"",
   L226=0,
   COUNTIFS(
    tblChecklist[TargetID],id,
    tblChecklist[PlayerCompleted],TRUE
   )&gt;0
  )
 )
)"),FALSE)</f>
        <v>0</v>
      </c>
      <c r="E226" s="26" t="str">
        <f t="array" ref="E226">_xlfn.XLOOKUP(
 A226,
 tblTargets[TargetID],
 tblTargets[TargetType],
 ""
)</f>
        <v>COLLECTION</v>
      </c>
      <c r="F226" s="26" t="str">
        <f t="array" ref="F226">_xlfn.XLOOKUP(
 A226,
 tblTargets[TargetID],
 tblTargets[StateType],
 ""
)</f>
        <v/>
      </c>
      <c r="G226" s="26">
        <f>LET(
 id,A226,
 depCount,COUNTIF(tblDependencies[TargetID],id),
 objCount,COUNTIF(tblQuestObjectives[QuestTargetID],id),
 depCount+objCount
)</f>
        <v>1</v>
      </c>
      <c r="H226" s="26">
        <f t="shared" si="2"/>
        <v>1</v>
      </c>
      <c r="I226" s="26">
        <f>IFERROR(__xludf.DUMMYFUNCTION("LET(
 id,A226,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6" s="26">
        <f t="shared" si="3"/>
        <v>0</v>
      </c>
      <c r="K226" s="26" t="b">
        <f t="shared" si="4"/>
        <v>0</v>
      </c>
      <c r="L226" s="26">
        <f t="shared" si="5"/>
        <v>1</v>
      </c>
      <c r="M226" s="26" t="str">
        <f>IFERROR(__xludf.DUMMYFUNCTION("LET(
 id,A226,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L226=0,
  """",
  IFERROR(INDEX(incomplete,1),"""")"&amp;"
 )
)"),"collection.treasury_1@1")</f>
        <v>collection.treasury_1@1</v>
      </c>
      <c r="N226" s="26" t="str">
        <f t="array" ref="N226">IF(
 M226="",
 "",
 _xlfn.XLOOKUP(
  M226,
  tblTargets[TargetID],
  tblTargets[DisplayName],
  M226
 )
)</f>
        <v>Treasury 1 Lv 1</v>
      </c>
      <c r="O226" s="26" t="str">
        <f>IFERROR(__xludf.DUMMYFUNCTION("SWITCH(
 E226,
 ""BUILDING"",XLOOKUP(A226,tblBuildings[BuildingID],tblBuildings[costtext],""""),
 ""TECH"",XLOOKUP(A226,tblTechnologies[TechnologyID],tblTechnologies[costtext],""""),
 ""QUEST"",XLOOKUP(
  REGEXREPLACE(A226,""\.[^.]+$"",""""),
  tblQuests["&amp;"QuestID],
  tblQuests[Costtext],
  """"
 ),
 ""CITADEL"",XLOOKUP(A226,tblCitadel[CitadelID],tblCitadel[costtext],""""),
 ""COLLECTION"",XLOOKUP(A226,tblCollections[CollectionID],tblCollections[costtext],""""),
 ""CRAFTIFACT"",XLOOKUP(A226,tblCraftifacts[C"&amp;"raftifactID],tblCraftifacts[costtext],""""),
 """"
)"),"2000 coin,2000 coin.2,500 crypto,500 dinar,20 ingot,10 pearl,10 ruby,20 treasure")</f>
        <v>2000 coin,2000 coin.2,500 crypto,500 dinar,20 ingot,10 pearl,10 ruby,20 treasure</v>
      </c>
      <c r="P226" s="26" t="str">
        <f t="shared" si="6"/>
        <v>BLOCKED</v>
      </c>
      <c r="Q226" s="26" t="str">
        <f t="shared" si="7"/>
        <v>BLOCKED</v>
      </c>
      <c r="R226" s="26" t="str">
        <f t="array" ref="R226">IFERROR(
 _xlfn.XLOOKUP(
  A226,
  tblChecklist[TargetID],
  tblChecklist[PlayerSort],
  ""
 ),
 ""
)</f>
        <v/>
      </c>
      <c r="S226" s="26" t="str">
        <f>IFERROR(__xludf.DUMMYFUNCTION("LET(
 id,A226,
 successorIDs,
  IFERROR(
   UNIQUE(
    FILTER(
     {
      Dependencies!$A$2:$A$1000;
      QuestObjectives!$A$2:$A$1000
     },
     {
      Dependencies!$B$2:$B$1000;
      QuestObjectives!$E$2:$E$1000
     }=id
    )
   ),
   """"
  )"&amp;",
 names,
  MAP(
   successorIDs,
   LAMBDA(s,
    IF(
     s="""",
     """",
     XLOOKUP(
      s,
      $A$2:$A$1000,
      $B$2:$B$1000,
      s
     )
    )
   )
  ),
 IF(
  successorIDs="""",
  """",
  TEXTJOIN("", "",TRUE,names)
 )
)"),"Treasury 1 Lv 3")</f>
        <v>Treasury 1 Lv 3</v>
      </c>
      <c r="T226" s="26" t="str">
        <f t="array" ref="T226">_xlfn.XLOOKUP(
 A226,
 tblTargets[TargetID],
 tblTargets[CompletionMethod],
 ""
)</f>
        <v>PLAYER</v>
      </c>
      <c r="U226" s="84" t="b">
        <f>COUNTIF(tblCost[TargetID],A226)&gt;0</f>
        <v>1</v>
      </c>
      <c r="V226" s="85">
        <f t="array" ref="V226">IF(
 U226=FALSE,
 "",
 _xlfn.XLOOKUP(
  A226,
  tblCost[TargetID],
  tblCost[FundingPercent],
  ""
 )
)</f>
        <v>0</v>
      </c>
      <c r="W226" s="26">
        <f t="array" ref="W226">IF(
 U226=FALSE,
 "",
 _xlfn.XLOOKUP(
  A226,
  tblCost[TargetID],
  tblCost[RemainingRequirements],
  ""
 )
)</f>
        <v>8</v>
      </c>
      <c r="X226" s="45" t="b">
        <f t="array" ref="X226">IF(
 U226=FALSE,
 "N/A",
 _xlfn.XLOOKUP(
  A227,
  tblCost[TargetID],
  tblCost[TargetFunded],
  FALSE
 )
)</f>
        <v>0</v>
      </c>
      <c r="Y226" s="26" t="str">
        <f>IFERROR(__xludf.DUMMYFUNCTION("IFERROR(
 TEXTJOIN(
  "", "",
  TRUE,
  FILTER(
   'cost checklist'!$E$2:$E1000&amp;"": ""&amp;'cost checklist'!$G$2:$G1000,
   'cost checklist'!$B$2:$B1000=A226,
   'cost checklist'!$J$2:$J1000=FALSE
  )
 ),
 """"
)"),"coin: 2000, coin: 2000, crypto: 500, dinar: 500, ingot: 20, pearl: 10, ruby: 10, treasure: 20")</f>
        <v>coin: 2000, coin: 2000, crypto: 500, dinar: 500, ingot: 20, pearl: 10, ruby: 10, treasure: 20</v>
      </c>
      <c r="Z226" s="26" t="b">
        <f>IFERROR(__xludf.DUMMYFUNCTION("IF(
 AND(
  E226=""QUEST"",
  RIGHT(A226,9)="".accepted"",
  D226=TRUE
 ),
 XLOOKUP(
  REGEXREPLACE(A226,""\.accepted$"","""")&amp;"".finished"",
  $A$2:$A1000,
  $D$2:$D1000,
  TRUE
 )=FALSE,
 FALSE
)"),FALSE)</f>
        <v>0</v>
      </c>
      <c r="AA226" s="26" t="str">
        <f>IFERROR(__xludf.DUMMYFUNCTION("LET(
 id,A226,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7" ht="14.25" customHeight="1">
      <c r="A227" s="26" t="s">
        <v>808</v>
      </c>
      <c r="B227" s="26" t="str">
        <f t="array" ref="B227">_xlfn.XLOOKUP(
 A227,
 tblTargets[TargetID],
 tblTargets[DisplayName],
 ""
)</f>
        <v>Treasury 1 Lv 3</v>
      </c>
      <c r="C227" s="26" t="str">
        <f t="shared" si="1"/>
        <v>BLOCKED</v>
      </c>
      <c r="D227" s="26" t="b">
        <f>IFERROR(__xludf.DUMMYFUNCTION("LET(
 id,A227,
 IF(
  F227=""CHARACTER"",
  LET(
   base,REGEXREPLACE(id,""@\d+$"",""""),
   required,VALUE(REGEXEXTRACT(id,""@(\d+)$"")),
   current,XLOOKUP(
    base,
    tblPlayer[PlayerStateID],
    tblPlayer[Value],
    0
   ),
   current&gt;=required
 "&amp;" ),
  IF(
   T227=""AUTO"",
   L227=0,
   COUNTIFS(
    tblChecklist[TargetID],id,
    tblChecklist[PlayerCompleted],TRUE
   )&gt;0
  )
 )
)"),FALSE)</f>
        <v>0</v>
      </c>
      <c r="E227" s="26" t="str">
        <f t="array" ref="E227">_xlfn.XLOOKUP(
 A227,
 tblTargets[TargetID],
 tblTargets[TargetType],
 ""
)</f>
        <v>COLLECTION</v>
      </c>
      <c r="F227" s="26" t="str">
        <f t="array" ref="F227">_xlfn.XLOOKUP(
 A227,
 tblTargets[TargetID],
 tblTargets[StateType],
 ""
)</f>
        <v/>
      </c>
      <c r="G227" s="26">
        <f>LET(
 id,A227,
 depCount,COUNTIF(tblDependencies[TargetID],id),
 objCount,COUNTIF(tblQuestObjectives[QuestTargetID],id),
 depCount+objCount
)</f>
        <v>1</v>
      </c>
      <c r="H227" s="26">
        <f t="shared" si="2"/>
        <v>1</v>
      </c>
      <c r="I227" s="26">
        <f>IFERROR(__xludf.DUMMYFUNCTION("LET(
 id,A227,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7" s="26">
        <f t="shared" si="3"/>
        <v>0</v>
      </c>
      <c r="K227" s="26" t="b">
        <f t="shared" si="4"/>
        <v>0</v>
      </c>
      <c r="L227" s="26">
        <f t="shared" si="5"/>
        <v>1</v>
      </c>
      <c r="M227" s="26" t="str">
        <f>IFERROR(__xludf.DUMMYFUNCTION("LET(
 id,A227,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L227=0,
  """",
  IFERROR(INDEX(incomplete,1),"""")"&amp;"
 )
)"),"collection.treasury_1@2")</f>
        <v>collection.treasury_1@2</v>
      </c>
      <c r="N227" s="26" t="str">
        <f t="array" ref="N227">IF(
 M227="",
 "",
 _xlfn.XLOOKUP(
  M227,
  tblTargets[TargetID],
  tblTargets[DisplayName],
  M227
 )
)</f>
        <v>Treasury 1 Lv 2</v>
      </c>
      <c r="O227" s="26" t="str">
        <f>IFERROR(__xludf.DUMMYFUNCTION("SWITCH(
 E227,
 ""BUILDING"",XLOOKUP(A227,tblBuildings[BuildingID],tblBuildings[costtext],""""),
 ""TECH"",XLOOKUP(A227,tblTechnologies[TechnologyID],tblTechnologies[costtext],""""),
 ""QUEST"",XLOOKUP(
  REGEXREPLACE(A227,""\.[^.]+$"",""""),
  tblQuests["&amp;"QuestID],
  tblQuests[Costtext],
  """"
 ),
 ""CITADEL"",XLOOKUP(A227,tblCitadel[CitadelID],tblCitadel[costtext],""""),
 ""COLLECTION"",XLOOKUP(A227,tblCollections[CollectionID],tblCollections[costtext],""""),
 ""CRAFTIFACT"",XLOOKUP(A227,tblCraftifacts[C"&amp;"raftifactID],tblCraftifacts[costtext],""""),
 """"
)"),"3000 coin,3000 coin.2,750 crypto,750 dinar,30 ingot,15 pearl,15 ruby,30 treasure")</f>
        <v>3000 coin,3000 coin.2,750 crypto,750 dinar,30 ingot,15 pearl,15 ruby,30 treasure</v>
      </c>
      <c r="P227" s="26" t="str">
        <f t="shared" si="6"/>
        <v>BLOCKED</v>
      </c>
      <c r="Q227" s="26" t="str">
        <f t="shared" si="7"/>
        <v>BLOCKED</v>
      </c>
      <c r="R227" s="26" t="str">
        <f t="array" ref="R227">IFERROR(
 _xlfn.XLOOKUP(
  A227,
  tblChecklist[TargetID],
  tblChecklist[PlayerSort],
  ""
 ),
 ""
)</f>
        <v/>
      </c>
      <c r="S227" s="26" t="str">
        <f>IFERROR(__xludf.DUMMYFUNCTION("LET(
 id,A227,
 successorIDs,
  IFERROR(
   UNIQUE(
    FILTER(
     {
      Dependencies!$A$2:$A$1000;
      QuestObjectives!$A$2:$A$1000
     },
     {
      Dependencies!$B$2:$B$1000;
      QuestObjectives!$E$2:$E$1000
     }=id
    )
   ),
   """"
  )"&amp;",
 names,
  MAP(
   successorIDs,
   LAMBDA(s,
    IF(
     s="""",
     """",
     XLOOKUP(
      s,
      $A$2:$A$1000,
      $B$2:$B$1000,
      s
     )
    )
   )
  ),
 IF(
  successorIDs="""",
  """",
  TEXTJOIN("", "",TRUE,names)
 )
)"),"Treasury 1 Lv 4")</f>
        <v>Treasury 1 Lv 4</v>
      </c>
      <c r="T227" s="26" t="str">
        <f t="array" ref="T227">_xlfn.XLOOKUP(
 A227,
 tblTargets[TargetID],
 tblTargets[CompletionMethod],
 ""
)</f>
        <v>PLAYER</v>
      </c>
      <c r="U227" s="84" t="b">
        <f>COUNTIF(tblCost[TargetID],A227)&gt;0</f>
        <v>1</v>
      </c>
      <c r="V227" s="85">
        <f t="array" ref="V227">IF(
 U227=FALSE,
 "",
 _xlfn.XLOOKUP(
  A227,
  tblCost[TargetID],
  tblCost[FundingPercent],
  ""
 )
)</f>
        <v>0</v>
      </c>
      <c r="W227" s="26">
        <f t="array" ref="W227">IF(
 U227=FALSE,
 "",
 _xlfn.XLOOKUP(
  A227,
  tblCost[TargetID],
  tblCost[RemainingRequirements],
  ""
 )
)</f>
        <v>8</v>
      </c>
      <c r="X227" s="45" t="b">
        <f t="array" ref="X227">IF(
 U227=FALSE,
 "N/A",
 _xlfn.XLOOKUP(
  A228,
  tblCost[TargetID],
  tblCost[TargetFunded],
  FALSE
 )
)</f>
        <v>0</v>
      </c>
      <c r="Y227" s="26" t="str">
        <f>IFERROR(__xludf.DUMMYFUNCTION("IFERROR(
 TEXTJOIN(
  "", "",
  TRUE,
  FILTER(
   'cost checklist'!$E$2:$E1000&amp;"": ""&amp;'cost checklist'!$G$2:$G1000,
   'cost checklist'!$B$2:$B1000=A227,
   'cost checklist'!$J$2:$J1000=FALSE
  )
 ),
 """"
)"),"coin: 3000, coin: 3000, crypto: 750, dinar: 750, ingot: 30, pearl: 15, ruby: 15, treasure: 30")</f>
        <v>coin: 3000, coin: 3000, crypto: 750, dinar: 750, ingot: 30, pearl: 15, ruby: 15, treasure: 30</v>
      </c>
      <c r="Z227" s="26" t="b">
        <f>IFERROR(__xludf.DUMMYFUNCTION("IF(
 AND(
  E227=""QUEST"",
  RIGHT(A227,9)="".accepted"",
  D227=TRUE
 ),
 XLOOKUP(
  REGEXREPLACE(A227,""\.accepted$"","""")&amp;"".finished"",
  $A$2:$A1000,
  $D$2:$D1000,
  TRUE
 )=FALSE,
 FALSE
)"),FALSE)</f>
        <v>0</v>
      </c>
      <c r="AA227" s="26" t="str">
        <f>IFERROR(__xludf.DUMMYFUNCTION("LET(
 id,A227,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8" ht="14.25" customHeight="1">
      <c r="A228" s="26" t="s">
        <v>811</v>
      </c>
      <c r="B228" s="26" t="str">
        <f t="array" ref="B228">_xlfn.XLOOKUP(
 A228,
 tblTargets[TargetID],
 tblTargets[DisplayName],
 ""
)</f>
        <v>Treasury 1 Lv 4</v>
      </c>
      <c r="C228" s="26" t="str">
        <f t="shared" si="1"/>
        <v>BLOCKED</v>
      </c>
      <c r="D228" s="26" t="b">
        <f>IFERROR(__xludf.DUMMYFUNCTION("LET(
 id,A228,
 IF(
  F228=""CHARACTER"",
  LET(
   base,REGEXREPLACE(id,""@\d+$"",""""),
   required,VALUE(REGEXEXTRACT(id,""@(\d+)$"")),
   current,XLOOKUP(
    base,
    tblPlayer[PlayerStateID],
    tblPlayer[Value],
    0
   ),
   current&gt;=required
 "&amp;" ),
  IF(
   T228=""AUTO"",
   L228=0,
   COUNTIFS(
    tblChecklist[TargetID],id,
    tblChecklist[PlayerCompleted],TRUE
   )&gt;0
  )
 )
)"),FALSE)</f>
        <v>0</v>
      </c>
      <c r="E228" s="26" t="str">
        <f t="array" ref="E228">_xlfn.XLOOKUP(
 A228,
 tblTargets[TargetID],
 tblTargets[TargetType],
 ""
)</f>
        <v>COLLECTION</v>
      </c>
      <c r="F228" s="26" t="str">
        <f t="array" ref="F228">_xlfn.XLOOKUP(
 A228,
 tblTargets[TargetID],
 tblTargets[StateType],
 ""
)</f>
        <v/>
      </c>
      <c r="G228" s="26">
        <f>LET(
 id,A228,
 depCount,COUNTIF(tblDependencies[TargetID],id),
 objCount,COUNTIF(tblQuestObjectives[QuestTargetID],id),
 depCount+objCount
)</f>
        <v>1</v>
      </c>
      <c r="H228" s="26">
        <f t="shared" si="2"/>
        <v>1</v>
      </c>
      <c r="I228" s="26">
        <f>IFERROR(__xludf.DUMMYFUNCTION("LET(
 id,A228,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8" s="26">
        <f t="shared" si="3"/>
        <v>0</v>
      </c>
      <c r="K228" s="26" t="b">
        <f t="shared" si="4"/>
        <v>0</v>
      </c>
      <c r="L228" s="26">
        <f t="shared" si="5"/>
        <v>1</v>
      </c>
      <c r="M228" s="26" t="str">
        <f>IFERROR(__xludf.DUMMYFUNCTION("LET(
 id,A228,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L228=0,
  """",
  IFERROR(INDEX(incomplete,1),"""")"&amp;"
 )
)"),"collection.treasury_1@3")</f>
        <v>collection.treasury_1@3</v>
      </c>
      <c r="N228" s="26" t="str">
        <f t="array" ref="N228">IF(
 M228="",
 "",
 _xlfn.XLOOKUP(
  M228,
  tblTargets[TargetID],
  tblTargets[DisplayName],
  M228
 )
)</f>
        <v>Treasury 1 Lv 3</v>
      </c>
      <c r="O228" s="26" t="str">
        <f>IFERROR(__xludf.DUMMYFUNCTION("SWITCH(
 E228,
 ""BUILDING"",XLOOKUP(A228,tblBuildings[BuildingID],tblBuildings[costtext],""""),
 ""TECH"",XLOOKUP(A228,tblTechnologies[TechnologyID],tblTechnologies[costtext],""""),
 ""QUEST"",XLOOKUP(
  REGEXREPLACE(A228,""\.[^.]+$"",""""),
  tblQuests["&amp;"QuestID],
  tblQuests[Costtext],
  """"
 ),
 ""CITADEL"",XLOOKUP(A228,tblCitadel[CitadelID],tblCitadel[costtext],""""),
 ""COLLECTION"",XLOOKUP(A228,tblCollections[CollectionID],tblCollections[costtext],""""),
 ""CRAFTIFACT"",XLOOKUP(A228,tblCraftifacts[C"&amp;"raftifactID],tblCraftifacts[costtext],""""),
 """"
)"),"4000 coin,4000 coin.2,1000 crypto,1000 dinar,40 ingot,20 pearl,20 ruby,40 treasure")</f>
        <v>4000 coin,4000 coin.2,1000 crypto,1000 dinar,40 ingot,20 pearl,20 ruby,40 treasure</v>
      </c>
      <c r="P228" s="26" t="str">
        <f t="shared" si="6"/>
        <v>BLOCKED</v>
      </c>
      <c r="Q228" s="26" t="str">
        <f t="shared" si="7"/>
        <v>BLOCKED</v>
      </c>
      <c r="R228" s="26" t="str">
        <f t="array" ref="R228">IFERROR(
 _xlfn.XLOOKUP(
  A228,
  tblChecklist[TargetID],
  tblChecklist[PlayerSort],
  ""
 ),
 ""
)</f>
        <v/>
      </c>
      <c r="S228" s="26" t="str">
        <f>IFERROR(__xludf.DUMMYFUNCTION("LET(
 id,A228,
 successorIDs,
  IFERROR(
   UNIQUE(
    FILTER(
     {
      Dependencies!$A$2:$A$1000;
      QuestObjectives!$A$2:$A$1000
     },
     {
      Dependencies!$B$2:$B$1000;
      QuestObjectives!$E$2:$E$1000
     }=id
    )
   ),
   """"
  )"&amp;",
 names,
  MAP(
   successorIDs,
   LAMBDA(s,
    IF(
     s="""",
     """",
     XLOOKUP(
      s,
      $A$2:$A$1000,
      $B$2:$B$1000,
      s
     )
    )
   )
  ),
 IF(
  successorIDs="""",
  """",
  TEXTJOIN("", "",TRUE,names)
 )
)"),"Treasury 1 Lv 5")</f>
        <v>Treasury 1 Lv 5</v>
      </c>
      <c r="T228" s="26" t="str">
        <f t="array" ref="T228">_xlfn.XLOOKUP(
 A228,
 tblTargets[TargetID],
 tblTargets[CompletionMethod],
 ""
)</f>
        <v>PLAYER</v>
      </c>
      <c r="U228" s="84" t="b">
        <f>COUNTIF(tblCost[TargetID],A228)&gt;0</f>
        <v>1</v>
      </c>
      <c r="V228" s="85">
        <f t="array" ref="V228">IF(
 U228=FALSE,
 "",
 _xlfn.XLOOKUP(
  A228,
  tblCost[TargetID],
  tblCost[FundingPercent],
  ""
 )
)</f>
        <v>0</v>
      </c>
      <c r="W228" s="26">
        <f t="array" ref="W228">IF(
 U228=FALSE,
 "",
 _xlfn.XLOOKUP(
  A228,
  tblCost[TargetID],
  tblCost[RemainingRequirements],
  ""
 )
)</f>
        <v>8</v>
      </c>
      <c r="X228" s="45" t="b">
        <f t="array" ref="X228">IF(
 U228=FALSE,
 "N/A",
 _xlfn.XLOOKUP(
  A229,
  tblCost[TargetID],
  tblCost[TargetFunded],
  FALSE
 )
)</f>
        <v>0</v>
      </c>
      <c r="Y228" s="26" t="str">
        <f>IFERROR(__xludf.DUMMYFUNCTION("IFERROR(
 TEXTJOIN(
  "", "",
  TRUE,
  FILTER(
   'cost checklist'!$E$2:$E1000&amp;"": ""&amp;'cost checklist'!$G$2:$G1000,
   'cost checklist'!$B$2:$B1000=A228,
   'cost checklist'!$J$2:$J1000=FALSE
  )
 ),
 """"
)"),"coin: 4000, coin: 4000, crypto: 1000, dinar: 1000, ingot: 40, pearl: 20, ruby: 20, treasure: 40")</f>
        <v>coin: 4000, coin: 4000, crypto: 1000, dinar: 1000, ingot: 40, pearl: 20, ruby: 20, treasure: 40</v>
      </c>
      <c r="Z228" s="26" t="b">
        <f>IFERROR(__xludf.DUMMYFUNCTION("IF(
 AND(
  E228=""QUEST"",
  RIGHT(A228,9)="".accepted"",
  D228=TRUE
 ),
 XLOOKUP(
  REGEXREPLACE(A228,""\.accepted$"","""")&amp;"".finished"",
  $A$2:$A1000,
  $D$2:$D1000,
  TRUE
 )=FALSE,
 FALSE
)"),FALSE)</f>
        <v>0</v>
      </c>
      <c r="AA228" s="26" t="str">
        <f>IFERROR(__xludf.DUMMYFUNCTION("LET(
 id,A228,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29" ht="14.25" customHeight="1">
      <c r="A229" s="26" t="s">
        <v>815</v>
      </c>
      <c r="B229" s="26" t="str">
        <f t="array" ref="B229">_xlfn.XLOOKUP(
 A229,
 tblTargets[TargetID],
 tblTargets[DisplayName],
 ""
)</f>
        <v>Treasury 1 Lv 5</v>
      </c>
      <c r="C229" s="26" t="str">
        <f t="shared" si="1"/>
        <v>BLOCKED</v>
      </c>
      <c r="D229" s="26" t="b">
        <f>IFERROR(__xludf.DUMMYFUNCTION("LET(
 id,A229,
 IF(
  F229=""CHARACTER"",
  LET(
   base,REGEXREPLACE(id,""@\d+$"",""""),
   required,VALUE(REGEXEXTRACT(id,""@(\d+)$"")),
   current,XLOOKUP(
    base,
    tblPlayer[PlayerStateID],
    tblPlayer[Value],
    0
   ),
   current&gt;=required
 "&amp;" ),
  IF(
   T229=""AUTO"",
   L229=0,
   COUNTIFS(
    tblChecklist[TargetID],id,
    tblChecklist[PlayerCompleted],TRUE
   )&gt;0
  )
 )
)"),FALSE)</f>
        <v>0</v>
      </c>
      <c r="E229" s="26" t="str">
        <f t="array" ref="E229">_xlfn.XLOOKUP(
 A229,
 tblTargets[TargetID],
 tblTargets[TargetType],
 ""
)</f>
        <v>COLLECTION</v>
      </c>
      <c r="F229" s="26" t="str">
        <f t="array" ref="F229">_xlfn.XLOOKUP(
 A229,
 tblTargets[TargetID],
 tblTargets[StateType],
 ""
)</f>
        <v/>
      </c>
      <c r="G229" s="26">
        <f>LET(
 id,A229,
 depCount,COUNTIF(tblDependencies[TargetID],id),
 objCount,COUNTIF(tblQuestObjectives[QuestTargetID],id),
 depCount+objCount
)</f>
        <v>1</v>
      </c>
      <c r="H229" s="26">
        <f t="shared" si="2"/>
        <v>1</v>
      </c>
      <c r="I229" s="26">
        <f>IFERROR(__xludf.DUMMYFUNCTION("LET(
 id,A229,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29" s="26">
        <f t="shared" si="3"/>
        <v>0</v>
      </c>
      <c r="K229" s="26" t="b">
        <f t="shared" si="4"/>
        <v>0</v>
      </c>
      <c r="L229" s="26">
        <f t="shared" si="5"/>
        <v>1</v>
      </c>
      <c r="M229" s="26" t="str">
        <f>IFERROR(__xludf.DUMMYFUNCTION("LET(
 id,A229,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L229=0,
  """",
  IFERROR(INDEX(incomplete,1),"""")"&amp;"
 )
)"),"collection.treasury_1@4")</f>
        <v>collection.treasury_1@4</v>
      </c>
      <c r="N229" s="26" t="str">
        <f t="array" ref="N229">IF(
 M229="",
 "",
 _xlfn.XLOOKUP(
  M229,
  tblTargets[TargetID],
  tblTargets[DisplayName],
  M229
 )
)</f>
        <v>Treasury 1 Lv 4</v>
      </c>
      <c r="O229" s="26" t="str">
        <f>IFERROR(__xludf.DUMMYFUNCTION("SWITCH(
 E229,
 ""BUILDING"",XLOOKUP(A229,tblBuildings[BuildingID],tblBuildings[costtext],""""),
 ""TECH"",XLOOKUP(A229,tblTechnologies[TechnologyID],tblTechnologies[costtext],""""),
 ""QUEST"",XLOOKUP(
  REGEXREPLACE(A229,""\.[^.]+$"",""""),
  tblQuests["&amp;"QuestID],
  tblQuests[Costtext],
  """"
 ),
 ""CITADEL"",XLOOKUP(A229,tblCitadel[CitadelID],tblCitadel[costtext],""""),
 ""COLLECTION"",XLOOKUP(A229,tblCollections[CollectionID],tblCollections[costtext],""""),
 ""CRAFTIFACT"",XLOOKUP(A229,tblCraftifacts[C"&amp;"raftifactID],tblCraftifacts[costtext],""""),
 """"
)"),"5000 coin,5000 coin.2,1250 crypto,1250 dinar,50 ingot,25 pearl,25 ruby,50 treasure")</f>
        <v>5000 coin,5000 coin.2,1250 crypto,1250 dinar,50 ingot,25 pearl,25 ruby,50 treasure</v>
      </c>
      <c r="P229" s="26" t="str">
        <f t="shared" si="6"/>
        <v>BLOCKED</v>
      </c>
      <c r="Q229" s="26" t="str">
        <f t="shared" si="7"/>
        <v>BLOCKED</v>
      </c>
      <c r="R229" s="26" t="str">
        <f t="array" ref="R229">IFERROR(
 _xlfn.XLOOKUP(
  A229,
  tblChecklist[TargetID],
  tblChecklist[PlayerSort],
  ""
 ),
 ""
)</f>
        <v/>
      </c>
      <c r="S229" s="26" t="str">
        <f>IFERROR(__xludf.DUMMYFUNCTION("LET(
 id,A229,
 successorIDs,
  IFERROR(
   UNIQUE(
    FILTER(
     {
      Dependencies!$A$2:$A$1000;
      QuestObjectives!$A$2:$A$1000
     },
     {
      Dependencies!$B$2:$B$1000;
      QuestObjectives!$E$2:$E$1000
     }=id
    )
   ),
   """"
  )"&amp;",
 names,
  MAP(
   successorIDs,
   LAMBDA(s,
    IF(
     s="""",
     """",
     XLOOKUP(
      s,
      $A$2:$A$1000,
      $B$2:$B$1000,
      s
     )
    )
   )
  ),
 IF(
  successorIDs="""",
  """",
  TEXTJOIN("", "",TRUE,names)
 )
)"),"")</f>
        <v/>
      </c>
      <c r="T229" s="26" t="str">
        <f t="array" ref="T229">_xlfn.XLOOKUP(
 A229,
 tblTargets[TargetID],
 tblTargets[CompletionMethod],
 ""
)</f>
        <v>PLAYER</v>
      </c>
      <c r="U229" s="84" t="b">
        <f>COUNTIF(tblCost[TargetID],A229)&gt;0</f>
        <v>1</v>
      </c>
      <c r="V229" s="85">
        <f t="array" ref="V229">IF(
 U229=FALSE,
 "",
 _xlfn.XLOOKUP(
  A229,
  tblCost[TargetID],
  tblCost[FundingPercent],
  ""
 )
)</f>
        <v>0</v>
      </c>
      <c r="W229" s="26">
        <f t="array" ref="W229">IF(
 U229=FALSE,
 "",
 _xlfn.XLOOKUP(
  A229,
  tblCost[TargetID],
  tblCost[RemainingRequirements],
  ""
 )
)</f>
        <v>8</v>
      </c>
      <c r="X229" s="45" t="b">
        <f t="array" ref="X229">IF(
 U229=FALSE,
 "N/A",
 _xlfn.XLOOKUP(
  A230,
  tblCost[TargetID],
  tblCost[TargetFunded],
  FALSE
 )
)</f>
        <v>0</v>
      </c>
      <c r="Y229" s="26" t="str">
        <f>IFERROR(__xludf.DUMMYFUNCTION("IFERROR(
 TEXTJOIN(
  "", "",
  TRUE,
  FILTER(
   'cost checklist'!$E$2:$E1000&amp;"": ""&amp;'cost checklist'!$G$2:$G1000,
   'cost checklist'!$B$2:$B1000=A229,
   'cost checklist'!$J$2:$J1000=FALSE
  )
 ),
 """"
)"),"coin: 5000, coin: 5000, crypto: 1250, dinar: 1250, ingot: 50, pearl: 25, ruby: 25, treasure: 50")</f>
        <v>coin: 5000, coin: 5000, crypto: 1250, dinar: 1250, ingot: 50, pearl: 25, ruby: 25, treasure: 50</v>
      </c>
      <c r="Z229" s="26" t="b">
        <f>IFERROR(__xludf.DUMMYFUNCTION("IF(
 AND(
  E229=""QUEST"",
  RIGHT(A229,9)="".accepted"",
  D229=TRUE
 ),
 XLOOKUP(
  REGEXREPLACE(A229,""\.accepted$"","""")&amp;"".finished"",
  $A$2:$A1000,
  $D$2:$D1000,
  TRUE
 )=FALSE,
 FALSE
)"),FALSE)</f>
        <v>0</v>
      </c>
      <c r="AA229" s="26" t="str">
        <f>IFERROR(__xludf.DUMMYFUNCTION("LET(
 id,A229,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0" ht="14.25" customHeight="1">
      <c r="A230" s="26" t="s">
        <v>818</v>
      </c>
      <c r="B230" s="26" t="str">
        <f t="array" ref="B230">_xlfn.XLOOKUP(
 A230,
 tblTargets[TargetID],
 tblTargets[DisplayName],
 ""
)</f>
        <v>Treasury 2 Lv 1</v>
      </c>
      <c r="C230" s="26" t="str">
        <f t="shared" si="1"/>
        <v>BLOCKED</v>
      </c>
      <c r="D230" s="26" t="b">
        <f>IFERROR(__xludf.DUMMYFUNCTION("LET(
 id,A230,
 IF(
  F230=""CHARACTER"",
  LET(
   base,REGEXREPLACE(id,""@\d+$"",""""),
   required,VALUE(REGEXEXTRACT(id,""@(\d+)$"")),
   current,XLOOKUP(
    base,
    tblPlayer[PlayerStateID],
    tblPlayer[Value],
    0
   ),
   current&gt;=required
 "&amp;" ),
  IF(
   T230=""AUTO"",
   L230=0,
   COUNTIFS(
    tblChecklist[TargetID],id,
    tblChecklist[PlayerCompleted],TRUE
   )&gt;0
  )
 )
)"),FALSE)</f>
        <v>0</v>
      </c>
      <c r="E230" s="26" t="str">
        <f t="array" ref="E230">_xlfn.XLOOKUP(
 A230,
 tblTargets[TargetID],
 tblTargets[TargetType],
 ""
)</f>
        <v>COLLECTION</v>
      </c>
      <c r="F230" s="26" t="str">
        <f t="array" ref="F230">_xlfn.XLOOKUP(
 A230,
 tblTargets[TargetID],
 tblTargets[StateType],
 ""
)</f>
        <v/>
      </c>
      <c r="G230" s="26">
        <f>LET(
 id,A230,
 depCount,COUNTIF(tblDependencies[TargetID],id),
 objCount,COUNTIF(tblQuestObjectives[QuestTargetID],id),
 depCount+objCount
)</f>
        <v>1</v>
      </c>
      <c r="H230" s="26">
        <f t="shared" si="2"/>
        <v>1</v>
      </c>
      <c r="I230" s="26">
        <f>IFERROR(__xludf.DUMMYFUNCTION("LET(
 id,A230,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0" s="26">
        <f t="shared" si="3"/>
        <v>0</v>
      </c>
      <c r="K230" s="26" t="b">
        <f t="shared" si="4"/>
        <v>0</v>
      </c>
      <c r="L230" s="26">
        <f t="shared" si="5"/>
        <v>1</v>
      </c>
      <c r="M230" s="26" t="str">
        <f>IFERROR(__xludf.DUMMYFUNCTION("LET(
 id,A230,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L230=0,
  """",
  IFERROR(INDEX(incomplete,1),"""")"&amp;"
 )
)"),"citadel.treasury")</f>
        <v>citadel.treasury</v>
      </c>
      <c r="N230" s="26" t="str">
        <f t="array" ref="N230">IF(
 M230="",
 "",
 _xlfn.XLOOKUP(
  M230,
  tblTargets[TargetID],
  tblTargets[DisplayName],
  M230
 )
)</f>
        <v>Treasury</v>
      </c>
      <c r="O230" s="26" t="str">
        <f>IFERROR(__xludf.DUMMYFUNCTION("SWITCH(
 E230,
 ""BUILDING"",XLOOKUP(A230,tblBuildings[BuildingID],tblBuildings[costtext],""""),
 ""TECH"",XLOOKUP(A230,tblTechnologies[TechnologyID],tblTechnologies[costtext],""""),
 ""QUEST"",XLOOKUP(
  REGEXREPLACE(A230,""\.[^.]+$"",""""),
  tblQuests["&amp;"QuestID],
  tblQuests[Costtext],
  """"
 ),
 ""CITADEL"",XLOOKUP(A230,tblCitadel[CitadelID],tblCitadel[costtext],""""),
 ""COLLECTION"",XLOOKUP(A230,tblCollections[CollectionID],tblCollections[costtext],""""),
 ""CRAFTIFACT"",XLOOKUP(A230,tblCraftifacts[C"&amp;"raftifactID],tblCraftifacts[costtext],""""),
 """"
)"),"3 ring1,3 ring2,3 ring3,3 ring4,3 ring4p")</f>
        <v>3 ring1,3 ring2,3 ring3,3 ring4,3 ring4p</v>
      </c>
      <c r="P230" s="26" t="str">
        <f t="shared" si="6"/>
        <v>BLOCKED</v>
      </c>
      <c r="Q230" s="26" t="str">
        <f t="shared" si="7"/>
        <v>BLOCKED</v>
      </c>
      <c r="R230" s="26" t="str">
        <f t="array" ref="R230">IFERROR(
 _xlfn.XLOOKUP(
  A230,
  tblChecklist[TargetID],
  tblChecklist[PlayerSort],
  ""
 ),
 ""
)</f>
        <v/>
      </c>
      <c r="S230" s="26" t="str">
        <f>IFERROR(__xludf.DUMMYFUNCTION("LET(
 id,A230,
 successorIDs,
  IFERROR(
   UNIQUE(
    FILTER(
     {
      Dependencies!$A$2:$A$1000;
      QuestObjectives!$A$2:$A$1000
     },
     {
      Dependencies!$B$2:$B$1000;
      QuestObjectives!$E$2:$E$1000
     }=id
    )
   ),
   """"
  )"&amp;",
 names,
  MAP(
   successorIDs,
   LAMBDA(s,
    IF(
     s="""",
     """",
     XLOOKUP(
      s,
      $A$2:$A$1000,
      $B$2:$B$1000,
      s
     )
    )
   )
  ),
 IF(
  successorIDs="""",
  """",
  TEXTJOIN("", "",TRUE,names)
 )
)"),"Treasury 2 Lv 2")</f>
        <v>Treasury 2 Lv 2</v>
      </c>
      <c r="T230" s="26" t="str">
        <f t="array" ref="T230">_xlfn.XLOOKUP(
 A230,
 tblTargets[TargetID],
 tblTargets[CompletionMethod],
 ""
)</f>
        <v>PLAYER</v>
      </c>
      <c r="U230" s="84" t="b">
        <f>COUNTIF(tblCost[TargetID],A230)&gt;0</f>
        <v>1</v>
      </c>
      <c r="V230" s="85">
        <f t="array" ref="V230">IF(
 U230=FALSE,
 "",
 _xlfn.XLOOKUP(
  A230,
  tblCost[TargetID],
  tblCost[FundingPercent],
  ""
 )
)</f>
        <v>0</v>
      </c>
      <c r="W230" s="26">
        <f t="array" ref="W230">IF(
 U230=FALSE,
 "",
 _xlfn.XLOOKUP(
  A230,
  tblCost[TargetID],
  tblCost[RemainingRequirements],
  ""
 )
)</f>
        <v>5</v>
      </c>
      <c r="X230" s="45" t="b">
        <f t="array" ref="X230">IF(
 U230=FALSE,
 "N/A",
 _xlfn.XLOOKUP(
  A231,
  tblCost[TargetID],
  tblCost[TargetFunded],
  FALSE
 )
)</f>
        <v>0</v>
      </c>
      <c r="Y230" s="26" t="str">
        <f>IFERROR(__xludf.DUMMYFUNCTION("IFERROR(
 TEXTJOIN(
  "", "",
  TRUE,
  FILTER(
   'cost checklist'!$E$2:$E1000&amp;"": ""&amp;'cost checklist'!$G$2:$G1000,
   'cost checklist'!$B$2:$B1000=A230,
   'cost checklist'!$J$2:$J1000=FALSE
  )
 ),
 """"
)"),"ring1: 3, ring2: 3, ring3: 3, ring4: 3, ring4p: 3")</f>
        <v>ring1: 3, ring2: 3, ring3: 3, ring4: 3, ring4p: 3</v>
      </c>
      <c r="Z230" s="26" t="b">
        <f>IFERROR(__xludf.DUMMYFUNCTION("IF(
 AND(
  E230=""QUEST"",
  RIGHT(A230,9)="".accepted"",
  D230=TRUE
 ),
 XLOOKUP(
  REGEXREPLACE(A230,""\.accepted$"","""")&amp;"".finished"",
  $A$2:$A1000,
  $D$2:$D1000,
  TRUE
 )=FALSE,
 FALSE
)"),FALSE)</f>
        <v>0</v>
      </c>
      <c r="AA230" s="26" t="str">
        <f>IFERROR(__xludf.DUMMYFUNCTION("LET(
 id,A230,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1" ht="14.25" customHeight="1">
      <c r="A231" s="26" t="s">
        <v>822</v>
      </c>
      <c r="B231" s="26" t="str">
        <f t="array" ref="B231">_xlfn.XLOOKUP(
 A231,
 tblTargets[TargetID],
 tblTargets[DisplayName],
 ""
)</f>
        <v>Treasury 2 Lv 2</v>
      </c>
      <c r="C231" s="26" t="str">
        <f t="shared" si="1"/>
        <v>BLOCKED</v>
      </c>
      <c r="D231" s="26" t="b">
        <f>IFERROR(__xludf.DUMMYFUNCTION("LET(
 id,A231,
 IF(
  F231=""CHARACTER"",
  LET(
   base,REGEXREPLACE(id,""@\d+$"",""""),
   required,VALUE(REGEXEXTRACT(id,""@(\d+)$"")),
   current,XLOOKUP(
    base,
    tblPlayer[PlayerStateID],
    tblPlayer[Value],
    0
   ),
   current&gt;=required
 "&amp;" ),
  IF(
   T231=""AUTO"",
   L231=0,
   COUNTIFS(
    tblChecklist[TargetID],id,
    tblChecklist[PlayerCompleted],TRUE
   )&gt;0
  )
 )
)"),FALSE)</f>
        <v>0</v>
      </c>
      <c r="E231" s="26" t="str">
        <f t="array" ref="E231">_xlfn.XLOOKUP(
 A231,
 tblTargets[TargetID],
 tblTargets[TargetType],
 ""
)</f>
        <v>COLLECTION</v>
      </c>
      <c r="F231" s="26" t="str">
        <f t="array" ref="F231">_xlfn.XLOOKUP(
 A231,
 tblTargets[TargetID],
 tblTargets[StateType],
 ""
)</f>
        <v/>
      </c>
      <c r="G231" s="26">
        <f>LET(
 id,A231,
 depCount,COUNTIF(tblDependencies[TargetID],id),
 objCount,COUNTIF(tblQuestObjectives[QuestTargetID],id),
 depCount+objCount
)</f>
        <v>1</v>
      </c>
      <c r="H231" s="26">
        <f t="shared" si="2"/>
        <v>1</v>
      </c>
      <c r="I231" s="26">
        <f>IFERROR(__xludf.DUMMYFUNCTION("LET(
 id,A231,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1" s="26">
        <f t="shared" si="3"/>
        <v>0</v>
      </c>
      <c r="K231" s="26" t="b">
        <f t="shared" si="4"/>
        <v>0</v>
      </c>
      <c r="L231" s="26">
        <f t="shared" si="5"/>
        <v>1</v>
      </c>
      <c r="M231" s="26" t="str">
        <f>IFERROR(__xludf.DUMMYFUNCTION("LET(
 id,A231,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L231=0,
  """",
  IFERROR(INDEX(incomplete,1),"""")"&amp;"
 )
)"),"collection.treasury_2@1")</f>
        <v>collection.treasury_2@1</v>
      </c>
      <c r="N231" s="26" t="str">
        <f t="array" ref="N231">IF(
 M231="",
 "",
 _xlfn.XLOOKUP(
  M231,
  tblTargets[TargetID],
  tblTargets[DisplayName],
  M231
 )
)</f>
        <v>Treasury 2 Lv 1</v>
      </c>
      <c r="O231" s="26" t="str">
        <f>IFERROR(__xludf.DUMMYFUNCTION("SWITCH(
 E231,
 ""BUILDING"",XLOOKUP(A231,tblBuildings[BuildingID],tblBuildings[costtext],""""),
 ""TECH"",XLOOKUP(A231,tblTechnologies[TechnologyID],tblTechnologies[costtext],""""),
 ""QUEST"",XLOOKUP(
  REGEXREPLACE(A231,""\.[^.]+$"",""""),
  tblQuests["&amp;"QuestID],
  tblQuests[Costtext],
  """"
 ),
 ""CITADEL"",XLOOKUP(A231,tblCitadel[CitadelID],tblCitadel[costtext],""""),
 ""COLLECTION"",XLOOKUP(A231,tblCollections[CollectionID],tblCollections[costtext],""""),
 ""CRAFTIFACT"",XLOOKUP(A231,tblCraftifacts[C"&amp;"raftifactID],tblCraftifacts[costtext],""""),
 """"
)"),"6 ring1,6 ring2,6 ring3,6 ring4,6 ring4p")</f>
        <v>6 ring1,6 ring2,6 ring3,6 ring4,6 ring4p</v>
      </c>
      <c r="P231" s="26" t="str">
        <f t="shared" si="6"/>
        <v>BLOCKED</v>
      </c>
      <c r="Q231" s="26" t="str">
        <f t="shared" si="7"/>
        <v>BLOCKED</v>
      </c>
      <c r="R231" s="26" t="str">
        <f t="array" ref="R231">IFERROR(
 _xlfn.XLOOKUP(
  A231,
  tblChecklist[TargetID],
  tblChecklist[PlayerSort],
  ""
 ),
 ""
)</f>
        <v/>
      </c>
      <c r="S231" s="26" t="str">
        <f>IFERROR(__xludf.DUMMYFUNCTION("LET(
 id,A231,
 successorIDs,
  IFERROR(
   UNIQUE(
    FILTER(
     {
      Dependencies!$A$2:$A$1000;
      QuestObjectives!$A$2:$A$1000
     },
     {
      Dependencies!$B$2:$B$1000;
      QuestObjectives!$E$2:$E$1000
     }=id
    )
   ),
   """"
  )"&amp;",
 names,
  MAP(
   successorIDs,
   LAMBDA(s,
    IF(
     s="""",
     """",
     XLOOKUP(
      s,
      $A$2:$A$1000,
      $B$2:$B$1000,
      s
     )
    )
   )
  ),
 IF(
  successorIDs="""",
  """",
  TEXTJOIN("", "",TRUE,names)
 )
)"),"Treasury 2 Lv 3")</f>
        <v>Treasury 2 Lv 3</v>
      </c>
      <c r="T231" s="26" t="str">
        <f t="array" ref="T231">_xlfn.XLOOKUP(
 A231,
 tblTargets[TargetID],
 tblTargets[CompletionMethod],
 ""
)</f>
        <v>PLAYER</v>
      </c>
      <c r="U231" s="84" t="b">
        <f>COUNTIF(tblCost[TargetID],A231)&gt;0</f>
        <v>1</v>
      </c>
      <c r="V231" s="85">
        <f t="array" ref="V231">IF(
 U231=FALSE,
 "",
 _xlfn.XLOOKUP(
  A231,
  tblCost[TargetID],
  tblCost[FundingPercent],
  ""
 )
)</f>
        <v>0</v>
      </c>
      <c r="W231" s="26">
        <f t="array" ref="W231">IF(
 U231=FALSE,
 "",
 _xlfn.XLOOKUP(
  A231,
  tblCost[TargetID],
  tblCost[RemainingRequirements],
  ""
 )
)</f>
        <v>5</v>
      </c>
      <c r="X231" s="45" t="b">
        <f t="array" ref="X231">IF(
 U231=FALSE,
 "N/A",
 _xlfn.XLOOKUP(
  A232,
  tblCost[TargetID],
  tblCost[TargetFunded],
  FALSE
 )
)</f>
        <v>0</v>
      </c>
      <c r="Y231" s="26" t="str">
        <f>IFERROR(__xludf.DUMMYFUNCTION("IFERROR(
 TEXTJOIN(
  "", "",
  TRUE,
  FILTER(
   'cost checklist'!$E$2:$E1000&amp;"": ""&amp;'cost checklist'!$G$2:$G1000,
   'cost checklist'!$B$2:$B1000=A231,
   'cost checklist'!$J$2:$J1000=FALSE
  )
 ),
 """"
)"),"ring1: 6, ring2: 6, ring3: 6, ring4: 6, ring4p: 6")</f>
        <v>ring1: 6, ring2: 6, ring3: 6, ring4: 6, ring4p: 6</v>
      </c>
      <c r="Z231" s="26" t="b">
        <f>IFERROR(__xludf.DUMMYFUNCTION("IF(
 AND(
  E231=""QUEST"",
  RIGHT(A231,9)="".accepted"",
  D231=TRUE
 ),
 XLOOKUP(
  REGEXREPLACE(A231,""\.accepted$"","""")&amp;"".finished"",
  $A$2:$A1000,
  $D$2:$D1000,
  TRUE
 )=FALSE,
 FALSE
)"),FALSE)</f>
        <v>0</v>
      </c>
      <c r="AA231" s="26" t="str">
        <f>IFERROR(__xludf.DUMMYFUNCTION("LET(
 id,A231,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2" ht="14.25" customHeight="1">
      <c r="A232" s="26" t="s">
        <v>826</v>
      </c>
      <c r="B232" s="26" t="str">
        <f t="array" ref="B232">_xlfn.XLOOKUP(
 A232,
 tblTargets[TargetID],
 tblTargets[DisplayName],
 ""
)</f>
        <v>Treasury 2 Lv 3</v>
      </c>
      <c r="C232" s="26" t="str">
        <f t="shared" si="1"/>
        <v>BLOCKED</v>
      </c>
      <c r="D232" s="26" t="b">
        <f>IFERROR(__xludf.DUMMYFUNCTION("LET(
 id,A232,
 IF(
  F232=""CHARACTER"",
  LET(
   base,REGEXREPLACE(id,""@\d+$"",""""),
   required,VALUE(REGEXEXTRACT(id,""@(\d+)$"")),
   current,XLOOKUP(
    base,
    tblPlayer[PlayerStateID],
    tblPlayer[Value],
    0
   ),
   current&gt;=required
 "&amp;" ),
  IF(
   T232=""AUTO"",
   L232=0,
   COUNTIFS(
    tblChecklist[TargetID],id,
    tblChecklist[PlayerCompleted],TRUE
   )&gt;0
  )
 )
)"),FALSE)</f>
        <v>0</v>
      </c>
      <c r="E232" s="26" t="str">
        <f t="array" ref="E232">_xlfn.XLOOKUP(
 A232,
 tblTargets[TargetID],
 tblTargets[TargetType],
 ""
)</f>
        <v>COLLECTION</v>
      </c>
      <c r="F232" s="26" t="str">
        <f t="array" ref="F232">_xlfn.XLOOKUP(
 A232,
 tblTargets[TargetID],
 tblTargets[StateType],
 ""
)</f>
        <v/>
      </c>
      <c r="G232" s="26">
        <f>LET(
 id,A232,
 depCount,COUNTIF(tblDependencies[TargetID],id),
 objCount,COUNTIF(tblQuestObjectives[QuestTargetID],id),
 depCount+objCount
)</f>
        <v>1</v>
      </c>
      <c r="H232" s="26">
        <f t="shared" si="2"/>
        <v>1</v>
      </c>
      <c r="I232" s="26">
        <f>IFERROR(__xludf.DUMMYFUNCTION("LET(
 id,A232,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2" s="26">
        <f t="shared" si="3"/>
        <v>0</v>
      </c>
      <c r="K232" s="26" t="b">
        <f t="shared" si="4"/>
        <v>0</v>
      </c>
      <c r="L232" s="26">
        <f t="shared" si="5"/>
        <v>1</v>
      </c>
      <c r="M232" s="26" t="str">
        <f>IFERROR(__xludf.DUMMYFUNCTION("LET(
 id,A232,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L232=0,
  """",
  IFERROR(INDEX(incomplete,1),"""")"&amp;"
 )
)"),"collection.treasury_2@2")</f>
        <v>collection.treasury_2@2</v>
      </c>
      <c r="N232" s="26" t="str">
        <f t="array" ref="N232">IF(
 M232="",
 "",
 _xlfn.XLOOKUP(
  M232,
  tblTargets[TargetID],
  tblTargets[DisplayName],
  M232
 )
)</f>
        <v>Treasury 2 Lv 2</v>
      </c>
      <c r="O232" s="26" t="str">
        <f>IFERROR(__xludf.DUMMYFUNCTION("SWITCH(
 E232,
 ""BUILDING"",XLOOKUP(A232,tblBuildings[BuildingID],tblBuildings[costtext],""""),
 ""TECH"",XLOOKUP(A232,tblTechnologies[TechnologyID],tblTechnologies[costtext],""""),
 ""QUEST"",XLOOKUP(
  REGEXREPLACE(A232,""\.[^.]+$"",""""),
  tblQuests["&amp;"QuestID],
  tblQuests[Costtext],
  """"
 ),
 ""CITADEL"",XLOOKUP(A232,tblCitadel[CitadelID],tblCitadel[costtext],""""),
 ""COLLECTION"",XLOOKUP(A232,tblCollections[CollectionID],tblCollections[costtext],""""),
 ""CRAFTIFACT"",XLOOKUP(A232,tblCraftifacts[C"&amp;"raftifactID],tblCraftifacts[costtext],""""),
 """"
)"),"9 ring1,9 ring2,9 ring3,9 ring4,9 ring4p")</f>
        <v>9 ring1,9 ring2,9 ring3,9 ring4,9 ring4p</v>
      </c>
      <c r="P232" s="26" t="str">
        <f t="shared" si="6"/>
        <v>BLOCKED</v>
      </c>
      <c r="Q232" s="26" t="str">
        <f t="shared" si="7"/>
        <v>BLOCKED</v>
      </c>
      <c r="R232" s="26" t="str">
        <f t="array" ref="R232">IFERROR(
 _xlfn.XLOOKUP(
  A232,
  tblChecklist[TargetID],
  tblChecklist[PlayerSort],
  ""
 ),
 ""
)</f>
        <v/>
      </c>
      <c r="S232" s="26" t="str">
        <f>IFERROR(__xludf.DUMMYFUNCTION("LET(
 id,A232,
 successorIDs,
  IFERROR(
   UNIQUE(
    FILTER(
     {
      Dependencies!$A$2:$A$1000;
      QuestObjectives!$A$2:$A$1000
     },
     {
      Dependencies!$B$2:$B$1000;
      QuestObjectives!$E$2:$E$1000
     }=id
    )
   ),
   """"
  )"&amp;",
 names,
  MAP(
   successorIDs,
   LAMBDA(s,
    IF(
     s="""",
     """",
     XLOOKUP(
      s,
      $A$2:$A$1000,
      $B$2:$B$1000,
      s
     )
    )
   )
  ),
 IF(
  successorIDs="""",
  """",
  TEXTJOIN("", "",TRUE,names)
 )
)"),"")</f>
        <v/>
      </c>
      <c r="T232" s="26" t="str">
        <f t="array" ref="T232">_xlfn.XLOOKUP(
 A232,
 tblTargets[TargetID],
 tblTargets[CompletionMethod],
 ""
)</f>
        <v>PLAYER</v>
      </c>
      <c r="U232" s="84" t="b">
        <f>COUNTIF(tblCost[TargetID],A232)&gt;0</f>
        <v>1</v>
      </c>
      <c r="V232" s="85">
        <f t="array" ref="V232">IF(
 U232=FALSE,
 "",
 _xlfn.XLOOKUP(
  A232,
  tblCost[TargetID],
  tblCost[FundingPercent],
  ""
 )
)</f>
        <v>0</v>
      </c>
      <c r="W232" s="26">
        <f t="array" ref="W232">IF(
 U232=FALSE,
 "",
 _xlfn.XLOOKUP(
  A232,
  tblCost[TargetID],
  tblCost[RemainingRequirements],
  ""
 )
)</f>
        <v>5</v>
      </c>
      <c r="X232" s="45" t="b">
        <f t="array" ref="X232">IF(
 U232=FALSE,
 "N/A",
 _xlfn.XLOOKUP(
  A233,
  tblCost[TargetID],
  tblCost[TargetFunded],
  FALSE
 )
)</f>
        <v>0</v>
      </c>
      <c r="Y232" s="26" t="str">
        <f>IFERROR(__xludf.DUMMYFUNCTION("IFERROR(
 TEXTJOIN(
  "", "",
  TRUE,
  FILTER(
   'cost checklist'!$E$2:$E1000&amp;"": ""&amp;'cost checklist'!$G$2:$G1000,
   'cost checklist'!$B$2:$B1000=A232,
   'cost checklist'!$J$2:$J1000=FALSE
  )
 ),
 """"
)"),"ring1: 9, ring2: 9, ring3: 9, ring4: 9, ring4p: 9")</f>
        <v>ring1: 9, ring2: 9, ring3: 9, ring4: 9, ring4p: 9</v>
      </c>
      <c r="Z232" s="26" t="b">
        <f>IFERROR(__xludf.DUMMYFUNCTION("IF(
 AND(
  E232=""QUEST"",
  RIGHT(A232,9)="".accepted"",
  D232=TRUE
 ),
 XLOOKUP(
  REGEXREPLACE(A232,""\.accepted$"","""")&amp;"".finished"",
  $A$2:$A1000,
  $D$2:$D1000,
  TRUE
 )=FALSE,
 FALSE
)"),FALSE)</f>
        <v>0</v>
      </c>
      <c r="AA232" s="26" t="str">
        <f>IFERROR(__xludf.DUMMYFUNCTION("LET(
 id,A232,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3" ht="14.25" customHeight="1">
      <c r="A233" s="26" t="s">
        <v>829</v>
      </c>
      <c r="B233" s="26" t="str">
        <f t="array" ref="B233">_xlfn.XLOOKUP(
 A233,
 tblTargets[TargetID],
 tblTargets[DisplayName],
 ""
)</f>
        <v>Treasury 3 Lv 1</v>
      </c>
      <c r="C233" s="26" t="str">
        <f t="shared" si="1"/>
        <v>BLOCKED</v>
      </c>
      <c r="D233" s="26" t="b">
        <f>IFERROR(__xludf.DUMMYFUNCTION("LET(
 id,A233,
 IF(
  F233=""CHARACTER"",
  LET(
   base,REGEXREPLACE(id,""@\d+$"",""""),
   required,VALUE(REGEXEXTRACT(id,""@(\d+)$"")),
   current,XLOOKUP(
    base,
    tblPlayer[PlayerStateID],
    tblPlayer[Value],
    0
   ),
   current&gt;=required
 "&amp;" ),
  IF(
   T233=""AUTO"",
   L233=0,
   COUNTIFS(
    tblChecklist[TargetID],id,
    tblChecklist[PlayerCompleted],TRUE
   )&gt;0
  )
 )
)"),FALSE)</f>
        <v>0</v>
      </c>
      <c r="E233" s="26" t="str">
        <f t="array" ref="E233">_xlfn.XLOOKUP(
 A233,
 tblTargets[TargetID],
 tblTargets[TargetType],
 ""
)</f>
        <v>COLLECTION</v>
      </c>
      <c r="F233" s="26" t="str">
        <f t="array" ref="F233">_xlfn.XLOOKUP(
 A233,
 tblTargets[TargetID],
 tblTargets[StateType],
 ""
)</f>
        <v/>
      </c>
      <c r="G233" s="26">
        <f>LET(
 id,A233,
 depCount,COUNTIF(tblDependencies[TargetID],id),
 objCount,COUNTIF(tblQuestObjectives[QuestTargetID],id),
 depCount+objCount
)</f>
        <v>2</v>
      </c>
      <c r="H233" s="26">
        <f t="shared" si="2"/>
        <v>2</v>
      </c>
      <c r="I233" s="26">
        <f>IFERROR(__xludf.DUMMYFUNCTION("LET(
 id,A233,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3" s="26">
        <f t="shared" si="3"/>
        <v>0</v>
      </c>
      <c r="K233" s="26" t="b">
        <f t="shared" si="4"/>
        <v>0</v>
      </c>
      <c r="L233" s="26">
        <f t="shared" si="5"/>
        <v>2</v>
      </c>
      <c r="M233" s="26" t="str">
        <f>IFERROR(__xludf.DUMMYFUNCTION("LET(
 id,A233,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L233=0,
  """",
  IFERROR(INDEX(incomplete,1),"""")"&amp;"
 )
)"),"citadel.treasury")</f>
        <v>citadel.treasury</v>
      </c>
      <c r="N233" s="26" t="str">
        <f t="array" ref="N233">IF(
 M233="",
 "",
 _xlfn.XLOOKUP(
  M233,
  tblTargets[TargetID],
  tblTargets[DisplayName],
  M233
 )
)</f>
        <v>Treasury</v>
      </c>
      <c r="O233" s="26" t="str">
        <f>IFERROR(__xludf.DUMMYFUNCTION("SWITCH(
 E233,
 ""BUILDING"",XLOOKUP(A233,tblBuildings[BuildingID],tblBuildings[costtext],""""),
 ""TECH"",XLOOKUP(A233,tblTechnologies[TechnologyID],tblTechnologies[costtext],""""),
 ""QUEST"",XLOOKUP(
  REGEXREPLACE(A233,""\.[^.]+$"",""""),
  tblQuests["&amp;"QuestID],
  tblQuests[Costtext],
  """"
 ),
 ""CITADEL"",XLOOKUP(A233,tblCitadel[CitadelID],tblCitadel[costtext],""""),
 ""COLLECTION"",XLOOKUP(A233,tblCollections[CollectionID],tblCollections[costtext],""""),
 ""CRAFTIFACT"",XLOOKUP(A233,tblCraftifacts[C"&amp;"raftifactID],tblCraftifacts[costtext],""""),
 """"
)"),"3 diamond,1 gegg,1 gegg.2,1 pog,1 reddiamond")</f>
        <v>3 diamond,1 gegg,1 gegg.2,1 pog,1 reddiamond</v>
      </c>
      <c r="P233" s="26" t="str">
        <f t="shared" si="6"/>
        <v>BLOCKED</v>
      </c>
      <c r="Q233" s="26" t="str">
        <f t="shared" si="7"/>
        <v>BLOCKED</v>
      </c>
      <c r="R233" s="26" t="str">
        <f t="array" ref="R233">IFERROR(
 _xlfn.XLOOKUP(
  A233,
  tblChecklist[TargetID],
  tblChecklist[PlayerSort],
  ""
 ),
 ""
)</f>
        <v/>
      </c>
      <c r="S233" s="26" t="str">
        <f>IFERROR(__xludf.DUMMYFUNCTION("LET(
 id,A233,
 successorIDs,
  IFERROR(
   UNIQUE(
    FILTER(
     {
      Dependencies!$A$2:$A$1000;
      QuestObjectives!$A$2:$A$1000
     },
     {
      Dependencies!$B$2:$B$1000;
      QuestObjectives!$E$2:$E$1000
     }=id
    )
   ),
   """"
  )"&amp;",
 names,
  MAP(
   successorIDs,
   LAMBDA(s,
    IF(
     s="""",
     """",
     XLOOKUP(
      s,
      $A$2:$A$1000,
      $B$2:$B$1000,
      s
     )
    )
   )
  ),
 IF(
  successorIDs="""",
  """",
  TEXTJOIN("", "",TRUE,names)
 )
)"),"")</f>
        <v/>
      </c>
      <c r="T233" s="26" t="str">
        <f t="array" ref="T233">_xlfn.XLOOKUP(
 A233,
 tblTargets[TargetID],
 tblTargets[CompletionMethod],
 ""
)</f>
        <v>PLAYER</v>
      </c>
      <c r="U233" s="84" t="b">
        <f>COUNTIF(tblCost[TargetID],A233)&gt;0</f>
        <v>1</v>
      </c>
      <c r="V233" s="85">
        <f t="array" ref="V233">IF(
 U233=FALSE,
 "",
 _xlfn.XLOOKUP(
  A233,
  tblCost[TargetID],
  tblCost[FundingPercent],
  ""
 )
)</f>
        <v>0</v>
      </c>
      <c r="W233" s="26">
        <f t="array" ref="W233">IF(
 U233=FALSE,
 "",
 _xlfn.XLOOKUP(
  A233,
  tblCost[TargetID],
  tblCost[RemainingRequirements],
  ""
 )
)</f>
        <v>5</v>
      </c>
      <c r="X233" s="45" t="b">
        <f t="array" ref="X233">IF(
 U233=FALSE,
 "N/A",
 _xlfn.XLOOKUP(
  A234,
  tblCost[TargetID],
  tblCost[TargetFunded],
  FALSE
 )
)</f>
        <v>0</v>
      </c>
      <c r="Y233" s="26" t="str">
        <f>IFERROR(__xludf.DUMMYFUNCTION("IFERROR(
 TEXTJOIN(
  "", "",
  TRUE,
  FILTER(
   'cost checklist'!$E$2:$E1000&amp;"": ""&amp;'cost checklist'!$G$2:$G1000,
   'cost checklist'!$B$2:$B1000=A233,
   'cost checklist'!$J$2:$J1000=FALSE
  )
 ),
 """"
)"),"diamond: 3, gegg: 1, gegg: 1, pog: 1, reddiamond: 1")</f>
        <v>diamond: 3, gegg: 1, gegg: 1, pog: 1, reddiamond: 1</v>
      </c>
      <c r="Z233" s="26" t="b">
        <f>IFERROR(__xludf.DUMMYFUNCTION("IF(
 AND(
  E233=""QUEST"",
  RIGHT(A233,9)="".accepted"",
  D233=TRUE
 ),
 XLOOKUP(
  REGEXREPLACE(A233,""\.accepted$"","""")&amp;"".finished"",
  $A$2:$A1000,
  $D$2:$D1000,
  TRUE
 )=FALSE,
 FALSE
)"),FALSE)</f>
        <v>0</v>
      </c>
      <c r="AA233" s="26" t="str">
        <f>IFERROR(__xludf.DUMMYFUNCTION("LET(
 id,A233,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4" ht="14.25" customHeight="1">
      <c r="A234" s="26" t="s">
        <v>833</v>
      </c>
      <c r="B234" s="26" t="str">
        <f t="array" ref="B234">_xlfn.XLOOKUP(
 A234,
 tblTargets[TargetID],
 tblTargets[DisplayName],
 ""
)</f>
        <v>Astrolabe</v>
      </c>
      <c r="C234" s="26" t="str">
        <f t="shared" si="1"/>
        <v>BLOCKED</v>
      </c>
      <c r="D234" s="26" t="b">
        <f>IFERROR(__xludf.DUMMYFUNCTION("LET(
 id,A234,
 IF(
  F234=""CHARACTER"",
  LET(
   base,REGEXREPLACE(id,""@\d+$"",""""),
   required,VALUE(REGEXEXTRACT(id,""@(\d+)$"")),
   current,XLOOKUP(
    base,
    tblPlayer[PlayerStateID],
    tblPlayer[Value],
    0
   ),
   current&gt;=required
 "&amp;" ),
  IF(
   T234=""AUTO"",
   L234=0,
   COUNTIFS(
    tblChecklist[TargetID],id,
    tblChecklist[PlayerCompleted],TRUE
   )&gt;0
  )
 )
)"),FALSE)</f>
        <v>0</v>
      </c>
      <c r="E234" s="26" t="str">
        <f t="array" ref="E234">_xlfn.XLOOKUP(
 A234,
 tblTargets[TargetID],
 tblTargets[TargetType],
 ""
)</f>
        <v>CRAFTIFACT</v>
      </c>
      <c r="F234" s="26" t="str">
        <f t="array" ref="F234">_xlfn.XLOOKUP(
 A234,
 tblTargets[TargetID],
 tblTargets[StateType],
 ""
)</f>
        <v/>
      </c>
      <c r="G234" s="26">
        <f>LET(
 id,A234,
 depCount,COUNTIF(tblDependencies[TargetID],id),
 objCount,COUNTIF(tblQuestObjectives[QuestTargetID],id),
 depCount+objCount
)</f>
        <v>2</v>
      </c>
      <c r="H234" s="26">
        <f t="shared" si="2"/>
        <v>2</v>
      </c>
      <c r="I234" s="26">
        <f>IFERROR(__xludf.DUMMYFUNCTION("LET(
 id,A234,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4" s="26">
        <f t="shared" si="3"/>
        <v>0</v>
      </c>
      <c r="K234" s="26" t="b">
        <f t="shared" si="4"/>
        <v>0</v>
      </c>
      <c r="L234" s="26">
        <f t="shared" si="5"/>
        <v>2</v>
      </c>
      <c r="M234" s="26" t="str">
        <f>IFERROR(__xludf.DUMMYFUNCTION("LET(
 id,A234,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L234=0,
  """",
  IFERROR(INDEX(incomplete,1),"""")"&amp;"
 )
)"),"building.ship@4")</f>
        <v>building.ship@4</v>
      </c>
      <c r="N234" s="26" t="str">
        <f t="array" ref="N234">IF(
 M234="",
 "",
 _xlfn.XLOOKUP(
  M234,
  tblTargets[TargetID],
  tblTargets[DisplayName],
  M234
 )
)</f>
        <v>Ship Lv 4</v>
      </c>
      <c r="O234" s="26" t="str">
        <f>IFERROR(__xludf.DUMMYFUNCTION("SWITCH(
 E234,
 ""BUILDING"",XLOOKUP(A234,tblBuildings[BuildingID],tblBuildings[costtext],""""),
 ""TECH"",XLOOKUP(A234,tblTechnologies[TechnologyID],tblTechnologies[costtext],""""),
 ""QUEST"",XLOOKUP(
  REGEXREPLACE(A234,""\.[^.]+$"",""""),
  tblQuests["&amp;"QuestID],
  tblQuests[Costtext],
  """"
 ),
 ""CITADEL"",XLOOKUP(A234,tblCitadel[CitadelID],tblCitadel[costtext],""""),
 ""COLLECTION"",XLOOKUP(A234,tblCollections[CollectionID],tblCollections[costtext],""""),
 ""CRAFTIFACT"",XLOOKUP(A234,tblCraftifacts[C"&amp;"raftifactID],tblCraftifacts[costtext],""""),
 """"
)"),"15 blueprint,1000 coin,10 mechanism,40 page,10 ruby")</f>
        <v>15 blueprint,1000 coin,10 mechanism,40 page,10 ruby</v>
      </c>
      <c r="P234" s="26" t="str">
        <f t="shared" si="6"/>
        <v>BLOCKED</v>
      </c>
      <c r="Q234" s="26" t="str">
        <f t="shared" si="7"/>
        <v>BLOCKED</v>
      </c>
      <c r="R234" s="26" t="str">
        <f t="array" ref="R234">IFERROR(
 _xlfn.XLOOKUP(
  A234,
  tblChecklist[TargetID],
  tblChecklist[PlayerSort],
  ""
 ),
 ""
)</f>
        <v/>
      </c>
      <c r="S234" s="26" t="str">
        <f>IFERROR(__xludf.DUMMYFUNCTION("LET(
 id,A234,
 successorIDs,
  IFERROR(
   UNIQUE(
    FILTER(
     {
      Dependencies!$A$2:$A$1000;
      QuestObjectives!$A$2:$A$1000
     },
     {
      Dependencies!$B$2:$B$1000;
      QuestObjectives!$E$2:$E$1000
     }=id
    )
   ),
   """"
  )"&amp;",
 names,
  MAP(
   successorIDs,
   LAMBDA(s,
    IF(
     s="""",
     """",
     XLOOKUP(
      s,
      $A$2:$A$1000,
      $B$2:$B$1000,
      s
     )
    )
   )
  ),
 IF(
  successorIDs="""",
  """",
  TEXTJOIN("", "",TRUE,names)
 )
)"),"")</f>
        <v/>
      </c>
      <c r="T234" s="26" t="str">
        <f t="array" ref="T234">_xlfn.XLOOKUP(
 A234,
 tblTargets[TargetID],
 tblTargets[CompletionMethod],
 ""
)</f>
        <v>PLAYER</v>
      </c>
      <c r="U234" s="84" t="b">
        <f>COUNTIF(tblCost[TargetID],A234)&gt;0</f>
        <v>1</v>
      </c>
      <c r="V234" s="85">
        <f t="array" ref="V234">IF(
 U234=FALSE,
 "",
 _xlfn.XLOOKUP(
  A234,
  tblCost[TargetID],
  tblCost[FundingPercent],
  ""
 )
)</f>
        <v>0</v>
      </c>
      <c r="W234" s="26">
        <f t="array" ref="W234">IF(
 U234=FALSE,
 "",
 _xlfn.XLOOKUP(
  A234,
  tblCost[TargetID],
  tblCost[RemainingRequirements],
  ""
 )
)</f>
        <v>5</v>
      </c>
      <c r="X234" s="45" t="b">
        <f t="array" ref="X234">IF(
 U234=FALSE,
 "N/A",
 _xlfn.XLOOKUP(
  A235,
  tblCost[TargetID],
  tblCost[TargetFunded],
  FALSE
 )
)</f>
        <v>0</v>
      </c>
      <c r="Y234" s="26" t="str">
        <f>IFERROR(__xludf.DUMMYFUNCTION("IFERROR(
 TEXTJOIN(
  "", "",
  TRUE,
  FILTER(
   'cost checklist'!$E$2:$E1000&amp;"": ""&amp;'cost checklist'!$G$2:$G1000,
   'cost checklist'!$B$2:$B1000=A234,
   'cost checklist'!$J$2:$J1000=FALSE
  )
 ),
 """"
)"),"blueprint: 15, coin: 1000, mechanism: 10, page: 40, ruby: 10")</f>
        <v>blueprint: 15, coin: 1000, mechanism: 10, page: 40, ruby: 10</v>
      </c>
      <c r="Z234" s="26" t="b">
        <f>IFERROR(__xludf.DUMMYFUNCTION("IF(
 AND(
  E234=""QUEST"",
  RIGHT(A234,9)="".accepted"",
  D234=TRUE
 ),
 XLOOKUP(
  REGEXREPLACE(A234,""\.accepted$"","""")&amp;"".finished"",
  $A$2:$A1000,
  $D$2:$D1000,
  TRUE
 )=FALSE,
 FALSE
)"),FALSE)</f>
        <v>0</v>
      </c>
      <c r="AA234" s="26" t="str">
        <f>IFERROR(__xludf.DUMMYFUNCTION("LET(
 id,A234,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5" ht="14.25" customHeight="1">
      <c r="A235" s="26" t="s">
        <v>838</v>
      </c>
      <c r="B235" s="26" t="str">
        <f t="array" ref="B235">_xlfn.XLOOKUP(
 A235,
 tblTargets[TargetID],
 tblTargets[DisplayName],
 ""
)</f>
        <v>Barometer</v>
      </c>
      <c r="C235" s="26" t="str">
        <f t="shared" si="1"/>
        <v>BLOCKED</v>
      </c>
      <c r="D235" s="26" t="b">
        <f>IFERROR(__xludf.DUMMYFUNCTION("LET(
 id,A235,
 IF(
  F235=""CHARACTER"",
  LET(
   base,REGEXREPLACE(id,""@\d+$"",""""),
   required,VALUE(REGEXEXTRACT(id,""@(\d+)$"")),
   current,XLOOKUP(
    base,
    tblPlayer[PlayerStateID],
    tblPlayer[Value],
    0
   ),
   current&gt;=required
 "&amp;" ),
  IF(
   T235=""AUTO"",
   L235=0,
   COUNTIFS(
    tblChecklist[TargetID],id,
    tblChecklist[PlayerCompleted],TRUE
   )&gt;0
  )
 )
)"),FALSE)</f>
        <v>0</v>
      </c>
      <c r="E235" s="26" t="str">
        <f t="array" ref="E235">_xlfn.XLOOKUP(
 A235,
 tblTargets[TargetID],
 tblTargets[TargetType],
 ""
)</f>
        <v>CRAFTIFACT</v>
      </c>
      <c r="F235" s="26" t="str">
        <f t="array" ref="F235">_xlfn.XLOOKUP(
 A235,
 tblTargets[TargetID],
 tblTargets[StateType],
 ""
)</f>
        <v/>
      </c>
      <c r="G235" s="26">
        <f>LET(
 id,A235,
 depCount,COUNTIF(tblDependencies[TargetID],id),
 objCount,COUNTIF(tblQuestObjectives[QuestTargetID],id),
 depCount+objCount
)</f>
        <v>2</v>
      </c>
      <c r="H235" s="26">
        <f t="shared" si="2"/>
        <v>2</v>
      </c>
      <c r="I235" s="26">
        <f>IFERROR(__xludf.DUMMYFUNCTION("LET(
 id,A235,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5" s="26">
        <f t="shared" si="3"/>
        <v>0</v>
      </c>
      <c r="K235" s="26" t="b">
        <f t="shared" si="4"/>
        <v>0</v>
      </c>
      <c r="L235" s="26">
        <f t="shared" si="5"/>
        <v>2</v>
      </c>
      <c r="M235" s="26" t="str">
        <f>IFERROR(__xludf.DUMMYFUNCTION("LET(
 id,A235,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L235=0,
  """",
  IFERROR(INDEX(incomplete,1),"""")"&amp;"
 )
)"),"building.workshop@5")</f>
        <v>building.workshop@5</v>
      </c>
      <c r="N235" s="26" t="str">
        <f t="array" ref="N235">IF(
 M235="",
 "",
 _xlfn.XLOOKUP(
  M235,
  tblTargets[TargetID],
  tblTargets[DisplayName],
  M235
 )
)</f>
        <v>Workshop Lv 5</v>
      </c>
      <c r="O235" s="26" t="str">
        <f>IFERROR(__xludf.DUMMYFUNCTION("SWITCH(
 E235,
 ""BUILDING"",XLOOKUP(A235,tblBuildings[BuildingID],tblBuildings[costtext],""""),
 ""TECH"",XLOOKUP(A235,tblTechnologies[TechnologyID],tblTechnologies[costtext],""""),
 ""QUEST"",XLOOKUP(
  REGEXREPLACE(A235,""\.[^.]+$"",""""),
  tblQuests["&amp;"QuestID],
  tblQuests[Costtext],
  """"
 ),
 ""CITADEL"",XLOOKUP(A235,tblCitadel[CitadelID],tblCitadel[costtext],""""),
 ""COLLECTION"",XLOOKUP(A235,tblCollections[CollectionID],tblCollections[costtext],""""),
 ""CRAFTIFACT"",XLOOKUP(A235,tblCraftifacts[C"&amp;"raftifactID],tblCraftifacts[costtext],""""),
 """"
)"),"40 blueprint,1000 coin,20 glass,25 mercury,20 paper")</f>
        <v>40 blueprint,1000 coin,20 glass,25 mercury,20 paper</v>
      </c>
      <c r="P235" s="26" t="str">
        <f t="shared" si="6"/>
        <v>BLOCKED</v>
      </c>
      <c r="Q235" s="26" t="str">
        <f t="shared" si="7"/>
        <v>BLOCKED</v>
      </c>
      <c r="R235" s="26" t="str">
        <f t="array" ref="R235">IFERROR(
 _xlfn.XLOOKUP(
  A235,
  tblChecklist[TargetID],
  tblChecklist[PlayerSort],
  ""
 ),
 ""
)</f>
        <v/>
      </c>
      <c r="S235" s="26" t="str">
        <f>IFERROR(__xludf.DUMMYFUNCTION("LET(
 id,A235,
 successorIDs,
  IFERROR(
   UNIQUE(
    FILTER(
     {
      Dependencies!$A$2:$A$1000;
      QuestObjectives!$A$2:$A$1000
     },
     {
      Dependencies!$B$2:$B$1000;
      QuestObjectives!$E$2:$E$1000
     }=id
    )
   ),
   """"
  )"&amp;",
 names,
  MAP(
   successorIDs,
   LAMBDA(s,
    IF(
     s="""",
     """",
     XLOOKUP(
      s,
      $A$2:$A$1000,
      $B$2:$B$1000,
      s
     )
    )
   )
  ),
 IF(
  successorIDs="""",
  """",
  TEXTJOIN("", "",TRUE,names)
 )
)"),"")</f>
        <v/>
      </c>
      <c r="T235" s="26" t="str">
        <f t="array" ref="T235">_xlfn.XLOOKUP(
 A235,
 tblTargets[TargetID],
 tblTargets[CompletionMethod],
 ""
)</f>
        <v>PLAYER</v>
      </c>
      <c r="U235" s="84" t="b">
        <f>COUNTIF(tblCost[TargetID],A235)&gt;0</f>
        <v>1</v>
      </c>
      <c r="V235" s="85">
        <f t="array" ref="V235">IF(
 U235=FALSE,
 "",
 _xlfn.XLOOKUP(
  A235,
  tblCost[TargetID],
  tblCost[FundingPercent],
  ""
 )
)</f>
        <v>0</v>
      </c>
      <c r="W235" s="26">
        <f t="array" ref="W235">IF(
 U235=FALSE,
 "",
 _xlfn.XLOOKUP(
  A235,
  tblCost[TargetID],
  tblCost[RemainingRequirements],
  ""
 )
)</f>
        <v>5</v>
      </c>
      <c r="X235" s="45" t="b">
        <f t="array" ref="X235">IF(
 U235=FALSE,
 "N/A",
 _xlfn.XLOOKUP(
  A236,
  tblCost[TargetID],
  tblCost[TargetFunded],
  FALSE
 )
)</f>
        <v>0</v>
      </c>
      <c r="Y235" s="26" t="str">
        <f>IFERROR(__xludf.DUMMYFUNCTION("IFERROR(
 TEXTJOIN(
  "", "",
  TRUE,
  FILTER(
   'cost checklist'!$E$2:$E1000&amp;"": ""&amp;'cost checklist'!$G$2:$G1000,
   'cost checklist'!$B$2:$B1000=A235,
   'cost checklist'!$J$2:$J1000=FALSE
  )
 ),
 """"
)"),"blueprint: 40, coin: 1000, glass: 20, mercury: 25, paper: 20")</f>
        <v>blueprint: 40, coin: 1000, glass: 20, mercury: 25, paper: 20</v>
      </c>
      <c r="Z235" s="26" t="b">
        <f>IFERROR(__xludf.DUMMYFUNCTION("IF(
 AND(
  E235=""QUEST"",
  RIGHT(A235,9)="".accepted"",
  D235=TRUE
 ),
 XLOOKUP(
  REGEXREPLACE(A235,""\.accepted$"","""")&amp;"".finished"",
  $A$2:$A1000,
  $D$2:$D1000,
  TRUE
 )=FALSE,
 FALSE
)"),FALSE)</f>
        <v>0</v>
      </c>
      <c r="AA235" s="26" t="str">
        <f>IFERROR(__xludf.DUMMYFUNCTION("LET(
 id,A235,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6" ht="14.25" customHeight="1">
      <c r="A236" s="26" t="s">
        <v>841</v>
      </c>
      <c r="B236" s="26" t="str">
        <f t="array" ref="B236">_xlfn.XLOOKUP(
 A236,
 tblTargets[TargetID],
 tblTargets[DisplayName],
 ""
)</f>
        <v>Cinema Projector</v>
      </c>
      <c r="C236" s="26" t="str">
        <f t="shared" si="1"/>
        <v>BLOCKED</v>
      </c>
      <c r="D236" s="26" t="b">
        <f>IFERROR(__xludf.DUMMYFUNCTION("LET(
 id,A236,
 IF(
  F236=""CHARACTER"",
  LET(
   base,REGEXREPLACE(id,""@\d+$"",""""),
   required,VALUE(REGEXEXTRACT(id,""@(\d+)$"")),
   current,XLOOKUP(
    base,
    tblPlayer[PlayerStateID],
    tblPlayer[Value],
    0
   ),
   current&gt;=required
 "&amp;" ),
  IF(
   T236=""AUTO"",
   L236=0,
   COUNTIFS(
    tblChecklist[TargetID],id,
    tblChecklist[PlayerCompleted],TRUE
   )&gt;0
  )
 )
)"),FALSE)</f>
        <v>0</v>
      </c>
      <c r="E236" s="26" t="str">
        <f t="array" ref="E236">_xlfn.XLOOKUP(
 A236,
 tblTargets[TargetID],
 tblTargets[TargetType],
 ""
)</f>
        <v>CRAFTIFACT</v>
      </c>
      <c r="F236" s="26" t="str">
        <f t="array" ref="F236">_xlfn.XLOOKUP(
 A236,
 tblTargets[TargetID],
 tblTargets[StateType],
 ""
)</f>
        <v/>
      </c>
      <c r="G236" s="26">
        <f>LET(
 id,A236,
 depCount,COUNTIF(tblDependencies[TargetID],id),
 objCount,COUNTIF(tblQuestObjectives[QuestTargetID],id),
 depCount+objCount
)</f>
        <v>2</v>
      </c>
      <c r="H236" s="26">
        <f t="shared" si="2"/>
        <v>2</v>
      </c>
      <c r="I236" s="26">
        <f>IFERROR(__xludf.DUMMYFUNCTION("LET(
 id,A236,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6" s="26">
        <f t="shared" si="3"/>
        <v>0</v>
      </c>
      <c r="K236" s="26" t="b">
        <f t="shared" si="4"/>
        <v>0</v>
      </c>
      <c r="L236" s="26">
        <f t="shared" si="5"/>
        <v>2</v>
      </c>
      <c r="M236" s="26" t="str">
        <f>IFERROR(__xludf.DUMMYFUNCTION("LET(
 id,A236,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L236=0,
  """",
  IFERROR(INDEX(incomplete,1),"""")"&amp;"
 )
)"),"building.workshop@5")</f>
        <v>building.workshop@5</v>
      </c>
      <c r="N236" s="26" t="str">
        <f t="array" ref="N236">IF(
 M236="",
 "",
 _xlfn.XLOOKUP(
  M236,
  tblTargets[TargetID],
  tblTargets[DisplayName],
  M236
 )
)</f>
        <v>Workshop Lv 5</v>
      </c>
      <c r="O236" s="26" t="str">
        <f>IFERROR(__xludf.DUMMYFUNCTION("SWITCH(
 E236,
 ""BUILDING"",XLOOKUP(A236,tblBuildings[BuildingID],tblBuildings[costtext],""""),
 ""TECH"",XLOOKUP(A236,tblTechnologies[TechnologyID],tblTechnologies[costtext],""""),
 ""QUEST"",XLOOKUP(
  REGEXREPLACE(A236,""\.[^.]+$"",""""),
  tblQuests["&amp;"QuestID],
  tblQuests[Costtext],
  """"
 ),
 ""CITADEL"",XLOOKUP(A236,tblCitadel[CitadelID],tblCitadel[costtext],""""),
 ""COLLECTION"",XLOOKUP(A236,tblCollections[CollectionID],tblCollections[costtext],""""),
 ""CRAFTIFACT"",XLOOKUP(A236,tblCraftifacts[C"&amp;"raftifactID],tblCraftifacts[costtext],""""),
 """"
)"),"80 blueprint,10 catalyst,30 chemicals,30 glass,30 mechanism,30 reagent,10 silk")</f>
        <v>80 blueprint,10 catalyst,30 chemicals,30 glass,30 mechanism,30 reagent,10 silk</v>
      </c>
      <c r="P236" s="26" t="str">
        <f t="shared" si="6"/>
        <v>BLOCKED</v>
      </c>
      <c r="Q236" s="26" t="str">
        <f t="shared" si="7"/>
        <v>BLOCKED</v>
      </c>
      <c r="R236" s="26" t="str">
        <f t="array" ref="R236">IFERROR(
 _xlfn.XLOOKUP(
  A236,
  tblChecklist[TargetID],
  tblChecklist[PlayerSort],
  ""
 ),
 ""
)</f>
        <v/>
      </c>
      <c r="S236" s="26" t="str">
        <f>IFERROR(__xludf.DUMMYFUNCTION("LET(
 id,A236,
 successorIDs,
  IFERROR(
   UNIQUE(
    FILTER(
     {
      Dependencies!$A$2:$A$1000;
      QuestObjectives!$A$2:$A$1000
     },
     {
      Dependencies!$B$2:$B$1000;
      QuestObjectives!$E$2:$E$1000
     }=id
    )
   ),
   """"
  )"&amp;",
 names,
  MAP(
   successorIDs,
   LAMBDA(s,
    IF(
     s="""",
     """",
     XLOOKUP(
      s,
      $A$2:$A$1000,
      $B$2:$B$1000,
      s
     )
    )
   )
  ),
 IF(
  successorIDs="""",
  """",
  TEXTJOIN("", "",TRUE,names)
 )
)"),"")</f>
        <v/>
      </c>
      <c r="T236" s="26" t="str">
        <f t="array" ref="T236">_xlfn.XLOOKUP(
 A236,
 tblTargets[TargetID],
 tblTargets[CompletionMethod],
 ""
)</f>
        <v>PLAYER</v>
      </c>
      <c r="U236" s="84" t="b">
        <f>COUNTIF(tblCost[TargetID],A236)&gt;0</f>
        <v>1</v>
      </c>
      <c r="V236" s="85">
        <f t="array" ref="V236">IF(
 U236=FALSE,
 "",
 _xlfn.XLOOKUP(
  A236,
  tblCost[TargetID],
  tblCost[FundingPercent],
  ""
 )
)</f>
        <v>0</v>
      </c>
      <c r="W236" s="26">
        <f t="array" ref="W236">IF(
 U236=FALSE,
 "",
 _xlfn.XLOOKUP(
  A236,
  tblCost[TargetID],
  tblCost[RemainingRequirements],
  ""
 )
)</f>
        <v>7</v>
      </c>
      <c r="X236" s="45" t="b">
        <f t="array" ref="X236">IF(
 U236=FALSE,
 "N/A",
 _xlfn.XLOOKUP(
  A237,
  tblCost[TargetID],
  tblCost[TargetFunded],
  FALSE
 )
)</f>
        <v>0</v>
      </c>
      <c r="Y236" s="26" t="str">
        <f>IFERROR(__xludf.DUMMYFUNCTION("IFERROR(
 TEXTJOIN(
  "", "",
  TRUE,
  FILTER(
   'cost checklist'!$E$2:$E1000&amp;"": ""&amp;'cost checklist'!$G$2:$G1000,
   'cost checklist'!$B$2:$B1000=A236,
   'cost checklist'!$J$2:$J1000=FALSE
  )
 ),
 """"
)"),"blueprint: 80, catalyst: 10, chemicals: 30, glass: 30, mechanism: 30, reagent: 30, silk: 10")</f>
        <v>blueprint: 80, catalyst: 10, chemicals: 30, glass: 30, mechanism: 30, reagent: 30, silk: 10</v>
      </c>
      <c r="Z236" s="26" t="b">
        <f>IFERROR(__xludf.DUMMYFUNCTION("IF(
 AND(
  E236=""QUEST"",
  RIGHT(A236,9)="".accepted"",
  D236=TRUE
 ),
 XLOOKUP(
  REGEXREPLACE(A236,""\.accepted$"","""")&amp;"".finished"",
  $A$2:$A1000,
  $D$2:$D1000,
  TRUE
 )=FALSE,
 FALSE
)"),FALSE)</f>
        <v>0</v>
      </c>
      <c r="AA236" s="26" t="str">
        <f>IFERROR(__xludf.DUMMYFUNCTION("LET(
 id,A236,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7" ht="14.25" customHeight="1">
      <c r="A237" s="26" t="s">
        <v>846</v>
      </c>
      <c r="B237" s="26" t="str">
        <f t="array" ref="B237">_xlfn.XLOOKUP(
 A237,
 tblTargets[TargetID],
 tblTargets[DisplayName],
 ""
)</f>
        <v>Dagger</v>
      </c>
      <c r="C237" s="26" t="str">
        <f t="shared" si="1"/>
        <v>BLOCKED</v>
      </c>
      <c r="D237" s="26" t="b">
        <f>IFERROR(__xludf.DUMMYFUNCTION("LET(
 id,A237,
 IF(
  F237=""CHARACTER"",
  LET(
   base,REGEXREPLACE(id,""@\d+$"",""""),
   required,VALUE(REGEXEXTRACT(id,""@(\d+)$"")),
   current,XLOOKUP(
    base,
    tblPlayer[PlayerStateID],
    tblPlayer[Value],
    0
   ),
   current&gt;=required
 "&amp;" ),
  IF(
   T237=""AUTO"",
   L237=0,
   COUNTIFS(
    tblChecklist[TargetID],id,
    tblChecklist[PlayerCompleted],TRUE
   )&gt;0
  )
 )
)"),FALSE)</f>
        <v>0</v>
      </c>
      <c r="E237" s="26" t="str">
        <f t="array" ref="E237">_xlfn.XLOOKUP(
 A237,
 tblTargets[TargetID],
 tblTargets[TargetType],
 ""
)</f>
        <v>CRAFTIFACT</v>
      </c>
      <c r="F237" s="26" t="str">
        <f t="array" ref="F237">_xlfn.XLOOKUP(
 A237,
 tblTargets[TargetID],
 tblTargets[StateType],
 ""
)</f>
        <v/>
      </c>
      <c r="G237" s="26">
        <f>LET(
 id,A237,
 depCount,COUNTIF(tblDependencies[TargetID],id),
 objCount,COUNTIF(tblQuestObjectives[QuestTargetID],id),
 depCount+objCount
)</f>
        <v>2</v>
      </c>
      <c r="H237" s="26">
        <f t="shared" si="2"/>
        <v>2</v>
      </c>
      <c r="I237" s="26">
        <f>IFERROR(__xludf.DUMMYFUNCTION("LET(
 id,A237,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7" s="26">
        <f t="shared" si="3"/>
        <v>0</v>
      </c>
      <c r="K237" s="26" t="b">
        <f t="shared" si="4"/>
        <v>0</v>
      </c>
      <c r="L237" s="26">
        <f t="shared" si="5"/>
        <v>2</v>
      </c>
      <c r="M237" s="26" t="str">
        <f>IFERROR(__xludf.DUMMYFUNCTION("LET(
 id,A237,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L237=0,
  """",
  IFERROR(INDEX(incomplete,1),"""")"&amp;"
 )
)"),"building.smithy@3")</f>
        <v>building.smithy@3</v>
      </c>
      <c r="N237" s="26" t="str">
        <f t="array" ref="N237">IF(
 M237="",
 "",
 _xlfn.XLOOKUP(
  M237,
  tblTargets[TargetID],
  tblTargets[DisplayName],
  M237
 )
)</f>
        <v>Smithy Lv 3</v>
      </c>
      <c r="O237" s="26" t="str">
        <f>IFERROR(__xludf.DUMMYFUNCTION("SWITCH(
 E237,
 ""BUILDING"",XLOOKUP(A237,tblBuildings[BuildingID],tblBuildings[costtext],""""),
 ""TECH"",XLOOKUP(A237,tblTechnologies[TechnologyID],tblTechnologies[costtext],""""),
 ""QUEST"",XLOOKUP(
  REGEXREPLACE(A237,""\.[^.]+$"",""""),
  tblQuests["&amp;"QuestID],
  tblQuests[Costtext],
  """"
 ),
 ""CITADEL"",XLOOKUP(A237,tblCitadel[CitadelID],tblCitadel[costtext],""""),
 ""COLLECTION"",XLOOKUP(A237,tblCollections[CollectionID],tblCollections[costtext],""""),
 ""CRAFTIFACT"",XLOOKUP(A237,tblCraftifacts[C"&amp;"raftifactID],tblCraftifacts[costtext],""""),
 """"
)"),"100 crypto,10 ingot,30 msteel,20 page,5 ruby,1 scroll")</f>
        <v>100 crypto,10 ingot,30 msteel,20 page,5 ruby,1 scroll</v>
      </c>
      <c r="P237" s="26" t="str">
        <f t="shared" si="6"/>
        <v>BLOCKED</v>
      </c>
      <c r="Q237" s="26" t="str">
        <f t="shared" si="7"/>
        <v>BLOCKED</v>
      </c>
      <c r="R237" s="26" t="str">
        <f t="array" ref="R237">IFERROR(
 _xlfn.XLOOKUP(
  A237,
  tblChecklist[TargetID],
  tblChecklist[PlayerSort],
  ""
 ),
 ""
)</f>
        <v/>
      </c>
      <c r="S237" s="26" t="str">
        <f>IFERROR(__xludf.DUMMYFUNCTION("LET(
 id,A237,
 successorIDs,
  IFERROR(
   UNIQUE(
    FILTER(
     {
      Dependencies!$A$2:$A$1000;
      QuestObjectives!$A$2:$A$1000
     },
     {
      Dependencies!$B$2:$B$1000;
      QuestObjectives!$E$2:$E$1000
     }=id
    )
   ),
   """"
  )"&amp;",
 names,
  MAP(
   successorIDs,
   LAMBDA(s,
    IF(
     s="""",
     """",
     XLOOKUP(
      s,
      $A$2:$A$1000,
      $B$2:$B$1000,
      s
     )
    )
   )
  ),
 IF(
  successorIDs="""",
  """",
  TEXTJOIN("", "",TRUE,names)
 )
)"),"")</f>
        <v/>
      </c>
      <c r="T237" s="26" t="str">
        <f t="array" ref="T237">_xlfn.XLOOKUP(
 A237,
 tblTargets[TargetID],
 tblTargets[CompletionMethod],
 ""
)</f>
        <v>PLAYER</v>
      </c>
      <c r="U237" s="84" t="b">
        <f>COUNTIF(tblCost[TargetID],A237)&gt;0</f>
        <v>1</v>
      </c>
      <c r="V237" s="85">
        <f t="array" ref="V237">IF(
 U237=FALSE,
 "",
 _xlfn.XLOOKUP(
  A237,
  tblCost[TargetID],
  tblCost[FundingPercent],
  ""
 )
)</f>
        <v>0</v>
      </c>
      <c r="W237" s="26">
        <f t="array" ref="W237">IF(
 U237=FALSE,
 "",
 _xlfn.XLOOKUP(
  A237,
  tblCost[TargetID],
  tblCost[RemainingRequirements],
  ""
 )
)</f>
        <v>6</v>
      </c>
      <c r="X237" s="45" t="b">
        <f t="array" ref="X237">IF(
 U237=FALSE,
 "N/A",
 _xlfn.XLOOKUP(
  A238,
  tblCost[TargetID],
  tblCost[TargetFunded],
  FALSE
 )
)</f>
        <v>0</v>
      </c>
      <c r="Y237" s="26" t="str">
        <f>IFERROR(__xludf.DUMMYFUNCTION("IFERROR(
 TEXTJOIN(
  "", "",
  TRUE,
  FILTER(
   'cost checklist'!$E$2:$E1000&amp;"": ""&amp;'cost checklist'!$G$2:$G1000,
   'cost checklist'!$B$2:$B1000=A237,
   'cost checklist'!$J$2:$J1000=FALSE
  )
 ),
 """"
)"),"crypto: 100, ingot: 10, msteel: 30, page: 20, ruby: 5, scroll: 1")</f>
        <v>crypto: 100, ingot: 10, msteel: 30, page: 20, ruby: 5, scroll: 1</v>
      </c>
      <c r="Z237" s="26" t="b">
        <f>IFERROR(__xludf.DUMMYFUNCTION("IF(
 AND(
  E237=""QUEST"",
  RIGHT(A237,9)="".accepted"",
  D237=TRUE
 ),
 XLOOKUP(
  REGEXREPLACE(A237,""\.accepted$"","""")&amp;"".finished"",
  $A$2:$A1000,
  $D$2:$D1000,
  TRUE
 )=FALSE,
 FALSE
)"),FALSE)</f>
        <v>0</v>
      </c>
      <c r="AA237" s="26" t="str">
        <f>IFERROR(__xludf.DUMMYFUNCTION("LET(
 id,A237,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8" ht="14.25" customHeight="1">
      <c r="A238" s="26" t="s">
        <v>850</v>
      </c>
      <c r="B238" s="26" t="str">
        <f t="array" ref="B238">_xlfn.XLOOKUP(
 A238,
 tblTargets[TargetID],
 tblTargets[DisplayName],
 ""
)</f>
        <v>Emerald Tablet</v>
      </c>
      <c r="C238" s="26" t="str">
        <f t="shared" si="1"/>
        <v>BLOCKED</v>
      </c>
      <c r="D238" s="26" t="b">
        <f>IFERROR(__xludf.DUMMYFUNCTION("LET(
 id,A238,
 IF(
  F238=""CHARACTER"",
  LET(
   base,REGEXREPLACE(id,""@\d+$"",""""),
   required,VALUE(REGEXEXTRACT(id,""@(\d+)$"")),
   current,XLOOKUP(
    base,
    tblPlayer[PlayerStateID],
    tblPlayer[Value],
    0
   ),
   current&gt;=required
 "&amp;" ),
  IF(
   T238=""AUTO"",
   L238=0,
   COUNTIFS(
    tblChecklist[TargetID],id,
    tblChecklist[PlayerCompleted],TRUE
   )&gt;0
  )
 )
)"),FALSE)</f>
        <v>0</v>
      </c>
      <c r="E238" s="26" t="str">
        <f t="array" ref="E238">_xlfn.XLOOKUP(
 A238,
 tblTargets[TargetID],
 tblTargets[TargetType],
 ""
)</f>
        <v>CRAFTIFACT</v>
      </c>
      <c r="F238" s="26" t="str">
        <f t="array" ref="F238">_xlfn.XLOOKUP(
 A238,
 tblTargets[TargetID],
 tblTargets[StateType],
 ""
)</f>
        <v/>
      </c>
      <c r="G238" s="26">
        <f>LET(
 id,A238,
 depCount,COUNTIF(tblDependencies[TargetID],id),
 objCount,COUNTIF(tblQuestObjectives[QuestTargetID],id),
 depCount+objCount
)</f>
        <v>2</v>
      </c>
      <c r="H238" s="26">
        <f t="shared" si="2"/>
        <v>2</v>
      </c>
      <c r="I238" s="26">
        <f>IFERROR(__xludf.DUMMYFUNCTION("LET(
 id,A238,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8" s="26">
        <f t="shared" si="3"/>
        <v>0</v>
      </c>
      <c r="K238" s="26" t="b">
        <f t="shared" si="4"/>
        <v>0</v>
      </c>
      <c r="L238" s="26">
        <f t="shared" si="5"/>
        <v>2</v>
      </c>
      <c r="M238" s="26" t="str">
        <f>IFERROR(__xludf.DUMMYFUNCTION("LET(
 id,A238,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L238=0,
  """",
  IFERROR(INDEX(incomplete,1),"""")"&amp;"
 )
)"),"building.guild@5")</f>
        <v>building.guild@5</v>
      </c>
      <c r="N238" s="26" t="str">
        <f t="array" ref="N238">IF(
 M238="",
 "",
 _xlfn.XLOOKUP(
  M238,
  tblTargets[TargetID],
  tblTargets[DisplayName],
  M238
 )
)</f>
        <v>Guild Lv 5</v>
      </c>
      <c r="O238" s="26" t="str">
        <f>IFERROR(__xludf.DUMMYFUNCTION("SWITCH(
 E238,
 ""BUILDING"",XLOOKUP(A238,tblBuildings[BuildingID],tblBuildings[costtext],""""),
 ""TECH"",XLOOKUP(A238,tblTechnologies[TechnologyID],tblTechnologies[costtext],""""),
 ""QUEST"",XLOOKUP(
  REGEXREPLACE(A238,""\.[^.]+$"",""""),
  tblQuests["&amp;"QuestID],
  tblQuests[Costtext],
  """"
 ),
 ""CITADEL"",XLOOKUP(A238,tblCitadel[CitadelID],tblCitadel[costtext],""""),
 ""COLLECTION"",XLOOKUP(A238,tblCollections[CollectionID],tblCollections[costtext],""""),
 ""CRAFTIFACT"",XLOOKUP(A238,tblCraftifacts[C"&amp;"raftifactID],tblCraftifacts[costtext],""""),
 """"
)"),"15 emeralds,30 page")</f>
        <v>15 emeralds,30 page</v>
      </c>
      <c r="P238" s="26" t="str">
        <f t="shared" si="6"/>
        <v>BLOCKED</v>
      </c>
      <c r="Q238" s="26" t="str">
        <f t="shared" si="7"/>
        <v>BLOCKED</v>
      </c>
      <c r="R238" s="26" t="str">
        <f t="array" ref="R238">IFERROR(
 _xlfn.XLOOKUP(
  A238,
  tblChecklist[TargetID],
  tblChecklist[PlayerSort],
  ""
 ),
 ""
)</f>
        <v/>
      </c>
      <c r="S238" s="26" t="str">
        <f>IFERROR(__xludf.DUMMYFUNCTION("LET(
 id,A238,
 successorIDs,
  IFERROR(
   UNIQUE(
    FILTER(
     {
      Dependencies!$A$2:$A$1000;
      QuestObjectives!$A$2:$A$1000
     },
     {
      Dependencies!$B$2:$B$1000;
      QuestObjectives!$E$2:$E$1000
     }=id
    )
   ),
   """"
  )"&amp;",
 names,
  MAP(
   successorIDs,
   LAMBDA(s,
    IF(
     s="""",
     """",
     XLOOKUP(
      s,
      $A$2:$A$1000,
      $B$2:$B$1000,
      s
     )
    )
   )
  ),
 IF(
  successorIDs="""",
  """",
  TEXTJOIN("", "",TRUE,names)
 )
)"),"Quest for Knowledge Chapter 3 Finished")</f>
        <v>Quest for Knowledge Chapter 3 Finished</v>
      </c>
      <c r="T238" s="26" t="str">
        <f t="array" ref="T238">_xlfn.XLOOKUP(
 A238,
 tblTargets[TargetID],
 tblTargets[CompletionMethod],
 ""
)</f>
        <v>PLAYER</v>
      </c>
      <c r="U238" s="84" t="b">
        <f>COUNTIF(tblCost[TargetID],A238)&gt;0</f>
        <v>1</v>
      </c>
      <c r="V238" s="85">
        <f t="array" ref="V238">IF(
 U238=FALSE,
 "",
 _xlfn.XLOOKUP(
  A238,
  tblCost[TargetID],
  tblCost[FundingPercent],
  ""
 )
)</f>
        <v>0</v>
      </c>
      <c r="W238" s="26">
        <f t="array" ref="W238">IF(
 U238=FALSE,
 "",
 _xlfn.XLOOKUP(
  A238,
  tblCost[TargetID],
  tblCost[RemainingRequirements],
  ""
 )
)</f>
        <v>2</v>
      </c>
      <c r="X238" s="45" t="b">
        <f t="array" ref="X238">IF(
 U238=FALSE,
 "N/A",
 _xlfn.XLOOKUP(
  A239,
  tblCost[TargetID],
  tblCost[TargetFunded],
  FALSE
 )
)</f>
        <v>0</v>
      </c>
      <c r="Y238" s="26" t="str">
        <f>IFERROR(__xludf.DUMMYFUNCTION("IFERROR(
 TEXTJOIN(
  "", "",
  TRUE,
  FILTER(
   'cost checklist'!$E$2:$E1000&amp;"": ""&amp;'cost checklist'!$G$2:$G1000,
   'cost checklist'!$B$2:$B1000=A238,
   'cost checklist'!$J$2:$J1000=FALSE
  )
 ),
 """"
)"),"emeralds: 15, page: 30")</f>
        <v>emeralds: 15, page: 30</v>
      </c>
      <c r="Z238" s="26" t="b">
        <f>IFERROR(__xludf.DUMMYFUNCTION("IF(
 AND(
  E238=""QUEST"",
  RIGHT(A238,9)="".accepted"",
  D238=TRUE
 ),
 XLOOKUP(
  REGEXREPLACE(A238,""\.accepted$"","""")&amp;"".finished"",
  $A$2:$A1000,
  $D$2:$D1000,
  TRUE
 )=FALSE,
 FALSE
)"),FALSE)</f>
        <v>0</v>
      </c>
      <c r="AA238" s="26" t="str">
        <f>IFERROR(__xludf.DUMMYFUNCTION("LET(
 id,A238,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39" ht="14.25" customHeight="1">
      <c r="A239" s="26" t="s">
        <v>853</v>
      </c>
      <c r="B239" s="26" t="str">
        <f t="array" ref="B239">_xlfn.XLOOKUP(
 A239,
 tblTargets[TargetID],
 tblTargets[DisplayName],
 ""
)</f>
        <v>Flamethrower</v>
      </c>
      <c r="C239" s="26" t="str">
        <f t="shared" si="1"/>
        <v>BLOCKED</v>
      </c>
      <c r="D239" s="26" t="b">
        <f>IFERROR(__xludf.DUMMYFUNCTION("LET(
 id,A239,
 IF(
  F239=""CHARACTER"",
  LET(
   base,REGEXREPLACE(id,""@\d+$"",""""),
   required,VALUE(REGEXEXTRACT(id,""@(\d+)$"")),
   current,XLOOKUP(
    base,
    tblPlayer[PlayerStateID],
    tblPlayer[Value],
    0
   ),
   current&gt;=required
 "&amp;" ),
  IF(
   T239=""AUTO"",
   L239=0,
   COUNTIFS(
    tblChecklist[TargetID],id,
    tblChecklist[PlayerCompleted],TRUE
   )&gt;0
  )
 )
)"),FALSE)</f>
        <v>0</v>
      </c>
      <c r="E239" s="26" t="str">
        <f t="array" ref="E239">_xlfn.XLOOKUP(
 A239,
 tblTargets[TargetID],
 tblTargets[TargetType],
 ""
)</f>
        <v>CRAFTIFACT</v>
      </c>
      <c r="F239" s="26" t="str">
        <f t="array" ref="F239">_xlfn.XLOOKUP(
 A239,
 tblTargets[TargetID],
 tblTargets[StateType],
 ""
)</f>
        <v/>
      </c>
      <c r="G239" s="26">
        <f>LET(
 id,A239,
 depCount,COUNTIF(tblDependencies[TargetID],id),
 objCount,COUNTIF(tblQuestObjectives[QuestTargetID],id),
 depCount+objCount
)</f>
        <v>2</v>
      </c>
      <c r="H239" s="26">
        <f t="shared" si="2"/>
        <v>2</v>
      </c>
      <c r="I239" s="26">
        <f>IFERROR(__xludf.DUMMYFUNCTION("LET(
 id,A239,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39" s="26">
        <f t="shared" si="3"/>
        <v>0</v>
      </c>
      <c r="K239" s="26" t="b">
        <f t="shared" si="4"/>
        <v>0</v>
      </c>
      <c r="L239" s="26">
        <f t="shared" si="5"/>
        <v>2</v>
      </c>
      <c r="M239" s="26" t="str">
        <f>IFERROR(__xludf.DUMMYFUNCTION("LET(
 id,A239,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L239=0,
  """",
  IFERROR(INDEX(incomplete,1),"""")"&amp;"
 )
)"),"building.alchemists_hut@6")</f>
        <v>building.alchemists_hut@6</v>
      </c>
      <c r="N239" s="26" t="str">
        <f t="array" ref="N239">IF(
 M239="",
 "",
 _xlfn.XLOOKUP(
  M239,
  tblTargets[TargetID],
  tblTargets[DisplayName],
  M239
 )
)</f>
        <v>Alchemist's Hut Lv 6</v>
      </c>
      <c r="O239" s="26" t="str">
        <f>IFERROR(__xludf.DUMMYFUNCTION("SWITCH(
 E239,
 ""BUILDING"",XLOOKUP(A239,tblBuildings[BuildingID],tblBuildings[costtext],""""),
 ""TECH"",XLOOKUP(A239,tblTechnologies[TechnologyID],tblTechnologies[costtext],""""),
 ""QUEST"",XLOOKUP(
  REGEXREPLACE(A239,""\.[^.]+$"",""""),
  tblQuests["&amp;"QuestID],
  tblQuests[Costtext],
  """"
 ),
 ""CITADEL"",XLOOKUP(A239,tblCitadel[CitadelID],tblCitadel[costtext],""""),
 ""COLLECTION"",XLOOKUP(A239,tblCollections[CollectionID],tblCollections[costtext],""""),
 ""CRAFTIFACT"",XLOOKUP(A239,tblCraftifacts[C"&amp;"raftifactID],tblCraftifacts[costtext],""""),
 """"
)"),"10 apy,30 blueprint,10 catalyst,40 chemicals,10 glass,5 mechanism,20 oil,20 tparts")</f>
        <v>10 apy,30 blueprint,10 catalyst,40 chemicals,10 glass,5 mechanism,20 oil,20 tparts</v>
      </c>
      <c r="P239" s="26" t="str">
        <f t="shared" si="6"/>
        <v>BLOCKED</v>
      </c>
      <c r="Q239" s="26" t="str">
        <f t="shared" si="7"/>
        <v>BLOCKED</v>
      </c>
      <c r="R239" s="26">
        <f t="array" ref="R239">IFERROR(
 _xlfn.XLOOKUP(
  A239,
  tblChecklist[TargetID],
  tblChecklist[PlayerSort],
  ""
 ),
 ""
)</f>
        <v>25</v>
      </c>
      <c r="S239" s="26" t="str">
        <f>IFERROR(__xludf.DUMMYFUNCTION("LET(
 id,A239,
 successorIDs,
  IFERROR(
   UNIQUE(
    FILTER(
     {
      Dependencies!$A$2:$A$1000;
      QuestObjectives!$A$2:$A$1000
     },
     {
      Dependencies!$B$2:$B$1000;
      QuestObjectives!$E$2:$E$1000
     }=id
    )
   ),
   """"
  )"&amp;",
 names,
  MAP(
   successorIDs,
   LAMBDA(s,
    IF(
     s="""",
     """",
     XLOOKUP(
      s,
      $A$2:$A$1000,
      $B$2:$B$1000,
      s
     )
    )
   )
  ),
 IF(
  successorIDs="""",
  """",
  TEXTJOIN("", "",TRUE,names)
 )
)"),"")</f>
        <v/>
      </c>
      <c r="T239" s="26" t="str">
        <f t="array" ref="T239">_xlfn.XLOOKUP(
 A239,
 tblTargets[TargetID],
 tblTargets[CompletionMethod],
 ""
)</f>
        <v>PLAYER</v>
      </c>
      <c r="U239" s="84" t="b">
        <f>COUNTIF(tblCost[TargetID],A239)&gt;0</f>
        <v>1</v>
      </c>
      <c r="V239" s="85">
        <f t="array" ref="V239">IF(
 U239=FALSE,
 "",
 _xlfn.XLOOKUP(
  A239,
  tblCost[TargetID],
  tblCost[FundingPercent],
  ""
 )
)</f>
        <v>0</v>
      </c>
      <c r="W239" s="26">
        <f t="array" ref="W239">IF(
 U239=FALSE,
 "",
 _xlfn.XLOOKUP(
  A239,
  tblCost[TargetID],
  tblCost[RemainingRequirements],
  ""
 )
)</f>
        <v>8</v>
      </c>
      <c r="X239" s="45" t="b">
        <f t="array" ref="X239">IF(
 U239=FALSE,
 "N/A",
 _xlfn.XLOOKUP(
  A240,
  tblCost[TargetID],
  tblCost[TargetFunded],
  FALSE
 )
)</f>
        <v>0</v>
      </c>
      <c r="Y239" s="26" t="str">
        <f>IFERROR(__xludf.DUMMYFUNCTION("IFERROR(
 TEXTJOIN(
  "", "",
  TRUE,
  FILTER(
   'cost checklist'!$E$2:$E1000&amp;"": ""&amp;'cost checklist'!$G$2:$G1000,
   'cost checklist'!$B$2:$B1000=A239,
   'cost checklist'!$J$2:$J1000=FALSE
  )
 ),
 """"
)"),"apy: 10, blueprint: 30, catalyst: 10, chemicals: 40, glass: 10, mechanism: 5, oil: 20, tparts: 20")</f>
        <v>apy: 10, blueprint: 30, catalyst: 10, chemicals: 40, glass: 10, mechanism: 5, oil: 20, tparts: 20</v>
      </c>
      <c r="Z239" s="26" t="b">
        <f>IFERROR(__xludf.DUMMYFUNCTION("IF(
 AND(
  E239=""QUEST"",
  RIGHT(A239,9)="".accepted"",
  D239=TRUE
 ),
 XLOOKUP(
  REGEXREPLACE(A239,""\.accepted$"","""")&amp;"".finished"",
  $A$2:$A1000,
  $D$2:$D1000,
  TRUE
 )=FALSE,
 FALSE
)"),FALSE)</f>
        <v>0</v>
      </c>
      <c r="AA239" s="26" t="str">
        <f>IFERROR(__xludf.DUMMYFUNCTION("LET(
 id,A239,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0" ht="14.25" customHeight="1">
      <c r="A240" s="26" t="s">
        <v>858</v>
      </c>
      <c r="B240" s="26" t="str">
        <f t="array" ref="B240">_xlfn.XLOOKUP(
 A240,
 tblTargets[TargetID],
 tblTargets[DisplayName],
 ""
)</f>
        <v>Guild Banner</v>
      </c>
      <c r="C240" s="26" t="str">
        <f t="shared" si="1"/>
        <v>BLOCKED</v>
      </c>
      <c r="D240" s="26" t="b">
        <f>IFERROR(__xludf.DUMMYFUNCTION("LET(
 id,A240,
 IF(
  F240=""CHARACTER"",
  LET(
   base,REGEXREPLACE(id,""@\d+$"",""""),
   required,VALUE(REGEXEXTRACT(id,""@(\d+)$"")),
   current,XLOOKUP(
    base,
    tblPlayer[PlayerStateID],
    tblPlayer[Value],
    0
   ),
   current&gt;=required
 "&amp;" ),
  IF(
   T240=""AUTO"",
   L240=0,
   COUNTIFS(
    tblChecklist[TargetID],id,
    tblChecklist[PlayerCompleted],TRUE
   )&gt;0
  )
 )
)"),FALSE)</f>
        <v>0</v>
      </c>
      <c r="E240" s="26" t="str">
        <f t="array" ref="E240">_xlfn.XLOOKUP(
 A240,
 tblTargets[TargetID],
 tblTargets[TargetType],
 ""
)</f>
        <v>CRAFTIFACT</v>
      </c>
      <c r="F240" s="26" t="str">
        <f t="array" ref="F240">_xlfn.XLOOKUP(
 A240,
 tblTargets[TargetID],
 tblTargets[StateType],
 ""
)</f>
        <v/>
      </c>
      <c r="G240" s="26">
        <f>LET(
 id,A240,
 depCount,COUNTIF(tblDependencies[TargetID],id),
 objCount,COUNTIF(tblQuestObjectives[QuestTargetID],id),
 depCount+objCount
)</f>
        <v>2</v>
      </c>
      <c r="H240" s="26">
        <f t="shared" si="2"/>
        <v>2</v>
      </c>
      <c r="I240" s="26">
        <f>IFERROR(__xludf.DUMMYFUNCTION("LET(
 id,A240,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0" s="26">
        <f t="shared" si="3"/>
        <v>0</v>
      </c>
      <c r="K240" s="26" t="b">
        <f t="shared" si="4"/>
        <v>0</v>
      </c>
      <c r="L240" s="26">
        <f t="shared" si="5"/>
        <v>2</v>
      </c>
      <c r="M240" s="26" t="str">
        <f>IFERROR(__xludf.DUMMYFUNCTION("LET(
 id,A240,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L240=0,
  """",
  IFERROR(INDEX(incomplete,1),"""")"&amp;"
 )
)"),"building.tailor@2")</f>
        <v>building.tailor@2</v>
      </c>
      <c r="N240" s="26" t="str">
        <f t="array" ref="N240">IF(
 M240="",
 "",
 _xlfn.XLOOKUP(
  M240,
  tblTargets[TargetID],
  tblTargets[DisplayName],
  M240
 )
)</f>
        <v>Tailor Lv 2</v>
      </c>
      <c r="O240" s="26" t="str">
        <f>IFERROR(__xludf.DUMMYFUNCTION("SWITCH(
 E240,
 ""BUILDING"",XLOOKUP(A240,tblBuildings[BuildingID],tblBuildings[costtext],""""),
 ""TECH"",XLOOKUP(A240,tblTechnologies[TechnologyID],tblTechnologies[costtext],""""),
 ""QUEST"",XLOOKUP(
  REGEXREPLACE(A240,""\.[^.]+$"",""""),
  tblQuests["&amp;"QuestID],
  tblQuests[Costtext],
  """"
 ),
 ""CITADEL"",XLOOKUP(A240,tblCitadel[CitadelID],tblCitadel[costtext],""""),
 ""COLLECTION"",XLOOKUP(A240,tblCollections[CollectionID],tblCollections[costtext],""""),
 ""CRAFTIFACT"",XLOOKUP(A240,tblCraftifacts[C"&amp;"raftifactID],tblCraftifacts[costtext],""""),
 """"
)"),"100 silk")</f>
        <v>100 silk</v>
      </c>
      <c r="P240" s="26" t="str">
        <f t="shared" si="6"/>
        <v>BLOCKED</v>
      </c>
      <c r="Q240" s="26" t="str">
        <f t="shared" si="7"/>
        <v>BLOCKED</v>
      </c>
      <c r="R240" s="26" t="str">
        <f t="array" ref="R240">IFERROR(
 _xlfn.XLOOKUP(
  A240,
  tblChecklist[TargetID],
  tblChecklist[PlayerSort],
  ""
 ),
 ""
)</f>
        <v/>
      </c>
      <c r="S240" s="26" t="str">
        <f>IFERROR(__xludf.DUMMYFUNCTION("LET(
 id,A240,
 successorIDs,
  IFERROR(
   UNIQUE(
    FILTER(
     {
      Dependencies!$A$2:$A$1000;
      QuestObjectives!$A$2:$A$1000
     },
     {
      Dependencies!$B$2:$B$1000;
      QuestObjectives!$E$2:$E$1000
     }=id
    )
   ),
   """"
  )"&amp;",
 names,
  MAP(
   successorIDs,
   LAMBDA(s,
    IF(
     s="""",
     """",
     XLOOKUP(
      s,
      $A$2:$A$1000,
      $B$2:$B$1000,
      s
     )
    )
   )
  ),
 IF(
  successorIDs="""",
  """",
  TEXTJOIN("", "",TRUE,names)
 )
)"),"Honor, Glory, Sushi Finished")</f>
        <v>Honor, Glory, Sushi Finished</v>
      </c>
      <c r="T240" s="26" t="str">
        <f t="array" ref="T240">_xlfn.XLOOKUP(
 A240,
 tblTargets[TargetID],
 tblTargets[CompletionMethod],
 ""
)</f>
        <v>PLAYER</v>
      </c>
      <c r="U240" s="84" t="b">
        <f>COUNTIF(tblCost[TargetID],A240)&gt;0</f>
        <v>1</v>
      </c>
      <c r="V240" s="85">
        <f t="array" ref="V240">IF(
 U240=FALSE,
 "",
 _xlfn.XLOOKUP(
  A240,
  tblCost[TargetID],
  tblCost[FundingPercent],
  ""
 )
)</f>
        <v>0</v>
      </c>
      <c r="W240" s="26">
        <f t="array" ref="W240">IF(
 U240=FALSE,
 "",
 _xlfn.XLOOKUP(
  A240,
  tblCost[TargetID],
  tblCost[RemainingRequirements],
  ""
 )
)</f>
        <v>1</v>
      </c>
      <c r="X240" s="45" t="b">
        <f t="array" ref="X240">IF(
 U240=FALSE,
 "N/A",
 _xlfn.XLOOKUP(
  A241,
  tblCost[TargetID],
  tblCost[TargetFunded],
  FALSE
 )
)</f>
        <v>0</v>
      </c>
      <c r="Y240" s="26" t="str">
        <f>IFERROR(__xludf.DUMMYFUNCTION("IFERROR(
 TEXTJOIN(
  "", "",
  TRUE,
  FILTER(
   'cost checklist'!$E$2:$E1000&amp;"": ""&amp;'cost checklist'!$G$2:$G1000,
   'cost checklist'!$B$2:$B1000=A240,
   'cost checklist'!$J$2:$J1000=FALSE
  )
 ),
 """"
)"),"silk: 100")</f>
        <v>silk: 100</v>
      </c>
      <c r="Z240" s="26" t="b">
        <f>IFERROR(__xludf.DUMMYFUNCTION("IF(
 AND(
  E240=""QUEST"",
  RIGHT(A240,9)="".accepted"",
  D240=TRUE
 ),
 XLOOKUP(
  REGEXREPLACE(A240,""\.accepted$"","""")&amp;"".finished"",
  $A$2:$A1000,
  $D$2:$D1000,
  TRUE
 )=FALSE,
 FALSE
)"),FALSE)</f>
        <v>0</v>
      </c>
      <c r="AA240" s="26" t="str">
        <f>IFERROR(__xludf.DUMMYFUNCTION("LET(
 id,A240,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1" ht="14.25" customHeight="1">
      <c r="A241" s="26" t="s">
        <v>861</v>
      </c>
      <c r="B241" s="26" t="str">
        <f t="array" ref="B241">_xlfn.XLOOKUP(
 A241,
 tblTargets[TargetID],
 tblTargets[DisplayName],
 ""
)</f>
        <v>Guild Codex</v>
      </c>
      <c r="C241" s="26" t="str">
        <f t="shared" si="1"/>
        <v>BLOCKED</v>
      </c>
      <c r="D241" s="26" t="b">
        <f>IFERROR(__xludf.DUMMYFUNCTION("LET(
 id,A241,
 IF(
  F241=""CHARACTER"",
  LET(
   base,REGEXREPLACE(id,""@\d+$"",""""),
   required,VALUE(REGEXEXTRACT(id,""@(\d+)$"")),
   current,XLOOKUP(
    base,
    tblPlayer[PlayerStateID],
    tblPlayer[Value],
    0
   ),
   current&gt;=required
 "&amp;" ),
  IF(
   T241=""AUTO"",
   L241=0,
   COUNTIFS(
    tblChecklist[TargetID],id,
    tblChecklist[PlayerCompleted],TRUE
   )&gt;0
  )
 )
)"),FALSE)</f>
        <v>0</v>
      </c>
      <c r="E241" s="26" t="str">
        <f t="array" ref="E241">_xlfn.XLOOKUP(
 A241,
 tblTargets[TargetID],
 tblTargets[TargetType],
 ""
)</f>
        <v>CRAFTIFACT</v>
      </c>
      <c r="F241" s="26" t="str">
        <f t="array" ref="F241">_xlfn.XLOOKUP(
 A241,
 tblTargets[TargetID],
 tblTargets[StateType],
 ""
)</f>
        <v/>
      </c>
      <c r="G241" s="26">
        <f>LET(
 id,A241,
 depCount,COUNTIF(tblDependencies[TargetID],id),
 objCount,COUNTIF(tblQuestObjectives[QuestTargetID],id),
 depCount+objCount
)</f>
        <v>2</v>
      </c>
      <c r="H241" s="26">
        <f t="shared" si="2"/>
        <v>2</v>
      </c>
      <c r="I241" s="26">
        <f>IFERROR(__xludf.DUMMYFUNCTION("LET(
 id,A241,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1" s="26">
        <f t="shared" si="3"/>
        <v>0</v>
      </c>
      <c r="K241" s="26" t="b">
        <f t="shared" si="4"/>
        <v>0</v>
      </c>
      <c r="L241" s="26">
        <f t="shared" si="5"/>
        <v>2</v>
      </c>
      <c r="M241" s="26" t="str">
        <f>IFERROR(__xludf.DUMMYFUNCTION("LET(
 id,A241,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L241=0,
  """",
  IFERROR(INDEX(incomplete,1),"""")"&amp;"
 )
)"),"building.guild@5")</f>
        <v>building.guild@5</v>
      </c>
      <c r="N241" s="26" t="str">
        <f t="array" ref="N241">IF(
 M241="",
 "",
 _xlfn.XLOOKUP(
  M241,
  tblTargets[TargetID],
  tblTargets[DisplayName],
  M241
 )
)</f>
        <v>Guild Lv 5</v>
      </c>
      <c r="O241" s="26" t="str">
        <f>IFERROR(__xludf.DUMMYFUNCTION("SWITCH(
 E241,
 ""BUILDING"",XLOOKUP(A241,tblBuildings[BuildingID],tblBuildings[costtext],""""),
 ""TECH"",XLOOKUP(A241,tblTechnologies[TechnologyID],tblTechnologies[costtext],""""),
 ""QUEST"",XLOOKUP(
  REGEXREPLACE(A241,""\.[^.]+$"",""""),
  tblQuests["&amp;"QuestID],
  tblQuests[Costtext],
  """"
 ),
 ""CITADEL"",XLOOKUP(A241,tblCitadel[CitadelID],tblCitadel[costtext],""""),
 ""COLLECTION"",XLOOKUP(A241,tblCollections[CollectionID],tblCollections[costtext],""""),
 ""CRAFTIFACT"",XLOOKUP(A241,tblCraftifacts[C"&amp;"raftifactID],tblCraftifacts[costtext],""""),
 """"
)"),"100 paper")</f>
        <v>100 paper</v>
      </c>
      <c r="P241" s="26" t="str">
        <f t="shared" si="6"/>
        <v>BLOCKED</v>
      </c>
      <c r="Q241" s="26" t="str">
        <f t="shared" si="7"/>
        <v>BLOCKED</v>
      </c>
      <c r="R241" s="26" t="str">
        <f t="array" ref="R241">IFERROR(
 _xlfn.XLOOKUP(
  A241,
  tblChecklist[TargetID],
  tblChecklist[PlayerSort],
  ""
 ),
 ""
)</f>
        <v/>
      </c>
      <c r="S241" s="26" t="str">
        <f>IFERROR(__xludf.DUMMYFUNCTION("LET(
 id,A241,
 successorIDs,
  IFERROR(
   UNIQUE(
    FILTER(
     {
      Dependencies!$A$2:$A$1000;
      QuestObjectives!$A$2:$A$1000
     },
     {
      Dependencies!$B$2:$B$1000;
      QuestObjectives!$E$2:$E$1000
     }=id
    )
   ),
   """"
  )"&amp;",
 names,
  MAP(
   successorIDs,
   LAMBDA(s,
    IF(
     s="""",
     """",
     XLOOKUP(
      s,
      $A$2:$A$1000,
      $B$2:$B$1000,
      s
     )
    )
   )
  ),
 IF(
  successorIDs="""",
  """",
  TEXTJOIN("", "",TRUE,names)
 )
)"),"Honor, Glory, Sushi Finished")</f>
        <v>Honor, Glory, Sushi Finished</v>
      </c>
      <c r="T241" s="26" t="str">
        <f t="array" ref="T241">_xlfn.XLOOKUP(
 A241,
 tblTargets[TargetID],
 tblTargets[CompletionMethod],
 ""
)</f>
        <v>PLAYER</v>
      </c>
      <c r="U241" s="84" t="b">
        <f>COUNTIF(tblCost[TargetID],A241)&gt;0</f>
        <v>1</v>
      </c>
      <c r="V241" s="85">
        <f t="array" ref="V241">IF(
 U241=FALSE,
 "",
 _xlfn.XLOOKUP(
  A241,
  tblCost[TargetID],
  tblCost[FundingPercent],
  ""
 )
)</f>
        <v>0</v>
      </c>
      <c r="W241" s="26">
        <f t="array" ref="W241">IF(
 U241=FALSE,
 "",
 _xlfn.XLOOKUP(
  A241,
  tblCost[TargetID],
  tblCost[RemainingRequirements],
  ""
 )
)</f>
        <v>1</v>
      </c>
      <c r="X241" s="45" t="b">
        <f t="array" ref="X241">IF(
 U241=FALSE,
 "N/A",
 _xlfn.XLOOKUP(
  A242,
  tblCost[TargetID],
  tblCost[TargetFunded],
  FALSE
 )
)</f>
        <v>0</v>
      </c>
      <c r="Y241" s="26" t="str">
        <f>IFERROR(__xludf.DUMMYFUNCTION("IFERROR(
 TEXTJOIN(
  "", "",
  TRUE,
  FILTER(
   'cost checklist'!$E$2:$E1000&amp;"": ""&amp;'cost checklist'!$G$2:$G1000,
   'cost checklist'!$B$2:$B1000=A241,
   'cost checklist'!$J$2:$J1000=FALSE
  )
 ),
 """"
)"),"paper: 100")</f>
        <v>paper: 100</v>
      </c>
      <c r="Z241" s="26" t="b">
        <f>IFERROR(__xludf.DUMMYFUNCTION("IF(
 AND(
  E241=""QUEST"",
  RIGHT(A241,9)="".accepted"",
  D241=TRUE
 ),
 XLOOKUP(
  REGEXREPLACE(A241,""\.accepted$"","""")&amp;"".finished"",
  $A$2:$A1000,
  $D$2:$D1000,
  TRUE
 )=FALSE,
 FALSE
)"),FALSE)</f>
        <v>0</v>
      </c>
      <c r="AA241" s="26" t="str">
        <f>IFERROR(__xludf.DUMMYFUNCTION("LET(
 id,A241,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2" ht="14.25" customHeight="1">
      <c r="A242" s="26" t="s">
        <v>864</v>
      </c>
      <c r="B242" s="26" t="str">
        <f t="array" ref="B242">_xlfn.XLOOKUP(
 A242,
 tblTargets[TargetID],
 tblTargets[DisplayName],
 ""
)</f>
        <v>Guild Supplies</v>
      </c>
      <c r="C242" s="26" t="str">
        <f t="shared" si="1"/>
        <v>BLOCKED</v>
      </c>
      <c r="D242" s="26" t="b">
        <f>IFERROR(__xludf.DUMMYFUNCTION("LET(
 id,A242,
 IF(
  F242=""CHARACTER"",
  LET(
   base,REGEXREPLACE(id,""@\d+$"",""""),
   required,VALUE(REGEXEXTRACT(id,""@(\d+)$"")),
   current,XLOOKUP(
    base,
    tblPlayer[PlayerStateID],
    tblPlayer[Value],
    0
   ),
   current&gt;=required
 "&amp;" ),
  IF(
   T242=""AUTO"",
   L242=0,
   COUNTIFS(
    tblChecklist[TargetID],id,
    tblChecklist[PlayerCompleted],TRUE
   )&gt;0
  )
 )
)"),FALSE)</f>
        <v>0</v>
      </c>
      <c r="E242" s="26" t="str">
        <f t="array" ref="E242">_xlfn.XLOOKUP(
 A242,
 tblTargets[TargetID],
 tblTargets[TargetType],
 ""
)</f>
        <v>CRAFTIFACT</v>
      </c>
      <c r="F242" s="26" t="str">
        <f t="array" ref="F242">_xlfn.XLOOKUP(
 A242,
 tblTargets[TargetID],
 tblTargets[StateType],
 ""
)</f>
        <v/>
      </c>
      <c r="G242" s="26">
        <f>LET(
 id,A242,
 depCount,COUNTIF(tblDependencies[TargetID],id),
 objCount,COUNTIF(tblQuestObjectives[QuestTargetID],id),
 depCount+objCount
)</f>
        <v>2</v>
      </c>
      <c r="H242" s="26">
        <f t="shared" si="2"/>
        <v>2</v>
      </c>
      <c r="I242" s="26">
        <f>IFERROR(__xludf.DUMMYFUNCTION("LET(
 id,A242,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2" s="26">
        <f t="shared" si="3"/>
        <v>0</v>
      </c>
      <c r="K242" s="26" t="b">
        <f t="shared" si="4"/>
        <v>0</v>
      </c>
      <c r="L242" s="26">
        <f t="shared" si="5"/>
        <v>2</v>
      </c>
      <c r="M242" s="26" t="str">
        <f>IFERROR(__xludf.DUMMYFUNCTION("LET(
 id,A242,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L242=0,
  """",
  IFERROR(INDEX(incomplete,1),"""")"&amp;"
 )
)"),"building.food_stall@3")</f>
        <v>building.food_stall@3</v>
      </c>
      <c r="N242" s="26" t="str">
        <f t="array" ref="N242">IF(
 M242="",
 "",
 _xlfn.XLOOKUP(
  M242,
  tblTargets[TargetID],
  tblTargets[DisplayName],
  M242
 )
)</f>
        <v>Food Stall Lv 3</v>
      </c>
      <c r="O242" s="26" t="str">
        <f>IFERROR(__xludf.DUMMYFUNCTION("SWITCH(
 E242,
 ""BUILDING"",XLOOKUP(A242,tblBuildings[BuildingID],tblBuildings[costtext],""""),
 ""TECH"",XLOOKUP(A242,tblTechnologies[TechnologyID],tblTechnologies[costtext],""""),
 ""QUEST"",XLOOKUP(
  REGEXREPLACE(A242,""\.[^.]+$"",""""),
  tblQuests["&amp;"QuestID],
  tblQuests[Costtext],
  """"
 ),
 ""CITADEL"",XLOOKUP(A242,tblCitadel[CitadelID],tblCitadel[costtext],""""),
 ""COLLECTION"",XLOOKUP(A242,tblCollections[CollectionID],tblCollections[costtext],""""),
 ""CRAFTIFACT"",XLOOKUP(A242,tblCraftifacts[C"&amp;"raftifactID],tblCraftifacts[costtext],""""),
 """"
)"),"50 dates,25 flour,25 glass,50 honey,50 oil,25 rice,25 tuna")</f>
        <v>50 dates,25 flour,25 glass,50 honey,50 oil,25 rice,25 tuna</v>
      </c>
      <c r="P242" s="26" t="str">
        <f t="shared" si="6"/>
        <v>BLOCKED</v>
      </c>
      <c r="Q242" s="26" t="str">
        <f t="shared" si="7"/>
        <v>BLOCKED</v>
      </c>
      <c r="R242" s="26" t="str">
        <f t="array" ref="R242">IFERROR(
 _xlfn.XLOOKUP(
  A242,
  tblChecklist[TargetID],
  tblChecklist[PlayerSort],
  ""
 ),
 ""
)</f>
        <v/>
      </c>
      <c r="S242" s="26" t="str">
        <f>IFERROR(__xludf.DUMMYFUNCTION("LET(
 id,A242,
 successorIDs,
  IFERROR(
   UNIQUE(
    FILTER(
     {
      Dependencies!$A$2:$A$1000;
      QuestObjectives!$A$2:$A$1000
     },
     {
      Dependencies!$B$2:$B$1000;
      QuestObjectives!$E$2:$E$1000
     }=id
    )
   ),
   """"
  )"&amp;",
 names,
  MAP(
   successorIDs,
   LAMBDA(s,
    IF(
     s="""",
     """",
     XLOOKUP(
      s,
      $A$2:$A$1000,
      $B$2:$B$1000,
      s
     )
    )
   )
  ),
 IF(
  successorIDs="""",
  """",
  TEXTJOIN("", "",TRUE,names)
 )
)"),"Honor, Glory, Sushi Finished")</f>
        <v>Honor, Glory, Sushi Finished</v>
      </c>
      <c r="T242" s="26" t="str">
        <f t="array" ref="T242">_xlfn.XLOOKUP(
 A242,
 tblTargets[TargetID],
 tblTargets[CompletionMethod],
 ""
)</f>
        <v>PLAYER</v>
      </c>
      <c r="U242" s="84" t="b">
        <f>COUNTIF(tblCost[TargetID],A242)&gt;0</f>
        <v>1</v>
      </c>
      <c r="V242" s="85">
        <f t="array" ref="V242">IF(
 U242=FALSE,
 "",
 _xlfn.XLOOKUP(
  A242,
  tblCost[TargetID],
  tblCost[FundingPercent],
  ""
 )
)</f>
        <v>0</v>
      </c>
      <c r="W242" s="26">
        <f t="array" ref="W242">IF(
 U242=FALSE,
 "",
 _xlfn.XLOOKUP(
  A242,
  tblCost[TargetID],
  tblCost[RemainingRequirements],
  ""
 )
)</f>
        <v>7</v>
      </c>
      <c r="X242" s="45" t="b">
        <f t="array" ref="X242">IF(
 U242=FALSE,
 "N/A",
 _xlfn.XLOOKUP(
  A243,
  tblCost[TargetID],
  tblCost[TargetFunded],
  FALSE
 )
)</f>
        <v>0</v>
      </c>
      <c r="Y242" s="26" t="str">
        <f>IFERROR(__xludf.DUMMYFUNCTION("IFERROR(
 TEXTJOIN(
  "", "",
  TRUE,
  FILTER(
   'cost checklist'!$E$2:$E1000&amp;"": ""&amp;'cost checklist'!$G$2:$G1000,
   'cost checklist'!$B$2:$B1000=A242,
   'cost checklist'!$J$2:$J1000=FALSE
  )
 ),
 """"
)"),"dates: 50, flour: 25, glass: 25, honey: 50, oil: 50, rice: 25, tuna: 25")</f>
        <v>dates: 50, flour: 25, glass: 25, honey: 50, oil: 50, rice: 25, tuna: 25</v>
      </c>
      <c r="Z242" s="26" t="b">
        <f>IFERROR(__xludf.DUMMYFUNCTION("IF(
 AND(
  E242=""QUEST"",
  RIGHT(A242,9)="".accepted"",
  D242=TRUE
 ),
 XLOOKUP(
  REGEXREPLACE(A242,""\.accepted$"","""")&amp;"".finished"",
  $A$2:$A1000,
  $D$2:$D1000,
  TRUE
 )=FALSE,
 FALSE
)"),FALSE)</f>
        <v>0</v>
      </c>
      <c r="AA242" s="26" t="str">
        <f>IFERROR(__xludf.DUMMYFUNCTION("LET(
 id,A242,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3" ht="14.25" customHeight="1">
      <c r="A243" s="26" t="s">
        <v>867</v>
      </c>
      <c r="B243" s="26" t="str">
        <f t="array" ref="B243">_xlfn.XLOOKUP(
 A243,
 tblTargets[TargetID],
 tblTargets[DisplayName],
 ""
)</f>
        <v>Hat Of Concentration</v>
      </c>
      <c r="C243" s="26" t="str">
        <f t="shared" si="1"/>
        <v>BLOCKED</v>
      </c>
      <c r="D243" s="26" t="b">
        <f>IFERROR(__xludf.DUMMYFUNCTION("LET(
 id,A243,
 IF(
  F243=""CHARACTER"",
  LET(
   base,REGEXREPLACE(id,""@\d+$"",""""),
   required,VALUE(REGEXEXTRACT(id,""@(\d+)$"")),
   current,XLOOKUP(
    base,
    tblPlayer[PlayerStateID],
    tblPlayer[Value],
    0
   ),
   current&gt;=required
 "&amp;" ),
  IF(
   T243=""AUTO"",
   L243=0,
   COUNTIFS(
    tblChecklist[TargetID],id,
    tblChecklist[PlayerCompleted],TRUE
   )&gt;0
  )
 )
)"),FALSE)</f>
        <v>0</v>
      </c>
      <c r="E243" s="26" t="str">
        <f t="array" ref="E243">_xlfn.XLOOKUP(
 A243,
 tblTargets[TargetID],
 tblTargets[TargetType],
 ""
)</f>
        <v>CRAFTIFACT</v>
      </c>
      <c r="F243" s="26" t="str">
        <f t="array" ref="F243">_xlfn.XLOOKUP(
 A243,
 tblTargets[TargetID],
 tblTargets[StateType],
 ""
)</f>
        <v/>
      </c>
      <c r="G243" s="26">
        <f>LET(
 id,A243,
 depCount,COUNTIF(tblDependencies[TargetID],id),
 objCount,COUNTIF(tblQuestObjectives[QuestTargetID],id),
 depCount+objCount
)</f>
        <v>2</v>
      </c>
      <c r="H243" s="26">
        <f t="shared" si="2"/>
        <v>2</v>
      </c>
      <c r="I243" s="26">
        <f>IFERROR(__xludf.DUMMYFUNCTION("LET(
 id,A243,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3" s="26">
        <f t="shared" si="3"/>
        <v>0</v>
      </c>
      <c r="K243" s="26" t="b">
        <f t="shared" si="4"/>
        <v>0</v>
      </c>
      <c r="L243" s="26">
        <f t="shared" si="5"/>
        <v>2</v>
      </c>
      <c r="M243" s="26" t="str">
        <f>IFERROR(__xludf.DUMMYFUNCTION("LET(
 id,A243,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L243=0,
  """",
  IFERROR(INDEX(incomplete,1),"""")"&amp;"
 )
)"),"building.tailor@3")</f>
        <v>building.tailor@3</v>
      </c>
      <c r="N243" s="26" t="str">
        <f t="array" ref="N243">IF(
 M243="",
 "",
 _xlfn.XLOOKUP(
  M243,
  tblTargets[TargetID],
  tblTargets[DisplayName],
  M243
 )
)</f>
        <v>Tailor Lv 3</v>
      </c>
      <c r="O243" s="26" t="str">
        <f>IFERROR(__xludf.DUMMYFUNCTION("SWITCH(
 E243,
 ""BUILDING"",XLOOKUP(A243,tblBuildings[BuildingID],tblBuildings[costtext],""""),
 ""TECH"",XLOOKUP(A243,tblTechnologies[TechnologyID],tblTechnologies[costtext],""""),
 ""QUEST"",XLOOKUP(
  REGEXREPLACE(A243,""\.[^.]+$"",""""),
  tblQuests["&amp;"QuestID],
  tblQuests[Costtext],
  """"
 ),
 ""CITADEL"",XLOOKUP(A243,tblCitadel[CitadelID],tblCitadel[costtext],""""),
 ""COLLECTION"",XLOOKUP(A243,tblCollections[CollectionID],tblCollections[costtext],""""),
 ""CRAFTIFACT"",XLOOKUP(A243,tblCraftifacts[C"&amp;"raftifactID],tblCraftifacts[costtext],""""),
 """"
)"),"20 ginkgo,20 grimoire,10 herbs,10 mercury,10 silk,2 teeth,12 velour")</f>
        <v>20 ginkgo,20 grimoire,10 herbs,10 mercury,10 silk,2 teeth,12 velour</v>
      </c>
      <c r="P243" s="26" t="str">
        <f t="shared" si="6"/>
        <v>BLOCKED</v>
      </c>
      <c r="Q243" s="26" t="str">
        <f t="shared" si="7"/>
        <v>BLOCKED</v>
      </c>
      <c r="R243" s="26">
        <f t="array" ref="R243">IFERROR(
 _xlfn.XLOOKUP(
  A243,
  tblChecklist[TargetID],
  tblChecklist[PlayerSort],
  ""
 ),
 ""
)</f>
        <v>29</v>
      </c>
      <c r="S243" s="26" t="str">
        <f>IFERROR(__xludf.DUMMYFUNCTION("LET(
 id,A243,
 successorIDs,
  IFERROR(
   UNIQUE(
    FILTER(
     {
      Dependencies!$A$2:$A$1000;
      QuestObjectives!$A$2:$A$1000
     },
     {
      Dependencies!$B$2:$B$1000;
      QuestObjectives!$E$2:$E$1000
     }=id
    )
   ),
   """"
  )"&amp;",
 names,
  MAP(
   successorIDs,
   LAMBDA(s,
    IF(
     s="""",
     """",
     XLOOKUP(
      s,
      $A$2:$A$1000,
      $B$2:$B$1000,
      s
     )
    )
   )
  ),
 IF(
  successorIDs="""",
  """",
  TEXTJOIN("", "",TRUE,names)
 )
)"),"")</f>
        <v/>
      </c>
      <c r="T243" s="26" t="str">
        <f t="array" ref="T243">_xlfn.XLOOKUP(
 A243,
 tblTargets[TargetID],
 tblTargets[CompletionMethod],
 ""
)</f>
        <v>PLAYER</v>
      </c>
      <c r="U243" s="84" t="b">
        <f>COUNTIF(tblCost[TargetID],A243)&gt;0</f>
        <v>1</v>
      </c>
      <c r="V243" s="85">
        <f t="array" ref="V243">IF(
 U243=FALSE,
 "",
 _xlfn.XLOOKUP(
  A243,
  tblCost[TargetID],
  tblCost[FundingPercent],
  ""
 )
)</f>
        <v>0</v>
      </c>
      <c r="W243" s="26">
        <f t="array" ref="W243">IF(
 U243=FALSE,
 "",
 _xlfn.XLOOKUP(
  A243,
  tblCost[TargetID],
  tblCost[RemainingRequirements],
  ""
 )
)</f>
        <v>7</v>
      </c>
      <c r="X243" s="45" t="b">
        <f t="array" ref="X243">IF(
 U243=FALSE,
 "N/A",
 _xlfn.XLOOKUP(
  A244,
  tblCost[TargetID],
  tblCost[TargetFunded],
  FALSE
 )
)</f>
        <v>0</v>
      </c>
      <c r="Y243" s="26" t="str">
        <f>IFERROR(__xludf.DUMMYFUNCTION("IFERROR(
 TEXTJOIN(
  "", "",
  TRUE,
  FILTER(
   'cost checklist'!$E$2:$E1000&amp;"": ""&amp;'cost checklist'!$G$2:$G1000,
   'cost checklist'!$B$2:$B1000=A243,
   'cost checklist'!$J$2:$J1000=FALSE
  )
 ),
 """"
)"),"ginkgo: 20, grimoire: 20, herbs: 10, mercury: 10, silk: 10, teeth: 2, velour: 12")</f>
        <v>ginkgo: 20, grimoire: 20, herbs: 10, mercury: 10, silk: 10, teeth: 2, velour: 12</v>
      </c>
      <c r="Z243" s="26" t="b">
        <f>IFERROR(__xludf.DUMMYFUNCTION("IF(
 AND(
  E243=""QUEST"",
  RIGHT(A243,9)="".accepted"",
  D243=TRUE
 ),
 XLOOKUP(
  REGEXREPLACE(A243,""\.accepted$"","""")&amp;"".finished"",
  $A$2:$A1000,
  $D$2:$D1000,
  TRUE
 )=FALSE,
 FALSE
)"),FALSE)</f>
        <v>0</v>
      </c>
      <c r="AA243" s="26" t="str">
        <f>IFERROR(__xludf.DUMMYFUNCTION("LET(
 id,A243,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4" ht="14.25" customHeight="1">
      <c r="A244" s="26" t="s">
        <v>872</v>
      </c>
      <c r="B244" s="26" t="str">
        <f t="array" ref="B244">_xlfn.XLOOKUP(
 A244,
 tblTargets[TargetID],
 tblTargets[DisplayName],
 ""
)</f>
        <v>Helmet</v>
      </c>
      <c r="C244" s="26" t="str">
        <f t="shared" si="1"/>
        <v>BLOCKED</v>
      </c>
      <c r="D244" s="26" t="b">
        <f>IFERROR(__xludf.DUMMYFUNCTION("LET(
 id,A244,
 IF(
  F244=""CHARACTER"",
  LET(
   base,REGEXREPLACE(id,""@\d+$"",""""),
   required,VALUE(REGEXEXTRACT(id,""@(\d+)$"")),
   current,XLOOKUP(
    base,
    tblPlayer[PlayerStateID],
    tblPlayer[Value],
    0
   ),
   current&gt;=required
 "&amp;" ),
  IF(
   T244=""AUTO"",
   L244=0,
   COUNTIFS(
    tblChecklist[TargetID],id,
    tblChecklist[PlayerCompleted],TRUE
   )&gt;0
  )
 )
)"),FALSE)</f>
        <v>0</v>
      </c>
      <c r="E244" s="26" t="str">
        <f t="array" ref="E244">_xlfn.XLOOKUP(
 A244,
 tblTargets[TargetID],
 tblTargets[TargetType],
 ""
)</f>
        <v>CRAFTIFACT</v>
      </c>
      <c r="F244" s="26" t="str">
        <f t="array" ref="F244">_xlfn.XLOOKUP(
 A244,
 tblTargets[TargetID],
 tblTargets[StateType],
 ""
)</f>
        <v/>
      </c>
      <c r="G244" s="26">
        <f>LET(
 id,A244,
 depCount,COUNTIF(tblDependencies[TargetID],id),
 objCount,COUNTIF(tblQuestObjectives[QuestTargetID],id),
 depCount+objCount
)</f>
        <v>2</v>
      </c>
      <c r="H244" s="26">
        <f t="shared" si="2"/>
        <v>2</v>
      </c>
      <c r="I244" s="26">
        <f>IFERROR(__xludf.DUMMYFUNCTION("LET(
 id,A244,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4" s="26">
        <f t="shared" si="3"/>
        <v>0</v>
      </c>
      <c r="K244" s="26" t="b">
        <f t="shared" si="4"/>
        <v>0</v>
      </c>
      <c r="L244" s="26">
        <f t="shared" si="5"/>
        <v>2</v>
      </c>
      <c r="M244" s="26" t="str">
        <f>IFERROR(__xludf.DUMMYFUNCTION("LET(
 id,A244,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L244=0,
  """",
  IFERROR(INDEX(incomplete,1),"""")"&amp;"
 )
)"),"building.tailor@3")</f>
        <v>building.tailor@3</v>
      </c>
      <c r="N244" s="26" t="str">
        <f t="array" ref="N244">IF(
 M244="",
 "",
 _xlfn.XLOOKUP(
  M244,
  tblTargets[TargetID],
  tblTargets[DisplayName],
  M244
 )
)</f>
        <v>Tailor Lv 3</v>
      </c>
      <c r="O244" s="26" t="str">
        <f>IFERROR(__xludf.DUMMYFUNCTION("SWITCH(
 E244,
 ""BUILDING"",XLOOKUP(A244,tblBuildings[BuildingID],tblBuildings[costtext],""""),
 ""TECH"",XLOOKUP(A244,tblTechnologies[TechnologyID],tblTechnologies[costtext],""""),
 ""QUEST"",XLOOKUP(
  REGEXREPLACE(A244,""\.[^.]+$"",""""),
  tblQuests["&amp;"QuestID],
  tblQuests[Costtext],
  """"
 ),
 ""CITADEL"",XLOOKUP(A244,tblCitadel[CitadelID],tblCitadel[costtext],""""),
 ""COLLECTION"",XLOOKUP(A244,tblCollections[CollectionID],tblCollections[costtext],""""),
 ""CRAFTIFACT"",XLOOKUP(A244,tblCraftifacts[C"&amp;"raftifactID],tblCraftifacts[costtext],""""),
 """"
)"),"100 crypto,40 msteel,20 page,1 scroll")</f>
        <v>100 crypto,40 msteel,20 page,1 scroll</v>
      </c>
      <c r="P244" s="26" t="str">
        <f t="shared" si="6"/>
        <v>BLOCKED</v>
      </c>
      <c r="Q244" s="26" t="str">
        <f t="shared" si="7"/>
        <v>BLOCKED</v>
      </c>
      <c r="R244" s="26" t="str">
        <f t="array" ref="R244">IFERROR(
 _xlfn.XLOOKUP(
  A244,
  tblChecklist[TargetID],
  tblChecklist[PlayerSort],
  ""
 ),
 ""
)</f>
        <v/>
      </c>
      <c r="S244" s="26" t="str">
        <f>IFERROR(__xludf.DUMMYFUNCTION("LET(
 id,A244,
 successorIDs,
  IFERROR(
   UNIQUE(
    FILTER(
     {
      Dependencies!$A$2:$A$1000;
      QuestObjectives!$A$2:$A$1000
     },
     {
      Dependencies!$B$2:$B$1000;
      QuestObjectives!$E$2:$E$1000
     }=id
    )
   ),
   """"
  )"&amp;",
 names,
  MAP(
   successorIDs,
   LAMBDA(s,
    IF(
     s="""",
     """",
     XLOOKUP(
      s,
      $A$2:$A$1000,
      $B$2:$B$1000,
      s
     )
    )
   )
  ),
 IF(
  successorIDs="""",
  """",
  TEXTJOIN("", "",TRUE,names)
 )
)"),"")</f>
        <v/>
      </c>
      <c r="T244" s="26" t="str">
        <f t="array" ref="T244">_xlfn.XLOOKUP(
 A244,
 tblTargets[TargetID],
 tblTargets[CompletionMethod],
 ""
)</f>
        <v>PLAYER</v>
      </c>
      <c r="U244" s="84" t="b">
        <f>COUNTIF(tblCost[TargetID],A244)&gt;0</f>
        <v>1</v>
      </c>
      <c r="V244" s="85">
        <f t="array" ref="V244">IF(
 U244=FALSE,
 "",
 _xlfn.XLOOKUP(
  A244,
  tblCost[TargetID],
  tblCost[FundingPercent],
  ""
 )
)</f>
        <v>0</v>
      </c>
      <c r="W244" s="26">
        <f t="array" ref="W244">IF(
 U244=FALSE,
 "",
 _xlfn.XLOOKUP(
  A244,
  tblCost[TargetID],
  tblCost[RemainingRequirements],
  ""
 )
)</f>
        <v>4</v>
      </c>
      <c r="X244" s="45" t="b">
        <f t="array" ref="X244">IF(
 U244=FALSE,
 "N/A",
 _xlfn.XLOOKUP(
  A245,
  tblCost[TargetID],
  tblCost[TargetFunded],
  FALSE
 )
)</f>
        <v>0</v>
      </c>
      <c r="Y244" s="26" t="str">
        <f>IFERROR(__xludf.DUMMYFUNCTION("IFERROR(
 TEXTJOIN(
  "", "",
  TRUE,
  FILTER(
   'cost checklist'!$E$2:$E1000&amp;"": ""&amp;'cost checklist'!$G$2:$G1000,
   'cost checklist'!$B$2:$B1000=A244,
   'cost checklist'!$J$2:$J1000=FALSE
  )
 ),
 """"
)"),"crypto: 100, msteel: 40, page: 20, scroll: 1")</f>
        <v>crypto: 100, msteel: 40, page: 20, scroll: 1</v>
      </c>
      <c r="Z244" s="26" t="b">
        <f>IFERROR(__xludf.DUMMYFUNCTION("IF(
 AND(
  E244=""QUEST"",
  RIGHT(A244,9)="".accepted"",
  D244=TRUE
 ),
 XLOOKUP(
  REGEXREPLACE(A244,""\.accepted$"","""")&amp;"".finished"",
  $A$2:$A1000,
  $D$2:$D1000,
  TRUE
 )=FALSE,
 FALSE
)"),FALSE)</f>
        <v>0</v>
      </c>
      <c r="AA244" s="26" t="str">
        <f>IFERROR(__xludf.DUMMYFUNCTION("LET(
 id,A244,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5" ht="14.25" customHeight="1">
      <c r="A245" s="26" t="s">
        <v>876</v>
      </c>
      <c r="B245" s="26" t="str">
        <f t="array" ref="B245">_xlfn.XLOOKUP(
 A245,
 tblTargets[TargetID],
 tblTargets[DisplayName],
 ""
)</f>
        <v>Historical Library</v>
      </c>
      <c r="C245" s="26" t="str">
        <f t="shared" si="1"/>
        <v>BLOCKED</v>
      </c>
      <c r="D245" s="26" t="b">
        <f>IFERROR(__xludf.DUMMYFUNCTION("LET(
 id,A245,
 IF(
  F245=""CHARACTER"",
  LET(
   base,REGEXREPLACE(id,""@\d+$"",""""),
   required,VALUE(REGEXEXTRACT(id,""@(\d+)$"")),
   current,XLOOKUP(
    base,
    tblPlayer[PlayerStateID],
    tblPlayer[Value],
    0
   ),
   current&gt;=required
 "&amp;" ),
  IF(
   T245=""AUTO"",
   L245=0,
   COUNTIFS(
    tblChecklist[TargetID],id,
    tblChecklist[PlayerCompleted],TRUE
   )&gt;0
  )
 )
)"),FALSE)</f>
        <v>0</v>
      </c>
      <c r="E245" s="26" t="str">
        <f t="array" ref="E245">_xlfn.XLOOKUP(
 A245,
 tblTargets[TargetID],
 tblTargets[TargetType],
 ""
)</f>
        <v>CRAFTIFACT</v>
      </c>
      <c r="F245" s="26" t="str">
        <f t="array" ref="F245">_xlfn.XLOOKUP(
 A245,
 tblTargets[TargetID],
 tblTargets[StateType],
 ""
)</f>
        <v/>
      </c>
      <c r="G245" s="26">
        <f>LET(
 id,A245,
 depCount,COUNTIF(tblDependencies[TargetID],id),
 objCount,COUNTIF(tblQuestObjectives[QuestTargetID],id),
 depCount+objCount
)</f>
        <v>2</v>
      </c>
      <c r="H245" s="26">
        <f t="shared" si="2"/>
        <v>2</v>
      </c>
      <c r="I245" s="26">
        <f>IFERROR(__xludf.DUMMYFUNCTION("LET(
 id,A245,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5" s="26">
        <f t="shared" si="3"/>
        <v>0</v>
      </c>
      <c r="K245" s="26" t="b">
        <f t="shared" si="4"/>
        <v>0</v>
      </c>
      <c r="L245" s="26">
        <f t="shared" si="5"/>
        <v>2</v>
      </c>
      <c r="M245" s="26" t="str">
        <f>IFERROR(__xludf.DUMMYFUNCTION("LET(
 id,A245,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L245=0,
  """",
  IFERROR(INDEX(incomplete,1),"""")"&amp;"
 )
)"),"building.guild@5")</f>
        <v>building.guild@5</v>
      </c>
      <c r="N245" s="26" t="str">
        <f t="array" ref="N245">IF(
 M245="",
 "",
 _xlfn.XLOOKUP(
  M245,
  tblTargets[TargetID],
  tblTargets[DisplayName],
  M245
 )
)</f>
        <v>Guild Lv 5</v>
      </c>
      <c r="O245" s="26" t="str">
        <f>IFERROR(__xludf.DUMMYFUNCTION("SWITCH(
 E245,
 ""BUILDING"",XLOOKUP(A245,tblBuildings[BuildingID],tblBuildings[costtext],""""),
 ""TECH"",XLOOKUP(A245,tblTechnologies[TechnologyID],tblTechnologies[costtext],""""),
 ""QUEST"",XLOOKUP(
  REGEXREPLACE(A245,""\.[^.]+$"",""""),
  tblQuests["&amp;"QuestID],
  tblQuests[Costtext],
  """"
 ),
 ""CITADEL"",XLOOKUP(A245,tblCitadel[CitadelID],tblCitadel[costtext],""""),
 ""COLLECTION"",XLOOKUP(A245,tblCollections[CollectionID],tblCollections[costtext],""""),
 ""CRAFTIFACT"",XLOOKUP(A245,tblCraftifacts[C"&amp;"raftifactID],tblCraftifacts[costtext],""""),
 """"
)"),"15 blueprint,9 grimoire,40 page,12 scroll")</f>
        <v>15 blueprint,9 grimoire,40 page,12 scroll</v>
      </c>
      <c r="P245" s="26" t="str">
        <f t="shared" si="6"/>
        <v>BLOCKED</v>
      </c>
      <c r="Q245" s="26" t="str">
        <f t="shared" si="7"/>
        <v>BLOCKED</v>
      </c>
      <c r="R245" s="26" t="str">
        <f t="array" ref="R245">IFERROR(
 _xlfn.XLOOKUP(
  A245,
  tblChecklist[TargetID],
  tblChecklist[PlayerSort],
  ""
 ),
 ""
)</f>
        <v/>
      </c>
      <c r="S245" s="26" t="str">
        <f>IFERROR(__xludf.DUMMYFUNCTION("LET(
 id,A245,
 successorIDs,
  IFERROR(
   UNIQUE(
    FILTER(
     {
      Dependencies!$A$2:$A$1000;
      QuestObjectives!$A$2:$A$1000
     },
     {
      Dependencies!$B$2:$B$1000;
      QuestObjectives!$E$2:$E$1000
     }=id
    )
   ),
   """"
  )"&amp;",
 names,
  MAP(
   successorIDs,
   LAMBDA(s,
    IF(
     s="""",
     """",
     XLOOKUP(
      s,
      $A$2:$A$1000,
      $B$2:$B$1000,
      s
     )
    )
   )
  ),
 IF(
  successorIDs="""",
  """",
  TEXTJOIN("", "",TRUE,names)
 )
)"),"Historical Library 1 Lv 1, Quest for Knowledge Chapter 4 Finished")</f>
        <v>Historical Library 1 Lv 1, Quest for Knowledge Chapter 4 Finished</v>
      </c>
      <c r="T245" s="26" t="str">
        <f t="array" ref="T245">_xlfn.XLOOKUP(
 A245,
 tblTargets[TargetID],
 tblTargets[CompletionMethod],
 ""
)</f>
        <v>PLAYER</v>
      </c>
      <c r="U245" s="84" t="b">
        <f>COUNTIF(tblCost[TargetID],A245)&gt;0</f>
        <v>1</v>
      </c>
      <c r="V245" s="85">
        <f t="array" ref="V245">IF(
 U245=FALSE,
 "",
 _xlfn.XLOOKUP(
  A245,
  tblCost[TargetID],
  tblCost[FundingPercent],
  ""
 )
)</f>
        <v>0</v>
      </c>
      <c r="W245" s="26">
        <f t="array" ref="W245">IF(
 U245=FALSE,
 "",
 _xlfn.XLOOKUP(
  A245,
  tblCost[TargetID],
  tblCost[RemainingRequirements],
  ""
 )
)</f>
        <v>4</v>
      </c>
      <c r="X245" s="45" t="b">
        <f t="array" ref="X245">IF(
 U245=FALSE,
 "N/A",
 _xlfn.XLOOKUP(
  A246,
  tblCost[TargetID],
  tblCost[TargetFunded],
  FALSE
 )
)</f>
        <v>0</v>
      </c>
      <c r="Y245" s="26" t="str">
        <f>IFERROR(__xludf.DUMMYFUNCTION("IFERROR(
 TEXTJOIN(
  "", "",
  TRUE,
  FILTER(
   'cost checklist'!$E$2:$E1000&amp;"": ""&amp;'cost checklist'!$G$2:$G1000,
   'cost checklist'!$B$2:$B1000=A245,
   'cost checklist'!$J$2:$J1000=FALSE
  )
 ),
 """"
)"),"blueprint: 15, grimoire: 9, page: 40, scroll: 12")</f>
        <v>blueprint: 15, grimoire: 9, page: 40, scroll: 12</v>
      </c>
      <c r="Z245" s="26" t="b">
        <f>IFERROR(__xludf.DUMMYFUNCTION("IF(
 AND(
  E245=""QUEST"",
  RIGHT(A245,9)="".accepted"",
  D245=TRUE
 ),
 XLOOKUP(
  REGEXREPLACE(A245,""\.accepted$"","""")&amp;"".finished"",
  $A$2:$A1000,
  $D$2:$D1000,
  TRUE
 )=FALSE,
 FALSE
)"),FALSE)</f>
        <v>0</v>
      </c>
      <c r="AA245" s="26" t="str">
        <f>IFERROR(__xludf.DUMMYFUNCTION("LET(
 id,A245,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6" ht="14.25" customHeight="1">
      <c r="A246" s="26" t="s">
        <v>881</v>
      </c>
      <c r="B246" s="26" t="str">
        <f t="array" ref="B246">_xlfn.XLOOKUP(
 A246,
 tblTargets[TargetID],
 tblTargets[DisplayName],
 ""
)</f>
        <v>Hotei Statuette</v>
      </c>
      <c r="C246" s="26" t="str">
        <f t="shared" si="1"/>
        <v>BLOCKED</v>
      </c>
      <c r="D246" s="26" t="b">
        <f>IFERROR(__xludf.DUMMYFUNCTION("LET(
 id,A246,
 IF(
  F246=""CHARACTER"",
  LET(
   base,REGEXREPLACE(id,""@\d+$"",""""),
   required,VALUE(REGEXEXTRACT(id,""@(\d+)$"")),
   current,XLOOKUP(
    base,
    tblPlayer[PlayerStateID],
    tblPlayer[Value],
    0
   ),
   current&gt;=required
 "&amp;" ),
  IF(
   T246=""AUTO"",
   L246=0,
   COUNTIFS(
    tblChecklist[TargetID],id,
    tblChecklist[PlayerCompleted],TRUE
   )&gt;0
  )
 )
)"),FALSE)</f>
        <v>0</v>
      </c>
      <c r="E246" s="26" t="str">
        <f t="array" ref="E246">_xlfn.XLOOKUP(
 A246,
 tblTargets[TargetID],
 tblTargets[TargetType],
 ""
)</f>
        <v>CRAFTIFACT</v>
      </c>
      <c r="F246" s="26" t="str">
        <f t="array" ref="F246">_xlfn.XLOOKUP(
 A246,
 tblTargets[TargetID],
 tblTargets[StateType],
 ""
)</f>
        <v/>
      </c>
      <c r="G246" s="26">
        <f>LET(
 id,A246,
 depCount,COUNTIF(tblDependencies[TargetID],id),
 objCount,COUNTIF(tblQuestObjectives[QuestTargetID],id),
 depCount+objCount
)</f>
        <v>1</v>
      </c>
      <c r="H246" s="26">
        <f t="shared" si="2"/>
        <v>1</v>
      </c>
      <c r="I246" s="26">
        <f>IFERROR(__xludf.DUMMYFUNCTION("LET(
 id,A246,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6" s="26">
        <f t="shared" si="3"/>
        <v>0</v>
      </c>
      <c r="K246" s="26" t="b">
        <f t="shared" si="4"/>
        <v>0</v>
      </c>
      <c r="L246" s="26">
        <f t="shared" si="5"/>
        <v>1</v>
      </c>
      <c r="M246" s="26" t="str">
        <f>IFERROR(__xludf.DUMMYFUNCTION("LET(
 id,A246,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L246=0,
  """",
  IFERROR(INDEX(incomplete,1),"""")"&amp;"
 )
)"),"building.furnace@3")</f>
        <v>building.furnace@3</v>
      </c>
      <c r="N246" s="26" t="str">
        <f t="array" ref="N246">IF(
 M246="",
 "",
 _xlfn.XLOOKUP(
  M246,
  tblTargets[TargetID],
  tblTargets[DisplayName],
  M246
 )
)</f>
        <v>Furnace Lv 3</v>
      </c>
      <c r="O246" s="26" t="str">
        <f>IFERROR(__xludf.DUMMYFUNCTION("SWITCH(
 E246,
 ""BUILDING"",XLOOKUP(A246,tblBuildings[BuildingID],tblBuildings[costtext],""""),
 ""TECH"",XLOOKUP(A246,tblTechnologies[TechnologyID],tblTechnologies[costtext],""""),
 ""QUEST"",XLOOKUP(
  REGEXREPLACE(A246,""\.[^.]+$"",""""),
  tblQuests["&amp;"QuestID],
  tblQuests[Costtext],
  """"
 ),
 ""CITADEL"",XLOOKUP(A246,tblCitadel[CitadelID],tblCitadel[costtext],""""),
 ""COLLECTION"",XLOOKUP(A246,tblCollections[CollectionID],tblCollections[costtext],""""),
 ""CRAFTIFACT"",XLOOKUP(A246,tblCraftifacts[C"&amp;"raftifactID],tblCraftifacts[costtext],""""),
 """"
)"),"200 charcoal,200 coin,200 ingot")</f>
        <v>200 charcoal,200 coin,200 ingot</v>
      </c>
      <c r="P246" s="26" t="str">
        <f t="shared" si="6"/>
        <v>BLOCKED</v>
      </c>
      <c r="Q246" s="26" t="str">
        <f t="shared" si="7"/>
        <v>BLOCKED</v>
      </c>
      <c r="R246" s="26" t="str">
        <f t="array" ref="R246">IFERROR(
 _xlfn.XLOOKUP(
  A246,
  tblChecklist[TargetID],
  tblChecklist[PlayerSort],
  ""
 ),
 ""
)</f>
        <v/>
      </c>
      <c r="S246" s="26" t="str">
        <f>IFERROR(__xludf.DUMMYFUNCTION("LET(
 id,A246,
 successorIDs,
  IFERROR(
   UNIQUE(
    FILTER(
     {
      Dependencies!$A$2:$A$1000;
      QuestObjectives!$A$2:$A$1000
     },
     {
      Dependencies!$B$2:$B$1000;
      QuestObjectives!$E$2:$E$1000
     }=id
    )
   ),
   """"
  )"&amp;",
 names,
  MAP(
   successorIDs,
   LAMBDA(s,
    IF(
     s="""",
     """",
     XLOOKUP(
      s,
      $A$2:$A$1000,
      $B$2:$B$1000,
      s
     )
    )
   )
  ),
 IF(
  successorIDs="""",
  """",
  TEXTJOIN("", "",TRUE,names)
 )
)"),"")</f>
        <v/>
      </c>
      <c r="T246" s="26" t="str">
        <f t="array" ref="T246">_xlfn.XLOOKUP(
 A246,
 tblTargets[TargetID],
 tblTargets[CompletionMethod],
 ""
)</f>
        <v>PLAYER</v>
      </c>
      <c r="U246" s="84" t="b">
        <f>COUNTIF(tblCost[TargetID],A246)&gt;0</f>
        <v>1</v>
      </c>
      <c r="V246" s="85">
        <f t="array" ref="V246">IF(
 U246=FALSE,
 "",
 _xlfn.XLOOKUP(
  A246,
  tblCost[TargetID],
  tblCost[FundingPercent],
  ""
 )
)</f>
        <v>0</v>
      </c>
      <c r="W246" s="26">
        <f t="array" ref="W246">IF(
 U246=FALSE,
 "",
 _xlfn.XLOOKUP(
  A246,
  tblCost[TargetID],
  tblCost[RemainingRequirements],
  ""
 )
)</f>
        <v>3</v>
      </c>
      <c r="X246" s="45" t="b">
        <f t="array" ref="X246">IF(
 U246=FALSE,
 "N/A",
 _xlfn.XLOOKUP(
  A247,
  tblCost[TargetID],
  tblCost[TargetFunded],
  FALSE
 )
)</f>
        <v>0</v>
      </c>
      <c r="Y246" s="26" t="str">
        <f>IFERROR(__xludf.DUMMYFUNCTION("IFERROR(
 TEXTJOIN(
  "", "",
  TRUE,
  FILTER(
   'cost checklist'!$E$2:$E1000&amp;"": ""&amp;'cost checklist'!$G$2:$G1000,
   'cost checklist'!$B$2:$B1000=A246,
   'cost checklist'!$J$2:$J1000=FALSE
  )
 ),
 """"
)"),"charcoal: 200, coin: 200, ingot: 200")</f>
        <v>charcoal: 200, coin: 200, ingot: 200</v>
      </c>
      <c r="Z246" s="26" t="b">
        <f>IFERROR(__xludf.DUMMYFUNCTION("IF(
 AND(
  E246=""QUEST"",
  RIGHT(A246,9)="".accepted"",
  D246=TRUE
 ),
 XLOOKUP(
  REGEXREPLACE(A246,""\.accepted$"","""")&amp;"".finished"",
  $A$2:$A1000,
  $D$2:$D1000,
  TRUE
 )=FALSE,
 FALSE
)"),FALSE)</f>
        <v>0</v>
      </c>
      <c r="AA246" s="26" t="str">
        <f>IFERROR(__xludf.DUMMYFUNCTION("LET(
 id,A246,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7" ht="14.25" customHeight="1">
      <c r="A247" s="26" t="s">
        <v>885</v>
      </c>
      <c r="B247" s="26" t="str">
        <f t="array" ref="B247">_xlfn.XLOOKUP(
 A247,
 tblTargets[TargetID],
 tblTargets[DisplayName],
 ""
)</f>
        <v>Metal Detector</v>
      </c>
      <c r="C247" s="26" t="str">
        <f t="shared" si="1"/>
        <v>BLOCKED</v>
      </c>
      <c r="D247" s="26" t="b">
        <f>IFERROR(__xludf.DUMMYFUNCTION("LET(
 id,A247,
 IF(
  F247=""CHARACTER"",
  LET(
   base,REGEXREPLACE(id,""@\d+$"",""""),
   required,VALUE(REGEXEXTRACT(id,""@(\d+)$"")),
   current,XLOOKUP(
    base,
    tblPlayer[PlayerStateID],
    tblPlayer[Value],
    0
   ),
   current&gt;=required
 "&amp;" ),
  IF(
   T247=""AUTO"",
   L247=0,
   COUNTIFS(
    tblChecklist[TargetID],id,
    tblChecklist[PlayerCompleted],TRUE
   )&gt;0
  )
 )
)"),FALSE)</f>
        <v>0</v>
      </c>
      <c r="E247" s="26" t="str">
        <f t="array" ref="E247">_xlfn.XLOOKUP(
 A247,
 tblTargets[TargetID],
 tblTargets[TargetType],
 ""
)</f>
        <v>CRAFTIFACT</v>
      </c>
      <c r="F247" s="26" t="str">
        <f t="array" ref="F247">_xlfn.XLOOKUP(
 A247,
 tblTargets[TargetID],
 tblTargets[StateType],
 ""
)</f>
        <v/>
      </c>
      <c r="G247" s="26">
        <f>LET(
 id,A247,
 depCount,COUNTIF(tblDependencies[TargetID],id),
 objCount,COUNTIF(tblQuestObjectives[QuestTargetID],id),
 depCount+objCount
)</f>
        <v>2</v>
      </c>
      <c r="H247" s="26">
        <f t="shared" si="2"/>
        <v>2</v>
      </c>
      <c r="I247" s="26">
        <f>IFERROR(__xludf.DUMMYFUNCTION("LET(
 id,A247,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7" s="26">
        <f t="shared" si="3"/>
        <v>0</v>
      </c>
      <c r="K247" s="26" t="b">
        <f t="shared" si="4"/>
        <v>0</v>
      </c>
      <c r="L247" s="26">
        <f t="shared" si="5"/>
        <v>2</v>
      </c>
      <c r="M247" s="26" t="str">
        <f>IFERROR(__xludf.DUMMYFUNCTION("LET(
 id,A247,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L247=0,
  """",
  IFERROR(INDEX(incomplete,1),"""")"&amp;"
 )
)"),"building.dungeon@5")</f>
        <v>building.dungeon@5</v>
      </c>
      <c r="N247" s="26" t="str">
        <f t="array" ref="N247">IF(
 M247="",
 "",
 _xlfn.XLOOKUP(
  M247,
  tblTargets[TargetID],
  tblTargets[DisplayName],
  M247
 )
)</f>
        <v>Dungeon Lv 5</v>
      </c>
      <c r="O247" s="26" t="str">
        <f>IFERROR(__xludf.DUMMYFUNCTION("SWITCH(
 E247,
 ""BUILDING"",XLOOKUP(A247,tblBuildings[BuildingID],tblBuildings[costtext],""""),
 ""TECH"",XLOOKUP(A247,tblTechnologies[TechnologyID],tblTechnologies[costtext],""""),
 ""QUEST"",XLOOKUP(
  REGEXREPLACE(A247,""\.[^.]+$"",""""),
  tblQuests["&amp;"QuestID],
  tblQuests[Costtext],
  """"
 ),
 ""CITADEL"",XLOOKUP(A247,tblCitadel[CitadelID],tblCitadel[costtext],""""),
 ""COLLECTION"",XLOOKUP(A247,tblCollections[CollectionID],tblCollections[costtext],""""),
 ""CRAFTIFACT"",XLOOKUP(A247,tblCraftifacts[C"&amp;"raftifactID],tblCraftifacts[costtext],""""),
 """"
)"),"20 apy,30 blueprint,10 catalyst,20 chemicals,5 mercury,30 miron,10 reagent,10 tparts")</f>
        <v>20 apy,30 blueprint,10 catalyst,20 chemicals,5 mercury,30 miron,10 reagent,10 tparts</v>
      </c>
      <c r="P247" s="26" t="str">
        <f t="shared" si="6"/>
        <v>BLOCKED</v>
      </c>
      <c r="Q247" s="26" t="str">
        <f t="shared" si="7"/>
        <v>BLOCKED</v>
      </c>
      <c r="R247" s="26" t="str">
        <f t="array" ref="R247">IFERROR(
 _xlfn.XLOOKUP(
  A247,
  tblChecklist[TargetID],
  tblChecklist[PlayerSort],
  ""
 ),
 ""
)</f>
        <v/>
      </c>
      <c r="S247" s="26" t="str">
        <f>IFERROR(__xludf.DUMMYFUNCTION("LET(
 id,A247,
 successorIDs,
  IFERROR(
   UNIQUE(
    FILTER(
     {
      Dependencies!$A$2:$A$1000;
      QuestObjectives!$A$2:$A$1000
     },
     {
      Dependencies!$B$2:$B$1000;
      QuestObjectives!$E$2:$E$1000
     }=id
    )
   ),
   """"
  )"&amp;",
 names,
  MAP(
   successorIDs,
   LAMBDA(s,
    IF(
     s="""",
     """",
     XLOOKUP(
      s,
      $A$2:$A$1000,
      $B$2:$B$1000,
      s
     )
    )
   )
  ),
 IF(
  successorIDs="""",
  """",
  TEXTJOIN("", "",TRUE,names)
 )
)"),"")</f>
        <v/>
      </c>
      <c r="T247" s="26" t="str">
        <f t="array" ref="T247">_xlfn.XLOOKUP(
 A247,
 tblTargets[TargetID],
 tblTargets[CompletionMethod],
 ""
)</f>
        <v>PLAYER</v>
      </c>
      <c r="U247" s="84" t="b">
        <f>COUNTIF(tblCost[TargetID],A247)&gt;0</f>
        <v>1</v>
      </c>
      <c r="V247" s="85">
        <f t="array" ref="V247">IF(
 U247=FALSE,
 "",
 _xlfn.XLOOKUP(
  A247,
  tblCost[TargetID],
  tblCost[FundingPercent],
  ""
 )
)</f>
        <v>0</v>
      </c>
      <c r="W247" s="26">
        <f t="array" ref="W247">IF(
 U247=FALSE,
 "",
 _xlfn.XLOOKUP(
  A247,
  tblCost[TargetID],
  tblCost[RemainingRequirements],
  ""
 )
)</f>
        <v>8</v>
      </c>
      <c r="X247" s="45" t="b">
        <f t="array" ref="X247">IF(
 U247=FALSE,
 "N/A",
 _xlfn.XLOOKUP(
  A248,
  tblCost[TargetID],
  tblCost[TargetFunded],
  FALSE
 )
)</f>
        <v>0</v>
      </c>
      <c r="Y247" s="26" t="str">
        <f>IFERROR(__xludf.DUMMYFUNCTION("IFERROR(
 TEXTJOIN(
  "", "",
  TRUE,
  FILTER(
   'cost checklist'!$E$2:$E1000&amp;"": ""&amp;'cost checklist'!$G$2:$G1000,
   'cost checklist'!$B$2:$B1000=A247,
   'cost checklist'!$J$2:$J1000=FALSE
  )
 ),
 """"
)"),"apy: 20, blueprint: 30, catalyst: 10, chemicals: 20, mercury: 5, miron: 30, reagent: 10, tparts: 10")</f>
        <v>apy: 20, blueprint: 30, catalyst: 10, chemicals: 20, mercury: 5, miron: 30, reagent: 10, tparts: 10</v>
      </c>
      <c r="Z247" s="26" t="b">
        <f>IFERROR(__xludf.DUMMYFUNCTION("IF(
 AND(
  E247=""QUEST"",
  RIGHT(A247,9)="".accepted"",
  D247=TRUE
 ),
 XLOOKUP(
  REGEXREPLACE(A247,""\.accepted$"","""")&amp;"".finished"",
  $A$2:$A1000,
  $D$2:$D1000,
  TRUE
 )=FALSE,
 FALSE
)"),FALSE)</f>
        <v>0</v>
      </c>
      <c r="AA247" s="26" t="str">
        <f>IFERROR(__xludf.DUMMYFUNCTION("LET(
 id,A247,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8" ht="14.25" customHeight="1">
      <c r="A248" s="26" t="s">
        <v>891</v>
      </c>
      <c r="B248" s="26" t="str">
        <f t="array" ref="B248">_xlfn.XLOOKUP(
 A248,
 tblTargets[TargetID],
 tblTargets[DisplayName],
 ""
)</f>
        <v>Necklace For Haruka</v>
      </c>
      <c r="C248" s="26" t="str">
        <f t="shared" si="1"/>
        <v>BLOCKED</v>
      </c>
      <c r="D248" s="26" t="b">
        <f>IFERROR(__xludf.DUMMYFUNCTION("LET(
 id,A248,
 IF(
  F248=""CHARACTER"",
  LET(
   base,REGEXREPLACE(id,""@\d+$"",""""),
   required,VALUE(REGEXEXTRACT(id,""@(\d+)$"")),
   current,XLOOKUP(
    base,
    tblPlayer[PlayerStateID],
    tblPlayer[Value],
    0
   ),
   current&gt;=required
 "&amp;" ),
  IF(
   T248=""AUTO"",
   L248=0,
   COUNTIFS(
    tblChecklist[TargetID],id,
    tblChecklist[PlayerCompleted],TRUE
   )&gt;0
  )
 )
)"),FALSE)</f>
        <v>0</v>
      </c>
      <c r="E248" s="26" t="str">
        <f t="array" ref="E248">_xlfn.XLOOKUP(
 A248,
 tblTargets[TargetID],
 tblTargets[TargetType],
 ""
)</f>
        <v>CRAFTIFACT</v>
      </c>
      <c r="F248" s="26" t="str">
        <f t="array" ref="F248">_xlfn.XLOOKUP(
 A248,
 tblTargets[TargetID],
 tblTargets[StateType],
 ""
)</f>
        <v/>
      </c>
      <c r="G248" s="26">
        <f>LET(
 id,A248,
 depCount,COUNTIF(tblDependencies[TargetID],id),
 objCount,COUNTIF(tblQuestObjectives[QuestTargetID],id),
 depCount+objCount
)</f>
        <v>2</v>
      </c>
      <c r="H248" s="26">
        <f t="shared" si="2"/>
        <v>2</v>
      </c>
      <c r="I248" s="26">
        <f>IFERROR(__xludf.DUMMYFUNCTION("LET(
 id,A248,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8" s="26">
        <f t="shared" si="3"/>
        <v>0</v>
      </c>
      <c r="K248" s="26" t="b">
        <f t="shared" si="4"/>
        <v>0</v>
      </c>
      <c r="L248" s="26">
        <f t="shared" si="5"/>
        <v>2</v>
      </c>
      <c r="M248" s="26" t="str">
        <f>IFERROR(__xludf.DUMMYFUNCTION("LET(
 id,A248,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L248=0,
  """",
  IFERROR(INDEX(incomplete,1),"""")"&amp;"
 )
)"),"building.workshop@5")</f>
        <v>building.workshop@5</v>
      </c>
      <c r="N248" s="26" t="str">
        <f t="array" ref="N248">IF(
 M248="",
 "",
 _xlfn.XLOOKUP(
  M248,
  tblTargets[TargetID],
  tblTargets[DisplayName],
  M248
 )
)</f>
        <v>Workshop Lv 5</v>
      </c>
      <c r="O248" s="26" t="str">
        <f>IFERROR(__xludf.DUMMYFUNCTION("SWITCH(
 E248,
 ""BUILDING"",XLOOKUP(A248,tblBuildings[BuildingID],tblBuildings[costtext],""""),
 ""TECH"",XLOOKUP(A248,tblTechnologies[TechnologyID],tblTechnologies[costtext],""""),
 ""QUEST"",XLOOKUP(
  REGEXREPLACE(A248,""\.[^.]+$"",""""),
  tblQuests["&amp;"QuestID],
  tblQuests[Costtext],
  """"
 ),
 ""CITADEL"",XLOOKUP(A248,tblCitadel[CitadelID],tblCitadel[costtext],""""),
 ""COLLECTION"",XLOOKUP(A248,tblCollections[CollectionID],tblCollections[costtext],""""),
 ""CRAFTIFACT"",XLOOKUP(A248,tblCraftifacts[C"&amp;"raftifactID],tblCraftifacts[costtext],""""),
 """"
)"),"50 pearl,1 thread")</f>
        <v>50 pearl,1 thread</v>
      </c>
      <c r="P248" s="26" t="str">
        <f t="shared" si="6"/>
        <v>BLOCKED</v>
      </c>
      <c r="Q248" s="26" t="str">
        <f t="shared" si="7"/>
        <v>BLOCKED</v>
      </c>
      <c r="R248" s="26" t="str">
        <f t="array" ref="R248">IFERROR(
 _xlfn.XLOOKUP(
  A248,
  tblChecklist[TargetID],
  tblChecklist[PlayerSort],
  ""
 ),
 ""
)</f>
        <v/>
      </c>
      <c r="S248" s="26" t="str">
        <f>IFERROR(__xludf.DUMMYFUNCTION("LET(
 id,A248,
 successorIDs,
  IFERROR(
   UNIQUE(
    FILTER(
     {
      Dependencies!$A$2:$A$1000;
      QuestObjectives!$A$2:$A$1000
     },
     {
      Dependencies!$B$2:$B$1000;
      QuestObjectives!$E$2:$E$1000
     }=id
    )
   ),
   """"
  )"&amp;",
 names,
  MAP(
   successorIDs,
   LAMBDA(s,
    IF(
     s="""",
     """",
     XLOOKUP(
      s,
      $A$2:$A$1000,
      $B$2:$B$1000,
      s
     )
    )
   )
  ),
 IF(
  successorIDs="""",
  """",
  TEXTJOIN("", "",TRUE,names)
 )
)"),"")</f>
        <v/>
      </c>
      <c r="T248" s="26" t="str">
        <f t="array" ref="T248">_xlfn.XLOOKUP(
 A248,
 tblTargets[TargetID],
 tblTargets[CompletionMethod],
 ""
)</f>
        <v>PLAYER</v>
      </c>
      <c r="U248" s="84" t="b">
        <f>COUNTIF(tblCost[TargetID],A248)&gt;0</f>
        <v>1</v>
      </c>
      <c r="V248" s="85">
        <f t="array" ref="V248">IF(
 U248=FALSE,
 "",
 _xlfn.XLOOKUP(
  A248,
  tblCost[TargetID],
  tblCost[FundingPercent],
  ""
 )
)</f>
        <v>0</v>
      </c>
      <c r="W248" s="26">
        <f t="array" ref="W248">IF(
 U248=FALSE,
 "",
 _xlfn.XLOOKUP(
  A248,
  tblCost[TargetID],
  tblCost[RemainingRequirements],
  ""
 )
)</f>
        <v>2</v>
      </c>
      <c r="X248" s="45" t="b">
        <f t="array" ref="X248">IF(
 U248=FALSE,
 "N/A",
 _xlfn.XLOOKUP(
  A249,
  tblCost[TargetID],
  tblCost[TargetFunded],
  FALSE
 )
)</f>
        <v>0</v>
      </c>
      <c r="Y248" s="26" t="str">
        <f>IFERROR(__xludf.DUMMYFUNCTION("IFERROR(
 TEXTJOIN(
  "", "",
  TRUE,
  FILTER(
   'cost checklist'!$E$2:$E1000&amp;"": ""&amp;'cost checklist'!$G$2:$G1000,
   'cost checklist'!$B$2:$B1000=A248,
   'cost checklist'!$J$2:$J1000=FALSE
  )
 ),
 """"
)"),"pearl: 50, thread: 1")</f>
        <v>pearl: 50, thread: 1</v>
      </c>
      <c r="Z248" s="26" t="b">
        <f>IFERROR(__xludf.DUMMYFUNCTION("IF(
 AND(
  E248=""QUEST"",
  RIGHT(A248,9)="".accepted"",
  D248=TRUE
 ),
 XLOOKUP(
  REGEXREPLACE(A248,""\.accepted$"","""")&amp;"".finished"",
  $A$2:$A1000,
  $D$2:$D1000,
  TRUE
 )=FALSE,
 FALSE
)"),FALSE)</f>
        <v>0</v>
      </c>
      <c r="AA248" s="26" t="str">
        <f>IFERROR(__xludf.DUMMYFUNCTION("LET(
 id,A248,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49" ht="14.25" customHeight="1">
      <c r="A249" s="26" t="s">
        <v>895</v>
      </c>
      <c r="B249" s="26" t="str">
        <f t="array" ref="B249">_xlfn.XLOOKUP(
 A249,
 tblTargets[TargetID],
 tblTargets[DisplayName],
 ""
)</f>
        <v>Safe</v>
      </c>
      <c r="C249" s="26" t="str">
        <f t="shared" si="1"/>
        <v>BLOCKED</v>
      </c>
      <c r="D249" s="26" t="b">
        <f>IFERROR(__xludf.DUMMYFUNCTION("LET(
 id,A249,
 IF(
  F249=""CHARACTER"",
  LET(
   base,REGEXREPLACE(id,""@\d+$"",""""),
   required,VALUE(REGEXEXTRACT(id,""@(\d+)$"")),
   current,XLOOKUP(
    base,
    tblPlayer[PlayerStateID],
    tblPlayer[Value],
    0
   ),
   current&gt;=required
 "&amp;" ),
  IF(
   T249=""AUTO"",
   L249=0,
   COUNTIFS(
    tblChecklist[TargetID],id,
    tblChecklist[PlayerCompleted],TRUE
   )&gt;0
  )
 )
)"),FALSE)</f>
        <v>0</v>
      </c>
      <c r="E249" s="26" t="str">
        <f t="array" ref="E249">_xlfn.XLOOKUP(
 A249,
 tblTargets[TargetID],
 tblTargets[TargetType],
 ""
)</f>
        <v>CRAFTIFACT</v>
      </c>
      <c r="F249" s="26" t="str">
        <f t="array" ref="F249">_xlfn.XLOOKUP(
 A249,
 tblTargets[TargetID],
 tblTargets[StateType],
 ""
)</f>
        <v/>
      </c>
      <c r="G249" s="26">
        <f>LET(
 id,A249,
 depCount,COUNTIF(tblDependencies[TargetID],id),
 objCount,COUNTIF(tblQuestObjectives[QuestTargetID],id),
 depCount+objCount
)</f>
        <v>2</v>
      </c>
      <c r="H249" s="26">
        <f t="shared" si="2"/>
        <v>2</v>
      </c>
      <c r="I249" s="26">
        <f>IFERROR(__xludf.DUMMYFUNCTION("LET(
 id,A249,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49" s="26">
        <f t="shared" si="3"/>
        <v>0</v>
      </c>
      <c r="K249" s="26" t="b">
        <f t="shared" si="4"/>
        <v>0</v>
      </c>
      <c r="L249" s="26">
        <f t="shared" si="5"/>
        <v>2</v>
      </c>
      <c r="M249" s="26" t="str">
        <f>IFERROR(__xludf.DUMMYFUNCTION("LET(
 id,A249,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L249=0,
  """",
  IFERROR(INDEX(incomplete,1),"""")"&amp;"
 )
)"),"building.workshop@5")</f>
        <v>building.workshop@5</v>
      </c>
      <c r="N249" s="26" t="str">
        <f t="array" ref="N249">IF(
 M249="",
 "",
 _xlfn.XLOOKUP(
  M249,
  tblTargets[TargetID],
  tblTargets[DisplayName],
  M249
 )
)</f>
        <v>Workshop Lv 5</v>
      </c>
      <c r="O249" s="26" t="str">
        <f>IFERROR(__xludf.DUMMYFUNCTION("SWITCH(
 E249,
 ""BUILDING"",XLOOKUP(A249,tblBuildings[BuildingID],tblBuildings[costtext],""""),
 ""TECH"",XLOOKUP(A249,tblTechnologies[TechnologyID],tblTechnologies[costtext],""""),
 ""QUEST"",XLOOKUP(
  REGEXREPLACE(A249,""\.[^.]+$"",""""),
  tblQuests["&amp;"QuestID],
  tblQuests[Costtext],
  """"
 ),
 ""CITADEL"",XLOOKUP(A249,tblCitadel[CitadelID],tblCitadel[costtext],""""),
 ""COLLECTION"",XLOOKUP(A249,tblCollections[CollectionID],tblCollections[costtext],""""),
 ""CRAFTIFACT"",XLOOKUP(A249,tblCraftifacts[C"&amp;"raftifactID],tblCraftifacts[costtext],""""),
 """"
)"),"30 blueprint,500 coin,10 mechanism,50 msteel,500 steel")</f>
        <v>30 blueprint,500 coin,10 mechanism,50 msteel,500 steel</v>
      </c>
      <c r="P249" s="26" t="str">
        <f t="shared" si="6"/>
        <v>BLOCKED</v>
      </c>
      <c r="Q249" s="26" t="str">
        <f t="shared" si="7"/>
        <v>BLOCKED</v>
      </c>
      <c r="R249" s="26">
        <f t="array" ref="R249">IFERROR(
 _xlfn.XLOOKUP(
  A249,
  tblChecklist[TargetID],
  tblChecklist[PlayerSort],
  ""
 ),
 ""
)</f>
        <v>500</v>
      </c>
      <c r="S249" s="26" t="str">
        <f>IFERROR(__xludf.DUMMYFUNCTION("LET(
 id,A249,
 successorIDs,
  IFERROR(
   UNIQUE(
    FILTER(
     {
      Dependencies!$A$2:$A$1000;
      QuestObjectives!$A$2:$A$1000
     },
     {
      Dependencies!$B$2:$B$1000;
      QuestObjectives!$E$2:$E$1000
     }=id
    )
   ),
   """"
  )"&amp;",
 names,
  MAP(
   successorIDs,
   LAMBDA(s,
    IF(
     s="""",
     """",
     XLOOKUP(
      s,
      $A$2:$A$1000,
      $B$2:$B$1000,
      s
     )
    )
   )
  ),
 IF(
  successorIDs="""",
  """",
  TEXTJOIN("", "",TRUE,names)
 )
)"),"")</f>
        <v/>
      </c>
      <c r="T249" s="26" t="str">
        <f t="array" ref="T249">_xlfn.XLOOKUP(
 A249,
 tblTargets[TargetID],
 tblTargets[CompletionMethod],
 ""
)</f>
        <v>PLAYER</v>
      </c>
      <c r="U249" s="84" t="b">
        <f>COUNTIF(tblCost[TargetID],A249)&gt;0</f>
        <v>1</v>
      </c>
      <c r="V249" s="85">
        <f t="array" ref="V249">IF(
 U249=FALSE,
 "",
 _xlfn.XLOOKUP(
  A249,
  tblCost[TargetID],
  tblCost[FundingPercent],
  ""
 )
)</f>
        <v>0</v>
      </c>
      <c r="W249" s="26">
        <f t="array" ref="W249">IF(
 U249=FALSE,
 "",
 _xlfn.XLOOKUP(
  A249,
  tblCost[TargetID],
  tblCost[RemainingRequirements],
  ""
 )
)</f>
        <v>5</v>
      </c>
      <c r="X249" s="45" t="b">
        <f t="array" ref="X249">IF(
 U249=FALSE,
 "N/A",
 _xlfn.XLOOKUP(
  A250,
  tblCost[TargetID],
  tblCost[TargetFunded],
  FALSE
 )
)</f>
        <v>0</v>
      </c>
      <c r="Y249" s="26" t="str">
        <f>IFERROR(__xludf.DUMMYFUNCTION("IFERROR(
 TEXTJOIN(
  "", "",
  TRUE,
  FILTER(
   'cost checklist'!$E$2:$E1000&amp;"": ""&amp;'cost checklist'!$G$2:$G1000,
   'cost checklist'!$B$2:$B1000=A249,
   'cost checklist'!$J$2:$J1000=FALSE
  )
 ),
 """"
)"),"blueprint: 30, coin: 500, mechanism: 10, msteel: 50, steel: 500")</f>
        <v>blueprint: 30, coin: 500, mechanism: 10, msteel: 50, steel: 500</v>
      </c>
      <c r="Z249" s="26" t="b">
        <f>IFERROR(__xludf.DUMMYFUNCTION("IF(
 AND(
  E249=""QUEST"",
  RIGHT(A249,9)="".accepted"",
  D249=TRUE
 ),
 XLOOKUP(
  REGEXREPLACE(A249,""\.accepted$"","""")&amp;"".finished"",
  $A$2:$A1000,
  $D$2:$D1000,
  TRUE
 )=FALSE,
 FALSE
)"),FALSE)</f>
        <v>0</v>
      </c>
      <c r="AA249" s="26" t="str">
        <f>IFERROR(__xludf.DUMMYFUNCTION("LET(
 id,A249,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50" ht="14.25" customHeight="1">
      <c r="A250" s="26" t="s">
        <v>898</v>
      </c>
      <c r="B250" s="26" t="str">
        <f t="array" ref="B250">_xlfn.XLOOKUP(
 A250,
 tblTargets[TargetID],
 tblTargets[DisplayName],
 ""
)</f>
        <v>Solver 1 Prototype</v>
      </c>
      <c r="C250" s="26" t="str">
        <f t="shared" si="1"/>
        <v>BLOCKED</v>
      </c>
      <c r="D250" s="26" t="b">
        <f>IFERROR(__xludf.DUMMYFUNCTION("LET(
 id,A250,
 IF(
  F250=""CHARACTER"",
  LET(
   base,REGEXREPLACE(id,""@\d+$"",""""),
   required,VALUE(REGEXEXTRACT(id,""@(\d+)$"")),
   current,XLOOKUP(
    base,
    tblPlayer[PlayerStateID],
    tblPlayer[Value],
    0
   ),
   current&gt;=required
 "&amp;" ),
  IF(
   T250=""AUTO"",
   L250=0,
   COUNTIFS(
    tblChecklist[TargetID],id,
    tblChecklist[PlayerCompleted],TRUE
   )&gt;0
  )
 )
)"),FALSE)</f>
        <v>0</v>
      </c>
      <c r="E250" s="26" t="str">
        <f t="array" ref="E250">_xlfn.XLOOKUP(
 A250,
 tblTargets[TargetID],
 tblTargets[TargetType],
 ""
)</f>
        <v>CRAFTIFACT</v>
      </c>
      <c r="F250" s="26" t="str">
        <f t="array" ref="F250">_xlfn.XLOOKUP(
 A250,
 tblTargets[TargetID],
 tblTargets[StateType],
 ""
)</f>
        <v/>
      </c>
      <c r="G250" s="26">
        <f>LET(
 id,A250,
 depCount,COUNTIF(tblDependencies[TargetID],id),
 objCount,COUNTIF(tblQuestObjectives[QuestTargetID],id),
 depCount+objCount
)</f>
        <v>2</v>
      </c>
      <c r="H250" s="26">
        <f t="shared" si="2"/>
        <v>2</v>
      </c>
      <c r="I250" s="26">
        <f>IFERROR(__xludf.DUMMYFUNCTION("LET(
 id,A250,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0" s="26">
        <f t="shared" si="3"/>
        <v>0</v>
      </c>
      <c r="K250" s="26" t="b">
        <f t="shared" si="4"/>
        <v>0</v>
      </c>
      <c r="L250" s="26">
        <f t="shared" si="5"/>
        <v>2</v>
      </c>
      <c r="M250" s="26" t="str">
        <f>IFERROR(__xludf.DUMMYFUNCTION("LET(
 id,A250,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L250=0,
  """",
  IFERROR(INDEX(incomplete,1),"""")"&amp;"
 )
)"),"building.workshop@5")</f>
        <v>building.workshop@5</v>
      </c>
      <c r="N250" s="26" t="str">
        <f t="array" ref="N250">IF(
 M250="",
 "",
 _xlfn.XLOOKUP(
  M250,
  tblTargets[TargetID],
  tblTargets[DisplayName],
  M250
 )
)</f>
        <v>Workshop Lv 5</v>
      </c>
      <c r="O250" s="26" t="str">
        <f>IFERROR(__xludf.DUMMYFUNCTION("SWITCH(
 E250,
 ""BUILDING"",XLOOKUP(A250,tblBuildings[BuildingID],tblBuildings[costtext],""""),
 ""TECH"",XLOOKUP(A250,tblTechnologies[TechnologyID],tblTechnologies[costtext],""""),
 ""QUEST"",XLOOKUP(
  REGEXREPLACE(A250,""\.[^.]+$"",""""),
  tblQuests["&amp;"QuestID],
  tblQuests[Costtext],
  """"
 ),
 ""CITADEL"",XLOOKUP(A250,tblCitadel[CitadelID],tblCitadel[costtext],""""),
 ""COLLECTION"",XLOOKUP(A250,tblCollections[CollectionID],tblCollections[costtext],""""),
 ""CRAFTIFACT"",XLOOKUP(A250,tblCraftifacts[C"&amp;"raftifactID],tblCraftifacts[costtext],""""),
 """"
)"),"32 blueprint,16 ingot,8 malu,16 mechanism,4 pcard,40 tparts")</f>
        <v>32 blueprint,16 ingot,8 malu,16 mechanism,4 pcard,40 tparts</v>
      </c>
      <c r="P250" s="26" t="str">
        <f t="shared" si="6"/>
        <v>BLOCKED</v>
      </c>
      <c r="Q250" s="26" t="str">
        <f t="shared" si="7"/>
        <v>BLOCKED</v>
      </c>
      <c r="R250" s="26" t="str">
        <f t="array" ref="R250">IFERROR(
 _xlfn.XLOOKUP(
  A250,
  tblChecklist[TargetID],
  tblChecklist[PlayerSort],
  ""
 ),
 ""
)</f>
        <v/>
      </c>
      <c r="S250" s="26" t="str">
        <f>IFERROR(__xludf.DUMMYFUNCTION("LET(
 id,A250,
 successorIDs,
  IFERROR(
   UNIQUE(
    FILTER(
     {
      Dependencies!$A$2:$A$1000;
      QuestObjectives!$A$2:$A$1000
     },
     {
      Dependencies!$B$2:$B$1000;
      QuestObjectives!$E$2:$E$1000
     }=id
    )
   ),
   """"
  )"&amp;",
 names,
  MAP(
   successorIDs,
   LAMBDA(s,
    IF(
     s="""",
     """",
     XLOOKUP(
      s,
      $A$2:$A$1000,
      $B$2:$B$1000,
      s
     )
    )
   )
  ),
 IF(
  successorIDs="""",
  """",
  TEXTJOIN("", "",TRUE,names)
 )
)"),"Laboratory Lv 1, Ahead of Time Chapter 1 Accepted, Meet mechanical adventurer in Dungeon 3A, Once Upon a Forest Chapter 14 Finished")</f>
        <v>Laboratory Lv 1, Ahead of Time Chapter 1 Accepted, Meet mechanical adventurer in Dungeon 3A, Once Upon a Forest Chapter 14 Finished</v>
      </c>
      <c r="T250" s="26" t="str">
        <f t="array" ref="T250">_xlfn.XLOOKUP(
 A250,
 tblTargets[TargetID],
 tblTargets[CompletionMethod],
 ""
)</f>
        <v>PLAYER</v>
      </c>
      <c r="U250" s="84" t="b">
        <f>COUNTIF(tblCost[TargetID],A250)&gt;0</f>
        <v>1</v>
      </c>
      <c r="V250" s="85">
        <f t="array" ref="V250">IF(
 U250=FALSE,
 "",
 _xlfn.XLOOKUP(
  A250,
  tblCost[TargetID],
  tblCost[FundingPercent],
  ""
 )
)</f>
        <v>0</v>
      </c>
      <c r="W250" s="26">
        <f t="array" ref="W250">IF(
 U250=FALSE,
 "",
 _xlfn.XLOOKUP(
  A250,
  tblCost[TargetID],
  tblCost[RemainingRequirements],
  ""
 )
)</f>
        <v>6</v>
      </c>
      <c r="X250" s="45" t="b">
        <f t="array" ref="X250">IF(
 U250=FALSE,
 "N/A",
 _xlfn.XLOOKUP(
  A251,
  tblCost[TargetID],
  tblCost[TargetFunded],
  FALSE
 )
)</f>
        <v>0</v>
      </c>
      <c r="Y250" s="26" t="str">
        <f>IFERROR(__xludf.DUMMYFUNCTION("IFERROR(
 TEXTJOIN(
  "", "",
  TRUE,
  FILTER(
   'cost checklist'!$E$2:$E1000&amp;"": ""&amp;'cost checklist'!$G$2:$G1000,
   'cost checklist'!$B$2:$B1000=A250,
   'cost checklist'!$J$2:$J1000=FALSE
  )
 ),
 """"
)"),"blueprint: 32, ingot: 16, malu: 8, mechanism: 16, pcard: 4, tparts: 40")</f>
        <v>blueprint: 32, ingot: 16, malu: 8, mechanism: 16, pcard: 4, tparts: 40</v>
      </c>
      <c r="Z250" s="26" t="b">
        <f>IFERROR(__xludf.DUMMYFUNCTION("IF(
 AND(
  E250=""QUEST"",
  RIGHT(A250,9)="".accepted"",
  D250=TRUE
 ),
 XLOOKUP(
  REGEXREPLACE(A250,""\.accepted$"","""")&amp;"".finished"",
  $A$2:$A1000,
  $D$2:$D1000,
  TRUE
 )=FALSE,
 FALSE
)"),FALSE)</f>
        <v>0</v>
      </c>
      <c r="AA250" s="26" t="str">
        <f>IFERROR(__xludf.DUMMYFUNCTION("LET(
 id,A250,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1")</f>
        <v>Ahead of Time Chapter 1</v>
      </c>
    </row>
    <row r="251" ht="14.25" customHeight="1">
      <c r="A251" s="26" t="s">
        <v>905</v>
      </c>
      <c r="B251" s="26" t="str">
        <f t="array" ref="B251">_xlfn.XLOOKUP(
 A251,
 tblTargets[TargetID],
 tblTargets[DisplayName],
 ""
)</f>
        <v>Telescope</v>
      </c>
      <c r="C251" s="26" t="str">
        <f t="shared" si="1"/>
        <v>BLOCKED</v>
      </c>
      <c r="D251" s="26" t="b">
        <f>IFERROR(__xludf.DUMMYFUNCTION("LET(
 id,A251,
 IF(
  F251=""CHARACTER"",
  LET(
   base,REGEXREPLACE(id,""@\d+$"",""""),
   required,VALUE(REGEXEXTRACT(id,""@(\d+)$"")),
   current,XLOOKUP(
    base,
    tblPlayer[PlayerStateID],
    tblPlayer[Value],
    0
   ),
   current&gt;=required
 "&amp;" ),
  IF(
   T251=""AUTO"",
   L251=0,
   COUNTIFS(
    tblChecklist[TargetID],id,
    tblChecklist[PlayerCompleted],TRUE
   )&gt;0
  )
 )
)"),FALSE)</f>
        <v>0</v>
      </c>
      <c r="E251" s="26" t="str">
        <f t="array" ref="E251">_xlfn.XLOOKUP(
 A251,
 tblTargets[TargetID],
 tblTargets[TargetType],
 ""
)</f>
        <v>CRAFTIFACT</v>
      </c>
      <c r="F251" s="26" t="str">
        <f t="array" ref="F251">_xlfn.XLOOKUP(
 A251,
 tblTargets[TargetID],
 tblTargets[StateType],
 ""
)</f>
        <v/>
      </c>
      <c r="G251" s="26">
        <f>LET(
 id,A251,
 depCount,COUNTIF(tblDependencies[TargetID],id),
 objCount,COUNTIF(tblQuestObjectives[QuestTargetID],id),
 depCount+objCount
)</f>
        <v>2</v>
      </c>
      <c r="H251" s="26">
        <f t="shared" si="2"/>
        <v>2</v>
      </c>
      <c r="I251" s="26">
        <f>IFERROR(__xludf.DUMMYFUNCTION("LET(
 id,A251,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1" s="26">
        <f t="shared" si="3"/>
        <v>0</v>
      </c>
      <c r="K251" s="26" t="b">
        <f t="shared" si="4"/>
        <v>0</v>
      </c>
      <c r="L251" s="26">
        <f t="shared" si="5"/>
        <v>2</v>
      </c>
      <c r="M251" s="26" t="str">
        <f>IFERROR(__xludf.DUMMYFUNCTION("LET(
 id,A251,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L251=0,
  """",
  IFERROR(INDEX(incomplete,1),"""")"&amp;"
 )
)"),"building.workshop@5")</f>
        <v>building.workshop@5</v>
      </c>
      <c r="N251" s="26" t="str">
        <f t="array" ref="N251">IF(
 M251="",
 "",
 _xlfn.XLOOKUP(
  M251,
  tblTargets[TargetID],
  tblTargets[DisplayName],
  M251
 )
)</f>
        <v>Workshop Lv 5</v>
      </c>
      <c r="O251" s="26" t="str">
        <f>IFERROR(__xludf.DUMMYFUNCTION("SWITCH(
 E251,
 ""BUILDING"",XLOOKUP(A251,tblBuildings[BuildingID],tblBuildings[costtext],""""),
 ""TECH"",XLOOKUP(A251,tblTechnologies[TechnologyID],tblTechnologies[costtext],""""),
 ""QUEST"",XLOOKUP(
  REGEXREPLACE(A251,""\.[^.]+$"",""""),
  tblQuests["&amp;"QuestID],
  tblQuests[Costtext],
  """"
 ),
 ""CITADEL"",XLOOKUP(A251,tblCitadel[CitadelID],tblCitadel[costtext],""""),
 ""COLLECTION"",XLOOKUP(A251,tblCollections[CollectionID],tblCollections[costtext],""""),
 ""CRAFTIFACT"",XLOOKUP(A251,tblCraftifacts[C"&amp;"raftifactID],tblCraftifacts[costtext],""""),
 """"
)"),"40 blueprint,60 glass,20 mechanism,5 ruby")</f>
        <v>40 blueprint,60 glass,20 mechanism,5 ruby</v>
      </c>
      <c r="P251" s="26" t="str">
        <f t="shared" si="6"/>
        <v>BLOCKED</v>
      </c>
      <c r="Q251" s="26" t="str">
        <f t="shared" si="7"/>
        <v>BLOCKED</v>
      </c>
      <c r="R251" s="26" t="str">
        <f t="array" ref="R251">IFERROR(
 _xlfn.XLOOKUP(
  A251,
  tblChecklist[TargetID],
  tblChecklist[PlayerSort],
  ""
 ),
 ""
)</f>
        <v/>
      </c>
      <c r="S251" s="26" t="str">
        <f>IFERROR(__xludf.DUMMYFUNCTION("LET(
 id,A251,
 successorIDs,
  IFERROR(
   UNIQUE(
    FILTER(
     {
      Dependencies!$A$2:$A$1000;
      QuestObjectives!$A$2:$A$1000
     },
     {
      Dependencies!$B$2:$B$1000;
      QuestObjectives!$E$2:$E$1000
     }=id
    )
   ),
   """"
  )"&amp;",
 names,
  MAP(
   successorIDs,
   LAMBDA(s,
    IF(
     s="""",
     """",
     XLOOKUP(
      s,
      $A$2:$A$1000,
      $B$2:$B$1000,
      s
     )
    )
   )
  ),
 IF(
  successorIDs="""",
  """",
  TEXTJOIN("", "",TRUE,names)
 )
)"),"Laboratory Lv 1, Quest for Knowledge Chapter 5 Finished")</f>
        <v>Laboratory Lv 1, Quest for Knowledge Chapter 5 Finished</v>
      </c>
      <c r="T251" s="26" t="str">
        <f t="array" ref="T251">_xlfn.XLOOKUP(
 A251,
 tblTargets[TargetID],
 tblTargets[CompletionMethod],
 ""
)</f>
        <v>PLAYER</v>
      </c>
      <c r="U251" s="84" t="b">
        <f>COUNTIF(tblCost[TargetID],A251)&gt;0</f>
        <v>1</v>
      </c>
      <c r="V251" s="85">
        <f t="array" ref="V251">IF(
 U251=FALSE,
 "",
 _xlfn.XLOOKUP(
  A251,
  tblCost[TargetID],
  tblCost[FundingPercent],
  ""
 )
)</f>
        <v>0</v>
      </c>
      <c r="W251" s="26">
        <f t="array" ref="W251">IF(
 U251=FALSE,
 "",
 _xlfn.XLOOKUP(
  A251,
  tblCost[TargetID],
  tblCost[RemainingRequirements],
  ""
 )
)</f>
        <v>4</v>
      </c>
      <c r="X251" s="45" t="b">
        <f t="array" ref="X251">IF(
 U251=FALSE,
 "N/A",
 _xlfn.XLOOKUP(
  A252,
  tblCost[TargetID],
  tblCost[TargetFunded],
  FALSE
 )
)</f>
        <v>0</v>
      </c>
      <c r="Y251" s="26" t="str">
        <f>IFERROR(__xludf.DUMMYFUNCTION("IFERROR(
 TEXTJOIN(
  "", "",
  TRUE,
  FILTER(
   'cost checklist'!$E$2:$E1000&amp;"": ""&amp;'cost checklist'!$G$2:$G1000,
   'cost checklist'!$B$2:$B1000=A251,
   'cost checklist'!$J$2:$J1000=FALSE
  )
 ),
 """"
)"),"blueprint: 40, glass: 60, mechanism: 20, ruby: 5")</f>
        <v>blueprint: 40, glass: 60, mechanism: 20, ruby: 5</v>
      </c>
      <c r="Z251" s="26" t="b">
        <f>IFERROR(__xludf.DUMMYFUNCTION("IF(
 AND(
  E251=""QUEST"",
  RIGHT(A251,9)="".accepted"",
  D251=TRUE
 ),
 XLOOKUP(
  REGEXREPLACE(A251,""\.accepted$"","""")&amp;"".finished"",
  $A$2:$A1000,
  $D$2:$D1000,
  TRUE
 )=FALSE,
 FALSE
)"),FALSE)</f>
        <v>0</v>
      </c>
      <c r="AA251" s="26" t="str">
        <f>IFERROR(__xludf.DUMMYFUNCTION("LET(
 id,A251,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52" ht="14.25" customHeight="1">
      <c r="A252" s="26" t="s">
        <v>910</v>
      </c>
      <c r="B252" s="26" t="str">
        <f t="array" ref="B252">_xlfn.XLOOKUP(
 A252,
 tblTargets[TargetID],
 tblTargets[DisplayName],
 ""
)</f>
        <v>Tetrachloroaurate</v>
      </c>
      <c r="C252" s="26" t="str">
        <f t="shared" si="1"/>
        <v>BLOCKED</v>
      </c>
      <c r="D252" s="26" t="b">
        <f>IFERROR(__xludf.DUMMYFUNCTION("LET(
 id,A252,
 IF(
  F252=""CHARACTER"",
  LET(
   base,REGEXREPLACE(id,""@\d+$"",""""),
   required,VALUE(REGEXEXTRACT(id,""@(\d+)$"")),
   current,XLOOKUP(
    base,
    tblPlayer[PlayerStateID],
    tblPlayer[Value],
    0
   ),
   current&gt;=required
 "&amp;" ),
  IF(
   T252=""AUTO"",
   L252=0,
   COUNTIFS(
    tblChecklist[TargetID],id,
    tblChecklist[PlayerCompleted],TRUE
   )&gt;0
  )
 )
)"),FALSE)</f>
        <v>0</v>
      </c>
      <c r="E252" s="26" t="str">
        <f t="array" ref="E252">_xlfn.XLOOKUP(
 A252,
 tblTargets[TargetID],
 tblTargets[TargetType],
 ""
)</f>
        <v>CRAFTIFACT</v>
      </c>
      <c r="F252" s="26" t="str">
        <f t="array" ref="F252">_xlfn.XLOOKUP(
 A252,
 tblTargets[TargetID],
 tblTargets[StateType],
 ""
)</f>
        <v/>
      </c>
      <c r="G252" s="26">
        <f>LET(
 id,A252,
 depCount,COUNTIF(tblDependencies[TargetID],id),
 objCount,COUNTIF(tblQuestObjectives[QuestTargetID],id),
 depCount+objCount
)</f>
        <v>2</v>
      </c>
      <c r="H252" s="26">
        <f t="shared" si="2"/>
        <v>2</v>
      </c>
      <c r="I252" s="26">
        <f>IFERROR(__xludf.DUMMYFUNCTION("LET(
 id,A252,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2" s="26">
        <f t="shared" si="3"/>
        <v>0</v>
      </c>
      <c r="K252" s="26" t="b">
        <f t="shared" si="4"/>
        <v>0</v>
      </c>
      <c r="L252" s="26">
        <f t="shared" si="5"/>
        <v>2</v>
      </c>
      <c r="M252" s="26" t="str">
        <f>IFERROR(__xludf.DUMMYFUNCTION("LET(
 id,A252,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L252=0,
  """",
  IFERROR(INDEX(incomplete,1),"""")"&amp;"
 )
)"),"building.alchemists_hut@6")</f>
        <v>building.alchemists_hut@6</v>
      </c>
      <c r="N252" s="26" t="str">
        <f t="array" ref="N252">IF(
 M252="",
 "",
 _xlfn.XLOOKUP(
  M252,
  tblTargets[TargetID],
  tblTargets[DisplayName],
  M252
 )
)</f>
        <v>Alchemist's Hut Lv 6</v>
      </c>
      <c r="O252" s="26" t="str">
        <f>IFERROR(__xludf.DUMMYFUNCTION("SWITCH(
 E252,
 ""BUILDING"",XLOOKUP(A252,tblBuildings[BuildingID],tblBuildings[costtext],""""),
 ""TECH"",XLOOKUP(A252,tblTechnologies[TechnologyID],tblTechnologies[costtext],""""),
 ""QUEST"",XLOOKUP(
  REGEXREPLACE(A252,""\.[^.]+$"",""""),
  tblQuests["&amp;"QuestID],
  tblQuests[Costtext],
  """"
 ),
 ""CITADEL"",XLOOKUP(A252,tblCitadel[CitadelID],tblCitadel[costtext],""""),
 ""COLLECTION"",XLOOKUP(A252,tblCollections[CollectionID],tblCollections[costtext],""""),
 ""CRAFTIFACT"",XLOOKUP(A252,tblCraftifacts[C"&amp;"raftifactID],tblCraftifacts[costtext],""""),
 """"
)"),"30 catalyst,50 chemicals,30 glass,50 ingot,40 reagent")</f>
        <v>30 catalyst,50 chemicals,30 glass,50 ingot,40 reagent</v>
      </c>
      <c r="P252" s="26" t="str">
        <f t="shared" si="6"/>
        <v>BLOCKED</v>
      </c>
      <c r="Q252" s="26" t="str">
        <f t="shared" si="7"/>
        <v>BLOCKED</v>
      </c>
      <c r="R252" s="26" t="str">
        <f t="array" ref="R252">IFERROR(
 _xlfn.XLOOKUP(
  A252,
  tblChecklist[TargetID],
  tblChecklist[PlayerSort],
  ""
 ),
 ""
)</f>
        <v/>
      </c>
      <c r="S252" s="26" t="str">
        <f>IFERROR(__xludf.DUMMYFUNCTION("LET(
 id,A252,
 successorIDs,
  IFERROR(
   UNIQUE(
    FILTER(
     {
      Dependencies!$A$2:$A$1000;
      QuestObjectives!$A$2:$A$1000
     },
     {
      Dependencies!$B$2:$B$1000;
      QuestObjectives!$E$2:$E$1000
     }=id
    )
   ),
   """"
  )"&amp;",
 names,
  MAP(
   successorIDs,
   LAMBDA(s,
    IF(
     s="""",
     """",
     XLOOKUP(
      s,
      $A$2:$A$1000,
      $B$2:$B$1000,
      s
     )
    )
   )
  ),
 IF(
  successorIDs="""",
  """",
  TEXTJOIN("", "",TRUE,names)
 )
)"),"")</f>
        <v/>
      </c>
      <c r="T252" s="26" t="str">
        <f t="array" ref="T252">_xlfn.XLOOKUP(
 A252,
 tblTargets[TargetID],
 tblTargets[CompletionMethod],
 ""
)</f>
        <v>PLAYER</v>
      </c>
      <c r="U252" s="84" t="b">
        <f>COUNTIF(tblCost[TargetID],A252)&gt;0</f>
        <v>1</v>
      </c>
      <c r="V252" s="85">
        <f t="array" ref="V252">IF(
 U252=FALSE,
 "",
 _xlfn.XLOOKUP(
  A252,
  tblCost[TargetID],
  tblCost[FundingPercent],
  ""
 )
)</f>
        <v>0</v>
      </c>
      <c r="W252" s="26">
        <f t="array" ref="W252">IF(
 U252=FALSE,
 "",
 _xlfn.XLOOKUP(
  A252,
  tblCost[TargetID],
  tblCost[RemainingRequirements],
  ""
 )
)</f>
        <v>5</v>
      </c>
      <c r="X252" s="45" t="b">
        <f t="array" ref="X252">IF(
 U252=FALSE,
 "N/A",
 _xlfn.XLOOKUP(
  A253,
  tblCost[TargetID],
  tblCost[TargetFunded],
  FALSE
 )
)</f>
        <v>0</v>
      </c>
      <c r="Y252" s="26" t="str">
        <f>IFERROR(__xludf.DUMMYFUNCTION("IFERROR(
 TEXTJOIN(
  "", "",
  TRUE,
  FILTER(
   'cost checklist'!$E$2:$E1000&amp;"": ""&amp;'cost checklist'!$G$2:$G1000,
   'cost checklist'!$B$2:$B1000=A252,
   'cost checklist'!$J$2:$J1000=FALSE
  )
 ),
 """"
)"),"catalyst: 30, chemicals: 50, glass: 30, ingot: 50, reagent: 40")</f>
        <v>catalyst: 30, chemicals: 50, glass: 30, ingot: 50, reagent: 40</v>
      </c>
      <c r="Z252" s="26" t="b">
        <f>IFERROR(__xludf.DUMMYFUNCTION("IF(
 AND(
  E252=""QUEST"",
  RIGHT(A252,9)="".accepted"",
  D252=TRUE
 ),
 XLOOKUP(
  REGEXREPLACE(A252,""\.accepted$"","""")&amp;"".finished"",
  $A$2:$A1000,
  $D$2:$D1000,
  TRUE
 )=FALSE,
 FALSE
)"),FALSE)</f>
        <v>0</v>
      </c>
      <c r="AA252" s="26" t="str">
        <f>IFERROR(__xludf.DUMMYFUNCTION("LET(
 id,A252,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53" ht="14.25" customHeight="1">
      <c r="A253" s="26" t="s">
        <v>914</v>
      </c>
      <c r="B253" s="26" t="str">
        <f t="array" ref="B253">_xlfn.XLOOKUP(
 A253,
 tblTargets[TargetID],
 tblTargets[DisplayName],
 ""
)</f>
        <v>Trigonometry</v>
      </c>
      <c r="C253" s="26" t="str">
        <f t="shared" si="1"/>
        <v>BLOCKED</v>
      </c>
      <c r="D253" s="26" t="b">
        <f>IFERROR(__xludf.DUMMYFUNCTION("LET(
 id,A253,
 IF(
  F253=""CHARACTER"",
  LET(
   base,REGEXREPLACE(id,""@\d+$"",""""),
   required,VALUE(REGEXEXTRACT(id,""@(\d+)$"")),
   current,XLOOKUP(
    base,
    tblPlayer[PlayerStateID],
    tblPlayer[Value],
    0
   ),
   current&gt;=required
 "&amp;" ),
  IF(
   T253=""AUTO"",
   L253=0,
   COUNTIFS(
    tblChecklist[TargetID],id,
    tblChecklist[PlayerCompleted],TRUE
   )&gt;0
  )
 )
)"),FALSE)</f>
        <v>0</v>
      </c>
      <c r="E253" s="26" t="str">
        <f t="array" ref="E253">_xlfn.XLOOKUP(
 A253,
 tblTargets[TargetID],
 tblTargets[TargetType],
 ""
)</f>
        <v>CRAFTIFACT</v>
      </c>
      <c r="F253" s="26" t="str">
        <f t="array" ref="F253">_xlfn.XLOOKUP(
 A253,
 tblTargets[TargetID],
 tblTargets[StateType],
 ""
)</f>
        <v/>
      </c>
      <c r="G253" s="26">
        <f>LET(
 id,A253,
 depCount,COUNTIF(tblDependencies[TargetID],id),
 objCount,COUNTIF(tblQuestObjectives[QuestTargetID],id),
 depCount+objCount
)</f>
        <v>2</v>
      </c>
      <c r="H253" s="26">
        <f t="shared" si="2"/>
        <v>2</v>
      </c>
      <c r="I253" s="26">
        <f>IFERROR(__xludf.DUMMYFUNCTION("LET(
 id,A253,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3" s="26">
        <f t="shared" si="3"/>
        <v>0</v>
      </c>
      <c r="K253" s="26" t="b">
        <f t="shared" si="4"/>
        <v>0</v>
      </c>
      <c r="L253" s="26">
        <f t="shared" si="5"/>
        <v>2</v>
      </c>
      <c r="M253" s="26" t="str">
        <f>IFERROR(__xludf.DUMMYFUNCTION("LET(
 id,A253,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L253=0,
  """",
  IFERROR(INDEX(incomplete,1),"""")"&amp;"
 )
)"),"building.guild@5")</f>
        <v>building.guild@5</v>
      </c>
      <c r="N253" s="26" t="str">
        <f t="array" ref="N253">IF(
 M253="",
 "",
 _xlfn.XLOOKUP(
  M253,
  tblTargets[TargetID],
  tblTargets[DisplayName],
  M253
 )
)</f>
        <v>Guild Lv 5</v>
      </c>
      <c r="O253" s="26" t="str">
        <f>IFERROR(__xludf.DUMMYFUNCTION("SWITCH(
 E253,
 ""BUILDING"",XLOOKUP(A253,tblBuildings[BuildingID],tblBuildings[costtext],""""),
 ""TECH"",XLOOKUP(A253,tblTechnologies[TechnologyID],tblTechnologies[costtext],""""),
 ""QUEST"",XLOOKUP(
  REGEXREPLACE(A253,""\.[^.]+$"",""""),
  tblQuests["&amp;"QuestID],
  tblQuests[Costtext],
  """"
 ),
 ""CITADEL"",XLOOKUP(A253,tblCitadel[CitadelID],tblCitadel[costtext],""""),
 ""COLLECTION"",XLOOKUP(A253,tblCollections[CollectionID],tblCollections[costtext],""""),
 ""CRAFTIFACT"",XLOOKUP(A253,tblCraftifacts[C"&amp;"raftifactID],tblCraftifacts[costtext],""""),
 """"
)"),"60 page,1 scroll")</f>
        <v>60 page,1 scroll</v>
      </c>
      <c r="P253" s="26" t="str">
        <f t="shared" si="6"/>
        <v>BLOCKED</v>
      </c>
      <c r="Q253" s="26" t="str">
        <f t="shared" si="7"/>
        <v>BLOCKED</v>
      </c>
      <c r="R253" s="26" t="str">
        <f t="array" ref="R253">IFERROR(
 _xlfn.XLOOKUP(
  A253,
  tblChecklist[TargetID],
  tblChecklist[PlayerSort],
  ""
 ),
 ""
)</f>
        <v/>
      </c>
      <c r="S253" s="26" t="str">
        <f>IFERROR(__xludf.DUMMYFUNCTION("LET(
 id,A253,
 successorIDs,
  IFERROR(
   UNIQUE(
    FILTER(
     {
      Dependencies!$A$2:$A$1000;
      QuestObjectives!$A$2:$A$1000
     },
     {
      Dependencies!$B$2:$B$1000;
      QuestObjectives!$E$2:$E$1000
     }=id
    )
   ),
   """"
  )"&amp;",
 names,
  MAP(
   successorIDs,
   LAMBDA(s,
    IF(
     s="""",
     """",
     XLOOKUP(
      s,
      $A$2:$A$1000,
      $B$2:$B$1000,
      s
     )
    )
   )
  ),
 IF(
  successorIDs="""",
  """",
  TEXTJOIN("", "",TRUE,names)
 )
)"),"Quest for Knowledge Chapter 2 Finished")</f>
        <v>Quest for Knowledge Chapter 2 Finished</v>
      </c>
      <c r="T253" s="26" t="str">
        <f t="array" ref="T253">_xlfn.XLOOKUP(
 A253,
 tblTargets[TargetID],
 tblTargets[CompletionMethod],
 ""
)</f>
        <v>PLAYER</v>
      </c>
      <c r="U253" s="84" t="b">
        <f>COUNTIF(tblCost[TargetID],A253)&gt;0</f>
        <v>1</v>
      </c>
      <c r="V253" s="85">
        <f t="array" ref="V253">IF(
 U253=FALSE,
 "",
 _xlfn.XLOOKUP(
  A253,
  tblCost[TargetID],
  tblCost[FundingPercent],
  ""
 )
)</f>
        <v>0</v>
      </c>
      <c r="W253" s="26">
        <f t="array" ref="W253">IF(
 U253=FALSE,
 "",
 _xlfn.XLOOKUP(
  A253,
  tblCost[TargetID],
  tblCost[RemainingRequirements],
  ""
 )
)</f>
        <v>2</v>
      </c>
      <c r="X253" s="45" t="b">
        <f t="array" ref="X253">IF(
 U253=FALSE,
 "N/A",
 _xlfn.XLOOKUP(
  A254,
  tblCost[TargetID],
  tblCost[TargetFunded],
  FALSE
 )
)</f>
        <v>0</v>
      </c>
      <c r="Y253" s="26" t="str">
        <f>IFERROR(__xludf.DUMMYFUNCTION("IFERROR(
 TEXTJOIN(
  "", "",
  TRUE,
  FILTER(
   'cost checklist'!$E$2:$E1000&amp;"": ""&amp;'cost checklist'!$G$2:$G1000,
   'cost checklist'!$B$2:$B1000=A253,
   'cost checklist'!$J$2:$J1000=FALSE
  )
 ),
 """"
)"),"page: 60, scroll: 1")</f>
        <v>page: 60, scroll: 1</v>
      </c>
      <c r="Z253" s="26" t="b">
        <f>IFERROR(__xludf.DUMMYFUNCTION("IF(
 AND(
  E253=""QUEST"",
  RIGHT(A253,9)="".accepted"",
  D253=TRUE
 ),
 XLOOKUP(
  REGEXREPLACE(A253,""\.accepted$"","""")&amp;"".finished"",
  $A$2:$A1000,
  $D$2:$D1000,
  TRUE
 )=FALSE,
 FALSE
)"),FALSE)</f>
        <v>0</v>
      </c>
      <c r="AA253" s="26" t="str">
        <f>IFERROR(__xludf.DUMMYFUNCTION("LET(
 id,A253,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54" ht="14.25" customHeight="1">
      <c r="A254" s="26" t="s">
        <v>920</v>
      </c>
      <c r="B254" s="26" t="str">
        <f t="array" ref="B254">_xlfn.XLOOKUP(
 A254,
 tblTargets[TargetID],
 tblTargets[DisplayName],
 ""
)</f>
        <v>Ahead of Time Chapter 1 Accepted</v>
      </c>
      <c r="C254" s="26" t="str">
        <f t="shared" si="1"/>
        <v>BLOCKED</v>
      </c>
      <c r="D254" s="26" t="b">
        <f>IFERROR(__xludf.DUMMYFUNCTION("LET(
 id,A254,
 IF(
  F254=""CHARACTER"",
  LET(
   base,REGEXREPLACE(id,""@\d+$"",""""),
   required,VALUE(REGEXEXTRACT(id,""@(\d+)$"")),
   current,XLOOKUP(
    base,
    tblPlayer[PlayerStateID],
    tblPlayer[Value],
    0
   ),
   current&gt;=required
 "&amp;" ),
  IF(
   T254=""AUTO"",
   L254=0,
   COUNTIFS(
    tblChecklist[TargetID],id,
    tblChecklist[PlayerCompleted],TRUE
   )&gt;0
  )
 )
)"),FALSE)</f>
        <v>0</v>
      </c>
      <c r="E254" s="26" t="str">
        <f t="array" ref="E254">_xlfn.XLOOKUP(
 A254,
 tblTargets[TargetID],
 tblTargets[TargetType],
 ""
)</f>
        <v>QUEST</v>
      </c>
      <c r="F254" s="26" t="str">
        <f t="array" ref="F254">_xlfn.XLOOKUP(
 A254,
 tblTargets[TargetID],
 tblTargets[StateType],
 ""
)</f>
        <v/>
      </c>
      <c r="G254" s="26">
        <f>LET(
 id,A254,
 depCount,COUNTIF(tblDependencies[TargetID],id),
 objCount,COUNTIF(tblQuestObjectives[QuestTargetID],id),
 depCount+objCount
)</f>
        <v>5</v>
      </c>
      <c r="H254" s="26">
        <f t="shared" si="2"/>
        <v>5</v>
      </c>
      <c r="I254" s="26">
        <f>IFERROR(__xludf.DUMMYFUNCTION("LET(
 id,A254,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4" s="26">
        <f t="shared" si="3"/>
        <v>0</v>
      </c>
      <c r="K254" s="26" t="b">
        <f t="shared" si="4"/>
        <v>0</v>
      </c>
      <c r="L254" s="26">
        <f t="shared" si="5"/>
        <v>5</v>
      </c>
      <c r="M254" s="26" t="str">
        <f>IFERROR(__xludf.DUMMYFUNCTION("LET(
 id,A254,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L254=0,
  """",
  IFERROR(INDEX(incomplete,1),"""")"&amp;"
 )
)"),"quest.magic_beans.finished")</f>
        <v>quest.magic_beans.finished</v>
      </c>
      <c r="N254" s="26" t="str">
        <f t="array" ref="N254">IF(
 M254="",
 "",
 _xlfn.XLOOKUP(
  M254,
  tblTargets[TargetID],
  tblTargets[DisplayName],
  M254
 )
)</f>
        <v>Magic Beans Finished</v>
      </c>
      <c r="O254" s="26" t="str">
        <f>IFERROR(__xludf.DUMMYFUNCTION("SWITCH(
 E254,
 ""BUILDING"",XLOOKUP(A254,tblBuildings[BuildingID],tblBuildings[costtext],""""),
 ""TECH"",XLOOKUP(A254,tblTechnologies[TechnologyID],tblTechnologies[costtext],""""),
 ""QUEST"",XLOOKUP(
  REGEXREPLACE(A254,""\.[^.]+$"",""""),
  tblQuests["&amp;"QuestID],
  tblQuests[Costtext],
  """"
 ),
 ""CITADEL"",XLOOKUP(A254,tblCitadel[CitadelID],tblCitadel[costtext],""""),
 ""COLLECTION"",XLOOKUP(A254,tblCollections[CollectionID],tblCollections[costtext],""""),
 ""CRAFTIFACT"",XLOOKUP(A254,tblCraftifacts[C"&amp;"raftifactID],tblCraftifacts[costtext],""""),
 """"
)"),"pbr:1,horn:1,pa:1,pasta:1,bedroll:1,yuba:1,pizza:2")</f>
        <v>pbr:1,horn:1,pa:1,pasta:1,bedroll:1,yuba:1,pizza:2</v>
      </c>
      <c r="P254" s="26" t="str">
        <f t="shared" si="6"/>
        <v>BLOCKED</v>
      </c>
      <c r="Q254" s="26" t="str">
        <f t="shared" si="7"/>
        <v>BLOCKED</v>
      </c>
      <c r="R254" s="26" t="str">
        <f t="array" ref="R254">IFERROR(
 _xlfn.XLOOKUP(
  A254,
  tblChecklist[TargetID],
  tblChecklist[PlayerSort],
  ""
 ),
 ""
)</f>
        <v/>
      </c>
      <c r="S254" s="26" t="str">
        <f>IFERROR(__xludf.DUMMYFUNCTION("LET(
 id,A254,
 successorIDs,
  IFERROR(
   UNIQUE(
    FILTER(
     {
      Dependencies!$A$2:$A$1000;
      QuestObjectives!$A$2:$A$1000
     },
     {
      Dependencies!$B$2:$B$1000;
      QuestObjectives!$E$2:$E$1000
     }=id
    )
   ),
   """"
  )"&amp;",
 names,
  MAP(
   successorIDs,
   LAMBDA(s,
    IF(
     s="""",
     """",
     XLOOKUP(
      s,
      $A$2:$A$1000,
      $B$2:$B$1000,
      s
     )
    )
   )
  ),
 IF(
  successorIDs="""",
  """",
  TEXTJOIN("", "",TRUE,names)
 )
)"),"Laboratory Lv 1, Ahead of Time Chapter 1 Finished, Deliver Bedroll to  4B , Deliver Horn to  2C , Deliver Pizza Diavola to  5B , Deliver Pizza Diavola to  5C , Deliver Porcini pasta to  3C , Deliver Potion Ambrosia to  3B , Deliver Potion Berserker rage t"&amp;"o  1C , Deliver Yuba to  4C , Alchemist's Hut - Perfect Fertilizer")</f>
        <v>Laboratory Lv 1, Ahead of Time Chapter 1 Finished, Deliver Bedroll to  4B , Deliver Horn to  2C , Deliver Pizza Diavola to  5B , Deliver Pizza Diavola to  5C , Deliver Porcini pasta to  3C , Deliver Potion Ambrosia to  3B , Deliver Potion Berserker rage to  1C , Deliver Yuba to  4C , Alchemist's Hut - Perfect Fertilizer</v>
      </c>
      <c r="T254" s="26" t="str">
        <f t="array" ref="T254">_xlfn.XLOOKUP(
 A254,
 tblTargets[TargetID],
 tblTargets[CompletionMethod],
 ""
)</f>
        <v>PLAYER</v>
      </c>
      <c r="U254" s="84" t="b">
        <f>COUNTIF(tblCost[TargetID],A254)&gt;0</f>
        <v>0</v>
      </c>
      <c r="V254" s="85" t="str">
        <f t="array" ref="V254">IF(
 U254=FALSE,
 "",
 _xlfn.XLOOKUP(
  A254,
  tblCost[TargetID],
  tblCost[FundingPercent],
  ""
 )
)</f>
        <v/>
      </c>
      <c r="W254" s="26" t="str">
        <f t="array" ref="W254">IF(
 U254=FALSE,
 "",
 _xlfn.XLOOKUP(
  A254,
  tblCost[TargetID],
  tblCost[RemainingRequirements],
  ""
 )
)</f>
        <v/>
      </c>
      <c r="X254" s="45" t="str">
        <f t="array" ref="X254">IF(
 U254=FALSE,
 "N/A",
 _xlfn.XLOOKUP(
  A255,
  tblCost[TargetID],
  tblCost[TargetFunded],
  FALSE
 )
)</f>
        <v>N/A</v>
      </c>
      <c r="Y254" s="26" t="str">
        <f>IFERROR(__xludf.DUMMYFUNCTION("IFERROR(
 TEXTJOIN(
  "", "",
  TRUE,
  FILTER(
   'cost checklist'!$E$2:$E1000&amp;"": ""&amp;'cost checklist'!$G$2:$G1000,
   'cost checklist'!$B$2:$B1000=A254,
   'cost checklist'!$J$2:$J1000=FALSE
  )
 ),
 """"
)"),"")</f>
        <v/>
      </c>
      <c r="Z254" s="26" t="b">
        <f>IFERROR(__xludf.DUMMYFUNCTION("IF(
 AND(
  E254=""QUEST"",
  RIGHT(A254,9)="".accepted"",
  D254=TRUE
 ),
 XLOOKUP(
  REGEXREPLACE(A254,""\.accepted$"","""")&amp;"".finished"",
  $A$2:$A1000,
  $D$2:$D1000,
  TRUE
 )=FALSE,
 FALSE
)"),FALSE)</f>
        <v>0</v>
      </c>
      <c r="AA254" s="26" t="str">
        <f>IFERROR(__xludf.DUMMYFUNCTION("LET(
 id,A254,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55" ht="14.25" customHeight="1">
      <c r="A255" s="26" t="s">
        <v>924</v>
      </c>
      <c r="B255" s="26" t="str">
        <f t="array" ref="B255">_xlfn.XLOOKUP(
 A255,
 tblTargets[TargetID],
 tblTargets[DisplayName],
 ""
)</f>
        <v>Ahead of Time Chapter 1 Finished</v>
      </c>
      <c r="C255" s="26" t="str">
        <f t="shared" si="1"/>
        <v>BLOCKED</v>
      </c>
      <c r="D255" s="26" t="b">
        <f>IFERROR(__xludf.DUMMYFUNCTION("LET(
 id,A255,
 IF(
  F255=""CHARACTER"",
  LET(
   base,REGEXREPLACE(id,""@\d+$"",""""),
   required,VALUE(REGEXEXTRACT(id,""@(\d+)$"")),
   current,XLOOKUP(
    base,
    tblPlayer[PlayerStateID],
    tblPlayer[Value],
    0
   ),
   current&gt;=required
 "&amp;" ),
  IF(
   T255=""AUTO"",
   L255=0,
   COUNTIFS(
    tblChecklist[TargetID],id,
    tblChecklist[PlayerCompleted],TRUE
   )&gt;0
  )
 )
)"),FALSE)</f>
        <v>0</v>
      </c>
      <c r="E255" s="26" t="str">
        <f t="array" ref="E255">_xlfn.XLOOKUP(
 A255,
 tblTargets[TargetID],
 tblTargets[TargetType],
 ""
)</f>
        <v>QUEST</v>
      </c>
      <c r="F255" s="26" t="str">
        <f t="array" ref="F255">_xlfn.XLOOKUP(
 A255,
 tblTargets[TargetID],
 tblTargets[StateType],
 ""
)</f>
        <v/>
      </c>
      <c r="G255" s="26">
        <f>LET(
 id,A255,
 depCount,COUNTIF(tblDependencies[TargetID],id),
 objCount,COUNTIF(tblQuestObjectives[QuestTargetID],id),
 depCount+objCount
)</f>
        <v>10</v>
      </c>
      <c r="H255" s="26">
        <f t="shared" si="2"/>
        <v>10</v>
      </c>
      <c r="I255" s="26">
        <f>IFERROR(__xludf.DUMMYFUNCTION("LET(
 id,A255,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5" s="26">
        <f t="shared" si="3"/>
        <v>0</v>
      </c>
      <c r="K255" s="26" t="b">
        <f t="shared" si="4"/>
        <v>0</v>
      </c>
      <c r="L255" s="26">
        <f t="shared" si="5"/>
        <v>10</v>
      </c>
      <c r="M255" s="26" t="str">
        <f>IFERROR(__xludf.DUMMYFUNCTION("LET(
 id,A255,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L255=0,
  """",
  IFERROR(INDEX(incomplete,1),"""")"&amp;"
 )
)"),"quest.ahead_of_time_chapter_1.accepted")</f>
        <v>quest.ahead_of_time_chapter_1.accepted</v>
      </c>
      <c r="N255" s="26" t="str">
        <f t="array" ref="N255">IF(
 M255="",
 "",
 _xlfn.XLOOKUP(
  M255,
  tblTargets[TargetID],
  tblTargets[DisplayName],
  M255
 )
)</f>
        <v>Ahead of Time Chapter 1 Accepted</v>
      </c>
      <c r="O255" s="26" t="str">
        <f>IFERROR(__xludf.DUMMYFUNCTION("SWITCH(
 E255,
 ""BUILDING"",XLOOKUP(A255,tblBuildings[BuildingID],tblBuildings[costtext],""""),
 ""TECH"",XLOOKUP(A255,tblTechnologies[TechnologyID],tblTechnologies[costtext],""""),
 ""QUEST"",XLOOKUP(
  REGEXREPLACE(A255,""\.[^.]+$"",""""),
  tblQuests["&amp;"QuestID],
  tblQuests[Costtext],
  """"
 ),
 ""CITADEL"",XLOOKUP(A255,tblCitadel[CitadelID],tblCitadel[costtext],""""),
 ""COLLECTION"",XLOOKUP(A255,tblCollections[CollectionID],tblCollections[costtext],""""),
 ""CRAFTIFACT"",XLOOKUP(A255,tblCraftifacts[C"&amp;"raftifactID],tblCraftifacts[costtext],""""),
 """"
)"),"pbr:1,horn:1,pa:1,pasta:1,bedroll:1,yuba:1,pizza:2")</f>
        <v>pbr:1,horn:1,pa:1,pasta:1,bedroll:1,yuba:1,pizza:2</v>
      </c>
      <c r="P255" s="26" t="str">
        <f t="shared" si="6"/>
        <v>BLOCKED</v>
      </c>
      <c r="Q255" s="26" t="str">
        <f t="shared" si="7"/>
        <v>BLOCKED</v>
      </c>
      <c r="R255" s="26" t="str">
        <f t="array" ref="R255">IFERROR(
 _xlfn.XLOOKUP(
  A255,
  tblChecklist[TargetID],
  tblChecklist[PlayerSort],
  ""
 ),
 ""
)</f>
        <v/>
      </c>
      <c r="S255" s="26" t="str">
        <f>IFERROR(__xludf.DUMMYFUNCTION("LET(
 id,A255,
 successorIDs,
  IFERROR(
   UNIQUE(
    FILTER(
     {
      Dependencies!$A$2:$A$1000;
      QuestObjectives!$A$2:$A$1000
     },
     {
      Dependencies!$B$2:$B$1000;
      QuestObjectives!$E$2:$E$1000
     }=id
    )
   ),
   """"
  )"&amp;",
 names,
  MAP(
   successorIDs,
   LAMBDA(s,
    IF(
     s="""",
     """",
     XLOOKUP(
      s,
      $A$2:$A$1000,
      $B$2:$B$1000,
      s
     )
    )
   )
  ),
 IF(
  successorIDs="""",
  """",
  TEXTJOIN("", "",TRUE,names)
 )
)"),"Ahead of Time Chapter 2 Accepted, Visit Dungeon@6A")</f>
        <v>Ahead of Time Chapter 2 Accepted, Visit Dungeon@6A</v>
      </c>
      <c r="T255" s="26" t="str">
        <f t="array" ref="T255">_xlfn.XLOOKUP(
 A255,
 tblTargets[TargetID],
 tblTargets[CompletionMethod],
 ""
)</f>
        <v>PLAYER</v>
      </c>
      <c r="U255" s="84" t="b">
        <f>COUNTIF(tblCost[TargetID],A255)&gt;0</f>
        <v>1</v>
      </c>
      <c r="V255" s="85">
        <f t="array" ref="V255">IF(
 U255=FALSE,
 "",
 _xlfn.XLOOKUP(
  A255,
  tblCost[TargetID],
  tblCost[FundingPercent],
  ""
 )
)</f>
        <v>0</v>
      </c>
      <c r="W255" s="26">
        <f t="array" ref="W255">IF(
 U255=FALSE,
 "",
 _xlfn.XLOOKUP(
  A255,
  tblCost[TargetID],
  tblCost[RemainingRequirements],
  ""
 )
)</f>
        <v>7</v>
      </c>
      <c r="X255" s="45" t="b">
        <f t="array" ref="X255">IF(
 U255=FALSE,
 "N/A",
 _xlfn.XLOOKUP(
  A256,
  tblCost[TargetID],
  tblCost[TargetFunded],
  FALSE
 )
)</f>
        <v>0</v>
      </c>
      <c r="Y255" s="26" t="str">
        <f>IFERROR(__xludf.DUMMYFUNCTION("IFERROR(
 TEXTJOIN(
  "", "",
  TRUE,
  FILTER(
   'cost checklist'!$E$2:$E1000&amp;"": ""&amp;'cost checklist'!$G$2:$G1000,
   'cost checklist'!$B$2:$B1000=A255,
   'cost checklist'!$J$2:$J1000=FALSE
  )
 ),
 """"
)"),"bedroll: 1, horn: 1, pa: 1, pasta: 1, pbr: 1, pizza: 2, yuba: 1")</f>
        <v>bedroll: 1, horn: 1, pa: 1, pasta: 1, pbr: 1, pizza: 2, yuba: 1</v>
      </c>
      <c r="Z255" s="26" t="b">
        <f>IFERROR(__xludf.DUMMYFUNCTION("IF(
 AND(
  E255=""QUEST"",
  RIGHT(A255,9)="".accepted"",
  D255=TRUE
 ),
 XLOOKUP(
  REGEXREPLACE(A255,""\.accepted$"","""")&amp;"".finished"",
  $A$2:$A1000,
  $D$2:$D1000,
  TRUE
 )=FALSE,
 FALSE
)"),FALSE)</f>
        <v>0</v>
      </c>
      <c r="AA255" s="26" t="str">
        <f>IFERROR(__xludf.DUMMYFUNCTION("LET(
 id,A255,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2")</f>
        <v>Ahead of Time Chapter 2</v>
      </c>
    </row>
    <row r="256" ht="14.25" customHeight="1">
      <c r="A256" s="26" t="s">
        <v>933</v>
      </c>
      <c r="B256" s="26" t="str">
        <f t="array" ref="B256">_xlfn.XLOOKUP(
 A256,
 tblTargets[TargetID],
 tblTargets[DisplayName],
 ""
)</f>
        <v>Ahead of Time Chapter 2 Accepted</v>
      </c>
      <c r="C256" s="26" t="str">
        <f t="shared" si="1"/>
        <v>BLOCKED</v>
      </c>
      <c r="D256" s="26" t="b">
        <f>IFERROR(__xludf.DUMMYFUNCTION("LET(
 id,A256,
 IF(
  F256=""CHARACTER"",
  LET(
   base,REGEXREPLACE(id,""@\d+$"",""""),
   required,VALUE(REGEXEXTRACT(id,""@(\d+)$"")),
   current,XLOOKUP(
    base,
    tblPlayer[PlayerStateID],
    tblPlayer[Value],
    0
   ),
   current&gt;=required
 "&amp;" ),
  IF(
   T256=""AUTO"",
   L256=0,
   COUNTIFS(
    tblChecklist[TargetID],id,
    tblChecklist[PlayerCompleted],TRUE
   )&gt;0
  )
 )
)"),FALSE)</f>
        <v>0</v>
      </c>
      <c r="E256" s="26" t="str">
        <f t="array" ref="E256">_xlfn.XLOOKUP(
 A256,
 tblTargets[TargetID],
 tblTargets[TargetType],
 ""
)</f>
        <v>QUEST</v>
      </c>
      <c r="F256" s="26" t="str">
        <f t="array" ref="F256">_xlfn.XLOOKUP(
 A256,
 tblTargets[TargetID],
 tblTargets[StateType],
 ""
)</f>
        <v/>
      </c>
      <c r="G256" s="26">
        <f>LET(
 id,A256,
 depCount,COUNTIF(tblDependencies[TargetID],id),
 objCount,COUNTIF(tblQuestObjectives[QuestTargetID],id),
 depCount+objCount
)</f>
        <v>4</v>
      </c>
      <c r="H256" s="26">
        <f t="shared" si="2"/>
        <v>4</v>
      </c>
      <c r="I256" s="26">
        <f>IFERROR(__xludf.DUMMYFUNCTION("LET(
 id,A256,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6" s="26">
        <f t="shared" si="3"/>
        <v>0</v>
      </c>
      <c r="K256" s="26" t="b">
        <f t="shared" si="4"/>
        <v>0</v>
      </c>
      <c r="L256" s="26">
        <f t="shared" si="5"/>
        <v>4</v>
      </c>
      <c r="M256" s="26" t="str">
        <f>IFERROR(__xludf.DUMMYFUNCTION("LET(
 id,A256,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L256=0,
  """",
  IFERROR(INDEX(incomplete,1),"""")"&amp;"
 )
)"),"quest.ahead_of_time_chapter_1.finished")</f>
        <v>quest.ahead_of_time_chapter_1.finished</v>
      </c>
      <c r="N256" s="26" t="str">
        <f t="array" ref="N256">IF(
 M256="",
 "",
 _xlfn.XLOOKUP(
  M256,
  tblTargets[TargetID],
  tblTargets[DisplayName],
  M256
 )
)</f>
        <v>Ahead of Time Chapter 1 Finished</v>
      </c>
      <c r="O256" s="26" t="str">
        <f>IFERROR(__xludf.DUMMYFUNCTION("SWITCH(
 E256,
 ""BUILDING"",XLOOKUP(A256,tblBuildings[BuildingID],tblBuildings[costtext],""""),
 ""TECH"",XLOOKUP(A256,tblTechnologies[TechnologyID],tblTechnologies[costtext],""""),
 ""QUEST"",XLOOKUP(
  REGEXREPLACE(A256,""\.[^.]+$"",""""),
  tblQuests["&amp;"QuestID],
  tblQuests[Costtext],
  """"
 ),
 ""CITADEL"",XLOOKUP(A256,tblCitadel[CitadelID],tblCitadel[costtext],""""),
 ""COLLECTION"",XLOOKUP(A256,tblCollections[CollectionID],tblCollections[costtext],""""),
 ""CRAFTIFACT"",XLOOKUP(A256,tblCraftifacts[C"&amp;"raftifactID],tblCraftifacts[costtext],""""),
 """"
)"),"")</f>
        <v/>
      </c>
      <c r="P256" s="26" t="str">
        <f t="shared" si="6"/>
        <v>BLOCKED</v>
      </c>
      <c r="Q256" s="26" t="str">
        <f t="shared" si="7"/>
        <v>BLOCKED</v>
      </c>
      <c r="R256" s="26" t="str">
        <f t="array" ref="R256">IFERROR(
 _xlfn.XLOOKUP(
  A256,
  tblChecklist[TargetID],
  tblChecklist[PlayerSort],
  ""
 ),
 ""
)</f>
        <v/>
      </c>
      <c r="S256" s="26" t="str">
        <f>IFERROR(__xludf.DUMMYFUNCTION("LET(
 id,A256,
 successorIDs,
  IFERROR(
   UNIQUE(
    FILTER(
     {
      Dependencies!$A$2:$A$1000;
      QuestObjectives!$A$2:$A$1000
     },
     {
      Dependencies!$B$2:$B$1000;
      QuestObjectives!$E$2:$E$1000
     }=id
    )
   ),
   """"
  )"&amp;",
 names,
  MAP(
   successorIDs,
   LAMBDA(s,
    IF(
     s="""",
     """",
     XLOOKUP(
      s,
      $A$2:$A$1000,
      $B$2:$B$1000,
      s
     )
    )
   )
  ),
 IF(
  successorIDs="""",
  """",
  TEXTJOIN("", "",TRUE,names)
 )
)"),"Tunnel, Ahead of Time Chapter 2 Finished")</f>
        <v>Tunnel, Ahead of Time Chapter 2 Finished</v>
      </c>
      <c r="T256" s="26" t="str">
        <f t="array" ref="T256">_xlfn.XLOOKUP(
 A256,
 tblTargets[TargetID],
 tblTargets[CompletionMethod],
 ""
)</f>
        <v>PLAYER</v>
      </c>
      <c r="U256" s="84" t="b">
        <f>COUNTIF(tblCost[TargetID],A256)&gt;0</f>
        <v>0</v>
      </c>
      <c r="V256" s="85" t="str">
        <f t="array" ref="V256">IF(
 U256=FALSE,
 "",
 _xlfn.XLOOKUP(
  A256,
  tblCost[TargetID],
  tblCost[FundingPercent],
  ""
 )
)</f>
        <v/>
      </c>
      <c r="W256" s="26" t="str">
        <f t="array" ref="W256">IF(
 U256=FALSE,
 "",
 _xlfn.XLOOKUP(
  A256,
  tblCost[TargetID],
  tblCost[RemainingRequirements],
  ""
 )
)</f>
        <v/>
      </c>
      <c r="X256" s="45" t="str">
        <f t="array" ref="X256">IF(
 U256=FALSE,
 "N/A",
 _xlfn.XLOOKUP(
  A257,
  tblCost[TargetID],
  tblCost[TargetFunded],
  FALSE
 )
)</f>
        <v>N/A</v>
      </c>
      <c r="Y256" s="26" t="str">
        <f>IFERROR(__xludf.DUMMYFUNCTION("IFERROR(
 TEXTJOIN(
  "", "",
  TRUE,
  FILTER(
   'cost checklist'!$E$2:$E1000&amp;"": ""&amp;'cost checklist'!$G$2:$G1000,
   'cost checklist'!$B$2:$B1000=A256,
   'cost checklist'!$J$2:$J1000=FALSE
  )
 ),
 """"
)"),"")</f>
        <v/>
      </c>
      <c r="Z256" s="26" t="b">
        <f>IFERROR(__xludf.DUMMYFUNCTION("IF(
 AND(
  E256=""QUEST"",
  RIGHT(A256,9)="".accepted"",
  D256=TRUE
 ),
 XLOOKUP(
  REGEXREPLACE(A256,""\.accepted$"","""")&amp;"".finished"",
  $A$2:$A1000,
  $D$2:$D1000,
  TRUE
 )=FALSE,
 FALSE
)"),FALSE)</f>
        <v>0</v>
      </c>
      <c r="AA256" s="26" t="str">
        <f>IFERROR(__xludf.DUMMYFUNCTION("LET(
 id,A256,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57" ht="14.25" customHeight="1">
      <c r="A257" s="26" t="s">
        <v>937</v>
      </c>
      <c r="B257" s="26" t="str">
        <f t="array" ref="B257">_xlfn.XLOOKUP(
 A257,
 tblTargets[TargetID],
 tblTargets[DisplayName],
 ""
)</f>
        <v>Ahead of Time Chapter 2 Finished</v>
      </c>
      <c r="C257" s="26" t="str">
        <f t="shared" si="1"/>
        <v>BLOCKED</v>
      </c>
      <c r="D257" s="26" t="b">
        <f>IFERROR(__xludf.DUMMYFUNCTION("LET(
 id,A257,
 IF(
  F257=""CHARACTER"",
  LET(
   base,REGEXREPLACE(id,""@\d+$"",""""),
   required,VALUE(REGEXEXTRACT(id,""@(\d+)$"")),
   current,XLOOKUP(
    base,
    tblPlayer[PlayerStateID],
    tblPlayer[Value],
    0
   ),
   current&gt;=required
 "&amp;" ),
  IF(
   T257=""AUTO"",
   L257=0,
   COUNTIFS(
    tblChecklist[TargetID],id,
    tblChecklist[PlayerCompleted],TRUE
   )&gt;0
  )
 )
)"),FALSE)</f>
        <v>0</v>
      </c>
      <c r="E257" s="26" t="str">
        <f t="array" ref="E257">_xlfn.XLOOKUP(
 A257,
 tblTargets[TargetID],
 tblTargets[TargetType],
 ""
)</f>
        <v>QUEST</v>
      </c>
      <c r="F257" s="26" t="str">
        <f t="array" ref="F257">_xlfn.XLOOKUP(
 A257,
 tblTargets[TargetID],
 tblTargets[StateType],
 ""
)</f>
        <v/>
      </c>
      <c r="G257" s="26">
        <f>LET(
 id,A257,
 depCount,COUNTIF(tblDependencies[TargetID],id),
 objCount,COUNTIF(tblQuestObjectives[QuestTargetID],id),
 depCount+objCount
)</f>
        <v>2</v>
      </c>
      <c r="H257" s="26">
        <f t="shared" si="2"/>
        <v>2</v>
      </c>
      <c r="I257" s="26">
        <f>IFERROR(__xludf.DUMMYFUNCTION("LET(
 id,A257,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7" s="26">
        <f t="shared" si="3"/>
        <v>0</v>
      </c>
      <c r="K257" s="26" t="b">
        <f t="shared" si="4"/>
        <v>0</v>
      </c>
      <c r="L257" s="26">
        <f t="shared" si="5"/>
        <v>2</v>
      </c>
      <c r="M257" s="26" t="str">
        <f>IFERROR(__xludf.DUMMYFUNCTION("LET(
 id,A257,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L257=0,
  """",
  IFERROR(INDEX(incomplete,1),"""")"&amp;"
 )
)"),"quest.ahead_of_time_chapter_2.accepted")</f>
        <v>quest.ahead_of_time_chapter_2.accepted</v>
      </c>
      <c r="N257" s="26" t="str">
        <f t="array" ref="N257">IF(
 M257="",
 "",
 _xlfn.XLOOKUP(
  M257,
  tblTargets[TargetID],
  tblTargets[DisplayName],
  M257
 )
)</f>
        <v>Ahead of Time Chapter 2 Accepted</v>
      </c>
      <c r="O257" s="26" t="str">
        <f>IFERROR(__xludf.DUMMYFUNCTION("SWITCH(
 E257,
 ""BUILDING"",XLOOKUP(A257,tblBuildings[BuildingID],tblBuildings[costtext],""""),
 ""TECH"",XLOOKUP(A257,tblTechnologies[TechnologyID],tblTechnologies[costtext],""""),
 ""QUEST"",XLOOKUP(
  REGEXREPLACE(A257,""\.[^.]+$"",""""),
  tblQuests["&amp;"QuestID],
  tblQuests[Costtext],
  """"
 ),
 ""CITADEL"",XLOOKUP(A257,tblCitadel[CitadelID],tblCitadel[costtext],""""),
 ""COLLECTION"",XLOOKUP(A257,tblCollections[CollectionID],tblCollections[costtext],""""),
 ""CRAFTIFACT"",XLOOKUP(A257,tblCraftifacts[C"&amp;"raftifactID],tblCraftifacts[costtext],""""),
 """"
)"),"")</f>
        <v/>
      </c>
      <c r="P257" s="26" t="str">
        <f t="shared" si="6"/>
        <v>BLOCKED</v>
      </c>
      <c r="Q257" s="26" t="str">
        <f t="shared" si="7"/>
        <v>BLOCKED</v>
      </c>
      <c r="R257" s="26" t="str">
        <f t="array" ref="R257">IFERROR(
 _xlfn.XLOOKUP(
  A257,
  tblChecklist[TargetID],
  tblChecklist[PlayerSort],
  ""
 ),
 ""
)</f>
        <v/>
      </c>
      <c r="S257" s="26" t="str">
        <f>IFERROR(__xludf.DUMMYFUNCTION("LET(
 id,A257,
 successorIDs,
  IFERROR(
   UNIQUE(
    FILTER(
     {
      Dependencies!$A$2:$A$1000;
      QuestObjectives!$A$2:$A$1000
     },
     {
      Dependencies!$B$2:$B$1000;
      QuestObjectives!$E$2:$E$1000
     }=id
    )
   ),
   """"
  )"&amp;",
 names,
  MAP(
   successorIDs,
   LAMBDA(s,
    IF(
     s="""",
     """",
     XLOOKUP(
      s,
      $A$2:$A$1000,
      $B$2:$B$1000,
      s
     )
    )
   )
  ),
 IF(
  successorIDs="""",
  """",
  TEXTJOIN("", "",TRUE,names)
 )
)"),"Ahead of Time Chapter 3 Accepted")</f>
        <v>Ahead of Time Chapter 3 Accepted</v>
      </c>
      <c r="T257" s="26" t="str">
        <f t="array" ref="T257">_xlfn.XLOOKUP(
 A257,
 tblTargets[TargetID],
 tblTargets[CompletionMethod],
 ""
)</f>
        <v>PLAYER</v>
      </c>
      <c r="U257" s="84" t="b">
        <f>COUNTIF(tblCost[TargetID],A257)&gt;0</f>
        <v>0</v>
      </c>
      <c r="V257" s="85" t="str">
        <f t="array" ref="V257">IF(
 U257=FALSE,
 "",
 _xlfn.XLOOKUP(
  A257,
  tblCost[TargetID],
  tblCost[FundingPercent],
  ""
 )
)</f>
        <v/>
      </c>
      <c r="W257" s="26" t="str">
        <f t="array" ref="W257">IF(
 U257=FALSE,
 "",
 _xlfn.XLOOKUP(
  A257,
  tblCost[TargetID],
  tblCost[RemainingRequirements],
  ""
 )
)</f>
        <v/>
      </c>
      <c r="X257" s="45" t="str">
        <f t="array" ref="X257">IF(
 U257=FALSE,
 "N/A",
 _xlfn.XLOOKUP(
  A258,
  tblCost[TargetID],
  tblCost[TargetFunded],
  FALSE
 )
)</f>
        <v>N/A</v>
      </c>
      <c r="Y257" s="26" t="str">
        <f>IFERROR(__xludf.DUMMYFUNCTION("IFERROR(
 TEXTJOIN(
  "", "",
  TRUE,
  FILTER(
   'cost checklist'!$E$2:$E1000&amp;"": ""&amp;'cost checklist'!$G$2:$G1000,
   'cost checklist'!$B$2:$B1000=A257,
   'cost checklist'!$J$2:$J1000=FALSE
  )
 ),
 """"
)"),"")</f>
        <v/>
      </c>
      <c r="Z257" s="26" t="b">
        <f>IFERROR(__xludf.DUMMYFUNCTION("IF(
 AND(
  E257=""QUEST"",
  RIGHT(A257,9)="".accepted"",
  D257=TRUE
 ),
 XLOOKUP(
  REGEXREPLACE(A257,""\.accepted$"","""")&amp;"".finished"",
  $A$2:$A1000,
  $D$2:$D1000,
  TRUE
 )=FALSE,
 FALSE
)"),FALSE)</f>
        <v>0</v>
      </c>
      <c r="AA257" s="26" t="str">
        <f>IFERROR(__xludf.DUMMYFUNCTION("LET(
 id,A257,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3")</f>
        <v>Ahead of Time Chapter 3</v>
      </c>
    </row>
    <row r="258" ht="14.25" customHeight="1">
      <c r="A258" s="26" t="s">
        <v>942</v>
      </c>
      <c r="B258" s="26" t="str">
        <f t="array" ref="B258">_xlfn.XLOOKUP(
 A258,
 tblTargets[TargetID],
 tblTargets[DisplayName],
 ""
)</f>
        <v>Ahead of Time Chapter 3 Accepted</v>
      </c>
      <c r="C258" s="26" t="str">
        <f t="shared" si="1"/>
        <v>BLOCKED</v>
      </c>
      <c r="D258" s="26" t="b">
        <f>IFERROR(__xludf.DUMMYFUNCTION("LET(
 id,A258,
 IF(
  F258=""CHARACTER"",
  LET(
   base,REGEXREPLACE(id,""@\d+$"",""""),
   required,VALUE(REGEXEXTRACT(id,""@(\d+)$"")),
   current,XLOOKUP(
    base,
    tblPlayer[PlayerStateID],
    tblPlayer[Value],
    0
   ),
   current&gt;=required
 "&amp;" ),
  IF(
   T258=""AUTO"",
   L258=0,
   COUNTIFS(
    tblChecklist[TargetID],id,
    tblChecklist[PlayerCompleted],TRUE
   )&gt;0
  )
 )
)"),FALSE)</f>
        <v>0</v>
      </c>
      <c r="E258" s="26" t="str">
        <f t="array" ref="E258">_xlfn.XLOOKUP(
 A258,
 tblTargets[TargetID],
 tblTargets[TargetType],
 ""
)</f>
        <v>QUEST</v>
      </c>
      <c r="F258" s="26" t="str">
        <f t="array" ref="F258">_xlfn.XLOOKUP(
 A258,
 tblTargets[TargetID],
 tblTargets[StateType],
 ""
)</f>
        <v/>
      </c>
      <c r="G258" s="26">
        <f>LET(
 id,A258,
 depCount,COUNTIF(tblDependencies[TargetID],id),
 objCount,COUNTIF(tblQuestObjectives[QuestTargetID],id),
 depCount+objCount
)</f>
        <v>1</v>
      </c>
      <c r="H258" s="26">
        <f t="shared" si="2"/>
        <v>1</v>
      </c>
      <c r="I258" s="26">
        <f>IFERROR(__xludf.DUMMYFUNCTION("LET(
 id,A258,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8" s="26">
        <f t="shared" si="3"/>
        <v>0</v>
      </c>
      <c r="K258" s="26" t="b">
        <f t="shared" si="4"/>
        <v>0</v>
      </c>
      <c r="L258" s="26">
        <f t="shared" si="5"/>
        <v>1</v>
      </c>
      <c r="M258" s="26" t="str">
        <f>IFERROR(__xludf.DUMMYFUNCTION("LET(
 id,A258,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L258=0,
  """",
  IFERROR(INDEX(incomplete,1),"""")"&amp;"
 )
)"),"quest.ahead_of_time_chapter_2.finished")</f>
        <v>quest.ahead_of_time_chapter_2.finished</v>
      </c>
      <c r="N258" s="26" t="str">
        <f t="array" ref="N258">IF(
 M258="",
 "",
 _xlfn.XLOOKUP(
  M258,
  tblTargets[TargetID],
  tblTargets[DisplayName],
  M258
 )
)</f>
        <v>Ahead of Time Chapter 2 Finished</v>
      </c>
      <c r="O258" s="26" t="str">
        <f>IFERROR(__xludf.DUMMYFUNCTION("SWITCH(
 E258,
 ""BUILDING"",XLOOKUP(A258,tblBuildings[BuildingID],tblBuildings[costtext],""""),
 ""TECH"",XLOOKUP(A258,tblTechnologies[TechnologyID],tblTechnologies[costtext],""""),
 ""QUEST"",XLOOKUP(
  REGEXREPLACE(A258,""\.[^.]+$"",""""),
  tblQuests["&amp;"QuestID],
  tblQuests[Costtext],
  """"
 ),
 ""CITADEL"",XLOOKUP(A258,tblCitadel[CitadelID],tblCitadel[costtext],""""),
 ""COLLECTION"",XLOOKUP(A258,tblCollections[CollectionID],tblCollections[costtext],""""),
 ""CRAFTIFACT"",XLOOKUP(A258,tblCraftifacts[C"&amp;"raftifactID],tblCraftifacts[costtext],""""),
 """"
)"),"")</f>
        <v/>
      </c>
      <c r="P258" s="26" t="str">
        <f t="shared" si="6"/>
        <v>BLOCKED</v>
      </c>
      <c r="Q258" s="26" t="str">
        <f t="shared" si="7"/>
        <v>BLOCKED</v>
      </c>
      <c r="R258" s="26" t="str">
        <f t="array" ref="R258">IFERROR(
 _xlfn.XLOOKUP(
  A258,
  tblChecklist[TargetID],
  tblChecklist[PlayerSort],
  ""
 ),
 ""
)</f>
        <v/>
      </c>
      <c r="S258" s="26" t="str">
        <f>IFERROR(__xludf.DUMMYFUNCTION("LET(
 id,A258,
 successorIDs,
  IFERROR(
   UNIQUE(
    FILTER(
     {
      Dependencies!$A$2:$A$1000;
      QuestObjectives!$A$2:$A$1000
     },
     {
      Dependencies!$B$2:$B$1000;
      QuestObjectives!$E$2:$E$1000
     }=id
    )
   ),
   """"
  )"&amp;",
 names,
  MAP(
   successorIDs,
   LAMBDA(s,
    IF(
     s="""",
     """",
     XLOOKUP(
      s,
      $A$2:$A$1000,
      $B$2:$B$1000,
      s
     )
    )
   )
  ),
 IF(
  successorIDs="""",
  """",
  TEXTJOIN("", "",TRUE,names)
 )
)"),"Complete Dungeon 6D, Ahead of Time Chapter 3 Finished, Meet Alchemist in 6D, Meet Dark Lady in 6D")</f>
        <v>Complete Dungeon 6D, Ahead of Time Chapter 3 Finished, Meet Alchemist in 6D, Meet Dark Lady in 6D</v>
      </c>
      <c r="T258" s="26" t="str">
        <f t="array" ref="T258">_xlfn.XLOOKUP(
 A258,
 tblTargets[TargetID],
 tblTargets[CompletionMethod],
 ""
)</f>
        <v>PLAYER</v>
      </c>
      <c r="U258" s="84" t="b">
        <f>COUNTIF(tblCost[TargetID],A258)&gt;0</f>
        <v>0</v>
      </c>
      <c r="V258" s="85" t="str">
        <f t="array" ref="V258">IF(
 U258=FALSE,
 "",
 _xlfn.XLOOKUP(
  A258,
  tblCost[TargetID],
  tblCost[FundingPercent],
  ""
 )
)</f>
        <v/>
      </c>
      <c r="W258" s="26" t="str">
        <f t="array" ref="W258">IF(
 U258=FALSE,
 "",
 _xlfn.XLOOKUP(
  A258,
  tblCost[TargetID],
  tblCost[RemainingRequirements],
  ""
 )
)</f>
        <v/>
      </c>
      <c r="X258" s="45" t="str">
        <f t="array" ref="X258">IF(
 U258=FALSE,
 "N/A",
 _xlfn.XLOOKUP(
  A259,
  tblCost[TargetID],
  tblCost[TargetFunded],
  FALSE
 )
)</f>
        <v>N/A</v>
      </c>
      <c r="Y258" s="26" t="str">
        <f>IFERROR(__xludf.DUMMYFUNCTION("IFERROR(
 TEXTJOIN(
  "", "",
  TRUE,
  FILTER(
   'cost checklist'!$E$2:$E1000&amp;"": ""&amp;'cost checklist'!$G$2:$G1000,
   'cost checklist'!$B$2:$B1000=A258,
   'cost checklist'!$J$2:$J1000=FALSE
  )
 ),
 """"
)"),"")</f>
        <v/>
      </c>
      <c r="Z258" s="26" t="b">
        <f>IFERROR(__xludf.DUMMYFUNCTION("IF(
 AND(
  E258=""QUEST"",
  RIGHT(A258,9)="".accepted"",
  D258=TRUE
 ),
 XLOOKUP(
  REGEXREPLACE(A258,""\.accepted$"","""")&amp;"".finished"",
  $A$2:$A1000,
  $D$2:$D1000,
  TRUE
 )=FALSE,
 FALSE
)"),FALSE)</f>
        <v>0</v>
      </c>
      <c r="AA258" s="26" t="str">
        <f>IFERROR(__xludf.DUMMYFUNCTION("LET(
 id,A258,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59" ht="14.25" customHeight="1">
      <c r="A259" s="26" t="s">
        <v>945</v>
      </c>
      <c r="B259" s="26" t="str">
        <f t="array" ref="B259">_xlfn.XLOOKUP(
 A259,
 tblTargets[TargetID],
 tblTargets[DisplayName],
 ""
)</f>
        <v>Ahead of Time Chapter 3 Finished</v>
      </c>
      <c r="C259" s="26" t="str">
        <f t="shared" si="1"/>
        <v>BLOCKED</v>
      </c>
      <c r="D259" s="26" t="b">
        <f>IFERROR(__xludf.DUMMYFUNCTION("LET(
 id,A259,
 IF(
  F259=""CHARACTER"",
  LET(
   base,REGEXREPLACE(id,""@\d+$"",""""),
   required,VALUE(REGEXEXTRACT(id,""@(\d+)$"")),
   current,XLOOKUP(
    base,
    tblPlayer[PlayerStateID],
    tblPlayer[Value],
    0
   ),
   current&gt;=required
 "&amp;" ),
  IF(
   T259=""AUTO"",
   L259=0,
   COUNTIFS(
    tblChecklist[TargetID],id,
    tblChecklist[PlayerCompleted],TRUE
   )&gt;0
  )
 )
)"),FALSE)</f>
        <v>0</v>
      </c>
      <c r="E259" s="26" t="str">
        <f t="array" ref="E259">_xlfn.XLOOKUP(
 A259,
 tblTargets[TargetID],
 tblTargets[TargetType],
 ""
)</f>
        <v>QUEST</v>
      </c>
      <c r="F259" s="26" t="str">
        <f t="array" ref="F259">_xlfn.XLOOKUP(
 A259,
 tblTargets[TargetID],
 tblTargets[StateType],
 ""
)</f>
        <v/>
      </c>
      <c r="G259" s="26">
        <f>LET(
 id,A259,
 depCount,COUNTIF(tblDependencies[TargetID],id),
 objCount,COUNTIF(tblQuestObjectives[QuestTargetID],id),
 depCount+objCount
)</f>
        <v>4</v>
      </c>
      <c r="H259" s="26">
        <f t="shared" si="2"/>
        <v>4</v>
      </c>
      <c r="I259" s="26">
        <f>IFERROR(__xludf.DUMMYFUNCTION("LET(
 id,A259,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59" s="26">
        <f t="shared" si="3"/>
        <v>0</v>
      </c>
      <c r="K259" s="26" t="b">
        <f t="shared" si="4"/>
        <v>0</v>
      </c>
      <c r="L259" s="26">
        <f t="shared" si="5"/>
        <v>4</v>
      </c>
      <c r="M259" s="26" t="str">
        <f>IFERROR(__xludf.DUMMYFUNCTION("LET(
 id,A259,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L259=0,
  """",
  IFERROR(INDEX(incomplete,1),"""")"&amp;"
 )
)"),"quest.ahead_of_time_chapter_3.accepted")</f>
        <v>quest.ahead_of_time_chapter_3.accepted</v>
      </c>
      <c r="N259" s="26" t="str">
        <f t="array" ref="N259">IF(
 M259="",
 "",
 _xlfn.XLOOKUP(
  M259,
  tblTargets[TargetID],
  tblTargets[DisplayName],
  M259
 )
)</f>
        <v>Ahead of Time Chapter 3 Accepted</v>
      </c>
      <c r="O259" s="26" t="str">
        <f>IFERROR(__xludf.DUMMYFUNCTION("SWITCH(
 E259,
 ""BUILDING"",XLOOKUP(A259,tblBuildings[BuildingID],tblBuildings[costtext],""""),
 ""TECH"",XLOOKUP(A259,tblTechnologies[TechnologyID],tblTechnologies[costtext],""""),
 ""QUEST"",XLOOKUP(
  REGEXREPLACE(A259,""\.[^.]+$"",""""),
  tblQuests["&amp;"QuestID],
  tblQuests[Costtext],
  """"
 ),
 ""CITADEL"",XLOOKUP(A259,tblCitadel[CitadelID],tblCitadel[costtext],""""),
 ""COLLECTION"",XLOOKUP(A259,tblCollections[CollectionID],tblCollections[costtext],""""),
 ""CRAFTIFACT"",XLOOKUP(A259,tblCraftifacts[C"&amp;"raftifactID],tblCraftifacts[costtext],""""),
 """"
)"),"")</f>
        <v/>
      </c>
      <c r="P259" s="26" t="str">
        <f t="shared" si="6"/>
        <v>BLOCKED</v>
      </c>
      <c r="Q259" s="26" t="str">
        <f t="shared" si="7"/>
        <v>BLOCKED</v>
      </c>
      <c r="R259" s="26" t="str">
        <f t="array" ref="R259">IFERROR(
 _xlfn.XLOOKUP(
  A259,
  tblChecklist[TargetID],
  tblChecklist[PlayerSort],
  ""
 ),
 ""
)</f>
        <v/>
      </c>
      <c r="S259" s="26" t="str">
        <f>IFERROR(__xludf.DUMMYFUNCTION("LET(
 id,A259,
 successorIDs,
  IFERROR(
   UNIQUE(
    FILTER(
     {
      Dependencies!$A$2:$A$1000;
      QuestObjectives!$A$2:$A$1000
     },
     {
      Dependencies!$B$2:$B$1000;
      QuestObjectives!$E$2:$E$1000
     }=id
    )
   ),
   """"
  )"&amp;",
 names,
  MAP(
   successorIDs,
   LAMBDA(s,
    IF(
     s="""",
     """",
     XLOOKUP(
      s,
      $A$2:$A$1000,
      $B$2:$B$1000,
      s
     )
    )
   )
  ),
 IF(
  successorIDs="""",
  """",
  TEXTJOIN("", "",TRUE,names)
 )
)"),"Ahead of Time Chapter 4 Accepted")</f>
        <v>Ahead of Time Chapter 4 Accepted</v>
      </c>
      <c r="T259" s="26" t="str">
        <f t="array" ref="T259">_xlfn.XLOOKUP(
 A259,
 tblTargets[TargetID],
 tblTargets[CompletionMethod],
 ""
)</f>
        <v>PLAYER</v>
      </c>
      <c r="U259" s="84" t="b">
        <f>COUNTIF(tblCost[TargetID],A259)&gt;0</f>
        <v>0</v>
      </c>
      <c r="V259" s="85" t="str">
        <f t="array" ref="V259">IF(
 U259=FALSE,
 "",
 _xlfn.XLOOKUP(
  A259,
  tblCost[TargetID],
  tblCost[FundingPercent],
  ""
 )
)</f>
        <v/>
      </c>
      <c r="W259" s="26" t="str">
        <f t="array" ref="W259">IF(
 U259=FALSE,
 "",
 _xlfn.XLOOKUP(
  A259,
  tblCost[TargetID],
  tblCost[RemainingRequirements],
  ""
 )
)</f>
        <v/>
      </c>
      <c r="X259" s="45" t="str">
        <f t="array" ref="X259">IF(
 U259=FALSE,
 "N/A",
 _xlfn.XLOOKUP(
  A260,
  tblCost[TargetID],
  tblCost[TargetFunded],
  FALSE
 )
)</f>
        <v>N/A</v>
      </c>
      <c r="Y259" s="26" t="str">
        <f>IFERROR(__xludf.DUMMYFUNCTION("IFERROR(
 TEXTJOIN(
  "", "",
  TRUE,
  FILTER(
   'cost checklist'!$E$2:$E1000&amp;"": ""&amp;'cost checklist'!$G$2:$G1000,
   'cost checklist'!$B$2:$B1000=A259,
   'cost checklist'!$J$2:$J1000=FALSE
  )
 ),
 """"
)"),"")</f>
        <v/>
      </c>
      <c r="Z259" s="26" t="b">
        <f>IFERROR(__xludf.DUMMYFUNCTION("IF(
 AND(
  E259=""QUEST"",
  RIGHT(A259,9)="".accepted"",
  D259=TRUE
 ),
 XLOOKUP(
  REGEXREPLACE(A259,""\.accepted$"","""")&amp;"".finished"",
  $A$2:$A1000,
  $D$2:$D1000,
  TRUE
 )=FALSE,
 FALSE
)"),FALSE)</f>
        <v>0</v>
      </c>
      <c r="AA259" s="26" t="str">
        <f>IFERROR(__xludf.DUMMYFUNCTION("LET(
 id,A259,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4")</f>
        <v>Ahead of Time Chapter 4</v>
      </c>
    </row>
    <row r="260" ht="14.25" customHeight="1">
      <c r="A260" s="26" t="s">
        <v>949</v>
      </c>
      <c r="B260" s="26" t="str">
        <f t="array" ref="B260">_xlfn.XLOOKUP(
 A260,
 tblTargets[TargetID],
 tblTargets[DisplayName],
 ""
)</f>
        <v>Ahead of Time Chapter 4 Accepted</v>
      </c>
      <c r="C260" s="26" t="str">
        <f t="shared" si="1"/>
        <v>BLOCKED</v>
      </c>
      <c r="D260" s="26" t="b">
        <f>IFERROR(__xludf.DUMMYFUNCTION("LET(
 id,A260,
 IF(
  F260=""CHARACTER"",
  LET(
   base,REGEXREPLACE(id,""@\d+$"",""""),
   required,VALUE(REGEXEXTRACT(id,""@(\d+)$"")),
   current,XLOOKUP(
    base,
    tblPlayer[PlayerStateID],
    tblPlayer[Value],
    0
   ),
   current&gt;=required
 "&amp;" ),
  IF(
   T260=""AUTO"",
   L260=0,
   COUNTIFS(
    tblChecklist[TargetID],id,
    tblChecklist[PlayerCompleted],TRUE
   )&gt;0
  )
 )
)"),FALSE)</f>
        <v>0</v>
      </c>
      <c r="E260" s="26" t="str">
        <f t="array" ref="E260">_xlfn.XLOOKUP(
 A260,
 tblTargets[TargetID],
 tblTargets[TargetType],
 ""
)</f>
        <v>QUEST</v>
      </c>
      <c r="F260" s="26" t="str">
        <f t="array" ref="F260">_xlfn.XLOOKUP(
 A260,
 tblTargets[TargetID],
 tblTargets[StateType],
 ""
)</f>
        <v/>
      </c>
      <c r="G260" s="26">
        <f>LET(
 id,A260,
 depCount,COUNTIF(tblDependencies[TargetID],id),
 objCount,COUNTIF(tblQuestObjectives[QuestTargetID],id),
 depCount+objCount
)</f>
        <v>1</v>
      </c>
      <c r="H260" s="26">
        <f t="shared" si="2"/>
        <v>1</v>
      </c>
      <c r="I260" s="26">
        <f>IFERROR(__xludf.DUMMYFUNCTION("LET(
 id,A260,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0" s="26">
        <f t="shared" si="3"/>
        <v>0</v>
      </c>
      <c r="K260" s="26" t="b">
        <f t="shared" si="4"/>
        <v>0</v>
      </c>
      <c r="L260" s="26">
        <f t="shared" si="5"/>
        <v>1</v>
      </c>
      <c r="M260" s="26" t="str">
        <f>IFERROR(__xludf.DUMMYFUNCTION("LET(
 id,A260,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L260=0,
  """",
  IFERROR(INDEX(incomplete,1),"""")"&amp;"
 )
)"),"quest.ahead_of_time_chapter_3.finished")</f>
        <v>quest.ahead_of_time_chapter_3.finished</v>
      </c>
      <c r="N260" s="26" t="str">
        <f t="array" ref="N260">IF(
 M260="",
 "",
 _xlfn.XLOOKUP(
  M260,
  tblTargets[TargetID],
  tblTargets[DisplayName],
  M260
 )
)</f>
        <v>Ahead of Time Chapter 3 Finished</v>
      </c>
      <c r="O260" s="26" t="str">
        <f>IFERROR(__xludf.DUMMYFUNCTION("SWITCH(
 E260,
 ""BUILDING"",XLOOKUP(A260,tblBuildings[BuildingID],tblBuildings[costtext],""""),
 ""TECH"",XLOOKUP(A260,tblTechnologies[TechnologyID],tblTechnologies[costtext],""""),
 ""QUEST"",XLOOKUP(
  REGEXREPLACE(A260,""\.[^.]+$"",""""),
  tblQuests["&amp;"QuestID],
  tblQuests[Costtext],
  """"
 ),
 ""CITADEL"",XLOOKUP(A260,tblCitadel[CitadelID],tblCitadel[costtext],""""),
 ""COLLECTION"",XLOOKUP(A260,tblCollections[CollectionID],tblCollections[costtext],""""),
 ""CRAFTIFACT"",XLOOKUP(A260,tblCraftifacts[C"&amp;"raftifactID],tblCraftifacts[costtext],""""),
 """"
)"),"")</f>
        <v/>
      </c>
      <c r="P260" s="26" t="str">
        <f t="shared" si="6"/>
        <v>BLOCKED</v>
      </c>
      <c r="Q260" s="26" t="str">
        <f t="shared" si="7"/>
        <v>BLOCKED</v>
      </c>
      <c r="R260" s="26" t="str">
        <f t="array" ref="R260">IFERROR(
 _xlfn.XLOOKUP(
  A260,
  tblChecklist[TargetID],
  tblChecklist[PlayerSort],
  ""
 ),
 ""
)</f>
        <v/>
      </c>
      <c r="S260" s="26" t="str">
        <f>IFERROR(__xludf.DUMMYFUNCTION("LET(
 id,A260,
 successorIDs,
  IFERROR(
   UNIQUE(
    FILTER(
     {
      Dependencies!$A$2:$A$1000;
      QuestObjectives!$A$2:$A$1000
     },
     {
      Dependencies!$B$2:$B$1000;
      QuestObjectives!$E$2:$E$1000
     }=id
    )
   ),
   """"
  )"&amp;",
 names,
  MAP(
   successorIDs,
   LAMBDA(s,
    IF(
     s="""",
     """",
     XLOOKUP(
      s,
      $A$2:$A$1000,
      $B$2:$B$1000,
      s
     )
    )
   )
  ),
 IF(
  successorIDs="""",
  """",
  TEXTJOIN("", "",TRUE,names)
 )
)"),"Ahead of Time Chapter 4 Finished, Send Train to Sapporo")</f>
        <v>Ahead of Time Chapter 4 Finished, Send Train to Sapporo</v>
      </c>
      <c r="T260" s="26" t="str">
        <f t="array" ref="T260">_xlfn.XLOOKUP(
 A260,
 tblTargets[TargetID],
 tblTargets[CompletionMethod],
 ""
)</f>
        <v>PLAYER</v>
      </c>
      <c r="U260" s="84" t="b">
        <f>COUNTIF(tblCost[TargetID],A260)&gt;0</f>
        <v>0</v>
      </c>
      <c r="V260" s="85" t="str">
        <f t="array" ref="V260">IF(
 U260=FALSE,
 "",
 _xlfn.XLOOKUP(
  A260,
  tblCost[TargetID],
  tblCost[FundingPercent],
  ""
 )
)</f>
        <v/>
      </c>
      <c r="W260" s="26" t="str">
        <f t="array" ref="W260">IF(
 U260=FALSE,
 "",
 _xlfn.XLOOKUP(
  A260,
  tblCost[TargetID],
  tblCost[RemainingRequirements],
  ""
 )
)</f>
        <v/>
      </c>
      <c r="X260" s="45" t="str">
        <f t="array" ref="X260">IF(
 U260=FALSE,
 "N/A",
 _xlfn.XLOOKUP(
  A261,
  tblCost[TargetID],
  tblCost[TargetFunded],
  FALSE
 )
)</f>
        <v>N/A</v>
      </c>
      <c r="Y260" s="26" t="str">
        <f>IFERROR(__xludf.DUMMYFUNCTION("IFERROR(
 TEXTJOIN(
  "", "",
  TRUE,
  FILTER(
   'cost checklist'!$E$2:$E1000&amp;"": ""&amp;'cost checklist'!$G$2:$G1000,
   'cost checklist'!$B$2:$B1000=A260,
   'cost checklist'!$J$2:$J1000=FALSE
  )
 ),
 """"
)"),"")</f>
        <v/>
      </c>
      <c r="Z260" s="26" t="b">
        <f>IFERROR(__xludf.DUMMYFUNCTION("IF(
 AND(
  E260=""QUEST"",
  RIGHT(A260,9)="".accepted"",
  D260=TRUE
 ),
 XLOOKUP(
  REGEXREPLACE(A260,""\.accepted$"","""")&amp;"".finished"",
  $A$2:$A1000,
  $D$2:$D1000,
  TRUE
 )=FALSE,
 FALSE
)"),FALSE)</f>
        <v>0</v>
      </c>
      <c r="AA260" s="26" t="str">
        <f>IFERROR(__xludf.DUMMYFUNCTION("LET(
 id,A260,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61" ht="14.25" customHeight="1">
      <c r="A261" s="26" t="s">
        <v>953</v>
      </c>
      <c r="B261" s="26" t="str">
        <f t="array" ref="B261">_xlfn.XLOOKUP(
 A261,
 tblTargets[TargetID],
 tblTargets[DisplayName],
 ""
)</f>
        <v>Ahead of Time Chapter 4 Finished</v>
      </c>
      <c r="C261" s="26" t="str">
        <f t="shared" si="1"/>
        <v>BLOCKED</v>
      </c>
      <c r="D261" s="26" t="b">
        <f>IFERROR(__xludf.DUMMYFUNCTION("LET(
 id,A261,
 IF(
  F261=""CHARACTER"",
  LET(
   base,REGEXREPLACE(id,""@\d+$"",""""),
   required,VALUE(REGEXEXTRACT(id,""@(\d+)$"")),
   current,XLOOKUP(
    base,
    tblPlayer[PlayerStateID],
    tblPlayer[Value],
    0
   ),
   current&gt;=required
 "&amp;" ),
  IF(
   T261=""AUTO"",
   L261=0,
   COUNTIFS(
    tblChecklist[TargetID],id,
    tblChecklist[PlayerCompleted],TRUE
   )&gt;0
  )
 )
)"),FALSE)</f>
        <v>0</v>
      </c>
      <c r="E261" s="26" t="str">
        <f t="array" ref="E261">_xlfn.XLOOKUP(
 A261,
 tblTargets[TargetID],
 tblTargets[TargetType],
 ""
)</f>
        <v>QUEST</v>
      </c>
      <c r="F261" s="26" t="str">
        <f t="array" ref="F261">_xlfn.XLOOKUP(
 A261,
 tblTargets[TargetID],
 tblTargets[StateType],
 ""
)</f>
        <v/>
      </c>
      <c r="G261" s="26">
        <f>LET(
 id,A261,
 depCount,COUNTIF(tblDependencies[TargetID],id),
 objCount,COUNTIF(tblQuestObjectives[QuestTargetID],id),
 depCount+objCount
)</f>
        <v>2</v>
      </c>
      <c r="H261" s="26">
        <f t="shared" si="2"/>
        <v>2</v>
      </c>
      <c r="I261" s="26">
        <f>IFERROR(__xludf.DUMMYFUNCTION("LET(
 id,A261,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1" s="26">
        <f t="shared" si="3"/>
        <v>0</v>
      </c>
      <c r="K261" s="26" t="b">
        <f t="shared" si="4"/>
        <v>0</v>
      </c>
      <c r="L261" s="26">
        <f t="shared" si="5"/>
        <v>2</v>
      </c>
      <c r="M261" s="26" t="str">
        <f>IFERROR(__xludf.DUMMYFUNCTION("LET(
 id,A261,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L261=0,
  """",
  IFERROR(INDEX(incomplete,1),"""")"&amp;"
 )
)"),"quest.ahead_of_time_chapter_4.accepted")</f>
        <v>quest.ahead_of_time_chapter_4.accepted</v>
      </c>
      <c r="N261" s="26" t="str">
        <f t="array" ref="N261">IF(
 M261="",
 "",
 _xlfn.XLOOKUP(
  M261,
  tblTargets[TargetID],
  tblTargets[DisplayName],
  M261
 )
)</f>
        <v>Ahead of Time Chapter 4 Accepted</v>
      </c>
      <c r="O261" s="26" t="str">
        <f>IFERROR(__xludf.DUMMYFUNCTION("SWITCH(
 E261,
 ""BUILDING"",XLOOKUP(A261,tblBuildings[BuildingID],tblBuildings[costtext],""""),
 ""TECH"",XLOOKUP(A261,tblTechnologies[TechnologyID],tblTechnologies[costtext],""""),
 ""QUEST"",XLOOKUP(
  REGEXREPLACE(A261,""\.[^.]+$"",""""),
  tblQuests["&amp;"QuestID],
  tblQuests[Costtext],
  """"
 ),
 ""CITADEL"",XLOOKUP(A261,tblCitadel[CitadelID],tblCitadel[costtext],""""),
 ""COLLECTION"",XLOOKUP(A261,tblCollections[CollectionID],tblCollections[costtext],""""),
 ""CRAFTIFACT"",XLOOKUP(A261,tblCraftifacts[C"&amp;"raftifactID],tblCraftifacts[costtext],""""),
 """"
)"),"")</f>
        <v/>
      </c>
      <c r="P261" s="26" t="str">
        <f t="shared" si="6"/>
        <v>BLOCKED</v>
      </c>
      <c r="Q261" s="26" t="str">
        <f t="shared" si="7"/>
        <v>BLOCKED</v>
      </c>
      <c r="R261" s="26" t="str">
        <f t="array" ref="R261">IFERROR(
 _xlfn.XLOOKUP(
  A261,
  tblChecklist[TargetID],
  tblChecklist[PlayerSort],
  ""
 ),
 ""
)</f>
        <v/>
      </c>
      <c r="S261" s="26" t="str">
        <f>IFERROR(__xludf.DUMMYFUNCTION("LET(
 id,A261,
 successorIDs,
  IFERROR(
   UNIQUE(
    FILTER(
     {
      Dependencies!$A$2:$A$1000;
      QuestObjectives!$A$2:$A$1000
     },
     {
      Dependencies!$B$2:$B$1000;
      QuestObjectives!$E$2:$E$1000
     }=id
    )
   ),
   """"
  )"&amp;",
 names,
  MAP(
   successorIDs,
   LAMBDA(s,
    IF(
     s="""",
     """",
     XLOOKUP(
      s,
      $A$2:$A$1000,
      $B$2:$B$1000,
      s
     )
    )
   )
  ),
 IF(
  successorIDs="""",
  """",
  TEXTJOIN("", "",TRUE,names)
 )
)"),"Guild: Video Game Arcade Lv 1, Ahead of Time Chapter 5 Accepted, Outpost - Tax Return On Floppy Disk")</f>
        <v>Guild: Video Game Arcade Lv 1, Ahead of Time Chapter 5 Accepted, Outpost - Tax Return On Floppy Disk</v>
      </c>
      <c r="T261" s="26" t="str">
        <f t="array" ref="T261">_xlfn.XLOOKUP(
 A261,
 tblTargets[TargetID],
 tblTargets[CompletionMethod],
 ""
)</f>
        <v>PLAYER</v>
      </c>
      <c r="U261" s="84" t="b">
        <f>COUNTIF(tblCost[TargetID],A261)&gt;0</f>
        <v>0</v>
      </c>
      <c r="V261" s="85" t="str">
        <f t="array" ref="V261">IF(
 U261=FALSE,
 "",
 _xlfn.XLOOKUP(
  A261,
  tblCost[TargetID],
  tblCost[FundingPercent],
  ""
 )
)</f>
        <v/>
      </c>
      <c r="W261" s="26" t="str">
        <f t="array" ref="W261">IF(
 U261=FALSE,
 "",
 _xlfn.XLOOKUP(
  A261,
  tblCost[TargetID],
  tblCost[RemainingRequirements],
  ""
 )
)</f>
        <v/>
      </c>
      <c r="X261" s="45" t="str">
        <f t="array" ref="X261">IF(
 U261=FALSE,
 "N/A",
 _xlfn.XLOOKUP(
  A262,
  tblCost[TargetID],
  tblCost[TargetFunded],
  FALSE
 )
)</f>
        <v>N/A</v>
      </c>
      <c r="Y261" s="26" t="str">
        <f>IFERROR(__xludf.DUMMYFUNCTION("IFERROR(
 TEXTJOIN(
  "", "",
  TRUE,
  FILTER(
   'cost checklist'!$E$2:$E1000&amp;"": ""&amp;'cost checklist'!$G$2:$G1000,
   'cost checklist'!$B$2:$B1000=A261,
   'cost checklist'!$J$2:$J1000=FALSE
  )
 ),
 """"
)"),"")</f>
        <v/>
      </c>
      <c r="Z261" s="26" t="b">
        <f>IFERROR(__xludf.DUMMYFUNCTION("IF(
 AND(
  E261=""QUEST"",
  RIGHT(A261,9)="".accepted"",
  D261=TRUE
 ),
 XLOOKUP(
  REGEXREPLACE(A261,""\.accepted$"","""")&amp;"".finished"",
  $A$2:$A1000,
  $D$2:$D1000,
  TRUE
 )=FALSE,
 FALSE
)"),FALSE)</f>
        <v>0</v>
      </c>
      <c r="AA261" s="26" t="str">
        <f>IFERROR(__xludf.DUMMYFUNCTION("LET(
 id,A261,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5")</f>
        <v>Ahead of Time Chapter 5</v>
      </c>
    </row>
    <row r="262" ht="14.25" customHeight="1">
      <c r="A262" s="26" t="s">
        <v>957</v>
      </c>
      <c r="B262" s="26" t="str">
        <f t="array" ref="B262">_xlfn.XLOOKUP(
 A262,
 tblTargets[TargetID],
 tblTargets[DisplayName],
 ""
)</f>
        <v>Ahead of Time Chapter 5 Accepted</v>
      </c>
      <c r="C262" s="26" t="str">
        <f t="shared" si="1"/>
        <v>BLOCKED</v>
      </c>
      <c r="D262" s="26" t="b">
        <f>IFERROR(__xludf.DUMMYFUNCTION("LET(
 id,A262,
 IF(
  F262=""CHARACTER"",
  LET(
   base,REGEXREPLACE(id,""@\d+$"",""""),
   required,VALUE(REGEXEXTRACT(id,""@(\d+)$"")),
   current,XLOOKUP(
    base,
    tblPlayer[PlayerStateID],
    tblPlayer[Value],
    0
   ),
   current&gt;=required
 "&amp;" ),
  IF(
   T262=""AUTO"",
   L262=0,
   COUNTIFS(
    tblChecklist[TargetID],id,
    tblChecklist[PlayerCompleted],TRUE
   )&gt;0
  )
 )
)"),FALSE)</f>
        <v>0</v>
      </c>
      <c r="E262" s="26" t="str">
        <f t="array" ref="E262">_xlfn.XLOOKUP(
 A262,
 tblTargets[TargetID],
 tblTargets[TargetType],
 ""
)</f>
        <v>QUEST</v>
      </c>
      <c r="F262" s="26" t="str">
        <f t="array" ref="F262">_xlfn.XLOOKUP(
 A262,
 tblTargets[TargetID],
 tblTargets[StateType],
 ""
)</f>
        <v/>
      </c>
      <c r="G262" s="26">
        <f>LET(
 id,A262,
 depCount,COUNTIF(tblDependencies[TargetID],id),
 objCount,COUNTIF(tblQuestObjectives[QuestTargetID],id),
 depCount+objCount
)</f>
        <v>1</v>
      </c>
      <c r="H262" s="26">
        <f t="shared" si="2"/>
        <v>1</v>
      </c>
      <c r="I262" s="26">
        <f>IFERROR(__xludf.DUMMYFUNCTION("LET(
 id,A262,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2" s="26">
        <f t="shared" si="3"/>
        <v>0</v>
      </c>
      <c r="K262" s="26" t="b">
        <f t="shared" si="4"/>
        <v>0</v>
      </c>
      <c r="L262" s="26">
        <f t="shared" si="5"/>
        <v>1</v>
      </c>
      <c r="M262" s="26" t="str">
        <f>IFERROR(__xludf.DUMMYFUNCTION("LET(
 id,A262,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L262=0,
  """",
  IFERROR(INDEX(incomplete,1),"""")"&amp;"
 )
)"),"quest.ahead_of_time_chapter_4.finished")</f>
        <v>quest.ahead_of_time_chapter_4.finished</v>
      </c>
      <c r="N262" s="26" t="str">
        <f t="array" ref="N262">IF(
 M262="",
 "",
 _xlfn.XLOOKUP(
  M262,
  tblTargets[TargetID],
  tblTargets[DisplayName],
  M262
 )
)</f>
        <v>Ahead of Time Chapter 4 Finished</v>
      </c>
      <c r="O262" s="26" t="str">
        <f>IFERROR(__xludf.DUMMYFUNCTION("SWITCH(
 E262,
 ""BUILDING"",XLOOKUP(A262,tblBuildings[BuildingID],tblBuildings[costtext],""""),
 ""TECH"",XLOOKUP(A262,tblTechnologies[TechnologyID],tblTechnologies[costtext],""""),
 ""QUEST"",XLOOKUP(
  REGEXREPLACE(A262,""\.[^.]+$"",""""),
  tblQuests["&amp;"QuestID],
  tblQuests[Costtext],
  """"
 ),
 ""CITADEL"",XLOOKUP(A262,tblCitadel[CitadelID],tblCitadel[costtext],""""),
 ""COLLECTION"",XLOOKUP(A262,tblCollections[CollectionID],tblCollections[costtext],""""),
 ""CRAFTIFACT"",XLOOKUP(A262,tblCraftifacts[C"&amp;"raftifactID],tblCraftifacts[costtext],""""),
 """"
)"),"")</f>
        <v/>
      </c>
      <c r="P262" s="26" t="str">
        <f t="shared" si="6"/>
        <v>BLOCKED</v>
      </c>
      <c r="Q262" s="26" t="str">
        <f t="shared" si="7"/>
        <v>BLOCKED</v>
      </c>
      <c r="R262" s="26" t="str">
        <f t="array" ref="R262">IFERROR(
 _xlfn.XLOOKUP(
  A262,
  tblChecklist[TargetID],
  tblChecklist[PlayerSort],
  ""
 ),
 ""
)</f>
        <v/>
      </c>
      <c r="S262" s="26" t="str">
        <f>IFERROR(__xludf.DUMMYFUNCTION("LET(
 id,A262,
 successorIDs,
  IFERROR(
   UNIQUE(
    FILTER(
     {
      Dependencies!$A$2:$A$1000;
      QuestObjectives!$A$2:$A$1000
     },
     {
      Dependencies!$B$2:$B$1000;
      QuestObjectives!$E$2:$E$1000
     }=id
    )
   ),
   """"
  )"&amp;",
 names,
  MAP(
   successorIDs,
   LAMBDA(s,
    IF(
     s="""",
     """",
     XLOOKUP(
      s,
      $A$2:$A$1000,
      $B$2:$B$1000,
      s
     )
    )
   )
  ),
 IF(
  successorIDs="""",
  """",
  TEXTJOIN("", "",TRUE,names)
 )
)"),"Laboratory: Data Center Lv 1, Ahead of Time Chapter 5 Finished, Laboratory - Digitization, Laboratory - Experiments, Laboratory - Research And Development")</f>
        <v>Laboratory: Data Center Lv 1, Ahead of Time Chapter 5 Finished, Laboratory - Digitization, Laboratory - Experiments, Laboratory - Research And Development</v>
      </c>
      <c r="T262" s="26" t="str">
        <f t="array" ref="T262">_xlfn.XLOOKUP(
 A262,
 tblTargets[TargetID],
 tblTargets[CompletionMethod],
 ""
)</f>
        <v>PLAYER</v>
      </c>
      <c r="U262" s="84" t="b">
        <f>COUNTIF(tblCost[TargetID],A262)&gt;0</f>
        <v>0</v>
      </c>
      <c r="V262" s="85" t="str">
        <f t="array" ref="V262">IF(
 U262=FALSE,
 "",
 _xlfn.XLOOKUP(
  A262,
  tblCost[TargetID],
  tblCost[FundingPercent],
  ""
 )
)</f>
        <v/>
      </c>
      <c r="W262" s="26" t="str">
        <f t="array" ref="W262">IF(
 U262=FALSE,
 "",
 _xlfn.XLOOKUP(
  A262,
  tblCost[TargetID],
  tblCost[RemainingRequirements],
  ""
 )
)</f>
        <v/>
      </c>
      <c r="X262" s="45" t="str">
        <f t="array" ref="X262">IF(
 U262=FALSE,
 "N/A",
 _xlfn.XLOOKUP(
  A263,
  tblCost[TargetID],
  tblCost[TargetFunded],
  FALSE
 )
)</f>
        <v>N/A</v>
      </c>
      <c r="Y262" s="26" t="str">
        <f>IFERROR(__xludf.DUMMYFUNCTION("IFERROR(
 TEXTJOIN(
  "", "",
  TRUE,
  FILTER(
   'cost checklist'!$E$2:$E1000&amp;"": ""&amp;'cost checklist'!$G$2:$G1000,
   'cost checklist'!$B$2:$B1000=A262,
   'cost checklist'!$J$2:$J1000=FALSE
  )
 ),
 """"
)"),"")</f>
        <v/>
      </c>
      <c r="Z262" s="26" t="b">
        <f>IFERROR(__xludf.DUMMYFUNCTION("IF(
 AND(
  E262=""QUEST"",
  RIGHT(A262,9)="".accepted"",
  D262=TRUE
 ),
 XLOOKUP(
  REGEXREPLACE(A262,""\.accepted$"","""")&amp;"".finished"",
  $A$2:$A1000,
  $D$2:$D1000,
  TRUE
 )=FALSE,
 FALSE
)"),FALSE)</f>
        <v>0</v>
      </c>
      <c r="AA262" s="26" t="str">
        <f>IFERROR(__xludf.DUMMYFUNCTION("LET(
 id,A262,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63" ht="14.25" customHeight="1">
      <c r="A263" s="26" t="s">
        <v>963</v>
      </c>
      <c r="B263" s="26" t="str">
        <f t="array" ref="B263">_xlfn.XLOOKUP(
 A263,
 tblTargets[TargetID],
 tblTargets[DisplayName],
 ""
)</f>
        <v>Ahead of Time Chapter 5 Finished</v>
      </c>
      <c r="C263" s="26" t="str">
        <f t="shared" si="1"/>
        <v>BLOCKED</v>
      </c>
      <c r="D263" s="26" t="b">
        <f>IFERROR(__xludf.DUMMYFUNCTION("LET(
 id,A263,
 IF(
  F263=""CHARACTER"",
  LET(
   base,REGEXREPLACE(id,""@\d+$"",""""),
   required,VALUE(REGEXEXTRACT(id,""@(\d+)$"")),
   current,XLOOKUP(
    base,
    tblPlayer[PlayerStateID],
    tblPlayer[Value],
    0
   ),
   current&gt;=required
 "&amp;" ),
  IF(
   T263=""AUTO"",
   L263=0,
   COUNTIFS(
    tblChecklist[TargetID],id,
    tblChecklist[PlayerCompleted],TRUE
   )&gt;0
  )
 )
)"),FALSE)</f>
        <v>0</v>
      </c>
      <c r="E263" s="26" t="str">
        <f t="array" ref="E263">_xlfn.XLOOKUP(
 A263,
 tblTargets[TargetID],
 tblTargets[TargetType],
 ""
)</f>
        <v>QUEST</v>
      </c>
      <c r="F263" s="26" t="str">
        <f t="array" ref="F263">_xlfn.XLOOKUP(
 A263,
 tblTargets[TargetID],
 tblTargets[StateType],
 ""
)</f>
        <v/>
      </c>
      <c r="G263" s="26">
        <f>LET(
 id,A263,
 depCount,COUNTIF(tblDependencies[TargetID],id),
 objCount,COUNTIF(tblQuestObjectives[QuestTargetID],id),
 depCount+objCount
)</f>
        <v>5</v>
      </c>
      <c r="H263" s="26">
        <f t="shared" si="2"/>
        <v>5</v>
      </c>
      <c r="I263" s="26">
        <f>IFERROR(__xludf.DUMMYFUNCTION("LET(
 id,A263,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3" s="26">
        <f t="shared" si="3"/>
        <v>0</v>
      </c>
      <c r="K263" s="26" t="b">
        <f t="shared" si="4"/>
        <v>0</v>
      </c>
      <c r="L263" s="26">
        <f t="shared" si="5"/>
        <v>5</v>
      </c>
      <c r="M263" s="26" t="str">
        <f>IFERROR(__xludf.DUMMYFUNCTION("LET(
 id,A263,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L263=0,
  """",
  IFERROR(INDEX(incomplete,1),"""")"&amp;"
 )
)"),"quest.ahead_of_time_chapter_5.accepted")</f>
        <v>quest.ahead_of_time_chapter_5.accepted</v>
      </c>
      <c r="N263" s="26" t="str">
        <f t="array" ref="N263">IF(
 M263="",
 "",
 _xlfn.XLOOKUP(
  M263,
  tblTargets[TargetID],
  tblTargets[DisplayName],
  M263
 )
)</f>
        <v>Ahead of Time Chapter 5 Accepted</v>
      </c>
      <c r="O263" s="26" t="str">
        <f>IFERROR(__xludf.DUMMYFUNCTION("SWITCH(
 E263,
 ""BUILDING"",XLOOKUP(A263,tblBuildings[BuildingID],tblBuildings[costtext],""""),
 ""TECH"",XLOOKUP(A263,tblTechnologies[TechnologyID],tblTechnologies[costtext],""""),
 ""QUEST"",XLOOKUP(
  REGEXREPLACE(A263,""\.[^.]+$"",""""),
  tblQuests["&amp;"QuestID],
  tblQuests[Costtext],
  """"
 ),
 ""CITADEL"",XLOOKUP(A263,tblCitadel[CitadelID],tblCitadel[costtext],""""),
 ""COLLECTION"",XLOOKUP(A263,tblCollections[CollectionID],tblCollections[costtext],""""),
 ""CRAFTIFACT"",XLOOKUP(A263,tblCraftifacts[C"&amp;"raftifactID],tblCraftifacts[costtext],""""),
 """"
)"),"")</f>
        <v/>
      </c>
      <c r="P263" s="26" t="str">
        <f t="shared" si="6"/>
        <v>BLOCKED</v>
      </c>
      <c r="Q263" s="26" t="str">
        <f t="shared" si="7"/>
        <v>BLOCKED</v>
      </c>
      <c r="R263" s="26" t="str">
        <f t="array" ref="R263">IFERROR(
 _xlfn.XLOOKUP(
  A263,
  tblChecklist[TargetID],
  tblChecklist[PlayerSort],
  ""
 ),
 ""
)</f>
        <v/>
      </c>
      <c r="S263" s="26" t="str">
        <f>IFERROR(__xludf.DUMMYFUNCTION("LET(
 id,A263,
 successorIDs,
  IFERROR(
   UNIQUE(
    FILTER(
     {
      Dependencies!$A$2:$A$1000;
      QuestObjectives!$A$2:$A$1000
     },
     {
      Dependencies!$B$2:$B$1000;
      QuestObjectives!$E$2:$E$1000
     }=id
    )
   ),
   """"
  )"&amp;",
 names,
  MAP(
   successorIDs,
   LAMBDA(s,
    IF(
     s="""",
     """",
     XLOOKUP(
      s,
      $A$2:$A$1000,
      $B$2:$B$1000,
      s
     )
    )
   )
  ),
 IF(
  successorIDs="""",
  """",
  TEXTJOIN("", "",TRUE,names)
 )
)"),"Guild: Video Game Arcade Lv 1, Outpost - Tax Return On Floppy Disk, Train - Onboard Computer")</f>
        <v>Guild: Video Game Arcade Lv 1, Outpost - Tax Return On Floppy Disk, Train - Onboard Computer</v>
      </c>
      <c r="T263" s="26" t="str">
        <f t="array" ref="T263">_xlfn.XLOOKUP(
 A263,
 tblTargets[TargetID],
 tblTargets[CompletionMethod],
 ""
)</f>
        <v>PLAYER</v>
      </c>
      <c r="U263" s="84" t="b">
        <f>COUNTIF(tblCost[TargetID],A263)&gt;0</f>
        <v>0</v>
      </c>
      <c r="V263" s="85" t="str">
        <f t="array" ref="V263">IF(
 U263=FALSE,
 "",
 _xlfn.XLOOKUP(
  A263,
  tblCost[TargetID],
  tblCost[FundingPercent],
  ""
 )
)</f>
        <v/>
      </c>
      <c r="W263" s="26" t="str">
        <f t="array" ref="W263">IF(
 U263=FALSE,
 "",
 _xlfn.XLOOKUP(
  A263,
  tblCost[TargetID],
  tblCost[RemainingRequirements],
  ""
 )
)</f>
        <v/>
      </c>
      <c r="X263" s="45" t="str">
        <f t="array" ref="X263">IF(
 U263=FALSE,
 "N/A",
 _xlfn.XLOOKUP(
  A264,
  tblCost[TargetID],
  tblCost[TargetFunded],
  FALSE
 )
)</f>
        <v>N/A</v>
      </c>
      <c r="Y263" s="26" t="str">
        <f>IFERROR(__xludf.DUMMYFUNCTION("IFERROR(
 TEXTJOIN(
  "", "",
  TRUE,
  FILTER(
   'cost checklist'!$E$2:$E1000&amp;"": ""&amp;'cost checklist'!$G$2:$G1000,
   'cost checklist'!$B$2:$B1000=A263,
   'cost checklist'!$J$2:$J1000=FALSE
  )
 ),
 """"
)"),"")</f>
        <v/>
      </c>
      <c r="Z263" s="26" t="b">
        <f>IFERROR(__xludf.DUMMYFUNCTION("IF(
 AND(
  E263=""QUEST"",
  RIGHT(A263,9)="".accepted"",
  D263=TRUE
 ),
 XLOOKUP(
  REGEXREPLACE(A263,""\.accepted$"","""")&amp;"".finished"",
  $A$2:$A1000,
  $D$2:$D1000,
  TRUE
 )=FALSE,
 FALSE
)"),FALSE)</f>
        <v>0</v>
      </c>
      <c r="AA263" s="26" t="str">
        <f>IFERROR(__xludf.DUMMYFUNCTION("LET(
 id,A263,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64" ht="14.25" customHeight="1">
      <c r="A264" s="26" t="s">
        <v>964</v>
      </c>
      <c r="B264" s="26" t="str">
        <f t="array" ref="B264">_xlfn.XLOOKUP(
 A264,
 tblTargets[TargetID],
 tblTargets[DisplayName],
 ""
)</f>
        <v>Build the Guild Accepted</v>
      </c>
      <c r="C264" s="26" t="str">
        <f t="shared" si="1"/>
        <v>READY</v>
      </c>
      <c r="D264" s="26" t="b">
        <f>IFERROR(__xludf.DUMMYFUNCTION("LET(
 id,A264,
 IF(
  F264=""CHARACTER"",
  LET(
   base,REGEXREPLACE(id,""@\d+$"",""""),
   required,VALUE(REGEXEXTRACT(id,""@(\d+)$"")),
   current,XLOOKUP(
    base,
    tblPlayer[PlayerStateID],
    tblPlayer[Value],
    0
   ),
   current&gt;=required
 "&amp;" ),
  IF(
   T264=""AUTO"",
   L264=0,
   COUNTIFS(
    tblChecklist[TargetID],id,
    tblChecklist[PlayerCompleted],TRUE
   )&gt;0
  )
 )
)"),FALSE)</f>
        <v>0</v>
      </c>
      <c r="E264" s="26" t="str">
        <f t="array" ref="E264">_xlfn.XLOOKUP(
 A264,
 tblTargets[TargetID],
 tblTargets[TargetType],
 ""
)</f>
        <v>QUEST</v>
      </c>
      <c r="F264" s="26" t="str">
        <f t="array" ref="F264">_xlfn.XLOOKUP(
 A264,
 tblTargets[TargetID],
 tblTargets[StateType],
 ""
)</f>
        <v/>
      </c>
      <c r="G264" s="26">
        <f>LET(
 id,A264,
 depCount,COUNTIF(tblDependencies[TargetID],id),
 objCount,COUNTIF(tblQuestObjectives[QuestTargetID],id),
 depCount+objCount
)</f>
        <v>0</v>
      </c>
      <c r="H264" s="26">
        <f t="shared" si="2"/>
        <v>0</v>
      </c>
      <c r="I264" s="26">
        <f>IFERROR(__xludf.DUMMYFUNCTION("LET(
 id,A264,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4" s="26">
        <f t="shared" si="3"/>
        <v>0</v>
      </c>
      <c r="K264" s="26" t="b">
        <f t="shared" si="4"/>
        <v>1</v>
      </c>
      <c r="L264" s="26">
        <f t="shared" si="5"/>
        <v>0</v>
      </c>
      <c r="M264" s="26" t="str">
        <f>IFERROR(__xludf.DUMMYFUNCTION("LET(
 id,A264,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L264=0,
  """",
  IFERROR(INDEX(incomplete,1),"""")"&amp;"
 )
)"),"")</f>
        <v/>
      </c>
      <c r="N264" s="26" t="str">
        <f t="array" ref="N264">IF(
 M264="",
 "",
 _xlfn.XLOOKUP(
  M264,
  tblTargets[TargetID],
  tblTargets[DisplayName],
  M264
 )
)</f>
        <v/>
      </c>
      <c r="O264" s="26" t="str">
        <f>IFERROR(__xludf.DUMMYFUNCTION("SWITCH(
 E264,
 ""BUILDING"",XLOOKUP(A264,tblBuildings[BuildingID],tblBuildings[costtext],""""),
 ""TECH"",XLOOKUP(A264,tblTechnologies[TechnologyID],tblTechnologies[costtext],""""),
 ""QUEST"",XLOOKUP(
  REGEXREPLACE(A264,""\.[^.]+$"",""""),
  tblQuests["&amp;"QuestID],
  tblQuests[Costtext],
  """"
 ),
 ""CITADEL"",XLOOKUP(A264,tblCitadel[CitadelID],tblCitadel[costtext],""""),
 ""COLLECTION"",XLOOKUP(A264,tblCollections[CollectionID],tblCollections[costtext],""""),
 ""CRAFTIFACT"",XLOOKUP(A264,tblCraftifacts[C"&amp;"raftifactID],tblCraftifacts[costtext],""""),
 """"
)"),"")</f>
        <v/>
      </c>
      <c r="P264" s="26" t="str">
        <f t="shared" si="6"/>
        <v/>
      </c>
      <c r="Q264" s="26" t="str">
        <f t="shared" si="7"/>
        <v>READY</v>
      </c>
      <c r="R264" s="26" t="str">
        <f t="array" ref="R264">IFERROR(
 _xlfn.XLOOKUP(
  A264,
  tblChecklist[TargetID],
  tblChecklist[PlayerSort],
  ""
 ),
 ""
)</f>
        <v/>
      </c>
      <c r="S264" s="26" t="str">
        <f>IFERROR(__xludf.DUMMYFUNCTION("LET(
 id,A264,
 successorIDs,
  IFERROR(
   UNIQUE(
    FILTER(
     {
      Dependencies!$A$2:$A$1000;
      QuestObjectives!$A$2:$A$1000
     },
     {
      Dependencies!$B$2:$B$1000;
      QuestObjectives!$E$2:$E$1000
     }=id
    )
   ),
   """"
  )"&amp;",
 names,
  MAP(
   successorIDs,
   LAMBDA(s,
    IF(
     s="""",
     """",
     XLOOKUP(
      s,
      $A$2:$A$1000,
      $B$2:$B$1000,
      s
     )
    )
   )
  ),
 IF(
  successorIDs="""",
  """",
  TEXTJOIN("", "",TRUE,names)
 )
)"),"Build the Guild Finished")</f>
        <v>Build the Guild Finished</v>
      </c>
      <c r="T264" s="26" t="str">
        <f t="array" ref="T264">_xlfn.XLOOKUP(
 A264,
 tblTargets[TargetID],
 tblTargets[CompletionMethod],
 ""
)</f>
        <v>PLAYER</v>
      </c>
      <c r="U264" s="84" t="b">
        <f>COUNTIF(tblCost[TargetID],A264)&gt;0</f>
        <v>0</v>
      </c>
      <c r="V264" s="85" t="str">
        <f t="array" ref="V264">IF(
 U264=FALSE,
 "",
 _xlfn.XLOOKUP(
  A264,
  tblCost[TargetID],
  tblCost[FundingPercent],
  ""
 )
)</f>
        <v/>
      </c>
      <c r="W264" s="26" t="str">
        <f t="array" ref="W264">IF(
 U264=FALSE,
 "",
 _xlfn.XLOOKUP(
  A264,
  tblCost[TargetID],
  tblCost[RemainingRequirements],
  ""
 )
)</f>
        <v/>
      </c>
      <c r="X264" s="45" t="str">
        <f t="array" ref="X264">IF(
 U264=FALSE,
 "N/A",
 _xlfn.XLOOKUP(
  A265,
  tblCost[TargetID],
  tblCost[TargetFunded],
  FALSE
 )
)</f>
        <v>N/A</v>
      </c>
      <c r="Y264" s="26" t="str">
        <f>IFERROR(__xludf.DUMMYFUNCTION("IFERROR(
 TEXTJOIN(
  "", "",
  TRUE,
  FILTER(
   'cost checklist'!$E$2:$E1000&amp;"": ""&amp;'cost checklist'!$G$2:$G1000,
   'cost checklist'!$B$2:$B1000=A264,
   'cost checklist'!$J$2:$J1000=FALSE
  )
 ),
 """"
)"),"")</f>
        <v/>
      </c>
      <c r="Z264" s="26" t="b">
        <f>IFERROR(__xludf.DUMMYFUNCTION("IF(
 AND(
  E264=""QUEST"",
  RIGHT(A264,9)="".accepted"",
  D264=TRUE
 ),
 XLOOKUP(
  REGEXREPLACE(A264,""\.accepted$"","""")&amp;"".finished"",
  $A$2:$A1000,
  $D$2:$D1000,
  TRUE
 )=FALSE,
 FALSE
)"),FALSE)</f>
        <v>0</v>
      </c>
      <c r="AA264" s="26" t="str">
        <f>IFERROR(__xludf.DUMMYFUNCTION("LET(
 id,A264,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65" ht="14.25" customHeight="1">
      <c r="A265" s="26" t="s">
        <v>967</v>
      </c>
      <c r="B265" s="26" t="str">
        <f t="array" ref="B265">_xlfn.XLOOKUP(
 A265,
 tblTargets[TargetID],
 tblTargets[DisplayName],
 ""
)</f>
        <v>Build the Guild Finished</v>
      </c>
      <c r="C265" s="26" t="str">
        <f t="shared" si="1"/>
        <v>BLOCKED</v>
      </c>
      <c r="D265" s="26" t="b">
        <f>IFERROR(__xludf.DUMMYFUNCTION("LET(
 id,A265,
 IF(
  F265=""CHARACTER"",
  LET(
   base,REGEXREPLACE(id,""@\d+$"",""""),
   required,VALUE(REGEXEXTRACT(id,""@(\d+)$"")),
   current,XLOOKUP(
    base,
    tblPlayer[PlayerStateID],
    tblPlayer[Value],
    0
   ),
   current&gt;=required
 "&amp;" ),
  IF(
   T265=""AUTO"",
   L265=0,
   COUNTIFS(
    tblChecklist[TargetID],id,
    tblChecklist[PlayerCompleted],TRUE
   )&gt;0
  )
 )
)"),FALSE)</f>
        <v>0</v>
      </c>
      <c r="E265" s="26" t="str">
        <f t="array" ref="E265">_xlfn.XLOOKUP(
 A265,
 tblTargets[TargetID],
 tblTargets[TargetType],
 ""
)</f>
        <v>QUEST</v>
      </c>
      <c r="F265" s="26" t="str">
        <f t="array" ref="F265">_xlfn.XLOOKUP(
 A265,
 tblTargets[TargetID],
 tblTargets[StateType],
 ""
)</f>
        <v/>
      </c>
      <c r="G265" s="26">
        <f>LET(
 id,A265,
 depCount,COUNTIF(tblDependencies[TargetID],id),
 objCount,COUNTIF(tblQuestObjectives[QuestTargetID],id),
 depCount+objCount
)</f>
        <v>2</v>
      </c>
      <c r="H265" s="26">
        <f t="shared" si="2"/>
        <v>2</v>
      </c>
      <c r="I265" s="26">
        <f>IFERROR(__xludf.DUMMYFUNCTION("LET(
 id,A265,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5" s="26">
        <f t="shared" si="3"/>
        <v>0</v>
      </c>
      <c r="K265" s="26" t="b">
        <f t="shared" si="4"/>
        <v>0</v>
      </c>
      <c r="L265" s="26">
        <f t="shared" si="5"/>
        <v>2</v>
      </c>
      <c r="M265" s="26" t="str">
        <f>IFERROR(__xludf.DUMMYFUNCTION("LET(
 id,A265,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L265=0,
  """",
  IFERROR(INDEX(incomplete,1),"""")"&amp;"
 )
)"),"quest.build_the_guild.accepted")</f>
        <v>quest.build_the_guild.accepted</v>
      </c>
      <c r="N265" s="26" t="str">
        <f t="array" ref="N265">IF(
 M265="",
 "",
 _xlfn.XLOOKUP(
  M265,
  tblTargets[TargetID],
  tblTargets[DisplayName],
  M265
 )
)</f>
        <v>Build the Guild Accepted</v>
      </c>
      <c r="O265" s="26" t="str">
        <f>IFERROR(__xludf.DUMMYFUNCTION("SWITCH(
 E265,
 ""BUILDING"",XLOOKUP(A265,tblBuildings[BuildingID],tblBuildings[costtext],""""),
 ""TECH"",XLOOKUP(A265,tblTechnologies[TechnologyID],tblTechnologies[costtext],""""),
 ""QUEST"",XLOOKUP(
  REGEXREPLACE(A265,""\.[^.]+$"",""""),
  tblQuests["&amp;"QuestID],
  tblQuests[Costtext],
  """"
 ),
 ""CITADEL"",XLOOKUP(A265,tblCitadel[CitadelID],tblCitadel[costtext],""""),
 ""COLLECTION"",XLOOKUP(A265,tblCollections[CollectionID],tblCollections[costtext],""""),
 ""CRAFTIFACT"",XLOOKUP(A265,tblCraftifacts[C"&amp;"raftifactID],tblCraftifacts[costtext],""""),
 """"
)"),"")</f>
        <v/>
      </c>
      <c r="P265" s="26" t="str">
        <f t="shared" si="6"/>
        <v>READY</v>
      </c>
      <c r="Q265" s="26" t="str">
        <f t="shared" si="7"/>
        <v>BLOCKED</v>
      </c>
      <c r="R265" s="26" t="str">
        <f t="array" ref="R265">IFERROR(
 _xlfn.XLOOKUP(
  A265,
  tblChecklist[TargetID],
  tblChecklist[PlayerSort],
  ""
 ),
 ""
)</f>
        <v/>
      </c>
      <c r="S265" s="26" t="str">
        <f>IFERROR(__xludf.DUMMYFUNCTION("LET(
 id,A265,
 successorIDs,
  IFERROR(
   UNIQUE(
    FILTER(
     {
      Dependencies!$A$2:$A$1000;
      QuestObjectives!$A$2:$A$1000
     },
     {
      Dependencies!$B$2:$B$1000;
      QuestObjectives!$E$2:$E$1000
     }=id
    )
   ),
   """"
  )"&amp;",
 names,
  MAP(
   successorIDs,
   LAMBDA(s,
    IF(
     s="""",
     """",
     XLOOKUP(
      s,
      $A$2:$A$1000,
      $B$2:$B$1000,
      s
     )
    )
   )
  ),
 IF(
  successorIDs="""",
  """",
  TEXTJOIN("", "",TRUE,names)
 )
)"),"")</f>
        <v/>
      </c>
      <c r="T265" s="26" t="str">
        <f t="array" ref="T265">_xlfn.XLOOKUP(
 A265,
 tblTargets[TargetID],
 tblTargets[CompletionMethod],
 ""
)</f>
        <v>PLAYER</v>
      </c>
      <c r="U265" s="84" t="b">
        <f>COUNTIF(tblCost[TargetID],A265)&gt;0</f>
        <v>0</v>
      </c>
      <c r="V265" s="85" t="str">
        <f t="array" ref="V265">IF(
 U265=FALSE,
 "",
 _xlfn.XLOOKUP(
  A265,
  tblCost[TargetID],
  tblCost[FundingPercent],
  ""
 )
)</f>
        <v/>
      </c>
      <c r="W265" s="26" t="str">
        <f t="array" ref="W265">IF(
 U265=FALSE,
 "",
 _xlfn.XLOOKUP(
  A265,
  tblCost[TargetID],
  tblCost[RemainingRequirements],
  ""
 )
)</f>
        <v/>
      </c>
      <c r="X265" s="45" t="str">
        <f t="array" ref="X265">IF(
 U265=FALSE,
 "N/A",
 _xlfn.XLOOKUP(
  A266,
  tblCost[TargetID],
  tblCost[TargetFunded],
  FALSE
 )
)</f>
        <v>N/A</v>
      </c>
      <c r="Y265" s="26" t="str">
        <f>IFERROR(__xludf.DUMMYFUNCTION("IFERROR(
 TEXTJOIN(
  "", "",
  TRUE,
  FILTER(
   'cost checklist'!$E$2:$E1000&amp;"": ""&amp;'cost checklist'!$G$2:$G1000,
   'cost checklist'!$B$2:$B1000=A265,
   'cost checklist'!$J$2:$J1000=FALSE
  )
 ),
 """"
)"),"")</f>
        <v/>
      </c>
      <c r="Z265" s="26" t="b">
        <f>IFERROR(__xludf.DUMMYFUNCTION("IF(
 AND(
  E265=""QUEST"",
  RIGHT(A265,9)="".accepted"",
  D265=TRUE
 ),
 XLOOKUP(
  REGEXREPLACE(A265,""\.accepted$"","""")&amp;"".finished"",
  $A$2:$A1000,
  $D$2:$D1000,
  TRUE
 )=FALSE,
 FALSE
)"),FALSE)</f>
        <v>0</v>
      </c>
      <c r="AA265" s="26" t="str">
        <f>IFERROR(__xludf.DUMMYFUNCTION("LET(
 id,A265,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66" ht="14.25" customHeight="1">
      <c r="A266" s="26" t="s">
        <v>971</v>
      </c>
      <c r="B266" s="26" t="str">
        <f t="array" ref="B266">_xlfn.XLOOKUP(
 A266,
 tblTargets[TargetID],
 tblTargets[DisplayName],
 ""
)</f>
        <v>Build the Pagoda Accepted</v>
      </c>
      <c r="C266" s="26" t="str">
        <f t="shared" si="1"/>
        <v>READY</v>
      </c>
      <c r="D266" s="26" t="b">
        <f>IFERROR(__xludf.DUMMYFUNCTION("LET(
 id,A266,
 IF(
  F266=""CHARACTER"",
  LET(
   base,REGEXREPLACE(id,""@\d+$"",""""),
   required,VALUE(REGEXEXTRACT(id,""@(\d+)$"")),
   current,XLOOKUP(
    base,
    tblPlayer[PlayerStateID],
    tblPlayer[Value],
    0
   ),
   current&gt;=required
 "&amp;" ),
  IF(
   T266=""AUTO"",
   L266=0,
   COUNTIFS(
    tblChecklist[TargetID],id,
    tblChecklist[PlayerCompleted],TRUE
   )&gt;0
  )
 )
)"),FALSE)</f>
        <v>0</v>
      </c>
      <c r="E266" s="26" t="str">
        <f t="array" ref="E266">_xlfn.XLOOKUP(
 A266,
 tblTargets[TargetID],
 tblTargets[TargetType],
 ""
)</f>
        <v>QUEST</v>
      </c>
      <c r="F266" s="26" t="str">
        <f t="array" ref="F266">_xlfn.XLOOKUP(
 A266,
 tblTargets[TargetID],
 tblTargets[StateType],
 ""
)</f>
        <v/>
      </c>
      <c r="G266" s="26">
        <f>LET(
 id,A266,
 depCount,COUNTIF(tblDependencies[TargetID],id),
 objCount,COUNTIF(tblQuestObjectives[QuestTargetID],id),
 depCount+objCount
)</f>
        <v>0</v>
      </c>
      <c r="H266" s="26">
        <f t="shared" si="2"/>
        <v>0</v>
      </c>
      <c r="I266" s="26">
        <f>IFERROR(__xludf.DUMMYFUNCTION("LET(
 id,A266,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6" s="26">
        <f t="shared" si="3"/>
        <v>0</v>
      </c>
      <c r="K266" s="26" t="b">
        <f t="shared" si="4"/>
        <v>1</v>
      </c>
      <c r="L266" s="26">
        <f t="shared" si="5"/>
        <v>0</v>
      </c>
      <c r="M266" s="26" t="str">
        <f>IFERROR(__xludf.DUMMYFUNCTION("LET(
 id,A266,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L266=0,
  """",
  IFERROR(INDEX(incomplete,1),"""")"&amp;"
 )
)"),"")</f>
        <v/>
      </c>
      <c r="N266" s="26" t="str">
        <f t="array" ref="N266">IF(
 M266="",
 "",
 _xlfn.XLOOKUP(
  M266,
  tblTargets[TargetID],
  tblTargets[DisplayName],
  M266
 )
)</f>
        <v/>
      </c>
      <c r="O266" s="26" t="str">
        <f>IFERROR(__xludf.DUMMYFUNCTION("SWITCH(
 E266,
 ""BUILDING"",XLOOKUP(A266,tblBuildings[BuildingID],tblBuildings[costtext],""""),
 ""TECH"",XLOOKUP(A266,tblTechnologies[TechnologyID],tblTechnologies[costtext],""""),
 ""QUEST"",XLOOKUP(
  REGEXREPLACE(A266,""\.[^.]+$"",""""),
  tblQuests["&amp;"QuestID],
  tblQuests[Costtext],
  """"
 ),
 ""CITADEL"",XLOOKUP(A266,tblCitadel[CitadelID],tblCitadel[costtext],""""),
 ""COLLECTION"",XLOOKUP(A266,tblCollections[CollectionID],tblCollections[costtext],""""),
 ""CRAFTIFACT"",XLOOKUP(A266,tblCraftifacts[C"&amp;"raftifactID],tblCraftifacts[costtext],""""),
 """"
)"),"")</f>
        <v/>
      </c>
      <c r="P266" s="26" t="str">
        <f t="shared" si="6"/>
        <v/>
      </c>
      <c r="Q266" s="26" t="str">
        <f t="shared" si="7"/>
        <v>READY</v>
      </c>
      <c r="R266" s="26" t="str">
        <f t="array" ref="R266">IFERROR(
 _xlfn.XLOOKUP(
  A266,
  tblChecklist[TargetID],
  tblChecklist[PlayerSort],
  ""
 ),
 ""
)</f>
        <v/>
      </c>
      <c r="S266" s="26" t="str">
        <f>IFERROR(__xludf.DUMMYFUNCTION("LET(
 id,A266,
 successorIDs,
  IFERROR(
   UNIQUE(
    FILTER(
     {
      Dependencies!$A$2:$A$1000;
      QuestObjectives!$A$2:$A$1000
     },
     {
      Dependencies!$B$2:$B$1000;
      QuestObjectives!$E$2:$E$1000
     }=id
    )
   ),
   """"
  )"&amp;",
 names,
  MAP(
   successorIDs,
   LAMBDA(s,
    IF(
     s="""",
     """",
     XLOOKUP(
      s,
      $A$2:$A$1000,
      $B$2:$B$1000,
      s
     )
    )
   )
  ),
 IF(
  successorIDs="""",
  """",
  TEXTJOIN("", "",TRUE,names)
 )
)"),"Build the Pagoda Finished")</f>
        <v>Build the Pagoda Finished</v>
      </c>
      <c r="T266" s="26" t="str">
        <f t="array" ref="T266">_xlfn.XLOOKUP(
 A266,
 tblTargets[TargetID],
 tblTargets[CompletionMethod],
 ""
)</f>
        <v>PLAYER</v>
      </c>
      <c r="U266" s="84" t="b">
        <f>COUNTIF(tblCost[TargetID],A266)&gt;0</f>
        <v>0</v>
      </c>
      <c r="V266" s="85" t="str">
        <f t="array" ref="V266">IF(
 U266=FALSE,
 "",
 _xlfn.XLOOKUP(
  A266,
  tblCost[TargetID],
  tblCost[FundingPercent],
  ""
 )
)</f>
        <v/>
      </c>
      <c r="W266" s="26" t="str">
        <f t="array" ref="W266">IF(
 U266=FALSE,
 "",
 _xlfn.XLOOKUP(
  A266,
  tblCost[TargetID],
  tblCost[RemainingRequirements],
  ""
 )
)</f>
        <v/>
      </c>
      <c r="X266" s="45" t="str">
        <f t="array" ref="X266">IF(
 U266=FALSE,
 "N/A",
 _xlfn.XLOOKUP(
  A267,
  tblCost[TargetID],
  tblCost[TargetFunded],
  FALSE
 )
)</f>
        <v>N/A</v>
      </c>
      <c r="Y266" s="26" t="str">
        <f>IFERROR(__xludf.DUMMYFUNCTION("IFERROR(
 TEXTJOIN(
  "", "",
  TRUE,
  FILTER(
   'cost checklist'!$E$2:$E1000&amp;"": ""&amp;'cost checklist'!$G$2:$G1000,
   'cost checklist'!$B$2:$B1000=A266,
   'cost checklist'!$J$2:$J1000=FALSE
  )
 ),
 """"
)"),"")</f>
        <v/>
      </c>
      <c r="Z266" s="26" t="b">
        <f>IFERROR(__xludf.DUMMYFUNCTION("IF(
 AND(
  E266=""QUEST"",
  RIGHT(A266,9)="".accepted"",
  D266=TRUE
 ),
 XLOOKUP(
  REGEXREPLACE(A266,""\.accepted$"","""")&amp;"".finished"",
  $A$2:$A1000,
  $D$2:$D1000,
  TRUE
 )=FALSE,
 FALSE
)"),FALSE)</f>
        <v>0</v>
      </c>
      <c r="AA266" s="26" t="str">
        <f>IFERROR(__xludf.DUMMYFUNCTION("LET(
 id,A266,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67" ht="14.25" customHeight="1">
      <c r="A267" s="26" t="s">
        <v>975</v>
      </c>
      <c r="B267" s="26" t="str">
        <f t="array" ref="B267">_xlfn.XLOOKUP(
 A267,
 tblTargets[TargetID],
 tblTargets[DisplayName],
 ""
)</f>
        <v>Build the Pagoda Finished</v>
      </c>
      <c r="C267" s="26" t="str">
        <f t="shared" si="1"/>
        <v>BLOCKED</v>
      </c>
      <c r="D267" s="26" t="b">
        <f>IFERROR(__xludf.DUMMYFUNCTION("LET(
 id,A267,
 IF(
  F267=""CHARACTER"",
  LET(
   base,REGEXREPLACE(id,""@\d+$"",""""),
   required,VALUE(REGEXEXTRACT(id,""@(\d+)$"")),
   current,XLOOKUP(
    base,
    tblPlayer[PlayerStateID],
    tblPlayer[Value],
    0
   ),
   current&gt;=required
 "&amp;" ),
  IF(
   T267=""AUTO"",
   L267=0,
   COUNTIFS(
    tblChecklist[TargetID],id,
    tblChecklist[PlayerCompleted],TRUE
   )&gt;0
  )
 )
)"),FALSE)</f>
        <v>0</v>
      </c>
      <c r="E267" s="26" t="str">
        <f t="array" ref="E267">_xlfn.XLOOKUP(
 A267,
 tblTargets[TargetID],
 tblTargets[TargetType],
 ""
)</f>
        <v>QUEST</v>
      </c>
      <c r="F267" s="26" t="str">
        <f t="array" ref="F267">_xlfn.XLOOKUP(
 A267,
 tblTargets[TargetID],
 tblTargets[StateType],
 ""
)</f>
        <v/>
      </c>
      <c r="G267" s="26">
        <f>LET(
 id,A267,
 depCount,COUNTIF(tblDependencies[TargetID],id),
 objCount,COUNTIF(tblQuestObjectives[QuestTargetID],id),
 depCount+objCount
)</f>
        <v>2</v>
      </c>
      <c r="H267" s="26">
        <f t="shared" si="2"/>
        <v>2</v>
      </c>
      <c r="I267" s="26">
        <f>IFERROR(__xludf.DUMMYFUNCTION("LET(
 id,A267,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7" s="26">
        <f t="shared" si="3"/>
        <v>0</v>
      </c>
      <c r="K267" s="26" t="b">
        <f t="shared" si="4"/>
        <v>0</v>
      </c>
      <c r="L267" s="26">
        <f t="shared" si="5"/>
        <v>2</v>
      </c>
      <c r="M267" s="26" t="str">
        <f>IFERROR(__xludf.DUMMYFUNCTION("LET(
 id,A267,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L267=0,
  """",
  IFERROR(INDEX(incomplete,1),"""")"&amp;"
 )
)"),"quest.build_the_pagoda.accepted")</f>
        <v>quest.build_the_pagoda.accepted</v>
      </c>
      <c r="N267" s="26" t="str">
        <f t="array" ref="N267">IF(
 M267="",
 "",
 _xlfn.XLOOKUP(
  M267,
  tblTargets[TargetID],
  tblTargets[DisplayName],
  M267
 )
)</f>
        <v>Build the Pagoda Accepted</v>
      </c>
      <c r="O267" s="26" t="str">
        <f>IFERROR(__xludf.DUMMYFUNCTION("SWITCH(
 E267,
 ""BUILDING"",XLOOKUP(A267,tblBuildings[BuildingID],tblBuildings[costtext],""""),
 ""TECH"",XLOOKUP(A267,tblTechnologies[TechnologyID],tblTechnologies[costtext],""""),
 ""QUEST"",XLOOKUP(
  REGEXREPLACE(A267,""\.[^.]+$"",""""),
  tblQuests["&amp;"QuestID],
  tblQuests[Costtext],
  """"
 ),
 ""CITADEL"",XLOOKUP(A267,tblCitadel[CitadelID],tblCitadel[costtext],""""),
 ""COLLECTION"",XLOOKUP(A267,tblCollections[CollectionID],tblCollections[costtext],""""),
 ""CRAFTIFACT"",XLOOKUP(A267,tblCraftifacts[C"&amp;"raftifactID],tblCraftifacts[costtext],""""),
 """"
)"),"")</f>
        <v/>
      </c>
      <c r="P267" s="26" t="str">
        <f t="shared" si="6"/>
        <v>READY</v>
      </c>
      <c r="Q267" s="26" t="str">
        <f t="shared" si="7"/>
        <v>BLOCKED</v>
      </c>
      <c r="R267" s="26" t="str">
        <f t="array" ref="R267">IFERROR(
 _xlfn.XLOOKUP(
  A267,
  tblChecklist[TargetID],
  tblChecklist[PlayerSort],
  ""
 ),
 ""
)</f>
        <v/>
      </c>
      <c r="S267" s="26" t="str">
        <f>IFERROR(__xludf.DUMMYFUNCTION("LET(
 id,A267,
 successorIDs,
  IFERROR(
   UNIQUE(
    FILTER(
     {
      Dependencies!$A$2:$A$1000;
      QuestObjectives!$A$2:$A$1000
     },
     {
      Dependencies!$B$2:$B$1000;
      QuestObjectives!$E$2:$E$1000
     }=id
    )
   ),
   """"
  )"&amp;",
 names,
  MAP(
   successorIDs,
   LAMBDA(s,
    IF(
     s="""",
     """",
     XLOOKUP(
      s,
      $A$2:$A$1000,
      $B$2:$B$1000,
      s
     )
    )
   )
  ),
 IF(
  successorIDs="""",
  """",
  TEXTJOIN("", "",TRUE,names)
 )
)"),"")</f>
        <v/>
      </c>
      <c r="T267" s="26" t="str">
        <f t="array" ref="T267">_xlfn.XLOOKUP(
 A267,
 tblTargets[TargetID],
 tblTargets[CompletionMethod],
 ""
)</f>
        <v>PLAYER</v>
      </c>
      <c r="U267" s="84" t="b">
        <f>COUNTIF(tblCost[TargetID],A267)&gt;0</f>
        <v>0</v>
      </c>
      <c r="V267" s="85" t="str">
        <f t="array" ref="V267">IF(
 U267=FALSE,
 "",
 _xlfn.XLOOKUP(
  A267,
  tblCost[TargetID],
  tblCost[FundingPercent],
  ""
 )
)</f>
        <v/>
      </c>
      <c r="W267" s="26" t="str">
        <f t="array" ref="W267">IF(
 U267=FALSE,
 "",
 _xlfn.XLOOKUP(
  A267,
  tblCost[TargetID],
  tblCost[RemainingRequirements],
  ""
 )
)</f>
        <v/>
      </c>
      <c r="X267" s="45" t="str">
        <f t="array" ref="X267">IF(
 U267=FALSE,
 "N/A",
 _xlfn.XLOOKUP(
  A268,
  tblCost[TargetID],
  tblCost[TargetFunded],
  FALSE
 )
)</f>
        <v>N/A</v>
      </c>
      <c r="Y267" s="26" t="str">
        <f>IFERROR(__xludf.DUMMYFUNCTION("IFERROR(
 TEXTJOIN(
  "", "",
  TRUE,
  FILTER(
   'cost checklist'!$E$2:$E1000&amp;"": ""&amp;'cost checklist'!$G$2:$G1000,
   'cost checklist'!$B$2:$B1000=A267,
   'cost checklist'!$J$2:$J1000=FALSE
  )
 ),
 """"
)"),"")</f>
        <v/>
      </c>
      <c r="Z267" s="26" t="b">
        <f>IFERROR(__xludf.DUMMYFUNCTION("IF(
 AND(
  E267=""QUEST"",
  RIGHT(A267,9)="".accepted"",
  D267=TRUE
 ),
 XLOOKUP(
  REGEXREPLACE(A267,""\.accepted$"","""")&amp;"".finished"",
  $A$2:$A1000,
  $D$2:$D1000,
  TRUE
 )=FALSE,
 FALSE
)"),FALSE)</f>
        <v>0</v>
      </c>
      <c r="AA267" s="26" t="str">
        <f>IFERROR(__xludf.DUMMYFUNCTION("LET(
 id,A267,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68" ht="14.25" customHeight="1">
      <c r="A268" s="26" t="s">
        <v>979</v>
      </c>
      <c r="B268" s="26" t="str">
        <f t="array" ref="B268">_xlfn.XLOOKUP(
 A268,
 tblTargets[TargetID],
 tblTargets[DisplayName],
 ""
)</f>
        <v>Culinary Battle Accepted</v>
      </c>
      <c r="C268" s="26" t="str">
        <f t="shared" si="1"/>
        <v>BLOCKED</v>
      </c>
      <c r="D268" s="26" t="b">
        <f>IFERROR(__xludf.DUMMYFUNCTION("LET(
 id,A268,
 IF(
  F268=""CHARACTER"",
  LET(
   base,REGEXREPLACE(id,""@\d+$"",""""),
   required,VALUE(REGEXEXTRACT(id,""@(\d+)$"")),
   current,XLOOKUP(
    base,
    tblPlayer[PlayerStateID],
    tblPlayer[Value],
    0
   ),
   current&gt;=required
 "&amp;" ),
  IF(
   T268=""AUTO"",
   L268=0,
   COUNTIFS(
    tblChecklist[TargetID],id,
    tblChecklist[PlayerCompleted],TRUE
   )&gt;0
  )
 )
)"),FALSE)</f>
        <v>0</v>
      </c>
      <c r="E268" s="26" t="str">
        <f t="array" ref="E268">_xlfn.XLOOKUP(
 A268,
 tblTargets[TargetID],
 tblTargets[TargetType],
 ""
)</f>
        <v>QUEST</v>
      </c>
      <c r="F268" s="26" t="str">
        <f t="array" ref="F268">_xlfn.XLOOKUP(
 A268,
 tblTargets[TargetID],
 tblTargets[StateType],
 ""
)</f>
        <v/>
      </c>
      <c r="G268" s="26">
        <f>LET(
 id,A268,
 depCount,COUNTIF(tblDependencies[TargetID],id),
 objCount,COUNTIF(tblQuestObjectives[QuestTargetID],id),
 depCount+objCount
)</f>
        <v>2</v>
      </c>
      <c r="H268" s="26">
        <f t="shared" si="2"/>
        <v>2</v>
      </c>
      <c r="I268" s="26">
        <f>IFERROR(__xludf.DUMMYFUNCTION("LET(
 id,A268,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8" s="26">
        <f t="shared" si="3"/>
        <v>0</v>
      </c>
      <c r="K268" s="26" t="b">
        <f t="shared" si="4"/>
        <v>0</v>
      </c>
      <c r="L268" s="26">
        <f t="shared" si="5"/>
        <v>2</v>
      </c>
      <c r="M268" s="26" t="str">
        <f>IFERROR(__xludf.DUMMYFUNCTION("LET(
 id,A268,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L268=0,
  """",
  IFERROR(INDEX(incomplete,1),"""")"&amp;"
 )
)"),"state.meet_fat_demon@4a")</f>
        <v>state.meet_fat_demon@4a</v>
      </c>
      <c r="N268" s="26" t="str">
        <f t="array" ref="N268">IF(
 M268="",
 "",
 _xlfn.XLOOKUP(
  M268,
  tblTargets[TargetID],
  tblTargets[DisplayName],
  M268
 )
)</f>
        <v>Meet Fat Demon@4A</v>
      </c>
      <c r="O268" s="26" t="str">
        <f>IFERROR(__xludf.DUMMYFUNCTION("SWITCH(
 E268,
 ""BUILDING"",XLOOKUP(A268,tblBuildings[BuildingID],tblBuildings[costtext],""""),
 ""TECH"",XLOOKUP(A268,tblTechnologies[TechnologyID],tblTechnologies[costtext],""""),
 ""QUEST"",XLOOKUP(
  REGEXREPLACE(A268,""\.[^.]+$"",""""),
  tblQuests["&amp;"QuestID],
  tblQuests[Costtext],
  """"
 ),
 ""CITADEL"",XLOOKUP(A268,tblCitadel[CitadelID],tblCitadel[costtext],""""),
 ""COLLECTION"",XLOOKUP(A268,tblCollections[CollectionID],tblCollections[costtext],""""),
 ""CRAFTIFACT"",XLOOKUP(A268,tblCraftifacts[C"&amp;"raftifactID],tblCraftifacts[costtext],""""),
 """"
)"),"onigiri:2,flatbread:2,cherrybun:2,bento:2,fried:2,sushi:2,ramen:2,curry:2,cake:2,baklava:2,poke:2,marinated:2,teriyaki:2,mayo:2")</f>
        <v>onigiri:2,flatbread:2,cherrybun:2,bento:2,fried:2,sushi:2,ramen:2,curry:2,cake:2,baklava:2,poke:2,marinated:2,teriyaki:2,mayo:2</v>
      </c>
      <c r="P268" s="26" t="str">
        <f t="shared" si="6"/>
        <v>BLOCKED</v>
      </c>
      <c r="Q268" s="26" t="str">
        <f t="shared" si="7"/>
        <v>BLOCKED</v>
      </c>
      <c r="R268" s="26" t="str">
        <f t="array" ref="R268">IFERROR(
 _xlfn.XLOOKUP(
  A268,
  tblChecklist[TargetID],
  tblChecklist[PlayerSort],
  ""
 ),
 ""
)</f>
        <v/>
      </c>
      <c r="S268" s="26" t="str">
        <f>IFERROR(__xludf.DUMMYFUNCTION("LET(
 id,A268,
 successorIDs,
  IFERROR(
   UNIQUE(
    FILTER(
     {
      Dependencies!$A$2:$A$1000;
      QuestObjectives!$A$2:$A$1000
     },
     {
      Dependencies!$B$2:$B$1000;
      QuestObjectives!$E$2:$E$1000
     }=id
    )
   ),
   """"
  )"&amp;",
 names,
  MAP(
   successorIDs,
   LAMBDA(s,
    IF(
     s="""",
     """",
     XLOOKUP(
      s,
      $A$2:$A$1000,
      $B$2:$B$1000,
      s
     )
    )
   )
  ),
 IF(
  successorIDs="""",
  """",
  TEXTJOIN("", "",TRUE,names)
 )
)"),"Culinary Battle Finished")</f>
        <v>Culinary Battle Finished</v>
      </c>
      <c r="T268" s="26" t="str">
        <f t="array" ref="T268">_xlfn.XLOOKUP(
 A268,
 tblTargets[TargetID],
 tblTargets[CompletionMethod],
 ""
)</f>
        <v>PLAYER</v>
      </c>
      <c r="U268" s="84" t="b">
        <f>COUNTIF(tblCost[TargetID],A268)&gt;0</f>
        <v>0</v>
      </c>
      <c r="V268" s="85" t="str">
        <f t="array" ref="V268">IF(
 U268=FALSE,
 "",
 _xlfn.XLOOKUP(
  A268,
  tblCost[TargetID],
  tblCost[FundingPercent],
  ""
 )
)</f>
        <v/>
      </c>
      <c r="W268" s="26" t="str">
        <f t="array" ref="W268">IF(
 U268=FALSE,
 "",
 _xlfn.XLOOKUP(
  A268,
  tblCost[TargetID],
  tblCost[RemainingRequirements],
  ""
 )
)</f>
        <v/>
      </c>
      <c r="X268" s="45" t="str">
        <f t="array" ref="X268">IF(
 U268=FALSE,
 "N/A",
 _xlfn.XLOOKUP(
  A269,
  tblCost[TargetID],
  tblCost[TargetFunded],
  FALSE
 )
)</f>
        <v>N/A</v>
      </c>
      <c r="Y268" s="26" t="str">
        <f>IFERROR(__xludf.DUMMYFUNCTION("IFERROR(
 TEXTJOIN(
  "", "",
  TRUE,
  FILTER(
   'cost checklist'!$E$2:$E1000&amp;"": ""&amp;'cost checklist'!$G$2:$G1000,
   'cost checklist'!$B$2:$B1000=A268,
   'cost checklist'!$J$2:$J1000=FALSE
  )
 ),
 """"
)"),"")</f>
        <v/>
      </c>
      <c r="Z268" s="26" t="b">
        <f>IFERROR(__xludf.DUMMYFUNCTION("IF(
 AND(
  E268=""QUEST"",
  RIGHT(A268,9)="".accepted"",
  D268=TRUE
 ),
 XLOOKUP(
  REGEXREPLACE(A268,""\.accepted$"","""")&amp;"".finished"",
  $A$2:$A1000,
  $D$2:$D1000,
  TRUE
 )=FALSE,
 FALSE
)"),FALSE)</f>
        <v>0</v>
      </c>
      <c r="AA268" s="26" t="str">
        <f>IFERROR(__xludf.DUMMYFUNCTION("LET(
 id,A268,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69" ht="14.25" customHeight="1">
      <c r="A269" s="26" t="s">
        <v>982</v>
      </c>
      <c r="B269" s="26" t="str">
        <f t="array" ref="B269">_xlfn.XLOOKUP(
 A269,
 tblTargets[TargetID],
 tblTargets[DisplayName],
 ""
)</f>
        <v>Culinary Battle Finished</v>
      </c>
      <c r="C269" s="26" t="str">
        <f t="shared" si="1"/>
        <v>BLOCKED</v>
      </c>
      <c r="D269" s="26" t="b">
        <f>IFERROR(__xludf.DUMMYFUNCTION("LET(
 id,A269,
 IF(
  F269=""CHARACTER"",
  LET(
   base,REGEXREPLACE(id,""@\d+$"",""""),
   required,VALUE(REGEXEXTRACT(id,""@(\d+)$"")),
   current,XLOOKUP(
    base,
    tblPlayer[PlayerStateID],
    tblPlayer[Value],
    0
   ),
   current&gt;=required
 "&amp;" ),
  IF(
   T269=""AUTO"",
   L269=0,
   COUNTIFS(
    tblChecklist[TargetID],id,
    tblChecklist[PlayerCompleted],TRUE
   )&gt;0
  )
 )
)"),FALSE)</f>
        <v>0</v>
      </c>
      <c r="E269" s="26" t="str">
        <f t="array" ref="E269">_xlfn.XLOOKUP(
 A269,
 tblTargets[TargetID],
 tblTargets[TargetType],
 ""
)</f>
        <v>QUEST</v>
      </c>
      <c r="F269" s="26" t="str">
        <f t="array" ref="F269">_xlfn.XLOOKUP(
 A269,
 tblTargets[TargetID],
 tblTargets[StateType],
 ""
)</f>
        <v/>
      </c>
      <c r="G269" s="26">
        <f>LET(
 id,A269,
 depCount,COUNTIF(tblDependencies[TargetID],id),
 objCount,COUNTIF(tblQuestObjectives[QuestTargetID],id),
 depCount+objCount
)</f>
        <v>4</v>
      </c>
      <c r="H269" s="26">
        <f t="shared" si="2"/>
        <v>4</v>
      </c>
      <c r="I269" s="26">
        <f>IFERROR(__xludf.DUMMYFUNCTION("LET(
 id,A269,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69" s="26">
        <f t="shared" si="3"/>
        <v>0</v>
      </c>
      <c r="K269" s="26" t="b">
        <f t="shared" si="4"/>
        <v>0</v>
      </c>
      <c r="L269" s="26">
        <f t="shared" si="5"/>
        <v>4</v>
      </c>
      <c r="M269" s="26" t="str">
        <f>IFERROR(__xludf.DUMMYFUNCTION("LET(
 id,A269,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L269=0,
  """",
  IFERROR(INDEX(incomplete,1),"""")"&amp;"
 )
)"),"quest.culinary_battle.accepted")</f>
        <v>quest.culinary_battle.accepted</v>
      </c>
      <c r="N269" s="26" t="str">
        <f t="array" ref="N269">IF(
 M269="",
 "",
 _xlfn.XLOOKUP(
  M269,
  tblTargets[TargetID],
  tblTargets[DisplayName],
  M269
 )
)</f>
        <v>Culinary Battle Accepted</v>
      </c>
      <c r="O269" s="26" t="str">
        <f>IFERROR(__xludf.DUMMYFUNCTION("SWITCH(
 E269,
 ""BUILDING"",XLOOKUP(A269,tblBuildings[BuildingID],tblBuildings[costtext],""""),
 ""TECH"",XLOOKUP(A269,tblTechnologies[TechnologyID],tblTechnologies[costtext],""""),
 ""QUEST"",XLOOKUP(
  REGEXREPLACE(A269,""\.[^.]+$"",""""),
  tblQuests["&amp;"QuestID],
  tblQuests[Costtext],
  """"
 ),
 ""CITADEL"",XLOOKUP(A269,tblCitadel[CitadelID],tblCitadel[costtext],""""),
 ""COLLECTION"",XLOOKUP(A269,tblCollections[CollectionID],tblCollections[costtext],""""),
 ""CRAFTIFACT"",XLOOKUP(A269,tblCraftifacts[C"&amp;"raftifactID],tblCraftifacts[costtext],""""),
 """"
)"),"onigiri:2,flatbread:2,cherrybun:2,bento:2,fried:2,sushi:2,ramen:2,curry:2,cake:2,baklava:2,poke:2,marinated:2,teriyaki:2,mayo:2")</f>
        <v>onigiri:2,flatbread:2,cherrybun:2,bento:2,fried:2,sushi:2,ramen:2,curry:2,cake:2,baklava:2,poke:2,marinated:2,teriyaki:2,mayo:2</v>
      </c>
      <c r="P269" s="26" t="str">
        <f t="shared" si="6"/>
        <v>BLOCKED</v>
      </c>
      <c r="Q269" s="26" t="str">
        <f t="shared" si="7"/>
        <v>BLOCKED</v>
      </c>
      <c r="R269" s="26" t="str">
        <f t="array" ref="R269">IFERROR(
 _xlfn.XLOOKUP(
  A269,
  tblChecklist[TargetID],
  tblChecklist[PlayerSort],
  ""
 ),
 ""
)</f>
        <v/>
      </c>
      <c r="S269" s="26" t="str">
        <f>IFERROR(__xludf.DUMMYFUNCTION("LET(
 id,A269,
 successorIDs,
  IFERROR(
   UNIQUE(
    FILTER(
     {
      Dependencies!$A$2:$A$1000;
      QuestObjectives!$A$2:$A$1000
     },
     {
      Dependencies!$B$2:$B$1000;
      QuestObjectives!$E$2:$E$1000
     }=id
    )
   ),
   """"
  )"&amp;",
 names,
  MAP(
   successorIDs,
   LAMBDA(s,
    IF(
     s="""",
     """",
     XLOOKUP(
      s,
      $A$2:$A$1000,
      $B$2:$B$1000,
      s
     )
    )
   )
  ),
 IF(
  successorIDs="""",
  """",
  TEXTJOIN("", "",TRUE,names)
 )
)"),"")</f>
        <v/>
      </c>
      <c r="T269" s="26" t="str">
        <f t="array" ref="T269">_xlfn.XLOOKUP(
 A269,
 tblTargets[TargetID],
 tblTargets[CompletionMethod],
 ""
)</f>
        <v>PLAYER</v>
      </c>
      <c r="U269" s="84" t="b">
        <f>COUNTIF(tblCost[TargetID],A269)&gt;0</f>
        <v>1</v>
      </c>
      <c r="V269" s="85">
        <f t="array" ref="V269">IF(
 U269=FALSE,
 "",
 _xlfn.XLOOKUP(
  A269,
  tblCost[TargetID],
  tblCost[FundingPercent],
  ""
 )
)</f>
        <v>0</v>
      </c>
      <c r="W269" s="26">
        <f t="array" ref="W269">IF(
 U269=FALSE,
 "",
 _xlfn.XLOOKUP(
  A269,
  tblCost[TargetID],
  tblCost[RemainingRequirements],
  ""
 )
)</f>
        <v>14</v>
      </c>
      <c r="X269" s="45" t="b">
        <f t="array" ref="X269">IF(
 U269=FALSE,
 "N/A",
 _xlfn.XLOOKUP(
  A270,
  tblCost[TargetID],
  tblCost[TargetFunded],
  FALSE
 )
)</f>
        <v>0</v>
      </c>
      <c r="Y269" s="26" t="str">
        <f>IFERROR(__xludf.DUMMYFUNCTION("IFERROR(
 TEXTJOIN(
  "", "",
  TRUE,
  FILTER(
   'cost checklist'!$E$2:$E1000&amp;"": ""&amp;'cost checklist'!$G$2:$G1000,
   'cost checklist'!$B$2:$B1000=A269,
   'cost checklist'!$J$2:$J1000=FALSE
  )
 ),
 """"
)"),"baklava: 2, bento: 2, cake: 2, cherrybun: 2, curry: 2, flatbread: 2, fried: 2, marinated: 2, mayo: 2, onigiri: 2, poke: 2, ramen: 2, sushi: 2, teriyaki: 2")</f>
        <v>baklava: 2, bento: 2, cake: 2, cherrybun: 2, curry: 2, flatbread: 2, fried: 2, marinated: 2, mayo: 2, onigiri: 2, poke: 2, ramen: 2, sushi: 2, teriyaki: 2</v>
      </c>
      <c r="Z269" s="26" t="b">
        <f>IFERROR(__xludf.DUMMYFUNCTION("IF(
 AND(
  E269=""QUEST"",
  RIGHT(A269,9)="".accepted"",
  D269=TRUE
 ),
 XLOOKUP(
  REGEXREPLACE(A269,""\.accepted$"","""")&amp;"".finished"",
  $A$2:$A1000,
  $D$2:$D1000,
  TRUE
 )=FALSE,
 FALSE
)"),FALSE)</f>
        <v>0</v>
      </c>
      <c r="AA269" s="26" t="str">
        <f>IFERROR(__xludf.DUMMYFUNCTION("LET(
 id,A269,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70" ht="14.25" customHeight="1">
      <c r="A270" s="26" t="s">
        <v>986</v>
      </c>
      <c r="B270" s="26" t="str">
        <f t="array" ref="B270">_xlfn.XLOOKUP(
 A270,
 tblTargets[TargetID],
 tblTargets[DisplayName],
 ""
)</f>
        <v>Dragon teeth Accepted</v>
      </c>
      <c r="C270" s="26" t="str">
        <f t="shared" si="1"/>
        <v>BLOCKED</v>
      </c>
      <c r="D270" s="26" t="b">
        <f>IFERROR(__xludf.DUMMYFUNCTION("LET(
 id,A270,
 IF(
  F270=""CHARACTER"",
  LET(
   base,REGEXREPLACE(id,""@\d+$"",""""),
   required,VALUE(REGEXEXTRACT(id,""@(\d+)$"")),
   current,XLOOKUP(
    base,
    tblPlayer[PlayerStateID],
    tblPlayer[Value],
    0
   ),
   current&gt;=required
 "&amp;" ),
  IF(
   T270=""AUTO"",
   L270=0,
   COUNTIFS(
    tblChecklist[TargetID],id,
    tblChecklist[PlayerCompleted],TRUE
   )&gt;0
  )
 )
)"),FALSE)</f>
        <v>0</v>
      </c>
      <c r="E270" s="26" t="str">
        <f t="array" ref="E270">_xlfn.XLOOKUP(
 A270,
 tblTargets[TargetID],
 tblTargets[TargetType],
 ""
)</f>
        <v>QUEST</v>
      </c>
      <c r="F270" s="26" t="str">
        <f t="array" ref="F270">_xlfn.XLOOKUP(
 A270,
 tblTargets[TargetID],
 tblTargets[StateType],
 ""
)</f>
        <v/>
      </c>
      <c r="G270" s="26">
        <f>LET(
 id,A270,
 depCount,COUNTIF(tblDependencies[TargetID],id),
 objCount,COUNTIF(tblQuestObjectives[QuestTargetID],id),
 depCount+objCount
)</f>
        <v>2</v>
      </c>
      <c r="H270" s="26">
        <f t="shared" si="2"/>
        <v>2</v>
      </c>
      <c r="I270" s="26">
        <f>IFERROR(__xludf.DUMMYFUNCTION("LET(
 id,A270,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0" s="26">
        <f t="shared" si="3"/>
        <v>0</v>
      </c>
      <c r="K270" s="26" t="b">
        <f t="shared" si="4"/>
        <v>0</v>
      </c>
      <c r="L270" s="26">
        <f t="shared" si="5"/>
        <v>2</v>
      </c>
      <c r="M270" s="26" t="str">
        <f>IFERROR(__xludf.DUMMYFUNCTION("LET(
 id,A270,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L270=0,
  """",
  IFERROR(INDEX(incomplete,1),"""")"&amp;"
 )
)"),"state.meet_old_man@4c")</f>
        <v>state.meet_old_man@4c</v>
      </c>
      <c r="N270" s="26" t="str">
        <f t="array" ref="N270">IF(
 M270="",
 "",
 _xlfn.XLOOKUP(
  M270,
  tblTargets[TargetID],
  tblTargets[DisplayName],
  M270
 )
)</f>
        <v>Meet Old Man@4C</v>
      </c>
      <c r="O270" s="26" t="str">
        <f>IFERROR(__xludf.DUMMYFUNCTION("SWITCH(
 E270,
 ""BUILDING"",XLOOKUP(A270,tblBuildings[BuildingID],tblBuildings[costtext],""""),
 ""TECH"",XLOOKUP(A270,tblTechnologies[TechnologyID],tblTechnologies[costtext],""""),
 ""QUEST"",XLOOKUP(
  REGEXREPLACE(A270,""\.[^.]+$"",""""),
  tblQuests["&amp;"QuestID],
  tblQuests[Costtext],
  """"
 ),
 ""CITADEL"",XLOOKUP(A270,tblCitadel[CitadelID],tblCitadel[costtext],""""),
 ""COLLECTION"",XLOOKUP(A270,tblCollections[CollectionID],tblCollections[costtext],""""),
 ""CRAFTIFACT"",XLOOKUP(A270,tblCraftifacts[C"&amp;"raftifactID],tblCraftifacts[costtext],""""),
 """"
)"),"")</f>
        <v/>
      </c>
      <c r="P270" s="26" t="str">
        <f t="shared" si="6"/>
        <v>BLOCKED</v>
      </c>
      <c r="Q270" s="26" t="str">
        <f t="shared" si="7"/>
        <v>BLOCKED</v>
      </c>
      <c r="R270" s="26" t="str">
        <f t="array" ref="R270">IFERROR(
 _xlfn.XLOOKUP(
  A270,
  tblChecklist[TargetID],
  tblChecklist[PlayerSort],
  ""
 ),
 ""
)</f>
        <v/>
      </c>
      <c r="S270" s="26" t="str">
        <f>IFERROR(__xludf.DUMMYFUNCTION("LET(
 id,A270,
 successorIDs,
  IFERROR(
   UNIQUE(
    FILTER(
     {
      Dependencies!$A$2:$A$1000;
      QuestObjectives!$A$2:$A$1000
     },
     {
      Dependencies!$B$2:$B$1000;
      QuestObjectives!$E$2:$E$1000
     }=id
    )
   ),
   """"
  )"&amp;",
 names,
  MAP(
   successorIDs,
   LAMBDA(s,
    IF(
     s="""",
     """",
     XLOOKUP(
      s,
      $A$2:$A$1000,
      $B$2:$B$1000,
      s
     )
    )
   )
  ),
 IF(
  successorIDs="""",
  """",
  TEXTJOIN("", "",TRUE,names)
 )
)"),"Dragon teeth Finished, Defeat Bone Dragon in 4C")</f>
        <v>Dragon teeth Finished, Defeat Bone Dragon in 4C</v>
      </c>
      <c r="T270" s="26" t="str">
        <f t="array" ref="T270">_xlfn.XLOOKUP(
 A270,
 tblTargets[TargetID],
 tblTargets[CompletionMethod],
 ""
)</f>
        <v>PLAYER</v>
      </c>
      <c r="U270" s="84" t="b">
        <f>COUNTIF(tblCost[TargetID],A270)&gt;0</f>
        <v>0</v>
      </c>
      <c r="V270" s="85" t="str">
        <f t="array" ref="V270">IF(
 U270=FALSE,
 "",
 _xlfn.XLOOKUP(
  A270,
  tblCost[TargetID],
  tblCost[FundingPercent],
  ""
 )
)</f>
        <v/>
      </c>
      <c r="W270" s="26" t="str">
        <f t="array" ref="W270">IF(
 U270=FALSE,
 "",
 _xlfn.XLOOKUP(
  A270,
  tblCost[TargetID],
  tblCost[RemainingRequirements],
  ""
 )
)</f>
        <v/>
      </c>
      <c r="X270" s="45" t="str">
        <f t="array" ref="X270">IF(
 U270=FALSE,
 "N/A",
 _xlfn.XLOOKUP(
  A271,
  tblCost[TargetID],
  tblCost[TargetFunded],
  FALSE
 )
)</f>
        <v>N/A</v>
      </c>
      <c r="Y270" s="26" t="str">
        <f>IFERROR(__xludf.DUMMYFUNCTION("IFERROR(
 TEXTJOIN(
  "", "",
  TRUE,
  FILTER(
   'cost checklist'!$E$2:$E1000&amp;"": ""&amp;'cost checklist'!$G$2:$G1000,
   'cost checklist'!$B$2:$B1000=A270,
   'cost checklist'!$J$2:$J1000=FALSE
  )
 ),
 """"
)"),"")</f>
        <v/>
      </c>
      <c r="Z270" s="26" t="b">
        <f>IFERROR(__xludf.DUMMYFUNCTION("IF(
 AND(
  E270=""QUEST"",
  RIGHT(A270,9)="".accepted"",
  D270=TRUE
 ),
 XLOOKUP(
  REGEXREPLACE(A270,""\.accepted$"","""")&amp;"".finished"",
  $A$2:$A1000,
  $D$2:$D1000,
  TRUE
 )=FALSE,
 FALSE
)"),FALSE)</f>
        <v>0</v>
      </c>
      <c r="AA270" s="26" t="str">
        <f>IFERROR(__xludf.DUMMYFUNCTION("LET(
 id,A270,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71" ht="14.25" customHeight="1">
      <c r="A271" s="26" t="s">
        <v>991</v>
      </c>
      <c r="B271" s="26" t="str">
        <f t="array" ref="B271">_xlfn.XLOOKUP(
 A271,
 tblTargets[TargetID],
 tblTargets[DisplayName],
 ""
)</f>
        <v>Dragon teeth Finished</v>
      </c>
      <c r="C271" s="26" t="str">
        <f t="shared" si="1"/>
        <v>BLOCKED</v>
      </c>
      <c r="D271" s="26" t="b">
        <f>IFERROR(__xludf.DUMMYFUNCTION("LET(
 id,A271,
 IF(
  F271=""CHARACTER"",
  LET(
   base,REGEXREPLACE(id,""@\d+$"",""""),
   required,VALUE(REGEXEXTRACT(id,""@(\d+)$"")),
   current,XLOOKUP(
    base,
    tblPlayer[PlayerStateID],
    tblPlayer[Value],
    0
   ),
   current&gt;=required
 "&amp;" ),
  IF(
   T271=""AUTO"",
   L271=0,
   COUNTIFS(
    tblChecklist[TargetID],id,
    tblChecklist[PlayerCompleted],TRUE
   )&gt;0
  )
 )
)"),FALSE)</f>
        <v>0</v>
      </c>
      <c r="E271" s="26" t="str">
        <f t="array" ref="E271">_xlfn.XLOOKUP(
 A271,
 tblTargets[TargetID],
 tblTargets[TargetType],
 ""
)</f>
        <v>QUEST</v>
      </c>
      <c r="F271" s="26" t="str">
        <f t="array" ref="F271">_xlfn.XLOOKUP(
 A271,
 tblTargets[TargetID],
 tblTargets[StateType],
 ""
)</f>
        <v/>
      </c>
      <c r="G271" s="26">
        <f>LET(
 id,A271,
 depCount,COUNTIF(tblDependencies[TargetID],id),
 objCount,COUNTIF(tblQuestObjectives[QuestTargetID],id),
 depCount+objCount
)</f>
        <v>4</v>
      </c>
      <c r="H271" s="26">
        <f t="shared" si="2"/>
        <v>4</v>
      </c>
      <c r="I271" s="26">
        <f>IFERROR(__xludf.DUMMYFUNCTION("LET(
 id,A271,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1" s="26">
        <f t="shared" si="3"/>
        <v>0</v>
      </c>
      <c r="K271" s="26" t="b">
        <f t="shared" si="4"/>
        <v>0</v>
      </c>
      <c r="L271" s="26">
        <f t="shared" si="5"/>
        <v>4</v>
      </c>
      <c r="M271" s="26" t="str">
        <f>IFERROR(__xludf.DUMMYFUNCTION("LET(
 id,A271,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L271=0,
  """",
  IFERROR(INDEX(incomplete,1),"""")"&amp;"
 )
)"),"quest.dragon_teeth.accepted")</f>
        <v>quest.dragon_teeth.accepted</v>
      </c>
      <c r="N271" s="26" t="str">
        <f t="array" ref="N271">IF(
 M271="",
 "",
 _xlfn.XLOOKUP(
  M271,
  tblTargets[TargetID],
  tblTargets[DisplayName],
  M271
 )
)</f>
        <v>Dragon teeth Accepted</v>
      </c>
      <c r="O271" s="26" t="str">
        <f>IFERROR(__xludf.DUMMYFUNCTION("SWITCH(
 E271,
 ""BUILDING"",XLOOKUP(A271,tblBuildings[BuildingID],tblBuildings[costtext],""""),
 ""TECH"",XLOOKUP(A271,tblTechnologies[TechnologyID],tblTechnologies[costtext],""""),
 ""QUEST"",XLOOKUP(
  REGEXREPLACE(A271,""\.[^.]+$"",""""),
  tblQuests["&amp;"QuestID],
  tblQuests[Costtext],
  """"
 ),
 ""CITADEL"",XLOOKUP(A271,tblCitadel[CitadelID],tblCitadel[costtext],""""),
 ""COLLECTION"",XLOOKUP(A271,tblCollections[CollectionID],tblCollections[costtext],""""),
 ""CRAFTIFACT"",XLOOKUP(A271,tblCraftifacts[C"&amp;"raftifactID],tblCraftifacts[costtext],""""),
 """"
)"),"")</f>
        <v/>
      </c>
      <c r="P271" s="26" t="str">
        <f t="shared" si="6"/>
        <v>BLOCKED</v>
      </c>
      <c r="Q271" s="26" t="str">
        <f t="shared" si="7"/>
        <v>BLOCKED</v>
      </c>
      <c r="R271" s="26" t="str">
        <f t="array" ref="R271">IFERROR(
 _xlfn.XLOOKUP(
  A271,
  tblChecklist[TargetID],
  tblChecklist[PlayerSort],
  ""
 ),
 ""
)</f>
        <v/>
      </c>
      <c r="S271" s="26" t="str">
        <f>IFERROR(__xludf.DUMMYFUNCTION("LET(
 id,A271,
 successorIDs,
  IFERROR(
   UNIQUE(
    FILTER(
     {
      Dependencies!$A$2:$A$1000;
      QuestObjectives!$A$2:$A$1000
     },
     {
      Dependencies!$B$2:$B$1000;
      QuestObjectives!$E$2:$E$1000
     }=id
    )
   ),
   """"
  )"&amp;",
 names,
  MAP(
   successorIDs,
   LAMBDA(s,
    IF(
     s="""",
     """",
     XLOOKUP(
      s,
      $A$2:$A$1000,
      $B$2:$B$1000,
      s
     )
    )
   )
  ),
 IF(
  successorIDs="""",
  """",
  TEXTJOIN("", "",TRUE,names)
 )
)"),"The Ring of the Dark Lady Accepted, Undead Revenge Accepted, Complete Dungeon 5C, Meet Dark Lady@4A, Visit Dungeon@5A ")</f>
        <v>The Ring of the Dark Lady Accepted, Undead Revenge Accepted, Complete Dungeon 5C, Meet Dark Lady@4A, Visit Dungeon@5A </v>
      </c>
      <c r="T271" s="26" t="str">
        <f t="array" ref="T271">_xlfn.XLOOKUP(
 A271,
 tblTargets[TargetID],
 tblTargets[CompletionMethod],
 ""
)</f>
        <v>PLAYER</v>
      </c>
      <c r="U271" s="84" t="b">
        <f>COUNTIF(tblCost[TargetID],A271)&gt;0</f>
        <v>0</v>
      </c>
      <c r="V271" s="85" t="str">
        <f t="array" ref="V271">IF(
 U271=FALSE,
 "",
 _xlfn.XLOOKUP(
  A271,
  tblCost[TargetID],
  tblCost[FundingPercent],
  ""
 )
)</f>
        <v/>
      </c>
      <c r="W271" s="26" t="str">
        <f t="array" ref="W271">IF(
 U271=FALSE,
 "",
 _xlfn.XLOOKUP(
  A271,
  tblCost[TargetID],
  tblCost[RemainingRequirements],
  ""
 )
)</f>
        <v/>
      </c>
      <c r="X271" s="45" t="str">
        <f t="array" ref="X271">IF(
 U271=FALSE,
 "N/A",
 _xlfn.XLOOKUP(
  A272,
  tblCost[TargetID],
  tblCost[TargetFunded],
  FALSE
 )
)</f>
        <v>N/A</v>
      </c>
      <c r="Y271" s="26" t="str">
        <f>IFERROR(__xludf.DUMMYFUNCTION("IFERROR(
 TEXTJOIN(
  "", "",
  TRUE,
  FILTER(
   'cost checklist'!$E$2:$E1000&amp;"": ""&amp;'cost checklist'!$G$2:$G1000,
   'cost checklist'!$B$2:$B1000=A271,
   'cost checklist'!$J$2:$J1000=FALSE
  )
 ),
 """"
)"),"")</f>
        <v/>
      </c>
      <c r="Z271" s="26" t="b">
        <f>IFERROR(__xludf.DUMMYFUNCTION("IF(
 AND(
  E271=""QUEST"",
  RIGHT(A271,9)="".accepted"",
  D271=TRUE
 ),
 XLOOKUP(
  REGEXREPLACE(A271,""\.accepted$"","""")&amp;"".finished"",
  $A$2:$A1000,
  $D$2:$D1000,
  TRUE
 )=FALSE,
 FALSE
)"),FALSE)</f>
        <v>0</v>
      </c>
      <c r="AA271" s="26" t="str">
        <f>IFERROR(__xludf.DUMMYFUNCTION("LET(
 id,A271,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Ring of the Dark Lady, Undead Revenge")</f>
        <v>The Ring of the Dark Lady, Undead Revenge</v>
      </c>
    </row>
    <row r="272" ht="14.25" customHeight="1">
      <c r="A272" s="26" t="s">
        <v>995</v>
      </c>
      <c r="B272" s="26" t="str">
        <f t="array" ref="B272">_xlfn.XLOOKUP(
 A272,
 tblTargets[TargetID],
 tblTargets[DisplayName],
 ""
)</f>
        <v>Festival Accepted</v>
      </c>
      <c r="C272" s="26" t="str">
        <f t="shared" si="1"/>
        <v>BLOCKED</v>
      </c>
      <c r="D272" s="26" t="b">
        <f>IFERROR(__xludf.DUMMYFUNCTION("LET(
 id,A272,
 IF(
  F272=""CHARACTER"",
  LET(
   base,REGEXREPLACE(id,""@\d+$"",""""),
   required,VALUE(REGEXEXTRACT(id,""@(\d+)$"")),
   current,XLOOKUP(
    base,
    tblPlayer[PlayerStateID],
    tblPlayer[Value],
    0
   ),
   current&gt;=required
 "&amp;" ),
  IF(
   T272=""AUTO"",
   L272=0,
   COUNTIFS(
    tblChecklist[TargetID],id,
    tblChecklist[PlayerCompleted],TRUE
   )&gt;0
  )
 )
)"),FALSE)</f>
        <v>0</v>
      </c>
      <c r="E272" s="26" t="str">
        <f t="array" ref="E272">_xlfn.XLOOKUP(
 A272,
 tblTargets[TargetID],
 tblTargets[TargetType],
 ""
)</f>
        <v>QUEST</v>
      </c>
      <c r="F272" s="26" t="str">
        <f t="array" ref="F272">_xlfn.XLOOKUP(
 A272,
 tblTargets[TargetID],
 tblTargets[StateType],
 ""
)</f>
        <v/>
      </c>
      <c r="G272" s="26">
        <f>LET(
 id,A272,
 depCount,COUNTIF(tblDependencies[TargetID],id),
 objCount,COUNTIF(tblQuestObjectives[QuestTargetID],id),
 depCount+objCount
)</f>
        <v>1</v>
      </c>
      <c r="H272" s="26">
        <f t="shared" si="2"/>
        <v>1</v>
      </c>
      <c r="I272" s="26">
        <f>IFERROR(__xludf.DUMMYFUNCTION("LET(
 id,A272,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2" s="26">
        <f t="shared" si="3"/>
        <v>0</v>
      </c>
      <c r="K272" s="26" t="b">
        <f t="shared" si="4"/>
        <v>0</v>
      </c>
      <c r="L272" s="26">
        <f t="shared" si="5"/>
        <v>1</v>
      </c>
      <c r="M272" s="26" t="str">
        <f>IFERROR(__xludf.DUMMYFUNCTION("LET(
 id,A272,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L272=0,
  """",
  IFERROR(INDEX(incomplete,1),"""")"&amp;"
 )
)"),"building.bridge@1")</f>
        <v>building.bridge@1</v>
      </c>
      <c r="N272" s="26" t="str">
        <f t="array" ref="N272">IF(
 M272="",
 "",
 _xlfn.XLOOKUP(
  M272,
  tblTargets[TargetID],
  tblTargets[DisplayName],
  M272
 )
)</f>
        <v>Bridge Lv 1</v>
      </c>
      <c r="O272" s="26" t="str">
        <f>IFERROR(__xludf.DUMMYFUNCTION("SWITCH(
 E272,
 ""BUILDING"",XLOOKUP(A272,tblBuildings[BuildingID],tblBuildings[costtext],""""),
 ""TECH"",XLOOKUP(A272,tblTechnologies[TechnologyID],tblTechnologies[costtext],""""),
 ""QUEST"",XLOOKUP(
  REGEXREPLACE(A272,""\.[^.]+$"",""""),
  tblQuests["&amp;"QuestID],
  tblQuests[Costtext],
  """"
 ),
 ""CITADEL"",XLOOKUP(A272,tblCitadel[CitadelID],tblCitadel[costtext],""""),
 ""COLLECTION"",XLOOKUP(A272,tblCollections[CollectionID],tblCollections[costtext],""""),
 ""CRAFTIFACT"",XLOOKUP(A272,tblCraftifacts[C"&amp;"raftifactID],tblCraftifacts[costtext],""""),
 """"
)"),"kimono:5,firework:10,sushi:10,ramen:5,cake:5,honey:5")</f>
        <v>kimono:5,firework:10,sushi:10,ramen:5,cake:5,honey:5</v>
      </c>
      <c r="P272" s="26" t="str">
        <f t="shared" si="6"/>
        <v>BLOCKED</v>
      </c>
      <c r="Q272" s="26" t="str">
        <f t="shared" si="7"/>
        <v>BLOCKED</v>
      </c>
      <c r="R272" s="26" t="str">
        <f t="array" ref="R272">IFERROR(
 _xlfn.XLOOKUP(
  A272,
  tblChecklist[TargetID],
  tblChecklist[PlayerSort],
  ""
 ),
 ""
)</f>
        <v/>
      </c>
      <c r="S272" s="26" t="str">
        <f>IFERROR(__xludf.DUMMYFUNCTION("LET(
 id,A272,
 successorIDs,
  IFERROR(
   UNIQUE(
    FILTER(
     {
      Dependencies!$A$2:$A$1000;
      QuestObjectives!$A$2:$A$1000
     },
     {
      Dependencies!$B$2:$B$1000;
      QuestObjectives!$E$2:$E$1000
     }=id
    )
   ),
   """"
  )"&amp;",
 names,
  MAP(
   successorIDs,
   LAMBDA(s,
    IF(
     s="""",
     """",
     XLOOKUP(
      s,
      $A$2:$A$1000,
      $B$2:$B$1000,
      s
     )
    )
   )
  ),
 IF(
  successorIDs="""",
  """",
  TEXTJOIN("", "",TRUE,names)
 )
)"),"Festival Finished")</f>
        <v>Festival Finished</v>
      </c>
      <c r="T272" s="26" t="str">
        <f t="array" ref="T272">_xlfn.XLOOKUP(
 A272,
 tblTargets[TargetID],
 tblTargets[CompletionMethod],
 ""
)</f>
        <v>PLAYER</v>
      </c>
      <c r="U272" s="84" t="b">
        <f>COUNTIF(tblCost[TargetID],A272)&gt;0</f>
        <v>0</v>
      </c>
      <c r="V272" s="85" t="str">
        <f t="array" ref="V272">IF(
 U272=FALSE,
 "",
 _xlfn.XLOOKUP(
  A272,
  tblCost[TargetID],
  tblCost[FundingPercent],
  ""
 )
)</f>
        <v/>
      </c>
      <c r="W272" s="26" t="str">
        <f t="array" ref="W272">IF(
 U272=FALSE,
 "",
 _xlfn.XLOOKUP(
  A272,
  tblCost[TargetID],
  tblCost[RemainingRequirements],
  ""
 )
)</f>
        <v/>
      </c>
      <c r="X272" s="45" t="str">
        <f t="array" ref="X272">IF(
 U272=FALSE,
 "N/A",
 _xlfn.XLOOKUP(
  A273,
  tblCost[TargetID],
  tblCost[TargetFunded],
  FALSE
 )
)</f>
        <v>N/A</v>
      </c>
      <c r="Y272" s="26" t="str">
        <f>IFERROR(__xludf.DUMMYFUNCTION("IFERROR(
 TEXTJOIN(
  "", "",
  TRUE,
  FILTER(
   'cost checklist'!$E$2:$E1000&amp;"": ""&amp;'cost checklist'!$G$2:$G1000,
   'cost checklist'!$B$2:$B1000=A272,
   'cost checklist'!$J$2:$J1000=FALSE
  )
 ),
 """"
)"),"")</f>
        <v/>
      </c>
      <c r="Z272" s="26" t="b">
        <f>IFERROR(__xludf.DUMMYFUNCTION("IF(
 AND(
  E272=""QUEST"",
  RIGHT(A272,9)="".accepted"",
  D272=TRUE
 ),
 XLOOKUP(
  REGEXREPLACE(A272,""\.accepted$"","""")&amp;"".finished"",
  $A$2:$A1000,
  $D$2:$D1000,
  TRUE
 )=FALSE,
 FALSE
)"),FALSE)</f>
        <v>0</v>
      </c>
      <c r="AA272" s="26" t="str">
        <f>IFERROR(__xludf.DUMMYFUNCTION("LET(
 id,A272,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73" ht="14.25" customHeight="1">
      <c r="A273" s="26" t="s">
        <v>999</v>
      </c>
      <c r="B273" s="26" t="str">
        <f t="array" ref="B273">_xlfn.XLOOKUP(
 A273,
 tblTargets[TargetID],
 tblTargets[DisplayName],
 ""
)</f>
        <v>Festival Finished</v>
      </c>
      <c r="C273" s="26" t="str">
        <f t="shared" si="1"/>
        <v>BLOCKED</v>
      </c>
      <c r="D273" s="26" t="b">
        <f>IFERROR(__xludf.DUMMYFUNCTION("LET(
 id,A273,
 IF(
  F273=""CHARACTER"",
  LET(
   base,REGEXREPLACE(id,""@\d+$"",""""),
   required,VALUE(REGEXEXTRACT(id,""@(\d+)$"")),
   current,XLOOKUP(
    base,
    tblPlayer[PlayerStateID],
    tblPlayer[Value],
    0
   ),
   current&gt;=required
 "&amp;" ),
  IF(
   T273=""AUTO"",
   L273=0,
   COUNTIFS(
    tblChecklist[TargetID],id,
    tblChecklist[PlayerCompleted],TRUE
   )&gt;0
  )
 )
)"),FALSE)</f>
        <v>0</v>
      </c>
      <c r="E273" s="26" t="str">
        <f t="array" ref="E273">_xlfn.XLOOKUP(
 A273,
 tblTargets[TargetID],
 tblTargets[TargetType],
 ""
)</f>
        <v>QUEST</v>
      </c>
      <c r="F273" s="26" t="str">
        <f t="array" ref="F273">_xlfn.XLOOKUP(
 A273,
 tblTargets[TargetID],
 tblTargets[StateType],
 ""
)</f>
        <v/>
      </c>
      <c r="G273" s="26">
        <f>LET(
 id,A273,
 depCount,COUNTIF(tblDependencies[TargetID],id),
 objCount,COUNTIF(tblQuestObjectives[QuestTargetID],id),
 depCount+objCount
)</f>
        <v>1</v>
      </c>
      <c r="H273" s="26">
        <f t="shared" si="2"/>
        <v>1</v>
      </c>
      <c r="I273" s="26">
        <f>IFERROR(__xludf.DUMMYFUNCTION("LET(
 id,A273,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3" s="26">
        <f t="shared" si="3"/>
        <v>0</v>
      </c>
      <c r="K273" s="26" t="b">
        <f t="shared" si="4"/>
        <v>0</v>
      </c>
      <c r="L273" s="26">
        <f t="shared" si="5"/>
        <v>1</v>
      </c>
      <c r="M273" s="26" t="str">
        <f>IFERROR(__xludf.DUMMYFUNCTION("LET(
 id,A273,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L273=0,
  """",
  IFERROR(INDEX(incomplete,1),"""")"&amp;"
 )
)"),"quest.festival.accepted")</f>
        <v>quest.festival.accepted</v>
      </c>
      <c r="N273" s="26" t="str">
        <f t="array" ref="N273">IF(
 M273="",
 "",
 _xlfn.XLOOKUP(
  M273,
  tblTargets[TargetID],
  tblTargets[DisplayName],
  M273
 )
)</f>
        <v>Festival Accepted</v>
      </c>
      <c r="O273" s="26" t="str">
        <f>IFERROR(__xludf.DUMMYFUNCTION("SWITCH(
 E273,
 ""BUILDING"",XLOOKUP(A273,tblBuildings[BuildingID],tblBuildings[costtext],""""),
 ""TECH"",XLOOKUP(A273,tblTechnologies[TechnologyID],tblTechnologies[costtext],""""),
 ""QUEST"",XLOOKUP(
  REGEXREPLACE(A273,""\.[^.]+$"",""""),
  tblQuests["&amp;"QuestID],
  tblQuests[Costtext],
  """"
 ),
 ""CITADEL"",XLOOKUP(A273,tblCitadel[CitadelID],tblCitadel[costtext],""""),
 ""COLLECTION"",XLOOKUP(A273,tblCollections[CollectionID],tblCollections[costtext],""""),
 ""CRAFTIFACT"",XLOOKUP(A273,tblCraftifacts[C"&amp;"raftifactID],tblCraftifacts[costtext],""""),
 """"
)"),"kimono:5,firework:10,sushi:10,ramen:5,cake:5,honey:5")</f>
        <v>kimono:5,firework:10,sushi:10,ramen:5,cake:5,honey:5</v>
      </c>
      <c r="P273" s="26" t="str">
        <f t="shared" si="6"/>
        <v>BLOCKED</v>
      </c>
      <c r="Q273" s="26" t="str">
        <f t="shared" si="7"/>
        <v>BLOCKED</v>
      </c>
      <c r="R273" s="26" t="str">
        <f t="array" ref="R273">IFERROR(
 _xlfn.XLOOKUP(
  A273,
  tblChecklist[TargetID],
  tblChecklist[PlayerSort],
  ""
 ),
 ""
)</f>
        <v/>
      </c>
      <c r="S273" s="26" t="str">
        <f>IFERROR(__xludf.DUMMYFUNCTION("LET(
 id,A273,
 successorIDs,
  IFERROR(
   UNIQUE(
    FILTER(
     {
      Dependencies!$A$2:$A$1000;
      QuestObjectives!$A$2:$A$1000
     },
     {
      Dependencies!$B$2:$B$1000;
      QuestObjectives!$E$2:$E$1000
     }=id
    )
   ),
   """"
  )"&amp;",
 names,
  MAP(
   successorIDs,
   LAMBDA(s,
    IF(
     s="""",
     """",
     XLOOKUP(
      s,
      $A$2:$A$1000,
      $B$2:$B$1000,
      s
     )
    )
   )
  ),
 IF(
  successorIDs="""",
  """",
  TEXTJOIN("", "",TRUE,names)
 )
)"),"Festival Returns Accepted")</f>
        <v>Festival Returns Accepted</v>
      </c>
      <c r="T273" s="26" t="str">
        <f t="array" ref="T273">_xlfn.XLOOKUP(
 A273,
 tblTargets[TargetID],
 tblTargets[CompletionMethod],
 ""
)</f>
        <v>PLAYER</v>
      </c>
      <c r="U273" s="84" t="b">
        <f>COUNTIF(tblCost[TargetID],A273)&gt;0</f>
        <v>1</v>
      </c>
      <c r="V273" s="85">
        <f t="array" ref="V273">IF(
 U273=FALSE,
 "",
 _xlfn.XLOOKUP(
  A273,
  tblCost[TargetID],
  tblCost[FundingPercent],
  ""
 )
)</f>
        <v>0</v>
      </c>
      <c r="W273" s="26">
        <f t="array" ref="W273">IF(
 U273=FALSE,
 "",
 _xlfn.XLOOKUP(
  A273,
  tblCost[TargetID],
  tblCost[RemainingRequirements],
  ""
 )
)</f>
        <v>6</v>
      </c>
      <c r="X273" s="45" t="b">
        <f t="array" ref="X273">IF(
 U273=FALSE,
 "N/A",
 _xlfn.XLOOKUP(
  A274,
  tblCost[TargetID],
  tblCost[TargetFunded],
  FALSE
 )
)</f>
        <v>0</v>
      </c>
      <c r="Y273" s="26" t="str">
        <f>IFERROR(__xludf.DUMMYFUNCTION("IFERROR(
 TEXTJOIN(
  "", "",
  TRUE,
  FILTER(
   'cost checklist'!$E$2:$E1000&amp;"": ""&amp;'cost checklist'!$G$2:$G1000,
   'cost checklist'!$B$2:$B1000=A273,
   'cost checklist'!$J$2:$J1000=FALSE
  )
 ),
 """"
)"),"cake: 5, firework: 10, honey: 5, kimono: 5, ramen: 5, sushi: 10")</f>
        <v>cake: 5, firework: 10, honey: 5, kimono: 5, ramen: 5, sushi: 10</v>
      </c>
      <c r="Z273" s="26" t="b">
        <f>IFERROR(__xludf.DUMMYFUNCTION("IF(
 AND(
  E273=""QUEST"",
  RIGHT(A273,9)="".accepted"",
  D273=TRUE
 ),
 XLOOKUP(
  REGEXREPLACE(A273,""\.accepted$"","""")&amp;"".finished"",
  $A$2:$A1000,
  $D$2:$D1000,
  TRUE
 )=FALSE,
 FALSE
)"),FALSE)</f>
        <v>0</v>
      </c>
      <c r="AA273" s="26" t="str">
        <f>IFERROR(__xludf.DUMMYFUNCTION("LET(
 id,A273,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)"),"Festival Returns")</f>
        <v>Festival Returns</v>
      </c>
    </row>
    <row r="274" ht="14.25" customHeight="1">
      <c r="A274" s="26" t="s">
        <v>1003</v>
      </c>
      <c r="B274" s="26" t="str">
        <f t="array" ref="B274">_xlfn.XLOOKUP(
 A274,
 tblTargets[TargetID],
 tblTargets[DisplayName],
 ""
)</f>
        <v>Festival of Beans Accepted</v>
      </c>
      <c r="C274" s="26" t="str">
        <f t="shared" si="1"/>
        <v>BLOCKED</v>
      </c>
      <c r="D274" s="26" t="b">
        <f>IFERROR(__xludf.DUMMYFUNCTION("LET(
 id,A274,
 IF(
  F274=""CHARACTER"",
  LET(
   base,REGEXREPLACE(id,""@\d+$"",""""),
   required,VALUE(REGEXEXTRACT(id,""@(\d+)$"")),
   current,XLOOKUP(
    base,
    tblPlayer[PlayerStateID],
    tblPlayer[Value],
    0
   ),
   current&gt;=required
 "&amp;" ),
  IF(
   T274=""AUTO"",
   L274=0,
   COUNTIFS(
    tblChecklist[TargetID],id,
    tblChecklist[PlayerCompleted],TRUE
   )&gt;0
  )
 )
)"),FALSE)</f>
        <v>0</v>
      </c>
      <c r="E274" s="26" t="str">
        <f t="array" ref="E274">_xlfn.XLOOKUP(
 A274,
 tblTargets[TargetID],
 tblTargets[TargetType],
 ""
)</f>
        <v>QUEST</v>
      </c>
      <c r="F274" s="26" t="str">
        <f t="array" ref="F274">_xlfn.XLOOKUP(
 A274,
 tblTargets[TargetID],
 tblTargets[StateType],
 ""
)</f>
        <v/>
      </c>
      <c r="G274" s="26">
        <f>LET(
 id,A274,
 depCount,COUNTIF(tblDependencies[TargetID],id),
 objCount,COUNTIF(tblQuestObjectives[QuestTargetID],id),
 depCount+objCount
)</f>
        <v>2</v>
      </c>
      <c r="H274" s="26">
        <f t="shared" si="2"/>
        <v>2</v>
      </c>
      <c r="I274" s="26">
        <f>IFERROR(__xludf.DUMMYFUNCTION("LET(
 id,A274,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4" s="26">
        <f t="shared" si="3"/>
        <v>0</v>
      </c>
      <c r="K274" s="26" t="b">
        <f t="shared" si="4"/>
        <v>0</v>
      </c>
      <c r="L274" s="26">
        <f t="shared" si="5"/>
        <v>2</v>
      </c>
      <c r="M274" s="26" t="str">
        <f>IFERROR(__xludf.DUMMYFUNCTION("LET(
 id,A274,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L274=0,
  """",
  IFERROR(INDEX(incomplete,1),"""")"&amp;"
 )
)"),"building.fermentory@6")</f>
        <v>building.fermentory@6</v>
      </c>
      <c r="N274" s="26" t="str">
        <f t="array" ref="N274">IF(
 M274="",
 "",
 _xlfn.XLOOKUP(
  M274,
  tblTargets[TargetID],
  tblTargets[DisplayName],
  M274
 )
)</f>
        <v>Fermentory Lv 6</v>
      </c>
      <c r="O274" s="26" t="str">
        <f>IFERROR(__xludf.DUMMYFUNCTION("SWITCH(
 E274,
 ""BUILDING"",XLOOKUP(A274,tblBuildings[BuildingID],tblBuildings[costtext],""""),
 ""TECH"",XLOOKUP(A274,tblTechnologies[TechnologyID],tblTechnologies[costtext],""""),
 ""QUEST"",XLOOKUP(
  REGEXREPLACE(A274,""\.[^.]+$"",""""),
  tblQuests["&amp;"QuestID],
  tblQuests[Costtext],
  """"
 ),
 ""CITADEL"",XLOOKUP(A274,tblCitadel[CitadelID],tblCitadel[costtext],""""),
 ""COLLECTION"",XLOOKUP(A274,tblCollections[CollectionID],tblCollections[costtext],""""),
 ""CRAFTIFACT"",XLOOKUP(A274,tblCraftifacts[C"&amp;"raftifactID],tblCraftifacts[costtext],""""),
 """"
)"),"soybean:100,kimono:10,firework:10,natto:10,tofu:10,inarizushi:10,yuba:10,soy:10,misosoup:10,sushi:10,amazake:20")</f>
        <v>soybean:100,kimono:10,firework:10,natto:10,tofu:10,inarizushi:10,yuba:10,soy:10,misosoup:10,sushi:10,amazake:20</v>
      </c>
      <c r="P274" s="26" t="str">
        <f t="shared" si="6"/>
        <v>BLOCKED</v>
      </c>
      <c r="Q274" s="26" t="str">
        <f t="shared" si="7"/>
        <v>BLOCKED</v>
      </c>
      <c r="R274" s="26" t="str">
        <f t="array" ref="R274">IFERROR(
 _xlfn.XLOOKUP(
  A274,
  tblChecklist[TargetID],
  tblChecklist[PlayerSort],
  ""
 ),
 ""
)</f>
        <v/>
      </c>
      <c r="S274" s="26" t="str">
        <f>IFERROR(__xludf.DUMMYFUNCTION("LET(
 id,A274,
 successorIDs,
  IFERROR(
   UNIQUE(
    FILTER(
     {
      Dependencies!$A$2:$A$1000;
      QuestObjectives!$A$2:$A$1000
     },
     {
      Dependencies!$B$2:$B$1000;
      QuestObjectives!$E$2:$E$1000
     }=id
    )
   ),
   """"
  )"&amp;",
 names,
  MAP(
   successorIDs,
   LAMBDA(s,
    IF(
     s="""",
     """",
     XLOOKUP(
      s,
      $A$2:$A$1000,
      $B$2:$B$1000,
      s
     )
    )
   )
  ),
 IF(
  successorIDs="""",
  """",
  TEXTJOIN("", "",TRUE,names)
 )
)"),"Festival of Beans Finished")</f>
        <v>Festival of Beans Finished</v>
      </c>
      <c r="T274" s="26" t="str">
        <f t="array" ref="T274">_xlfn.XLOOKUP(
 A274,
 tblTargets[TargetID],
 tblTargets[CompletionMethod],
 ""
)</f>
        <v>PLAYER</v>
      </c>
      <c r="U274" s="84" t="b">
        <f>COUNTIF(tblCost[TargetID],A274)&gt;0</f>
        <v>0</v>
      </c>
      <c r="V274" s="85" t="str">
        <f t="array" ref="V274">IF(
 U274=FALSE,
 "",
 _xlfn.XLOOKUP(
  A274,
  tblCost[TargetID],
  tblCost[FundingPercent],
  ""
 )
)</f>
        <v/>
      </c>
      <c r="W274" s="26" t="str">
        <f t="array" ref="W274">IF(
 U274=FALSE,
 "",
 _xlfn.XLOOKUP(
  A274,
  tblCost[TargetID],
  tblCost[RemainingRequirements],
  ""
 )
)</f>
        <v/>
      </c>
      <c r="X274" s="45" t="str">
        <f t="array" ref="X274">IF(
 U274=FALSE,
 "N/A",
 _xlfn.XLOOKUP(
  A275,
  tblCost[TargetID],
  tblCost[TargetFunded],
  FALSE
 )
)</f>
        <v>N/A</v>
      </c>
      <c r="Y274" s="26" t="str">
        <f>IFERROR(__xludf.DUMMYFUNCTION("IFERROR(
 TEXTJOIN(
  "", "",
  TRUE,
  FILTER(
   'cost checklist'!$E$2:$E1000&amp;"": ""&amp;'cost checklist'!$G$2:$G1000,
   'cost checklist'!$B$2:$B1000=A274,
   'cost checklist'!$J$2:$J1000=FALSE
  )
 ),
 """"
)"),"")</f>
        <v/>
      </c>
      <c r="Z274" s="26" t="b">
        <f>IFERROR(__xludf.DUMMYFUNCTION("IF(
 AND(
  E274=""QUEST"",
  RIGHT(A274,9)="".accepted"",
  D274=TRUE
 ),
 XLOOKUP(
  REGEXREPLACE(A274,""\.accepted$"","""")&amp;"".finished"",
  $A$2:$A1000,
  $D$2:$D1000,
  TRUE
 )=FALSE,
 FALSE
)"),FALSE)</f>
        <v>0</v>
      </c>
      <c r="AA274" s="26" t="str">
        <f>IFERROR(__xludf.DUMMYFUNCTION("LET(
 id,A274,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75" ht="14.25" customHeight="1">
      <c r="A275" s="26" t="s">
        <v>1007</v>
      </c>
      <c r="B275" s="26" t="str">
        <f t="array" ref="B275">_xlfn.XLOOKUP(
 A275,
 tblTargets[TargetID],
 tblTargets[DisplayName],
 ""
)</f>
        <v>Festival of Beans Finished</v>
      </c>
      <c r="C275" s="26" t="str">
        <f t="shared" si="1"/>
        <v>BLOCKED</v>
      </c>
      <c r="D275" s="26" t="b">
        <f>IFERROR(__xludf.DUMMYFUNCTION("LET(
 id,A275,
 IF(
  F275=""CHARACTER"",
  LET(
   base,REGEXREPLACE(id,""@\d+$"",""""),
   required,VALUE(REGEXEXTRACT(id,""@(\d+)$"")),
   current,XLOOKUP(
    base,
    tblPlayer[PlayerStateID],
    tblPlayer[Value],
    0
   ),
   current&gt;=required
 "&amp;" ),
  IF(
   T275=""AUTO"",
   L275=0,
   COUNTIFS(
    tblChecklist[TargetID],id,
    tblChecklist[PlayerCompleted],TRUE
   )&gt;0
  )
 )
)"),FALSE)</f>
        <v>0</v>
      </c>
      <c r="E275" s="26" t="str">
        <f t="array" ref="E275">_xlfn.XLOOKUP(
 A275,
 tblTargets[TargetID],
 tblTargets[TargetType],
 ""
)</f>
        <v>QUEST</v>
      </c>
      <c r="F275" s="26" t="str">
        <f t="array" ref="F275">_xlfn.XLOOKUP(
 A275,
 tblTargets[TargetID],
 tblTargets[StateType],
 ""
)</f>
        <v/>
      </c>
      <c r="G275" s="26">
        <f>LET(
 id,A275,
 depCount,COUNTIF(tblDependencies[TargetID],id),
 objCount,COUNTIF(tblQuestObjectives[QuestTargetID],id),
 depCount+objCount
)</f>
        <v>1</v>
      </c>
      <c r="H275" s="26">
        <f t="shared" si="2"/>
        <v>1</v>
      </c>
      <c r="I275" s="26">
        <f>IFERROR(__xludf.DUMMYFUNCTION("LET(
 id,A275,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5" s="26">
        <f t="shared" si="3"/>
        <v>0</v>
      </c>
      <c r="K275" s="26" t="b">
        <f t="shared" si="4"/>
        <v>0</v>
      </c>
      <c r="L275" s="26">
        <f t="shared" si="5"/>
        <v>1</v>
      </c>
      <c r="M275" s="26" t="str">
        <f>IFERROR(__xludf.DUMMYFUNCTION("LET(
 id,A275,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L275=0,
  """",
  IFERROR(INDEX(incomplete,1),"""")"&amp;"
 )
)"),"quest.festival_of_beans.accepted")</f>
        <v>quest.festival_of_beans.accepted</v>
      </c>
      <c r="N275" s="26" t="str">
        <f t="array" ref="N275">IF(
 M275="",
 "",
 _xlfn.XLOOKUP(
  M275,
  tblTargets[TargetID],
  tblTargets[DisplayName],
  M275
 )
)</f>
        <v>Festival of Beans Accepted</v>
      </c>
      <c r="O275" s="26" t="str">
        <f>IFERROR(__xludf.DUMMYFUNCTION("SWITCH(
 E275,
 ""BUILDING"",XLOOKUP(A275,tblBuildings[BuildingID],tblBuildings[costtext],""""),
 ""TECH"",XLOOKUP(A275,tblTechnologies[TechnologyID],tblTechnologies[costtext],""""),
 ""QUEST"",XLOOKUP(
  REGEXREPLACE(A275,""\.[^.]+$"",""""),
  tblQuests["&amp;"QuestID],
  tblQuests[Costtext],
  """"
 ),
 ""CITADEL"",XLOOKUP(A275,tblCitadel[CitadelID],tblCitadel[costtext],""""),
 ""COLLECTION"",XLOOKUP(A275,tblCollections[CollectionID],tblCollections[costtext],""""),
 ""CRAFTIFACT"",XLOOKUP(A275,tblCraftifacts[C"&amp;"raftifactID],tblCraftifacts[costtext],""""),
 """"
)"),"soybean:100,kimono:10,firework:10,natto:10,tofu:10,inarizushi:10,yuba:10,soy:10,misosoup:10,sushi:10,amazake:20")</f>
        <v>soybean:100,kimono:10,firework:10,natto:10,tofu:10,inarizushi:10,yuba:10,soy:10,misosoup:10,sushi:10,amazake:20</v>
      </c>
      <c r="P275" s="26" t="str">
        <f t="shared" si="6"/>
        <v>BLOCKED</v>
      </c>
      <c r="Q275" s="26" t="str">
        <f t="shared" si="7"/>
        <v>BLOCKED</v>
      </c>
      <c r="R275" s="26" t="str">
        <f t="array" ref="R275">IFERROR(
 _xlfn.XLOOKUP(
  A275,
  tblChecklist[TargetID],
  tblChecklist[PlayerSort],
  ""
 ),
 ""
)</f>
        <v/>
      </c>
      <c r="S275" s="26" t="str">
        <f>IFERROR(__xludf.DUMMYFUNCTION("LET(
 id,A275,
 successorIDs,
  IFERROR(
   UNIQUE(
    FILTER(
     {
      Dependencies!$A$2:$A$1000;
      QuestObjectives!$A$2:$A$1000
     },
     {
      Dependencies!$B$2:$B$1000;
      QuestObjectives!$E$2:$E$1000
     }=id
    )
   ),
   """"
  )"&amp;",
 names,
  MAP(
   successorIDs,
   LAMBDA(s,
    IF(
     s="""",
     """",
     XLOOKUP(
      s,
      $A$2:$A$1000,
      $B$2:$B$1000,
      s
     )
    )
   )
  ),
 IF(
  successorIDs="""",
  """",
  TEXTJOIN("", "",TRUE,names)
 )
)"),"")</f>
        <v/>
      </c>
      <c r="T275" s="26" t="str">
        <f t="array" ref="T275">_xlfn.XLOOKUP(
 A275,
 tblTargets[TargetID],
 tblTargets[CompletionMethod],
 ""
)</f>
        <v>PLAYER</v>
      </c>
      <c r="U275" s="84" t="b">
        <f>COUNTIF(tblCost[TargetID],A275)&gt;0</f>
        <v>1</v>
      </c>
      <c r="V275" s="85">
        <f t="array" ref="V275">IF(
 U275=FALSE,
 "",
 _xlfn.XLOOKUP(
  A275,
  tblCost[TargetID],
  tblCost[FundingPercent],
  ""
 )
)</f>
        <v>0</v>
      </c>
      <c r="W275" s="26">
        <f t="array" ref="W275">IF(
 U275=FALSE,
 "",
 _xlfn.XLOOKUP(
  A275,
  tblCost[TargetID],
  tblCost[RemainingRequirements],
  ""
 )
)</f>
        <v>11</v>
      </c>
      <c r="X275" s="45" t="b">
        <f t="array" ref="X275">IF(
 U275=FALSE,
 "N/A",
 _xlfn.XLOOKUP(
  A276,
  tblCost[TargetID],
  tblCost[TargetFunded],
  FALSE
 )
)</f>
        <v>0</v>
      </c>
      <c r="Y275" s="26" t="str">
        <f>IFERROR(__xludf.DUMMYFUNCTION("IFERROR(
 TEXTJOIN(
  "", "",
  TRUE,
  FILTER(
   'cost checklist'!$E$2:$E1000&amp;"": ""&amp;'cost checklist'!$G$2:$G1000,
   'cost checklist'!$B$2:$B1000=A275,
   'cost checklist'!$J$2:$J1000=FALSE
  )
 ),
 """"
)"),"amazake: 20, firework: 10, inarizushi: 10, kimono: 10, misosoup: 10, natto: 10, soy: 10, soybean: 100, sushi: 10, tofu: 10, yuba: 10")</f>
        <v>amazake: 20, firework: 10, inarizushi: 10, kimono: 10, misosoup: 10, natto: 10, soy: 10, soybean: 100, sushi: 10, tofu: 10, yuba: 10</v>
      </c>
      <c r="Z275" s="26" t="b">
        <f>IFERROR(__xludf.DUMMYFUNCTION("IF(
 AND(
  E275=""QUEST"",
  RIGHT(A275,9)="".accepted"",
  D275=TRUE
 ),
 XLOOKUP(
  REGEXREPLACE(A275,""\.accepted$"","""")&amp;"".finished"",
  $A$2:$A1000,
  $D$2:$D1000,
  TRUE
 )=FALSE,
 FALSE
)"),FALSE)</f>
        <v>0</v>
      </c>
      <c r="AA275" s="26" t="str">
        <f>IFERROR(__xludf.DUMMYFUNCTION("LET(
 id,A275,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76" ht="14.25" customHeight="1">
      <c r="A276" s="26" t="s">
        <v>1011</v>
      </c>
      <c r="B276" s="26" t="str">
        <f t="array" ref="B276">_xlfn.XLOOKUP(
 A276,
 tblTargets[TargetID],
 tblTargets[DisplayName],
 ""
)</f>
        <v>Festival Returns Accepted</v>
      </c>
      <c r="C276" s="26" t="str">
        <f t="shared" si="1"/>
        <v>BLOCKED</v>
      </c>
      <c r="D276" s="26" t="b">
        <f>IFERROR(__xludf.DUMMYFUNCTION("LET(
 id,A276,
 IF(
  F276=""CHARACTER"",
  LET(
   base,REGEXREPLACE(id,""@\d+$"",""""),
   required,VALUE(REGEXEXTRACT(id,""@(\d+)$"")),
   current,XLOOKUP(
    base,
    tblPlayer[PlayerStateID],
    tblPlayer[Value],
    0
   ),
   current&gt;=required
 "&amp;" ),
  IF(
   T276=""AUTO"",
   L276=0,
   COUNTIFS(
    tblChecklist[TargetID],id,
    tblChecklist[PlayerCompleted],TRUE
   )&gt;0
  )
 )
)"),FALSE)</f>
        <v>0</v>
      </c>
      <c r="E276" s="26" t="str">
        <f t="array" ref="E276">_xlfn.XLOOKUP(
 A276,
 tblTargets[TargetID],
 tblTargets[TargetType],
 ""
)</f>
        <v>QUEST</v>
      </c>
      <c r="F276" s="26" t="str">
        <f t="array" ref="F276">_xlfn.XLOOKUP(
 A276,
 tblTargets[TargetID],
 tblTargets[StateType],
 ""
)</f>
        <v/>
      </c>
      <c r="G276" s="26">
        <f>LET(
 id,A276,
 depCount,COUNTIF(tblDependencies[TargetID],id),
 objCount,COUNTIF(tblQuestObjectives[QuestTargetID],id),
 depCount+objCount
)</f>
        <v>2</v>
      </c>
      <c r="H276" s="26">
        <f t="shared" si="2"/>
        <v>2</v>
      </c>
      <c r="I276" s="26">
        <f>IFERROR(__xludf.DUMMYFUNCTION("LET(
 id,A276,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6" s="26">
        <f t="shared" si="3"/>
        <v>0</v>
      </c>
      <c r="K276" s="26" t="b">
        <f t="shared" si="4"/>
        <v>0</v>
      </c>
      <c r="L276" s="26">
        <f t="shared" si="5"/>
        <v>2</v>
      </c>
      <c r="M276" s="26" t="str">
        <f>IFERROR(__xludf.DUMMYFUNCTION("LET(
 id,A276,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L276=0,
  """",
  IFERROR(INDEX(incomplete,1),"""")"&amp;"
 )
)"),"building.airship@1")</f>
        <v>building.airship@1</v>
      </c>
      <c r="N276" s="26" t="str">
        <f t="array" ref="N276">IF(
 M276="",
 "",
 _xlfn.XLOOKUP(
  M276,
  tblTargets[TargetID],
  tblTargets[DisplayName],
  M276
 )
)</f>
        <v>Airship Lv 1</v>
      </c>
      <c r="O276" s="26" t="str">
        <f>IFERROR(__xludf.DUMMYFUNCTION("SWITCH(
 E276,
 ""BUILDING"",XLOOKUP(A276,tblBuildings[BuildingID],tblBuildings[costtext],""""),
 ""TECH"",XLOOKUP(A276,tblTechnologies[TechnologyID],tblTechnologies[costtext],""""),
 ""QUEST"",XLOOKUP(
  REGEXREPLACE(A276,""\.[^.]+$"",""""),
  tblQuests["&amp;"QuestID],
  tblQuests[Costtext],
  """"
 ),
 ""CITADEL"",XLOOKUP(A276,tblCitadel[CitadelID],tblCitadel[costtext],""""),
 ""COLLECTION"",XLOOKUP(A276,tblCollections[CollectionID],tblCollections[costtext],""""),
 ""CRAFTIFACT"",XLOOKUP(A276,tblCraftifacts[C"&amp;"raftifactID],tblCraftifacts[costtext],""""),
 """"
)"),"kimono:10,firework:10,drum:10,onigiri:10,cherrybun:10,bento:10,poke:10,baklava:20,smoothie:10")</f>
        <v>kimono:10,firework:10,drum:10,onigiri:10,cherrybun:10,bento:10,poke:10,baklava:20,smoothie:10</v>
      </c>
      <c r="P276" s="26" t="str">
        <f t="shared" si="6"/>
        <v>BLOCKED</v>
      </c>
      <c r="Q276" s="26" t="str">
        <f t="shared" si="7"/>
        <v>BLOCKED</v>
      </c>
      <c r="R276" s="26" t="str">
        <f t="array" ref="R276">IFERROR(
 _xlfn.XLOOKUP(
  A276,
  tblChecklist[TargetID],
  tblChecklist[PlayerSort],
  ""
 ),
 ""
)</f>
        <v/>
      </c>
      <c r="S276" s="26" t="str">
        <f>IFERROR(__xludf.DUMMYFUNCTION("LET(
 id,A276,
 successorIDs,
  IFERROR(
   UNIQUE(
    FILTER(
     {
      Dependencies!$A$2:$A$1000;
      QuestObjectives!$A$2:$A$1000
     },
     {
      Dependencies!$B$2:$B$1000;
      QuestObjectives!$E$2:$E$1000
     }=id
    )
   ),
   """"
  )"&amp;",
 names,
  MAP(
   successorIDs,
   LAMBDA(s,
    IF(
     s="""",
     """",
     XLOOKUP(
      s,
      $A$2:$A$1000,
      $B$2:$B$1000,
      s
     )
    )
   )
  ),
 IF(
  successorIDs="""",
  """",
  TEXTJOIN("", "",TRUE,names)
 )
)"),"Festival Returns Finished")</f>
        <v>Festival Returns Finished</v>
      </c>
      <c r="T276" s="26" t="str">
        <f t="array" ref="T276">_xlfn.XLOOKUP(
 A276,
 tblTargets[TargetID],
 tblTargets[CompletionMethod],
 ""
)</f>
        <v>PLAYER</v>
      </c>
      <c r="U276" s="84" t="b">
        <f>COUNTIF(tblCost[TargetID],A276)&gt;0</f>
        <v>0</v>
      </c>
      <c r="V276" s="85" t="str">
        <f t="array" ref="V276">IF(
 U276=FALSE,
 "",
 _xlfn.XLOOKUP(
  A276,
  tblCost[TargetID],
  tblCost[FundingPercent],
  ""
 )
)</f>
        <v/>
      </c>
      <c r="W276" s="26" t="str">
        <f t="array" ref="W276">IF(
 U276=FALSE,
 "",
 _xlfn.XLOOKUP(
  A276,
  tblCost[TargetID],
  tblCost[RemainingRequirements],
  ""
 )
)</f>
        <v/>
      </c>
      <c r="X276" s="45" t="str">
        <f t="array" ref="X276">IF(
 U276=FALSE,
 "N/A",
 _xlfn.XLOOKUP(
  A277,
  tblCost[TargetID],
  tblCost[TargetFunded],
  FALSE
 )
)</f>
        <v>N/A</v>
      </c>
      <c r="Y276" s="26" t="str">
        <f>IFERROR(__xludf.DUMMYFUNCTION("IFERROR(
 TEXTJOIN(
  "", "",
  TRUE,
  FILTER(
   'cost checklist'!$E$2:$E1000&amp;"": ""&amp;'cost checklist'!$G$2:$G1000,
   'cost checklist'!$B$2:$B1000=A276,
   'cost checklist'!$J$2:$J1000=FALSE
  )
 ),
 """"
)"),"")</f>
        <v/>
      </c>
      <c r="Z276" s="26" t="b">
        <f>IFERROR(__xludf.DUMMYFUNCTION("IF(
 AND(
  E276=""QUEST"",
  RIGHT(A276,9)="".accepted"",
  D276=TRUE
 ),
 XLOOKUP(
  REGEXREPLACE(A276,""\.accepted$"","""")&amp;"".finished"",
  $A$2:$A1000,
  $D$2:$D1000,
  TRUE
 )=FALSE,
 FALSE
)"),FALSE)</f>
        <v>0</v>
      </c>
      <c r="AA276" s="26" t="str">
        <f>IFERROR(__xludf.DUMMYFUNCTION("LET(
 id,A276,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77" ht="14.25" customHeight="1">
      <c r="A277" s="26" t="s">
        <v>1016</v>
      </c>
      <c r="B277" s="26" t="str">
        <f t="array" ref="B277">_xlfn.XLOOKUP(
 A277,
 tblTargets[TargetID],
 tblTargets[DisplayName],
 ""
)</f>
        <v>Festival Returns Finished</v>
      </c>
      <c r="C277" s="26" t="str">
        <f t="shared" si="1"/>
        <v>BLOCKED</v>
      </c>
      <c r="D277" s="26" t="b">
        <f>IFERROR(__xludf.DUMMYFUNCTION("LET(
 id,A277,
 IF(
  F277=""CHARACTER"",
  LET(
   base,REGEXREPLACE(id,""@\d+$"",""""),
   required,VALUE(REGEXEXTRACT(id,""@(\d+)$"")),
   current,XLOOKUP(
    base,
    tblPlayer[PlayerStateID],
    tblPlayer[Value],
    0
   ),
   current&gt;=required
 "&amp;" ),
  IF(
   T277=""AUTO"",
   L277=0,
   COUNTIFS(
    tblChecklist[TargetID],id,
    tblChecklist[PlayerCompleted],TRUE
   )&gt;0
  )
 )
)"),FALSE)</f>
        <v>0</v>
      </c>
      <c r="E277" s="26" t="str">
        <f t="array" ref="E277">_xlfn.XLOOKUP(
 A277,
 tblTargets[TargetID],
 tblTargets[TargetType],
 ""
)</f>
        <v>QUEST</v>
      </c>
      <c r="F277" s="26" t="str">
        <f t="array" ref="F277">_xlfn.XLOOKUP(
 A277,
 tblTargets[TargetID],
 tblTargets[StateType],
 ""
)</f>
        <v/>
      </c>
      <c r="G277" s="26">
        <f>LET(
 id,A277,
 depCount,COUNTIF(tblDependencies[TargetID],id),
 objCount,COUNTIF(tblQuestObjectives[QuestTargetID],id),
 depCount+objCount
)</f>
        <v>1</v>
      </c>
      <c r="H277" s="26">
        <f t="shared" si="2"/>
        <v>1</v>
      </c>
      <c r="I277" s="26">
        <f>IFERROR(__xludf.DUMMYFUNCTION("LET(
 id,A277,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7" s="26">
        <f t="shared" si="3"/>
        <v>0</v>
      </c>
      <c r="K277" s="26" t="b">
        <f t="shared" si="4"/>
        <v>0</v>
      </c>
      <c r="L277" s="26">
        <f t="shared" si="5"/>
        <v>1</v>
      </c>
      <c r="M277" s="26" t="str">
        <f>IFERROR(__xludf.DUMMYFUNCTION("LET(
 id,A277,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L277=0,
  """",
  IFERROR(INDEX(incomplete,1),"""")"&amp;"
 )
)"),"quest.festival_returns.accepted")</f>
        <v>quest.festival_returns.accepted</v>
      </c>
      <c r="N277" s="26" t="str">
        <f t="array" ref="N277">IF(
 M277="",
 "",
 _xlfn.XLOOKUP(
  M277,
  tblTargets[TargetID],
  tblTargets[DisplayName],
  M277
 )
)</f>
        <v>Festival Returns Accepted</v>
      </c>
      <c r="O277" s="26" t="str">
        <f>IFERROR(__xludf.DUMMYFUNCTION("SWITCH(
 E277,
 ""BUILDING"",XLOOKUP(A277,tblBuildings[BuildingID],tblBuildings[costtext],""""),
 ""TECH"",XLOOKUP(A277,tblTechnologies[TechnologyID],tblTechnologies[costtext],""""),
 ""QUEST"",XLOOKUP(
  REGEXREPLACE(A277,""\.[^.]+$"",""""),
  tblQuests["&amp;"QuestID],
  tblQuests[Costtext],
  """"
 ),
 ""CITADEL"",XLOOKUP(A277,tblCitadel[CitadelID],tblCitadel[costtext],""""),
 ""COLLECTION"",XLOOKUP(A277,tblCollections[CollectionID],tblCollections[costtext],""""),
 ""CRAFTIFACT"",XLOOKUP(A277,tblCraftifacts[C"&amp;"raftifactID],tblCraftifacts[costtext],""""),
 """"
)"),"kimono:10,firework:10,drum:10,onigiri:10,cherrybun:10,bento:10,poke:10,baklava:20,smoothie:10")</f>
        <v>kimono:10,firework:10,drum:10,onigiri:10,cherrybun:10,bento:10,poke:10,baklava:20,smoothie:10</v>
      </c>
      <c r="P277" s="26" t="str">
        <f t="shared" si="6"/>
        <v>BLOCKED</v>
      </c>
      <c r="Q277" s="26" t="str">
        <f t="shared" si="7"/>
        <v>BLOCKED</v>
      </c>
      <c r="R277" s="26" t="str">
        <f t="array" ref="R277">IFERROR(
 _xlfn.XLOOKUP(
  A277,
  tblChecklist[TargetID],
  tblChecklist[PlayerSort],
  ""
 ),
 ""
)</f>
        <v/>
      </c>
      <c r="S277" s="26" t="str">
        <f>IFERROR(__xludf.DUMMYFUNCTION("LET(
 id,A277,
 successorIDs,
  IFERROR(
   UNIQUE(
    FILTER(
     {
      Dependencies!$A$2:$A$1000;
      QuestObjectives!$A$2:$A$1000
     },
     {
      Dependencies!$B$2:$B$1000;
      QuestObjectives!$E$2:$E$1000
     }=id
    )
   ),
   """"
  )"&amp;",
 names,
  MAP(
   successorIDs,
   LAMBDA(s,
    IF(
     s="""",
     """",
     XLOOKUP(
      s,
      $A$2:$A$1000,
      $B$2:$B$1000,
      s
     )
    )
   )
  ),
 IF(
  successorIDs="""",
  """",
  TEXTJOIN("", "",TRUE,names)
 )
)"),"Festival of Beans Accepted")</f>
        <v>Festival of Beans Accepted</v>
      </c>
      <c r="T277" s="26" t="str">
        <f t="array" ref="T277">_xlfn.XLOOKUP(
 A277,
 tblTargets[TargetID],
 tblTargets[CompletionMethod],
 ""
)</f>
        <v>PLAYER</v>
      </c>
      <c r="U277" s="84" t="b">
        <f>COUNTIF(tblCost[TargetID],A277)&gt;0</f>
        <v>1</v>
      </c>
      <c r="V277" s="85">
        <f t="array" ref="V277">IF(
 U277=FALSE,
 "",
 _xlfn.XLOOKUP(
  A277,
  tblCost[TargetID],
  tblCost[FundingPercent],
  ""
 )
)</f>
        <v>0</v>
      </c>
      <c r="W277" s="26">
        <f t="array" ref="W277">IF(
 U277=FALSE,
 "",
 _xlfn.XLOOKUP(
  A277,
  tblCost[TargetID],
  tblCost[RemainingRequirements],
  ""
 )
)</f>
        <v>9</v>
      </c>
      <c r="X277" s="45" t="b">
        <f t="array" ref="X277">IF(
 U277=FALSE,
 "N/A",
 _xlfn.XLOOKUP(
  A278,
  tblCost[TargetID],
  tblCost[TargetFunded],
  FALSE
 )
)</f>
        <v>0</v>
      </c>
      <c r="Y277" s="26" t="str">
        <f>IFERROR(__xludf.DUMMYFUNCTION("IFERROR(
 TEXTJOIN(
  "", "",
  TRUE,
  FILTER(
   'cost checklist'!$E$2:$E1000&amp;"": ""&amp;'cost checklist'!$G$2:$G1000,
   'cost checklist'!$B$2:$B1000=A277,
   'cost checklist'!$J$2:$J1000=FALSE
  )
 ),
 """"
)"),"baklava: 20, bento: 10, cherrybun: 10, drum: 10, firework: 10, kimono: 10, onigiri: 10, poke: 10, smoothie: 10")</f>
        <v>baklava: 20, bento: 10, cherrybun: 10, drum: 10, firework: 10, kimono: 10, onigiri: 10, poke: 10, smoothie: 10</v>
      </c>
      <c r="Z277" s="26" t="b">
        <f>IFERROR(__xludf.DUMMYFUNCTION("IF(
 AND(
  E277=""QUEST"",
  RIGHT(A277,9)="".accepted"",
  D277=TRUE
 ),
 XLOOKUP(
  REGEXREPLACE(A277,""\.accepted$"","""")&amp;"".finished"",
  $A$2:$A1000,
  $D$2:$D1000,
  TRUE
 )=FALSE,
 FALSE
)"),FALSE)</f>
        <v>0</v>
      </c>
      <c r="AA277" s="26" t="str">
        <f>IFERROR(__xludf.DUMMYFUNCTION("LET(
 id,A277,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)"),"Festival of Beans")</f>
        <v>Festival of Beans</v>
      </c>
    </row>
    <row r="278" ht="14.25" customHeight="1">
      <c r="A278" s="26" t="s">
        <v>1019</v>
      </c>
      <c r="B278" s="26" t="str">
        <f t="array" ref="B278">_xlfn.XLOOKUP(
 A278,
 tblTargets[TargetID],
 tblTargets[DisplayName],
 ""
)</f>
        <v>Green Potion Accepted</v>
      </c>
      <c r="C278" s="26" t="str">
        <f t="shared" si="1"/>
        <v>BLOCKED</v>
      </c>
      <c r="D278" s="26" t="b">
        <f>IFERROR(__xludf.DUMMYFUNCTION("LET(
 id,A278,
 IF(
  F278=""CHARACTER"",
  LET(
   base,REGEXREPLACE(id,""@\d+$"",""""),
   required,VALUE(REGEXEXTRACT(id,""@(\d+)$"")),
   current,XLOOKUP(
    base,
    tblPlayer[PlayerStateID],
    tblPlayer[Value],
    0
   ),
   current&gt;=required
 "&amp;" ),
  IF(
   T278=""AUTO"",
   L278=0,
   COUNTIFS(
    tblChecklist[TargetID],id,
    tblChecklist[PlayerCompleted],TRUE
   )&gt;0
  )
 )
)"),FALSE)</f>
        <v>0</v>
      </c>
      <c r="E278" s="26" t="str">
        <f t="array" ref="E278">_xlfn.XLOOKUP(
 A278,
 tblTargets[TargetID],
 tblTargets[TargetType],
 ""
)</f>
        <v>QUEST</v>
      </c>
      <c r="F278" s="26" t="str">
        <f t="array" ref="F278">_xlfn.XLOOKUP(
 A278,
 tblTargets[TargetID],
 tblTargets[StateType],
 ""
)</f>
        <v/>
      </c>
      <c r="G278" s="26">
        <f>LET(
 id,A278,
 depCount,COUNTIF(tblDependencies[TargetID],id),
 objCount,COUNTIF(tblQuestObjectives[QuestTargetID],id),
 depCount+objCount
)</f>
        <v>1</v>
      </c>
      <c r="H278" s="26">
        <f t="shared" si="2"/>
        <v>1</v>
      </c>
      <c r="I278" s="26">
        <f>IFERROR(__xludf.DUMMYFUNCTION("LET(
 id,A278,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8" s="26">
        <f t="shared" si="3"/>
        <v>0</v>
      </c>
      <c r="K278" s="26" t="b">
        <f t="shared" si="4"/>
        <v>0</v>
      </c>
      <c r="L278" s="26">
        <f t="shared" si="5"/>
        <v>1</v>
      </c>
      <c r="M278" s="26" t="str">
        <f>IFERROR(__xludf.DUMMYFUNCTION("LET(
 id,A278,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L278=0,
  """",
  IFERROR(INDEX(incomplete,1),"""")"&amp;"
 )
)"),"state.meet_traveling_merchant@1b")</f>
        <v>state.meet_traveling_merchant@1b</v>
      </c>
      <c r="N278" s="26" t="str">
        <f t="array" ref="N278">IF(
 M278="",
 "",
 _xlfn.XLOOKUP(
  M278,
  tblTargets[TargetID],
  tblTargets[DisplayName],
  M278
 )
)</f>
        <v>Meet Traveling Merchant @1B</v>
      </c>
      <c r="O278" s="26" t="str">
        <f>IFERROR(__xludf.DUMMYFUNCTION("SWITCH(
 E278,
 ""BUILDING"",XLOOKUP(A278,tblBuildings[BuildingID],tblBuildings[costtext],""""),
 ""TECH"",XLOOKUP(A278,tblTechnologies[TechnologyID],tblTechnologies[costtext],""""),
 ""QUEST"",XLOOKUP(
  REGEXREPLACE(A278,""\.[^.]+$"",""""),
  tblQuests["&amp;"QuestID],
  tblQuests[Costtext],
  """"
 ),
 ""CITADEL"",XLOOKUP(A278,tblCitadel[CitadelID],tblCitadel[costtext],""""),
 ""COLLECTION"",XLOOKUP(A278,tblCollections[CollectionID],tblCollections[costtext],""""),
 ""CRAFTIFACT"",XLOOKUP(A278,tblCraftifacts[C"&amp;"raftifactID],tblCraftifacts[costtext],""""),
 """"
)"),"reagent:2")</f>
        <v>reagent:2</v>
      </c>
      <c r="P278" s="26" t="str">
        <f t="shared" si="6"/>
        <v>BLOCKED</v>
      </c>
      <c r="Q278" s="26" t="str">
        <f t="shared" si="7"/>
        <v>BLOCKED</v>
      </c>
      <c r="R278" s="26" t="str">
        <f t="array" ref="R278">IFERROR(
 _xlfn.XLOOKUP(
  A278,
  tblChecklist[TargetID],
  tblChecklist[PlayerSort],
  ""
 ),
 ""
)</f>
        <v/>
      </c>
      <c r="S278" s="26" t="str">
        <f>IFERROR(__xludf.DUMMYFUNCTION("LET(
 id,A278,
 successorIDs,
  IFERROR(
   UNIQUE(
    FILTER(
     {
      Dependencies!$A$2:$A$1000;
      QuestObjectives!$A$2:$A$1000
     },
     {
      Dependencies!$B$2:$B$1000;
      QuestObjectives!$E$2:$E$1000
     }=id
    )
   ),
   """"
  )"&amp;",
 names,
  MAP(
   successorIDs,
   LAMBDA(s,
    IF(
     s="""",
     """",
     XLOOKUP(
      s,
      $A$2:$A$1000,
      $B$2:$B$1000,
      s
     )
    )
   )
  ),
 IF(
  successorIDs="""",
  """",
  TEXTJOIN("", "",TRUE,names)
 )
)"),"Green Potion Finished, Obtain Reagent from 3A")</f>
        <v>Green Potion Finished, Obtain Reagent from 3A</v>
      </c>
      <c r="T278" s="26" t="str">
        <f t="array" ref="T278">_xlfn.XLOOKUP(
 A278,
 tblTargets[TargetID],
 tblTargets[CompletionMethod],
 ""
)</f>
        <v>PLAYER</v>
      </c>
      <c r="U278" s="84" t="b">
        <f>COUNTIF(tblCost[TargetID],A278)&gt;0</f>
        <v>0</v>
      </c>
      <c r="V278" s="85" t="str">
        <f t="array" ref="V278">IF(
 U278=FALSE,
 "",
 _xlfn.XLOOKUP(
  A278,
  tblCost[TargetID],
  tblCost[FundingPercent],
  ""
 )
)</f>
        <v/>
      </c>
      <c r="W278" s="26" t="str">
        <f t="array" ref="W278">IF(
 U278=FALSE,
 "",
 _xlfn.XLOOKUP(
  A278,
  tblCost[TargetID],
  tblCost[RemainingRequirements],
  ""
 )
)</f>
        <v/>
      </c>
      <c r="X278" s="45" t="str">
        <f t="array" ref="X278">IF(
 U278=FALSE,
 "N/A",
 _xlfn.XLOOKUP(
  A279,
  tblCost[TargetID],
  tblCost[TargetFunded],
  FALSE
 )
)</f>
        <v>N/A</v>
      </c>
      <c r="Y278" s="26" t="str">
        <f>IFERROR(__xludf.DUMMYFUNCTION("IFERROR(
 TEXTJOIN(
  "", "",
  TRUE,
  FILTER(
   'cost checklist'!$E$2:$E1000&amp;"": ""&amp;'cost checklist'!$G$2:$G1000,
   'cost checklist'!$B$2:$B1000=A278,
   'cost checklist'!$J$2:$J1000=FALSE
  )
 ),
 """"
)"),"")</f>
        <v/>
      </c>
      <c r="Z278" s="26" t="b">
        <f>IFERROR(__xludf.DUMMYFUNCTION("IF(
 AND(
  E278=""QUEST"",
  RIGHT(A278,9)="".accepted"",
  D278=TRUE
 ),
 XLOOKUP(
  REGEXREPLACE(A278,""\.accepted$"","""")&amp;"".finished"",
  $A$2:$A1000,
  $D$2:$D1000,
  TRUE
 )=FALSE,
 FALSE
)"),FALSE)</f>
        <v>0</v>
      </c>
      <c r="AA278" s="26" t="str">
        <f>IFERROR(__xludf.DUMMYFUNCTION("LET(
 id,A278,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79" ht="14.25" customHeight="1">
      <c r="A279" s="26" t="s">
        <v>1023</v>
      </c>
      <c r="B279" s="26" t="str">
        <f t="array" ref="B279">_xlfn.XLOOKUP(
 A279,
 tblTargets[TargetID],
 tblTargets[DisplayName],
 ""
)</f>
        <v>Green Potion Finished</v>
      </c>
      <c r="C279" s="26" t="str">
        <f t="shared" si="1"/>
        <v>BLOCKED</v>
      </c>
      <c r="D279" s="26" t="b">
        <f>IFERROR(__xludf.DUMMYFUNCTION("LET(
 id,A279,
 IF(
  F279=""CHARACTER"",
  LET(
   base,REGEXREPLACE(id,""@\d+$"",""""),
   required,VALUE(REGEXEXTRACT(id,""@(\d+)$"")),
   current,XLOOKUP(
    base,
    tblPlayer[PlayerStateID],
    tblPlayer[Value],
    0
   ),
   current&gt;=required
 "&amp;" ),
  IF(
   T279=""AUTO"",
   L279=0,
   COUNTIFS(
    tblChecklist[TargetID],id,
    tblChecklist[PlayerCompleted],TRUE
   )&gt;0
  )
 )
)"),FALSE)</f>
        <v>0</v>
      </c>
      <c r="E279" s="26" t="str">
        <f t="array" ref="E279">_xlfn.XLOOKUP(
 A279,
 tblTargets[TargetID],
 tblTargets[TargetType],
 ""
)</f>
        <v>QUEST</v>
      </c>
      <c r="F279" s="26" t="str">
        <f t="array" ref="F279">_xlfn.XLOOKUP(
 A279,
 tblTargets[TargetID],
 tblTargets[StateType],
 ""
)</f>
        <v/>
      </c>
      <c r="G279" s="26">
        <f>LET(
 id,A279,
 depCount,COUNTIF(tblDependencies[TargetID],id),
 objCount,COUNTIF(tblQuestObjectives[QuestTargetID],id),
 depCount+objCount
)</f>
        <v>4</v>
      </c>
      <c r="H279" s="26">
        <f t="shared" si="2"/>
        <v>4</v>
      </c>
      <c r="I279" s="26">
        <f>IFERROR(__xludf.DUMMYFUNCTION("LET(
 id,A279,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79" s="26">
        <f t="shared" si="3"/>
        <v>0</v>
      </c>
      <c r="K279" s="26" t="b">
        <f t="shared" si="4"/>
        <v>0</v>
      </c>
      <c r="L279" s="26">
        <f t="shared" si="5"/>
        <v>4</v>
      </c>
      <c r="M279" s="26" t="str">
        <f>IFERROR(__xludf.DUMMYFUNCTION("LET(
 id,A279,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L279=0,
  """",
  IFERROR(INDEX(incomplete,1),"""")"&amp;"
 )
)"),"quest.green_potion.accepted")</f>
        <v>quest.green_potion.accepted</v>
      </c>
      <c r="N279" s="26" t="str">
        <f t="array" ref="N279">IF(
 M279="",
 "",
 _xlfn.XLOOKUP(
  M279,
  tblTargets[TargetID],
  tblTargets[DisplayName],
  M279
 )
)</f>
        <v>Green Potion Accepted</v>
      </c>
      <c r="O279" s="26" t="str">
        <f>IFERROR(__xludf.DUMMYFUNCTION("SWITCH(
 E279,
 ""BUILDING"",XLOOKUP(A279,tblBuildings[BuildingID],tblBuildings[costtext],""""),
 ""TECH"",XLOOKUP(A279,tblTechnologies[TechnologyID],tblTechnologies[costtext],""""),
 ""QUEST"",XLOOKUP(
  REGEXREPLACE(A279,""\.[^.]+$"",""""),
  tblQuests["&amp;"QuestID],
  tblQuests[Costtext],
  """"
 ),
 ""CITADEL"",XLOOKUP(A279,tblCitadel[CitadelID],tblCitadel[costtext],""""),
 ""COLLECTION"",XLOOKUP(A279,tblCollections[CollectionID],tblCollections[costtext],""""),
 ""CRAFTIFACT"",XLOOKUP(A279,tblCraftifacts[C"&amp;"raftifactID],tblCraftifacts[costtext],""""),
 """"
)"),"reagent:2")</f>
        <v>reagent:2</v>
      </c>
      <c r="P279" s="26" t="str">
        <f t="shared" si="6"/>
        <v>BLOCKED</v>
      </c>
      <c r="Q279" s="26" t="str">
        <f t="shared" si="7"/>
        <v>BLOCKED</v>
      </c>
      <c r="R279" s="26" t="str">
        <f t="array" ref="R279">IFERROR(
 _xlfn.XLOOKUP(
  A279,
  tblChecklist[TargetID],
  tblChecklist[PlayerSort],
  ""
 ),
 ""
)</f>
        <v/>
      </c>
      <c r="S279" s="26" t="str">
        <f>IFERROR(__xludf.DUMMYFUNCTION("LET(
 id,A279,
 successorIDs,
  IFERROR(
   UNIQUE(
    FILTER(
     {
      Dependencies!$A$2:$A$1000;
      QuestObjectives!$A$2:$A$1000
     },
     {
      Dependencies!$B$2:$B$1000;
      QuestObjectives!$E$2:$E$1000
     }=id
    )
   ),
   """"
  )"&amp;",
 names,
  MAP(
   successorIDs,
   LAMBDA(s,
    IF(
     s="""",
     """",
     XLOOKUP(
      s,
      $A$2:$A$1000,
      $B$2:$B$1000,
      s
     )
    )
   )
  ),
 IF(
  successorIDs="""",
  """",
  TEXTJOIN("", "",TRUE,names)
 )
)"),"")</f>
        <v/>
      </c>
      <c r="T279" s="26" t="str">
        <f t="array" ref="T279">_xlfn.XLOOKUP(
 A279,
 tblTargets[TargetID],
 tblTargets[CompletionMethod],
 ""
)</f>
        <v>PLAYER</v>
      </c>
      <c r="U279" s="84" t="b">
        <f>COUNTIF(tblCost[TargetID],A279)&gt;0</f>
        <v>1</v>
      </c>
      <c r="V279" s="85">
        <f t="array" ref="V279">IF(
 U279=FALSE,
 "",
 _xlfn.XLOOKUP(
  A279,
  tblCost[TargetID],
  tblCost[FundingPercent],
  ""
 )
)</f>
        <v>0</v>
      </c>
      <c r="W279" s="26">
        <f t="array" ref="W279">IF(
 U279=FALSE,
 "",
 _xlfn.XLOOKUP(
  A279,
  tblCost[TargetID],
  tblCost[RemainingRequirements],
  ""
 )
)</f>
        <v>1</v>
      </c>
      <c r="X279" s="45" t="b">
        <f t="array" ref="X279">IF(
 U279=FALSE,
 "N/A",
 _xlfn.XLOOKUP(
  A280,
  tblCost[TargetID],
  tblCost[TargetFunded],
  FALSE
 )
)</f>
        <v>0</v>
      </c>
      <c r="Y279" s="26" t="str">
        <f>IFERROR(__xludf.DUMMYFUNCTION("IFERROR(
 TEXTJOIN(
  "", "",
  TRUE,
  FILTER(
   'cost checklist'!$E$2:$E1000&amp;"": ""&amp;'cost checklist'!$G$2:$G1000,
   'cost checklist'!$B$2:$B1000=A279,
   'cost checklist'!$J$2:$J1000=FALSE
  )
 ),
 """"
)"),"reagent: 2")</f>
        <v>reagent: 2</v>
      </c>
      <c r="Z279" s="26" t="b">
        <f>IFERROR(__xludf.DUMMYFUNCTION("IF(
 AND(
  E279=""QUEST"",
  RIGHT(A279,9)="".accepted"",
  D279=TRUE
 ),
 XLOOKUP(
  REGEXREPLACE(A279,""\.accepted$"","""")&amp;"".finished"",
  $A$2:$A1000,
  $D$2:$D1000,
  TRUE
 )=FALSE,
 FALSE
)"),FALSE)</f>
        <v>0</v>
      </c>
      <c r="AA279" s="26" t="str">
        <f>IFERROR(__xludf.DUMMYFUNCTION("LET(
 id,A279,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80" ht="14.25" customHeight="1">
      <c r="A280" s="26" t="s">
        <v>1027</v>
      </c>
      <c r="B280" s="26" t="str">
        <f t="array" ref="B280">_xlfn.XLOOKUP(
 A280,
 tblTargets[TargetID],
 tblTargets[DisplayName],
 ""
)</f>
        <v>Honor, Glory, Sushi Accepted</v>
      </c>
      <c r="C280" s="26" t="str">
        <f t="shared" si="1"/>
        <v>BLOCKED</v>
      </c>
      <c r="D280" s="26" t="b">
        <f>IFERROR(__xludf.DUMMYFUNCTION("LET(
 id,A280,
 IF(
  F280=""CHARACTER"",
  LET(
   base,REGEXREPLACE(id,""@\d+$"",""""),
   required,VALUE(REGEXEXTRACT(id,""@(\d+)$"")),
   current,XLOOKUP(
    base,
    tblPlayer[PlayerStateID],
    tblPlayer[Value],
    0
   ),
   current&gt;=required
 "&amp;" ),
  IF(
   T280=""AUTO"",
   L280=0,
   COUNTIFS(
    tblChecklist[TargetID],id,
    tblChecklist[PlayerCompleted],TRUE
   )&gt;0
  )
 )
)"),FALSE)</f>
        <v>0</v>
      </c>
      <c r="E280" s="26" t="str">
        <f t="array" ref="E280">_xlfn.XLOOKUP(
 A280,
 tblTargets[TargetID],
 tblTargets[TargetType],
 ""
)</f>
        <v>QUEST</v>
      </c>
      <c r="F280" s="26" t="str">
        <f t="array" ref="F280">_xlfn.XLOOKUP(
 A280,
 tblTargets[TargetID],
 tblTargets[StateType],
 ""
)</f>
        <v/>
      </c>
      <c r="G280" s="26">
        <f>LET(
 id,A280,
 depCount,COUNTIF(tblDependencies[TargetID],id),
 objCount,COUNTIF(tblQuestObjectives[QuestTargetID],id),
 depCount+objCount
)</f>
        <v>1</v>
      </c>
      <c r="H280" s="26">
        <f t="shared" si="2"/>
        <v>1</v>
      </c>
      <c r="I280" s="26">
        <f>IFERROR(__xludf.DUMMYFUNCTION("LET(
 id,A280,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0" s="26">
        <f t="shared" si="3"/>
        <v>0</v>
      </c>
      <c r="K280" s="26" t="b">
        <f t="shared" si="4"/>
        <v>0</v>
      </c>
      <c r="L280" s="26">
        <f t="shared" si="5"/>
        <v>1</v>
      </c>
      <c r="M280" s="26" t="str">
        <f>IFERROR(__xludf.DUMMYFUNCTION("LET(
 id,A280,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L280=0,
  """",
  IFERROR(INDEX(incomplete,1),"""")"&amp;"
 )
)"),"building.bridge@1")</f>
        <v>building.bridge@1</v>
      </c>
      <c r="N280" s="26" t="str">
        <f t="array" ref="N280">IF(
 M280="",
 "",
 _xlfn.XLOOKUP(
  M280,
  tblTargets[TargetID],
  tblTargets[DisplayName],
  M280
 )
)</f>
        <v>Bridge Lv 1</v>
      </c>
      <c r="O280" s="26" t="str">
        <f>IFERROR(__xludf.DUMMYFUNCTION("SWITCH(
 E280,
 ""BUILDING"",XLOOKUP(A280,tblBuildings[BuildingID],tblBuildings[costtext],""""),
 ""TECH"",XLOOKUP(A280,tblTechnologies[TechnologyID],tblTechnologies[costtext],""""),
 ""QUEST"",XLOOKUP(
  REGEXREPLACE(A280,""\.[^.]+$"",""""),
  tblQuests["&amp;"QuestID],
  tblQuests[Costtext],
  """"
 ),
 ""CITADEL"",XLOOKUP(A280,tblCitadel[CitadelID],tblCitadel[costtext],""""),
 ""COLLECTION"",XLOOKUP(A280,tblCollections[CollectionID],tblCollections[costtext],""""),
 ""CRAFTIFACT"",XLOOKUP(A280,tblCraftifacts[C"&amp;"raftifactID],tblCraftifacts[costtext],""""),
 """"
)"),"")</f>
        <v/>
      </c>
      <c r="P280" s="26" t="str">
        <f t="shared" si="6"/>
        <v>BLOCKED</v>
      </c>
      <c r="Q280" s="26" t="str">
        <f t="shared" si="7"/>
        <v>BLOCKED</v>
      </c>
      <c r="R280" s="26" t="str">
        <f t="array" ref="R280">IFERROR(
 _xlfn.XLOOKUP(
  A280,
  tblChecklist[TargetID],
  tblChecklist[PlayerSort],
  ""
 ),
 ""
)</f>
        <v/>
      </c>
      <c r="S280" s="26" t="str">
        <f>IFERROR(__xludf.DUMMYFUNCTION("LET(
 id,A280,
 successorIDs,
  IFERROR(
   UNIQUE(
    FILTER(
     {
      Dependencies!$A$2:$A$1000;
      QuestObjectives!$A$2:$A$1000
     },
     {
      Dependencies!$B$2:$B$1000;
      QuestObjectives!$E$2:$E$1000
     }=id
    )
   ),
   """"
  )"&amp;",
 names,
  MAP(
   successorIDs,
   LAMBDA(s,
    IF(
     s="""",
     """",
     XLOOKUP(
      s,
      $A$2:$A$1000,
      $B$2:$B$1000,
      s
     )
    )
   )
  ),
 IF(
  successorIDs="""",
  """",
  TEXTJOIN("", "",TRUE,names)
 )
)"),"Honor, Glory, Sushi Finished")</f>
        <v>Honor, Glory, Sushi Finished</v>
      </c>
      <c r="T280" s="26" t="str">
        <f t="array" ref="T280">_xlfn.XLOOKUP(
 A280,
 tblTargets[TargetID],
 tblTargets[CompletionMethod],
 ""
)</f>
        <v>PLAYER</v>
      </c>
      <c r="U280" s="84" t="b">
        <f>COUNTIF(tblCost[TargetID],A280)&gt;0</f>
        <v>0</v>
      </c>
      <c r="V280" s="85" t="str">
        <f t="array" ref="V280">IF(
 U280=FALSE,
 "",
 _xlfn.XLOOKUP(
  A280,
  tblCost[TargetID],
  tblCost[FundingPercent],
  ""
 )
)</f>
        <v/>
      </c>
      <c r="W280" s="26" t="str">
        <f t="array" ref="W280">IF(
 U280=FALSE,
 "",
 _xlfn.XLOOKUP(
  A280,
  tblCost[TargetID],
  tblCost[RemainingRequirements],
  ""
 )
)</f>
        <v/>
      </c>
      <c r="X280" s="45" t="str">
        <f t="array" ref="X280">IF(
 U280=FALSE,
 "N/A",
 _xlfn.XLOOKUP(
  A281,
  tblCost[TargetID],
  tblCost[TargetFunded],
  FALSE
 )
)</f>
        <v>N/A</v>
      </c>
      <c r="Y280" s="26" t="str">
        <f>IFERROR(__xludf.DUMMYFUNCTION("IFERROR(
 TEXTJOIN(
  "", "",
  TRUE,
  FILTER(
   'cost checklist'!$E$2:$E1000&amp;"": ""&amp;'cost checklist'!$G$2:$G1000,
   'cost checklist'!$B$2:$B1000=A280,
   'cost checklist'!$J$2:$J1000=FALSE
  )
 ),
 """"
)"),"")</f>
        <v/>
      </c>
      <c r="Z280" s="26" t="b">
        <f>IFERROR(__xludf.DUMMYFUNCTION("IF(
 AND(
  E280=""QUEST"",
  RIGHT(A280,9)="".accepted"",
  D280=TRUE
 ),
 XLOOKUP(
  REGEXREPLACE(A280,""\.accepted$"","""")&amp;"".finished"",
  $A$2:$A1000,
  $D$2:$D1000,
  TRUE
 )=FALSE,
 FALSE
)"),FALSE)</f>
        <v>0</v>
      </c>
      <c r="AA280" s="26" t="str">
        <f>IFERROR(__xludf.DUMMYFUNCTION("LET(
 id,A280,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81" ht="14.25" customHeight="1">
      <c r="A281" s="26" t="s">
        <v>1032</v>
      </c>
      <c r="B281" s="26" t="str">
        <f t="array" ref="B281">_xlfn.XLOOKUP(
 A281,
 tblTargets[TargetID],
 tblTargets[DisplayName],
 ""
)</f>
        <v>Honor, Glory, Sushi Finished</v>
      </c>
      <c r="C281" s="26" t="str">
        <f t="shared" si="1"/>
        <v>BLOCKED</v>
      </c>
      <c r="D281" s="26" t="b">
        <f>IFERROR(__xludf.DUMMYFUNCTION("LET(
 id,A281,
 IF(
  F281=""CHARACTER"",
  LET(
   base,REGEXREPLACE(id,""@\d+$"",""""),
   required,VALUE(REGEXEXTRACT(id,""@(\d+)$"")),
   current,XLOOKUP(
    base,
    tblPlayer[PlayerStateID],
    tblPlayer[Value],
    0
   ),
   current&gt;=required
 "&amp;" ),
  IF(
   T281=""AUTO"",
   L281=0,
   COUNTIFS(
    tblChecklist[TargetID],id,
    tblChecklist[PlayerCompleted],TRUE
   )&gt;0
  )
 )
)"),FALSE)</f>
        <v>0</v>
      </c>
      <c r="E281" s="26" t="str">
        <f t="array" ref="E281">_xlfn.XLOOKUP(
 A281,
 tblTargets[TargetID],
 tblTargets[TargetType],
 ""
)</f>
        <v>QUEST</v>
      </c>
      <c r="F281" s="26" t="str">
        <f t="array" ref="F281">_xlfn.XLOOKUP(
 A281,
 tblTargets[TargetID],
 tblTargets[StateType],
 ""
)</f>
        <v/>
      </c>
      <c r="G281" s="26">
        <f>LET(
 id,A281,
 depCount,COUNTIF(tblDependencies[TargetID],id),
 objCount,COUNTIF(tblQuestObjectives[QuestTargetID],id),
 depCount+objCount
)</f>
        <v>5</v>
      </c>
      <c r="H281" s="26">
        <f t="shared" si="2"/>
        <v>5</v>
      </c>
      <c r="I281" s="26">
        <f>IFERROR(__xludf.DUMMYFUNCTION("LET(
 id,A281,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1" s="26">
        <f t="shared" si="3"/>
        <v>0</v>
      </c>
      <c r="K281" s="26" t="b">
        <f t="shared" si="4"/>
        <v>0</v>
      </c>
      <c r="L281" s="26">
        <f t="shared" si="5"/>
        <v>5</v>
      </c>
      <c r="M281" s="26" t="str">
        <f>IFERROR(__xludf.DUMMYFUNCTION("LET(
 id,A281,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L281=0,
  """",
  IFERROR(INDEX(incomplete,1),"""")"&amp;"
 )
)"),"quest.honor_glory_sushi.accepted")</f>
        <v>quest.honor_glory_sushi.accepted</v>
      </c>
      <c r="N281" s="26" t="str">
        <f t="array" ref="N281">IF(
 M281="",
 "",
 _xlfn.XLOOKUP(
  M281,
  tblTargets[TargetID],
  tblTargets[DisplayName],
  M281
 )
)</f>
        <v>Honor, Glory, Sushi Accepted</v>
      </c>
      <c r="O281" s="26" t="str">
        <f>IFERROR(__xludf.DUMMYFUNCTION("SWITCH(
 E281,
 ""BUILDING"",XLOOKUP(A281,tblBuildings[BuildingID],tblBuildings[costtext],""""),
 ""TECH"",XLOOKUP(A281,tblTechnologies[TechnologyID],tblTechnologies[costtext],""""),
 ""QUEST"",XLOOKUP(
  REGEXREPLACE(A281,""\.[^.]+$"",""""),
  tblQuests["&amp;"QuestID],
  tblQuests[Costtext],
  """"
 ),
 ""CITADEL"",XLOOKUP(A281,tblCitadel[CitadelID],tblCitadel[costtext],""""),
 ""COLLECTION"",XLOOKUP(A281,tblCollections[CollectionID],tblCollections[costtext],""""),
 ""CRAFTIFACT"",XLOOKUP(A281,tblCraftifacts[C"&amp;"raftifactID],tblCraftifacts[costtext],""""),
 """"
)"),"")</f>
        <v/>
      </c>
      <c r="P281" s="26" t="str">
        <f t="shared" si="6"/>
        <v>BLOCKED</v>
      </c>
      <c r="Q281" s="26" t="str">
        <f t="shared" si="7"/>
        <v>BLOCKED</v>
      </c>
      <c r="R281" s="26" t="str">
        <f t="array" ref="R281">IFERROR(
 _xlfn.XLOOKUP(
  A281,
  tblChecklist[TargetID],
  tblChecklist[PlayerSort],
  ""
 ),
 ""
)</f>
        <v/>
      </c>
      <c r="S281" s="26" t="str">
        <f>IFERROR(__xludf.DUMMYFUNCTION("LET(
 id,A281,
 successorIDs,
  IFERROR(
   UNIQUE(
    FILTER(
     {
      Dependencies!$A$2:$A$1000;
      QuestObjectives!$A$2:$A$1000
     },
     {
      Dependencies!$B$2:$B$1000;
      QuestObjectives!$E$2:$E$1000
     }=id
    )
   ),
   """"
  )"&amp;",
 names,
  MAP(
   successorIDs,
   LAMBDA(s,
    IF(
     s="""",
     """",
     XLOOKUP(
      s,
      $A$2:$A$1000,
      $B$2:$B$1000,
      s
     )
    )
   )
  ),
 IF(
  successorIDs="""",
  """",
  TEXTJOIN("", "",TRUE,names)
 )
)"),"")</f>
        <v/>
      </c>
      <c r="T281" s="26" t="str">
        <f t="array" ref="T281">_xlfn.XLOOKUP(
 A281,
 tblTargets[TargetID],
 tblTargets[CompletionMethod],
 ""
)</f>
        <v>PLAYER</v>
      </c>
      <c r="U281" s="84" t="b">
        <f>COUNTIF(tblCost[TargetID],A281)&gt;0</f>
        <v>0</v>
      </c>
      <c r="V281" s="85" t="str">
        <f t="array" ref="V281">IF(
 U281=FALSE,
 "",
 _xlfn.XLOOKUP(
  A281,
  tblCost[TargetID],
  tblCost[FundingPercent],
  ""
 )
)</f>
        <v/>
      </c>
      <c r="W281" s="26" t="str">
        <f t="array" ref="W281">IF(
 U281=FALSE,
 "",
 _xlfn.XLOOKUP(
  A281,
  tblCost[TargetID],
  tblCost[RemainingRequirements],
  ""
 )
)</f>
        <v/>
      </c>
      <c r="X281" s="45" t="str">
        <f t="array" ref="X281">IF(
 U281=FALSE,
 "N/A",
 _xlfn.XLOOKUP(
  A282,
  tblCost[TargetID],
  tblCost[TargetFunded],
  FALSE
 )
)</f>
        <v>N/A</v>
      </c>
      <c r="Y281" s="26" t="str">
        <f>IFERROR(__xludf.DUMMYFUNCTION("IFERROR(
 TEXTJOIN(
  "", "",
  TRUE,
  FILTER(
   'cost checklist'!$E$2:$E1000&amp;"": ""&amp;'cost checklist'!$G$2:$G1000,
   'cost checklist'!$B$2:$B1000=A281,
   'cost checklist'!$J$2:$J1000=FALSE
  )
 ),
 """"
)"),"")</f>
        <v/>
      </c>
      <c r="Z281" s="26" t="b">
        <f>IFERROR(__xludf.DUMMYFUNCTION("IF(
 AND(
  E281=""QUEST"",
  RIGHT(A281,9)="".accepted"",
  D281=TRUE
 ),
 XLOOKUP(
  REGEXREPLACE(A281,""\.accepted$"","""")&amp;"".finished"",
  $A$2:$A1000,
  $D$2:$D1000,
  TRUE
 )=FALSE,
 FALSE
)"),FALSE)</f>
        <v>0</v>
      </c>
      <c r="AA281" s="26" t="str">
        <f>IFERROR(__xludf.DUMMYFUNCTION("LET(
 id,A281,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82" ht="14.25" customHeight="1">
      <c r="A282" s="26" t="s">
        <v>1036</v>
      </c>
      <c r="B282" s="26" t="str">
        <f t="array" ref="B282">_xlfn.XLOOKUP(
 A282,
 tblTargets[TargetID],
 tblTargets[DisplayName],
 ""
)</f>
        <v>Journey Through Japan By Train Accepted</v>
      </c>
      <c r="C282" s="26" t="str">
        <f t="shared" si="1"/>
        <v>BLOCKED</v>
      </c>
      <c r="D282" s="26" t="b">
        <f>IFERROR(__xludf.DUMMYFUNCTION("LET(
 id,A282,
 IF(
  F282=""CHARACTER"",
  LET(
   base,REGEXREPLACE(id,""@\d+$"",""""),
   required,VALUE(REGEXEXTRACT(id,""@(\d+)$"")),
   current,XLOOKUP(
    base,
    tblPlayer[PlayerStateID],
    tblPlayer[Value],
    0
   ),
   current&gt;=required
 "&amp;" ),
  IF(
   T282=""AUTO"",
   L282=0,
   COUNTIFS(
    tblChecklist[TargetID],id,
    tblChecklist[PlayerCompleted],TRUE
   )&gt;0
  )
 )
)"),FALSE)</f>
        <v>0</v>
      </c>
      <c r="E282" s="26" t="str">
        <f t="array" ref="E282">_xlfn.XLOOKUP(
 A282,
 tblTargets[TargetID],
 tblTargets[TargetType],
 ""
)</f>
        <v>QUEST</v>
      </c>
      <c r="F282" s="26" t="str">
        <f t="array" ref="F282">_xlfn.XLOOKUP(
 A282,
 tblTargets[TargetID],
 tblTargets[StateType],
 ""
)</f>
        <v/>
      </c>
      <c r="G282" s="26">
        <f>LET(
 id,A282,
 depCount,COUNTIF(tblDependencies[TargetID],id),
 objCount,COUNTIF(tblQuestObjectives[QuestTargetID],id),
 depCount+objCount
)</f>
        <v>1</v>
      </c>
      <c r="H282" s="26">
        <f t="shared" si="2"/>
        <v>1</v>
      </c>
      <c r="I282" s="26">
        <f>IFERROR(__xludf.DUMMYFUNCTION("LET(
 id,A282,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2" s="26">
        <f t="shared" si="3"/>
        <v>0</v>
      </c>
      <c r="K282" s="26" t="b">
        <f t="shared" si="4"/>
        <v>0</v>
      </c>
      <c r="L282" s="26">
        <f t="shared" si="5"/>
        <v>1</v>
      </c>
      <c r="M282" s="26" t="str">
        <f>IFERROR(__xludf.DUMMYFUNCTION("LET(
 id,A282,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L282=0,
  """",
  IFERROR(INDEX(incomplete,1),"""")"&amp;"
 )
)"),"building.station@1")</f>
        <v>building.station@1</v>
      </c>
      <c r="N282" s="26" t="str">
        <f t="array" ref="N282">IF(
 M282="",
 "",
 _xlfn.XLOOKUP(
  M282,
  tblTargets[TargetID],
  tblTargets[DisplayName],
  M282
 )
)</f>
        <v>Station Lv 1</v>
      </c>
      <c r="O282" s="26" t="str">
        <f>IFERROR(__xludf.DUMMYFUNCTION("SWITCH(
 E282,
 ""BUILDING"",XLOOKUP(A282,tblBuildings[BuildingID],tblBuildings[costtext],""""),
 ""TECH"",XLOOKUP(A282,tblTechnologies[TechnologyID],tblTechnologies[costtext],""""),
 ""QUEST"",XLOOKUP(
  REGEXREPLACE(A282,""\.[^.]+$"",""""),
  tblQuests["&amp;"QuestID],
  tblQuests[Costtext],
  """"
 ),
 ""CITADEL"",XLOOKUP(A282,tblCitadel[CitadelID],tblCitadel[costtext],""""),
 ""COLLECTION"",XLOOKUP(A282,tblCollections[CollectionID],tblCollections[costtext],""""),
 ""CRAFTIFACT"",XLOOKUP(A282,tblCraftifacts[C"&amp;"raftifactID],tblCraftifacts[costtext],""""),
 """"
)"),"")</f>
        <v/>
      </c>
      <c r="P282" s="26" t="str">
        <f t="shared" si="6"/>
        <v>BLOCKED</v>
      </c>
      <c r="Q282" s="26" t="str">
        <f t="shared" si="7"/>
        <v>BLOCKED</v>
      </c>
      <c r="R282" s="26" t="str">
        <f t="array" ref="R282">IFERROR(
 _xlfn.XLOOKUP(
  A282,
  tblChecklist[TargetID],
  tblChecklist[PlayerSort],
  ""
 ),
 ""
)</f>
        <v/>
      </c>
      <c r="S282" s="26" t="str">
        <f>IFERROR(__xludf.DUMMYFUNCTION("LET(
 id,A282,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 Obtain Blueprint, Visit Aomori, Visit Fukushima, Visit Kyoto, Visit Nagasaki, Visit Osaka, Visit Tokyo, Visit Wakayama")</f>
        <v>Journey Through Japan By Train Finished, Obtain Blueprint, Visit Aomori, Visit Fukushima, Visit Kyoto, Visit Nagasaki, Visit Osaka, Visit Tokyo, Visit Wakayama</v>
      </c>
      <c r="T282" s="26" t="str">
        <f t="array" ref="T282">_xlfn.XLOOKUP(
 A282,
 tblTargets[TargetID],
 tblTargets[CompletionMethod],
 ""
)</f>
        <v>PLAYER</v>
      </c>
      <c r="U282" s="84" t="b">
        <f>COUNTIF(tblCost[TargetID],A282)&gt;0</f>
        <v>0</v>
      </c>
      <c r="V282" s="85" t="str">
        <f t="array" ref="V282">IF(
 U282=FALSE,
 "",
 _xlfn.XLOOKUP(
  A282,
  tblCost[TargetID],
  tblCost[FundingPercent],
  ""
 )
)</f>
        <v/>
      </c>
      <c r="W282" s="26" t="str">
        <f t="array" ref="W282">IF(
 U282=FALSE,
 "",
 _xlfn.XLOOKUP(
  A282,
  tblCost[TargetID],
  tblCost[RemainingRequirements],
  ""
 )
)</f>
        <v/>
      </c>
      <c r="X282" s="45" t="str">
        <f t="array" ref="X282">IF(
 U282=FALSE,
 "N/A",
 _xlfn.XLOOKUP(
  A283,
  tblCost[TargetID],
  tblCost[TargetFunded],
  FALSE
 )
)</f>
        <v>N/A</v>
      </c>
      <c r="Y282" s="26" t="str">
        <f>IFERROR(__xludf.DUMMYFUNCTION("IFERROR(
 TEXTJOIN(
  "", "",
  TRUE,
  FILTER(
   'cost checklist'!$E$2:$E1000&amp;"": ""&amp;'cost checklist'!$G$2:$G1000,
   'cost checklist'!$B$2:$B1000=A282,
   'cost checklist'!$J$2:$J1000=FALSE
  )
 ),
 """"
)"),"")</f>
        <v/>
      </c>
      <c r="Z282" s="26" t="b">
        <f>IFERROR(__xludf.DUMMYFUNCTION("IF(
 AND(
  E282=""QUEST"",
  RIGHT(A282,9)="".accepted"",
  D282=TRUE
 ),
 XLOOKUP(
  REGEXREPLACE(A282,""\.accepted$"","""")&amp;"".finished"",
  $A$2:$A1000,
  $D$2:$D1000,
  TRUE
 )=FALSE,
 FALSE
)"),FALSE)</f>
        <v>0</v>
      </c>
      <c r="AA282" s="26" t="str">
        <f>IFERROR(__xludf.DUMMYFUNCTION("LET(
 id,A282,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83" ht="14.25" customHeight="1">
      <c r="A283" s="26" t="s">
        <v>1039</v>
      </c>
      <c r="B283" s="26" t="str">
        <f t="array" ref="B283">_xlfn.XLOOKUP(
 A283,
 tblTargets[TargetID],
 tblTargets[DisplayName],
 ""
)</f>
        <v>Journey Through Japan By Train Finished</v>
      </c>
      <c r="C283" s="26" t="str">
        <f t="shared" si="1"/>
        <v>BLOCKED</v>
      </c>
      <c r="D283" s="26" t="b">
        <f>IFERROR(__xludf.DUMMYFUNCTION("LET(
 id,A283,
 IF(
  F283=""CHARACTER"",
  LET(
   base,REGEXREPLACE(id,""@\d+$"",""""),
   required,VALUE(REGEXEXTRACT(id,""@(\d+)$"")),
   current,XLOOKUP(
    base,
    tblPlayer[PlayerStateID],
    tblPlayer[Value],
    0
   ),
   current&gt;=required
 "&amp;" ),
  IF(
   T283=""AUTO"",
   L283=0,
   COUNTIFS(
    tblChecklist[TargetID],id,
    tblChecklist[PlayerCompleted],TRUE
   )&gt;0
  )
 )
)"),FALSE)</f>
        <v>0</v>
      </c>
      <c r="E283" s="26" t="str">
        <f t="array" ref="E283">_xlfn.XLOOKUP(
 A283,
 tblTargets[TargetID],
 tblTargets[TargetType],
 ""
)</f>
        <v>QUEST</v>
      </c>
      <c r="F283" s="26" t="str">
        <f t="array" ref="F283">_xlfn.XLOOKUP(
 A283,
 tblTargets[TargetID],
 tblTargets[StateType],
 ""
)</f>
        <v/>
      </c>
      <c r="G283" s="26">
        <f>LET(
 id,A283,
 depCount,COUNTIF(tblDependencies[TargetID],id),
 objCount,COUNTIF(tblQuestObjectives[QuestTargetID],id),
 depCount+objCount
)</f>
        <v>13</v>
      </c>
      <c r="H283" s="26">
        <f t="shared" si="2"/>
        <v>13</v>
      </c>
      <c r="I283" s="26">
        <f>IFERROR(__xludf.DUMMYFUNCTION("LET(
 id,A283,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3" s="26">
        <f t="shared" si="3"/>
        <v>0</v>
      </c>
      <c r="K283" s="26" t="b">
        <f t="shared" si="4"/>
        <v>0</v>
      </c>
      <c r="L283" s="26">
        <f t="shared" si="5"/>
        <v>13</v>
      </c>
      <c r="M283" s="26" t="str">
        <f>IFERROR(__xludf.DUMMYFUNCTION("LET(
 id,A283,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L283=0,
  """",
  IFERROR(INDEX(incomplete,1),"""")"&amp;"
 )
)"),"quest.journey_through_japan_by_train.accepted")</f>
        <v>quest.journey_through_japan_by_train.accepted</v>
      </c>
      <c r="N283" s="26" t="str">
        <f t="array" ref="N283">IF(
 M283="",
 "",
 _xlfn.XLOOKUP(
  M283,
  tblTargets[TargetID],
  tblTargets[DisplayName],
  M283
 )
)</f>
        <v>Journey Through Japan By Train Accepted</v>
      </c>
      <c r="O283" s="26" t="str">
        <f>IFERROR(__xludf.DUMMYFUNCTION("SWITCH(
 E283,
 ""BUILDING"",XLOOKUP(A283,tblBuildings[BuildingID],tblBuildings[costtext],""""),
 ""TECH"",XLOOKUP(A283,tblTechnologies[TechnologyID],tblTechnologies[costtext],""""),
 ""QUEST"",XLOOKUP(
  REGEXREPLACE(A283,""\.[^.]+$"",""""),
  tblQuests["&amp;"QuestID],
  tblQuests[Costtext],
  """"
 ),
 ""CITADEL"",XLOOKUP(A283,tblCitadel[CitadelID],tblCitadel[costtext],""""),
 ""COLLECTION"",XLOOKUP(A283,tblCollections[CollectionID],tblCollections[costtext],""""),
 ""CRAFTIFACT"",XLOOKUP(A283,tblCraftifacts[C"&amp;"raftifactID],tblCraftifacts[costtext],""""),
 """"
)"),"")</f>
        <v/>
      </c>
      <c r="P283" s="26" t="str">
        <f t="shared" si="6"/>
        <v>BLOCKED</v>
      </c>
      <c r="Q283" s="26" t="str">
        <f t="shared" si="7"/>
        <v>BLOCKED</v>
      </c>
      <c r="R283" s="26" t="str">
        <f t="array" ref="R283">IFERROR(
 _xlfn.XLOOKUP(
  A283,
  tblChecklist[TargetID],
  tblChecklist[PlayerSort],
  ""
 ),
 ""
)</f>
        <v/>
      </c>
      <c r="S283" s="26" t="str">
        <f>IFERROR(__xludf.DUMMYFUNCTION("LET(
 id,A283,
 successorIDs,
  IFERROR(
   UNIQUE(
    FILTER(
     {
      Dependencies!$A$2:$A$1000;
      QuestObjectives!$A$2:$A$1000
     },
     {
      Dependencies!$B$2:$B$1000;
      QuestObjectives!$E$2:$E$1000
     }=id
    )
   ),
   """"
  )"&amp;",
 names,
  MAP(
   successorIDs,
   LAMBDA(s,
    IF(
     s="""",
     """",
     XLOOKUP(
      s,
      $A$2:$A$1000,
      $B$2:$B$1000,
      s
     )
    )
   )
  ),
 IF(
  successorIDs="""",
  """",
  TEXTJOIN("", "",TRUE,names)
 )
)"),"Ahead of Time Chapter 2 Accepted")</f>
        <v>Ahead of Time Chapter 2 Accepted</v>
      </c>
      <c r="T283" s="26" t="str">
        <f t="array" ref="T283">_xlfn.XLOOKUP(
 A283,
 tblTargets[TargetID],
 tblTargets[CompletionMethod],
 ""
)</f>
        <v>PLAYER</v>
      </c>
      <c r="U283" s="84" t="b">
        <f>COUNTIF(tblCost[TargetID],A283)&gt;0</f>
        <v>0</v>
      </c>
      <c r="V283" s="85" t="str">
        <f t="array" ref="V283">IF(
 U283=FALSE,
 "",
 _xlfn.XLOOKUP(
  A283,
  tblCost[TargetID],
  tblCost[FundingPercent],
  ""
 )
)</f>
        <v/>
      </c>
      <c r="W283" s="26" t="str">
        <f t="array" ref="W283">IF(
 U283=FALSE,
 "",
 _xlfn.XLOOKUP(
  A283,
  tblCost[TargetID],
  tblCost[RemainingRequirements],
  ""
 )
)</f>
        <v/>
      </c>
      <c r="X283" s="45" t="str">
        <f t="array" ref="X283">IF(
 U283=FALSE,
 "N/A",
 _xlfn.XLOOKUP(
  A284,
  tblCost[TargetID],
  tblCost[TargetFunded],
  FALSE
 )
)</f>
        <v>N/A</v>
      </c>
      <c r="Y283" s="26" t="str">
        <f>IFERROR(__xludf.DUMMYFUNCTION("IFERROR(
 TEXTJOIN(
  "", "",
  TRUE,
  FILTER(
   'cost checklist'!$E$2:$E1000&amp;"": ""&amp;'cost checklist'!$G$2:$G1000,
   'cost checklist'!$B$2:$B1000=A283,
   'cost checklist'!$J$2:$J1000=FALSE
  )
 ),
 """"
)"),"")</f>
        <v/>
      </c>
      <c r="Z283" s="26" t="b">
        <f>IFERROR(__xludf.DUMMYFUNCTION("IF(
 AND(
  E283=""QUEST"",
  RIGHT(A283,9)="".accepted"",
  D283=TRUE
 ),
 XLOOKUP(
  REGEXREPLACE(A283,""\.accepted$"","""")&amp;"".finished"",
  $A$2:$A1000,
  $D$2:$D1000,
  TRUE
 )=FALSE,
 FALSE
)"),FALSE)</f>
        <v>0</v>
      </c>
      <c r="AA283" s="26" t="str">
        <f>IFERROR(__xludf.DUMMYFUNCTION("LET(
 id,A283,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2")</f>
        <v>Ahead of Time Chapter 2</v>
      </c>
    </row>
    <row r="284" ht="14.25" customHeight="1">
      <c r="A284" s="26" t="s">
        <v>1044</v>
      </c>
      <c r="B284" s="26" t="str">
        <f t="array" ref="B284">_xlfn.XLOOKUP(
 A284,
 tblTargets[TargetID],
 tblTargets[DisplayName],
 ""
)</f>
        <v>Letter from the Dark Lady Accepted</v>
      </c>
      <c r="C284" s="26" t="str">
        <f t="shared" si="1"/>
        <v>BLOCKED</v>
      </c>
      <c r="D284" s="26" t="b">
        <f>IFERROR(__xludf.DUMMYFUNCTION("LET(
 id,A284,
 IF(
  F284=""CHARACTER"",
  LET(
   base,REGEXREPLACE(id,""@\d+$"",""""),
   required,VALUE(REGEXEXTRACT(id,""@(\d+)$"")),
   current,XLOOKUP(
    base,
    tblPlayer[PlayerStateID],
    tblPlayer[Value],
    0
   ),
   current&gt;=required
 "&amp;" ),
  IF(
   T284=""AUTO"",
   L284=0,
   COUNTIFS(
    tblChecklist[TargetID],id,
    tblChecklist[PlayerCompleted],TRUE
   )&gt;0
  )
 )
)"),FALSE)</f>
        <v>0</v>
      </c>
      <c r="E284" s="26" t="str">
        <f t="array" ref="E284">_xlfn.XLOOKUP(
 A284,
 tblTargets[TargetID],
 tblTargets[TargetType],
 ""
)</f>
        <v>QUEST</v>
      </c>
      <c r="F284" s="26" t="str">
        <f t="array" ref="F284">_xlfn.XLOOKUP(
 A284,
 tblTargets[TargetID],
 tblTargets[StateType],
 ""
)</f>
        <v/>
      </c>
      <c r="G284" s="26">
        <f>LET(
 id,A284,
 depCount,COUNTIF(tblDependencies[TargetID],id),
 objCount,COUNTIF(tblQuestObjectives[QuestTargetID],id),
 depCount+objCount
)</f>
        <v>1</v>
      </c>
      <c r="H284" s="26">
        <f t="shared" si="2"/>
        <v>1</v>
      </c>
      <c r="I284" s="26">
        <f>IFERROR(__xludf.DUMMYFUNCTION("LET(
 id,A284,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4" s="26">
        <f t="shared" si="3"/>
        <v>0</v>
      </c>
      <c r="K284" s="26" t="b">
        <f t="shared" si="4"/>
        <v>0</v>
      </c>
      <c r="L284" s="26">
        <f t="shared" si="5"/>
        <v>1</v>
      </c>
      <c r="M284" s="26" t="str">
        <f>IFERROR(__xludf.DUMMYFUNCTION("LET(
 id,A284,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L284=0,
  """",
  IFERROR(INDEX(incomplete,1),"""")"&amp;"
 )
)"),"quest.the_ordinary_days_of_an_adventurer_chapter_6.finished")</f>
        <v>quest.the_ordinary_days_of_an_adventurer_chapter_6.finished</v>
      </c>
      <c r="N284" s="26" t="str">
        <f t="array" ref="N284">IF(
 M284="",
 "",
 _xlfn.XLOOKUP(
  M284,
  tblTargets[TargetID],
  tblTargets[DisplayName],
  M284
 )
)</f>
        <v>The Ordinary Days of an Adventurer Chapter 6 Finished</v>
      </c>
      <c r="O284" s="26" t="str">
        <f>IFERROR(__xludf.DUMMYFUNCTION("SWITCH(
 E284,
 ""BUILDING"",XLOOKUP(A284,tblBuildings[BuildingID],tblBuildings[costtext],""""),
 ""TECH"",XLOOKUP(A284,tblTechnologies[TechnologyID],tblTechnologies[costtext],""""),
 ""QUEST"",XLOOKUP(
  REGEXREPLACE(A284,""\.[^.]+$"",""""),
  tblQuests["&amp;"QuestID],
  tblQuests[Costtext],
  """"
 ),
 ""CITADEL"",XLOOKUP(A284,tblCitadel[CitadelID],tblCitadel[costtext],""""),
 ""COLLECTION"",XLOOKUP(A284,tblCollections[CollectionID],tblCollections[costtext],""""),
 ""CRAFTIFACT"",XLOOKUP(A284,tblCraftifacts[C"&amp;"raftifactID],tblCraftifacts[costtext],""""),
 """"
)"),"")</f>
        <v/>
      </c>
      <c r="P284" s="26" t="str">
        <f t="shared" si="6"/>
        <v>BLOCKED</v>
      </c>
      <c r="Q284" s="26" t="str">
        <f t="shared" si="7"/>
        <v>BLOCKED</v>
      </c>
      <c r="R284" s="26" t="str">
        <f t="array" ref="R284">IFERROR(
 _xlfn.XLOOKUP(
  A284,
  tblChecklist[TargetID],
  tblChecklist[PlayerSort],
  ""
 ),
 ""
)</f>
        <v/>
      </c>
      <c r="S284" s="26" t="str">
        <f>IFERROR(__xludf.DUMMYFUNCTION("LET(
 id,A284,
 successorIDs,
  IFERROR(
   UNIQUE(
    FILTER(
     {
      Dependencies!$A$2:$A$1000;
      QuestObjectives!$A$2:$A$1000
     },
     {
      Dependencies!$B$2:$B$1000;
      QuestObjectives!$E$2:$E$1000
     }=id
    )
   ),
   """"
  )"&amp;",
 names,
  MAP(
   successorIDs,
   LAMBDA(s,
    IF(
     s="""",
     """",
     XLOOKUP(
      s,
      $A$2:$A$1000,
      $B$2:$B$1000,
      s
     )
    )
   )
  ),
 IF(
  successorIDs="""",
  """",
  TEXTJOIN("", "",TRUE,names)
 )
)"),"Broken Lever, Letter from the Dark Lady Finished")</f>
        <v>Broken Lever, Letter from the Dark Lady Finished</v>
      </c>
      <c r="T284" s="26" t="str">
        <f t="array" ref="T284">_xlfn.XLOOKUP(
 A284,
 tblTargets[TargetID],
 tblTargets[CompletionMethod],
 ""
)</f>
        <v>PLAYER</v>
      </c>
      <c r="U284" s="84" t="b">
        <f>COUNTIF(tblCost[TargetID],A284)&gt;0</f>
        <v>0</v>
      </c>
      <c r="V284" s="85" t="str">
        <f t="array" ref="V284">IF(
 U284=FALSE,
 "",
 _xlfn.XLOOKUP(
  A284,
  tblCost[TargetID],
  tblCost[FundingPercent],
  ""
 )
)</f>
        <v/>
      </c>
      <c r="W284" s="26" t="str">
        <f t="array" ref="W284">IF(
 U284=FALSE,
 "",
 _xlfn.XLOOKUP(
  A284,
  tblCost[TargetID],
  tblCost[RemainingRequirements],
  ""
 )
)</f>
        <v/>
      </c>
      <c r="X284" s="45" t="str">
        <f t="array" ref="X284">IF(
 U284=FALSE,
 "N/A",
 _xlfn.XLOOKUP(
  A285,
  tblCost[TargetID],
  tblCost[TargetFunded],
  FALSE
 )
)</f>
        <v>N/A</v>
      </c>
      <c r="Y284" s="26" t="str">
        <f>IFERROR(__xludf.DUMMYFUNCTION("IFERROR(
 TEXTJOIN(
  "", "",
  TRUE,
  FILTER(
   'cost checklist'!$E$2:$E1000&amp;"": ""&amp;'cost checklist'!$G$2:$G1000,
   'cost checklist'!$B$2:$B1000=A284,
   'cost checklist'!$J$2:$J1000=FALSE
  )
 ),
 """"
)"),"")</f>
        <v/>
      </c>
      <c r="Z284" s="26" t="b">
        <f>IFERROR(__xludf.DUMMYFUNCTION("IF(
 AND(
  E284=""QUEST"",
  RIGHT(A284,9)="".accepted"",
  D284=TRUE
 ),
 XLOOKUP(
  REGEXREPLACE(A284,""\.accepted$"","""")&amp;"".finished"",
  $A$2:$A1000,
  $D$2:$D1000,
  TRUE
 )=FALSE,
 FALSE
)"),FALSE)</f>
        <v>0</v>
      </c>
      <c r="AA284" s="26" t="str">
        <f>IFERROR(__xludf.DUMMYFUNCTION("LET(
 id,A284,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85" ht="14.25" customHeight="1">
      <c r="A285" s="26" t="s">
        <v>1048</v>
      </c>
      <c r="B285" s="26" t="str">
        <f t="array" ref="B285">_xlfn.XLOOKUP(
 A285,
 tblTargets[TargetID],
 tblTargets[DisplayName],
 ""
)</f>
        <v>Letter from the Dark Lady Finished</v>
      </c>
      <c r="C285" s="26" t="str">
        <f t="shared" si="1"/>
        <v>BLOCKED</v>
      </c>
      <c r="D285" s="26" t="b">
        <f>IFERROR(__xludf.DUMMYFUNCTION("LET(
 id,A285,
 IF(
  F285=""CHARACTER"",
  LET(
   base,REGEXREPLACE(id,""@\d+$"",""""),
   required,VALUE(REGEXEXTRACT(id,""@(\d+)$"")),
   current,XLOOKUP(
    base,
    tblPlayer[PlayerStateID],
    tblPlayer[Value],
    0
   ),
   current&gt;=required
 "&amp;" ),
  IF(
   T285=""AUTO"",
   L285=0,
   COUNTIFS(
    tblChecklist[TargetID],id,
    tblChecklist[PlayerCompleted],TRUE
   )&gt;0
  )
 )
)"),FALSE)</f>
        <v>0</v>
      </c>
      <c r="E285" s="26" t="str">
        <f t="array" ref="E285">_xlfn.XLOOKUP(
 A285,
 tblTargets[TargetID],
 tblTargets[TargetType],
 ""
)</f>
        <v>QUEST</v>
      </c>
      <c r="F285" s="26" t="str">
        <f t="array" ref="F285">_xlfn.XLOOKUP(
 A285,
 tblTargets[TargetID],
 tblTargets[StateType],
 ""
)</f>
        <v/>
      </c>
      <c r="G285" s="26">
        <f>LET(
 id,A285,
 depCount,COUNTIF(tblDependencies[TargetID],id),
 objCount,COUNTIF(tblQuestObjectives[QuestTargetID],id),
 depCount+objCount
)</f>
        <v>11</v>
      </c>
      <c r="H285" s="26">
        <f t="shared" si="2"/>
        <v>11</v>
      </c>
      <c r="I285" s="26">
        <f>IFERROR(__xludf.DUMMYFUNCTION("LET(
 id,A285,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5" s="26">
        <f t="shared" si="3"/>
        <v>0</v>
      </c>
      <c r="K285" s="26" t="b">
        <f t="shared" si="4"/>
        <v>0</v>
      </c>
      <c r="L285" s="26">
        <f t="shared" si="5"/>
        <v>11</v>
      </c>
      <c r="M285" s="26" t="str">
        <f>IFERROR(__xludf.DUMMYFUNCTION("LET(
 id,A285,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L285=0,
  """",
  IFERROR(INDEX(incomplete,1),"""")"&amp;"
 )
)"),"quest.letter_from_the_dark_lady.accepted")</f>
        <v>quest.letter_from_the_dark_lady.accepted</v>
      </c>
      <c r="N285" s="26" t="str">
        <f t="array" ref="N285">IF(
 M285="",
 "",
 _xlfn.XLOOKUP(
  M285,
  tblTargets[TargetID],
  tblTargets[DisplayName],
  M285
 )
)</f>
        <v>Letter from the Dark Lady Accepted</v>
      </c>
      <c r="O285" s="26" t="str">
        <f>IFERROR(__xludf.DUMMYFUNCTION("SWITCH(
 E285,
 ""BUILDING"",XLOOKUP(A285,tblBuildings[BuildingID],tblBuildings[costtext],""""),
 ""TECH"",XLOOKUP(A285,tblTechnologies[TechnologyID],tblTechnologies[costtext],""""),
 ""QUEST"",XLOOKUP(
  REGEXREPLACE(A285,""\.[^.]+$"",""""),
  tblQuests["&amp;"QuestID],
  tblQuests[Costtext],
  """"
 ),
 ""CITADEL"",XLOOKUP(A285,tblCitadel[CitadelID],tblCitadel[costtext],""""),
 ""COLLECTION"",XLOOKUP(A285,tblCollections[CollectionID],tblCollections[costtext],""""),
 ""CRAFTIFACT"",XLOOKUP(A285,tblCraftifacts[C"&amp;"raftifactID],tblCraftifacts[costtext],""""),
 """"
)"),"")</f>
        <v/>
      </c>
      <c r="P285" s="26" t="str">
        <f t="shared" si="6"/>
        <v>BLOCKED</v>
      </c>
      <c r="Q285" s="26" t="str">
        <f t="shared" si="7"/>
        <v>BLOCKED</v>
      </c>
      <c r="R285" s="26" t="str">
        <f t="array" ref="R285">IFERROR(
 _xlfn.XLOOKUP(
  A285,
  tblChecklist[TargetID],
  tblChecklist[PlayerSort],
  ""
 ),
 ""
)</f>
        <v/>
      </c>
      <c r="S285" s="26" t="str">
        <f>IFERROR(__xludf.DUMMYFUNCTION("LET(
 id,A285,
 successorIDs,
  IFERROR(
   UNIQUE(
    FILTER(
     {
      Dependencies!$A$2:$A$1000;
      QuestObjectives!$A$2:$A$1000
     },
     {
      Dependencies!$B$2:$B$1000;
      QuestObjectives!$E$2:$E$1000
     }=id
    )
   ),
   """"
  )"&amp;",
 names,
  MAP(
   successorIDs,
   LAMBDA(s,
    IF(
     s="""",
     """",
     XLOOKUP(
      s,
      $A$2:$A$1000,
      $B$2:$B$1000,
      s
     )
    )
   )
  ),
 IF(
  successorIDs="""",
  """",
  TEXTJOIN("", "",TRUE,names)
 )
)"),"")</f>
        <v/>
      </c>
      <c r="T285" s="26" t="str">
        <f t="array" ref="T285">_xlfn.XLOOKUP(
 A285,
 tblTargets[TargetID],
 tblTargets[CompletionMethod],
 ""
)</f>
        <v>PLAYER</v>
      </c>
      <c r="U285" s="84" t="b">
        <f>COUNTIF(tblCost[TargetID],A285)&gt;0</f>
        <v>0</v>
      </c>
      <c r="V285" s="85" t="str">
        <f t="array" ref="V285">IF(
 U285=FALSE,
 "",
 _xlfn.XLOOKUP(
  A285,
  tblCost[TargetID],
  tblCost[FundingPercent],
  ""
 )
)</f>
        <v/>
      </c>
      <c r="W285" s="26" t="str">
        <f t="array" ref="W285">IF(
 U285=FALSE,
 "",
 _xlfn.XLOOKUP(
  A285,
  tblCost[TargetID],
  tblCost[RemainingRequirements],
  ""
 )
)</f>
        <v/>
      </c>
      <c r="X285" s="45" t="str">
        <f t="array" ref="X285">IF(
 U285=FALSE,
 "N/A",
 _xlfn.XLOOKUP(
  A286,
  tblCost[TargetID],
  tblCost[TargetFunded],
  FALSE
 )
)</f>
        <v>N/A</v>
      </c>
      <c r="Y285" s="26" t="str">
        <f>IFERROR(__xludf.DUMMYFUNCTION("IFERROR(
 TEXTJOIN(
  "", "",
  TRUE,
  FILTER(
   'cost checklist'!$E$2:$E1000&amp;"": ""&amp;'cost checklist'!$G$2:$G1000,
   'cost checklist'!$B$2:$B1000=A285,
   'cost checklist'!$J$2:$J1000=FALSE
  )
 ),
 """"
)"),"")</f>
        <v/>
      </c>
      <c r="Z285" s="26" t="b">
        <f>IFERROR(__xludf.DUMMYFUNCTION("IF(
 AND(
  E285=""QUEST"",
  RIGHT(A285,9)="".accepted"",
  D285=TRUE
 ),
 XLOOKUP(
  REGEXREPLACE(A285,""\.accepted$"","""")&amp;"".finished"",
  $A$2:$A1000,
  $D$2:$D1000,
  TRUE
 )=FALSE,
 FALSE
)"),FALSE)</f>
        <v>0</v>
      </c>
      <c r="AA285" s="26" t="str">
        <f>IFERROR(__xludf.DUMMYFUNCTION("LET(
 id,A285,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86" ht="14.25" customHeight="1">
      <c r="A286" s="26" t="s">
        <v>1053</v>
      </c>
      <c r="B286" s="26" t="str">
        <f t="array" ref="B286">_xlfn.XLOOKUP(
 A286,
 tblTargets[TargetID],
 tblTargets[DisplayName],
 ""
)</f>
        <v>Magic Beans Accepted</v>
      </c>
      <c r="C286" s="26" t="str">
        <f t="shared" si="1"/>
        <v>BLOCKED</v>
      </c>
      <c r="D286" s="26" t="b">
        <f>IFERROR(__xludf.DUMMYFUNCTION("LET(
 id,A286,
 IF(
  F286=""CHARACTER"",
  LET(
   base,REGEXREPLACE(id,""@\d+$"",""""),
   required,VALUE(REGEXEXTRACT(id,""@(\d+)$"")),
   current,XLOOKUP(
    base,
    tblPlayer[PlayerStateID],
    tblPlayer[Value],
    0
   ),
   current&gt;=required
 "&amp;" ),
  IF(
   T286=""AUTO"",
   L286=0,
   COUNTIFS(
    tblChecklist[TargetID],id,
    tblChecklist[PlayerCompleted],TRUE
   )&gt;0
  )
 )
)"),FALSE)</f>
        <v>0</v>
      </c>
      <c r="E286" s="26" t="str">
        <f t="array" ref="E286">_xlfn.XLOOKUP(
 A286,
 tblTargets[TargetID],
 tblTargets[TargetType],
 ""
)</f>
        <v>QUEST</v>
      </c>
      <c r="F286" s="26" t="str">
        <f t="array" ref="F286">_xlfn.XLOOKUP(
 A286,
 tblTargets[TargetID],
 tblTargets[StateType],
 ""
)</f>
        <v/>
      </c>
      <c r="G286" s="26">
        <f>LET(
 id,A286,
 depCount,COUNTIF(tblDependencies[TargetID],id),
 objCount,COUNTIF(tblQuestObjectives[QuestTargetID],id),
 depCount+objCount
)</f>
        <v>3</v>
      </c>
      <c r="H286" s="26">
        <f t="shared" si="2"/>
        <v>3</v>
      </c>
      <c r="I286" s="26">
        <f>IFERROR(__xludf.DUMMYFUNCTION("LET(
 id,A286,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6" s="26">
        <f t="shared" si="3"/>
        <v>0</v>
      </c>
      <c r="K286" s="26" t="b">
        <f t="shared" si="4"/>
        <v>0</v>
      </c>
      <c r="L286" s="26">
        <f t="shared" si="5"/>
        <v>3</v>
      </c>
      <c r="M286" s="26" t="str">
        <f>IFERROR(__xludf.DUMMYFUNCTION("LET(
 id,A286,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L286=0,
  """",
  IFERROR(INDEX(incomplete,1),"""")"&amp;"
 )
)"),"quest.the_ring_of_the_dark_lady.finished")</f>
        <v>quest.the_ring_of_the_dark_lady.finished</v>
      </c>
      <c r="N286" s="26" t="str">
        <f t="array" ref="N286">IF(
 M286="",
 "",
 _xlfn.XLOOKUP(
  M286,
  tblTargets[TargetID],
  tblTargets[DisplayName],
  M286
 )
)</f>
        <v>The Ring of the Dark Lady Finished</v>
      </c>
      <c r="O286" s="26" t="str">
        <f>IFERROR(__xludf.DUMMYFUNCTION("SWITCH(
 E286,
 ""BUILDING"",XLOOKUP(A286,tblBuildings[BuildingID],tblBuildings[costtext],""""),
 ""TECH"",XLOOKUP(A286,tblTechnologies[TechnologyID],tblTechnologies[costtext],""""),
 ""QUEST"",XLOOKUP(
  REGEXREPLACE(A286,""\.[^.]+$"",""""),
  tblQuests["&amp;"QuestID],
  tblQuests[Costtext],
  """"
 ),
 ""CITADEL"",XLOOKUP(A286,tblCitadel[CitadelID],tblCitadel[costtext],""""),
 ""COLLECTION"",XLOOKUP(A286,tblCollections[CollectionID],tblCollections[costtext],""""),
 ""CRAFTIFACT"",XLOOKUP(A286,tblCraftifacts[C"&amp;"raftifactID],tblCraftifacts[costtext],""""),
 """"
)"),"tofu:1,inarizushi:1,teriyaki:1")</f>
        <v>tofu:1,inarizushi:1,teriyaki:1</v>
      </c>
      <c r="P286" s="26" t="str">
        <f t="shared" si="6"/>
        <v>BLOCKED</v>
      </c>
      <c r="Q286" s="26" t="str">
        <f t="shared" si="7"/>
        <v>BLOCKED</v>
      </c>
      <c r="R286" s="26" t="str">
        <f t="array" ref="R286">IFERROR(
 _xlfn.XLOOKUP(
  A286,
  tblChecklist[TargetID],
  tblChecklist[PlayerSort],
  ""
 ),
 ""
)</f>
        <v/>
      </c>
      <c r="S286" s="26" t="str">
        <f>IFERROR(__xludf.DUMMYFUNCTION("LET(
 id,A286,
 successorIDs,
  IFERROR(
   UNIQUE(
    FILTER(
     {
      Dependencies!$A$2:$A$1000;
      QuestObjectives!$A$2:$A$1000
     },
     {
      Dependencies!$B$2:$B$1000;
      QuestObjectives!$E$2:$E$1000
     }=id
    )
   ),
   """"
  )"&amp;",
 names,
  MAP(
   successorIDs,
   LAMBDA(s,
    IF(
     s="""",
     """",
     XLOOKUP(
      s,
      $A$2:$A$1000,
      $B$2:$B$1000,
      s
     )
    )
   )
  ),
 IF(
  successorIDs="""",
  """",
  TEXTJOIN("", "",TRUE,names)
 )
)"),"Magic Beans Finished, Deliver Inarizushi to 4B, Deliver Teriyaki Salmon to 4C, Deliver Tofu to 4A")</f>
        <v>Magic Beans Finished, Deliver Inarizushi to 4B, Deliver Teriyaki Salmon to 4C, Deliver Tofu to 4A</v>
      </c>
      <c r="T286" s="26" t="str">
        <f t="array" ref="T286">_xlfn.XLOOKUP(
 A286,
 tblTargets[TargetID],
 tblTargets[CompletionMethod],
 ""
)</f>
        <v>PLAYER</v>
      </c>
      <c r="U286" s="84" t="b">
        <f>COUNTIF(tblCost[TargetID],A286)&gt;0</f>
        <v>0</v>
      </c>
      <c r="V286" s="85" t="str">
        <f t="array" ref="V286">IF(
 U286=FALSE,
 "",
 _xlfn.XLOOKUP(
  A286,
  tblCost[TargetID],
  tblCost[FundingPercent],
  ""
 )
)</f>
        <v/>
      </c>
      <c r="W286" s="26" t="str">
        <f t="array" ref="W286">IF(
 U286=FALSE,
 "",
 _xlfn.XLOOKUP(
  A286,
  tblCost[TargetID],
  tblCost[RemainingRequirements],
  ""
 )
)</f>
        <v/>
      </c>
      <c r="X286" s="45" t="str">
        <f t="array" ref="X286">IF(
 U286=FALSE,
 "N/A",
 _xlfn.XLOOKUP(
  A287,
  tblCost[TargetID],
  tblCost[TargetFunded],
  FALSE
 )
)</f>
        <v>N/A</v>
      </c>
      <c r="Y286" s="26" t="str">
        <f>IFERROR(__xludf.DUMMYFUNCTION("IFERROR(
 TEXTJOIN(
  "", "",
  TRUE,
  FILTER(
   'cost checklist'!$E$2:$E1000&amp;"": ""&amp;'cost checklist'!$G$2:$G1000,
   'cost checklist'!$B$2:$B1000=A286,
   'cost checklist'!$J$2:$J1000=FALSE
  )
 ),
 """"
)"),"")</f>
        <v/>
      </c>
      <c r="Z286" s="26" t="b">
        <f>IFERROR(__xludf.DUMMYFUNCTION("IF(
 AND(
  E286=""QUEST"",
  RIGHT(A286,9)="".accepted"",
  D286=TRUE
 ),
 XLOOKUP(
  REGEXREPLACE(A286,""\.accepted$"","""")&amp;"".finished"",
  $A$2:$A1000,
  $D$2:$D1000,
  TRUE
 )=FALSE,
 FALSE
)"),FALSE)</f>
        <v>0</v>
      </c>
      <c r="AA286" s="26" t="str">
        <f>IFERROR(__xludf.DUMMYFUNCTION("LET(
 id,A286,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87" ht="14.25" customHeight="1">
      <c r="A287" s="26" t="s">
        <v>1057</v>
      </c>
      <c r="B287" s="26" t="str">
        <f t="array" ref="B287">_xlfn.XLOOKUP(
 A287,
 tblTargets[TargetID],
 tblTargets[DisplayName],
 ""
)</f>
        <v>Magic Beans Finished</v>
      </c>
      <c r="C287" s="26" t="str">
        <f t="shared" si="1"/>
        <v>BLOCKED</v>
      </c>
      <c r="D287" s="26" t="b">
        <f>IFERROR(__xludf.DUMMYFUNCTION("LET(
 id,A287,
 IF(
  F287=""CHARACTER"",
  LET(
   base,REGEXREPLACE(id,""@\d+$"",""""),
   required,VALUE(REGEXEXTRACT(id,""@(\d+)$"")),
   current,XLOOKUP(
    base,
    tblPlayer[PlayerStateID],
    tblPlayer[Value],
    0
   ),
   current&gt;=required
 "&amp;" ),
  IF(
   T287=""AUTO"",
   L287=0,
   COUNTIFS(
    tblChecklist[TargetID],id,
    tblChecklist[PlayerCompleted],TRUE
   )&gt;0
  )
 )
)"),FALSE)</f>
        <v>0</v>
      </c>
      <c r="E287" s="26" t="str">
        <f t="array" ref="E287">_xlfn.XLOOKUP(
 A287,
 tblTargets[TargetID],
 tblTargets[TargetType],
 ""
)</f>
        <v>QUEST</v>
      </c>
      <c r="F287" s="26" t="str">
        <f t="array" ref="F287">_xlfn.XLOOKUP(
 A287,
 tblTargets[TargetID],
 tblTargets[StateType],
 ""
)</f>
        <v/>
      </c>
      <c r="G287" s="26">
        <f>LET(
 id,A287,
 depCount,COUNTIF(tblDependencies[TargetID],id),
 objCount,COUNTIF(tblQuestObjectives[QuestTargetID],id),
 depCount+objCount
)</f>
        <v>4</v>
      </c>
      <c r="H287" s="26">
        <f t="shared" si="2"/>
        <v>4</v>
      </c>
      <c r="I287" s="26">
        <f>IFERROR(__xludf.DUMMYFUNCTION("LET(
 id,A287,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7" s="26">
        <f t="shared" si="3"/>
        <v>0</v>
      </c>
      <c r="K287" s="26" t="b">
        <f t="shared" si="4"/>
        <v>0</v>
      </c>
      <c r="L287" s="26">
        <f t="shared" si="5"/>
        <v>4</v>
      </c>
      <c r="M287" s="26" t="str">
        <f>IFERROR(__xludf.DUMMYFUNCTION("LET(
 id,A287,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L287=0,
  """",
  IFERROR(INDEX(incomplete,1),"""")"&amp;"
 )
)"),"quest.magic_beans.accepted")</f>
        <v>quest.magic_beans.accepted</v>
      </c>
      <c r="N287" s="26" t="str">
        <f t="array" ref="N287">IF(
 M287="",
 "",
 _xlfn.XLOOKUP(
  M287,
  tblTargets[TargetID],
  tblTargets[DisplayName],
  M287
 )
)</f>
        <v>Magic Beans Accepted</v>
      </c>
      <c r="O287" s="26" t="str">
        <f>IFERROR(__xludf.DUMMYFUNCTION("SWITCH(
 E287,
 ""BUILDING"",XLOOKUP(A287,tblBuildings[BuildingID],tblBuildings[costtext],""""),
 ""TECH"",XLOOKUP(A287,tblTechnologies[TechnologyID],tblTechnologies[costtext],""""),
 ""QUEST"",XLOOKUP(
  REGEXREPLACE(A287,""\.[^.]+$"",""""),
  tblQuests["&amp;"QuestID],
  tblQuests[Costtext],
  """"
 ),
 ""CITADEL"",XLOOKUP(A287,tblCitadel[CitadelID],tblCitadel[costtext],""""),
 ""COLLECTION"",XLOOKUP(A287,tblCollections[CollectionID],tblCollections[costtext],""""),
 ""CRAFTIFACT"",XLOOKUP(A287,tblCraftifacts[C"&amp;"raftifactID],tblCraftifacts[costtext],""""),
 """"
)"),"tofu:1,inarizushi:1,teriyaki:1")</f>
        <v>tofu:1,inarizushi:1,teriyaki:1</v>
      </c>
      <c r="P287" s="26" t="str">
        <f t="shared" si="6"/>
        <v>BLOCKED</v>
      </c>
      <c r="Q287" s="26" t="str">
        <f t="shared" si="7"/>
        <v>BLOCKED</v>
      </c>
      <c r="R287" s="26" t="str">
        <f t="array" ref="R287">IFERROR(
 _xlfn.XLOOKUP(
  A287,
  tblChecklist[TargetID],
  tblChecklist[PlayerSort],
  ""
 ),
 ""
)</f>
        <v/>
      </c>
      <c r="S287" s="26" t="str">
        <f>IFERROR(__xludf.DUMMYFUNCTION("LET(
 id,A287,
 successorIDs,
  IFERROR(
   UNIQUE(
    FILTER(
     {
      Dependencies!$A$2:$A$1000;
      QuestObjectives!$A$2:$A$1000
     },
     {
      Dependencies!$B$2:$B$1000;
      QuestObjectives!$E$2:$E$1000
     }=id
    )
   ),
   """"
  )"&amp;",
 names,
  MAP(
   successorIDs,
   LAMBDA(s,
    IF(
     s="""",
     """",
     XLOOKUP(
      s,
      $A$2:$A$1000,
      $B$2:$B$1000,
      s
     )
    )
   )
  ),
 IF(
  successorIDs="""",
  """",
  TEXTJOIN("", "",TRUE,names)
 )
)"),"Fermentory Lv 1, Ahead of Time Chapter 1 Accepted, Meet mechanical adventurer in Dungeon 3A, Alchemists Hut - Advanced Fertilizer, Field - Soybean, Food Stall - Miso Soup")</f>
        <v>Fermentory Lv 1, Ahead of Time Chapter 1 Accepted, Meet mechanical adventurer in Dungeon 3A, Alchemists Hut - Advanced Fertilizer, Field - Soybean, Food Stall - Miso Soup</v>
      </c>
      <c r="T287" s="26" t="str">
        <f t="array" ref="T287">_xlfn.XLOOKUP(
 A287,
 tblTargets[TargetID],
 tblTargets[CompletionMethod],
 ""
)</f>
        <v>PLAYER</v>
      </c>
      <c r="U287" s="84" t="b">
        <f>COUNTIF(tblCost[TargetID],A287)&gt;0</f>
        <v>1</v>
      </c>
      <c r="V287" s="85">
        <f t="array" ref="V287">IF(
 U287=FALSE,
 "",
 _xlfn.XLOOKUP(
  A287,
  tblCost[TargetID],
  tblCost[FundingPercent],
  ""
 )
)</f>
        <v>0</v>
      </c>
      <c r="W287" s="26">
        <f t="array" ref="W287">IF(
 U287=FALSE,
 "",
 _xlfn.XLOOKUP(
  A287,
  tblCost[TargetID],
  tblCost[RemainingRequirements],
  ""
 )
)</f>
        <v>3</v>
      </c>
      <c r="X287" s="45" t="b">
        <f t="array" ref="X287">IF(
 U287=FALSE,
 "N/A",
 _xlfn.XLOOKUP(
  A288,
  tblCost[TargetID],
  tblCost[TargetFunded],
  FALSE
 )
)</f>
        <v>0</v>
      </c>
      <c r="Y287" s="26" t="str">
        <f>IFERROR(__xludf.DUMMYFUNCTION("IFERROR(
 TEXTJOIN(
  "", "",
  TRUE,
  FILTER(
   'cost checklist'!$E$2:$E1000&amp;"": ""&amp;'cost checklist'!$G$2:$G1000,
   'cost checklist'!$B$2:$B1000=A287,
   'cost checklist'!$J$2:$J1000=FALSE
  )
 ),
 """"
)"),"inarizushi: 1, teriyaki: 1, tofu: 1")</f>
        <v>inarizushi: 1, teriyaki: 1, tofu: 1</v>
      </c>
      <c r="Z287" s="26" t="b">
        <f>IFERROR(__xludf.DUMMYFUNCTION("IF(
 AND(
  E287=""QUEST"",
  RIGHT(A287,9)="".accepted"",
  D287=TRUE
 ),
 XLOOKUP(
  REGEXREPLACE(A287,""\.accepted$"","""")&amp;"".finished"",
  $A$2:$A1000,
  $D$2:$D1000,
  TRUE
 )=FALSE,
 FALSE
)"),FALSE)</f>
        <v>0</v>
      </c>
      <c r="AA287" s="26" t="str">
        <f>IFERROR(__xludf.DUMMYFUNCTION("LET(
 id,A287,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1")</f>
        <v>Ahead of Time Chapter 1</v>
      </c>
    </row>
    <row r="288" ht="14.25" customHeight="1">
      <c r="A288" s="26" t="s">
        <v>1064</v>
      </c>
      <c r="B288" s="26" t="str">
        <f t="array" ref="B288">_xlfn.XLOOKUP(
 A288,
 tblTargets[TargetID],
 tblTargets[DisplayName],
 ""
)</f>
        <v>Once Upon a Forest Chapter 1 Accepted</v>
      </c>
      <c r="C288" s="26" t="str">
        <f t="shared" si="1"/>
        <v>BLOCKED</v>
      </c>
      <c r="D288" s="26" t="b">
        <f>IFERROR(__xludf.DUMMYFUNCTION("LET(
 id,A288,
 IF(
  F288=""CHARACTER"",
  LET(
   base,REGEXREPLACE(id,""@\d+$"",""""),
   required,VALUE(REGEXEXTRACT(id,""@(\d+)$"")),
   current,XLOOKUP(
    base,
    tblPlayer[PlayerStateID],
    tblPlayer[Value],
    0
   ),
   current&gt;=required
 "&amp;" ),
  IF(
   T288=""AUTO"",
   L288=0,
   COUNTIFS(
    tblChecklist[TargetID],id,
    tblChecklist[PlayerCompleted],TRUE
   )&gt;0
  )
 )
)"),FALSE)</f>
        <v>0</v>
      </c>
      <c r="E288" s="26" t="str">
        <f t="array" ref="E288">_xlfn.XLOOKUP(
 A288,
 tblTargets[TargetID],
 tblTargets[TargetType],
 ""
)</f>
        <v>QUEST</v>
      </c>
      <c r="F288" s="26" t="str">
        <f t="array" ref="F288">_xlfn.XLOOKUP(
 A288,
 tblTargets[TargetID],
 tblTargets[StateType],
 ""
)</f>
        <v/>
      </c>
      <c r="G288" s="26">
        <f>LET(
 id,A288,
 depCount,COUNTIF(tblDependencies[TargetID],id),
 objCount,COUNTIF(tblQuestObjectives[QuestTargetID],id),
 depCount+objCount
)</f>
        <v>1</v>
      </c>
      <c r="H288" s="26">
        <f t="shared" si="2"/>
        <v>1</v>
      </c>
      <c r="I288" s="26">
        <f>IFERROR(__xludf.DUMMYFUNCTION("LET(
 id,A288,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8" s="26">
        <f t="shared" si="3"/>
        <v>0</v>
      </c>
      <c r="K288" s="26" t="b">
        <f t="shared" si="4"/>
        <v>0</v>
      </c>
      <c r="L288" s="26">
        <f t="shared" si="5"/>
        <v>1</v>
      </c>
      <c r="M288" s="26" t="str">
        <f>IFERROR(__xludf.DUMMYFUNCTION("LET(
 id,A288,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L288=0,
  """",
  IFERROR(INDEX(incomplete,1),"""")"&amp;"
 )
)"),"state.meet_mech_adventurer@2b")</f>
        <v>state.meet_mech_adventurer@2b</v>
      </c>
      <c r="N288" s="26" t="str">
        <f t="array" ref="N288">IF(
 M288="",
 "",
 _xlfn.XLOOKUP(
  M288,
  tblTargets[TargetID],
  tblTargets[DisplayName],
  M288
 )
)</f>
        <v>Meet Mech Adventurer@2B</v>
      </c>
      <c r="O288" s="26" t="str">
        <f>IFERROR(__xludf.DUMMYFUNCTION("SWITCH(
 E288,
 ""BUILDING"",XLOOKUP(A288,tblBuildings[BuildingID],tblBuildings[costtext],""""),
 ""TECH"",XLOOKUP(A288,tblTechnologies[TechnologyID],tblTechnologies[costtext],""""),
 ""QUEST"",XLOOKUP(
  REGEXREPLACE(A288,""\.[^.]+$"",""""),
  tblQuests["&amp;"QuestID],
  tblQuests[Costtext],
  """"
 ),
 ""CITADEL"",XLOOKUP(A288,tblCitadel[CitadelID],tblCitadel[costtext],""""),
 ""COLLECTION"",XLOOKUP(A288,tblCollections[CollectionID],tblCollections[costtext],""""),
 ""CRAFTIFACT"",XLOOKUP(A288,tblCraftifacts[C"&amp;"raftifactID],tblCraftifacts[costtext],""""),
 """"
)"),"")</f>
        <v/>
      </c>
      <c r="P288" s="26" t="str">
        <f t="shared" si="6"/>
        <v>BLOCKED</v>
      </c>
      <c r="Q288" s="26" t="str">
        <f t="shared" si="7"/>
        <v>BLOCKED</v>
      </c>
      <c r="R288" s="26" t="str">
        <f t="array" ref="R288">IFERROR(
 _xlfn.XLOOKUP(
  A288,
  tblChecklist[TargetID],
  tblChecklist[PlayerSort],
  ""
 ),
 ""
)</f>
        <v/>
      </c>
      <c r="S288" s="26" t="str">
        <f>IFERROR(__xludf.DUMMYFUNCTION("LET(
 id,A288,
 successorIDs,
  IFERROR(
   UNIQUE(
    FILTER(
     {
      Dependencies!$A$2:$A$1000;
      QuestObjectives!$A$2:$A$1000
     },
     {
      Dependencies!$B$2:$B$1000;
      QuestObjectives!$E$2:$E$1000
     }=id
    )
   ),
   """"
  )"&amp;",
 names,
  MAP(
   successorIDs,
   LAMBDA(s,
    IF(
     s="""",
     """",
     XLOOKUP(
      s,
      $A$2:$A$1000,
      $B$2:$B$1000,
      s
     )
    )
   )
  ),
 IF(
  successorIDs="""",
  """",
  TEXTJOIN("", "",TRUE,names)
 )
)"),"Once Upon a Forest Chapter 1 Finished, Find Jade Gate in 2C")</f>
        <v>Once Upon a Forest Chapter 1 Finished, Find Jade Gate in 2C</v>
      </c>
      <c r="T288" s="26" t="str">
        <f t="array" ref="T288">_xlfn.XLOOKUP(
 A288,
 tblTargets[TargetID],
 tblTargets[CompletionMethod],
 ""
)</f>
        <v>PLAYER</v>
      </c>
      <c r="U288" s="84" t="b">
        <f>COUNTIF(tblCost[TargetID],A288)&gt;0</f>
        <v>0</v>
      </c>
      <c r="V288" s="85" t="str">
        <f t="array" ref="V288">IF(
 U288=FALSE,
 "",
 _xlfn.XLOOKUP(
  A288,
  tblCost[TargetID],
  tblCost[FundingPercent],
  ""
 )
)</f>
        <v/>
      </c>
      <c r="W288" s="26" t="str">
        <f t="array" ref="W288">IF(
 U288=FALSE,
 "",
 _xlfn.XLOOKUP(
  A288,
  tblCost[TargetID],
  tblCost[RemainingRequirements],
  ""
 )
)</f>
        <v/>
      </c>
      <c r="X288" s="45" t="str">
        <f t="array" ref="X288">IF(
 U288=FALSE,
 "N/A",
 _xlfn.XLOOKUP(
  A289,
  tblCost[TargetID],
  tblCost[TargetFunded],
  FALSE
 )
)</f>
        <v>N/A</v>
      </c>
      <c r="Y288" s="26" t="str">
        <f>IFERROR(__xludf.DUMMYFUNCTION("IFERROR(
 TEXTJOIN(
  "", "",
  TRUE,
  FILTER(
   'cost checklist'!$E$2:$E1000&amp;"": ""&amp;'cost checklist'!$G$2:$G1000,
   'cost checklist'!$B$2:$B1000=A288,
   'cost checklist'!$J$2:$J1000=FALSE
  )
 ),
 """"
)"),"")</f>
        <v/>
      </c>
      <c r="Z288" s="26" t="b">
        <f>IFERROR(__xludf.DUMMYFUNCTION("IF(
 AND(
  E288=""QUEST"",
  RIGHT(A288,9)="".accepted"",
  D288=TRUE
 ),
 XLOOKUP(
  REGEXREPLACE(A288,""\.accepted$"","""")&amp;"".finished"",
  $A$2:$A1000,
  $D$2:$D1000,
  TRUE
 )=FALSE,
 FALSE
)"),FALSE)</f>
        <v>0</v>
      </c>
      <c r="AA288" s="26" t="str">
        <f>IFERROR(__xludf.DUMMYFUNCTION("LET(
 id,A288,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89" ht="14.25" customHeight="1">
      <c r="A289" s="26" t="s">
        <v>1070</v>
      </c>
      <c r="B289" s="26" t="str">
        <f t="array" ref="B289">_xlfn.XLOOKUP(
 A289,
 tblTargets[TargetID],
 tblTargets[DisplayName],
 ""
)</f>
        <v>Once Upon a Forest Chapter 1 Finished</v>
      </c>
      <c r="C289" s="26" t="str">
        <f t="shared" si="1"/>
        <v>BLOCKED</v>
      </c>
      <c r="D289" s="26" t="b">
        <f>IFERROR(__xludf.DUMMYFUNCTION("LET(
 id,A289,
 IF(
  F289=""CHARACTER"",
  LET(
   base,REGEXREPLACE(id,""@\d+$"",""""),
   required,VALUE(REGEXEXTRACT(id,""@(\d+)$"")),
   current,XLOOKUP(
    base,
    tblPlayer[PlayerStateID],
    tblPlayer[Value],
    0
   ),
   current&gt;=required
 "&amp;" ),
  IF(
   T289=""AUTO"",
   L289=0,
   COUNTIFS(
    tblChecklist[TargetID],id,
    tblChecklist[PlayerCompleted],TRUE
   )&gt;0
  )
 )
)"),FALSE)</f>
        <v>0</v>
      </c>
      <c r="E289" s="26" t="str">
        <f t="array" ref="E289">_xlfn.XLOOKUP(
 A289,
 tblTargets[TargetID],
 tblTargets[TargetType],
 ""
)</f>
        <v>QUEST</v>
      </c>
      <c r="F289" s="26" t="str">
        <f t="array" ref="F289">_xlfn.XLOOKUP(
 A289,
 tblTargets[TargetID],
 tblTargets[StateType],
 ""
)</f>
        <v/>
      </c>
      <c r="G289" s="26">
        <f>LET(
 id,A289,
 depCount,COUNTIF(tblDependencies[TargetID],id),
 objCount,COUNTIF(tblQuestObjectives[QuestTargetID],id),
 depCount+objCount
)</f>
        <v>2</v>
      </c>
      <c r="H289" s="26">
        <f t="shared" si="2"/>
        <v>2</v>
      </c>
      <c r="I289" s="26">
        <f>IFERROR(__xludf.DUMMYFUNCTION("LET(
 id,A289,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89" s="26">
        <f t="shared" si="3"/>
        <v>0</v>
      </c>
      <c r="K289" s="26" t="b">
        <f t="shared" si="4"/>
        <v>0</v>
      </c>
      <c r="L289" s="26">
        <f t="shared" si="5"/>
        <v>2</v>
      </c>
      <c r="M289" s="26" t="str">
        <f>IFERROR(__xludf.DUMMYFUNCTION("LET(
 id,A289,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L289=0,
  """",
  IFERROR(INDEX(incomplete,1),"""")"&amp;"
 )
)"),"quest.once_upon_a_forest_chapter_1.accepted")</f>
        <v>quest.once_upon_a_forest_chapter_1.accepted</v>
      </c>
      <c r="N289" s="26" t="str">
        <f t="array" ref="N289">IF(
 M289="",
 "",
 _xlfn.XLOOKUP(
  M289,
  tblTargets[TargetID],
  tblTargets[DisplayName],
  M289
 )
)</f>
        <v>Once Upon a Forest Chapter 1 Accepted</v>
      </c>
      <c r="O289" s="26" t="str">
        <f>IFERROR(__xludf.DUMMYFUNCTION("SWITCH(
 E289,
 ""BUILDING"",XLOOKUP(A289,tblBuildings[BuildingID],tblBuildings[costtext],""""),
 ""TECH"",XLOOKUP(A289,tblTechnologies[TechnologyID],tblTechnologies[costtext],""""),
 ""QUEST"",XLOOKUP(
  REGEXREPLACE(A289,""\.[^.]+$"",""""),
  tblQuests["&amp;"QuestID],
  tblQuests[Costtext],
  """"
 ),
 ""CITADEL"",XLOOKUP(A289,tblCitadel[CitadelID],tblCitadel[costtext],""""),
 ""COLLECTION"",XLOOKUP(A289,tblCollections[CollectionID],tblCollections[costtext],""""),
 ""CRAFTIFACT"",XLOOKUP(A289,tblCraftifacts[C"&amp;"raftifactID],tblCraftifacts[costtext],""""),
 """"
)"),"")</f>
        <v/>
      </c>
      <c r="P289" s="26" t="str">
        <f t="shared" si="6"/>
        <v>BLOCKED</v>
      </c>
      <c r="Q289" s="26" t="str">
        <f t="shared" si="7"/>
        <v>BLOCKED</v>
      </c>
      <c r="R289" s="26" t="str">
        <f t="array" ref="R289">IFERROR(
 _xlfn.XLOOKUP(
  A289,
  tblChecklist[TargetID],
  tblChecklist[PlayerSort],
  ""
 ),
 ""
)</f>
        <v/>
      </c>
      <c r="S289" s="26" t="str">
        <f>IFERROR(__xludf.DUMMYFUNCTION("LET(
 id,A289,
 successorIDs,
  IFERROR(
   UNIQUE(
    FILTER(
     {
      Dependencies!$A$2:$A$1000;
      QuestObjectives!$A$2:$A$1000
     },
     {
      Dependencies!$B$2:$B$1000;
      QuestObjectives!$E$2:$E$1000
     }=id
    )
   ),
   """"
  )"&amp;",
 names,
  MAP(
   successorIDs,
   LAMBDA(s,
    IF(
     s="""",
     """",
     XLOOKUP(
      s,
      $A$2:$A$1000,
      $B$2:$B$1000,
      s
     )
    )
   )
  ),
 IF(
  successorIDs="""",
  """",
  TEXTJOIN("", "",TRUE,names)
 )
)"),"Once Upon a Forest Chapter 2 Accepted, Meet Raven @F1 on first entrance")</f>
        <v>Once Upon a Forest Chapter 2 Accepted, Meet Raven @F1 on first entrance</v>
      </c>
      <c r="T289" s="26" t="str">
        <f t="array" ref="T289">_xlfn.XLOOKUP(
 A289,
 tblTargets[TargetID],
 tblTargets[CompletionMethod],
 ""
)</f>
        <v>PLAYER</v>
      </c>
      <c r="U289" s="84" t="b">
        <f>COUNTIF(tblCost[TargetID],A289)&gt;0</f>
        <v>0</v>
      </c>
      <c r="V289" s="85" t="str">
        <f t="array" ref="V289">IF(
 U289=FALSE,
 "",
 _xlfn.XLOOKUP(
  A289,
  tblCost[TargetID],
  tblCost[FundingPercent],
  ""
 )
)</f>
        <v/>
      </c>
      <c r="W289" s="26" t="str">
        <f t="array" ref="W289">IF(
 U289=FALSE,
 "",
 _xlfn.XLOOKUP(
  A289,
  tblCost[TargetID],
  tblCost[RemainingRequirements],
  ""
 )
)</f>
        <v/>
      </c>
      <c r="X289" s="45" t="str">
        <f t="array" ref="X289">IF(
 U289=FALSE,
 "N/A",
 _xlfn.XLOOKUP(
  A290,
  tblCost[TargetID],
  tblCost[TargetFunded],
  FALSE
 )
)</f>
        <v>N/A</v>
      </c>
      <c r="Y289" s="26" t="str">
        <f>IFERROR(__xludf.DUMMYFUNCTION("IFERROR(
 TEXTJOIN(
  "", "",
  TRUE,
  FILTER(
   'cost checklist'!$E$2:$E1000&amp;"": ""&amp;'cost checklist'!$G$2:$G1000,
   'cost checklist'!$B$2:$B1000=A289,
   'cost checklist'!$J$2:$J1000=FALSE
  )
 ),
 """"
)"),"")</f>
        <v/>
      </c>
      <c r="Z289" s="26" t="b">
        <f>IFERROR(__xludf.DUMMYFUNCTION("IF(
 AND(
  E289=""QUEST"",
  RIGHT(A289,9)="".accepted"",
  D289=TRUE
 ),
 XLOOKUP(
  REGEXREPLACE(A289,""\.accepted$"","""")&amp;"".finished"",
  $A$2:$A1000,
  $D$2:$D1000,
  TRUE
 )=FALSE,
 FALSE
)"),FALSE)</f>
        <v>0</v>
      </c>
      <c r="AA289" s="26" t="str">
        <f>IFERROR(__xludf.DUMMYFUNCTION("LET(
 id,A289,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2")</f>
        <v>Once Upon a Forest Chapter 2</v>
      </c>
    </row>
    <row r="290" ht="14.25" customHeight="1">
      <c r="A290" s="26" t="s">
        <v>1076</v>
      </c>
      <c r="B290" s="26" t="str">
        <f t="array" ref="B290">_xlfn.XLOOKUP(
 A290,
 tblTargets[TargetID],
 tblTargets[DisplayName],
 ""
)</f>
        <v>Once Upon a Forest Chapter 10 Accepted</v>
      </c>
      <c r="C290" s="26" t="str">
        <f t="shared" si="1"/>
        <v>BLOCKED</v>
      </c>
      <c r="D290" s="26" t="b">
        <f>IFERROR(__xludf.DUMMYFUNCTION("LET(
 id,A290,
 IF(
  F290=""CHARACTER"",
  LET(
   base,REGEXREPLACE(id,""@\d+$"",""""),
   required,VALUE(REGEXEXTRACT(id,""@(\d+)$"")),
   current,XLOOKUP(
    base,
    tblPlayer[PlayerStateID],
    tblPlayer[Value],
    0
   ),
   current&gt;=required
 "&amp;" ),
  IF(
   T290=""AUTO"",
   L290=0,
   COUNTIFS(
    tblChecklist[TargetID],id,
    tblChecklist[PlayerCompleted],TRUE
   )&gt;0
  )
 )
)"),FALSE)</f>
        <v>0</v>
      </c>
      <c r="E290" s="26" t="str">
        <f t="array" ref="E290">_xlfn.XLOOKUP(
 A290,
 tblTargets[TargetID],
 tblTargets[TargetType],
 ""
)</f>
        <v>QUEST</v>
      </c>
      <c r="F290" s="26" t="str">
        <f t="array" ref="F290">_xlfn.XLOOKUP(
 A290,
 tblTargets[TargetID],
 tblTargets[StateType],
 ""
)</f>
        <v/>
      </c>
      <c r="G290" s="26">
        <f>LET(
 id,A290,
 depCount,COUNTIF(tblDependencies[TargetID],id),
 objCount,COUNTIF(tblQuestObjectives[QuestTargetID],id),
 depCount+objCount
)</f>
        <v>2</v>
      </c>
      <c r="H290" s="26">
        <f t="shared" si="2"/>
        <v>2</v>
      </c>
      <c r="I290" s="26">
        <f>IFERROR(__xludf.DUMMYFUNCTION("LET(
 id,A290,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0" s="26">
        <f t="shared" si="3"/>
        <v>0</v>
      </c>
      <c r="K290" s="26" t="b">
        <f t="shared" si="4"/>
        <v>0</v>
      </c>
      <c r="L290" s="26">
        <f t="shared" si="5"/>
        <v>2</v>
      </c>
      <c r="M290" s="26" t="str">
        <f>IFERROR(__xludf.DUMMYFUNCTION("LET(
 id,A290,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L290=0,
  """",
  IFERROR(INDEX(incomplete,1),"""")"&amp;"
 )
)"),"quest.once_upon_a_forest_chapter_9.accepted")</f>
        <v>quest.once_upon_a_forest_chapter_9.accepted</v>
      </c>
      <c r="N290" s="26" t="str">
        <f t="array" ref="N290">IF(
 M290="",
 "",
 _xlfn.XLOOKUP(
  M290,
  tblTargets[TargetID],
  tblTargets[DisplayName],
  M290
 )
)</f>
        <v>Once Upon a Forest Chapter 9 Accepted</v>
      </c>
      <c r="O290" s="26" t="str">
        <f>IFERROR(__xludf.DUMMYFUNCTION("SWITCH(
 E290,
 ""BUILDING"",XLOOKUP(A290,tblBuildings[BuildingID],tblBuildings[costtext],""""),
 ""TECH"",XLOOKUP(A290,tblTechnologies[TechnologyID],tblTechnologies[costtext],""""),
 ""QUEST"",XLOOKUP(
  REGEXREPLACE(A290,""\.[^.]+$"",""""),
  tblQuests["&amp;"QuestID],
  tblQuests[Costtext],
  """"
 ),
 ""CITADEL"",XLOOKUP(A290,tblCitadel[CitadelID],tblCitadel[costtext],""""),
 ""COLLECTION"",XLOOKUP(A290,tblCollections[CollectionID],tblCollections[costtext],""""),
 ""CRAFTIFACT"",XLOOKUP(A290,tblCraftifacts[C"&amp;"raftifactID],tblCraftifacts[costtext],""""),
 """"
)"),"")</f>
        <v/>
      </c>
      <c r="P290" s="26" t="str">
        <f t="shared" si="6"/>
        <v>BLOCKED</v>
      </c>
      <c r="Q290" s="26" t="str">
        <f t="shared" si="7"/>
        <v>BLOCKED</v>
      </c>
      <c r="R290" s="26" t="str">
        <f t="array" ref="R290">IFERROR(
 _xlfn.XLOOKUP(
  A290,
  tblChecklist[TargetID],
  tblChecklist[PlayerSort],
  ""
 ),
 ""
)</f>
        <v/>
      </c>
      <c r="S290" s="26" t="str">
        <f>IFERROR(__xludf.DUMMYFUNCTION("LET(
 id,A290,
 successorIDs,
  IFERROR(
   UNIQUE(
    FILTER(
     {
      Dependencies!$A$2:$A$1000;
      QuestObjectives!$A$2:$A$1000
     },
     {
      Dependencies!$B$2:$B$1000;
      QuestObjectives!$E$2:$E$1000
     }=id
    )
   ),
   """"
  )"&amp;",
 names,
  MAP(
   successorIDs,
   LAMBDA(s,
    IF(
     s="""",
     """",
     XLOOKUP(
      s,
      $A$2:$A$1000,
      $B$2:$B$1000,
      s
     )
    )
   )
  ),
 IF(
  successorIDs="""",
  """",
  TEXTJOIN("", "",TRUE,names)
 )
)"),"Once Upon a Forest Chapter 10 Finished, Once Upon a Forest Chapter 11 Accepted, Deliver Balm To Hunter @F2, Meet Pilot@F3")</f>
        <v>Once Upon a Forest Chapter 10 Finished, Once Upon a Forest Chapter 11 Accepted, Deliver Balm To Hunter @F2, Meet Pilot@F3</v>
      </c>
      <c r="T290" s="26" t="str">
        <f t="array" ref="T290">_xlfn.XLOOKUP(
 A290,
 tblTargets[TargetID],
 tblTargets[CompletionMethod],
 ""
)</f>
        <v>PLAYER</v>
      </c>
      <c r="U290" s="84" t="b">
        <f>COUNTIF(tblCost[TargetID],A290)&gt;0</f>
        <v>0</v>
      </c>
      <c r="V290" s="85" t="str">
        <f t="array" ref="V290">IF(
 U290=FALSE,
 "",
 _xlfn.XLOOKUP(
  A290,
  tblCost[TargetID],
  tblCost[FundingPercent],
  ""
 )
)</f>
        <v/>
      </c>
      <c r="W290" s="26" t="str">
        <f t="array" ref="W290">IF(
 U290=FALSE,
 "",
 _xlfn.XLOOKUP(
  A290,
  tblCost[TargetID],
  tblCost[RemainingRequirements],
  ""
 )
)</f>
        <v/>
      </c>
      <c r="X290" s="45" t="str">
        <f t="array" ref="X290">IF(
 U290=FALSE,
 "N/A",
 _xlfn.XLOOKUP(
  A291,
  tblCost[TargetID],
  tblCost[TargetFunded],
  FALSE
 )
)</f>
        <v>N/A</v>
      </c>
      <c r="Y290" s="26" t="str">
        <f>IFERROR(__xludf.DUMMYFUNCTION("IFERROR(
 TEXTJOIN(
  "", "",
  TRUE,
  FILTER(
   'cost checklist'!$E$2:$E1000&amp;"": ""&amp;'cost checklist'!$G$2:$G1000,
   'cost checklist'!$B$2:$B1000=A290,
   'cost checklist'!$J$2:$J1000=FALSE
  )
 ),
 """"
)"),"")</f>
        <v/>
      </c>
      <c r="Z290" s="26" t="b">
        <f>IFERROR(__xludf.DUMMYFUNCTION("IF(
 AND(
  E290=""QUEST"",
  RIGHT(A290,9)="".accepted"",
  D290=TRUE
 ),
 XLOOKUP(
  REGEXREPLACE(A290,""\.accepted$"","""")&amp;"".finished"",
  $A$2:$A1000,
  $D$2:$D1000,
  TRUE
 )=FALSE,
 FALSE
)"),FALSE)</f>
        <v>0</v>
      </c>
      <c r="AA290" s="26" t="str">
        <f>IFERROR(__xludf.DUMMYFUNCTION("LET(
 id,A290,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11")</f>
        <v>Once Upon a Forest Chapter 11</v>
      </c>
    </row>
    <row r="291" ht="14.25" customHeight="1">
      <c r="A291" s="26" t="s">
        <v>1084</v>
      </c>
      <c r="B291" s="26" t="str">
        <f t="array" ref="B291">_xlfn.XLOOKUP(
 A291,
 tblTargets[TargetID],
 tblTargets[DisplayName],
 ""
)</f>
        <v>Once Upon a Forest Chapter 10 Finished</v>
      </c>
      <c r="C291" s="26" t="str">
        <f t="shared" si="1"/>
        <v>BLOCKED</v>
      </c>
      <c r="D291" s="26" t="b">
        <f>IFERROR(__xludf.DUMMYFUNCTION("LET(
 id,A291,
 IF(
  F291=""CHARACTER"",
  LET(
   base,REGEXREPLACE(id,""@\d+$"",""""),
   required,VALUE(REGEXEXTRACT(id,""@(\d+)$"")),
   current,XLOOKUP(
    base,
    tblPlayer[PlayerStateID],
    tblPlayer[Value],
    0
   ),
   current&gt;=required
 "&amp;" ),
  IF(
   T291=""AUTO"",
   L291=0,
   COUNTIFS(
    tblChecklist[TargetID],id,
    tblChecklist[PlayerCompleted],TRUE
   )&gt;0
  )
 )
)"),FALSE)</f>
        <v>0</v>
      </c>
      <c r="E291" s="26" t="str">
        <f t="array" ref="E291">_xlfn.XLOOKUP(
 A291,
 tblTargets[TargetID],
 tblTargets[TargetType],
 ""
)</f>
        <v>QUEST</v>
      </c>
      <c r="F291" s="26" t="str">
        <f t="array" ref="F291">_xlfn.XLOOKUP(
 A291,
 tblTargets[TargetID],
 tblTargets[StateType],
 ""
)</f>
        <v/>
      </c>
      <c r="G291" s="26">
        <f>LET(
 id,A291,
 depCount,COUNTIF(tblDependencies[TargetID],id),
 objCount,COUNTIF(tblQuestObjectives[QuestTargetID],id),
 depCount+objCount
)</f>
        <v>2</v>
      </c>
      <c r="H291" s="26">
        <f t="shared" si="2"/>
        <v>2</v>
      </c>
      <c r="I291" s="26">
        <f>IFERROR(__xludf.DUMMYFUNCTION("LET(
 id,A291,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1" s="26">
        <f t="shared" si="3"/>
        <v>0</v>
      </c>
      <c r="K291" s="26" t="b">
        <f t="shared" si="4"/>
        <v>0</v>
      </c>
      <c r="L291" s="26">
        <f t="shared" si="5"/>
        <v>2</v>
      </c>
      <c r="M291" s="26" t="str">
        <f>IFERROR(__xludf.DUMMYFUNCTION("LET(
 id,A291,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L291=0,
  """",
  IFERROR(INDEX(incomplete,1),"""")"&amp;"
 )
)"),"quest.once_upon_a_forest_chapter_10.accepted")</f>
        <v>quest.once_upon_a_forest_chapter_10.accepted</v>
      </c>
      <c r="N291" s="26" t="str">
        <f t="array" ref="N291">IF(
 M291="",
 "",
 _xlfn.XLOOKUP(
  M291,
  tblTargets[TargetID],
  tblTargets[DisplayName],
  M291
 )
)</f>
        <v>Once Upon a Forest Chapter 10 Accepted</v>
      </c>
      <c r="O291" s="26" t="str">
        <f>IFERROR(__xludf.DUMMYFUNCTION("SWITCH(
 E291,
 ""BUILDING"",XLOOKUP(A291,tblBuildings[BuildingID],tblBuildings[costtext],""""),
 ""TECH"",XLOOKUP(A291,tblTechnologies[TechnologyID],tblTechnologies[costtext],""""),
 ""QUEST"",XLOOKUP(
  REGEXREPLACE(A291,""\.[^.]+$"",""""),
  tblQuests["&amp;"QuestID],
  tblQuests[Costtext],
  """"
 ),
 ""CITADEL"",XLOOKUP(A291,tblCitadel[CitadelID],tblCitadel[costtext],""""),
 ""COLLECTION"",XLOOKUP(A291,tblCollections[CollectionID],tblCollections[costtext],""""),
 ""CRAFTIFACT"",XLOOKUP(A291,tblCraftifacts[C"&amp;"raftifactID],tblCraftifacts[costtext],""""),
 """"
)"),"")</f>
        <v/>
      </c>
      <c r="P291" s="26" t="str">
        <f t="shared" si="6"/>
        <v>BLOCKED</v>
      </c>
      <c r="Q291" s="26" t="str">
        <f t="shared" si="7"/>
        <v>BLOCKED</v>
      </c>
      <c r="R291" s="26" t="str">
        <f t="array" ref="R291">IFERROR(
 _xlfn.XLOOKUP(
  A291,
  tblChecklist[TargetID],
  tblChecklist[PlayerSort],
  ""
 ),
 ""
)</f>
        <v/>
      </c>
      <c r="S291" s="26" t="str">
        <f>IFERROR(__xludf.DUMMYFUNCTION("LET(
 id,A291,
 successorIDs,
  IFERROR(
   UNIQUE(
    FILTER(
     {
      Dependencies!$A$2:$A$1000;
      QuestObjectives!$A$2:$A$1000
     },
     {
      Dependencies!$B$2:$B$1000;
      QuestObjectives!$E$2:$E$1000
     }=id
    )
   ),
   """"
  )"&amp;",
 names,
  MAP(
   successorIDs,
   LAMBDA(s,
    IF(
     s="""",
     """",
     XLOOKUP(
      s,
      $A$2:$A$1000,
      $B$2:$B$1000,
      s
     )
    )
   )
  ),
 IF(
  successorIDs="""",
  """",
  TEXTJOIN("", "",TRUE,names)
 )
)"),"Hat Of Concentration, Tailor - Salamander Velour")</f>
        <v>Hat Of Concentration, Tailor - Salamander Velour</v>
      </c>
      <c r="T291" s="26" t="str">
        <f t="array" ref="T291">_xlfn.XLOOKUP(
 A291,
 tblTargets[TargetID],
 tblTargets[CompletionMethod],
 ""
)</f>
        <v>PLAYER</v>
      </c>
      <c r="U291" s="84" t="b">
        <f>COUNTIF(tblCost[TargetID],A291)&gt;0</f>
        <v>0</v>
      </c>
      <c r="V291" s="85" t="str">
        <f t="array" ref="V291">IF(
 U291=FALSE,
 "",
 _xlfn.XLOOKUP(
  A291,
  tblCost[TargetID],
  tblCost[FundingPercent],
  ""
 )
)</f>
        <v/>
      </c>
      <c r="W291" s="26" t="str">
        <f t="array" ref="W291">IF(
 U291=FALSE,
 "",
 _xlfn.XLOOKUP(
  A291,
  tblCost[TargetID],
  tblCost[RemainingRequirements],
  ""
 )
)</f>
        <v/>
      </c>
      <c r="X291" s="45" t="str">
        <f t="array" ref="X291">IF(
 U291=FALSE,
 "N/A",
 _xlfn.XLOOKUP(
  A292,
  tblCost[TargetID],
  tblCost[TargetFunded],
  FALSE
 )
)</f>
        <v>N/A</v>
      </c>
      <c r="Y291" s="26" t="str">
        <f>IFERROR(__xludf.DUMMYFUNCTION("IFERROR(
 TEXTJOIN(
  "", "",
  TRUE,
  FILTER(
   'cost checklist'!$E$2:$E1000&amp;"": ""&amp;'cost checklist'!$G$2:$G1000,
   'cost checklist'!$B$2:$B1000=A291,
   'cost checklist'!$J$2:$J1000=FALSE
  )
 ),
 """"
)"),"")</f>
        <v/>
      </c>
      <c r="Z291" s="26" t="b">
        <f>IFERROR(__xludf.DUMMYFUNCTION("IF(
 AND(
  E291=""QUEST"",
  RIGHT(A291,9)="".accepted"",
  D291=TRUE
 ),
 XLOOKUP(
  REGEXREPLACE(A291,""\.accepted$"","""")&amp;"".finished"",
  $A$2:$A1000,
  $D$2:$D1000,
  TRUE
 )=FALSE,
 FALSE
)"),FALSE)</f>
        <v>0</v>
      </c>
      <c r="AA291" s="26" t="str">
        <f>IFERROR(__xludf.DUMMYFUNCTION("LET(
 id,A291,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92" ht="14.25" customHeight="1">
      <c r="A292" s="26" t="s">
        <v>1089</v>
      </c>
      <c r="B292" s="26" t="str">
        <f t="array" ref="B292">_xlfn.XLOOKUP(
 A292,
 tblTargets[TargetID],
 tblTargets[DisplayName],
 ""
)</f>
        <v>Once Upon a Forest Chapter 11 Accepted</v>
      </c>
      <c r="C292" s="26" t="str">
        <f t="shared" si="1"/>
        <v>BLOCKED</v>
      </c>
      <c r="D292" s="26" t="b">
        <f>IFERROR(__xludf.DUMMYFUNCTION("LET(
 id,A292,
 IF(
  F292=""CHARACTER"",
  LET(
   base,REGEXREPLACE(id,""@\d+$"",""""),
   required,VALUE(REGEXEXTRACT(id,""@(\d+)$"")),
   current,XLOOKUP(
    base,
    tblPlayer[PlayerStateID],
    tblPlayer[Value],
    0
   ),
   current&gt;=required
 "&amp;" ),
  IF(
   T292=""AUTO"",
   L292=0,
   COUNTIFS(
    tblChecklist[TargetID],id,
    tblChecklist[PlayerCompleted],TRUE
   )&gt;0
  )
 )
)"),FALSE)</f>
        <v>0</v>
      </c>
      <c r="E292" s="26" t="str">
        <f t="array" ref="E292">_xlfn.XLOOKUP(
 A292,
 tblTargets[TargetID],
 tblTargets[TargetType],
 ""
)</f>
        <v>QUEST</v>
      </c>
      <c r="F292" s="26" t="str">
        <f t="array" ref="F292">_xlfn.XLOOKUP(
 A292,
 tblTargets[TargetID],
 tblTargets[StateType],
 ""
)</f>
        <v/>
      </c>
      <c r="G292" s="26">
        <f>LET(
 id,A292,
 depCount,COUNTIF(tblDependencies[TargetID],id),
 objCount,COUNTIF(tblQuestObjectives[QuestTargetID],id),
 depCount+objCount
)</f>
        <v>2</v>
      </c>
      <c r="H292" s="26">
        <f t="shared" si="2"/>
        <v>2</v>
      </c>
      <c r="I292" s="26">
        <f>IFERROR(__xludf.DUMMYFUNCTION("LET(
 id,A292,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2" s="26">
        <f t="shared" si="3"/>
        <v>0</v>
      </c>
      <c r="K292" s="26" t="b">
        <f t="shared" si="4"/>
        <v>0</v>
      </c>
      <c r="L292" s="26">
        <f t="shared" si="5"/>
        <v>2</v>
      </c>
      <c r="M292" s="26" t="str">
        <f>IFERROR(__xludf.DUMMYFUNCTION("LET(
 id,A292,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L292=0,
  """",
  IFERROR(INDEX(incomplete,1),"""")"&amp;"
 )
)"),"quest.once_upon_a_forest_chapter_10.accepted")</f>
        <v>quest.once_upon_a_forest_chapter_10.accepted</v>
      </c>
      <c r="N292" s="26" t="str">
        <f t="array" ref="N292">IF(
 M292="",
 "",
 _xlfn.XLOOKUP(
  M292,
  tblTargets[TargetID],
  tblTargets[DisplayName],
  M292
 )
)</f>
        <v>Once Upon a Forest Chapter 10 Accepted</v>
      </c>
      <c r="O292" s="26" t="str">
        <f>IFERROR(__xludf.DUMMYFUNCTION("SWITCH(
 E292,
 ""BUILDING"",XLOOKUP(A292,tblBuildings[BuildingID],tblBuildings[costtext],""""),
 ""TECH"",XLOOKUP(A292,tblTechnologies[TechnologyID],tblTechnologies[costtext],""""),
 ""QUEST"",XLOOKUP(
  REGEXREPLACE(A292,""\.[^.]+$"",""""),
  tblQuests["&amp;"QuestID],
  tblQuests[Costtext],
  """"
 ),
 ""CITADEL"",XLOOKUP(A292,tblCitadel[CitadelID],tblCitadel[costtext],""""),
 ""COLLECTION"",XLOOKUP(A292,tblCollections[CollectionID],tblCollections[costtext],""""),
 ""CRAFTIFACT"",XLOOKUP(A292,tblCraftifacts[C"&amp;"raftifactID],tblCraftifacts[costtext],""""),
 """"
)"),"")</f>
        <v/>
      </c>
      <c r="P292" s="26" t="str">
        <f t="shared" si="6"/>
        <v>BLOCKED</v>
      </c>
      <c r="Q292" s="26" t="str">
        <f t="shared" si="7"/>
        <v>BLOCKED</v>
      </c>
      <c r="R292" s="26" t="str">
        <f t="array" ref="R292">IFERROR(
 _xlfn.XLOOKUP(
  A292,
  tblChecklist[TargetID],
  tblChecklist[PlayerSort],
  ""
 ),
 ""
)</f>
        <v/>
      </c>
      <c r="S292" s="26" t="str">
        <f>IFERROR(__xludf.DUMMYFUNCTION("LET(
 id,A292,
 successorIDs,
  IFERROR(
   UNIQUE(
    FILTER(
     {
      Dependencies!$A$2:$A$1000;
      QuestObjectives!$A$2:$A$1000
     },
     {
      Dependencies!$B$2:$B$1000;
      QuestObjectives!$E$2:$E$1000
     }=id
    )
   ),
   """"
  )"&amp;",
 names,
  MAP(
   successorIDs,
   LAMBDA(s,
    IF(
     s="""",
     """",
     XLOOKUP(
      s,
      $A$2:$A$1000,
      $B$2:$B$1000,
      s
     )
    )
   )
  ),
 IF(
  successorIDs="""",
  """",
  TEXTJOIN("", "",TRUE,names)
 )
)"),"Once Upon a Forest Chapter 11 Finished, Once Upon a Forest Chapter 12 Accepted, Meet Mr Diligence@F1, Visit Melbourne in Airship")</f>
        <v>Once Upon a Forest Chapter 11 Finished, Once Upon a Forest Chapter 12 Accepted, Meet Mr Diligence@F1, Visit Melbourne in Airship</v>
      </c>
      <c r="T292" s="26" t="str">
        <f t="array" ref="T292">_xlfn.XLOOKUP(
 A292,
 tblTargets[TargetID],
 tblTargets[CompletionMethod],
 ""
)</f>
        <v>PLAYER</v>
      </c>
      <c r="U292" s="84" t="b">
        <f>COUNTIF(tblCost[TargetID],A292)&gt;0</f>
        <v>0</v>
      </c>
      <c r="V292" s="85" t="str">
        <f t="array" ref="V292">IF(
 U292=FALSE,
 "",
 _xlfn.XLOOKUP(
  A292,
  tblCost[TargetID],
  tblCost[FundingPercent],
  ""
 )
)</f>
        <v/>
      </c>
      <c r="W292" s="26" t="str">
        <f t="array" ref="W292">IF(
 U292=FALSE,
 "",
 _xlfn.XLOOKUP(
  A292,
  tblCost[TargetID],
  tblCost[RemainingRequirements],
  ""
 )
)</f>
        <v/>
      </c>
      <c r="X292" s="45" t="str">
        <f t="array" ref="X292">IF(
 U292=FALSE,
 "N/A",
 _xlfn.XLOOKUP(
  A293,
  tblCost[TargetID],
  tblCost[TargetFunded],
  FALSE
 )
)</f>
        <v>N/A</v>
      </c>
      <c r="Y292" s="26" t="str">
        <f>IFERROR(__xludf.DUMMYFUNCTION("IFERROR(
 TEXTJOIN(
  "", "",
  TRUE,
  FILTER(
   'cost checklist'!$E$2:$E1000&amp;"": ""&amp;'cost checklist'!$G$2:$G1000,
   'cost checklist'!$B$2:$B1000=A292,
   'cost checklist'!$J$2:$J1000=FALSE
  )
 ),
 """"
)"),"")</f>
        <v/>
      </c>
      <c r="Z292" s="26" t="b">
        <f>IFERROR(__xludf.DUMMYFUNCTION("IF(
 AND(
  E292=""QUEST"",
  RIGHT(A292,9)="".accepted"",
  D292=TRUE
 ),
 XLOOKUP(
  REGEXREPLACE(A292,""\.accepted$"","""")&amp;"".finished"",
  $A$2:$A1000,
  $D$2:$D1000,
  TRUE
 )=FALSE,
 FALSE
)"),FALSE)</f>
        <v>0</v>
      </c>
      <c r="AA292" s="26" t="str">
        <f>IFERROR(__xludf.DUMMYFUNCTION("LET(
 id,A292,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12")</f>
        <v>Once Upon a Forest Chapter 12</v>
      </c>
    </row>
    <row r="293" ht="14.25" customHeight="1">
      <c r="A293" s="26" t="s">
        <v>1094</v>
      </c>
      <c r="B293" s="26" t="str">
        <f t="array" ref="B293">_xlfn.XLOOKUP(
 A293,
 tblTargets[TargetID],
 tblTargets[DisplayName],
 ""
)</f>
        <v>Once Upon a Forest Chapter 11 Finished</v>
      </c>
      <c r="C293" s="26" t="str">
        <f t="shared" si="1"/>
        <v>BLOCKED</v>
      </c>
      <c r="D293" s="26" t="b">
        <f>IFERROR(__xludf.DUMMYFUNCTION("LET(
 id,A293,
 IF(
  F293=""CHARACTER"",
  LET(
   base,REGEXREPLACE(id,""@\d+$"",""""),
   required,VALUE(REGEXEXTRACT(id,""@(\d+)$"")),
   current,XLOOKUP(
    base,
    tblPlayer[PlayerStateID],
    tblPlayer[Value],
    0
   ),
   current&gt;=required
 "&amp;" ),
  IF(
   T293=""AUTO"",
   L293=0,
   COUNTIFS(
    tblChecklist[TargetID],id,
    tblChecklist[PlayerCompleted],TRUE
   )&gt;0
  )
 )
)"),FALSE)</f>
        <v>0</v>
      </c>
      <c r="E293" s="26" t="str">
        <f t="array" ref="E293">_xlfn.XLOOKUP(
 A293,
 tblTargets[TargetID],
 tblTargets[TargetType],
 ""
)</f>
        <v>QUEST</v>
      </c>
      <c r="F293" s="26" t="str">
        <f t="array" ref="F293">_xlfn.XLOOKUP(
 A293,
 tblTargets[TargetID],
 tblTargets[StateType],
 ""
)</f>
        <v/>
      </c>
      <c r="G293" s="26">
        <f>LET(
 id,A293,
 depCount,COUNTIF(tblDependencies[TargetID],id),
 objCount,COUNTIF(tblQuestObjectives[QuestTargetID],id),
 depCount+objCount
)</f>
        <v>2</v>
      </c>
      <c r="H293" s="26">
        <f t="shared" si="2"/>
        <v>2</v>
      </c>
      <c r="I293" s="26">
        <f>IFERROR(__xludf.DUMMYFUNCTION("LET(
 id,A293,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3" s="26">
        <f t="shared" si="3"/>
        <v>0</v>
      </c>
      <c r="K293" s="26" t="b">
        <f t="shared" si="4"/>
        <v>0</v>
      </c>
      <c r="L293" s="26">
        <f t="shared" si="5"/>
        <v>2</v>
      </c>
      <c r="M293" s="26" t="str">
        <f>IFERROR(__xludf.DUMMYFUNCTION("LET(
 id,A293,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L293=0,
  """",
  IFERROR(INDEX(incomplete,1),"""")"&amp;"
 )
)"),"quest.once_upon_a_forest_chapter_11.accepted")</f>
        <v>quest.once_upon_a_forest_chapter_11.accepted</v>
      </c>
      <c r="N293" s="26" t="str">
        <f t="array" ref="N293">IF(
 M293="",
 "",
 _xlfn.XLOOKUP(
  M293,
  tblTargets[TargetID],
  tblTargets[DisplayName],
  M293
 )
)</f>
        <v>Once Upon a Forest Chapter 11 Accepted</v>
      </c>
      <c r="O293" s="26" t="str">
        <f>IFERROR(__xludf.DUMMYFUNCTION("SWITCH(
 E293,
 ""BUILDING"",XLOOKUP(A293,tblBuildings[BuildingID],tblBuildings[costtext],""""),
 ""TECH"",XLOOKUP(A293,tblTechnologies[TechnologyID],tblTechnologies[costtext],""""),
 ""QUEST"",XLOOKUP(
  REGEXREPLACE(A293,""\.[^.]+$"",""""),
  tblQuests["&amp;"QuestID],
  tblQuests[Costtext],
  """"
 ),
 ""CITADEL"",XLOOKUP(A293,tblCitadel[CitadelID],tblCitadel[costtext],""""),
 ""COLLECTION"",XLOOKUP(A293,tblCollections[CollectionID],tblCollections[costtext],""""),
 ""CRAFTIFACT"",XLOOKUP(A293,tblCraftifacts[C"&amp;"raftifactID],tblCraftifacts[costtext],""""),
 """"
)"),"")</f>
        <v/>
      </c>
      <c r="P293" s="26" t="str">
        <f t="shared" si="6"/>
        <v>BLOCKED</v>
      </c>
      <c r="Q293" s="26" t="str">
        <f t="shared" si="7"/>
        <v>BLOCKED</v>
      </c>
      <c r="R293" s="26" t="str">
        <f t="array" ref="R293">IFERROR(
 _xlfn.XLOOKUP(
  A293,
  tblChecklist[TargetID],
  tblChecklist[PlayerSort],
  ""
 ),
 ""
)</f>
        <v/>
      </c>
      <c r="S293" s="26" t="str">
        <f>IFERROR(__xludf.DUMMYFUNCTION("LET(
 id,A293,
 successorIDs,
  IFERROR(
   UNIQUE(
    FILTER(
     {
      Dependencies!$A$2:$A$1000;
      QuestObjectives!$A$2:$A$1000
     },
     {
      Dependencies!$B$2:$B$1000;
      QuestObjectives!$E$2:$E$1000
     }=id
    )
   ),
   """"
  )"&amp;",
 names,
  MAP(
   successorIDs,
   LAMBDA(s,
    IF(
     s="""",
     """",
     XLOOKUP(
      s,
      $A$2:$A$1000,
      $B$2:$B$1000,
      s
     )
    )
   )
  ),
 IF(
  successorIDs="""",
  """",
  TEXTJOIN("", "",TRUE,names)
 )
)"),"Flamethrower, Metal Detector, Airship - Titanium Longerons, Furnace - Titanium Parts, Train - Titanium Components")</f>
        <v>Flamethrower, Metal Detector, Airship - Titanium Longerons, Furnace - Titanium Parts, Train - Titanium Components</v>
      </c>
      <c r="T293" s="26" t="str">
        <f t="array" ref="T293">_xlfn.XLOOKUP(
 A293,
 tblTargets[TargetID],
 tblTargets[CompletionMethod],
 ""
)</f>
        <v>PLAYER</v>
      </c>
      <c r="U293" s="84" t="b">
        <f>COUNTIF(tblCost[TargetID],A293)&gt;0</f>
        <v>0</v>
      </c>
      <c r="V293" s="85" t="str">
        <f t="array" ref="V293">IF(
 U293=FALSE,
 "",
 _xlfn.XLOOKUP(
  A293,
  tblCost[TargetID],
  tblCost[FundingPercent],
  ""
 )
)</f>
        <v/>
      </c>
      <c r="W293" s="26" t="str">
        <f t="array" ref="W293">IF(
 U293=FALSE,
 "",
 _xlfn.XLOOKUP(
  A293,
  tblCost[TargetID],
  tblCost[RemainingRequirements],
  ""
 )
)</f>
        <v/>
      </c>
      <c r="X293" s="45" t="str">
        <f t="array" ref="X293">IF(
 U293=FALSE,
 "N/A",
 _xlfn.XLOOKUP(
  A294,
  tblCost[TargetID],
  tblCost[TargetFunded],
  FALSE
 )
)</f>
        <v>N/A</v>
      </c>
      <c r="Y293" s="26" t="str">
        <f>IFERROR(__xludf.DUMMYFUNCTION("IFERROR(
 TEXTJOIN(
  "", "",
  TRUE,
  FILTER(
   'cost checklist'!$E$2:$E1000&amp;"": ""&amp;'cost checklist'!$G$2:$G1000,
   'cost checklist'!$B$2:$B1000=A293,
   'cost checklist'!$J$2:$J1000=FALSE
  )
 ),
 """"
)"),"")</f>
        <v/>
      </c>
      <c r="Z293" s="26" t="b">
        <f>IFERROR(__xludf.DUMMYFUNCTION("IF(
 AND(
  E293=""QUEST"",
  RIGHT(A293,9)="".accepted"",
  D293=TRUE
 ),
 XLOOKUP(
  REGEXREPLACE(A293,""\.accepted$"","""")&amp;"".finished"",
  $A$2:$A1000,
  $D$2:$D1000,
  TRUE
 )=FALSE,
 FALSE
)"),FALSE)</f>
        <v>0</v>
      </c>
      <c r="AA293" s="26" t="str">
        <f>IFERROR(__xludf.DUMMYFUNCTION("LET(
 id,A293,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94" ht="14.25" customHeight="1">
      <c r="A294" s="26" t="s">
        <v>1098</v>
      </c>
      <c r="B294" s="26" t="str">
        <f t="array" ref="B294">_xlfn.XLOOKUP(
 A294,
 tblTargets[TargetID],
 tblTargets[DisplayName],
 ""
)</f>
        <v>Once Upon a Forest Chapter 12 Accepted</v>
      </c>
      <c r="C294" s="26" t="str">
        <f t="shared" si="1"/>
        <v>BLOCKED</v>
      </c>
      <c r="D294" s="26" t="b">
        <f>IFERROR(__xludf.DUMMYFUNCTION("LET(
 id,A294,
 IF(
  F294=""CHARACTER"",
  LET(
   base,REGEXREPLACE(id,""@\d+$"",""""),
   required,VALUE(REGEXEXTRACT(id,""@(\d+)$"")),
   current,XLOOKUP(
    base,
    tblPlayer[PlayerStateID],
    tblPlayer[Value],
    0
   ),
   current&gt;=required
 "&amp;" ),
  IF(
   T294=""AUTO"",
   L294=0,
   COUNTIFS(
    tblChecklist[TargetID],id,
    tblChecklist[PlayerCompleted],TRUE
   )&gt;0
  )
 )
)"),FALSE)</f>
        <v>0</v>
      </c>
      <c r="E294" s="26" t="str">
        <f t="array" ref="E294">_xlfn.XLOOKUP(
 A294,
 tblTargets[TargetID],
 tblTargets[TargetType],
 ""
)</f>
        <v>QUEST</v>
      </c>
      <c r="F294" s="26" t="str">
        <f t="array" ref="F294">_xlfn.XLOOKUP(
 A294,
 tblTargets[TargetID],
 tblTargets[StateType],
 ""
)</f>
        <v/>
      </c>
      <c r="G294" s="26">
        <f>LET(
 id,A294,
 depCount,COUNTIF(tblDependencies[TargetID],id),
 objCount,COUNTIF(tblQuestObjectives[QuestTargetID],id),
 depCount+objCount
)</f>
        <v>3</v>
      </c>
      <c r="H294" s="26">
        <f t="shared" si="2"/>
        <v>3</v>
      </c>
      <c r="I294" s="26">
        <f>IFERROR(__xludf.DUMMYFUNCTION("LET(
 id,A294,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4" s="26">
        <f t="shared" si="3"/>
        <v>0</v>
      </c>
      <c r="K294" s="26" t="b">
        <f t="shared" si="4"/>
        <v>0</v>
      </c>
      <c r="L294" s="26">
        <f t="shared" si="5"/>
        <v>3</v>
      </c>
      <c r="M294" s="26" t="str">
        <f>IFERROR(__xludf.DUMMYFUNCTION("LET(
 id,A294,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L294=0,
  """",
  IFERROR(INDEX(incomplete,1),"""")"&amp;"
 )
)"),"quest.once_upon_a_forest_chapter_3.finished")</f>
        <v>quest.once_upon_a_forest_chapter_3.finished</v>
      </c>
      <c r="N294" s="26" t="str">
        <f t="array" ref="N294">IF(
 M294="",
 "",
 _xlfn.XLOOKUP(
  M294,
  tblTargets[TargetID],
  tblTargets[DisplayName],
  M294
 )
)</f>
        <v>Once Upon a Forest Chapter 3 Finished</v>
      </c>
      <c r="O294" s="26" t="str">
        <f>IFERROR(__xludf.DUMMYFUNCTION("SWITCH(
 E294,
 ""BUILDING"",XLOOKUP(A294,tblBuildings[BuildingID],tblBuildings[costtext],""""),
 ""TECH"",XLOOKUP(A294,tblTechnologies[TechnologyID],tblTechnologies[costtext],""""),
 ""QUEST"",XLOOKUP(
  REGEXREPLACE(A294,""\.[^.]+$"",""""),
  tblQuests["&amp;"QuestID],
  tblQuests[Costtext],
  """"
 ),
 ""CITADEL"",XLOOKUP(A294,tblCitadel[CitadelID],tblCitadel[costtext],""""),
 ""COLLECTION"",XLOOKUP(A294,tblCollections[CollectionID],tblCollections[costtext],""""),
 ""CRAFTIFACT"",XLOOKUP(A294,tblCraftifacts[C"&amp;"raftifactID],tblCraftifacts[costtext],""""),
 """"
)"),"")</f>
        <v/>
      </c>
      <c r="P294" s="26" t="str">
        <f t="shared" si="6"/>
        <v>BLOCKED</v>
      </c>
      <c r="Q294" s="26" t="str">
        <f t="shared" si="7"/>
        <v>BLOCKED</v>
      </c>
      <c r="R294" s="26" t="str">
        <f t="array" ref="R294">IFERROR(
 _xlfn.XLOOKUP(
  A294,
  tblChecklist[TargetID],
  tblChecklist[PlayerSort],
  ""
 ),
 ""
)</f>
        <v/>
      </c>
      <c r="S294" s="26" t="str">
        <f>IFERROR(__xludf.DUMMYFUNCTION("LET(
 id,A294,
 successorIDs,
  IFERROR(
   UNIQUE(
    FILTER(
     {
      Dependencies!$A$2:$A$1000;
      QuestObjectives!$A$2:$A$1000
     },
     {
      Dependencies!$B$2:$B$1000;
      QuestObjectives!$E$2:$E$1000
     }=id
    )
   ),
   """"
  )"&amp;",
 names,
  MAP(
   successorIDs,
   LAMBDA(s,
    IF(
     s="""",
     """",
     XLOOKUP(
      s,
      $A$2:$A$1000,
      $B$2:$B$1000,
      s
     )
    )
   )
  ),
 IF(
  successorIDs="""",
  """",
  TEXTJOIN("", "",TRUE,names)
 )
)"),"Once Upon a Forest Chapter 12 Finished, Once Upon a Forest Chapter 13 Accepted, Escort Mr and Mrs Diligance through F1, Escort Mr and Mrs Diligance through F2, Escort Mr and Mrs Diligance through F3, Escort Mr and Mrs Diligance through F4, Meet Foodie Dem"&amp;"on@F2")</f>
        <v>Once Upon a Forest Chapter 12 Finished, Once Upon a Forest Chapter 13 Accepted, Escort Mr and Mrs Diligance through F1, Escort Mr and Mrs Diligance through F2, Escort Mr and Mrs Diligance through F3, Escort Mr and Mrs Diligance through F4, Meet Foodie Demon@F2</v>
      </c>
      <c r="T294" s="26" t="str">
        <f t="array" ref="T294">_xlfn.XLOOKUP(
 A294,
 tblTargets[TargetID],
 tblTargets[CompletionMethod],
 ""
)</f>
        <v>PLAYER</v>
      </c>
      <c r="U294" s="84" t="b">
        <f>COUNTIF(tblCost[TargetID],A294)&gt;0</f>
        <v>0</v>
      </c>
      <c r="V294" s="85" t="str">
        <f t="array" ref="V294">IF(
 U294=FALSE,
 "",
 _xlfn.XLOOKUP(
  A294,
  tblCost[TargetID],
  tblCost[FundingPercent],
  ""
 )
)</f>
        <v/>
      </c>
      <c r="W294" s="26" t="str">
        <f t="array" ref="W294">IF(
 U294=FALSE,
 "",
 _xlfn.XLOOKUP(
  A294,
  tblCost[TargetID],
  tblCost[RemainingRequirements],
  ""
 )
)</f>
        <v/>
      </c>
      <c r="X294" s="45" t="str">
        <f t="array" ref="X294">IF(
 U294=FALSE,
 "N/A",
 _xlfn.XLOOKUP(
  A295,
  tblCost[TargetID],
  tblCost[TargetFunded],
  FALSE
 )
)</f>
        <v>N/A</v>
      </c>
      <c r="Y294" s="26" t="str">
        <f>IFERROR(__xludf.DUMMYFUNCTION("IFERROR(
 TEXTJOIN(
  "", "",
  TRUE,
  FILTER(
   'cost checklist'!$E$2:$E1000&amp;"": ""&amp;'cost checklist'!$G$2:$G1000,
   'cost checklist'!$B$2:$B1000=A294,
   'cost checklist'!$J$2:$J1000=FALSE
  )
 ),
 """"
)"),"")</f>
        <v/>
      </c>
      <c r="Z294" s="26" t="b">
        <f>IFERROR(__xludf.DUMMYFUNCTION("IF(
 AND(
  E294=""QUEST"",
  RIGHT(A294,9)="".accepted"",
  D294=TRUE
 ),
 XLOOKUP(
  REGEXREPLACE(A294,""\.accepted$"","""")&amp;"".finished"",
  $A$2:$A1000,
  $D$2:$D1000,
  TRUE
 )=FALSE,
 FALSE
)"),FALSE)</f>
        <v>0</v>
      </c>
      <c r="AA294" s="26" t="str">
        <f>IFERROR(__xludf.DUMMYFUNCTION("LET(
 id,A294,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13")</f>
        <v>Once Upon a Forest Chapter 13</v>
      </c>
    </row>
    <row r="295" ht="14.25" customHeight="1">
      <c r="A295" s="26" t="s">
        <v>1102</v>
      </c>
      <c r="B295" s="26" t="str">
        <f t="array" ref="B295">_xlfn.XLOOKUP(
 A295,
 tblTargets[TargetID],
 tblTargets[DisplayName],
 ""
)</f>
        <v>Once Upon a Forest Chapter 12 Finished</v>
      </c>
      <c r="C295" s="26" t="str">
        <f t="shared" si="1"/>
        <v>BLOCKED</v>
      </c>
      <c r="D295" s="26" t="b">
        <f>IFERROR(__xludf.DUMMYFUNCTION("LET(
 id,A295,
 IF(
  F295=""CHARACTER"",
  LET(
   base,REGEXREPLACE(id,""@\d+$"",""""),
   required,VALUE(REGEXEXTRACT(id,""@(\d+)$"")),
   current,XLOOKUP(
    base,
    tblPlayer[PlayerStateID],
    tblPlayer[Value],
    0
   ),
   current&gt;=required
 "&amp;" ),
  IF(
   T295=""AUTO"",
   L295=0,
   COUNTIFS(
    tblChecklist[TargetID],id,
    tblChecklist[PlayerCompleted],TRUE
   )&gt;0
  )
 )
)"),FALSE)</f>
        <v>0</v>
      </c>
      <c r="E295" s="26" t="str">
        <f t="array" ref="E295">_xlfn.XLOOKUP(
 A295,
 tblTargets[TargetID],
 tblTargets[TargetType],
 ""
)</f>
        <v>QUEST</v>
      </c>
      <c r="F295" s="26" t="str">
        <f t="array" ref="F295">_xlfn.XLOOKUP(
 A295,
 tblTargets[TargetID],
 tblTargets[StateType],
 ""
)</f>
        <v/>
      </c>
      <c r="G295" s="26">
        <f>LET(
 id,A295,
 depCount,COUNTIF(tblDependencies[TargetID],id),
 objCount,COUNTIF(tblQuestObjectives[QuestTargetID],id),
 depCount+objCount
)</f>
        <v>6</v>
      </c>
      <c r="H295" s="26">
        <f t="shared" si="2"/>
        <v>6</v>
      </c>
      <c r="I295" s="26">
        <f>IFERROR(__xludf.DUMMYFUNCTION("LET(
 id,A295,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5" s="26">
        <f t="shared" si="3"/>
        <v>0</v>
      </c>
      <c r="K295" s="26" t="b">
        <f t="shared" si="4"/>
        <v>0</v>
      </c>
      <c r="L295" s="26">
        <f t="shared" si="5"/>
        <v>6</v>
      </c>
      <c r="M295" s="26" t="str">
        <f>IFERROR(__xludf.DUMMYFUNCTION("LET(
 id,A295,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L295=0,
  """",
  IFERROR(INDEX(incomplete,1),"""")"&amp;"
 )
)"),"quest.once_upon_a_forest_chapter_12.accepted")</f>
        <v>quest.once_upon_a_forest_chapter_12.accepted</v>
      </c>
      <c r="N295" s="26" t="str">
        <f t="array" ref="N295">IF(
 M295="",
 "",
 _xlfn.XLOOKUP(
  M295,
  tblTargets[TargetID],
  tblTargets[DisplayName],
  M295
 )
)</f>
        <v>Once Upon a Forest Chapter 12 Accepted</v>
      </c>
      <c r="O295" s="26" t="str">
        <f>IFERROR(__xludf.DUMMYFUNCTION("SWITCH(
 E295,
 ""BUILDING"",XLOOKUP(A295,tblBuildings[BuildingID],tblBuildings[costtext],""""),
 ""TECH"",XLOOKUP(A295,tblTechnologies[TechnologyID],tblTechnologies[costtext],""""),
 ""QUEST"",XLOOKUP(
  REGEXREPLACE(A295,""\.[^.]+$"",""""),
  tblQuests["&amp;"QuestID],
  tblQuests[Costtext],
  """"
 ),
 ""CITADEL"",XLOOKUP(A295,tblCitadel[CitadelID],tblCitadel[costtext],""""),
 ""COLLECTION"",XLOOKUP(A295,tblCollections[CollectionID],tblCollections[costtext],""""),
 ""CRAFTIFACT"",XLOOKUP(A295,tblCraftifacts[C"&amp;"raftifactID],tblCraftifacts[costtext],""""),
 """"
)"),"")</f>
        <v/>
      </c>
      <c r="P295" s="26" t="str">
        <f t="shared" si="6"/>
        <v>BLOCKED</v>
      </c>
      <c r="Q295" s="26" t="str">
        <f t="shared" si="7"/>
        <v>BLOCKED</v>
      </c>
      <c r="R295" s="26" t="str">
        <f t="array" ref="R295">IFERROR(
 _xlfn.XLOOKUP(
  A295,
  tblChecklist[TargetID],
  tblChecklist[PlayerSort],
  ""
 ),
 ""
)</f>
        <v/>
      </c>
      <c r="S295" s="26" t="str">
        <f>IFERROR(__xludf.DUMMYFUNCTION("LET(
 id,A295,
 successorIDs,
  IFERROR(
   UNIQUE(
    FILTER(
     {
      Dependencies!$A$2:$A$1000;
      QuestObjectives!$A$2:$A$1000
     },
     {
      Dependencies!$B$2:$B$1000;
      QuestObjectives!$E$2:$E$1000
     }=id
    )
   ),
   """"
  )"&amp;",
 names,
  MAP(
   successorIDs,
   LAMBDA(s,
    IF(
     s="""",
     """",
     XLOOKUP(
      s,
      $A$2:$A$1000,
      $B$2:$B$1000,
      s
     )
    )
   )
  ),
 IF(
  successorIDs="""",
  """",
  TEXTJOIN("", "",TRUE,names)
 )
)"),"Once Upon a Forest Chapter 14 Accepted, The Ordinary Days of an Adventurer Chapter 1 Accepted, The Ordinary Days of an Adventurer Chapter 2 Accepted, Meet Methusalem@F3, Meet Samurai Panda@6A, Smithy - Sword For A Hero Lvl 4+")</f>
        <v>Once Upon a Forest Chapter 14 Accepted, The Ordinary Days of an Adventurer Chapter 1 Accepted, The Ordinary Days of an Adventurer Chapter 2 Accepted, Meet Methusalem@F3, Meet Samurai Panda@6A, Smithy - Sword For A Hero Lvl 4+</v>
      </c>
      <c r="T295" s="26" t="str">
        <f t="array" ref="T295">_xlfn.XLOOKUP(
 A295,
 tblTargets[TargetID],
 tblTargets[CompletionMethod],
 ""
)</f>
        <v>PLAYER</v>
      </c>
      <c r="U295" s="84" t="b">
        <f>COUNTIF(tblCost[TargetID],A295)&gt;0</f>
        <v>0</v>
      </c>
      <c r="V295" s="85" t="str">
        <f t="array" ref="V295">IF(
 U295=FALSE,
 "",
 _xlfn.XLOOKUP(
  A295,
  tblCost[TargetID],
  tblCost[FundingPercent],
  ""
 )
)</f>
        <v/>
      </c>
      <c r="W295" s="26" t="str">
        <f t="array" ref="W295">IF(
 U295=FALSE,
 "",
 _xlfn.XLOOKUP(
  A295,
  tblCost[TargetID],
  tblCost[RemainingRequirements],
  ""
 )
)</f>
        <v/>
      </c>
      <c r="X295" s="45" t="str">
        <f t="array" ref="X295">IF(
 U295=FALSE,
 "N/A",
 _xlfn.XLOOKUP(
  A296,
  tblCost[TargetID],
  tblCost[TargetFunded],
  FALSE
 )
)</f>
        <v>N/A</v>
      </c>
      <c r="Y295" s="26" t="str">
        <f>IFERROR(__xludf.DUMMYFUNCTION("IFERROR(
 TEXTJOIN(
  "", "",
  TRUE,
  FILTER(
   'cost checklist'!$E$2:$E1000&amp;"": ""&amp;'cost checklist'!$G$2:$G1000,
   'cost checklist'!$B$2:$B1000=A295,
   'cost checklist'!$J$2:$J1000=FALSE
  )
 ),
 """"
)"),"")</f>
        <v/>
      </c>
      <c r="Z295" s="26" t="b">
        <f>IFERROR(__xludf.DUMMYFUNCTION("IF(
 AND(
  E295=""QUEST"",
  RIGHT(A295,9)="".accepted"",
  D295=TRUE
 ),
 XLOOKUP(
  REGEXREPLACE(A295,""\.accepted$"","""")&amp;"".finished"",
  $A$2:$A1000,
  $D$2:$D1000,
  TRUE
 )=FALSE,
 FALSE
)"),FALSE)</f>
        <v>0</v>
      </c>
      <c r="AA295" s="26" t="str">
        <f>IFERROR(__xludf.DUMMYFUNCTION("LET(
 id,A295,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14, The Ordinary Days of an Adventurer Chapter 1, The Ordinary Days of an Adventurer Chapter 2")</f>
        <v>Once Upon a Forest Chapter 14, The Ordinary Days of an Adventurer Chapter 1, The Ordinary Days of an Adventurer Chapter 2</v>
      </c>
    </row>
    <row r="296" ht="14.25" customHeight="1">
      <c r="A296" s="26" t="s">
        <v>1107</v>
      </c>
      <c r="B296" s="26" t="str">
        <f t="array" ref="B296">_xlfn.XLOOKUP(
 A296,
 tblTargets[TargetID],
 tblTargets[DisplayName],
 ""
)</f>
        <v>Once Upon a Forest Chapter 13 Accepted</v>
      </c>
      <c r="C296" s="26" t="str">
        <f t="shared" si="1"/>
        <v>BLOCKED</v>
      </c>
      <c r="D296" s="26" t="b">
        <f>IFERROR(__xludf.DUMMYFUNCTION("LET(
 id,A296,
 IF(
  F296=""CHARACTER"",
  LET(
   base,REGEXREPLACE(id,""@\d+$"",""""),
   required,VALUE(REGEXEXTRACT(id,""@(\d+)$"")),
   current,XLOOKUP(
    base,
    tblPlayer[PlayerStateID],
    tblPlayer[Value],
    0
   ),
   current&gt;=required
 "&amp;" ),
  IF(
   T296=""AUTO"",
   L296=0,
   COUNTIFS(
    tblChecklist[TargetID],id,
    tblChecklist[PlayerCompleted],TRUE
   )&gt;0
  )
 )
)"),FALSE)</f>
        <v>0</v>
      </c>
      <c r="E296" s="26" t="str">
        <f t="array" ref="E296">_xlfn.XLOOKUP(
 A296,
 tblTargets[TargetID],
 tblTargets[TargetType],
 ""
)</f>
        <v>QUEST</v>
      </c>
      <c r="F296" s="26" t="str">
        <f t="array" ref="F296">_xlfn.XLOOKUP(
 A296,
 tblTargets[TargetID],
 tblTargets[StateType],
 ""
)</f>
        <v/>
      </c>
      <c r="G296" s="26">
        <f>LET(
 id,A296,
 depCount,COUNTIF(tblDependencies[TargetID],id),
 objCount,COUNTIF(tblQuestObjectives[QuestTargetID],id),
 depCount+objCount
)</f>
        <v>2</v>
      </c>
      <c r="H296" s="26">
        <f t="shared" si="2"/>
        <v>2</v>
      </c>
      <c r="I296" s="26">
        <f>IFERROR(__xludf.DUMMYFUNCTION("LET(
 id,A296,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6" s="26">
        <f t="shared" si="3"/>
        <v>0</v>
      </c>
      <c r="K296" s="26" t="b">
        <f t="shared" si="4"/>
        <v>0</v>
      </c>
      <c r="L296" s="26">
        <f t="shared" si="5"/>
        <v>2</v>
      </c>
      <c r="M296" s="26" t="str">
        <f>IFERROR(__xludf.DUMMYFUNCTION("LET(
 id,A296,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L296=0,
  """",
  IFERROR(INDEX(incomplete,1),"""")"&amp;"
 )
)"),"quest.once_upon_a_forest_chapter_12.accepted")</f>
        <v>quest.once_upon_a_forest_chapter_12.accepted</v>
      </c>
      <c r="N296" s="26" t="str">
        <f t="array" ref="N296">IF(
 M296="",
 "",
 _xlfn.XLOOKUP(
  M296,
  tblTargets[TargetID],
  tblTargets[DisplayName],
  M296
 )
)</f>
        <v>Once Upon a Forest Chapter 12 Accepted</v>
      </c>
      <c r="O296" s="26" t="str">
        <f>IFERROR(__xludf.DUMMYFUNCTION("SWITCH(
 E296,
 ""BUILDING"",XLOOKUP(A296,tblBuildings[BuildingID],tblBuildings[costtext],""""),
 ""TECH"",XLOOKUP(A296,tblTechnologies[TechnologyID],tblTechnologies[costtext],""""),
 ""QUEST"",XLOOKUP(
  REGEXREPLACE(A296,""\.[^.]+$"",""""),
  tblQuests["&amp;"QuestID],
  tblQuests[Costtext],
  """"
 ),
 ""CITADEL"",XLOOKUP(A296,tblCitadel[CitadelID],tblCitadel[costtext],""""),
 ""COLLECTION"",XLOOKUP(A296,tblCollections[CollectionID],tblCollections[costtext],""""),
 ""CRAFTIFACT"",XLOOKUP(A296,tblCraftifacts[C"&amp;"raftifactID],tblCraftifacts[costtext],""""),
 """"
)"),"muffin:10,baklava:10,cake:5,jam:5,honey:5,mcola:10")</f>
        <v>muffin:10,baklava:10,cake:5,jam:5,honey:5,mcola:10</v>
      </c>
      <c r="P296" s="26" t="str">
        <f t="shared" si="6"/>
        <v>BLOCKED</v>
      </c>
      <c r="Q296" s="26" t="str">
        <f t="shared" si="7"/>
        <v>BLOCKED</v>
      </c>
      <c r="R296" s="26" t="str">
        <f t="array" ref="R296">IFERROR(
 _xlfn.XLOOKUP(
  A296,
  tblChecklist[TargetID],
  tblChecklist[PlayerSort],
  ""
 ),
 ""
)</f>
        <v/>
      </c>
      <c r="S296" s="26" t="str">
        <f>IFERROR(__xludf.DUMMYFUNCTION("LET(
 id,A296,
 successorIDs,
  IFERROR(
   UNIQUE(
    FILTER(
     {
      Dependencies!$A$2:$A$1000;
      QuestObjectives!$A$2:$A$1000
     },
     {
      Dependencies!$B$2:$B$1000;
      QuestObjectives!$E$2:$E$1000
     }=id
    )
   ),
   """"
  )"&amp;",
 names,
  MAP(
   successorIDs,
   LAMBDA(s,
    IF(
     s="""",
     """",
     XLOOKUP(
      s,
      $A$2:$A$1000,
      $B$2:$B$1000,
      s
     )
    )
   )
  ),
 IF(
  successorIDs="""",
  """",
  TEXTJOIN("", "",TRUE,names)
 )
)"),"Once Upon a Forest Chapter 13 Finished, Escort Mr and Mrs Diligance through F1, Escort Mr and Mrs Diligance through F2, Escort Mr and Mrs Diligance through F3, Escort Mr and Mrs Diligance through F4")</f>
        <v>Once Upon a Forest Chapter 13 Finished, Escort Mr and Mrs Diligance through F1, Escort Mr and Mrs Diligance through F2, Escort Mr and Mrs Diligance through F3, Escort Mr and Mrs Diligance through F4</v>
      </c>
      <c r="T296" s="26" t="str">
        <f t="array" ref="T296">_xlfn.XLOOKUP(
 A296,
 tblTargets[TargetID],
 tblTargets[CompletionMethod],
 ""
)</f>
        <v>PLAYER</v>
      </c>
      <c r="U296" s="84" t="b">
        <f>COUNTIF(tblCost[TargetID],A296)&gt;0</f>
        <v>0</v>
      </c>
      <c r="V296" s="85" t="str">
        <f t="array" ref="V296">IF(
 U296=FALSE,
 "",
 _xlfn.XLOOKUP(
  A296,
  tblCost[TargetID],
  tblCost[FundingPercent],
  ""
 )
)</f>
        <v/>
      </c>
      <c r="W296" s="26" t="str">
        <f t="array" ref="W296">IF(
 U296=FALSE,
 "",
 _xlfn.XLOOKUP(
  A296,
  tblCost[TargetID],
  tblCost[RemainingRequirements],
  ""
 )
)</f>
        <v/>
      </c>
      <c r="X296" s="45" t="str">
        <f t="array" ref="X296">IF(
 U296=FALSE,
 "N/A",
 _xlfn.XLOOKUP(
  A297,
  tblCost[TargetID],
  tblCost[TargetFunded],
  FALSE
 )
)</f>
        <v>N/A</v>
      </c>
      <c r="Y296" s="26" t="str">
        <f>IFERROR(__xludf.DUMMYFUNCTION("IFERROR(
 TEXTJOIN(
  "", "",
  TRUE,
  FILTER(
   'cost checklist'!$E$2:$E1000&amp;"": ""&amp;'cost checklist'!$G$2:$G1000,
   'cost checklist'!$B$2:$B1000=A296,
   'cost checklist'!$J$2:$J1000=FALSE
  )
 ),
 """"
)"),"")</f>
        <v/>
      </c>
      <c r="Z296" s="26" t="b">
        <f>IFERROR(__xludf.DUMMYFUNCTION("IF(
 AND(
  E296=""QUEST"",
  RIGHT(A296,9)="".accepted"",
  D296=TRUE
 ),
 XLOOKUP(
  REGEXREPLACE(A296,""\.accepted$"","""")&amp;"".finished"",
  $A$2:$A1000,
  $D$2:$D1000,
  TRUE
 )=FALSE,
 FALSE
)"),FALSE)</f>
        <v>0</v>
      </c>
      <c r="AA296" s="26" t="str">
        <f>IFERROR(__xludf.DUMMYFUNCTION("LET(
 id,A296,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97" ht="14.25" customHeight="1">
      <c r="A297" s="26" t="s">
        <v>1110</v>
      </c>
      <c r="B297" s="26" t="str">
        <f t="array" ref="B297">_xlfn.XLOOKUP(
 A297,
 tblTargets[TargetID],
 tblTargets[DisplayName],
 ""
)</f>
        <v>Once Upon a Forest Chapter 13 Finished</v>
      </c>
      <c r="C297" s="26" t="str">
        <f t="shared" si="1"/>
        <v>BLOCKED</v>
      </c>
      <c r="D297" s="26" t="b">
        <f>IFERROR(__xludf.DUMMYFUNCTION("LET(
 id,A297,
 IF(
  F297=""CHARACTER"",
  LET(
   base,REGEXREPLACE(id,""@\d+$"",""""),
   required,VALUE(REGEXEXTRACT(id,""@(\d+)$"")),
   current,XLOOKUP(
    base,
    tblPlayer[PlayerStateID],
    tblPlayer[Value],
    0
   ),
   current&gt;=required
 "&amp;" ),
  IF(
   T297=""AUTO"",
   L297=0,
   COUNTIFS(
    tblChecklist[TargetID],id,
    tblChecklist[PlayerCompleted],TRUE
   )&gt;0
  )
 )
)"),FALSE)</f>
        <v>0</v>
      </c>
      <c r="E297" s="26" t="str">
        <f t="array" ref="E297">_xlfn.XLOOKUP(
 A297,
 tblTargets[TargetID],
 tblTargets[TargetType],
 ""
)</f>
        <v>QUEST</v>
      </c>
      <c r="F297" s="26" t="str">
        <f t="array" ref="F297">_xlfn.XLOOKUP(
 A297,
 tblTargets[TargetID],
 tblTargets[StateType],
 ""
)</f>
        <v/>
      </c>
      <c r="G297" s="26">
        <f>LET(
 id,A297,
 depCount,COUNTIF(tblDependencies[TargetID],id),
 objCount,COUNTIF(tblQuestObjectives[QuestTargetID],id),
 depCount+objCount
)</f>
        <v>3</v>
      </c>
      <c r="H297" s="26">
        <f t="shared" si="2"/>
        <v>3</v>
      </c>
      <c r="I297" s="26">
        <f>IFERROR(__xludf.DUMMYFUNCTION("LET(
 id,A297,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7" s="26">
        <f t="shared" si="3"/>
        <v>0</v>
      </c>
      <c r="K297" s="26" t="b">
        <f t="shared" si="4"/>
        <v>0</v>
      </c>
      <c r="L297" s="26">
        <f t="shared" si="5"/>
        <v>3</v>
      </c>
      <c r="M297" s="26" t="str">
        <f>IFERROR(__xludf.DUMMYFUNCTION("LET(
 id,A297,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L297=0,
  """",
  IFERROR(INDEX(incomplete,1),"""")"&amp;"
 )
)"),"quest.once_upon_a_forest_chapter_13.accepted")</f>
        <v>quest.once_upon_a_forest_chapter_13.accepted</v>
      </c>
      <c r="N297" s="26" t="str">
        <f t="array" ref="N297">IF(
 M297="",
 "",
 _xlfn.XLOOKUP(
  M297,
  tblTargets[TargetID],
  tblTargets[DisplayName],
  M297
 )
)</f>
        <v>Once Upon a Forest Chapter 13 Accepted</v>
      </c>
      <c r="O297" s="26" t="str">
        <f>IFERROR(__xludf.DUMMYFUNCTION("SWITCH(
 E297,
 ""BUILDING"",XLOOKUP(A297,tblBuildings[BuildingID],tblBuildings[costtext],""""),
 ""TECH"",XLOOKUP(A297,tblTechnologies[TechnologyID],tblTechnologies[costtext],""""),
 ""QUEST"",XLOOKUP(
  REGEXREPLACE(A297,""\.[^.]+$"",""""),
  tblQuests["&amp;"QuestID],
  tblQuests[Costtext],
  """"
 ),
 ""CITADEL"",XLOOKUP(A297,tblCitadel[CitadelID],tblCitadel[costtext],""""),
 ""COLLECTION"",XLOOKUP(A297,tblCollections[CollectionID],tblCollections[costtext],""""),
 ""CRAFTIFACT"",XLOOKUP(A297,tblCraftifacts[C"&amp;"raftifactID],tblCraftifacts[costtext],""""),
 """"
)"),"muffin:10,baklava:10,cake:5,jam:5,honey:5,mcola:10")</f>
        <v>muffin:10,baklava:10,cake:5,jam:5,honey:5,mcola:10</v>
      </c>
      <c r="P297" s="26" t="str">
        <f t="shared" si="6"/>
        <v>BLOCKED</v>
      </c>
      <c r="Q297" s="26" t="str">
        <f t="shared" si="7"/>
        <v>BLOCKED</v>
      </c>
      <c r="R297" s="26" t="str">
        <f t="array" ref="R297">IFERROR(
 _xlfn.XLOOKUP(
  A297,
  tblChecklist[TargetID],
  tblChecklist[PlayerSort],
  ""
 ),
 ""
)</f>
        <v/>
      </c>
      <c r="S297" s="26" t="str">
        <f>IFERROR(__xludf.DUMMYFUNCTION("LET(
 id,A297,
 successorIDs,
  IFERROR(
   UNIQUE(
    FILTER(
     {
      Dependencies!$A$2:$A$1000;
      QuestObjectives!$A$2:$A$1000
     },
     {
      Dependencies!$B$2:$B$1000;
      QuestObjectives!$E$2:$E$1000
     }=id
    )
   ),
   """"
  )"&amp;",
 names,
  MAP(
   successorIDs,
   LAMBDA(s,
    IF(
     s="""",
     """",
     XLOOKUP(
      s,
      $A$2:$A$1000,
      $B$2:$B$1000,
      s
     )
    )
   )
  ),
 IF(
  successorIDs="""",
  """",
  TEXTJOIN("", "",TRUE,names)
 )
)"),"Once Upon a Forest Chapter 15 Accepted, Meet Raven@F1")</f>
        <v>Once Upon a Forest Chapter 15 Accepted, Meet Raven@F1</v>
      </c>
      <c r="T297" s="26" t="str">
        <f t="array" ref="T297">_xlfn.XLOOKUP(
 A297,
 tblTargets[TargetID],
 tblTargets[CompletionMethod],
 ""
)</f>
        <v>PLAYER</v>
      </c>
      <c r="U297" s="84" t="b">
        <f>COUNTIF(tblCost[TargetID],A297)&gt;0</f>
        <v>1</v>
      </c>
      <c r="V297" s="85">
        <f t="array" ref="V297">IF(
 U297=FALSE,
 "",
 _xlfn.XLOOKUP(
  A297,
  tblCost[TargetID],
  tblCost[FundingPercent],
  ""
 )
)</f>
        <v>0</v>
      </c>
      <c r="W297" s="26">
        <f t="array" ref="W297">IF(
 U297=FALSE,
 "",
 _xlfn.XLOOKUP(
  A297,
  tblCost[TargetID],
  tblCost[RemainingRequirements],
  ""
 )
)</f>
        <v>6</v>
      </c>
      <c r="X297" s="45" t="b">
        <f t="array" ref="X297">IF(
 U297=FALSE,
 "N/A",
 _xlfn.XLOOKUP(
  A298,
  tblCost[TargetID],
  tblCost[TargetFunded],
  FALSE
 )
)</f>
        <v>0</v>
      </c>
      <c r="Y297" s="26" t="str">
        <f>IFERROR(__xludf.DUMMYFUNCTION("IFERROR(
 TEXTJOIN(
  "", "",
  TRUE,
  FILTER(
   'cost checklist'!$E$2:$E1000&amp;"": ""&amp;'cost checklist'!$G$2:$G1000,
   'cost checklist'!$B$2:$B1000=A297,
   'cost checklist'!$J$2:$J1000=FALSE
  )
 ),
 """"
)"),"baklava: 10, cake: 5, honey: 5, jam: 5, mcola: 10, muffin: 10")</f>
        <v>baklava: 10, cake: 5, honey: 5, jam: 5, mcola: 10, muffin: 10</v>
      </c>
      <c r="Z297" s="26" t="b">
        <f>IFERROR(__xludf.DUMMYFUNCTION("IF(
 AND(
  E297=""QUEST"",
  RIGHT(A297,9)="".accepted"",
  D297=TRUE
 ),
 XLOOKUP(
  REGEXREPLACE(A297,""\.accepted$"","""")&amp;"".finished"",
  $A$2:$A1000,
  $D$2:$D1000,
  TRUE
 )=FALSE,
 FALSE
)"),FALSE)</f>
        <v>0</v>
      </c>
      <c r="AA297" s="26" t="str">
        <f>IFERROR(__xludf.DUMMYFUNCTION("LET(
 id,A297,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15")</f>
        <v>Once Upon a Forest Chapter 15</v>
      </c>
    </row>
    <row r="298" ht="14.25" customHeight="1">
      <c r="A298" s="26" t="s">
        <v>1114</v>
      </c>
      <c r="B298" s="26" t="str">
        <f t="array" ref="B298">_xlfn.XLOOKUP(
 A298,
 tblTargets[TargetID],
 tblTargets[DisplayName],
 ""
)</f>
        <v>Once Upon a Forest Chapter 14 Accepted</v>
      </c>
      <c r="C298" s="26" t="str">
        <f t="shared" si="1"/>
        <v>BLOCKED</v>
      </c>
      <c r="D298" s="26" t="b">
        <f>IFERROR(__xludf.DUMMYFUNCTION("LET(
 id,A298,
 IF(
  F298=""CHARACTER"",
  LET(
   base,REGEXREPLACE(id,""@\d+$"",""""),
   required,VALUE(REGEXEXTRACT(id,""@(\d+)$"")),
   current,XLOOKUP(
    base,
    tblPlayer[PlayerStateID],
    tblPlayer[Value],
    0
   ),
   current&gt;=required
 "&amp;" ),
  IF(
   T298=""AUTO"",
   L298=0,
   COUNTIFS(
    tblChecklist[TargetID],id,
    tblChecklist[PlayerCompleted],TRUE
   )&gt;0
  )
 )
)"),FALSE)</f>
        <v>0</v>
      </c>
      <c r="E298" s="26" t="str">
        <f t="array" ref="E298">_xlfn.XLOOKUP(
 A298,
 tblTargets[TargetID],
 tblTargets[TargetType],
 ""
)</f>
        <v>QUEST</v>
      </c>
      <c r="F298" s="26" t="str">
        <f t="array" ref="F298">_xlfn.XLOOKUP(
 A298,
 tblTargets[TargetID],
 tblTargets[StateType],
 ""
)</f>
        <v/>
      </c>
      <c r="G298" s="26">
        <f>LET(
 id,A298,
 depCount,COUNTIF(tblDependencies[TargetID],id),
 objCount,COUNTIF(tblQuestObjectives[QuestTargetID],id),
 depCount+objCount
)</f>
        <v>1</v>
      </c>
      <c r="H298" s="26">
        <f t="shared" si="2"/>
        <v>1</v>
      </c>
      <c r="I298" s="26">
        <f>IFERROR(__xludf.DUMMYFUNCTION("LET(
 id,A298,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8" s="26">
        <f t="shared" si="3"/>
        <v>0</v>
      </c>
      <c r="K298" s="26" t="b">
        <f t="shared" si="4"/>
        <v>0</v>
      </c>
      <c r="L298" s="26">
        <f t="shared" si="5"/>
        <v>1</v>
      </c>
      <c r="M298" s="26" t="str">
        <f>IFERROR(__xludf.DUMMYFUNCTION("LET(
 id,A298,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L298=0,
  """",
  IFERROR(INDEX(incomplete,1),"""")"&amp;"
 )
)"),"quest.once_upon_a_forest_chapter_12.finished")</f>
        <v>quest.once_upon_a_forest_chapter_12.finished</v>
      </c>
      <c r="N298" s="26" t="str">
        <f t="array" ref="N298">IF(
 M298="",
 "",
 _xlfn.XLOOKUP(
  M298,
  tblTargets[TargetID],
  tblTargets[DisplayName],
  M298
 )
)</f>
        <v>Once Upon a Forest Chapter 12 Finished</v>
      </c>
      <c r="O298" s="26" t="str">
        <f>IFERROR(__xludf.DUMMYFUNCTION("SWITCH(
 E298,
 ""BUILDING"",XLOOKUP(A298,tblBuildings[BuildingID],tblBuildings[costtext],""""),
 ""TECH"",XLOOKUP(A298,tblTechnologies[TechnologyID],tblTechnologies[costtext],""""),
 ""QUEST"",XLOOKUP(
  REGEXREPLACE(A298,""\.[^.]+$"",""""),
  tblQuests["&amp;"QuestID],
  tblQuests[Costtext],
  """"
 ),
 ""CITADEL"",XLOOKUP(A298,tblCitadel[CitadelID],tblCitadel[costtext],""""),
 ""COLLECTION"",XLOOKUP(A298,tblCollections[CollectionID],tblCollections[costtext],""""),
 ""CRAFTIFACT"",XLOOKUP(A298,tblCraftifacts[C"&amp;"raftifactID],tblCraftifacts[costtext],""""),
 """"
)"),"")</f>
        <v/>
      </c>
      <c r="P298" s="26" t="str">
        <f t="shared" si="6"/>
        <v>BLOCKED</v>
      </c>
      <c r="Q298" s="26" t="str">
        <f t="shared" si="7"/>
        <v>BLOCKED</v>
      </c>
      <c r="R298" s="26" t="str">
        <f t="array" ref="R298">IFERROR(
 _xlfn.XLOOKUP(
  A298,
  tblChecklist[TargetID],
  tblChecklist[PlayerSort],
  ""
 ),
 ""
)</f>
        <v/>
      </c>
      <c r="S298" s="26" t="str">
        <f>IFERROR(__xludf.DUMMYFUNCTION("LET(
 id,A298,
 successorIDs,
  IFERROR(
   UNIQUE(
    FILTER(
     {
      Dependencies!$A$2:$A$1000;
      QuestObjectives!$A$2:$A$1000
     },
     {
      Dependencies!$B$2:$B$1000;
      QuestObjectives!$E$2:$E$1000
     }=id
    )
   ),
   """"
  )"&amp;",
 names,
  MAP(
   successorIDs,
   LAMBDA(s,
    IF(
     s="""",
     """",
     XLOOKUP(
      s,
      $A$2:$A$1000,
      $B$2:$B$1000,
      s
     )
    )
   )
  ),
 IF(
  successorIDs="""",
  """",
  TEXTJOIN("", "",TRUE,names)
 )
)"),"Once Upon a Forest Chapter 14 Finished")</f>
        <v>Once Upon a Forest Chapter 14 Finished</v>
      </c>
      <c r="T298" s="26" t="str">
        <f t="array" ref="T298">_xlfn.XLOOKUP(
 A298,
 tblTargets[TargetID],
 tblTargets[CompletionMethod],
 ""
)</f>
        <v>PLAYER</v>
      </c>
      <c r="U298" s="84" t="b">
        <f>COUNTIF(tblCost[TargetID],A298)&gt;0</f>
        <v>0</v>
      </c>
      <c r="V298" s="85" t="str">
        <f t="array" ref="V298">IF(
 U298=FALSE,
 "",
 _xlfn.XLOOKUP(
  A298,
  tblCost[TargetID],
  tblCost[FundingPercent],
  ""
 )
)</f>
        <v/>
      </c>
      <c r="W298" s="26" t="str">
        <f t="array" ref="W298">IF(
 U298=FALSE,
 "",
 _xlfn.XLOOKUP(
  A298,
  tblCost[TargetID],
  tblCost[RemainingRequirements],
  ""
 )
)</f>
        <v/>
      </c>
      <c r="X298" s="45" t="str">
        <f t="array" ref="X298">IF(
 U298=FALSE,
 "N/A",
 _xlfn.XLOOKUP(
  A299,
  tblCost[TargetID],
  tblCost[TargetFunded],
  FALSE
 )
)</f>
        <v>N/A</v>
      </c>
      <c r="Y298" s="26" t="str">
        <f>IFERROR(__xludf.DUMMYFUNCTION("IFERROR(
 TEXTJOIN(
  "", "",
  TRUE,
  FILTER(
   'cost checklist'!$E$2:$E1000&amp;"": ""&amp;'cost checklist'!$G$2:$G1000,
   'cost checklist'!$B$2:$B1000=A298,
   'cost checklist'!$J$2:$J1000=FALSE
  )
 ),
 """"
)"),"")</f>
        <v/>
      </c>
      <c r="Z298" s="26" t="b">
        <f>IFERROR(__xludf.DUMMYFUNCTION("IF(
 AND(
  E298=""QUEST"",
  RIGHT(A298,9)="".accepted"",
  D298=TRUE
 ),
 XLOOKUP(
  REGEXREPLACE(A298,""\.accepted$"","""")&amp;"".finished"",
  $A$2:$A1000,
  $D$2:$D1000,
  TRUE
 )=FALSE,
 FALSE
)"),FALSE)</f>
        <v>0</v>
      </c>
      <c r="AA298" s="26" t="str">
        <f>IFERROR(__xludf.DUMMYFUNCTION("LET(
 id,A298,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299" ht="14.25" customHeight="1">
      <c r="A299" s="26" t="s">
        <v>1118</v>
      </c>
      <c r="B299" s="26" t="str">
        <f t="array" ref="B299">_xlfn.XLOOKUP(
 A299,
 tblTargets[TargetID],
 tblTargets[DisplayName],
 ""
)</f>
        <v>Once Upon a Forest Chapter 14 Finished</v>
      </c>
      <c r="C299" s="26" t="str">
        <f t="shared" si="1"/>
        <v>BLOCKED</v>
      </c>
      <c r="D299" s="26" t="b">
        <f>IFERROR(__xludf.DUMMYFUNCTION("LET(
 id,A299,
 IF(
  F299=""CHARACTER"",
  LET(
   base,REGEXREPLACE(id,""@\d+$"",""""),
   required,VALUE(REGEXEXTRACT(id,""@(\d+)$"")),
   current,XLOOKUP(
    base,
    tblPlayer[PlayerStateID],
    tblPlayer[Value],
    0
   ),
   current&gt;=required
 "&amp;" ),
  IF(
   T299=""AUTO"",
   L299=0,
   COUNTIFS(
    tblChecklist[TargetID],id,
    tblChecklist[PlayerCompleted],TRUE
   )&gt;0
  )
 )
)"),FALSE)</f>
        <v>0</v>
      </c>
      <c r="E299" s="26" t="str">
        <f t="array" ref="E299">_xlfn.XLOOKUP(
 A299,
 tblTargets[TargetID],
 tblTargets[TargetType],
 ""
)</f>
        <v>QUEST</v>
      </c>
      <c r="F299" s="26" t="str">
        <f t="array" ref="F299">_xlfn.XLOOKUP(
 A299,
 tblTargets[TargetID],
 tblTargets[StateType],
 ""
)</f>
        <v/>
      </c>
      <c r="G299" s="26">
        <f>LET(
 id,A299,
 depCount,COUNTIF(tblDependencies[TargetID],id),
 objCount,COUNTIF(tblQuestObjectives[QuestTargetID],id),
 depCount+objCount
)</f>
        <v>2</v>
      </c>
      <c r="H299" s="26">
        <f t="shared" si="2"/>
        <v>2</v>
      </c>
      <c r="I299" s="26">
        <f>IFERROR(__xludf.DUMMYFUNCTION("LET(
 id,A299,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299" s="26">
        <f t="shared" si="3"/>
        <v>0</v>
      </c>
      <c r="K299" s="26" t="b">
        <f t="shared" si="4"/>
        <v>0</v>
      </c>
      <c r="L299" s="26">
        <f t="shared" si="5"/>
        <v>2</v>
      </c>
      <c r="M299" s="26" t="str">
        <f>IFERROR(__xludf.DUMMYFUNCTION("LET(
 id,A299,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L299=0,
  """",
  IFERROR(INDEX(incomplete,1),"""")"&amp;"
 )
)"),"quest.once_upon_a_forest_chapter_14.accepted")</f>
        <v>quest.once_upon_a_forest_chapter_14.accepted</v>
      </c>
      <c r="N299" s="26" t="str">
        <f t="array" ref="N299">IF(
 M299="",
 "",
 _xlfn.XLOOKUP(
  M299,
  tblTargets[TargetID],
  tblTargets[DisplayName],
  M299
 )
)</f>
        <v>Once Upon a Forest Chapter 14 Accepted</v>
      </c>
      <c r="O299" s="26" t="str">
        <f>IFERROR(__xludf.DUMMYFUNCTION("SWITCH(
 E299,
 ""BUILDING"",XLOOKUP(A299,tblBuildings[BuildingID],tblBuildings[costtext],""""),
 ""TECH"",XLOOKUP(A299,tblTechnologies[TechnologyID],tblTechnologies[costtext],""""),
 ""QUEST"",XLOOKUP(
  REGEXREPLACE(A299,""\.[^.]+$"",""""),
  tblQuests["&amp;"QuestID],
  tblQuests[Costtext],
  """"
 ),
 ""CITADEL"",XLOOKUP(A299,tblCitadel[CitadelID],tblCitadel[costtext],""""),
 ""COLLECTION"",XLOOKUP(A299,tblCollections[CollectionID],tblCollections[costtext],""""),
 ""CRAFTIFACT"",XLOOKUP(A299,tblCraftifacts[C"&amp;"raftifactID],tblCraftifacts[costtext],""""),
 """"
)"),"")</f>
        <v/>
      </c>
      <c r="P299" s="26" t="str">
        <f t="shared" si="6"/>
        <v>BLOCKED</v>
      </c>
      <c r="Q299" s="26" t="str">
        <f t="shared" si="7"/>
        <v>BLOCKED</v>
      </c>
      <c r="R299" s="26" t="str">
        <f t="array" ref="R299">IFERROR(
 _xlfn.XLOOKUP(
  A299,
  tblChecklist[TargetID],
  tblChecklist[PlayerSort],
  ""
 ),
 ""
)</f>
        <v/>
      </c>
      <c r="S299" s="26" t="str">
        <f>IFERROR(__xludf.DUMMYFUNCTION("LET(
 id,A299,
 successorIDs,
  IFERROR(
   UNIQUE(
    FILTER(
     {
      Dependencies!$A$2:$A$1000;
      QuestObjectives!$A$2:$A$1000
     },
     {
      Dependencies!$B$2:$B$1000;
      QuestObjectives!$E$2:$E$1000
     }=id
    )
   ),
   """"
  )"&amp;",
 names,
  MAP(
   successorIDs,
   LAMBDA(s,
    IF(
     s="""",
     """",
     XLOOKUP(
      s,
      $A$2:$A$1000,
      $B$2:$B$1000,
      s
     )
    )
   )
  ),
 IF(
  successorIDs="""",
  """",
  TEXTJOIN("", "",TRUE,names)
 )
)"),"Once Upon a Forest Chapter 15 Accepted, Meet Raven@F1")</f>
        <v>Once Upon a Forest Chapter 15 Accepted, Meet Raven@F1</v>
      </c>
      <c r="T299" s="26" t="str">
        <f t="array" ref="T299">_xlfn.XLOOKUP(
 A299,
 tblTargets[TargetID],
 tblTargets[CompletionMethod],
 ""
)</f>
        <v>PLAYER</v>
      </c>
      <c r="U299" s="84" t="b">
        <f>COUNTIF(tblCost[TargetID],A299)&gt;0</f>
        <v>0</v>
      </c>
      <c r="V299" s="85" t="str">
        <f t="array" ref="V299">IF(
 U299=FALSE,
 "",
 _xlfn.XLOOKUP(
  A299,
  tblCost[TargetID],
  tblCost[FundingPercent],
  ""
 )
)</f>
        <v/>
      </c>
      <c r="W299" s="26" t="str">
        <f t="array" ref="W299">IF(
 U299=FALSE,
 "",
 _xlfn.XLOOKUP(
  A299,
  tblCost[TargetID],
  tblCost[RemainingRequirements],
  ""
 )
)</f>
        <v/>
      </c>
      <c r="X299" s="45" t="str">
        <f t="array" ref="X299">IF(
 U299=FALSE,
 "N/A",
 _xlfn.XLOOKUP(
  A300,
  tblCost[TargetID],
  tblCost[TargetFunded],
  FALSE
 )
)</f>
        <v>N/A</v>
      </c>
      <c r="Y299" s="26" t="str">
        <f>IFERROR(__xludf.DUMMYFUNCTION("IFERROR(
 TEXTJOIN(
  "", "",
  TRUE,
  FILTER(
   'cost checklist'!$E$2:$E1000&amp;"": ""&amp;'cost checklist'!$G$2:$G1000,
   'cost checklist'!$B$2:$B1000=A299,
   'cost checklist'!$J$2:$J1000=FALSE
  )
 ),
 """"
)"),"")</f>
        <v/>
      </c>
      <c r="Z299" s="26" t="b">
        <f>IFERROR(__xludf.DUMMYFUNCTION("IF(
 AND(
  E299=""QUEST"",
  RIGHT(A299,9)="".accepted"",
  D299=TRUE
 ),
 XLOOKUP(
  REGEXREPLACE(A299,""\.accepted$"","""")&amp;"".finished"",
  $A$2:$A1000,
  $D$2:$D1000,
  TRUE
 )=FALSE,
 FALSE
)"),FALSE)</f>
        <v>0</v>
      </c>
      <c r="AA299" s="26" t="str">
        <f>IFERROR(__xludf.DUMMYFUNCTION("LET(
 id,A299,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15")</f>
        <v>Once Upon a Forest Chapter 15</v>
      </c>
    </row>
    <row r="300" ht="14.25" customHeight="1">
      <c r="A300" s="26" t="s">
        <v>1122</v>
      </c>
      <c r="B300" s="26" t="str">
        <f t="array" ref="B300">_xlfn.XLOOKUP(
 A300,
 tblTargets[TargetID],
 tblTargets[DisplayName],
 ""
)</f>
        <v>Once Upon a Forest Chapter 15 Accepted</v>
      </c>
      <c r="C300" s="26" t="str">
        <f t="shared" si="1"/>
        <v>BLOCKED</v>
      </c>
      <c r="D300" s="26" t="b">
        <f>IFERROR(__xludf.DUMMYFUNCTION("LET(
 id,A300,
 IF(
  F300=""CHARACTER"",
  LET(
   base,REGEXREPLACE(id,""@\d+$"",""""),
   required,VALUE(REGEXEXTRACT(id,""@(\d+)$"")),
   current,XLOOKUP(
    base,
    tblPlayer[PlayerStateID],
    tblPlayer[Value],
    0
   ),
   current&gt;=required
 "&amp;" ),
  IF(
   T300=""AUTO"",
   L300=0,
   COUNTIFS(
    tblChecklist[TargetID],id,
    tblChecklist[PlayerCompleted],TRUE
   )&gt;0
  )
 )
)"),FALSE)</f>
        <v>0</v>
      </c>
      <c r="E300" s="26" t="str">
        <f t="array" ref="E300">_xlfn.XLOOKUP(
 A300,
 tblTargets[TargetID],
 tblTargets[TargetType],
 ""
)</f>
        <v>QUEST</v>
      </c>
      <c r="F300" s="26" t="str">
        <f t="array" ref="F300">_xlfn.XLOOKUP(
 A300,
 tblTargets[TargetID],
 tblTargets[StateType],
 ""
)</f>
        <v/>
      </c>
      <c r="G300" s="26">
        <f>LET(
 id,A300,
 depCount,COUNTIF(tblDependencies[TargetID],id),
 objCount,COUNTIF(tblQuestObjectives[QuestTargetID],id),
 depCount+objCount
)</f>
        <v>5</v>
      </c>
      <c r="H300" s="26">
        <f t="shared" si="2"/>
        <v>5</v>
      </c>
      <c r="I300" s="26">
        <f>IFERROR(__xludf.DUMMYFUNCTION("LET(
 id,A300,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0" s="26">
        <f t="shared" si="3"/>
        <v>0</v>
      </c>
      <c r="K300" s="26" t="b">
        <f t="shared" si="4"/>
        <v>0</v>
      </c>
      <c r="L300" s="26">
        <f t="shared" si="5"/>
        <v>5</v>
      </c>
      <c r="M300" s="26" t="str">
        <f>IFERROR(__xludf.DUMMYFUNCTION("LET(
 id,A300,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L300=0,
  """",
  IFERROR(INDEX(incomplete,1),"""")"&amp;"
 )
)"),"quest.once_upon_a_forest_chapter_14.finished")</f>
        <v>quest.once_upon_a_forest_chapter_14.finished</v>
      </c>
      <c r="N300" s="26" t="str">
        <f t="array" ref="N300">IF(
 M300="",
 "",
 _xlfn.XLOOKUP(
  M300,
  tblTargets[TargetID],
  tblTargets[DisplayName],
  M300
 )
)</f>
        <v>Once Upon a Forest Chapter 14 Finished</v>
      </c>
      <c r="O300" s="26" t="str">
        <f>IFERROR(__xludf.DUMMYFUNCTION("SWITCH(
 E300,
 ""BUILDING"",XLOOKUP(A300,tblBuildings[BuildingID],tblBuildings[costtext],""""),
 ""TECH"",XLOOKUP(A300,tblTechnologies[TechnologyID],tblTechnologies[costtext],""""),
 ""QUEST"",XLOOKUP(
  REGEXREPLACE(A300,""\.[^.]+$"",""""),
  tblQuests["&amp;"QuestID],
  tblQuests[Costtext],
  """"
 ),
 ""CITADEL"",XLOOKUP(A300,tblCitadel[CitadelID],tblCitadel[costtext],""""),
 ""COLLECTION"",XLOOKUP(A300,tblCollections[CollectionID],tblCollections[costtext],""""),
 ""CRAFTIFACT"",XLOOKUP(A300,tblCraftifacts[C"&amp;"raftifactID],tblCraftifacts[costtext],""""),
 """"
)"),"")</f>
        <v/>
      </c>
      <c r="P300" s="26" t="str">
        <f t="shared" si="6"/>
        <v>BLOCKED</v>
      </c>
      <c r="Q300" s="26" t="str">
        <f t="shared" si="7"/>
        <v>BLOCKED</v>
      </c>
      <c r="R300" s="26" t="str">
        <f t="array" ref="R300">IFERROR(
 _xlfn.XLOOKUP(
  A300,
  tblChecklist[TargetID],
  tblChecklist[PlayerSort],
  ""
 ),
 ""
)</f>
        <v/>
      </c>
      <c r="S300" s="26" t="str">
        <f>IFERROR(__xludf.DUMMYFUNCTION("LET(
 id,A300,
 successorIDs,
  IFERROR(
   UNIQUE(
    FILTER(
     {
      Dependencies!$A$2:$A$1000;
      QuestObjectives!$A$2:$A$1000
     },
     {
      Dependencies!$B$2:$B$1000;
      QuestObjectives!$E$2:$E$1000
     }=id
    )
   ),
   """"
  )"&amp;",
 names,
  MAP(
   successorIDs,
   LAMBDA(s,
    IF(
     s="""",
     """",
     XLOOKUP(
      s,
      $A$2:$A$1000,
      $B$2:$B$1000,
      s
     )
    )
   )
  ),
 IF(
  successorIDs="""",
  """",
  TEXTJOIN("", "",TRUE,names)
 )
)"),"Once Upon a Forest Chapter 15 Finished, Meet the raven in F2")</f>
        <v>Once Upon a Forest Chapter 15 Finished, Meet the raven in F2</v>
      </c>
      <c r="T300" s="26" t="str">
        <f t="array" ref="T300">_xlfn.XLOOKUP(
 A300,
 tblTargets[TargetID],
 tblTargets[CompletionMethod],
 ""
)</f>
        <v>PLAYER</v>
      </c>
      <c r="U300" s="84" t="b">
        <f>COUNTIF(tblCost[TargetID],A300)&gt;0</f>
        <v>0</v>
      </c>
      <c r="V300" s="85" t="str">
        <f t="array" ref="V300">IF(
 U300=FALSE,
 "",
 _xlfn.XLOOKUP(
  A300,
  tblCost[TargetID],
  tblCost[FundingPercent],
  ""
 )
)</f>
        <v/>
      </c>
      <c r="W300" s="26" t="str">
        <f t="array" ref="W300">IF(
 U300=FALSE,
 "",
 _xlfn.XLOOKUP(
  A300,
  tblCost[TargetID],
  tblCost[RemainingRequirements],
  ""
 )
)</f>
        <v/>
      </c>
      <c r="X300" s="45" t="str">
        <f t="array" ref="X300">IF(
 U300=FALSE,
 "N/A",
 _xlfn.XLOOKUP(
  A301,
  tblCost[TargetID],
  tblCost[TargetFunded],
  FALSE
 )
)</f>
        <v>N/A</v>
      </c>
      <c r="Y300" s="26" t="str">
        <f>IFERROR(__xludf.DUMMYFUNCTION("IFERROR(
 TEXTJOIN(
  "", "",
  TRUE,
  FILTER(
   'cost checklist'!$E$2:$E1000&amp;"": ""&amp;'cost checklist'!$G$2:$G1000,
   'cost checklist'!$B$2:$B1000=A300,
   'cost checklist'!$J$2:$J1000=FALSE
  )
 ),
 """"
)"),"")</f>
        <v/>
      </c>
      <c r="Z300" s="26" t="b">
        <f>IFERROR(__xludf.DUMMYFUNCTION("IF(
 AND(
  E300=""QUEST"",
  RIGHT(A300,9)="".accepted"",
  D300=TRUE
 ),
 XLOOKUP(
  REGEXREPLACE(A300,""\.accepted$"","""")&amp;"".finished"",
  $A$2:$A1000,
  $D$2:$D1000,
  TRUE
 )=FALSE,
 FALSE
)"),FALSE)</f>
        <v>0</v>
      </c>
      <c r="AA300" s="26" t="str">
        <f>IFERROR(__xludf.DUMMYFUNCTION("LET(
 id,A300,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01" ht="14.25" customHeight="1">
      <c r="A301" s="26" t="s">
        <v>1127</v>
      </c>
      <c r="B301" s="26" t="str">
        <f t="array" ref="B301">_xlfn.XLOOKUP(
 A301,
 tblTargets[TargetID],
 tblTargets[DisplayName],
 ""
)</f>
        <v>Once Upon a Forest Chapter 15 Finished</v>
      </c>
      <c r="C301" s="26" t="str">
        <f t="shared" si="1"/>
        <v>BLOCKED</v>
      </c>
      <c r="D301" s="26" t="b">
        <f>IFERROR(__xludf.DUMMYFUNCTION("LET(
 id,A301,
 IF(
  F301=""CHARACTER"",
  LET(
   base,REGEXREPLACE(id,""@\d+$"",""""),
   required,VALUE(REGEXEXTRACT(id,""@(\d+)$"")),
   current,XLOOKUP(
    base,
    tblPlayer[PlayerStateID],
    tblPlayer[Value],
    0
   ),
   current&gt;=required
 "&amp;" ),
  IF(
   T301=""AUTO"",
   L301=0,
   COUNTIFS(
    tblChecklist[TargetID],id,
    tblChecklist[PlayerCompleted],TRUE
   )&gt;0
  )
 )
)"),FALSE)</f>
        <v>0</v>
      </c>
      <c r="E301" s="26" t="str">
        <f t="array" ref="E301">_xlfn.XLOOKUP(
 A301,
 tblTargets[TargetID],
 tblTargets[TargetType],
 ""
)</f>
        <v>QUEST</v>
      </c>
      <c r="F301" s="26" t="str">
        <f t="array" ref="F301">_xlfn.XLOOKUP(
 A301,
 tblTargets[TargetID],
 tblTargets[StateType],
 ""
)</f>
        <v/>
      </c>
      <c r="G301" s="26">
        <f>LET(
 id,A301,
 depCount,COUNTIF(tblDependencies[TargetID],id),
 objCount,COUNTIF(tblQuestObjectives[QuestTargetID],id),
 depCount+objCount
)</f>
        <v>2</v>
      </c>
      <c r="H301" s="26">
        <f t="shared" si="2"/>
        <v>2</v>
      </c>
      <c r="I301" s="26">
        <f>IFERROR(__xludf.DUMMYFUNCTION("LET(
 id,A301,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1" s="26">
        <f t="shared" si="3"/>
        <v>0</v>
      </c>
      <c r="K301" s="26" t="b">
        <f t="shared" si="4"/>
        <v>0</v>
      </c>
      <c r="L301" s="26">
        <f t="shared" si="5"/>
        <v>2</v>
      </c>
      <c r="M301" s="26" t="str">
        <f>IFERROR(__xludf.DUMMYFUNCTION("LET(
 id,A301,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L301=0,
  """",
  IFERROR(INDEX(incomplete,1),"""")"&amp;"
 )
)"),"quest.once_upon_a_forest_chapter_15.accepted")</f>
        <v>quest.once_upon_a_forest_chapter_15.accepted</v>
      </c>
      <c r="N301" s="26" t="str">
        <f t="array" ref="N301">IF(
 M301="",
 "",
 _xlfn.XLOOKUP(
  M301,
  tblTargets[TargetID],
  tblTargets[DisplayName],
  M301
 )
)</f>
        <v>Once Upon a Forest Chapter 15 Accepted</v>
      </c>
      <c r="O301" s="26" t="str">
        <f>IFERROR(__xludf.DUMMYFUNCTION("SWITCH(
 E301,
 ""BUILDING"",XLOOKUP(A301,tblBuildings[BuildingID],tblBuildings[costtext],""""),
 ""TECH"",XLOOKUP(A301,tblTechnologies[TechnologyID],tblTechnologies[costtext],""""),
 ""QUEST"",XLOOKUP(
  REGEXREPLACE(A301,""\.[^.]+$"",""""),
  tblQuests["&amp;"QuestID],
  tblQuests[Costtext],
  """"
 ),
 ""CITADEL"",XLOOKUP(A301,tblCitadel[CitadelID],tblCitadel[costtext],""""),
 ""COLLECTION"",XLOOKUP(A301,tblCollections[CollectionID],tblCollections[costtext],""""),
 ""CRAFTIFACT"",XLOOKUP(A301,tblCraftifacts[C"&amp;"raftifactID],tblCraftifacts[costtext],""""),
 """"
)"),"")</f>
        <v/>
      </c>
      <c r="P301" s="26" t="str">
        <f t="shared" si="6"/>
        <v>BLOCKED</v>
      </c>
      <c r="Q301" s="26" t="str">
        <f t="shared" si="7"/>
        <v>BLOCKED</v>
      </c>
      <c r="R301" s="26" t="str">
        <f t="array" ref="R301">IFERROR(
 _xlfn.XLOOKUP(
  A301,
  tblChecklist[TargetID],
  tblChecklist[PlayerSort],
  ""
 ),
 ""
)</f>
        <v/>
      </c>
      <c r="S301" s="26" t="str">
        <f>IFERROR(__xludf.DUMMYFUNCTION("LET(
 id,A301,
 successorIDs,
  IFERROR(
   UNIQUE(
    FILTER(
     {
      Dependencies!$A$2:$A$1000;
      QuestObjectives!$A$2:$A$1000
     },
     {
      Dependencies!$B$2:$B$1000;
      QuestObjectives!$E$2:$E$1000
     }=id
    )
   ),
   """"
  )"&amp;",
 names,
  MAP(
   successorIDs,
   LAMBDA(s,
    IF(
     s="""",
     """",
     XLOOKUP(
      s,
      $A$2:$A$1000,
      $B$2:$B$1000,
      s
     )
    )
   )
  ),
 IF(
  successorIDs="""",
  """",
  TEXTJOIN("", "",TRUE,names)
 )
)"),"Armory, Gallery, Treasury, Meet mechanical adventurer in Dungeon 3A")</f>
        <v>Armory, Gallery, Treasury, Meet mechanical adventurer in Dungeon 3A</v>
      </c>
      <c r="T301" s="26" t="str">
        <f t="array" ref="T301">_xlfn.XLOOKUP(
 A301,
 tblTargets[TargetID],
 tblTargets[CompletionMethod],
 ""
)</f>
        <v>PLAYER</v>
      </c>
      <c r="U301" s="84" t="b">
        <f>COUNTIF(tblCost[TargetID],A301)&gt;0</f>
        <v>0</v>
      </c>
      <c r="V301" s="85" t="str">
        <f t="array" ref="V301">IF(
 U301=FALSE,
 "",
 _xlfn.XLOOKUP(
  A301,
  tblCost[TargetID],
  tblCost[FundingPercent],
  ""
 )
)</f>
        <v/>
      </c>
      <c r="W301" s="26" t="str">
        <f t="array" ref="W301">IF(
 U301=FALSE,
 "",
 _xlfn.XLOOKUP(
  A301,
  tblCost[TargetID],
  tblCost[RemainingRequirements],
  ""
 )
)</f>
        <v/>
      </c>
      <c r="X301" s="45" t="str">
        <f t="array" ref="X301">IF(
 U301=FALSE,
 "N/A",
 _xlfn.XLOOKUP(
  A302,
  tblCost[TargetID],
  tblCost[TargetFunded],
  FALSE
 )
)</f>
        <v>N/A</v>
      </c>
      <c r="Y301" s="26" t="str">
        <f>IFERROR(__xludf.DUMMYFUNCTION("IFERROR(
 TEXTJOIN(
  "", "",
  TRUE,
  FILTER(
   'cost checklist'!$E$2:$E1000&amp;"": ""&amp;'cost checklist'!$G$2:$G1000,
   'cost checklist'!$B$2:$B1000=A301,
   'cost checklist'!$J$2:$J1000=FALSE
  )
 ),
 """"
)"),"")</f>
        <v/>
      </c>
      <c r="Z301" s="26" t="b">
        <f>IFERROR(__xludf.DUMMYFUNCTION("IF(
 AND(
  E301=""QUEST"",
  RIGHT(A301,9)="".accepted"",
  D301=TRUE
 ),
 XLOOKUP(
  REGEXREPLACE(A301,""\.accepted$"","""")&amp;"".finished"",
  $A$2:$A1000,
  $D$2:$D1000,
  TRUE
 )=FALSE,
 FALSE
)"),FALSE)</f>
        <v>0</v>
      </c>
      <c r="AA301" s="26" t="str">
        <f>IFERROR(__xludf.DUMMYFUNCTION("LET(
 id,A301,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02" ht="14.25" customHeight="1">
      <c r="A302" s="26" t="s">
        <v>1130</v>
      </c>
      <c r="B302" s="26" t="str">
        <f t="array" ref="B302">_xlfn.XLOOKUP(
 A302,
 tblTargets[TargetID],
 tblTargets[DisplayName],
 ""
)</f>
        <v>Once Upon a Forest Chapter 2 Accepted</v>
      </c>
      <c r="C302" s="26" t="str">
        <f t="shared" si="1"/>
        <v>BLOCKED</v>
      </c>
      <c r="D302" s="26" t="b">
        <f>IFERROR(__xludf.DUMMYFUNCTION("LET(
 id,A302,
 IF(
  F302=""CHARACTER"",
  LET(
   base,REGEXREPLACE(id,""@\d+$"",""""),
   required,VALUE(REGEXEXTRACT(id,""@(\d+)$"")),
   current,XLOOKUP(
    base,
    tblPlayer[PlayerStateID],
    tblPlayer[Value],
    0
   ),
   current&gt;=required
 "&amp;" ),
  IF(
   T302=""AUTO"",
   L302=0,
   COUNTIFS(
    tblChecklist[TargetID],id,
    tblChecklist[PlayerCompleted],TRUE
   )&gt;0
  )
 )
)"),FALSE)</f>
        <v>0</v>
      </c>
      <c r="E302" s="26" t="str">
        <f t="array" ref="E302">_xlfn.XLOOKUP(
 A302,
 tblTargets[TargetID],
 tblTargets[TargetType],
 ""
)</f>
        <v>QUEST</v>
      </c>
      <c r="F302" s="26" t="str">
        <f t="array" ref="F302">_xlfn.XLOOKUP(
 A302,
 tblTargets[TargetID],
 tblTargets[StateType],
 ""
)</f>
        <v/>
      </c>
      <c r="G302" s="26">
        <f>LET(
 id,A302,
 depCount,COUNTIF(tblDependencies[TargetID],id),
 objCount,COUNTIF(tblQuestObjectives[QuestTargetID],id),
 depCount+objCount
)</f>
        <v>2</v>
      </c>
      <c r="H302" s="26">
        <f t="shared" si="2"/>
        <v>2</v>
      </c>
      <c r="I302" s="26">
        <f>IFERROR(__xludf.DUMMYFUNCTION("LET(
 id,A302,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2" s="26">
        <f t="shared" si="3"/>
        <v>0</v>
      </c>
      <c r="K302" s="26" t="b">
        <f t="shared" si="4"/>
        <v>0</v>
      </c>
      <c r="L302" s="26">
        <f t="shared" si="5"/>
        <v>2</v>
      </c>
      <c r="M302" s="26" t="str">
        <f>IFERROR(__xludf.DUMMYFUNCTION("LET(
 id,A302,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L302=0,
  """",
  IFERROR(INDEX(incomplete,1),"""")"&amp;"
 )
)"),"quest.once_upon_a_forest_chapter_1.finished")</f>
        <v>quest.once_upon_a_forest_chapter_1.finished</v>
      </c>
      <c r="N302" s="26" t="str">
        <f t="array" ref="N302">IF(
 M302="",
 "",
 _xlfn.XLOOKUP(
  M302,
  tblTargets[TargetID],
  tblTargets[DisplayName],
  M302
 )
)</f>
        <v>Once Upon a Forest Chapter 1 Finished</v>
      </c>
      <c r="O302" s="26" t="str">
        <f>IFERROR(__xludf.DUMMYFUNCTION("SWITCH(
 E302,
 ""BUILDING"",XLOOKUP(A302,tblBuildings[BuildingID],tblBuildings[costtext],""""),
 ""TECH"",XLOOKUP(A302,tblTechnologies[TechnologyID],tblTechnologies[costtext],""""),
 ""QUEST"",XLOOKUP(
  REGEXREPLACE(A302,""\.[^.]+$"",""""),
  tblQuests["&amp;"QuestID],
  tblQuests[Costtext],
  """"
 ),
 ""CITADEL"",XLOOKUP(A302,tblCitadel[CitadelID],tblCitadel[costtext],""""),
 ""COLLECTION"",XLOOKUP(A302,tblCollections[CollectionID],tblCollections[costtext],""""),
 ""CRAFTIFACT"",XLOOKUP(A302,tblCraftifacts[C"&amp;"raftifactID],tblCraftifacts[costtext],""""),
 """"
)"),"")</f>
        <v/>
      </c>
      <c r="P302" s="26" t="str">
        <f t="shared" si="6"/>
        <v>BLOCKED</v>
      </c>
      <c r="Q302" s="26" t="str">
        <f t="shared" si="7"/>
        <v>BLOCKED</v>
      </c>
      <c r="R302" s="26" t="str">
        <f t="array" ref="R302">IFERROR(
 _xlfn.XLOOKUP(
  A302,
  tblChecklist[TargetID],
  tblChecklist[PlayerSort],
  ""
 ),
 ""
)</f>
        <v/>
      </c>
      <c r="S302" s="26" t="str">
        <f>IFERROR(__xludf.DUMMYFUNCTION("LET(
 id,A302,
 successorIDs,
  IFERROR(
   UNIQUE(
    FILTER(
     {
      Dependencies!$A$2:$A$1000;
      QuestObjectives!$A$2:$A$1000
     },
     {
      Dependencies!$B$2:$B$1000;
      QuestObjectives!$E$2:$E$1000
     }=id
    )
   ),
   """"
  )"&amp;",
 names,
  MAP(
   successorIDs,
   LAMBDA(s,
    IF(
     s="""",
     """",
     XLOOKUP(
      s,
      $A$2:$A$1000,
      $B$2:$B$1000,
      s
     )
    )
   )
  ),
 IF(
  successorIDs="""",
  """",
  TEXTJOIN("", "",TRUE,names)
 )
)"),"Once Upon a Forest Chapter 2 Finished, Complete F1 for the first time")</f>
        <v>Once Upon a Forest Chapter 2 Finished, Complete F1 for the first time</v>
      </c>
      <c r="T302" s="26" t="str">
        <f t="array" ref="T302">_xlfn.XLOOKUP(
 A302,
 tblTargets[TargetID],
 tblTargets[CompletionMethod],
 ""
)</f>
        <v>PLAYER</v>
      </c>
      <c r="U302" s="84" t="b">
        <f>COUNTIF(tblCost[TargetID],A302)&gt;0</f>
        <v>0</v>
      </c>
      <c r="V302" s="85" t="str">
        <f t="array" ref="V302">IF(
 U302=FALSE,
 "",
 _xlfn.XLOOKUP(
  A302,
  tblCost[TargetID],
  tblCost[FundingPercent],
  ""
 )
)</f>
        <v/>
      </c>
      <c r="W302" s="26" t="str">
        <f t="array" ref="W302">IF(
 U302=FALSE,
 "",
 _xlfn.XLOOKUP(
  A302,
  tblCost[TargetID],
  tblCost[RemainingRequirements],
  ""
 )
)</f>
        <v/>
      </c>
      <c r="X302" s="45" t="str">
        <f t="array" ref="X302">IF(
 U302=FALSE,
 "N/A",
 _xlfn.XLOOKUP(
  A303,
  tblCost[TargetID],
  tblCost[TargetFunded],
  FALSE
 )
)</f>
        <v>N/A</v>
      </c>
      <c r="Y302" s="26" t="str">
        <f>IFERROR(__xludf.DUMMYFUNCTION("IFERROR(
 TEXTJOIN(
  "", "",
  TRUE,
  FILTER(
   'cost checklist'!$E$2:$E1000&amp;"": ""&amp;'cost checklist'!$G$2:$G1000,
   'cost checklist'!$B$2:$B1000=A302,
   'cost checklist'!$J$2:$J1000=FALSE
  )
 ),
 """"
)"),"")</f>
        <v/>
      </c>
      <c r="Z302" s="26" t="b">
        <f>IFERROR(__xludf.DUMMYFUNCTION("IF(
 AND(
  E302=""QUEST"",
  RIGHT(A302,9)="".accepted"",
  D302=TRUE
 ),
 XLOOKUP(
  REGEXREPLACE(A302,""\.accepted$"","""")&amp;"".finished"",
  $A$2:$A1000,
  $D$2:$D1000,
  TRUE
 )=FALSE,
 FALSE
)"),FALSE)</f>
        <v>0</v>
      </c>
      <c r="AA302" s="26" t="str">
        <f>IFERROR(__xludf.DUMMYFUNCTION("LET(
 id,A302,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03" ht="14.25" customHeight="1">
      <c r="A303" s="26" t="s">
        <v>1134</v>
      </c>
      <c r="B303" s="26" t="str">
        <f t="array" ref="B303">_xlfn.XLOOKUP(
 A303,
 tblTargets[TargetID],
 tblTargets[DisplayName],
 ""
)</f>
        <v>Once Upon a Forest Chapter 2 Finished</v>
      </c>
      <c r="C303" s="26" t="str">
        <f t="shared" si="1"/>
        <v>BLOCKED</v>
      </c>
      <c r="D303" s="26" t="b">
        <f>IFERROR(__xludf.DUMMYFUNCTION("LET(
 id,A303,
 IF(
  F303=""CHARACTER"",
  LET(
   base,REGEXREPLACE(id,""@\d+$"",""""),
   required,VALUE(REGEXEXTRACT(id,""@(\d+)$"")),
   current,XLOOKUP(
    base,
    tblPlayer[PlayerStateID],
    tblPlayer[Value],
    0
   ),
   current&gt;=required
 "&amp;" ),
  IF(
   T303=""AUTO"",
   L303=0,
   COUNTIFS(
    tblChecklist[TargetID],id,
    tblChecklist[PlayerCompleted],TRUE
   )&gt;0
  )
 )
)"),FALSE)</f>
        <v>0</v>
      </c>
      <c r="E303" s="26" t="str">
        <f t="array" ref="E303">_xlfn.XLOOKUP(
 A303,
 tblTargets[TargetID],
 tblTargets[TargetType],
 ""
)</f>
        <v>QUEST</v>
      </c>
      <c r="F303" s="26" t="str">
        <f t="array" ref="F303">_xlfn.XLOOKUP(
 A303,
 tblTargets[TargetID],
 tblTargets[StateType],
 ""
)</f>
        <v/>
      </c>
      <c r="G303" s="26">
        <f>LET(
 id,A303,
 depCount,COUNTIF(tblDependencies[TargetID],id),
 objCount,COUNTIF(tblQuestObjectives[QuestTargetID],id),
 depCount+objCount
)</f>
        <v>2</v>
      </c>
      <c r="H303" s="26">
        <f t="shared" si="2"/>
        <v>2</v>
      </c>
      <c r="I303" s="26">
        <f>IFERROR(__xludf.DUMMYFUNCTION("LET(
 id,A303,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3" s="26">
        <f t="shared" si="3"/>
        <v>0</v>
      </c>
      <c r="K303" s="26" t="b">
        <f t="shared" si="4"/>
        <v>0</v>
      </c>
      <c r="L303" s="26">
        <f t="shared" si="5"/>
        <v>2</v>
      </c>
      <c r="M303" s="26" t="str">
        <f>IFERROR(__xludf.DUMMYFUNCTION("LET(
 id,A303,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L303=0,
  """",
  IFERROR(INDEX(incomplete,1),"""")"&amp;"
 )
)"),"quest.once_upon_a_forest_chapter_2.accepted")</f>
        <v>quest.once_upon_a_forest_chapter_2.accepted</v>
      </c>
      <c r="N303" s="26" t="str">
        <f t="array" ref="N303">IF(
 M303="",
 "",
 _xlfn.XLOOKUP(
  M303,
  tblTargets[TargetID],
  tblTargets[DisplayName],
  M303
 )
)</f>
        <v>Once Upon a Forest Chapter 2 Accepted</v>
      </c>
      <c r="O303" s="26" t="str">
        <f>IFERROR(__xludf.DUMMYFUNCTION("SWITCH(
 E303,
 ""BUILDING"",XLOOKUP(A303,tblBuildings[BuildingID],tblBuildings[costtext],""""),
 ""TECH"",XLOOKUP(A303,tblTechnologies[TechnologyID],tblTechnologies[costtext],""""),
 ""QUEST"",XLOOKUP(
  REGEXREPLACE(A303,""\.[^.]+$"",""""),
  tblQuests["&amp;"QuestID],
  tblQuests[Costtext],
  """"
 ),
 ""CITADEL"",XLOOKUP(A303,tblCitadel[CitadelID],tblCitadel[costtext],""""),
 ""COLLECTION"",XLOOKUP(A303,tblCollections[CollectionID],tblCollections[costtext],""""),
 ""CRAFTIFACT"",XLOOKUP(A303,tblCraftifacts[C"&amp;"raftifactID],tblCraftifacts[costtext],""""),
 """"
)"),"")</f>
        <v/>
      </c>
      <c r="P303" s="26" t="str">
        <f t="shared" si="6"/>
        <v>BLOCKED</v>
      </c>
      <c r="Q303" s="26" t="str">
        <f t="shared" si="7"/>
        <v>BLOCKED</v>
      </c>
      <c r="R303" s="26" t="str">
        <f t="array" ref="R303">IFERROR(
 _xlfn.XLOOKUP(
  A303,
  tblChecklist[TargetID],
  tblChecklist[PlayerSort],
  ""
 ),
 ""
)</f>
        <v/>
      </c>
      <c r="S303" s="26" t="str">
        <f>IFERROR(__xludf.DUMMYFUNCTION("LET(
 id,A303,
 successorIDs,
  IFERROR(
   UNIQUE(
    FILTER(
     {
      Dependencies!$A$2:$A$1000;
      QuestObjectives!$A$2:$A$1000
     },
     {
      Dependencies!$B$2:$B$1000;
      QuestObjectives!$E$2:$E$1000
     }=id
    )
   ),
   """"
  )"&amp;",
 names,
  MAP(
   successorIDs,
   LAMBDA(s,
    IF(
     s="""",
     """",
     XLOOKUP(
      s,
      $A$2:$A$1000,
      $B$2:$B$1000,
      s
     )
    )
   )
  ),
 IF(
  successorIDs="""",
  """",
  TEXTJOIN("", "",TRUE,names)
 )
)"),"Courtyard, Horse Lv 1, Once Upon a Forest Chapter 3 Accepted, Meet mechanical adventurer in Dungeon F1")</f>
        <v>Courtyard, Horse Lv 1, Once Upon a Forest Chapter 3 Accepted, Meet mechanical adventurer in Dungeon F1</v>
      </c>
      <c r="T303" s="26" t="str">
        <f t="array" ref="T303">_xlfn.XLOOKUP(
 A303,
 tblTargets[TargetID],
 tblTargets[CompletionMethod],
 ""
)</f>
        <v>PLAYER</v>
      </c>
      <c r="U303" s="84" t="b">
        <f>COUNTIF(tblCost[TargetID],A303)&gt;0</f>
        <v>0</v>
      </c>
      <c r="V303" s="85" t="str">
        <f t="array" ref="V303">IF(
 U303=FALSE,
 "",
 _xlfn.XLOOKUP(
  A303,
  tblCost[TargetID],
  tblCost[FundingPercent],
  ""
 )
)</f>
        <v/>
      </c>
      <c r="W303" s="26" t="str">
        <f t="array" ref="W303">IF(
 U303=FALSE,
 "",
 _xlfn.XLOOKUP(
  A303,
  tblCost[TargetID],
  tblCost[RemainingRequirements],
  ""
 )
)</f>
        <v/>
      </c>
      <c r="X303" s="45" t="str">
        <f t="array" ref="X303">IF(
 U303=FALSE,
 "N/A",
 _xlfn.XLOOKUP(
  A304,
  tblCost[TargetID],
  tblCost[TargetFunded],
  FALSE
 )
)</f>
        <v>N/A</v>
      </c>
      <c r="Y303" s="26" t="str">
        <f>IFERROR(__xludf.DUMMYFUNCTION("IFERROR(
 TEXTJOIN(
  "", "",
  TRUE,
  FILTER(
   'cost checklist'!$E$2:$E1000&amp;"": ""&amp;'cost checklist'!$G$2:$G1000,
   'cost checklist'!$B$2:$B1000=A303,
   'cost checklist'!$J$2:$J1000=FALSE
  )
 ),
 """"
)"),"")</f>
        <v/>
      </c>
      <c r="Z303" s="26" t="b">
        <f>IFERROR(__xludf.DUMMYFUNCTION("IF(
 AND(
  E303=""QUEST"",
  RIGHT(A303,9)="".accepted"",
  D303=TRUE
 ),
 XLOOKUP(
  REGEXREPLACE(A303,""\.accepted$"","""")&amp;"".finished"",
  $A$2:$A1000,
  $D$2:$D1000,
  TRUE
 )=FALSE,
 FALSE
)"),FALSE)</f>
        <v>0</v>
      </c>
      <c r="AA303" s="26" t="str">
        <f>IFERROR(__xludf.DUMMYFUNCTION("LET(
 id,A303,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3")</f>
        <v>Once Upon a Forest Chapter 3</v>
      </c>
    </row>
    <row r="304" ht="14.25" customHeight="1">
      <c r="A304" s="26" t="s">
        <v>1139</v>
      </c>
      <c r="B304" s="26" t="str">
        <f t="array" ref="B304">_xlfn.XLOOKUP(
 A304,
 tblTargets[TargetID],
 tblTargets[DisplayName],
 ""
)</f>
        <v>Once Upon a Forest Chapter 3 Accepted</v>
      </c>
      <c r="C304" s="26" t="str">
        <f t="shared" si="1"/>
        <v>BLOCKED</v>
      </c>
      <c r="D304" s="26" t="b">
        <f>IFERROR(__xludf.DUMMYFUNCTION("LET(
 id,A304,
 IF(
  F304=""CHARACTER"",
  LET(
   base,REGEXREPLACE(id,""@\d+$"",""""),
   required,VALUE(REGEXEXTRACT(id,""@(\d+)$"")),
   current,XLOOKUP(
    base,
    tblPlayer[PlayerStateID],
    tblPlayer[Value],
    0
   ),
   current&gt;=required
 "&amp;" ),
  IF(
   T304=""AUTO"",
   L304=0,
   COUNTIFS(
    tblChecklist[TargetID],id,
    tblChecklist[PlayerCompleted],TRUE
   )&gt;0
  )
 )
)"),FALSE)</f>
        <v>0</v>
      </c>
      <c r="E304" s="26" t="str">
        <f t="array" ref="E304">_xlfn.XLOOKUP(
 A304,
 tblTargets[TargetID],
 tblTargets[TargetType],
 ""
)</f>
        <v>QUEST</v>
      </c>
      <c r="F304" s="26" t="str">
        <f t="array" ref="F304">_xlfn.XLOOKUP(
 A304,
 tblTargets[TargetID],
 tblTargets[StateType],
 ""
)</f>
        <v/>
      </c>
      <c r="G304" s="26">
        <f>LET(
 id,A304,
 depCount,COUNTIF(tblDependencies[TargetID],id),
 objCount,COUNTIF(tblQuestObjectives[QuestTargetID],id),
 depCount+objCount
)</f>
        <v>2</v>
      </c>
      <c r="H304" s="26">
        <f t="shared" si="2"/>
        <v>2</v>
      </c>
      <c r="I304" s="26">
        <f>IFERROR(__xludf.DUMMYFUNCTION("LET(
 id,A304,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4" s="26">
        <f t="shared" si="3"/>
        <v>0</v>
      </c>
      <c r="K304" s="26" t="b">
        <f t="shared" si="4"/>
        <v>0</v>
      </c>
      <c r="L304" s="26">
        <f t="shared" si="5"/>
        <v>2</v>
      </c>
      <c r="M304" s="26" t="str">
        <f>IFERROR(__xludf.DUMMYFUNCTION("LET(
 id,A304,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L304=0,
  """",
  IFERROR(INDEX(incomplete,1),"""")"&amp;"
 )
)"),"state.meet_mech_adventurer_f1")</f>
        <v>state.meet_mech_adventurer_f1</v>
      </c>
      <c r="N304" s="26" t="str">
        <f t="array" ref="N304">IF(
 M304="",
 "",
 _xlfn.XLOOKUP(
  M304,
  tblTargets[TargetID],
  tblTargets[DisplayName],
  M304
 )
)</f>
        <v>Meet mechanical adventurer in Dungeon F1</v>
      </c>
      <c r="O304" s="26" t="str">
        <f>IFERROR(__xludf.DUMMYFUNCTION("SWITCH(
 E304,
 ""BUILDING"",XLOOKUP(A304,tblBuildings[BuildingID],tblBuildings[costtext],""""),
 ""TECH"",XLOOKUP(A304,tblTechnologies[TechnologyID],tblTechnologies[costtext],""""),
 ""QUEST"",XLOOKUP(
  REGEXREPLACE(A304,""\.[^.]+$"",""""),
  tblQuests["&amp;"QuestID],
  tblQuests[Costtext],
  """"
 ),
 ""CITADEL"",XLOOKUP(A304,tblCitadel[CitadelID],tblCitadel[costtext],""""),
 ""COLLECTION"",XLOOKUP(A304,tblCollections[CollectionID],tblCollections[costtext],""""),
 ""CRAFTIFACT"",XLOOKUP(A304,tblCraftifacts[C"&amp;"raftifactID],tblCraftifacts[costtext],""""),
 """"
)"),"")</f>
        <v/>
      </c>
      <c r="P304" s="26" t="str">
        <f t="shared" si="6"/>
        <v>BLOCKED</v>
      </c>
      <c r="Q304" s="26" t="str">
        <f t="shared" si="7"/>
        <v>BLOCKED</v>
      </c>
      <c r="R304" s="26" t="str">
        <f t="array" ref="R304">IFERROR(
 _xlfn.XLOOKUP(
  A304,
  tblChecklist[TargetID],
  tblChecklist[PlayerSort],
  ""
 ),
 ""
)</f>
        <v/>
      </c>
      <c r="S304" s="26" t="str">
        <f>IFERROR(__xludf.DUMMYFUNCTION("LET(
 id,A304,
 successorIDs,
  IFERROR(
   UNIQUE(
    FILTER(
     {
      Dependencies!$A$2:$A$1000;
      QuestObjectives!$A$2:$A$1000
     },
     {
      Dependencies!$B$2:$B$1000;
      QuestObjectives!$E$2:$E$1000
     }=id
    )
   ),
   """"
  )"&amp;",
 names,
  MAP(
   successorIDs,
   LAMBDA(s,
    IF(
     s="""",
     """",
     XLOOKUP(
      s,
      $A$2:$A$1000,
      $B$2:$B$1000,
      s
     )
    )
   )
  ),
 IF(
  successorIDs="""",
  """",
  TEXTJOIN("", "",TRUE,names)
 )
)"),"Once Upon a Forest Chapter 3 Finished, Obtain 8 MALU")</f>
        <v>Once Upon a Forest Chapter 3 Finished, Obtain 8 MALU</v>
      </c>
      <c r="T304" s="26" t="str">
        <f t="array" ref="T304">_xlfn.XLOOKUP(
 A304,
 tblTargets[TargetID],
 tblTargets[CompletionMethod],
 ""
)</f>
        <v>PLAYER</v>
      </c>
      <c r="U304" s="84" t="b">
        <f>COUNTIF(tblCost[TargetID],A304)&gt;0</f>
        <v>0</v>
      </c>
      <c r="V304" s="85" t="str">
        <f t="array" ref="V304">IF(
 U304=FALSE,
 "",
 _xlfn.XLOOKUP(
  A304,
  tblCost[TargetID],
  tblCost[FundingPercent],
  ""
 )
)</f>
        <v/>
      </c>
      <c r="W304" s="26" t="str">
        <f t="array" ref="W304">IF(
 U304=FALSE,
 "",
 _xlfn.XLOOKUP(
  A304,
  tblCost[TargetID],
  tblCost[RemainingRequirements],
  ""
 )
)</f>
        <v/>
      </c>
      <c r="X304" s="45" t="str">
        <f t="array" ref="X304">IF(
 U304=FALSE,
 "N/A",
 _xlfn.XLOOKUP(
  A305,
  tblCost[TargetID],
  tblCost[TargetFunded],
  FALSE
 )
)</f>
        <v>N/A</v>
      </c>
      <c r="Y304" s="26" t="str">
        <f>IFERROR(__xludf.DUMMYFUNCTION("IFERROR(
 TEXTJOIN(
  "", "",
  TRUE,
  FILTER(
   'cost checklist'!$E$2:$E1000&amp;"": ""&amp;'cost checklist'!$G$2:$G1000,
   'cost checklist'!$B$2:$B1000=A304,
   'cost checklist'!$J$2:$J1000=FALSE
  )
 ),
 """"
)"),"")</f>
        <v/>
      </c>
      <c r="Z304" s="26" t="b">
        <f>IFERROR(__xludf.DUMMYFUNCTION("IF(
 AND(
  E304=""QUEST"",
  RIGHT(A304,9)="".accepted"",
  D304=TRUE
 ),
 XLOOKUP(
  REGEXREPLACE(A304,""\.accepted$"","""")&amp;"".finished"",
  $A$2:$A1000,
  $D$2:$D1000,
  TRUE
 )=FALSE,
 FALSE
)"),FALSE)</f>
        <v>0</v>
      </c>
      <c r="AA304" s="26" t="str">
        <f>IFERROR(__xludf.DUMMYFUNCTION("LET(
 id,A304,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05" ht="14.25" customHeight="1">
      <c r="A305" s="26" t="s">
        <v>1144</v>
      </c>
      <c r="B305" s="26" t="str">
        <f t="array" ref="B305">_xlfn.XLOOKUP(
 A305,
 tblTargets[TargetID],
 tblTargets[DisplayName],
 ""
)</f>
        <v>Once Upon a Forest Chapter 3 Finished</v>
      </c>
      <c r="C305" s="26" t="str">
        <f t="shared" si="1"/>
        <v>BLOCKED</v>
      </c>
      <c r="D305" s="26" t="b">
        <f>IFERROR(__xludf.DUMMYFUNCTION("LET(
 id,A305,
 IF(
  F305=""CHARACTER"",
  LET(
   base,REGEXREPLACE(id,""@\d+$"",""""),
   required,VALUE(REGEXEXTRACT(id,""@(\d+)$"")),
   current,XLOOKUP(
    base,
    tblPlayer[PlayerStateID],
    tblPlayer[Value],
    0
   ),
   current&gt;=required
 "&amp;" ),
  IF(
   T305=""AUTO"",
   L305=0,
   COUNTIFS(
    tblChecklist[TargetID],id,
    tblChecklist[PlayerCompleted],TRUE
   )&gt;0
  )
 )
)"),FALSE)</f>
        <v>0</v>
      </c>
      <c r="E305" s="26" t="str">
        <f t="array" ref="E305">_xlfn.XLOOKUP(
 A305,
 tblTargets[TargetID],
 tblTargets[TargetType],
 ""
)</f>
        <v>QUEST</v>
      </c>
      <c r="F305" s="26" t="str">
        <f t="array" ref="F305">_xlfn.XLOOKUP(
 A305,
 tblTargets[TargetID],
 tblTargets[StateType],
 ""
)</f>
        <v/>
      </c>
      <c r="G305" s="26">
        <f>LET(
 id,A305,
 depCount,COUNTIF(tblDependencies[TargetID],id),
 objCount,COUNTIF(tblQuestObjectives[QuestTargetID],id),
 depCount+objCount
)</f>
        <v>2</v>
      </c>
      <c r="H305" s="26">
        <f t="shared" si="2"/>
        <v>2</v>
      </c>
      <c r="I305" s="26">
        <f>IFERROR(__xludf.DUMMYFUNCTION("LET(
 id,A305,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5" s="26">
        <f t="shared" si="3"/>
        <v>0</v>
      </c>
      <c r="K305" s="26" t="b">
        <f t="shared" si="4"/>
        <v>0</v>
      </c>
      <c r="L305" s="26">
        <f t="shared" si="5"/>
        <v>2</v>
      </c>
      <c r="M305" s="26" t="str">
        <f>IFERROR(__xludf.DUMMYFUNCTION("LET(
 id,A305,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L305=0,
  """",
  IFERROR(INDEX(incomplete,1),"""")"&amp;"
 )
)"),"quest.once_upon_a_forest_chapter_3.accepted")</f>
        <v>quest.once_upon_a_forest_chapter_3.accepted</v>
      </c>
      <c r="N305" s="26" t="str">
        <f t="array" ref="N305">IF(
 M305="",
 "",
 _xlfn.XLOOKUP(
  M305,
  tblTargets[TargetID],
  tblTargets[DisplayName],
  M305
 )
)</f>
        <v>Once Upon a Forest Chapter 3 Accepted</v>
      </c>
      <c r="O305" s="26" t="str">
        <f>IFERROR(__xludf.DUMMYFUNCTION("SWITCH(
 E305,
 ""BUILDING"",XLOOKUP(A305,tblBuildings[BuildingID],tblBuildings[costtext],""""),
 ""TECH"",XLOOKUP(A305,tblTechnologies[TechnologyID],tblTechnologies[costtext],""""),
 ""QUEST"",XLOOKUP(
  REGEXREPLACE(A305,""\.[^.]+$"",""""),
  tblQuests["&amp;"QuestID],
  tblQuests[Costtext],
  """"
 ),
 ""CITADEL"",XLOOKUP(A305,tblCitadel[CitadelID],tblCitadel[costtext],""""),
 ""COLLECTION"",XLOOKUP(A305,tblCollections[CollectionID],tblCollections[costtext],""""),
 ""CRAFTIFACT"",XLOOKUP(A305,tblCraftifacts[C"&amp;"raftifactID],tblCraftifacts[costtext],""""),
 """"
)"),"")</f>
        <v/>
      </c>
      <c r="P305" s="26" t="str">
        <f t="shared" si="6"/>
        <v>BLOCKED</v>
      </c>
      <c r="Q305" s="26" t="str">
        <f t="shared" si="7"/>
        <v>BLOCKED</v>
      </c>
      <c r="R305" s="26" t="str">
        <f t="array" ref="R305">IFERROR(
 _xlfn.XLOOKUP(
  A305,
  tblChecklist[TargetID],
  tblChecklist[PlayerSort],
  ""
 ),
 ""
)</f>
        <v/>
      </c>
      <c r="S305" s="26" t="str">
        <f>IFERROR(__xludf.DUMMYFUNCTION("LET(
 id,A305,
 successorIDs,
  IFERROR(
   UNIQUE(
    FILTER(
     {
      Dependencies!$A$2:$A$1000;
      QuestObjectives!$A$2:$A$1000
     },
     {
      Dependencies!$B$2:$B$1000;
      QuestObjectives!$E$2:$E$1000
     }=id
    )
   ),
   """"
  )"&amp;",
 names,
  MAP(
   successorIDs,
   LAMBDA(s,
    IF(
     s="""",
     """",
     XLOOKUP(
      s,
      $A$2:$A$1000,
      $B$2:$B$1000,
      s
     )
    )
   )
  ),
 IF(
  successorIDs="""",
  """",
  TEXTJOIN("", "",TRUE,names)
 )
)"),"Solver 1 Prototype, Once Upon a Forest Chapter 12 Accepted, Meet Mr Diligence@F1, Repeat Visit Dungeon@ F1")</f>
        <v>Solver 1 Prototype, Once Upon a Forest Chapter 12 Accepted, Meet Mr Diligence@F1, Repeat Visit Dungeon@ F1</v>
      </c>
      <c r="T305" s="26" t="str">
        <f t="array" ref="T305">_xlfn.XLOOKUP(
 A305,
 tblTargets[TargetID],
 tblTargets[CompletionMethod],
 ""
)</f>
        <v>PLAYER</v>
      </c>
      <c r="U305" s="84" t="b">
        <f>COUNTIF(tblCost[TargetID],A305)&gt;0</f>
        <v>0</v>
      </c>
      <c r="V305" s="85" t="str">
        <f t="array" ref="V305">IF(
 U305=FALSE,
 "",
 _xlfn.XLOOKUP(
  A305,
  tblCost[TargetID],
  tblCost[FundingPercent],
  ""
 )
)</f>
        <v/>
      </c>
      <c r="W305" s="26" t="str">
        <f t="array" ref="W305">IF(
 U305=FALSE,
 "",
 _xlfn.XLOOKUP(
  A305,
  tblCost[TargetID],
  tblCost[RemainingRequirements],
  ""
 )
)</f>
        <v/>
      </c>
      <c r="X305" s="45" t="str">
        <f t="array" ref="X305">IF(
 U305=FALSE,
 "N/A",
 _xlfn.XLOOKUP(
  A306,
  tblCost[TargetID],
  tblCost[TargetFunded],
  FALSE
 )
)</f>
        <v>N/A</v>
      </c>
      <c r="Y305" s="26" t="str">
        <f>IFERROR(__xludf.DUMMYFUNCTION("IFERROR(
 TEXTJOIN(
  "", "",
  TRUE,
  FILTER(
   'cost checklist'!$E$2:$E1000&amp;"": ""&amp;'cost checklist'!$G$2:$G1000,
   'cost checklist'!$B$2:$B1000=A305,
   'cost checklist'!$J$2:$J1000=FALSE
  )
 ),
 """"
)"),"")</f>
        <v/>
      </c>
      <c r="Z305" s="26" t="b">
        <f>IFERROR(__xludf.DUMMYFUNCTION("IF(
 AND(
  E305=""QUEST"",
  RIGHT(A305,9)="".accepted"",
  D305=TRUE
 ),
 XLOOKUP(
  REGEXREPLACE(A305,""\.accepted$"","""")&amp;"".finished"",
  $A$2:$A1000,
  $D$2:$D1000,
  TRUE
 )=FALSE,
 FALSE
)"),FALSE)</f>
        <v>0</v>
      </c>
      <c r="AA305" s="26" t="str">
        <f>IFERROR(__xludf.DUMMYFUNCTION("LET(
 id,A305,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12")</f>
        <v>Once Upon a Forest Chapter 12</v>
      </c>
    </row>
    <row r="306" ht="14.25" customHeight="1">
      <c r="A306" s="26" t="s">
        <v>1149</v>
      </c>
      <c r="B306" s="26" t="str">
        <f t="array" ref="B306">_xlfn.XLOOKUP(
 A306,
 tblTargets[TargetID],
 tblTargets[DisplayName],
 ""
)</f>
        <v>Once Upon a Forest Chapter 4 Accepted</v>
      </c>
      <c r="C306" s="26" t="str">
        <f t="shared" si="1"/>
        <v>BLOCKED</v>
      </c>
      <c r="D306" s="26" t="b">
        <f>IFERROR(__xludf.DUMMYFUNCTION("LET(
 id,A306,
 IF(
  F306=""CHARACTER"",
  LET(
   base,REGEXREPLACE(id,""@\d+$"",""""),
   required,VALUE(REGEXEXTRACT(id,""@(\d+)$"")),
   current,XLOOKUP(
    base,
    tblPlayer[PlayerStateID],
    tblPlayer[Value],
    0
   ),
   current&gt;=required
 "&amp;" ),
  IF(
   T306=""AUTO"",
   L306=0,
   COUNTIFS(
    tblChecklist[TargetID],id,
    tblChecklist[PlayerCompleted],TRUE
   )&gt;0
  )
 )
)"),FALSE)</f>
        <v>0</v>
      </c>
      <c r="E306" s="26" t="str">
        <f t="array" ref="E306">_xlfn.XLOOKUP(
 A306,
 tblTargets[TargetID],
 tblTargets[TargetType],
 ""
)</f>
        <v>QUEST</v>
      </c>
      <c r="F306" s="26" t="str">
        <f t="array" ref="F306">_xlfn.XLOOKUP(
 A306,
 tblTargets[TargetID],
 tblTargets[StateType],
 ""
)</f>
        <v/>
      </c>
      <c r="G306" s="26">
        <f>LET(
 id,A306,
 depCount,COUNTIF(tblDependencies[TargetID],id),
 objCount,COUNTIF(tblQuestObjectives[QuestTargetID],id),
 depCount+objCount
)</f>
        <v>1</v>
      </c>
      <c r="H306" s="26">
        <f t="shared" si="2"/>
        <v>1</v>
      </c>
      <c r="I306" s="26">
        <f>IFERROR(__xludf.DUMMYFUNCTION("LET(
 id,A306,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6" s="26">
        <f t="shared" si="3"/>
        <v>0</v>
      </c>
      <c r="K306" s="26" t="b">
        <f t="shared" si="4"/>
        <v>0</v>
      </c>
      <c r="L306" s="26">
        <f t="shared" si="5"/>
        <v>1</v>
      </c>
      <c r="M306" s="26" t="str">
        <f>IFERROR(__xludf.DUMMYFUNCTION("LET(
 id,A306,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L306=0,
  """",
  IFERROR(INDEX(incomplete,1),"""")"&amp;"
 )
)"),"state.meet_raven@f1_second_time")</f>
        <v>state.meet_raven@f1_second_time</v>
      </c>
      <c r="N306" s="26" t="str">
        <f t="array" ref="N306">IF(
 M306="",
 "",
 _xlfn.XLOOKUP(
  M306,
  tblTargets[TargetID],
  tblTargets[DisplayName],
  M306
 )
)</f>
        <v>Repeat Visit Dungeon@ F1</v>
      </c>
      <c r="O306" s="26" t="str">
        <f>IFERROR(__xludf.DUMMYFUNCTION("SWITCH(
 E306,
 ""BUILDING"",XLOOKUP(A306,tblBuildings[BuildingID],tblBuildings[costtext],""""),
 ""TECH"",XLOOKUP(A306,tblTechnologies[TechnologyID],tblTechnologies[costtext],""""),
 ""QUEST"",XLOOKUP(
  REGEXREPLACE(A306,""\.[^.]+$"",""""),
  tblQuests["&amp;"QuestID],
  tblQuests[Costtext],
  """"
 ),
 ""CITADEL"",XLOOKUP(A306,tblCitadel[CitadelID],tblCitadel[costtext],""""),
 ""COLLECTION"",XLOOKUP(A306,tblCollections[CollectionID],tblCollections[costtext],""""),
 ""CRAFTIFACT"",XLOOKUP(A306,tblCraftifacts[C"&amp;"raftifactID],tblCraftifacts[costtext],""""),
 """"
)"),"")</f>
        <v/>
      </c>
      <c r="P306" s="26" t="str">
        <f t="shared" si="6"/>
        <v>BLOCKED</v>
      </c>
      <c r="Q306" s="26" t="str">
        <f t="shared" si="7"/>
        <v>BLOCKED</v>
      </c>
      <c r="R306" s="26" t="str">
        <f t="array" ref="R306">IFERROR(
 _xlfn.XLOOKUP(
  A306,
  tblChecklist[TargetID],
  tblChecklist[PlayerSort],
  ""
 ),
 ""
)</f>
        <v/>
      </c>
      <c r="S306" s="26" t="str">
        <f>IFERROR(__xludf.DUMMYFUNCTION("LET(
 id,A306,
 successorIDs,
  IFERROR(
   UNIQUE(
    FILTER(
     {
      Dependencies!$A$2:$A$1000;
      QuestObjectives!$A$2:$A$1000
     },
     {
      Dependencies!$B$2:$B$1000;
      QuestObjectives!$E$2:$E$1000
     }=id
    )
   ),
   """"
  )"&amp;",
 names,
  MAP(
   successorIDs,
   LAMBDA(s,
    IF(
     s="""",
     """",
     XLOOKUP(
      s,
      $A$2:$A$1000,
      $B$2:$B$1000,
      s
     )
    )
   )
  ),
 IF(
  successorIDs="""",
  """",
  TEXTJOIN("", "",TRUE,names)
 )
)"),"Once Upon a Forest Chapter 4 Finished, Discover the gate in 3C to F2, Discover the gate in 4C to F3, Discover the gate in 5C to F4")</f>
        <v>Once Upon a Forest Chapter 4 Finished, Discover the gate in 3C to F2, Discover the gate in 4C to F3, Discover the gate in 5C to F4</v>
      </c>
      <c r="T306" s="26" t="str">
        <f t="array" ref="T306">_xlfn.XLOOKUP(
 A306,
 tblTargets[TargetID],
 tblTargets[CompletionMethod],
 ""
)</f>
        <v>PLAYER</v>
      </c>
      <c r="U306" s="84" t="b">
        <f>COUNTIF(tblCost[TargetID],A306)&gt;0</f>
        <v>0</v>
      </c>
      <c r="V306" s="85" t="str">
        <f t="array" ref="V306">IF(
 U306=FALSE,
 "",
 _xlfn.XLOOKUP(
  A306,
  tblCost[TargetID],
  tblCost[FundingPercent],
  ""
 )
)</f>
        <v/>
      </c>
      <c r="W306" s="26" t="str">
        <f t="array" ref="W306">IF(
 U306=FALSE,
 "",
 _xlfn.XLOOKUP(
  A306,
  tblCost[TargetID],
  tblCost[RemainingRequirements],
  ""
 )
)</f>
        <v/>
      </c>
      <c r="X306" s="45" t="str">
        <f t="array" ref="X306">IF(
 U306=FALSE,
 "N/A",
 _xlfn.XLOOKUP(
  A307,
  tblCost[TargetID],
  tblCost[TargetFunded],
  FALSE
 )
)</f>
        <v>N/A</v>
      </c>
      <c r="Y306" s="26" t="str">
        <f>IFERROR(__xludf.DUMMYFUNCTION("IFERROR(
 TEXTJOIN(
  "", "",
  TRUE,
  FILTER(
   'cost checklist'!$E$2:$E1000&amp;"": ""&amp;'cost checklist'!$G$2:$G1000,
   'cost checklist'!$B$2:$B1000=A306,
   'cost checklist'!$J$2:$J1000=FALSE
  )
 ),
 """"
)"),"")</f>
        <v/>
      </c>
      <c r="Z306" s="26" t="b">
        <f>IFERROR(__xludf.DUMMYFUNCTION("IF(
 AND(
  E306=""QUEST"",
  RIGHT(A306,9)="".accepted"",
  D306=TRUE
 ),
 XLOOKUP(
  REGEXREPLACE(A306,""\.accepted$"","""")&amp;"".finished"",
  $A$2:$A1000,
  $D$2:$D1000,
  TRUE
 )=FALSE,
 FALSE
)"),FALSE)</f>
        <v>0</v>
      </c>
      <c r="AA306" s="26" t="str">
        <f>IFERROR(__xludf.DUMMYFUNCTION("LET(
 id,A306,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07" ht="14.25" customHeight="1">
      <c r="A307" s="26" t="s">
        <v>1155</v>
      </c>
      <c r="B307" s="26" t="str">
        <f t="array" ref="B307">_xlfn.XLOOKUP(
 A307,
 tblTargets[TargetID],
 tblTargets[DisplayName],
 ""
)</f>
        <v>Once Upon a Forest Chapter 4 Finished</v>
      </c>
      <c r="C307" s="26" t="str">
        <f t="shared" si="1"/>
        <v>BLOCKED</v>
      </c>
      <c r="D307" s="26" t="b">
        <f>IFERROR(__xludf.DUMMYFUNCTION("LET(
 id,A307,
 IF(
  F307=""CHARACTER"",
  LET(
   base,REGEXREPLACE(id,""@\d+$"",""""),
   required,VALUE(REGEXEXTRACT(id,""@(\d+)$"")),
   current,XLOOKUP(
    base,
    tblPlayer[PlayerStateID],
    tblPlayer[Value],
    0
   ),
   current&gt;=required
 "&amp;" ),
  IF(
   T307=""AUTO"",
   L307=0,
   COUNTIFS(
    tblChecklist[TargetID],id,
    tblChecklist[PlayerCompleted],TRUE
   )&gt;0
  )
 )
)"),FALSE)</f>
        <v>0</v>
      </c>
      <c r="E307" s="26" t="str">
        <f t="array" ref="E307">_xlfn.XLOOKUP(
 A307,
 tblTargets[TargetID],
 tblTargets[TargetType],
 ""
)</f>
        <v>QUEST</v>
      </c>
      <c r="F307" s="26" t="str">
        <f t="array" ref="F307">_xlfn.XLOOKUP(
 A307,
 tblTargets[TargetID],
 tblTargets[StateType],
 ""
)</f>
        <v/>
      </c>
      <c r="G307" s="26">
        <f>LET(
 id,A307,
 depCount,COUNTIF(tblDependencies[TargetID],id),
 objCount,COUNTIF(tblQuestObjectives[QuestTargetID],id),
 depCount+objCount
)</f>
        <v>4</v>
      </c>
      <c r="H307" s="26">
        <f t="shared" si="2"/>
        <v>4</v>
      </c>
      <c r="I307" s="26">
        <f>IFERROR(__xludf.DUMMYFUNCTION("LET(
 id,A307,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7" s="26">
        <f t="shared" si="3"/>
        <v>0</v>
      </c>
      <c r="K307" s="26" t="b">
        <f t="shared" si="4"/>
        <v>0</v>
      </c>
      <c r="L307" s="26">
        <f t="shared" si="5"/>
        <v>4</v>
      </c>
      <c r="M307" s="26" t="str">
        <f>IFERROR(__xludf.DUMMYFUNCTION("LET(
 id,A307,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L307=0,
  """",
  IFERROR(INDEX(incomplete,1),"""")"&amp;"
 )
)"),"quest.once_upon_a_forest_chapter_4.accepted")</f>
        <v>quest.once_upon_a_forest_chapter_4.accepted</v>
      </c>
      <c r="N307" s="26" t="str">
        <f t="array" ref="N307">IF(
 M307="",
 "",
 _xlfn.XLOOKUP(
  M307,
  tblTargets[TargetID],
  tblTargets[DisplayName],
  M307
 )
)</f>
        <v>Once Upon a Forest Chapter 4 Accepted</v>
      </c>
      <c r="O307" s="26" t="str">
        <f>IFERROR(__xludf.DUMMYFUNCTION("SWITCH(
 E307,
 ""BUILDING"",XLOOKUP(A307,tblBuildings[BuildingID],tblBuildings[costtext],""""),
 ""TECH"",XLOOKUP(A307,tblTechnologies[TechnologyID],tblTechnologies[costtext],""""),
 ""QUEST"",XLOOKUP(
  REGEXREPLACE(A307,""\.[^.]+$"",""""),
  tblQuests["&amp;"QuestID],
  tblQuests[Costtext],
  """"
 ),
 ""CITADEL"",XLOOKUP(A307,tblCitadel[CitadelID],tblCitadel[costtext],""""),
 ""COLLECTION"",XLOOKUP(A307,tblCollections[CollectionID],tblCollections[costtext],""""),
 ""CRAFTIFACT"",XLOOKUP(A307,tblCraftifacts[C"&amp;"raftifactID],tblCraftifacts[costtext],""""),
 """"
)"),"")</f>
        <v/>
      </c>
      <c r="P307" s="26" t="str">
        <f t="shared" si="6"/>
        <v>BLOCKED</v>
      </c>
      <c r="Q307" s="26" t="str">
        <f t="shared" si="7"/>
        <v>BLOCKED</v>
      </c>
      <c r="R307" s="26" t="str">
        <f t="array" ref="R307">IFERROR(
 _xlfn.XLOOKUP(
  A307,
  tblChecklist[TargetID],
  tblChecklist[PlayerSort],
  ""
 ),
 ""
)</f>
        <v/>
      </c>
      <c r="S307" s="26" t="str">
        <f>IFERROR(__xludf.DUMMYFUNCTION("LET(
 id,A307,
 successorIDs,
  IFERROR(
   UNIQUE(
    FILTER(
     {
      Dependencies!$A$2:$A$1000;
      QuestObjectives!$A$2:$A$1000
     },
     {
      Dependencies!$B$2:$B$1000;
      QuestObjectives!$E$2:$E$1000
     }=id
    )
   ),
   """"
  )"&amp;",
 names,
  MAP(
   successorIDs,
   LAMBDA(s,
    IF(
     s="""",
     """",
     XLOOKUP(
      s,
      $A$2:$A$1000,
      $B$2:$B$1000,
      s
     )
    )
   )
  ),
 IF(
  successorIDs="""",
  """",
  TEXTJOIN("", "",TRUE,names)
 )
)"),"Once Upon a Forest Chapter 5 Accepted, Meet Mrs Diligance@F2")</f>
        <v>Once Upon a Forest Chapter 5 Accepted, Meet Mrs Diligance@F2</v>
      </c>
      <c r="T307" s="26" t="str">
        <f t="array" ref="T307">_xlfn.XLOOKUP(
 A307,
 tblTargets[TargetID],
 tblTargets[CompletionMethod],
 ""
)</f>
        <v>PLAYER</v>
      </c>
      <c r="U307" s="84" t="b">
        <f>COUNTIF(tblCost[TargetID],A307)&gt;0</f>
        <v>0</v>
      </c>
      <c r="V307" s="85" t="str">
        <f t="array" ref="V307">IF(
 U307=FALSE,
 "",
 _xlfn.XLOOKUP(
  A307,
  tblCost[TargetID],
  tblCost[FundingPercent],
  ""
 )
)</f>
        <v/>
      </c>
      <c r="W307" s="26" t="str">
        <f t="array" ref="W307">IF(
 U307=FALSE,
 "",
 _xlfn.XLOOKUP(
  A307,
  tblCost[TargetID],
  tblCost[RemainingRequirements],
  ""
 )
)</f>
        <v/>
      </c>
      <c r="X307" s="45" t="str">
        <f t="array" ref="X307">IF(
 U307=FALSE,
 "N/A",
 _xlfn.XLOOKUP(
  A308,
  tblCost[TargetID],
  tblCost[TargetFunded],
  FALSE
 )
)</f>
        <v>N/A</v>
      </c>
      <c r="Y307" s="26" t="str">
        <f>IFERROR(__xludf.DUMMYFUNCTION("IFERROR(
 TEXTJOIN(
  "", "",
  TRUE,
  FILTER(
   'cost checklist'!$E$2:$E1000&amp;"": ""&amp;'cost checklist'!$G$2:$G1000,
   'cost checklist'!$B$2:$B1000=A307,
   'cost checklist'!$J$2:$J1000=FALSE
  )
 ),
 """"
)"),"")</f>
        <v/>
      </c>
      <c r="Z307" s="26" t="b">
        <f>IFERROR(__xludf.DUMMYFUNCTION("IF(
 AND(
  E307=""QUEST"",
  RIGHT(A307,9)="".accepted"",
  D307=TRUE
 ),
 XLOOKUP(
  REGEXREPLACE(A307,""\.accepted$"","""")&amp;"".finished"",
  $A$2:$A1000,
  $D$2:$D1000,
  TRUE
 )=FALSE,
 FALSE
)"),FALSE)</f>
        <v>0</v>
      </c>
      <c r="AA307" s="26" t="str">
        <f>IFERROR(__xludf.DUMMYFUNCTION("LET(
 id,A307,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5")</f>
        <v>Once Upon a Forest Chapter 5</v>
      </c>
    </row>
    <row r="308" ht="14.25" customHeight="1">
      <c r="A308" s="26" t="s">
        <v>1160</v>
      </c>
      <c r="B308" s="26" t="str">
        <f t="array" ref="B308">_xlfn.XLOOKUP(
 A308,
 tblTargets[TargetID],
 tblTargets[DisplayName],
 ""
)</f>
        <v>Once Upon a Forest Chapter 5 Accepted</v>
      </c>
      <c r="C308" s="26" t="str">
        <f t="shared" si="1"/>
        <v>BLOCKED</v>
      </c>
      <c r="D308" s="26" t="b">
        <f>IFERROR(__xludf.DUMMYFUNCTION("LET(
 id,A308,
 IF(
  F308=""CHARACTER"",
  LET(
   base,REGEXREPLACE(id,""@\d+$"",""""),
   required,VALUE(REGEXEXTRACT(id,""@(\d+)$"")),
   current,XLOOKUP(
    base,
    tblPlayer[PlayerStateID],
    tblPlayer[Value],
    0
   ),
   current&gt;=required
 "&amp;" ),
  IF(
   T308=""AUTO"",
   L308=0,
   COUNTIFS(
    tblChecklist[TargetID],id,
    tblChecklist[PlayerCompleted],TRUE
   )&gt;0
  )
 )
)"),FALSE)</f>
        <v>0</v>
      </c>
      <c r="E308" s="26" t="str">
        <f t="array" ref="E308">_xlfn.XLOOKUP(
 A308,
 tblTargets[TargetID],
 tblTargets[TargetType],
 ""
)</f>
        <v>QUEST</v>
      </c>
      <c r="F308" s="26" t="str">
        <f t="array" ref="F308">_xlfn.XLOOKUP(
 A308,
 tblTargets[TargetID],
 tblTargets[StateType],
 ""
)</f>
        <v/>
      </c>
      <c r="G308" s="26">
        <f>LET(
 id,A308,
 depCount,COUNTIF(tblDependencies[TargetID],id),
 objCount,COUNTIF(tblQuestObjectives[QuestTargetID],id),
 depCount+objCount
)</f>
        <v>2</v>
      </c>
      <c r="H308" s="26">
        <f t="shared" si="2"/>
        <v>2</v>
      </c>
      <c r="I308" s="26">
        <f>IFERROR(__xludf.DUMMYFUNCTION("LET(
 id,A308,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8" s="26">
        <f t="shared" si="3"/>
        <v>0</v>
      </c>
      <c r="K308" s="26" t="b">
        <f t="shared" si="4"/>
        <v>0</v>
      </c>
      <c r="L308" s="26">
        <f t="shared" si="5"/>
        <v>2</v>
      </c>
      <c r="M308" s="26" t="str">
        <f>IFERROR(__xludf.DUMMYFUNCTION("LET(
 id,A308,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L308=0,
  """",
  IFERROR(INDEX(incomplete,1),"""")"&amp;"
 )
)"),"quest.once_upon_a_forest_chapter_4.finished")</f>
        <v>quest.once_upon_a_forest_chapter_4.finished</v>
      </c>
      <c r="N308" s="26" t="str">
        <f t="array" ref="N308">IF(
 M308="",
 "",
 _xlfn.XLOOKUP(
  M308,
  tblTargets[TargetID],
  tblTargets[DisplayName],
  M308
 )
)</f>
        <v>Once Upon a Forest Chapter 4 Finished</v>
      </c>
      <c r="O308" s="26" t="str">
        <f>IFERROR(__xludf.DUMMYFUNCTION("SWITCH(
 E308,
 ""BUILDING"",XLOOKUP(A308,tblBuildings[BuildingID],tblBuildings[costtext],""""),
 ""TECH"",XLOOKUP(A308,tblTechnologies[TechnologyID],tblTechnologies[costtext],""""),
 ""QUEST"",XLOOKUP(
  REGEXREPLACE(A308,""\.[^.]+$"",""""),
  tblQuests["&amp;"QuestID],
  tblQuests[Costtext],
  """"
 ),
 ""CITADEL"",XLOOKUP(A308,tblCitadel[CitadelID],tblCitadel[costtext],""""),
 ""COLLECTION"",XLOOKUP(A308,tblCollections[CollectionID],tblCollections[costtext],""""),
 ""CRAFTIFACT"",XLOOKUP(A308,tblCraftifacts[C"&amp;"raftifactID],tblCraftifacts[costtext],""""),
 """"
)"),"cup:2,smoothie2:2,silk:2,thread:4")</f>
        <v>cup:2,smoothie2:2,silk:2,thread:4</v>
      </c>
      <c r="P308" s="26" t="str">
        <f t="shared" si="6"/>
        <v>BLOCKED</v>
      </c>
      <c r="Q308" s="26" t="str">
        <f t="shared" si="7"/>
        <v>BLOCKED</v>
      </c>
      <c r="R308" s="26" t="str">
        <f t="array" ref="R308">IFERROR(
 _xlfn.XLOOKUP(
  A308,
  tblChecklist[TargetID],
  tblChecklist[PlayerSort],
  ""
 ),
 ""
)</f>
        <v/>
      </c>
      <c r="S308" s="26" t="str">
        <f>IFERROR(__xludf.DUMMYFUNCTION("LET(
 id,A308,
 successorIDs,
  IFERROR(
   UNIQUE(
    FILTER(
     {
      Dependencies!$A$2:$A$1000;
      QuestObjectives!$A$2:$A$1000
     },
     {
      Dependencies!$B$2:$B$1000;
      QuestObjectives!$E$2:$E$1000
     }=id
    )
   ),
   """"
  )"&amp;",
 names,
  MAP(
   successorIDs,
   LAMBDA(s,
    IF(
     s="""",
     """",
     XLOOKUP(
      s,
      $A$2:$A$1000,
      $B$2:$B$1000,
      s
     )
    )
   )
  ),
 IF(
  successorIDs="""",
  """",
  TEXTJOIN("", "",TRUE,names)
 )
)"),"Once Upon a Forest Chapter 5 Finished, Once Upon a Forest Chapter 6 Accepted, Meet Forest Fairy@F2")</f>
        <v>Once Upon a Forest Chapter 5 Finished, Once Upon a Forest Chapter 6 Accepted, Meet Forest Fairy@F2</v>
      </c>
      <c r="T308" s="26" t="str">
        <f t="array" ref="T308">_xlfn.XLOOKUP(
 A308,
 tblTargets[TargetID],
 tblTargets[CompletionMethod],
 ""
)</f>
        <v>PLAYER</v>
      </c>
      <c r="U308" s="84" t="b">
        <f>COUNTIF(tblCost[TargetID],A308)&gt;0</f>
        <v>0</v>
      </c>
      <c r="V308" s="85" t="str">
        <f t="array" ref="V308">IF(
 U308=FALSE,
 "",
 _xlfn.XLOOKUP(
  A308,
  tblCost[TargetID],
  tblCost[FundingPercent],
  ""
 )
)</f>
        <v/>
      </c>
      <c r="W308" s="26" t="str">
        <f t="array" ref="W308">IF(
 U308=FALSE,
 "",
 _xlfn.XLOOKUP(
  A308,
  tblCost[TargetID],
  tblCost[RemainingRequirements],
  ""
 )
)</f>
        <v/>
      </c>
      <c r="X308" s="45" t="str">
        <f t="array" ref="X308">IF(
 U308=FALSE,
 "N/A",
 _xlfn.XLOOKUP(
  A309,
  tblCost[TargetID],
  tblCost[TargetFunded],
  FALSE
 )
)</f>
        <v>N/A</v>
      </c>
      <c r="Y308" s="26" t="str">
        <f>IFERROR(__xludf.DUMMYFUNCTION("IFERROR(
 TEXTJOIN(
  "", "",
  TRUE,
  FILTER(
   'cost checklist'!$E$2:$E1000&amp;"": ""&amp;'cost checklist'!$G$2:$G1000,
   'cost checklist'!$B$2:$B1000=A308,
   'cost checklist'!$J$2:$J1000=FALSE
  )
 ),
 """"
)"),"")</f>
        <v/>
      </c>
      <c r="Z308" s="26" t="b">
        <f>IFERROR(__xludf.DUMMYFUNCTION("IF(
 AND(
  E308=""QUEST"",
  RIGHT(A308,9)="".accepted"",
  D308=TRUE
 ),
 XLOOKUP(
  REGEXREPLACE(A308,""\.accepted$"","""")&amp;"".finished"",
  $A$2:$A1000,
  $D$2:$D1000,
  TRUE
 )=FALSE,
 FALSE
)"),FALSE)</f>
        <v>0</v>
      </c>
      <c r="AA308" s="26" t="str">
        <f>IFERROR(__xludf.DUMMYFUNCTION("LET(
 id,A308,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6")</f>
        <v>Once Upon a Forest Chapter 6</v>
      </c>
    </row>
    <row r="309" ht="14.25" customHeight="1">
      <c r="A309" s="26" t="s">
        <v>1165</v>
      </c>
      <c r="B309" s="26" t="str">
        <f t="array" ref="B309">_xlfn.XLOOKUP(
 A309,
 tblTargets[TargetID],
 tblTargets[DisplayName],
 ""
)</f>
        <v>Once Upon a Forest Chapter 5 Finished</v>
      </c>
      <c r="C309" s="26" t="str">
        <f t="shared" si="1"/>
        <v>BLOCKED</v>
      </c>
      <c r="D309" s="26" t="b">
        <f>IFERROR(__xludf.DUMMYFUNCTION("LET(
 id,A309,
 IF(
  F309=""CHARACTER"",
  LET(
   base,REGEXREPLACE(id,""@\d+$"",""""),
   required,VALUE(REGEXEXTRACT(id,""@(\d+)$"")),
   current,XLOOKUP(
    base,
    tblPlayer[PlayerStateID],
    tblPlayer[Value],
    0
   ),
   current&gt;=required
 "&amp;" ),
  IF(
   T309=""AUTO"",
   L309=0,
   COUNTIFS(
    tblChecklist[TargetID],id,
    tblChecklist[PlayerCompleted],TRUE
   )&gt;0
  )
 )
)"),FALSE)</f>
        <v>0</v>
      </c>
      <c r="E309" s="26" t="str">
        <f t="array" ref="E309">_xlfn.XLOOKUP(
 A309,
 tblTargets[TargetID],
 tblTargets[TargetType],
 ""
)</f>
        <v>QUEST</v>
      </c>
      <c r="F309" s="26" t="str">
        <f t="array" ref="F309">_xlfn.XLOOKUP(
 A309,
 tblTargets[TargetID],
 tblTargets[StateType],
 ""
)</f>
        <v/>
      </c>
      <c r="G309" s="26">
        <f>LET(
 id,A309,
 depCount,COUNTIF(tblDependencies[TargetID],id),
 objCount,COUNTIF(tblQuestObjectives[QuestTargetID],id),
 depCount+objCount
)</f>
        <v>1</v>
      </c>
      <c r="H309" s="26">
        <f t="shared" si="2"/>
        <v>1</v>
      </c>
      <c r="I309" s="26">
        <f>IFERROR(__xludf.DUMMYFUNCTION("LET(
 id,A309,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09" s="26">
        <f t="shared" si="3"/>
        <v>0</v>
      </c>
      <c r="K309" s="26" t="b">
        <f t="shared" si="4"/>
        <v>0</v>
      </c>
      <c r="L309" s="26">
        <f t="shared" si="5"/>
        <v>1</v>
      </c>
      <c r="M309" s="26" t="str">
        <f>IFERROR(__xludf.DUMMYFUNCTION("LET(
 id,A309,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L309=0,
  """",
  IFERROR(INDEX(incomplete,1),"""")"&amp;"
 )
)"),"quest.once_upon_a_forest_chapter_5.accepted")</f>
        <v>quest.once_upon_a_forest_chapter_5.accepted</v>
      </c>
      <c r="N309" s="26" t="str">
        <f t="array" ref="N309">IF(
 M309="",
 "",
 _xlfn.XLOOKUP(
  M309,
  tblTargets[TargetID],
  tblTargets[DisplayName],
  M309
 )
)</f>
        <v>Once Upon a Forest Chapter 5 Accepted</v>
      </c>
      <c r="O309" s="26" t="str">
        <f>IFERROR(__xludf.DUMMYFUNCTION("SWITCH(
 E309,
 ""BUILDING"",XLOOKUP(A309,tblBuildings[BuildingID],tblBuildings[costtext],""""),
 ""TECH"",XLOOKUP(A309,tblTechnologies[TechnologyID],tblTechnologies[costtext],""""),
 ""QUEST"",XLOOKUP(
  REGEXREPLACE(A309,""\.[^.]+$"",""""),
  tblQuests["&amp;"QuestID],
  tblQuests[Costtext],
  """"
 ),
 ""CITADEL"",XLOOKUP(A309,tblCitadel[CitadelID],tblCitadel[costtext],""""),
 ""COLLECTION"",XLOOKUP(A309,tblCollections[CollectionID],tblCollections[costtext],""""),
 ""CRAFTIFACT"",XLOOKUP(A309,tblCraftifacts[C"&amp;"raftifactID],tblCraftifacts[costtext],""""),
 """"
)"),"cup:2,smoothie2:2,silk:2,thread:4")</f>
        <v>cup:2,smoothie2:2,silk:2,thread:4</v>
      </c>
      <c r="P309" s="26" t="str">
        <f t="shared" si="6"/>
        <v>BLOCKED</v>
      </c>
      <c r="Q309" s="26" t="str">
        <f t="shared" si="7"/>
        <v>BLOCKED</v>
      </c>
      <c r="R309" s="26" t="str">
        <f t="array" ref="R309">IFERROR(
 _xlfn.XLOOKUP(
  A309,
  tblChecklist[TargetID],
  tblChecklist[PlayerSort],
  ""
 ),
 ""
)</f>
        <v/>
      </c>
      <c r="S309" s="26" t="str">
        <f>IFERROR(__xludf.DUMMYFUNCTION("LET(
 id,A309,
 successorIDs,
  IFERROR(
   UNIQUE(
    FILTER(
     {
      Dependencies!$A$2:$A$1000;
      QuestObjectives!$A$2:$A$1000
     },
     {
      Dependencies!$B$2:$B$1000;
      QuestObjectives!$E$2:$E$1000
     }=id
    )
   ),
   """"
  )"&amp;",
 names,
  MAP(
   successorIDs,
   LAMBDA(s,
    IF(
     s="""",
     """",
     XLOOKUP(
      s,
      $A$2:$A$1000,
      $B$2:$B$1000,
      s
     )
    )
   )
  ),
 IF(
  successorIDs="""",
  """",
  TEXTJOIN("", "",TRUE,names)
 )
)"),"Once Upon a Forest Chapter 15 Accepted, Tailor - Bedroll")</f>
        <v>Once Upon a Forest Chapter 15 Accepted, Tailor - Bedroll</v>
      </c>
      <c r="T309" s="26" t="str">
        <f t="array" ref="T309">_xlfn.XLOOKUP(
 A309,
 tblTargets[TargetID],
 tblTargets[CompletionMethod],
 ""
)</f>
        <v>PLAYER</v>
      </c>
      <c r="U309" s="84" t="b">
        <f>COUNTIF(tblCost[TargetID],A309)&gt;0</f>
        <v>1</v>
      </c>
      <c r="V309" s="85">
        <f t="array" ref="V309">IF(
 U309=FALSE,
 "",
 _xlfn.XLOOKUP(
  A309,
  tblCost[TargetID],
  tblCost[FundingPercent],
  ""
 )
)</f>
        <v>0</v>
      </c>
      <c r="W309" s="26">
        <f t="array" ref="W309">IF(
 U309=FALSE,
 "",
 _xlfn.XLOOKUP(
  A309,
  tblCost[TargetID],
  tblCost[RemainingRequirements],
  ""
 )
)</f>
        <v>4</v>
      </c>
      <c r="X309" s="45" t="b">
        <f t="array" ref="X309">IF(
 U309=FALSE,
 "N/A",
 _xlfn.XLOOKUP(
  A310,
  tblCost[TargetID],
  tblCost[TargetFunded],
  FALSE
 )
)</f>
        <v>0</v>
      </c>
      <c r="Y309" s="26" t="str">
        <f>IFERROR(__xludf.DUMMYFUNCTION("IFERROR(
 TEXTJOIN(
  "", "",
  TRUE,
  FILTER(
   'cost checklist'!$E$2:$E1000&amp;"": ""&amp;'cost checklist'!$G$2:$G1000,
   'cost checklist'!$B$2:$B1000=A309,
   'cost checklist'!$J$2:$J1000=FALSE
  )
 ),
 """"
)"),"cup: 2, silk: 2, smoothie2: 2, thread: 4")</f>
        <v>cup: 2, silk: 2, smoothie2: 2, thread: 4</v>
      </c>
      <c r="Z309" s="26" t="b">
        <f>IFERROR(__xludf.DUMMYFUNCTION("IF(
 AND(
  E309=""QUEST"",
  RIGHT(A309,9)="".accepted"",
  D309=TRUE
 ),
 XLOOKUP(
  REGEXREPLACE(A309,""\.accepted$"","""")&amp;"".finished"",
  $A$2:$A1000,
  $D$2:$D1000,
  TRUE
 )=FALSE,
 FALSE
)"),FALSE)</f>
        <v>0</v>
      </c>
      <c r="AA309" s="26" t="str">
        <f>IFERROR(__xludf.DUMMYFUNCTION("LET(
 id,A309,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15")</f>
        <v>Once Upon a Forest Chapter 15</v>
      </c>
    </row>
    <row r="310" ht="14.25" customHeight="1">
      <c r="A310" s="26" t="s">
        <v>1169</v>
      </c>
      <c r="B310" s="26" t="str">
        <f t="array" ref="B310">_xlfn.XLOOKUP(
 A310,
 tblTargets[TargetID],
 tblTargets[DisplayName],
 ""
)</f>
        <v>Once Upon a Forest Chapter 6 Accepted</v>
      </c>
      <c r="C310" s="26" t="str">
        <f t="shared" si="1"/>
        <v>BLOCKED</v>
      </c>
      <c r="D310" s="26" t="b">
        <f>IFERROR(__xludf.DUMMYFUNCTION("LET(
 id,A310,
 IF(
  F310=""CHARACTER"",
  LET(
   base,REGEXREPLACE(id,""@\d+$"",""""),
   required,VALUE(REGEXEXTRACT(id,""@(\d+)$"")),
   current,XLOOKUP(
    base,
    tblPlayer[PlayerStateID],
    tblPlayer[Value],
    0
   ),
   current&gt;=required
 "&amp;" ),
  IF(
   T310=""AUTO"",
   L310=0,
   COUNTIFS(
    tblChecklist[TargetID],id,
    tblChecklist[PlayerCompleted],TRUE
   )&gt;0
  )
 )
)"),FALSE)</f>
        <v>0</v>
      </c>
      <c r="E310" s="26" t="str">
        <f t="array" ref="E310">_xlfn.XLOOKUP(
 A310,
 tblTargets[TargetID],
 tblTargets[TargetType],
 ""
)</f>
        <v>QUEST</v>
      </c>
      <c r="F310" s="26" t="str">
        <f t="array" ref="F310">_xlfn.XLOOKUP(
 A310,
 tblTargets[TargetID],
 tblTargets[StateType],
 ""
)</f>
        <v/>
      </c>
      <c r="G310" s="26">
        <f>LET(
 id,A310,
 depCount,COUNTIF(tblDependencies[TargetID],id),
 objCount,COUNTIF(tblQuestObjectives[QuestTargetID],id),
 depCount+objCount
)</f>
        <v>2</v>
      </c>
      <c r="H310" s="26">
        <f t="shared" si="2"/>
        <v>2</v>
      </c>
      <c r="I310" s="26">
        <f>IFERROR(__xludf.DUMMYFUNCTION("LET(
 id,A310,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0" s="26">
        <f t="shared" si="3"/>
        <v>0</v>
      </c>
      <c r="K310" s="26" t="b">
        <f t="shared" si="4"/>
        <v>0</v>
      </c>
      <c r="L310" s="26">
        <f t="shared" si="5"/>
        <v>2</v>
      </c>
      <c r="M310" s="26" t="str">
        <f>IFERROR(__xludf.DUMMYFUNCTION("LET(
 id,A310,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L310=0,
  """",
  IFERROR(INDEX(incomplete,1),"""")"&amp;"
 )
)"),"quest.once_upon_a_forest_chapter_5.accepted")</f>
        <v>quest.once_upon_a_forest_chapter_5.accepted</v>
      </c>
      <c r="N310" s="26" t="str">
        <f t="array" ref="N310">IF(
 M310="",
 "",
 _xlfn.XLOOKUP(
  M310,
  tblTargets[TargetID],
  tblTargets[DisplayName],
  M310
 )
)</f>
        <v>Once Upon a Forest Chapter 5 Accepted</v>
      </c>
      <c r="O310" s="26" t="str">
        <f>IFERROR(__xludf.DUMMYFUNCTION("SWITCH(
 E310,
 ""BUILDING"",XLOOKUP(A310,tblBuildings[BuildingID],tblBuildings[costtext],""""),
 ""TECH"",XLOOKUP(A310,tblTechnologies[TechnologyID],tblTechnologies[costtext],""""),
 ""QUEST"",XLOOKUP(
  REGEXREPLACE(A310,""\.[^.]+$"",""""),
  tblQuests["&amp;"QuestID],
  tblQuests[Costtext],
  """"
 ),
 ""CITADEL"",XLOOKUP(A310,tblCitadel[CitadelID],tblCitadel[costtext],""""),
 ""COLLECTION"",XLOOKUP(A310,tblCollections[CollectionID],tblCollections[costtext],""""),
 ""CRAFTIFACT"",XLOOKUP(A310,tblCraftifacts[C"&amp;"raftifactID],tblCraftifacts[costtext],""""),
 """"
)"),"")</f>
        <v/>
      </c>
      <c r="P310" s="26" t="str">
        <f t="shared" si="6"/>
        <v>BLOCKED</v>
      </c>
      <c r="Q310" s="26" t="str">
        <f t="shared" si="7"/>
        <v>BLOCKED</v>
      </c>
      <c r="R310" s="26" t="str">
        <f t="array" ref="R310">IFERROR(
 _xlfn.XLOOKUP(
  A310,
  tblChecklist[TargetID],
  tblChecklist[PlayerSort],
  ""
 ),
 ""
)</f>
        <v/>
      </c>
      <c r="S310" s="26" t="str">
        <f>IFERROR(__xludf.DUMMYFUNCTION("LET(
 id,A310,
 successorIDs,
  IFERROR(
   UNIQUE(
    FILTER(
     {
      Dependencies!$A$2:$A$1000;
      QuestObjectives!$A$2:$A$1000
     },
     {
      Dependencies!$B$2:$B$1000;
      QuestObjectives!$E$2:$E$1000
     }=id
    )
   ),
   """"
  )"&amp;",
 names,
  MAP(
   successorIDs,
   LAMBDA(s,
    IF(
     s="""",
     """",
     XLOOKUP(
      s,
      $A$2:$A$1000,
      $B$2:$B$1000,
      s
     )
    )
   )
  ),
 IF(
  successorIDs="""",
  """",
  TEXTJOIN("", "",TRUE,names)
 )
)"),"Once Upon a Forest Chapter 6 Finished, Deliver Potion of Mental Power to F2, Craft Potion of Mental Power, Alchemists Hut - Balm, Alchemists Hut - Potion Of Mental Power")</f>
        <v>Once Upon a Forest Chapter 6 Finished, Deliver Potion of Mental Power to F2, Craft Potion of Mental Power, Alchemists Hut - Balm, Alchemists Hut - Potion Of Mental Power</v>
      </c>
      <c r="T310" s="26" t="str">
        <f t="array" ref="T310">_xlfn.XLOOKUP(
 A310,
 tblTargets[TargetID],
 tblTargets[CompletionMethod],
 ""
)</f>
        <v>PLAYER</v>
      </c>
      <c r="U310" s="84" t="b">
        <f>COUNTIF(tblCost[TargetID],A310)&gt;0</f>
        <v>0</v>
      </c>
      <c r="V310" s="85" t="str">
        <f t="array" ref="V310">IF(
 U310=FALSE,
 "",
 _xlfn.XLOOKUP(
  A310,
  tblCost[TargetID],
  tblCost[FundingPercent],
  ""
 )
)</f>
        <v/>
      </c>
      <c r="W310" s="26" t="str">
        <f t="array" ref="W310">IF(
 U310=FALSE,
 "",
 _xlfn.XLOOKUP(
  A310,
  tblCost[TargetID],
  tblCost[RemainingRequirements],
  ""
 )
)</f>
        <v/>
      </c>
      <c r="X310" s="45" t="str">
        <f t="array" ref="X310">IF(
 U310=FALSE,
 "N/A",
 _xlfn.XLOOKUP(
  A311,
  tblCost[TargetID],
  tblCost[TargetFunded],
  FALSE
 )
)</f>
        <v>N/A</v>
      </c>
      <c r="Y310" s="26" t="str">
        <f>IFERROR(__xludf.DUMMYFUNCTION("IFERROR(
 TEXTJOIN(
  "", "",
  TRUE,
  FILTER(
   'cost checklist'!$E$2:$E1000&amp;"": ""&amp;'cost checklist'!$G$2:$G1000,
   'cost checklist'!$B$2:$B1000=A310,
   'cost checklist'!$J$2:$J1000=FALSE
  )
 ),
 """"
)"),"")</f>
        <v/>
      </c>
      <c r="Z310" s="26" t="b">
        <f>IFERROR(__xludf.DUMMYFUNCTION("IF(
 AND(
  E310=""QUEST"",
  RIGHT(A310,9)="".accepted"",
  D310=TRUE
 ),
 XLOOKUP(
  REGEXREPLACE(A310,""\.accepted$"","""")&amp;"".finished"",
  $A$2:$A1000,
  $D$2:$D1000,
  TRUE
 )=FALSE,
 FALSE
)"),FALSE)</f>
        <v>0</v>
      </c>
      <c r="AA310" s="26" t="str">
        <f>IFERROR(__xludf.DUMMYFUNCTION("LET(
 id,A310,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11" ht="14.25" customHeight="1">
      <c r="A311" s="26" t="s">
        <v>1175</v>
      </c>
      <c r="B311" s="26" t="str">
        <f t="array" ref="B311">_xlfn.XLOOKUP(
 A311,
 tblTargets[TargetID],
 tblTargets[DisplayName],
 ""
)</f>
        <v>Once Upon a Forest Chapter 6 Finished</v>
      </c>
      <c r="C311" s="26" t="str">
        <f t="shared" si="1"/>
        <v>BLOCKED</v>
      </c>
      <c r="D311" s="26" t="b">
        <f>IFERROR(__xludf.DUMMYFUNCTION("LET(
 id,A311,
 IF(
  F311=""CHARACTER"",
  LET(
   base,REGEXREPLACE(id,""@\d+$"",""""),
   required,VALUE(REGEXEXTRACT(id,""@(\d+)$"")),
   current,XLOOKUP(
    base,
    tblPlayer[PlayerStateID],
    tblPlayer[Value],
    0
   ),
   current&gt;=required
 "&amp;" ),
  IF(
   T311=""AUTO"",
   L311=0,
   COUNTIFS(
    tblChecklist[TargetID],id,
    tblChecklist[PlayerCompleted],TRUE
   )&gt;0
  )
 )
)"),FALSE)</f>
        <v>0</v>
      </c>
      <c r="E311" s="26" t="str">
        <f t="array" ref="E311">_xlfn.XLOOKUP(
 A311,
 tblTargets[TargetID],
 tblTargets[TargetType],
 ""
)</f>
        <v>QUEST</v>
      </c>
      <c r="F311" s="26" t="str">
        <f t="array" ref="F311">_xlfn.XLOOKUP(
 A311,
 tblTargets[TargetID],
 tblTargets[StateType],
 ""
)</f>
        <v/>
      </c>
      <c r="G311" s="26">
        <f>LET(
 id,A311,
 depCount,COUNTIF(tblDependencies[TargetID],id),
 objCount,COUNTIF(tblQuestObjectives[QuestTargetID],id),
 depCount+objCount
)</f>
        <v>4</v>
      </c>
      <c r="H311" s="26">
        <f t="shared" si="2"/>
        <v>4</v>
      </c>
      <c r="I311" s="26">
        <f>IFERROR(__xludf.DUMMYFUNCTION("LET(
 id,A311,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1" s="26">
        <f t="shared" si="3"/>
        <v>0</v>
      </c>
      <c r="K311" s="26" t="b">
        <f t="shared" si="4"/>
        <v>0</v>
      </c>
      <c r="L311" s="26">
        <f t="shared" si="5"/>
        <v>4</v>
      </c>
      <c r="M311" s="26" t="str">
        <f>IFERROR(__xludf.DUMMYFUNCTION("LET(
 id,A311,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L311=0,
  """",
  IFERROR(INDEX(incomplete,1),"""")"&amp;"
 )
)"),"quest.once_upon_a_forest_chapter_6.accepted")</f>
        <v>quest.once_upon_a_forest_chapter_6.accepted</v>
      </c>
      <c r="N311" s="26" t="str">
        <f t="array" ref="N311">IF(
 M311="",
 "",
 _xlfn.XLOOKUP(
  M311,
  tblTargets[TargetID],
  tblTargets[DisplayName],
  M311
 )
)</f>
        <v>Once Upon a Forest Chapter 6 Accepted</v>
      </c>
      <c r="O311" s="26" t="str">
        <f>IFERROR(__xludf.DUMMYFUNCTION("SWITCH(
 E311,
 ""BUILDING"",XLOOKUP(A311,tblBuildings[BuildingID],tblBuildings[costtext],""""),
 ""TECH"",XLOOKUP(A311,tblTechnologies[TechnologyID],tblTechnologies[costtext],""""),
 ""QUEST"",XLOOKUP(
  REGEXREPLACE(A311,""\.[^.]+$"",""""),
  tblQuests["&amp;"QuestID],
  tblQuests[Costtext],
  """"
 ),
 ""CITADEL"",XLOOKUP(A311,tblCitadel[CitadelID],tblCitadel[costtext],""""),
 ""COLLECTION"",XLOOKUP(A311,tblCollections[CollectionID],tblCollections[costtext],""""),
 ""CRAFTIFACT"",XLOOKUP(A311,tblCraftifacts[C"&amp;"raftifactID],tblCraftifacts[costtext],""""),
 """"
)"),"")</f>
        <v/>
      </c>
      <c r="P311" s="26" t="str">
        <f t="shared" si="6"/>
        <v>BLOCKED</v>
      </c>
      <c r="Q311" s="26" t="str">
        <f t="shared" si="7"/>
        <v>BLOCKED</v>
      </c>
      <c r="R311" s="26" t="str">
        <f t="array" ref="R311">IFERROR(
 _xlfn.XLOOKUP(
  A311,
  tblChecklist[TargetID],
  tblChecklist[PlayerSort],
  ""
 ),
 ""
)</f>
        <v/>
      </c>
      <c r="S311" s="26" t="str">
        <f>IFERROR(__xludf.DUMMYFUNCTION("LET(
 id,A311,
 successorIDs,
  IFERROR(
   UNIQUE(
    FILTER(
     {
      Dependencies!$A$2:$A$1000;
      QuestObjectives!$A$2:$A$1000
     },
     {
      Dependencies!$B$2:$B$1000;
      QuestObjectives!$E$2:$E$1000
     }=id
    )
   ),
   """"
  )"&amp;",
 names,
  MAP(
   successorIDs,
   LAMBDA(s,
    IF(
     s="""",
     """",
     XLOOKUP(
      s,
      $A$2:$A$1000,
      $B$2:$B$1000,
      s
     )
    )
   )
  ),
 IF(
  successorIDs="""",
  """",
  TEXTJOIN("", "",TRUE,names)
 )
)"),"Once Upon a Forest Chapter 7 Accepted, Meet Dark Lady@F2, Alchemists Hut - Mercury")</f>
        <v>Once Upon a Forest Chapter 7 Accepted, Meet Dark Lady@F2, Alchemists Hut - Mercury</v>
      </c>
      <c r="T311" s="26" t="str">
        <f t="array" ref="T311">_xlfn.XLOOKUP(
 A311,
 tblTargets[TargetID],
 tblTargets[CompletionMethod],
 ""
)</f>
        <v>PLAYER</v>
      </c>
      <c r="U311" s="84" t="b">
        <f>COUNTIF(tblCost[TargetID],A311)&gt;0</f>
        <v>0</v>
      </c>
      <c r="V311" s="85" t="str">
        <f t="array" ref="V311">IF(
 U311=FALSE,
 "",
 _xlfn.XLOOKUP(
  A311,
  tblCost[TargetID],
  tblCost[FundingPercent],
  ""
 )
)</f>
        <v/>
      </c>
      <c r="W311" s="26" t="str">
        <f t="array" ref="W311">IF(
 U311=FALSE,
 "",
 _xlfn.XLOOKUP(
  A311,
  tblCost[TargetID],
  tblCost[RemainingRequirements],
  ""
 )
)</f>
        <v/>
      </c>
      <c r="X311" s="45" t="str">
        <f t="array" ref="X311">IF(
 U311=FALSE,
 "N/A",
 _xlfn.XLOOKUP(
  A312,
  tblCost[TargetID],
  tblCost[TargetFunded],
  FALSE
 )
)</f>
        <v>N/A</v>
      </c>
      <c r="Y311" s="26" t="str">
        <f>IFERROR(__xludf.DUMMYFUNCTION("IFERROR(
 TEXTJOIN(
  "", "",
  TRUE,
  FILTER(
   'cost checklist'!$E$2:$E1000&amp;"": ""&amp;'cost checklist'!$G$2:$G1000,
   'cost checklist'!$B$2:$B1000=A311,
   'cost checklist'!$J$2:$J1000=FALSE
  )
 ),
 """"
)"),"")</f>
        <v/>
      </c>
      <c r="Z311" s="26" t="b">
        <f>IFERROR(__xludf.DUMMYFUNCTION("IF(
 AND(
  E311=""QUEST"",
  RIGHT(A311,9)="".accepted"",
  D311=TRUE
 ),
 XLOOKUP(
  REGEXREPLACE(A311,""\.accepted$"","""")&amp;"".finished"",
  $A$2:$A1000,
  $D$2:$D1000,
  TRUE
 )=FALSE,
 FALSE
)"),FALSE)</f>
        <v>0</v>
      </c>
      <c r="AA311" s="26" t="str">
        <f>IFERROR(__xludf.DUMMYFUNCTION("LET(
 id,A311,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7")</f>
        <v>Once Upon a Forest Chapter 7</v>
      </c>
    </row>
    <row r="312" ht="14.25" customHeight="1">
      <c r="A312" s="26" t="s">
        <v>1180</v>
      </c>
      <c r="B312" s="26" t="str">
        <f t="array" ref="B312">_xlfn.XLOOKUP(
 A312,
 tblTargets[TargetID],
 tblTargets[DisplayName],
 ""
)</f>
        <v>Once Upon a Forest Chapter 7 Accepted</v>
      </c>
      <c r="C312" s="26" t="str">
        <f t="shared" si="1"/>
        <v>BLOCKED</v>
      </c>
      <c r="D312" s="26" t="b">
        <f>IFERROR(__xludf.DUMMYFUNCTION("LET(
 id,A312,
 IF(
  F312=""CHARACTER"",
  LET(
   base,REGEXREPLACE(id,""@\d+$"",""""),
   required,VALUE(REGEXEXTRACT(id,""@(\d+)$"")),
   current,XLOOKUP(
    base,
    tblPlayer[PlayerStateID],
    tblPlayer[Value],
    0
   ),
   current&gt;=required
 "&amp;" ),
  IF(
   T312=""AUTO"",
   L312=0,
   COUNTIFS(
    tblChecklist[TargetID],id,
    tblChecklist[PlayerCompleted],TRUE
   )&gt;0
  )
 )
)"),FALSE)</f>
        <v>0</v>
      </c>
      <c r="E312" s="26" t="str">
        <f t="array" ref="E312">_xlfn.XLOOKUP(
 A312,
 tblTargets[TargetID],
 tblTargets[TargetType],
 ""
)</f>
        <v>QUEST</v>
      </c>
      <c r="F312" s="26" t="str">
        <f t="array" ref="F312">_xlfn.XLOOKUP(
 A312,
 tblTargets[TargetID],
 tblTargets[StateType],
 ""
)</f>
        <v/>
      </c>
      <c r="G312" s="26">
        <f>LET(
 id,A312,
 depCount,COUNTIF(tblDependencies[TargetID],id),
 objCount,COUNTIF(tblQuestObjectives[QuestTargetID],id),
 depCount+objCount
)</f>
        <v>2</v>
      </c>
      <c r="H312" s="26">
        <f t="shared" si="2"/>
        <v>2</v>
      </c>
      <c r="I312" s="26">
        <f>IFERROR(__xludf.DUMMYFUNCTION("LET(
 id,A312,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2" s="26">
        <f t="shared" si="3"/>
        <v>0</v>
      </c>
      <c r="K312" s="26" t="b">
        <f t="shared" si="4"/>
        <v>0</v>
      </c>
      <c r="L312" s="26">
        <f t="shared" si="5"/>
        <v>2</v>
      </c>
      <c r="M312" s="26" t="str">
        <f>IFERROR(__xludf.DUMMYFUNCTION("LET(
 id,A312,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L312=0,
  """",
  IFERROR(INDEX(incomplete,1),"""")"&amp;"
 )
)"),"quest.once_upon_a_forest_chapter_6.finished")</f>
        <v>quest.once_upon_a_forest_chapter_6.finished</v>
      </c>
      <c r="N312" s="26" t="str">
        <f t="array" ref="N312">IF(
 M312="",
 "",
 _xlfn.XLOOKUP(
  M312,
  tblTargets[TargetID],
  tblTargets[DisplayName],
  M312
 )
)</f>
        <v>Once Upon a Forest Chapter 6 Finished</v>
      </c>
      <c r="O312" s="26" t="str">
        <f>IFERROR(__xludf.DUMMYFUNCTION("SWITCH(
 E312,
 ""BUILDING"",XLOOKUP(A312,tblBuildings[BuildingID],tblBuildings[costtext],""""),
 ""TECH"",XLOOKUP(A312,tblTechnologies[TechnologyID],tblTechnologies[costtext],""""),
 ""QUEST"",XLOOKUP(
  REGEXREPLACE(A312,""\.[^.]+$"",""""),
  tblQuests["&amp;"QuestID],
  tblQuests[Costtext],
  """"
 ),
 ""CITADEL"",XLOOKUP(A312,tblCitadel[CitadelID],tblCitadel[costtext],""""),
 ""COLLECTION"",XLOOKUP(A312,tblCollections[CollectionID],tblCollections[costtext],""""),
 ""CRAFTIFACT"",XLOOKUP(A312,tblCraftifacts[C"&amp;"raftifactID],tblCraftifacts[costtext],""""),
 """"
)"),"")</f>
        <v/>
      </c>
      <c r="P312" s="26" t="str">
        <f t="shared" si="6"/>
        <v>BLOCKED</v>
      </c>
      <c r="Q312" s="26" t="str">
        <f t="shared" si="7"/>
        <v>BLOCKED</v>
      </c>
      <c r="R312" s="26" t="str">
        <f t="array" ref="R312">IFERROR(
 _xlfn.XLOOKUP(
  A312,
  tblChecklist[TargetID],
  tblChecklist[PlayerSort],
  ""
 ),
 ""
)</f>
        <v/>
      </c>
      <c r="S312" s="26" t="str">
        <f>IFERROR(__xludf.DUMMYFUNCTION("LET(
 id,A312,
 successorIDs,
  IFERROR(
   UNIQUE(
    FILTER(
     {
      Dependencies!$A$2:$A$1000;
      QuestObjectives!$A$2:$A$1000
     },
     {
      Dependencies!$B$2:$B$1000;
      QuestObjectives!$E$2:$E$1000
     }=id
    )
   ),
   """"
  )"&amp;",
 names,
  MAP(
   successorIDs,
   LAMBDA(s,
    IF(
     s="""",
     """",
     XLOOKUP(
      s,
      $A$2:$A$1000,
      $B$2:$B$1000,
      s
     )
    )
   )
  ),
 IF(
  successorIDs="""",
  """",
  TEXTJOIN("", "",TRUE,names)
 )
)"),"Once Upon a Forest Chapter 7 Finished, Deliver Ambrosia to Dark Lady in F3")</f>
        <v>Once Upon a Forest Chapter 7 Finished, Deliver Ambrosia to Dark Lady in F3</v>
      </c>
      <c r="T312" s="26" t="str">
        <f t="array" ref="T312">_xlfn.XLOOKUP(
 A312,
 tblTargets[TargetID],
 tblTargets[CompletionMethod],
 ""
)</f>
        <v>PLAYER</v>
      </c>
      <c r="U312" s="84" t="b">
        <f>COUNTIF(tblCost[TargetID],A312)&gt;0</f>
        <v>0</v>
      </c>
      <c r="V312" s="85" t="str">
        <f t="array" ref="V312">IF(
 U312=FALSE,
 "",
 _xlfn.XLOOKUP(
  A312,
  tblCost[TargetID],
  tblCost[FundingPercent],
  ""
 )
)</f>
        <v/>
      </c>
      <c r="W312" s="26" t="str">
        <f t="array" ref="W312">IF(
 U312=FALSE,
 "",
 _xlfn.XLOOKUP(
  A312,
  tblCost[TargetID],
  tblCost[RemainingRequirements],
  ""
 )
)</f>
        <v/>
      </c>
      <c r="X312" s="45" t="str">
        <f t="array" ref="X312">IF(
 U312=FALSE,
 "N/A",
 _xlfn.XLOOKUP(
  A313,
  tblCost[TargetID],
  tblCost[TargetFunded],
  FALSE
 )
)</f>
        <v>N/A</v>
      </c>
      <c r="Y312" s="26" t="str">
        <f>IFERROR(__xludf.DUMMYFUNCTION("IFERROR(
 TEXTJOIN(
  "", "",
  TRUE,
  FILTER(
   'cost checklist'!$E$2:$E1000&amp;"": ""&amp;'cost checklist'!$G$2:$G1000,
   'cost checklist'!$B$2:$B1000=A312,
   'cost checklist'!$J$2:$J1000=FALSE
  )
 ),
 """"
)"),"")</f>
        <v/>
      </c>
      <c r="Z312" s="26" t="b">
        <f>IFERROR(__xludf.DUMMYFUNCTION("IF(
 AND(
  E312=""QUEST"",
  RIGHT(A312,9)="".accepted"",
  D312=TRUE
 ),
 XLOOKUP(
  REGEXREPLACE(A312,""\.accepted$"","""")&amp;"".finished"",
  $A$2:$A1000,
  $D$2:$D1000,
  TRUE
 )=FALSE,
 FALSE
)"),FALSE)</f>
        <v>0</v>
      </c>
      <c r="AA312" s="26" t="str">
        <f>IFERROR(__xludf.DUMMYFUNCTION("LET(
 id,A312,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13" ht="14.25" customHeight="1">
      <c r="A313" s="26" t="s">
        <v>1185</v>
      </c>
      <c r="B313" s="26" t="str">
        <f t="array" ref="B313">_xlfn.XLOOKUP(
 A313,
 tblTargets[TargetID],
 tblTargets[DisplayName],
 ""
)</f>
        <v>Once Upon a Forest Chapter 7 Finished</v>
      </c>
      <c r="C313" s="26" t="str">
        <f t="shared" si="1"/>
        <v>BLOCKED</v>
      </c>
      <c r="D313" s="26" t="b">
        <f>IFERROR(__xludf.DUMMYFUNCTION("LET(
 id,A313,
 IF(
  F313=""CHARACTER"",
  LET(
   base,REGEXREPLACE(id,""@\d+$"",""""),
   required,VALUE(REGEXEXTRACT(id,""@(\d+)$"")),
   current,XLOOKUP(
    base,
    tblPlayer[PlayerStateID],
    tblPlayer[Value],
    0
   ),
   current&gt;=required
 "&amp;" ),
  IF(
   T313=""AUTO"",
   L313=0,
   COUNTIFS(
    tblChecklist[TargetID],id,
    tblChecklist[PlayerCompleted],TRUE
   )&gt;0
  )
 )
)"),FALSE)</f>
        <v>0</v>
      </c>
      <c r="E313" s="26" t="str">
        <f t="array" ref="E313">_xlfn.XLOOKUP(
 A313,
 tblTargets[TargetID],
 tblTargets[TargetType],
 ""
)</f>
        <v>QUEST</v>
      </c>
      <c r="F313" s="26" t="str">
        <f t="array" ref="F313">_xlfn.XLOOKUP(
 A313,
 tblTargets[TargetID],
 tblTargets[StateType],
 ""
)</f>
        <v/>
      </c>
      <c r="G313" s="26">
        <f>LET(
 id,A313,
 depCount,COUNTIF(tblDependencies[TargetID],id),
 objCount,COUNTIF(tblQuestObjectives[QuestTargetID],id),
 depCount+objCount
)</f>
        <v>2</v>
      </c>
      <c r="H313" s="26">
        <f t="shared" si="2"/>
        <v>2</v>
      </c>
      <c r="I313" s="26">
        <f>IFERROR(__xludf.DUMMYFUNCTION("LET(
 id,A313,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3" s="26">
        <f t="shared" si="3"/>
        <v>0</v>
      </c>
      <c r="K313" s="26" t="b">
        <f t="shared" si="4"/>
        <v>0</v>
      </c>
      <c r="L313" s="26">
        <f t="shared" si="5"/>
        <v>2</v>
      </c>
      <c r="M313" s="26" t="str">
        <f>IFERROR(__xludf.DUMMYFUNCTION("LET(
 id,A313,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L313=0,
  """",
  IFERROR(INDEX(incomplete,1),"""")"&amp;"
 )
)"),"quest.once_upon_a_forest_chapter_7.accepted")</f>
        <v>quest.once_upon_a_forest_chapter_7.accepted</v>
      </c>
      <c r="N313" s="26" t="str">
        <f t="array" ref="N313">IF(
 M313="",
 "",
 _xlfn.XLOOKUP(
  M313,
  tblTargets[TargetID],
  tblTargets[DisplayName],
  M313
 )
)</f>
        <v>Once Upon a Forest Chapter 7 Accepted</v>
      </c>
      <c r="O313" s="26" t="str">
        <f>IFERROR(__xludf.DUMMYFUNCTION("SWITCH(
 E313,
 ""BUILDING"",XLOOKUP(A313,tblBuildings[BuildingID],tblBuildings[costtext],""""),
 ""TECH"",XLOOKUP(A313,tblTechnologies[TechnologyID],tblTechnologies[costtext],""""),
 ""QUEST"",XLOOKUP(
  REGEXREPLACE(A313,""\.[^.]+$"",""""),
  tblQuests["&amp;"QuestID],
  tblQuests[Costtext],
  """"
 ),
 ""CITADEL"",XLOOKUP(A313,tblCitadel[CitadelID],tblCitadel[costtext],""""),
 ""COLLECTION"",XLOOKUP(A313,tblCollections[CollectionID],tblCollections[costtext],""""),
 ""CRAFTIFACT"",XLOOKUP(A313,tblCraftifacts[C"&amp;"raftifactID],tblCraftifacts[costtext],""""),
 """"
)"),"")</f>
        <v/>
      </c>
      <c r="P313" s="26" t="str">
        <f t="shared" si="6"/>
        <v>BLOCKED</v>
      </c>
      <c r="Q313" s="26" t="str">
        <f t="shared" si="7"/>
        <v>BLOCKED</v>
      </c>
      <c r="R313" s="26" t="str">
        <f t="array" ref="R313">IFERROR(
 _xlfn.XLOOKUP(
  A313,
  tblChecklist[TargetID],
  tblChecklist[PlayerSort],
  ""
 ),
 ""
)</f>
        <v/>
      </c>
      <c r="S313" s="26" t="str">
        <f>IFERROR(__xludf.DUMMYFUNCTION("LET(
 id,A313,
 successorIDs,
  IFERROR(
   UNIQUE(
    FILTER(
     {
      Dependencies!$A$2:$A$1000;
      QuestObjectives!$A$2:$A$1000
     },
     {
      Dependencies!$B$2:$B$1000;
      QuestObjectives!$E$2:$E$1000
     }=id
    )
   ),
   """"
  )"&amp;",
 names,
  MAP(
   successorIDs,
   LAMBDA(s,
    IF(
     s="""",
     """",
     XLOOKUP(
      s,
      $A$2:$A$1000,
      $B$2:$B$1000,
      s
     )
    )
   )
  ),
 IF(
  successorIDs="""",
  """",
  TEXTJOIN("", "",TRUE,names)
 )
)"),"Barometer, Once Upon a Forest Chapter 8 Accepted, Meet Raven@F3, Alchemists Hut - Gold Ingot, Alchemists Hut - Madness Grenade, Alchemists Hut - Mercury, Alchemists Hut - Metamorphosis")</f>
        <v>Barometer, Once Upon a Forest Chapter 8 Accepted, Meet Raven@F3, Alchemists Hut - Gold Ingot, Alchemists Hut - Madness Grenade, Alchemists Hut - Mercury, Alchemists Hut - Metamorphosis</v>
      </c>
      <c r="T313" s="26" t="str">
        <f t="array" ref="T313">_xlfn.XLOOKUP(
 A313,
 tblTargets[TargetID],
 tblTargets[CompletionMethod],
 ""
)</f>
        <v>PLAYER</v>
      </c>
      <c r="U313" s="84" t="b">
        <f>COUNTIF(tblCost[TargetID],A313)&gt;0</f>
        <v>0</v>
      </c>
      <c r="V313" s="85" t="str">
        <f t="array" ref="V313">IF(
 U313=FALSE,
 "",
 _xlfn.XLOOKUP(
  A313,
  tblCost[TargetID],
  tblCost[FundingPercent],
  ""
 )
)</f>
        <v/>
      </c>
      <c r="W313" s="26" t="str">
        <f t="array" ref="W313">IF(
 U313=FALSE,
 "",
 _xlfn.XLOOKUP(
  A313,
  tblCost[TargetID],
  tblCost[RemainingRequirements],
  ""
 )
)</f>
        <v/>
      </c>
      <c r="X313" s="45" t="str">
        <f t="array" ref="X313">IF(
 U313=FALSE,
 "N/A",
 _xlfn.XLOOKUP(
  A314,
  tblCost[TargetID],
  tblCost[TargetFunded],
  FALSE
 )
)</f>
        <v>N/A</v>
      </c>
      <c r="Y313" s="26" t="str">
        <f>IFERROR(__xludf.DUMMYFUNCTION("IFERROR(
 TEXTJOIN(
  "", "",
  TRUE,
  FILTER(
   'cost checklist'!$E$2:$E1000&amp;"": ""&amp;'cost checklist'!$G$2:$G1000,
   'cost checklist'!$B$2:$B1000=A313,
   'cost checklist'!$J$2:$J1000=FALSE
  )
 ),
 """"
)"),"")</f>
        <v/>
      </c>
      <c r="Z313" s="26" t="b">
        <f>IFERROR(__xludf.DUMMYFUNCTION("IF(
 AND(
  E313=""QUEST"",
  RIGHT(A313,9)="".accepted"",
  D313=TRUE
 ),
 XLOOKUP(
  REGEXREPLACE(A313,""\.accepted$"","""")&amp;"".finished"",
  $A$2:$A1000,
  $D$2:$D1000,
  TRUE
 )=FALSE,
 FALSE
)"),FALSE)</f>
        <v>0</v>
      </c>
      <c r="AA313" s="26" t="str">
        <f>IFERROR(__xludf.DUMMYFUNCTION("LET(
 id,A313,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8")</f>
        <v>Once Upon a Forest Chapter 8</v>
      </c>
    </row>
    <row r="314" ht="14.25" customHeight="1">
      <c r="A314" s="26" t="s">
        <v>1191</v>
      </c>
      <c r="B314" s="26" t="str">
        <f t="array" ref="B314">_xlfn.XLOOKUP(
 A314,
 tblTargets[TargetID],
 tblTargets[DisplayName],
 ""
)</f>
        <v>Once Upon a Forest Chapter 8 Accepted</v>
      </c>
      <c r="C314" s="26" t="str">
        <f t="shared" si="1"/>
        <v>BLOCKED</v>
      </c>
      <c r="D314" s="26" t="b">
        <f>IFERROR(__xludf.DUMMYFUNCTION("LET(
 id,A314,
 IF(
  F314=""CHARACTER"",
  LET(
   base,REGEXREPLACE(id,""@\d+$"",""""),
   required,VALUE(REGEXEXTRACT(id,""@(\d+)$"")),
   current,XLOOKUP(
    base,
    tblPlayer[PlayerStateID],
    tblPlayer[Value],
    0
   ),
   current&gt;=required
 "&amp;" ),
  IF(
   T314=""AUTO"",
   L314=0,
   COUNTIFS(
    tblChecklist[TargetID],id,
    tblChecklist[PlayerCompleted],TRUE
   )&gt;0
  )
 )
)"),FALSE)</f>
        <v>0</v>
      </c>
      <c r="E314" s="26" t="str">
        <f t="array" ref="E314">_xlfn.XLOOKUP(
 A314,
 tblTargets[TargetID],
 tblTargets[TargetType],
 ""
)</f>
        <v>QUEST</v>
      </c>
      <c r="F314" s="26" t="str">
        <f t="array" ref="F314">_xlfn.XLOOKUP(
 A314,
 tblTargets[TargetID],
 tblTargets[StateType],
 ""
)</f>
        <v/>
      </c>
      <c r="G314" s="26">
        <f>LET(
 id,A314,
 depCount,COUNTIF(tblDependencies[TargetID],id),
 objCount,COUNTIF(tblQuestObjectives[QuestTargetID],id),
 depCount+objCount
)</f>
        <v>2</v>
      </c>
      <c r="H314" s="26">
        <f t="shared" si="2"/>
        <v>2</v>
      </c>
      <c r="I314" s="26">
        <f>IFERROR(__xludf.DUMMYFUNCTION("LET(
 id,A314,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4" s="26">
        <f t="shared" si="3"/>
        <v>0</v>
      </c>
      <c r="K314" s="26" t="b">
        <f t="shared" si="4"/>
        <v>0</v>
      </c>
      <c r="L314" s="26">
        <f t="shared" si="5"/>
        <v>2</v>
      </c>
      <c r="M314" s="26" t="str">
        <f>IFERROR(__xludf.DUMMYFUNCTION("LET(
 id,A314,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L314=0,
  """",
  IFERROR(INDEX(incomplete,1),"""")"&amp;"
 )
)"),"quest.once_upon_a_forest_chapter_7.finished")</f>
        <v>quest.once_upon_a_forest_chapter_7.finished</v>
      </c>
      <c r="N314" s="26" t="str">
        <f t="array" ref="N314">IF(
 M314="",
 "",
 _xlfn.XLOOKUP(
  M314,
  tblTargets[TargetID],
  tblTargets[DisplayName],
  M314
 )
)</f>
        <v>Once Upon a Forest Chapter 7 Finished</v>
      </c>
      <c r="O314" s="26" t="str">
        <f>IFERROR(__xludf.DUMMYFUNCTION("SWITCH(
 E314,
 ""BUILDING"",XLOOKUP(A314,tblBuildings[BuildingID],tblBuildings[costtext],""""),
 ""TECH"",XLOOKUP(A314,tblTechnologies[TechnologyID],tblTechnologies[costtext],""""),
 ""QUEST"",XLOOKUP(
  REGEXREPLACE(A314,""\.[^.]+$"",""""),
  tblQuests["&amp;"QuestID],
  tblQuests[Costtext],
  """"
 ),
 ""CITADEL"",XLOOKUP(A314,tblCitadel[CitadelID],tblCitadel[costtext],""""),
 ""COLLECTION"",XLOOKUP(A314,tblCollections[CollectionID],tblCollections[costtext],""""),
 ""CRAFTIFACT"",XLOOKUP(A314,tblCraftifacts[C"&amp;"raftifactID],tblCraftifacts[costtext],""""),
 """"
)"),"wheat:10,rice:10,coin:1000")</f>
        <v>wheat:10,rice:10,coin:1000</v>
      </c>
      <c r="P314" s="26" t="str">
        <f t="shared" si="6"/>
        <v>BLOCKED</v>
      </c>
      <c r="Q314" s="26" t="str">
        <f t="shared" si="7"/>
        <v>BLOCKED</v>
      </c>
      <c r="R314" s="26" t="str">
        <f t="array" ref="R314">IFERROR(
 _xlfn.XLOOKUP(
  A314,
  tblChecklist[TargetID],
  tblChecklist[PlayerSort],
  ""
 ),
 ""
)</f>
        <v/>
      </c>
      <c r="S314" s="26" t="str">
        <f>IFERROR(__xludf.DUMMYFUNCTION("LET(
 id,A314,
 successorIDs,
  IFERROR(
   UNIQUE(
    FILTER(
     {
      Dependencies!$A$2:$A$1000;
      QuestObjectives!$A$2:$A$1000
     },
     {
      Dependencies!$B$2:$B$1000;
      QuestObjectives!$E$2:$E$1000
     }=id
    )
   ),
   """"
  )"&amp;",
 names,
  MAP(
   successorIDs,
   LAMBDA(s,
    IF(
     s="""",
     """",
     XLOOKUP(
      s,
      $A$2:$A$1000,
      $B$2:$B$1000,
      s
     )
    )
   )
  ),
 IF(
  successorIDs="""",
  """",
  TEXTJOIN("", "",TRUE,names)
 )
)"),"Once Upon a Forest Chapter 8 Finished")</f>
        <v>Once Upon a Forest Chapter 8 Finished</v>
      </c>
      <c r="T314" s="26" t="str">
        <f t="array" ref="T314">_xlfn.XLOOKUP(
 A314,
 tblTargets[TargetID],
 tblTargets[CompletionMethod],
 ""
)</f>
        <v>PLAYER</v>
      </c>
      <c r="U314" s="84" t="b">
        <f>COUNTIF(tblCost[TargetID],A314)&gt;0</f>
        <v>0</v>
      </c>
      <c r="V314" s="85" t="str">
        <f t="array" ref="V314">IF(
 U314=FALSE,
 "",
 _xlfn.XLOOKUP(
  A314,
  tblCost[TargetID],
  tblCost[FundingPercent],
  ""
 )
)</f>
        <v/>
      </c>
      <c r="W314" s="26" t="str">
        <f t="array" ref="W314">IF(
 U314=FALSE,
 "",
 _xlfn.XLOOKUP(
  A314,
  tblCost[TargetID],
  tblCost[RemainingRequirements],
  ""
 )
)</f>
        <v/>
      </c>
      <c r="X314" s="45" t="str">
        <f t="array" ref="X314">IF(
 U314=FALSE,
 "N/A",
 _xlfn.XLOOKUP(
  A315,
  tblCost[TargetID],
  tblCost[TargetFunded],
  FALSE
 )
)</f>
        <v>N/A</v>
      </c>
      <c r="Y314" s="26" t="str">
        <f>IFERROR(__xludf.DUMMYFUNCTION("IFERROR(
 TEXTJOIN(
  "", "",
  TRUE,
  FILTER(
   'cost checklist'!$E$2:$E1000&amp;"": ""&amp;'cost checklist'!$G$2:$G1000,
   'cost checklist'!$B$2:$B1000=A314,
   'cost checklist'!$J$2:$J1000=FALSE
  )
 ),
 """"
)"),"")</f>
        <v/>
      </c>
      <c r="Z314" s="26" t="b">
        <f>IFERROR(__xludf.DUMMYFUNCTION("IF(
 AND(
  E314=""QUEST"",
  RIGHT(A314,9)="".accepted"",
  D314=TRUE
 ),
 XLOOKUP(
  REGEXREPLACE(A314,""\.accepted$"","""")&amp;"".finished"",
  $A$2:$A1000,
  $D$2:$D1000,
  TRUE
 )=FALSE,
 FALSE
)"),FALSE)</f>
        <v>0</v>
      </c>
      <c r="AA314" s="26" t="str">
        <f>IFERROR(__xludf.DUMMYFUNCTION("LET(
 id,A314,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15" ht="14.25" customHeight="1">
      <c r="A315" s="26" t="s">
        <v>1195</v>
      </c>
      <c r="B315" s="26" t="str">
        <f t="array" ref="B315">_xlfn.XLOOKUP(
 A315,
 tblTargets[TargetID],
 tblTargets[DisplayName],
 ""
)</f>
        <v>Once Upon a Forest Chapter 8 Finished</v>
      </c>
      <c r="C315" s="26" t="str">
        <f t="shared" si="1"/>
        <v>BLOCKED</v>
      </c>
      <c r="D315" s="26" t="b">
        <f>IFERROR(__xludf.DUMMYFUNCTION("LET(
 id,A315,
 IF(
  F315=""CHARACTER"",
  LET(
   base,REGEXREPLACE(id,""@\d+$"",""""),
   required,VALUE(REGEXEXTRACT(id,""@(\d+)$"")),
   current,XLOOKUP(
    base,
    tblPlayer[PlayerStateID],
    tblPlayer[Value],
    0
   ),
   current&gt;=required
 "&amp;" ),
  IF(
   T315=""AUTO"",
   L315=0,
   COUNTIFS(
    tblChecklist[TargetID],id,
    tblChecklist[PlayerCompleted],TRUE
   )&gt;0
  )
 )
)"),FALSE)</f>
        <v>0</v>
      </c>
      <c r="E315" s="26" t="str">
        <f t="array" ref="E315">_xlfn.XLOOKUP(
 A315,
 tblTargets[TargetID],
 tblTargets[TargetType],
 ""
)</f>
        <v>QUEST</v>
      </c>
      <c r="F315" s="26" t="str">
        <f t="array" ref="F315">_xlfn.XLOOKUP(
 A315,
 tblTargets[TargetID],
 tblTargets[StateType],
 ""
)</f>
        <v/>
      </c>
      <c r="G315" s="26">
        <f>LET(
 id,A315,
 depCount,COUNTIF(tblDependencies[TargetID],id),
 objCount,COUNTIF(tblQuestObjectives[QuestTargetID],id),
 depCount+objCount
)</f>
        <v>1</v>
      </c>
      <c r="H315" s="26">
        <f t="shared" si="2"/>
        <v>1</v>
      </c>
      <c r="I315" s="26">
        <f>IFERROR(__xludf.DUMMYFUNCTION("LET(
 id,A315,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5" s="26">
        <f t="shared" si="3"/>
        <v>0</v>
      </c>
      <c r="K315" s="26" t="b">
        <f t="shared" si="4"/>
        <v>0</v>
      </c>
      <c r="L315" s="26">
        <f t="shared" si="5"/>
        <v>1</v>
      </c>
      <c r="M315" s="26" t="str">
        <f>IFERROR(__xludf.DUMMYFUNCTION("LET(
 id,A315,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L315=0,
  """",
  IFERROR(INDEX(incomplete,1),"""")"&amp;"
 )
)"),"quest.once_upon_a_forest_chapter_8.accepted")</f>
        <v>quest.once_upon_a_forest_chapter_8.accepted</v>
      </c>
      <c r="N315" s="26" t="str">
        <f t="array" ref="N315">IF(
 M315="",
 "",
 _xlfn.XLOOKUP(
  M315,
  tblTargets[TargetID],
  tblTargets[DisplayName],
  M315
 )
)</f>
        <v>Once Upon a Forest Chapter 8 Accepted</v>
      </c>
      <c r="O315" s="26" t="str">
        <f>IFERROR(__xludf.DUMMYFUNCTION("SWITCH(
 E315,
 ""BUILDING"",XLOOKUP(A315,tblBuildings[BuildingID],tblBuildings[costtext],""""),
 ""TECH"",XLOOKUP(A315,tblTechnologies[TechnologyID],tblTechnologies[costtext],""""),
 ""QUEST"",XLOOKUP(
  REGEXREPLACE(A315,""\.[^.]+$"",""""),
  tblQuests["&amp;"QuestID],
  tblQuests[Costtext],
  """"
 ),
 ""CITADEL"",XLOOKUP(A315,tblCitadel[CitadelID],tblCitadel[costtext],""""),
 ""COLLECTION"",XLOOKUP(A315,tblCollections[CollectionID],tblCollections[costtext],""""),
 ""CRAFTIFACT"",XLOOKUP(A315,tblCraftifacts[C"&amp;"raftifactID],tblCraftifacts[costtext],""""),
 """"
)"),"wheat:10,rice:10,coin:1000")</f>
        <v>wheat:10,rice:10,coin:1000</v>
      </c>
      <c r="P315" s="26" t="str">
        <f t="shared" si="6"/>
        <v>BLOCKED</v>
      </c>
      <c r="Q315" s="26" t="str">
        <f t="shared" si="7"/>
        <v>BLOCKED</v>
      </c>
      <c r="R315" s="26" t="str">
        <f t="array" ref="R315">IFERROR(
 _xlfn.XLOOKUP(
  A315,
  tblChecklist[TargetID],
  tblChecklist[PlayerSort],
  ""
 ),
 ""
)</f>
        <v/>
      </c>
      <c r="S315" s="26" t="str">
        <f>IFERROR(__xludf.DUMMYFUNCTION("LET(
 id,A315,
 successorIDs,
  IFERROR(
   UNIQUE(
    FILTER(
     {
      Dependencies!$A$2:$A$1000;
      QuestObjectives!$A$2:$A$1000
     },
     {
      Dependencies!$B$2:$B$1000;
      QuestObjectives!$E$2:$E$1000
     }=id
    )
   ),
   """"
  )"&amp;",
 names,
  MAP(
   successorIDs,
   LAMBDA(s,
    IF(
     s="""",
     """",
     XLOOKUP(
      s,
      $A$2:$A$1000,
      $B$2:$B$1000,
      s
     )
    )
   )
  ),
 IF(
  successorIDs="""",
  """",
  TEXTJOIN("", "",TRUE,names)
 )
)"),"Once Upon a Forest Chapter 9 Accepted, Meet Inventor@5B")</f>
        <v>Once Upon a Forest Chapter 9 Accepted, Meet Inventor@5B</v>
      </c>
      <c r="T315" s="26" t="str">
        <f t="array" ref="T315">_xlfn.XLOOKUP(
 A315,
 tblTargets[TargetID],
 tblTargets[CompletionMethod],
 ""
)</f>
        <v>PLAYER</v>
      </c>
      <c r="U315" s="84" t="b">
        <f>COUNTIF(tblCost[TargetID],A315)&gt;0</f>
        <v>1</v>
      </c>
      <c r="V315" s="85">
        <f t="array" ref="V315">IF(
 U315=FALSE,
 "",
 _xlfn.XLOOKUP(
  A315,
  tblCost[TargetID],
  tblCost[FundingPercent],
  ""
 )
)</f>
        <v>0</v>
      </c>
      <c r="W315" s="26">
        <f t="array" ref="W315">IF(
 U315=FALSE,
 "",
 _xlfn.XLOOKUP(
  A315,
  tblCost[TargetID],
  tblCost[RemainingRequirements],
  ""
 )
)</f>
        <v>3</v>
      </c>
      <c r="X315" s="45" t="b">
        <f t="array" ref="X315">IF(
 U315=FALSE,
 "N/A",
 _xlfn.XLOOKUP(
  A316,
  tblCost[TargetID],
  tblCost[TargetFunded],
  FALSE
 )
)</f>
        <v>0</v>
      </c>
      <c r="Y315" s="26" t="str">
        <f>IFERROR(__xludf.DUMMYFUNCTION("IFERROR(
 TEXTJOIN(
  "", "",
  TRUE,
  FILTER(
   'cost checklist'!$E$2:$E1000&amp;"": ""&amp;'cost checklist'!$G$2:$G1000,
   'cost checklist'!$B$2:$B1000=A315,
   'cost checklist'!$J$2:$J1000=FALSE
  )
 ),
 """"
)"),"coin: 1000, rice: 10, wheat: 10")</f>
        <v>coin: 1000, rice: 10, wheat: 10</v>
      </c>
      <c r="Z315" s="26" t="b">
        <f>IFERROR(__xludf.DUMMYFUNCTION("IF(
 AND(
  E315=""QUEST"",
  RIGHT(A315,9)="".accepted"",
  D315=TRUE
 ),
 XLOOKUP(
  REGEXREPLACE(A315,""\.accepted$"","""")&amp;"".finished"",
  $A$2:$A1000,
  $D$2:$D1000,
  TRUE
 )=FALSE,
 FALSE
)"),FALSE)</f>
        <v>0</v>
      </c>
      <c r="AA315" s="26" t="str">
        <f>IFERROR(__xludf.DUMMYFUNCTION("LET(
 id,A315,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9")</f>
        <v>Once Upon a Forest Chapter 9</v>
      </c>
    </row>
    <row r="316" ht="14.25" customHeight="1">
      <c r="A316" s="26" t="s">
        <v>1200</v>
      </c>
      <c r="B316" s="26" t="str">
        <f t="array" ref="B316">_xlfn.XLOOKUP(
 A316,
 tblTargets[TargetID],
 tblTargets[DisplayName],
 ""
)</f>
        <v>Once Upon a Forest Chapter 9 Accepted</v>
      </c>
      <c r="C316" s="26" t="str">
        <f t="shared" si="1"/>
        <v>BLOCKED</v>
      </c>
      <c r="D316" s="26" t="b">
        <f>IFERROR(__xludf.DUMMYFUNCTION("LET(
 id,A316,
 IF(
  F316=""CHARACTER"",
  LET(
   base,REGEXREPLACE(id,""@\d+$"",""""),
   required,VALUE(REGEXEXTRACT(id,""@(\d+)$"")),
   current,XLOOKUP(
    base,
    tblPlayer[PlayerStateID],
    tblPlayer[Value],
    0
   ),
   current&gt;=required
 "&amp;" ),
  IF(
   T316=""AUTO"",
   L316=0,
   COUNTIFS(
    tblChecklist[TargetID],id,
    tblChecklist[PlayerCompleted],TRUE
   )&gt;0
  )
 )
)"),FALSE)</f>
        <v>0</v>
      </c>
      <c r="E316" s="26" t="str">
        <f t="array" ref="E316">_xlfn.XLOOKUP(
 A316,
 tblTargets[TargetID],
 tblTargets[TargetType],
 ""
)</f>
        <v>QUEST</v>
      </c>
      <c r="F316" s="26" t="str">
        <f t="array" ref="F316">_xlfn.XLOOKUP(
 A316,
 tblTargets[TargetID],
 tblTargets[StateType],
 ""
)</f>
        <v/>
      </c>
      <c r="G316" s="26">
        <f>LET(
 id,A316,
 depCount,COUNTIF(tblDependencies[TargetID],id),
 objCount,COUNTIF(tblQuestObjectives[QuestTargetID],id),
 depCount+objCount
)</f>
        <v>2</v>
      </c>
      <c r="H316" s="26">
        <f t="shared" si="2"/>
        <v>2</v>
      </c>
      <c r="I316" s="26">
        <f>IFERROR(__xludf.DUMMYFUNCTION("LET(
 id,A316,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6" s="26">
        <f t="shared" si="3"/>
        <v>0</v>
      </c>
      <c r="K316" s="26" t="b">
        <f t="shared" si="4"/>
        <v>0</v>
      </c>
      <c r="L316" s="26">
        <f t="shared" si="5"/>
        <v>2</v>
      </c>
      <c r="M316" s="26" t="str">
        <f>IFERROR(__xludf.DUMMYFUNCTION("LET(
 id,A316,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L316=0,
  """",
  IFERROR(INDEX(incomplete,1),"""")"&amp;"
 )
)"),"quest.once_upon_a_forest_chapter_8.finished")</f>
        <v>quest.once_upon_a_forest_chapter_8.finished</v>
      </c>
      <c r="N316" s="26" t="str">
        <f t="array" ref="N316">IF(
 M316="",
 "",
 _xlfn.XLOOKUP(
  M316,
  tblTargets[TargetID],
  tblTargets[DisplayName],
  M316
 )
)</f>
        <v>Once Upon a Forest Chapter 8 Finished</v>
      </c>
      <c r="O316" s="26" t="str">
        <f>IFERROR(__xludf.DUMMYFUNCTION("SWITCH(
 E316,
 ""BUILDING"",XLOOKUP(A316,tblBuildings[BuildingID],tblBuildings[costtext],""""),
 ""TECH"",XLOOKUP(A316,tblTechnologies[TechnologyID],tblTechnologies[costtext],""""),
 ""QUEST"",XLOOKUP(
  REGEXREPLACE(A316,""\.[^.]+$"",""""),
  tblQuests["&amp;"QuestID],
  tblQuests[Costtext],
  """"
 ),
 ""CITADEL"",XLOOKUP(A316,tblCitadel[CitadelID],tblCitadel[costtext],""""),
 ""COLLECTION"",XLOOKUP(A316,tblCollections[CollectionID],tblCollections[costtext],""""),
 ""CRAFTIFACT"",XLOOKUP(A316,tblCraftifacts[C"&amp;"raftifactID],tblCraftifacts[costtext],""""),
 """"
)"),"")</f>
        <v/>
      </c>
      <c r="P316" s="26" t="str">
        <f t="shared" si="6"/>
        <v>BLOCKED</v>
      </c>
      <c r="Q316" s="26" t="str">
        <f t="shared" si="7"/>
        <v>BLOCKED</v>
      </c>
      <c r="R316" s="26" t="str">
        <f t="array" ref="R316">IFERROR(
 _xlfn.XLOOKUP(
  A316,
  tblChecklist[TargetID],
  tblChecklist[PlayerSort],
  ""
 ),
 ""
)</f>
        <v/>
      </c>
      <c r="S316" s="26" t="str">
        <f>IFERROR(__xludf.DUMMYFUNCTION("LET(
 id,A316,
 successorIDs,
  IFERROR(
   UNIQUE(
    FILTER(
     {
      Dependencies!$A$2:$A$1000;
      QuestObjectives!$A$2:$A$1000
     },
     {
      Dependencies!$B$2:$B$1000;
      QuestObjectives!$E$2:$E$1000
     }=id
    )
   ),
   """"
  )"&amp;",
 names,
  MAP(
   successorIDs,
   LAMBDA(s,
    IF(
     s="""",
     """",
     XLOOKUP(
      s,
      $A$2:$A$1000,
      $B$2:$B$1000,
      s
     )
    )
   )
  ),
 IF(
  successorIDs="""",
  """",
  TEXTJOIN("", "",TRUE,names)
 )
)"),"Once Upon a Forest Chapter 10 Accepted, Once Upon a Forest Chapter 9 Finished, Visit Dungeon@F1, Obtain Hide, Obtain Titanium, Tailor - Armor For A Hero Lvl 4")</f>
        <v>Once Upon a Forest Chapter 10 Accepted, Once Upon a Forest Chapter 9 Finished, Visit Dungeon@F1, Obtain Hide, Obtain Titanium, Tailor - Armor For A Hero Lvl 4</v>
      </c>
      <c r="T316" s="26" t="str">
        <f t="array" ref="T316">_xlfn.XLOOKUP(
 A316,
 tblTargets[TargetID],
 tblTargets[CompletionMethod],
 ""
)</f>
        <v>PLAYER</v>
      </c>
      <c r="U316" s="84" t="b">
        <f>COUNTIF(tblCost[TargetID],A316)&gt;0</f>
        <v>0</v>
      </c>
      <c r="V316" s="85" t="str">
        <f t="array" ref="V316">IF(
 U316=FALSE,
 "",
 _xlfn.XLOOKUP(
  A316,
  tblCost[TargetID],
  tblCost[FundingPercent],
  ""
 )
)</f>
        <v/>
      </c>
      <c r="W316" s="26" t="str">
        <f t="array" ref="W316">IF(
 U316=FALSE,
 "",
 _xlfn.XLOOKUP(
  A316,
  tblCost[TargetID],
  tblCost[RemainingRequirements],
  ""
 )
)</f>
        <v/>
      </c>
      <c r="X316" s="45" t="str">
        <f t="array" ref="X316">IF(
 U316=FALSE,
 "N/A",
 _xlfn.XLOOKUP(
  A317,
  tblCost[TargetID],
  tblCost[TargetFunded],
  FALSE
 )
)</f>
        <v>N/A</v>
      </c>
      <c r="Y316" s="26" t="str">
        <f>IFERROR(__xludf.DUMMYFUNCTION("IFERROR(
 TEXTJOIN(
  "", "",
  TRUE,
  FILTER(
   'cost checklist'!$E$2:$E1000&amp;"": ""&amp;'cost checklist'!$G$2:$G1000,
   'cost checklist'!$B$2:$B1000=A316,
   'cost checklist'!$J$2:$J1000=FALSE
  )
 ),
 """"
)"),"")</f>
        <v/>
      </c>
      <c r="Z316" s="26" t="b">
        <f>IFERROR(__xludf.DUMMYFUNCTION("IF(
 AND(
  E316=""QUEST"",
  RIGHT(A316,9)="".accepted"",
  D316=TRUE
 ),
 XLOOKUP(
  REGEXREPLACE(A316,""\.accepted$"","""")&amp;"".finished"",
  $A$2:$A1000,
  $D$2:$D1000,
  TRUE
 )=FALSE,
 FALSE
)"),FALSE)</f>
        <v>0</v>
      </c>
      <c r="AA316" s="26" t="str">
        <f>IFERROR(__xludf.DUMMYFUNCTION("LET(
 id,A316,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10")</f>
        <v>Once Upon a Forest Chapter 10</v>
      </c>
    </row>
    <row r="317" ht="14.25" customHeight="1">
      <c r="A317" s="26" t="s">
        <v>1207</v>
      </c>
      <c r="B317" s="26" t="str">
        <f t="array" ref="B317">_xlfn.XLOOKUP(
 A317,
 tblTargets[TargetID],
 tblTargets[DisplayName],
 ""
)</f>
        <v>Once Upon a Forest Chapter 9 Finished</v>
      </c>
      <c r="C317" s="26" t="str">
        <f t="shared" si="1"/>
        <v>BLOCKED</v>
      </c>
      <c r="D317" s="26" t="b">
        <f>IFERROR(__xludf.DUMMYFUNCTION("LET(
 id,A317,
 IF(
  F317=""CHARACTER"",
  LET(
   base,REGEXREPLACE(id,""@\d+$"",""""),
   required,VALUE(REGEXEXTRACT(id,""@(\d+)$"")),
   current,XLOOKUP(
    base,
    tblPlayer[PlayerStateID],
    tblPlayer[Value],
    0
   ),
   current&gt;=required
 "&amp;" ),
  IF(
   T317=""AUTO"",
   L317=0,
   COUNTIFS(
    tblChecklist[TargetID],id,
    tblChecklist[PlayerCompleted],TRUE
   )&gt;0
  )
 )
)"),FALSE)</f>
        <v>0</v>
      </c>
      <c r="E317" s="26" t="str">
        <f t="array" ref="E317">_xlfn.XLOOKUP(
 A317,
 tblTargets[TargetID],
 tblTargets[TargetType],
 ""
)</f>
        <v>QUEST</v>
      </c>
      <c r="F317" s="26" t="str">
        <f t="array" ref="F317">_xlfn.XLOOKUP(
 A317,
 tblTargets[TargetID],
 tblTargets[StateType],
 ""
)</f>
        <v/>
      </c>
      <c r="G317" s="26">
        <f>LET(
 id,A317,
 depCount,COUNTIF(tblDependencies[TargetID],id),
 objCount,COUNTIF(tblQuestObjectives[QuestTargetID],id),
 depCount+objCount
)</f>
        <v>5</v>
      </c>
      <c r="H317" s="26">
        <f t="shared" si="2"/>
        <v>5</v>
      </c>
      <c r="I317" s="26">
        <f>IFERROR(__xludf.DUMMYFUNCTION("LET(
 id,A317,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7" s="26">
        <f t="shared" si="3"/>
        <v>0</v>
      </c>
      <c r="K317" s="26" t="b">
        <f t="shared" si="4"/>
        <v>0</v>
      </c>
      <c r="L317" s="26">
        <f t="shared" si="5"/>
        <v>5</v>
      </c>
      <c r="M317" s="26" t="str">
        <f>IFERROR(__xludf.DUMMYFUNCTION("LET(
 id,A317,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L317=0,
  """",
  IFERROR(INDEX(incomplete,1),"""")"&amp;"
 )
)"),"quest.once_upon_a_forest_chapter_9.accepted")</f>
        <v>quest.once_upon_a_forest_chapter_9.accepted</v>
      </c>
      <c r="N317" s="26" t="str">
        <f t="array" ref="N317">IF(
 M317="",
 "",
 _xlfn.XLOOKUP(
  M317,
  tblTargets[TargetID],
  tblTargets[DisplayName],
  M317
 )
)</f>
        <v>Once Upon a Forest Chapter 9 Accepted</v>
      </c>
      <c r="O317" s="26" t="str">
        <f>IFERROR(__xludf.DUMMYFUNCTION("SWITCH(
 E317,
 ""BUILDING"",XLOOKUP(A317,tblBuildings[BuildingID],tblBuildings[costtext],""""),
 ""TECH"",XLOOKUP(A317,tblTechnologies[TechnologyID],tblTechnologies[costtext],""""),
 ""QUEST"",XLOOKUP(
  REGEXREPLACE(A317,""\.[^.]+$"",""""),
  tblQuests["&amp;"QuestID],
  tblQuests[Costtext],
  """"
 ),
 ""CITADEL"",XLOOKUP(A317,tblCitadel[CitadelID],tblCitadel[costtext],""""),
 ""COLLECTION"",XLOOKUP(A317,tblCollections[CollectionID],tblCollections[costtext],""""),
 ""CRAFTIFACT"",XLOOKUP(A317,tblCraftifacts[C"&amp;"raftifactID],tblCraftifacts[costtext],""""),
 """"
)"),"")</f>
        <v/>
      </c>
      <c r="P317" s="26" t="str">
        <f t="shared" si="6"/>
        <v>BLOCKED</v>
      </c>
      <c r="Q317" s="26" t="str">
        <f t="shared" si="7"/>
        <v>BLOCKED</v>
      </c>
      <c r="R317" s="26" t="str">
        <f t="array" ref="R317">IFERROR(
 _xlfn.XLOOKUP(
  A317,
  tblChecklist[TargetID],
  tblChecklist[PlayerSort],
  ""
 ),
 ""
)</f>
        <v/>
      </c>
      <c r="S317" s="26" t="str">
        <f>IFERROR(__xludf.DUMMYFUNCTION("LET(
 id,A317,
 successorIDs,
  IFERROR(
   UNIQUE(
    FILTER(
     {
      Dependencies!$A$2:$A$1000;
      QuestObjectives!$A$2:$A$1000
     },
     {
      Dependencies!$B$2:$B$1000;
      QuestObjectives!$E$2:$E$1000
     }=id
    )
   ),
   """"
  )"&amp;",
 names,
  MAP(
   successorIDs,
   LAMBDA(s,
    IF(
     s="""",
     """",
     XLOOKUP(
      s,
      $A$2:$A$1000,
      $B$2:$B$1000,
      s
     )
    )
   )
  ),
 IF(
  successorIDs="""",
  """",
  TEXTJOIN("", "",TRUE,names)
 )
)"),"Ahead of Time Chapter 1 Accepted, Once Upon a Forest Chapter 15 Accepted, Complete Lvl1 Any Project")</f>
        <v>Ahead of Time Chapter 1 Accepted, Once Upon a Forest Chapter 15 Accepted, Complete Lvl1 Any Project</v>
      </c>
      <c r="T317" s="26" t="str">
        <f t="array" ref="T317">_xlfn.XLOOKUP(
 A317,
 tblTargets[TargetID],
 tblTargets[CompletionMethod],
 ""
)</f>
        <v>PLAYER</v>
      </c>
      <c r="U317" s="84" t="b">
        <f>COUNTIF(tblCost[TargetID],A317)&gt;0</f>
        <v>0</v>
      </c>
      <c r="V317" s="85" t="str">
        <f t="array" ref="V317">IF(
 U317=FALSE,
 "",
 _xlfn.XLOOKUP(
  A317,
  tblCost[TargetID],
  tblCost[FundingPercent],
  ""
 )
)</f>
        <v/>
      </c>
      <c r="W317" s="26" t="str">
        <f t="array" ref="W317">IF(
 U317=FALSE,
 "",
 _xlfn.XLOOKUP(
  A317,
  tblCost[TargetID],
  tblCost[RemainingRequirements],
  ""
 )
)</f>
        <v/>
      </c>
      <c r="X317" s="45" t="str">
        <f t="array" ref="X317">IF(
 U317=FALSE,
 "N/A",
 _xlfn.XLOOKUP(
  A318,
  tblCost[TargetID],
  tblCost[TargetFunded],
  FALSE
 )
)</f>
        <v>N/A</v>
      </c>
      <c r="Y317" s="26" t="str">
        <f>IFERROR(__xludf.DUMMYFUNCTION("IFERROR(
 TEXTJOIN(
  "", "",
  TRUE,
  FILTER(
   'cost checklist'!$E$2:$E1000&amp;"": ""&amp;'cost checklist'!$G$2:$G1000,
   'cost checklist'!$B$2:$B1000=A317,
   'cost checklist'!$J$2:$J1000=FALSE
  )
 ),
 """"
)"),"")</f>
        <v/>
      </c>
      <c r="Z317" s="26" t="b">
        <f>IFERROR(__xludf.DUMMYFUNCTION("IF(
 AND(
  E317=""QUEST"",
  RIGHT(A317,9)="".accepted"",
  D317=TRUE
 ),
 XLOOKUP(
  REGEXREPLACE(A317,""\.accepted$"","""")&amp;"".finished"",
  $A$2:$A1000,
  $D$2:$D1000,
  TRUE
 )=FALSE,
 FALSE
)"),FALSE)</f>
        <v>0</v>
      </c>
      <c r="AA317" s="26" t="str">
        <f>IFERROR(__xludf.DUMMYFUNCTION("LET(
 id,A317,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1, Once Upon a Forest Chapter 15")</f>
        <v>Ahead of Time Chapter 1, Once Upon a Forest Chapter 15</v>
      </c>
    </row>
    <row r="318" ht="14.25" customHeight="1">
      <c r="A318" s="26" t="s">
        <v>1214</v>
      </c>
      <c r="B318" s="26" t="str">
        <f t="array" ref="B318">_xlfn.XLOOKUP(
 A318,
 tblTargets[TargetID],
 tblTargets[DisplayName],
 ""
)</f>
        <v>Quest for Knowledge Chapter 1 Accepted</v>
      </c>
      <c r="C318" s="26" t="str">
        <f t="shared" si="1"/>
        <v>BLOCKED</v>
      </c>
      <c r="D318" s="26" t="b">
        <f>IFERROR(__xludf.DUMMYFUNCTION("LET(
 id,A318,
 IF(
  F318=""CHARACTER"",
  LET(
   base,REGEXREPLACE(id,""@\d+$"",""""),
   required,VALUE(REGEXEXTRACT(id,""@(\d+)$"")),
   current,XLOOKUP(
    base,
    tblPlayer[PlayerStateID],
    tblPlayer[Value],
    0
   ),
   current&gt;=required
 "&amp;" ),
  IF(
   T318=""AUTO"",
   L318=0,
   COUNTIFS(
    tblChecklist[TargetID],id,
    tblChecklist[PlayerCompleted],TRUE
   )&gt;0
  )
 )
)"),FALSE)</f>
        <v>0</v>
      </c>
      <c r="E318" s="26" t="str">
        <f t="array" ref="E318">_xlfn.XLOOKUP(
 A318,
 tblTargets[TargetID],
 tblTargets[TargetType],
 ""
)</f>
        <v>QUEST</v>
      </c>
      <c r="F318" s="26" t="str">
        <f t="array" ref="F318">_xlfn.XLOOKUP(
 A318,
 tblTargets[TargetID],
 tblTargets[StateType],
 ""
)</f>
        <v/>
      </c>
      <c r="G318" s="26">
        <f>LET(
 id,A318,
 depCount,COUNTIF(tblDependencies[TargetID],id),
 objCount,COUNTIF(tblQuestObjectives[QuestTargetID],id),
 depCount+objCount
)</f>
        <v>1</v>
      </c>
      <c r="H318" s="26">
        <f t="shared" si="2"/>
        <v>1</v>
      </c>
      <c r="I318" s="26">
        <f>IFERROR(__xludf.DUMMYFUNCTION("LET(
 id,A318,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8" s="26">
        <f t="shared" si="3"/>
        <v>0</v>
      </c>
      <c r="K318" s="26" t="b">
        <f t="shared" si="4"/>
        <v>0</v>
      </c>
      <c r="L318" s="26">
        <f t="shared" si="5"/>
        <v>1</v>
      </c>
      <c r="M318" s="26" t="str">
        <f>IFERROR(__xludf.DUMMYFUNCTION("LET(
 id,A318,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L318=0,
  """",
  IFERROR(INDEX(incomplete,1),"""")"&amp;"
 )
)"),"building.dungeon@1")</f>
        <v>building.dungeon@1</v>
      </c>
      <c r="N318" s="26" t="str">
        <f t="array" ref="N318">IF(
 M318="",
 "",
 _xlfn.XLOOKUP(
  M318,
  tblTargets[TargetID],
  tblTargets[DisplayName],
  M318
 )
)</f>
        <v>Dungeon Lv 1</v>
      </c>
      <c r="O318" s="26" t="str">
        <f>IFERROR(__xludf.DUMMYFUNCTION("SWITCH(
 E318,
 ""BUILDING"",XLOOKUP(A318,tblBuildings[BuildingID],tblBuildings[costtext],""""),
 ""TECH"",XLOOKUP(A318,tblTechnologies[TechnologyID],tblTechnologies[costtext],""""),
 ""QUEST"",XLOOKUP(
  REGEXREPLACE(A318,""\.[^.]+$"",""""),
  tblQuests["&amp;"QuestID],
  tblQuests[Costtext],
  """"
 ),
 ""CITADEL"",XLOOKUP(A318,tblCitadel[CitadelID],tblCitadel[costtext],""""),
 ""COLLECTION"",XLOOKUP(A318,tblCollections[CollectionID],tblCollections[costtext],""""),
 ""CRAFTIFACT"",XLOOKUP(A318,tblCraftifacts[C"&amp;"raftifactID],tblCraftifacts[costtext],""""),
 """"
)"),"")</f>
        <v/>
      </c>
      <c r="P318" s="26" t="str">
        <f t="shared" si="6"/>
        <v>BLOCKED</v>
      </c>
      <c r="Q318" s="26" t="str">
        <f t="shared" si="7"/>
        <v>BLOCKED</v>
      </c>
      <c r="R318" s="26" t="str">
        <f t="array" ref="R318">IFERROR(
 _xlfn.XLOOKUP(
  A318,
  tblChecklist[TargetID],
  tblChecklist[PlayerSort],
  ""
 ),
 ""
)</f>
        <v/>
      </c>
      <c r="S318" s="26" t="str">
        <f>IFERROR(__xludf.DUMMYFUNCTION("LET(
 id,A318,
 successorIDs,
  IFERROR(
   UNIQUE(
    FILTER(
     {
      Dependencies!$A$2:$A$1000;
      QuestObjectives!$A$2:$A$1000
     },
     {
      Dependencies!$B$2:$B$1000;
      QuestObjectives!$E$2:$E$1000
     }=id
    )
   ),
   """"
  )"&amp;",
 names,
  MAP(
   successorIDs,
   LAMBDA(s,
    IF(
     s="""",
     """",
     XLOOKUP(
      s,
      $A$2:$A$1000,
      $B$2:$B$1000,
      s
     )
    )
   )
  ),
 IF(
  successorIDs="""",
  """",
  TEXTJOIN("", "",TRUE,names)
 )
)"),"Quest for Knowledge Chapter 1 Finished")</f>
        <v>Quest for Knowledge Chapter 1 Finished</v>
      </c>
      <c r="T318" s="26" t="str">
        <f t="array" ref="T318">_xlfn.XLOOKUP(
 A318,
 tblTargets[TargetID],
 tblTargets[CompletionMethod],
 ""
)</f>
        <v>PLAYER</v>
      </c>
      <c r="U318" s="84" t="b">
        <f>COUNTIF(tblCost[TargetID],A318)&gt;0</f>
        <v>0</v>
      </c>
      <c r="V318" s="85" t="str">
        <f t="array" ref="V318">IF(
 U318=FALSE,
 "",
 _xlfn.XLOOKUP(
  A318,
  tblCost[TargetID],
  tblCost[FundingPercent],
  ""
 )
)</f>
        <v/>
      </c>
      <c r="W318" s="26" t="str">
        <f t="array" ref="W318">IF(
 U318=FALSE,
 "",
 _xlfn.XLOOKUP(
  A318,
  tblCost[TargetID],
  tblCost[RemainingRequirements],
  ""
 )
)</f>
        <v/>
      </c>
      <c r="X318" s="45" t="str">
        <f t="array" ref="X318">IF(
 U318=FALSE,
 "N/A",
 _xlfn.XLOOKUP(
  A319,
  tblCost[TargetID],
  tblCost[TargetFunded],
  FALSE
 )
)</f>
        <v>N/A</v>
      </c>
      <c r="Y318" s="26" t="str">
        <f>IFERROR(__xludf.DUMMYFUNCTION("IFERROR(
 TEXTJOIN(
  "", "",
  TRUE,
  FILTER(
   'cost checklist'!$E$2:$E1000&amp;"": ""&amp;'cost checklist'!$G$2:$G1000,
   'cost checklist'!$B$2:$B1000=A318,
   'cost checklist'!$J$2:$J1000=FALSE
  )
 ),
 """"
)"),"")</f>
        <v/>
      </c>
      <c r="Z318" s="26" t="b">
        <f>IFERROR(__xludf.DUMMYFUNCTION("IF(
 AND(
  E318=""QUEST"",
  RIGHT(A318,9)="".accepted"",
  D318=TRUE
 ),
 XLOOKUP(
  REGEXREPLACE(A318,""\.accepted$"","""")&amp;"".finished"",
  $A$2:$A1000,
  $D$2:$D1000,
  TRUE
 )=FALSE,
 FALSE
)"),FALSE)</f>
        <v>0</v>
      </c>
      <c r="AA318" s="26" t="str">
        <f>IFERROR(__xludf.DUMMYFUNCTION("LET(
 id,A318,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19" ht="14.25" customHeight="1">
      <c r="A319" s="26" t="s">
        <v>1221</v>
      </c>
      <c r="B319" s="26" t="str">
        <f t="array" ref="B319">_xlfn.XLOOKUP(
 A319,
 tblTargets[TargetID],
 tblTargets[DisplayName],
 ""
)</f>
        <v>Quest for Knowledge Chapter 1 Finished</v>
      </c>
      <c r="C319" s="26" t="str">
        <f t="shared" si="1"/>
        <v>BLOCKED</v>
      </c>
      <c r="D319" s="26" t="b">
        <f>IFERROR(__xludf.DUMMYFUNCTION("LET(
 id,A319,
 IF(
  F319=""CHARACTER"",
  LET(
   base,REGEXREPLACE(id,""@\d+$"",""""),
   required,VALUE(REGEXEXTRACT(id,""@(\d+)$"")),
   current,XLOOKUP(
    base,
    tblPlayer[PlayerStateID],
    tblPlayer[Value],
    0
   ),
   current&gt;=required
 "&amp;" ),
  IF(
   T319=""AUTO"",
   L319=0,
   COUNTIFS(
    tblChecklist[TargetID],id,
    tblChecklist[PlayerCompleted],TRUE
   )&gt;0
  )
 )
)"),FALSE)</f>
        <v>0</v>
      </c>
      <c r="E319" s="26" t="str">
        <f t="array" ref="E319">_xlfn.XLOOKUP(
 A319,
 tblTargets[TargetID],
 tblTargets[TargetType],
 ""
)</f>
        <v>QUEST</v>
      </c>
      <c r="F319" s="26" t="str">
        <f t="array" ref="F319">_xlfn.XLOOKUP(
 A319,
 tblTargets[TargetID],
 tblTargets[StateType],
 ""
)</f>
        <v/>
      </c>
      <c r="G319" s="26">
        <f>LET(
 id,A319,
 depCount,COUNTIF(tblDependencies[TargetID],id),
 objCount,COUNTIF(tblQuestObjectives[QuestTargetID],id),
 depCount+objCount
)</f>
        <v>4</v>
      </c>
      <c r="H319" s="26">
        <f t="shared" si="2"/>
        <v>4</v>
      </c>
      <c r="I319" s="26">
        <f>IFERROR(__xludf.DUMMYFUNCTION("LET(
 id,A319,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19" s="26">
        <f t="shared" si="3"/>
        <v>0</v>
      </c>
      <c r="K319" s="26" t="b">
        <f t="shared" si="4"/>
        <v>0</v>
      </c>
      <c r="L319" s="26">
        <f t="shared" si="5"/>
        <v>4</v>
      </c>
      <c r="M319" s="26" t="str">
        <f>IFERROR(__xludf.DUMMYFUNCTION("LET(
 id,A319,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L319=0,
  """",
  IFERROR(INDEX(incomplete,1),"""")"&amp;"
 )
)"),"quest.quest_for_knowledge_chapter_1.accepted")</f>
        <v>quest.quest_for_knowledge_chapter_1.accepted</v>
      </c>
      <c r="N319" s="26" t="str">
        <f t="array" ref="N319">IF(
 M319="",
 "",
 _xlfn.XLOOKUP(
  M319,
  tblTargets[TargetID],
  tblTargets[DisplayName],
  M319
 )
)</f>
        <v>Quest for Knowledge Chapter 1 Accepted</v>
      </c>
      <c r="O319" s="26" t="str">
        <f>IFERROR(__xludf.DUMMYFUNCTION("SWITCH(
 E319,
 ""BUILDING"",XLOOKUP(A319,tblBuildings[BuildingID],tblBuildings[costtext],""""),
 ""TECH"",XLOOKUP(A319,tblTechnologies[TechnologyID],tblTechnologies[costtext],""""),
 ""QUEST"",XLOOKUP(
  REGEXREPLACE(A319,""\.[^.]+$"",""""),
  tblQuests["&amp;"QuestID],
  tblQuests[Costtext],
  """"
 ),
 ""CITADEL"",XLOOKUP(A319,tblCitadel[CitadelID],tblCitadel[costtext],""""),
 ""COLLECTION"",XLOOKUP(A319,tblCollections[CollectionID],tblCollections[costtext],""""),
 ""CRAFTIFACT"",XLOOKUP(A319,tblCraftifacts[C"&amp;"raftifactID],tblCraftifacts[costtext],""""),
 """"
)"),"")</f>
        <v/>
      </c>
      <c r="P319" s="26" t="str">
        <f t="shared" si="6"/>
        <v>BLOCKED</v>
      </c>
      <c r="Q319" s="26" t="str">
        <f t="shared" si="7"/>
        <v>BLOCKED</v>
      </c>
      <c r="R319" s="26" t="str">
        <f t="array" ref="R319">IFERROR(
 _xlfn.XLOOKUP(
  A319,
  tblChecklist[TargetID],
  tblChecklist[PlayerSort],
  ""
 ),
 ""
)</f>
        <v/>
      </c>
      <c r="S319" s="26" t="str">
        <f>IFERROR(__xludf.DUMMYFUNCTION("LET(
 id,A319,
 successorIDs,
  IFERROR(
   UNIQUE(
    FILTER(
     {
      Dependencies!$A$2:$A$1000;
      QuestObjectives!$A$2:$A$1000
     },
     {
      Dependencies!$B$2:$B$1000;
      QuestObjectives!$E$2:$E$1000
     }=id
    )
   ),
   """"
  )"&amp;",
 names,
  MAP(
   successorIDs,
   LAMBDA(s,
    IF(
     s="""",
     """",
     XLOOKUP(
      s,
      $A$2:$A$1000,
      $B$2:$B$1000,
      s
     )
    )
   )
  ),
 IF(
  successorIDs="""",
  """",
  TEXTJOIN("", "",TRUE,names)
 )
)"),"Quest for Knowledge Chapter 2 Accepted, Quest for Knowledge Chapter 3 Accepted")</f>
        <v>Quest for Knowledge Chapter 2 Accepted, Quest for Knowledge Chapter 3 Accepted</v>
      </c>
      <c r="T319" s="26" t="str">
        <f t="array" ref="T319">_xlfn.XLOOKUP(
 A319,
 tblTargets[TargetID],
 tblTargets[CompletionMethod],
 ""
)</f>
        <v>PLAYER</v>
      </c>
      <c r="U319" s="84" t="b">
        <f>COUNTIF(tblCost[TargetID],A319)&gt;0</f>
        <v>0</v>
      </c>
      <c r="V319" s="85" t="str">
        <f t="array" ref="V319">IF(
 U319=FALSE,
 "",
 _xlfn.XLOOKUP(
  A319,
  tblCost[TargetID],
  tblCost[FundingPercent],
  ""
 )
)</f>
        <v/>
      </c>
      <c r="W319" s="26" t="str">
        <f t="array" ref="W319">IF(
 U319=FALSE,
 "",
 _xlfn.XLOOKUP(
  A319,
  tblCost[TargetID],
  tblCost[RemainingRequirements],
  ""
 )
)</f>
        <v/>
      </c>
      <c r="X319" s="45" t="str">
        <f t="array" ref="X319">IF(
 U319=FALSE,
 "N/A",
 _xlfn.XLOOKUP(
  A320,
  tblCost[TargetID],
  tblCost[TargetFunded],
  FALSE
 )
)</f>
        <v>N/A</v>
      </c>
      <c r="Y319" s="26" t="str">
        <f>IFERROR(__xludf.DUMMYFUNCTION("IFERROR(
 TEXTJOIN(
  "", "",
  TRUE,
  FILTER(
   'cost checklist'!$E$2:$E1000&amp;"": ""&amp;'cost checklist'!$G$2:$G1000,
   'cost checklist'!$B$2:$B1000=A319,
   'cost checklist'!$J$2:$J1000=FALSE
  )
 ),
 """"
)"),"")</f>
        <v/>
      </c>
      <c r="Z319" s="26" t="b">
        <f>IFERROR(__xludf.DUMMYFUNCTION("IF(
 AND(
  E319=""QUEST"",
  RIGHT(A319,9)="".accepted"",
  D319=TRUE
 ),
 XLOOKUP(
  REGEXREPLACE(A319,""\.accepted$"","""")&amp;"".finished"",
  $A$2:$A1000,
  $D$2:$D1000,
  TRUE
 )=FALSE,
 FALSE
)"),FALSE)</f>
        <v>0</v>
      </c>
      <c r="AA319" s="26" t="str">
        <f>IFERROR(__xludf.DUMMYFUNCTION("LET(
 id,A319,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)"),"Quest for Knowledge Chapter 2, Quest for Knowledge Chapter 3")</f>
        <v>Quest for Knowledge Chapter 2, Quest for Knowledge Chapter 3</v>
      </c>
    </row>
    <row r="320" ht="14.25" customHeight="1">
      <c r="A320" s="26" t="s">
        <v>1228</v>
      </c>
      <c r="B320" s="26" t="str">
        <f t="array" ref="B320">_xlfn.XLOOKUP(
 A320,
 tblTargets[TargetID],
 tblTargets[DisplayName],
 ""
)</f>
        <v>Quest for Knowledge Chapter 2 Accepted</v>
      </c>
      <c r="C320" s="26" t="str">
        <f t="shared" si="1"/>
        <v>BLOCKED</v>
      </c>
      <c r="D320" s="26" t="b">
        <f>IFERROR(__xludf.DUMMYFUNCTION("LET(
 id,A320,
 IF(
  F320=""CHARACTER"",
  LET(
   base,REGEXREPLACE(id,""@\d+$"",""""),
   required,VALUE(REGEXEXTRACT(id,""@(\d+)$"")),
   current,XLOOKUP(
    base,
    tblPlayer[PlayerStateID],
    tblPlayer[Value],
    0
   ),
   current&gt;=required
 "&amp;" ),
  IF(
   T320=""AUTO"",
   L320=0,
   COUNTIFS(
    tblChecklist[TargetID],id,
    tblChecklist[PlayerCompleted],TRUE
   )&gt;0
  )
 )
)"),FALSE)</f>
        <v>0</v>
      </c>
      <c r="E320" s="26" t="str">
        <f t="array" ref="E320">_xlfn.XLOOKUP(
 A320,
 tblTargets[TargetID],
 tblTargets[TargetType],
 ""
)</f>
        <v>QUEST</v>
      </c>
      <c r="F320" s="26" t="str">
        <f t="array" ref="F320">_xlfn.XLOOKUP(
 A320,
 tblTargets[TargetID],
 tblTargets[StateType],
 ""
)</f>
        <v/>
      </c>
      <c r="G320" s="26">
        <f>LET(
 id,A320,
 depCount,COUNTIF(tblDependencies[TargetID],id),
 objCount,COUNTIF(tblQuestObjectives[QuestTargetID],id),
 depCount+objCount
)</f>
        <v>1</v>
      </c>
      <c r="H320" s="26">
        <f t="shared" si="2"/>
        <v>1</v>
      </c>
      <c r="I320" s="26">
        <f>IFERROR(__xludf.DUMMYFUNCTION("LET(
 id,A320,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0" s="26">
        <f t="shared" si="3"/>
        <v>0</v>
      </c>
      <c r="K320" s="26" t="b">
        <f t="shared" si="4"/>
        <v>0</v>
      </c>
      <c r="L320" s="26">
        <f t="shared" si="5"/>
        <v>1</v>
      </c>
      <c r="M320" s="26" t="str">
        <f>IFERROR(__xludf.DUMMYFUNCTION("LET(
 id,A320,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L320=0,
  """",
  IFERROR(INDEX(incomplete,1),"""")"&amp;"
 )
)"),"quest.quest_for_knowledge_chapter_1.finished")</f>
        <v>quest.quest_for_knowledge_chapter_1.finished</v>
      </c>
      <c r="N320" s="26" t="str">
        <f t="array" ref="N320">IF(
 M320="",
 "",
 _xlfn.XLOOKUP(
  M320,
  tblTargets[TargetID],
  tblTargets[DisplayName],
  M320
 )
)</f>
        <v>Quest for Knowledge Chapter 1 Finished</v>
      </c>
      <c r="O320" s="26" t="str">
        <f>IFERROR(__xludf.DUMMYFUNCTION("SWITCH(
 E320,
 ""BUILDING"",XLOOKUP(A320,tblBuildings[BuildingID],tblBuildings[costtext],""""),
 ""TECH"",XLOOKUP(A320,tblTechnologies[TechnologyID],tblTechnologies[costtext],""""),
 ""QUEST"",XLOOKUP(
  REGEXREPLACE(A320,""\.[^.]+$"",""""),
  tblQuests["&amp;"QuestID],
  tblQuests[Costtext],
  """"
 ),
 ""CITADEL"",XLOOKUP(A320,tblCitadel[CitadelID],tblCitadel[costtext],""""),
 ""COLLECTION"",XLOOKUP(A320,tblCollections[CollectionID],tblCollections[costtext],""""),
 ""CRAFTIFACT"",XLOOKUP(A320,tblCraftifacts[C"&amp;"raftifactID],tblCraftifacts[costtext],""""),
 """"
)"),"")</f>
        <v/>
      </c>
      <c r="P320" s="26" t="str">
        <f t="shared" si="6"/>
        <v>BLOCKED</v>
      </c>
      <c r="Q320" s="26" t="str">
        <f t="shared" si="7"/>
        <v>BLOCKED</v>
      </c>
      <c r="R320" s="26" t="str">
        <f t="array" ref="R320">IFERROR(
 _xlfn.XLOOKUP(
  A320,
  tblChecklist[TargetID],
  tblChecklist[PlayerSort],
  ""
 ),
 ""
)</f>
        <v/>
      </c>
      <c r="S320" s="26" t="str">
        <f>IFERROR(__xludf.DUMMYFUNCTION("LET(
 id,A320,
 successorIDs,
  IFERROR(
   UNIQUE(
    FILTER(
     {
      Dependencies!$A$2:$A$1000;
      QuestObjectives!$A$2:$A$1000
     },
     {
      Dependencies!$B$2:$B$1000;
      QuestObjectives!$E$2:$E$1000
     }=id
    )
   ),
   """"
  )"&amp;",
 names,
  MAP(
   successorIDs,
   LAMBDA(s,
    IF(
     s="""",
     """",
     XLOOKUP(
      s,
      $A$2:$A$1000,
      $B$2:$B$1000,
      s
     )
    )
   )
  ),
 IF(
  successorIDs="""",
  """",
  TEXTJOIN("", "",TRUE,names)
 )
)"),"Quest for Knowledge Chapter 2 Finished")</f>
        <v>Quest for Knowledge Chapter 2 Finished</v>
      </c>
      <c r="T320" s="26" t="str">
        <f t="array" ref="T320">_xlfn.XLOOKUP(
 A320,
 tblTargets[TargetID],
 tblTargets[CompletionMethod],
 ""
)</f>
        <v>PLAYER</v>
      </c>
      <c r="U320" s="84" t="b">
        <f>COUNTIF(tblCost[TargetID],A320)&gt;0</f>
        <v>0</v>
      </c>
      <c r="V320" s="85" t="str">
        <f t="array" ref="V320">IF(
 U320=FALSE,
 "",
 _xlfn.XLOOKUP(
  A320,
  tblCost[TargetID],
  tblCost[FundingPercent],
  ""
 )
)</f>
        <v/>
      </c>
      <c r="W320" s="26" t="str">
        <f t="array" ref="W320">IF(
 U320=FALSE,
 "",
 _xlfn.XLOOKUP(
  A320,
  tblCost[TargetID],
  tblCost[RemainingRequirements],
  ""
 )
)</f>
        <v/>
      </c>
      <c r="X320" s="45" t="str">
        <f t="array" ref="X320">IF(
 U320=FALSE,
 "N/A",
 _xlfn.XLOOKUP(
  A321,
  tblCost[TargetID],
  tblCost[TargetFunded],
  FALSE
 )
)</f>
        <v>N/A</v>
      </c>
      <c r="Y320" s="26" t="str">
        <f>IFERROR(__xludf.DUMMYFUNCTION("IFERROR(
 TEXTJOIN(
  "", "",
  TRUE,
  FILTER(
   'cost checklist'!$E$2:$E1000&amp;"": ""&amp;'cost checklist'!$G$2:$G1000,
   'cost checklist'!$B$2:$B1000=A320,
   'cost checklist'!$J$2:$J1000=FALSE
  )
 ),
 """"
)"),"")</f>
        <v/>
      </c>
      <c r="Z320" s="26" t="b">
        <f>IFERROR(__xludf.DUMMYFUNCTION("IF(
 AND(
  E320=""QUEST"",
  RIGHT(A320,9)="".accepted"",
  D320=TRUE
 ),
 XLOOKUP(
  REGEXREPLACE(A320,""\.accepted$"","""")&amp;"".finished"",
  $A$2:$A1000,
  $D$2:$D1000,
  TRUE
 )=FALSE,
 FALSE
)"),FALSE)</f>
        <v>0</v>
      </c>
      <c r="AA320" s="26" t="str">
        <f>IFERROR(__xludf.DUMMYFUNCTION("LET(
 id,A320,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1" ht="14.25" customHeight="1">
      <c r="A321" s="26" t="s">
        <v>1234</v>
      </c>
      <c r="B321" s="26" t="str">
        <f t="array" ref="B321">_xlfn.XLOOKUP(
 A321,
 tblTargets[TargetID],
 tblTargets[DisplayName],
 ""
)</f>
        <v>Quest for Knowledge Chapter 2 Finished</v>
      </c>
      <c r="C321" s="26" t="str">
        <f t="shared" si="1"/>
        <v>BLOCKED</v>
      </c>
      <c r="D321" s="26" t="b">
        <f>IFERROR(__xludf.DUMMYFUNCTION("LET(
 id,A321,
 IF(
  F321=""CHARACTER"",
  LET(
   base,REGEXREPLACE(id,""@\d+$"",""""),
   required,VALUE(REGEXEXTRACT(id,""@(\d+)$"")),
   current,XLOOKUP(
    base,
    tblPlayer[PlayerStateID],
    tblPlayer[Value],
    0
   ),
   current&gt;=required
 "&amp;" ),
  IF(
   T321=""AUTO"",
   L321=0,
   COUNTIFS(
    tblChecklist[TargetID],id,
    tblChecklist[PlayerCompleted],TRUE
   )&gt;0
  )
 )
)"),FALSE)</f>
        <v>0</v>
      </c>
      <c r="E321" s="26" t="str">
        <f t="array" ref="E321">_xlfn.XLOOKUP(
 A321,
 tblTargets[TargetID],
 tblTargets[TargetType],
 ""
)</f>
        <v>QUEST</v>
      </c>
      <c r="F321" s="26" t="str">
        <f t="array" ref="F321">_xlfn.XLOOKUP(
 A321,
 tblTargets[TargetID],
 tblTargets[StateType],
 ""
)</f>
        <v/>
      </c>
      <c r="G321" s="26">
        <f>LET(
 id,A321,
 depCount,COUNTIF(tblDependencies[TargetID],id),
 objCount,COUNTIF(tblQuestObjectives[QuestTargetID],id),
 depCount+objCount
)</f>
        <v>2</v>
      </c>
      <c r="H321" s="26">
        <f t="shared" si="2"/>
        <v>2</v>
      </c>
      <c r="I321" s="26">
        <f>IFERROR(__xludf.DUMMYFUNCTION("LET(
 id,A321,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1" s="26">
        <f t="shared" si="3"/>
        <v>0</v>
      </c>
      <c r="K321" s="26" t="b">
        <f t="shared" si="4"/>
        <v>0</v>
      </c>
      <c r="L321" s="26">
        <f t="shared" si="5"/>
        <v>2</v>
      </c>
      <c r="M321" s="26" t="str">
        <f>IFERROR(__xludf.DUMMYFUNCTION("LET(
 id,A321,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L321=0,
  """",
  IFERROR(INDEX(incomplete,1),"""")"&amp;"
 )
)"),"quest.quest_for_knowledge_chapter_2.accepted")</f>
        <v>quest.quest_for_knowledge_chapter_2.accepted</v>
      </c>
      <c r="N321" s="26" t="str">
        <f t="array" ref="N321">IF(
 M321="",
 "",
 _xlfn.XLOOKUP(
  M321,
  tblTargets[TargetID],
  tblTargets[DisplayName],
  M321
 )
)</f>
        <v>Quest for Knowledge Chapter 2 Accepted</v>
      </c>
      <c r="O321" s="26" t="str">
        <f>IFERROR(__xludf.DUMMYFUNCTION("SWITCH(
 E321,
 ""BUILDING"",XLOOKUP(A321,tblBuildings[BuildingID],tblBuildings[costtext],""""),
 ""TECH"",XLOOKUP(A321,tblTechnologies[TechnologyID],tblTechnologies[costtext],""""),
 ""QUEST"",XLOOKUP(
  REGEXREPLACE(A321,""\.[^.]+$"",""""),
  tblQuests["&amp;"QuestID],
  tblQuests[Costtext],
  """"
 ),
 ""CITADEL"",XLOOKUP(A321,tblCitadel[CitadelID],tblCitadel[costtext],""""),
 ""COLLECTION"",XLOOKUP(A321,tblCollections[CollectionID],tblCollections[costtext],""""),
 ""CRAFTIFACT"",XLOOKUP(A321,tblCraftifacts[C"&amp;"raftifactID],tblCraftifacts[costtext],""""),
 """"
)"),"")</f>
        <v/>
      </c>
      <c r="P321" s="26" t="str">
        <f t="shared" si="6"/>
        <v>BLOCKED</v>
      </c>
      <c r="Q321" s="26" t="str">
        <f t="shared" si="7"/>
        <v>BLOCKED</v>
      </c>
      <c r="R321" s="26" t="str">
        <f t="array" ref="R321">IFERROR(
 _xlfn.XLOOKUP(
  A321,
  tblChecklist[TargetID],
  tblChecklist[PlayerSort],
  ""
 ),
 ""
)</f>
        <v/>
      </c>
      <c r="S321" s="26" t="str">
        <f>IFERROR(__xludf.DUMMYFUNCTION("LET(
 id,A321,
 successorIDs,
  IFERROR(
   UNIQUE(
    FILTER(
     {
      Dependencies!$A$2:$A$1000;
      QuestObjectives!$A$2:$A$1000
     },
     {
      Dependencies!$B$2:$B$1000;
      QuestObjectives!$E$2:$E$1000
     }=id
    )
   ),
   """"
  )"&amp;",
 names,
  MAP(
   successorIDs,
   LAMBDA(s,
    IF(
     s="""",
     """",
     XLOOKUP(
      s,
      $A$2:$A$1000,
      $B$2:$B$1000,
      s
     )
    )
   )
  ),
 IF(
  successorIDs="""",
  """",
  TEXTJOIN("", "",TRUE,names)
 )
)"),"")</f>
        <v/>
      </c>
      <c r="T321" s="26" t="str">
        <f t="array" ref="T321">_xlfn.XLOOKUP(
 A321,
 tblTargets[TargetID],
 tblTargets[CompletionMethod],
 ""
)</f>
        <v>PLAYER</v>
      </c>
      <c r="U321" s="84" t="b">
        <f>COUNTIF(tblCost[TargetID],A321)&gt;0</f>
        <v>0</v>
      </c>
      <c r="V321" s="85" t="str">
        <f t="array" ref="V321">IF(
 U321=FALSE,
 "",
 _xlfn.XLOOKUP(
  A321,
  tblCost[TargetID],
  tblCost[FundingPercent],
  ""
 )
)</f>
        <v/>
      </c>
      <c r="W321" s="26" t="str">
        <f t="array" ref="W321">IF(
 U321=FALSE,
 "",
 _xlfn.XLOOKUP(
  A321,
  tblCost[TargetID],
  tblCost[RemainingRequirements],
  ""
 )
)</f>
        <v/>
      </c>
      <c r="X321" s="45" t="str">
        <f t="array" ref="X321">IF(
 U321=FALSE,
 "N/A",
 _xlfn.XLOOKUP(
  A322,
  tblCost[TargetID],
  tblCost[TargetFunded],
  FALSE
 )
)</f>
        <v>N/A</v>
      </c>
      <c r="Y321" s="26" t="str">
        <f>IFERROR(__xludf.DUMMYFUNCTION("IFERROR(
 TEXTJOIN(
  "", "",
  TRUE,
  FILTER(
   'cost checklist'!$E$2:$E1000&amp;"": ""&amp;'cost checklist'!$G$2:$G1000,
   'cost checklist'!$B$2:$B1000=A321,
   'cost checklist'!$J$2:$J1000=FALSE
  )
 ),
 """"
)"),"")</f>
        <v/>
      </c>
      <c r="Z321" s="26" t="b">
        <f>IFERROR(__xludf.DUMMYFUNCTION("IF(
 AND(
  E321=""QUEST"",
  RIGHT(A321,9)="".accepted"",
  D321=TRUE
 ),
 XLOOKUP(
  REGEXREPLACE(A321,""\.accepted$"","""")&amp;"".finished"",
  $A$2:$A1000,
  $D$2:$D1000,
  TRUE
 )=FALSE,
 FALSE
)"),FALSE)</f>
        <v>0</v>
      </c>
      <c r="AA321" s="26" t="str">
        <f>IFERROR(__xludf.DUMMYFUNCTION("LET(
 id,A321,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2" ht="14.25" customHeight="1">
      <c r="A322" s="26" t="s">
        <v>1241</v>
      </c>
      <c r="B322" s="26" t="str">
        <f t="array" ref="B322">_xlfn.XLOOKUP(
 A322,
 tblTargets[TargetID],
 tblTargets[DisplayName],
 ""
)</f>
        <v>Quest for Knowledge Chapter 3 Accepted</v>
      </c>
      <c r="C322" s="26" t="str">
        <f t="shared" si="1"/>
        <v>BLOCKED</v>
      </c>
      <c r="D322" s="26" t="b">
        <f>IFERROR(__xludf.DUMMYFUNCTION("LET(
 id,A322,
 IF(
  F322=""CHARACTER"",
  LET(
   base,REGEXREPLACE(id,""@\d+$"",""""),
   required,VALUE(REGEXEXTRACT(id,""@(\d+)$"")),
   current,XLOOKUP(
    base,
    tblPlayer[PlayerStateID],
    tblPlayer[Value],
    0
   ),
   current&gt;=required
 "&amp;" ),
  IF(
   T322=""AUTO"",
   L322=0,
   COUNTIFS(
    tblChecklist[TargetID],id,
    tblChecklist[PlayerCompleted],TRUE
   )&gt;0
  )
 )
)"),FALSE)</f>
        <v>0</v>
      </c>
      <c r="E322" s="26" t="str">
        <f t="array" ref="E322">_xlfn.XLOOKUP(
 A322,
 tblTargets[TargetID],
 tblTargets[TargetType],
 ""
)</f>
        <v>QUEST</v>
      </c>
      <c r="F322" s="26" t="str">
        <f t="array" ref="F322">_xlfn.XLOOKUP(
 A322,
 tblTargets[TargetID],
 tblTargets[StateType],
 ""
)</f>
        <v/>
      </c>
      <c r="G322" s="26">
        <f>LET(
 id,A322,
 depCount,COUNTIF(tblDependencies[TargetID],id),
 objCount,COUNTIF(tblQuestObjectives[QuestTargetID],id),
 depCount+objCount
)</f>
        <v>1</v>
      </c>
      <c r="H322" s="26">
        <f t="shared" si="2"/>
        <v>1</v>
      </c>
      <c r="I322" s="26">
        <f>IFERROR(__xludf.DUMMYFUNCTION("LET(
 id,A322,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2" s="26">
        <f t="shared" si="3"/>
        <v>0</v>
      </c>
      <c r="K322" s="26" t="b">
        <f t="shared" si="4"/>
        <v>0</v>
      </c>
      <c r="L322" s="26">
        <f t="shared" si="5"/>
        <v>1</v>
      </c>
      <c r="M322" s="26" t="str">
        <f>IFERROR(__xludf.DUMMYFUNCTION("LET(
 id,A322,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L322=0,
  """",
  IFERROR(INDEX(incomplete,1),"""")"&amp;"
 )
)"),"quest.quest_for_knowledge_chapter_1.finished")</f>
        <v>quest.quest_for_knowledge_chapter_1.finished</v>
      </c>
      <c r="N322" s="26" t="str">
        <f t="array" ref="N322">IF(
 M322="",
 "",
 _xlfn.XLOOKUP(
  M322,
  tblTargets[TargetID],
  tblTargets[DisplayName],
  M322
 )
)</f>
        <v>Quest for Knowledge Chapter 1 Finished</v>
      </c>
      <c r="O322" s="26" t="str">
        <f>IFERROR(__xludf.DUMMYFUNCTION("SWITCH(
 E322,
 ""BUILDING"",XLOOKUP(A322,tblBuildings[BuildingID],tblBuildings[costtext],""""),
 ""TECH"",XLOOKUP(A322,tblTechnologies[TechnologyID],tblTechnologies[costtext],""""),
 ""QUEST"",XLOOKUP(
  REGEXREPLACE(A322,""\.[^.]+$"",""""),
  tblQuests["&amp;"QuestID],
  tblQuests[Costtext],
  """"
 ),
 ""CITADEL"",XLOOKUP(A322,tblCitadel[CitadelID],tblCitadel[costtext],""""),
 ""COLLECTION"",XLOOKUP(A322,tblCollections[CollectionID],tblCollections[costtext],""""),
 ""CRAFTIFACT"",XLOOKUP(A322,tblCraftifacts[C"&amp;"raftifactID],tblCraftifacts[costtext],""""),
 """"
)"),"")</f>
        <v/>
      </c>
      <c r="P322" s="26" t="str">
        <f t="shared" si="6"/>
        <v>BLOCKED</v>
      </c>
      <c r="Q322" s="26" t="str">
        <f t="shared" si="7"/>
        <v>BLOCKED</v>
      </c>
      <c r="R322" s="26" t="str">
        <f t="array" ref="R322">IFERROR(
 _xlfn.XLOOKUP(
  A322,
  tblChecklist[TargetID],
  tblChecklist[PlayerSort],
  ""
 ),
 ""
)</f>
        <v/>
      </c>
      <c r="S322" s="26" t="str">
        <f>IFERROR(__xludf.DUMMYFUNCTION("LET(
 id,A322,
 successorIDs,
  IFERROR(
   UNIQUE(
    FILTER(
     {
      Dependencies!$A$2:$A$1000;
      QuestObjectives!$A$2:$A$1000
     },
     {
      Dependencies!$B$2:$B$1000;
      QuestObjectives!$E$2:$E$1000
     }=id
    )
   ),
   """"
  )"&amp;",
 names,
  MAP(
   successorIDs,
   LAMBDA(s,
    IF(
     s="""",
     """",
     XLOOKUP(
      s,
      $A$2:$A$1000,
      $B$2:$B$1000,
      s
     )
    )
   )
  ),
 IF(
  successorIDs="""",
  """",
  TEXTJOIN("", "",TRUE,names)
 )
)"),"Quest for Knowledge Chapter 3 Finished, Obtain all emerald shards")</f>
        <v>Quest for Knowledge Chapter 3 Finished, Obtain all emerald shards</v>
      </c>
      <c r="T322" s="26" t="str">
        <f t="array" ref="T322">_xlfn.XLOOKUP(
 A322,
 tblTargets[TargetID],
 tblTargets[CompletionMethod],
 ""
)</f>
        <v>PLAYER</v>
      </c>
      <c r="U322" s="84" t="b">
        <f>COUNTIF(tblCost[TargetID],A322)&gt;0</f>
        <v>0</v>
      </c>
      <c r="V322" s="85" t="str">
        <f t="array" ref="V322">IF(
 U322=FALSE,
 "",
 _xlfn.XLOOKUP(
  A322,
  tblCost[TargetID],
  tblCost[FundingPercent],
  ""
 )
)</f>
        <v/>
      </c>
      <c r="W322" s="26" t="str">
        <f t="array" ref="W322">IF(
 U322=FALSE,
 "",
 _xlfn.XLOOKUP(
  A322,
  tblCost[TargetID],
  tblCost[RemainingRequirements],
  ""
 )
)</f>
        <v/>
      </c>
      <c r="X322" s="45" t="str">
        <f t="array" ref="X322">IF(
 U322=FALSE,
 "N/A",
 _xlfn.XLOOKUP(
  A323,
  tblCost[TargetID],
  tblCost[TargetFunded],
  FALSE
 )
)</f>
        <v>N/A</v>
      </c>
      <c r="Y322" s="26" t="str">
        <f>IFERROR(__xludf.DUMMYFUNCTION("IFERROR(
 TEXTJOIN(
  "", "",
  TRUE,
  FILTER(
   'cost checklist'!$E$2:$E1000&amp;"": ""&amp;'cost checklist'!$G$2:$G1000,
   'cost checklist'!$B$2:$B1000=A322,
   'cost checklist'!$J$2:$J1000=FALSE
  )
 ),
 """"
)"),"")</f>
        <v/>
      </c>
      <c r="Z322" s="26" t="b">
        <f>IFERROR(__xludf.DUMMYFUNCTION("IF(
 AND(
  E322=""QUEST"",
  RIGHT(A322,9)="".accepted"",
  D322=TRUE
 ),
 XLOOKUP(
  REGEXREPLACE(A322,""\.accepted$"","""")&amp;"".finished"",
  $A$2:$A1000,
  $D$2:$D1000,
  TRUE
 )=FALSE,
 FALSE
)"),FALSE)</f>
        <v>0</v>
      </c>
      <c r="AA322" s="26" t="str">
        <f>IFERROR(__xludf.DUMMYFUNCTION("LET(
 id,A322,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3" ht="14.25" customHeight="1">
      <c r="A323" s="26" t="s">
        <v>1248</v>
      </c>
      <c r="B323" s="26" t="str">
        <f t="array" ref="B323">_xlfn.XLOOKUP(
 A323,
 tblTargets[TargetID],
 tblTargets[DisplayName],
 ""
)</f>
        <v>Quest for Knowledge Chapter 3 Finished</v>
      </c>
      <c r="C323" s="26" t="str">
        <f t="shared" si="1"/>
        <v>BLOCKED</v>
      </c>
      <c r="D323" s="26" t="b">
        <f>IFERROR(__xludf.DUMMYFUNCTION("LET(
 id,A323,
 IF(
  F323=""CHARACTER"",
  LET(
   base,REGEXREPLACE(id,""@\d+$"",""""),
   required,VALUE(REGEXEXTRACT(id,""@(\d+)$"")),
   current,XLOOKUP(
    base,
    tblPlayer[PlayerStateID],
    tblPlayer[Value],
    0
   ),
   current&gt;=required
 "&amp;" ),
  IF(
   T323=""AUTO"",
   L323=0,
   COUNTIFS(
    tblChecklist[TargetID],id,
    tblChecklist[PlayerCompleted],TRUE
   )&gt;0
  )
 )
)"),FALSE)</f>
        <v>0</v>
      </c>
      <c r="E323" s="26" t="str">
        <f t="array" ref="E323">_xlfn.XLOOKUP(
 A323,
 tblTargets[TargetID],
 tblTargets[TargetType],
 ""
)</f>
        <v>QUEST</v>
      </c>
      <c r="F323" s="26" t="str">
        <f t="array" ref="F323">_xlfn.XLOOKUP(
 A323,
 tblTargets[TargetID],
 tblTargets[StateType],
 ""
)</f>
        <v/>
      </c>
      <c r="G323" s="26">
        <f>LET(
 id,A323,
 depCount,COUNTIF(tblDependencies[TargetID],id),
 objCount,COUNTIF(tblQuestObjectives[QuestTargetID],id),
 depCount+objCount
)</f>
        <v>3</v>
      </c>
      <c r="H323" s="26">
        <f t="shared" si="2"/>
        <v>3</v>
      </c>
      <c r="I323" s="26">
        <f>IFERROR(__xludf.DUMMYFUNCTION("LET(
 id,A323,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3" s="26">
        <f t="shared" si="3"/>
        <v>0</v>
      </c>
      <c r="K323" s="26" t="b">
        <f t="shared" si="4"/>
        <v>0</v>
      </c>
      <c r="L323" s="26">
        <f t="shared" si="5"/>
        <v>3</v>
      </c>
      <c r="M323" s="26" t="str">
        <f>IFERROR(__xludf.DUMMYFUNCTION("LET(
 id,A323,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L323=0,
  """",
  IFERROR(INDEX(incomplete,1),"""")"&amp;"
 )
)"),"quest.quest_for_knowledge_chapter_3.accepted")</f>
        <v>quest.quest_for_knowledge_chapter_3.accepted</v>
      </c>
      <c r="N323" s="26" t="str">
        <f t="array" ref="N323">IF(
 M323="",
 "",
 _xlfn.XLOOKUP(
  M323,
  tblTargets[TargetID],
  tblTargets[DisplayName],
  M323
 )
)</f>
        <v>Quest for Knowledge Chapter 3 Accepted</v>
      </c>
      <c r="O323" s="26" t="str">
        <f>IFERROR(__xludf.DUMMYFUNCTION("SWITCH(
 E323,
 ""BUILDING"",XLOOKUP(A323,tblBuildings[BuildingID],tblBuildings[costtext],""""),
 ""TECH"",XLOOKUP(A323,tblTechnologies[TechnologyID],tblTechnologies[costtext],""""),
 ""QUEST"",XLOOKUP(
  REGEXREPLACE(A323,""\.[^.]+$"",""""),
  tblQuests["&amp;"QuestID],
  tblQuests[Costtext],
  """"
 ),
 ""CITADEL"",XLOOKUP(A323,tblCitadel[CitadelID],tblCitadel[costtext],""""),
 ""COLLECTION"",XLOOKUP(A323,tblCollections[CollectionID],tblCollections[costtext],""""),
 ""CRAFTIFACT"",XLOOKUP(A323,tblCraftifacts[C"&amp;"raftifactID],tblCraftifacts[costtext],""""),
 """"
)"),"")</f>
        <v/>
      </c>
      <c r="P323" s="26" t="str">
        <f t="shared" si="6"/>
        <v>BLOCKED</v>
      </c>
      <c r="Q323" s="26" t="str">
        <f t="shared" si="7"/>
        <v>BLOCKED</v>
      </c>
      <c r="R323" s="26" t="str">
        <f t="array" ref="R323">IFERROR(
 _xlfn.XLOOKUP(
  A323,
  tblChecklist[TargetID],
  tblChecklist[PlayerSort],
  ""
 ),
 ""
)</f>
        <v/>
      </c>
      <c r="S323" s="26" t="str">
        <f>IFERROR(__xludf.DUMMYFUNCTION("LET(
 id,A323,
 successorIDs,
  IFERROR(
   UNIQUE(
    FILTER(
     {
      Dependencies!$A$2:$A$1000;
      QuestObjectives!$A$2:$A$1000
     },
     {
      Dependencies!$B$2:$B$1000;
      QuestObjectives!$E$2:$E$1000
     }=id
    )
   ),
   """"
  )"&amp;",
 names,
  MAP(
   successorIDs,
   LAMBDA(s,
    IF(
     s="""",
     """",
     XLOOKUP(
      s,
      $A$2:$A$1000,
      $B$2:$B$1000,
      s
     )
    )
   )
  ),
 IF(
  successorIDs="""",
  """",
  TEXTJOIN("", "",TRUE,names)
 )
)"),"Map Catacombs")</f>
        <v>Map Catacombs</v>
      </c>
      <c r="T323" s="26" t="str">
        <f t="array" ref="T323">_xlfn.XLOOKUP(
 A323,
 tblTargets[TargetID],
 tblTargets[CompletionMethod],
 ""
)</f>
        <v>PLAYER</v>
      </c>
      <c r="U323" s="84" t="b">
        <f>COUNTIF(tblCost[TargetID],A323)&gt;0</f>
        <v>0</v>
      </c>
      <c r="V323" s="85" t="str">
        <f t="array" ref="V323">IF(
 U323=FALSE,
 "",
 _xlfn.XLOOKUP(
  A323,
  tblCost[TargetID],
  tblCost[FundingPercent],
  ""
 )
)</f>
        <v/>
      </c>
      <c r="W323" s="26" t="str">
        <f t="array" ref="W323">IF(
 U323=FALSE,
 "",
 _xlfn.XLOOKUP(
  A323,
  tblCost[TargetID],
  tblCost[RemainingRequirements],
  ""
 )
)</f>
        <v/>
      </c>
      <c r="X323" s="45" t="str">
        <f t="array" ref="X323">IF(
 U323=FALSE,
 "N/A",
 _xlfn.XLOOKUP(
  A324,
  tblCost[TargetID],
  tblCost[TargetFunded],
  FALSE
 )
)</f>
        <v>N/A</v>
      </c>
      <c r="Y323" s="26" t="str">
        <f>IFERROR(__xludf.DUMMYFUNCTION("IFERROR(
 TEXTJOIN(
  "", "",
  TRUE,
  FILTER(
   'cost checklist'!$E$2:$E1000&amp;"": ""&amp;'cost checklist'!$G$2:$G1000,
   'cost checklist'!$B$2:$B1000=A323,
   'cost checklist'!$J$2:$J1000=FALSE
  )
 ),
 """"
)"),"")</f>
        <v/>
      </c>
      <c r="Z323" s="26" t="b">
        <f>IFERROR(__xludf.DUMMYFUNCTION("IF(
 AND(
  E323=""QUEST"",
  RIGHT(A323,9)="".accepted"",
  D323=TRUE
 ),
 XLOOKUP(
  REGEXREPLACE(A323,""\.accepted$"","""")&amp;"".finished"",
  $A$2:$A1000,
  $D$2:$D1000,
  TRUE
 )=FALSE,
 FALSE
)"),FALSE)</f>
        <v>0</v>
      </c>
      <c r="AA323" s="26" t="str">
        <f>IFERROR(__xludf.DUMMYFUNCTION("LET(
 id,A323,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4" ht="14.25" customHeight="1">
      <c r="A324" s="26" t="s">
        <v>1254</v>
      </c>
      <c r="B324" s="26" t="str">
        <f t="array" ref="B324">_xlfn.XLOOKUP(
 A324,
 tblTargets[TargetID],
 tblTargets[DisplayName],
 ""
)</f>
        <v>Quest for Knowledge Chapter 4 Accepted</v>
      </c>
      <c r="C324" s="26" t="str">
        <f t="shared" si="1"/>
        <v>BLOCKED</v>
      </c>
      <c r="D324" s="26" t="b">
        <f>IFERROR(__xludf.DUMMYFUNCTION("LET(
 id,A324,
 IF(
  F324=""CHARACTER"",
  LET(
   base,REGEXREPLACE(id,""@\d+$"",""""),
   required,VALUE(REGEXEXTRACT(id,""@(\d+)$"")),
   current,XLOOKUP(
    base,
    tblPlayer[PlayerStateID],
    tblPlayer[Value],
    0
   ),
   current&gt;=required
 "&amp;" ),
  IF(
   T324=""AUTO"",
   L324=0,
   COUNTIFS(
    tblChecklist[TargetID],id,
    tblChecklist[PlayerCompleted],TRUE
   )&gt;0
  )
 )
)"),FALSE)</f>
        <v>0</v>
      </c>
      <c r="E324" s="26" t="str">
        <f t="array" ref="E324">_xlfn.XLOOKUP(
 A324,
 tblTargets[TargetID],
 tblTargets[TargetType],
 ""
)</f>
        <v>QUEST</v>
      </c>
      <c r="F324" s="26" t="str">
        <f t="array" ref="F324">_xlfn.XLOOKUP(
 A324,
 tblTargets[TargetID],
 tblTargets[StateType],
 ""
)</f>
        <v/>
      </c>
      <c r="G324" s="26">
        <f>LET(
 id,A324,
 depCount,COUNTIF(tblDependencies[TargetID],id),
 objCount,COUNTIF(tblQuestObjectives[QuestTargetID],id),
 depCount+objCount
)</f>
        <v>1</v>
      </c>
      <c r="H324" s="26">
        <f t="shared" si="2"/>
        <v>1</v>
      </c>
      <c r="I324" s="26">
        <f>IFERROR(__xludf.DUMMYFUNCTION("LET(
 id,A324,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4" s="26">
        <f t="shared" si="3"/>
        <v>0</v>
      </c>
      <c r="K324" s="26" t="b">
        <f t="shared" si="4"/>
        <v>0</v>
      </c>
      <c r="L324" s="26">
        <f t="shared" si="5"/>
        <v>1</v>
      </c>
      <c r="M324" s="26" t="str">
        <f>IFERROR(__xludf.DUMMYFUNCTION("LET(
 id,A324,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L324=0,
  """",
  IFERROR(INDEX(incomplete,1),"""")"&amp;"
 )
)"),"state.obtain_map_catacombs")</f>
        <v>state.obtain_map_catacombs</v>
      </c>
      <c r="N324" s="26" t="str">
        <f t="array" ref="N324">IF(
 M324="",
 "",
 _xlfn.XLOOKUP(
  M324,
  tblTargets[TargetID],
  tblTargets[DisplayName],
  M324
 )
)</f>
        <v>Map Catacombs</v>
      </c>
      <c r="O324" s="26" t="str">
        <f>IFERROR(__xludf.DUMMYFUNCTION("SWITCH(
 E324,
 ""BUILDING"",XLOOKUP(A324,tblBuildings[BuildingID],tblBuildings[costtext],""""),
 ""TECH"",XLOOKUP(A324,tblTechnologies[TechnologyID],tblTechnologies[costtext],""""),
 ""QUEST"",XLOOKUP(
  REGEXREPLACE(A324,""\.[^.]+$"",""""),
  tblQuests["&amp;"QuestID],
  tblQuests[Costtext],
  """"
 ),
 ""CITADEL"",XLOOKUP(A324,tblCitadel[CitadelID],tblCitadel[costtext],""""),
 ""COLLECTION"",XLOOKUP(A324,tblCollections[CollectionID],tblCollections[costtext],""""),
 ""CRAFTIFACT"",XLOOKUP(A324,tblCraftifacts[C"&amp;"raftifactID],tblCraftifacts[costtext],""""),
 """"
)"),"")</f>
        <v/>
      </c>
      <c r="P324" s="26" t="str">
        <f t="shared" si="6"/>
        <v>BLOCKED</v>
      </c>
      <c r="Q324" s="26" t="str">
        <f t="shared" si="7"/>
        <v>BLOCKED</v>
      </c>
      <c r="R324" s="26" t="str">
        <f t="array" ref="R324">IFERROR(
 _xlfn.XLOOKUP(
  A324,
  tblChecklist[TargetID],
  tblChecklist[PlayerSort],
  ""
 ),
 ""
)</f>
        <v/>
      </c>
      <c r="S324" s="26" t="str">
        <f>IFERROR(__xludf.DUMMYFUNCTION("LET(
 id,A324,
 successorIDs,
  IFERROR(
   UNIQUE(
    FILTER(
     {
      Dependencies!$A$2:$A$1000;
      QuestObjectives!$A$2:$A$1000
     },
     {
      Dependencies!$B$2:$B$1000;
      QuestObjectives!$E$2:$E$1000
     }=id
    )
   ),
   """"
  )"&amp;",
 names,
  MAP(
   successorIDs,
   LAMBDA(s,
    IF(
     s="""",
     """",
     XLOOKUP(
      s,
      $A$2:$A$1000,
      $B$2:$B$1000,
      s
     )
    )
   )
  ),
 IF(
  successorIDs="""",
  """",
  TEXTJOIN("", "",TRUE,names)
 )
)"),"Quest for Knowledge Chapter 4 Finished")</f>
        <v>Quest for Knowledge Chapter 4 Finished</v>
      </c>
      <c r="T324" s="26" t="str">
        <f t="array" ref="T324">_xlfn.XLOOKUP(
 A324,
 tblTargets[TargetID],
 tblTargets[CompletionMethod],
 ""
)</f>
        <v>PLAYER</v>
      </c>
      <c r="U324" s="84" t="b">
        <f>COUNTIF(tblCost[TargetID],A324)&gt;0</f>
        <v>0</v>
      </c>
      <c r="V324" s="85" t="str">
        <f t="array" ref="V324">IF(
 U324=FALSE,
 "",
 _xlfn.XLOOKUP(
  A324,
  tblCost[TargetID],
  tblCost[FundingPercent],
  ""
 )
)</f>
        <v/>
      </c>
      <c r="W324" s="26" t="str">
        <f t="array" ref="W324">IF(
 U324=FALSE,
 "",
 _xlfn.XLOOKUP(
  A324,
  tblCost[TargetID],
  tblCost[RemainingRequirements],
  ""
 )
)</f>
        <v/>
      </c>
      <c r="X324" s="45" t="str">
        <f t="array" ref="X324">IF(
 U324=FALSE,
 "N/A",
 _xlfn.XLOOKUP(
  A325,
  tblCost[TargetID],
  tblCost[TargetFunded],
  FALSE
 )
)</f>
        <v>N/A</v>
      </c>
      <c r="Y324" s="26" t="str">
        <f>IFERROR(__xludf.DUMMYFUNCTION("IFERROR(
 TEXTJOIN(
  "", "",
  TRUE,
  FILTER(
   'cost checklist'!$E$2:$E1000&amp;"": ""&amp;'cost checklist'!$G$2:$G1000,
   'cost checklist'!$B$2:$B1000=A324,
   'cost checklist'!$J$2:$J1000=FALSE
  )
 ),
 """"
)"),"")</f>
        <v/>
      </c>
      <c r="Z324" s="26" t="b">
        <f>IFERROR(__xludf.DUMMYFUNCTION("IF(
 AND(
  E324=""QUEST"",
  RIGHT(A324,9)="".accepted"",
  D324=TRUE
 ),
 XLOOKUP(
  REGEXREPLACE(A324,""\.accepted$"","""")&amp;"".finished"",
  $A$2:$A1000,
  $D$2:$D1000,
  TRUE
 )=FALSE,
 FALSE
)"),FALSE)</f>
        <v>0</v>
      </c>
      <c r="AA324" s="26" t="str">
        <f>IFERROR(__xludf.DUMMYFUNCTION("LET(
 id,A324,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5" ht="14.25" customHeight="1">
      <c r="A325" s="26" t="s">
        <v>1256</v>
      </c>
      <c r="B325" s="26" t="str">
        <f t="array" ref="B325">_xlfn.XLOOKUP(
 A325,
 tblTargets[TargetID],
 tblTargets[DisplayName],
 ""
)</f>
        <v>Quest for Knowledge Chapter 4 Finished</v>
      </c>
      <c r="C325" s="26" t="str">
        <f t="shared" si="1"/>
        <v>BLOCKED</v>
      </c>
      <c r="D325" s="26" t="b">
        <f>IFERROR(__xludf.DUMMYFUNCTION("LET(
 id,A325,
 IF(
  F325=""CHARACTER"",
  LET(
   base,REGEXREPLACE(id,""@\d+$"",""""),
   required,VALUE(REGEXEXTRACT(id,""@(\d+)$"")),
   current,XLOOKUP(
    base,
    tblPlayer[PlayerStateID],
    tblPlayer[Value],
    0
   ),
   current&gt;=required
 "&amp;" ),
  IF(
   T325=""AUTO"",
   L325=0,
   COUNTIFS(
    tblChecklist[TargetID],id,
    tblChecklist[PlayerCompleted],TRUE
   )&gt;0
  )
 )
)"),FALSE)</f>
        <v>0</v>
      </c>
      <c r="E325" s="26" t="str">
        <f t="array" ref="E325">_xlfn.XLOOKUP(
 A325,
 tblTargets[TargetID],
 tblTargets[TargetType],
 ""
)</f>
        <v>QUEST</v>
      </c>
      <c r="F325" s="26" t="str">
        <f t="array" ref="F325">_xlfn.XLOOKUP(
 A325,
 tblTargets[TargetID],
 tblTargets[StateType],
 ""
)</f>
        <v/>
      </c>
      <c r="G325" s="26">
        <f>LET(
 id,A325,
 depCount,COUNTIF(tblDependencies[TargetID],id),
 objCount,COUNTIF(tblQuestObjectives[QuestTargetID],id),
 depCount+objCount
)</f>
        <v>2</v>
      </c>
      <c r="H325" s="26">
        <f t="shared" si="2"/>
        <v>2</v>
      </c>
      <c r="I325" s="26">
        <f>IFERROR(__xludf.DUMMYFUNCTION("LET(
 id,A325,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5" s="26">
        <f t="shared" si="3"/>
        <v>0</v>
      </c>
      <c r="K325" s="26" t="b">
        <f t="shared" si="4"/>
        <v>0</v>
      </c>
      <c r="L325" s="26">
        <f t="shared" si="5"/>
        <v>2</v>
      </c>
      <c r="M325" s="26" t="str">
        <f>IFERROR(__xludf.DUMMYFUNCTION("LET(
 id,A325,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L325=0,
  """",
  IFERROR(INDEX(incomplete,1),"""")"&amp;"
 )
)"),"quest.quest_for_knowledge_chapter_4.accepted")</f>
        <v>quest.quest_for_knowledge_chapter_4.accepted</v>
      </c>
      <c r="N325" s="26" t="str">
        <f t="array" ref="N325">IF(
 M325="",
 "",
 _xlfn.XLOOKUP(
  M325,
  tblTargets[TargetID],
  tblTargets[DisplayName],
  M325
 )
)</f>
        <v>Quest for Knowledge Chapter 4 Accepted</v>
      </c>
      <c r="O325" s="26" t="str">
        <f>IFERROR(__xludf.DUMMYFUNCTION("SWITCH(
 E325,
 ""BUILDING"",XLOOKUP(A325,tblBuildings[BuildingID],tblBuildings[costtext],""""),
 ""TECH"",XLOOKUP(A325,tblTechnologies[TechnologyID],tblTechnologies[costtext],""""),
 ""QUEST"",XLOOKUP(
  REGEXREPLACE(A325,""\.[^.]+$"",""""),
  tblQuests["&amp;"QuestID],
  tblQuests[Costtext],
  """"
 ),
 ""CITADEL"",XLOOKUP(A325,tblCitadel[CitadelID],tblCitadel[costtext],""""),
 ""COLLECTION"",XLOOKUP(A325,tblCollections[CollectionID],tblCollections[costtext],""""),
 ""CRAFTIFACT"",XLOOKUP(A325,tblCraftifacts[C"&amp;"raftifactID],tblCraftifacts[costtext],""""),
 """"
)"),"")</f>
        <v/>
      </c>
      <c r="P325" s="26" t="str">
        <f t="shared" si="6"/>
        <v>BLOCKED</v>
      </c>
      <c r="Q325" s="26" t="str">
        <f t="shared" si="7"/>
        <v>BLOCKED</v>
      </c>
      <c r="R325" s="26" t="str">
        <f t="array" ref="R325">IFERROR(
 _xlfn.XLOOKUP(
  A325,
  tblChecklist[TargetID],
  tblChecklist[PlayerSort],
  ""
 ),
 ""
)</f>
        <v/>
      </c>
      <c r="S325" s="26" t="str">
        <f>IFERROR(__xludf.DUMMYFUNCTION("LET(
 id,A325,
 successorIDs,
  IFERROR(
   UNIQUE(
    FILTER(
     {
      Dependencies!$A$2:$A$1000;
      QuestObjectives!$A$2:$A$1000
     },
     {
      Dependencies!$B$2:$B$1000;
      QuestObjectives!$E$2:$E$1000
     }=id
    )
   ),
   """"
  )"&amp;",
 names,
  MAP(
   successorIDs,
   LAMBDA(s,
    IF(
     s="""",
     """",
     XLOOKUP(
      s,
      $A$2:$A$1000,
      $B$2:$B$1000,
      s
     )
    )
   )
  ),
 IF(
  successorIDs="""",
  """",
  TEXTJOIN("", "",TRUE,names)
 )
)"),"")</f>
        <v/>
      </c>
      <c r="T325" s="26" t="str">
        <f t="array" ref="T325">_xlfn.XLOOKUP(
 A325,
 tblTargets[TargetID],
 tblTargets[CompletionMethod],
 ""
)</f>
        <v>PLAYER</v>
      </c>
      <c r="U325" s="84" t="b">
        <f>COUNTIF(tblCost[TargetID],A325)&gt;0</f>
        <v>0</v>
      </c>
      <c r="V325" s="85" t="str">
        <f t="array" ref="V325">IF(
 U325=FALSE,
 "",
 _xlfn.XLOOKUP(
  A325,
  tblCost[TargetID],
  tblCost[FundingPercent],
  ""
 )
)</f>
        <v/>
      </c>
      <c r="W325" s="26" t="str">
        <f t="array" ref="W325">IF(
 U325=FALSE,
 "",
 _xlfn.XLOOKUP(
  A325,
  tblCost[TargetID],
  tblCost[RemainingRequirements],
  ""
 )
)</f>
        <v/>
      </c>
      <c r="X325" s="45" t="str">
        <f t="array" ref="X325">IF(
 U325=FALSE,
 "N/A",
 _xlfn.XLOOKUP(
  A326,
  tblCost[TargetID],
  tblCost[TargetFunded],
  FALSE
 )
)</f>
        <v>N/A</v>
      </c>
      <c r="Y325" s="26" t="str">
        <f>IFERROR(__xludf.DUMMYFUNCTION("IFERROR(
 TEXTJOIN(
  "", "",
  TRUE,
  FILTER(
   'cost checklist'!$E$2:$E1000&amp;"": ""&amp;'cost checklist'!$G$2:$G1000,
   'cost checklist'!$B$2:$B1000=A325,
   'cost checklist'!$J$2:$J1000=FALSE
  )
 ),
 """"
)"),"")</f>
        <v/>
      </c>
      <c r="Z325" s="26" t="b">
        <f>IFERROR(__xludf.DUMMYFUNCTION("IF(
 AND(
  E325=""QUEST"",
  RIGHT(A325,9)="".accepted"",
  D325=TRUE
 ),
 XLOOKUP(
  REGEXREPLACE(A325,""\.accepted$"","""")&amp;"".finished"",
  $A$2:$A1000,
  $D$2:$D1000,
  TRUE
 )=FALSE,
 FALSE
)"),FALSE)</f>
        <v>0</v>
      </c>
      <c r="AA325" s="26" t="str">
        <f>IFERROR(__xludf.DUMMYFUNCTION("LET(
 id,A325,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6" ht="14.25" customHeight="1">
      <c r="A326" s="26" t="s">
        <v>1258</v>
      </c>
      <c r="B326" s="26" t="str">
        <f t="array" ref="B326">_xlfn.XLOOKUP(
 A326,
 tblTargets[TargetID],
 tblTargets[DisplayName],
 ""
)</f>
        <v>Quest for Knowledge Chapter 5 Accepted</v>
      </c>
      <c r="C326" s="26" t="str">
        <f t="shared" si="1"/>
        <v>BLOCKED</v>
      </c>
      <c r="D326" s="26" t="b">
        <f>IFERROR(__xludf.DUMMYFUNCTION("LET(
 id,A326,
 IF(
  F326=""CHARACTER"",
  LET(
   base,REGEXREPLACE(id,""@\d+$"",""""),
   required,VALUE(REGEXEXTRACT(id,""@(\d+)$"")),
   current,XLOOKUP(
    base,
    tblPlayer[PlayerStateID],
    tblPlayer[Value],
    0
   ),
   current&gt;=required
 "&amp;" ),
  IF(
   T326=""AUTO"",
   L326=0,
   COUNTIFS(
    tblChecklist[TargetID],id,
    tblChecklist[PlayerCompleted],TRUE
   )&gt;0
  )
 )
)"),FALSE)</f>
        <v>0</v>
      </c>
      <c r="E326" s="26" t="str">
        <f t="array" ref="E326">_xlfn.XLOOKUP(
 A326,
 tblTargets[TargetID],
 tblTargets[TargetType],
 ""
)</f>
        <v>QUEST</v>
      </c>
      <c r="F326" s="26" t="str">
        <f t="array" ref="F326">_xlfn.XLOOKUP(
 A326,
 tblTargets[TargetID],
 tblTargets[StateType],
 ""
)</f>
        <v/>
      </c>
      <c r="G326" s="26">
        <f>LET(
 id,A326,
 depCount,COUNTIF(tblDependencies[TargetID],id),
 objCount,COUNTIF(tblQuestObjectives[QuestTargetID],id),
 depCount+objCount
)</f>
        <v>1</v>
      </c>
      <c r="H326" s="26">
        <f t="shared" si="2"/>
        <v>1</v>
      </c>
      <c r="I326" s="26">
        <f>IFERROR(__xludf.DUMMYFUNCTION("LET(
 id,A326,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6" s="26">
        <f t="shared" si="3"/>
        <v>0</v>
      </c>
      <c r="K326" s="26" t="b">
        <f t="shared" si="4"/>
        <v>0</v>
      </c>
      <c r="L326" s="26">
        <f t="shared" si="5"/>
        <v>1</v>
      </c>
      <c r="M326" s="26" t="str">
        <f>IFERROR(__xludf.DUMMYFUNCTION("LET(
 id,A326,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L326=0,
  """",
  IFERROR(INDEX(incomplete,1),"""")"&amp;"
 )
)"),"building.airship@1")</f>
        <v>building.airship@1</v>
      </c>
      <c r="N326" s="26" t="str">
        <f t="array" ref="N326">IF(
 M326="",
 "",
 _xlfn.XLOOKUP(
  M326,
  tblTargets[TargetID],
  tblTargets[DisplayName],
  M326
 )
)</f>
        <v>Airship Lv 1</v>
      </c>
      <c r="O326" s="26" t="str">
        <f>IFERROR(__xludf.DUMMYFUNCTION("SWITCH(
 E326,
 ""BUILDING"",XLOOKUP(A326,tblBuildings[BuildingID],tblBuildings[costtext],""""),
 ""TECH"",XLOOKUP(A326,tblTechnologies[TechnologyID],tblTechnologies[costtext],""""),
 ""QUEST"",XLOOKUP(
  REGEXREPLACE(A326,""\.[^.]+$"",""""),
  tblQuests["&amp;"QuestID],
  tblQuests[Costtext],
  """"
 ),
 ""CITADEL"",XLOOKUP(A326,tblCitadel[CitadelID],tblCitadel[costtext],""""),
 ""COLLECTION"",XLOOKUP(A326,tblCollections[CollectionID],tblCollections[costtext],""""),
 ""CRAFTIFACT"",XLOOKUP(A326,tblCraftifacts[C"&amp;"raftifactID],tblCraftifacts[costtext],""""),
 """"
)"),"")</f>
        <v/>
      </c>
      <c r="P326" s="26" t="str">
        <f t="shared" si="6"/>
        <v>BLOCKED</v>
      </c>
      <c r="Q326" s="26" t="str">
        <f t="shared" si="7"/>
        <v>BLOCKED</v>
      </c>
      <c r="R326" s="26" t="str">
        <f t="array" ref="R326">IFERROR(
 _xlfn.XLOOKUP(
  A326,
  tblChecklist[TargetID],
  tblChecklist[PlayerSort],
  ""
 ),
 ""
)</f>
        <v/>
      </c>
      <c r="S326" s="26" t="str">
        <f>IFERROR(__xludf.DUMMYFUNCTION("LET(
 id,A326,
 successorIDs,
  IFERROR(
   UNIQUE(
    FILTER(
     {
      Dependencies!$A$2:$A$1000;
      QuestObjectives!$A$2:$A$1000
     },
     {
      Dependencies!$B$2:$B$1000;
      QuestObjectives!$E$2:$E$1000
     }=id
    )
   ),
   """"
  )"&amp;",
 names,
  MAP(
   successorIDs,
   LAMBDA(s,
    IF(
     s="""",
     """",
     XLOOKUP(
      s,
      $A$2:$A$1000,
      $B$2:$B$1000,
      s
     )
    )
   )
  ),
 IF(
  successorIDs="""",
  """",
  TEXTJOIN("", "",TRUE,names)
 )
)"),"Quest for Knowledge Chapter 5 Finished, Craft mechanism, Craft steamobile")</f>
        <v>Quest for Knowledge Chapter 5 Finished, Craft mechanism, Craft steamobile</v>
      </c>
      <c r="T326" s="26" t="str">
        <f t="array" ref="T326">_xlfn.XLOOKUP(
 A326,
 tblTargets[TargetID],
 tblTargets[CompletionMethod],
 ""
)</f>
        <v>PLAYER</v>
      </c>
      <c r="U326" s="84" t="b">
        <f>COUNTIF(tblCost[TargetID],A326)&gt;0</f>
        <v>0</v>
      </c>
      <c r="V326" s="85" t="str">
        <f t="array" ref="V326">IF(
 U326=FALSE,
 "",
 _xlfn.XLOOKUP(
  A326,
  tblCost[TargetID],
  tblCost[FundingPercent],
  ""
 )
)</f>
        <v/>
      </c>
      <c r="W326" s="26" t="str">
        <f t="array" ref="W326">IF(
 U326=FALSE,
 "",
 _xlfn.XLOOKUP(
  A326,
  tblCost[TargetID],
  tblCost[RemainingRequirements],
  ""
 )
)</f>
        <v/>
      </c>
      <c r="X326" s="45" t="str">
        <f t="array" ref="X326">IF(
 U326=FALSE,
 "N/A",
 _xlfn.XLOOKUP(
  A327,
  tblCost[TargetID],
  tblCost[TargetFunded],
  FALSE
 )
)</f>
        <v>N/A</v>
      </c>
      <c r="Y326" s="26" t="str">
        <f>IFERROR(__xludf.DUMMYFUNCTION("IFERROR(
 TEXTJOIN(
  "", "",
  TRUE,
  FILTER(
   'cost checklist'!$E$2:$E1000&amp;"": ""&amp;'cost checklist'!$G$2:$G1000,
   'cost checklist'!$B$2:$B1000=A326,
   'cost checklist'!$J$2:$J1000=FALSE
  )
 ),
 """"
)"),"")</f>
        <v/>
      </c>
      <c r="Z326" s="26" t="b">
        <f>IFERROR(__xludf.DUMMYFUNCTION("IF(
 AND(
  E326=""QUEST"",
  RIGHT(A326,9)="".accepted"",
  D326=TRUE
 ),
 XLOOKUP(
  REGEXREPLACE(A326,""\.accepted$"","""")&amp;"".finished"",
  $A$2:$A1000,
  $D$2:$D1000,
  TRUE
 )=FALSE,
 FALSE
)"),FALSE)</f>
        <v>0</v>
      </c>
      <c r="AA326" s="26" t="str">
        <f>IFERROR(__xludf.DUMMYFUNCTION("LET(
 id,A326,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7" ht="14.25" customHeight="1">
      <c r="A327" s="26" t="s">
        <v>1260</v>
      </c>
      <c r="B327" s="26" t="str">
        <f t="array" ref="B327">_xlfn.XLOOKUP(
 A327,
 tblTargets[TargetID],
 tblTargets[DisplayName],
 ""
)</f>
        <v>Quest for Knowledge Chapter 5 Finished</v>
      </c>
      <c r="C327" s="26" t="str">
        <f t="shared" si="1"/>
        <v>BLOCKED</v>
      </c>
      <c r="D327" s="26" t="b">
        <f>IFERROR(__xludf.DUMMYFUNCTION("LET(
 id,A327,
 IF(
  F327=""CHARACTER"",
  LET(
   base,REGEXREPLACE(id,""@\d+$"",""""),
   required,VALUE(REGEXEXTRACT(id,""@(\d+)$"")),
   current,XLOOKUP(
    base,
    tblPlayer[PlayerStateID],
    tblPlayer[Value],
    0
   ),
   current&gt;=required
 "&amp;" ),
  IF(
   T327=""AUTO"",
   L327=0,
   COUNTIFS(
    tblChecklist[TargetID],id,
    tblChecklist[PlayerCompleted],TRUE
   )&gt;0
  )
 )
)"),FALSE)</f>
        <v>0</v>
      </c>
      <c r="E327" s="26" t="str">
        <f t="array" ref="E327">_xlfn.XLOOKUP(
 A327,
 tblTargets[TargetID],
 tblTargets[TargetType],
 ""
)</f>
        <v>QUEST</v>
      </c>
      <c r="F327" s="26" t="str">
        <f t="array" ref="F327">_xlfn.XLOOKUP(
 A327,
 tblTargets[TargetID],
 tblTargets[StateType],
 ""
)</f>
        <v/>
      </c>
      <c r="G327" s="26">
        <f>LET(
 id,A327,
 depCount,COUNTIF(tblDependencies[TargetID],id),
 objCount,COUNTIF(tblQuestObjectives[QuestTargetID],id),
 depCount+objCount
)</f>
        <v>4</v>
      </c>
      <c r="H327" s="26">
        <f t="shared" si="2"/>
        <v>4</v>
      </c>
      <c r="I327" s="26">
        <f>IFERROR(__xludf.DUMMYFUNCTION("LET(
 id,A327,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7" s="26">
        <f t="shared" si="3"/>
        <v>0</v>
      </c>
      <c r="K327" s="26" t="b">
        <f t="shared" si="4"/>
        <v>0</v>
      </c>
      <c r="L327" s="26">
        <f t="shared" si="5"/>
        <v>4</v>
      </c>
      <c r="M327" s="26" t="str">
        <f>IFERROR(__xludf.DUMMYFUNCTION("LET(
 id,A327,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L327=0,
  """",
  IFERROR(INDEX(incomplete,1),"""")"&amp;"
 )
)"),"quest.quest_for_knowledge_chapter_5.accepted")</f>
        <v>quest.quest_for_knowledge_chapter_5.accepted</v>
      </c>
      <c r="N327" s="26" t="str">
        <f t="array" ref="N327">IF(
 M327="",
 "",
 _xlfn.XLOOKUP(
  M327,
  tblTargets[TargetID],
  tblTargets[DisplayName],
  M327
 )
)</f>
        <v>Quest for Knowledge Chapter 5 Accepted</v>
      </c>
      <c r="O327" s="26" t="str">
        <f>IFERROR(__xludf.DUMMYFUNCTION("SWITCH(
 E327,
 ""BUILDING"",XLOOKUP(A327,tblBuildings[BuildingID],tblBuildings[costtext],""""),
 ""TECH"",XLOOKUP(A327,tblTechnologies[TechnologyID],tblTechnologies[costtext],""""),
 ""QUEST"",XLOOKUP(
  REGEXREPLACE(A327,""\.[^.]+$"",""""),
  tblQuests["&amp;"QuestID],
  tblQuests[Costtext],
  """"
 ),
 ""CITADEL"",XLOOKUP(A327,tblCitadel[CitadelID],tblCitadel[costtext],""""),
 ""COLLECTION"",XLOOKUP(A327,tblCollections[CollectionID],tblCollections[costtext],""""),
 ""CRAFTIFACT"",XLOOKUP(A327,tblCraftifacts[C"&amp;"raftifactID],tblCraftifacts[costtext],""""),
 """"
)"),"")</f>
        <v/>
      </c>
      <c r="P327" s="26" t="str">
        <f t="shared" si="6"/>
        <v>BLOCKED</v>
      </c>
      <c r="Q327" s="26" t="str">
        <f t="shared" si="7"/>
        <v>BLOCKED</v>
      </c>
      <c r="R327" s="26" t="str">
        <f t="array" ref="R327">IFERROR(
 _xlfn.XLOOKUP(
  A327,
  tblChecklist[TargetID],
  tblChecklist[PlayerSort],
  ""
 ),
 ""
)</f>
        <v/>
      </c>
      <c r="S327" s="26" t="str">
        <f>IFERROR(__xludf.DUMMYFUNCTION("LET(
 id,A327,
 successorIDs,
  IFERROR(
   UNIQUE(
    FILTER(
     {
      Dependencies!$A$2:$A$1000;
      QuestObjectives!$A$2:$A$1000
     },
     {
      Dependencies!$B$2:$B$1000;
      QuestObjectives!$E$2:$E$1000
     }=id
    )
   ),
   """"
  )"&amp;",
 names,
  MAP(
   successorIDs,
   LAMBDA(s,
    IF(
     s="""",
     """",
     XLOOKUP(
      s,
      $A$2:$A$1000,
      $B$2:$B$1000,
      s
     )
    )
   )
  ),
 IF(
  successorIDs="""",
  """",
  TEXTJOIN("", "",TRUE,names)
 )
)"),"")</f>
        <v/>
      </c>
      <c r="T327" s="26" t="str">
        <f t="array" ref="T327">_xlfn.XLOOKUP(
 A327,
 tblTargets[TargetID],
 tblTargets[CompletionMethod],
 ""
)</f>
        <v>PLAYER</v>
      </c>
      <c r="U327" s="84" t="b">
        <f>COUNTIF(tblCost[TargetID],A327)&gt;0</f>
        <v>0</v>
      </c>
      <c r="V327" s="85" t="str">
        <f t="array" ref="V327">IF(
 U327=FALSE,
 "",
 _xlfn.XLOOKUP(
  A327,
  tblCost[TargetID],
  tblCost[FundingPercent],
  ""
 )
)</f>
        <v/>
      </c>
      <c r="W327" s="26" t="str">
        <f t="array" ref="W327">IF(
 U327=FALSE,
 "",
 _xlfn.XLOOKUP(
  A327,
  tblCost[TargetID],
  tblCost[RemainingRequirements],
  ""
 )
)</f>
        <v/>
      </c>
      <c r="X327" s="45" t="str">
        <f t="array" ref="X327">IF(
 U327=FALSE,
 "N/A",
 _xlfn.XLOOKUP(
  A328,
  tblCost[TargetID],
  tblCost[TargetFunded],
  FALSE
 )
)</f>
        <v>N/A</v>
      </c>
      <c r="Y327" s="26" t="str">
        <f>IFERROR(__xludf.DUMMYFUNCTION("IFERROR(
 TEXTJOIN(
  "", "",
  TRUE,
  FILTER(
   'cost checklist'!$E$2:$E1000&amp;"": ""&amp;'cost checklist'!$G$2:$G1000,
   'cost checklist'!$B$2:$B1000=A327,
   'cost checklist'!$J$2:$J1000=FALSE
  )
 ),
 """"
)"),"")</f>
        <v/>
      </c>
      <c r="Z327" s="26" t="b">
        <f>IFERROR(__xludf.DUMMYFUNCTION("IF(
 AND(
  E327=""QUEST"",
  RIGHT(A327,9)="".accepted"",
  D327=TRUE
 ),
 XLOOKUP(
  REGEXREPLACE(A327,""\.accepted$"","""")&amp;"".finished"",
  $A$2:$A1000,
  $D$2:$D1000,
  TRUE
 )=FALSE,
 FALSE
)"),FALSE)</f>
        <v>0</v>
      </c>
      <c r="AA327" s="26" t="str">
        <f>IFERROR(__xludf.DUMMYFUNCTION("LET(
 id,A327,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8" ht="14.25" customHeight="1">
      <c r="A328" s="26" t="s">
        <v>1262</v>
      </c>
      <c r="B328" s="26" t="str">
        <f t="array" ref="B328">_xlfn.XLOOKUP(
 A328,
 tblTargets[TargetID],
 tblTargets[DisplayName],
 ""
)</f>
        <v>Shogun's Katana Chapter 1 Accepted</v>
      </c>
      <c r="C328" s="26" t="str">
        <f t="shared" si="1"/>
        <v>BLOCKED</v>
      </c>
      <c r="D328" s="26" t="b">
        <f>IFERROR(__xludf.DUMMYFUNCTION("LET(
 id,A328,
 IF(
  F328=""CHARACTER"",
  LET(
   base,REGEXREPLACE(id,""@\d+$"",""""),
   required,VALUE(REGEXEXTRACT(id,""@(\d+)$"")),
   current,XLOOKUP(
    base,
    tblPlayer[PlayerStateID],
    tblPlayer[Value],
    0
   ),
   current&gt;=required
 "&amp;" ),
  IF(
   T328=""AUTO"",
   L328=0,
   COUNTIFS(
    tblChecklist[TargetID],id,
    tblChecklist[PlayerCompleted],TRUE
   )&gt;0
  )
 )
)"),FALSE)</f>
        <v>0</v>
      </c>
      <c r="E328" s="26" t="str">
        <f t="array" ref="E328">_xlfn.XLOOKUP(
 A328,
 tblTargets[TargetID],
 tblTargets[TargetType],
 ""
)</f>
        <v>QUEST</v>
      </c>
      <c r="F328" s="26" t="str">
        <f t="array" ref="F328">_xlfn.XLOOKUP(
 A328,
 tblTargets[TargetID],
 tblTargets[StateType],
 ""
)</f>
        <v/>
      </c>
      <c r="G328" s="26">
        <f>LET(
 id,A328,
 depCount,COUNTIF(tblDependencies[TargetID],id),
 objCount,COUNTIF(tblQuestObjectives[QuestTargetID],id),
 depCount+objCount
)</f>
        <v>1</v>
      </c>
      <c r="H328" s="26">
        <f t="shared" si="2"/>
        <v>1</v>
      </c>
      <c r="I328" s="26">
        <f>IFERROR(__xludf.DUMMYFUNCTION("LET(
 id,A328,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8" s="26">
        <f t="shared" si="3"/>
        <v>0</v>
      </c>
      <c r="K328" s="26" t="b">
        <f t="shared" si="4"/>
        <v>0</v>
      </c>
      <c r="L328" s="26">
        <f t="shared" si="5"/>
        <v>1</v>
      </c>
      <c r="M328" s="26" t="str">
        <f>IFERROR(__xludf.DUMMYFUNCTION("LET(
 id,A328,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L328=0,
  """",
  IFERROR(INDEX(incomplete,1),"""")"&amp;"
 )
)"),"state.obtain_any_artifact")</f>
        <v>state.obtain_any_artifact</v>
      </c>
      <c r="N328" s="26" t="str">
        <f t="array" ref="N328">IF(
 M328="",
 "",
 _xlfn.XLOOKUP(
  M328,
  tblTargets[TargetID],
  tblTargets[DisplayName],
  M328
 )
)</f>
        <v>Obtain Any Artifact</v>
      </c>
      <c r="O328" s="26" t="str">
        <f>IFERROR(__xludf.DUMMYFUNCTION("SWITCH(
 E328,
 ""BUILDING"",XLOOKUP(A328,tblBuildings[BuildingID],tblBuildings[costtext],""""),
 ""TECH"",XLOOKUP(A328,tblTechnologies[TechnologyID],tblTechnologies[costtext],""""),
 ""QUEST"",XLOOKUP(
  REGEXREPLACE(A328,""\.[^.]+$"",""""),
  tblQuests["&amp;"QuestID],
  tblQuests[Costtext],
  """"
 ),
 ""CITADEL"",XLOOKUP(A328,tblCitadel[CitadelID],tblCitadel[costtext],""""),
 ""COLLECTION"",XLOOKUP(A328,tblCollections[CollectionID],tblCollections[costtext],""""),
 ""CRAFTIFACT"",XLOOKUP(A328,tblCraftifacts[C"&amp;"raftifactID],tblCraftifacts[costtext],""""),
 """"
)"),"map2:1")</f>
        <v>map2:1</v>
      </c>
      <c r="P328" s="26" t="str">
        <f t="shared" si="6"/>
        <v>BLOCKED</v>
      </c>
      <c r="Q328" s="26" t="str">
        <f t="shared" si="7"/>
        <v>BLOCKED</v>
      </c>
      <c r="R328" s="26" t="str">
        <f t="array" ref="R328">IFERROR(
 _xlfn.XLOOKUP(
  A328,
  tblChecklist[TargetID],
  tblChecklist[PlayerSort],
  ""
 ),
 ""
)</f>
        <v/>
      </c>
      <c r="S328" s="26" t="str">
        <f>IFERROR(__xludf.DUMMYFUNCTION("LET(
 id,A328,
 successorIDs,
  IFERROR(
   UNIQUE(
    FILTER(
     {
      Dependencies!$A$2:$A$1000;
      QuestObjectives!$A$2:$A$1000
     },
     {
      Dependencies!$B$2:$B$1000;
      QuestObjectives!$E$2:$E$1000
     }=id
    )
   ),
   """"
  )"&amp;",
 names,
  MAP(
   successorIDs,
   LAMBDA(s,
    IF(
     s="""",
     """",
     XLOOKUP(
      s,
      $A$2:$A$1000,
      $B$2:$B$1000,
      s
     )
    )
   )
  ),
 IF(
  successorIDs="""",
  """",
  TEXTJOIN("", "",TRUE,names)
 )
)"),"Shogun's Katana Chapter 1 Finished, Obtain level 2 artifact, Craft level 2 map")</f>
        <v>Shogun's Katana Chapter 1 Finished, Obtain level 2 artifact, Craft level 2 map</v>
      </c>
      <c r="T328" s="26" t="str">
        <f t="array" ref="T328">_xlfn.XLOOKUP(
 A328,
 tblTargets[TargetID],
 tblTargets[CompletionMethod],
 ""
)</f>
        <v>PLAYER</v>
      </c>
      <c r="U328" s="84" t="b">
        <f>COUNTIF(tblCost[TargetID],A328)&gt;0</f>
        <v>0</v>
      </c>
      <c r="V328" s="85" t="str">
        <f t="array" ref="V328">IF(
 U328=FALSE,
 "",
 _xlfn.XLOOKUP(
  A328,
  tblCost[TargetID],
  tblCost[FundingPercent],
  ""
 )
)</f>
        <v/>
      </c>
      <c r="W328" s="26" t="str">
        <f t="array" ref="W328">IF(
 U328=FALSE,
 "",
 _xlfn.XLOOKUP(
  A328,
  tblCost[TargetID],
  tblCost[RemainingRequirements],
  ""
 )
)</f>
        <v/>
      </c>
      <c r="X328" s="45" t="str">
        <f t="array" ref="X328">IF(
 U328=FALSE,
 "N/A",
 _xlfn.XLOOKUP(
  A329,
  tblCost[TargetID],
  tblCost[TargetFunded],
  FALSE
 )
)</f>
        <v>N/A</v>
      </c>
      <c r="Y328" s="26" t="str">
        <f>IFERROR(__xludf.DUMMYFUNCTION("IFERROR(
 TEXTJOIN(
  "", "",
  TRUE,
  FILTER(
   'cost checklist'!$E$2:$E1000&amp;"": ""&amp;'cost checklist'!$G$2:$G1000,
   'cost checklist'!$B$2:$B1000=A328,
   'cost checklist'!$J$2:$J1000=FALSE
  )
 ),
 """"
)"),"")</f>
        <v/>
      </c>
      <c r="Z328" s="26" t="b">
        <f>IFERROR(__xludf.DUMMYFUNCTION("IF(
 AND(
  E328=""QUEST"",
  RIGHT(A328,9)="".accepted"",
  D328=TRUE
 ),
 XLOOKUP(
  REGEXREPLACE(A328,""\.accepted$"","""")&amp;"".finished"",
  $A$2:$A1000,
  $D$2:$D1000,
  TRUE
 )=FALSE,
 FALSE
)"),FALSE)</f>
        <v>0</v>
      </c>
      <c r="AA328" s="26" t="str">
        <f>IFERROR(__xludf.DUMMYFUNCTION("LET(
 id,A328,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29" ht="14.25" customHeight="1">
      <c r="A329" s="26" t="s">
        <v>1264</v>
      </c>
      <c r="B329" s="26" t="str">
        <f t="array" ref="B329">_xlfn.XLOOKUP(
 A329,
 tblTargets[TargetID],
 tblTargets[DisplayName],
 ""
)</f>
        <v>Shogun's Katana Chapter 1 Finished</v>
      </c>
      <c r="C329" s="26" t="str">
        <f t="shared" si="1"/>
        <v>BLOCKED</v>
      </c>
      <c r="D329" s="26" t="b">
        <f>IFERROR(__xludf.DUMMYFUNCTION("LET(
 id,A329,
 IF(
  F329=""CHARACTER"",
  LET(
   base,REGEXREPLACE(id,""@\d+$"",""""),
   required,VALUE(REGEXEXTRACT(id,""@(\d+)$"")),
   current,XLOOKUP(
    base,
    tblPlayer[PlayerStateID],
    tblPlayer[Value],
    0
   ),
   current&gt;=required
 "&amp;" ),
  IF(
   T329=""AUTO"",
   L329=0,
   COUNTIFS(
    tblChecklist[TargetID],id,
    tblChecklist[PlayerCompleted],TRUE
   )&gt;0
  )
 )
)"),FALSE)</f>
        <v>0</v>
      </c>
      <c r="E329" s="26" t="str">
        <f t="array" ref="E329">_xlfn.XLOOKUP(
 A329,
 tblTargets[TargetID],
 tblTargets[TargetType],
 ""
)</f>
        <v>QUEST</v>
      </c>
      <c r="F329" s="26" t="str">
        <f t="array" ref="F329">_xlfn.XLOOKUP(
 A329,
 tblTargets[TargetID],
 tblTargets[StateType],
 ""
)</f>
        <v/>
      </c>
      <c r="G329" s="26">
        <f>LET(
 id,A329,
 depCount,COUNTIF(tblDependencies[TargetID],id),
 objCount,COUNTIF(tblQuestObjectives[QuestTargetID],id),
 depCount+objCount
)</f>
        <v>5</v>
      </c>
      <c r="H329" s="26">
        <f t="shared" si="2"/>
        <v>5</v>
      </c>
      <c r="I329" s="26">
        <f>IFERROR(__xludf.DUMMYFUNCTION("LET(
 id,A329,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29" s="26">
        <f t="shared" si="3"/>
        <v>0</v>
      </c>
      <c r="K329" s="26" t="b">
        <f t="shared" si="4"/>
        <v>0</v>
      </c>
      <c r="L329" s="26">
        <f t="shared" si="5"/>
        <v>5</v>
      </c>
      <c r="M329" s="26" t="str">
        <f>IFERROR(__xludf.DUMMYFUNCTION("LET(
 id,A329,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L329=0,
  """",
  IFERROR(INDEX(incomplete,1),"""")"&amp;"
 )
)"),"quest.shoguns_katana_chapter_1.accepted")</f>
        <v>quest.shoguns_katana_chapter_1.accepted</v>
      </c>
      <c r="N329" s="26" t="str">
        <f t="array" ref="N329">IF(
 M329="",
 "",
 _xlfn.XLOOKUP(
  M329,
  tblTargets[TargetID],
  tblTargets[DisplayName],
  M329
 )
)</f>
        <v>Shogun's Katana Chapter 1 Accepted</v>
      </c>
      <c r="O329" s="26" t="str">
        <f>IFERROR(__xludf.DUMMYFUNCTION("SWITCH(
 E329,
 ""BUILDING"",XLOOKUP(A329,tblBuildings[BuildingID],tblBuildings[costtext],""""),
 ""TECH"",XLOOKUP(A329,tblTechnologies[TechnologyID],tblTechnologies[costtext],""""),
 ""QUEST"",XLOOKUP(
  REGEXREPLACE(A329,""\.[^.]+$"",""""),
  tblQuests["&amp;"QuestID],
  tblQuests[Costtext],
  """"
 ),
 ""CITADEL"",XLOOKUP(A329,tblCitadel[CitadelID],tblCitadel[costtext],""""),
 ""COLLECTION"",XLOOKUP(A329,tblCollections[CollectionID],tblCollections[costtext],""""),
 ""CRAFTIFACT"",XLOOKUP(A329,tblCraftifacts[C"&amp;"raftifactID],tblCraftifacts[costtext],""""),
 """"
)"),"map2:1")</f>
        <v>map2:1</v>
      </c>
      <c r="P329" s="26" t="str">
        <f t="shared" si="6"/>
        <v>BLOCKED</v>
      </c>
      <c r="Q329" s="26" t="str">
        <f t="shared" si="7"/>
        <v>BLOCKED</v>
      </c>
      <c r="R329" s="26" t="str">
        <f t="array" ref="R329">IFERROR(
 _xlfn.XLOOKUP(
  A329,
  tblChecklist[TargetID],
  tblChecklist[PlayerSort],
  ""
 ),
 ""
)</f>
        <v/>
      </c>
      <c r="S329" s="26" t="str">
        <f>IFERROR(__xludf.DUMMYFUNCTION("LET(
 id,A329,
 successorIDs,
  IFERROR(
   UNIQUE(
    FILTER(
     {
      Dependencies!$A$2:$A$1000;
      QuestObjectives!$A$2:$A$1000
     },
     {
      Dependencies!$B$2:$B$1000;
      QuestObjectives!$E$2:$E$1000
     }=id
    )
   ),
   """"
  )"&amp;",
 names,
  MAP(
   successorIDs,
   LAMBDA(s,
    IF(
     s="""",
     """",
     XLOOKUP(
      s,
      $A$2:$A$1000,
      $B$2:$B$1000,
      s
     )
    )
   )
  ),
 IF(
  successorIDs="""",
  """",
  TEXTJOIN("", "",TRUE,names)
 )
)"),"Shogun's Katana Chapter 2 Accepted")</f>
        <v>Shogun's Katana Chapter 2 Accepted</v>
      </c>
      <c r="T329" s="26" t="str">
        <f t="array" ref="T329">_xlfn.XLOOKUP(
 A329,
 tblTargets[TargetID],
 tblTargets[CompletionMethod],
 ""
)</f>
        <v>PLAYER</v>
      </c>
      <c r="U329" s="84" t="b">
        <f>COUNTIF(tblCost[TargetID],A329)&gt;0</f>
        <v>1</v>
      </c>
      <c r="V329" s="85">
        <f t="array" ref="V329">IF(
 U329=FALSE,
 "",
 _xlfn.XLOOKUP(
  A329,
  tblCost[TargetID],
  tblCost[FundingPercent],
  ""
 )
)</f>
        <v>0</v>
      </c>
      <c r="W329" s="26">
        <f t="array" ref="W329">IF(
 U329=FALSE,
 "",
 _xlfn.XLOOKUP(
  A329,
  tblCost[TargetID],
  tblCost[RemainingRequirements],
  ""
 )
)</f>
        <v>1</v>
      </c>
      <c r="X329" s="45" t="b">
        <f t="array" ref="X329">IF(
 U329=FALSE,
 "N/A",
 _xlfn.XLOOKUP(
  A330,
  tblCost[TargetID],
  tblCost[TargetFunded],
  FALSE
 )
)</f>
        <v>0</v>
      </c>
      <c r="Y329" s="26" t="str">
        <f>IFERROR(__xludf.DUMMYFUNCTION("IFERROR(
 TEXTJOIN(
  "", "",
  TRUE,
  FILTER(
   'cost checklist'!$E$2:$E1000&amp;"": ""&amp;'cost checklist'!$G$2:$G1000,
   'cost checklist'!$B$2:$B1000=A329,
   'cost checklist'!$J$2:$J1000=FALSE
  )
 ),
 """"
)"),"map2: 1")</f>
        <v>map2: 1</v>
      </c>
      <c r="Z329" s="26" t="b">
        <f>IFERROR(__xludf.DUMMYFUNCTION("IF(
 AND(
  E329=""QUEST"",
  RIGHT(A329,9)="".accepted"",
  D329=TRUE
 ),
 XLOOKUP(
  REGEXREPLACE(A329,""\.accepted$"","""")&amp;"".finished"",
  $A$2:$A1000,
  $D$2:$D1000,
  TRUE
 )=FALSE,
 FALSE
)"),FALSE)</f>
        <v>0</v>
      </c>
      <c r="AA329" s="26" t="str">
        <f>IFERROR(__xludf.DUMMYFUNCTION("LET(
 id,A329,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)"),"Shogun's Katana Chapter 2")</f>
        <v>Shogun's Katana Chapter 2</v>
      </c>
    </row>
    <row r="330" ht="14.25" customHeight="1">
      <c r="A330" s="26" t="s">
        <v>1267</v>
      </c>
      <c r="B330" s="26" t="str">
        <f t="array" ref="B330">_xlfn.XLOOKUP(
 A330,
 tblTargets[TargetID],
 tblTargets[DisplayName],
 ""
)</f>
        <v>Shogun's Katana Chapter 2 Accepted</v>
      </c>
      <c r="C330" s="26" t="str">
        <f t="shared" si="1"/>
        <v>BLOCKED</v>
      </c>
      <c r="D330" s="26" t="b">
        <f>IFERROR(__xludf.DUMMYFUNCTION("LET(
 id,A330,
 IF(
  F330=""CHARACTER"",
  LET(
   base,REGEXREPLACE(id,""@\d+$"",""""),
   required,VALUE(REGEXEXTRACT(id,""@(\d+)$"")),
   current,XLOOKUP(
    base,
    tblPlayer[PlayerStateID],
    tblPlayer[Value],
    0
   ),
   current&gt;=required
 "&amp;" ),
  IF(
   T330=""AUTO"",
   L330=0,
   COUNTIFS(
    tblChecklist[TargetID],id,
    tblChecklist[PlayerCompleted],TRUE
   )&gt;0
  )
 )
)"),FALSE)</f>
        <v>0</v>
      </c>
      <c r="E330" s="26" t="str">
        <f t="array" ref="E330">_xlfn.XLOOKUP(
 A330,
 tblTargets[TargetID],
 tblTargets[TargetType],
 ""
)</f>
        <v>QUEST</v>
      </c>
      <c r="F330" s="26" t="str">
        <f t="array" ref="F330">_xlfn.XLOOKUP(
 A330,
 tblTargets[TargetID],
 tblTargets[StateType],
 ""
)</f>
        <v/>
      </c>
      <c r="G330" s="26">
        <f>LET(
 id,A330,
 depCount,COUNTIF(tblDependencies[TargetID],id),
 objCount,COUNTIF(tblQuestObjectives[QuestTargetID],id),
 depCount+objCount
)</f>
        <v>1</v>
      </c>
      <c r="H330" s="26">
        <f t="shared" si="2"/>
        <v>1</v>
      </c>
      <c r="I330" s="26">
        <f>IFERROR(__xludf.DUMMYFUNCTION("LET(
 id,A330,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0" s="26">
        <f t="shared" si="3"/>
        <v>0</v>
      </c>
      <c r="K330" s="26" t="b">
        <f t="shared" si="4"/>
        <v>0</v>
      </c>
      <c r="L330" s="26">
        <f t="shared" si="5"/>
        <v>1</v>
      </c>
      <c r="M330" s="26" t="str">
        <f>IFERROR(__xludf.DUMMYFUNCTION("LET(
 id,A330,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L330=0,
  """",
  IFERROR(INDEX(incomplete,1),"""")"&amp;"
 )
)"),"quest.shoguns_katana_chapter_1.finished")</f>
        <v>quest.shoguns_katana_chapter_1.finished</v>
      </c>
      <c r="N330" s="26" t="str">
        <f t="array" ref="N330">IF(
 M330="",
 "",
 _xlfn.XLOOKUP(
  M330,
  tblTargets[TargetID],
  tblTargets[DisplayName],
  M330
 )
)</f>
        <v>Shogun's Katana Chapter 1 Finished</v>
      </c>
      <c r="O330" s="26" t="str">
        <f>IFERROR(__xludf.DUMMYFUNCTION("SWITCH(
 E330,
 ""BUILDING"",XLOOKUP(A330,tblBuildings[BuildingID],tblBuildings[costtext],""""),
 ""TECH"",XLOOKUP(A330,tblTechnologies[TechnologyID],tblTechnologies[costtext],""""),
 ""QUEST"",XLOOKUP(
  REGEXREPLACE(A330,""\.[^.]+$"",""""),
  tblQuests["&amp;"QuestID],
  tblQuests[Costtext],
  """"
 ),
 ""CITADEL"",XLOOKUP(A330,tblCitadel[CitadelID],tblCitadel[costtext],""""),
 ""COLLECTION"",XLOOKUP(A330,tblCollections[CollectionID],tblCollections[costtext],""""),
 ""CRAFTIFACT"",XLOOKUP(A330,tblCraftifacts[C"&amp;"raftifactID],tblCraftifacts[costtext],""""),
 """"
)"),"map3:1")</f>
        <v>map3:1</v>
      </c>
      <c r="P330" s="26" t="str">
        <f t="shared" si="6"/>
        <v>BLOCKED</v>
      </c>
      <c r="Q330" s="26" t="str">
        <f t="shared" si="7"/>
        <v>BLOCKED</v>
      </c>
      <c r="R330" s="26" t="str">
        <f t="array" ref="R330">IFERROR(
 _xlfn.XLOOKUP(
  A330,
  tblChecklist[TargetID],
  tblChecklist[PlayerSort],
  ""
 ),
 ""
)</f>
        <v/>
      </c>
      <c r="S330" s="26" t="str">
        <f>IFERROR(__xludf.DUMMYFUNCTION("LET(
 id,A330,
 successorIDs,
  IFERROR(
   UNIQUE(
    FILTER(
     {
      Dependencies!$A$2:$A$1000;
      QuestObjectives!$A$2:$A$1000
     },
     {
      Dependencies!$B$2:$B$1000;
      QuestObjectives!$E$2:$E$1000
     }=id
    )
   ),
   """"
  )"&amp;",
 names,
  MAP(
   successorIDs,
   LAMBDA(s,
    IF(
     s="""",
     """",
     XLOOKUP(
      s,
      $A$2:$A$1000,
      $B$2:$B$1000,
      s
     )
    )
   )
  ),
 IF(
  successorIDs="""",
  """",
  TEXTJOIN("", "",TRUE,names)
 )
)"),"Shogun's Katana Chapter 2 Finished, Obtain level 3 artifact")</f>
        <v>Shogun's Katana Chapter 2 Finished, Obtain level 3 artifact</v>
      </c>
      <c r="T330" s="26" t="str">
        <f t="array" ref="T330">_xlfn.XLOOKUP(
 A330,
 tblTargets[TargetID],
 tblTargets[CompletionMethod],
 ""
)</f>
        <v>PLAYER</v>
      </c>
      <c r="U330" s="84" t="b">
        <f>COUNTIF(tblCost[TargetID],A330)&gt;0</f>
        <v>0</v>
      </c>
      <c r="V330" s="85" t="str">
        <f t="array" ref="V330">IF(
 U330=FALSE,
 "",
 _xlfn.XLOOKUP(
  A330,
  tblCost[TargetID],
  tblCost[FundingPercent],
  ""
 )
)</f>
        <v/>
      </c>
      <c r="W330" s="26" t="str">
        <f t="array" ref="W330">IF(
 U330=FALSE,
 "",
 _xlfn.XLOOKUP(
  A330,
  tblCost[TargetID],
  tblCost[RemainingRequirements],
  ""
 )
)</f>
        <v/>
      </c>
      <c r="X330" s="45" t="str">
        <f t="array" ref="X330">IF(
 U330=FALSE,
 "N/A",
 _xlfn.XLOOKUP(
  A331,
  tblCost[TargetID],
  tblCost[TargetFunded],
  FALSE
 )
)</f>
        <v>N/A</v>
      </c>
      <c r="Y330" s="26" t="str">
        <f>IFERROR(__xludf.DUMMYFUNCTION("IFERROR(
 TEXTJOIN(
  "", "",
  TRUE,
  FILTER(
   'cost checklist'!$E$2:$E1000&amp;"": ""&amp;'cost checklist'!$G$2:$G1000,
   'cost checklist'!$B$2:$B1000=A330,
   'cost checklist'!$J$2:$J1000=FALSE
  )
 ),
 """"
)"),"")</f>
        <v/>
      </c>
      <c r="Z330" s="26" t="b">
        <f>IFERROR(__xludf.DUMMYFUNCTION("IF(
 AND(
  E330=""QUEST"",
  RIGHT(A330,9)="".accepted"",
  D330=TRUE
 ),
 XLOOKUP(
  REGEXREPLACE(A330,""\.accepted$"","""")&amp;"".finished"",
  $A$2:$A1000,
  $D$2:$D1000,
  TRUE
 )=FALSE,
 FALSE
)"),FALSE)</f>
        <v>0</v>
      </c>
      <c r="AA330" s="26" t="str">
        <f>IFERROR(__xludf.DUMMYFUNCTION("LET(
 id,A330,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31" ht="14.25" customHeight="1">
      <c r="A331" s="26" t="s">
        <v>1269</v>
      </c>
      <c r="B331" s="26" t="str">
        <f t="array" ref="B331">_xlfn.XLOOKUP(
 A331,
 tblTargets[TargetID],
 tblTargets[DisplayName],
 ""
)</f>
        <v>Shogun's Katana Chapter 2 Finished</v>
      </c>
      <c r="C331" s="26" t="str">
        <f t="shared" si="1"/>
        <v>BLOCKED</v>
      </c>
      <c r="D331" s="26" t="b">
        <f>IFERROR(__xludf.DUMMYFUNCTION("LET(
 id,A331,
 IF(
  F331=""CHARACTER"",
  LET(
   base,REGEXREPLACE(id,""@\d+$"",""""),
   required,VALUE(REGEXEXTRACT(id,""@(\d+)$"")),
   current,XLOOKUP(
    base,
    tblPlayer[PlayerStateID],
    tblPlayer[Value],
    0
   ),
   current&gt;=required
 "&amp;" ),
  IF(
   T331=""AUTO"",
   L331=0,
   COUNTIFS(
    tblChecklist[TargetID],id,
    tblChecklist[PlayerCompleted],TRUE
   )&gt;0
  )
 )
)"),FALSE)</f>
        <v>0</v>
      </c>
      <c r="E331" s="26" t="str">
        <f t="array" ref="E331">_xlfn.XLOOKUP(
 A331,
 tblTargets[TargetID],
 tblTargets[TargetType],
 ""
)</f>
        <v>QUEST</v>
      </c>
      <c r="F331" s="26" t="str">
        <f t="array" ref="F331">_xlfn.XLOOKUP(
 A331,
 tblTargets[TargetID],
 tblTargets[StateType],
 ""
)</f>
        <v/>
      </c>
      <c r="G331" s="26">
        <f>LET(
 id,A331,
 depCount,COUNTIF(tblDependencies[TargetID],id),
 objCount,COUNTIF(tblQuestObjectives[QuestTargetID],id),
 depCount+objCount
)</f>
        <v>6</v>
      </c>
      <c r="H331" s="26">
        <f t="shared" si="2"/>
        <v>6</v>
      </c>
      <c r="I331" s="26">
        <f>IFERROR(__xludf.DUMMYFUNCTION("LET(
 id,A331,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1" s="26">
        <f t="shared" si="3"/>
        <v>0</v>
      </c>
      <c r="K331" s="26" t="b">
        <f t="shared" si="4"/>
        <v>0</v>
      </c>
      <c r="L331" s="26">
        <f t="shared" si="5"/>
        <v>6</v>
      </c>
      <c r="M331" s="26" t="str">
        <f>IFERROR(__xludf.DUMMYFUNCTION("LET(
 id,A331,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L331=0,
  """",
  IFERROR(INDEX(incomplete,1),"""")"&amp;"
 )
)"),"quest.shoguns_katana_chapter_2.accepted")</f>
        <v>quest.shoguns_katana_chapter_2.accepted</v>
      </c>
      <c r="N331" s="26" t="str">
        <f t="array" ref="N331">IF(
 M331="",
 "",
 _xlfn.XLOOKUP(
  M331,
  tblTargets[TargetID],
  tblTargets[DisplayName],
  M331
 )
)</f>
        <v>Shogun's Katana Chapter 2 Accepted</v>
      </c>
      <c r="O331" s="26" t="str">
        <f>IFERROR(__xludf.DUMMYFUNCTION("SWITCH(
 E331,
 ""BUILDING"",XLOOKUP(A331,tblBuildings[BuildingID],tblBuildings[costtext],""""),
 ""TECH"",XLOOKUP(A331,tblTechnologies[TechnologyID],tblTechnologies[costtext],""""),
 ""QUEST"",XLOOKUP(
  REGEXREPLACE(A331,""\.[^.]+$"",""""),
  tblQuests["&amp;"QuestID],
  tblQuests[Costtext],
  """"
 ),
 ""CITADEL"",XLOOKUP(A331,tblCitadel[CitadelID],tblCitadel[costtext],""""),
 ""COLLECTION"",XLOOKUP(A331,tblCollections[CollectionID],tblCollections[costtext],""""),
 ""CRAFTIFACT"",XLOOKUP(A331,tblCraftifacts[C"&amp;"raftifactID],tblCraftifacts[costtext],""""),
 """"
)"),"map3:1")</f>
        <v>map3:1</v>
      </c>
      <c r="P331" s="26" t="str">
        <f t="shared" si="6"/>
        <v>BLOCKED</v>
      </c>
      <c r="Q331" s="26" t="str">
        <f t="shared" si="7"/>
        <v>BLOCKED</v>
      </c>
      <c r="R331" s="26" t="str">
        <f t="array" ref="R331">IFERROR(
 _xlfn.XLOOKUP(
  A331,
  tblChecklist[TargetID],
  tblChecklist[PlayerSort],
  ""
 ),
 ""
)</f>
        <v/>
      </c>
      <c r="S331" s="26" t="str">
        <f>IFERROR(__xludf.DUMMYFUNCTION("LET(
 id,A331,
 successorIDs,
  IFERROR(
   UNIQUE(
    FILTER(
     {
      Dependencies!$A$2:$A$1000;
      QuestObjectives!$A$2:$A$1000
     },
     {
      Dependencies!$B$2:$B$1000;
      QuestObjectives!$E$2:$E$1000
     }=id
    )
   ),
   """"
  )"&amp;",
 names,
  MAP(
   successorIDs,
   LAMBDA(s,
    IF(
     s="""",
     """",
     XLOOKUP(
      s,
      $A$2:$A$1000,
      $B$2:$B$1000,
      s
     )
    )
   )
  ),
 IF(
  successorIDs="""",
  """",
  TEXTJOIN("", "",TRUE,names)
 )
)"),"Shogun's Katana Chapter 3 Accepted")</f>
        <v>Shogun's Katana Chapter 3 Accepted</v>
      </c>
      <c r="T331" s="26" t="str">
        <f t="array" ref="T331">_xlfn.XLOOKUP(
 A331,
 tblTargets[TargetID],
 tblTargets[CompletionMethod],
 ""
)</f>
        <v>PLAYER</v>
      </c>
      <c r="U331" s="84" t="b">
        <f>COUNTIF(tblCost[TargetID],A331)&gt;0</f>
        <v>1</v>
      </c>
      <c r="V331" s="85">
        <f t="array" ref="V331">IF(
 U331=FALSE,
 "",
 _xlfn.XLOOKUP(
  A331,
  tblCost[TargetID],
  tblCost[FundingPercent],
  ""
 )
)</f>
        <v>0</v>
      </c>
      <c r="W331" s="26">
        <f t="array" ref="W331">IF(
 U331=FALSE,
 "",
 _xlfn.XLOOKUP(
  A331,
  tblCost[TargetID],
  tblCost[RemainingRequirements],
  ""
 )
)</f>
        <v>1</v>
      </c>
      <c r="X331" s="45" t="b">
        <f t="array" ref="X331">IF(
 U331=FALSE,
 "N/A",
 _xlfn.XLOOKUP(
  A332,
  tblCost[TargetID],
  tblCost[TargetFunded],
  FALSE
 )
)</f>
        <v>0</v>
      </c>
      <c r="Y331" s="26" t="str">
        <f>IFERROR(__xludf.DUMMYFUNCTION("IFERROR(
 TEXTJOIN(
  "", "",
  TRUE,
  FILTER(
   'cost checklist'!$E$2:$E1000&amp;"": ""&amp;'cost checklist'!$G$2:$G1000,
   'cost checklist'!$B$2:$B1000=A331,
   'cost checklist'!$J$2:$J1000=FALSE
  )
 ),
 """"
)"),"map3: 1")</f>
        <v>map3: 1</v>
      </c>
      <c r="Z331" s="26" t="b">
        <f>IFERROR(__xludf.DUMMYFUNCTION("IF(
 AND(
  E331=""QUEST"",
  RIGHT(A331,9)="".accepted"",
  D331=TRUE
 ),
 XLOOKUP(
  REGEXREPLACE(A331,""\.accepted$"","""")&amp;"".finished"",
  $A$2:$A1000,
  $D$2:$D1000,
  TRUE
 )=FALSE,
 FALSE
)"),FALSE)</f>
        <v>0</v>
      </c>
      <c r="AA331" s="26" t="str">
        <f>IFERROR(__xludf.DUMMYFUNCTION("LET(
 id,A331,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)"),"Shogun's Katana Chapter 3")</f>
        <v>Shogun's Katana Chapter 3</v>
      </c>
    </row>
    <row r="332" ht="14.25" customHeight="1">
      <c r="A332" s="26" t="s">
        <v>1271</v>
      </c>
      <c r="B332" s="26" t="str">
        <f t="array" ref="B332">_xlfn.XLOOKUP(
 A332,
 tblTargets[TargetID],
 tblTargets[DisplayName],
 ""
)</f>
        <v>Shogun's Katana Chapter 3 Accepted</v>
      </c>
      <c r="C332" s="26" t="str">
        <f t="shared" si="1"/>
        <v>BLOCKED</v>
      </c>
      <c r="D332" s="26" t="b">
        <f>IFERROR(__xludf.DUMMYFUNCTION("LET(
 id,A332,
 IF(
  F332=""CHARACTER"",
  LET(
   base,REGEXREPLACE(id,""@\d+$"",""""),
   required,VALUE(REGEXEXTRACT(id,""@(\d+)$"")),
   current,XLOOKUP(
    base,
    tblPlayer[PlayerStateID],
    tblPlayer[Value],
    0
   ),
   current&gt;=required
 "&amp;" ),
  IF(
   T332=""AUTO"",
   L332=0,
   COUNTIFS(
    tblChecklist[TargetID],id,
    tblChecklist[PlayerCompleted],TRUE
   )&gt;0
  )
 )
)"),FALSE)</f>
        <v>0</v>
      </c>
      <c r="E332" s="26" t="str">
        <f t="array" ref="E332">_xlfn.XLOOKUP(
 A332,
 tblTargets[TargetID],
 tblTargets[TargetType],
 ""
)</f>
        <v>QUEST</v>
      </c>
      <c r="F332" s="26" t="str">
        <f t="array" ref="F332">_xlfn.XLOOKUP(
 A332,
 tblTargets[TargetID],
 tblTargets[StateType],
 ""
)</f>
        <v/>
      </c>
      <c r="G332" s="26">
        <f>LET(
 id,A332,
 depCount,COUNTIF(tblDependencies[TargetID],id),
 objCount,COUNTIF(tblQuestObjectives[QuestTargetID],id),
 depCount+objCount
)</f>
        <v>1</v>
      </c>
      <c r="H332" s="26">
        <f t="shared" si="2"/>
        <v>1</v>
      </c>
      <c r="I332" s="26">
        <f>IFERROR(__xludf.DUMMYFUNCTION("LET(
 id,A332,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2" s="26">
        <f t="shared" si="3"/>
        <v>0</v>
      </c>
      <c r="K332" s="26" t="b">
        <f t="shared" si="4"/>
        <v>0</v>
      </c>
      <c r="L332" s="26">
        <f t="shared" si="5"/>
        <v>1</v>
      </c>
      <c r="M332" s="26" t="str">
        <f>IFERROR(__xludf.DUMMYFUNCTION("LET(
 id,A332,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L332=0,
  """",
  IFERROR(INDEX(incomplete,1),"""")"&amp;"
 )
)"),"quest.shoguns_katana_chapter_2.finished")</f>
        <v>quest.shoguns_katana_chapter_2.finished</v>
      </c>
      <c r="N332" s="26" t="str">
        <f t="array" ref="N332">IF(
 M332="",
 "",
 _xlfn.XLOOKUP(
  M332,
  tblTargets[TargetID],
  tblTargets[DisplayName],
  M332
 )
)</f>
        <v>Shogun's Katana Chapter 2 Finished</v>
      </c>
      <c r="O332" s="26" t="str">
        <f>IFERROR(__xludf.DUMMYFUNCTION("SWITCH(
 E332,
 ""BUILDING"",XLOOKUP(A332,tblBuildings[BuildingID],tblBuildings[costtext],""""),
 ""TECH"",XLOOKUP(A332,tblTechnologies[TechnologyID],tblTechnologies[costtext],""""),
 ""QUEST"",XLOOKUP(
  REGEXREPLACE(A332,""\.[^.]+$"",""""),
  tblQuests["&amp;"QuestID],
  tblQuests[Costtext],
  """"
 ),
 ""CITADEL"",XLOOKUP(A332,tblCitadel[CitadelID],tblCitadel[costtext],""""),
 ""COLLECTION"",XLOOKUP(A332,tblCollections[CollectionID],tblCollections[costtext],""""),
 ""CRAFTIFACT"",XLOOKUP(A332,tblCraftifacts[C"&amp;"raftifactID],tblCraftifacts[costtext],""""),
 """"
)"),"mapsmug:1")</f>
        <v>mapsmug:1</v>
      </c>
      <c r="P332" s="26" t="str">
        <f t="shared" si="6"/>
        <v>BLOCKED</v>
      </c>
      <c r="Q332" s="26" t="str">
        <f t="shared" si="7"/>
        <v>BLOCKED</v>
      </c>
      <c r="R332" s="26" t="str">
        <f t="array" ref="R332">IFERROR(
 _xlfn.XLOOKUP(
  A332,
  tblChecklist[TargetID],
  tblChecklist[PlayerSort],
  ""
 ),
 ""
)</f>
        <v/>
      </c>
      <c r="S332" s="26" t="str">
        <f>IFERROR(__xludf.DUMMYFUNCTION("LET(
 id,A332,
 successorIDs,
  IFERROR(
   UNIQUE(
    FILTER(
     {
      Dependencies!$A$2:$A$1000;
      QuestObjectives!$A$2:$A$1000
     },
     {
      Dependencies!$B$2:$B$1000;
      QuestObjectives!$E$2:$E$1000
     }=id
    )
   ),
   """"
  )"&amp;",
 names,
  MAP(
   successorIDs,
   LAMBDA(s,
    IF(
     s="""",
     """",
     XLOOKUP(
      s,
      $A$2:$A$1000,
      $B$2:$B$1000,
      s
     )
    )
   )
  ),
 IF(
  successorIDs="""",
  """",
  TEXTJOIN("", "",TRUE,names)
 )
)"),"Shogun's Katana Chapter 3 Finished, Purchase Smuggler's map for 100 coffee beans")</f>
        <v>Shogun's Katana Chapter 3 Finished, Purchase Smuggler's map for 100 coffee beans</v>
      </c>
      <c r="T332" s="26" t="str">
        <f t="array" ref="T332">_xlfn.XLOOKUP(
 A332,
 tblTargets[TargetID],
 tblTargets[CompletionMethod],
 ""
)</f>
        <v>PLAYER</v>
      </c>
      <c r="U332" s="84" t="b">
        <f>COUNTIF(tblCost[TargetID],A332)&gt;0</f>
        <v>0</v>
      </c>
      <c r="V332" s="85" t="str">
        <f t="array" ref="V332">IF(
 U332=FALSE,
 "",
 _xlfn.XLOOKUP(
  A332,
  tblCost[TargetID],
  tblCost[FundingPercent],
  ""
 )
)</f>
        <v/>
      </c>
      <c r="W332" s="26" t="str">
        <f t="array" ref="W332">IF(
 U332=FALSE,
 "",
 _xlfn.XLOOKUP(
  A332,
  tblCost[TargetID],
  tblCost[RemainingRequirements],
  ""
 )
)</f>
        <v/>
      </c>
      <c r="X332" s="45" t="str">
        <f t="array" ref="X332">IF(
 U332=FALSE,
 "N/A",
 _xlfn.XLOOKUP(
  A333,
  tblCost[TargetID],
  tblCost[TargetFunded],
  FALSE
 )
)</f>
        <v>N/A</v>
      </c>
      <c r="Y332" s="26" t="str">
        <f>IFERROR(__xludf.DUMMYFUNCTION("IFERROR(
 TEXTJOIN(
  "", "",
  TRUE,
  FILTER(
   'cost checklist'!$E$2:$E1000&amp;"": ""&amp;'cost checklist'!$G$2:$G1000,
   'cost checklist'!$B$2:$B1000=A332,
   'cost checklist'!$J$2:$J1000=FALSE
  )
 ),
 """"
)"),"")</f>
        <v/>
      </c>
      <c r="Z332" s="26" t="b">
        <f>IFERROR(__xludf.DUMMYFUNCTION("IF(
 AND(
  E332=""QUEST"",
  RIGHT(A332,9)="".accepted"",
  D332=TRUE
 ),
 XLOOKUP(
  REGEXREPLACE(A332,""\.accepted$"","""")&amp;"".finished"",
  $A$2:$A1000,
  $D$2:$D1000,
  TRUE
 )=FALSE,
 FALSE
)"),FALSE)</f>
        <v>0</v>
      </c>
      <c r="AA332" s="26" t="str">
        <f>IFERROR(__xludf.DUMMYFUNCTION("LET(
 id,A332,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33" ht="14.25" customHeight="1">
      <c r="A333" s="26" t="s">
        <v>1273</v>
      </c>
      <c r="B333" s="26" t="str">
        <f t="array" ref="B333">_xlfn.XLOOKUP(
 A333,
 tblTargets[TargetID],
 tblTargets[DisplayName],
 ""
)</f>
        <v>Shogun's Katana Chapter 3 Finished</v>
      </c>
      <c r="C333" s="26" t="str">
        <f t="shared" si="1"/>
        <v>BLOCKED</v>
      </c>
      <c r="D333" s="26" t="b">
        <f>IFERROR(__xludf.DUMMYFUNCTION("LET(
 id,A333,
 IF(
  F333=""CHARACTER"",
  LET(
   base,REGEXREPLACE(id,""@\d+$"",""""),
   required,VALUE(REGEXEXTRACT(id,""@(\d+)$"")),
   current,XLOOKUP(
    base,
    tblPlayer[PlayerStateID],
    tblPlayer[Value],
    0
   ),
   current&gt;=required
 "&amp;" ),
  IF(
   T333=""AUTO"",
   L333=0,
   COUNTIFS(
    tblChecklist[TargetID],id,
    tblChecklist[PlayerCompleted],TRUE
   )&gt;0
  )
 )
)"),FALSE)</f>
        <v>0</v>
      </c>
      <c r="E333" s="26" t="str">
        <f t="array" ref="E333">_xlfn.XLOOKUP(
 A333,
 tblTargets[TargetID],
 tblTargets[TargetType],
 ""
)</f>
        <v>QUEST</v>
      </c>
      <c r="F333" s="26" t="str">
        <f t="array" ref="F333">_xlfn.XLOOKUP(
 A333,
 tblTargets[TargetID],
 tblTargets[StateType],
 ""
)</f>
        <v/>
      </c>
      <c r="G333" s="26">
        <f>LET(
 id,A333,
 depCount,COUNTIF(tblDependencies[TargetID],id),
 objCount,COUNTIF(tblQuestObjectives[QuestTargetID],id),
 depCount+objCount
)</f>
        <v>6</v>
      </c>
      <c r="H333" s="26">
        <f t="shared" si="2"/>
        <v>6</v>
      </c>
      <c r="I333" s="26">
        <f>IFERROR(__xludf.DUMMYFUNCTION("LET(
 id,A333,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3" s="26">
        <f t="shared" si="3"/>
        <v>0</v>
      </c>
      <c r="K333" s="26" t="b">
        <f t="shared" si="4"/>
        <v>0</v>
      </c>
      <c r="L333" s="26">
        <f t="shared" si="5"/>
        <v>6</v>
      </c>
      <c r="M333" s="26" t="str">
        <f>IFERROR(__xludf.DUMMYFUNCTION("LET(
 id,A333,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L333=0,
  """",
  IFERROR(INDEX(incomplete,1),"""")"&amp;"
 )
)"),"quest.shoguns_katana_chapter_3.accepted")</f>
        <v>quest.shoguns_katana_chapter_3.accepted</v>
      </c>
      <c r="N333" s="26" t="str">
        <f t="array" ref="N333">IF(
 M333="",
 "",
 _xlfn.XLOOKUP(
  M333,
  tblTargets[TargetID],
  tblTargets[DisplayName],
  M333
 )
)</f>
        <v>Shogun's Katana Chapter 3 Accepted</v>
      </c>
      <c r="O333" s="26" t="str">
        <f>IFERROR(__xludf.DUMMYFUNCTION("SWITCH(
 E333,
 ""BUILDING"",XLOOKUP(A333,tblBuildings[BuildingID],tblBuildings[costtext],""""),
 ""TECH"",XLOOKUP(A333,tblTechnologies[TechnologyID],tblTechnologies[costtext],""""),
 ""QUEST"",XLOOKUP(
  REGEXREPLACE(A333,""\.[^.]+$"",""""),
  tblQuests["&amp;"QuestID],
  tblQuests[Costtext],
  """"
 ),
 ""CITADEL"",XLOOKUP(A333,tblCitadel[CitadelID],tblCitadel[costtext],""""),
 ""COLLECTION"",XLOOKUP(A333,tblCollections[CollectionID],tblCollections[costtext],""""),
 ""CRAFTIFACT"",XLOOKUP(A333,tblCraftifacts[C"&amp;"raftifactID],tblCraftifacts[costtext],""""),
 """"
)"),"mapsmug:1")</f>
        <v>mapsmug:1</v>
      </c>
      <c r="P333" s="26" t="str">
        <f t="shared" si="6"/>
        <v>BLOCKED</v>
      </c>
      <c r="Q333" s="26" t="str">
        <f t="shared" si="7"/>
        <v>BLOCKED</v>
      </c>
      <c r="R333" s="26" t="str">
        <f t="array" ref="R333">IFERROR(
 _xlfn.XLOOKUP(
  A333,
  tblChecklist[TargetID],
  tblChecklist[PlayerSort],
  ""
 ),
 ""
)</f>
        <v/>
      </c>
      <c r="S333" s="26" t="str">
        <f>IFERROR(__xludf.DUMMYFUNCTION("LET(
 id,A333,
 successorIDs,
  IFERROR(
   UNIQUE(
    FILTER(
     {
      Dependencies!$A$2:$A$1000;
      QuestObjectives!$A$2:$A$1000
     },
     {
      Dependencies!$B$2:$B$1000;
      QuestObjectives!$E$2:$E$1000
     }=id
    )
   ),
   """"
  )"&amp;",
 names,
  MAP(
   successorIDs,
   LAMBDA(s,
    IF(
     s="""",
     """",
     XLOOKUP(
      s,
      $A$2:$A$1000,
      $B$2:$B$1000,
      s
     )
    )
   )
  ),
 IF(
  successorIDs="""",
  """",
  TEXTJOIN("", "",TRUE,names)
 )
)"),"Shogun's Katana Chapter 4 Accepted, Shogun's Katana Chapter 5 Accepted")</f>
        <v>Shogun's Katana Chapter 4 Accepted, Shogun's Katana Chapter 5 Accepted</v>
      </c>
      <c r="T333" s="26" t="str">
        <f t="array" ref="T333">_xlfn.XLOOKUP(
 A333,
 tblTargets[TargetID],
 tblTargets[CompletionMethod],
 ""
)</f>
        <v>PLAYER</v>
      </c>
      <c r="U333" s="84" t="b">
        <f>COUNTIF(tblCost[TargetID],A333)&gt;0</f>
        <v>1</v>
      </c>
      <c r="V333" s="85">
        <f t="array" ref="V333">IF(
 U333=FALSE,
 "",
 _xlfn.XLOOKUP(
  A333,
  tblCost[TargetID],
  tblCost[FundingPercent],
  ""
 )
)</f>
        <v>0</v>
      </c>
      <c r="W333" s="26">
        <f t="array" ref="W333">IF(
 U333=FALSE,
 "",
 _xlfn.XLOOKUP(
  A333,
  tblCost[TargetID],
  tblCost[RemainingRequirements],
  ""
 )
)</f>
        <v>1</v>
      </c>
      <c r="X333" s="45" t="b">
        <f t="array" ref="X333">IF(
 U333=FALSE,
 "N/A",
 _xlfn.XLOOKUP(
  A334,
  tblCost[TargetID],
  tblCost[TargetFunded],
  FALSE
 )
)</f>
        <v>0</v>
      </c>
      <c r="Y333" s="26" t="str">
        <f>IFERROR(__xludf.DUMMYFUNCTION("IFERROR(
 TEXTJOIN(
  "", "",
  TRUE,
  FILTER(
   'cost checklist'!$E$2:$E1000&amp;"": ""&amp;'cost checklist'!$G$2:$G1000,
   'cost checklist'!$B$2:$B1000=A333,
   'cost checklist'!$J$2:$J1000=FALSE
  )
 ),
 """"
)"),"mapsmug: 1")</f>
        <v>mapsmug: 1</v>
      </c>
      <c r="Z333" s="26" t="b">
        <f>IFERROR(__xludf.DUMMYFUNCTION("IF(
 AND(
  E333=""QUEST"",
  RIGHT(A333,9)="".accepted"",
  D333=TRUE
 ),
 XLOOKUP(
  REGEXREPLACE(A333,""\.accepted$"","""")&amp;"".finished"",
  $A$2:$A1000,
  $D$2:$D1000,
  TRUE
 )=FALSE,
 FALSE
)"),FALSE)</f>
        <v>0</v>
      </c>
      <c r="AA333" s="26" t="str">
        <f>IFERROR(__xludf.DUMMYFUNCTION("LET(
 id,A333,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)"),"Shogun's Katana Chapter 4, Shogun's Katana Chapter 5")</f>
        <v>Shogun's Katana Chapter 4, Shogun's Katana Chapter 5</v>
      </c>
    </row>
    <row r="334" ht="14.25" customHeight="1">
      <c r="A334" s="26" t="s">
        <v>1275</v>
      </c>
      <c r="B334" s="26" t="str">
        <f t="array" ref="B334">_xlfn.XLOOKUP(
 A334,
 tblTargets[TargetID],
 tblTargets[DisplayName],
 ""
)</f>
        <v>Shogun's Katana Chapter 4 Accepted</v>
      </c>
      <c r="C334" s="26" t="str">
        <f t="shared" si="1"/>
        <v>BLOCKED</v>
      </c>
      <c r="D334" s="26" t="b">
        <f>IFERROR(__xludf.DUMMYFUNCTION("LET(
 id,A334,
 IF(
  F334=""CHARACTER"",
  LET(
   base,REGEXREPLACE(id,""@\d+$"",""""),
   required,VALUE(REGEXEXTRACT(id,""@(\d+)$"")),
   current,XLOOKUP(
    base,
    tblPlayer[PlayerStateID],
    tblPlayer[Value],
    0
   ),
   current&gt;=required
 "&amp;" ),
  IF(
   T334=""AUTO"",
   L334=0,
   COUNTIFS(
    tblChecklist[TargetID],id,
    tblChecklist[PlayerCompleted],TRUE
   )&gt;0
  )
 )
)"),FALSE)</f>
        <v>0</v>
      </c>
      <c r="E334" s="26" t="str">
        <f t="array" ref="E334">_xlfn.XLOOKUP(
 A334,
 tblTargets[TargetID],
 tblTargets[TargetType],
 ""
)</f>
        <v>QUEST</v>
      </c>
      <c r="F334" s="26" t="str">
        <f t="array" ref="F334">_xlfn.XLOOKUP(
 A334,
 tblTargets[TargetID],
 tblTargets[StateType],
 ""
)</f>
        <v/>
      </c>
      <c r="G334" s="26">
        <f>LET(
 id,A334,
 depCount,COUNTIF(tblDependencies[TargetID],id),
 objCount,COUNTIF(tblQuestObjectives[QuestTargetID],id),
 depCount+objCount
)</f>
        <v>1</v>
      </c>
      <c r="H334" s="26">
        <f t="shared" si="2"/>
        <v>1</v>
      </c>
      <c r="I334" s="26">
        <f>IFERROR(__xludf.DUMMYFUNCTION("LET(
 id,A334,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4" s="26">
        <f t="shared" si="3"/>
        <v>0</v>
      </c>
      <c r="K334" s="26" t="b">
        <f t="shared" si="4"/>
        <v>0</v>
      </c>
      <c r="L334" s="26">
        <f t="shared" si="5"/>
        <v>1</v>
      </c>
      <c r="M334" s="26" t="str">
        <f>IFERROR(__xludf.DUMMYFUNCTION("LET(
 id,A334,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L334=0,
  """",
  IFERROR(INDEX(incomplete,1),"""")"&amp;"
 )
)"),"quest.shoguns_katana_chapter_3.finished")</f>
        <v>quest.shoguns_katana_chapter_3.finished</v>
      </c>
      <c r="N334" s="26" t="str">
        <f t="array" ref="N334">IF(
 M334="",
 "",
 _xlfn.XLOOKUP(
  M334,
  tblTargets[TargetID],
  tblTargets[DisplayName],
  M334
 )
)</f>
        <v>Shogun's Katana Chapter 3 Finished</v>
      </c>
      <c r="O334" s="26" t="str">
        <f>IFERROR(__xludf.DUMMYFUNCTION("SWITCH(
 E334,
 ""BUILDING"",XLOOKUP(A334,tblBuildings[BuildingID],tblBuildings[costtext],""""),
 ""TECH"",XLOOKUP(A334,tblTechnologies[TechnologyID],tblTechnologies[costtext],""""),
 ""QUEST"",XLOOKUP(
  REGEXREPLACE(A334,""\.[^.]+$"",""""),
  tblQuests["&amp;"QuestID],
  tblQuests[Costtext],
  """"
 ),
 ""CITADEL"",XLOOKUP(A334,tblCitadel[CitadelID],tblCitadel[costtext],""""),
 ""COLLECTION"",XLOOKUP(A334,tblCollections[CollectionID],tblCollections[costtext],""""),
 ""CRAFTIFACT"",XLOOKUP(A334,tblCraftifacts[C"&amp;"raftifactID],tblCraftifacts[costtext],""""),
 """"
)"),"mapsmug:1")</f>
        <v>mapsmug:1</v>
      </c>
      <c r="P334" s="26" t="str">
        <f t="shared" si="6"/>
        <v>BLOCKED</v>
      </c>
      <c r="Q334" s="26" t="str">
        <f t="shared" si="7"/>
        <v>BLOCKED</v>
      </c>
      <c r="R334" s="26" t="str">
        <f t="array" ref="R334">IFERROR(
 _xlfn.XLOOKUP(
  A334,
  tblChecklist[TargetID],
  tblChecklist[PlayerSort],
  ""
 ),
 ""
)</f>
        <v/>
      </c>
      <c r="S334" s="26" t="str">
        <f>IFERROR(__xludf.DUMMYFUNCTION("LET(
 id,A334,
 successorIDs,
  IFERROR(
   UNIQUE(
    FILTER(
     {
      Dependencies!$A$2:$A$1000;
      QuestObjectives!$A$2:$A$1000
     },
     {
      Dependencies!$B$2:$B$1000;
      QuestObjectives!$E$2:$E$1000
     }=id
    )
   ),
   """"
  )"&amp;",
 names,
  MAP(
   successorIDs,
   LAMBDA(s,
    IF(
     s="""",
     """",
     XLOOKUP(
      s,
      $A$2:$A$1000,
      $B$2:$B$1000,
      s
     )
    )
   )
  ),
 IF(
  successorIDs="""",
  """",
  TEXTJOIN("", "",TRUE,names)
 )
)"),"Shogun's Katana Chapter 4 Finished, Obtain Ship in a bottle, Purchase Smuggler's map for 10 spices")</f>
        <v>Shogun's Katana Chapter 4 Finished, Obtain Ship in a bottle, Purchase Smuggler's map for 10 spices</v>
      </c>
      <c r="T334" s="26" t="str">
        <f t="array" ref="T334">_xlfn.XLOOKUP(
 A334,
 tblTargets[TargetID],
 tblTargets[CompletionMethod],
 ""
)</f>
        <v>PLAYER</v>
      </c>
      <c r="U334" s="84" t="b">
        <f>COUNTIF(tblCost[TargetID],A334)&gt;0</f>
        <v>0</v>
      </c>
      <c r="V334" s="85" t="str">
        <f t="array" ref="V334">IF(
 U334=FALSE,
 "",
 _xlfn.XLOOKUP(
  A334,
  tblCost[TargetID],
  tblCost[FundingPercent],
  ""
 )
)</f>
        <v/>
      </c>
      <c r="W334" s="26" t="str">
        <f t="array" ref="W334">IF(
 U334=FALSE,
 "",
 _xlfn.XLOOKUP(
  A334,
  tblCost[TargetID],
  tblCost[RemainingRequirements],
  ""
 )
)</f>
        <v/>
      </c>
      <c r="X334" s="45" t="str">
        <f t="array" ref="X334">IF(
 U334=FALSE,
 "N/A",
 _xlfn.XLOOKUP(
  A335,
  tblCost[TargetID],
  tblCost[TargetFunded],
  FALSE
 )
)</f>
        <v>N/A</v>
      </c>
      <c r="Y334" s="26" t="str">
        <f>IFERROR(__xludf.DUMMYFUNCTION("IFERROR(
 TEXTJOIN(
  "", "",
  TRUE,
  FILTER(
   'cost checklist'!$E$2:$E1000&amp;"": ""&amp;'cost checklist'!$G$2:$G1000,
   'cost checklist'!$B$2:$B1000=A334,
   'cost checklist'!$J$2:$J1000=FALSE
  )
 ),
 """"
)"),"")</f>
        <v/>
      </c>
      <c r="Z334" s="26" t="b">
        <f>IFERROR(__xludf.DUMMYFUNCTION("IF(
 AND(
  E334=""QUEST"",
  RIGHT(A334,9)="".accepted"",
  D334=TRUE
 ),
 XLOOKUP(
  REGEXREPLACE(A334,""\.accepted$"","""")&amp;"".finished"",
  $A$2:$A1000,
  $D$2:$D1000,
  TRUE
 )=FALSE,
 FALSE
)"),FALSE)</f>
        <v>0</v>
      </c>
      <c r="AA334" s="26" t="str">
        <f>IFERROR(__xludf.DUMMYFUNCTION("LET(
 id,A334,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35" ht="14.25" customHeight="1">
      <c r="A335" s="26" t="s">
        <v>1277</v>
      </c>
      <c r="B335" s="26" t="str">
        <f t="array" ref="B335">_xlfn.XLOOKUP(
 A335,
 tblTargets[TargetID],
 tblTargets[DisplayName],
 ""
)</f>
        <v>Shogun's Katana Chapter 4 Finished</v>
      </c>
      <c r="C335" s="26" t="str">
        <f t="shared" si="1"/>
        <v>BLOCKED</v>
      </c>
      <c r="D335" s="26" t="b">
        <f>IFERROR(__xludf.DUMMYFUNCTION("LET(
 id,A335,
 IF(
  F335=""CHARACTER"",
  LET(
   base,REGEXREPLACE(id,""@\d+$"",""""),
   required,VALUE(REGEXEXTRACT(id,""@(\d+)$"")),
   current,XLOOKUP(
    base,
    tblPlayer[PlayerStateID],
    tblPlayer[Value],
    0
   ),
   current&gt;=required
 "&amp;" ),
  IF(
   T335=""AUTO"",
   L335=0,
   COUNTIFS(
    tblChecklist[TargetID],id,
    tblChecklist[PlayerCompleted],TRUE
   )&gt;0
  )
 )
)"),FALSE)</f>
        <v>0</v>
      </c>
      <c r="E335" s="26" t="str">
        <f t="array" ref="E335">_xlfn.XLOOKUP(
 A335,
 tblTargets[TargetID],
 tblTargets[TargetType],
 ""
)</f>
        <v>QUEST</v>
      </c>
      <c r="F335" s="26" t="str">
        <f t="array" ref="F335">_xlfn.XLOOKUP(
 A335,
 tblTargets[TargetID],
 tblTargets[StateType],
 ""
)</f>
        <v/>
      </c>
      <c r="G335" s="26">
        <f>LET(
 id,A335,
 depCount,COUNTIF(tblDependencies[TargetID],id),
 objCount,COUNTIF(tblQuestObjectives[QuestTargetID],id),
 depCount+objCount
)</f>
        <v>5</v>
      </c>
      <c r="H335" s="26">
        <f t="shared" si="2"/>
        <v>5</v>
      </c>
      <c r="I335" s="26">
        <f>IFERROR(__xludf.DUMMYFUNCTION("LET(
 id,A335,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5" s="26">
        <f t="shared" si="3"/>
        <v>0</v>
      </c>
      <c r="K335" s="26" t="b">
        <f t="shared" si="4"/>
        <v>0</v>
      </c>
      <c r="L335" s="26">
        <f t="shared" si="5"/>
        <v>5</v>
      </c>
      <c r="M335" s="26" t="str">
        <f>IFERROR(__xludf.DUMMYFUNCTION("LET(
 id,A335,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L335=0,
  """",
  IFERROR(INDEX(incomplete,1),"""")"&amp;"
 )
)"),"quest.shoguns_katana_chapter_4.accepted")</f>
        <v>quest.shoguns_katana_chapter_4.accepted</v>
      </c>
      <c r="N335" s="26" t="str">
        <f t="array" ref="N335">IF(
 M335="",
 "",
 _xlfn.XLOOKUP(
  M335,
  tblTargets[TargetID],
  tblTargets[DisplayName],
  M335
 )
)</f>
        <v>Shogun's Katana Chapter 4 Accepted</v>
      </c>
      <c r="O335" s="26" t="str">
        <f>IFERROR(__xludf.DUMMYFUNCTION("SWITCH(
 E335,
 ""BUILDING"",XLOOKUP(A335,tblBuildings[BuildingID],tblBuildings[costtext],""""),
 ""TECH"",XLOOKUP(A335,tblTechnologies[TechnologyID],tblTechnologies[costtext],""""),
 ""QUEST"",XLOOKUP(
  REGEXREPLACE(A335,""\.[^.]+$"",""""),
  tblQuests["&amp;"QuestID],
  tblQuests[Costtext],
  """"
 ),
 ""CITADEL"",XLOOKUP(A335,tblCitadel[CitadelID],tblCitadel[costtext],""""),
 ""COLLECTION"",XLOOKUP(A335,tblCollections[CollectionID],tblCollections[costtext],""""),
 ""CRAFTIFACT"",XLOOKUP(A335,tblCraftifacts[C"&amp;"raftifactID],tblCraftifacts[costtext],""""),
 """"
)"),"mapsmug:1")</f>
        <v>mapsmug:1</v>
      </c>
      <c r="P335" s="26" t="str">
        <f t="shared" si="6"/>
        <v>BLOCKED</v>
      </c>
      <c r="Q335" s="26" t="str">
        <f t="shared" si="7"/>
        <v>BLOCKED</v>
      </c>
      <c r="R335" s="26" t="str">
        <f t="array" ref="R335">IFERROR(
 _xlfn.XLOOKUP(
  A335,
  tblChecklist[TargetID],
  tblChecklist[PlayerSort],
  ""
 ),
 ""
)</f>
        <v/>
      </c>
      <c r="S335" s="26" t="str">
        <f>IFERROR(__xludf.DUMMYFUNCTION("LET(
 id,A335,
 successorIDs,
  IFERROR(
   UNIQUE(
    FILTER(
     {
      Dependencies!$A$2:$A$1000;
      QuestObjectives!$A$2:$A$1000
     },
     {
      Dependencies!$B$2:$B$1000;
      QuestObjectives!$E$2:$E$1000
     }=id
    )
   ),
   """"
  )"&amp;",
 names,
  MAP(
   successorIDs,
   LAMBDA(s,
    IF(
     s="""",
     """",
     XLOOKUP(
      s,
      $A$2:$A$1000,
      $B$2:$B$1000,
      s
     )
    )
   )
  ),
 IF(
  successorIDs="""",
  """",
  TEXTJOIN("", "",TRUE,names)
 )
)"),"Shogun's Katana Chapter 6 Accepted, Treasure Island Accepted, Meet Pirate Skeleton@3A")</f>
        <v>Shogun's Katana Chapter 6 Accepted, Treasure Island Accepted, Meet Pirate Skeleton@3A</v>
      </c>
      <c r="T335" s="26" t="str">
        <f t="array" ref="T335">_xlfn.XLOOKUP(
 A335,
 tblTargets[TargetID],
 tblTargets[CompletionMethod],
 ""
)</f>
        <v>PLAYER</v>
      </c>
      <c r="U335" s="84" t="b">
        <f>COUNTIF(tblCost[TargetID],A335)&gt;0</f>
        <v>1</v>
      </c>
      <c r="V335" s="85">
        <f t="array" ref="V335">IF(
 U335=FALSE,
 "",
 _xlfn.XLOOKUP(
  A335,
  tblCost[TargetID],
  tblCost[FundingPercent],
  ""
 )
)</f>
        <v>0</v>
      </c>
      <c r="W335" s="26">
        <f t="array" ref="W335">IF(
 U335=FALSE,
 "",
 _xlfn.XLOOKUP(
  A335,
  tblCost[TargetID],
  tblCost[RemainingRequirements],
  ""
 )
)</f>
        <v>1</v>
      </c>
      <c r="X335" s="45" t="b">
        <f t="array" ref="X335">IF(
 U335=FALSE,
 "N/A",
 _xlfn.XLOOKUP(
  A336,
  tblCost[TargetID],
  tblCost[TargetFunded],
  FALSE
 )
)</f>
        <v>0</v>
      </c>
      <c r="Y335" s="26" t="str">
        <f>IFERROR(__xludf.DUMMYFUNCTION("IFERROR(
 TEXTJOIN(
  "", "",
  TRUE,
  FILTER(
   'cost checklist'!$E$2:$E1000&amp;"": ""&amp;'cost checklist'!$G$2:$G1000,
   'cost checklist'!$B$2:$B1000=A335,
   'cost checklist'!$J$2:$J1000=FALSE
  )
 ),
 """"
)"),"mapsmug: 1")</f>
        <v>mapsmug: 1</v>
      </c>
      <c r="Z335" s="26" t="b">
        <f>IFERROR(__xludf.DUMMYFUNCTION("IF(
 AND(
  E335=""QUEST"",
  RIGHT(A335,9)="".accepted"",
  D335=TRUE
 ),
 XLOOKUP(
  REGEXREPLACE(A335,""\.accepted$"","""")&amp;"".finished"",
  $A$2:$A1000,
  $D$2:$D1000,
  TRUE
 )=FALSE,
 FALSE
)"),FALSE)</f>
        <v>0</v>
      </c>
      <c r="AA335" s="26" t="str">
        <f>IFERROR(__xludf.DUMMYFUNCTION("LET(
 id,A335,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)"),"Shogun's Katana Chapter 6, Treasure Island")</f>
        <v>Shogun's Katana Chapter 6, Treasure Island</v>
      </c>
    </row>
    <row r="336" ht="14.25" customHeight="1">
      <c r="A336" s="26" t="s">
        <v>1280</v>
      </c>
      <c r="B336" s="26" t="str">
        <f t="array" ref="B336">_xlfn.XLOOKUP(
 A336,
 tblTargets[TargetID],
 tblTargets[DisplayName],
 ""
)</f>
        <v>Shogun's Katana Chapter 5 Accepted</v>
      </c>
      <c r="C336" s="26" t="str">
        <f t="shared" si="1"/>
        <v>BLOCKED</v>
      </c>
      <c r="D336" s="26" t="b">
        <f>IFERROR(__xludf.DUMMYFUNCTION("LET(
 id,A336,
 IF(
  F336=""CHARACTER"",
  LET(
   base,REGEXREPLACE(id,""@\d+$"",""""),
   required,VALUE(REGEXEXTRACT(id,""@(\d+)$"")),
   current,XLOOKUP(
    base,
    tblPlayer[PlayerStateID],
    tblPlayer[Value],
    0
   ),
   current&gt;=required
 "&amp;" ),
  IF(
   T336=""AUTO"",
   L336=0,
   COUNTIFS(
    tblChecklist[TargetID],id,
    tblChecklist[PlayerCompleted],TRUE
   )&gt;0
  )
 )
)"),FALSE)</f>
        <v>0</v>
      </c>
      <c r="E336" s="26" t="str">
        <f t="array" ref="E336">_xlfn.XLOOKUP(
 A336,
 tblTargets[TargetID],
 tblTargets[TargetType],
 ""
)</f>
        <v>QUEST</v>
      </c>
      <c r="F336" s="26" t="str">
        <f t="array" ref="F336">_xlfn.XLOOKUP(
 A336,
 tblTargets[TargetID],
 tblTargets[StateType],
 ""
)</f>
        <v/>
      </c>
      <c r="G336" s="26">
        <f>LET(
 id,A336,
 depCount,COUNTIF(tblDependencies[TargetID],id),
 objCount,COUNTIF(tblQuestObjectives[QuestTargetID],id),
 depCount+objCount
)</f>
        <v>1</v>
      </c>
      <c r="H336" s="26">
        <f t="shared" si="2"/>
        <v>1</v>
      </c>
      <c r="I336" s="26">
        <f>IFERROR(__xludf.DUMMYFUNCTION("LET(
 id,A336,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6" s="26">
        <f t="shared" si="3"/>
        <v>0</v>
      </c>
      <c r="K336" s="26" t="b">
        <f t="shared" si="4"/>
        <v>0</v>
      </c>
      <c r="L336" s="26">
        <f t="shared" si="5"/>
        <v>1</v>
      </c>
      <c r="M336" s="26" t="str">
        <f>IFERROR(__xludf.DUMMYFUNCTION("LET(
 id,A336,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L336=0,
  """",
  IFERROR(INDEX(incomplete,1),"""")"&amp;"
 )
)"),"quest.shoguns_katana_chapter_3.finished")</f>
        <v>quest.shoguns_katana_chapter_3.finished</v>
      </c>
      <c r="N336" s="26" t="str">
        <f t="array" ref="N336">IF(
 M336="",
 "",
 _xlfn.XLOOKUP(
  M336,
  tblTargets[TargetID],
  tblTargets[DisplayName],
  M336
 )
)</f>
        <v>Shogun's Katana Chapter 3 Finished</v>
      </c>
      <c r="O336" s="26" t="str">
        <f>IFERROR(__xludf.DUMMYFUNCTION("SWITCH(
 E336,
 ""BUILDING"",XLOOKUP(A336,tblBuildings[BuildingID],tblBuildings[costtext],""""),
 ""TECH"",XLOOKUP(A336,tblTechnologies[TechnologyID],tblTechnologies[costtext],""""),
 ""QUEST"",XLOOKUP(
  REGEXREPLACE(A336,""\.[^.]+$"",""""),
  tblQuests["&amp;"QuestID],
  tblQuests[Costtext],
  """"
 ),
 ""CITADEL"",XLOOKUP(A336,tblCitadel[CitadelID],tblCitadel[costtext],""""),
 ""COLLECTION"",XLOOKUP(A336,tblCollections[CollectionID],tblCollections[costtext],""""),
 ""CRAFTIFACT"",XLOOKUP(A336,tblCraftifacts[C"&amp;"raftifactID],tblCraftifacts[costtext],""""),
 """"
)"),"mapsmug:1")</f>
        <v>mapsmug:1</v>
      </c>
      <c r="P336" s="26" t="str">
        <f t="shared" si="6"/>
        <v>BLOCKED</v>
      </c>
      <c r="Q336" s="26" t="str">
        <f t="shared" si="7"/>
        <v>BLOCKED</v>
      </c>
      <c r="R336" s="26" t="str">
        <f t="array" ref="R336">IFERROR(
 _xlfn.XLOOKUP(
  A336,
  tblChecklist[TargetID],
  tblChecklist[PlayerSort],
  ""
 ),
 ""
)</f>
        <v/>
      </c>
      <c r="S336" s="26" t="str">
        <f>IFERROR(__xludf.DUMMYFUNCTION("LET(
 id,A336,
 successorIDs,
  IFERROR(
   UNIQUE(
    FILTER(
     {
      Dependencies!$A$2:$A$1000;
      QuestObjectives!$A$2:$A$1000
     },
     {
      Dependencies!$B$2:$B$1000;
      QuestObjectives!$E$2:$E$1000
     }=id
    )
   ),
   """"
  )"&amp;",
 names,
  MAP(
   successorIDs,
   LAMBDA(s,
    IF(
     s="""",
     """",
     XLOOKUP(
      s,
      $A$2:$A$1000,
      $B$2:$B$1000,
      s
     )
    )
   )
  ),
 IF(
  successorIDs="""",
  """",
  TEXTJOIN("", "",TRUE,names)
 )
)"),"Shogun's Katana Chapter 5 Finished, Purchase Smuggler's map for 15 pearl")</f>
        <v>Shogun's Katana Chapter 5 Finished, Purchase Smuggler's map for 15 pearl</v>
      </c>
      <c r="T336" s="26" t="str">
        <f t="array" ref="T336">_xlfn.XLOOKUP(
 A336,
 tblTargets[TargetID],
 tblTargets[CompletionMethod],
 ""
)</f>
        <v>PLAYER</v>
      </c>
      <c r="U336" s="84" t="b">
        <f>COUNTIF(tblCost[TargetID],A336)&gt;0</f>
        <v>0</v>
      </c>
      <c r="V336" s="85" t="str">
        <f t="array" ref="V336">IF(
 U336=FALSE,
 "",
 _xlfn.XLOOKUP(
  A336,
  tblCost[TargetID],
  tblCost[FundingPercent],
  ""
 )
)</f>
        <v/>
      </c>
      <c r="W336" s="26" t="str">
        <f t="array" ref="W336">IF(
 U336=FALSE,
 "",
 _xlfn.XLOOKUP(
  A336,
  tblCost[TargetID],
  tblCost[RemainingRequirements],
  ""
 )
)</f>
        <v/>
      </c>
      <c r="X336" s="45" t="str">
        <f t="array" ref="X336">IF(
 U336=FALSE,
 "N/A",
 _xlfn.XLOOKUP(
  A337,
  tblCost[TargetID],
  tblCost[TargetFunded],
  FALSE
 )
)</f>
        <v>N/A</v>
      </c>
      <c r="Y336" s="26" t="str">
        <f>IFERROR(__xludf.DUMMYFUNCTION("IFERROR(
 TEXTJOIN(
  "", "",
  TRUE,
  FILTER(
   'cost checklist'!$E$2:$E1000&amp;"": ""&amp;'cost checklist'!$G$2:$G1000,
   'cost checklist'!$B$2:$B1000=A336,
   'cost checklist'!$J$2:$J1000=FALSE
  )
 ),
 """"
)"),"")</f>
        <v/>
      </c>
      <c r="Z336" s="26" t="b">
        <f>IFERROR(__xludf.DUMMYFUNCTION("IF(
 AND(
  E336=""QUEST"",
  RIGHT(A336,9)="".accepted"",
  D336=TRUE
 ),
 XLOOKUP(
  REGEXREPLACE(A336,""\.accepted$"","""")&amp;"".finished"",
  $A$2:$A1000,
  $D$2:$D1000,
  TRUE
 )=FALSE,
 FALSE
)"),FALSE)</f>
        <v>0</v>
      </c>
      <c r="AA336" s="26" t="str">
        <f>IFERROR(__xludf.DUMMYFUNCTION("LET(
 id,A336,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37" ht="14.25" customHeight="1">
      <c r="A337" s="26" t="s">
        <v>1283</v>
      </c>
      <c r="B337" s="26" t="str">
        <f t="array" ref="B337">_xlfn.XLOOKUP(
 A337,
 tblTargets[TargetID],
 tblTargets[DisplayName],
 ""
)</f>
        <v>Shogun's Katana Chapter 5 Finished</v>
      </c>
      <c r="C337" s="26" t="str">
        <f t="shared" si="1"/>
        <v>BLOCKED</v>
      </c>
      <c r="D337" s="26" t="b">
        <f>IFERROR(__xludf.DUMMYFUNCTION("LET(
 id,A337,
 IF(
  F337=""CHARACTER"",
  LET(
   base,REGEXREPLACE(id,""@\d+$"",""""),
   required,VALUE(REGEXEXTRACT(id,""@(\d+)$"")),
   current,XLOOKUP(
    base,
    tblPlayer[PlayerStateID],
    tblPlayer[Value],
    0
   ),
   current&gt;=required
 "&amp;" ),
  IF(
   T337=""AUTO"",
   L337=0,
   COUNTIFS(
    tblChecklist[TargetID],id,
    tblChecklist[PlayerCompleted],TRUE
   )&gt;0
  )
 )
)"),FALSE)</f>
        <v>0</v>
      </c>
      <c r="E337" s="26" t="str">
        <f t="array" ref="E337">_xlfn.XLOOKUP(
 A337,
 tblTargets[TargetID],
 tblTargets[TargetType],
 ""
)</f>
        <v>QUEST</v>
      </c>
      <c r="F337" s="26" t="str">
        <f t="array" ref="F337">_xlfn.XLOOKUP(
 A337,
 tblTargets[TargetID],
 tblTargets[StateType],
 ""
)</f>
        <v/>
      </c>
      <c r="G337" s="26">
        <f>LET(
 id,A337,
 depCount,COUNTIF(tblDependencies[TargetID],id),
 objCount,COUNTIF(tblQuestObjectives[QuestTargetID],id),
 depCount+objCount
)</f>
        <v>5</v>
      </c>
      <c r="H337" s="26">
        <f t="shared" si="2"/>
        <v>5</v>
      </c>
      <c r="I337" s="26">
        <f>IFERROR(__xludf.DUMMYFUNCTION("LET(
 id,A337,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7" s="26">
        <f t="shared" si="3"/>
        <v>0</v>
      </c>
      <c r="K337" s="26" t="b">
        <f t="shared" si="4"/>
        <v>0</v>
      </c>
      <c r="L337" s="26">
        <f t="shared" si="5"/>
        <v>5</v>
      </c>
      <c r="M337" s="26" t="str">
        <f>IFERROR(__xludf.DUMMYFUNCTION("LET(
 id,A337,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L337=0,
  """",
  IFERROR(INDEX(incomplete,1),"""")"&amp;"
 )
)"),"quest.shoguns_katana_chapter_5.accepted")</f>
        <v>quest.shoguns_katana_chapter_5.accepted</v>
      </c>
      <c r="N337" s="26" t="str">
        <f t="array" ref="N337">IF(
 M337="",
 "",
 _xlfn.XLOOKUP(
  M337,
  tblTargets[TargetID],
  tblTargets[DisplayName],
  M337
 )
)</f>
        <v>Shogun's Katana Chapter 5 Accepted</v>
      </c>
      <c r="O337" s="26" t="str">
        <f>IFERROR(__xludf.DUMMYFUNCTION("SWITCH(
 E337,
 ""BUILDING"",XLOOKUP(A337,tblBuildings[BuildingID],tblBuildings[costtext],""""),
 ""TECH"",XLOOKUP(A337,tblTechnologies[TechnologyID],tblTechnologies[costtext],""""),
 ""QUEST"",XLOOKUP(
  REGEXREPLACE(A337,""\.[^.]+$"",""""),
  tblQuests["&amp;"QuestID],
  tblQuests[Costtext],
  """"
 ),
 ""CITADEL"",XLOOKUP(A337,tblCitadel[CitadelID],tblCitadel[costtext],""""),
 ""COLLECTION"",XLOOKUP(A337,tblCollections[CollectionID],tblCollections[costtext],""""),
 ""CRAFTIFACT"",XLOOKUP(A337,tblCraftifacts[C"&amp;"raftifactID],tblCraftifacts[costtext],""""),
 """"
)"),"mapsmug:1")</f>
        <v>mapsmug:1</v>
      </c>
      <c r="P337" s="26" t="str">
        <f t="shared" si="6"/>
        <v>BLOCKED</v>
      </c>
      <c r="Q337" s="26" t="str">
        <f t="shared" si="7"/>
        <v>BLOCKED</v>
      </c>
      <c r="R337" s="26" t="str">
        <f t="array" ref="R337">IFERROR(
 _xlfn.XLOOKUP(
  A337,
  tblChecklist[TargetID],
  tblChecklist[PlayerSort],
  ""
 ),
 ""
)</f>
        <v/>
      </c>
      <c r="S337" s="26" t="str">
        <f>IFERROR(__xludf.DUMMYFUNCTION("LET(
 id,A337,
 successorIDs,
  IFERROR(
   UNIQUE(
    FILTER(
     {
      Dependencies!$A$2:$A$1000;
      QuestObjectives!$A$2:$A$1000
     },
     {
      Dependencies!$B$2:$B$1000;
      QuestObjectives!$E$2:$E$1000
     }=id
    )
   ),
   """"
  )"&amp;",
 names,
  MAP(
   successorIDs,
   LAMBDA(s,
    IF(
     s="""",
     """",
     XLOOKUP(
      s,
      $A$2:$A$1000,
      $B$2:$B$1000,
      s
     )
    )
   )
  ),
 IF(
  successorIDs="""",
  """",
  TEXTJOIN("", "",TRUE,names)
 )
)"),"Shogun's Katana Chapter 7 Accepted")</f>
        <v>Shogun's Katana Chapter 7 Accepted</v>
      </c>
      <c r="T337" s="26" t="str">
        <f t="array" ref="T337">_xlfn.XLOOKUP(
 A337,
 tblTargets[TargetID],
 tblTargets[CompletionMethod],
 ""
)</f>
        <v>PLAYER</v>
      </c>
      <c r="U337" s="84" t="b">
        <f>COUNTIF(tblCost[TargetID],A337)&gt;0</f>
        <v>1</v>
      </c>
      <c r="V337" s="85">
        <f t="array" ref="V337">IF(
 U337=FALSE,
 "",
 _xlfn.XLOOKUP(
  A337,
  tblCost[TargetID],
  tblCost[FundingPercent],
  ""
 )
)</f>
        <v>0</v>
      </c>
      <c r="W337" s="26">
        <f t="array" ref="W337">IF(
 U337=FALSE,
 "",
 _xlfn.XLOOKUP(
  A337,
  tblCost[TargetID],
  tblCost[RemainingRequirements],
  ""
 )
)</f>
        <v>1</v>
      </c>
      <c r="X337" s="45" t="b">
        <f t="array" ref="X337">IF(
 U337=FALSE,
 "N/A",
 _xlfn.XLOOKUP(
  A338,
  tblCost[TargetID],
  tblCost[TargetFunded],
  FALSE
 )
)</f>
        <v>0</v>
      </c>
      <c r="Y337" s="26" t="str">
        <f>IFERROR(__xludf.DUMMYFUNCTION("IFERROR(
 TEXTJOIN(
  "", "",
  TRUE,
  FILTER(
   'cost checklist'!$E$2:$E1000&amp;"": ""&amp;'cost checklist'!$G$2:$G1000,
   'cost checklist'!$B$2:$B1000=A337,
   'cost checklist'!$J$2:$J1000=FALSE
  )
 ),
 """"
)"),"mapsmug: 1")</f>
        <v>mapsmug: 1</v>
      </c>
      <c r="Z337" s="26" t="b">
        <f>IFERROR(__xludf.DUMMYFUNCTION("IF(
 AND(
  E337=""QUEST"",
  RIGHT(A337,9)="".accepted"",
  D337=TRUE
 ),
 XLOOKUP(
  REGEXREPLACE(A337,""\.accepted$"","""")&amp;"".finished"",
  $A$2:$A1000,
  $D$2:$D1000,
  TRUE
 )=FALSE,
 FALSE
)"),FALSE)</f>
        <v>0</v>
      </c>
      <c r="AA337" s="26" t="str">
        <f>IFERROR(__xludf.DUMMYFUNCTION("LET(
 id,A337,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)"),"Shogun's Katana Chapter 7")</f>
        <v>Shogun's Katana Chapter 7</v>
      </c>
    </row>
    <row r="338" ht="14.25" customHeight="1">
      <c r="A338" s="26" t="s">
        <v>1285</v>
      </c>
      <c r="B338" s="26" t="str">
        <f t="array" ref="B338">_xlfn.XLOOKUP(
 A338,
 tblTargets[TargetID],
 tblTargets[DisplayName],
 ""
)</f>
        <v>Shogun's Katana Chapter 6 Accepted</v>
      </c>
      <c r="C338" s="26" t="str">
        <f t="shared" si="1"/>
        <v>BLOCKED</v>
      </c>
      <c r="D338" s="26" t="b">
        <f>IFERROR(__xludf.DUMMYFUNCTION("LET(
 id,A338,
 IF(
  F338=""CHARACTER"",
  LET(
   base,REGEXREPLACE(id,""@\d+$"",""""),
   required,VALUE(REGEXEXTRACT(id,""@(\d+)$"")),
   current,XLOOKUP(
    base,
    tblPlayer[PlayerStateID],
    tblPlayer[Value],
    0
   ),
   current&gt;=required
 "&amp;" ),
  IF(
   T338=""AUTO"",
   L338=0,
   COUNTIFS(
    tblChecklist[TargetID],id,
    tblChecklist[PlayerCompleted],TRUE
   )&gt;0
  )
 )
)"),FALSE)</f>
        <v>0</v>
      </c>
      <c r="E338" s="26" t="str">
        <f t="array" ref="E338">_xlfn.XLOOKUP(
 A338,
 tblTargets[TargetID],
 tblTargets[TargetType],
 ""
)</f>
        <v>QUEST</v>
      </c>
      <c r="F338" s="26" t="str">
        <f t="array" ref="F338">_xlfn.XLOOKUP(
 A338,
 tblTargets[TargetID],
 tblTargets[StateType],
 ""
)</f>
        <v/>
      </c>
      <c r="G338" s="26">
        <f>LET(
 id,A338,
 depCount,COUNTIF(tblDependencies[TargetID],id),
 objCount,COUNTIF(tblQuestObjectives[QuestTargetID],id),
 depCount+objCount
)</f>
        <v>1</v>
      </c>
      <c r="H338" s="26">
        <f t="shared" si="2"/>
        <v>1</v>
      </c>
      <c r="I338" s="26">
        <f>IFERROR(__xludf.DUMMYFUNCTION("LET(
 id,A338,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8" s="26">
        <f t="shared" si="3"/>
        <v>0</v>
      </c>
      <c r="K338" s="26" t="b">
        <f t="shared" si="4"/>
        <v>0</v>
      </c>
      <c r="L338" s="26">
        <f t="shared" si="5"/>
        <v>1</v>
      </c>
      <c r="M338" s="26" t="str">
        <f>IFERROR(__xludf.DUMMYFUNCTION("LET(
 id,A338,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L338=0,
  """",
  IFERROR(INDEX(incomplete,1),"""")"&amp;"
 )
)"),"quest.shoguns_katana_chapter_4.finished")</f>
        <v>quest.shoguns_katana_chapter_4.finished</v>
      </c>
      <c r="N338" s="26" t="str">
        <f t="array" ref="N338">IF(
 M338="",
 "",
 _xlfn.XLOOKUP(
  M338,
  tblTargets[TargetID],
  tblTargets[DisplayName],
  M338
 )
)</f>
        <v>Shogun's Katana Chapter 4 Finished</v>
      </c>
      <c r="O338" s="26" t="str">
        <f>IFERROR(__xludf.DUMMYFUNCTION("SWITCH(
 E338,
 ""BUILDING"",XLOOKUP(A338,tblBuildings[BuildingID],tblBuildings[costtext],""""),
 ""TECH"",XLOOKUP(A338,tblTechnologies[TechnologyID],tblTechnologies[costtext],""""),
 ""QUEST"",XLOOKUP(
  REGEXREPLACE(A338,""\.[^.]+$"",""""),
  tblQuests["&amp;"QuestID],
  tblQuests[Costtext],
  """"
 ),
 ""CITADEL"",XLOOKUP(A338,tblCitadel[CitadelID],tblCitadel[costtext],""""),
 ""COLLECTION"",XLOOKUP(A338,tblCollections[CollectionID],tblCollections[costtext],""""),
 ""CRAFTIFACT"",XLOOKUP(A338,tblCraftifacts[C"&amp;"raftifactID],tblCraftifacts[costtext],""""),
 """"
)"),"map4:1")</f>
        <v>map4:1</v>
      </c>
      <c r="P338" s="26" t="str">
        <f t="shared" si="6"/>
        <v>BLOCKED</v>
      </c>
      <c r="Q338" s="26" t="str">
        <f t="shared" si="7"/>
        <v>BLOCKED</v>
      </c>
      <c r="R338" s="26" t="str">
        <f t="array" ref="R338">IFERROR(
 _xlfn.XLOOKUP(
  A338,
  tblChecklist[TargetID],
  tblChecklist[PlayerSort],
  ""
 ),
 ""
)</f>
        <v/>
      </c>
      <c r="S338" s="26" t="str">
        <f>IFERROR(__xludf.DUMMYFUNCTION("LET(
 id,A338,
 successorIDs,
  IFERROR(
   UNIQUE(
    FILTER(
     {
      Dependencies!$A$2:$A$1000;
      QuestObjectives!$A$2:$A$1000
     },
     {
      Dependencies!$B$2:$B$1000;
      QuestObjectives!$E$2:$E$1000
     }=id
    )
   ),
   """"
  )"&amp;",
 names,
  MAP(
   successorIDs,
   LAMBDA(s,
    IF(
     s="""",
     """",
     XLOOKUP(
      s,
      $A$2:$A$1000,
      $B$2:$B$1000,
      s
     )
    )
   )
  ),
 IF(
  successorIDs="""",
  """",
  TEXTJOIN("", "",TRUE,names)
 )
)"),"Shogun's Katana Chapter 6 Finished, Craft level 4 map")</f>
        <v>Shogun's Katana Chapter 6 Finished, Craft level 4 map</v>
      </c>
      <c r="T338" s="26" t="str">
        <f t="array" ref="T338">_xlfn.XLOOKUP(
 A338,
 tblTargets[TargetID],
 tblTargets[CompletionMethod],
 ""
)</f>
        <v>PLAYER</v>
      </c>
      <c r="U338" s="84" t="b">
        <f>COUNTIF(tblCost[TargetID],A338)&gt;0</f>
        <v>0</v>
      </c>
      <c r="V338" s="85" t="str">
        <f t="array" ref="V338">IF(
 U338=FALSE,
 "",
 _xlfn.XLOOKUP(
  A338,
  tblCost[TargetID],
  tblCost[FundingPercent],
  ""
 )
)</f>
        <v/>
      </c>
      <c r="W338" s="26" t="str">
        <f t="array" ref="W338">IF(
 U338=FALSE,
 "",
 _xlfn.XLOOKUP(
  A338,
  tblCost[TargetID],
  tblCost[RemainingRequirements],
  ""
 )
)</f>
        <v/>
      </c>
      <c r="X338" s="45" t="str">
        <f t="array" ref="X338">IF(
 U338=FALSE,
 "N/A",
 _xlfn.XLOOKUP(
  A339,
  tblCost[TargetID],
  tblCost[TargetFunded],
  FALSE
 )
)</f>
        <v>N/A</v>
      </c>
      <c r="Y338" s="26" t="str">
        <f>IFERROR(__xludf.DUMMYFUNCTION("IFERROR(
 TEXTJOIN(
  "", "",
  TRUE,
  FILTER(
   'cost checklist'!$E$2:$E1000&amp;"": ""&amp;'cost checklist'!$G$2:$G1000,
   'cost checklist'!$B$2:$B1000=A338,
   'cost checklist'!$J$2:$J1000=FALSE
  )
 ),
 """"
)"),"")</f>
        <v/>
      </c>
      <c r="Z338" s="26" t="b">
        <f>IFERROR(__xludf.DUMMYFUNCTION("IF(
 AND(
  E338=""QUEST"",
  RIGHT(A338,9)="".accepted"",
  D338=TRUE
 ),
 XLOOKUP(
  REGEXREPLACE(A338,""\.accepted$"","""")&amp;"".finished"",
  $A$2:$A1000,
  $D$2:$D1000,
  TRUE
 )=FALSE,
 FALSE
)"),FALSE)</f>
        <v>0</v>
      </c>
      <c r="AA338" s="26" t="str">
        <f>IFERROR(__xludf.DUMMYFUNCTION("LET(
 id,A338,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39" ht="14.25" customHeight="1">
      <c r="A339" s="26" t="s">
        <v>1287</v>
      </c>
      <c r="B339" s="26" t="str">
        <f t="array" ref="B339">_xlfn.XLOOKUP(
 A339,
 tblTargets[TargetID],
 tblTargets[DisplayName],
 ""
)</f>
        <v>Shogun's Katana Chapter 6 Finished</v>
      </c>
      <c r="C339" s="26" t="str">
        <f t="shared" si="1"/>
        <v>BLOCKED</v>
      </c>
      <c r="D339" s="26" t="b">
        <f>IFERROR(__xludf.DUMMYFUNCTION("LET(
 id,A339,
 IF(
  F339=""CHARACTER"",
  LET(
   base,REGEXREPLACE(id,""@\d+$"",""""),
   required,VALUE(REGEXEXTRACT(id,""@(\d+)$"")),
   current,XLOOKUP(
    base,
    tblPlayer[PlayerStateID],
    tblPlayer[Value],
    0
   ),
   current&gt;=required
 "&amp;" ),
  IF(
   T339=""AUTO"",
   L339=0,
   COUNTIFS(
    tblChecklist[TargetID],id,
    tblChecklist[PlayerCompleted],TRUE
   )&gt;0
  )
 )
)"),FALSE)</f>
        <v>0</v>
      </c>
      <c r="E339" s="26" t="str">
        <f t="array" ref="E339">_xlfn.XLOOKUP(
 A339,
 tblTargets[TargetID],
 tblTargets[TargetType],
 ""
)</f>
        <v>QUEST</v>
      </c>
      <c r="F339" s="26" t="str">
        <f t="array" ref="F339">_xlfn.XLOOKUP(
 A339,
 tblTargets[TargetID],
 tblTargets[StateType],
 ""
)</f>
        <v/>
      </c>
      <c r="G339" s="26">
        <f>LET(
 id,A339,
 depCount,COUNTIF(tblDependencies[TargetID],id),
 objCount,COUNTIF(tblQuestObjectives[QuestTargetID],id),
 depCount+objCount
)</f>
        <v>7</v>
      </c>
      <c r="H339" s="26">
        <f t="shared" si="2"/>
        <v>7</v>
      </c>
      <c r="I339" s="26">
        <f>IFERROR(__xludf.DUMMYFUNCTION("LET(
 id,A339,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39" s="26">
        <f t="shared" si="3"/>
        <v>0</v>
      </c>
      <c r="K339" s="26" t="b">
        <f t="shared" si="4"/>
        <v>0</v>
      </c>
      <c r="L339" s="26">
        <f t="shared" si="5"/>
        <v>7</v>
      </c>
      <c r="M339" s="26" t="str">
        <f>IFERROR(__xludf.DUMMYFUNCTION("LET(
 id,A339,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L339=0,
  """",
  IFERROR(INDEX(incomplete,1),"""")"&amp;"
 )
)"),"quest.shoguns_katana_chapter_6.accepted")</f>
        <v>quest.shoguns_katana_chapter_6.accepted</v>
      </c>
      <c r="N339" s="26" t="str">
        <f t="array" ref="N339">IF(
 M339="",
 "",
 _xlfn.XLOOKUP(
  M339,
  tblTargets[TargetID],
  tblTargets[DisplayName],
  M339
 )
)</f>
        <v>Shogun's Katana Chapter 6 Accepted</v>
      </c>
      <c r="O339" s="26" t="str">
        <f>IFERROR(__xludf.DUMMYFUNCTION("SWITCH(
 E339,
 ""BUILDING"",XLOOKUP(A339,tblBuildings[BuildingID],tblBuildings[costtext],""""),
 ""TECH"",XLOOKUP(A339,tblTechnologies[TechnologyID],tblTechnologies[costtext],""""),
 ""QUEST"",XLOOKUP(
  REGEXREPLACE(A339,""\.[^.]+$"",""""),
  tblQuests["&amp;"QuestID],
  tblQuests[Costtext],
  """"
 ),
 ""CITADEL"",XLOOKUP(A339,tblCitadel[CitadelID],tblCitadel[costtext],""""),
 ""COLLECTION"",XLOOKUP(A339,tblCollections[CollectionID],tblCollections[costtext],""""),
 ""CRAFTIFACT"",XLOOKUP(A339,tblCraftifacts[C"&amp;"raftifactID],tblCraftifacts[costtext],""""),
 """"
)"),"map4:1")</f>
        <v>map4:1</v>
      </c>
      <c r="P339" s="26" t="str">
        <f t="shared" si="6"/>
        <v>BLOCKED</v>
      </c>
      <c r="Q339" s="26" t="str">
        <f t="shared" si="7"/>
        <v>BLOCKED</v>
      </c>
      <c r="R339" s="26" t="str">
        <f t="array" ref="R339">IFERROR(
 _xlfn.XLOOKUP(
  A339,
  tblChecklist[TargetID],
  tblChecklist[PlayerSort],
  ""
 ),
 ""
)</f>
        <v/>
      </c>
      <c r="S339" s="26" t="str">
        <f>IFERROR(__xludf.DUMMYFUNCTION("LET(
 id,A339,
 successorIDs,
  IFERROR(
   UNIQUE(
    FILTER(
     {
      Dependencies!$A$2:$A$1000;
      QuestObjectives!$A$2:$A$1000
     },
     {
      Dependencies!$B$2:$B$1000;
      QuestObjectives!$E$2:$E$1000
     }=id
    )
   ),
   """"
  )"&amp;",
 names,
  MAP(
   successorIDs,
   LAMBDA(s,
    IF(
     s="""",
     """",
     XLOOKUP(
      s,
      $A$2:$A$1000,
      $B$2:$B$1000,
      s
     )
    )
   )
  ),
 IF(
  successorIDs="""",
  """",
  TEXTJOIN("", "",TRUE,names)
 )
)"),"Shogun's Katana Chapter 7 Accepted")</f>
        <v>Shogun's Katana Chapter 7 Accepted</v>
      </c>
      <c r="T339" s="26" t="str">
        <f t="array" ref="T339">_xlfn.XLOOKUP(
 A339,
 tblTargets[TargetID],
 tblTargets[CompletionMethod],
 ""
)</f>
        <v>PLAYER</v>
      </c>
      <c r="U339" s="84" t="b">
        <f>COUNTIF(tblCost[TargetID],A339)&gt;0</f>
        <v>1</v>
      </c>
      <c r="V339" s="85">
        <f t="array" ref="V339">IF(
 U339=FALSE,
 "",
 _xlfn.XLOOKUP(
  A339,
  tblCost[TargetID],
  tblCost[FundingPercent],
  ""
 )
)</f>
        <v>0</v>
      </c>
      <c r="W339" s="26">
        <f t="array" ref="W339">IF(
 U339=FALSE,
 "",
 _xlfn.XLOOKUP(
  A339,
  tblCost[TargetID],
  tblCost[RemainingRequirements],
  ""
 )
)</f>
        <v>1</v>
      </c>
      <c r="X339" s="45" t="b">
        <f t="array" ref="X339">IF(
 U339=FALSE,
 "N/A",
 _xlfn.XLOOKUP(
  A340,
  tblCost[TargetID],
  tblCost[TargetFunded],
  FALSE
 )
)</f>
        <v>0</v>
      </c>
      <c r="Y339" s="26" t="str">
        <f>IFERROR(__xludf.DUMMYFUNCTION("IFERROR(
 TEXTJOIN(
  "", "",
  TRUE,
  FILTER(
   'cost checklist'!$E$2:$E1000&amp;"": ""&amp;'cost checklist'!$G$2:$G1000,
   'cost checklist'!$B$2:$B1000=A339,
   'cost checklist'!$J$2:$J1000=FALSE
  )
 ),
 """"
)"),"map4: 1")</f>
        <v>map4: 1</v>
      </c>
      <c r="Z339" s="26" t="b">
        <f>IFERROR(__xludf.DUMMYFUNCTION("IF(
 AND(
  E339=""QUEST"",
  RIGHT(A339,9)="".accepted"",
  D339=TRUE
 ),
 XLOOKUP(
  REGEXREPLACE(A339,""\.accepted$"","""")&amp;"".finished"",
  $A$2:$A1000,
  $D$2:$D1000,
  TRUE
 )=FALSE,
 FALSE
)"),FALSE)</f>
        <v>0</v>
      </c>
      <c r="AA339" s="26" t="str">
        <f>IFERROR(__xludf.DUMMYFUNCTION("LET(
 id,A339,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)"),"Shogun's Katana Chapter 7")</f>
        <v>Shogun's Katana Chapter 7</v>
      </c>
    </row>
    <row r="340" ht="14.25" customHeight="1">
      <c r="A340" s="26" t="s">
        <v>1290</v>
      </c>
      <c r="B340" s="26" t="str">
        <f t="array" ref="B340">_xlfn.XLOOKUP(
 A340,
 tblTargets[TargetID],
 tblTargets[DisplayName],
 ""
)</f>
        <v>Shogun's Katana Chapter 7 Accepted</v>
      </c>
      <c r="C340" s="26" t="str">
        <f t="shared" si="1"/>
        <v>BLOCKED</v>
      </c>
      <c r="D340" s="26" t="b">
        <f>IFERROR(__xludf.DUMMYFUNCTION("LET(
 id,A340,
 IF(
  F340=""CHARACTER"",
  LET(
   base,REGEXREPLACE(id,""@\d+$"",""""),
   required,VALUE(REGEXEXTRACT(id,""@(\d+)$"")),
   current,XLOOKUP(
    base,
    tblPlayer[PlayerStateID],
    tblPlayer[Value],
    0
   ),
   current&gt;=required
 "&amp;" ),
  IF(
   T340=""AUTO"",
   L340=0,
   COUNTIFS(
    tblChecklist[TargetID],id,
    tblChecklist[PlayerCompleted],TRUE
   )&gt;0
  )
 )
)"),FALSE)</f>
        <v>0</v>
      </c>
      <c r="E340" s="26" t="str">
        <f t="array" ref="E340">_xlfn.XLOOKUP(
 A340,
 tblTargets[TargetID],
 tblTargets[TargetType],
 ""
)</f>
        <v>QUEST</v>
      </c>
      <c r="F340" s="26" t="str">
        <f t="array" ref="F340">_xlfn.XLOOKUP(
 A340,
 tblTargets[TargetID],
 tblTargets[StateType],
 ""
)</f>
        <v/>
      </c>
      <c r="G340" s="26">
        <f>LET(
 id,A340,
 depCount,COUNTIF(tblDependencies[TargetID],id),
 objCount,COUNTIF(tblQuestObjectives[QuestTargetID],id),
 depCount+objCount
)</f>
        <v>2</v>
      </c>
      <c r="H340" s="26">
        <f t="shared" si="2"/>
        <v>2</v>
      </c>
      <c r="I340" s="26">
        <f>IFERROR(__xludf.DUMMYFUNCTION("LET(
 id,A340,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0" s="26">
        <f t="shared" si="3"/>
        <v>0</v>
      </c>
      <c r="K340" s="26" t="b">
        <f t="shared" si="4"/>
        <v>0</v>
      </c>
      <c r="L340" s="26">
        <f t="shared" si="5"/>
        <v>2</v>
      </c>
      <c r="M340" s="26" t="str">
        <f>IFERROR(__xludf.DUMMYFUNCTION("LET(
 id,A340,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L340=0,
  """",
  IFERROR(INDEX(incomplete,1),"""")"&amp;"
 )
)"),"quest.shoguns_katana_chapter_5.finished")</f>
        <v>quest.shoguns_katana_chapter_5.finished</v>
      </c>
      <c r="N340" s="26" t="str">
        <f t="array" ref="N340">IF(
 M340="",
 "",
 _xlfn.XLOOKUP(
  M340,
  tblTargets[TargetID],
  tblTargets[DisplayName],
  M340
 )
)</f>
        <v>Shogun's Katana Chapter 5 Finished</v>
      </c>
      <c r="O340" s="26" t="str">
        <f>IFERROR(__xludf.DUMMYFUNCTION("SWITCH(
 E340,
 ""BUILDING"",XLOOKUP(A340,tblBuildings[BuildingID],tblBuildings[costtext],""""),
 ""TECH"",XLOOKUP(A340,tblTechnologies[TechnologyID],tblTechnologies[costtext],""""),
 ""QUEST"",XLOOKUP(
  REGEXREPLACE(A340,""\.[^.]+$"",""""),
  tblQuests["&amp;"QuestID],
  tblQuests[Costtext],
  """"
 ),
 ""CITADEL"",XLOOKUP(A340,tblCitadel[CitadelID],tblCitadel[costtext],""""),
 ""COLLECTION"",XLOOKUP(A340,tblCollections[CollectionID],tblCollections[costtext],""""),
 ""CRAFTIFACT"",XLOOKUP(A340,tblCraftifacts[C"&amp;"raftifactID],tblCraftifacts[costtext],""""),
 """"
)"),"map4:1")</f>
        <v>map4:1</v>
      </c>
      <c r="P340" s="26" t="str">
        <f t="shared" si="6"/>
        <v>BLOCKED</v>
      </c>
      <c r="Q340" s="26" t="str">
        <f t="shared" si="7"/>
        <v>BLOCKED</v>
      </c>
      <c r="R340" s="26" t="str">
        <f t="array" ref="R340">IFERROR(
 _xlfn.XLOOKUP(
  A340,
  tblChecklist[TargetID],
  tblChecklist[PlayerSort],
  ""
 ),
 ""
)</f>
        <v/>
      </c>
      <c r="S340" s="26" t="str">
        <f>IFERROR(__xludf.DUMMYFUNCTION("LET(
 id,A340,
 successorIDs,
  IFERROR(
   UNIQUE(
    FILTER(
     {
      Dependencies!$A$2:$A$1000;
      QuestObjectives!$A$2:$A$1000
     },
     {
      Dependencies!$B$2:$B$1000;
      QuestObjectives!$E$2:$E$1000
     }=id
    )
   ),
   """"
  )"&amp;",
 names,
  MAP(
   successorIDs,
   LAMBDA(s,
    IF(
     s="""",
     """",
     XLOOKUP(
      s,
      $A$2:$A$1000,
      $B$2:$B$1000,
      s
     )
    )
   )
  ),
 IF(
  successorIDs="""",
  """",
  TEXTJOIN("", "",TRUE,names)
 )
)"),"Shogun's Katana Chapter 7 Finished, Craft level 4 map again")</f>
        <v>Shogun's Katana Chapter 7 Finished, Craft level 4 map again</v>
      </c>
      <c r="T340" s="26" t="str">
        <f t="array" ref="T340">_xlfn.XLOOKUP(
 A340,
 tblTargets[TargetID],
 tblTargets[CompletionMethod],
 ""
)</f>
        <v>PLAYER</v>
      </c>
      <c r="U340" s="84" t="b">
        <f>COUNTIF(tblCost[TargetID],A340)&gt;0</f>
        <v>0</v>
      </c>
      <c r="V340" s="85" t="str">
        <f t="array" ref="V340">IF(
 U340=FALSE,
 "",
 _xlfn.XLOOKUP(
  A340,
  tblCost[TargetID],
  tblCost[FundingPercent],
  ""
 )
)</f>
        <v/>
      </c>
      <c r="W340" s="26" t="str">
        <f t="array" ref="W340">IF(
 U340=FALSE,
 "",
 _xlfn.XLOOKUP(
  A340,
  tblCost[TargetID],
  tblCost[RemainingRequirements],
  ""
 )
)</f>
        <v/>
      </c>
      <c r="X340" s="45" t="str">
        <f t="array" ref="X340">IF(
 U340=FALSE,
 "N/A",
 _xlfn.XLOOKUP(
  A341,
  tblCost[TargetID],
  tblCost[TargetFunded],
  FALSE
 )
)</f>
        <v>N/A</v>
      </c>
      <c r="Y340" s="26" t="str">
        <f>IFERROR(__xludf.DUMMYFUNCTION("IFERROR(
 TEXTJOIN(
  "", "",
  TRUE,
  FILTER(
   'cost checklist'!$E$2:$E1000&amp;"": ""&amp;'cost checklist'!$G$2:$G1000,
   'cost checklist'!$B$2:$B1000=A340,
   'cost checklist'!$J$2:$J1000=FALSE
  )
 ),
 """"
)"),"")</f>
        <v/>
      </c>
      <c r="Z340" s="26" t="b">
        <f>IFERROR(__xludf.DUMMYFUNCTION("IF(
 AND(
  E340=""QUEST"",
  RIGHT(A340,9)="".accepted"",
  D340=TRUE
 ),
 XLOOKUP(
  REGEXREPLACE(A340,""\.accepted$"","""")&amp;"".finished"",
  $A$2:$A1000,
  $D$2:$D1000,
  TRUE
 )=FALSE,
 FALSE
)"),FALSE)</f>
        <v>0</v>
      </c>
      <c r="AA340" s="26" t="str">
        <f>IFERROR(__xludf.DUMMYFUNCTION("LET(
 id,A340,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41" ht="14.25" customHeight="1">
      <c r="A341" s="26" t="s">
        <v>1292</v>
      </c>
      <c r="B341" s="26" t="str">
        <f t="array" ref="B341">_xlfn.XLOOKUP(
 A341,
 tblTargets[TargetID],
 tblTargets[DisplayName],
 ""
)</f>
        <v>Shogun's Katana Chapter 7 Finished</v>
      </c>
      <c r="C341" s="26" t="str">
        <f t="shared" si="1"/>
        <v>BLOCKED</v>
      </c>
      <c r="D341" s="26" t="b">
        <f>IFERROR(__xludf.DUMMYFUNCTION("LET(
 id,A341,
 IF(
  F341=""CHARACTER"",
  LET(
   base,REGEXREPLACE(id,""@\d+$"",""""),
   required,VALUE(REGEXEXTRACT(id,""@(\d+)$"")),
   current,XLOOKUP(
    base,
    tblPlayer[PlayerStateID],
    tblPlayer[Value],
    0
   ),
   current&gt;=required
 "&amp;" ),
  IF(
   T341=""AUTO"",
   L341=0,
   COUNTIFS(
    tblChecklist[TargetID],id,
    tblChecklist[PlayerCompleted],TRUE
   )&gt;0
  )
 )
)"),FALSE)</f>
        <v>0</v>
      </c>
      <c r="E341" s="26" t="str">
        <f t="array" ref="E341">_xlfn.XLOOKUP(
 A341,
 tblTargets[TargetID],
 tblTargets[TargetType],
 ""
)</f>
        <v>QUEST</v>
      </c>
      <c r="F341" s="26" t="str">
        <f t="array" ref="F341">_xlfn.XLOOKUP(
 A341,
 tblTargets[TargetID],
 tblTargets[StateType],
 ""
)</f>
        <v/>
      </c>
      <c r="G341" s="26">
        <f>LET(
 id,A341,
 depCount,COUNTIF(tblDependencies[TargetID],id),
 objCount,COUNTIF(tblQuestObjectives[QuestTargetID],id),
 depCount+objCount
)</f>
        <v>3</v>
      </c>
      <c r="H341" s="26">
        <f t="shared" si="2"/>
        <v>3</v>
      </c>
      <c r="I341" s="26">
        <f>IFERROR(__xludf.DUMMYFUNCTION("LET(
 id,A341,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1" s="26">
        <f t="shared" si="3"/>
        <v>0</v>
      </c>
      <c r="K341" s="26" t="b">
        <f t="shared" si="4"/>
        <v>0</v>
      </c>
      <c r="L341" s="26">
        <f t="shared" si="5"/>
        <v>3</v>
      </c>
      <c r="M341" s="26" t="str">
        <f>IFERROR(__xludf.DUMMYFUNCTION("LET(
 id,A341,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L341=0,
  """",
  IFERROR(INDEX(incomplete,1),"""")"&amp;"
 )
)"),"quest.shoguns_katana_chapter_7.accepted")</f>
        <v>quest.shoguns_katana_chapter_7.accepted</v>
      </c>
      <c r="N341" s="26" t="str">
        <f t="array" ref="N341">IF(
 M341="",
 "",
 _xlfn.XLOOKUP(
  M341,
  tblTargets[TargetID],
  tblTargets[DisplayName],
  M341
 )
)</f>
        <v>Shogun's Katana Chapter 7 Accepted</v>
      </c>
      <c r="O341" s="26" t="str">
        <f>IFERROR(__xludf.DUMMYFUNCTION("SWITCH(
 E341,
 ""BUILDING"",XLOOKUP(A341,tblBuildings[BuildingID],tblBuildings[costtext],""""),
 ""TECH"",XLOOKUP(A341,tblTechnologies[TechnologyID],tblTechnologies[costtext],""""),
 ""QUEST"",XLOOKUP(
  REGEXREPLACE(A341,""\.[^.]+$"",""""),
  tblQuests["&amp;"QuestID],
  tblQuests[Costtext],
  """"
 ),
 ""CITADEL"",XLOOKUP(A341,tblCitadel[CitadelID],tblCitadel[costtext],""""),
 ""COLLECTION"",XLOOKUP(A341,tblCollections[CollectionID],tblCollections[costtext],""""),
 ""CRAFTIFACT"",XLOOKUP(A341,tblCraftifacts[C"&amp;"raftifactID],tblCraftifacts[costtext],""""),
 """"
)"),"map4:1")</f>
        <v>map4:1</v>
      </c>
      <c r="P341" s="26" t="str">
        <f t="shared" si="6"/>
        <v>BLOCKED</v>
      </c>
      <c r="Q341" s="26" t="str">
        <f t="shared" si="7"/>
        <v>BLOCKED</v>
      </c>
      <c r="R341" s="26" t="str">
        <f t="array" ref="R341">IFERROR(
 _xlfn.XLOOKUP(
  A341,
  tblChecklist[TargetID],
  tblChecklist[PlayerSort],
  ""
 ),
 ""
)</f>
        <v/>
      </c>
      <c r="S341" s="26" t="str">
        <f>IFERROR(__xludf.DUMMYFUNCTION("LET(
 id,A341,
 successorIDs,
  IFERROR(
   UNIQUE(
    FILTER(
     {
      Dependencies!$A$2:$A$1000;
      QuestObjectives!$A$2:$A$1000
     },
     {
      Dependencies!$B$2:$B$1000;
      QuestObjectives!$E$2:$E$1000
     }=id
    )
   ),
   """"
  )"&amp;",
 names,
  MAP(
   successorIDs,
   LAMBDA(s,
    IF(
     s="""",
     """",
     XLOOKUP(
      s,
      $A$2:$A$1000,
      $B$2:$B$1000,
      s
     )
    )
   )
  ),
 IF(
  successorIDs="""",
  """",
  TEXTJOIN("", "",TRUE,names)
 )
)"),"Obtain Shogun's Katana")</f>
        <v>Obtain Shogun's Katana</v>
      </c>
      <c r="T341" s="26" t="str">
        <f t="array" ref="T341">_xlfn.XLOOKUP(
 A341,
 tblTargets[TargetID],
 tblTargets[CompletionMethod],
 ""
)</f>
        <v>PLAYER</v>
      </c>
      <c r="U341" s="84" t="b">
        <f>COUNTIF(tblCost[TargetID],A341)&gt;0</f>
        <v>1</v>
      </c>
      <c r="V341" s="85">
        <f t="array" ref="V341">IF(
 U341=FALSE,
 "",
 _xlfn.XLOOKUP(
  A341,
  tblCost[TargetID],
  tblCost[FundingPercent],
  ""
 )
)</f>
        <v>0</v>
      </c>
      <c r="W341" s="26">
        <f t="array" ref="W341">IF(
 U341=FALSE,
 "",
 _xlfn.XLOOKUP(
  A341,
  tblCost[TargetID],
  tblCost[RemainingRequirements],
  ""
 )
)</f>
        <v>1</v>
      </c>
      <c r="X341" s="45" t="b">
        <f t="array" ref="X341">IF(
 U341=FALSE,
 "N/A",
 _xlfn.XLOOKUP(
  A342,
  tblCost[TargetID],
  tblCost[TargetFunded],
  FALSE
 )
)</f>
        <v>0</v>
      </c>
      <c r="Y341" s="26" t="str">
        <f>IFERROR(__xludf.DUMMYFUNCTION("IFERROR(
 TEXTJOIN(
  "", "",
  TRUE,
  FILTER(
   'cost checklist'!$E$2:$E1000&amp;"": ""&amp;'cost checklist'!$G$2:$G1000,
   'cost checklist'!$B$2:$B1000=A341,
   'cost checklist'!$J$2:$J1000=FALSE
  )
 ),
 """"
)"),"map4: 1")</f>
        <v>map4: 1</v>
      </c>
      <c r="Z341" s="26" t="b">
        <f>IFERROR(__xludf.DUMMYFUNCTION("IF(
 AND(
  E341=""QUEST"",
  RIGHT(A341,9)="".accepted"",
  D341=TRUE
 ),
 XLOOKUP(
  REGEXREPLACE(A341,""\.accepted$"","""")&amp;"".finished"",
  $A$2:$A1000,
  $D$2:$D1000,
  TRUE
 )=FALSE,
 FALSE
)"),FALSE)</f>
        <v>0</v>
      </c>
      <c r="AA341" s="26" t="str">
        <f>IFERROR(__xludf.DUMMYFUNCTION("LET(
 id,A341,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42" ht="14.25" customHeight="1">
      <c r="A342" s="26" t="s">
        <v>1294</v>
      </c>
      <c r="B342" s="26" t="str">
        <f t="array" ref="B342">_xlfn.XLOOKUP(
 A342,
 tblTargets[TargetID],
 tblTargets[DisplayName],
 ""
)</f>
        <v>Silk Road Accepted</v>
      </c>
      <c r="C342" s="26" t="str">
        <f t="shared" si="1"/>
        <v>BLOCKED</v>
      </c>
      <c r="D342" s="26" t="b">
        <f>IFERROR(__xludf.DUMMYFUNCTION("LET(
 id,A342,
 IF(
  F342=""CHARACTER"",
  LET(
   base,REGEXREPLACE(id,""@\d+$"",""""),
   required,VALUE(REGEXEXTRACT(id,""@(\d+)$"")),
   current,XLOOKUP(
    base,
    tblPlayer[PlayerStateID],
    tblPlayer[Value],
    0
   ),
   current&gt;=required
 "&amp;" ),
  IF(
   T342=""AUTO"",
   L342=0,
   COUNTIFS(
    tblChecklist[TargetID],id,
    tblChecklist[PlayerCompleted],TRUE
   )&gt;0
  )
 )
)"),FALSE)</f>
        <v>0</v>
      </c>
      <c r="E342" s="26" t="str">
        <f t="array" ref="E342">_xlfn.XLOOKUP(
 A342,
 tblTargets[TargetID],
 tblTargets[TargetType],
 ""
)</f>
        <v>QUEST</v>
      </c>
      <c r="F342" s="26" t="str">
        <f t="array" ref="F342">_xlfn.XLOOKUP(
 A342,
 tblTargets[TargetID],
 tblTargets[StateType],
 ""
)</f>
        <v/>
      </c>
      <c r="G342" s="26">
        <f>LET(
 id,A342,
 depCount,COUNTIF(tblDependencies[TargetID],id),
 objCount,COUNTIF(tblQuestObjectives[QuestTargetID],id),
 depCount+objCount
)</f>
        <v>1</v>
      </c>
      <c r="H342" s="26">
        <f t="shared" si="2"/>
        <v>1</v>
      </c>
      <c r="I342" s="26">
        <f>IFERROR(__xludf.DUMMYFUNCTION("LET(
 id,A342,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2" s="26">
        <f t="shared" si="3"/>
        <v>0</v>
      </c>
      <c r="K342" s="26" t="b">
        <f t="shared" si="4"/>
        <v>0</v>
      </c>
      <c r="L342" s="26">
        <f t="shared" si="5"/>
        <v>1</v>
      </c>
      <c r="M342" s="26" t="str">
        <f>IFERROR(__xludf.DUMMYFUNCTION("LET(
 id,A342,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L342=0,
  """",
  IFERROR(INDEX(incomplete,1),"""")"&amp;"
 )
)"),"building.bridge@1")</f>
        <v>building.bridge@1</v>
      </c>
      <c r="N342" s="26" t="str">
        <f t="array" ref="N342">IF(
 M342="",
 "",
 _xlfn.XLOOKUP(
  M342,
  tblTargets[TargetID],
  tblTargets[DisplayName],
  M342
 )
)</f>
        <v>Bridge Lv 1</v>
      </c>
      <c r="O342" s="26" t="str">
        <f>IFERROR(__xludf.DUMMYFUNCTION("SWITCH(
 E342,
 ""BUILDING"",XLOOKUP(A342,tblBuildings[BuildingID],tblBuildings[costtext],""""),
 ""TECH"",XLOOKUP(A342,tblTechnologies[TechnologyID],tblTechnologies[costtext],""""),
 ""QUEST"",XLOOKUP(
  REGEXREPLACE(A342,""\.[^.]+$"",""""),
  tblQuests["&amp;"QuestID],
  tblQuests[Costtext],
  """"
 ),
 ""CITADEL"",XLOOKUP(A342,tblCitadel[CitadelID],tblCitadel[costtext],""""),
 ""COLLECTION"",XLOOKUP(A342,tblCollections[CollectionID],tblCollections[costtext],""""),
 ""CRAFTIFACT"",XLOOKUP(A342,tblCraftifacts[C"&amp;"raftifactID],tblCraftifacts[costtext],""""),
 """"
)"),"")</f>
        <v/>
      </c>
      <c r="P342" s="26" t="str">
        <f t="shared" si="6"/>
        <v>BLOCKED</v>
      </c>
      <c r="Q342" s="26" t="str">
        <f t="shared" si="7"/>
        <v>BLOCKED</v>
      </c>
      <c r="R342" s="26" t="str">
        <f t="array" ref="R342">IFERROR(
 _xlfn.XLOOKUP(
  A342,
  tblChecklist[TargetID],
  tblChecklist[PlayerSort],
  ""
 ),
 ""
)</f>
        <v/>
      </c>
      <c r="S342" s="26" t="str">
        <f>IFERROR(__xludf.DUMMYFUNCTION("LET(
 id,A342,
 successorIDs,
  IFERROR(
   UNIQUE(
    FILTER(
     {
      Dependencies!$A$2:$A$1000;
      QuestObjectives!$A$2:$A$1000
     },
     {
      Dependencies!$B$2:$B$1000;
      QuestObjectives!$E$2:$E$1000
     }=id
    )
   ),
   """"
  )"&amp;",
 names,
  MAP(
   successorIDs,
   LAMBDA(s,
    IF(
     s="""",
     """",
     XLOOKUP(
      s,
      $A$2:$A$1000,
      $B$2:$B$1000,
      s
     )
    )
   )
  ),
 IF(
  successorIDs="""",
  """",
  TEXTJOIN("", "",TRUE,names)
 )
)"),"Silk Road Finished, Visit Athens, Visit Baghdad, Visit Beijing, Visit Cairo, Visit Delhi, Visit Kyiv, Visit Rome, Visit Xian")</f>
        <v>Silk Road Finished, Visit Athens, Visit Baghdad, Visit Beijing, Visit Cairo, Visit Delhi, Visit Kyiv, Visit Rome, Visit Xian</v>
      </c>
      <c r="T342" s="26" t="str">
        <f t="array" ref="T342">_xlfn.XLOOKUP(
 A342,
 tblTargets[TargetID],
 tblTargets[CompletionMethod],
 ""
)</f>
        <v>PLAYER</v>
      </c>
      <c r="U342" s="84" t="b">
        <f>COUNTIF(tblCost[TargetID],A342)&gt;0</f>
        <v>0</v>
      </c>
      <c r="V342" s="85" t="str">
        <f t="array" ref="V342">IF(
 U342=FALSE,
 "",
 _xlfn.XLOOKUP(
  A342,
  tblCost[TargetID],
  tblCost[FundingPercent],
  ""
 )
)</f>
        <v/>
      </c>
      <c r="W342" s="26" t="str">
        <f t="array" ref="W342">IF(
 U342=FALSE,
 "",
 _xlfn.XLOOKUP(
  A342,
  tblCost[TargetID],
  tblCost[RemainingRequirements],
  ""
 )
)</f>
        <v/>
      </c>
      <c r="X342" s="45" t="str">
        <f t="array" ref="X342">IF(
 U342=FALSE,
 "N/A",
 _xlfn.XLOOKUP(
  A343,
  tblCost[TargetID],
  tblCost[TargetFunded],
  FALSE
 )
)</f>
        <v>N/A</v>
      </c>
      <c r="Y342" s="26" t="str">
        <f>IFERROR(__xludf.DUMMYFUNCTION("IFERROR(
 TEXTJOIN(
  "", "",
  TRUE,
  FILTER(
   'cost checklist'!$E$2:$E1000&amp;"": ""&amp;'cost checklist'!$G$2:$G1000,
   'cost checklist'!$B$2:$B1000=A342,
   'cost checklist'!$J$2:$J1000=FALSE
  )
 ),
 """"
)"),"")</f>
        <v/>
      </c>
      <c r="Z342" s="26" t="b">
        <f>IFERROR(__xludf.DUMMYFUNCTION("IF(
 AND(
  E342=""QUEST"",
  RIGHT(A342,9)="".accepted"",
  D342=TRUE
 ),
 XLOOKUP(
  REGEXREPLACE(A342,""\.accepted$"","""")&amp;"".finished"",
  $A$2:$A1000,
  $D$2:$D1000,
  TRUE
 )=FALSE,
 FALSE
)"),FALSE)</f>
        <v>0</v>
      </c>
      <c r="AA342" s="26" t="str">
        <f>IFERROR(__xludf.DUMMYFUNCTION("LET(
 id,A342,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43" ht="14.25" customHeight="1">
      <c r="A343" s="26" t="s">
        <v>1296</v>
      </c>
      <c r="B343" s="26" t="str">
        <f t="array" ref="B343">_xlfn.XLOOKUP(
 A343,
 tblTargets[TargetID],
 tblTargets[DisplayName],
 ""
)</f>
        <v>Silk Road Finished</v>
      </c>
      <c r="C343" s="26" t="str">
        <f t="shared" si="1"/>
        <v>BLOCKED</v>
      </c>
      <c r="D343" s="26" t="b">
        <f>IFERROR(__xludf.DUMMYFUNCTION("LET(
 id,A343,
 IF(
  F343=""CHARACTER"",
  LET(
   base,REGEXREPLACE(id,""@\d+$"",""""),
   required,VALUE(REGEXEXTRACT(id,""@(\d+)$"")),
   current,XLOOKUP(
    base,
    tblPlayer[PlayerStateID],
    tblPlayer[Value],
    0
   ),
   current&gt;=required
 "&amp;" ),
  IF(
   T343=""AUTO"",
   L343=0,
   COUNTIFS(
    tblChecklist[TargetID],id,
    tblChecklist[PlayerCompleted],TRUE
   )&gt;0
  )
 )
)"),FALSE)</f>
        <v>0</v>
      </c>
      <c r="E343" s="26" t="str">
        <f t="array" ref="E343">_xlfn.XLOOKUP(
 A343,
 tblTargets[TargetID],
 tblTargets[TargetType],
 ""
)</f>
        <v>QUEST</v>
      </c>
      <c r="F343" s="26" t="str">
        <f t="array" ref="F343">_xlfn.XLOOKUP(
 A343,
 tblTargets[TargetID],
 tblTargets[StateType],
 ""
)</f>
        <v/>
      </c>
      <c r="G343" s="26">
        <f>LET(
 id,A343,
 depCount,COUNTIF(tblDependencies[TargetID],id),
 objCount,COUNTIF(tblQuestObjectives[QuestTargetID],id),
 depCount+objCount
)</f>
        <v>9</v>
      </c>
      <c r="H343" s="26">
        <f t="shared" si="2"/>
        <v>9</v>
      </c>
      <c r="I343" s="26">
        <f>IFERROR(__xludf.DUMMYFUNCTION("LET(
 id,A343,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3" s="26">
        <f t="shared" si="3"/>
        <v>0</v>
      </c>
      <c r="K343" s="26" t="b">
        <f t="shared" si="4"/>
        <v>0</v>
      </c>
      <c r="L343" s="26">
        <f t="shared" si="5"/>
        <v>9</v>
      </c>
      <c r="M343" s="26" t="str">
        <f>IFERROR(__xludf.DUMMYFUNCTION("LET(
 id,A343,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L343=0,
  """",
  IFERROR(INDEX(incomplete,1),"""")"&amp;"
 )
)"),"quest.silk_road.accepted")</f>
        <v>quest.silk_road.accepted</v>
      </c>
      <c r="N343" s="26" t="str">
        <f t="array" ref="N343">IF(
 M343="",
 "",
 _xlfn.XLOOKUP(
  M343,
  tblTargets[TargetID],
  tblTargets[DisplayName],
  M343
 )
)</f>
        <v>Silk Road Accepted</v>
      </c>
      <c r="O343" s="26" t="str">
        <f>IFERROR(__xludf.DUMMYFUNCTION("SWITCH(
 E343,
 ""BUILDING"",XLOOKUP(A343,tblBuildings[BuildingID],tblBuildings[costtext],""""),
 ""TECH"",XLOOKUP(A343,tblTechnologies[TechnologyID],tblTechnologies[costtext],""""),
 ""QUEST"",XLOOKUP(
  REGEXREPLACE(A343,""\.[^.]+$"",""""),
  tblQuests["&amp;"QuestID],
  tblQuests[Costtext],
  """"
 ),
 ""CITADEL"",XLOOKUP(A343,tblCitadel[CitadelID],tblCitadel[costtext],""""),
 ""COLLECTION"",XLOOKUP(A343,tblCollections[CollectionID],tblCollections[costtext],""""),
 ""CRAFTIFACT"",XLOOKUP(A343,tblCraftifacts[C"&amp;"raftifactID],tblCraftifacts[costtext],""""),
 """"
)"),"")</f>
        <v/>
      </c>
      <c r="P343" s="26" t="str">
        <f t="shared" si="6"/>
        <v>BLOCKED</v>
      </c>
      <c r="Q343" s="26" t="str">
        <f t="shared" si="7"/>
        <v>BLOCKED</v>
      </c>
      <c r="R343" s="26" t="str">
        <f t="array" ref="R343">IFERROR(
 _xlfn.XLOOKUP(
  A343,
  tblChecklist[TargetID],
  tblChecklist[PlayerSort],
  ""
 ),
 ""
)</f>
        <v/>
      </c>
      <c r="S343" s="26" t="str">
        <f>IFERROR(__xludf.DUMMYFUNCTION("LET(
 id,A343,
 successorIDs,
  IFERROR(
   UNIQUE(
    FILTER(
     {
      Dependencies!$A$2:$A$1000;
      QuestObjectives!$A$2:$A$1000
     },
     {
      Dependencies!$B$2:$B$1000;
      QuestObjectives!$E$2:$E$1000
     }=id
    )
   ),
   """"
  )"&amp;",
 names,
  MAP(
   successorIDs,
   LAMBDA(s,
    IF(
     s="""",
     """",
     XLOOKUP(
      s,
      $A$2:$A$1000,
      $B$2:$B$1000,
      s
     )
    )
   )
  ),
 IF(
  successorIDs="""",
  """",
  TEXTJOIN("", "",TRUE,names)
 )
)"),"")</f>
        <v/>
      </c>
      <c r="T343" s="26" t="str">
        <f t="array" ref="T343">_xlfn.XLOOKUP(
 A343,
 tblTargets[TargetID],
 tblTargets[CompletionMethod],
 ""
)</f>
        <v>PLAYER</v>
      </c>
      <c r="U343" s="84" t="b">
        <f>COUNTIF(tblCost[TargetID],A343)&gt;0</f>
        <v>0</v>
      </c>
      <c r="V343" s="85" t="str">
        <f t="array" ref="V343">IF(
 U343=FALSE,
 "",
 _xlfn.XLOOKUP(
  A343,
  tblCost[TargetID],
  tblCost[FundingPercent],
  ""
 )
)</f>
        <v/>
      </c>
      <c r="W343" s="26" t="str">
        <f t="array" ref="W343">IF(
 U343=FALSE,
 "",
 _xlfn.XLOOKUP(
  A343,
  tblCost[TargetID],
  tblCost[RemainingRequirements],
  ""
 )
)</f>
        <v/>
      </c>
      <c r="X343" s="45" t="str">
        <f t="array" ref="X343">IF(
 U343=FALSE,
 "N/A",
 _xlfn.XLOOKUP(
  A344,
  tblCost[TargetID],
  tblCost[TargetFunded],
  FALSE
 )
)</f>
        <v>N/A</v>
      </c>
      <c r="Y343" s="26" t="str">
        <f>IFERROR(__xludf.DUMMYFUNCTION("IFERROR(
 TEXTJOIN(
  "", "",
  TRUE,
  FILTER(
   'cost checklist'!$E$2:$E1000&amp;"": ""&amp;'cost checklist'!$G$2:$G1000,
   'cost checklist'!$B$2:$B1000=A343,
   'cost checklist'!$J$2:$J1000=FALSE
  )
 ),
 """"
)"),"")</f>
        <v/>
      </c>
      <c r="Z343" s="26" t="b">
        <f>IFERROR(__xludf.DUMMYFUNCTION("IF(
 AND(
  E343=""QUEST"",
  RIGHT(A343,9)="".accepted"",
  D343=TRUE
 ),
 XLOOKUP(
  REGEXREPLACE(A343,""\.accepted$"","""")&amp;"".finished"",
  $A$2:$A1000,
  $D$2:$D1000,
  TRUE
 )=FALSE,
 FALSE
)"),FALSE)</f>
        <v>0</v>
      </c>
      <c r="AA343" s="26" t="str">
        <f>IFERROR(__xludf.DUMMYFUNCTION("LET(
 id,A343,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44" ht="14.25" customHeight="1">
      <c r="A344" s="26" t="s">
        <v>1298</v>
      </c>
      <c r="B344" s="26" t="str">
        <f t="array" ref="B344">_xlfn.XLOOKUP(
 A344,
 tblTargets[TargetID],
 tblTargets[DisplayName],
 ""
)</f>
        <v>Spicy Odyssey Accepted</v>
      </c>
      <c r="C344" s="26" t="str">
        <f t="shared" si="1"/>
        <v>BLOCKED</v>
      </c>
      <c r="D344" s="26" t="b">
        <f>IFERROR(__xludf.DUMMYFUNCTION("LET(
 id,A344,
 IF(
  F344=""CHARACTER"",
  LET(
   base,REGEXREPLACE(id,""@\d+$"",""""),
   required,VALUE(REGEXEXTRACT(id,""@(\d+)$"")),
   current,XLOOKUP(
    base,
    tblPlayer[PlayerStateID],
    tblPlayer[Value],
    0
   ),
   current&gt;=required
 "&amp;" ),
  IF(
   T344=""AUTO"",
   L344=0,
   COUNTIFS(
    tblChecklist[TargetID],id,
    tblChecklist[PlayerCompleted],TRUE
   )&gt;0
  )
 )
)"),FALSE)</f>
        <v>0</v>
      </c>
      <c r="E344" s="26" t="str">
        <f t="array" ref="E344">_xlfn.XLOOKUP(
 A344,
 tblTargets[TargetID],
 tblTargets[TargetType],
 ""
)</f>
        <v>QUEST</v>
      </c>
      <c r="F344" s="26" t="str">
        <f t="array" ref="F344">_xlfn.XLOOKUP(
 A344,
 tblTargets[TargetID],
 tblTargets[StateType],
 ""
)</f>
        <v/>
      </c>
      <c r="G344" s="26">
        <f>LET(
 id,A344,
 depCount,COUNTIF(tblDependencies[TargetID],id),
 objCount,COUNTIF(tblQuestObjectives[QuestTargetID],id),
 depCount+objCount
)</f>
        <v>1</v>
      </c>
      <c r="H344" s="26">
        <f t="shared" si="2"/>
        <v>1</v>
      </c>
      <c r="I344" s="26">
        <f>IFERROR(__xludf.DUMMYFUNCTION("LET(
 id,A344,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4" s="26">
        <f t="shared" si="3"/>
        <v>0</v>
      </c>
      <c r="K344" s="26" t="b">
        <f t="shared" si="4"/>
        <v>0</v>
      </c>
      <c r="L344" s="26">
        <f t="shared" si="5"/>
        <v>1</v>
      </c>
      <c r="M344" s="26" t="str">
        <f>IFERROR(__xludf.DUMMYFUNCTION("LET(
 id,A344,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L344=0,
  """",
  IFERROR(INDEX(incomplete,1),"""")"&amp;"
 )
)"),"building.ship@1")</f>
        <v>building.ship@1</v>
      </c>
      <c r="N344" s="26" t="str">
        <f t="array" ref="N344">IF(
 M344="",
 "",
 _xlfn.XLOOKUP(
  M344,
  tblTargets[TargetID],
  tblTargets[DisplayName],
  M344
 )
)</f>
        <v>Ship Lv 1</v>
      </c>
      <c r="O344" s="26" t="str">
        <f>IFERROR(__xludf.DUMMYFUNCTION("SWITCH(
 E344,
 ""BUILDING"",XLOOKUP(A344,tblBuildings[BuildingID],tblBuildings[costtext],""""),
 ""TECH"",XLOOKUP(A344,tblTechnologies[TechnologyID],tblTechnologies[costtext],""""),
 ""QUEST"",XLOOKUP(
  REGEXREPLACE(A344,""\.[^.]+$"",""""),
  tblQuests["&amp;"QuestID],
  tblQuests[Costtext],
  """"
 ),
 ""CITADEL"",XLOOKUP(A344,tblCitadel[CitadelID],tblCitadel[costtext],""""),
 ""COLLECTION"",XLOOKUP(A344,tblCollections[CollectionID],tblCollections[costtext],""""),
 ""CRAFTIFACT"",XLOOKUP(A344,tblCraftifacts[C"&amp;"raftifactID],tblCraftifacts[costtext],""""),
 """"
)"),"")</f>
        <v/>
      </c>
      <c r="P344" s="26" t="str">
        <f t="shared" si="6"/>
        <v>BLOCKED</v>
      </c>
      <c r="Q344" s="26" t="str">
        <f t="shared" si="7"/>
        <v>BLOCKED</v>
      </c>
      <c r="R344" s="26" t="str">
        <f t="array" ref="R344">IFERROR(
 _xlfn.XLOOKUP(
  A344,
  tblChecklist[TargetID],
  tblChecklist[PlayerSort],
  ""
 ),
 ""
)</f>
        <v/>
      </c>
      <c r="S344" s="26" t="str">
        <f>IFERROR(__xludf.DUMMYFUNCTION("LET(
 id,A344,
 successorIDs,
  IFERROR(
   UNIQUE(
    FILTER(
     {
      Dependencies!$A$2:$A$1000;
      QuestObjectives!$A$2:$A$1000
     },
     {
      Dependencies!$B$2:$B$1000;
      QuestObjectives!$E$2:$E$1000
     }=id
    )
   ),
   """"
  )"&amp;",
 names,
  MAP(
   successorIDs,
   LAMBDA(s,
    IF(
     s="""",
     """",
     XLOOKUP(
      s,
      $A$2:$A$1000,
      $B$2:$B$1000,
      s
     )
    )
   )
  ),
 IF(
  successorIDs="""",
  """",
  TEXTJOIN("", "",TRUE,names)
 )
)"),"Spicy Odyssey Finished, Obtain Spices from Spice Island")</f>
        <v>Spicy Odyssey Finished, Obtain Spices from Spice Island</v>
      </c>
      <c r="T344" s="26" t="str">
        <f t="array" ref="T344">_xlfn.XLOOKUP(
 A344,
 tblTargets[TargetID],
 tblTargets[CompletionMethod],
 ""
)</f>
        <v>PLAYER</v>
      </c>
      <c r="U344" s="84" t="b">
        <f>COUNTIF(tblCost[TargetID],A344)&gt;0</f>
        <v>0</v>
      </c>
      <c r="V344" s="85" t="str">
        <f t="array" ref="V344">IF(
 U344=FALSE,
 "",
 _xlfn.XLOOKUP(
  A344,
  tblCost[TargetID],
  tblCost[FundingPercent],
  ""
 )
)</f>
        <v/>
      </c>
      <c r="W344" s="26" t="str">
        <f t="array" ref="W344">IF(
 U344=FALSE,
 "",
 _xlfn.XLOOKUP(
  A344,
  tblCost[TargetID],
  tblCost[RemainingRequirements],
  ""
 )
)</f>
        <v/>
      </c>
      <c r="X344" s="45" t="str">
        <f t="array" ref="X344">IF(
 U344=FALSE,
 "N/A",
 _xlfn.XLOOKUP(
  A345,
  tblCost[TargetID],
  tblCost[TargetFunded],
  FALSE
 )
)</f>
        <v>N/A</v>
      </c>
      <c r="Y344" s="26" t="str">
        <f>IFERROR(__xludf.DUMMYFUNCTION("IFERROR(
 TEXTJOIN(
  "", "",
  TRUE,
  FILTER(
   'cost checklist'!$E$2:$E1000&amp;"": ""&amp;'cost checklist'!$G$2:$G1000,
   'cost checklist'!$B$2:$B1000=A344,
   'cost checklist'!$J$2:$J1000=FALSE
  )
 ),
 """"
)"),"")</f>
        <v/>
      </c>
      <c r="Z344" s="26" t="b">
        <f>IFERROR(__xludf.DUMMYFUNCTION("IF(
 AND(
  E344=""QUEST"",
  RIGHT(A344,9)="".accepted"",
  D344=TRUE
 ),
 XLOOKUP(
  REGEXREPLACE(A344,""\.accepted$"","""")&amp;"".finished"",
  $A$2:$A1000,
  $D$2:$D1000,
  TRUE
 )=FALSE,
 FALSE
)"),FALSE)</f>
        <v>0</v>
      </c>
      <c r="AA344" s="26" t="str">
        <f>IFERROR(__xludf.DUMMYFUNCTION("LET(
 id,A344,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45" ht="14.25" customHeight="1">
      <c r="A345" s="26" t="s">
        <v>1301</v>
      </c>
      <c r="B345" s="26" t="str">
        <f t="array" ref="B345">_xlfn.XLOOKUP(
 A345,
 tblTargets[TargetID],
 tblTargets[DisplayName],
 ""
)</f>
        <v>Spicy Odyssey Finished</v>
      </c>
      <c r="C345" s="26" t="str">
        <f t="shared" si="1"/>
        <v>BLOCKED</v>
      </c>
      <c r="D345" s="26" t="b">
        <f>IFERROR(__xludf.DUMMYFUNCTION("LET(
 id,A345,
 IF(
  F345=""CHARACTER"",
  LET(
   base,REGEXREPLACE(id,""@\d+$"",""""),
   required,VALUE(REGEXEXTRACT(id,""@(\d+)$"")),
   current,XLOOKUP(
    base,
    tblPlayer[PlayerStateID],
    tblPlayer[Value],
    0
   ),
   current&gt;=required
 "&amp;" ),
  IF(
   T345=""AUTO"",
   L345=0,
   COUNTIFS(
    tblChecklist[TargetID],id,
    tblChecklist[PlayerCompleted],TRUE
   )&gt;0
  )
 )
)"),FALSE)</f>
        <v>0</v>
      </c>
      <c r="E345" s="26" t="str">
        <f t="array" ref="E345">_xlfn.XLOOKUP(
 A345,
 tblTargets[TargetID],
 tblTargets[TargetType],
 ""
)</f>
        <v>QUEST</v>
      </c>
      <c r="F345" s="26" t="str">
        <f t="array" ref="F345">_xlfn.XLOOKUP(
 A345,
 tblTargets[TargetID],
 tblTargets[StateType],
 ""
)</f>
        <v/>
      </c>
      <c r="G345" s="26">
        <f>LET(
 id,A345,
 depCount,COUNTIF(tblDependencies[TargetID],id),
 objCount,COUNTIF(tblQuestObjectives[QuestTargetID],id),
 depCount+objCount
)</f>
        <v>3</v>
      </c>
      <c r="H345" s="26">
        <f t="shared" si="2"/>
        <v>3</v>
      </c>
      <c r="I345" s="26">
        <f>IFERROR(__xludf.DUMMYFUNCTION("LET(
 id,A345,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5" s="26">
        <f t="shared" si="3"/>
        <v>0</v>
      </c>
      <c r="K345" s="26" t="b">
        <f t="shared" si="4"/>
        <v>0</v>
      </c>
      <c r="L345" s="26">
        <f t="shared" si="5"/>
        <v>3</v>
      </c>
      <c r="M345" s="26" t="str">
        <f>IFERROR(__xludf.DUMMYFUNCTION("LET(
 id,A345,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L345=0,
  """",
  IFERROR(INDEX(incomplete,1),"""")"&amp;"
 )
)"),"quest.spicy_odyssey.accepted")</f>
        <v>quest.spicy_odyssey.accepted</v>
      </c>
      <c r="N345" s="26" t="str">
        <f t="array" ref="N345">IF(
 M345="",
 "",
 _xlfn.XLOOKUP(
  M345,
  tblTargets[TargetID],
  tblTargets[DisplayName],
  M345
 )
)</f>
        <v>Spicy Odyssey Accepted</v>
      </c>
      <c r="O345" s="26" t="str">
        <f>IFERROR(__xludf.DUMMYFUNCTION("SWITCH(
 E345,
 ""BUILDING"",XLOOKUP(A345,tblBuildings[BuildingID],tblBuildings[costtext],""""),
 ""TECH"",XLOOKUP(A345,tblTechnologies[TechnologyID],tblTechnologies[costtext],""""),
 ""QUEST"",XLOOKUP(
  REGEXREPLACE(A345,""\.[^.]+$"",""""),
  tblQuests["&amp;"QuestID],
  tblQuests[Costtext],
  """"
 ),
 ""CITADEL"",XLOOKUP(A345,tblCitadel[CitadelID],tblCitadel[costtext],""""),
 ""COLLECTION"",XLOOKUP(A345,tblCollections[CollectionID],tblCollections[costtext],""""),
 ""CRAFTIFACT"",XLOOKUP(A345,tblCraftifacts[C"&amp;"raftifactID],tblCraftifacts[costtext],""""),
 """"
)"),"")</f>
        <v/>
      </c>
      <c r="P345" s="26" t="str">
        <f t="shared" si="6"/>
        <v>BLOCKED</v>
      </c>
      <c r="Q345" s="26" t="str">
        <f t="shared" si="7"/>
        <v>BLOCKED</v>
      </c>
      <c r="R345" s="26" t="str">
        <f t="array" ref="R345">IFERROR(
 _xlfn.XLOOKUP(
  A345,
  tblChecklist[TargetID],
  tblChecklist[PlayerSort],
  ""
 ),
 ""
)</f>
        <v/>
      </c>
      <c r="S345" s="26" t="str">
        <f>IFERROR(__xludf.DUMMYFUNCTION("LET(
 id,A345,
 successorIDs,
  IFERROR(
   UNIQUE(
    FILTER(
     {
      Dependencies!$A$2:$A$1000;
      QuestObjectives!$A$2:$A$1000
     },
     {
      Dependencies!$B$2:$B$1000;
      QuestObjectives!$E$2:$E$1000
     }=id
    )
   ),
   """"
  )"&amp;",
 names,
  MAP(
   successorIDs,
   LAMBDA(s,
    IF(
     s="""",
     """",
     XLOOKUP(
      s,
      $A$2:$A$1000,
      $B$2:$B$1000,
      s
     )
    )
   )
  ),
 IF(
  successorIDs="""",
  """",
  TEXTJOIN("", "",TRUE,names)
 )
)"),"Treasure Island Accepted, Meet Pirate Skeleton@3A")</f>
        <v>Treasure Island Accepted, Meet Pirate Skeleton@3A</v>
      </c>
      <c r="T345" s="26" t="str">
        <f t="array" ref="T345">_xlfn.XLOOKUP(
 A345,
 tblTargets[TargetID],
 tblTargets[CompletionMethod],
 ""
)</f>
        <v>PLAYER</v>
      </c>
      <c r="U345" s="84" t="b">
        <f>COUNTIF(tblCost[TargetID],A345)&gt;0</f>
        <v>0</v>
      </c>
      <c r="V345" s="85" t="str">
        <f t="array" ref="V345">IF(
 U345=FALSE,
 "",
 _xlfn.XLOOKUP(
  A345,
  tblCost[TargetID],
  tblCost[FundingPercent],
  ""
 )
)</f>
        <v/>
      </c>
      <c r="W345" s="26" t="str">
        <f t="array" ref="W345">IF(
 U345=FALSE,
 "",
 _xlfn.XLOOKUP(
  A345,
  tblCost[TargetID],
  tblCost[RemainingRequirements],
  ""
 )
)</f>
        <v/>
      </c>
      <c r="X345" s="45" t="str">
        <f t="array" ref="X345">IF(
 U345=FALSE,
 "N/A",
 _xlfn.XLOOKUP(
  A346,
  tblCost[TargetID],
  tblCost[TargetFunded],
  FALSE
 )
)</f>
        <v>N/A</v>
      </c>
      <c r="Y345" s="26" t="str">
        <f>IFERROR(__xludf.DUMMYFUNCTION("IFERROR(
 TEXTJOIN(
  "", "",
  TRUE,
  FILTER(
   'cost checklist'!$E$2:$E1000&amp;"": ""&amp;'cost checklist'!$G$2:$G1000,
   'cost checklist'!$B$2:$B1000=A345,
   'cost checklist'!$J$2:$J1000=FALSE
  )
 ),
 """"
)"),"")</f>
        <v/>
      </c>
      <c r="Z345" s="26" t="b">
        <f>IFERROR(__xludf.DUMMYFUNCTION("IF(
 AND(
  E345=""QUEST"",
  RIGHT(A345,9)="".accepted"",
  D345=TRUE
 ),
 XLOOKUP(
  REGEXREPLACE(A345,""\.accepted$"","""")&amp;"".finished"",
  $A$2:$A1000,
  $D$2:$D1000,
  TRUE
 )=FALSE,
 FALSE
)"),FALSE)</f>
        <v>0</v>
      </c>
      <c r="AA345" s="26" t="str">
        <f>IFERROR(__xludf.DUMMYFUNCTION("LET(
 id,A345,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)"),"Treasure Island")</f>
        <v>Treasure Island</v>
      </c>
    </row>
    <row r="346" ht="14.25" customHeight="1">
      <c r="A346" s="26" t="s">
        <v>1303</v>
      </c>
      <c r="B346" s="26" t="str">
        <f t="array" ref="B346">_xlfn.XLOOKUP(
 A346,
 tblTargets[TargetID],
 tblTargets[DisplayName],
 ""
)</f>
        <v>The Ordinary Days of an Adventurer Chapter 1 Accepted</v>
      </c>
      <c r="C346" s="26" t="str">
        <f t="shared" si="1"/>
        <v>BLOCKED</v>
      </c>
      <c r="D346" s="26" t="b">
        <f>IFERROR(__xludf.DUMMYFUNCTION("LET(
 id,A346,
 IF(
  F346=""CHARACTER"",
  LET(
   base,REGEXREPLACE(id,""@\d+$"",""""),
   required,VALUE(REGEXEXTRACT(id,""@(\d+)$"")),
   current,XLOOKUP(
    base,
    tblPlayer[PlayerStateID],
    tblPlayer[Value],
    0
   ),
   current&gt;=required
 "&amp;" ),
  IF(
   T346=""AUTO"",
   L346=0,
   COUNTIFS(
    tblChecklist[TargetID],id,
    tblChecklist[PlayerCompleted],TRUE
   )&gt;0
  )
 )
)"),FALSE)</f>
        <v>0</v>
      </c>
      <c r="E346" s="26" t="str">
        <f t="array" ref="E346">_xlfn.XLOOKUP(
 A346,
 tblTargets[TargetID],
 tblTargets[TargetType],
 ""
)</f>
        <v>QUEST</v>
      </c>
      <c r="F346" s="26" t="str">
        <f t="array" ref="F346">_xlfn.XLOOKUP(
 A346,
 tblTargets[TargetID],
 tblTargets[StateType],
 ""
)</f>
        <v/>
      </c>
      <c r="G346" s="26">
        <f>LET(
 id,A346,
 depCount,COUNTIF(tblDependencies[TargetID],id),
 objCount,COUNTIF(tblQuestObjectives[QuestTargetID],id),
 depCount+objCount
)</f>
        <v>5</v>
      </c>
      <c r="H346" s="26">
        <f t="shared" si="2"/>
        <v>5</v>
      </c>
      <c r="I346" s="26">
        <f>IFERROR(__xludf.DUMMYFUNCTION("LET(
 id,A346,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6" s="26">
        <f t="shared" si="3"/>
        <v>0</v>
      </c>
      <c r="K346" s="26" t="b">
        <f t="shared" si="4"/>
        <v>0</v>
      </c>
      <c r="L346" s="26">
        <f t="shared" si="5"/>
        <v>5</v>
      </c>
      <c r="M346" s="26" t="str">
        <f>IFERROR(__xludf.DUMMYFUNCTION("LET(
 id,A346,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L346=0,
  """",
  IFERROR(INDEX(incomplete,1),"""")"&amp;"
 )
)"),"tech.smithy.sword_for_a_hero_lvl_4")</f>
        <v>tech.smithy.sword_for_a_hero_lvl_4</v>
      </c>
      <c r="N346" s="26" t="str">
        <f t="array" ref="N346">IF(
 M346="",
 "",
 _xlfn.XLOOKUP(
  M346,
  tblTargets[TargetID],
  tblTargets[DisplayName],
  M346
 )
)</f>
        <v>Smithy - Sword For A Hero Lvl 4</v>
      </c>
      <c r="O346" s="26" t="str">
        <f>IFERROR(__xludf.DUMMYFUNCTION("SWITCH(
 E346,
 ""BUILDING"",XLOOKUP(A346,tblBuildings[BuildingID],tblBuildings[costtext],""""),
 ""TECH"",XLOOKUP(A346,tblTechnologies[TechnologyID],tblTechnologies[costtext],""""),
 ""QUEST"",XLOOKUP(
  REGEXREPLACE(A346,""\.[^.]+$"",""""),
  tblQuests["&amp;"QuestID],
  tblQuests[Costtext],
  """"
 ),
 ""CITADEL"",XLOOKUP(A346,tblCitadel[CitadelID],tblCitadel[costtext],""""),
 ""COLLECTION"",XLOOKUP(A346,tblCollections[CollectionID],tblCollections[costtext],""""),
 ""CRAFTIFACT"",XLOOKUP(A346,tblCraftifacts[C"&amp;"raftifactID],tblCraftifacts[costtext],""""),
 """"
)"),"")</f>
        <v/>
      </c>
      <c r="P346" s="26" t="str">
        <f t="shared" si="6"/>
        <v>BLOCKED</v>
      </c>
      <c r="Q346" s="26" t="str">
        <f t="shared" si="7"/>
        <v>BLOCKED</v>
      </c>
      <c r="R346" s="26" t="str">
        <f t="array" ref="R346">IFERROR(
 _xlfn.XLOOKUP(
  A346,
  tblChecklist[TargetID],
  tblChecklist[PlayerSort],
  ""
 ),
 ""
)</f>
        <v/>
      </c>
      <c r="S346" s="26" t="str">
        <f>IFERROR(__xludf.DUMMYFUNCTION("LET(
 id,A346,
 successorIDs,
  IFERROR(
   UNIQUE(
    FILTER(
     {
      Dependencies!$A$2:$A$1000;
      QuestObjectives!$A$2:$A$1000
     },
     {
      Dependencies!$B$2:$B$1000;
      QuestObjectives!$E$2:$E$1000
     }=id
    )
   ),
   """"
  )"&amp;",
 names,
  MAP(
   successorIDs,
   LAMBDA(s,
    IF(
     s="""",
     """",
     XLOOKUP(
      s,
      $A$2:$A$1000,
      $B$2:$B$1000,
      s
     )
    )
   )
  ),
 IF(
  successorIDs="""",
  """",
  TEXTJOIN("", "",TRUE,names)
 )
)"),"Dungeon Lv 6, The Ordinary Days of an Adventurer Chapter 1 Finished, Find Goat in 6B")</f>
        <v>Dungeon Lv 6, The Ordinary Days of an Adventurer Chapter 1 Finished, Find Goat in 6B</v>
      </c>
      <c r="T346" s="26" t="str">
        <f t="array" ref="T346">_xlfn.XLOOKUP(
 A346,
 tblTargets[TargetID],
 tblTargets[CompletionMethod],
 ""
)</f>
        <v>PLAYER</v>
      </c>
      <c r="U346" s="84" t="b">
        <f>COUNTIF(tblCost[TargetID],A346)&gt;0</f>
        <v>0</v>
      </c>
      <c r="V346" s="85" t="str">
        <f t="array" ref="V346">IF(
 U346=FALSE,
 "",
 _xlfn.XLOOKUP(
  A346,
  tblCost[TargetID],
  tblCost[FundingPercent],
  ""
 )
)</f>
        <v/>
      </c>
      <c r="W346" s="26" t="str">
        <f t="array" ref="W346">IF(
 U346=FALSE,
 "",
 _xlfn.XLOOKUP(
  A346,
  tblCost[TargetID],
  tblCost[RemainingRequirements],
  ""
 )
)</f>
        <v/>
      </c>
      <c r="X346" s="45" t="str">
        <f t="array" ref="X346">IF(
 U346=FALSE,
 "N/A",
 _xlfn.XLOOKUP(
  A347,
  tblCost[TargetID],
  tblCost[TargetFunded],
  FALSE
 )
)</f>
        <v>N/A</v>
      </c>
      <c r="Y346" s="26" t="str">
        <f>IFERROR(__xludf.DUMMYFUNCTION("IFERROR(
 TEXTJOIN(
  "", "",
  TRUE,
  FILTER(
   'cost checklist'!$E$2:$E1000&amp;"": ""&amp;'cost checklist'!$G$2:$G1000,
   'cost checklist'!$B$2:$B1000=A346,
   'cost checklist'!$J$2:$J1000=FALSE
  )
 ),
 """"
)"),"")</f>
        <v/>
      </c>
      <c r="Z346" s="26" t="b">
        <f>IFERROR(__xludf.DUMMYFUNCTION("IF(
 AND(
  E346=""QUEST"",
  RIGHT(A346,9)="".accepted"",
  D346=TRUE
 ),
 XLOOKUP(
  REGEXREPLACE(A346,""\.accepted$"","""")&amp;"".finished"",
  $A$2:$A1000,
  $D$2:$D1000,
  TRUE
 )=FALSE,
 FALSE
)"),FALSE)</f>
        <v>0</v>
      </c>
      <c r="AA346" s="26" t="str">
        <f>IFERROR(__xludf.DUMMYFUNCTION("LET(
 id,A346,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47" ht="14.25" customHeight="1">
      <c r="A347" s="26" t="s">
        <v>1305</v>
      </c>
      <c r="B347" s="26" t="str">
        <f t="array" ref="B347">_xlfn.XLOOKUP(
 A347,
 tblTargets[TargetID],
 tblTargets[DisplayName],
 ""
)</f>
        <v>The Ordinary Days of an Adventurer Chapter 1 Finished</v>
      </c>
      <c r="C347" s="26" t="str">
        <f t="shared" si="1"/>
        <v>BLOCKED</v>
      </c>
      <c r="D347" s="26" t="b">
        <f>IFERROR(__xludf.DUMMYFUNCTION("LET(
 id,A347,
 IF(
  F347=""CHARACTER"",
  LET(
   base,REGEXREPLACE(id,""@\d+$"",""""),
   required,VALUE(REGEXEXTRACT(id,""@(\d+)$"")),
   current,XLOOKUP(
    base,
    tblPlayer[PlayerStateID],
    tblPlayer[Value],
    0
   ),
   current&gt;=required
 "&amp;" ),
  IF(
   T347=""AUTO"",
   L347=0,
   COUNTIFS(
    tblChecklist[TargetID],id,
    tblChecklist[PlayerCompleted],TRUE
   )&gt;0
  )
 )
)"),FALSE)</f>
        <v>0</v>
      </c>
      <c r="E347" s="26" t="str">
        <f t="array" ref="E347">_xlfn.XLOOKUP(
 A347,
 tblTargets[TargetID],
 tblTargets[TargetType],
 ""
)</f>
        <v>QUEST</v>
      </c>
      <c r="F347" s="26" t="str">
        <f t="array" ref="F347">_xlfn.XLOOKUP(
 A347,
 tblTargets[TargetID],
 tblTargets[StateType],
 ""
)</f>
        <v/>
      </c>
      <c r="G347" s="26">
        <f>LET(
 id,A347,
 depCount,COUNTIF(tblDependencies[TargetID],id),
 objCount,COUNTIF(tblQuestObjectives[QuestTargetID],id),
 depCount+objCount
)</f>
        <v>2</v>
      </c>
      <c r="H347" s="26">
        <f t="shared" si="2"/>
        <v>2</v>
      </c>
      <c r="I347" s="26">
        <f>IFERROR(__xludf.DUMMYFUNCTION("LET(
 id,A347,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7" s="26">
        <f t="shared" si="3"/>
        <v>0</v>
      </c>
      <c r="K347" s="26" t="b">
        <f t="shared" si="4"/>
        <v>0</v>
      </c>
      <c r="L347" s="26">
        <f t="shared" si="5"/>
        <v>2</v>
      </c>
      <c r="M347" s="26" t="str">
        <f>IFERROR(__xludf.DUMMYFUNCTION("LET(
 id,A347,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L347=0,
  """",
  IFERROR(INDEX(incomplete,1),"""")"&amp;"
 )
)"),"quest.the_ordinary_days_of_an_adventurer_chapter_1.accepted")</f>
        <v>quest.the_ordinary_days_of_an_adventurer_chapter_1.accepted</v>
      </c>
      <c r="N347" s="26" t="str">
        <f t="array" ref="N347">IF(
 M347="",
 "",
 _xlfn.XLOOKUP(
  M347,
  tblTargets[TargetID],
  tblTargets[DisplayName],
  M347
 )
)</f>
        <v>The Ordinary Days of an Adventurer Chapter 1 Accepted</v>
      </c>
      <c r="O347" s="26" t="str">
        <f>IFERROR(__xludf.DUMMYFUNCTION("SWITCH(
 E347,
 ""BUILDING"",XLOOKUP(A347,tblBuildings[BuildingID],tblBuildings[costtext],""""),
 ""TECH"",XLOOKUP(A347,tblTechnologies[TechnologyID],tblTechnologies[costtext],""""),
 ""QUEST"",XLOOKUP(
  REGEXREPLACE(A347,""\.[^.]+$"",""""),
  tblQuests["&amp;"QuestID],
  tblQuests[Costtext],
  """"
 ),
 ""CITADEL"",XLOOKUP(A347,tblCitadel[CitadelID],tblCitadel[costtext],""""),
 ""COLLECTION"",XLOOKUP(A347,tblCollections[CollectionID],tblCollections[costtext],""""),
 ""CRAFTIFACT"",XLOOKUP(A347,tblCraftifacts[C"&amp;"raftifactID],tblCraftifacts[costtext],""""),
 """"
)"),"")</f>
        <v/>
      </c>
      <c r="P347" s="26" t="str">
        <f t="shared" si="6"/>
        <v>BLOCKED</v>
      </c>
      <c r="Q347" s="26" t="str">
        <f t="shared" si="7"/>
        <v>BLOCKED</v>
      </c>
      <c r="R347" s="26" t="str">
        <f t="array" ref="R347">IFERROR(
 _xlfn.XLOOKUP(
  A347,
  tblChecklist[TargetID],
  tblChecklist[PlayerSort],
  ""
 ),
 ""
)</f>
        <v/>
      </c>
      <c r="S347" s="26" t="str">
        <f>IFERROR(__xludf.DUMMYFUNCTION("LET(
 id,A347,
 successorIDs,
  IFERROR(
   UNIQUE(
    FILTER(
     {
      Dependencies!$A$2:$A$1000;
      QuestObjectives!$A$2:$A$1000
     },
     {
      Dependencies!$B$2:$B$1000;
      QuestObjectives!$E$2:$E$1000
     }=id
    )
   ),
   """"
  )"&amp;",
 names,
  MAP(
   successorIDs,
   LAMBDA(s,
    IF(
     s="""",
     """",
     XLOOKUP(
      s,
      $A$2:$A$1000,
      $B$2:$B$1000,
      s
     )
    )
   )
  ),
 IF(
  successorIDs="""",
  """",
  TEXTJOIN("", "",TRUE,names)
 )
)"),"")</f>
        <v/>
      </c>
      <c r="T347" s="26" t="str">
        <f t="array" ref="T347">_xlfn.XLOOKUP(
 A347,
 tblTargets[TargetID],
 tblTargets[CompletionMethod],
 ""
)</f>
        <v>PLAYER</v>
      </c>
      <c r="U347" s="84" t="b">
        <f>COUNTIF(tblCost[TargetID],A347)&gt;0</f>
        <v>0</v>
      </c>
      <c r="V347" s="85" t="str">
        <f t="array" ref="V347">IF(
 U347=FALSE,
 "",
 _xlfn.XLOOKUP(
  A347,
  tblCost[TargetID],
  tblCost[FundingPercent],
  ""
 )
)</f>
        <v/>
      </c>
      <c r="W347" s="26" t="str">
        <f t="array" ref="W347">IF(
 U347=FALSE,
 "",
 _xlfn.XLOOKUP(
  A347,
  tblCost[TargetID],
  tblCost[RemainingRequirements],
  ""
 )
)</f>
        <v/>
      </c>
      <c r="X347" s="45" t="str">
        <f t="array" ref="X347">IF(
 U347=FALSE,
 "N/A",
 _xlfn.XLOOKUP(
  A348,
  tblCost[TargetID],
  tblCost[TargetFunded],
  FALSE
 )
)</f>
        <v>N/A</v>
      </c>
      <c r="Y347" s="26" t="str">
        <f>IFERROR(__xludf.DUMMYFUNCTION("IFERROR(
 TEXTJOIN(
  "", "",
  TRUE,
  FILTER(
   'cost checklist'!$E$2:$E1000&amp;"": ""&amp;'cost checklist'!$G$2:$G1000,
   'cost checklist'!$B$2:$B1000=A347,
   'cost checklist'!$J$2:$J1000=FALSE
  )
 ),
 """"
)"),"")</f>
        <v/>
      </c>
      <c r="Z347" s="26" t="b">
        <f>IFERROR(__xludf.DUMMYFUNCTION("IF(
 AND(
  E347=""QUEST"",
  RIGHT(A347,9)="".accepted"",
  D347=TRUE
 ),
 XLOOKUP(
  REGEXREPLACE(A347,""\.accepted$"","""")&amp;"".finished"",
  $A$2:$A1000,
  $D$2:$D1000,
  TRUE
 )=FALSE,
 FALSE
)"),FALSE)</f>
        <v>0</v>
      </c>
      <c r="AA347" s="26" t="str">
        <f>IFERROR(__xludf.DUMMYFUNCTION("LET(
 id,A347,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48" ht="14.25" customHeight="1">
      <c r="A348" s="26" t="s">
        <v>1307</v>
      </c>
      <c r="B348" s="26" t="str">
        <f t="array" ref="B348">_xlfn.XLOOKUP(
 A348,
 tblTargets[TargetID],
 tblTargets[DisplayName],
 ""
)</f>
        <v>The Ordinary Days of an Adventurer Chapter 2 Accepted</v>
      </c>
      <c r="C348" s="26" t="str">
        <f t="shared" si="1"/>
        <v>BLOCKED</v>
      </c>
      <c r="D348" s="26" t="b">
        <f>IFERROR(__xludf.DUMMYFUNCTION("LET(
 id,A348,
 IF(
  F348=""CHARACTER"",
  LET(
   base,REGEXREPLACE(id,""@\d+$"",""""),
   required,VALUE(REGEXEXTRACT(id,""@(\d+)$"")),
   current,XLOOKUP(
    base,
    tblPlayer[PlayerStateID],
    tblPlayer[Value],
    0
   ),
   current&gt;=required
 "&amp;" ),
  IF(
   T348=""AUTO"",
   L348=0,
   COUNTIFS(
    tblChecklist[TargetID],id,
    tblChecklist[PlayerCompleted],TRUE
   )&gt;0
  )
 )
)"),FALSE)</f>
        <v>0</v>
      </c>
      <c r="E348" s="26" t="str">
        <f t="array" ref="E348">_xlfn.XLOOKUP(
 A348,
 tblTargets[TargetID],
 tblTargets[TargetType],
 ""
)</f>
        <v>QUEST</v>
      </c>
      <c r="F348" s="26" t="str">
        <f t="array" ref="F348">_xlfn.XLOOKUP(
 A348,
 tblTargets[TargetID],
 tblTargets[StateType],
 ""
)</f>
        <v/>
      </c>
      <c r="G348" s="26">
        <f>LET(
 id,A348,
 depCount,COUNTIF(tblDependencies[TargetID],id),
 objCount,COUNTIF(tblQuestObjectives[QuestTargetID],id),
 depCount+objCount
)</f>
        <v>2</v>
      </c>
      <c r="H348" s="26">
        <f t="shared" si="2"/>
        <v>2</v>
      </c>
      <c r="I348" s="26">
        <f>IFERROR(__xludf.DUMMYFUNCTION("LET(
 id,A348,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8" s="26">
        <f t="shared" si="3"/>
        <v>0</v>
      </c>
      <c r="K348" s="26" t="b">
        <f t="shared" si="4"/>
        <v>0</v>
      </c>
      <c r="L348" s="26">
        <f t="shared" si="5"/>
        <v>2</v>
      </c>
      <c r="M348" s="26" t="str">
        <f>IFERROR(__xludf.DUMMYFUNCTION("LET(
 id,A348,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L348=0,
  """",
  IFERROR(INDEX(incomplete,1),"""")"&amp;"
 )
)"),"quest.once_upon_a_forest_chapter_12.finished")</f>
        <v>quest.once_upon_a_forest_chapter_12.finished</v>
      </c>
      <c r="N348" s="26" t="str">
        <f t="array" ref="N348">IF(
 M348="",
 "",
 _xlfn.XLOOKUP(
  M348,
  tblTargets[TargetID],
  tblTargets[DisplayName],
  M348
 )
)</f>
        <v>Once Upon a Forest Chapter 12 Finished</v>
      </c>
      <c r="O348" s="26" t="str">
        <f>IFERROR(__xludf.DUMMYFUNCTION("SWITCH(
 E348,
 ""BUILDING"",XLOOKUP(A348,tblBuildings[BuildingID],tblBuildings[costtext],""""),
 ""TECH"",XLOOKUP(A348,tblTechnologies[TechnologyID],tblTechnologies[costtext],""""),
 ""QUEST"",XLOOKUP(
  REGEXREPLACE(A348,""\.[^.]+$"",""""),
  tblQuests["&amp;"QuestID],
  tblQuests[Costtext],
  """"
 ),
 ""CITADEL"",XLOOKUP(A348,tblCitadel[CitadelID],tblCitadel[costtext],""""),
 ""COLLECTION"",XLOOKUP(A348,tblCollections[CollectionID],tblCollections[costtext],""""),
 ""CRAFTIFACT"",XLOOKUP(A348,tblCraftifacts[C"&amp;"raftifactID],tblCraftifacts[costtext],""""),
 """"
)"),"bamboo:25,soy:5,inarizushi:3")</f>
        <v>bamboo:25,soy:5,inarizushi:3</v>
      </c>
      <c r="P348" s="26" t="str">
        <f t="shared" si="6"/>
        <v>BLOCKED</v>
      </c>
      <c r="Q348" s="26" t="str">
        <f t="shared" si="7"/>
        <v>BLOCKED</v>
      </c>
      <c r="R348" s="26" t="str">
        <f t="array" ref="R348">IFERROR(
 _xlfn.XLOOKUP(
  A348,
  tblChecklist[TargetID],
  tblChecklist[PlayerSort],
  ""
 ),
 ""
)</f>
        <v/>
      </c>
      <c r="S348" s="26" t="str">
        <f>IFERROR(__xludf.DUMMYFUNCTION("LET(
 id,A348,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2 Finished")</f>
        <v>The Ordinary Days of an Adventurer Chapter 2 Finished</v>
      </c>
      <c r="T348" s="26" t="str">
        <f t="array" ref="T348">_xlfn.XLOOKUP(
 A348,
 tblTargets[TargetID],
 tblTargets[CompletionMethod],
 ""
)</f>
        <v>PLAYER</v>
      </c>
      <c r="U348" s="84" t="b">
        <f>COUNTIF(tblCost[TargetID],A348)&gt;0</f>
        <v>0</v>
      </c>
      <c r="V348" s="85" t="str">
        <f t="array" ref="V348">IF(
 U348=FALSE,
 "",
 _xlfn.XLOOKUP(
  A348,
  tblCost[TargetID],
  tblCost[FundingPercent],
  ""
 )
)</f>
        <v/>
      </c>
      <c r="W348" s="26" t="str">
        <f t="array" ref="W348">IF(
 U348=FALSE,
 "",
 _xlfn.XLOOKUP(
  A348,
  tblCost[TargetID],
  tblCost[RemainingRequirements],
  ""
 )
)</f>
        <v/>
      </c>
      <c r="X348" s="45" t="str">
        <f t="array" ref="X348">IF(
 U348=FALSE,
 "N/A",
 _xlfn.XLOOKUP(
  A349,
  tblCost[TargetID],
  tblCost[TargetFunded],
  FALSE
 )
)</f>
        <v>N/A</v>
      </c>
      <c r="Y348" s="26" t="str">
        <f>IFERROR(__xludf.DUMMYFUNCTION("IFERROR(
 TEXTJOIN(
  "", "",
  TRUE,
  FILTER(
   'cost checklist'!$E$2:$E1000&amp;"": ""&amp;'cost checklist'!$G$2:$G1000,
   'cost checklist'!$B$2:$B1000=A348,
   'cost checklist'!$J$2:$J1000=FALSE
  )
 ),
 """"
)"),"")</f>
        <v/>
      </c>
      <c r="Z348" s="26" t="b">
        <f>IFERROR(__xludf.DUMMYFUNCTION("IF(
 AND(
  E348=""QUEST"",
  RIGHT(A348,9)="".accepted"",
  D348=TRUE
 ),
 XLOOKUP(
  REGEXREPLACE(A348,""\.accepted$"","""")&amp;"".finished"",
  $A$2:$A1000,
  $D$2:$D1000,
  TRUE
 )=FALSE,
 FALSE
)"),FALSE)</f>
        <v>0</v>
      </c>
      <c r="AA348" s="26" t="str">
        <f>IFERROR(__xludf.DUMMYFUNCTION("LET(
 id,A348,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49" ht="14.25" customHeight="1">
      <c r="A349" s="26" t="s">
        <v>1309</v>
      </c>
      <c r="B349" s="26" t="str">
        <f t="array" ref="B349">_xlfn.XLOOKUP(
 A349,
 tblTargets[TargetID],
 tblTargets[DisplayName],
 ""
)</f>
        <v>The Ordinary Days of an Adventurer Chapter 2 Finished</v>
      </c>
      <c r="C349" s="26" t="str">
        <f t="shared" si="1"/>
        <v>BLOCKED</v>
      </c>
      <c r="D349" s="26" t="b">
        <f>IFERROR(__xludf.DUMMYFUNCTION("LET(
 id,A349,
 IF(
  F349=""CHARACTER"",
  LET(
   base,REGEXREPLACE(id,""@\d+$"",""""),
   required,VALUE(REGEXEXTRACT(id,""@(\d+)$"")),
   current,XLOOKUP(
    base,
    tblPlayer[PlayerStateID],
    tblPlayer[Value],
    0
   ),
   current&gt;=required
 "&amp;" ),
  IF(
   T349=""AUTO"",
   L349=0,
   COUNTIFS(
    tblChecklist[TargetID],id,
    tblChecklist[PlayerCompleted],TRUE
   )&gt;0
  )
 )
)"),FALSE)</f>
        <v>0</v>
      </c>
      <c r="E349" s="26" t="str">
        <f t="array" ref="E349">_xlfn.XLOOKUP(
 A349,
 tblTargets[TargetID],
 tblTargets[TargetType],
 ""
)</f>
        <v>QUEST</v>
      </c>
      <c r="F349" s="26" t="str">
        <f t="array" ref="F349">_xlfn.XLOOKUP(
 A349,
 tblTargets[TargetID],
 tblTargets[StateType],
 ""
)</f>
        <v/>
      </c>
      <c r="G349" s="26">
        <f>LET(
 id,A349,
 depCount,COUNTIF(tblDependencies[TargetID],id),
 objCount,COUNTIF(tblQuestObjectives[QuestTargetID],id),
 depCount+objCount
)</f>
        <v>1</v>
      </c>
      <c r="H349" s="26">
        <f t="shared" si="2"/>
        <v>1</v>
      </c>
      <c r="I349" s="26">
        <f>IFERROR(__xludf.DUMMYFUNCTION("LET(
 id,A349,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49" s="26">
        <f t="shared" si="3"/>
        <v>0</v>
      </c>
      <c r="K349" s="26" t="b">
        <f t="shared" si="4"/>
        <v>0</v>
      </c>
      <c r="L349" s="26">
        <f t="shared" si="5"/>
        <v>1</v>
      </c>
      <c r="M349" s="26" t="str">
        <f>IFERROR(__xludf.DUMMYFUNCTION("LET(
 id,A349,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L349=0,
  """",
  IFERROR(INDEX(incomplete,1),"""")"&amp;"
 )
)"),"quest.the_ordinary_days_of_an_adventurer_chapter_2.accepted")</f>
        <v>quest.the_ordinary_days_of_an_adventurer_chapter_2.accepted</v>
      </c>
      <c r="N349" s="26" t="str">
        <f t="array" ref="N349">IF(
 M349="",
 "",
 _xlfn.XLOOKUP(
  M349,
  tblTargets[TargetID],
  tblTargets[DisplayName],
  M349
 )
)</f>
        <v>The Ordinary Days of an Adventurer Chapter 2 Accepted</v>
      </c>
      <c r="O349" s="26" t="str">
        <f>IFERROR(__xludf.DUMMYFUNCTION("SWITCH(
 E349,
 ""BUILDING"",XLOOKUP(A349,tblBuildings[BuildingID],tblBuildings[costtext],""""),
 ""TECH"",XLOOKUP(A349,tblTechnologies[TechnologyID],tblTechnologies[costtext],""""),
 ""QUEST"",XLOOKUP(
  REGEXREPLACE(A349,""\.[^.]+$"",""""),
  tblQuests["&amp;"QuestID],
  tblQuests[Costtext],
  """"
 ),
 ""CITADEL"",XLOOKUP(A349,tblCitadel[CitadelID],tblCitadel[costtext],""""),
 ""COLLECTION"",XLOOKUP(A349,tblCollections[CollectionID],tblCollections[costtext],""""),
 ""CRAFTIFACT"",XLOOKUP(A349,tblCraftifacts[C"&amp;"raftifactID],tblCraftifacts[costtext],""""),
 """"
)"),"bamboo:25,soy:5,inarizushi:3")</f>
        <v>bamboo:25,soy:5,inarizushi:3</v>
      </c>
      <c r="P349" s="26" t="str">
        <f t="shared" si="6"/>
        <v>BLOCKED</v>
      </c>
      <c r="Q349" s="26" t="str">
        <f t="shared" si="7"/>
        <v>BLOCKED</v>
      </c>
      <c r="R349" s="26" t="str">
        <f t="array" ref="R349">IFERROR(
 _xlfn.XLOOKUP(
  A349,
  tblChecklist[TargetID],
  tblChecklist[PlayerSort],
  ""
 ),
 ""
)</f>
        <v/>
      </c>
      <c r="S349" s="26" t="str">
        <f>IFERROR(__xludf.DUMMYFUNCTION("LET(
 id,A349,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3 Accepted, Meet Dark Lady@6A, Smithy - Sword For A Hero Lvl 4+, Workshop - Zen Fountain")</f>
        <v>The Ordinary Days of an Adventurer Chapter 3 Accepted, Meet Dark Lady@6A, Smithy - Sword For A Hero Lvl 4+, Workshop - Zen Fountain</v>
      </c>
      <c r="T349" s="26" t="str">
        <f t="array" ref="T349">_xlfn.XLOOKUP(
 A349,
 tblTargets[TargetID],
 tblTargets[CompletionMethod],
 ""
)</f>
        <v>PLAYER</v>
      </c>
      <c r="U349" s="84" t="b">
        <f>COUNTIF(tblCost[TargetID],A349)&gt;0</f>
        <v>1</v>
      </c>
      <c r="V349" s="85">
        <f t="array" ref="V349">IF(
 U349=FALSE,
 "",
 _xlfn.XLOOKUP(
  A349,
  tblCost[TargetID],
  tblCost[FundingPercent],
  ""
 )
)</f>
        <v>0</v>
      </c>
      <c r="W349" s="26">
        <f t="array" ref="W349">IF(
 U349=FALSE,
 "",
 _xlfn.XLOOKUP(
  A349,
  tblCost[TargetID],
  tblCost[RemainingRequirements],
  ""
 )
)</f>
        <v>3</v>
      </c>
      <c r="X349" s="45" t="b">
        <f t="array" ref="X349">IF(
 U349=FALSE,
 "N/A",
 _xlfn.XLOOKUP(
  A350,
  tblCost[TargetID],
  tblCost[TargetFunded],
  FALSE
 )
)</f>
        <v>0</v>
      </c>
      <c r="Y349" s="26" t="str">
        <f>IFERROR(__xludf.DUMMYFUNCTION("IFERROR(
 TEXTJOIN(
  "", "",
  TRUE,
  FILTER(
   'cost checklist'!$E$2:$E1000&amp;"": ""&amp;'cost checklist'!$G$2:$G1000,
   'cost checklist'!$B$2:$B1000=A349,
   'cost checklist'!$J$2:$J1000=FALSE
  )
 ),
 """"
)"),"bamboo: 25, inarizushi: 3, soy: 5")</f>
        <v>bamboo: 25, inarizushi: 3, soy: 5</v>
      </c>
      <c r="Z349" s="26" t="b">
        <f>IFERROR(__xludf.DUMMYFUNCTION("IF(
 AND(
  E349=""QUEST"",
  RIGHT(A349,9)="".accepted"",
  D349=TRUE
 ),
 XLOOKUP(
  REGEXREPLACE(A349,""\.accepted$"","""")&amp;"".finished"",
  $A$2:$A1000,
  $D$2:$D1000,
  TRUE
 )=FALSE,
 FALSE
)"),FALSE)</f>
        <v>0</v>
      </c>
      <c r="AA349" s="26" t="str">
        <f>IFERROR(__xludf.DUMMYFUNCTION("LET(
 id,A349,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3")</f>
        <v>The Ordinary Days of an Adventurer Chapter 3</v>
      </c>
    </row>
    <row r="350" ht="14.25" customHeight="1">
      <c r="A350" s="26" t="s">
        <v>1312</v>
      </c>
      <c r="B350" s="26" t="str">
        <f t="array" ref="B350">_xlfn.XLOOKUP(
 A350,
 tblTargets[TargetID],
 tblTargets[DisplayName],
 ""
)</f>
        <v>The Ordinary Days of an Adventurer Chapter 3 Accepted</v>
      </c>
      <c r="C350" s="26" t="str">
        <f t="shared" si="1"/>
        <v>BLOCKED</v>
      </c>
      <c r="D350" s="26" t="b">
        <f>IFERROR(__xludf.DUMMYFUNCTION("LET(
 id,A350,
 IF(
  F350=""CHARACTER"",
  LET(
   base,REGEXREPLACE(id,""@\d+$"",""""),
   required,VALUE(REGEXEXTRACT(id,""@(\d+)$"")),
   current,XLOOKUP(
    base,
    tblPlayer[PlayerStateID],
    tblPlayer[Value],
    0
   ),
   current&gt;=required
 "&amp;" ),
  IF(
   T350=""AUTO"",
   L350=0,
   COUNTIFS(
    tblChecklist[TargetID],id,
    tblChecklist[PlayerCompleted],TRUE
   )&gt;0
  )
 )
)"),FALSE)</f>
        <v>0</v>
      </c>
      <c r="E350" s="26" t="str">
        <f t="array" ref="E350">_xlfn.XLOOKUP(
 A350,
 tblTargets[TargetID],
 tblTargets[TargetType],
 ""
)</f>
        <v>QUEST</v>
      </c>
      <c r="F350" s="26" t="str">
        <f t="array" ref="F350">_xlfn.XLOOKUP(
 A350,
 tblTargets[TargetID],
 tblTargets[StateType],
 ""
)</f>
        <v/>
      </c>
      <c r="G350" s="26">
        <f>LET(
 id,A350,
 depCount,COUNTIF(tblDependencies[TargetID],id),
 objCount,COUNTIF(tblQuestObjectives[QuestTargetID],id),
 depCount+objCount
)</f>
        <v>2</v>
      </c>
      <c r="H350" s="26">
        <f t="shared" si="2"/>
        <v>2</v>
      </c>
      <c r="I350" s="26">
        <f>IFERROR(__xludf.DUMMYFUNCTION("LET(
 id,A350,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0" s="26">
        <f t="shared" si="3"/>
        <v>0</v>
      </c>
      <c r="K350" s="26" t="b">
        <f t="shared" si="4"/>
        <v>0</v>
      </c>
      <c r="L350" s="26">
        <f t="shared" si="5"/>
        <v>2</v>
      </c>
      <c r="M350" s="26" t="str">
        <f>IFERROR(__xludf.DUMMYFUNCTION("LET(
 id,A350,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L350=0,
  """",
  IFERROR(INDEX(incomplete,1),"""")"&amp;"
 )
)"),"quest.the_ordinary_days_of_an_adventurer_chapter_2.finished")</f>
        <v>quest.the_ordinary_days_of_an_adventurer_chapter_2.finished</v>
      </c>
      <c r="N350" s="26" t="str">
        <f t="array" ref="N350">IF(
 M350="",
 "",
 _xlfn.XLOOKUP(
  M350,
  tblTargets[TargetID],
  tblTargets[DisplayName],
  M350
 )
)</f>
        <v>The Ordinary Days of an Adventurer Chapter 2 Finished</v>
      </c>
      <c r="O350" s="26" t="str">
        <f>IFERROR(__xludf.DUMMYFUNCTION("SWITCH(
 E350,
 ""BUILDING"",XLOOKUP(A350,tblBuildings[BuildingID],tblBuildings[costtext],""""),
 ""TECH"",XLOOKUP(A350,tblTechnologies[TechnologyID],tblTechnologies[costtext],""""),
 ""QUEST"",XLOOKUP(
  REGEXREPLACE(A350,""\.[^.]+$"",""""),
  tblQuests["&amp;"QuestID],
  tblQuests[Costtext],
  """"
 ),
 ""CITADEL"",XLOOKUP(A350,tblCitadel[CitadelID],tblCitadel[costtext],""""),
 ""COLLECTION"",XLOOKUP(A350,tblCollections[CollectionID],tblCollections[costtext],""""),
 ""CRAFTIFACT"",XLOOKUP(A350,tblCraftifacts[C"&amp;"raftifactID],tblCraftifacts[costtext],""""),
 """"
)"),"")</f>
        <v/>
      </c>
      <c r="P350" s="26" t="str">
        <f t="shared" si="6"/>
        <v>BLOCKED</v>
      </c>
      <c r="Q350" s="26" t="str">
        <f t="shared" si="7"/>
        <v>BLOCKED</v>
      </c>
      <c r="R350" s="26" t="str">
        <f t="array" ref="R350">IFERROR(
 _xlfn.XLOOKUP(
  A350,
  tblChecklist[TargetID],
  tblChecklist[PlayerSort],
  ""
 ),
 ""
)</f>
        <v/>
      </c>
      <c r="S350" s="26" t="str">
        <f>IFERROR(__xludf.DUMMYFUNCTION("LET(
 id,A350,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3 Finished, Obtain the Red Diamond in 6A, Obtain the Red Diamond in 6B, Obtain the Red Diamond in 6C, Workshop - Shield For A Hero Lvl 4+")</f>
        <v>The Ordinary Days of an Adventurer Chapter 3 Finished, Obtain the Red Diamond in 6A, Obtain the Red Diamond in 6B, Obtain the Red Diamond in 6C, Workshop - Shield For A Hero Lvl 4+</v>
      </c>
      <c r="T350" s="26" t="str">
        <f t="array" ref="T350">_xlfn.XLOOKUP(
 A350,
 tblTargets[TargetID],
 tblTargets[CompletionMethod],
 ""
)</f>
        <v>PLAYER</v>
      </c>
      <c r="U350" s="84" t="b">
        <f>COUNTIF(tblCost[TargetID],A350)&gt;0</f>
        <v>0</v>
      </c>
      <c r="V350" s="85" t="str">
        <f t="array" ref="V350">IF(
 U350=FALSE,
 "",
 _xlfn.XLOOKUP(
  A350,
  tblCost[TargetID],
  tblCost[FundingPercent],
  ""
 )
)</f>
        <v/>
      </c>
      <c r="W350" s="26" t="str">
        <f t="array" ref="W350">IF(
 U350=FALSE,
 "",
 _xlfn.XLOOKUP(
  A350,
  tblCost[TargetID],
  tblCost[RemainingRequirements],
  ""
 )
)</f>
        <v/>
      </c>
      <c r="X350" s="45" t="str">
        <f t="array" ref="X350">IF(
 U350=FALSE,
 "N/A",
 _xlfn.XLOOKUP(
  A351,
  tblCost[TargetID],
  tblCost[TargetFunded],
  FALSE
 )
)</f>
        <v>N/A</v>
      </c>
      <c r="Y350" s="26" t="str">
        <f>IFERROR(__xludf.DUMMYFUNCTION("IFERROR(
 TEXTJOIN(
  "", "",
  TRUE,
  FILTER(
   'cost checklist'!$E$2:$E1000&amp;"": ""&amp;'cost checklist'!$G$2:$G1000,
   'cost checklist'!$B$2:$B1000=A350,
   'cost checklist'!$J$2:$J1000=FALSE
  )
 ),
 """"
)"),"")</f>
        <v/>
      </c>
      <c r="Z350" s="26" t="b">
        <f>IFERROR(__xludf.DUMMYFUNCTION("IF(
 AND(
  E350=""QUEST"",
  RIGHT(A350,9)="".accepted"",
  D350=TRUE
 ),
 XLOOKUP(
  REGEXREPLACE(A350,""\.accepted$"","""")&amp;"".finished"",
  $A$2:$A1000,
  $D$2:$D1000,
  TRUE
 )=FALSE,
 FALSE
)"),FALSE)</f>
        <v>0</v>
      </c>
      <c r="AA350" s="26" t="str">
        <f>IFERROR(__xludf.DUMMYFUNCTION("LET(
 id,A350,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51" ht="14.25" customHeight="1">
      <c r="A351" s="26" t="s">
        <v>1314</v>
      </c>
      <c r="B351" s="26" t="str">
        <f t="array" ref="B351">_xlfn.XLOOKUP(
 A351,
 tblTargets[TargetID],
 tblTargets[DisplayName],
 ""
)</f>
        <v>The Ordinary Days of an Adventurer Chapter 3 Finished</v>
      </c>
      <c r="C351" s="26" t="str">
        <f t="shared" si="1"/>
        <v>BLOCKED</v>
      </c>
      <c r="D351" s="26" t="b">
        <f>IFERROR(__xludf.DUMMYFUNCTION("LET(
 id,A351,
 IF(
  F351=""CHARACTER"",
  LET(
   base,REGEXREPLACE(id,""@\d+$"",""""),
   required,VALUE(REGEXEXTRACT(id,""@(\d+)$"")),
   current,XLOOKUP(
    base,
    tblPlayer[PlayerStateID],
    tblPlayer[Value],
    0
   ),
   current&gt;=required
 "&amp;" ),
  IF(
   T351=""AUTO"",
   L351=0,
   COUNTIFS(
    tblChecklist[TargetID],id,
    tblChecklist[PlayerCompleted],TRUE
   )&gt;0
  )
 )
)"),FALSE)</f>
        <v>0</v>
      </c>
      <c r="E351" s="26" t="str">
        <f t="array" ref="E351">_xlfn.XLOOKUP(
 A351,
 tblTargets[TargetID],
 tblTargets[TargetType],
 ""
)</f>
        <v>QUEST</v>
      </c>
      <c r="F351" s="26" t="str">
        <f t="array" ref="F351">_xlfn.XLOOKUP(
 A351,
 tblTargets[TargetID],
 tblTargets[StateType],
 ""
)</f>
        <v/>
      </c>
      <c r="G351" s="26">
        <f>LET(
 id,A351,
 depCount,COUNTIF(tblDependencies[TargetID],id),
 objCount,COUNTIF(tblQuestObjectives[QuestTargetID],id),
 depCount+objCount
)</f>
        <v>4</v>
      </c>
      <c r="H351" s="26">
        <f t="shared" si="2"/>
        <v>4</v>
      </c>
      <c r="I351" s="26">
        <f>IFERROR(__xludf.DUMMYFUNCTION("LET(
 id,A351,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1" s="26">
        <f t="shared" si="3"/>
        <v>0</v>
      </c>
      <c r="K351" s="26" t="b">
        <f t="shared" si="4"/>
        <v>0</v>
      </c>
      <c r="L351" s="26">
        <f t="shared" si="5"/>
        <v>4</v>
      </c>
      <c r="M351" s="26" t="str">
        <f>IFERROR(__xludf.DUMMYFUNCTION("LET(
 id,A351,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L351=0,
  """",
  IFERROR(INDEX(incomplete,1),"""")"&amp;"
 )
)"),"quest.the_ordinary_days_of_an_adventurer_chapter_3.accepted")</f>
        <v>quest.the_ordinary_days_of_an_adventurer_chapter_3.accepted</v>
      </c>
      <c r="N351" s="26" t="str">
        <f t="array" ref="N351">IF(
 M351="",
 "",
 _xlfn.XLOOKUP(
  M351,
  tblTargets[TargetID],
  tblTargets[DisplayName],
  M351
 )
)</f>
        <v>The Ordinary Days of an Adventurer Chapter 3 Accepted</v>
      </c>
      <c r="O351" s="26" t="str">
        <f>IFERROR(__xludf.DUMMYFUNCTION("SWITCH(
 E351,
 ""BUILDING"",XLOOKUP(A351,tblBuildings[BuildingID],tblBuildings[costtext],""""),
 ""TECH"",XLOOKUP(A351,tblTechnologies[TechnologyID],tblTechnologies[costtext],""""),
 ""QUEST"",XLOOKUP(
  REGEXREPLACE(A351,""\.[^.]+$"",""""),
  tblQuests["&amp;"QuestID],
  tblQuests[Costtext],
  """"
 ),
 ""CITADEL"",XLOOKUP(A351,tblCitadel[CitadelID],tblCitadel[costtext],""""),
 ""COLLECTION"",XLOOKUP(A351,tblCollections[CollectionID],tblCollections[costtext],""""),
 ""CRAFTIFACT"",XLOOKUP(A351,tblCraftifacts[C"&amp;"raftifactID],tblCraftifacts[costtext],""""),
 """"
)"),"")</f>
        <v/>
      </c>
      <c r="P351" s="26" t="str">
        <f t="shared" si="6"/>
        <v>BLOCKED</v>
      </c>
      <c r="Q351" s="26" t="str">
        <f t="shared" si="7"/>
        <v>BLOCKED</v>
      </c>
      <c r="R351" s="26" t="str">
        <f t="array" ref="R351">IFERROR(
 _xlfn.XLOOKUP(
  A351,
  tblChecklist[TargetID],
  tblChecklist[PlayerSort],
  ""
 ),
 ""
)</f>
        <v/>
      </c>
      <c r="S351" s="26" t="str">
        <f>IFERROR(__xludf.DUMMYFUNCTION("LET(
 id,A351,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4 Accepted, Meet Dark Lady@6B, Smithy - Treasure")</f>
        <v>The Ordinary Days of an Adventurer Chapter 4 Accepted, Meet Dark Lady@6B, Smithy - Treasure</v>
      </c>
      <c r="T351" s="26" t="str">
        <f t="array" ref="T351">_xlfn.XLOOKUP(
 A351,
 tblTargets[TargetID],
 tblTargets[CompletionMethod],
 ""
)</f>
        <v>PLAYER</v>
      </c>
      <c r="U351" s="84" t="b">
        <f>COUNTIF(tblCost[TargetID],A351)&gt;0</f>
        <v>0</v>
      </c>
      <c r="V351" s="85" t="str">
        <f t="array" ref="V351">IF(
 U351=FALSE,
 "",
 _xlfn.XLOOKUP(
  A351,
  tblCost[TargetID],
  tblCost[FundingPercent],
  ""
 )
)</f>
        <v/>
      </c>
      <c r="W351" s="26" t="str">
        <f t="array" ref="W351">IF(
 U351=FALSE,
 "",
 _xlfn.XLOOKUP(
  A351,
  tblCost[TargetID],
  tblCost[RemainingRequirements],
  ""
 )
)</f>
        <v/>
      </c>
      <c r="X351" s="45" t="str">
        <f t="array" ref="X351">IF(
 U351=FALSE,
 "N/A",
 _xlfn.XLOOKUP(
  A352,
  tblCost[TargetID],
  tblCost[TargetFunded],
  FALSE
 )
)</f>
        <v>N/A</v>
      </c>
      <c r="Y351" s="26" t="str">
        <f>IFERROR(__xludf.DUMMYFUNCTION("IFERROR(
 TEXTJOIN(
  "", "",
  TRUE,
  FILTER(
   'cost checklist'!$E$2:$E1000&amp;"": ""&amp;'cost checklist'!$G$2:$G1000,
   'cost checklist'!$B$2:$B1000=A351,
   'cost checklist'!$J$2:$J1000=FALSE
  )
 ),
 """"
)"),"")</f>
        <v/>
      </c>
      <c r="Z351" s="26" t="b">
        <f>IFERROR(__xludf.DUMMYFUNCTION("IF(
 AND(
  E351=""QUEST"",
  RIGHT(A351,9)="".accepted"",
  D351=TRUE
 ),
 XLOOKUP(
  REGEXREPLACE(A351,""\.accepted$"","""")&amp;"".finished"",
  $A$2:$A1000,
  $D$2:$D1000,
  TRUE
 )=FALSE,
 FALSE
)"),FALSE)</f>
        <v>0</v>
      </c>
      <c r="AA351" s="26" t="str">
        <f>IFERROR(__xludf.DUMMYFUNCTION("LET(
 id,A351,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4")</f>
        <v>The Ordinary Days of an Adventurer Chapter 4</v>
      </c>
    </row>
    <row r="352" ht="14.25" customHeight="1">
      <c r="A352" s="26" t="s">
        <v>1316</v>
      </c>
      <c r="B352" s="26" t="str">
        <f t="array" ref="B352">_xlfn.XLOOKUP(
 A352,
 tblTargets[TargetID],
 tblTargets[DisplayName],
 ""
)</f>
        <v>The Ordinary Days of an Adventurer Chapter 4 Accepted</v>
      </c>
      <c r="C352" s="26" t="str">
        <f t="shared" si="1"/>
        <v>BLOCKED</v>
      </c>
      <c r="D352" s="26" t="b">
        <f>IFERROR(__xludf.DUMMYFUNCTION("LET(
 id,A352,
 IF(
  F352=""CHARACTER"",
  LET(
   base,REGEXREPLACE(id,""@\d+$"",""""),
   required,VALUE(REGEXEXTRACT(id,""@(\d+)$"")),
   current,XLOOKUP(
    base,
    tblPlayer[PlayerStateID],
    tblPlayer[Value],
    0
   ),
   current&gt;=required
 "&amp;" ),
  IF(
   T352=""AUTO"",
   L352=0,
   COUNTIFS(
    tblChecklist[TargetID],id,
    tblChecklist[PlayerCompleted],TRUE
   )&gt;0
  )
 )
)"),FALSE)</f>
        <v>0</v>
      </c>
      <c r="E352" s="26" t="str">
        <f t="array" ref="E352">_xlfn.XLOOKUP(
 A352,
 tblTargets[TargetID],
 tblTargets[TargetType],
 ""
)</f>
        <v>QUEST</v>
      </c>
      <c r="F352" s="26" t="str">
        <f t="array" ref="F352">_xlfn.XLOOKUP(
 A352,
 tblTargets[TargetID],
 tblTargets[StateType],
 ""
)</f>
        <v/>
      </c>
      <c r="G352" s="26">
        <f>LET(
 id,A352,
 depCount,COUNTIF(tblDependencies[TargetID],id),
 objCount,COUNTIF(tblQuestObjectives[QuestTargetID],id),
 depCount+objCount
)</f>
        <v>2</v>
      </c>
      <c r="H352" s="26">
        <f t="shared" si="2"/>
        <v>2</v>
      </c>
      <c r="I352" s="26">
        <f>IFERROR(__xludf.DUMMYFUNCTION("LET(
 id,A352,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2" s="26">
        <f t="shared" si="3"/>
        <v>0</v>
      </c>
      <c r="K352" s="26" t="b">
        <f t="shared" si="4"/>
        <v>0</v>
      </c>
      <c r="L352" s="26">
        <f t="shared" si="5"/>
        <v>2</v>
      </c>
      <c r="M352" s="26" t="str">
        <f>IFERROR(__xludf.DUMMYFUNCTION("LET(
 id,A352,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L352=0,
  """",
  IFERROR(INDEX(incomplete,1),"""")"&amp;"
 )
)"),"quest.the_ordinary_days_of_an_adventurer_chapter_3.finished")</f>
        <v>quest.the_ordinary_days_of_an_adventurer_chapter_3.finished</v>
      </c>
      <c r="N352" s="26" t="str">
        <f t="array" ref="N352">IF(
 M352="",
 "",
 _xlfn.XLOOKUP(
  M352,
  tblTargets[TargetID],
  tblTargets[DisplayName],
  M352
 )
)</f>
        <v>The Ordinary Days of an Adventurer Chapter 3 Finished</v>
      </c>
      <c r="O352" s="26" t="str">
        <f>IFERROR(__xludf.DUMMYFUNCTION("SWITCH(
 E352,
 ""BUILDING"",XLOOKUP(A352,tblBuildings[BuildingID],tblBuildings[costtext],""""),
 ""TECH"",XLOOKUP(A352,tblTechnologies[TechnologyID],tblTechnologies[costtext],""""),
 ""QUEST"",XLOOKUP(
  REGEXREPLACE(A352,""\.[^.]+$"",""""),
  tblQuests["&amp;"QuestID],
  tblQuests[Costtext],
  """"
 ),
 ""CITADEL"",XLOOKUP(A352,tblCitadel[CitadelID],tblCitadel[costtext],""""),
 ""COLLECTION"",XLOOKUP(A352,tblCollections[CollectionID],tblCollections[costtext],""""),
 ""CRAFTIFACT"",XLOOKUP(A352,tblCraftifacts[C"&amp;"raftifactID],tblCraftifacts[costtext],""""),
 """"
)"),"")</f>
        <v/>
      </c>
      <c r="P352" s="26" t="str">
        <f t="shared" si="6"/>
        <v>BLOCKED</v>
      </c>
      <c r="Q352" s="26" t="str">
        <f t="shared" si="7"/>
        <v>BLOCKED</v>
      </c>
      <c r="R352" s="26" t="str">
        <f t="array" ref="R352">IFERROR(
 _xlfn.XLOOKUP(
  A352,
  tblChecklist[TargetID],
  tblChecklist[PlayerSort],
  ""
 ),
 ""
)</f>
        <v/>
      </c>
      <c r="S352" s="26" t="str">
        <f>IFERROR(__xludf.DUMMYFUNCTION("LET(
 id,A352,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4 Finished, The Ordinary Days of an Adventurer Chapter 5 Accepted, Action Reenter Guild, Tailor - Armor For A Hero Lvl 4+")</f>
        <v>The Ordinary Days of an Adventurer Chapter 4 Finished, The Ordinary Days of an Adventurer Chapter 5 Accepted, Action Reenter Guild, Tailor - Armor For A Hero Lvl 4+</v>
      </c>
      <c r="T352" s="26" t="str">
        <f t="array" ref="T352">_xlfn.XLOOKUP(
 A352,
 tblTargets[TargetID],
 tblTargets[CompletionMethod],
 ""
)</f>
        <v>PLAYER</v>
      </c>
      <c r="U352" s="84" t="b">
        <f>COUNTIF(tblCost[TargetID],A352)&gt;0</f>
        <v>0</v>
      </c>
      <c r="V352" s="85" t="str">
        <f t="array" ref="V352">IF(
 U352=FALSE,
 "",
 _xlfn.XLOOKUP(
  A352,
  tblCost[TargetID],
  tblCost[FundingPercent],
  ""
 )
)</f>
        <v/>
      </c>
      <c r="W352" s="26" t="str">
        <f t="array" ref="W352">IF(
 U352=FALSE,
 "",
 _xlfn.XLOOKUP(
  A352,
  tblCost[TargetID],
  tblCost[RemainingRequirements],
  ""
 )
)</f>
        <v/>
      </c>
      <c r="X352" s="45" t="str">
        <f t="array" ref="X352">IF(
 U352=FALSE,
 "N/A",
 _xlfn.XLOOKUP(
  A353,
  tblCost[TargetID],
  tblCost[TargetFunded],
  FALSE
 )
)</f>
        <v>N/A</v>
      </c>
      <c r="Y352" s="26" t="str">
        <f>IFERROR(__xludf.DUMMYFUNCTION("IFERROR(
 TEXTJOIN(
  "", "",
  TRUE,
  FILTER(
   'cost checklist'!$E$2:$E1000&amp;"": ""&amp;'cost checklist'!$G$2:$G1000,
   'cost checklist'!$B$2:$B1000=A352,
   'cost checklist'!$J$2:$J1000=FALSE
  )
 ),
 """"
)"),"")</f>
        <v/>
      </c>
      <c r="Z352" s="26" t="b">
        <f>IFERROR(__xludf.DUMMYFUNCTION("IF(
 AND(
  E352=""QUEST"",
  RIGHT(A352,9)="".accepted"",
  D352=TRUE
 ),
 XLOOKUP(
  REGEXREPLACE(A352,""\.accepted$"","""")&amp;"".finished"",
  $A$2:$A1000,
  $D$2:$D1000,
  TRUE
 )=FALSE,
 FALSE
)"),FALSE)</f>
        <v>0</v>
      </c>
      <c r="AA352" s="26" t="str">
        <f>IFERROR(__xludf.DUMMYFUNCTION("LET(
 id,A352,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5")</f>
        <v>The Ordinary Days of an Adventurer Chapter 5</v>
      </c>
    </row>
    <row r="353" ht="14.25" customHeight="1">
      <c r="A353" s="26" t="s">
        <v>1318</v>
      </c>
      <c r="B353" s="26" t="str">
        <f t="array" ref="B353">_xlfn.XLOOKUP(
 A353,
 tblTargets[TargetID],
 tblTargets[DisplayName],
 ""
)</f>
        <v>The Ordinary Days of an Adventurer Chapter 4 Finished</v>
      </c>
      <c r="C353" s="26" t="str">
        <f t="shared" si="1"/>
        <v>BLOCKED</v>
      </c>
      <c r="D353" s="26" t="b">
        <f>IFERROR(__xludf.DUMMYFUNCTION("LET(
 id,A353,
 IF(
  F353=""CHARACTER"",
  LET(
   base,REGEXREPLACE(id,""@\d+$"",""""),
   required,VALUE(REGEXEXTRACT(id,""@(\d+)$"")),
   current,XLOOKUP(
    base,
    tblPlayer[PlayerStateID],
    tblPlayer[Value],
    0
   ),
   current&gt;=required
 "&amp;" ),
  IF(
   T353=""AUTO"",
   L353=0,
   COUNTIFS(
    tblChecklist[TargetID],id,
    tblChecklist[PlayerCompleted],TRUE
   )&gt;0
  )
 )
)"),FALSE)</f>
        <v>0</v>
      </c>
      <c r="E353" s="26" t="str">
        <f t="array" ref="E353">_xlfn.XLOOKUP(
 A353,
 tblTargets[TargetID],
 tblTargets[TargetType],
 ""
)</f>
        <v>QUEST</v>
      </c>
      <c r="F353" s="26" t="str">
        <f t="array" ref="F353">_xlfn.XLOOKUP(
 A353,
 tblTargets[TargetID],
 tblTargets[StateType],
 ""
)</f>
        <v/>
      </c>
      <c r="G353" s="26">
        <f>LET(
 id,A353,
 depCount,COUNTIF(tblDependencies[TargetID],id),
 objCount,COUNTIF(tblQuestObjectives[QuestTargetID],id),
 depCount+objCount
)</f>
        <v>4</v>
      </c>
      <c r="H353" s="26">
        <f t="shared" si="2"/>
        <v>4</v>
      </c>
      <c r="I353" s="26">
        <f>IFERROR(__xludf.DUMMYFUNCTION("LET(
 id,A353,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3" s="26">
        <f t="shared" si="3"/>
        <v>0</v>
      </c>
      <c r="K353" s="26" t="b">
        <f t="shared" si="4"/>
        <v>0</v>
      </c>
      <c r="L353" s="26">
        <f t="shared" si="5"/>
        <v>4</v>
      </c>
      <c r="M353" s="26" t="str">
        <f>IFERROR(__xludf.DUMMYFUNCTION("LET(
 id,A353,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L353=0,
  """",
  IFERROR(INDEX(incomplete,1),"""")"&amp;"
 )
)"),"quest.the_ordinary_days_of_an_adventurer_chapter_4.accepted")</f>
        <v>quest.the_ordinary_days_of_an_adventurer_chapter_4.accepted</v>
      </c>
      <c r="N353" s="26" t="str">
        <f t="array" ref="N353">IF(
 M353="",
 "",
 _xlfn.XLOOKUP(
  M353,
  tblTargets[TargetID],
  tblTargets[DisplayName],
  M353
 )
)</f>
        <v>The Ordinary Days of an Adventurer Chapter 4 Accepted</v>
      </c>
      <c r="O353" s="26" t="str">
        <f>IFERROR(__xludf.DUMMYFUNCTION("SWITCH(
 E353,
 ""BUILDING"",XLOOKUP(A353,tblBuildings[BuildingID],tblBuildings[costtext],""""),
 ""TECH"",XLOOKUP(A353,tblTechnologies[TechnologyID],tblTechnologies[costtext],""""),
 ""QUEST"",XLOOKUP(
  REGEXREPLACE(A353,""\.[^.]+$"",""""),
  tblQuests["&amp;"QuestID],
  tblQuests[Costtext],
  """"
 ),
 ""CITADEL"",XLOOKUP(A353,tblCitadel[CitadelID],tblCitadel[costtext],""""),
 ""COLLECTION"",XLOOKUP(A353,tblCollections[CollectionID],tblCollections[costtext],""""),
 ""CRAFTIFACT"",XLOOKUP(A353,tblCraftifacts[C"&amp;"raftifactID],tblCraftifacts[costtext],""""),
 """"
)"),"")</f>
        <v/>
      </c>
      <c r="P353" s="26" t="str">
        <f t="shared" si="6"/>
        <v>BLOCKED</v>
      </c>
      <c r="Q353" s="26" t="str">
        <f t="shared" si="7"/>
        <v>BLOCKED</v>
      </c>
      <c r="R353" s="26" t="str">
        <f t="array" ref="R353">IFERROR(
 _xlfn.XLOOKUP(
  A353,
  tblChecklist[TargetID],
  tblChecklist[PlayerSort],
  ""
 ),
 ""
)</f>
        <v/>
      </c>
      <c r="S353" s="26" t="str">
        <f>IFERROR(__xludf.DUMMYFUNCTION("LET(
 id,A353,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7 Accepted, Furnace - Glass")</f>
        <v>The Ordinary Days of an Adventurer Chapter 7 Accepted, Furnace - Glass</v>
      </c>
      <c r="T353" s="26" t="str">
        <f t="array" ref="T353">_xlfn.XLOOKUP(
 A353,
 tblTargets[TargetID],
 tblTargets[CompletionMethod],
 ""
)</f>
        <v>PLAYER</v>
      </c>
      <c r="U353" s="84" t="b">
        <f>COUNTIF(tblCost[TargetID],A353)&gt;0</f>
        <v>0</v>
      </c>
      <c r="V353" s="85" t="str">
        <f t="array" ref="V353">IF(
 U353=FALSE,
 "",
 _xlfn.XLOOKUP(
  A353,
  tblCost[TargetID],
  tblCost[FundingPercent],
  ""
 )
)</f>
        <v/>
      </c>
      <c r="W353" s="26" t="str">
        <f t="array" ref="W353">IF(
 U353=FALSE,
 "",
 _xlfn.XLOOKUP(
  A353,
  tblCost[TargetID],
  tblCost[RemainingRequirements],
  ""
 )
)</f>
        <v/>
      </c>
      <c r="X353" s="45" t="str">
        <f t="array" ref="X353">IF(
 U353=FALSE,
 "N/A",
 _xlfn.XLOOKUP(
  A354,
  tblCost[TargetID],
  tblCost[TargetFunded],
  FALSE
 )
)</f>
        <v>N/A</v>
      </c>
      <c r="Y353" s="26" t="str">
        <f>IFERROR(__xludf.DUMMYFUNCTION("IFERROR(
 TEXTJOIN(
  "", "",
  TRUE,
  FILTER(
   'cost checklist'!$E$2:$E1000&amp;"": ""&amp;'cost checklist'!$G$2:$G1000,
   'cost checklist'!$B$2:$B1000=A353,
   'cost checklist'!$J$2:$J1000=FALSE
  )
 ),
 """"
)"),"")</f>
        <v/>
      </c>
      <c r="Z353" s="26" t="b">
        <f>IFERROR(__xludf.DUMMYFUNCTION("IF(
 AND(
  E353=""QUEST"",
  RIGHT(A353,9)="".accepted"",
  D353=TRUE
 ),
 XLOOKUP(
  REGEXREPLACE(A353,""\.accepted$"","""")&amp;"".finished"",
  $A$2:$A1000,
  $D$2:$D1000,
  TRUE
 )=FALSE,
 FALSE
)"),FALSE)</f>
        <v>0</v>
      </c>
      <c r="AA353" s="26" t="str">
        <f>IFERROR(__xludf.DUMMYFUNCTION("LET(
 id,A353,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7")</f>
        <v>The Ordinary Days of an Adventurer Chapter 7</v>
      </c>
    </row>
    <row r="354" ht="14.25" customHeight="1">
      <c r="A354" s="26" t="s">
        <v>1320</v>
      </c>
      <c r="B354" s="26" t="str">
        <f t="array" ref="B354">_xlfn.XLOOKUP(
 A354,
 tblTargets[TargetID],
 tblTargets[DisplayName],
 ""
)</f>
        <v>The Ordinary Days of an Adventurer Chapter 5 Accepted</v>
      </c>
      <c r="C354" s="26" t="str">
        <f t="shared" si="1"/>
        <v>BLOCKED</v>
      </c>
      <c r="D354" s="26" t="b">
        <f>IFERROR(__xludf.DUMMYFUNCTION("LET(
 id,A354,
 IF(
  F354=""CHARACTER"",
  LET(
   base,REGEXREPLACE(id,""@\d+$"",""""),
   required,VALUE(REGEXEXTRACT(id,""@(\d+)$"")),
   current,XLOOKUP(
    base,
    tblPlayer[PlayerStateID],
    tblPlayer[Value],
    0
   ),
   current&gt;=required
 "&amp;" ),
  IF(
   T354=""AUTO"",
   L354=0,
   COUNTIFS(
    tblChecklist[TargetID],id,
    tblChecklist[PlayerCompleted],TRUE
   )&gt;0
  )
 )
)"),FALSE)</f>
        <v>0</v>
      </c>
      <c r="E354" s="26" t="str">
        <f t="array" ref="E354">_xlfn.XLOOKUP(
 A354,
 tblTargets[TargetID],
 tblTargets[TargetType],
 ""
)</f>
        <v>QUEST</v>
      </c>
      <c r="F354" s="26" t="str">
        <f t="array" ref="F354">_xlfn.XLOOKUP(
 A354,
 tblTargets[TargetID],
 tblTargets[StateType],
 ""
)</f>
        <v/>
      </c>
      <c r="G354" s="26">
        <f>LET(
 id,A354,
 depCount,COUNTIF(tblDependencies[TargetID],id),
 objCount,COUNTIF(tblQuestObjectives[QuestTargetID],id),
 depCount+objCount
)</f>
        <v>2</v>
      </c>
      <c r="H354" s="26">
        <f t="shared" si="2"/>
        <v>2</v>
      </c>
      <c r="I354" s="26">
        <f>IFERROR(__xludf.DUMMYFUNCTION("LET(
 id,A354,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4" s="26">
        <f t="shared" si="3"/>
        <v>0</v>
      </c>
      <c r="K354" s="26" t="b">
        <f t="shared" si="4"/>
        <v>0</v>
      </c>
      <c r="L354" s="26">
        <f t="shared" si="5"/>
        <v>2</v>
      </c>
      <c r="M354" s="26" t="str">
        <f>IFERROR(__xludf.DUMMYFUNCTION("LET(
 id,A354,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L354=0,
  """",
  IFERROR(INDEX(incomplete,1),"""")"&amp;"
 )
)"),"quest.the_ordinary_days_of_an_adventurer_chapter_4.accepted")</f>
        <v>quest.the_ordinary_days_of_an_adventurer_chapter_4.accepted</v>
      </c>
      <c r="N354" s="26" t="str">
        <f t="array" ref="N354">IF(
 M354="",
 "",
 _xlfn.XLOOKUP(
  M354,
  tblTargets[TargetID],
  tblTargets[DisplayName],
  M354
 )
)</f>
        <v>The Ordinary Days of an Adventurer Chapter 4 Accepted</v>
      </c>
      <c r="O354" s="26" t="str">
        <f>IFERROR(__xludf.DUMMYFUNCTION("SWITCH(
 E354,
 ""BUILDING"",XLOOKUP(A354,tblBuildings[BuildingID],tblBuildings[costtext],""""),
 ""TECH"",XLOOKUP(A354,tblTechnologies[TechnologyID],tblTechnologies[costtext],""""),
 ""QUEST"",XLOOKUP(
  REGEXREPLACE(A354,""\.[^.]+$"",""""),
  tblQuests["&amp;"QuestID],
  tblQuests[Costtext],
  """"
 ),
 ""CITADEL"",XLOOKUP(A354,tblCitadel[CitadelID],tblCitadel[costtext],""""),
 ""COLLECTION"",XLOOKUP(A354,tblCollections[CollectionID],tblCollections[costtext],""""),
 ""CRAFTIFACT"",XLOOKUP(A354,tblCraftifacts[C"&amp;"raftifactID],tblCraftifacts[costtext],""""),
 """"
)"),"flour:150,egg:30,salmon:20,dates:20,oil:20")</f>
        <v>flour:150,egg:30,salmon:20,dates:20,oil:20</v>
      </c>
      <c r="P354" s="26" t="str">
        <f t="shared" si="6"/>
        <v>BLOCKED</v>
      </c>
      <c r="Q354" s="26" t="str">
        <f t="shared" si="7"/>
        <v>BLOCKED</v>
      </c>
      <c r="R354" s="26" t="str">
        <f t="array" ref="R354">IFERROR(
 _xlfn.XLOOKUP(
  A354,
  tblChecklist[TargetID],
  tblChecklist[PlayerSort],
  ""
 ),
 ""
)</f>
        <v/>
      </c>
      <c r="S354" s="26" t="str">
        <f>IFERROR(__xludf.DUMMYFUNCTION("LET(
 id,A354,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5 Finished")</f>
        <v>The Ordinary Days of an Adventurer Chapter 5 Finished</v>
      </c>
      <c r="T354" s="26" t="str">
        <f t="array" ref="T354">_xlfn.XLOOKUP(
 A354,
 tblTargets[TargetID],
 tblTargets[CompletionMethod],
 ""
)</f>
        <v>PLAYER</v>
      </c>
      <c r="U354" s="84" t="b">
        <f>COUNTIF(tblCost[TargetID],A354)&gt;0</f>
        <v>0</v>
      </c>
      <c r="V354" s="85" t="str">
        <f t="array" ref="V354">IF(
 U354=FALSE,
 "",
 _xlfn.XLOOKUP(
  A354,
  tblCost[TargetID],
  tblCost[FundingPercent],
  ""
 )
)</f>
        <v/>
      </c>
      <c r="W354" s="26" t="str">
        <f t="array" ref="W354">IF(
 U354=FALSE,
 "",
 _xlfn.XLOOKUP(
  A354,
  tblCost[TargetID],
  tblCost[RemainingRequirements],
  ""
 )
)</f>
        <v/>
      </c>
      <c r="X354" s="45" t="str">
        <f t="array" ref="X354">IF(
 U354=FALSE,
 "N/A",
 _xlfn.XLOOKUP(
  A355,
  tblCost[TargetID],
  tblCost[TargetFunded],
  FALSE
 )
)</f>
        <v>N/A</v>
      </c>
      <c r="Y354" s="26" t="str">
        <f>IFERROR(__xludf.DUMMYFUNCTION("IFERROR(
 TEXTJOIN(
  "", "",
  TRUE,
  FILTER(
   'cost checklist'!$E$2:$E1000&amp;"": ""&amp;'cost checklist'!$G$2:$G1000,
   'cost checklist'!$B$2:$B1000=A354,
   'cost checklist'!$J$2:$J1000=FALSE
  )
 ),
 """"
)"),"")</f>
        <v/>
      </c>
      <c r="Z354" s="26" t="b">
        <f>IFERROR(__xludf.DUMMYFUNCTION("IF(
 AND(
  E354=""QUEST"",
  RIGHT(A354,9)="".accepted"",
  D354=TRUE
 ),
 XLOOKUP(
  REGEXREPLACE(A354,""\.accepted$"","""")&amp;"".finished"",
  $A$2:$A1000,
  $D$2:$D1000,
  TRUE
 )=FALSE,
 FALSE
)"),FALSE)</f>
        <v>0</v>
      </c>
      <c r="AA354" s="26" t="str">
        <f>IFERROR(__xludf.DUMMYFUNCTION("LET(
 id,A354,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55" ht="14.25" customHeight="1">
      <c r="A355" s="26" t="s">
        <v>1323</v>
      </c>
      <c r="B355" s="26" t="str">
        <f t="array" ref="B355">_xlfn.XLOOKUP(
 A355,
 tblTargets[TargetID],
 tblTargets[DisplayName],
 ""
)</f>
        <v>The Ordinary Days of an Adventurer Chapter 5 Finished</v>
      </c>
      <c r="C355" s="26" t="str">
        <f t="shared" si="1"/>
        <v>BLOCKED</v>
      </c>
      <c r="D355" s="26" t="b">
        <f>IFERROR(__xludf.DUMMYFUNCTION("LET(
 id,A355,
 IF(
  F355=""CHARACTER"",
  LET(
   base,REGEXREPLACE(id,""@\d+$"",""""),
   required,VALUE(REGEXEXTRACT(id,""@(\d+)$"")),
   current,XLOOKUP(
    base,
    tblPlayer[PlayerStateID],
    tblPlayer[Value],
    0
   ),
   current&gt;=required
 "&amp;" ),
  IF(
   T355=""AUTO"",
   L355=0,
   COUNTIFS(
    tblChecklist[TargetID],id,
    tblChecklist[PlayerCompleted],TRUE
   )&gt;0
  )
 )
)"),FALSE)</f>
        <v>0</v>
      </c>
      <c r="E355" s="26" t="str">
        <f t="array" ref="E355">_xlfn.XLOOKUP(
 A355,
 tblTargets[TargetID],
 tblTargets[TargetType],
 ""
)</f>
        <v>QUEST</v>
      </c>
      <c r="F355" s="26" t="str">
        <f t="array" ref="F355">_xlfn.XLOOKUP(
 A355,
 tblTargets[TargetID],
 tblTargets[StateType],
 ""
)</f>
        <v/>
      </c>
      <c r="G355" s="26">
        <f>LET(
 id,A355,
 depCount,COUNTIF(tblDependencies[TargetID],id),
 objCount,COUNTIF(tblQuestObjectives[QuestTargetID],id),
 depCount+objCount
)</f>
        <v>1</v>
      </c>
      <c r="H355" s="26">
        <f t="shared" si="2"/>
        <v>1</v>
      </c>
      <c r="I355" s="26">
        <f>IFERROR(__xludf.DUMMYFUNCTION("LET(
 id,A355,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5" s="26">
        <f t="shared" si="3"/>
        <v>0</v>
      </c>
      <c r="K355" s="26" t="b">
        <f t="shared" si="4"/>
        <v>0</v>
      </c>
      <c r="L355" s="26">
        <f t="shared" si="5"/>
        <v>1</v>
      </c>
      <c r="M355" s="26" t="str">
        <f>IFERROR(__xludf.DUMMYFUNCTION("LET(
 id,A355,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L355=0,
  """",
  IFERROR(INDEX(incomplete,1),"""")"&amp;"
 )
)"),"quest.the_ordinary_days_of_an_adventurer_chapter_5.accepted")</f>
        <v>quest.the_ordinary_days_of_an_adventurer_chapter_5.accepted</v>
      </c>
      <c r="N355" s="26" t="str">
        <f t="array" ref="N355">IF(
 M355="",
 "",
 _xlfn.XLOOKUP(
  M355,
  tblTargets[TargetID],
  tblTargets[DisplayName],
  M355
 )
)</f>
        <v>The Ordinary Days of an Adventurer Chapter 5 Accepted</v>
      </c>
      <c r="O355" s="26" t="str">
        <f>IFERROR(__xludf.DUMMYFUNCTION("SWITCH(
 E355,
 ""BUILDING"",XLOOKUP(A355,tblBuildings[BuildingID],tblBuildings[costtext],""""),
 ""TECH"",XLOOKUP(A355,tblTechnologies[TechnologyID],tblTechnologies[costtext],""""),
 ""QUEST"",XLOOKUP(
  REGEXREPLACE(A355,""\.[^.]+$"",""""),
  tblQuests["&amp;"QuestID],
  tblQuests[Costtext],
  """"
 ),
 ""CITADEL"",XLOOKUP(A355,tblCitadel[CitadelID],tblCitadel[costtext],""""),
 ""COLLECTION"",XLOOKUP(A355,tblCollections[CollectionID],tblCollections[costtext],""""),
 ""CRAFTIFACT"",XLOOKUP(A355,tblCraftifacts[C"&amp;"raftifactID],tblCraftifacts[costtext],""""),
 """"
)"),"flour:150,egg:30,salmon:20,dates:20,oil:20")</f>
        <v>flour:150,egg:30,salmon:20,dates:20,oil:20</v>
      </c>
      <c r="P355" s="26" t="str">
        <f t="shared" si="6"/>
        <v>BLOCKED</v>
      </c>
      <c r="Q355" s="26" t="str">
        <f t="shared" si="7"/>
        <v>BLOCKED</v>
      </c>
      <c r="R355" s="26" t="str">
        <f t="array" ref="R355">IFERROR(
 _xlfn.XLOOKUP(
  A355,
  tblChecklist[TargetID],
  tblChecklist[PlayerSort],
  ""
 ),
 ""
)</f>
        <v/>
      </c>
      <c r="S355" s="26" t="str">
        <f>IFERROR(__xludf.DUMMYFUNCTION("LET(
 id,A355,
 successorIDs,
  IFERROR(
   UNIQUE(
    FILTER(
     {
      Dependencies!$A$2:$A$1000;
      QuestObjectives!$A$2:$A$1000
     },
     {
      Dependencies!$B$2:$B$1000;
      QuestObjectives!$E$2:$E$1000
     }=id
    )
   ),
   """"
  )"&amp;",
 names,
  MAP(
   successorIDs,
   LAMBDA(s,
    IF(
     s="""",
     """",
     XLOOKUP(
      s,
      $A$2:$A$1000,
      $B$2:$B$1000,
      s
     )
    )
   )
  ),
 IF(
  successorIDs="""",
  """",
  TEXTJOIN("", "",TRUE,names)
 )
)"),"Dairy Lv 1")</f>
        <v>Dairy Lv 1</v>
      </c>
      <c r="T355" s="26" t="str">
        <f t="array" ref="T355">_xlfn.XLOOKUP(
 A355,
 tblTargets[TargetID],
 tblTargets[CompletionMethod],
 ""
)</f>
        <v>PLAYER</v>
      </c>
      <c r="U355" s="84" t="b">
        <f>COUNTIF(tblCost[TargetID],A355)&gt;0</f>
        <v>1</v>
      </c>
      <c r="V355" s="85">
        <f t="array" ref="V355">IF(
 U355=FALSE,
 "",
 _xlfn.XLOOKUP(
  A355,
  tblCost[TargetID],
  tblCost[FundingPercent],
  ""
 )
)</f>
        <v>0</v>
      </c>
      <c r="W355" s="26">
        <f t="array" ref="W355">IF(
 U355=FALSE,
 "",
 _xlfn.XLOOKUP(
  A355,
  tblCost[TargetID],
  tblCost[RemainingRequirements],
  ""
 )
)</f>
        <v>5</v>
      </c>
      <c r="X355" s="45" t="b">
        <f t="array" ref="X355">IF(
 U355=FALSE,
 "N/A",
 _xlfn.XLOOKUP(
  A356,
  tblCost[TargetID],
  tblCost[TargetFunded],
  FALSE
 )
)</f>
        <v>0</v>
      </c>
      <c r="Y355" s="26" t="str">
        <f>IFERROR(__xludf.DUMMYFUNCTION("IFERROR(
 TEXTJOIN(
  "", "",
  TRUE,
  FILTER(
   'cost checklist'!$E$2:$E1000&amp;"": ""&amp;'cost checklist'!$G$2:$G1000,
   'cost checklist'!$B$2:$B1000=A355,
   'cost checklist'!$J$2:$J1000=FALSE
  )
 ),
 """"
)"),"dates: 20, egg: 30, flour: 150, oil: 20, salmon: 20")</f>
        <v>dates: 20, egg: 30, flour: 150, oil: 20, salmon: 20</v>
      </c>
      <c r="Z355" s="26" t="b">
        <f>IFERROR(__xludf.DUMMYFUNCTION("IF(
 AND(
  E355=""QUEST"",
  RIGHT(A355,9)="".accepted"",
  D355=TRUE
 ),
 XLOOKUP(
  REGEXREPLACE(A355,""\.accepted$"","""")&amp;"".finished"",
  $A$2:$A1000,
  $D$2:$D1000,
  TRUE
 )=FALSE,
 FALSE
)"),FALSE)</f>
        <v>0</v>
      </c>
      <c r="AA355" s="26" t="str">
        <f>IFERROR(__xludf.DUMMYFUNCTION("LET(
 id,A355,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56" ht="14.25" customHeight="1">
      <c r="A356" s="26" t="s">
        <v>1325</v>
      </c>
      <c r="B356" s="26" t="str">
        <f t="array" ref="B356">_xlfn.XLOOKUP(
 A356,
 tblTargets[TargetID],
 tblTargets[DisplayName],
 ""
)</f>
        <v>The Ordinary Days of an Adventurer Chapter 6 Accepted</v>
      </c>
      <c r="C356" s="26" t="str">
        <f t="shared" si="1"/>
        <v>BLOCKED</v>
      </c>
      <c r="D356" s="26" t="b">
        <f>IFERROR(__xludf.DUMMYFUNCTION("LET(
 id,A356,
 IF(
  F356=""CHARACTER"",
  LET(
   base,REGEXREPLACE(id,""@\d+$"",""""),
   required,VALUE(REGEXEXTRACT(id,""@(\d+)$"")),
   current,XLOOKUP(
    base,
    tblPlayer[PlayerStateID],
    tblPlayer[Value],
    0
   ),
   current&gt;=required
 "&amp;" ),
  IF(
   T356=""AUTO"",
   L356=0,
   COUNTIFS(
    tblChecklist[TargetID],id,
    tblChecklist[PlayerCompleted],TRUE
   )&gt;0
  )
 )
)"),FALSE)</f>
        <v>0</v>
      </c>
      <c r="E356" s="26" t="str">
        <f t="array" ref="E356">_xlfn.XLOOKUP(
 A356,
 tblTargets[TargetID],
 tblTargets[TargetType],
 ""
)</f>
        <v>QUEST</v>
      </c>
      <c r="F356" s="26" t="str">
        <f t="array" ref="F356">_xlfn.XLOOKUP(
 A356,
 tblTargets[TargetID],
 tblTargets[StateType],
 ""
)</f>
        <v/>
      </c>
      <c r="G356" s="26">
        <f>LET(
 id,A356,
 depCount,COUNTIF(tblDependencies[TargetID],id),
 objCount,COUNTIF(tblQuestObjectives[QuestTargetID],id),
 depCount+objCount
)</f>
        <v>2</v>
      </c>
      <c r="H356" s="26">
        <f t="shared" si="2"/>
        <v>2</v>
      </c>
      <c r="I356" s="26">
        <f>IFERROR(__xludf.DUMMYFUNCTION("LET(
 id,A356,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6" s="26">
        <f t="shared" si="3"/>
        <v>0</v>
      </c>
      <c r="K356" s="26" t="b">
        <f t="shared" si="4"/>
        <v>0</v>
      </c>
      <c r="L356" s="26">
        <f t="shared" si="5"/>
        <v>2</v>
      </c>
      <c r="M356" s="26" t="str">
        <f>IFERROR(__xludf.DUMMYFUNCTION("LET(
 id,A356,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L356=0,
  """",
  IFERROR(INDEX(incomplete,1),"""")"&amp;"
 )
)"),"building.dairy@2")</f>
        <v>building.dairy@2</v>
      </c>
      <c r="N356" s="26" t="str">
        <f t="array" ref="N356">IF(
 M356="",
 "",
 _xlfn.XLOOKUP(
  M356,
  tblTargets[TargetID],
  tblTargets[DisplayName],
  M356
 )
)</f>
        <v>Dairy Lv 2</v>
      </c>
      <c r="O356" s="26" t="str">
        <f>IFERROR(__xludf.DUMMYFUNCTION("SWITCH(
 E356,
 ""BUILDING"",XLOOKUP(A356,tblBuildings[BuildingID],tblBuildings[costtext],""""),
 ""TECH"",XLOOKUP(A356,tblTechnologies[TechnologyID],tblTechnologies[costtext],""""),
 ""QUEST"",XLOOKUP(
  REGEXREPLACE(A356,""\.[^.]+$"",""""),
  tblQuests["&amp;"QuestID],
  tblQuests[Costtext],
  """"
 ),
 ""CITADEL"",XLOOKUP(A356,tblCitadel[CitadelID],tblCitadel[costtext],""""),
 ""COLLECTION"",XLOOKUP(A356,tblCollections[CollectionID],tblCollections[costtext],""""),
 ""CRAFTIFACT"",XLOOKUP(A356,tblCraftifacts[C"&amp;"raftifactID],tblCraftifacts[costtext],""""),
 """"
)"),"vintcheese:1")</f>
        <v>vintcheese:1</v>
      </c>
      <c r="P356" s="26" t="str">
        <f t="shared" si="6"/>
        <v>BLOCKED</v>
      </c>
      <c r="Q356" s="26" t="str">
        <f t="shared" si="7"/>
        <v>BLOCKED</v>
      </c>
      <c r="R356" s="26" t="str">
        <f t="array" ref="R356">IFERROR(
 _xlfn.XLOOKUP(
  A356,
  tblChecklist[TargetID],
  tblChecklist[PlayerSort],
  ""
 ),
 ""
)</f>
        <v/>
      </c>
      <c r="S356" s="26" t="str">
        <f>IFERROR(__xludf.DUMMYFUNCTION("LET(
 id,A356,
 successorIDs,
  IFERROR(
   UNIQUE(
    FILTER(
     {
      Dependencies!$A$2:$A$1000;
      QuestObjectives!$A$2:$A$1000
     },
     {
      Dependencies!$B$2:$B$1000;
      QuestObjectives!$E$2:$E$1000
     }=id
    )
   ),
   """"
  )"&amp;",
 names,
  MAP(
   successorIDs,
   LAMBDA(s,
    IF(
     s="""",
     """",
     XLOOKUP(
      s,
      $A$2:$A$1000,
      $B$2:$B$1000,
      s
     )
    )
   )
  ),
 IF(
  successorIDs="""",
  """",
  TEXTJOIN("", "",TRUE,names)
 )
)"),"Cheese Cave, The Ordinary Days of an Adventurer Chapter 6 Finished, Deliver Cheese to Rat in 6B")</f>
        <v>Cheese Cave, The Ordinary Days of an Adventurer Chapter 6 Finished, Deliver Cheese to Rat in 6B</v>
      </c>
      <c r="T356" s="26" t="str">
        <f t="array" ref="T356">_xlfn.XLOOKUP(
 A356,
 tblTargets[TargetID],
 tblTargets[CompletionMethod],
 ""
)</f>
        <v>PLAYER</v>
      </c>
      <c r="U356" s="84" t="b">
        <f>COUNTIF(tblCost[TargetID],A356)&gt;0</f>
        <v>0</v>
      </c>
      <c r="V356" s="85" t="str">
        <f t="array" ref="V356">IF(
 U356=FALSE,
 "",
 _xlfn.XLOOKUP(
  A356,
  tblCost[TargetID],
  tblCost[FundingPercent],
  ""
 )
)</f>
        <v/>
      </c>
      <c r="W356" s="26" t="str">
        <f t="array" ref="W356">IF(
 U356=FALSE,
 "",
 _xlfn.XLOOKUP(
  A356,
  tblCost[TargetID],
  tblCost[RemainingRequirements],
  ""
 )
)</f>
        <v/>
      </c>
      <c r="X356" s="45" t="str">
        <f t="array" ref="X356">IF(
 U356=FALSE,
 "N/A",
 _xlfn.XLOOKUP(
  A357,
  tblCost[TargetID],
  tblCost[TargetFunded],
  FALSE
 )
)</f>
        <v>N/A</v>
      </c>
      <c r="Y356" s="26" t="str">
        <f>IFERROR(__xludf.DUMMYFUNCTION("IFERROR(
 TEXTJOIN(
  "", "",
  TRUE,
  FILTER(
   'cost checklist'!$E$2:$E1000&amp;"": ""&amp;'cost checklist'!$G$2:$G1000,
   'cost checklist'!$B$2:$B1000=A356,
   'cost checklist'!$J$2:$J1000=FALSE
  )
 ),
 """"
)"),"")</f>
        <v/>
      </c>
      <c r="Z356" s="26" t="b">
        <f>IFERROR(__xludf.DUMMYFUNCTION("IF(
 AND(
  E356=""QUEST"",
  RIGHT(A356,9)="".accepted"",
  D356=TRUE
 ),
 XLOOKUP(
  REGEXREPLACE(A356,""\.accepted$"","""")&amp;"".finished"",
  $A$2:$A1000,
  $D$2:$D1000,
  TRUE
 )=FALSE,
 FALSE
)"),FALSE)</f>
        <v>0</v>
      </c>
      <c r="AA356" s="26" t="str">
        <f>IFERROR(__xludf.DUMMYFUNCTION("LET(
 id,A356,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57" ht="14.25" customHeight="1">
      <c r="A357" s="26" t="s">
        <v>1327</v>
      </c>
      <c r="B357" s="26" t="str">
        <f t="array" ref="B357">_xlfn.XLOOKUP(
 A357,
 tblTargets[TargetID],
 tblTargets[DisplayName],
 ""
)</f>
        <v>The Ordinary Days of an Adventurer Chapter 6 Finished</v>
      </c>
      <c r="C357" s="26" t="str">
        <f t="shared" si="1"/>
        <v>BLOCKED</v>
      </c>
      <c r="D357" s="26" t="b">
        <f>IFERROR(__xludf.DUMMYFUNCTION("LET(
 id,A357,
 IF(
  F357=""CHARACTER"",
  LET(
   base,REGEXREPLACE(id,""@\d+$"",""""),
   required,VALUE(REGEXEXTRACT(id,""@(\d+)$"")),
   current,XLOOKUP(
    base,
    tblPlayer[PlayerStateID],
    tblPlayer[Value],
    0
   ),
   current&gt;=required
 "&amp;" ),
  IF(
   T357=""AUTO"",
   L357=0,
   COUNTIFS(
    tblChecklist[TargetID],id,
    tblChecklist[PlayerCompleted],TRUE
   )&gt;0
  )
 )
)"),FALSE)</f>
        <v>0</v>
      </c>
      <c r="E357" s="26" t="str">
        <f t="array" ref="E357">_xlfn.XLOOKUP(
 A357,
 tblTargets[TargetID],
 tblTargets[TargetType],
 ""
)</f>
        <v>QUEST</v>
      </c>
      <c r="F357" s="26" t="str">
        <f t="array" ref="F357">_xlfn.XLOOKUP(
 A357,
 tblTargets[TargetID],
 tblTargets[StateType],
 ""
)</f>
        <v/>
      </c>
      <c r="G357" s="26">
        <f>LET(
 id,A357,
 depCount,COUNTIF(tblDependencies[TargetID],id),
 objCount,COUNTIF(tblQuestObjectives[QuestTargetID],id),
 depCount+objCount
)</f>
        <v>2</v>
      </c>
      <c r="H357" s="26">
        <f t="shared" si="2"/>
        <v>2</v>
      </c>
      <c r="I357" s="26">
        <f>IFERROR(__xludf.DUMMYFUNCTION("LET(
 id,A357,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7" s="26">
        <f t="shared" si="3"/>
        <v>0</v>
      </c>
      <c r="K357" s="26" t="b">
        <f t="shared" si="4"/>
        <v>0</v>
      </c>
      <c r="L357" s="26">
        <f t="shared" si="5"/>
        <v>2</v>
      </c>
      <c r="M357" s="26" t="str">
        <f>IFERROR(__xludf.DUMMYFUNCTION("LET(
 id,A357,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L357=0,
  """",
  IFERROR(INDEX(incomplete,1),"""")"&amp;"
 )
)"),"quest.the_ordinary_days_of_an_adventurer_chapter_6.accepted")</f>
        <v>quest.the_ordinary_days_of_an_adventurer_chapter_6.accepted</v>
      </c>
      <c r="N357" s="26" t="str">
        <f t="array" ref="N357">IF(
 M357="",
 "",
 _xlfn.XLOOKUP(
  M357,
  tblTargets[TargetID],
  tblTargets[DisplayName],
  M357
 )
)</f>
        <v>The Ordinary Days of an Adventurer Chapter 6 Accepted</v>
      </c>
      <c r="O357" s="26" t="str">
        <f>IFERROR(__xludf.DUMMYFUNCTION("SWITCH(
 E357,
 ""BUILDING"",XLOOKUP(A357,tblBuildings[BuildingID],tblBuildings[costtext],""""),
 ""TECH"",XLOOKUP(A357,tblTechnologies[TechnologyID],tblTechnologies[costtext],""""),
 ""QUEST"",XLOOKUP(
  REGEXREPLACE(A357,""\.[^.]+$"",""""),
  tblQuests["&amp;"QuestID],
  tblQuests[Costtext],
  """"
 ),
 ""CITADEL"",XLOOKUP(A357,tblCitadel[CitadelID],tblCitadel[costtext],""""),
 ""COLLECTION"",XLOOKUP(A357,tblCollections[CollectionID],tblCollections[costtext],""""),
 ""CRAFTIFACT"",XLOOKUP(A357,tblCraftifacts[C"&amp;"raftifactID],tblCraftifacts[costtext],""""),
 """"
)"),"vintcheese:1")</f>
        <v>vintcheese:1</v>
      </c>
      <c r="P357" s="26" t="str">
        <f t="shared" si="6"/>
        <v>BLOCKED</v>
      </c>
      <c r="Q357" s="26" t="str">
        <f t="shared" si="7"/>
        <v>BLOCKED</v>
      </c>
      <c r="R357" s="26" t="str">
        <f t="array" ref="R357">IFERROR(
 _xlfn.XLOOKUP(
  A357,
  tblChecklist[TargetID],
  tblChecklist[PlayerSort],
  ""
 ),
 ""
)</f>
        <v/>
      </c>
      <c r="S357" s="26" t="str">
        <f>IFERROR(__xludf.DUMMYFUNCTION("LET(
 id,A357,
 successorIDs,
  IFERROR(
   UNIQUE(
    FILTER(
     {
      Dependencies!$A$2:$A$1000;
      QuestObjectives!$A$2:$A$1000
     },
     {
      Dependencies!$B$2:$B$1000;
      QuestObjectives!$E$2:$E$1000
     }=id
    )
   ),
   """"
  )"&amp;",
 names,
  MAP(
   successorIDs,
   LAMBDA(s,
    IF(
     s="""",
     """",
     XLOOKUP(
      s,
      $A$2:$A$1000,
      $B$2:$B$1000,
      s
     )
    )
   )
  ),
 IF(
  successorIDs="""",
  """",
  TEXTJOIN("", "",TRUE,names)
 )
)"),"Letter from the Dark Lady Accepted")</f>
        <v>Letter from the Dark Lady Accepted</v>
      </c>
      <c r="T357" s="26" t="str">
        <f t="array" ref="T357">_xlfn.XLOOKUP(
 A357,
 tblTargets[TargetID],
 tblTargets[CompletionMethod],
 ""
)</f>
        <v>PLAYER</v>
      </c>
      <c r="U357" s="84" t="b">
        <f>COUNTIF(tblCost[TargetID],A357)&gt;0</f>
        <v>1</v>
      </c>
      <c r="V357" s="85">
        <f t="array" ref="V357">IF(
 U357=FALSE,
 "",
 _xlfn.XLOOKUP(
  A357,
  tblCost[TargetID],
  tblCost[FundingPercent],
  ""
 )
)</f>
        <v>0</v>
      </c>
      <c r="W357" s="26">
        <f t="array" ref="W357">IF(
 U357=FALSE,
 "",
 _xlfn.XLOOKUP(
  A357,
  tblCost[TargetID],
  tblCost[RemainingRequirements],
  ""
 )
)</f>
        <v>1</v>
      </c>
      <c r="X357" s="45" t="b">
        <f t="array" ref="X357">IF(
 U357=FALSE,
 "N/A",
 _xlfn.XLOOKUP(
  A358,
  tblCost[TargetID],
  tblCost[TargetFunded],
  FALSE
 )
)</f>
        <v>0</v>
      </c>
      <c r="Y357" s="26" t="str">
        <f>IFERROR(__xludf.DUMMYFUNCTION("IFERROR(
 TEXTJOIN(
  "", "",
  TRUE,
  FILTER(
   'cost checklist'!$E$2:$E1000&amp;"": ""&amp;'cost checklist'!$G$2:$G1000,
   'cost checklist'!$B$2:$B1000=A357,
   'cost checklist'!$J$2:$J1000=FALSE
  )
 ),
 """"
)"),"vintcheese: 1")</f>
        <v>vintcheese: 1</v>
      </c>
      <c r="Z357" s="26" t="b">
        <f>IFERROR(__xludf.DUMMYFUNCTION("IF(
 AND(
  E357=""QUEST"",
  RIGHT(A357,9)="".accepted"",
  D357=TRUE
 ),
 XLOOKUP(
  REGEXREPLACE(A357,""\.accepted$"","""")&amp;"".finished"",
  $A$2:$A1000,
  $D$2:$D1000,
  TRUE
 )=FALSE,
 FALSE
)"),FALSE)</f>
        <v>0</v>
      </c>
      <c r="AA357" s="26" t="str">
        <f>IFERROR(__xludf.DUMMYFUNCTION("LET(
 id,A357,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)"),"Letter from the Dark Lady")</f>
        <v>Letter from the Dark Lady</v>
      </c>
    </row>
    <row r="358" ht="14.25" customHeight="1">
      <c r="A358" s="26" t="s">
        <v>1329</v>
      </c>
      <c r="B358" s="26" t="str">
        <f t="array" ref="B358">_xlfn.XLOOKUP(
 A358,
 tblTargets[TargetID],
 tblTargets[DisplayName],
 ""
)</f>
        <v>The Ordinary Days of an Adventurer Chapter 7 Accepted</v>
      </c>
      <c r="C358" s="26" t="str">
        <f t="shared" si="1"/>
        <v>BLOCKED</v>
      </c>
      <c r="D358" s="26" t="b">
        <f>IFERROR(__xludf.DUMMYFUNCTION("LET(
 id,A358,
 IF(
  F358=""CHARACTER"",
  LET(
   base,REGEXREPLACE(id,""@\d+$"",""""),
   required,VALUE(REGEXEXTRACT(id,""@(\d+)$"")),
   current,XLOOKUP(
    base,
    tblPlayer[PlayerStateID],
    tblPlayer[Value],
    0
   ),
   current&gt;=required
 "&amp;" ),
  IF(
   T358=""AUTO"",
   L358=0,
   COUNTIFS(
    tblChecklist[TargetID],id,
    tblChecklist[PlayerCompleted],TRUE
   )&gt;0
  )
 )
)"),FALSE)</f>
        <v>0</v>
      </c>
      <c r="E358" s="26" t="str">
        <f t="array" ref="E358">_xlfn.XLOOKUP(
 A358,
 tblTargets[TargetID],
 tblTargets[TargetType],
 ""
)</f>
        <v>QUEST</v>
      </c>
      <c r="F358" s="26" t="str">
        <f t="array" ref="F358">_xlfn.XLOOKUP(
 A358,
 tblTargets[TargetID],
 tblTargets[StateType],
 ""
)</f>
        <v/>
      </c>
      <c r="G358" s="26">
        <f>LET(
 id,A358,
 depCount,COUNTIF(tblDependencies[TargetID],id),
 objCount,COUNTIF(tblQuestObjectives[QuestTargetID],id),
 depCount+objCount
)</f>
        <v>1</v>
      </c>
      <c r="H358" s="26">
        <f t="shared" si="2"/>
        <v>1</v>
      </c>
      <c r="I358" s="26">
        <f>IFERROR(__xludf.DUMMYFUNCTION("LET(
 id,A358,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8" s="26">
        <f t="shared" si="3"/>
        <v>0</v>
      </c>
      <c r="K358" s="26" t="b">
        <f t="shared" si="4"/>
        <v>0</v>
      </c>
      <c r="L358" s="26">
        <f t="shared" si="5"/>
        <v>1</v>
      </c>
      <c r="M358" s="26" t="str">
        <f>IFERROR(__xludf.DUMMYFUNCTION("LET(
 id,A358,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L358=0,
  """",
  IFERROR(INDEX(incomplete,1),"""")"&amp;"
 )
)"),"quest.the_ordinary_days_of_an_adventurer_chapter_4.finished")</f>
        <v>quest.the_ordinary_days_of_an_adventurer_chapter_4.finished</v>
      </c>
      <c r="N358" s="26" t="str">
        <f t="array" ref="N358">IF(
 M358="",
 "",
 _xlfn.XLOOKUP(
  M358,
  tblTargets[TargetID],
  tblTargets[DisplayName],
  M358
 )
)</f>
        <v>The Ordinary Days of an Adventurer Chapter 4 Finished</v>
      </c>
      <c r="O358" s="26" t="str">
        <f>IFERROR(__xludf.DUMMYFUNCTION("SWITCH(
 E358,
 ""BUILDING"",XLOOKUP(A358,tblBuildings[BuildingID],tblBuildings[costtext],""""),
 ""TECH"",XLOOKUP(A358,tblTechnologies[TechnologyID],tblTechnologies[costtext],""""),
 ""QUEST"",XLOOKUP(
  REGEXREPLACE(A358,""\.[^.]+$"",""""),
  tblQuests["&amp;"QuestID],
  tblQuests[Costtext],
  """"
 ),
 ""CITADEL"",XLOOKUP(A358,tblCitadel[CitadelID],tblCitadel[costtext],""""),
 ""COLLECTION"",XLOOKUP(A358,tblCollections[CollectionID],tblCollections[costtext],""""),
 ""CRAFTIFACT"",XLOOKUP(A358,tblCraftifacts[C"&amp;"raftifactID],tblCraftifacts[costtext],""""),
 """"
)"),"")</f>
        <v/>
      </c>
      <c r="P358" s="26" t="str">
        <f t="shared" si="6"/>
        <v>BLOCKED</v>
      </c>
      <c r="Q358" s="26" t="str">
        <f t="shared" si="7"/>
        <v>BLOCKED</v>
      </c>
      <c r="R358" s="26" t="str">
        <f t="array" ref="R358">IFERROR(
 _xlfn.XLOOKUP(
  A358,
  tblChecklist[TargetID],
  tblChecklist[PlayerSort],
  ""
 ),
 ""
)</f>
        <v/>
      </c>
      <c r="S358" s="26" t="str">
        <f>IFERROR(__xludf.DUMMYFUNCTION("LET(
 id,A358,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7 Finished, Complete Dungeon 6C")</f>
        <v>The Ordinary Days of an Adventurer Chapter 7 Finished, Complete Dungeon 6C</v>
      </c>
      <c r="T358" s="26" t="str">
        <f t="array" ref="T358">_xlfn.XLOOKUP(
 A358,
 tblTargets[TargetID],
 tblTargets[CompletionMethod],
 ""
)</f>
        <v>PLAYER</v>
      </c>
      <c r="U358" s="84" t="b">
        <f>COUNTIF(tblCost[TargetID],A358)&gt;0</f>
        <v>0</v>
      </c>
      <c r="V358" s="85" t="str">
        <f t="array" ref="V358">IF(
 U358=FALSE,
 "",
 _xlfn.XLOOKUP(
  A358,
  tblCost[TargetID],
  tblCost[FundingPercent],
  ""
 )
)</f>
        <v/>
      </c>
      <c r="W358" s="26" t="str">
        <f t="array" ref="W358">IF(
 U358=FALSE,
 "",
 _xlfn.XLOOKUP(
  A358,
  tblCost[TargetID],
  tblCost[RemainingRequirements],
  ""
 )
)</f>
        <v/>
      </c>
      <c r="X358" s="45" t="str">
        <f t="array" ref="X358">IF(
 U358=FALSE,
 "N/A",
 _xlfn.XLOOKUP(
  A359,
  tblCost[TargetID],
  tblCost[TargetFunded],
  FALSE
 )
)</f>
        <v>N/A</v>
      </c>
      <c r="Y358" s="26" t="str">
        <f>IFERROR(__xludf.DUMMYFUNCTION("IFERROR(
 TEXTJOIN(
  "", "",
  TRUE,
  FILTER(
   'cost checklist'!$E$2:$E1000&amp;"": ""&amp;'cost checklist'!$G$2:$G1000,
   'cost checklist'!$B$2:$B1000=A358,
   'cost checklist'!$J$2:$J1000=FALSE
  )
 ),
 """"
)"),"")</f>
        <v/>
      </c>
      <c r="Z358" s="26" t="b">
        <f>IFERROR(__xludf.DUMMYFUNCTION("IF(
 AND(
  E358=""QUEST"",
  RIGHT(A358,9)="".accepted"",
  D358=TRUE
 ),
 XLOOKUP(
  REGEXREPLACE(A358,""\.accepted$"","""")&amp;"".finished"",
  $A$2:$A1000,
  $D$2:$D1000,
  TRUE
 )=FALSE,
 FALSE
)"),FALSE)</f>
        <v>0</v>
      </c>
      <c r="AA358" s="26" t="str">
        <f>IFERROR(__xludf.DUMMYFUNCTION("LET(
 id,A358,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59" ht="14.25" customHeight="1">
      <c r="A359" s="26" t="s">
        <v>1332</v>
      </c>
      <c r="B359" s="26" t="str">
        <f t="array" ref="B359">_xlfn.XLOOKUP(
 A359,
 tblTargets[TargetID],
 tblTargets[DisplayName],
 ""
)</f>
        <v>The Ordinary Days of an Adventurer Chapter 7 Finished</v>
      </c>
      <c r="C359" s="26" t="str">
        <f t="shared" si="1"/>
        <v>BLOCKED</v>
      </c>
      <c r="D359" s="26" t="b">
        <f>IFERROR(__xludf.DUMMYFUNCTION("LET(
 id,A359,
 IF(
  F359=""CHARACTER"",
  LET(
   base,REGEXREPLACE(id,""@\d+$"",""""),
   required,VALUE(REGEXEXTRACT(id,""@(\d+)$"")),
   current,XLOOKUP(
    base,
    tblPlayer[PlayerStateID],
    tblPlayer[Value],
    0
   ),
   current&gt;=required
 "&amp;" ),
  IF(
   T359=""AUTO"",
   L359=0,
   COUNTIFS(
    tblChecklist[TargetID],id,
    tblChecklist[PlayerCompleted],TRUE
   )&gt;0
  )
 )
)"),FALSE)</f>
        <v>0</v>
      </c>
      <c r="E359" s="26" t="str">
        <f t="array" ref="E359">_xlfn.XLOOKUP(
 A359,
 tblTargets[TargetID],
 tblTargets[TargetType],
 ""
)</f>
        <v>QUEST</v>
      </c>
      <c r="F359" s="26" t="str">
        <f t="array" ref="F359">_xlfn.XLOOKUP(
 A359,
 tblTargets[TargetID],
 tblTargets[StateType],
 ""
)</f>
        <v/>
      </c>
      <c r="G359" s="26">
        <f>LET(
 id,A359,
 depCount,COUNTIF(tblDependencies[TargetID],id),
 objCount,COUNTIF(tblQuestObjectives[QuestTargetID],id),
 depCount+objCount
)</f>
        <v>2</v>
      </c>
      <c r="H359" s="26">
        <f t="shared" si="2"/>
        <v>2</v>
      </c>
      <c r="I359" s="26">
        <f>IFERROR(__xludf.DUMMYFUNCTION("LET(
 id,A359,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59" s="26">
        <f t="shared" si="3"/>
        <v>0</v>
      </c>
      <c r="K359" s="26" t="b">
        <f t="shared" si="4"/>
        <v>0</v>
      </c>
      <c r="L359" s="26">
        <f t="shared" si="5"/>
        <v>2</v>
      </c>
      <c r="M359" s="26" t="str">
        <f>IFERROR(__xludf.DUMMYFUNCTION("LET(
 id,A359,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L359=0,
  """",
  IFERROR(INDEX(incomplete,1),"""")"&amp;"
 )
)"),"quest.the_ordinary_days_of_an_adventurer_chapter_7.accepted")</f>
        <v>quest.the_ordinary_days_of_an_adventurer_chapter_7.accepted</v>
      </c>
      <c r="N359" s="26" t="str">
        <f t="array" ref="N359">IF(
 M359="",
 "",
 _xlfn.XLOOKUP(
  M359,
  tblTargets[TargetID],
  tblTargets[DisplayName],
  M359
 )
)</f>
        <v>The Ordinary Days of an Adventurer Chapter 7 Accepted</v>
      </c>
      <c r="O359" s="26" t="str">
        <f>IFERROR(__xludf.DUMMYFUNCTION("SWITCH(
 E359,
 ""BUILDING"",XLOOKUP(A359,tblBuildings[BuildingID],tblBuildings[costtext],""""),
 ""TECH"",XLOOKUP(A359,tblTechnologies[TechnologyID],tblTechnologies[costtext],""""),
 ""QUEST"",XLOOKUP(
  REGEXREPLACE(A359,""\.[^.]+$"",""""),
  tblQuests["&amp;"QuestID],
  tblQuests[Costtext],
  """"
 ),
 ""CITADEL"",XLOOKUP(A359,tblCitadel[CitadelID],tblCitadel[costtext],""""),
 ""COLLECTION"",XLOOKUP(A359,tblCollections[CollectionID],tblCollections[costtext],""""),
 ""CRAFTIFACT"",XLOOKUP(A359,tblCraftifacts[C"&amp;"raftifactID],tblCraftifacts[costtext],""""),
 """"
)"),"")</f>
        <v/>
      </c>
      <c r="P359" s="26" t="str">
        <f t="shared" si="6"/>
        <v>BLOCKED</v>
      </c>
      <c r="Q359" s="26" t="str">
        <f t="shared" si="7"/>
        <v>BLOCKED</v>
      </c>
      <c r="R359" s="26" t="str">
        <f t="array" ref="R359">IFERROR(
 _xlfn.XLOOKUP(
  A359,
  tblChecklist[TargetID],
  tblChecklist[PlayerSort],
  ""
 ),
 ""
)</f>
        <v/>
      </c>
      <c r="S359" s="26" t="str">
        <f>IFERROR(__xludf.DUMMYFUNCTION("LET(
 id,A359,
 successorIDs,
  IFERROR(
   UNIQUE(
    FILTER(
     {
      Dependencies!$A$2:$A$1000;
      QuestObjectives!$A$2:$A$1000
     },
     {
      Dependencies!$B$2:$B$1000;
      QuestObjectives!$E$2:$E$1000
     }=id
    )
   ),
   """"
  )"&amp;",
 names,
  MAP(
   successorIDs,
   LAMBDA(s,
    IF(
     s="""",
     """",
     XLOOKUP(
      s,
      $A$2:$A$1000,
      $B$2:$B$1000,
      s
     )
    )
   )
  ),
 IF(
  successorIDs="""",
  """",
  TEXTJOIN("", "",TRUE,names)
 )
)"),"Armory 2 Lv 1, Courtyard 1 Lv 1, Courtyard 2 Lv 1, Gallery 3 Lv 1, Pantry 4 Lv 1, Treasury 3 Lv 1, The Ordinary Days of an Adventurer Chapter 8 Accepted, Dairy - Classical Music For The Farm, Meet Dark Lady@6B second time")</f>
        <v>Armory 2 Lv 1, Courtyard 1 Lv 1, Courtyard 2 Lv 1, Gallery 3 Lv 1, Pantry 4 Lv 1, Treasury 3 Lv 1, The Ordinary Days of an Adventurer Chapter 8 Accepted, Dairy - Classical Music For The Farm, Meet Dark Lady@6B second time</v>
      </c>
      <c r="T359" s="26" t="str">
        <f t="array" ref="T359">_xlfn.XLOOKUP(
 A359,
 tblTargets[TargetID],
 tblTargets[CompletionMethod],
 ""
)</f>
        <v>PLAYER</v>
      </c>
      <c r="U359" s="84" t="b">
        <f>COUNTIF(tblCost[TargetID],A359)&gt;0</f>
        <v>0</v>
      </c>
      <c r="V359" s="85" t="str">
        <f t="array" ref="V359">IF(
 U359=FALSE,
 "",
 _xlfn.XLOOKUP(
  A359,
  tblCost[TargetID],
  tblCost[FundingPercent],
  ""
 )
)</f>
        <v/>
      </c>
      <c r="W359" s="26" t="str">
        <f t="array" ref="W359">IF(
 U359=FALSE,
 "",
 _xlfn.XLOOKUP(
  A359,
  tblCost[TargetID],
  tblCost[RemainingRequirements],
  ""
 )
)</f>
        <v/>
      </c>
      <c r="X359" s="45" t="str">
        <f t="array" ref="X359">IF(
 U359=FALSE,
 "N/A",
 _xlfn.XLOOKUP(
  A360,
  tblCost[TargetID],
  tblCost[TargetFunded],
  FALSE
 )
)</f>
        <v>N/A</v>
      </c>
      <c r="Y359" s="26" t="str">
        <f>IFERROR(__xludf.DUMMYFUNCTION("IFERROR(
 TEXTJOIN(
  "", "",
  TRUE,
  FILTER(
   'cost checklist'!$E$2:$E1000&amp;"": ""&amp;'cost checklist'!$G$2:$G1000,
   'cost checklist'!$B$2:$B1000=A359,
   'cost checklist'!$J$2:$J1000=FALSE
  )
 ),
 """"
)"),"")</f>
        <v/>
      </c>
      <c r="Z359" s="26" t="b">
        <f>IFERROR(__xludf.DUMMYFUNCTION("IF(
 AND(
  E359=""QUEST"",
  RIGHT(A359,9)="".accepted"",
  D359=TRUE
 ),
 XLOOKUP(
  REGEXREPLACE(A359,""\.accepted$"","""")&amp;"".finished"",
  $A$2:$A1000,
  $D$2:$D1000,
  TRUE
 )=FALSE,
 FALSE
)"),FALSE)</f>
        <v>0</v>
      </c>
      <c r="AA359" s="26" t="str">
        <f>IFERROR(__xludf.DUMMYFUNCTION("LET(
 id,A359,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8")</f>
        <v>The Ordinary Days of an Adventurer Chapter 8</v>
      </c>
    </row>
    <row r="360" ht="14.25" customHeight="1">
      <c r="A360" s="26" t="s">
        <v>1334</v>
      </c>
      <c r="B360" s="26" t="str">
        <f t="array" ref="B360">_xlfn.XLOOKUP(
 A360,
 tblTargets[TargetID],
 tblTargets[DisplayName],
 ""
)</f>
        <v>The Ordinary Days of an Adventurer Chapter 8 Accepted</v>
      </c>
      <c r="C360" s="26" t="str">
        <f t="shared" si="1"/>
        <v>BLOCKED</v>
      </c>
      <c r="D360" s="26" t="b">
        <f>IFERROR(__xludf.DUMMYFUNCTION("LET(
 id,A360,
 IF(
  F360=""CHARACTER"",
  LET(
   base,REGEXREPLACE(id,""@\d+$"",""""),
   required,VALUE(REGEXEXTRACT(id,""@(\d+)$"")),
   current,XLOOKUP(
    base,
    tblPlayer[PlayerStateID],
    tblPlayer[Value],
    0
   ),
   current&gt;=required
 "&amp;" ),
  IF(
   T360=""AUTO"",
   L360=0,
   COUNTIFS(
    tblChecklist[TargetID],id,
    tblChecklist[PlayerCompleted],TRUE
   )&gt;0
  )
 )
)"),FALSE)</f>
        <v>0</v>
      </c>
      <c r="E360" s="26" t="str">
        <f t="array" ref="E360">_xlfn.XLOOKUP(
 A360,
 tblTargets[TargetID],
 tblTargets[TargetType],
 ""
)</f>
        <v>QUEST</v>
      </c>
      <c r="F360" s="26" t="str">
        <f t="array" ref="F360">_xlfn.XLOOKUP(
 A360,
 tblTargets[TargetID],
 tblTargets[StateType],
 ""
)</f>
        <v/>
      </c>
      <c r="G360" s="26">
        <f>LET(
 id,A360,
 depCount,COUNTIF(tblDependencies[TargetID],id),
 objCount,COUNTIF(tblQuestObjectives[QuestTargetID],id),
 depCount+objCount
)</f>
        <v>2</v>
      </c>
      <c r="H360" s="26">
        <f t="shared" si="2"/>
        <v>2</v>
      </c>
      <c r="I360" s="26">
        <f>IFERROR(__xludf.DUMMYFUNCTION("LET(
 id,A360,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0" s="26">
        <f t="shared" si="3"/>
        <v>0</v>
      </c>
      <c r="K360" s="26" t="b">
        <f t="shared" si="4"/>
        <v>0</v>
      </c>
      <c r="L360" s="26">
        <f t="shared" si="5"/>
        <v>2</v>
      </c>
      <c r="M360" s="26" t="str">
        <f>IFERROR(__xludf.DUMMYFUNCTION("LET(
 id,A360,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L360=0,
  """",
  IFERROR(INDEX(incomplete,1),"""")"&amp;"
 )
)"),"quest.the_ordinary_days_of_an_adventurer_chapter_7.finished")</f>
        <v>quest.the_ordinary_days_of_an_adventurer_chapter_7.finished</v>
      </c>
      <c r="N360" s="26" t="str">
        <f t="array" ref="N360">IF(
 M360="",
 "",
 _xlfn.XLOOKUP(
  M360,
  tblTargets[TargetID],
  tblTargets[DisplayName],
  M360
 )
)</f>
        <v>The Ordinary Days of an Adventurer Chapter 7 Finished</v>
      </c>
      <c r="O360" s="26" t="str">
        <f>IFERROR(__xludf.DUMMYFUNCTION("SWITCH(
 E360,
 ""BUILDING"",XLOOKUP(A360,tblBuildings[BuildingID],tblBuildings[costtext],""""),
 ""TECH"",XLOOKUP(A360,tblTechnologies[TechnologyID],tblTechnologies[costtext],""""),
 ""QUEST"",XLOOKUP(
  REGEXREPLACE(A360,""\.[^.]+$"",""""),
  tblQuests["&amp;"QuestID],
  tblQuests[Costtext],
  """"
 ),
 ""CITADEL"",XLOOKUP(A360,tblCitadel[CitadelID],tblCitadel[costtext],""""),
 ""COLLECTION"",XLOOKUP(A360,tblCollections[CollectionID],tblCollections[costtext],""""),
 ""CRAFTIFACT"",XLOOKUP(A360,tblCraftifacts[C"&amp;"raftifactID],tblCraftifacts[costtext],""""),
 """"
)"),"")</f>
        <v/>
      </c>
      <c r="P360" s="26" t="str">
        <f t="shared" si="6"/>
        <v>BLOCKED</v>
      </c>
      <c r="Q360" s="26" t="str">
        <f t="shared" si="7"/>
        <v>BLOCKED</v>
      </c>
      <c r="R360" s="26" t="str">
        <f t="array" ref="R360">IFERROR(
 _xlfn.XLOOKUP(
  A360,
  tblChecklist[TargetID],
  tblChecklist[PlayerSort],
  ""
 ),
 ""
)</f>
        <v/>
      </c>
      <c r="S360" s="26" t="str">
        <f>IFERROR(__xludf.DUMMYFUNCTION("LET(
 id,A360,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8 Finished, Visit Paris in the Airship")</f>
        <v>The Ordinary Days of an Adventurer Chapter 8 Finished, Visit Paris in the Airship</v>
      </c>
      <c r="T360" s="26" t="str">
        <f t="array" ref="T360">_xlfn.XLOOKUP(
 A360,
 tblTargets[TargetID],
 tblTargets[CompletionMethod],
 ""
)</f>
        <v>PLAYER</v>
      </c>
      <c r="U360" s="84" t="b">
        <f>COUNTIF(tblCost[TargetID],A360)&gt;0</f>
        <v>0</v>
      </c>
      <c r="V360" s="85" t="str">
        <f t="array" ref="V360">IF(
 U360=FALSE,
 "",
 _xlfn.XLOOKUP(
  A360,
  tblCost[TargetID],
  tblCost[FundingPercent],
  ""
 )
)</f>
        <v/>
      </c>
      <c r="W360" s="26" t="str">
        <f t="array" ref="W360">IF(
 U360=FALSE,
 "",
 _xlfn.XLOOKUP(
  A360,
  tblCost[TargetID],
  tblCost[RemainingRequirements],
  ""
 )
)</f>
        <v/>
      </c>
      <c r="X360" s="45" t="str">
        <f t="array" ref="X360">IF(
 U360=FALSE,
 "N/A",
 _xlfn.XLOOKUP(
  A361,
  tblCost[TargetID],
  tblCost[TargetFunded],
  FALSE
 )
)</f>
        <v>N/A</v>
      </c>
      <c r="Y360" s="26" t="str">
        <f>IFERROR(__xludf.DUMMYFUNCTION("IFERROR(
 TEXTJOIN(
  "", "",
  TRUE,
  FILTER(
   'cost checklist'!$E$2:$E1000&amp;"": ""&amp;'cost checklist'!$G$2:$G1000,
   'cost checklist'!$B$2:$B1000=A360,
   'cost checklist'!$J$2:$J1000=FALSE
  )
 ),
 """"
)"),"")</f>
        <v/>
      </c>
      <c r="Z360" s="26" t="b">
        <f>IFERROR(__xludf.DUMMYFUNCTION("IF(
 AND(
  E360=""QUEST"",
  RIGHT(A360,9)="".accepted"",
  D360=TRUE
 ),
 XLOOKUP(
  REGEXREPLACE(A360,""\.accepted$"","""")&amp;"".finished"",
  $A$2:$A1000,
  $D$2:$D1000,
  TRUE
 )=FALSE,
 FALSE
)"),FALSE)</f>
        <v>0</v>
      </c>
      <c r="AA360" s="26" t="str">
        <f>IFERROR(__xludf.DUMMYFUNCTION("LET(
 id,A360,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61" ht="14.25" customHeight="1">
      <c r="A361" s="26" t="s">
        <v>1336</v>
      </c>
      <c r="B361" s="26" t="str">
        <f t="array" ref="B361">_xlfn.XLOOKUP(
 A361,
 tblTargets[TargetID],
 tblTargets[DisplayName],
 ""
)</f>
        <v>The Ordinary Days of an Adventurer Chapter 8 Finished</v>
      </c>
      <c r="C361" s="26" t="str">
        <f t="shared" si="1"/>
        <v>BLOCKED</v>
      </c>
      <c r="D361" s="26" t="b">
        <f>IFERROR(__xludf.DUMMYFUNCTION("LET(
 id,A361,
 IF(
  F361=""CHARACTER"",
  LET(
   base,REGEXREPLACE(id,""@\d+$"",""""),
   required,VALUE(REGEXEXTRACT(id,""@(\d+)$"")),
   current,XLOOKUP(
    base,
    tblPlayer[PlayerStateID],
    tblPlayer[Value],
    0
   ),
   current&gt;=required
 "&amp;" ),
  IF(
   T361=""AUTO"",
   L361=0,
   COUNTIFS(
    tblChecklist[TargetID],id,
    tblChecklist[PlayerCompleted],TRUE
   )&gt;0
  )
 )
)"),FALSE)</f>
        <v>0</v>
      </c>
      <c r="E361" s="26" t="str">
        <f t="array" ref="E361">_xlfn.XLOOKUP(
 A361,
 tblTargets[TargetID],
 tblTargets[TargetType],
 ""
)</f>
        <v>QUEST</v>
      </c>
      <c r="F361" s="26" t="str">
        <f t="array" ref="F361">_xlfn.XLOOKUP(
 A361,
 tblTargets[TargetID],
 tblTargets[StateType],
 ""
)</f>
        <v/>
      </c>
      <c r="G361" s="26">
        <f>LET(
 id,A361,
 depCount,COUNTIF(tblDependencies[TargetID],id),
 objCount,COUNTIF(tblQuestObjectives[QuestTargetID],id),
 depCount+objCount
)</f>
        <v>2</v>
      </c>
      <c r="H361" s="26">
        <f t="shared" si="2"/>
        <v>2</v>
      </c>
      <c r="I361" s="26">
        <f>IFERROR(__xludf.DUMMYFUNCTION("LET(
 id,A361,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1" s="26">
        <f t="shared" si="3"/>
        <v>0</v>
      </c>
      <c r="K361" s="26" t="b">
        <f t="shared" si="4"/>
        <v>0</v>
      </c>
      <c r="L361" s="26">
        <f t="shared" si="5"/>
        <v>2</v>
      </c>
      <c r="M361" s="26" t="str">
        <f>IFERROR(__xludf.DUMMYFUNCTION("LET(
 id,A361,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L361=0,
  """",
  IFERROR(INDEX(incomplete,1),"""")"&amp;"
 )
)"),"quest.the_ordinary_days_of_an_adventurer_chapter_8.accepted")</f>
        <v>quest.the_ordinary_days_of_an_adventurer_chapter_8.accepted</v>
      </c>
      <c r="N361" s="26" t="str">
        <f t="array" ref="N361">IF(
 M361="",
 "",
 _xlfn.XLOOKUP(
  M361,
  tblTargets[TargetID],
  tblTargets[DisplayName],
  M361
 )
)</f>
        <v>The Ordinary Days of an Adventurer Chapter 8 Accepted</v>
      </c>
      <c r="O361" s="26" t="str">
        <f>IFERROR(__xludf.DUMMYFUNCTION("SWITCH(
 E361,
 ""BUILDING"",XLOOKUP(A361,tblBuildings[BuildingID],tblBuildings[costtext],""""),
 ""TECH"",XLOOKUP(A361,tblTechnologies[TechnologyID],tblTechnologies[costtext],""""),
 ""QUEST"",XLOOKUP(
  REGEXREPLACE(A361,""\.[^.]+$"",""""),
  tblQuests["&amp;"QuestID],
  tblQuests[Costtext],
  """"
 ),
 ""CITADEL"",XLOOKUP(A361,tblCitadel[CitadelID],tblCitadel[costtext],""""),
 ""COLLECTION"",XLOOKUP(A361,tblCollections[CollectionID],tblCollections[costtext],""""),
 ""CRAFTIFACT"",XLOOKUP(A361,tblCraftifacts[C"&amp;"raftifactID],tblCraftifacts[costtext],""""),
 """"
)"),"")</f>
        <v/>
      </c>
      <c r="P361" s="26" t="str">
        <f t="shared" si="6"/>
        <v>BLOCKED</v>
      </c>
      <c r="Q361" s="26" t="str">
        <f t="shared" si="7"/>
        <v>BLOCKED</v>
      </c>
      <c r="R361" s="26" t="str">
        <f t="array" ref="R361">IFERROR(
 _xlfn.XLOOKUP(
  A361,
  tblChecklist[TargetID],
  tblChecklist[PlayerSort],
  ""
 ),
 ""
)</f>
        <v/>
      </c>
      <c r="S361" s="26" t="str">
        <f>IFERROR(__xludf.DUMMYFUNCTION("LET(
 id,A361,
 successorIDs,
  IFERROR(
   UNIQUE(
    FILTER(
     {
      Dependencies!$A$2:$A$1000;
      QuestObjectives!$A$2:$A$1000
     },
     {
      Dependencies!$B$2:$B$1000;
      QuestObjectives!$E$2:$E$1000
     }=id
    )
   ),
   """"
  )"&amp;",
 names,
  MAP(
   successorIDs,
   LAMBDA(s,
    IF(
     s="""",
     """",
     XLOOKUP(
      s,
      $A$2:$A$1000,
      $B$2:$B$1000,
      s
     )
    )
   )
  ),
 IF(
  successorIDs="""",
  """",
  TEXTJOIN("", "",TRUE,names)
 )
)"),"Ahead of Time Chapter 2 Accepted")</f>
        <v>Ahead of Time Chapter 2 Accepted</v>
      </c>
      <c r="T361" s="26" t="str">
        <f t="array" ref="T361">_xlfn.XLOOKUP(
 A361,
 tblTargets[TargetID],
 tblTargets[CompletionMethod],
 ""
)</f>
        <v>PLAYER</v>
      </c>
      <c r="U361" s="84" t="b">
        <f>COUNTIF(tblCost[TargetID],A361)&gt;0</f>
        <v>0</v>
      </c>
      <c r="V361" s="85" t="str">
        <f t="array" ref="V361">IF(
 U361=FALSE,
 "",
 _xlfn.XLOOKUP(
  A361,
  tblCost[TargetID],
  tblCost[FundingPercent],
  ""
 )
)</f>
        <v/>
      </c>
      <c r="W361" s="26" t="str">
        <f t="array" ref="W361">IF(
 U361=FALSE,
 "",
 _xlfn.XLOOKUP(
  A361,
  tblCost[TargetID],
  tblCost[RemainingRequirements],
  ""
 )
)</f>
        <v/>
      </c>
      <c r="X361" s="45" t="str">
        <f t="array" ref="X361">IF(
 U361=FALSE,
 "N/A",
 _xlfn.XLOOKUP(
  A362,
  tblCost[TargetID],
  tblCost[TargetFunded],
  FALSE
 )
)</f>
        <v>N/A</v>
      </c>
      <c r="Y361" s="26" t="str">
        <f>IFERROR(__xludf.DUMMYFUNCTION("IFERROR(
 TEXTJOIN(
  "", "",
  TRUE,
  FILTER(
   'cost checklist'!$E$2:$E1000&amp;"": ""&amp;'cost checklist'!$G$2:$G1000,
   'cost checklist'!$B$2:$B1000=A361,
   'cost checklist'!$J$2:$J1000=FALSE
  )
 ),
 """"
)"),"")</f>
        <v/>
      </c>
      <c r="Z361" s="26" t="b">
        <f>IFERROR(__xludf.DUMMYFUNCTION("IF(
 AND(
  E361=""QUEST"",
  RIGHT(A361,9)="".accepted"",
  D361=TRUE
 ),
 XLOOKUP(
  REGEXREPLACE(A361,""\.accepted$"","""")&amp;"".finished"",
  $A$2:$A1000,
  $D$2:$D1000,
  TRUE
 )=FALSE,
 FALSE
)"),FALSE)</f>
        <v>0</v>
      </c>
      <c r="AA361" s="26" t="str">
        <f>IFERROR(__xludf.DUMMYFUNCTION("LET(
 id,A361,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2")</f>
        <v>Ahead of Time Chapter 2</v>
      </c>
    </row>
    <row r="362" ht="14.25" customHeight="1">
      <c r="A362" s="26" t="s">
        <v>1338</v>
      </c>
      <c r="B362" s="26" t="str">
        <f t="array" ref="B362">_xlfn.XLOOKUP(
 A362,
 tblTargets[TargetID],
 tblTargets[DisplayName],
 ""
)</f>
        <v>The Ring of the Dark Lady Accepted</v>
      </c>
      <c r="C362" s="26" t="str">
        <f t="shared" si="1"/>
        <v>BLOCKED</v>
      </c>
      <c r="D362" s="26" t="b">
        <f>IFERROR(__xludf.DUMMYFUNCTION("LET(
 id,A362,
 IF(
  F362=""CHARACTER"",
  LET(
   base,REGEXREPLACE(id,""@\d+$"",""""),
   required,VALUE(REGEXEXTRACT(id,""@(\d+)$"")),
   current,XLOOKUP(
    base,
    tblPlayer[PlayerStateID],
    tblPlayer[Value],
    0
   ),
   current&gt;=required
 "&amp;" ),
  IF(
   T362=""AUTO"",
   L362=0,
   COUNTIFS(
    tblChecklist[TargetID],id,
    tblChecklist[PlayerCompleted],TRUE
   )&gt;0
  )
 )
)"),FALSE)</f>
        <v>0</v>
      </c>
      <c r="E362" s="26" t="str">
        <f t="array" ref="E362">_xlfn.XLOOKUP(
 A362,
 tblTargets[TargetID],
 tblTargets[TargetType],
 ""
)</f>
        <v>QUEST</v>
      </c>
      <c r="F362" s="26" t="str">
        <f t="array" ref="F362">_xlfn.XLOOKUP(
 A362,
 tblTargets[TargetID],
 tblTargets[StateType],
 ""
)</f>
        <v/>
      </c>
      <c r="G362" s="26">
        <f>LET(
 id,A362,
 depCount,COUNTIF(tblDependencies[TargetID],id),
 objCount,COUNTIF(tblQuestObjectives[QuestTargetID],id),
 depCount+objCount
)</f>
        <v>2</v>
      </c>
      <c r="H362" s="26">
        <f t="shared" si="2"/>
        <v>2</v>
      </c>
      <c r="I362" s="26">
        <f>IFERROR(__xludf.DUMMYFUNCTION("LET(
 id,A362,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2" s="26">
        <f t="shared" si="3"/>
        <v>0</v>
      </c>
      <c r="K362" s="26" t="b">
        <f t="shared" si="4"/>
        <v>0</v>
      </c>
      <c r="L362" s="26">
        <f t="shared" si="5"/>
        <v>2</v>
      </c>
      <c r="M362" s="26" t="str">
        <f>IFERROR(__xludf.DUMMYFUNCTION("LET(
 id,A362,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L362=0,
  """",
  IFERROR(INDEX(incomplete,1),"""")"&amp;"
 )
)"),"quest.dragon_teeth.finished")</f>
        <v>quest.dragon_teeth.finished</v>
      </c>
      <c r="N362" s="26" t="str">
        <f t="array" ref="N362">IF(
 M362="",
 "",
 _xlfn.XLOOKUP(
  M362,
  tblTargets[TargetID],
  tblTargets[DisplayName],
  M362
 )
)</f>
        <v>Dragon teeth Finished</v>
      </c>
      <c r="O362" s="26" t="str">
        <f>IFERROR(__xludf.DUMMYFUNCTION("SWITCH(
 E362,
 ""BUILDING"",XLOOKUP(A362,tblBuildings[BuildingID],tblBuildings[costtext],""""),
 ""TECH"",XLOOKUP(A362,tblTechnologies[TechnologyID],tblTechnologies[costtext],""""),
 ""QUEST"",XLOOKUP(
  REGEXREPLACE(A362,""\.[^.]+$"",""""),
  tblQuests["&amp;"QuestID],
  tblQuests[Costtext],
  """"
 ),
 ""CITADEL"",XLOOKUP(A362,tblCitadel[CitadelID],tblCitadel[costtext],""""),
 ""COLLECTION"",XLOOKUP(A362,tblCollections[CollectionID],tblCollections[costtext],""""),
 ""CRAFTIFACT"",XLOOKUP(A362,tblCraftifacts[C"&amp;"raftifactID],tblCraftifacts[costtext],""""),
 """"
)"),"")</f>
        <v/>
      </c>
      <c r="P362" s="26" t="str">
        <f t="shared" si="6"/>
        <v>BLOCKED</v>
      </c>
      <c r="Q362" s="26" t="str">
        <f t="shared" si="7"/>
        <v>BLOCKED</v>
      </c>
      <c r="R362" s="26" t="str">
        <f t="array" ref="R362">IFERROR(
 _xlfn.XLOOKUP(
  A362,
  tblChecklist[TargetID],
  tblChecklist[PlayerSort],
  ""
 ),
 ""
)</f>
        <v/>
      </c>
      <c r="S362" s="26" t="str">
        <f>IFERROR(__xludf.DUMMYFUNCTION("LET(
 id,A362,
 successorIDs,
  IFERROR(
   UNIQUE(
    FILTER(
     {
      Dependencies!$A$2:$A$1000;
      QuestObjectives!$A$2:$A$1000
     },
     {
      Dependencies!$B$2:$B$1000;
      QuestObjectives!$E$2:$E$1000
     }=id
    )
   ),
   """"
  )"&amp;",
 names,
  MAP(
   successorIDs,
   LAMBDA(s,
    IF(
     s="""",
     """",
     XLOOKUP(
      s,
      $A$2:$A$1000,
      $B$2:$B$1000,
      s
     )
    )
   )
  ),
 IF(
  successorIDs="""",
  """",
  TEXTJOIN("", "",TRUE,names)
 )
)"),"The Ring of the Dark Lady Finished, Return the ring")</f>
        <v>The Ring of the Dark Lady Finished, Return the ring</v>
      </c>
      <c r="T362" s="26" t="str">
        <f t="array" ref="T362">_xlfn.XLOOKUP(
 A362,
 tblTargets[TargetID],
 tblTargets[CompletionMethod],
 ""
)</f>
        <v>PLAYER</v>
      </c>
      <c r="U362" s="84" t="b">
        <f>COUNTIF(tblCost[TargetID],A362)&gt;0</f>
        <v>0</v>
      </c>
      <c r="V362" s="85" t="str">
        <f t="array" ref="V362">IF(
 U362=FALSE,
 "",
 _xlfn.XLOOKUP(
  A362,
  tblCost[TargetID],
  tblCost[FundingPercent],
  ""
 )
)</f>
        <v/>
      </c>
      <c r="W362" s="26" t="str">
        <f t="array" ref="W362">IF(
 U362=FALSE,
 "",
 _xlfn.XLOOKUP(
  A362,
  tblCost[TargetID],
  tblCost[RemainingRequirements],
  ""
 )
)</f>
        <v/>
      </c>
      <c r="X362" s="45" t="str">
        <f t="array" ref="X362">IF(
 U362=FALSE,
 "N/A",
 _xlfn.XLOOKUP(
  A363,
  tblCost[TargetID],
  tblCost[TargetFunded],
  FALSE
 )
)</f>
        <v>N/A</v>
      </c>
      <c r="Y362" s="26" t="str">
        <f>IFERROR(__xludf.DUMMYFUNCTION("IFERROR(
 TEXTJOIN(
  "", "",
  TRUE,
  FILTER(
   'cost checklist'!$E$2:$E1000&amp;"": ""&amp;'cost checklist'!$G$2:$G1000,
   'cost checklist'!$B$2:$B1000=A362,
   'cost checklist'!$J$2:$J1000=FALSE
  )
 ),
 """"
)"),"")</f>
        <v/>
      </c>
      <c r="Z362" s="26" t="b">
        <f>IFERROR(__xludf.DUMMYFUNCTION("IF(
 AND(
  E362=""QUEST"",
  RIGHT(A362,9)="".accepted"",
  D362=TRUE
 ),
 XLOOKUP(
  REGEXREPLACE(A362,""\.accepted$"","""")&amp;"".finished"",
  $A$2:$A1000,
  $D$2:$D1000,
  TRUE
 )=FALSE,
 FALSE
)"),FALSE)</f>
        <v>0</v>
      </c>
      <c r="AA362" s="26" t="str">
        <f>IFERROR(__xludf.DUMMYFUNCTION("LET(
 id,A362,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63" ht="14.25" customHeight="1">
      <c r="A363" s="26" t="s">
        <v>1340</v>
      </c>
      <c r="B363" s="26" t="str">
        <f t="array" ref="B363">_xlfn.XLOOKUP(
 A363,
 tblTargets[TargetID],
 tblTargets[DisplayName],
 ""
)</f>
        <v>The Ring of the Dark Lady Finished</v>
      </c>
      <c r="C363" s="26" t="str">
        <f t="shared" si="1"/>
        <v>BLOCKED</v>
      </c>
      <c r="D363" s="26" t="b">
        <f>IFERROR(__xludf.DUMMYFUNCTION("LET(
 id,A363,
 IF(
  F363=""CHARACTER"",
  LET(
   base,REGEXREPLACE(id,""@\d+$"",""""),
   required,VALUE(REGEXEXTRACT(id,""@(\d+)$"")),
   current,XLOOKUP(
    base,
    tblPlayer[PlayerStateID],
    tblPlayer[Value],
    0
   ),
   current&gt;=required
 "&amp;" ),
  IF(
   T363=""AUTO"",
   L363=0,
   COUNTIFS(
    tblChecklist[TargetID],id,
    tblChecklist[PlayerCompleted],TRUE
   )&gt;0
  )
 )
)"),FALSE)</f>
        <v>0</v>
      </c>
      <c r="E363" s="26" t="str">
        <f t="array" ref="E363">_xlfn.XLOOKUP(
 A363,
 tblTargets[TargetID],
 tblTargets[TargetType],
 ""
)</f>
        <v>QUEST</v>
      </c>
      <c r="F363" s="26" t="str">
        <f t="array" ref="F363">_xlfn.XLOOKUP(
 A363,
 tblTargets[TargetID],
 tblTargets[StateType],
 ""
)</f>
        <v/>
      </c>
      <c r="G363" s="26">
        <f>LET(
 id,A363,
 depCount,COUNTIF(tblDependencies[TargetID],id),
 objCount,COUNTIF(tblQuestObjectives[QuestTargetID],id),
 depCount+objCount
)</f>
        <v>2</v>
      </c>
      <c r="H363" s="26">
        <f t="shared" si="2"/>
        <v>2</v>
      </c>
      <c r="I363" s="26">
        <f>IFERROR(__xludf.DUMMYFUNCTION("LET(
 id,A363,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3" s="26">
        <f t="shared" si="3"/>
        <v>0</v>
      </c>
      <c r="K363" s="26" t="b">
        <f t="shared" si="4"/>
        <v>0</v>
      </c>
      <c r="L363" s="26">
        <f t="shared" si="5"/>
        <v>2</v>
      </c>
      <c r="M363" s="26" t="str">
        <f>IFERROR(__xludf.DUMMYFUNCTION("LET(
 id,A363,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L363=0,
  """",
  IFERROR(INDEX(incomplete,1),"""")"&amp;"
 )
)"),"quest.the_ring_of_the_dark_lady.accepted")</f>
        <v>quest.the_ring_of_the_dark_lady.accepted</v>
      </c>
      <c r="N363" s="26" t="str">
        <f t="array" ref="N363">IF(
 M363="",
 "",
 _xlfn.XLOOKUP(
  M363,
  tblTargets[TargetID],
  tblTargets[DisplayName],
  M363
 )
)</f>
        <v>The Ring of the Dark Lady Accepted</v>
      </c>
      <c r="O363" s="26" t="str">
        <f>IFERROR(__xludf.DUMMYFUNCTION("SWITCH(
 E363,
 ""BUILDING"",XLOOKUP(A363,tblBuildings[BuildingID],tblBuildings[costtext],""""),
 ""TECH"",XLOOKUP(A363,tblTechnologies[TechnologyID],tblTechnologies[costtext],""""),
 ""QUEST"",XLOOKUP(
  REGEXREPLACE(A363,""\.[^.]+$"",""""),
  tblQuests["&amp;"QuestID],
  tblQuests[Costtext],
  """"
 ),
 ""CITADEL"",XLOOKUP(A363,tblCitadel[CitadelID],tblCitadel[costtext],""""),
 ""COLLECTION"",XLOOKUP(A363,tblCollections[CollectionID],tblCollections[costtext],""""),
 ""CRAFTIFACT"",XLOOKUP(A363,tblCraftifacts[C"&amp;"raftifactID],tblCraftifacts[costtext],""""),
 """"
)"),"")</f>
        <v/>
      </c>
      <c r="P363" s="26" t="str">
        <f t="shared" si="6"/>
        <v>BLOCKED</v>
      </c>
      <c r="Q363" s="26" t="str">
        <f t="shared" si="7"/>
        <v>BLOCKED</v>
      </c>
      <c r="R363" s="26" t="str">
        <f t="array" ref="R363">IFERROR(
 _xlfn.XLOOKUP(
  A363,
  tblChecklist[TargetID],
  tblChecklist[PlayerSort],
  ""
 ),
 ""
)</f>
        <v/>
      </c>
      <c r="S363" s="26" t="str">
        <f>IFERROR(__xludf.DUMMYFUNCTION("LET(
 id,A363,
 successorIDs,
  IFERROR(
   UNIQUE(
    FILTER(
     {
      Dependencies!$A$2:$A$1000;
      QuestObjectives!$A$2:$A$1000
     },
     {
      Dependencies!$B$2:$B$1000;
      QuestObjectives!$E$2:$E$1000
     }=id
    )
   ),
   """"
  )"&amp;",
 names,
  MAP(
   successorIDs,
   LAMBDA(s,
    IF(
     s="""",
     """",
     XLOOKUP(
      s,
      $A$2:$A$1000,
      $B$2:$B$1000,
      s
     )
    )
   )
  ),
 IF(
  successorIDs="""",
  """",
  TEXTJOIN("", "",TRUE,names)
 )
)"),"Magic Beans Accepted, Visit Dungeon@4A, Workshop - Shield For A Hero Lvl 4")</f>
        <v>Magic Beans Accepted, Visit Dungeon@4A, Workshop - Shield For A Hero Lvl 4</v>
      </c>
      <c r="T363" s="26" t="str">
        <f t="array" ref="T363">_xlfn.XLOOKUP(
 A363,
 tblTargets[TargetID],
 tblTargets[CompletionMethod],
 ""
)</f>
        <v>PLAYER</v>
      </c>
      <c r="U363" s="84" t="b">
        <f>COUNTIF(tblCost[TargetID],A363)&gt;0</f>
        <v>0</v>
      </c>
      <c r="V363" s="85" t="str">
        <f t="array" ref="V363">IF(
 U363=FALSE,
 "",
 _xlfn.XLOOKUP(
  A363,
  tblCost[TargetID],
  tblCost[FundingPercent],
  ""
 )
)</f>
        <v/>
      </c>
      <c r="W363" s="26" t="str">
        <f t="array" ref="W363">IF(
 U363=FALSE,
 "",
 _xlfn.XLOOKUP(
  A363,
  tblCost[TargetID],
  tblCost[RemainingRequirements],
  ""
 )
)</f>
        <v/>
      </c>
      <c r="X363" s="45" t="str">
        <f t="array" ref="X363">IF(
 U363=FALSE,
 "N/A",
 _xlfn.XLOOKUP(
  A364,
  tblCost[TargetID],
  tblCost[TargetFunded],
  FALSE
 )
)</f>
        <v>N/A</v>
      </c>
      <c r="Y363" s="26" t="str">
        <f>IFERROR(__xludf.DUMMYFUNCTION("IFERROR(
 TEXTJOIN(
  "", "",
  TRUE,
  FILTER(
   'cost checklist'!$E$2:$E1000&amp;"": ""&amp;'cost checklist'!$G$2:$G1000,
   'cost checklist'!$B$2:$B1000=A363,
   'cost checklist'!$J$2:$J1000=FALSE
  )
 ),
 """"
)"),"")</f>
        <v/>
      </c>
      <c r="Z363" s="26" t="b">
        <f>IFERROR(__xludf.DUMMYFUNCTION("IF(
 AND(
  E363=""QUEST"",
  RIGHT(A363,9)="".accepted"",
  D363=TRUE
 ),
 XLOOKUP(
  REGEXREPLACE(A363,""\.accepted$"","""")&amp;"".finished"",
  $A$2:$A1000,
  $D$2:$D1000,
  TRUE
 )=FALSE,
 FALSE
)"),FALSE)</f>
        <v>0</v>
      </c>
      <c r="AA363" s="26" t="str">
        <f>IFERROR(__xludf.DUMMYFUNCTION("LET(
 id,A363,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)"),"Magic Beans")</f>
        <v>Magic Beans</v>
      </c>
    </row>
    <row r="364" ht="14.25" customHeight="1">
      <c r="A364" s="26" t="s">
        <v>1342</v>
      </c>
      <c r="B364" s="26" t="str">
        <f t="array" ref="B364">_xlfn.XLOOKUP(
 A364,
 tblTargets[TargetID],
 tblTargets[DisplayName],
 ""
)</f>
        <v>Treasure Island Accepted</v>
      </c>
      <c r="C364" s="26" t="str">
        <f t="shared" si="1"/>
        <v>BLOCKED</v>
      </c>
      <c r="D364" s="26" t="b">
        <f>IFERROR(__xludf.DUMMYFUNCTION("LET(
 id,A364,
 IF(
  F364=""CHARACTER"",
  LET(
   base,REGEXREPLACE(id,""@\d+$"",""""),
   required,VALUE(REGEXEXTRACT(id,""@(\d+)$"")),
   current,XLOOKUP(
    base,
    tblPlayer[PlayerStateID],
    tblPlayer[Value],
    0
   ),
   current&gt;=required
 "&amp;" ),
  IF(
   T364=""AUTO"",
   L364=0,
   COUNTIFS(
    tblChecklist[TargetID],id,
    tblChecklist[PlayerCompleted],TRUE
   )&gt;0
  )
 )
)"),FALSE)</f>
        <v>0</v>
      </c>
      <c r="E364" s="26" t="str">
        <f t="array" ref="E364">_xlfn.XLOOKUP(
 A364,
 tblTargets[TargetID],
 tblTargets[TargetType],
 ""
)</f>
        <v>QUEST</v>
      </c>
      <c r="F364" s="26" t="str">
        <f t="array" ref="F364">_xlfn.XLOOKUP(
 A364,
 tblTargets[TargetID],
 tblTargets[StateType],
 ""
)</f>
        <v/>
      </c>
      <c r="G364" s="26">
        <f>LET(
 id,A364,
 depCount,COUNTIF(tblDependencies[TargetID],id),
 objCount,COUNTIF(tblQuestObjectives[QuestTargetID],id),
 depCount+objCount
)</f>
        <v>3</v>
      </c>
      <c r="H364" s="26">
        <f t="shared" si="2"/>
        <v>3</v>
      </c>
      <c r="I364" s="26">
        <f>IFERROR(__xludf.DUMMYFUNCTION("LET(
 id,A364,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4" s="26">
        <f t="shared" si="3"/>
        <v>0</v>
      </c>
      <c r="K364" s="26" t="b">
        <f t="shared" si="4"/>
        <v>0</v>
      </c>
      <c r="L364" s="26">
        <f t="shared" si="5"/>
        <v>3</v>
      </c>
      <c r="M364" s="26" t="str">
        <f>IFERROR(__xludf.DUMMYFUNCTION("LET(
 id,A364,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L364=0,
  """",
  IFERROR(INDEX(incomplete,1),"""")"&amp;"
 )
)"),"quest.shoguns_katana_chapter_4.finished")</f>
        <v>quest.shoguns_katana_chapter_4.finished</v>
      </c>
      <c r="N364" s="26" t="str">
        <f t="array" ref="N364">IF(
 M364="",
 "",
 _xlfn.XLOOKUP(
  M364,
  tblTargets[TargetID],
  tblTargets[DisplayName],
  M364
 )
)</f>
        <v>Shogun's Katana Chapter 4 Finished</v>
      </c>
      <c r="O364" s="26" t="str">
        <f>IFERROR(__xludf.DUMMYFUNCTION("SWITCH(
 E364,
 ""BUILDING"",XLOOKUP(A364,tblBuildings[BuildingID],tblBuildings[costtext],""""),
 ""TECH"",XLOOKUP(A364,tblTechnologies[TechnologyID],tblTechnologies[costtext],""""),
 ""QUEST"",XLOOKUP(
  REGEXREPLACE(A364,""\.[^.]+$"",""""),
  tblQuests["&amp;"QuestID],
  tblQuests[Costtext],
  """"
 ),
 ""CITADEL"",XLOOKUP(A364,tblCitadel[CitadelID],tblCitadel[costtext],""""),
 ""COLLECTION"",XLOOKUP(A364,tblCollections[CollectionID],tblCollections[costtext],""""),
 ""CRAFTIFACT"",XLOOKUP(A364,tblCraftifacts[C"&amp;"raftifactID],tblCraftifacts[costtext],""""),
 """"
)"),"")</f>
        <v/>
      </c>
      <c r="P364" s="26" t="str">
        <f t="shared" si="6"/>
        <v>BLOCKED</v>
      </c>
      <c r="Q364" s="26" t="str">
        <f t="shared" si="7"/>
        <v>BLOCKED</v>
      </c>
      <c r="R364" s="26" t="str">
        <f t="array" ref="R364">IFERROR(
 _xlfn.XLOOKUP(
  A364,
  tblChecklist[TargetID],
  tblChecklist[PlayerSort],
  ""
 ),
 ""
)</f>
        <v/>
      </c>
      <c r="S364" s="26" t="str">
        <f>IFERROR(__xludf.DUMMYFUNCTION("LET(
 id,A364,
 successorIDs,
  IFERROR(
   UNIQUE(
    FILTER(
     {
      Dependencies!$A$2:$A$1000;
      QuestObjectives!$A$2:$A$1000
     },
     {
      Dependencies!$B$2:$B$1000;
      QuestObjectives!$E$2:$E$1000
     }=id
    )
   ),
   """"
  )"&amp;",
 names,
  MAP(
   successorIDs,
   LAMBDA(s,
    IF(
     s="""",
     """",
     XLOOKUP(
      s,
      $A$2:$A$1000,
      $B$2:$B$1000,
      s
     )
    )
   )
  ),
 IF(
  successorIDs="""",
  """",
  TEXTJOIN("", "",TRUE,names)
 )
)"),"Treasure Island Finished, Obtain Treasure")</f>
        <v>Treasure Island Finished, Obtain Treasure</v>
      </c>
      <c r="T364" s="26" t="str">
        <f t="array" ref="T364">_xlfn.XLOOKUP(
 A364,
 tblTargets[TargetID],
 tblTargets[CompletionMethod],
 ""
)</f>
        <v>PLAYER</v>
      </c>
      <c r="U364" s="84" t="b">
        <f>COUNTIF(tblCost[TargetID],A364)&gt;0</f>
        <v>0</v>
      </c>
      <c r="V364" s="85" t="str">
        <f t="array" ref="V364">IF(
 U364=FALSE,
 "",
 _xlfn.XLOOKUP(
  A364,
  tblCost[TargetID],
  tblCost[FundingPercent],
  ""
 )
)</f>
        <v/>
      </c>
      <c r="W364" s="26" t="str">
        <f t="array" ref="W364">IF(
 U364=FALSE,
 "",
 _xlfn.XLOOKUP(
  A364,
  tblCost[TargetID],
  tblCost[RemainingRequirements],
  ""
 )
)</f>
        <v/>
      </c>
      <c r="X364" s="45" t="str">
        <f t="array" ref="X364">IF(
 U364=FALSE,
 "N/A",
 _xlfn.XLOOKUP(
  A365,
  tblCost[TargetID],
  tblCost[TargetFunded],
  FALSE
 )
)</f>
        <v>N/A</v>
      </c>
      <c r="Y364" s="26" t="str">
        <f>IFERROR(__xludf.DUMMYFUNCTION("IFERROR(
 TEXTJOIN(
  "", "",
  TRUE,
  FILTER(
   'cost checklist'!$E$2:$E1000&amp;"": ""&amp;'cost checklist'!$G$2:$G1000,
   'cost checklist'!$B$2:$B1000=A364,
   'cost checklist'!$J$2:$J1000=FALSE
  )
 ),
 """"
)"),"")</f>
        <v/>
      </c>
      <c r="Z364" s="26" t="b">
        <f>IFERROR(__xludf.DUMMYFUNCTION("IF(
 AND(
  E364=""QUEST"",
  RIGHT(A364,9)="".accepted"",
  D364=TRUE
 ),
 XLOOKUP(
  REGEXREPLACE(A364,""\.accepted$"","""")&amp;"".finished"",
  $A$2:$A1000,
  $D$2:$D1000,
  TRUE
 )=FALSE,
 FALSE
)"),FALSE)</f>
        <v>0</v>
      </c>
      <c r="AA364" s="26" t="str">
        <f>IFERROR(__xludf.DUMMYFUNCTION("LET(
 id,A364,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65" ht="14.25" customHeight="1">
      <c r="A365" s="26" t="s">
        <v>1344</v>
      </c>
      <c r="B365" s="26" t="str">
        <f t="array" ref="B365">_xlfn.XLOOKUP(
 A365,
 tblTargets[TargetID],
 tblTargets[DisplayName],
 ""
)</f>
        <v>Treasure Island Finished</v>
      </c>
      <c r="C365" s="26" t="str">
        <f t="shared" si="1"/>
        <v>BLOCKED</v>
      </c>
      <c r="D365" s="26" t="b">
        <f>IFERROR(__xludf.DUMMYFUNCTION("LET(
 id,A365,
 IF(
  F365=""CHARACTER"",
  LET(
   base,REGEXREPLACE(id,""@\d+$"",""""),
   required,VALUE(REGEXEXTRACT(id,""@(\d+)$"")),
   current,XLOOKUP(
    base,
    tblPlayer[PlayerStateID],
    tblPlayer[Value],
    0
   ),
   current&gt;=required
 "&amp;" ),
  IF(
   T365=""AUTO"",
   L365=0,
   COUNTIFS(
    tblChecklist[TargetID],id,
    tblChecklist[PlayerCompleted],TRUE
   )&gt;0
  )
 )
)"),FALSE)</f>
        <v>0</v>
      </c>
      <c r="E365" s="26" t="str">
        <f t="array" ref="E365">_xlfn.XLOOKUP(
 A365,
 tblTargets[TargetID],
 tblTargets[TargetType],
 ""
)</f>
        <v>QUEST</v>
      </c>
      <c r="F365" s="26" t="str">
        <f t="array" ref="F365">_xlfn.XLOOKUP(
 A365,
 tblTargets[TargetID],
 tblTargets[StateType],
 ""
)</f>
        <v/>
      </c>
      <c r="G365" s="26">
        <f>LET(
 id,A365,
 depCount,COUNTIF(tblDependencies[TargetID],id),
 objCount,COUNTIF(tblQuestObjectives[QuestTargetID],id),
 depCount+objCount
)</f>
        <v>2</v>
      </c>
      <c r="H365" s="26">
        <f t="shared" si="2"/>
        <v>2</v>
      </c>
      <c r="I365" s="26">
        <f>IFERROR(__xludf.DUMMYFUNCTION("LET(
 id,A365,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5" s="26">
        <f t="shared" si="3"/>
        <v>0</v>
      </c>
      <c r="K365" s="26" t="b">
        <f t="shared" si="4"/>
        <v>0</v>
      </c>
      <c r="L365" s="26">
        <f t="shared" si="5"/>
        <v>2</v>
      </c>
      <c r="M365" s="26" t="str">
        <f>IFERROR(__xludf.DUMMYFUNCTION("LET(
 id,A365,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L365=0,
  """",
  IFERROR(INDEX(incomplete,1),"""")"&amp;"
 )
)"),"quest.treasure_island.accepted")</f>
        <v>quest.treasure_island.accepted</v>
      </c>
      <c r="N365" s="26" t="str">
        <f t="array" ref="N365">IF(
 M365="",
 "",
 _xlfn.XLOOKUP(
  M365,
  tblTargets[TargetID],
  tblTargets[DisplayName],
  M365
 )
)</f>
        <v>Treasure Island Accepted</v>
      </c>
      <c r="O365" s="26" t="str">
        <f>IFERROR(__xludf.DUMMYFUNCTION("SWITCH(
 E365,
 ""BUILDING"",XLOOKUP(A365,tblBuildings[BuildingID],tblBuildings[costtext],""""),
 ""TECH"",XLOOKUP(A365,tblTechnologies[TechnologyID],tblTechnologies[costtext],""""),
 ""QUEST"",XLOOKUP(
  REGEXREPLACE(A365,""\.[^.]+$"",""""),
  tblQuests["&amp;"QuestID],
  tblQuests[Costtext],
  """"
 ),
 ""CITADEL"",XLOOKUP(A365,tblCitadel[CitadelID],tblCitadel[costtext],""""),
 ""COLLECTION"",XLOOKUP(A365,tblCollections[CollectionID],tblCollections[costtext],""""),
 ""CRAFTIFACT"",XLOOKUP(A365,tblCraftifacts[C"&amp;"raftifactID],tblCraftifacts[costtext],""""),
 """"
)"),"")</f>
        <v/>
      </c>
      <c r="P365" s="26" t="str">
        <f t="shared" si="6"/>
        <v>BLOCKED</v>
      </c>
      <c r="Q365" s="26" t="str">
        <f t="shared" si="7"/>
        <v>BLOCKED</v>
      </c>
      <c r="R365" s="26" t="str">
        <f t="array" ref="R365">IFERROR(
 _xlfn.XLOOKUP(
  A365,
  tblChecklist[TargetID],
  tblChecklist[PlayerSort],
  ""
 ),
 ""
)</f>
        <v/>
      </c>
      <c r="S365" s="26" t="str">
        <f>IFERROR(__xludf.DUMMYFUNCTION("LET(
 id,A365,
 successorIDs,
  IFERROR(
   UNIQUE(
    FILTER(
     {
      Dependencies!$A$2:$A$1000;
      QuestObjectives!$A$2:$A$1000
     },
     {
      Dependencies!$B$2:$B$1000;
      QuestObjectives!$E$2:$E$1000
     }=id
    )
   ),
   """"
  )"&amp;",
 names,
  MAP(
   successorIDs,
   LAMBDA(s,
    IF(
     s="""",
     """",
     XLOOKUP(
      s,
      $A$2:$A$1000,
      $B$2:$B$1000,
      s
     )
    )
   )
  ),
 IF(
  successorIDs="""",
  """",
  TEXTJOIN("", "",TRUE,names)
 )
)"),"")</f>
        <v/>
      </c>
      <c r="T365" s="26" t="str">
        <f t="array" ref="T365">_xlfn.XLOOKUP(
 A365,
 tblTargets[TargetID],
 tblTargets[CompletionMethod],
 ""
)</f>
        <v>PLAYER</v>
      </c>
      <c r="U365" s="84" t="b">
        <f>COUNTIF(tblCost[TargetID],A365)&gt;0</f>
        <v>0</v>
      </c>
      <c r="V365" s="85" t="str">
        <f t="array" ref="V365">IF(
 U365=FALSE,
 "",
 _xlfn.XLOOKUP(
  A365,
  tblCost[TargetID],
  tblCost[FundingPercent],
  ""
 )
)</f>
        <v/>
      </c>
      <c r="W365" s="26" t="str">
        <f t="array" ref="W365">IF(
 U365=FALSE,
 "",
 _xlfn.XLOOKUP(
  A365,
  tblCost[TargetID],
  tblCost[RemainingRequirements],
  ""
 )
)</f>
        <v/>
      </c>
      <c r="X365" s="45" t="str">
        <f t="array" ref="X365">IF(
 U365=FALSE,
 "N/A",
 _xlfn.XLOOKUP(
  A366,
  tblCost[TargetID],
  tblCost[TargetFunded],
  FALSE
 )
)</f>
        <v>N/A</v>
      </c>
      <c r="Y365" s="26" t="str">
        <f>IFERROR(__xludf.DUMMYFUNCTION("IFERROR(
 TEXTJOIN(
  "", "",
  TRUE,
  FILTER(
   'cost checklist'!$E$2:$E1000&amp;"": ""&amp;'cost checklist'!$G$2:$G1000,
   'cost checklist'!$B$2:$B1000=A365,
   'cost checklist'!$J$2:$J1000=FALSE
  )
 ),
 """"
)"),"")</f>
        <v/>
      </c>
      <c r="Z365" s="26" t="b">
        <f>IFERROR(__xludf.DUMMYFUNCTION("IF(
 AND(
  E365=""QUEST"",
  RIGHT(A365,9)="".accepted"",
  D365=TRUE
 ),
 XLOOKUP(
  REGEXREPLACE(A365,""\.accepted$"","""")&amp;"".finished"",
  $A$2:$A1000,
  $D$2:$D1000,
  TRUE
 )=FALSE,
 FALSE
)"),FALSE)</f>
        <v>0</v>
      </c>
      <c r="AA365" s="26" t="str">
        <f>IFERROR(__xludf.DUMMYFUNCTION("LET(
 id,A365,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66" ht="14.25" customHeight="1">
      <c r="A366" s="26" t="s">
        <v>1346</v>
      </c>
      <c r="B366" s="26" t="str">
        <f t="array" ref="B366">_xlfn.XLOOKUP(
 A366,
 tblTargets[TargetID],
 tblTargets[DisplayName],
 ""
)</f>
        <v>Undead Revenge Accepted</v>
      </c>
      <c r="C366" s="26" t="str">
        <f t="shared" si="1"/>
        <v>BLOCKED</v>
      </c>
      <c r="D366" s="26" t="b">
        <f>IFERROR(__xludf.DUMMYFUNCTION("LET(
 id,A366,
 IF(
  F366=""CHARACTER"",
  LET(
   base,REGEXREPLACE(id,""@\d+$"",""""),
   required,VALUE(REGEXEXTRACT(id,""@(\d+)$"")),
   current,XLOOKUP(
    base,
    tblPlayer[PlayerStateID],
    tblPlayer[Value],
    0
   ),
   current&gt;=required
 "&amp;" ),
  IF(
   T366=""AUTO"",
   L366=0,
   COUNTIFS(
    tblChecklist[TargetID],id,
    tblChecklist[PlayerCompleted],TRUE
   )&gt;0
  )
 )
)"),FALSE)</f>
        <v>0</v>
      </c>
      <c r="E366" s="26" t="str">
        <f t="array" ref="E366">_xlfn.XLOOKUP(
 A366,
 tblTargets[TargetID],
 tblTargets[TargetType],
 ""
)</f>
        <v>QUEST</v>
      </c>
      <c r="F366" s="26" t="str">
        <f t="array" ref="F366">_xlfn.XLOOKUP(
 A366,
 tblTargets[TargetID],
 tblTargets[StateType],
 ""
)</f>
        <v/>
      </c>
      <c r="G366" s="26">
        <f>LET(
 id,A366,
 depCount,COUNTIF(tblDependencies[TargetID],id),
 objCount,COUNTIF(tblQuestObjectives[QuestTargetID],id),
 depCount+objCount
)</f>
        <v>3</v>
      </c>
      <c r="H366" s="26">
        <f t="shared" si="2"/>
        <v>3</v>
      </c>
      <c r="I366" s="26">
        <f>IFERROR(__xludf.DUMMYFUNCTION("LET(
 id,A366,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6" s="26">
        <f t="shared" si="3"/>
        <v>0</v>
      </c>
      <c r="K366" s="26" t="b">
        <f t="shared" si="4"/>
        <v>0</v>
      </c>
      <c r="L366" s="26">
        <f t="shared" si="5"/>
        <v>3</v>
      </c>
      <c r="M366" s="26" t="str">
        <f>IFERROR(__xludf.DUMMYFUNCTION("LET(
 id,A366,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L366=0,
  """",
  IFERROR(INDEX(incomplete,1),"""")"&amp;"
 )
)"),"quest.dragon_teeth.finished")</f>
        <v>quest.dragon_teeth.finished</v>
      </c>
      <c r="N366" s="26" t="str">
        <f t="array" ref="N366">IF(
 M366="",
 "",
 _xlfn.XLOOKUP(
  M366,
  tblTargets[TargetID],
  tblTargets[DisplayName],
  M366
 )
)</f>
        <v>Dragon teeth Finished</v>
      </c>
      <c r="O366" s="26" t="str">
        <f>IFERROR(__xludf.DUMMYFUNCTION("SWITCH(
 E366,
 ""BUILDING"",XLOOKUP(A366,tblBuildings[BuildingID],tblBuildings[costtext],""""),
 ""TECH"",XLOOKUP(A366,tblTechnologies[TechnologyID],tblTechnologies[costtext],""""),
 ""QUEST"",XLOOKUP(
  REGEXREPLACE(A366,""\.[^.]+$"",""""),
  tblQuests["&amp;"QuestID],
  tblQuests[Costtext],
  """"
 ),
 ""CITADEL"",XLOOKUP(A366,tblCitadel[CitadelID],tblCitadel[costtext],""""),
 ""COLLECTION"",XLOOKUP(A366,tblCollections[CollectionID],tblCollections[costtext],""""),
 ""CRAFTIFACT"",XLOOKUP(A366,tblCraftifacts[C"&amp;"raftifactID],tblCraftifacts[costtext],""""),
 """"
)"),"")</f>
        <v/>
      </c>
      <c r="P366" s="26" t="str">
        <f t="shared" si="6"/>
        <v>BLOCKED</v>
      </c>
      <c r="Q366" s="26" t="str">
        <f t="shared" si="7"/>
        <v>BLOCKED</v>
      </c>
      <c r="R366" s="26" t="str">
        <f t="array" ref="R366">IFERROR(
 _xlfn.XLOOKUP(
  A366,
  tblChecklist[TargetID],
  tblChecklist[PlayerSort],
  ""
 ),
 ""
)</f>
        <v/>
      </c>
      <c r="S366" s="26" t="str">
        <f>IFERROR(__xludf.DUMMYFUNCTION("LET(
 id,A366,
 successorIDs,
  IFERROR(
   UNIQUE(
    FILTER(
     {
      Dependencies!$A$2:$A$1000;
      QuestObjectives!$A$2:$A$1000
     },
     {
      Dependencies!$B$2:$B$1000;
      QuestObjectives!$E$2:$E$1000
     }=id
    )
   ),
   """"
  )"&amp;",
 names,
  MAP(
   successorIDs,
   LAMBDA(s,
    IF(
     s="""",
     """",
     XLOOKUP(
      s,
      $A$2:$A$1000,
      $B$2:$B$1000,
      s
     )
    )
   )
  ),
 IF(
  successorIDs="""",
  """",
  TEXTJOIN("", "",TRUE,names)
 )
)"),"Undead Revenge Finished, Complete Dungeon 5C second ")</f>
        <v>Undead Revenge Finished, Complete Dungeon 5C second </v>
      </c>
      <c r="T366" s="26" t="str">
        <f t="array" ref="T366">_xlfn.XLOOKUP(
 A366,
 tblTargets[TargetID],
 tblTargets[CompletionMethod],
 ""
)</f>
        <v>PLAYER</v>
      </c>
      <c r="U366" s="84" t="b">
        <f>COUNTIF(tblCost[TargetID],A366)&gt;0</f>
        <v>0</v>
      </c>
      <c r="V366" s="85" t="str">
        <f t="array" ref="V366">IF(
 U366=FALSE,
 "",
 _xlfn.XLOOKUP(
  A366,
  tblCost[TargetID],
  tblCost[FundingPercent],
  ""
 )
)</f>
        <v/>
      </c>
      <c r="W366" s="26" t="str">
        <f t="array" ref="W366">IF(
 U366=FALSE,
 "",
 _xlfn.XLOOKUP(
  A366,
  tblCost[TargetID],
  tblCost[RemainingRequirements],
  ""
 )
)</f>
        <v/>
      </c>
      <c r="X366" s="45" t="str">
        <f t="array" ref="X366">IF(
 U366=FALSE,
 "N/A",
 _xlfn.XLOOKUP(
  A367,
  tblCost[TargetID],
  tblCost[TargetFunded],
  FALSE
 )
)</f>
        <v>N/A</v>
      </c>
      <c r="Y366" s="26" t="str">
        <f>IFERROR(__xludf.DUMMYFUNCTION("IFERROR(
 TEXTJOIN(
  "", "",
  TRUE,
  FILTER(
   'cost checklist'!$E$2:$E1000&amp;"": ""&amp;'cost checklist'!$G$2:$G1000,
   'cost checklist'!$B$2:$B1000=A366,
   'cost checklist'!$J$2:$J1000=FALSE
  )
 ),
 """"
)"),"")</f>
        <v/>
      </c>
      <c r="Z366" s="26" t="b">
        <f>IFERROR(__xludf.DUMMYFUNCTION("IF(
 AND(
  E366=""QUEST"",
  RIGHT(A366,9)="".accepted"",
  D366=TRUE
 ),
 XLOOKUP(
  REGEXREPLACE(A366,""\.accepted$"","""")&amp;"".finished"",
  $A$2:$A1000,
  $D$2:$D1000,
  TRUE
 )=FALSE,
 FALSE
)"),FALSE)</f>
        <v>0</v>
      </c>
      <c r="AA366" s="26" t="str">
        <f>IFERROR(__xludf.DUMMYFUNCTION("LET(
 id,A366,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67" ht="14.25" customHeight="1">
      <c r="A367" s="26" t="s">
        <v>1348</v>
      </c>
      <c r="B367" s="26" t="str">
        <f t="array" ref="B367">_xlfn.XLOOKUP(
 A367,
 tblTargets[TargetID],
 tblTargets[DisplayName],
 ""
)</f>
        <v>Undead Revenge Finished</v>
      </c>
      <c r="C367" s="26" t="str">
        <f t="shared" si="1"/>
        <v>BLOCKED</v>
      </c>
      <c r="D367" s="26" t="b">
        <f>IFERROR(__xludf.DUMMYFUNCTION("LET(
 id,A367,
 IF(
  F367=""CHARACTER"",
  LET(
   base,REGEXREPLACE(id,""@\d+$"",""""),
   required,VALUE(REGEXEXTRACT(id,""@(\d+)$"")),
   current,XLOOKUP(
    base,
    tblPlayer[PlayerStateID],
    tblPlayer[Value],
    0
   ),
   current&gt;=required
 "&amp;" ),
  IF(
   T367=""AUTO"",
   L367=0,
   COUNTIFS(
    tblChecklist[TargetID],id,
    tblChecklist[PlayerCompleted],TRUE
   )&gt;0
  )
 )
)"),FALSE)</f>
        <v>0</v>
      </c>
      <c r="E367" s="26" t="str">
        <f t="array" ref="E367">_xlfn.XLOOKUP(
 A367,
 tblTargets[TargetID],
 tblTargets[TargetType],
 ""
)</f>
        <v>QUEST</v>
      </c>
      <c r="F367" s="26" t="str">
        <f t="array" ref="F367">_xlfn.XLOOKUP(
 A367,
 tblTargets[TargetID],
 tblTargets[StateType],
 ""
)</f>
        <v/>
      </c>
      <c r="G367" s="26">
        <f>LET(
 id,A367,
 depCount,COUNTIF(tblDependencies[TargetID],id),
 objCount,COUNTIF(tblQuestObjectives[QuestTargetID],id),
 depCount+objCount
)</f>
        <v>3</v>
      </c>
      <c r="H367" s="26">
        <f t="shared" si="2"/>
        <v>3</v>
      </c>
      <c r="I367" s="26">
        <f>IFERROR(__xludf.DUMMYFUNCTION("LET(
 id,A367,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7" s="26">
        <f t="shared" si="3"/>
        <v>0</v>
      </c>
      <c r="K367" s="26" t="b">
        <f t="shared" si="4"/>
        <v>0</v>
      </c>
      <c r="L367" s="26">
        <f t="shared" si="5"/>
        <v>3</v>
      </c>
      <c r="M367" s="26" t="str">
        <f>IFERROR(__xludf.DUMMYFUNCTION("LET(
 id,A367,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L367=0,
  """",
  IFERROR(INDEX(incomplete,1),"""")"&amp;"
 )
)"),"quest.undead_revenge.accepted")</f>
        <v>quest.undead_revenge.accepted</v>
      </c>
      <c r="N367" s="26" t="str">
        <f t="array" ref="N367">IF(
 M367="",
 "",
 _xlfn.XLOOKUP(
  M367,
  tblTargets[TargetID],
  tblTargets[DisplayName],
  M367
 )
)</f>
        <v>Undead Revenge Accepted</v>
      </c>
      <c r="O367" s="26" t="str">
        <f>IFERROR(__xludf.DUMMYFUNCTION("SWITCH(
 E367,
 ""BUILDING"",XLOOKUP(A367,tblBuildings[BuildingID],tblBuildings[costtext],""""),
 ""TECH"",XLOOKUP(A367,tblTechnologies[TechnologyID],tblTechnologies[costtext],""""),
 ""QUEST"",XLOOKUP(
  REGEXREPLACE(A367,""\.[^.]+$"",""""),
  tblQuests["&amp;"QuestID],
  tblQuests[Costtext],
  """"
 ),
 ""CITADEL"",XLOOKUP(A367,tblCitadel[CitadelID],tblCitadel[costtext],""""),
 ""COLLECTION"",XLOOKUP(A367,tblCollections[CollectionID],tblCollections[costtext],""""),
 ""CRAFTIFACT"",XLOOKUP(A367,tblCraftifacts[C"&amp;"raftifactID],tblCraftifacts[costtext],""""),
 """"
)"),"")</f>
        <v/>
      </c>
      <c r="P367" s="26" t="str">
        <f t="shared" si="6"/>
        <v>BLOCKED</v>
      </c>
      <c r="Q367" s="26" t="str">
        <f t="shared" si="7"/>
        <v>BLOCKED</v>
      </c>
      <c r="R367" s="26" t="str">
        <f t="array" ref="R367">IFERROR(
 _xlfn.XLOOKUP(
  A367,
  tblChecklist[TargetID],
  tblChecklist[PlayerSort],
  ""
 ),
 ""
)</f>
        <v/>
      </c>
      <c r="S367" s="26" t="str">
        <f>IFERROR(__xludf.DUMMYFUNCTION("LET(
 id,A367,
 successorIDs,
  IFERROR(
   UNIQUE(
    FILTER(
     {
      Dependencies!$A$2:$A$1000;
      QuestObjectives!$A$2:$A$1000
     },
     {
      Dependencies!$B$2:$B$1000;
      QuestObjectives!$E$2:$E$1000
     }=id
    )
   ),
   """"
  )"&amp;",
 names,
  MAP(
   successorIDs,
   LAMBDA(s,
    IF(
     s="""",
     """",
     XLOOKUP(
      s,
      $A$2:$A$1000,
      $B$2:$B$1000,
      s
     )
    )
   )
  ),
 IF(
  successorIDs="""",
  """",
  TEXTJOIN("", "",TRUE,names)
 )
)"),"")</f>
        <v/>
      </c>
      <c r="T367" s="26" t="str">
        <f t="array" ref="T367">_xlfn.XLOOKUP(
 A367,
 tblTargets[TargetID],
 tblTargets[CompletionMethod],
 ""
)</f>
        <v>PLAYER</v>
      </c>
      <c r="U367" s="84" t="b">
        <f>COUNTIF(tblCost[TargetID],A367)&gt;0</f>
        <v>0</v>
      </c>
      <c r="V367" s="85" t="str">
        <f t="array" ref="V367">IF(
 U367=FALSE,
 "",
 _xlfn.XLOOKUP(
  A367,
  tblCost[TargetID],
  tblCost[FundingPercent],
  ""
 )
)</f>
        <v/>
      </c>
      <c r="W367" s="26" t="str">
        <f t="array" ref="W367">IF(
 U367=FALSE,
 "",
 _xlfn.XLOOKUP(
  A367,
  tblCost[TargetID],
  tblCost[RemainingRequirements],
  ""
 )
)</f>
        <v/>
      </c>
      <c r="X367" s="45" t="str">
        <f t="array" ref="X367">IF(
 U367=FALSE,
 "N/A",
 _xlfn.XLOOKUP(
  A368,
  tblCost[TargetID],
  tblCost[TargetFunded],
  FALSE
 )
)</f>
        <v>N/A</v>
      </c>
      <c r="Y367" s="26" t="str">
        <f>IFERROR(__xludf.DUMMYFUNCTION("IFERROR(
 TEXTJOIN(
  "", "",
  TRUE,
  FILTER(
   'cost checklist'!$E$2:$E1000&amp;"": ""&amp;'cost checklist'!$G$2:$G1000,
   'cost checklist'!$B$2:$B1000=A367,
   'cost checklist'!$J$2:$J1000=FALSE
  )
 ),
 """"
)"),"")</f>
        <v/>
      </c>
      <c r="Z367" s="26" t="b">
        <f>IFERROR(__xludf.DUMMYFUNCTION("IF(
 AND(
  E367=""QUEST"",
  RIGHT(A367,9)="".accepted"",
  D367=TRUE
 ),
 XLOOKUP(
  REGEXREPLACE(A367,""\.accepted$"","""")&amp;"".finished"",
  $A$2:$A1000,
  $D$2:$D1000,
  TRUE
 )=FALSE,
 FALSE
)"),FALSE)</f>
        <v>0</v>
      </c>
      <c r="AA367" s="26" t="str">
        <f>IFERROR(__xludf.DUMMYFUNCTION("LET(
 id,A367,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68" ht="14.25" customHeight="1">
      <c r="A368" s="26" t="s">
        <v>1350</v>
      </c>
      <c r="B368" s="26" t="str">
        <f t="array" ref="B368">_xlfn.XLOOKUP(
 A368,
 tblTargets[TargetID],
 tblTargets[DisplayName],
 ""
)</f>
        <v>Defeat Bone Dragon in 4C</v>
      </c>
      <c r="C368" s="26" t="str">
        <f t="shared" si="1"/>
        <v>BLOCKED</v>
      </c>
      <c r="D368" s="26" t="b">
        <f>IFERROR(__xludf.DUMMYFUNCTION("LET(
 id,A368,
 IF(
  F368=""CHARACTER"",
  LET(
   base,REGEXREPLACE(id,""@\d+$"",""""),
   required,VALUE(REGEXEXTRACT(id,""@(\d+)$"")),
   current,XLOOKUP(
    base,
    tblPlayer[PlayerStateID],
    tblPlayer[Value],
    0
   ),
   current&gt;=required
 "&amp;" ),
  IF(
   T368=""AUTO"",
   L368=0,
   COUNTIFS(
    tblChecklist[TargetID],id,
    tblChecklist[PlayerCompleted],TRUE
   )&gt;0
  )
 )
)"),FALSE)</f>
        <v>0</v>
      </c>
      <c r="E368" s="26" t="str">
        <f t="array" ref="E368">_xlfn.XLOOKUP(
 A368,
 tblTargets[TargetID],
 tblTargets[TargetType],
 ""
)</f>
        <v>STATE</v>
      </c>
      <c r="F368" s="26" t="str">
        <f t="array" ref="F368">_xlfn.XLOOKUP(
 A368,
 tblTargets[TargetID],
 tblTargets[StateType],
 ""
)</f>
        <v>ACTION</v>
      </c>
      <c r="G368" s="26">
        <f>LET(
 id,A368,
 depCount,COUNTIF(tblDependencies[TargetID],id),
 objCount,COUNTIF(tblQuestObjectives[QuestTargetID],id),
 depCount+objCount
)</f>
        <v>1</v>
      </c>
      <c r="H368" s="26">
        <f t="shared" si="2"/>
        <v>1</v>
      </c>
      <c r="I368" s="26">
        <f>IFERROR(__xludf.DUMMYFUNCTION("LET(
 id,A368,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8" s="26">
        <f t="shared" si="3"/>
        <v>0</v>
      </c>
      <c r="K368" s="26" t="b">
        <f t="shared" si="4"/>
        <v>0</v>
      </c>
      <c r="L368" s="26">
        <f t="shared" si="5"/>
        <v>1</v>
      </c>
      <c r="M368" s="26" t="str">
        <f>IFERROR(__xludf.DUMMYFUNCTION("LET(
 id,A368,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L368=0,
  """",
  IFERROR(INDEX(incomplete,1),"""")"&amp;"
 )
)"),"quest.dragon_teeth.accepted")</f>
        <v>quest.dragon_teeth.accepted</v>
      </c>
      <c r="N368" s="26" t="str">
        <f t="array" ref="N368">IF(
 M368="",
 "",
 _xlfn.XLOOKUP(
  M368,
  tblTargets[TargetID],
  tblTargets[DisplayName],
  M368
 )
)</f>
        <v>Dragon teeth Accepted</v>
      </c>
      <c r="O368" s="26" t="str">
        <f>IFERROR(__xludf.DUMMYFUNCTION("SWITCH(
 E368,
 ""BUILDING"",XLOOKUP(A368,tblBuildings[BuildingID],tblBuildings[costtext],""""),
 ""TECH"",XLOOKUP(A368,tblTechnologies[TechnologyID],tblTechnologies[costtext],""""),
 ""QUEST"",XLOOKUP(
  REGEXREPLACE(A368,""\.[^.]+$"",""""),
  tblQuests["&amp;"QuestID],
  tblQuests[Costtext],
  """"
 ),
 ""CITADEL"",XLOOKUP(A368,tblCitadel[CitadelID],tblCitadel[costtext],""""),
 ""COLLECTION"",XLOOKUP(A368,tblCollections[CollectionID],tblCollections[costtext],""""),
 ""CRAFTIFACT"",XLOOKUP(A368,tblCraftifacts[C"&amp;"raftifactID],tblCraftifacts[costtext],""""),
 """"
)"),"")</f>
        <v/>
      </c>
      <c r="P368" s="26" t="str">
        <f t="shared" si="6"/>
        <v>BLOCKED</v>
      </c>
      <c r="Q368" s="26" t="str">
        <f t="shared" si="7"/>
        <v>BLOCKED</v>
      </c>
      <c r="R368" s="26" t="str">
        <f t="array" ref="R368">IFERROR(
 _xlfn.XLOOKUP(
  A368,
  tblChecklist[TargetID],
  tblChecklist[PlayerSort],
  ""
 ),
 ""
)</f>
        <v/>
      </c>
      <c r="S368" s="26" t="str">
        <f>IFERROR(__xludf.DUMMYFUNCTION("LET(
 id,A368,
 successorIDs,
  IFERROR(
   UNIQUE(
    FILTER(
     {
      Dependencies!$A$2:$A$1000;
      QuestObjectives!$A$2:$A$1000
     },
     {
      Dependencies!$B$2:$B$1000;
      QuestObjectives!$E$2:$E$1000
     }=id
    )
   ),
   """"
  )"&amp;",
 names,
  MAP(
   successorIDs,
   LAMBDA(s,
    IF(
     s="""",
     """",
     XLOOKUP(
      s,
      $A$2:$A$1000,
      $B$2:$B$1000,
      s
     )
    )
   )
  ),
 IF(
  successorIDs="""",
  """",
  TEXTJOIN("", "",TRUE,names)
 )
)"),"Dragon teeth Finished")</f>
        <v>Dragon teeth Finished</v>
      </c>
      <c r="T368" s="26" t="str">
        <f t="array" ref="T368">_xlfn.XLOOKUP(
 A368,
 tblTargets[TargetID],
 tblTargets[CompletionMethod],
 ""
)</f>
        <v>PLAYER</v>
      </c>
      <c r="U368" s="84" t="b">
        <f>COUNTIF(tblCost[TargetID],A368)&gt;0</f>
        <v>0</v>
      </c>
      <c r="V368" s="85" t="str">
        <f t="array" ref="V368">IF(
 U368=FALSE,
 "",
 _xlfn.XLOOKUP(
  A368,
  tblCost[TargetID],
  tblCost[FundingPercent],
  ""
 )
)</f>
        <v/>
      </c>
      <c r="W368" s="26" t="str">
        <f t="array" ref="W368">IF(
 U368=FALSE,
 "",
 _xlfn.XLOOKUP(
  A368,
  tblCost[TargetID],
  tblCost[RemainingRequirements],
  ""
 )
)</f>
        <v/>
      </c>
      <c r="X368" s="45" t="str">
        <f t="array" ref="X368">IF(
 U368=FALSE,
 "N/A",
 _xlfn.XLOOKUP(
  A369,
  tblCost[TargetID],
  tblCost[TargetFunded],
  FALSE
 )
)</f>
        <v>N/A</v>
      </c>
      <c r="Y368" s="26" t="str">
        <f>IFERROR(__xludf.DUMMYFUNCTION("IFERROR(
 TEXTJOIN(
  "", "",
  TRUE,
  FILTER(
   'cost checklist'!$E$2:$E1000&amp;"": ""&amp;'cost checklist'!$G$2:$G1000,
   'cost checklist'!$B$2:$B1000=A368,
   'cost checklist'!$J$2:$J1000=FALSE
  )
 ),
 """"
)"),"")</f>
        <v/>
      </c>
      <c r="Z368" s="26" t="b">
        <f>IFERROR(__xludf.DUMMYFUNCTION("IF(
 AND(
  E368=""QUEST"",
  RIGHT(A368,9)="".accepted"",
  D368=TRUE
 ),
 XLOOKUP(
  REGEXREPLACE(A368,""\.accepted$"","""")&amp;"".finished"",
  $A$2:$A1000,
  $D$2:$D1000,
  TRUE
 )=FALSE,
 FALSE
)"),FALSE)</f>
        <v>0</v>
      </c>
      <c r="AA368" s="26" t="str">
        <f>IFERROR(__xludf.DUMMYFUNCTION("LET(
 id,A368,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69" ht="14.25" customHeight="1">
      <c r="A369" s="26" t="s">
        <v>1354</v>
      </c>
      <c r="B369" s="26" t="str">
        <f t="array" ref="B369">_xlfn.XLOOKUP(
 A369,
 tblTargets[TargetID],
 tblTargets[DisplayName],
 ""
)</f>
        <v>Action Reenter Guild</v>
      </c>
      <c r="C369" s="26" t="str">
        <f t="shared" si="1"/>
        <v>BLOCKED</v>
      </c>
      <c r="D369" s="26" t="b">
        <f>IFERROR(__xludf.DUMMYFUNCTION("LET(
 id,A369,
 IF(
  F369=""CHARACTER"",
  LET(
   base,REGEXREPLACE(id,""@\d+$"",""""),
   required,VALUE(REGEXEXTRACT(id,""@(\d+)$"")),
   current,XLOOKUP(
    base,
    tblPlayer[PlayerStateID],
    tblPlayer[Value],
    0
   ),
   current&gt;=required
 "&amp;" ),
  IF(
   T369=""AUTO"",
   L369=0,
   COUNTIFS(
    tblChecklist[TargetID],id,
    tblChecklist[PlayerCompleted],TRUE
   )&gt;0
  )
 )
)"),FALSE)</f>
        <v>0</v>
      </c>
      <c r="E369" s="26" t="str">
        <f t="array" ref="E369">_xlfn.XLOOKUP(
 A369,
 tblTargets[TargetID],
 tblTargets[TargetType],
 ""
)</f>
        <v>STATE</v>
      </c>
      <c r="F369" s="26" t="str">
        <f t="array" ref="F369">_xlfn.XLOOKUP(
 A369,
 tblTargets[TargetID],
 tblTargets[StateType],
 ""
)</f>
        <v>ACTION</v>
      </c>
      <c r="G369" s="26">
        <f>LET(
 id,A369,
 depCount,COUNTIF(tblDependencies[TargetID],id),
 objCount,COUNTIF(tblQuestObjectives[QuestTargetID],id),
 depCount+objCount
)</f>
        <v>1</v>
      </c>
      <c r="H369" s="26">
        <f t="shared" si="2"/>
        <v>1</v>
      </c>
      <c r="I369" s="26">
        <f>IFERROR(__xludf.DUMMYFUNCTION("LET(
 id,A369,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69" s="26">
        <f t="shared" si="3"/>
        <v>0</v>
      </c>
      <c r="K369" s="26" t="b">
        <f t="shared" si="4"/>
        <v>0</v>
      </c>
      <c r="L369" s="26">
        <f t="shared" si="5"/>
        <v>1</v>
      </c>
      <c r="M369" s="26" t="str">
        <f>IFERROR(__xludf.DUMMYFUNCTION("LET(
 id,A369,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L369=0,
  """",
  IFERROR(INDEX(incomplete,1),"""")"&amp;"
 )
)"),"quest.the_ordinary_days_of_an_adventurer_chapter_4.accepted")</f>
        <v>quest.the_ordinary_days_of_an_adventurer_chapter_4.accepted</v>
      </c>
      <c r="N369" s="26" t="str">
        <f t="array" ref="N369">IF(
 M369="",
 "",
 _xlfn.XLOOKUP(
  M369,
  tblTargets[TargetID],
  tblTargets[DisplayName],
  M369
 )
)</f>
        <v>The Ordinary Days of an Adventurer Chapter 4 Accepted</v>
      </c>
      <c r="O369" s="26" t="str">
        <f>IFERROR(__xludf.DUMMYFUNCTION("SWITCH(
 E369,
 ""BUILDING"",XLOOKUP(A369,tblBuildings[BuildingID],tblBuildings[costtext],""""),
 ""TECH"",XLOOKUP(A369,tblTechnologies[TechnologyID],tblTechnologies[costtext],""""),
 ""QUEST"",XLOOKUP(
  REGEXREPLACE(A369,""\.[^.]+$"",""""),
  tblQuests["&amp;"QuestID],
  tblQuests[Costtext],
  """"
 ),
 ""CITADEL"",XLOOKUP(A369,tblCitadel[CitadelID],tblCitadel[costtext],""""),
 ""COLLECTION"",XLOOKUP(A369,tblCollections[CollectionID],tblCollections[costtext],""""),
 ""CRAFTIFACT"",XLOOKUP(A369,tblCraftifacts[C"&amp;"raftifactID],tblCraftifacts[costtext],""""),
 """"
)"),"")</f>
        <v/>
      </c>
      <c r="P369" s="26" t="str">
        <f t="shared" si="6"/>
        <v>BLOCKED</v>
      </c>
      <c r="Q369" s="26" t="str">
        <f t="shared" si="7"/>
        <v>BLOCKED</v>
      </c>
      <c r="R369" s="26" t="str">
        <f t="array" ref="R369">IFERROR(
 _xlfn.XLOOKUP(
  A369,
  tblChecklist[TargetID],
  tblChecklist[PlayerSort],
  ""
 ),
 ""
)</f>
        <v/>
      </c>
      <c r="S369" s="26" t="str">
        <f>IFERROR(__xludf.DUMMYFUNCTION("LET(
 id,A369,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5 Accepted")</f>
        <v>The Ordinary Days of an Adventurer Chapter 5 Accepted</v>
      </c>
      <c r="T369" s="26" t="str">
        <f t="array" ref="T369">_xlfn.XLOOKUP(
 A369,
 tblTargets[TargetID],
 tblTargets[CompletionMethod],
 ""
)</f>
        <v>PLAYER</v>
      </c>
      <c r="U369" s="84" t="b">
        <f>COUNTIF(tblCost[TargetID],A369)&gt;0</f>
        <v>0</v>
      </c>
      <c r="V369" s="85" t="str">
        <f t="array" ref="V369">IF(
 U369=FALSE,
 "",
 _xlfn.XLOOKUP(
  A369,
  tblCost[TargetID],
  tblCost[FundingPercent],
  ""
 )
)</f>
        <v/>
      </c>
      <c r="W369" s="26" t="str">
        <f t="array" ref="W369">IF(
 U369=FALSE,
 "",
 _xlfn.XLOOKUP(
  A369,
  tblCost[TargetID],
  tblCost[RemainingRequirements],
  ""
 )
)</f>
        <v/>
      </c>
      <c r="X369" s="45" t="str">
        <f t="array" ref="X369">IF(
 U369=FALSE,
 "N/A",
 _xlfn.XLOOKUP(
  A370,
  tblCost[TargetID],
  tblCost[TargetFunded],
  FALSE
 )
)</f>
        <v>N/A</v>
      </c>
      <c r="Y369" s="26" t="str">
        <f>IFERROR(__xludf.DUMMYFUNCTION("IFERROR(
 TEXTJOIN(
  "", "",
  TRUE,
  FILTER(
   'cost checklist'!$E$2:$E1000&amp;"": ""&amp;'cost checklist'!$G$2:$G1000,
   'cost checklist'!$B$2:$B1000=A369,
   'cost checklist'!$J$2:$J1000=FALSE
  )
 ),
 """"
)"),"")</f>
        <v/>
      </c>
      <c r="Z369" s="26" t="b">
        <f>IFERROR(__xludf.DUMMYFUNCTION("IF(
 AND(
  E369=""QUEST"",
  RIGHT(A369,9)="".accepted"",
  D369=TRUE
 ),
 XLOOKUP(
  REGEXREPLACE(A369,""\.accepted$"","""")&amp;"".finished"",
  $A$2:$A1000,
  $D$2:$D1000,
  TRUE
 )=FALSE,
 FALSE
)"),FALSE)</f>
        <v>0</v>
      </c>
      <c r="AA369" s="26" t="str">
        <f>IFERROR(__xludf.DUMMYFUNCTION("LET(
 id,A369,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5")</f>
        <v>The Ordinary Days of an Adventurer Chapter 5</v>
      </c>
    </row>
    <row r="370" ht="14.25" customHeight="1">
      <c r="A370" s="26" t="s">
        <v>1356</v>
      </c>
      <c r="B370" s="26" t="str">
        <f t="array" ref="B370">_xlfn.XLOOKUP(
 A370,
 tblTargets[TargetID],
 tblTargets[DisplayName],
 ""
)</f>
        <v>Send Train to Sapporo</v>
      </c>
      <c r="C370" s="26" t="str">
        <f t="shared" si="1"/>
        <v>BLOCKED</v>
      </c>
      <c r="D370" s="26" t="b">
        <f>IFERROR(__xludf.DUMMYFUNCTION("LET(
 id,A370,
 IF(
  F370=""CHARACTER"",
  LET(
   base,REGEXREPLACE(id,""@\d+$"",""""),
   required,VALUE(REGEXEXTRACT(id,""@(\d+)$"")),
   current,XLOOKUP(
    base,
    tblPlayer[PlayerStateID],
    tblPlayer[Value],
    0
   ),
   current&gt;=required
 "&amp;" ),
  IF(
   T370=""AUTO"",
   L370=0,
   COUNTIFS(
    tblChecklist[TargetID],id,
    tblChecklist[PlayerCompleted],TRUE
   )&gt;0
  )
 )
)"),FALSE)</f>
        <v>0</v>
      </c>
      <c r="E370" s="26" t="str">
        <f t="array" ref="E370">_xlfn.XLOOKUP(
 A370,
 tblTargets[TargetID],
 tblTargets[TargetType],
 ""
)</f>
        <v>STATE</v>
      </c>
      <c r="F370" s="26" t="str">
        <f t="array" ref="F370">_xlfn.XLOOKUP(
 A370,
 tblTargets[TargetID],
 tblTargets[StateType],
 ""
)</f>
        <v>ACTION</v>
      </c>
      <c r="G370" s="26">
        <f>LET(
 id,A370,
 depCount,COUNTIF(tblDependencies[TargetID],id),
 objCount,COUNTIF(tblQuestObjectives[QuestTargetID],id),
 depCount+objCount
)</f>
        <v>2</v>
      </c>
      <c r="H370" s="26">
        <f t="shared" si="2"/>
        <v>2</v>
      </c>
      <c r="I370" s="26">
        <f>IFERROR(__xludf.DUMMYFUNCTION("LET(
 id,A370,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0" s="26">
        <f t="shared" si="3"/>
        <v>0</v>
      </c>
      <c r="K370" s="26" t="b">
        <f t="shared" si="4"/>
        <v>0</v>
      </c>
      <c r="L370" s="26">
        <f t="shared" si="5"/>
        <v>2</v>
      </c>
      <c r="M370" s="26" t="str">
        <f>IFERROR(__xludf.DUMMYFUNCTION("LET(
 id,A370,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L370=0,
  """",
  IFERROR(INDEX(incomplete,1),"""")"&amp;"
 )
)"),"citadel.tunnel")</f>
        <v>citadel.tunnel</v>
      </c>
      <c r="N370" s="26" t="str">
        <f t="array" ref="N370">IF(
 M370="",
 "",
 _xlfn.XLOOKUP(
  M370,
  tblTargets[TargetID],
  tblTargets[DisplayName],
  M370
 )
)</f>
        <v>Tunnel</v>
      </c>
      <c r="O370" s="26" t="str">
        <f>IFERROR(__xludf.DUMMYFUNCTION("SWITCH(
 E370,
 ""BUILDING"",XLOOKUP(A370,tblBuildings[BuildingID],tblBuildings[costtext],""""),
 ""TECH"",XLOOKUP(A370,tblTechnologies[TechnologyID],tblTechnologies[costtext],""""),
 ""QUEST"",XLOOKUP(
  REGEXREPLACE(A370,""\.[^.]+$"",""""),
  tblQuests["&amp;"QuestID],
  tblQuests[Costtext],
  """"
 ),
 ""CITADEL"",XLOOKUP(A370,tblCitadel[CitadelID],tblCitadel[costtext],""""),
 ""COLLECTION"",XLOOKUP(A370,tblCollections[CollectionID],tblCollections[costtext],""""),
 ""CRAFTIFACT"",XLOOKUP(A370,tblCraftifacts[C"&amp;"raftifactID],tblCraftifacts[costtext],""""),
 """"
)"),"")</f>
        <v/>
      </c>
      <c r="P370" s="26" t="str">
        <f t="shared" si="6"/>
        <v>BLOCKED</v>
      </c>
      <c r="Q370" s="26" t="str">
        <f t="shared" si="7"/>
        <v>BLOCKED</v>
      </c>
      <c r="R370" s="26" t="str">
        <f t="array" ref="R370">IFERROR(
 _xlfn.XLOOKUP(
  A370,
  tblChecklist[TargetID],
  tblChecklist[PlayerSort],
  ""
 ),
 ""
)</f>
        <v/>
      </c>
      <c r="S370" s="26" t="str">
        <f>IFERROR(__xludf.DUMMYFUNCTION("LET(
 id,A370,
 successorIDs,
  IFERROR(
   UNIQUE(
    FILTER(
     {
      Dependencies!$A$2:$A$1000;
      QuestObjectives!$A$2:$A$1000
     },
     {
      Dependencies!$B$2:$B$1000;
      QuestObjectives!$E$2:$E$1000
     }=id
    )
   ),
   """"
  )"&amp;",
 names,
  MAP(
   successorIDs,
   LAMBDA(s,
    IF(
     s="""",
     """",
     XLOOKUP(
      s,
      $A$2:$A$1000,
      $B$2:$B$1000,
      s
     )
    )
   )
  ),
 IF(
  successorIDs="""",
  """",
  TEXTJOIN("", "",TRUE,names)
 )
)"),"Train Lv 2, Ahead of Time Chapter 4 Finished")</f>
        <v>Train Lv 2, Ahead of Time Chapter 4 Finished</v>
      </c>
      <c r="T370" s="26" t="str">
        <f t="array" ref="T370">_xlfn.XLOOKUP(
 A370,
 tblTargets[TargetID],
 tblTargets[CompletionMethod],
 ""
)</f>
        <v>PLAYER</v>
      </c>
      <c r="U370" s="84" t="b">
        <f>COUNTIF(tblCost[TargetID],A370)&gt;0</f>
        <v>0</v>
      </c>
      <c r="V370" s="85" t="str">
        <f t="array" ref="V370">IF(
 U370=FALSE,
 "",
 _xlfn.XLOOKUP(
  A370,
  tblCost[TargetID],
  tblCost[FundingPercent],
  ""
 )
)</f>
        <v/>
      </c>
      <c r="W370" s="26" t="str">
        <f t="array" ref="W370">IF(
 U370=FALSE,
 "",
 _xlfn.XLOOKUP(
  A370,
  tblCost[TargetID],
  tblCost[RemainingRequirements],
  ""
 )
)</f>
        <v/>
      </c>
      <c r="X370" s="45" t="str">
        <f t="array" ref="X370">IF(
 U370=FALSE,
 "N/A",
 _xlfn.XLOOKUP(
  A371,
  tblCost[TargetID],
  tblCost[TargetFunded],
  FALSE
 )
)</f>
        <v>N/A</v>
      </c>
      <c r="Y370" s="26" t="str">
        <f>IFERROR(__xludf.DUMMYFUNCTION("IFERROR(
 TEXTJOIN(
  "", "",
  TRUE,
  FILTER(
   'cost checklist'!$E$2:$E1000&amp;"": ""&amp;'cost checklist'!$G$2:$G1000,
   'cost checklist'!$B$2:$B1000=A370,
   'cost checklist'!$J$2:$J1000=FALSE
  )
 ),
 """"
)"),"")</f>
        <v/>
      </c>
      <c r="Z370" s="26" t="b">
        <f>IFERROR(__xludf.DUMMYFUNCTION("IF(
 AND(
  E370=""QUEST"",
  RIGHT(A370,9)="".accepted"",
  D370=TRUE
 ),
 XLOOKUP(
  REGEXREPLACE(A370,""\.accepted$"","""")&amp;"".finished"",
  $A$2:$A1000,
  $D$2:$D1000,
  TRUE
 )=FALSE,
 FALSE
)"),FALSE)</f>
        <v>0</v>
      </c>
      <c r="AA370" s="26" t="str">
        <f>IFERROR(__xludf.DUMMYFUNCTION("LET(
 id,A370,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1" ht="14.25" customHeight="1">
      <c r="A371" s="26" t="s">
        <v>1358</v>
      </c>
      <c r="B371" s="26" t="str">
        <f t="array" ref="B371">_xlfn.XLOOKUP(
 A371,
 tblTargets[TargetID],
 tblTargets[DisplayName],
 ""
)</f>
        <v>Tame A Critter</v>
      </c>
      <c r="C371" s="26" t="str">
        <f t="shared" si="1"/>
        <v>BLOCKED</v>
      </c>
      <c r="D371" s="26" t="b">
        <f>IFERROR(__xludf.DUMMYFUNCTION("LET(
 id,A371,
 IF(
  F371=""CHARACTER"",
  LET(
   base,REGEXREPLACE(id,""@\d+$"",""""),
   required,VALUE(REGEXEXTRACT(id,""@(\d+)$"")),
   current,XLOOKUP(
    base,
    tblPlayer[PlayerStateID],
    tblPlayer[Value],
    0
   ),
   current&gt;=required
 "&amp;" ),
  IF(
   T371=""AUTO"",
   L371=0,
   COUNTIFS(
    tblChecklist[TargetID],id,
    tblChecklist[PlayerCompleted],TRUE
   )&gt;0
  )
 )
)"),FALSE)</f>
        <v>0</v>
      </c>
      <c r="E371" s="26" t="str">
        <f t="array" ref="E371">_xlfn.XLOOKUP(
 A371,
 tblTargets[TargetID],
 tblTargets[TargetType],
 ""
)</f>
        <v>STATE</v>
      </c>
      <c r="F371" s="26" t="str">
        <f t="array" ref="F371">_xlfn.XLOOKUP(
 A371,
 tblTargets[TargetID],
 tblTargets[StateType],
 ""
)</f>
        <v>ACTION</v>
      </c>
      <c r="G371" s="26">
        <f>LET(
 id,A371,
 depCount,COUNTIF(tblDependencies[TargetID],id),
 objCount,COUNTIF(tblQuestObjectives[QuestTargetID],id),
 depCount+objCount
)</f>
        <v>2</v>
      </c>
      <c r="H371" s="26">
        <f t="shared" si="2"/>
        <v>2</v>
      </c>
      <c r="I371" s="26">
        <f>IFERROR(__xludf.DUMMYFUNCTION("LET(
 id,A371,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1" s="26">
        <f t="shared" si="3"/>
        <v>0</v>
      </c>
      <c r="K371" s="26" t="b">
        <f t="shared" si="4"/>
        <v>0</v>
      </c>
      <c r="L371" s="26">
        <f t="shared" si="5"/>
        <v>2</v>
      </c>
      <c r="M371" s="26" t="str">
        <f>IFERROR(__xludf.DUMMYFUNCTION("LET(
 id,A371,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L371=0,
  """",
  IFERROR(INDEX(incomplete,1),"""")"&amp;"
 )
)"),"citadel.great_hall")</f>
        <v>citadel.great_hall</v>
      </c>
      <c r="N371" s="26" t="str">
        <f t="array" ref="N371">IF(
 M371="",
 "",
 _xlfn.XLOOKUP(
  M371,
  tblTargets[TargetID],
  tblTargets[DisplayName],
  M371
 )
)</f>
        <v>Great Hall</v>
      </c>
      <c r="O371" s="26" t="str">
        <f>IFERROR(__xludf.DUMMYFUNCTION("SWITCH(
 E371,
 ""BUILDING"",XLOOKUP(A371,tblBuildings[BuildingID],tblBuildings[costtext],""""),
 ""TECH"",XLOOKUP(A371,tblTechnologies[TechnologyID],tblTechnologies[costtext],""""),
 ""QUEST"",XLOOKUP(
  REGEXREPLACE(A371,""\.[^.]+$"",""""),
  tblQuests["&amp;"QuestID],
  tblQuests[Costtext],
  """"
 ),
 ""CITADEL"",XLOOKUP(A371,tblCitadel[CitadelID],tblCitadel[costtext],""""),
 ""COLLECTION"",XLOOKUP(A371,tblCollections[CollectionID],tblCollections[costtext],""""),
 ""CRAFTIFACT"",XLOOKUP(A371,tblCraftifacts[C"&amp;"raftifactID],tblCraftifacts[costtext],""""),
 """"
)"),"")</f>
        <v/>
      </c>
      <c r="P371" s="26" t="str">
        <f t="shared" si="6"/>
        <v>BLOCKED</v>
      </c>
      <c r="Q371" s="26" t="str">
        <f t="shared" si="7"/>
        <v>BLOCKED</v>
      </c>
      <c r="R371" s="26" t="str">
        <f t="array" ref="R371">IFERROR(
 _xlfn.XLOOKUP(
  A371,
  tblChecklist[TargetID],
  tblChecklist[PlayerSort],
  ""
 ),
 ""
)</f>
        <v/>
      </c>
      <c r="S371" s="26" t="str">
        <f>IFERROR(__xludf.DUMMYFUNCTION("LET(
 id,A371,
 successorIDs,
  IFERROR(
   UNIQUE(
    FILTER(
     {
      Dependencies!$A$2:$A$1000;
      QuestObjectives!$A$2:$A$1000
     },
     {
      Dependencies!$B$2:$B$1000;
      QuestObjectives!$E$2:$E$1000
     }=id
    )
   ),
   """"
  )"&amp;",
 names,
  MAP(
   successorIDs,
   LAMBDA(s,
    IF(
     s="""",
     """",
     XLOOKUP(
      s,
      $A$2:$A$1000,
      $B$2:$B$1000,
      s
     )
    )
   )
  ),
 IF(
  successorIDs="""",
  """",
  TEXTJOIN("", "",TRUE,names)
 )
)"),"Lair lvl. 1")</f>
        <v>Lair lvl. 1</v>
      </c>
      <c r="T371" s="26" t="str">
        <f t="array" ref="T371">_xlfn.XLOOKUP(
 A371,
 tblTargets[TargetID],
 tblTargets[CompletionMethod],
 ""
)</f>
        <v>PLAYER</v>
      </c>
      <c r="U371" s="84" t="b">
        <f>COUNTIF(tblCost[TargetID],A371)&gt;0</f>
        <v>0</v>
      </c>
      <c r="V371" s="85" t="str">
        <f t="array" ref="V371">IF(
 U371=FALSE,
 "",
 _xlfn.XLOOKUP(
  A371,
  tblCost[TargetID],
  tblCost[FundingPercent],
  ""
 )
)</f>
        <v/>
      </c>
      <c r="W371" s="26" t="str">
        <f t="array" ref="W371">IF(
 U371=FALSE,
 "",
 _xlfn.XLOOKUP(
  A371,
  tblCost[TargetID],
  tblCost[RemainingRequirements],
  ""
 )
)</f>
        <v/>
      </c>
      <c r="X371" s="45" t="str">
        <f t="array" ref="X371">IF(
 U371=FALSE,
 "N/A",
 _xlfn.XLOOKUP(
  A372,
  tblCost[TargetID],
  tblCost[TargetFunded],
  FALSE
 )
)</f>
        <v>N/A</v>
      </c>
      <c r="Y371" s="26" t="str">
        <f>IFERROR(__xludf.DUMMYFUNCTION("IFERROR(
 TEXTJOIN(
  "", "",
  TRUE,
  FILTER(
   'cost checklist'!$E$2:$E1000&amp;"": ""&amp;'cost checklist'!$G$2:$G1000,
   'cost checklist'!$B$2:$B1000=A371,
   'cost checklist'!$J$2:$J1000=FALSE
  )
 ),
 """"
)"),"")</f>
        <v/>
      </c>
      <c r="Z371" s="26" t="b">
        <f>IFERROR(__xludf.DUMMYFUNCTION("IF(
 AND(
  E371=""QUEST"",
  RIGHT(A371,9)="".accepted"",
  D371=TRUE
 ),
 XLOOKUP(
  REGEXREPLACE(A371,""\.accepted$"","""")&amp;"".finished"",
  $A$2:$A1000,
  $D$2:$D1000,
  TRUE
 )=FALSE,
 FALSE
)"),FALSE)</f>
        <v>0</v>
      </c>
      <c r="AA371" s="26" t="str">
        <f>IFERROR(__xludf.DUMMYFUNCTION("LET(
 id,A371,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2" ht="14.25" customHeight="1">
      <c r="A372" s="26" t="s">
        <v>1360</v>
      </c>
      <c r="B372" s="26" t="str">
        <f t="array" ref="B372">_xlfn.XLOOKUP(
 A372,
 tblTargets[TargetID],
 tblTargets[DisplayName],
 ""
)</f>
        <v>Learn character skill cartographer lvl 1</v>
      </c>
      <c r="C372" s="26" t="str">
        <f t="shared" si="1"/>
        <v>READY</v>
      </c>
      <c r="D372" s="26" t="b">
        <f>IFERROR(__xludf.DUMMYFUNCTION("LET(
 id,A372,
 IF(
  F372=""CHARACTER"",
  LET(
   base,REGEXREPLACE(id,""@\d+$"",""""),
   required,VALUE(REGEXEXTRACT(id,""@(\d+)$"")),
   current,XLOOKUP(
    base,
    tblPlayer[PlayerStateID],
    tblPlayer[Value],
    0
   ),
   current&gt;=required
 "&amp;" ),
  IF(
   T372=""AUTO"",
   L372=0,
   COUNTIFS(
    tblChecklist[TargetID],id,
    tblChecklist[PlayerCompleted],TRUE
   )&gt;0
  )
 )
)"),FALSE)</f>
        <v>0</v>
      </c>
      <c r="E372" s="26" t="str">
        <f t="array" ref="E372">_xlfn.XLOOKUP(
 A372,
 tblTargets[TargetID],
 tblTargets[TargetType],
 ""
)</f>
        <v>STATE</v>
      </c>
      <c r="F372" s="26" t="str">
        <f t="array" ref="F372">_xlfn.XLOOKUP(
 A372,
 tblTargets[TargetID],
 tblTargets[StateType],
 ""
)</f>
        <v>CHARACTER</v>
      </c>
      <c r="G372" s="26">
        <f>LET(
 id,A372,
 depCount,COUNTIF(tblDependencies[TargetID],id),
 objCount,COUNTIF(tblQuestObjectives[QuestTargetID],id),
 depCount+objCount
)</f>
        <v>0</v>
      </c>
      <c r="H372" s="26">
        <f t="shared" si="2"/>
        <v>0</v>
      </c>
      <c r="I372" s="26">
        <f>IFERROR(__xludf.DUMMYFUNCTION("LET(
 id,A372,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2" s="26">
        <f t="shared" si="3"/>
        <v>0</v>
      </c>
      <c r="K372" s="26" t="b">
        <f t="shared" si="4"/>
        <v>1</v>
      </c>
      <c r="L372" s="26">
        <f t="shared" si="5"/>
        <v>0</v>
      </c>
      <c r="M372" s="26" t="str">
        <f>IFERROR(__xludf.DUMMYFUNCTION("LET(
 id,A372,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L372=0,
  """",
  IFERROR(INDEX(incomplete,1),"""")"&amp;"
 )
)"),"")</f>
        <v/>
      </c>
      <c r="N372" s="26" t="str">
        <f t="array" ref="N372">IF(
 M372="",
 "",
 _xlfn.XLOOKUP(
  M372,
  tblTargets[TargetID],
  tblTargets[DisplayName],
  M372
 )
)</f>
        <v/>
      </c>
      <c r="O372" s="26" t="str">
        <f>IFERROR(__xludf.DUMMYFUNCTION("SWITCH(
 E372,
 ""BUILDING"",XLOOKUP(A372,tblBuildings[BuildingID],tblBuildings[costtext],""""),
 ""TECH"",XLOOKUP(A372,tblTechnologies[TechnologyID],tblTechnologies[costtext],""""),
 ""QUEST"",XLOOKUP(
  REGEXREPLACE(A372,""\.[^.]+$"",""""),
  tblQuests["&amp;"QuestID],
  tblQuests[Costtext],
  """"
 ),
 ""CITADEL"",XLOOKUP(A372,tblCitadel[CitadelID],tblCitadel[costtext],""""),
 ""COLLECTION"",XLOOKUP(A372,tblCollections[CollectionID],tblCollections[costtext],""""),
 ""CRAFTIFACT"",XLOOKUP(A372,tblCraftifacts[C"&amp;"raftifactID],tblCraftifacts[costtext],""""),
 """"
)"),"")</f>
        <v/>
      </c>
      <c r="P372" s="26" t="str">
        <f t="shared" si="6"/>
        <v/>
      </c>
      <c r="Q372" s="26" t="str">
        <f t="shared" si="7"/>
        <v>READY</v>
      </c>
      <c r="R372" s="26" t="str">
        <f t="array" ref="R372">IFERROR(
 _xlfn.XLOOKUP(
  A372,
  tblChecklist[TargetID],
  tblChecklist[PlayerSort],
  ""
 ),
 ""
)</f>
        <v/>
      </c>
      <c r="S372" s="26" t="str">
        <f>IFERROR(__xludf.DUMMYFUNCTION("LET(
 id,A372,
 successorIDs,
  IFERROR(
   UNIQUE(
    FILTER(
     {
      Dependencies!$A$2:$A$1000;
      QuestObjectives!$A$2:$A$1000
     },
     {
      Dependencies!$B$2:$B$1000;
      QuestObjectives!$E$2:$E$1000
     }=id
    )
   ),
   """"
  )"&amp;",
 names,
  MAP(
   successorIDs,
   LAMBDA(s,
    IF(
     s="""",
     """",
     XLOOKUP(
      s,
      $A$2:$A$1000,
      $B$2:$B$1000,
      s
     )
    )
   )
  ),
 IF(
  successorIDs="""",
  """",
  TEXTJOIN("", "",TRUE,names)
 )
)"),"")</f>
        <v/>
      </c>
      <c r="T372" s="26" t="str">
        <f t="array" ref="T372">_xlfn.XLOOKUP(
 A372,
 tblTargets[TargetID],
 tblTargets[CompletionMethod],
 ""
)</f>
        <v>PLAYER</v>
      </c>
      <c r="U372" s="84" t="b">
        <f>COUNTIF(tblCost[TargetID],A372)&gt;0</f>
        <v>0</v>
      </c>
      <c r="V372" s="85" t="str">
        <f t="array" ref="V372">IF(
 U372=FALSE,
 "",
 _xlfn.XLOOKUP(
  A372,
  tblCost[TargetID],
  tblCost[FundingPercent],
  ""
 )
)</f>
        <v/>
      </c>
      <c r="W372" s="26" t="str">
        <f t="array" ref="W372">IF(
 U372=FALSE,
 "",
 _xlfn.XLOOKUP(
  A372,
  tblCost[TargetID],
  tblCost[RemainingRequirements],
  ""
 )
)</f>
        <v/>
      </c>
      <c r="X372" s="45" t="str">
        <f t="array" ref="X372">IF(
 U372=FALSE,
 "N/A",
 _xlfn.XLOOKUP(
  A373,
  tblCost[TargetID],
  tblCost[TargetFunded],
  FALSE
 )
)</f>
        <v>N/A</v>
      </c>
      <c r="Y372" s="26" t="str">
        <f>IFERROR(__xludf.DUMMYFUNCTION("IFERROR(
 TEXTJOIN(
  "", "",
  TRUE,
  FILTER(
   'cost checklist'!$E$2:$E1000&amp;"": ""&amp;'cost checklist'!$G$2:$G1000,
   'cost checklist'!$B$2:$B1000=A372,
   'cost checklist'!$J$2:$J1000=FALSE
  )
 ),
 """"
)"),"")</f>
        <v/>
      </c>
      <c r="Z372" s="26" t="b">
        <f>IFERROR(__xludf.DUMMYFUNCTION("IF(
 AND(
  E372=""QUEST"",
  RIGHT(A372,9)="".accepted"",
  D372=TRUE
 ),
 XLOOKUP(
  REGEXREPLACE(A372,""\.accepted$"","""")&amp;"".finished"",
  $A$2:$A1000,
  $D$2:$D1000,
  TRUE
 )=FALSE,
 FALSE
)"),FALSE)</f>
        <v>0</v>
      </c>
      <c r="AA372" s="26" t="str">
        <f>IFERROR(__xludf.DUMMYFUNCTION("LET(
 id,A372,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3" ht="14.25" customHeight="1">
      <c r="A373" s="26" t="s">
        <v>1363</v>
      </c>
      <c r="B373" s="26" t="str">
        <f t="array" ref="B373">_xlfn.XLOOKUP(
 A373,
 tblTargets[TargetID],
 tblTargets[DisplayName],
 ""
)</f>
        <v>Learn character skill cartographer lvl 2</v>
      </c>
      <c r="C373" s="26" t="str">
        <f t="shared" si="1"/>
        <v>READY</v>
      </c>
      <c r="D373" s="26" t="b">
        <f>IFERROR(__xludf.DUMMYFUNCTION("LET(
 id,A373,
 IF(
  F373=""CHARACTER"",
  LET(
   base,REGEXREPLACE(id,""@\d+$"",""""),
   required,VALUE(REGEXEXTRACT(id,""@(\d+)$"")),
   current,XLOOKUP(
    base,
    tblPlayer[PlayerStateID],
    tblPlayer[Value],
    0
   ),
   current&gt;=required
 "&amp;" ),
  IF(
   T373=""AUTO"",
   L373=0,
   COUNTIFS(
    tblChecklist[TargetID],id,
    tblChecklist[PlayerCompleted],TRUE
   )&gt;0
  )
 )
)"),FALSE)</f>
        <v>0</v>
      </c>
      <c r="E373" s="26" t="str">
        <f t="array" ref="E373">_xlfn.XLOOKUP(
 A373,
 tblTargets[TargetID],
 tblTargets[TargetType],
 ""
)</f>
        <v>STATE</v>
      </c>
      <c r="F373" s="26" t="str">
        <f t="array" ref="F373">_xlfn.XLOOKUP(
 A373,
 tblTargets[TargetID],
 tblTargets[StateType],
 ""
)</f>
        <v>CHARACTER</v>
      </c>
      <c r="G373" s="26">
        <f>LET(
 id,A373,
 depCount,COUNTIF(tblDependencies[TargetID],id),
 objCount,COUNTIF(tblQuestObjectives[QuestTargetID],id),
 depCount+objCount
)</f>
        <v>0</v>
      </c>
      <c r="H373" s="26">
        <f t="shared" si="2"/>
        <v>0</v>
      </c>
      <c r="I373" s="26">
        <f>IFERROR(__xludf.DUMMYFUNCTION("LET(
 id,A373,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3" s="26">
        <f t="shared" si="3"/>
        <v>0</v>
      </c>
      <c r="K373" s="26" t="b">
        <f t="shared" si="4"/>
        <v>1</v>
      </c>
      <c r="L373" s="26">
        <f t="shared" si="5"/>
        <v>0</v>
      </c>
      <c r="M373" s="26" t="str">
        <f>IFERROR(__xludf.DUMMYFUNCTION("LET(
 id,A373,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L373=0,
  """",
  IFERROR(INDEX(incomplete,1),"""")"&amp;"
 )
)"),"")</f>
        <v/>
      </c>
      <c r="N373" s="26" t="str">
        <f t="array" ref="N373">IF(
 M373="",
 "",
 _xlfn.XLOOKUP(
  M373,
  tblTargets[TargetID],
  tblTargets[DisplayName],
  M373
 )
)</f>
        <v/>
      </c>
      <c r="O373" s="26" t="str">
        <f>IFERROR(__xludf.DUMMYFUNCTION("SWITCH(
 E373,
 ""BUILDING"",XLOOKUP(A373,tblBuildings[BuildingID],tblBuildings[costtext],""""),
 ""TECH"",XLOOKUP(A373,tblTechnologies[TechnologyID],tblTechnologies[costtext],""""),
 ""QUEST"",XLOOKUP(
  REGEXREPLACE(A373,""\.[^.]+$"",""""),
  tblQuests["&amp;"QuestID],
  tblQuests[Costtext],
  """"
 ),
 ""CITADEL"",XLOOKUP(A373,tblCitadel[CitadelID],tblCitadel[costtext],""""),
 ""COLLECTION"",XLOOKUP(A373,tblCollections[CollectionID],tblCollections[costtext],""""),
 ""CRAFTIFACT"",XLOOKUP(A373,tblCraftifacts[C"&amp;"raftifactID],tblCraftifacts[costtext],""""),
 """"
)"),"")</f>
        <v/>
      </c>
      <c r="P373" s="26" t="str">
        <f t="shared" si="6"/>
        <v/>
      </c>
      <c r="Q373" s="26" t="str">
        <f t="shared" si="7"/>
        <v>READY</v>
      </c>
      <c r="R373" s="26" t="str">
        <f t="array" ref="R373">IFERROR(
 _xlfn.XLOOKUP(
  A373,
  tblChecklist[TargetID],
  tblChecklist[PlayerSort],
  ""
 ),
 ""
)</f>
        <v/>
      </c>
      <c r="S373" s="26" t="str">
        <f>IFERROR(__xludf.DUMMYFUNCTION("LET(
 id,A373,
 successorIDs,
  IFERROR(
   UNIQUE(
    FILTER(
     {
      Dependencies!$A$2:$A$1000;
      QuestObjectives!$A$2:$A$1000
     },
     {
      Dependencies!$B$2:$B$1000;
      QuestObjectives!$E$2:$E$1000
     }=id
    )
   ),
   """"
  )"&amp;",
 names,
  MAP(
   successorIDs,
   LAMBDA(s,
    IF(
     s="""",
     """",
     XLOOKUP(
      s,
      $A$2:$A$1000,
      $B$2:$B$1000,
      s
     )
    )
   )
  ),
 IF(
  successorIDs="""",
  """",
  TEXTJOIN("", "",TRUE,names)
 )
)"),"Shogun's Katana Chapter 1 Finished")</f>
        <v>Shogun's Katana Chapter 1 Finished</v>
      </c>
      <c r="T373" s="26" t="str">
        <f t="array" ref="T373">_xlfn.XLOOKUP(
 A373,
 tblTargets[TargetID],
 tblTargets[CompletionMethod],
 ""
)</f>
        <v>PLAYER</v>
      </c>
      <c r="U373" s="84" t="b">
        <f>COUNTIF(tblCost[TargetID],A373)&gt;0</f>
        <v>0</v>
      </c>
      <c r="V373" s="85" t="str">
        <f t="array" ref="V373">IF(
 U373=FALSE,
 "",
 _xlfn.XLOOKUP(
  A373,
  tblCost[TargetID],
  tblCost[FundingPercent],
  ""
 )
)</f>
        <v/>
      </c>
      <c r="W373" s="26" t="str">
        <f t="array" ref="W373">IF(
 U373=FALSE,
 "",
 _xlfn.XLOOKUP(
  A373,
  tblCost[TargetID],
  tblCost[RemainingRequirements],
  ""
 )
)</f>
        <v/>
      </c>
      <c r="X373" s="45" t="str">
        <f t="array" ref="X373">IF(
 U373=FALSE,
 "N/A",
 _xlfn.XLOOKUP(
  A374,
  tblCost[TargetID],
  tblCost[TargetFunded],
  FALSE
 )
)</f>
        <v>N/A</v>
      </c>
      <c r="Y373" s="26" t="str">
        <f>IFERROR(__xludf.DUMMYFUNCTION("IFERROR(
 TEXTJOIN(
  "", "",
  TRUE,
  FILTER(
   'cost checklist'!$E$2:$E1000&amp;"": ""&amp;'cost checklist'!$G$2:$G1000,
   'cost checklist'!$B$2:$B1000=A373,
   'cost checklist'!$J$2:$J1000=FALSE
  )
 ),
 """"
)"),"")</f>
        <v/>
      </c>
      <c r="Z373" s="26" t="b">
        <f>IFERROR(__xludf.DUMMYFUNCTION("IF(
 AND(
  E373=""QUEST"",
  RIGHT(A373,9)="".accepted"",
  D373=TRUE
 ),
 XLOOKUP(
  REGEXREPLACE(A373,""\.accepted$"","""")&amp;"".finished"",
  $A$2:$A1000,
  $D$2:$D1000,
  TRUE
 )=FALSE,
 FALSE
)"),FALSE)</f>
        <v>0</v>
      </c>
      <c r="AA373" s="26" t="str">
        <f>IFERROR(__xludf.DUMMYFUNCTION("LET(
 id,A373,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4" ht="14.25" customHeight="1">
      <c r="A374" s="26" t="s">
        <v>1365</v>
      </c>
      <c r="B374" s="26" t="str">
        <f t="array" ref="B374">_xlfn.XLOOKUP(
 A374,
 tblTargets[TargetID],
 tblTargets[DisplayName],
 ""
)</f>
        <v>Learn character skill cartographer lvl 3</v>
      </c>
      <c r="C374" s="26" t="str">
        <f t="shared" si="1"/>
        <v>READY</v>
      </c>
      <c r="D374" s="26" t="b">
        <f>IFERROR(__xludf.DUMMYFUNCTION("LET(
 id,A374,
 IF(
  F374=""CHARACTER"",
  LET(
   base,REGEXREPLACE(id,""@\d+$"",""""),
   required,VALUE(REGEXEXTRACT(id,""@(\d+)$"")),
   current,XLOOKUP(
    base,
    tblPlayer[PlayerStateID],
    tblPlayer[Value],
    0
   ),
   current&gt;=required
 "&amp;" ),
  IF(
   T374=""AUTO"",
   L374=0,
   COUNTIFS(
    tblChecklist[TargetID],id,
    tblChecklist[PlayerCompleted],TRUE
   )&gt;0
  )
 )
)"),FALSE)</f>
        <v>0</v>
      </c>
      <c r="E374" s="26" t="str">
        <f t="array" ref="E374">_xlfn.XLOOKUP(
 A374,
 tblTargets[TargetID],
 tblTargets[TargetType],
 ""
)</f>
        <v>STATE</v>
      </c>
      <c r="F374" s="26" t="str">
        <f t="array" ref="F374">_xlfn.XLOOKUP(
 A374,
 tblTargets[TargetID],
 tblTargets[StateType],
 ""
)</f>
        <v>CHARACTER</v>
      </c>
      <c r="G374" s="26">
        <f>LET(
 id,A374,
 depCount,COUNTIF(tblDependencies[TargetID],id),
 objCount,COUNTIF(tblQuestObjectives[QuestTargetID],id),
 depCount+objCount
)</f>
        <v>0</v>
      </c>
      <c r="H374" s="26">
        <f t="shared" si="2"/>
        <v>0</v>
      </c>
      <c r="I374" s="26">
        <f>IFERROR(__xludf.DUMMYFUNCTION("LET(
 id,A374,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4" s="26">
        <f t="shared" si="3"/>
        <v>0</v>
      </c>
      <c r="K374" s="26" t="b">
        <f t="shared" si="4"/>
        <v>1</v>
      </c>
      <c r="L374" s="26">
        <f t="shared" si="5"/>
        <v>0</v>
      </c>
      <c r="M374" s="26" t="str">
        <f>IFERROR(__xludf.DUMMYFUNCTION("LET(
 id,A374,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L374=0,
  """",
  IFERROR(INDEX(incomplete,1),"""")"&amp;"
 )
)"),"")</f>
        <v/>
      </c>
      <c r="N374" s="26" t="str">
        <f t="array" ref="N374">IF(
 M374="",
 "",
 _xlfn.XLOOKUP(
  M374,
  tblTargets[TargetID],
  tblTargets[DisplayName],
  M374
 )
)</f>
        <v/>
      </c>
      <c r="O374" s="26" t="str">
        <f>IFERROR(__xludf.DUMMYFUNCTION("SWITCH(
 E374,
 ""BUILDING"",XLOOKUP(A374,tblBuildings[BuildingID],tblBuildings[costtext],""""),
 ""TECH"",XLOOKUP(A374,tblTechnologies[TechnologyID],tblTechnologies[costtext],""""),
 ""QUEST"",XLOOKUP(
  REGEXREPLACE(A374,""\.[^.]+$"",""""),
  tblQuests["&amp;"QuestID],
  tblQuests[Costtext],
  """"
 ),
 ""CITADEL"",XLOOKUP(A374,tblCitadel[CitadelID],tblCitadel[costtext],""""),
 ""COLLECTION"",XLOOKUP(A374,tblCollections[CollectionID],tblCollections[costtext],""""),
 ""CRAFTIFACT"",XLOOKUP(A374,tblCraftifacts[C"&amp;"raftifactID],tblCraftifacts[costtext],""""),
 """"
)"),"")</f>
        <v/>
      </c>
      <c r="P374" s="26" t="str">
        <f t="shared" si="6"/>
        <v/>
      </c>
      <c r="Q374" s="26" t="str">
        <f t="shared" si="7"/>
        <v>READY</v>
      </c>
      <c r="R374" s="26" t="str">
        <f t="array" ref="R374">IFERROR(
 _xlfn.XLOOKUP(
  A374,
  tblChecklist[TargetID],
  tblChecklist[PlayerSort],
  ""
 ),
 ""
)</f>
        <v/>
      </c>
      <c r="S374" s="26" t="str">
        <f>IFERROR(__xludf.DUMMYFUNCTION("LET(
 id,A374,
 successorIDs,
  IFERROR(
   UNIQUE(
    FILTER(
     {
      Dependencies!$A$2:$A$1000;
      QuestObjectives!$A$2:$A$1000
     },
     {
      Dependencies!$B$2:$B$1000;
      QuestObjectives!$E$2:$E$1000
     }=id
    )
   ),
   """"
  )"&amp;",
 names,
  MAP(
   successorIDs,
   LAMBDA(s,
    IF(
     s="""",
     """",
     XLOOKUP(
      s,
      $A$2:$A$1000,
      $B$2:$B$1000,
      s
     )
    )
   )
  ),
 IF(
  successorIDs="""",
  """",
  TEXTJOIN("", "",TRUE,names)
 )
)"),"")</f>
        <v/>
      </c>
      <c r="T374" s="26" t="str">
        <f t="array" ref="T374">_xlfn.XLOOKUP(
 A374,
 tblTargets[TargetID],
 tblTargets[CompletionMethod],
 ""
)</f>
        <v>PLAYER</v>
      </c>
      <c r="U374" s="84" t="b">
        <f>COUNTIF(tblCost[TargetID],A374)&gt;0</f>
        <v>0</v>
      </c>
      <c r="V374" s="85" t="str">
        <f t="array" ref="V374">IF(
 U374=FALSE,
 "",
 _xlfn.XLOOKUP(
  A374,
  tblCost[TargetID],
  tblCost[FundingPercent],
  ""
 )
)</f>
        <v/>
      </c>
      <c r="W374" s="26" t="str">
        <f t="array" ref="W374">IF(
 U374=FALSE,
 "",
 _xlfn.XLOOKUP(
  A374,
  tblCost[TargetID],
  tblCost[RemainingRequirements],
  ""
 )
)</f>
        <v/>
      </c>
      <c r="X374" s="45" t="str">
        <f t="array" ref="X374">IF(
 U374=FALSE,
 "N/A",
 _xlfn.XLOOKUP(
  A375,
  tblCost[TargetID],
  tblCost[TargetFunded],
  FALSE
 )
)</f>
        <v>N/A</v>
      </c>
      <c r="Y374" s="26" t="str">
        <f>IFERROR(__xludf.DUMMYFUNCTION("IFERROR(
 TEXTJOIN(
  "", "",
  TRUE,
  FILTER(
   'cost checklist'!$E$2:$E1000&amp;"": ""&amp;'cost checklist'!$G$2:$G1000,
   'cost checklist'!$B$2:$B1000=A374,
   'cost checklist'!$J$2:$J1000=FALSE
  )
 ),
 """"
)"),"")</f>
        <v/>
      </c>
      <c r="Z374" s="26" t="b">
        <f>IFERROR(__xludf.DUMMYFUNCTION("IF(
 AND(
  E374=""QUEST"",
  RIGHT(A374,9)="".accepted"",
  D374=TRUE
 ),
 XLOOKUP(
  REGEXREPLACE(A374,""\.accepted$"","""")&amp;"".finished"",
  $A$2:$A1000,
  $D$2:$D1000,
  TRUE
 )=FALSE,
 FALSE
)"),FALSE)</f>
        <v>0</v>
      </c>
      <c r="AA374" s="26" t="str">
        <f>IFERROR(__xludf.DUMMYFUNCTION("LET(
 id,A374,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5" ht="14.25" customHeight="1">
      <c r="A375" s="26" t="s">
        <v>1367</v>
      </c>
      <c r="B375" s="26" t="str">
        <f t="array" ref="B375">_xlfn.XLOOKUP(
 A375,
 tblTargets[TargetID],
 tblTargets[DisplayName],
 ""
)</f>
        <v>Learn character skill cartographer lvl 4</v>
      </c>
      <c r="C375" s="26" t="str">
        <f t="shared" si="1"/>
        <v>READY</v>
      </c>
      <c r="D375" s="26" t="b">
        <f>IFERROR(__xludf.DUMMYFUNCTION("LET(
 id,A375,
 IF(
  F375=""CHARACTER"",
  LET(
   base,REGEXREPLACE(id,""@\d+$"",""""),
   required,VALUE(REGEXEXTRACT(id,""@(\d+)$"")),
   current,XLOOKUP(
    base,
    tblPlayer[PlayerStateID],
    tblPlayer[Value],
    0
   ),
   current&gt;=required
 "&amp;" ),
  IF(
   T375=""AUTO"",
   L375=0,
   COUNTIFS(
    tblChecklist[TargetID],id,
    tblChecklist[PlayerCompleted],TRUE
   )&gt;0
  )
 )
)"),FALSE)</f>
        <v>0</v>
      </c>
      <c r="E375" s="26" t="str">
        <f t="array" ref="E375">_xlfn.XLOOKUP(
 A375,
 tblTargets[TargetID],
 tblTargets[TargetType],
 ""
)</f>
        <v>STATE</v>
      </c>
      <c r="F375" s="26" t="str">
        <f t="array" ref="F375">_xlfn.XLOOKUP(
 A375,
 tblTargets[TargetID],
 tblTargets[StateType],
 ""
)</f>
        <v>CHARACTER</v>
      </c>
      <c r="G375" s="26">
        <f>LET(
 id,A375,
 depCount,COUNTIF(tblDependencies[TargetID],id),
 objCount,COUNTIF(tblQuestObjectives[QuestTargetID],id),
 depCount+objCount
)</f>
        <v>0</v>
      </c>
      <c r="H375" s="26">
        <f t="shared" si="2"/>
        <v>0</v>
      </c>
      <c r="I375" s="26">
        <f>IFERROR(__xludf.DUMMYFUNCTION("LET(
 id,A375,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5" s="26">
        <f t="shared" si="3"/>
        <v>0</v>
      </c>
      <c r="K375" s="26" t="b">
        <f t="shared" si="4"/>
        <v>1</v>
      </c>
      <c r="L375" s="26">
        <f t="shared" si="5"/>
        <v>0</v>
      </c>
      <c r="M375" s="26" t="str">
        <f>IFERROR(__xludf.DUMMYFUNCTION("LET(
 id,A375,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L375=0,
  """",
  IFERROR(INDEX(incomplete,1),"""")"&amp;"
 )
)"),"")</f>
        <v/>
      </c>
      <c r="N375" s="26" t="str">
        <f t="array" ref="N375">IF(
 M375="",
 "",
 _xlfn.XLOOKUP(
  M375,
  tblTargets[TargetID],
  tblTargets[DisplayName],
  M375
 )
)</f>
        <v/>
      </c>
      <c r="O375" s="26" t="str">
        <f>IFERROR(__xludf.DUMMYFUNCTION("SWITCH(
 E375,
 ""BUILDING"",XLOOKUP(A375,tblBuildings[BuildingID],tblBuildings[costtext],""""),
 ""TECH"",XLOOKUP(A375,tblTechnologies[TechnologyID],tblTechnologies[costtext],""""),
 ""QUEST"",XLOOKUP(
  REGEXREPLACE(A375,""\.[^.]+$"",""""),
  tblQuests["&amp;"QuestID],
  tblQuests[Costtext],
  """"
 ),
 ""CITADEL"",XLOOKUP(A375,tblCitadel[CitadelID],tblCitadel[costtext],""""),
 ""COLLECTION"",XLOOKUP(A375,tblCollections[CollectionID],tblCollections[costtext],""""),
 ""CRAFTIFACT"",XLOOKUP(A375,tblCraftifacts[C"&amp;"raftifactID],tblCraftifacts[costtext],""""),
 """"
)"),"")</f>
        <v/>
      </c>
      <c r="P375" s="26" t="str">
        <f t="shared" si="6"/>
        <v/>
      </c>
      <c r="Q375" s="26" t="str">
        <f t="shared" si="7"/>
        <v>READY</v>
      </c>
      <c r="R375" s="26" t="str">
        <f t="array" ref="R375">IFERROR(
 _xlfn.XLOOKUP(
  A375,
  tblChecklist[TargetID],
  tblChecklist[PlayerSort],
  ""
 ),
 ""
)</f>
        <v/>
      </c>
      <c r="S375" s="26" t="str">
        <f>IFERROR(__xludf.DUMMYFUNCTION("LET(
 id,A375,
 successorIDs,
  IFERROR(
   UNIQUE(
    FILTER(
     {
      Dependencies!$A$2:$A$1000;
      QuestObjectives!$A$2:$A$1000
     },
     {
      Dependencies!$B$2:$B$1000;
      QuestObjectives!$E$2:$E$1000
     }=id
    )
   ),
   """"
  )"&amp;",
 names,
  MAP(
   successorIDs,
   LAMBDA(s,
    IF(
     s="""",
     """",
     XLOOKUP(
      s,
      $A$2:$A$1000,
      $B$2:$B$1000,
      s
     )
    )
   )
  ),
 IF(
  successorIDs="""",
  """",
  TEXTJOIN("", "",TRUE,names)
 )
)"),"Shogun's Katana Chapter 6 Finished")</f>
        <v>Shogun's Katana Chapter 6 Finished</v>
      </c>
      <c r="T375" s="26" t="str">
        <f t="array" ref="T375">_xlfn.XLOOKUP(
 A375,
 tblTargets[TargetID],
 tblTargets[CompletionMethod],
 ""
)</f>
        <v>PLAYER</v>
      </c>
      <c r="U375" s="84" t="b">
        <f>COUNTIF(tblCost[TargetID],A375)&gt;0</f>
        <v>0</v>
      </c>
      <c r="V375" s="85" t="str">
        <f t="array" ref="V375">IF(
 U375=FALSE,
 "",
 _xlfn.XLOOKUP(
  A375,
  tblCost[TargetID],
  tblCost[FundingPercent],
  ""
 )
)</f>
        <v/>
      </c>
      <c r="W375" s="26" t="str">
        <f t="array" ref="W375">IF(
 U375=FALSE,
 "",
 _xlfn.XLOOKUP(
  A375,
  tblCost[TargetID],
  tblCost[RemainingRequirements],
  ""
 )
)</f>
        <v/>
      </c>
      <c r="X375" s="45" t="str">
        <f t="array" ref="X375">IF(
 U375=FALSE,
 "N/A",
 _xlfn.XLOOKUP(
  A376,
  tblCost[TargetID],
  tblCost[TargetFunded],
  FALSE
 )
)</f>
        <v>N/A</v>
      </c>
      <c r="Y375" s="26" t="str">
        <f>IFERROR(__xludf.DUMMYFUNCTION("IFERROR(
 TEXTJOIN(
  "", "",
  TRUE,
  FILTER(
   'cost checklist'!$E$2:$E1000&amp;"": ""&amp;'cost checklist'!$G$2:$G1000,
   'cost checklist'!$B$2:$B1000=A375,
   'cost checklist'!$J$2:$J1000=FALSE
  )
 ),
 """"
)"),"")</f>
        <v/>
      </c>
      <c r="Z375" s="26" t="b">
        <f>IFERROR(__xludf.DUMMYFUNCTION("IF(
 AND(
  E375=""QUEST"",
  RIGHT(A375,9)="".accepted"",
  D375=TRUE
 ),
 XLOOKUP(
  REGEXREPLACE(A375,""\.accepted$"","""")&amp;"".finished"",
  $A$2:$A1000,
  $D$2:$D1000,
  TRUE
 )=FALSE,
 FALSE
)"),FALSE)</f>
        <v>0</v>
      </c>
      <c r="AA375" s="26" t="str">
        <f>IFERROR(__xludf.DUMMYFUNCTION("LET(
 id,A375,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6" ht="14.25" customHeight="1">
      <c r="A376" s="26" t="s">
        <v>1369</v>
      </c>
      <c r="B376" s="26" t="str">
        <f t="array" ref="B376">_xlfn.XLOOKUP(
 A376,
 tblTargets[TargetID],
 tblTargets[DisplayName],
 ""
)</f>
        <v>Attain level 1 cooking skill</v>
      </c>
      <c r="C376" s="26" t="str">
        <f t="shared" si="1"/>
        <v>READY</v>
      </c>
      <c r="D376" s="26" t="b">
        <f>IFERROR(__xludf.DUMMYFUNCTION("LET(
 id,A376,
 IF(
  F376=""CHARACTER"",
  LET(
   base,REGEXREPLACE(id,""@\d+$"",""""),
   required,VALUE(REGEXEXTRACT(id,""@(\d+)$"")),
   current,XLOOKUP(
    base,
    tblPlayer[PlayerStateID],
    tblPlayer[Value],
    0
   ),
   current&gt;=required
 "&amp;" ),
  IF(
   T376=""AUTO"",
   L376=0,
   COUNTIFS(
    tblChecklist[TargetID],id,
    tblChecklist[PlayerCompleted],TRUE
   )&gt;0
  )
 )
)"),FALSE)</f>
        <v>0</v>
      </c>
      <c r="E376" s="26" t="str">
        <f t="array" ref="E376">_xlfn.XLOOKUP(
 A376,
 tblTargets[TargetID],
 tblTargets[TargetType],
 ""
)</f>
        <v>STATE</v>
      </c>
      <c r="F376" s="26" t="str">
        <f t="array" ref="F376">_xlfn.XLOOKUP(
 A376,
 tblTargets[TargetID],
 tblTargets[StateType],
 ""
)</f>
        <v>CHARACTER</v>
      </c>
      <c r="G376" s="26">
        <f>LET(
 id,A376,
 depCount,COUNTIF(tblDependencies[TargetID],id),
 objCount,COUNTIF(tblQuestObjectives[QuestTargetID],id),
 depCount+objCount
)</f>
        <v>0</v>
      </c>
      <c r="H376" s="26">
        <f t="shared" si="2"/>
        <v>0</v>
      </c>
      <c r="I376" s="26">
        <f>IFERROR(__xludf.DUMMYFUNCTION("LET(
 id,A376,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6" s="26">
        <f t="shared" si="3"/>
        <v>0</v>
      </c>
      <c r="K376" s="26" t="b">
        <f t="shared" si="4"/>
        <v>1</v>
      </c>
      <c r="L376" s="26">
        <f t="shared" si="5"/>
        <v>0</v>
      </c>
      <c r="M376" s="26" t="str">
        <f>IFERROR(__xludf.DUMMYFUNCTION("LET(
 id,A376,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L376=0,
  """",
  IFERROR(INDEX(incomplete,1),"""")"&amp;"
 )
)"),"")</f>
        <v/>
      </c>
      <c r="N376" s="26" t="str">
        <f t="array" ref="N376">IF(
 M376="",
 "",
 _xlfn.XLOOKUP(
  M376,
  tblTargets[TargetID],
  tblTargets[DisplayName],
  M376
 )
)</f>
        <v/>
      </c>
      <c r="O376" s="26" t="str">
        <f>IFERROR(__xludf.DUMMYFUNCTION("SWITCH(
 E376,
 ""BUILDING"",XLOOKUP(A376,tblBuildings[BuildingID],tblBuildings[costtext],""""),
 ""TECH"",XLOOKUP(A376,tblTechnologies[TechnologyID],tblTechnologies[costtext],""""),
 ""QUEST"",XLOOKUP(
  REGEXREPLACE(A376,""\.[^.]+$"",""""),
  tblQuests["&amp;"QuestID],
  tblQuests[Costtext],
  """"
 ),
 ""CITADEL"",XLOOKUP(A376,tblCitadel[CitadelID],tblCitadel[costtext],""""),
 ""COLLECTION"",XLOOKUP(A376,tblCollections[CollectionID],tblCollections[costtext],""""),
 ""CRAFTIFACT"",XLOOKUP(A376,tblCraftifacts[C"&amp;"raftifactID],tblCraftifacts[costtext],""""),
 """"
)"),"")</f>
        <v/>
      </c>
      <c r="P376" s="26" t="str">
        <f t="shared" si="6"/>
        <v/>
      </c>
      <c r="Q376" s="26" t="str">
        <f t="shared" si="7"/>
        <v>READY</v>
      </c>
      <c r="R376" s="26" t="str">
        <f t="array" ref="R376">IFERROR(
 _xlfn.XLOOKUP(
  A376,
  tblChecklist[TargetID],
  tblChecklist[PlayerSort],
  ""
 ),
 ""
)</f>
        <v/>
      </c>
      <c r="S376" s="26" t="str">
        <f>IFERROR(__xludf.DUMMYFUNCTION("LET(
 id,A376,
 successorIDs,
  IFERROR(
   UNIQUE(
    FILTER(
     {
      Dependencies!$A$2:$A$1000;
      QuestObjectives!$A$2:$A$1000
     },
     {
      Dependencies!$B$2:$B$1000;
      QuestObjectives!$E$2:$E$1000
     }=id
    )
   ),
   """"
  )"&amp;",
 names,
  MAP(
   successorIDs,
   LAMBDA(s,
    IF(
     s="""",
     """",
     XLOOKUP(
      s,
      $A$2:$A$1000,
      $B$2:$B$1000,
      s
     )
    )
   )
  ),
 IF(
  successorIDs="""",
  """",
  TEXTJOIN("", "",TRUE,names)
 )
)"),"")</f>
        <v/>
      </c>
      <c r="T376" s="26" t="str">
        <f t="array" ref="T376">_xlfn.XLOOKUP(
 A376,
 tblTargets[TargetID],
 tblTargets[CompletionMethod],
 ""
)</f>
        <v>PLAYER</v>
      </c>
      <c r="U376" s="84" t="b">
        <f>COUNTIF(tblCost[TargetID],A376)&gt;0</f>
        <v>0</v>
      </c>
      <c r="V376" s="85" t="str">
        <f t="array" ref="V376">IF(
 U376=FALSE,
 "",
 _xlfn.XLOOKUP(
  A376,
  tblCost[TargetID],
  tblCost[FundingPercent],
  ""
 )
)</f>
        <v/>
      </c>
      <c r="W376" s="26" t="str">
        <f t="array" ref="W376">IF(
 U376=FALSE,
 "",
 _xlfn.XLOOKUP(
  A376,
  tblCost[TargetID],
  tblCost[RemainingRequirements],
  ""
 )
)</f>
        <v/>
      </c>
      <c r="X376" s="45" t="str">
        <f t="array" ref="X376">IF(
 U376=FALSE,
 "N/A",
 _xlfn.XLOOKUP(
  A377,
  tblCost[TargetID],
  tblCost[TargetFunded],
  FALSE
 )
)</f>
        <v>N/A</v>
      </c>
      <c r="Y376" s="26" t="str">
        <f>IFERROR(__xludf.DUMMYFUNCTION("IFERROR(
 TEXTJOIN(
  "", "",
  TRUE,
  FILTER(
   'cost checklist'!$E$2:$E1000&amp;"": ""&amp;'cost checklist'!$G$2:$G1000,
   'cost checklist'!$B$2:$B1000=A376,
   'cost checklist'!$J$2:$J1000=FALSE
  )
 ),
 """"
)"),"")</f>
        <v/>
      </c>
      <c r="Z376" s="26" t="b">
        <f>IFERROR(__xludf.DUMMYFUNCTION("IF(
 AND(
  E376=""QUEST"",
  RIGHT(A376,9)="".accepted"",
  D376=TRUE
 ),
 XLOOKUP(
  REGEXREPLACE(A376,""\.accepted$"","""")&amp;"".finished"",
  $A$2:$A1000,
  $D$2:$D1000,
  TRUE
 )=FALSE,
 FALSE
)"),FALSE)</f>
        <v>0</v>
      </c>
      <c r="AA376" s="26" t="str">
        <f>IFERROR(__xludf.DUMMYFUNCTION("LET(
 id,A376,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7" ht="14.25" customHeight="1">
      <c r="A377" s="26" t="s">
        <v>1372</v>
      </c>
      <c r="B377" s="26" t="str">
        <f t="array" ref="B377">_xlfn.XLOOKUP(
 A377,
 tblTargets[TargetID],
 tblTargets[DisplayName],
 ""
)</f>
        <v>Attain level 12 cooking skill</v>
      </c>
      <c r="C377" s="26" t="str">
        <f t="shared" si="1"/>
        <v>READY</v>
      </c>
      <c r="D377" s="26" t="b">
        <f>IFERROR(__xludf.DUMMYFUNCTION("LET(
 id,A377,
 IF(
  F377=""CHARACTER"",
  LET(
   base,REGEXREPLACE(id,""@\d+$"",""""),
   required,VALUE(REGEXEXTRACT(id,""@(\d+)$"")),
   current,XLOOKUP(
    base,
    tblPlayer[PlayerStateID],
    tblPlayer[Value],
    0
   ),
   current&gt;=required
 "&amp;" ),
  IF(
   T377=""AUTO"",
   L377=0,
   COUNTIFS(
    tblChecklist[TargetID],id,
    tblChecklist[PlayerCompleted],TRUE
   )&gt;0
  )
 )
)"),FALSE)</f>
        <v>0</v>
      </c>
      <c r="E377" s="26" t="str">
        <f t="array" ref="E377">_xlfn.XLOOKUP(
 A377,
 tblTargets[TargetID],
 tblTargets[TargetType],
 ""
)</f>
        <v>STATE</v>
      </c>
      <c r="F377" s="26" t="str">
        <f t="array" ref="F377">_xlfn.XLOOKUP(
 A377,
 tblTargets[TargetID],
 tblTargets[StateType],
 ""
)</f>
        <v>CHARACTER</v>
      </c>
      <c r="G377" s="26">
        <f>LET(
 id,A377,
 depCount,COUNTIF(tblDependencies[TargetID],id),
 objCount,COUNTIF(tblQuestObjectives[QuestTargetID],id),
 depCount+objCount
)</f>
        <v>0</v>
      </c>
      <c r="H377" s="26">
        <f t="shared" si="2"/>
        <v>0</v>
      </c>
      <c r="I377" s="26">
        <f>IFERROR(__xludf.DUMMYFUNCTION("LET(
 id,A377,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7" s="26">
        <f t="shared" si="3"/>
        <v>0</v>
      </c>
      <c r="K377" s="26" t="b">
        <f t="shared" si="4"/>
        <v>1</v>
      </c>
      <c r="L377" s="26">
        <f t="shared" si="5"/>
        <v>0</v>
      </c>
      <c r="M377" s="26" t="str">
        <f>IFERROR(__xludf.DUMMYFUNCTION("LET(
 id,A377,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L377=0,
  """",
  IFERROR(INDEX(incomplete,1),"""")"&amp;"
 )
)"),"")</f>
        <v/>
      </c>
      <c r="N377" s="26" t="str">
        <f t="array" ref="N377">IF(
 M377="",
 "",
 _xlfn.XLOOKUP(
  M377,
  tblTargets[TargetID],
  tblTargets[DisplayName],
  M377
 )
)</f>
        <v/>
      </c>
      <c r="O377" s="26" t="str">
        <f>IFERROR(__xludf.DUMMYFUNCTION("SWITCH(
 E377,
 ""BUILDING"",XLOOKUP(A377,tblBuildings[BuildingID],tblBuildings[costtext],""""),
 ""TECH"",XLOOKUP(A377,tblTechnologies[TechnologyID],tblTechnologies[costtext],""""),
 ""QUEST"",XLOOKUP(
  REGEXREPLACE(A377,""\.[^.]+$"",""""),
  tblQuests["&amp;"QuestID],
  tblQuests[Costtext],
  """"
 ),
 ""CITADEL"",XLOOKUP(A377,tblCitadel[CitadelID],tblCitadel[costtext],""""),
 ""COLLECTION"",XLOOKUP(A377,tblCollections[CollectionID],tblCollections[costtext],""""),
 ""CRAFTIFACT"",XLOOKUP(A377,tblCraftifacts[C"&amp;"raftifactID],tblCraftifacts[costtext],""""),
 """"
)"),"")</f>
        <v/>
      </c>
      <c r="P377" s="26" t="str">
        <f t="shared" si="6"/>
        <v/>
      </c>
      <c r="Q377" s="26" t="str">
        <f t="shared" si="7"/>
        <v>READY</v>
      </c>
      <c r="R377" s="26" t="str">
        <f t="array" ref="R377">IFERROR(
 _xlfn.XLOOKUP(
  A377,
  tblChecklist[TargetID],
  tblChecklist[PlayerSort],
  ""
 ),
 ""
)</f>
        <v/>
      </c>
      <c r="S377" s="26" t="str">
        <f>IFERROR(__xludf.DUMMYFUNCTION("LET(
 id,A377,
 successorIDs,
  IFERROR(
   UNIQUE(
    FILTER(
     {
      Dependencies!$A$2:$A$1000;
      QuestObjectives!$A$2:$A$1000
     },
     {
      Dependencies!$B$2:$B$1000;
      QuestObjectives!$E$2:$E$1000
     }=id
    )
   ),
   """"
  )"&amp;",
 names,
  MAP(
   successorIDs,
   LAMBDA(s,
    IF(
     s="""",
     """",
     XLOOKUP(
      s,
      $A$2:$A$1000,
      $B$2:$B$1000,
      s
     )
    )
   )
  ),
 IF(
  successorIDs="""",
  """",
  TEXTJOIN("", "",TRUE,names)
 )
)"),"")</f>
        <v/>
      </c>
      <c r="T377" s="26" t="str">
        <f t="array" ref="T377">_xlfn.XLOOKUP(
 A377,
 tblTargets[TargetID],
 tblTargets[CompletionMethod],
 ""
)</f>
        <v>PLAYER</v>
      </c>
      <c r="U377" s="84" t="b">
        <f>COUNTIF(tblCost[TargetID],A377)&gt;0</f>
        <v>0</v>
      </c>
      <c r="V377" s="85" t="str">
        <f t="array" ref="V377">IF(
 U377=FALSE,
 "",
 _xlfn.XLOOKUP(
  A377,
  tblCost[TargetID],
  tblCost[FundingPercent],
  ""
 )
)</f>
        <v/>
      </c>
      <c r="W377" s="26" t="str">
        <f t="array" ref="W377">IF(
 U377=FALSE,
 "",
 _xlfn.XLOOKUP(
  A377,
  tblCost[TargetID],
  tblCost[RemainingRequirements],
  ""
 )
)</f>
        <v/>
      </c>
      <c r="X377" s="45" t="str">
        <f t="array" ref="X377">IF(
 U377=FALSE,
 "N/A",
 _xlfn.XLOOKUP(
  A378,
  tblCost[TargetID],
  tblCost[TargetFunded],
  FALSE
 )
)</f>
        <v>N/A</v>
      </c>
      <c r="Y377" s="26" t="str">
        <f>IFERROR(__xludf.DUMMYFUNCTION("IFERROR(
 TEXTJOIN(
  "", "",
  TRUE,
  FILTER(
   'cost checklist'!$E$2:$E1000&amp;"": ""&amp;'cost checklist'!$G$2:$G1000,
   'cost checklist'!$B$2:$B1000=A377,
   'cost checklist'!$J$2:$J1000=FALSE
  )
 ),
 """"
)"),"")</f>
        <v/>
      </c>
      <c r="Z377" s="26" t="b">
        <f>IFERROR(__xludf.DUMMYFUNCTION("IF(
 AND(
  E377=""QUEST"",
  RIGHT(A377,9)="".accepted"",
  D377=TRUE
 ),
 XLOOKUP(
  REGEXREPLACE(A377,""\.accepted$"","""")&amp;"".finished"",
  $A$2:$A1000,
  $D$2:$D1000,
  TRUE
 )=FALSE,
 FALSE
)"),FALSE)</f>
        <v>0</v>
      </c>
      <c r="AA377" s="26" t="str">
        <f>IFERROR(__xludf.DUMMYFUNCTION("LET(
 id,A377,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8" ht="14.25" customHeight="1">
      <c r="A378" s="26" t="s">
        <v>1374</v>
      </c>
      <c r="B378" s="26" t="str">
        <f t="array" ref="B378">_xlfn.XLOOKUP(
 A378,
 tblTargets[TargetID],
 tblTargets[DisplayName],
 ""
)</f>
        <v>Attain level 13 cooking skill</v>
      </c>
      <c r="C378" s="26" t="str">
        <f t="shared" si="1"/>
        <v>READY</v>
      </c>
      <c r="D378" s="26" t="b">
        <f>IFERROR(__xludf.DUMMYFUNCTION("LET(
 id,A378,
 IF(
  F378=""CHARACTER"",
  LET(
   base,REGEXREPLACE(id,""@\d+$"",""""),
   required,VALUE(REGEXEXTRACT(id,""@(\d+)$"")),
   current,XLOOKUP(
    base,
    tblPlayer[PlayerStateID],
    tblPlayer[Value],
    0
   ),
   current&gt;=required
 "&amp;" ),
  IF(
   T378=""AUTO"",
   L378=0,
   COUNTIFS(
    tblChecklist[TargetID],id,
    tblChecklist[PlayerCompleted],TRUE
   )&gt;0
  )
 )
)"),FALSE)</f>
        <v>0</v>
      </c>
      <c r="E378" s="26" t="str">
        <f t="array" ref="E378">_xlfn.XLOOKUP(
 A378,
 tblTargets[TargetID],
 tblTargets[TargetType],
 ""
)</f>
        <v>STATE</v>
      </c>
      <c r="F378" s="26" t="str">
        <f t="array" ref="F378">_xlfn.XLOOKUP(
 A378,
 tblTargets[TargetID],
 tblTargets[StateType],
 ""
)</f>
        <v>CHARACTER</v>
      </c>
      <c r="G378" s="26">
        <f>LET(
 id,A378,
 depCount,COUNTIF(tblDependencies[TargetID],id),
 objCount,COUNTIF(tblQuestObjectives[QuestTargetID],id),
 depCount+objCount
)</f>
        <v>0</v>
      </c>
      <c r="H378" s="26">
        <f t="shared" si="2"/>
        <v>0</v>
      </c>
      <c r="I378" s="26">
        <f>IFERROR(__xludf.DUMMYFUNCTION("LET(
 id,A378,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8" s="26">
        <f t="shared" si="3"/>
        <v>0</v>
      </c>
      <c r="K378" s="26" t="b">
        <f t="shared" si="4"/>
        <v>1</v>
      </c>
      <c r="L378" s="26">
        <f t="shared" si="5"/>
        <v>0</v>
      </c>
      <c r="M378" s="26" t="str">
        <f>IFERROR(__xludf.DUMMYFUNCTION("LET(
 id,A378,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L378=0,
  """",
  IFERROR(INDEX(incomplete,1),"""")"&amp;"
 )
)"),"")</f>
        <v/>
      </c>
      <c r="N378" s="26" t="str">
        <f t="array" ref="N378">IF(
 M378="",
 "",
 _xlfn.XLOOKUP(
  M378,
  tblTargets[TargetID],
  tblTargets[DisplayName],
  M378
 )
)</f>
        <v/>
      </c>
      <c r="O378" s="26" t="str">
        <f>IFERROR(__xludf.DUMMYFUNCTION("SWITCH(
 E378,
 ""BUILDING"",XLOOKUP(A378,tblBuildings[BuildingID],tblBuildings[costtext],""""),
 ""TECH"",XLOOKUP(A378,tblTechnologies[TechnologyID],tblTechnologies[costtext],""""),
 ""QUEST"",XLOOKUP(
  REGEXREPLACE(A378,""\.[^.]+$"",""""),
  tblQuests["&amp;"QuestID],
  tblQuests[Costtext],
  """"
 ),
 ""CITADEL"",XLOOKUP(A378,tblCitadel[CitadelID],tblCitadel[costtext],""""),
 ""COLLECTION"",XLOOKUP(A378,tblCollections[CollectionID],tblCollections[costtext],""""),
 ""CRAFTIFACT"",XLOOKUP(A378,tblCraftifacts[C"&amp;"raftifactID],tblCraftifacts[costtext],""""),
 """"
)"),"")</f>
        <v/>
      </c>
      <c r="P378" s="26" t="str">
        <f t="shared" si="6"/>
        <v/>
      </c>
      <c r="Q378" s="26" t="str">
        <f t="shared" si="7"/>
        <v>READY</v>
      </c>
      <c r="R378" s="26" t="str">
        <f t="array" ref="R378">IFERROR(
 _xlfn.XLOOKUP(
  A378,
  tblChecklist[TargetID],
  tblChecklist[PlayerSort],
  ""
 ),
 ""
)</f>
        <v/>
      </c>
      <c r="S378" s="26" t="str">
        <f>IFERROR(__xludf.DUMMYFUNCTION("LET(
 id,A378,
 successorIDs,
  IFERROR(
   UNIQUE(
    FILTER(
     {
      Dependencies!$A$2:$A$1000;
      QuestObjectives!$A$2:$A$1000
     },
     {
      Dependencies!$B$2:$B$1000;
      QuestObjectives!$E$2:$E$1000
     }=id
    )
   ),
   """"
  )"&amp;",
 names,
  MAP(
   successorIDs,
   LAMBDA(s,
    IF(
     s="""",
     """",
     XLOOKUP(
      s,
      $A$2:$A$1000,
      $B$2:$B$1000,
      s
     )
    )
   )
  ),
 IF(
  successorIDs="""",
  """",
  TEXTJOIN("", "",TRUE,names)
 )
)"),"Food Stall - Inarizushi, Culinary Battle Finished")</f>
        <v>Food Stall - Inarizushi, Culinary Battle Finished</v>
      </c>
      <c r="T378" s="26" t="str">
        <f t="array" ref="T378">_xlfn.XLOOKUP(
 A378,
 tblTargets[TargetID],
 tblTargets[CompletionMethod],
 ""
)</f>
        <v>PLAYER</v>
      </c>
      <c r="U378" s="84" t="b">
        <f>COUNTIF(tblCost[TargetID],A378)&gt;0</f>
        <v>0</v>
      </c>
      <c r="V378" s="85" t="str">
        <f t="array" ref="V378">IF(
 U378=FALSE,
 "",
 _xlfn.XLOOKUP(
  A378,
  tblCost[TargetID],
  tblCost[FundingPercent],
  ""
 )
)</f>
        <v/>
      </c>
      <c r="W378" s="26" t="str">
        <f t="array" ref="W378">IF(
 U378=FALSE,
 "",
 _xlfn.XLOOKUP(
  A378,
  tblCost[TargetID],
  tblCost[RemainingRequirements],
  ""
 )
)</f>
        <v/>
      </c>
      <c r="X378" s="45" t="str">
        <f t="array" ref="X378">IF(
 U378=FALSE,
 "N/A",
 _xlfn.XLOOKUP(
  A379,
  tblCost[TargetID],
  tblCost[TargetFunded],
  FALSE
 )
)</f>
        <v>N/A</v>
      </c>
      <c r="Y378" s="26" t="str">
        <f>IFERROR(__xludf.DUMMYFUNCTION("IFERROR(
 TEXTJOIN(
  "", "",
  TRUE,
  FILTER(
   'cost checklist'!$E$2:$E1000&amp;"": ""&amp;'cost checklist'!$G$2:$G1000,
   'cost checklist'!$B$2:$B1000=A378,
   'cost checklist'!$J$2:$J1000=FALSE
  )
 ),
 """"
)"),"")</f>
        <v/>
      </c>
      <c r="Z378" s="26" t="b">
        <f>IFERROR(__xludf.DUMMYFUNCTION("IF(
 AND(
  E378=""QUEST"",
  RIGHT(A378,9)="".accepted"",
  D378=TRUE
 ),
 XLOOKUP(
  REGEXREPLACE(A378,""\.accepted$"","""")&amp;"".finished"",
  $A$2:$A1000,
  $D$2:$D1000,
  TRUE
 )=FALSE,
 FALSE
)"),FALSE)</f>
        <v>0</v>
      </c>
      <c r="AA378" s="26" t="str">
        <f>IFERROR(__xludf.DUMMYFUNCTION("LET(
 id,A378,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79" ht="14.25" customHeight="1">
      <c r="A379" s="26" t="s">
        <v>1377</v>
      </c>
      <c r="B379" s="26" t="str">
        <f t="array" ref="B379">_xlfn.XLOOKUP(
 A379,
 tblTargets[TargetID],
 tblTargets[DisplayName],
 ""
)</f>
        <v>Attain level 2 cooking skill</v>
      </c>
      <c r="C379" s="26" t="str">
        <f t="shared" si="1"/>
        <v>READY</v>
      </c>
      <c r="D379" s="26" t="b">
        <f>IFERROR(__xludf.DUMMYFUNCTION("LET(
 id,A379,
 IF(
  F379=""CHARACTER"",
  LET(
   base,REGEXREPLACE(id,""@\d+$"",""""),
   required,VALUE(REGEXEXTRACT(id,""@(\d+)$"")),
   current,XLOOKUP(
    base,
    tblPlayer[PlayerStateID],
    tblPlayer[Value],
    0
   ),
   current&gt;=required
 "&amp;" ),
  IF(
   T379=""AUTO"",
   L379=0,
   COUNTIFS(
    tblChecklist[TargetID],id,
    tblChecklist[PlayerCompleted],TRUE
   )&gt;0
  )
 )
)"),FALSE)</f>
        <v>0</v>
      </c>
      <c r="E379" s="26" t="str">
        <f t="array" ref="E379">_xlfn.XLOOKUP(
 A379,
 tblTargets[TargetID],
 tblTargets[TargetType],
 ""
)</f>
        <v>STATE</v>
      </c>
      <c r="F379" s="26" t="str">
        <f t="array" ref="F379">_xlfn.XLOOKUP(
 A379,
 tblTargets[TargetID],
 tblTargets[StateType],
 ""
)</f>
        <v>CHARACTER</v>
      </c>
      <c r="G379" s="26">
        <f>LET(
 id,A379,
 depCount,COUNTIF(tblDependencies[TargetID],id),
 objCount,COUNTIF(tblQuestObjectives[QuestTargetID],id),
 depCount+objCount
)</f>
        <v>0</v>
      </c>
      <c r="H379" s="26">
        <f t="shared" si="2"/>
        <v>0</v>
      </c>
      <c r="I379" s="26">
        <f>IFERROR(__xludf.DUMMYFUNCTION("LET(
 id,A379,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79" s="26">
        <f t="shared" si="3"/>
        <v>0</v>
      </c>
      <c r="K379" s="26" t="b">
        <f t="shared" si="4"/>
        <v>1</v>
      </c>
      <c r="L379" s="26">
        <f t="shared" si="5"/>
        <v>0</v>
      </c>
      <c r="M379" s="26" t="str">
        <f>IFERROR(__xludf.DUMMYFUNCTION("LET(
 id,A379,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L379=0,
  """",
  IFERROR(INDEX(incomplete,1),"""")"&amp;"
 )
)"),"")</f>
        <v/>
      </c>
      <c r="N379" s="26" t="str">
        <f t="array" ref="N379">IF(
 M379="",
 "",
 _xlfn.XLOOKUP(
  M379,
  tblTargets[TargetID],
  tblTargets[DisplayName],
  M379
 )
)</f>
        <v/>
      </c>
      <c r="O379" s="26" t="str">
        <f>IFERROR(__xludf.DUMMYFUNCTION("SWITCH(
 E379,
 ""BUILDING"",XLOOKUP(A379,tblBuildings[BuildingID],tblBuildings[costtext],""""),
 ""TECH"",XLOOKUP(A379,tblTechnologies[TechnologyID],tblTechnologies[costtext],""""),
 ""QUEST"",XLOOKUP(
  REGEXREPLACE(A379,""\.[^.]+$"",""""),
  tblQuests["&amp;"QuestID],
  tblQuests[Costtext],
  """"
 ),
 ""CITADEL"",XLOOKUP(A379,tblCitadel[CitadelID],tblCitadel[costtext],""""),
 ""COLLECTION"",XLOOKUP(A379,tblCollections[CollectionID],tblCollections[costtext],""""),
 ""CRAFTIFACT"",XLOOKUP(A379,tblCraftifacts[C"&amp;"raftifactID],tblCraftifacts[costtext],""""),
 """"
)"),"")</f>
        <v/>
      </c>
      <c r="P379" s="26" t="str">
        <f t="shared" si="6"/>
        <v/>
      </c>
      <c r="Q379" s="26" t="str">
        <f t="shared" si="7"/>
        <v>READY</v>
      </c>
      <c r="R379" s="26" t="str">
        <f t="array" ref="R379">IFERROR(
 _xlfn.XLOOKUP(
  A379,
  tblChecklist[TargetID],
  tblChecklist[PlayerSort],
  ""
 ),
 ""
)</f>
        <v/>
      </c>
      <c r="S379" s="26" t="str">
        <f>IFERROR(__xludf.DUMMYFUNCTION("LET(
 id,A379,
 successorIDs,
  IFERROR(
   UNIQUE(
    FILTER(
     {
      Dependencies!$A$2:$A$1000;
      QuestObjectives!$A$2:$A$1000
     },
     {
      Dependencies!$B$2:$B$1000;
      QuestObjectives!$E$2:$E$1000
     }=id
    )
   ),
   """"
  )"&amp;",
 names,
  MAP(
   successorIDs,
   LAMBDA(s,
    IF(
     s="""",
     """",
     XLOOKUP(
      s,
      $A$2:$A$1000,
      $B$2:$B$1000,
      s
     )
    )
   )
  ),
 IF(
  successorIDs="""",
  """",
  TEXTJOIN("", "",TRUE,names)
 )
)"),"Shogun's Katana Chapter 4 Finished")</f>
        <v>Shogun's Katana Chapter 4 Finished</v>
      </c>
      <c r="T379" s="26" t="str">
        <f t="array" ref="T379">_xlfn.XLOOKUP(
 A379,
 tblTargets[TargetID],
 tblTargets[CompletionMethod],
 ""
)</f>
        <v>PLAYER</v>
      </c>
      <c r="U379" s="84" t="b">
        <f>COUNTIF(tblCost[TargetID],A379)&gt;0</f>
        <v>0</v>
      </c>
      <c r="V379" s="85" t="str">
        <f t="array" ref="V379">IF(
 U379=FALSE,
 "",
 _xlfn.XLOOKUP(
  A379,
  tblCost[TargetID],
  tblCost[FundingPercent],
  ""
 )
)</f>
        <v/>
      </c>
      <c r="W379" s="26" t="str">
        <f t="array" ref="W379">IF(
 U379=FALSE,
 "",
 _xlfn.XLOOKUP(
  A379,
  tblCost[TargetID],
  tblCost[RemainingRequirements],
  ""
 )
)</f>
        <v/>
      </c>
      <c r="X379" s="45" t="str">
        <f t="array" ref="X379">IF(
 U379=FALSE,
 "N/A",
 _xlfn.XLOOKUP(
  A380,
  tblCost[TargetID],
  tblCost[TargetFunded],
  FALSE
 )
)</f>
        <v>N/A</v>
      </c>
      <c r="Y379" s="26" t="str">
        <f>IFERROR(__xludf.DUMMYFUNCTION("IFERROR(
 TEXTJOIN(
  "", "",
  TRUE,
  FILTER(
   'cost checklist'!$E$2:$E1000&amp;"": ""&amp;'cost checklist'!$G$2:$G1000,
   'cost checklist'!$B$2:$B1000=A379,
   'cost checklist'!$J$2:$J1000=FALSE
  )
 ),
 """"
)"),"")</f>
        <v/>
      </c>
      <c r="Z379" s="26" t="b">
        <f>IFERROR(__xludf.DUMMYFUNCTION("IF(
 AND(
  E379=""QUEST"",
  RIGHT(A379,9)="".accepted"",
  D379=TRUE
 ),
 XLOOKUP(
  REGEXREPLACE(A379,""\.accepted$"","""")&amp;"".finished"",
  $A$2:$A1000,
  $D$2:$D1000,
  TRUE
 )=FALSE,
 FALSE
)"),FALSE)</f>
        <v>0</v>
      </c>
      <c r="AA379" s="26" t="str">
        <f>IFERROR(__xludf.DUMMYFUNCTION("LET(
 id,A379,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0" ht="14.25" customHeight="1">
      <c r="A380" s="26" t="s">
        <v>1379</v>
      </c>
      <c r="B380" s="26" t="str">
        <f t="array" ref="B380">_xlfn.XLOOKUP(
 A380,
 tblTargets[TargetID],
 tblTargets[DisplayName],
 ""
)</f>
        <v>Attain level 3 cooking skill</v>
      </c>
      <c r="C380" s="26" t="str">
        <f t="shared" si="1"/>
        <v>READY</v>
      </c>
      <c r="D380" s="26" t="b">
        <f>IFERROR(__xludf.DUMMYFUNCTION("LET(
 id,A380,
 IF(
  F380=""CHARACTER"",
  LET(
   base,REGEXREPLACE(id,""@\d+$"",""""),
   required,VALUE(REGEXEXTRACT(id,""@(\d+)$"")),
   current,XLOOKUP(
    base,
    tblPlayer[PlayerStateID],
    tblPlayer[Value],
    0
   ),
   current&gt;=required
 "&amp;" ),
  IF(
   T380=""AUTO"",
   L380=0,
   COUNTIFS(
    tblChecklist[TargetID],id,
    tblChecklist[PlayerCompleted],TRUE
   )&gt;0
  )
 )
)"),FALSE)</f>
        <v>0</v>
      </c>
      <c r="E380" s="26" t="str">
        <f t="array" ref="E380">_xlfn.XLOOKUP(
 A380,
 tblTargets[TargetID],
 tblTargets[TargetType],
 ""
)</f>
        <v>STATE</v>
      </c>
      <c r="F380" s="26" t="str">
        <f t="array" ref="F380">_xlfn.XLOOKUP(
 A380,
 tblTargets[TargetID],
 tblTargets[StateType],
 ""
)</f>
        <v>CHARACTER</v>
      </c>
      <c r="G380" s="26">
        <f>LET(
 id,A380,
 depCount,COUNTIF(tblDependencies[TargetID],id),
 objCount,COUNTIF(tblQuestObjectives[QuestTargetID],id),
 depCount+objCount
)</f>
        <v>0</v>
      </c>
      <c r="H380" s="26">
        <f t="shared" si="2"/>
        <v>0</v>
      </c>
      <c r="I380" s="26">
        <f>IFERROR(__xludf.DUMMYFUNCTION("LET(
 id,A380,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0" s="26">
        <f t="shared" si="3"/>
        <v>0</v>
      </c>
      <c r="K380" s="26" t="b">
        <f t="shared" si="4"/>
        <v>1</v>
      </c>
      <c r="L380" s="26">
        <f t="shared" si="5"/>
        <v>0</v>
      </c>
      <c r="M380" s="26" t="str">
        <f>IFERROR(__xludf.DUMMYFUNCTION("LET(
 id,A380,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L380=0,
  """",
  IFERROR(INDEX(incomplete,1),"""")"&amp;"
 )
)"),"")</f>
        <v/>
      </c>
      <c r="N380" s="26" t="str">
        <f t="array" ref="N380">IF(
 M380="",
 "",
 _xlfn.XLOOKUP(
  M380,
  tblTargets[TargetID],
  tblTargets[DisplayName],
  M380
 )
)</f>
        <v/>
      </c>
      <c r="O380" s="26" t="str">
        <f>IFERROR(__xludf.DUMMYFUNCTION("SWITCH(
 E380,
 ""BUILDING"",XLOOKUP(A380,tblBuildings[BuildingID],tblBuildings[costtext],""""),
 ""TECH"",XLOOKUP(A380,tblTechnologies[TechnologyID],tblTechnologies[costtext],""""),
 ""QUEST"",XLOOKUP(
  REGEXREPLACE(A380,""\.[^.]+$"",""""),
  tblQuests["&amp;"QuestID],
  tblQuests[Costtext],
  """"
 ),
 ""CITADEL"",XLOOKUP(A380,tblCitadel[CitadelID],tblCitadel[costtext],""""),
 ""COLLECTION"",XLOOKUP(A380,tblCollections[CollectionID],tblCollections[costtext],""""),
 ""CRAFTIFACT"",XLOOKUP(A380,tblCraftifacts[C"&amp;"raftifactID],tblCraftifacts[costtext],""""),
 """"
)"),"")</f>
        <v/>
      </c>
      <c r="P380" s="26" t="str">
        <f t="shared" si="6"/>
        <v/>
      </c>
      <c r="Q380" s="26" t="str">
        <f t="shared" si="7"/>
        <v>READY</v>
      </c>
      <c r="R380" s="26" t="str">
        <f t="array" ref="R380">IFERROR(
 _xlfn.XLOOKUP(
  A380,
  tblChecklist[TargetID],
  tblChecklist[PlayerSort],
  ""
 ),
 ""
)</f>
        <v/>
      </c>
      <c r="S380" s="26" t="str">
        <f>IFERROR(__xludf.DUMMYFUNCTION("LET(
 id,A380,
 successorIDs,
  IFERROR(
   UNIQUE(
    FILTER(
     {
      Dependencies!$A$2:$A$1000;
      QuestObjectives!$A$2:$A$1000
     },
     {
      Dependencies!$B$2:$B$1000;
      QuestObjectives!$E$2:$E$1000
     }=id
    )
   ),
   """"
  )"&amp;",
 names,
  MAP(
   successorIDs,
   LAMBDA(s,
    IF(
     s="""",
     """",
     XLOOKUP(
      s,
      $A$2:$A$1000,
      $B$2:$B$1000,
      s
     )
    )
   )
  ),
 IF(
  successorIDs="""",
  """",
  TEXTJOIN("", "",TRUE,names)
 )
)"),"Shogun's Katana Chapter 5 Finished, Shogun's Katana Chapter 6 Finished")</f>
        <v>Shogun's Katana Chapter 5 Finished, Shogun's Katana Chapter 6 Finished</v>
      </c>
      <c r="T380" s="26" t="str">
        <f t="array" ref="T380">_xlfn.XLOOKUP(
 A380,
 tblTargets[TargetID],
 tblTargets[CompletionMethod],
 ""
)</f>
        <v>PLAYER</v>
      </c>
      <c r="U380" s="84" t="b">
        <f>COUNTIF(tblCost[TargetID],A380)&gt;0</f>
        <v>0</v>
      </c>
      <c r="V380" s="85" t="str">
        <f t="array" ref="V380">IF(
 U380=FALSE,
 "",
 _xlfn.XLOOKUP(
  A380,
  tblCost[TargetID],
  tblCost[FundingPercent],
  ""
 )
)</f>
        <v/>
      </c>
      <c r="W380" s="26" t="str">
        <f t="array" ref="W380">IF(
 U380=FALSE,
 "",
 _xlfn.XLOOKUP(
  A380,
  tblCost[TargetID],
  tblCost[RemainingRequirements],
  ""
 )
)</f>
        <v/>
      </c>
      <c r="X380" s="45" t="str">
        <f t="array" ref="X380">IF(
 U380=FALSE,
 "N/A",
 _xlfn.XLOOKUP(
  A381,
  tblCost[TargetID],
  tblCost[TargetFunded],
  FALSE
 )
)</f>
        <v>N/A</v>
      </c>
      <c r="Y380" s="26" t="str">
        <f>IFERROR(__xludf.DUMMYFUNCTION("IFERROR(
 TEXTJOIN(
  "", "",
  TRUE,
  FILTER(
   'cost checklist'!$E$2:$E1000&amp;"": ""&amp;'cost checklist'!$G$2:$G1000,
   'cost checklist'!$B$2:$B1000=A380,
   'cost checklist'!$J$2:$J1000=FALSE
  )
 ),
 """"
)"),"")</f>
        <v/>
      </c>
      <c r="Z380" s="26" t="b">
        <f>IFERROR(__xludf.DUMMYFUNCTION("IF(
 AND(
  E380=""QUEST"",
  RIGHT(A380,9)="".accepted"",
  D380=TRUE
 ),
 XLOOKUP(
  REGEXREPLACE(A380,""\.accepted$"","""")&amp;"".finished"",
  $A$2:$A1000,
  $D$2:$D1000,
  TRUE
 )=FALSE,
 FALSE
)"),FALSE)</f>
        <v>0</v>
      </c>
      <c r="AA380" s="26" t="str">
        <f>IFERROR(__xludf.DUMMYFUNCTION("LET(
 id,A380,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1" ht="14.25" customHeight="1">
      <c r="A381" s="26" t="s">
        <v>1382</v>
      </c>
      <c r="B381" s="26" t="str">
        <f t="array" ref="B381">_xlfn.XLOOKUP(
 A381,
 tblTargets[TargetID],
 tblTargets[DisplayName],
 ""
)</f>
        <v>Character Level@10</v>
      </c>
      <c r="C381" s="26" t="str">
        <f t="shared" si="1"/>
        <v>READY</v>
      </c>
      <c r="D381" s="26" t="b">
        <f>IFERROR(__xludf.DUMMYFUNCTION("LET(
 id,A381,
 IF(
  F381=""CHARACTER"",
  LET(
   base,REGEXREPLACE(id,""@\d+$"",""""),
   required,VALUE(REGEXEXTRACT(id,""@(\d+)$"")),
   current,XLOOKUP(
    base,
    tblPlayer[PlayerStateID],
    tblPlayer[Value],
    0
   ),
   current&gt;=required
 "&amp;" ),
  IF(
   T381=""AUTO"",
   L381=0,
   COUNTIFS(
    tblChecklist[TargetID],id,
    tblChecklist[PlayerCompleted],TRUE
   )&gt;0
  )
 )
)"),FALSE)</f>
        <v>0</v>
      </c>
      <c r="E381" s="26" t="str">
        <f t="array" ref="E381">_xlfn.XLOOKUP(
 A381,
 tblTargets[TargetID],
 tblTargets[TargetType],
 ""
)</f>
        <v>STATE</v>
      </c>
      <c r="F381" s="26" t="str">
        <f t="array" ref="F381">_xlfn.XLOOKUP(
 A381,
 tblTargets[TargetID],
 tblTargets[StateType],
 ""
)</f>
        <v>CHARACTER</v>
      </c>
      <c r="G381" s="26">
        <f>LET(
 id,A381,
 depCount,COUNTIF(tblDependencies[TargetID],id),
 objCount,COUNTIF(tblQuestObjectives[QuestTargetID],id),
 depCount+objCount
)</f>
        <v>0</v>
      </c>
      <c r="H381" s="26">
        <f t="shared" si="2"/>
        <v>0</v>
      </c>
      <c r="I381" s="26">
        <f>IFERROR(__xludf.DUMMYFUNCTION("LET(
 id,A381,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1" s="26">
        <f t="shared" si="3"/>
        <v>0</v>
      </c>
      <c r="K381" s="26" t="b">
        <f t="shared" si="4"/>
        <v>1</v>
      </c>
      <c r="L381" s="26">
        <f t="shared" si="5"/>
        <v>0</v>
      </c>
      <c r="M381" s="26" t="str">
        <f>IFERROR(__xludf.DUMMYFUNCTION("LET(
 id,A381,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L381=0,
  """",
  IFERROR(INDEX(incomplete,1),"""")"&amp;"
 )
)"),"")</f>
        <v/>
      </c>
      <c r="N381" s="26" t="str">
        <f t="array" ref="N381">IF(
 M381="",
 "",
 _xlfn.XLOOKUP(
  M381,
  tblTargets[TargetID],
  tblTargets[DisplayName],
  M381
 )
)</f>
        <v/>
      </c>
      <c r="O381" s="26" t="str">
        <f>IFERROR(__xludf.DUMMYFUNCTION("SWITCH(
 E381,
 ""BUILDING"",XLOOKUP(A381,tblBuildings[BuildingID],tblBuildings[costtext],""""),
 ""TECH"",XLOOKUP(A381,tblTechnologies[TechnologyID],tblTechnologies[costtext],""""),
 ""QUEST"",XLOOKUP(
  REGEXREPLACE(A381,""\.[^.]+$"",""""),
  tblQuests["&amp;"QuestID],
  tblQuests[Costtext],
  """"
 ),
 ""CITADEL"",XLOOKUP(A381,tblCitadel[CitadelID],tblCitadel[costtext],""""),
 ""COLLECTION"",XLOOKUP(A381,tblCollections[CollectionID],tblCollections[costtext],""""),
 ""CRAFTIFACT"",XLOOKUP(A381,tblCraftifacts[C"&amp;"raftifactID],tblCraftifacts[costtext],""""),
 """"
)"),"")</f>
        <v/>
      </c>
      <c r="P381" s="26" t="str">
        <f t="shared" si="6"/>
        <v/>
      </c>
      <c r="Q381" s="26" t="str">
        <f t="shared" si="7"/>
        <v>READY</v>
      </c>
      <c r="R381" s="26" t="str">
        <f t="array" ref="R381">IFERROR(
 _xlfn.XLOOKUP(
  A381,
  tblChecklist[TargetID],
  tblChecklist[PlayerSort],
  ""
 ),
 ""
)</f>
        <v/>
      </c>
      <c r="S381" s="26" t="str">
        <f>IFERROR(__xludf.DUMMYFUNCTION("LET(
 id,A381,
 successorIDs,
  IFERROR(
   UNIQUE(
    FILTER(
     {
      Dependencies!$A$2:$A$1000;
      QuestObjectives!$A$2:$A$1000
     },
     {
      Dependencies!$B$2:$B$1000;
      QuestObjectives!$E$2:$E$1000
     }=id
    )
   ),
   """"
  )"&amp;",
 names,
  MAP(
   successorIDs,
   LAMBDA(s,
    IF(
     s="""",
     """",
     XLOOKUP(
      s,
      $A$2:$A$1000,
      $B$2:$B$1000,
      s
     )
    )
   )
  ),
 IF(
  successorIDs="""",
  """",
  TEXTJOIN("", "",TRUE,names)
 )
)"),"Dungeon Lv 1, Gong Lv 1, Pagoda Lv 3")</f>
        <v>Dungeon Lv 1, Gong Lv 1, Pagoda Lv 3</v>
      </c>
      <c r="T381" s="26" t="str">
        <f t="array" ref="T381">_xlfn.XLOOKUP(
 A381,
 tblTargets[TargetID],
 tblTargets[CompletionMethod],
 ""
)</f>
        <v>PLAYER</v>
      </c>
      <c r="U381" s="84" t="b">
        <f>COUNTIF(tblCost[TargetID],A381)&gt;0</f>
        <v>0</v>
      </c>
      <c r="V381" s="85" t="str">
        <f t="array" ref="V381">IF(
 U381=FALSE,
 "",
 _xlfn.XLOOKUP(
  A381,
  tblCost[TargetID],
  tblCost[FundingPercent],
  ""
 )
)</f>
        <v/>
      </c>
      <c r="W381" s="26" t="str">
        <f t="array" ref="W381">IF(
 U381=FALSE,
 "",
 _xlfn.XLOOKUP(
  A381,
  tblCost[TargetID],
  tblCost[RemainingRequirements],
  ""
 )
)</f>
        <v/>
      </c>
      <c r="X381" s="45" t="str">
        <f t="array" ref="X381">IF(
 U381=FALSE,
 "N/A",
 _xlfn.XLOOKUP(
  A382,
  tblCost[TargetID],
  tblCost[TargetFunded],
  FALSE
 )
)</f>
        <v>N/A</v>
      </c>
      <c r="Y381" s="26" t="str">
        <f>IFERROR(__xludf.DUMMYFUNCTION("IFERROR(
 TEXTJOIN(
  "", "",
  TRUE,
  FILTER(
   'cost checklist'!$E$2:$E1000&amp;"": ""&amp;'cost checklist'!$G$2:$G1000,
   'cost checklist'!$B$2:$B1000=A381,
   'cost checklist'!$J$2:$J1000=FALSE
  )
 ),
 """"
)"),"")</f>
        <v/>
      </c>
      <c r="Z381" s="26" t="b">
        <f>IFERROR(__xludf.DUMMYFUNCTION("IF(
 AND(
  E381=""QUEST"",
  RIGHT(A381,9)="".accepted"",
  D381=TRUE
 ),
 XLOOKUP(
  REGEXREPLACE(A381,""\.accepted$"","""")&amp;"".finished"",
  $A$2:$A1000,
  $D$2:$D1000,
  TRUE
 )=FALSE,
 FALSE
)"),FALSE)</f>
        <v>0</v>
      </c>
      <c r="AA381" s="26" t="str">
        <f>IFERROR(__xludf.DUMMYFUNCTION("LET(
 id,A381,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2" ht="14.25" customHeight="1">
      <c r="A382" s="26" t="s">
        <v>1384</v>
      </c>
      <c r="B382" s="26" t="str">
        <f t="array" ref="B382">_xlfn.XLOOKUP(
 A382,
 tblTargets[TargetID],
 tblTargets[DisplayName],
 ""
)</f>
        <v>Character Level@11</v>
      </c>
      <c r="C382" s="26" t="str">
        <f t="shared" si="1"/>
        <v>READY</v>
      </c>
      <c r="D382" s="26" t="b">
        <f>IFERROR(__xludf.DUMMYFUNCTION("LET(
 id,A382,
 IF(
  F382=""CHARACTER"",
  LET(
   base,REGEXREPLACE(id,""@\d+$"",""""),
   required,VALUE(REGEXEXTRACT(id,""@(\d+)$"")),
   current,XLOOKUP(
    base,
    tblPlayer[PlayerStateID],
    tblPlayer[Value],
    0
   ),
   current&gt;=required
 "&amp;" ),
  IF(
   T382=""AUTO"",
   L382=0,
   COUNTIFS(
    tblChecklist[TargetID],id,
    tblChecklist[PlayerCompleted],TRUE
   )&gt;0
  )
 )
)"),FALSE)</f>
        <v>0</v>
      </c>
      <c r="E382" s="26" t="str">
        <f t="array" ref="E382">_xlfn.XLOOKUP(
 A382,
 tblTargets[TargetID],
 tblTargets[TargetType],
 ""
)</f>
        <v>STATE</v>
      </c>
      <c r="F382" s="26" t="str">
        <f t="array" ref="F382">_xlfn.XLOOKUP(
 A382,
 tblTargets[TargetID],
 tblTargets[StateType],
 ""
)</f>
        <v>CHARACTER</v>
      </c>
      <c r="G382" s="26">
        <f>LET(
 id,A382,
 depCount,COUNTIF(tblDependencies[TargetID],id),
 objCount,COUNTIF(tblQuestObjectives[QuestTargetID],id),
 depCount+objCount
)</f>
        <v>0</v>
      </c>
      <c r="H382" s="26">
        <f t="shared" si="2"/>
        <v>0</v>
      </c>
      <c r="I382" s="26">
        <f>IFERROR(__xludf.DUMMYFUNCTION("LET(
 id,A382,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2" s="26">
        <f t="shared" si="3"/>
        <v>0</v>
      </c>
      <c r="K382" s="26" t="b">
        <f t="shared" si="4"/>
        <v>1</v>
      </c>
      <c r="L382" s="26">
        <f t="shared" si="5"/>
        <v>0</v>
      </c>
      <c r="M382" s="26" t="str">
        <f>IFERROR(__xludf.DUMMYFUNCTION("LET(
 id,A382,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L382=0,
  """",
  IFERROR(INDEX(incomplete,1),"""")"&amp;"
 )
)"),"")</f>
        <v/>
      </c>
      <c r="N382" s="26" t="str">
        <f t="array" ref="N382">IF(
 M382="",
 "",
 _xlfn.XLOOKUP(
  M382,
  tblTargets[TargetID],
  tblTargets[DisplayName],
  M382
 )
)</f>
        <v/>
      </c>
      <c r="O382" s="26" t="str">
        <f>IFERROR(__xludf.DUMMYFUNCTION("SWITCH(
 E382,
 ""BUILDING"",XLOOKUP(A382,tblBuildings[BuildingID],tblBuildings[costtext],""""),
 ""TECH"",XLOOKUP(A382,tblTechnologies[TechnologyID],tblTechnologies[costtext],""""),
 ""QUEST"",XLOOKUP(
  REGEXREPLACE(A382,""\.[^.]+$"",""""),
  tblQuests["&amp;"QuestID],
  tblQuests[Costtext],
  """"
 ),
 ""CITADEL"",XLOOKUP(A382,tblCitadel[CitadelID],tblCitadel[costtext],""""),
 ""COLLECTION"",XLOOKUP(A382,tblCollections[CollectionID],tblCollections[costtext],""""),
 ""CRAFTIFACT"",XLOOKUP(A382,tblCraftifacts[C"&amp;"raftifactID],tblCraftifacts[costtext],""""),
 """"
)"),"")</f>
        <v/>
      </c>
      <c r="P382" s="26" t="str">
        <f t="shared" si="6"/>
        <v/>
      </c>
      <c r="Q382" s="26" t="str">
        <f t="shared" si="7"/>
        <v>READY</v>
      </c>
      <c r="R382" s="26" t="str">
        <f t="array" ref="R382">IFERROR(
 _xlfn.XLOOKUP(
  A382,
  tblChecklist[TargetID],
  tblChecklist[PlayerSort],
  ""
 ),
 ""
)</f>
        <v/>
      </c>
      <c r="S382" s="26" t="str">
        <f>IFERROR(__xludf.DUMMYFUNCTION("LET(
 id,A382,
 successorIDs,
  IFERROR(
   UNIQUE(
    FILTER(
     {
      Dependencies!$A$2:$A$1000;
      QuestObjectives!$A$2:$A$1000
     },
     {
      Dependencies!$B$2:$B$1000;
      QuestObjectives!$E$2:$E$1000
     }=id
    )
   ),
   """"
  )"&amp;",
 names,
  MAP(
   successorIDs,
   LAMBDA(s,
    IF(
     s="""",
     """",
     XLOOKUP(
      s,
      $A$2:$A$1000,
      $B$2:$B$1000,
      s
     )
    )
   )
  ),
 IF(
  successorIDs="""",
  """",
  TEXTJOIN("", "",TRUE,names)
 )
)"),"Lumber Lv 1")</f>
        <v>Lumber Lv 1</v>
      </c>
      <c r="T382" s="26" t="str">
        <f t="array" ref="T382">_xlfn.XLOOKUP(
 A382,
 tblTargets[TargetID],
 tblTargets[CompletionMethod],
 ""
)</f>
        <v>PLAYER</v>
      </c>
      <c r="U382" s="84" t="b">
        <f>COUNTIF(tblCost[TargetID],A382)&gt;0</f>
        <v>0</v>
      </c>
      <c r="V382" s="85" t="str">
        <f t="array" ref="V382">IF(
 U382=FALSE,
 "",
 _xlfn.XLOOKUP(
  A382,
  tblCost[TargetID],
  tblCost[FundingPercent],
  ""
 )
)</f>
        <v/>
      </c>
      <c r="W382" s="26" t="str">
        <f t="array" ref="W382">IF(
 U382=FALSE,
 "",
 _xlfn.XLOOKUP(
  A382,
  tblCost[TargetID],
  tblCost[RemainingRequirements],
  ""
 )
)</f>
        <v/>
      </c>
      <c r="X382" s="45" t="str">
        <f t="array" ref="X382">IF(
 U382=FALSE,
 "N/A",
 _xlfn.XLOOKUP(
  A383,
  tblCost[TargetID],
  tblCost[TargetFunded],
  FALSE
 )
)</f>
        <v>N/A</v>
      </c>
      <c r="Y382" s="26" t="str">
        <f>IFERROR(__xludf.DUMMYFUNCTION("IFERROR(
 TEXTJOIN(
  "", "",
  TRUE,
  FILTER(
   'cost checklist'!$E$2:$E1000&amp;"": ""&amp;'cost checklist'!$G$2:$G1000,
   'cost checklist'!$B$2:$B1000=A382,
   'cost checklist'!$J$2:$J1000=FALSE
  )
 ),
 """"
)"),"")</f>
        <v/>
      </c>
      <c r="Z382" s="26" t="b">
        <f>IFERROR(__xludf.DUMMYFUNCTION("IF(
 AND(
  E382=""QUEST"",
  RIGHT(A382,9)="".accepted"",
  D382=TRUE
 ),
 XLOOKUP(
  REGEXREPLACE(A382,""\.accepted$"","""")&amp;"".finished"",
  $A$2:$A1000,
  $D$2:$D1000,
  TRUE
 )=FALSE,
 FALSE
)"),FALSE)</f>
        <v>0</v>
      </c>
      <c r="AA382" s="26" t="str">
        <f>IFERROR(__xludf.DUMMYFUNCTION("LET(
 id,A382,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3" ht="14.25" customHeight="1">
      <c r="A383" s="26" t="s">
        <v>1386</v>
      </c>
      <c r="B383" s="26" t="str">
        <f t="array" ref="B383">_xlfn.XLOOKUP(
 A383,
 tblTargets[TargetID],
 tblTargets[DisplayName],
 ""
)</f>
        <v>Character Level@12</v>
      </c>
      <c r="C383" s="26" t="str">
        <f t="shared" si="1"/>
        <v>READY</v>
      </c>
      <c r="D383" s="26" t="b">
        <f>IFERROR(__xludf.DUMMYFUNCTION("LET(
 id,A383,
 IF(
  F383=""CHARACTER"",
  LET(
   base,REGEXREPLACE(id,""@\d+$"",""""),
   required,VALUE(REGEXEXTRACT(id,""@(\d+)$"")),
   current,XLOOKUP(
    base,
    tblPlayer[PlayerStateID],
    tblPlayer[Value],
    0
   ),
   current&gt;=required
 "&amp;" ),
  IF(
   T383=""AUTO"",
   L383=0,
   COUNTIFS(
    tblChecklist[TargetID],id,
    tblChecklist[PlayerCompleted],TRUE
   )&gt;0
  )
 )
)"),FALSE)</f>
        <v>0</v>
      </c>
      <c r="E383" s="26" t="str">
        <f t="array" ref="E383">_xlfn.XLOOKUP(
 A383,
 tblTargets[TargetID],
 tblTargets[TargetType],
 ""
)</f>
        <v>STATE</v>
      </c>
      <c r="F383" s="26" t="str">
        <f t="array" ref="F383">_xlfn.XLOOKUP(
 A383,
 tblTargets[TargetID],
 tblTargets[StateType],
 ""
)</f>
        <v>CHARACTER</v>
      </c>
      <c r="G383" s="26">
        <f>LET(
 id,A383,
 depCount,COUNTIF(tblDependencies[TargetID],id),
 objCount,COUNTIF(tblQuestObjectives[QuestTargetID],id),
 depCount+objCount
)</f>
        <v>0</v>
      </c>
      <c r="H383" s="26">
        <f t="shared" si="2"/>
        <v>0</v>
      </c>
      <c r="I383" s="26">
        <f>IFERROR(__xludf.DUMMYFUNCTION("LET(
 id,A383,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3" s="26">
        <f t="shared" si="3"/>
        <v>0</v>
      </c>
      <c r="K383" s="26" t="b">
        <f t="shared" si="4"/>
        <v>1</v>
      </c>
      <c r="L383" s="26">
        <f t="shared" si="5"/>
        <v>0</v>
      </c>
      <c r="M383" s="26" t="str">
        <f>IFERROR(__xludf.DUMMYFUNCTION("LET(
 id,A383,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L383=0,
  """",
  IFERROR(INDEX(incomplete,1),"""")"&amp;"
 )
)"),"")</f>
        <v/>
      </c>
      <c r="N383" s="26" t="str">
        <f t="array" ref="N383">IF(
 M383="",
 "",
 _xlfn.XLOOKUP(
  M383,
  tblTargets[TargetID],
  tblTargets[DisplayName],
  M383
 )
)</f>
        <v/>
      </c>
      <c r="O383" s="26" t="str">
        <f>IFERROR(__xludf.DUMMYFUNCTION("SWITCH(
 E383,
 ""BUILDING"",XLOOKUP(A383,tblBuildings[BuildingID],tblBuildings[costtext],""""),
 ""TECH"",XLOOKUP(A383,tblTechnologies[TechnologyID],tblTechnologies[costtext],""""),
 ""QUEST"",XLOOKUP(
  REGEXREPLACE(A383,""\.[^.]+$"",""""),
  tblQuests["&amp;"QuestID],
  tblQuests[Costtext],
  """"
 ),
 ""CITADEL"",XLOOKUP(A383,tblCitadel[CitadelID],tblCitadel[costtext],""""),
 ""COLLECTION"",XLOOKUP(A383,tblCollections[CollectionID],tblCollections[costtext],""""),
 ""CRAFTIFACT"",XLOOKUP(A383,tblCraftifacts[C"&amp;"raftifactID],tblCraftifacts[costtext],""""),
 """"
)"),"")</f>
        <v/>
      </c>
      <c r="P383" s="26" t="str">
        <f t="shared" si="6"/>
        <v/>
      </c>
      <c r="Q383" s="26" t="str">
        <f t="shared" si="7"/>
        <v>READY</v>
      </c>
      <c r="R383" s="26" t="str">
        <f t="array" ref="R383">IFERROR(
 _xlfn.XLOOKUP(
  A383,
  tblChecklist[TargetID],
  tblChecklist[PlayerSort],
  ""
 ),
 ""
)</f>
        <v/>
      </c>
      <c r="S383" s="26" t="str">
        <f>IFERROR(__xludf.DUMMYFUNCTION("LET(
 id,A383,
 successorIDs,
  IFERROR(
   UNIQUE(
    FILTER(
     {
      Dependencies!$A$2:$A$1000;
      QuestObjectives!$A$2:$A$1000
     },
     {
      Dependencies!$B$2:$B$1000;
      QuestObjectives!$E$2:$E$1000
     }=id
    )
   ),
   """"
  )"&amp;",
 names,
  MAP(
   successorIDs,
   LAMBDA(s,
    IF(
     s="""",
     """",
     XLOOKUP(
      s,
      $A$2:$A$1000,
      $B$2:$B$1000,
      s
     )
    )
   )
  ),
 IF(
  successorIDs="""",
  """",
  TEXTJOIN("", "",TRUE,names)
 )
)"),"Garden Lv 1")</f>
        <v>Garden Lv 1</v>
      </c>
      <c r="T383" s="26" t="str">
        <f t="array" ref="T383">_xlfn.XLOOKUP(
 A383,
 tblTargets[TargetID],
 tblTargets[CompletionMethod],
 ""
)</f>
        <v>PLAYER</v>
      </c>
      <c r="U383" s="84" t="b">
        <f>COUNTIF(tblCost[TargetID],A383)&gt;0</f>
        <v>0</v>
      </c>
      <c r="V383" s="85" t="str">
        <f t="array" ref="V383">IF(
 U383=FALSE,
 "",
 _xlfn.XLOOKUP(
  A383,
  tblCost[TargetID],
  tblCost[FundingPercent],
  ""
 )
)</f>
        <v/>
      </c>
      <c r="W383" s="26" t="str">
        <f t="array" ref="W383">IF(
 U383=FALSE,
 "",
 _xlfn.XLOOKUP(
  A383,
  tblCost[TargetID],
  tblCost[RemainingRequirements],
  ""
 )
)</f>
        <v/>
      </c>
      <c r="X383" s="45" t="str">
        <f t="array" ref="X383">IF(
 U383=FALSE,
 "N/A",
 _xlfn.XLOOKUP(
  A384,
  tblCost[TargetID],
  tblCost[TargetFunded],
  FALSE
 )
)</f>
        <v>N/A</v>
      </c>
      <c r="Y383" s="26" t="str">
        <f>IFERROR(__xludf.DUMMYFUNCTION("IFERROR(
 TEXTJOIN(
  "", "",
  TRUE,
  FILTER(
   'cost checklist'!$E$2:$E1000&amp;"": ""&amp;'cost checklist'!$G$2:$G1000,
   'cost checklist'!$B$2:$B1000=A383,
   'cost checklist'!$J$2:$J1000=FALSE
  )
 ),
 """"
)"),"")</f>
        <v/>
      </c>
      <c r="Z383" s="26" t="b">
        <f>IFERROR(__xludf.DUMMYFUNCTION("IF(
 AND(
  E383=""QUEST"",
  RIGHT(A383,9)="".accepted"",
  D383=TRUE
 ),
 XLOOKUP(
  REGEXREPLACE(A383,""\.accepted$"","""")&amp;"".finished"",
  $A$2:$A1000,
  $D$2:$D1000,
  TRUE
 )=FALSE,
 FALSE
)"),FALSE)</f>
        <v>0</v>
      </c>
      <c r="AA383" s="26" t="str">
        <f>IFERROR(__xludf.DUMMYFUNCTION("LET(
 id,A383,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4" ht="14.25" customHeight="1">
      <c r="A384" s="26" t="s">
        <v>1388</v>
      </c>
      <c r="B384" s="26" t="str">
        <f t="array" ref="B384">_xlfn.XLOOKUP(
 A384,
 tblTargets[TargetID],
 tblTargets[DisplayName],
 ""
)</f>
        <v>Character Level@13</v>
      </c>
      <c r="C384" s="26" t="str">
        <f t="shared" si="1"/>
        <v>READY</v>
      </c>
      <c r="D384" s="26" t="b">
        <f>IFERROR(__xludf.DUMMYFUNCTION("LET(
 id,A384,
 IF(
  F384=""CHARACTER"",
  LET(
   base,REGEXREPLACE(id,""@\d+$"",""""),
   required,VALUE(REGEXEXTRACT(id,""@(\d+)$"")),
   current,XLOOKUP(
    base,
    tblPlayer[PlayerStateID],
    tblPlayer[Value],
    0
   ),
   current&gt;=required
 "&amp;" ),
  IF(
   T384=""AUTO"",
   L384=0,
   COUNTIFS(
    tblChecklist[TargetID],id,
    tblChecklist[PlayerCompleted],TRUE
   )&gt;0
  )
 )
)"),FALSE)</f>
        <v>0</v>
      </c>
      <c r="E384" s="26" t="str">
        <f t="array" ref="E384">_xlfn.XLOOKUP(
 A384,
 tblTargets[TargetID],
 tblTargets[TargetType],
 ""
)</f>
        <v>STATE</v>
      </c>
      <c r="F384" s="26" t="str">
        <f t="array" ref="F384">_xlfn.XLOOKUP(
 A384,
 tblTargets[TargetID],
 tblTargets[StateType],
 ""
)</f>
        <v>CHARACTER</v>
      </c>
      <c r="G384" s="26">
        <f>LET(
 id,A384,
 depCount,COUNTIF(tblDependencies[TargetID],id),
 objCount,COUNTIF(tblQuestObjectives[QuestTargetID],id),
 depCount+objCount
)</f>
        <v>0</v>
      </c>
      <c r="H384" s="26">
        <f t="shared" si="2"/>
        <v>0</v>
      </c>
      <c r="I384" s="26">
        <f>IFERROR(__xludf.DUMMYFUNCTION("LET(
 id,A384,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4" s="26">
        <f t="shared" si="3"/>
        <v>0</v>
      </c>
      <c r="K384" s="26" t="b">
        <f t="shared" si="4"/>
        <v>1</v>
      </c>
      <c r="L384" s="26">
        <f t="shared" si="5"/>
        <v>0</v>
      </c>
      <c r="M384" s="26" t="str">
        <f>IFERROR(__xludf.DUMMYFUNCTION("LET(
 id,A384,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L384=0,
  """",
  IFERROR(INDEX(incomplete,1),"""")"&amp;"
 )
)"),"")</f>
        <v/>
      </c>
      <c r="N384" s="26" t="str">
        <f t="array" ref="N384">IF(
 M384="",
 "",
 _xlfn.XLOOKUP(
  M384,
  tblTargets[TargetID],
  tblTargets[DisplayName],
  M384
 )
)</f>
        <v/>
      </c>
      <c r="O384" s="26" t="str">
        <f>IFERROR(__xludf.DUMMYFUNCTION("SWITCH(
 E384,
 ""BUILDING"",XLOOKUP(A384,tblBuildings[BuildingID],tblBuildings[costtext],""""),
 ""TECH"",XLOOKUP(A384,tblTechnologies[TechnologyID],tblTechnologies[costtext],""""),
 ""QUEST"",XLOOKUP(
  REGEXREPLACE(A384,""\.[^.]+$"",""""),
  tblQuests["&amp;"QuestID],
  tblQuests[Costtext],
  """"
 ),
 ""CITADEL"",XLOOKUP(A384,tblCitadel[CitadelID],tblCitadel[costtext],""""),
 ""COLLECTION"",XLOOKUP(A384,tblCollections[CollectionID],tblCollections[costtext],""""),
 ""CRAFTIFACT"",XLOOKUP(A384,tblCraftifacts[C"&amp;"raftifactID],tblCraftifacts[costtext],""""),
 """"
)"),"")</f>
        <v/>
      </c>
      <c r="P384" s="26" t="str">
        <f t="shared" si="6"/>
        <v/>
      </c>
      <c r="Q384" s="26" t="str">
        <f t="shared" si="7"/>
        <v>READY</v>
      </c>
      <c r="R384" s="26" t="str">
        <f t="array" ref="R384">IFERROR(
 _xlfn.XLOOKUP(
  A384,
  tblChecklist[TargetID],
  tblChecklist[PlayerSort],
  ""
 ),
 ""
)</f>
        <v/>
      </c>
      <c r="S384" s="26" t="str">
        <f>IFERROR(__xludf.DUMMYFUNCTION("LET(
 id,A384,
 successorIDs,
  IFERROR(
   UNIQUE(
    FILTER(
     {
      Dependencies!$A$2:$A$1000;
      QuestObjectives!$A$2:$A$1000
     },
     {
      Dependencies!$B$2:$B$1000;
      QuestObjectives!$E$2:$E$1000
     }=id
    )
   ),
   """"
  )"&amp;",
 names,
  MAP(
   successorIDs,
   LAMBDA(s,
    IF(
     s="""",
     """",
     XLOOKUP(
      s,
      $A$2:$A$1000,
      $B$2:$B$1000,
      s
     )
    )
   )
  ),
 IF(
  successorIDs="""",
  """",
  TEXTJOIN("", "",TRUE,names)
 )
)"),"Rock Garden Lv 1")</f>
        <v>Rock Garden Lv 1</v>
      </c>
      <c r="T384" s="26" t="str">
        <f t="array" ref="T384">_xlfn.XLOOKUP(
 A384,
 tblTargets[TargetID],
 tblTargets[CompletionMethod],
 ""
)</f>
        <v>PLAYER</v>
      </c>
      <c r="U384" s="84" t="b">
        <f>COUNTIF(tblCost[TargetID],A384)&gt;0</f>
        <v>0</v>
      </c>
      <c r="V384" s="85" t="str">
        <f t="array" ref="V384">IF(
 U384=FALSE,
 "",
 _xlfn.XLOOKUP(
  A384,
  tblCost[TargetID],
  tblCost[FundingPercent],
  ""
 )
)</f>
        <v/>
      </c>
      <c r="W384" s="26" t="str">
        <f t="array" ref="W384">IF(
 U384=FALSE,
 "",
 _xlfn.XLOOKUP(
  A384,
  tblCost[TargetID],
  tblCost[RemainingRequirements],
  ""
 )
)</f>
        <v/>
      </c>
      <c r="X384" s="45" t="str">
        <f t="array" ref="X384">IF(
 U384=FALSE,
 "N/A",
 _xlfn.XLOOKUP(
  A385,
  tblCost[TargetID],
  tblCost[TargetFunded],
  FALSE
 )
)</f>
        <v>N/A</v>
      </c>
      <c r="Y384" s="26" t="str">
        <f>IFERROR(__xludf.DUMMYFUNCTION("IFERROR(
 TEXTJOIN(
  "", "",
  TRUE,
  FILTER(
   'cost checklist'!$E$2:$E1000&amp;"": ""&amp;'cost checklist'!$G$2:$G1000,
   'cost checklist'!$B$2:$B1000=A384,
   'cost checklist'!$J$2:$J1000=FALSE
  )
 ),
 """"
)"),"")</f>
        <v/>
      </c>
      <c r="Z384" s="26" t="b">
        <f>IFERROR(__xludf.DUMMYFUNCTION("IF(
 AND(
  E384=""QUEST"",
  RIGHT(A384,9)="".accepted"",
  D384=TRUE
 ),
 XLOOKUP(
  REGEXREPLACE(A384,""\.accepted$"","""")&amp;"".finished"",
  $A$2:$A1000,
  $D$2:$D1000,
  TRUE
 )=FALSE,
 FALSE
)"),FALSE)</f>
        <v>0</v>
      </c>
      <c r="AA384" s="26" t="str">
        <f>IFERROR(__xludf.DUMMYFUNCTION("LET(
 id,A384,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5" ht="14.25" customHeight="1">
      <c r="A385" s="26" t="s">
        <v>1391</v>
      </c>
      <c r="B385" s="26" t="str">
        <f t="array" ref="B385">_xlfn.XLOOKUP(
 A385,
 tblTargets[TargetID],
 tblTargets[DisplayName],
 ""
)</f>
        <v>Character Level@14</v>
      </c>
      <c r="C385" s="26" t="str">
        <f t="shared" si="1"/>
        <v>READY</v>
      </c>
      <c r="D385" s="26" t="b">
        <f>IFERROR(__xludf.DUMMYFUNCTION("LET(
 id,A385,
 IF(
  F385=""CHARACTER"",
  LET(
   base,REGEXREPLACE(id,""@\d+$"",""""),
   required,VALUE(REGEXEXTRACT(id,""@(\d+)$"")),
   current,XLOOKUP(
    base,
    tblPlayer[PlayerStateID],
    tblPlayer[Value],
    0
   ),
   current&gt;=required
 "&amp;" ),
  IF(
   T385=""AUTO"",
   L385=0,
   COUNTIFS(
    tblChecklist[TargetID],id,
    tblChecklist[PlayerCompleted],TRUE
   )&gt;0
  )
 )
)"),FALSE)</f>
        <v>0</v>
      </c>
      <c r="E385" s="26" t="str">
        <f t="array" ref="E385">_xlfn.XLOOKUP(
 A385,
 tblTargets[TargetID],
 tblTargets[TargetType],
 ""
)</f>
        <v>STATE</v>
      </c>
      <c r="F385" s="26" t="str">
        <f t="array" ref="F385">_xlfn.XLOOKUP(
 A385,
 tblTargets[TargetID],
 tblTargets[StateType],
 ""
)</f>
        <v>CHARACTER</v>
      </c>
      <c r="G385" s="26">
        <f>LET(
 id,A385,
 depCount,COUNTIF(tblDependencies[TargetID],id),
 objCount,COUNTIF(tblQuestObjectives[QuestTargetID],id),
 depCount+objCount
)</f>
        <v>0</v>
      </c>
      <c r="H385" s="26">
        <f t="shared" si="2"/>
        <v>0</v>
      </c>
      <c r="I385" s="26">
        <f>IFERROR(__xludf.DUMMYFUNCTION("LET(
 id,A385,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5" s="26">
        <f t="shared" si="3"/>
        <v>0</v>
      </c>
      <c r="K385" s="26" t="b">
        <f t="shared" si="4"/>
        <v>1</v>
      </c>
      <c r="L385" s="26">
        <f t="shared" si="5"/>
        <v>0</v>
      </c>
      <c r="M385" s="26" t="str">
        <f>IFERROR(__xludf.DUMMYFUNCTION("LET(
 id,A385,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L385=0,
  """",
  IFERROR(INDEX(incomplete,1),"""")"&amp;"
 )
)"),"")</f>
        <v/>
      </c>
      <c r="N385" s="26" t="str">
        <f t="array" ref="N385">IF(
 M385="",
 "",
 _xlfn.XLOOKUP(
  M385,
  tblTargets[TargetID],
  tblTargets[DisplayName],
  M385
 )
)</f>
        <v/>
      </c>
      <c r="O385" s="26" t="str">
        <f>IFERROR(__xludf.DUMMYFUNCTION("SWITCH(
 E385,
 ""BUILDING"",XLOOKUP(A385,tblBuildings[BuildingID],tblBuildings[costtext],""""),
 ""TECH"",XLOOKUP(A385,tblTechnologies[TechnologyID],tblTechnologies[costtext],""""),
 ""QUEST"",XLOOKUP(
  REGEXREPLACE(A385,""\.[^.]+$"",""""),
  tblQuests["&amp;"QuestID],
  tblQuests[Costtext],
  """"
 ),
 ""CITADEL"",XLOOKUP(A385,tblCitadel[CitadelID],tblCitadel[costtext],""""),
 ""COLLECTION"",XLOOKUP(A385,tblCollections[CollectionID],tblCollections[costtext],""""),
 ""CRAFTIFACT"",XLOOKUP(A385,tblCraftifacts[C"&amp;"raftifactID],tblCraftifacts[costtext],""""),
 """"
)"),"")</f>
        <v/>
      </c>
      <c r="P385" s="26" t="str">
        <f t="shared" si="6"/>
        <v/>
      </c>
      <c r="Q385" s="26" t="str">
        <f t="shared" si="7"/>
        <v>READY</v>
      </c>
      <c r="R385" s="26" t="str">
        <f t="array" ref="R385">IFERROR(
 _xlfn.XLOOKUP(
  A385,
  tblChecklist[TargetID],
  tblChecklist[PlayerSort],
  ""
 ),
 ""
)</f>
        <v/>
      </c>
      <c r="S385" s="26" t="str">
        <f>IFERROR(__xludf.DUMMYFUNCTION("LET(
 id,A385,
 successorIDs,
  IFERROR(
   UNIQUE(
    FILTER(
     {
      Dependencies!$A$2:$A$1000;
      QuestObjectives!$A$2:$A$1000
     },
     {
      Dependencies!$B$2:$B$1000;
      QuestObjectives!$E$2:$E$1000
     }=id
    )
   ),
   """"
  )"&amp;",
 names,
  MAP(
   successorIDs,
   LAMBDA(s,
    IF(
     s="""",
     """",
     XLOOKUP(
      s,
      $A$2:$A$1000,
      $B$2:$B$1000,
      s
     )
    )
   )
  ),
 IF(
  successorIDs="""",
  """",
  TEXTJOIN("", "",TRUE,names)
 )
)"),"Pagoda Lv 4")</f>
        <v>Pagoda Lv 4</v>
      </c>
      <c r="T385" s="26" t="str">
        <f t="array" ref="T385">_xlfn.XLOOKUP(
 A385,
 tblTargets[TargetID],
 tblTargets[CompletionMethod],
 ""
)</f>
        <v>PLAYER</v>
      </c>
      <c r="U385" s="84" t="b">
        <f>COUNTIF(tblCost[TargetID],A385)&gt;0</f>
        <v>0</v>
      </c>
      <c r="V385" s="85" t="str">
        <f t="array" ref="V385">IF(
 U385=FALSE,
 "",
 _xlfn.XLOOKUP(
  A385,
  tblCost[TargetID],
  tblCost[FundingPercent],
  ""
 )
)</f>
        <v/>
      </c>
      <c r="W385" s="26" t="str">
        <f t="array" ref="W385">IF(
 U385=FALSE,
 "",
 _xlfn.XLOOKUP(
  A385,
  tblCost[TargetID],
  tblCost[RemainingRequirements],
  ""
 )
)</f>
        <v/>
      </c>
      <c r="X385" s="45" t="str">
        <f t="array" ref="X385">IF(
 U385=FALSE,
 "N/A",
 _xlfn.XLOOKUP(
  A386,
  tblCost[TargetID],
  tblCost[TargetFunded],
  FALSE
 )
)</f>
        <v>N/A</v>
      </c>
      <c r="Y385" s="26" t="str">
        <f>IFERROR(__xludf.DUMMYFUNCTION("IFERROR(
 TEXTJOIN(
  "", "",
  TRUE,
  FILTER(
   'cost checklist'!$E$2:$E1000&amp;"": ""&amp;'cost checklist'!$G$2:$G1000,
   'cost checklist'!$B$2:$B1000=A385,
   'cost checklist'!$J$2:$J1000=FALSE
  )
 ),
 """"
)"),"")</f>
        <v/>
      </c>
      <c r="Z385" s="26" t="b">
        <f>IFERROR(__xludf.DUMMYFUNCTION("IF(
 AND(
  E385=""QUEST"",
  RIGHT(A385,9)="".accepted"",
  D385=TRUE
 ),
 XLOOKUP(
  REGEXREPLACE(A385,""\.accepted$"","""")&amp;"".finished"",
  $A$2:$A1000,
  $D$2:$D1000,
  TRUE
 )=FALSE,
 FALSE
)"),FALSE)</f>
        <v>0</v>
      </c>
      <c r="AA385" s="26" t="str">
        <f>IFERROR(__xludf.DUMMYFUNCTION("LET(
 id,A385,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6" ht="14.25" customHeight="1">
      <c r="A386" s="26" t="s">
        <v>1393</v>
      </c>
      <c r="B386" s="26" t="str">
        <f t="array" ref="B386">_xlfn.XLOOKUP(
 A386,
 tblTargets[TargetID],
 tblTargets[DisplayName],
 ""
)</f>
        <v>Character Level@15</v>
      </c>
      <c r="C386" s="26" t="str">
        <f t="shared" si="1"/>
        <v>READY</v>
      </c>
      <c r="D386" s="26" t="b">
        <f>IFERROR(__xludf.DUMMYFUNCTION("LET(
 id,A386,
 IF(
  F386=""CHARACTER"",
  LET(
   base,REGEXREPLACE(id,""@\d+$"",""""),
   required,VALUE(REGEXEXTRACT(id,""@(\d+)$"")),
   current,XLOOKUP(
    base,
    tblPlayer[PlayerStateID],
    tblPlayer[Value],
    0
   ),
   current&gt;=required
 "&amp;" ),
  IF(
   T386=""AUTO"",
   L386=0,
   COUNTIFS(
    tblChecklist[TargetID],id,
    tblChecklist[PlayerCompleted],TRUE
   )&gt;0
  )
 )
)"),FALSE)</f>
        <v>0</v>
      </c>
      <c r="E386" s="26" t="str">
        <f t="array" ref="E386">_xlfn.XLOOKUP(
 A386,
 tblTargets[TargetID],
 tblTargets[TargetType],
 ""
)</f>
        <v>STATE</v>
      </c>
      <c r="F386" s="26" t="str">
        <f t="array" ref="F386">_xlfn.XLOOKUP(
 A386,
 tblTargets[TargetID],
 tblTargets[StateType],
 ""
)</f>
        <v>CHARACTER</v>
      </c>
      <c r="G386" s="26">
        <f>LET(
 id,A386,
 depCount,COUNTIF(tblDependencies[TargetID],id),
 objCount,COUNTIF(tblQuestObjectives[QuestTargetID],id),
 depCount+objCount
)</f>
        <v>0</v>
      </c>
      <c r="H386" s="26">
        <f t="shared" si="2"/>
        <v>0</v>
      </c>
      <c r="I386" s="26">
        <f>IFERROR(__xludf.DUMMYFUNCTION("LET(
 id,A386,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6" s="26">
        <f t="shared" si="3"/>
        <v>0</v>
      </c>
      <c r="K386" s="26" t="b">
        <f t="shared" si="4"/>
        <v>1</v>
      </c>
      <c r="L386" s="26">
        <f t="shared" si="5"/>
        <v>0</v>
      </c>
      <c r="M386" s="26" t="str">
        <f>IFERROR(__xludf.DUMMYFUNCTION("LET(
 id,A386,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L386=0,
  """",
  IFERROR(INDEX(incomplete,1),"""")"&amp;"
 )
)"),"")</f>
        <v/>
      </c>
      <c r="N386" s="26" t="str">
        <f t="array" ref="N386">IF(
 M386="",
 "",
 _xlfn.XLOOKUP(
  M386,
  tblTargets[TargetID],
  tblTargets[DisplayName],
  M386
 )
)</f>
        <v/>
      </c>
      <c r="O386" s="26" t="str">
        <f>IFERROR(__xludf.DUMMYFUNCTION("SWITCH(
 E386,
 ""BUILDING"",XLOOKUP(A386,tblBuildings[BuildingID],tblBuildings[costtext],""""),
 ""TECH"",XLOOKUP(A386,tblTechnologies[TechnologyID],tblTechnologies[costtext],""""),
 ""QUEST"",XLOOKUP(
  REGEXREPLACE(A386,""\.[^.]+$"",""""),
  tblQuests["&amp;"QuestID],
  tblQuests[Costtext],
  """"
 ),
 ""CITADEL"",XLOOKUP(A386,tblCitadel[CitadelID],tblCitadel[costtext],""""),
 ""COLLECTION"",XLOOKUP(A386,tblCollections[CollectionID],tblCollections[costtext],""""),
 ""CRAFTIFACT"",XLOOKUP(A386,tblCraftifacts[C"&amp;"raftifactID],tblCraftifacts[costtext],""""),
 """"
)"),"")</f>
        <v/>
      </c>
      <c r="P386" s="26" t="str">
        <f t="shared" si="6"/>
        <v/>
      </c>
      <c r="Q386" s="26" t="str">
        <f t="shared" si="7"/>
        <v>READY</v>
      </c>
      <c r="R386" s="26" t="str">
        <f t="array" ref="R386">IFERROR(
 _xlfn.XLOOKUP(
  A386,
  tblChecklist[TargetID],
  tblChecklist[PlayerSort],
  ""
 ),
 ""
)</f>
        <v/>
      </c>
      <c r="S386" s="26" t="str">
        <f>IFERROR(__xludf.DUMMYFUNCTION("LET(
 id,A386,
 successorIDs,
  IFERROR(
   UNIQUE(
    FILTER(
     {
      Dependencies!$A$2:$A$1000;
      QuestObjectives!$A$2:$A$1000
     },
     {
      Dependencies!$B$2:$B$1000;
      QuestObjectives!$E$2:$E$1000
     }=id
    )
   ),
   """"
  )"&amp;",
 names,
  MAP(
   successorIDs,
   LAMBDA(s,
    IF(
     s="""",
     """",
     XLOOKUP(
      s,
      $A$2:$A$1000,
      $B$2:$B$1000,
      s
     )
    )
   )
  ),
 IF(
  successorIDs="""",
  """",
  TEXTJOIN("", "",TRUE,names)
 )
)"),"Chicken Lv 1, Dairy Lv 1")</f>
        <v>Chicken Lv 1, Dairy Lv 1</v>
      </c>
      <c r="T386" s="26" t="str">
        <f t="array" ref="T386">_xlfn.XLOOKUP(
 A386,
 tblTargets[TargetID],
 tblTargets[CompletionMethod],
 ""
)</f>
        <v>PLAYER</v>
      </c>
      <c r="U386" s="84" t="b">
        <f>COUNTIF(tblCost[TargetID],A386)&gt;0</f>
        <v>0</v>
      </c>
      <c r="V386" s="85" t="str">
        <f t="array" ref="V386">IF(
 U386=FALSE,
 "",
 _xlfn.XLOOKUP(
  A386,
  tblCost[TargetID],
  tblCost[FundingPercent],
  ""
 )
)</f>
        <v/>
      </c>
      <c r="W386" s="26" t="str">
        <f t="array" ref="W386">IF(
 U386=FALSE,
 "",
 _xlfn.XLOOKUP(
  A386,
  tblCost[TargetID],
  tblCost[RemainingRequirements],
  ""
 )
)</f>
        <v/>
      </c>
      <c r="X386" s="45" t="str">
        <f t="array" ref="X386">IF(
 U386=FALSE,
 "N/A",
 _xlfn.XLOOKUP(
  A387,
  tblCost[TargetID],
  tblCost[TargetFunded],
  FALSE
 )
)</f>
        <v>N/A</v>
      </c>
      <c r="Y386" s="26" t="str">
        <f>IFERROR(__xludf.DUMMYFUNCTION("IFERROR(
 TEXTJOIN(
  "", "",
  TRUE,
  FILTER(
   'cost checklist'!$E$2:$E1000&amp;"": ""&amp;'cost checklist'!$G$2:$G1000,
   'cost checklist'!$B$2:$B1000=A386,
   'cost checklist'!$J$2:$J1000=FALSE
  )
 ),
 """"
)"),"")</f>
        <v/>
      </c>
      <c r="Z386" s="26" t="b">
        <f>IFERROR(__xludf.DUMMYFUNCTION("IF(
 AND(
  E386=""QUEST"",
  RIGHT(A386,9)="".accepted"",
  D386=TRUE
 ),
 XLOOKUP(
  REGEXREPLACE(A386,""\.accepted$"","""")&amp;"".finished"",
  $A$2:$A1000,
  $D$2:$D1000,
  TRUE
 )=FALSE,
 FALSE
)"),FALSE)</f>
        <v>0</v>
      </c>
      <c r="AA386" s="26" t="str">
        <f>IFERROR(__xludf.DUMMYFUNCTION("LET(
 id,A386,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7" ht="14.25" customHeight="1">
      <c r="A387" s="26" t="s">
        <v>1395</v>
      </c>
      <c r="B387" s="26" t="str">
        <f t="array" ref="B387">_xlfn.XLOOKUP(
 A387,
 tblTargets[TargetID],
 tblTargets[DisplayName],
 ""
)</f>
        <v>Character Level@18</v>
      </c>
      <c r="C387" s="26" t="str">
        <f t="shared" si="1"/>
        <v>READY</v>
      </c>
      <c r="D387" s="26" t="b">
        <f>IFERROR(__xludf.DUMMYFUNCTION("LET(
 id,A387,
 IF(
  F387=""CHARACTER"",
  LET(
   base,REGEXREPLACE(id,""@\d+$"",""""),
   required,VALUE(REGEXEXTRACT(id,""@(\d+)$"")),
   current,XLOOKUP(
    base,
    tblPlayer[PlayerStateID],
    tblPlayer[Value],
    0
   ),
   current&gt;=required
 "&amp;" ),
  IF(
   T387=""AUTO"",
   L387=0,
   COUNTIFS(
    tblChecklist[TargetID],id,
    tblChecklist[PlayerCompleted],TRUE
   )&gt;0
  )
 )
)"),FALSE)</f>
        <v>0</v>
      </c>
      <c r="E387" s="26" t="str">
        <f t="array" ref="E387">_xlfn.XLOOKUP(
 A387,
 tblTargets[TargetID],
 tblTargets[TargetType],
 ""
)</f>
        <v>STATE</v>
      </c>
      <c r="F387" s="26" t="str">
        <f t="array" ref="F387">_xlfn.XLOOKUP(
 A387,
 tblTargets[TargetID],
 tblTargets[StateType],
 ""
)</f>
        <v>CHARACTER</v>
      </c>
      <c r="G387" s="26">
        <f>LET(
 id,A387,
 depCount,COUNTIF(tblDependencies[TargetID],id),
 objCount,COUNTIF(tblQuestObjectives[QuestTargetID],id),
 depCount+objCount
)</f>
        <v>0</v>
      </c>
      <c r="H387" s="26">
        <f t="shared" si="2"/>
        <v>0</v>
      </c>
      <c r="I387" s="26">
        <f>IFERROR(__xludf.DUMMYFUNCTION("LET(
 id,A387,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7" s="26">
        <f t="shared" si="3"/>
        <v>0</v>
      </c>
      <c r="K387" s="26" t="b">
        <f t="shared" si="4"/>
        <v>1</v>
      </c>
      <c r="L387" s="26">
        <f t="shared" si="5"/>
        <v>0</v>
      </c>
      <c r="M387" s="26" t="str">
        <f>IFERROR(__xludf.DUMMYFUNCTION("LET(
 id,A387,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L387=0,
  """",
  IFERROR(INDEX(incomplete,1),"""")"&amp;"
 )
)"),"")</f>
        <v/>
      </c>
      <c r="N387" s="26" t="str">
        <f t="array" ref="N387">IF(
 M387="",
 "",
 _xlfn.XLOOKUP(
  M387,
  tblTargets[TargetID],
  tblTargets[DisplayName],
  M387
 )
)</f>
        <v/>
      </c>
      <c r="O387" s="26" t="str">
        <f>IFERROR(__xludf.DUMMYFUNCTION("SWITCH(
 E387,
 ""BUILDING"",XLOOKUP(A387,tblBuildings[BuildingID],tblBuildings[costtext],""""),
 ""TECH"",XLOOKUP(A387,tblTechnologies[TechnologyID],tblTechnologies[costtext],""""),
 ""QUEST"",XLOOKUP(
  REGEXREPLACE(A387,""\.[^.]+$"",""""),
  tblQuests["&amp;"QuestID],
  tblQuests[Costtext],
  """"
 ),
 ""CITADEL"",XLOOKUP(A387,tblCitadel[CitadelID],tblCitadel[costtext],""""),
 ""COLLECTION"",XLOOKUP(A387,tblCollections[CollectionID],tblCollections[costtext],""""),
 ""CRAFTIFACT"",XLOOKUP(A387,tblCraftifacts[C"&amp;"raftifactID],tblCraftifacts[costtext],""""),
 """"
)"),"")</f>
        <v/>
      </c>
      <c r="P387" s="26" t="str">
        <f t="shared" si="6"/>
        <v/>
      </c>
      <c r="Q387" s="26" t="str">
        <f t="shared" si="7"/>
        <v>READY</v>
      </c>
      <c r="R387" s="26" t="str">
        <f t="array" ref="R387">IFERROR(
 _xlfn.XLOOKUP(
  A387,
  tblChecklist[TargetID],
  tblChecklist[PlayerSort],
  ""
 ),
 ""
)</f>
        <v/>
      </c>
      <c r="S387" s="26" t="str">
        <f>IFERROR(__xludf.DUMMYFUNCTION("LET(
 id,A387,
 successorIDs,
  IFERROR(
   UNIQUE(
    FILTER(
     {
      Dependencies!$A$2:$A$1000;
      QuestObjectives!$A$2:$A$1000
     },
     {
      Dependencies!$B$2:$B$1000;
      QuestObjectives!$E$2:$E$1000
     }=id
    )
   ),
   """"
  )"&amp;",
 names,
  MAP(
   successorIDs,
   LAMBDA(s,
    IF(
     s="""",
     """",
     XLOOKUP(
      s,
      $A$2:$A$1000,
      $B$2:$B$1000,
      s
     )
    )
   )
  ),
 IF(
  successorIDs="""",
  """",
  TEXTJOIN("", "",TRUE,names)
 )
)"),"Pagoda Lv 5")</f>
        <v>Pagoda Lv 5</v>
      </c>
      <c r="T387" s="26" t="str">
        <f t="array" ref="T387">_xlfn.XLOOKUP(
 A387,
 tblTargets[TargetID],
 tblTargets[CompletionMethod],
 ""
)</f>
        <v>PLAYER</v>
      </c>
      <c r="U387" s="84" t="b">
        <f>COUNTIF(tblCost[TargetID],A387)&gt;0</f>
        <v>0</v>
      </c>
      <c r="V387" s="85" t="str">
        <f t="array" ref="V387">IF(
 U387=FALSE,
 "",
 _xlfn.XLOOKUP(
  A387,
  tblCost[TargetID],
  tblCost[FundingPercent],
  ""
 )
)</f>
        <v/>
      </c>
      <c r="W387" s="26" t="str">
        <f t="array" ref="W387">IF(
 U387=FALSE,
 "",
 _xlfn.XLOOKUP(
  A387,
  tblCost[TargetID],
  tblCost[RemainingRequirements],
  ""
 )
)</f>
        <v/>
      </c>
      <c r="X387" s="45" t="str">
        <f t="array" ref="X387">IF(
 U387=FALSE,
 "N/A",
 _xlfn.XLOOKUP(
  A388,
  tblCost[TargetID],
  tblCost[TargetFunded],
  FALSE
 )
)</f>
        <v>N/A</v>
      </c>
      <c r="Y387" s="26" t="str">
        <f>IFERROR(__xludf.DUMMYFUNCTION("IFERROR(
 TEXTJOIN(
  "", "",
  TRUE,
  FILTER(
   'cost checklist'!$E$2:$E1000&amp;"": ""&amp;'cost checklist'!$G$2:$G1000,
   'cost checklist'!$B$2:$B1000=A387,
   'cost checklist'!$J$2:$J1000=FALSE
  )
 ),
 """"
)"),"")</f>
        <v/>
      </c>
      <c r="Z387" s="26" t="b">
        <f>IFERROR(__xludf.DUMMYFUNCTION("IF(
 AND(
  E387=""QUEST"",
  RIGHT(A387,9)="".accepted"",
  D387=TRUE
 ),
 XLOOKUP(
  REGEXREPLACE(A387,""\.accepted$"","""")&amp;"".finished"",
  $A$2:$A1000,
  $D$2:$D1000,
  TRUE
 )=FALSE,
 FALSE
)"),FALSE)</f>
        <v>0</v>
      </c>
      <c r="AA387" s="26" t="str">
        <f>IFERROR(__xludf.DUMMYFUNCTION("LET(
 id,A387,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8" ht="14.25" customHeight="1">
      <c r="A388" s="26" t="s">
        <v>1397</v>
      </c>
      <c r="B388" s="26" t="str">
        <f t="array" ref="B388">_xlfn.XLOOKUP(
 A388,
 tblTargets[TargetID],
 tblTargets[DisplayName],
 ""
)</f>
        <v>Character Level@2</v>
      </c>
      <c r="C388" s="26" t="str">
        <f t="shared" si="1"/>
        <v>READY</v>
      </c>
      <c r="D388" s="26" t="b">
        <f>IFERROR(__xludf.DUMMYFUNCTION("LET(
 id,A388,
 IF(
  F388=""CHARACTER"",
  LET(
   base,REGEXREPLACE(id,""@\d+$"",""""),
   required,VALUE(REGEXEXTRACT(id,""@(\d+)$"")),
   current,XLOOKUP(
    base,
    tblPlayer[PlayerStateID],
    tblPlayer[Value],
    0
   ),
   current&gt;=required
 "&amp;" ),
  IF(
   T388=""AUTO"",
   L388=0,
   COUNTIFS(
    tblChecklist[TargetID],id,
    tblChecklist[PlayerCompleted],TRUE
   )&gt;0
  )
 )
)"),FALSE)</f>
        <v>0</v>
      </c>
      <c r="E388" s="26" t="str">
        <f t="array" ref="E388">_xlfn.XLOOKUP(
 A388,
 tblTargets[TargetID],
 tblTargets[TargetType],
 ""
)</f>
        <v>STATE</v>
      </c>
      <c r="F388" s="26" t="str">
        <f t="array" ref="F388">_xlfn.XLOOKUP(
 A388,
 tblTargets[TargetID],
 tblTargets[StateType],
 ""
)</f>
        <v>CHARACTER</v>
      </c>
      <c r="G388" s="26">
        <f>LET(
 id,A388,
 depCount,COUNTIF(tblDependencies[TargetID],id),
 objCount,COUNTIF(tblQuestObjectives[QuestTargetID],id),
 depCount+objCount
)</f>
        <v>0</v>
      </c>
      <c r="H388" s="26">
        <f t="shared" si="2"/>
        <v>0</v>
      </c>
      <c r="I388" s="26">
        <f>IFERROR(__xludf.DUMMYFUNCTION("LET(
 id,A388,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8" s="26">
        <f t="shared" si="3"/>
        <v>0</v>
      </c>
      <c r="K388" s="26" t="b">
        <f t="shared" si="4"/>
        <v>1</v>
      </c>
      <c r="L388" s="26">
        <f t="shared" si="5"/>
        <v>0</v>
      </c>
      <c r="M388" s="26" t="str">
        <f>IFERROR(__xludf.DUMMYFUNCTION("LET(
 id,A388,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L388=0,
  """",
  IFERROR(INDEX(incomplete,1),"""")"&amp;"
 )
)"),"")</f>
        <v/>
      </c>
      <c r="N388" s="26" t="str">
        <f t="array" ref="N388">IF(
 M388="",
 "",
 _xlfn.XLOOKUP(
  M388,
  tblTargets[TargetID],
  tblTargets[DisplayName],
  M388
 )
)</f>
        <v/>
      </c>
      <c r="O388" s="26" t="str">
        <f>IFERROR(__xludf.DUMMYFUNCTION("SWITCH(
 E388,
 ""BUILDING"",XLOOKUP(A388,tblBuildings[BuildingID],tblBuildings[costtext],""""),
 ""TECH"",XLOOKUP(A388,tblTechnologies[TechnologyID],tblTechnologies[costtext],""""),
 ""QUEST"",XLOOKUP(
  REGEXREPLACE(A388,""\.[^.]+$"",""""),
  tblQuests["&amp;"QuestID],
  tblQuests[Costtext],
  """"
 ),
 ""CITADEL"",XLOOKUP(A388,tblCitadel[CitadelID],tblCitadel[costtext],""""),
 ""COLLECTION"",XLOOKUP(A388,tblCollections[CollectionID],tblCollections[costtext],""""),
 ""CRAFTIFACT"",XLOOKUP(A388,tblCraftifacts[C"&amp;"raftifactID],tblCraftifacts[costtext],""""),
 """"
)"),"")</f>
        <v/>
      </c>
      <c r="P388" s="26" t="str">
        <f t="shared" si="6"/>
        <v/>
      </c>
      <c r="Q388" s="26" t="str">
        <f t="shared" si="7"/>
        <v>READY</v>
      </c>
      <c r="R388" s="26" t="str">
        <f t="array" ref="R388">IFERROR(
 _xlfn.XLOOKUP(
  A388,
  tblChecklist[TargetID],
  tblChecklist[PlayerSort],
  ""
 ),
 ""
)</f>
        <v/>
      </c>
      <c r="S388" s="26" t="str">
        <f>IFERROR(__xludf.DUMMYFUNCTION("LET(
 id,A388,
 successorIDs,
  IFERROR(
   UNIQUE(
    FILTER(
     {
      Dependencies!$A$2:$A$1000;
      QuestObjectives!$A$2:$A$1000
     },
     {
      Dependencies!$B$2:$B$1000;
      QuestObjectives!$E$2:$E$1000
     }=id
    )
   ),
   """"
  )"&amp;",
 names,
  MAP(
   successorIDs,
   LAMBDA(s,
    IF(
     s="""",
     """",
     XLOOKUP(
      s,
      $A$2:$A$1000,
      $B$2:$B$1000,
      s
     )
    )
   )
  ),
 IF(
  successorIDs="""",
  """",
  TEXTJOIN("", "",TRUE,names)
 )
)"),"Workshop Lv 1")</f>
        <v>Workshop Lv 1</v>
      </c>
      <c r="T388" s="26" t="str">
        <f t="array" ref="T388">_xlfn.XLOOKUP(
 A388,
 tblTargets[TargetID],
 tblTargets[CompletionMethod],
 ""
)</f>
        <v>PLAYER</v>
      </c>
      <c r="U388" s="84" t="b">
        <f>COUNTIF(tblCost[TargetID],A388)&gt;0</f>
        <v>0</v>
      </c>
      <c r="V388" s="85" t="str">
        <f t="array" ref="V388">IF(
 U388=FALSE,
 "",
 _xlfn.XLOOKUP(
  A388,
  tblCost[TargetID],
  tblCost[FundingPercent],
  ""
 )
)</f>
        <v/>
      </c>
      <c r="W388" s="26" t="str">
        <f t="array" ref="W388">IF(
 U388=FALSE,
 "",
 _xlfn.XLOOKUP(
  A388,
  tblCost[TargetID],
  tblCost[RemainingRequirements],
  ""
 )
)</f>
        <v/>
      </c>
      <c r="X388" s="45" t="str">
        <f t="array" ref="X388">IF(
 U388=FALSE,
 "N/A",
 _xlfn.XLOOKUP(
  A389,
  tblCost[TargetID],
  tblCost[TargetFunded],
  FALSE
 )
)</f>
        <v>N/A</v>
      </c>
      <c r="Y388" s="26" t="str">
        <f>IFERROR(__xludf.DUMMYFUNCTION("IFERROR(
 TEXTJOIN(
  "", "",
  TRUE,
  FILTER(
   'cost checklist'!$E$2:$E1000&amp;"": ""&amp;'cost checklist'!$G$2:$G1000,
   'cost checklist'!$B$2:$B1000=A388,
   'cost checklist'!$J$2:$J1000=FALSE
  )
 ),
 """"
)"),"")</f>
        <v/>
      </c>
      <c r="Z388" s="26" t="b">
        <f>IFERROR(__xludf.DUMMYFUNCTION("IF(
 AND(
  E388=""QUEST"",
  RIGHT(A388,9)="".accepted"",
  D388=TRUE
 ),
 XLOOKUP(
  REGEXREPLACE(A388,""\.accepted$"","""")&amp;"".finished"",
  $A$2:$A1000,
  $D$2:$D1000,
  TRUE
 )=FALSE,
 FALSE
)"),FALSE)</f>
        <v>0</v>
      </c>
      <c r="AA388" s="26" t="str">
        <f>IFERROR(__xludf.DUMMYFUNCTION("LET(
 id,A388,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89" ht="14.25" customHeight="1">
      <c r="A389" s="26" t="s">
        <v>1400</v>
      </c>
      <c r="B389" s="26" t="str">
        <f t="array" ref="B389">_xlfn.XLOOKUP(
 A389,
 tblTargets[TargetID],
 tblTargets[DisplayName],
 ""
)</f>
        <v>Character Level@20</v>
      </c>
      <c r="C389" s="26" t="str">
        <f t="shared" si="1"/>
        <v>READY</v>
      </c>
      <c r="D389" s="26" t="b">
        <f>IFERROR(__xludf.DUMMYFUNCTION("LET(
 id,A389,
 IF(
  F389=""CHARACTER"",
  LET(
   base,REGEXREPLACE(id,""@\d+$"",""""),
   required,VALUE(REGEXEXTRACT(id,""@(\d+)$"")),
   current,XLOOKUP(
    base,
    tblPlayer[PlayerStateID],
    tblPlayer[Value],
    0
   ),
   current&gt;=required
 "&amp;" ),
  IF(
   T389=""AUTO"",
   L389=0,
   COUNTIFS(
    tblChecklist[TargetID],id,
    tblChecklist[PlayerCompleted],TRUE
   )&gt;0
  )
 )
)"),FALSE)</f>
        <v>0</v>
      </c>
      <c r="E389" s="26" t="str">
        <f t="array" ref="E389">_xlfn.XLOOKUP(
 A389,
 tblTargets[TargetID],
 tblTargets[TargetType],
 ""
)</f>
        <v>STATE</v>
      </c>
      <c r="F389" s="26" t="str">
        <f t="array" ref="F389">_xlfn.XLOOKUP(
 A389,
 tblTargets[TargetID],
 tblTargets[StateType],
 ""
)</f>
        <v>CHARACTER</v>
      </c>
      <c r="G389" s="26">
        <f>LET(
 id,A389,
 depCount,COUNTIF(tblDependencies[TargetID],id),
 objCount,COUNTIF(tblQuestObjectives[QuestTargetID],id),
 depCount+objCount
)</f>
        <v>0</v>
      </c>
      <c r="H389" s="26">
        <f t="shared" si="2"/>
        <v>0</v>
      </c>
      <c r="I389" s="26">
        <f>IFERROR(__xludf.DUMMYFUNCTION("LET(
 id,A389,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89" s="26">
        <f t="shared" si="3"/>
        <v>0</v>
      </c>
      <c r="K389" s="26" t="b">
        <f t="shared" si="4"/>
        <v>1</v>
      </c>
      <c r="L389" s="26">
        <f t="shared" si="5"/>
        <v>0</v>
      </c>
      <c r="M389" s="26" t="str">
        <f>IFERROR(__xludf.DUMMYFUNCTION("LET(
 id,A389,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L389=0,
  """",
  IFERROR(INDEX(incomplete,1),"""")"&amp;"
 )
)"),"")</f>
        <v/>
      </c>
      <c r="N389" s="26" t="str">
        <f t="array" ref="N389">IF(
 M389="",
 "",
 _xlfn.XLOOKUP(
  M389,
  tblTargets[TargetID],
  tblTargets[DisplayName],
  M389
 )
)</f>
        <v/>
      </c>
      <c r="O389" s="26" t="str">
        <f>IFERROR(__xludf.DUMMYFUNCTION("SWITCH(
 E389,
 ""BUILDING"",XLOOKUP(A389,tblBuildings[BuildingID],tblBuildings[costtext],""""),
 ""TECH"",XLOOKUP(A389,tblTechnologies[TechnologyID],tblTechnologies[costtext],""""),
 ""QUEST"",XLOOKUP(
  REGEXREPLACE(A389,""\.[^.]+$"",""""),
  tblQuests["&amp;"QuestID],
  tblQuests[Costtext],
  """"
 ),
 ""CITADEL"",XLOOKUP(A389,tblCitadel[CitadelID],tblCitadel[costtext],""""),
 ""COLLECTION"",XLOOKUP(A389,tblCollections[CollectionID],tblCollections[costtext],""""),
 ""CRAFTIFACT"",XLOOKUP(A389,tblCraftifacts[C"&amp;"raftifactID],tblCraftifacts[costtext],""""),
 """"
)"),"")</f>
        <v/>
      </c>
      <c r="P389" s="26" t="str">
        <f t="shared" si="6"/>
        <v/>
      </c>
      <c r="Q389" s="26" t="str">
        <f t="shared" si="7"/>
        <v>READY</v>
      </c>
      <c r="R389" s="26" t="str">
        <f t="array" ref="R389">IFERROR(
 _xlfn.XLOOKUP(
  A389,
  tblChecklist[TargetID],
  tblChecklist[PlayerSort],
  ""
 ),
 ""
)</f>
        <v/>
      </c>
      <c r="S389" s="26" t="str">
        <f>IFERROR(__xludf.DUMMYFUNCTION("LET(
 id,A389,
 successorIDs,
  IFERROR(
   UNIQUE(
    FILTER(
     {
      Dependencies!$A$2:$A$1000;
      QuestObjectives!$A$2:$A$1000
     },
     {
      Dependencies!$B$2:$B$1000;
      QuestObjectives!$E$2:$E$1000
     }=id
    )
   ),
   """"
  )"&amp;",
 names,
  MAP(
   successorIDs,
   LAMBDA(s,
    IF(
     s="""",
     """",
     XLOOKUP(
      s,
      $A$2:$A$1000,
      $B$2:$B$1000,
      s
     )
    )
   )
  ),
 IF(
  successorIDs="""",
  """",
  TEXTJOIN("", "",TRUE,names)
 )
)"),"Dungeon Lv 2, Onsen Lv 1")</f>
        <v>Dungeon Lv 2, Onsen Lv 1</v>
      </c>
      <c r="T389" s="26" t="str">
        <f t="array" ref="T389">_xlfn.XLOOKUP(
 A389,
 tblTargets[TargetID],
 tblTargets[CompletionMethod],
 ""
)</f>
        <v>PLAYER</v>
      </c>
      <c r="U389" s="84" t="b">
        <f>COUNTIF(tblCost[TargetID],A389)&gt;0</f>
        <v>0</v>
      </c>
      <c r="V389" s="85" t="str">
        <f t="array" ref="V389">IF(
 U389=FALSE,
 "",
 _xlfn.XLOOKUP(
  A389,
  tblCost[TargetID],
  tblCost[FundingPercent],
  ""
 )
)</f>
        <v/>
      </c>
      <c r="W389" s="26" t="str">
        <f t="array" ref="W389">IF(
 U389=FALSE,
 "",
 _xlfn.XLOOKUP(
  A389,
  tblCost[TargetID],
  tblCost[RemainingRequirements],
  ""
 )
)</f>
        <v/>
      </c>
      <c r="X389" s="45" t="str">
        <f t="array" ref="X389">IF(
 U389=FALSE,
 "N/A",
 _xlfn.XLOOKUP(
  A390,
  tblCost[TargetID],
  tblCost[TargetFunded],
  FALSE
 )
)</f>
        <v>N/A</v>
      </c>
      <c r="Y389" s="26" t="str">
        <f>IFERROR(__xludf.DUMMYFUNCTION("IFERROR(
 TEXTJOIN(
  "", "",
  TRUE,
  FILTER(
   'cost checklist'!$E$2:$E1000&amp;"": ""&amp;'cost checklist'!$G$2:$G1000,
   'cost checklist'!$B$2:$B1000=A389,
   'cost checklist'!$J$2:$J1000=FALSE
  )
 ),
 """"
)"),"")</f>
        <v/>
      </c>
      <c r="Z389" s="26" t="b">
        <f>IFERROR(__xludf.DUMMYFUNCTION("IF(
 AND(
  E389=""QUEST"",
  RIGHT(A389,9)="".accepted"",
  D389=TRUE
 ),
 XLOOKUP(
  REGEXREPLACE(A389,""\.accepted$"","""")&amp;"".finished"",
  $A$2:$A1000,
  $D$2:$D1000,
  TRUE
 )=FALSE,
 FALSE
)"),FALSE)</f>
        <v>0</v>
      </c>
      <c r="AA389" s="26" t="str">
        <f>IFERROR(__xludf.DUMMYFUNCTION("LET(
 id,A389,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0" ht="14.25" customHeight="1">
      <c r="A390" s="26" t="s">
        <v>1402</v>
      </c>
      <c r="B390" s="26" t="str">
        <f t="array" ref="B390">_xlfn.XLOOKUP(
 A390,
 tblTargets[TargetID],
 tblTargets[DisplayName],
 ""
)</f>
        <v>Character Level@21</v>
      </c>
      <c r="C390" s="26" t="str">
        <f t="shared" si="1"/>
        <v>READY</v>
      </c>
      <c r="D390" s="26" t="b">
        <f>IFERROR(__xludf.DUMMYFUNCTION("LET(
 id,A390,
 IF(
  F390=""CHARACTER"",
  LET(
   base,REGEXREPLACE(id,""@\d+$"",""""),
   required,VALUE(REGEXEXTRACT(id,""@(\d+)$"")),
   current,XLOOKUP(
    base,
    tblPlayer[PlayerStateID],
    tblPlayer[Value],
    0
   ),
   current&gt;=required
 "&amp;" ),
  IF(
   T390=""AUTO"",
   L390=0,
   COUNTIFS(
    tblChecklist[TargetID],id,
    tblChecklist[PlayerCompleted],TRUE
   )&gt;0
  )
 )
)"),FALSE)</f>
        <v>0</v>
      </c>
      <c r="E390" s="26" t="str">
        <f t="array" ref="E390">_xlfn.XLOOKUP(
 A390,
 tblTargets[TargetID],
 tblTargets[TargetType],
 ""
)</f>
        <v>STATE</v>
      </c>
      <c r="F390" s="26" t="str">
        <f t="array" ref="F390">_xlfn.XLOOKUP(
 A390,
 tblTargets[TargetID],
 tblTargets[StateType],
 ""
)</f>
        <v>CHARACTER</v>
      </c>
      <c r="G390" s="26">
        <f>LET(
 id,A390,
 depCount,COUNTIF(tblDependencies[TargetID],id),
 objCount,COUNTIF(tblQuestObjectives[QuestTargetID],id),
 depCount+objCount
)</f>
        <v>0</v>
      </c>
      <c r="H390" s="26">
        <f t="shared" si="2"/>
        <v>0</v>
      </c>
      <c r="I390" s="26">
        <f>IFERROR(__xludf.DUMMYFUNCTION("LET(
 id,A390,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0" s="26">
        <f t="shared" si="3"/>
        <v>0</v>
      </c>
      <c r="K390" s="26" t="b">
        <f t="shared" si="4"/>
        <v>1</v>
      </c>
      <c r="L390" s="26">
        <f t="shared" si="5"/>
        <v>0</v>
      </c>
      <c r="M390" s="26" t="str">
        <f>IFERROR(__xludf.DUMMYFUNCTION("LET(
 id,A390,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L390=0,
  """",
  IFERROR(INDEX(incomplete,1),"""")"&amp;"
 )
)"),"")</f>
        <v/>
      </c>
      <c r="N390" s="26" t="str">
        <f t="array" ref="N390">IF(
 M390="",
 "",
 _xlfn.XLOOKUP(
  M390,
  tblTargets[TargetID],
  tblTargets[DisplayName],
  M390
 )
)</f>
        <v/>
      </c>
      <c r="O390" s="26" t="str">
        <f>IFERROR(__xludf.DUMMYFUNCTION("SWITCH(
 E390,
 ""BUILDING"",XLOOKUP(A390,tblBuildings[BuildingID],tblBuildings[costtext],""""),
 ""TECH"",XLOOKUP(A390,tblTechnologies[TechnologyID],tblTechnologies[costtext],""""),
 ""QUEST"",XLOOKUP(
  REGEXREPLACE(A390,""\.[^.]+$"",""""),
  tblQuests["&amp;"QuestID],
  tblQuests[Costtext],
  """"
 ),
 ""CITADEL"",XLOOKUP(A390,tblCitadel[CitadelID],tblCitadel[costtext],""""),
 ""COLLECTION"",XLOOKUP(A390,tblCollections[CollectionID],tblCollections[costtext],""""),
 ""CRAFTIFACT"",XLOOKUP(A390,tblCraftifacts[C"&amp;"raftifactID],tblCraftifacts[costtext],""""),
 """"
)"),"")</f>
        <v/>
      </c>
      <c r="P390" s="26" t="str">
        <f t="shared" si="6"/>
        <v/>
      </c>
      <c r="Q390" s="26" t="str">
        <f t="shared" si="7"/>
        <v>READY</v>
      </c>
      <c r="R390" s="26" t="str">
        <f t="array" ref="R390">IFERROR(
 _xlfn.XLOOKUP(
  A390,
  tblChecklist[TargetID],
  tblChecklist[PlayerSort],
  ""
 ),
 ""
)</f>
        <v/>
      </c>
      <c r="S390" s="26" t="str">
        <f>IFERROR(__xludf.DUMMYFUNCTION("LET(
 id,A390,
 successorIDs,
  IFERROR(
   UNIQUE(
    FILTER(
     {
      Dependencies!$A$2:$A$1000;
      QuestObjectives!$A$2:$A$1000
     },
     {
      Dependencies!$B$2:$B$1000;
      QuestObjectives!$E$2:$E$1000
     }=id
    )
   ),
   """"
  )"&amp;",
 names,
  MAP(
   successorIDs,
   LAMBDA(s,
    IF(
     s="""",
     """",
     XLOOKUP(
      s,
      $A$2:$A$1000,
      $B$2:$B$1000,
      s
     )
    )
   )
  ),
 IF(
  successorIDs="""",
  """",
  TEXTJOIN("", "",TRUE,names)
 )
)"),"Bonsai Lv 1")</f>
        <v>Bonsai Lv 1</v>
      </c>
      <c r="T390" s="26" t="str">
        <f t="array" ref="T390">_xlfn.XLOOKUP(
 A390,
 tblTargets[TargetID],
 tblTargets[CompletionMethod],
 ""
)</f>
        <v>PLAYER</v>
      </c>
      <c r="U390" s="84" t="b">
        <f>COUNTIF(tblCost[TargetID],A390)&gt;0</f>
        <v>0</v>
      </c>
      <c r="V390" s="85" t="str">
        <f t="array" ref="V390">IF(
 U390=FALSE,
 "",
 _xlfn.XLOOKUP(
  A390,
  tblCost[TargetID],
  tblCost[FundingPercent],
  ""
 )
)</f>
        <v/>
      </c>
      <c r="W390" s="26" t="str">
        <f t="array" ref="W390">IF(
 U390=FALSE,
 "",
 _xlfn.XLOOKUP(
  A390,
  tblCost[TargetID],
  tblCost[RemainingRequirements],
  ""
 )
)</f>
        <v/>
      </c>
      <c r="X390" s="45" t="str">
        <f t="array" ref="X390">IF(
 U390=FALSE,
 "N/A",
 _xlfn.XLOOKUP(
  A391,
  tblCost[TargetID],
  tblCost[TargetFunded],
  FALSE
 )
)</f>
        <v>N/A</v>
      </c>
      <c r="Y390" s="26" t="str">
        <f>IFERROR(__xludf.DUMMYFUNCTION("IFERROR(
 TEXTJOIN(
  "", "",
  TRUE,
  FILTER(
   'cost checklist'!$E$2:$E1000&amp;"": ""&amp;'cost checklist'!$G$2:$G1000,
   'cost checklist'!$B$2:$B1000=A390,
   'cost checklist'!$J$2:$J1000=FALSE
  )
 ),
 """"
)"),"")</f>
        <v/>
      </c>
      <c r="Z390" s="26" t="b">
        <f>IFERROR(__xludf.DUMMYFUNCTION("IF(
 AND(
  E390=""QUEST"",
  RIGHT(A390,9)="".accepted"",
  D390=TRUE
 ),
 XLOOKUP(
  REGEXREPLACE(A390,""\.accepted$"","""")&amp;"".finished"",
  $A$2:$A1000,
  $D$2:$D1000,
  TRUE
 )=FALSE,
 FALSE
)"),FALSE)</f>
        <v>0</v>
      </c>
      <c r="AA390" s="26" t="str">
        <f>IFERROR(__xludf.DUMMYFUNCTION("LET(
 id,A390,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1" ht="14.25" customHeight="1">
      <c r="A391" s="26" t="s">
        <v>1404</v>
      </c>
      <c r="B391" s="26" t="str">
        <f t="array" ref="B391">_xlfn.XLOOKUP(
 A391,
 tblTargets[TargetID],
 tblTargets[DisplayName],
 ""
)</f>
        <v>Character Level@22</v>
      </c>
      <c r="C391" s="26" t="str">
        <f t="shared" si="1"/>
        <v>READY</v>
      </c>
      <c r="D391" s="26" t="b">
        <f>IFERROR(__xludf.DUMMYFUNCTION("LET(
 id,A391,
 IF(
  F391=""CHARACTER"",
  LET(
   base,REGEXREPLACE(id,""@\d+$"",""""),
   required,VALUE(REGEXEXTRACT(id,""@(\d+)$"")),
   current,XLOOKUP(
    base,
    tblPlayer[PlayerStateID],
    tblPlayer[Value],
    0
   ),
   current&gt;=required
 "&amp;" ),
  IF(
   T391=""AUTO"",
   L391=0,
   COUNTIFS(
    tblChecklist[TargetID],id,
    tblChecklist[PlayerCompleted],TRUE
   )&gt;0
  )
 )
)"),FALSE)</f>
        <v>0</v>
      </c>
      <c r="E391" s="26" t="str">
        <f t="array" ref="E391">_xlfn.XLOOKUP(
 A391,
 tblTargets[TargetID],
 tblTargets[TargetType],
 ""
)</f>
        <v>STATE</v>
      </c>
      <c r="F391" s="26" t="str">
        <f t="array" ref="F391">_xlfn.XLOOKUP(
 A391,
 tblTargets[TargetID],
 tblTargets[StateType],
 ""
)</f>
        <v>CHARACTER</v>
      </c>
      <c r="G391" s="26">
        <f>LET(
 id,A391,
 depCount,COUNTIF(tblDependencies[TargetID],id),
 objCount,COUNTIF(tblQuestObjectives[QuestTargetID],id),
 depCount+objCount
)</f>
        <v>0</v>
      </c>
      <c r="H391" s="26">
        <f t="shared" si="2"/>
        <v>0</v>
      </c>
      <c r="I391" s="26">
        <f>IFERROR(__xludf.DUMMYFUNCTION("LET(
 id,A391,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1" s="26">
        <f t="shared" si="3"/>
        <v>0</v>
      </c>
      <c r="K391" s="26" t="b">
        <f t="shared" si="4"/>
        <v>1</v>
      </c>
      <c r="L391" s="26">
        <f t="shared" si="5"/>
        <v>0</v>
      </c>
      <c r="M391" s="26" t="str">
        <f>IFERROR(__xludf.DUMMYFUNCTION("LET(
 id,A391,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L391=0,
  """",
  IFERROR(INDEX(incomplete,1),"""")"&amp;"
 )
)"),"")</f>
        <v/>
      </c>
      <c r="N391" s="26" t="str">
        <f t="array" ref="N391">IF(
 M391="",
 "",
 _xlfn.XLOOKUP(
  M391,
  tblTargets[TargetID],
  tblTargets[DisplayName],
  M391
 )
)</f>
        <v/>
      </c>
      <c r="O391" s="26" t="str">
        <f>IFERROR(__xludf.DUMMYFUNCTION("SWITCH(
 E391,
 ""BUILDING"",XLOOKUP(A391,tblBuildings[BuildingID],tblBuildings[costtext],""""),
 ""TECH"",XLOOKUP(A391,tblTechnologies[TechnologyID],tblTechnologies[costtext],""""),
 ""QUEST"",XLOOKUP(
  REGEXREPLACE(A391,""\.[^.]+$"",""""),
  tblQuests["&amp;"QuestID],
  tblQuests[Costtext],
  """"
 ),
 ""CITADEL"",XLOOKUP(A391,tblCitadel[CitadelID],tblCitadel[costtext],""""),
 ""COLLECTION"",XLOOKUP(A391,tblCollections[CollectionID],tblCollections[costtext],""""),
 ""CRAFTIFACT"",XLOOKUP(A391,tblCraftifacts[C"&amp;"raftifactID],tblCraftifacts[costtext],""""),
 """"
)"),"")</f>
        <v/>
      </c>
      <c r="P391" s="26" t="str">
        <f t="shared" si="6"/>
        <v/>
      </c>
      <c r="Q391" s="26" t="str">
        <f t="shared" si="7"/>
        <v>READY</v>
      </c>
      <c r="R391" s="26" t="str">
        <f t="array" ref="R391">IFERROR(
 _xlfn.XLOOKUP(
  A391,
  tblChecklist[TargetID],
  tblChecklist[PlayerSort],
  ""
 ),
 ""
)</f>
        <v/>
      </c>
      <c r="S391" s="26" t="str">
        <f>IFERROR(__xludf.DUMMYFUNCTION("LET(
 id,A391,
 successorIDs,
  IFERROR(
   UNIQUE(
    FILTER(
     {
      Dependencies!$A$2:$A$1000;
      QuestObjectives!$A$2:$A$1000
     },
     {
      Dependencies!$B$2:$B$1000;
      QuestObjectives!$E$2:$E$1000
     }=id
    )
   ),
   """"
  )"&amp;",
 names,
  MAP(
   successorIDs,
   LAMBDA(s,
    IF(
     s="""",
     """",
     XLOOKUP(
      s,
      $A$2:$A$1000,
      $B$2:$B$1000,
      s
     )
    )
   )
  ),
 IF(
  successorIDs="""",
  """",
  TEXTJOIN("", "",TRUE,names)
 )
)"),"Pier Lv 1, Ship Lv 1, Shogun's Katana Chapter 2 Finished")</f>
        <v>Pier Lv 1, Ship Lv 1, Shogun's Katana Chapter 2 Finished</v>
      </c>
      <c r="T391" s="26" t="str">
        <f t="array" ref="T391">_xlfn.XLOOKUP(
 A391,
 tblTargets[TargetID],
 tblTargets[CompletionMethod],
 ""
)</f>
        <v>PLAYER</v>
      </c>
      <c r="U391" s="84" t="b">
        <f>COUNTIF(tblCost[TargetID],A391)&gt;0</f>
        <v>0</v>
      </c>
      <c r="V391" s="85" t="str">
        <f t="array" ref="V391">IF(
 U391=FALSE,
 "",
 _xlfn.XLOOKUP(
  A391,
  tblCost[TargetID],
  tblCost[FundingPercent],
  ""
 )
)</f>
        <v/>
      </c>
      <c r="W391" s="26" t="str">
        <f t="array" ref="W391">IF(
 U391=FALSE,
 "",
 _xlfn.XLOOKUP(
  A391,
  tblCost[TargetID],
  tblCost[RemainingRequirements],
  ""
 )
)</f>
        <v/>
      </c>
      <c r="X391" s="45" t="str">
        <f t="array" ref="X391">IF(
 U391=FALSE,
 "N/A",
 _xlfn.XLOOKUP(
  A392,
  tblCost[TargetID],
  tblCost[TargetFunded],
  FALSE
 )
)</f>
        <v>N/A</v>
      </c>
      <c r="Y391" s="26" t="str">
        <f>IFERROR(__xludf.DUMMYFUNCTION("IFERROR(
 TEXTJOIN(
  "", "",
  TRUE,
  FILTER(
   'cost checklist'!$E$2:$E1000&amp;"": ""&amp;'cost checklist'!$G$2:$G1000,
   'cost checklist'!$B$2:$B1000=A391,
   'cost checklist'!$J$2:$J1000=FALSE
  )
 ),
 """"
)"),"")</f>
        <v/>
      </c>
      <c r="Z391" s="26" t="b">
        <f>IFERROR(__xludf.DUMMYFUNCTION("IF(
 AND(
  E391=""QUEST"",
  RIGHT(A391,9)="".accepted"",
  D391=TRUE
 ),
 XLOOKUP(
  REGEXREPLACE(A391,""\.accepted$"","""")&amp;"".finished"",
  $A$2:$A1000,
  $D$2:$D1000,
  TRUE
 )=FALSE,
 FALSE
)"),FALSE)</f>
        <v>0</v>
      </c>
      <c r="AA391" s="26" t="str">
        <f>IFERROR(__xludf.DUMMYFUNCTION("LET(
 id,A391,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2" ht="14.25" customHeight="1">
      <c r="A392" s="26" t="s">
        <v>1406</v>
      </c>
      <c r="B392" s="26" t="str">
        <f t="array" ref="B392">_xlfn.XLOOKUP(
 A392,
 tblTargets[TargetID],
 tblTargets[DisplayName],
 ""
)</f>
        <v>Character Level@23</v>
      </c>
      <c r="C392" s="26" t="str">
        <f t="shared" si="1"/>
        <v>READY</v>
      </c>
      <c r="D392" s="26" t="b">
        <f>IFERROR(__xludf.DUMMYFUNCTION("LET(
 id,A392,
 IF(
  F392=""CHARACTER"",
  LET(
   base,REGEXREPLACE(id,""@\d+$"",""""),
   required,VALUE(REGEXEXTRACT(id,""@(\d+)$"")),
   current,XLOOKUP(
    base,
    tblPlayer[PlayerStateID],
    tblPlayer[Value],
    0
   ),
   current&gt;=required
 "&amp;" ),
  IF(
   T392=""AUTO"",
   L392=0,
   COUNTIFS(
    tblChecklist[TargetID],id,
    tblChecklist[PlayerCompleted],TRUE
   )&gt;0
  )
 )
)"),FALSE)</f>
        <v>0</v>
      </c>
      <c r="E392" s="26" t="str">
        <f t="array" ref="E392">_xlfn.XLOOKUP(
 A392,
 tblTargets[TargetID],
 tblTargets[TargetType],
 ""
)</f>
        <v>STATE</v>
      </c>
      <c r="F392" s="26" t="str">
        <f t="array" ref="F392">_xlfn.XLOOKUP(
 A392,
 tblTargets[TargetID],
 tblTargets[StateType],
 ""
)</f>
        <v>CHARACTER</v>
      </c>
      <c r="G392" s="26">
        <f>LET(
 id,A392,
 depCount,COUNTIF(tblDependencies[TargetID],id),
 objCount,COUNTIF(tblQuestObjectives[QuestTargetID],id),
 depCount+objCount
)</f>
        <v>0</v>
      </c>
      <c r="H392" s="26">
        <f t="shared" si="2"/>
        <v>0</v>
      </c>
      <c r="I392" s="26">
        <f>IFERROR(__xludf.DUMMYFUNCTION("LET(
 id,A392,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2" s="26">
        <f t="shared" si="3"/>
        <v>0</v>
      </c>
      <c r="K392" s="26" t="b">
        <f t="shared" si="4"/>
        <v>1</v>
      </c>
      <c r="L392" s="26">
        <f t="shared" si="5"/>
        <v>0</v>
      </c>
      <c r="M392" s="26" t="str">
        <f>IFERROR(__xludf.DUMMYFUNCTION("LET(
 id,A392,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L392=0,
  """",
  IFERROR(INDEX(incomplete,1),"""")"&amp;"
 )
)"),"")</f>
        <v/>
      </c>
      <c r="N392" s="26" t="str">
        <f t="array" ref="N392">IF(
 M392="",
 "",
 _xlfn.XLOOKUP(
  M392,
  tblTargets[TargetID],
  tblTargets[DisplayName],
  M392
 )
)</f>
        <v/>
      </c>
      <c r="O392" s="26" t="str">
        <f>IFERROR(__xludf.DUMMYFUNCTION("SWITCH(
 E392,
 ""BUILDING"",XLOOKUP(A392,tblBuildings[BuildingID],tblBuildings[costtext],""""),
 ""TECH"",XLOOKUP(A392,tblTechnologies[TechnologyID],tblTechnologies[costtext],""""),
 ""QUEST"",XLOOKUP(
  REGEXREPLACE(A392,""\.[^.]+$"",""""),
  tblQuests["&amp;"QuestID],
  tblQuests[Costtext],
  """"
 ),
 ""CITADEL"",XLOOKUP(A392,tblCitadel[CitadelID],tblCitadel[costtext],""""),
 ""COLLECTION"",XLOOKUP(A392,tblCollections[CollectionID],tblCollections[costtext],""""),
 ""CRAFTIFACT"",XLOOKUP(A392,tblCraftifacts[C"&amp;"raftifactID],tblCraftifacts[costtext],""""),
 """"
)"),"")</f>
        <v/>
      </c>
      <c r="P392" s="26" t="str">
        <f t="shared" si="6"/>
        <v/>
      </c>
      <c r="Q392" s="26" t="str">
        <f t="shared" si="7"/>
        <v>READY</v>
      </c>
      <c r="R392" s="26" t="str">
        <f t="array" ref="R392">IFERROR(
 _xlfn.XLOOKUP(
  A392,
  tblChecklist[TargetID],
  tblChecklist[PlayerSort],
  ""
 ),
 ""
)</f>
        <v/>
      </c>
      <c r="S392" s="26" t="str">
        <f>IFERROR(__xludf.DUMMYFUNCTION("LET(
 id,A392,
 successorIDs,
  IFERROR(
   UNIQUE(
    FILTER(
     {
      Dependencies!$A$2:$A$1000;
      QuestObjectives!$A$2:$A$1000
     },
     {
      Dependencies!$B$2:$B$1000;
      QuestObjectives!$E$2:$E$1000
     }=id
    )
   ),
   """"
  )"&amp;",
 names,
  MAP(
   successorIDs,
   LAMBDA(s,
    IF(
     s="""",
     """",
     XLOOKUP(
      s,
      $A$2:$A$1000,
      $B$2:$B$1000,
      s
     )
    )
   )
  ),
 IF(
  successorIDs="""",
  """",
  TEXTJOIN("", "",TRUE,names)
 )
)"),"Pagoda Lv 6")</f>
        <v>Pagoda Lv 6</v>
      </c>
      <c r="T392" s="26" t="str">
        <f t="array" ref="T392">_xlfn.XLOOKUP(
 A392,
 tblTargets[TargetID],
 tblTargets[CompletionMethod],
 ""
)</f>
        <v>PLAYER</v>
      </c>
      <c r="U392" s="84" t="b">
        <f>COUNTIF(tblCost[TargetID],A392)&gt;0</f>
        <v>0</v>
      </c>
      <c r="V392" s="85" t="str">
        <f t="array" ref="V392">IF(
 U392=FALSE,
 "",
 _xlfn.XLOOKUP(
  A392,
  tblCost[TargetID],
  tblCost[FundingPercent],
  ""
 )
)</f>
        <v/>
      </c>
      <c r="W392" s="26" t="str">
        <f t="array" ref="W392">IF(
 U392=FALSE,
 "",
 _xlfn.XLOOKUP(
  A392,
  tblCost[TargetID],
  tblCost[RemainingRequirements],
  ""
 )
)</f>
        <v/>
      </c>
      <c r="X392" s="45" t="str">
        <f t="array" ref="X392">IF(
 U392=FALSE,
 "N/A",
 _xlfn.XLOOKUP(
  A393,
  tblCost[TargetID],
  tblCost[TargetFunded],
  FALSE
 )
)</f>
        <v>N/A</v>
      </c>
      <c r="Y392" s="26" t="str">
        <f>IFERROR(__xludf.DUMMYFUNCTION("IFERROR(
 TEXTJOIN(
  "", "",
  TRUE,
  FILTER(
   'cost checklist'!$E$2:$E1000&amp;"": ""&amp;'cost checklist'!$G$2:$G1000,
   'cost checklist'!$B$2:$B1000=A392,
   'cost checklist'!$J$2:$J1000=FALSE
  )
 ),
 """"
)"),"")</f>
        <v/>
      </c>
      <c r="Z392" s="26" t="b">
        <f>IFERROR(__xludf.DUMMYFUNCTION("IF(
 AND(
  E392=""QUEST"",
  RIGHT(A392,9)="".accepted"",
  D392=TRUE
 ),
 XLOOKUP(
  REGEXREPLACE(A392,""\.accepted$"","""")&amp;"".finished"",
  $A$2:$A1000,
  $D$2:$D1000,
  TRUE
 )=FALSE,
 FALSE
)"),FALSE)</f>
        <v>0</v>
      </c>
      <c r="AA392" s="26" t="str">
        <f>IFERROR(__xludf.DUMMYFUNCTION("LET(
 id,A392,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3" ht="14.25" customHeight="1">
      <c r="A393" s="26" t="s">
        <v>1409</v>
      </c>
      <c r="B393" s="26" t="str">
        <f t="array" ref="B393">_xlfn.XLOOKUP(
 A393,
 tblTargets[TargetID],
 tblTargets[DisplayName],
 ""
)</f>
        <v>Character Level@24</v>
      </c>
      <c r="C393" s="26" t="str">
        <f t="shared" si="1"/>
        <v>READY</v>
      </c>
      <c r="D393" s="26" t="b">
        <f>IFERROR(__xludf.DUMMYFUNCTION("LET(
 id,A393,
 IF(
  F393=""CHARACTER"",
  LET(
   base,REGEXREPLACE(id,""@\d+$"",""""),
   required,VALUE(REGEXEXTRACT(id,""@(\d+)$"")),
   current,XLOOKUP(
    base,
    tblPlayer[PlayerStateID],
    tblPlayer[Value],
    0
   ),
   current&gt;=required
 "&amp;" ),
  IF(
   T393=""AUTO"",
   L393=0,
   COUNTIFS(
    tblChecklist[TargetID],id,
    tblChecklist[PlayerCompleted],TRUE
   )&gt;0
  )
 )
)"),FALSE)</f>
        <v>0</v>
      </c>
      <c r="E393" s="26" t="str">
        <f t="array" ref="E393">_xlfn.XLOOKUP(
 A393,
 tblTargets[TargetID],
 tblTargets[TargetType],
 ""
)</f>
        <v>STATE</v>
      </c>
      <c r="F393" s="26" t="str">
        <f t="array" ref="F393">_xlfn.XLOOKUP(
 A393,
 tblTargets[TargetID],
 tblTargets[StateType],
 ""
)</f>
        <v>CHARACTER</v>
      </c>
      <c r="G393" s="26">
        <f>LET(
 id,A393,
 depCount,COUNTIF(tblDependencies[TargetID],id),
 objCount,COUNTIF(tblQuestObjectives[QuestTargetID],id),
 depCount+objCount
)</f>
        <v>0</v>
      </c>
      <c r="H393" s="26">
        <f t="shared" si="2"/>
        <v>0</v>
      </c>
      <c r="I393" s="26">
        <f>IFERROR(__xludf.DUMMYFUNCTION("LET(
 id,A393,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3" s="26">
        <f t="shared" si="3"/>
        <v>0</v>
      </c>
      <c r="K393" s="26" t="b">
        <f t="shared" si="4"/>
        <v>1</v>
      </c>
      <c r="L393" s="26">
        <f t="shared" si="5"/>
        <v>0</v>
      </c>
      <c r="M393" s="26" t="str">
        <f>IFERROR(__xludf.DUMMYFUNCTION("LET(
 id,A393,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L393=0,
  """",
  IFERROR(INDEX(incomplete,1),"""")"&amp;"
 )
)"),"")</f>
        <v/>
      </c>
      <c r="N393" s="26" t="str">
        <f t="array" ref="N393">IF(
 M393="",
 "",
 _xlfn.XLOOKUP(
  M393,
  tblTargets[TargetID],
  tblTargets[DisplayName],
  M393
 )
)</f>
        <v/>
      </c>
      <c r="O393" s="26" t="str">
        <f>IFERROR(__xludf.DUMMYFUNCTION("SWITCH(
 E393,
 ""BUILDING"",XLOOKUP(A393,tblBuildings[BuildingID],tblBuildings[costtext],""""),
 ""TECH"",XLOOKUP(A393,tblTechnologies[TechnologyID],tblTechnologies[costtext],""""),
 ""QUEST"",XLOOKUP(
  REGEXREPLACE(A393,""\.[^.]+$"",""""),
  tblQuests["&amp;"QuestID],
  tblQuests[Costtext],
  """"
 ),
 ""CITADEL"",XLOOKUP(A393,tblCitadel[CitadelID],tblCitadel[costtext],""""),
 ""COLLECTION"",XLOOKUP(A393,tblCollections[CollectionID],tblCollections[costtext],""""),
 ""CRAFTIFACT"",XLOOKUP(A393,tblCraftifacts[C"&amp;"raftifactID],tblCraftifacts[costtext],""""),
 """"
)"),"")</f>
        <v/>
      </c>
      <c r="P393" s="26" t="str">
        <f t="shared" si="6"/>
        <v/>
      </c>
      <c r="Q393" s="26" t="str">
        <f t="shared" si="7"/>
        <v>READY</v>
      </c>
      <c r="R393" s="26" t="str">
        <f t="array" ref="R393">IFERROR(
 _xlfn.XLOOKUP(
  A393,
  tblChecklist[TargetID],
  tblChecklist[PlayerSort],
  ""
 ),
 ""
)</f>
        <v/>
      </c>
      <c r="S393" s="26" t="str">
        <f>IFERROR(__xludf.DUMMYFUNCTION("LET(
 id,A393,
 successorIDs,
  IFERROR(
   UNIQUE(
    FILTER(
     {
      Dependencies!$A$2:$A$1000;
      QuestObjectives!$A$2:$A$1000
     },
     {
      Dependencies!$B$2:$B$1000;
      QuestObjectives!$E$2:$E$1000
     }=id
    )
   ),
   """"
  )"&amp;",
 names,
  MAP(
   successorIDs,
   LAMBDA(s,
    IF(
     s="""",
     """",
     XLOOKUP(
      s,
      $A$2:$A$1000,
      $B$2:$B$1000,
      s
     )
    )
   )
  ),
 IF(
  successorIDs="""",
  """",
  TEXTJOIN("", "",TRUE,names)
 )
)"),"Food Stall Lv 2, Shogun's Katana Chapter 3 Finished")</f>
        <v>Food Stall Lv 2, Shogun's Katana Chapter 3 Finished</v>
      </c>
      <c r="T393" s="26" t="str">
        <f t="array" ref="T393">_xlfn.XLOOKUP(
 A393,
 tblTargets[TargetID],
 tblTargets[CompletionMethod],
 ""
)</f>
        <v>PLAYER</v>
      </c>
      <c r="U393" s="84" t="b">
        <f>COUNTIF(tblCost[TargetID],A393)&gt;0</f>
        <v>0</v>
      </c>
      <c r="V393" s="85" t="str">
        <f t="array" ref="V393">IF(
 U393=FALSE,
 "",
 _xlfn.XLOOKUP(
  A393,
  tblCost[TargetID],
  tblCost[FundingPercent],
  ""
 )
)</f>
        <v/>
      </c>
      <c r="W393" s="26" t="str">
        <f t="array" ref="W393">IF(
 U393=FALSE,
 "",
 _xlfn.XLOOKUP(
  A393,
  tblCost[TargetID],
  tblCost[RemainingRequirements],
  ""
 )
)</f>
        <v/>
      </c>
      <c r="X393" s="45" t="str">
        <f t="array" ref="X393">IF(
 U393=FALSE,
 "N/A",
 _xlfn.XLOOKUP(
  A394,
  tblCost[TargetID],
  tblCost[TargetFunded],
  FALSE
 )
)</f>
        <v>N/A</v>
      </c>
      <c r="Y393" s="26" t="str">
        <f>IFERROR(__xludf.DUMMYFUNCTION("IFERROR(
 TEXTJOIN(
  "", "",
  TRUE,
  FILTER(
   'cost checklist'!$E$2:$E1000&amp;"": ""&amp;'cost checklist'!$G$2:$G1000,
   'cost checklist'!$B$2:$B1000=A393,
   'cost checklist'!$J$2:$J1000=FALSE
  )
 ),
 """"
)"),"")</f>
        <v/>
      </c>
      <c r="Z393" s="26" t="b">
        <f>IFERROR(__xludf.DUMMYFUNCTION("IF(
 AND(
  E393=""QUEST"",
  RIGHT(A393,9)="".accepted"",
  D393=TRUE
 ),
 XLOOKUP(
  REGEXREPLACE(A393,""\.accepted$"","""")&amp;"".finished"",
  $A$2:$A1000,
  $D$2:$D1000,
  TRUE
 )=FALSE,
 FALSE
)"),FALSE)</f>
        <v>0</v>
      </c>
      <c r="AA393" s="26" t="str">
        <f>IFERROR(__xludf.DUMMYFUNCTION("LET(
 id,A393,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4" ht="14.25" customHeight="1">
      <c r="A394" s="26" t="s">
        <v>1411</v>
      </c>
      <c r="B394" s="26" t="str">
        <f t="array" ref="B394">_xlfn.XLOOKUP(
 A394,
 tblTargets[TargetID],
 tblTargets[DisplayName],
 ""
)</f>
        <v>Character Level@28</v>
      </c>
      <c r="C394" s="26" t="str">
        <f t="shared" si="1"/>
        <v>READY</v>
      </c>
      <c r="D394" s="26" t="b">
        <f>IFERROR(__xludf.DUMMYFUNCTION("LET(
 id,A394,
 IF(
  F394=""CHARACTER"",
  LET(
   base,REGEXREPLACE(id,""@\d+$"",""""),
   required,VALUE(REGEXEXTRACT(id,""@(\d+)$"")),
   current,XLOOKUP(
    base,
    tblPlayer[PlayerStateID],
    tblPlayer[Value],
    0
   ),
   current&gt;=required
 "&amp;" ),
  IF(
   T394=""AUTO"",
   L394=0,
   COUNTIFS(
    tblChecklist[TargetID],id,
    tblChecklist[PlayerCompleted],TRUE
   )&gt;0
  )
 )
)"),FALSE)</f>
        <v>0</v>
      </c>
      <c r="E394" s="26" t="str">
        <f t="array" ref="E394">_xlfn.XLOOKUP(
 A394,
 tblTargets[TargetID],
 tblTargets[TargetType],
 ""
)</f>
        <v>STATE</v>
      </c>
      <c r="F394" s="26" t="str">
        <f t="array" ref="F394">_xlfn.XLOOKUP(
 A394,
 tblTargets[TargetID],
 tblTargets[StateType],
 ""
)</f>
        <v>CHARACTER</v>
      </c>
      <c r="G394" s="26">
        <f>LET(
 id,A394,
 depCount,COUNTIF(tblDependencies[TargetID],id),
 objCount,COUNTIF(tblQuestObjectives[QuestTargetID],id),
 depCount+objCount
)</f>
        <v>0</v>
      </c>
      <c r="H394" s="26">
        <f t="shared" si="2"/>
        <v>0</v>
      </c>
      <c r="I394" s="26">
        <f>IFERROR(__xludf.DUMMYFUNCTION("LET(
 id,A394,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4" s="26">
        <f t="shared" si="3"/>
        <v>0</v>
      </c>
      <c r="K394" s="26" t="b">
        <f t="shared" si="4"/>
        <v>1</v>
      </c>
      <c r="L394" s="26">
        <f t="shared" si="5"/>
        <v>0</v>
      </c>
      <c r="M394" s="26" t="str">
        <f>IFERROR(__xludf.DUMMYFUNCTION("LET(
 id,A394,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L394=0,
  """",
  IFERROR(INDEX(incomplete,1),"""")"&amp;"
 )
)"),"")</f>
        <v/>
      </c>
      <c r="N394" s="26" t="str">
        <f t="array" ref="N394">IF(
 M394="",
 "",
 _xlfn.XLOOKUP(
  M394,
  tblTargets[TargetID],
  tblTargets[DisplayName],
  M394
 )
)</f>
        <v/>
      </c>
      <c r="O394" s="26" t="str">
        <f>IFERROR(__xludf.DUMMYFUNCTION("SWITCH(
 E394,
 ""BUILDING"",XLOOKUP(A394,tblBuildings[BuildingID],tblBuildings[costtext],""""),
 ""TECH"",XLOOKUP(A394,tblTechnologies[TechnologyID],tblTechnologies[costtext],""""),
 ""QUEST"",XLOOKUP(
  REGEXREPLACE(A394,""\.[^.]+$"",""""),
  tblQuests["&amp;"QuestID],
  tblQuests[Costtext],
  """"
 ),
 ""CITADEL"",XLOOKUP(A394,tblCitadel[CitadelID],tblCitadel[costtext],""""),
 ""COLLECTION"",XLOOKUP(A394,tblCollections[CollectionID],tblCollections[costtext],""""),
 ""CRAFTIFACT"",XLOOKUP(A394,tblCraftifacts[C"&amp;"raftifactID],tblCraftifacts[costtext],""""),
 """"
)"),"")</f>
        <v/>
      </c>
      <c r="P394" s="26" t="str">
        <f t="shared" si="6"/>
        <v/>
      </c>
      <c r="Q394" s="26" t="str">
        <f t="shared" si="7"/>
        <v>READY</v>
      </c>
      <c r="R394" s="26" t="str">
        <f t="array" ref="R394">IFERROR(
 _xlfn.XLOOKUP(
  A394,
  tblChecklist[TargetID],
  tblChecklist[PlayerSort],
  ""
 ),
 ""
)</f>
        <v/>
      </c>
      <c r="S394" s="26" t="str">
        <f>IFERROR(__xludf.DUMMYFUNCTION("LET(
 id,A394,
 successorIDs,
  IFERROR(
   UNIQUE(
    FILTER(
     {
      Dependencies!$A$2:$A$1000;
      QuestObjectives!$A$2:$A$1000
     },
     {
      Dependencies!$B$2:$B$1000;
      QuestObjectives!$E$2:$E$1000
     }=id
    )
   ),
   """"
  )"&amp;",
 names,
  MAP(
   successorIDs,
   LAMBDA(s,
    IF(
     s="""",
     """",
     XLOOKUP(
      s,
      $A$2:$A$1000,
      $B$2:$B$1000,
      s
     )
    )
   )
  ),
 IF(
  successorIDs="""",
  """",
  TEXTJOIN("", "",TRUE,names)
 )
)"),"Pagoda Lv 7")</f>
        <v>Pagoda Lv 7</v>
      </c>
      <c r="T394" s="26" t="str">
        <f t="array" ref="T394">_xlfn.XLOOKUP(
 A394,
 tblTargets[TargetID],
 tblTargets[CompletionMethod],
 ""
)</f>
        <v>PLAYER</v>
      </c>
      <c r="U394" s="84" t="b">
        <f>COUNTIF(tblCost[TargetID],A394)&gt;0</f>
        <v>0</v>
      </c>
      <c r="V394" s="85" t="str">
        <f t="array" ref="V394">IF(
 U394=FALSE,
 "",
 _xlfn.XLOOKUP(
  A394,
  tblCost[TargetID],
  tblCost[FundingPercent],
  ""
 )
)</f>
        <v/>
      </c>
      <c r="W394" s="26" t="str">
        <f t="array" ref="W394">IF(
 U394=FALSE,
 "",
 _xlfn.XLOOKUP(
  A394,
  tblCost[TargetID],
  tblCost[RemainingRequirements],
  ""
 )
)</f>
        <v/>
      </c>
      <c r="X394" s="45" t="str">
        <f t="array" ref="X394">IF(
 U394=FALSE,
 "N/A",
 _xlfn.XLOOKUP(
  A395,
  tblCost[TargetID],
  tblCost[TargetFunded],
  FALSE
 )
)</f>
        <v>N/A</v>
      </c>
      <c r="Y394" s="26" t="str">
        <f>IFERROR(__xludf.DUMMYFUNCTION("IFERROR(
 TEXTJOIN(
  "", "",
  TRUE,
  FILTER(
   'cost checklist'!$E$2:$E1000&amp;"": ""&amp;'cost checklist'!$G$2:$G1000,
   'cost checklist'!$B$2:$B1000=A394,
   'cost checklist'!$J$2:$J1000=FALSE
  )
 ),
 """"
)"),"")</f>
        <v/>
      </c>
      <c r="Z394" s="26" t="b">
        <f>IFERROR(__xludf.DUMMYFUNCTION("IF(
 AND(
  E394=""QUEST"",
  RIGHT(A394,9)="".accepted"",
  D394=TRUE
 ),
 XLOOKUP(
  REGEXREPLACE(A394,""\.accepted$"","""")&amp;"".finished"",
  $A$2:$A1000,
  $D$2:$D1000,
  TRUE
 )=FALSE,
 FALSE
)"),FALSE)</f>
        <v>0</v>
      </c>
      <c r="AA394" s="26" t="str">
        <f>IFERROR(__xludf.DUMMYFUNCTION("LET(
 id,A394,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5" ht="14.25" customHeight="1">
      <c r="A395" s="26" t="s">
        <v>1413</v>
      </c>
      <c r="B395" s="26" t="str">
        <f t="array" ref="B395">_xlfn.XLOOKUP(
 A395,
 tblTargets[TargetID],
 tblTargets[DisplayName],
 ""
)</f>
        <v>Character Level@3</v>
      </c>
      <c r="C395" s="26" t="str">
        <f t="shared" si="1"/>
        <v>READY</v>
      </c>
      <c r="D395" s="26" t="b">
        <f>IFERROR(__xludf.DUMMYFUNCTION("LET(
 id,A395,
 IF(
  F395=""CHARACTER"",
  LET(
   base,REGEXREPLACE(id,""@\d+$"",""""),
   required,VALUE(REGEXEXTRACT(id,""@(\d+)$"")),
   current,XLOOKUP(
    base,
    tblPlayer[PlayerStateID],
    tblPlayer[Value],
    0
   ),
   current&gt;=required
 "&amp;" ),
  IF(
   T395=""AUTO"",
   L395=0,
   COUNTIFS(
    tblChecklist[TargetID],id,
    tblChecklist[PlayerCompleted],TRUE
   )&gt;0
  )
 )
)"),FALSE)</f>
        <v>0</v>
      </c>
      <c r="E395" s="26" t="str">
        <f t="array" ref="E395">_xlfn.XLOOKUP(
 A395,
 tblTargets[TargetID],
 tblTargets[TargetType],
 ""
)</f>
        <v>STATE</v>
      </c>
      <c r="F395" s="26" t="str">
        <f t="array" ref="F395">_xlfn.XLOOKUP(
 A395,
 tblTargets[TargetID],
 tblTargets[StateType],
 ""
)</f>
        <v>CHARACTER</v>
      </c>
      <c r="G395" s="26">
        <f>LET(
 id,A395,
 depCount,COUNTIF(tblDependencies[TargetID],id),
 objCount,COUNTIF(tblQuestObjectives[QuestTargetID],id),
 depCount+objCount
)</f>
        <v>0</v>
      </c>
      <c r="H395" s="26">
        <f t="shared" si="2"/>
        <v>0</v>
      </c>
      <c r="I395" s="26">
        <f>IFERROR(__xludf.DUMMYFUNCTION("LET(
 id,A395,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5" s="26">
        <f t="shared" si="3"/>
        <v>0</v>
      </c>
      <c r="K395" s="26" t="b">
        <f t="shared" si="4"/>
        <v>1</v>
      </c>
      <c r="L395" s="26">
        <f t="shared" si="5"/>
        <v>0</v>
      </c>
      <c r="M395" s="26" t="str">
        <f>IFERROR(__xludf.DUMMYFUNCTION("LET(
 id,A395,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L395=0,
  """",
  IFERROR(INDEX(incomplete,1),"""")"&amp;"
 )
)"),"")</f>
        <v/>
      </c>
      <c r="N395" s="26" t="str">
        <f t="array" ref="N395">IF(
 M395="",
 "",
 _xlfn.XLOOKUP(
  M395,
  tblTargets[TargetID],
  tblTargets[DisplayName],
  M395
 )
)</f>
        <v/>
      </c>
      <c r="O395" s="26" t="str">
        <f>IFERROR(__xludf.DUMMYFUNCTION("SWITCH(
 E395,
 ""BUILDING"",XLOOKUP(A395,tblBuildings[BuildingID],tblBuildings[costtext],""""),
 ""TECH"",XLOOKUP(A395,tblTechnologies[TechnologyID],tblTechnologies[costtext],""""),
 ""QUEST"",XLOOKUP(
  REGEXREPLACE(A395,""\.[^.]+$"",""""),
  tblQuests["&amp;"QuestID],
  tblQuests[Costtext],
  """"
 ),
 ""CITADEL"",XLOOKUP(A395,tblCitadel[CitadelID],tblCitadel[costtext],""""),
 ""COLLECTION"",XLOOKUP(A395,tblCollections[CollectionID],tblCollections[costtext],""""),
 ""CRAFTIFACT"",XLOOKUP(A395,tblCraftifacts[C"&amp;"raftifactID],tblCraftifacts[costtext],""""),
 """"
)"),"")</f>
        <v/>
      </c>
      <c r="P395" s="26" t="str">
        <f t="shared" si="6"/>
        <v/>
      </c>
      <c r="Q395" s="26" t="str">
        <f t="shared" si="7"/>
        <v>READY</v>
      </c>
      <c r="R395" s="26" t="str">
        <f t="array" ref="R395">IFERROR(
 _xlfn.XLOOKUP(
  A395,
  tblChecklist[TargetID],
  tblChecklist[PlayerSort],
  ""
 ),
 ""
)</f>
        <v/>
      </c>
      <c r="S395" s="26" t="str">
        <f>IFERROR(__xludf.DUMMYFUNCTION("LET(
 id,A395,
 successorIDs,
  IFERROR(
   UNIQUE(
    FILTER(
     {
      Dependencies!$A$2:$A$1000;
      QuestObjectives!$A$2:$A$1000
     },
     {
      Dependencies!$B$2:$B$1000;
      QuestObjectives!$E$2:$E$1000
     }=id
    )
   ),
   """"
  )"&amp;",
 names,
  MAP(
   successorIDs,
   LAMBDA(s,
    IF(
     s="""",
     """",
     XLOOKUP(
      s,
      $A$2:$A$1000,
      $B$2:$B$1000,
      s
     )
    )
   )
  ),
 IF(
  successorIDs="""",
  """",
  TEXTJOIN("", "",TRUE,names)
 )
)"),"Shop Lv 1")</f>
        <v>Shop Lv 1</v>
      </c>
      <c r="T395" s="26" t="str">
        <f t="array" ref="T395">_xlfn.XLOOKUP(
 A395,
 tblTargets[TargetID],
 tblTargets[CompletionMethod],
 ""
)</f>
        <v>PLAYER</v>
      </c>
      <c r="U395" s="84" t="b">
        <f>COUNTIF(tblCost[TargetID],A395)&gt;0</f>
        <v>0</v>
      </c>
      <c r="V395" s="85" t="str">
        <f t="array" ref="V395">IF(
 U395=FALSE,
 "",
 _xlfn.XLOOKUP(
  A395,
  tblCost[TargetID],
  tblCost[FundingPercent],
  ""
 )
)</f>
        <v/>
      </c>
      <c r="W395" s="26" t="str">
        <f t="array" ref="W395">IF(
 U395=FALSE,
 "",
 _xlfn.XLOOKUP(
  A395,
  tblCost[TargetID],
  tblCost[RemainingRequirements],
  ""
 )
)</f>
        <v/>
      </c>
      <c r="X395" s="45" t="str">
        <f t="array" ref="X395">IF(
 U395=FALSE,
 "N/A",
 _xlfn.XLOOKUP(
  A396,
  tblCost[TargetID],
  tblCost[TargetFunded],
  FALSE
 )
)</f>
        <v>N/A</v>
      </c>
      <c r="Y395" s="26" t="str">
        <f>IFERROR(__xludf.DUMMYFUNCTION("IFERROR(
 TEXTJOIN(
  "", "",
  TRUE,
  FILTER(
   'cost checklist'!$E$2:$E1000&amp;"": ""&amp;'cost checklist'!$G$2:$G1000,
   'cost checklist'!$B$2:$B1000=A395,
   'cost checklist'!$J$2:$J1000=FALSE
  )
 ),
 """"
)"),"")</f>
        <v/>
      </c>
      <c r="Z395" s="26" t="b">
        <f>IFERROR(__xludf.DUMMYFUNCTION("IF(
 AND(
  E395=""QUEST"",
  RIGHT(A395,9)="".accepted"",
  D395=TRUE
 ),
 XLOOKUP(
  REGEXREPLACE(A395,""\.accepted$"","""")&amp;"".finished"",
  $A$2:$A1000,
  $D$2:$D1000,
  TRUE
 )=FALSE,
 FALSE
)"),FALSE)</f>
        <v>0</v>
      </c>
      <c r="AA395" s="26" t="str">
        <f>IFERROR(__xludf.DUMMYFUNCTION("LET(
 id,A395,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6" ht="14.25" customHeight="1">
      <c r="A396" s="26" t="s">
        <v>1415</v>
      </c>
      <c r="B396" s="26" t="str">
        <f t="array" ref="B396">_xlfn.XLOOKUP(
 A396,
 tblTargets[TargetID],
 tblTargets[DisplayName],
 ""
)</f>
        <v>Character Level@30</v>
      </c>
      <c r="C396" s="26" t="str">
        <f t="shared" si="1"/>
        <v>READY</v>
      </c>
      <c r="D396" s="26" t="b">
        <f>IFERROR(__xludf.DUMMYFUNCTION("LET(
 id,A396,
 IF(
  F396=""CHARACTER"",
  LET(
   base,REGEXREPLACE(id,""@\d+$"",""""),
   required,VALUE(REGEXEXTRACT(id,""@(\d+)$"")),
   current,XLOOKUP(
    base,
    tblPlayer[PlayerStateID],
    tblPlayer[Value],
    0
   ),
   current&gt;=required
 "&amp;" ),
  IF(
   T396=""AUTO"",
   L396=0,
   COUNTIFS(
    tblChecklist[TargetID],id,
    tblChecklist[PlayerCompleted],TRUE
   )&gt;0
  )
 )
)"),FALSE)</f>
        <v>0</v>
      </c>
      <c r="E396" s="26" t="str">
        <f t="array" ref="E396">_xlfn.XLOOKUP(
 A396,
 tblTargets[TargetID],
 tblTargets[TargetType],
 ""
)</f>
        <v>STATE</v>
      </c>
      <c r="F396" s="26" t="str">
        <f t="array" ref="F396">_xlfn.XLOOKUP(
 A396,
 tblTargets[TargetID],
 tblTargets[StateType],
 ""
)</f>
        <v>CHARACTER</v>
      </c>
      <c r="G396" s="26">
        <f>LET(
 id,A396,
 depCount,COUNTIF(tblDependencies[TargetID],id),
 objCount,COUNTIF(tblQuestObjectives[QuestTargetID],id),
 depCount+objCount
)</f>
        <v>0</v>
      </c>
      <c r="H396" s="26">
        <f t="shared" si="2"/>
        <v>0</v>
      </c>
      <c r="I396" s="26">
        <f>IFERROR(__xludf.DUMMYFUNCTION("LET(
 id,A396,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6" s="26">
        <f t="shared" si="3"/>
        <v>0</v>
      </c>
      <c r="K396" s="26" t="b">
        <f t="shared" si="4"/>
        <v>1</v>
      </c>
      <c r="L396" s="26">
        <f t="shared" si="5"/>
        <v>0</v>
      </c>
      <c r="M396" s="26" t="str">
        <f>IFERROR(__xludf.DUMMYFUNCTION("LET(
 id,A396,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L396=0,
  """",
  IFERROR(INDEX(incomplete,1),"""")"&amp;"
 )
)"),"")</f>
        <v/>
      </c>
      <c r="N396" s="26" t="str">
        <f t="array" ref="N396">IF(
 M396="",
 "",
 _xlfn.XLOOKUP(
  M396,
  tblTargets[TargetID],
  tblTargets[DisplayName],
  M396
 )
)</f>
        <v/>
      </c>
      <c r="O396" s="26" t="str">
        <f>IFERROR(__xludf.DUMMYFUNCTION("SWITCH(
 E396,
 ""BUILDING"",XLOOKUP(A396,tblBuildings[BuildingID],tblBuildings[costtext],""""),
 ""TECH"",XLOOKUP(A396,tblTechnologies[TechnologyID],tblTechnologies[costtext],""""),
 ""QUEST"",XLOOKUP(
  REGEXREPLACE(A396,""\.[^.]+$"",""""),
  tblQuests["&amp;"QuestID],
  tblQuests[Costtext],
  """"
 ),
 ""CITADEL"",XLOOKUP(A396,tblCitadel[CitadelID],tblCitadel[costtext],""""),
 ""COLLECTION"",XLOOKUP(A396,tblCollections[CollectionID],tblCollections[costtext],""""),
 ""CRAFTIFACT"",XLOOKUP(A396,tblCraftifacts[C"&amp;"raftifactID],tblCraftifacts[costtext],""""),
 """"
)"),"")</f>
        <v/>
      </c>
      <c r="P396" s="26" t="str">
        <f t="shared" si="6"/>
        <v/>
      </c>
      <c r="Q396" s="26" t="str">
        <f t="shared" si="7"/>
        <v>READY</v>
      </c>
      <c r="R396" s="26" t="str">
        <f t="array" ref="R396">IFERROR(
 _xlfn.XLOOKUP(
  A396,
  tblChecklist[TargetID],
  tblChecklist[PlayerSort],
  ""
 ),
 ""
)</f>
        <v/>
      </c>
      <c r="S396" s="26" t="str">
        <f>IFERROR(__xludf.DUMMYFUNCTION("LET(
 id,A396,
 successorIDs,
  IFERROR(
   UNIQUE(
    FILTER(
     {
      Dependencies!$A$2:$A$1000;
      QuestObjectives!$A$2:$A$1000
     },
     {
      Dependencies!$B$2:$B$1000;
      QuestObjectives!$E$2:$E$1000
     }=id
    )
   ),
   """"
  )"&amp;",
 names,
  MAP(
   successorIDs,
   LAMBDA(s,
    IF(
     s="""",
     """",
     XLOOKUP(
      s,
      $A$2:$A$1000,
      $B$2:$B$1000,
      s
     )
    )
   )
  ),
 IF(
  successorIDs="""",
  """",
  TEXTJOIN("", "",TRUE,names)
 )
)"),"Bridge Lv 1, Caravan Lv 1, Dungeon Lv 3")</f>
        <v>Bridge Lv 1, Caravan Lv 1, Dungeon Lv 3</v>
      </c>
      <c r="T396" s="26" t="str">
        <f t="array" ref="T396">_xlfn.XLOOKUP(
 A396,
 tblTargets[TargetID],
 tblTargets[CompletionMethod],
 ""
)</f>
        <v>PLAYER</v>
      </c>
      <c r="U396" s="84" t="b">
        <f>COUNTIF(tblCost[TargetID],A396)&gt;0</f>
        <v>0</v>
      </c>
      <c r="V396" s="85" t="str">
        <f t="array" ref="V396">IF(
 U396=FALSE,
 "",
 _xlfn.XLOOKUP(
  A396,
  tblCost[TargetID],
  tblCost[FundingPercent],
  ""
 )
)</f>
        <v/>
      </c>
      <c r="W396" s="26" t="str">
        <f t="array" ref="W396">IF(
 U396=FALSE,
 "",
 _xlfn.XLOOKUP(
  A396,
  tblCost[TargetID],
  tblCost[RemainingRequirements],
  ""
 )
)</f>
        <v/>
      </c>
      <c r="X396" s="45" t="str">
        <f t="array" ref="X396">IF(
 U396=FALSE,
 "N/A",
 _xlfn.XLOOKUP(
  A397,
  tblCost[TargetID],
  tblCost[TargetFunded],
  FALSE
 )
)</f>
        <v>N/A</v>
      </c>
      <c r="Y396" s="26" t="str">
        <f>IFERROR(__xludf.DUMMYFUNCTION("IFERROR(
 TEXTJOIN(
  "", "",
  TRUE,
  FILTER(
   'cost checklist'!$E$2:$E1000&amp;"": ""&amp;'cost checklist'!$G$2:$G1000,
   'cost checklist'!$B$2:$B1000=A396,
   'cost checklist'!$J$2:$J1000=FALSE
  )
 ),
 """"
)"),"")</f>
        <v/>
      </c>
      <c r="Z396" s="26" t="b">
        <f>IFERROR(__xludf.DUMMYFUNCTION("IF(
 AND(
  E396=""QUEST"",
  RIGHT(A396,9)="".accepted"",
  D396=TRUE
 ),
 XLOOKUP(
  REGEXREPLACE(A396,""\.accepted$"","""")&amp;"".finished"",
  $A$2:$A1000,
  $D$2:$D1000,
  TRUE
 )=FALSE,
 FALSE
)"),FALSE)</f>
        <v>0</v>
      </c>
      <c r="AA396" s="26" t="str">
        <f>IFERROR(__xludf.DUMMYFUNCTION("LET(
 id,A396,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7" ht="14.25" customHeight="1">
      <c r="A397" s="26" t="s">
        <v>1418</v>
      </c>
      <c r="B397" s="26" t="str">
        <f t="array" ref="B397">_xlfn.XLOOKUP(
 A397,
 tblTargets[TargetID],
 tblTargets[DisplayName],
 ""
)</f>
        <v>Character Level@31</v>
      </c>
      <c r="C397" s="26" t="str">
        <f t="shared" si="1"/>
        <v>READY</v>
      </c>
      <c r="D397" s="26" t="b">
        <f>IFERROR(__xludf.DUMMYFUNCTION("LET(
 id,A397,
 IF(
  F397=""CHARACTER"",
  LET(
   base,REGEXREPLACE(id,""@\d+$"",""""),
   required,VALUE(REGEXEXTRACT(id,""@(\d+)$"")),
   current,XLOOKUP(
    base,
    tblPlayer[PlayerStateID],
    tblPlayer[Value],
    0
   ),
   current&gt;=required
 "&amp;" ),
  IF(
   T397=""AUTO"",
   L397=0,
   COUNTIFS(
    tblChecklist[TargetID],id,
    tblChecklist[PlayerCompleted],TRUE
   )&gt;0
  )
 )
)"),FALSE)</f>
        <v>0</v>
      </c>
      <c r="E397" s="26" t="str">
        <f t="array" ref="E397">_xlfn.XLOOKUP(
 A397,
 tblTargets[TargetID],
 tblTargets[TargetType],
 ""
)</f>
        <v>STATE</v>
      </c>
      <c r="F397" s="26" t="str">
        <f t="array" ref="F397">_xlfn.XLOOKUP(
 A397,
 tblTargets[TargetID],
 tblTargets[StateType],
 ""
)</f>
        <v>CHARACTER</v>
      </c>
      <c r="G397" s="26">
        <f>LET(
 id,A397,
 depCount,COUNTIF(tblDependencies[TargetID],id),
 objCount,COUNTIF(tblQuestObjectives[QuestTargetID],id),
 depCount+objCount
)</f>
        <v>0</v>
      </c>
      <c r="H397" s="26">
        <f t="shared" si="2"/>
        <v>0</v>
      </c>
      <c r="I397" s="26">
        <f>IFERROR(__xludf.DUMMYFUNCTION("LET(
 id,A397,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7" s="26">
        <f t="shared" si="3"/>
        <v>0</v>
      </c>
      <c r="K397" s="26" t="b">
        <f t="shared" si="4"/>
        <v>1</v>
      </c>
      <c r="L397" s="26">
        <f t="shared" si="5"/>
        <v>0</v>
      </c>
      <c r="M397" s="26" t="str">
        <f>IFERROR(__xludf.DUMMYFUNCTION("LET(
 id,A397,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L397=0,
  """",
  IFERROR(INDEX(incomplete,1),"""")"&amp;"
 )
)"),"")</f>
        <v/>
      </c>
      <c r="N397" s="26" t="str">
        <f t="array" ref="N397">IF(
 M397="",
 "",
 _xlfn.XLOOKUP(
  M397,
  tblTargets[TargetID],
  tblTargets[DisplayName],
  M397
 )
)</f>
        <v/>
      </c>
      <c r="O397" s="26" t="str">
        <f>IFERROR(__xludf.DUMMYFUNCTION("SWITCH(
 E397,
 ""BUILDING"",XLOOKUP(A397,tblBuildings[BuildingID],tblBuildings[costtext],""""),
 ""TECH"",XLOOKUP(A397,tblTechnologies[TechnologyID],tblTechnologies[costtext],""""),
 ""QUEST"",XLOOKUP(
  REGEXREPLACE(A397,""\.[^.]+$"",""""),
  tblQuests["&amp;"QuestID],
  tblQuests[Costtext],
  """"
 ),
 ""CITADEL"",XLOOKUP(A397,tblCitadel[CitadelID],tblCitadel[costtext],""""),
 ""COLLECTION"",XLOOKUP(A397,tblCollections[CollectionID],tblCollections[costtext],""""),
 ""CRAFTIFACT"",XLOOKUP(A397,tblCraftifacts[C"&amp;"raftifactID],tblCraftifacts[costtext],""""),
 """"
)"),"")</f>
        <v/>
      </c>
      <c r="P397" s="26" t="str">
        <f t="shared" si="6"/>
        <v/>
      </c>
      <c r="Q397" s="26" t="str">
        <f t="shared" si="7"/>
        <v>READY</v>
      </c>
      <c r="R397" s="26" t="str">
        <f t="array" ref="R397">IFERROR(
 _xlfn.XLOOKUP(
  A397,
  tblChecklist[TargetID],
  tblChecklist[PlayerSort],
  ""
 ),
 ""
)</f>
        <v/>
      </c>
      <c r="S397" s="26" t="str">
        <f>IFERROR(__xludf.DUMMYFUNCTION("LET(
 id,A397,
 successorIDs,
  IFERROR(
   UNIQUE(
    FILTER(
     {
      Dependencies!$A$2:$A$1000;
      QuestObjectives!$A$2:$A$1000
     },
     {
      Dependencies!$B$2:$B$1000;
      QuestObjectives!$E$2:$E$1000
     }=id
    )
   ),
   """"
  )"&amp;",
 names,
  MAP(
   successorIDs,
   LAMBDA(s,
    IF(
     s="""",
     """",
     XLOOKUP(
      s,
      $A$2:$A$1000,
      $B$2:$B$1000,
      s
     )
    )
   )
  ),
 IF(
  successorIDs="""",
  """",
  TEXTJOIN("", "",TRUE,names)
 )
)"),"Outpost Lv 1")</f>
        <v>Outpost Lv 1</v>
      </c>
      <c r="T397" s="26" t="str">
        <f t="array" ref="T397">_xlfn.XLOOKUP(
 A397,
 tblTargets[TargetID],
 tblTargets[CompletionMethod],
 ""
)</f>
        <v>PLAYER</v>
      </c>
      <c r="U397" s="84" t="b">
        <f>COUNTIF(tblCost[TargetID],A397)&gt;0</f>
        <v>0</v>
      </c>
      <c r="V397" s="85" t="str">
        <f t="array" ref="V397">IF(
 U397=FALSE,
 "",
 _xlfn.XLOOKUP(
  A397,
  tblCost[TargetID],
  tblCost[FundingPercent],
  ""
 )
)</f>
        <v/>
      </c>
      <c r="W397" s="26" t="str">
        <f t="array" ref="W397">IF(
 U397=FALSE,
 "",
 _xlfn.XLOOKUP(
  A397,
  tblCost[TargetID],
  tblCost[RemainingRequirements],
  ""
 )
)</f>
        <v/>
      </c>
      <c r="X397" s="45" t="str">
        <f t="array" ref="X397">IF(
 U397=FALSE,
 "N/A",
 _xlfn.XLOOKUP(
  A398,
  tblCost[TargetID],
  tblCost[TargetFunded],
  FALSE
 )
)</f>
        <v>N/A</v>
      </c>
      <c r="Y397" s="26" t="str">
        <f>IFERROR(__xludf.DUMMYFUNCTION("IFERROR(
 TEXTJOIN(
  "", "",
  TRUE,
  FILTER(
   'cost checklist'!$E$2:$E1000&amp;"": ""&amp;'cost checklist'!$G$2:$G1000,
   'cost checklist'!$B$2:$B1000=A397,
   'cost checklist'!$J$2:$J1000=FALSE
  )
 ),
 """"
)"),"")</f>
        <v/>
      </c>
      <c r="Z397" s="26" t="b">
        <f>IFERROR(__xludf.DUMMYFUNCTION("IF(
 AND(
  E397=""QUEST"",
  RIGHT(A397,9)="".accepted"",
  D397=TRUE
 ),
 XLOOKUP(
  REGEXREPLACE(A397,""\.accepted$"","""")&amp;"".finished"",
  $A$2:$A1000,
  $D$2:$D1000,
  TRUE
 )=FALSE,
 FALSE
)"),FALSE)</f>
        <v>0</v>
      </c>
      <c r="AA397" s="26" t="str">
        <f>IFERROR(__xludf.DUMMYFUNCTION("LET(
 id,A397,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8" ht="14.25" customHeight="1">
      <c r="A398" s="26" t="s">
        <v>1420</v>
      </c>
      <c r="B398" s="26" t="str">
        <f t="array" ref="B398">_xlfn.XLOOKUP(
 A398,
 tblTargets[TargetID],
 tblTargets[DisplayName],
 ""
)</f>
        <v>Character Level@32</v>
      </c>
      <c r="C398" s="26" t="str">
        <f t="shared" si="1"/>
        <v>READY</v>
      </c>
      <c r="D398" s="26" t="b">
        <f>IFERROR(__xludf.DUMMYFUNCTION("LET(
 id,A398,
 IF(
  F398=""CHARACTER"",
  LET(
   base,REGEXREPLACE(id,""@\d+$"",""""),
   required,VALUE(REGEXEXTRACT(id,""@(\d+)$"")),
   current,XLOOKUP(
    base,
    tblPlayer[PlayerStateID],
    tblPlayer[Value],
    0
   ),
   current&gt;=required
 "&amp;" ),
  IF(
   T398=""AUTO"",
   L398=0,
   COUNTIFS(
    tblChecklist[TargetID],id,
    tblChecklist[PlayerCompleted],TRUE
   )&gt;0
  )
 )
)"),FALSE)</f>
        <v>0</v>
      </c>
      <c r="E398" s="26" t="str">
        <f t="array" ref="E398">_xlfn.XLOOKUP(
 A398,
 tblTargets[TargetID],
 tblTargets[TargetType],
 ""
)</f>
        <v>STATE</v>
      </c>
      <c r="F398" s="26" t="str">
        <f t="array" ref="F398">_xlfn.XLOOKUP(
 A398,
 tblTargets[TargetID],
 tblTargets[StateType],
 ""
)</f>
        <v>CHARACTER</v>
      </c>
      <c r="G398" s="26">
        <f>LET(
 id,A398,
 depCount,COUNTIF(tblDependencies[TargetID],id),
 objCount,COUNTIF(tblQuestObjectives[QuestTargetID],id),
 depCount+objCount
)</f>
        <v>0</v>
      </c>
      <c r="H398" s="26">
        <f t="shared" si="2"/>
        <v>0</v>
      </c>
      <c r="I398" s="26">
        <f>IFERROR(__xludf.DUMMYFUNCTION("LET(
 id,A398,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8" s="26">
        <f t="shared" si="3"/>
        <v>0</v>
      </c>
      <c r="K398" s="26" t="b">
        <f t="shared" si="4"/>
        <v>1</v>
      </c>
      <c r="L398" s="26">
        <f t="shared" si="5"/>
        <v>0</v>
      </c>
      <c r="M398" s="26" t="str">
        <f>IFERROR(__xludf.DUMMYFUNCTION("LET(
 id,A398,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L398=0,
  """",
  IFERROR(INDEX(incomplete,1),"""")"&amp;"
 )
)"),"")</f>
        <v/>
      </c>
      <c r="N398" s="26" t="str">
        <f t="array" ref="N398">IF(
 M398="",
 "",
 _xlfn.XLOOKUP(
  M398,
  tblTargets[TargetID],
  tblTargets[DisplayName],
  M398
 )
)</f>
        <v/>
      </c>
      <c r="O398" s="26" t="str">
        <f>IFERROR(__xludf.DUMMYFUNCTION("SWITCH(
 E398,
 ""BUILDING"",XLOOKUP(A398,tblBuildings[BuildingID],tblBuildings[costtext],""""),
 ""TECH"",XLOOKUP(A398,tblTechnologies[TechnologyID],tblTechnologies[costtext],""""),
 ""QUEST"",XLOOKUP(
  REGEXREPLACE(A398,""\.[^.]+$"",""""),
  tblQuests["&amp;"QuestID],
  tblQuests[Costtext],
  """"
 ),
 ""CITADEL"",XLOOKUP(A398,tblCitadel[CitadelID],tblCitadel[costtext],""""),
 ""COLLECTION"",XLOOKUP(A398,tblCollections[CollectionID],tblCollections[costtext],""""),
 ""CRAFTIFACT"",XLOOKUP(A398,tblCraftifacts[C"&amp;"raftifactID],tblCraftifacts[costtext],""""),
 """"
)"),"")</f>
        <v/>
      </c>
      <c r="P398" s="26" t="str">
        <f t="shared" si="6"/>
        <v/>
      </c>
      <c r="Q398" s="26" t="str">
        <f t="shared" si="7"/>
        <v>READY</v>
      </c>
      <c r="R398" s="26" t="str">
        <f t="array" ref="R398">IFERROR(
 _xlfn.XLOOKUP(
  A398,
  tblChecklist[TargetID],
  tblChecklist[PlayerSort],
  ""
 ),
 ""
)</f>
        <v/>
      </c>
      <c r="S398" s="26" t="str">
        <f>IFERROR(__xludf.DUMMYFUNCTION("LET(
 id,A398,
 successorIDs,
  IFERROR(
   UNIQUE(
    FILTER(
     {
      Dependencies!$A$2:$A$1000;
      QuestObjectives!$A$2:$A$1000
     },
     {
      Dependencies!$B$2:$B$1000;
      QuestObjectives!$E$2:$E$1000
     }=id
    )
   ),
   """"
  )"&amp;",
 names,
  MAP(
   successorIDs,
   LAMBDA(s,
    IF(
     s="""",
     """",
     XLOOKUP(
      s,
      $A$2:$A$1000,
      $B$2:$B$1000,
      s
     )
    )
   )
  ),
 IF(
  successorIDs="""",
  """",
  TEXTJOIN("", "",TRUE,names)
 )
)"),"Alchemist's Hut Lv 6, Tailor Lv 1")</f>
        <v>Alchemist's Hut Lv 6, Tailor Lv 1</v>
      </c>
      <c r="T398" s="26" t="str">
        <f t="array" ref="T398">_xlfn.XLOOKUP(
 A398,
 tblTargets[TargetID],
 tblTargets[CompletionMethod],
 ""
)</f>
        <v>PLAYER</v>
      </c>
      <c r="U398" s="84" t="b">
        <f>COUNTIF(tblCost[TargetID],A398)&gt;0</f>
        <v>0</v>
      </c>
      <c r="V398" s="85" t="str">
        <f t="array" ref="V398">IF(
 U398=FALSE,
 "",
 _xlfn.XLOOKUP(
  A398,
  tblCost[TargetID],
  tblCost[FundingPercent],
  ""
 )
)</f>
        <v/>
      </c>
      <c r="W398" s="26" t="str">
        <f t="array" ref="W398">IF(
 U398=FALSE,
 "",
 _xlfn.XLOOKUP(
  A398,
  tblCost[TargetID],
  tblCost[RemainingRequirements],
  ""
 )
)</f>
        <v/>
      </c>
      <c r="X398" s="45" t="str">
        <f t="array" ref="X398">IF(
 U398=FALSE,
 "N/A",
 _xlfn.XLOOKUP(
  A399,
  tblCost[TargetID],
  tblCost[TargetFunded],
  FALSE
 )
)</f>
        <v>N/A</v>
      </c>
      <c r="Y398" s="26" t="str">
        <f>IFERROR(__xludf.DUMMYFUNCTION("IFERROR(
 TEXTJOIN(
  "", "",
  TRUE,
  FILTER(
   'cost checklist'!$E$2:$E1000&amp;"": ""&amp;'cost checklist'!$G$2:$G1000,
   'cost checklist'!$B$2:$B1000=A398,
   'cost checklist'!$J$2:$J1000=FALSE
  )
 ),
 """"
)"),"")</f>
        <v/>
      </c>
      <c r="Z398" s="26" t="b">
        <f>IFERROR(__xludf.DUMMYFUNCTION("IF(
 AND(
  E398=""QUEST"",
  RIGHT(A398,9)="".accepted"",
  D398=TRUE
 ),
 XLOOKUP(
  REGEXREPLACE(A398,""\.accepted$"","""")&amp;"".finished"",
  $A$2:$A1000,
  $D$2:$D1000,
  TRUE
 )=FALSE,
 FALSE
)"),FALSE)</f>
        <v>0</v>
      </c>
      <c r="AA398" s="26" t="str">
        <f>IFERROR(__xludf.DUMMYFUNCTION("LET(
 id,A398,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399" ht="14.25" customHeight="1">
      <c r="A399" s="26" t="s">
        <v>1422</v>
      </c>
      <c r="B399" s="26" t="str">
        <f t="array" ref="B399">_xlfn.XLOOKUP(
 A399,
 tblTargets[TargetID],
 tblTargets[DisplayName],
 ""
)</f>
        <v>Character Level@4</v>
      </c>
      <c r="C399" s="26" t="str">
        <f t="shared" si="1"/>
        <v>READY</v>
      </c>
      <c r="D399" s="26" t="b">
        <f>IFERROR(__xludf.DUMMYFUNCTION("LET(
 id,A399,
 IF(
  F399=""CHARACTER"",
  LET(
   base,REGEXREPLACE(id,""@\d+$"",""""),
   required,VALUE(REGEXEXTRACT(id,""@(\d+)$"")),
   current,XLOOKUP(
    base,
    tblPlayer[PlayerStateID],
    tblPlayer[Value],
    0
   ),
   current&gt;=required
 "&amp;" ),
  IF(
   T399=""AUTO"",
   L399=0,
   COUNTIFS(
    tblChecklist[TargetID],id,
    tblChecklist[PlayerCompleted],TRUE
   )&gt;0
  )
 )
)"),FALSE)</f>
        <v>0</v>
      </c>
      <c r="E399" s="26" t="str">
        <f t="array" ref="E399">_xlfn.XLOOKUP(
 A399,
 tblTargets[TargetID],
 tblTargets[TargetType],
 ""
)</f>
        <v>STATE</v>
      </c>
      <c r="F399" s="26" t="str">
        <f t="array" ref="F399">_xlfn.XLOOKUP(
 A399,
 tblTargets[TargetID],
 tblTargets[StateType],
 ""
)</f>
        <v>CHARACTER</v>
      </c>
      <c r="G399" s="26">
        <f>LET(
 id,A399,
 depCount,COUNTIF(tblDependencies[TargetID],id),
 objCount,COUNTIF(tblQuestObjectives[QuestTargetID],id),
 depCount+objCount
)</f>
        <v>0</v>
      </c>
      <c r="H399" s="26">
        <f t="shared" si="2"/>
        <v>0</v>
      </c>
      <c r="I399" s="26">
        <f>IFERROR(__xludf.DUMMYFUNCTION("LET(
 id,A399,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399" s="26">
        <f t="shared" si="3"/>
        <v>0</v>
      </c>
      <c r="K399" s="26" t="b">
        <f t="shared" si="4"/>
        <v>1</v>
      </c>
      <c r="L399" s="26">
        <f t="shared" si="5"/>
        <v>0</v>
      </c>
      <c r="M399" s="26" t="str">
        <f>IFERROR(__xludf.DUMMYFUNCTION("LET(
 id,A399,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L399=0,
  """",
  IFERROR(INDEX(incomplete,1),"""")"&amp;"
 )
)"),"")</f>
        <v/>
      </c>
      <c r="N399" s="26" t="str">
        <f t="array" ref="N399">IF(
 M399="",
 "",
 _xlfn.XLOOKUP(
  M399,
  tblTargets[TargetID],
  tblTargets[DisplayName],
  M399
 )
)</f>
        <v/>
      </c>
      <c r="O399" s="26" t="str">
        <f>IFERROR(__xludf.DUMMYFUNCTION("SWITCH(
 E399,
 ""BUILDING"",XLOOKUP(A399,tblBuildings[BuildingID],tblBuildings[costtext],""""),
 ""TECH"",XLOOKUP(A399,tblTechnologies[TechnologyID],tblTechnologies[costtext],""""),
 ""QUEST"",XLOOKUP(
  REGEXREPLACE(A399,""\.[^.]+$"",""""),
  tblQuests["&amp;"QuestID],
  tblQuests[Costtext],
  """"
 ),
 ""CITADEL"",XLOOKUP(A399,tblCitadel[CitadelID],tblCitadel[costtext],""""),
 ""COLLECTION"",XLOOKUP(A399,tblCollections[CollectionID],tblCollections[costtext],""""),
 ""CRAFTIFACT"",XLOOKUP(A399,tblCraftifacts[C"&amp;"raftifactID],tblCraftifacts[costtext],""""),
 """"
)"),"")</f>
        <v/>
      </c>
      <c r="P399" s="26" t="str">
        <f t="shared" si="6"/>
        <v/>
      </c>
      <c r="Q399" s="26" t="str">
        <f t="shared" si="7"/>
        <v>READY</v>
      </c>
      <c r="R399" s="26" t="str">
        <f t="array" ref="R399">IFERROR(
 _xlfn.XLOOKUP(
  A399,
  tblChecklist[TargetID],
  tblChecklist[PlayerSort],
  ""
 ),
 ""
)</f>
        <v/>
      </c>
      <c r="S399" s="26" t="str">
        <f>IFERROR(__xludf.DUMMYFUNCTION("LET(
 id,A399,
 successorIDs,
  IFERROR(
   UNIQUE(
    FILTER(
     {
      Dependencies!$A$2:$A$1000;
      QuestObjectives!$A$2:$A$1000
     },
     {
      Dependencies!$B$2:$B$1000;
      QuestObjectives!$E$2:$E$1000
     }=id
    )
   ),
   """"
  )"&amp;",
 names,
  MAP(
   successorIDs,
   LAMBDA(s,
    IF(
     s="""",
     """",
     XLOOKUP(
      s,
      $A$2:$A$1000,
      $B$2:$B$1000,
      s
     )
    )
   )
  ),
 IF(
  successorIDs="""",
  """",
  TEXTJOIN("", "",TRUE,names)
 )
)"),"Pagoda Lv 1")</f>
        <v>Pagoda Lv 1</v>
      </c>
      <c r="T399" s="26" t="str">
        <f t="array" ref="T399">_xlfn.XLOOKUP(
 A399,
 tblTargets[TargetID],
 tblTargets[CompletionMethod],
 ""
)</f>
        <v>PLAYER</v>
      </c>
      <c r="U399" s="84" t="b">
        <f>COUNTIF(tblCost[TargetID],A399)&gt;0</f>
        <v>0</v>
      </c>
      <c r="V399" s="85" t="str">
        <f t="array" ref="V399">IF(
 U399=FALSE,
 "",
 _xlfn.XLOOKUP(
  A399,
  tblCost[TargetID],
  tblCost[FundingPercent],
  ""
 )
)</f>
        <v/>
      </c>
      <c r="W399" s="26" t="str">
        <f t="array" ref="W399">IF(
 U399=FALSE,
 "",
 _xlfn.XLOOKUP(
  A399,
  tblCost[TargetID],
  tblCost[RemainingRequirements],
  ""
 )
)</f>
        <v/>
      </c>
      <c r="X399" s="45" t="str">
        <f t="array" ref="X399">IF(
 U399=FALSE,
 "N/A",
 _xlfn.XLOOKUP(
  A400,
  tblCost[TargetID],
  tblCost[TargetFunded],
  FALSE
 )
)</f>
        <v>N/A</v>
      </c>
      <c r="Y399" s="26" t="str">
        <f>IFERROR(__xludf.DUMMYFUNCTION("IFERROR(
 TEXTJOIN(
  "", "",
  TRUE,
  FILTER(
   'cost checklist'!$E$2:$E1000&amp;"": ""&amp;'cost checklist'!$G$2:$G1000,
   'cost checklist'!$B$2:$B1000=A399,
   'cost checklist'!$J$2:$J1000=FALSE
  )
 ),
 """"
)"),"")</f>
        <v/>
      </c>
      <c r="Z399" s="26" t="b">
        <f>IFERROR(__xludf.DUMMYFUNCTION("IF(
 AND(
  E399=""QUEST"",
  RIGHT(A399,9)="".accepted"",
  D399=TRUE
 ),
 XLOOKUP(
  REGEXREPLACE(A399,""\.accepted$"","""")&amp;"".finished"",
  $A$2:$A1000,
  $D$2:$D1000,
  TRUE
 )=FALSE,
 FALSE
)"),FALSE)</f>
        <v>0</v>
      </c>
      <c r="AA399" s="26" t="str">
        <f>IFERROR(__xludf.DUMMYFUNCTION("LET(
 id,A399,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0" ht="14.25" customHeight="1">
      <c r="A400" s="26" t="s">
        <v>1424</v>
      </c>
      <c r="B400" s="26" t="str">
        <f t="array" ref="B400">_xlfn.XLOOKUP(
 A400,
 tblTargets[TargetID],
 tblTargets[DisplayName],
 ""
)</f>
        <v>Character Level@40</v>
      </c>
      <c r="C400" s="26" t="str">
        <f t="shared" si="1"/>
        <v>READY</v>
      </c>
      <c r="D400" s="26" t="b">
        <f>IFERROR(__xludf.DUMMYFUNCTION("LET(
 id,A400,
 IF(
  F400=""CHARACTER"",
  LET(
   base,REGEXREPLACE(id,""@\d+$"",""""),
   required,VALUE(REGEXEXTRACT(id,""@(\d+)$"")),
   current,XLOOKUP(
    base,
    tblPlayer[PlayerStateID],
    tblPlayer[Value],
    0
   ),
   current&gt;=required
 "&amp;" ),
  IF(
   T400=""AUTO"",
   L400=0,
   COUNTIFS(
    tblChecklist[TargetID],id,
    tblChecklist[PlayerCompleted],TRUE
   )&gt;0
  )
 )
)"),FALSE)</f>
        <v>0</v>
      </c>
      <c r="E400" s="26" t="str">
        <f t="array" ref="E400">_xlfn.XLOOKUP(
 A400,
 tblTargets[TargetID],
 tblTargets[TargetType],
 ""
)</f>
        <v>STATE</v>
      </c>
      <c r="F400" s="26" t="str">
        <f t="array" ref="F400">_xlfn.XLOOKUP(
 A400,
 tblTargets[TargetID],
 tblTargets[StateType],
 ""
)</f>
        <v>CHARACTER</v>
      </c>
      <c r="G400" s="26">
        <f>LET(
 id,A400,
 depCount,COUNTIF(tblDependencies[TargetID],id),
 objCount,COUNTIF(tblQuestObjectives[QuestTargetID],id),
 depCount+objCount
)</f>
        <v>0</v>
      </c>
      <c r="H400" s="26">
        <f t="shared" si="2"/>
        <v>0</v>
      </c>
      <c r="I400" s="26">
        <f>IFERROR(__xludf.DUMMYFUNCTION("LET(
 id,A400,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0" s="26">
        <f t="shared" si="3"/>
        <v>0</v>
      </c>
      <c r="K400" s="26" t="b">
        <f t="shared" si="4"/>
        <v>1</v>
      </c>
      <c r="L400" s="26">
        <f t="shared" si="5"/>
        <v>0</v>
      </c>
      <c r="M400" s="26" t="str">
        <f>IFERROR(__xludf.DUMMYFUNCTION("LET(
 id,A400,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L400=0,
  """",
  IFERROR(INDEX(incomplete,1),"""")"&amp;"
 )
)"),"")</f>
        <v/>
      </c>
      <c r="N400" s="26" t="str">
        <f t="array" ref="N400">IF(
 M400="",
 "",
 _xlfn.XLOOKUP(
  M400,
  tblTargets[TargetID],
  tblTargets[DisplayName],
  M400
 )
)</f>
        <v/>
      </c>
      <c r="O400" s="26" t="str">
        <f>IFERROR(__xludf.DUMMYFUNCTION("SWITCH(
 E400,
 ""BUILDING"",XLOOKUP(A400,tblBuildings[BuildingID],tblBuildings[costtext],""""),
 ""TECH"",XLOOKUP(A400,tblTechnologies[TechnologyID],tblTechnologies[costtext],""""),
 ""QUEST"",XLOOKUP(
  REGEXREPLACE(A400,""\.[^.]+$"",""""),
  tblQuests["&amp;"QuestID],
  tblQuests[Costtext],
  """"
 ),
 ""CITADEL"",XLOOKUP(A400,tblCitadel[CitadelID],tblCitadel[costtext],""""),
 ""COLLECTION"",XLOOKUP(A400,tblCollections[CollectionID],tblCollections[costtext],""""),
 ""CRAFTIFACT"",XLOOKUP(A400,tblCraftifacts[C"&amp;"raftifactID],tblCraftifacts[costtext],""""),
 """"
)"),"")</f>
        <v/>
      </c>
      <c r="P400" s="26" t="str">
        <f t="shared" si="6"/>
        <v/>
      </c>
      <c r="Q400" s="26" t="str">
        <f t="shared" si="7"/>
        <v>READY</v>
      </c>
      <c r="R400" s="26" t="str">
        <f t="array" ref="R400">IFERROR(
 _xlfn.XLOOKUP(
  A400,
  tblChecklist[TargetID],
  tblChecklist[PlayerSort],
  ""
 ),
 ""
)</f>
        <v/>
      </c>
      <c r="S400" s="26" t="str">
        <f>IFERROR(__xludf.DUMMYFUNCTION("LET(
 id,A400,
 successorIDs,
  IFERROR(
   UNIQUE(
    FILTER(
     {
      Dependencies!$A$2:$A$1000;
      QuestObjectives!$A$2:$A$1000
     },
     {
      Dependencies!$B$2:$B$1000;
      QuestObjectives!$E$2:$E$1000
     }=id
    )
   ),
   """"
  )"&amp;",
 names,
  MAP(
   successorIDs,
   LAMBDA(s,
    IF(
     s="""",
     """",
     XLOOKUP(
      s,
      $A$2:$A$1000,
      $B$2:$B$1000,
      s
     )
    )
   )
  ),
 IF(
  successorIDs="""",
  """",
  TEXTJOIN("", "",TRUE,names)
 )
)"),"Airship Lv 1, Airship Lv 2, Dungeon Lv 4")</f>
        <v>Airship Lv 1, Airship Lv 2, Dungeon Lv 4</v>
      </c>
      <c r="T400" s="26" t="str">
        <f t="array" ref="T400">_xlfn.XLOOKUP(
 A400,
 tblTargets[TargetID],
 tblTargets[CompletionMethod],
 ""
)</f>
        <v>PLAYER</v>
      </c>
      <c r="U400" s="84" t="b">
        <f>COUNTIF(tblCost[TargetID],A400)&gt;0</f>
        <v>0</v>
      </c>
      <c r="V400" s="85" t="str">
        <f t="array" ref="V400">IF(
 U400=FALSE,
 "",
 _xlfn.XLOOKUP(
  A400,
  tblCost[TargetID],
  tblCost[FundingPercent],
  ""
 )
)</f>
        <v/>
      </c>
      <c r="W400" s="26" t="str">
        <f t="array" ref="W400">IF(
 U400=FALSE,
 "",
 _xlfn.XLOOKUP(
  A400,
  tblCost[TargetID],
  tblCost[RemainingRequirements],
  ""
 )
)</f>
        <v/>
      </c>
      <c r="X400" s="45" t="str">
        <f t="array" ref="X400">IF(
 U400=FALSE,
 "N/A",
 _xlfn.XLOOKUP(
  A401,
  tblCost[TargetID],
  tblCost[TargetFunded],
  FALSE
 )
)</f>
        <v>N/A</v>
      </c>
      <c r="Y400" s="26" t="str">
        <f>IFERROR(__xludf.DUMMYFUNCTION("IFERROR(
 TEXTJOIN(
  "", "",
  TRUE,
  FILTER(
   'cost checklist'!$E$2:$E1000&amp;"": ""&amp;'cost checklist'!$G$2:$G1000,
   'cost checklist'!$B$2:$B1000=A400,
   'cost checklist'!$J$2:$J1000=FALSE
  )
 ),
 """"
)"),"")</f>
        <v/>
      </c>
      <c r="Z400" s="26" t="b">
        <f>IFERROR(__xludf.DUMMYFUNCTION("IF(
 AND(
  E400=""QUEST"",
  RIGHT(A400,9)="".accepted"",
  D400=TRUE
 ),
 XLOOKUP(
  REGEXREPLACE(A400,""\.accepted$"","""")&amp;"".finished"",
  $A$2:$A1000,
  $D$2:$D1000,
  TRUE
 )=FALSE,
 FALSE
)"),FALSE)</f>
        <v>0</v>
      </c>
      <c r="AA400" s="26" t="str">
        <f>IFERROR(__xludf.DUMMYFUNCTION("LET(
 id,A400,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1" ht="14.25" customHeight="1">
      <c r="A401" s="26" t="s">
        <v>1426</v>
      </c>
      <c r="B401" s="26" t="str">
        <f t="array" ref="B401">_xlfn.XLOOKUP(
 A401,
 tblTargets[TargetID],
 tblTargets[DisplayName],
 ""
)</f>
        <v>Character Level@5</v>
      </c>
      <c r="C401" s="26" t="str">
        <f t="shared" si="1"/>
        <v>READY</v>
      </c>
      <c r="D401" s="26" t="b">
        <f>IFERROR(__xludf.DUMMYFUNCTION("LET(
 id,A401,
 IF(
  F401=""CHARACTER"",
  LET(
   base,REGEXREPLACE(id,""@\d+$"",""""),
   required,VALUE(REGEXEXTRACT(id,""@(\d+)$"")),
   current,XLOOKUP(
    base,
    tblPlayer[PlayerStateID],
    tblPlayer[Value],
    0
   ),
   current&gt;=required
 "&amp;" ),
  IF(
   T401=""AUTO"",
   L401=0,
   COUNTIFS(
    tblChecklist[TargetID],id,
    tblChecklist[PlayerCompleted],TRUE
   )&gt;0
  )
 )
)"),FALSE)</f>
        <v>0</v>
      </c>
      <c r="E401" s="26" t="str">
        <f t="array" ref="E401">_xlfn.XLOOKUP(
 A401,
 tblTargets[TargetID],
 tblTargets[TargetType],
 ""
)</f>
        <v>STATE</v>
      </c>
      <c r="F401" s="26" t="str">
        <f t="array" ref="F401">_xlfn.XLOOKUP(
 A401,
 tblTargets[TargetID],
 tblTargets[StateType],
 ""
)</f>
        <v>CHARACTER</v>
      </c>
      <c r="G401" s="26">
        <f>LET(
 id,A401,
 depCount,COUNTIF(tblDependencies[TargetID],id),
 objCount,COUNTIF(tblQuestObjectives[QuestTargetID],id),
 depCount+objCount
)</f>
        <v>0</v>
      </c>
      <c r="H401" s="26">
        <f t="shared" si="2"/>
        <v>0</v>
      </c>
      <c r="I401" s="26">
        <f>IFERROR(__xludf.DUMMYFUNCTION("LET(
 id,A401,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1" s="26">
        <f t="shared" si="3"/>
        <v>0</v>
      </c>
      <c r="K401" s="26" t="b">
        <f t="shared" si="4"/>
        <v>1</v>
      </c>
      <c r="L401" s="26">
        <f t="shared" si="5"/>
        <v>0</v>
      </c>
      <c r="M401" s="26" t="str">
        <f>IFERROR(__xludf.DUMMYFUNCTION("LET(
 id,A401,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L401=0,
  """",
  IFERROR(INDEX(incomplete,1),"""")"&amp;"
 )
)"),"")</f>
        <v/>
      </c>
      <c r="N401" s="26" t="str">
        <f t="array" ref="N401">IF(
 M401="",
 "",
 _xlfn.XLOOKUP(
  M401,
  tblTargets[TargetID],
  tblTargets[DisplayName],
  M401
 )
)</f>
        <v/>
      </c>
      <c r="O401" s="26" t="str">
        <f>IFERROR(__xludf.DUMMYFUNCTION("SWITCH(
 E401,
 ""BUILDING"",XLOOKUP(A401,tblBuildings[BuildingID],tblBuildings[costtext],""""),
 ""TECH"",XLOOKUP(A401,tblTechnologies[TechnologyID],tblTechnologies[costtext],""""),
 ""QUEST"",XLOOKUP(
  REGEXREPLACE(A401,""\.[^.]+$"",""""),
  tblQuests["&amp;"QuestID],
  tblQuests[Costtext],
  """"
 ),
 ""CITADEL"",XLOOKUP(A401,tblCitadel[CitadelID],tblCitadel[costtext],""""),
 ""COLLECTION"",XLOOKUP(A401,tblCollections[CollectionID],tblCollections[costtext],""""),
 ""CRAFTIFACT"",XLOOKUP(A401,tblCraftifacts[C"&amp;"raftifactID],tblCraftifacts[costtext],""""),
 """"
)"),"")</f>
        <v/>
      </c>
      <c r="P401" s="26" t="str">
        <f t="shared" si="6"/>
        <v/>
      </c>
      <c r="Q401" s="26" t="str">
        <f t="shared" si="7"/>
        <v>READY</v>
      </c>
      <c r="R401" s="26" t="str">
        <f t="array" ref="R401">IFERROR(
 _xlfn.XLOOKUP(
  A401,
  tblChecklist[TargetID],
  tblChecklist[PlayerSort],
  ""
 ),
 ""
)</f>
        <v/>
      </c>
      <c r="S401" s="26" t="str">
        <f>IFERROR(__xludf.DUMMYFUNCTION("LET(
 id,A401,
 successorIDs,
  IFERROR(
   UNIQUE(
    FILTER(
     {
      Dependencies!$A$2:$A$1000;
      QuestObjectives!$A$2:$A$1000
     },
     {
      Dependencies!$B$2:$B$1000;
      QuestObjectives!$E$2:$E$1000
     }=id
    )
   ),
   """"
  )"&amp;",
 names,
  MAP(
   successorIDs,
   LAMBDA(s,
    IF(
     s="""",
     """",
     XLOOKUP(
      s,
      $A$2:$A$1000,
      $B$2:$B$1000,
      s
     )
    )
   )
  ),
 IF(
  successorIDs="""",
  """",
  TEXTJOIN("", "",TRUE,names)
 )
)"),"Warehouse Lv 1")</f>
        <v>Warehouse Lv 1</v>
      </c>
      <c r="T401" s="26" t="str">
        <f t="array" ref="T401">_xlfn.XLOOKUP(
 A401,
 tblTargets[TargetID],
 tblTargets[CompletionMethod],
 ""
)</f>
        <v>PLAYER</v>
      </c>
      <c r="U401" s="84" t="b">
        <f>COUNTIF(tblCost[TargetID],A401)&gt;0</f>
        <v>0</v>
      </c>
      <c r="V401" s="85" t="str">
        <f t="array" ref="V401">IF(
 U401=FALSE,
 "",
 _xlfn.XLOOKUP(
  A401,
  tblCost[TargetID],
  tblCost[FundingPercent],
  ""
 )
)</f>
        <v/>
      </c>
      <c r="W401" s="26" t="str">
        <f t="array" ref="W401">IF(
 U401=FALSE,
 "",
 _xlfn.XLOOKUP(
  A401,
  tblCost[TargetID],
  tblCost[RemainingRequirements],
  ""
 )
)</f>
        <v/>
      </c>
      <c r="X401" s="45" t="str">
        <f t="array" ref="X401">IF(
 U401=FALSE,
 "N/A",
 _xlfn.XLOOKUP(
  A402,
  tblCost[TargetID],
  tblCost[TargetFunded],
  FALSE
 )
)</f>
        <v>N/A</v>
      </c>
      <c r="Y401" s="26" t="str">
        <f>IFERROR(__xludf.DUMMYFUNCTION("IFERROR(
 TEXTJOIN(
  "", "",
  TRUE,
  FILTER(
   'cost checklist'!$E$2:$E1000&amp;"": ""&amp;'cost checklist'!$G$2:$G1000,
   'cost checklist'!$B$2:$B1000=A401,
   'cost checklist'!$J$2:$J1000=FALSE
  )
 ),
 """"
)"),"")</f>
        <v/>
      </c>
      <c r="Z401" s="26" t="b">
        <f>IFERROR(__xludf.DUMMYFUNCTION("IF(
 AND(
  E401=""QUEST"",
  RIGHT(A401,9)="".accepted"",
  D401=TRUE
 ),
 XLOOKUP(
  REGEXREPLACE(A401,""\.accepted$"","""")&amp;"".finished"",
  $A$2:$A1000,
  $D$2:$D1000,
  TRUE
 )=FALSE,
 FALSE
)"),FALSE)</f>
        <v>0</v>
      </c>
      <c r="AA401" s="26" t="str">
        <f>IFERROR(__xludf.DUMMYFUNCTION("LET(
 id,A401,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2" ht="14.25" customHeight="1">
      <c r="A402" s="26" t="s">
        <v>1429</v>
      </c>
      <c r="B402" s="26" t="str">
        <f t="array" ref="B402">_xlfn.XLOOKUP(
 A402,
 tblTargets[TargetID],
 tblTargets[DisplayName],
 ""
)</f>
        <v>Character Level@50</v>
      </c>
      <c r="C402" s="26" t="str">
        <f t="shared" si="1"/>
        <v>READY</v>
      </c>
      <c r="D402" s="26" t="b">
        <f>IFERROR(__xludf.DUMMYFUNCTION("LET(
 id,A402,
 IF(
  F402=""CHARACTER"",
  LET(
   base,REGEXREPLACE(id,""@\d+$"",""""),
   required,VALUE(REGEXEXTRACT(id,""@(\d+)$"")),
   current,XLOOKUP(
    base,
    tblPlayer[PlayerStateID],
    tblPlayer[Value],
    0
   ),
   current&gt;=required
 "&amp;" ),
  IF(
   T402=""AUTO"",
   L402=0,
   COUNTIFS(
    tblChecklist[TargetID],id,
    tblChecklist[PlayerCompleted],TRUE
   )&gt;0
  )
 )
)"),FALSE)</f>
        <v>0</v>
      </c>
      <c r="E402" s="26" t="str">
        <f t="array" ref="E402">_xlfn.XLOOKUP(
 A402,
 tblTargets[TargetID],
 tblTargets[TargetType],
 ""
)</f>
        <v>STATE</v>
      </c>
      <c r="F402" s="26" t="str">
        <f t="array" ref="F402">_xlfn.XLOOKUP(
 A402,
 tblTargets[TargetID],
 tblTargets[StateType],
 ""
)</f>
        <v>CHARACTER</v>
      </c>
      <c r="G402" s="26">
        <f>LET(
 id,A402,
 depCount,COUNTIF(tblDependencies[TargetID],id),
 objCount,COUNTIF(tblQuestObjectives[QuestTargetID],id),
 depCount+objCount
)</f>
        <v>0</v>
      </c>
      <c r="H402" s="26">
        <f t="shared" si="2"/>
        <v>0</v>
      </c>
      <c r="I402" s="26">
        <f>IFERROR(__xludf.DUMMYFUNCTION("LET(
 id,A402,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2" s="26">
        <f t="shared" si="3"/>
        <v>0</v>
      </c>
      <c r="K402" s="26" t="b">
        <f t="shared" si="4"/>
        <v>1</v>
      </c>
      <c r="L402" s="26">
        <f t="shared" si="5"/>
        <v>0</v>
      </c>
      <c r="M402" s="26" t="str">
        <f>IFERROR(__xludf.DUMMYFUNCTION("LET(
 id,A402,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L402=0,
  """",
  IFERROR(INDEX(incomplete,1),"""")"&amp;"
 )
)"),"")</f>
        <v/>
      </c>
      <c r="N402" s="26" t="str">
        <f t="array" ref="N402">IF(
 M402="",
 "",
 _xlfn.XLOOKUP(
  M402,
  tblTargets[TargetID],
  tblTargets[DisplayName],
  M402
 )
)</f>
        <v/>
      </c>
      <c r="O402" s="26" t="str">
        <f>IFERROR(__xludf.DUMMYFUNCTION("SWITCH(
 E402,
 ""BUILDING"",XLOOKUP(A402,tblBuildings[BuildingID],tblBuildings[costtext],""""),
 ""TECH"",XLOOKUP(A402,tblTechnologies[TechnologyID],tblTechnologies[costtext],""""),
 ""QUEST"",XLOOKUP(
  REGEXREPLACE(A402,""\.[^.]+$"",""""),
  tblQuests["&amp;"QuestID],
  tblQuests[Costtext],
  """"
 ),
 ""CITADEL"",XLOOKUP(A402,tblCitadel[CitadelID],tblCitadel[costtext],""""),
 ""COLLECTION"",XLOOKUP(A402,tblCollections[CollectionID],tblCollections[costtext],""""),
 ""CRAFTIFACT"",XLOOKUP(A402,tblCraftifacts[C"&amp;"raftifactID],tblCraftifacts[costtext],""""),
 """"
)"),"")</f>
        <v/>
      </c>
      <c r="P402" s="26" t="str">
        <f t="shared" si="6"/>
        <v/>
      </c>
      <c r="Q402" s="26" t="str">
        <f t="shared" si="7"/>
        <v>READY</v>
      </c>
      <c r="R402" s="26" t="str">
        <f t="array" ref="R402">IFERROR(
 _xlfn.XLOOKUP(
  A402,
  tblChecklist[TargetID],
  tblChecklist[PlayerSort],
  ""
 ),
 ""
)</f>
        <v/>
      </c>
      <c r="S402" s="26" t="str">
        <f>IFERROR(__xludf.DUMMYFUNCTION("LET(
 id,A402,
 successorIDs,
  IFERROR(
   UNIQUE(
    FILTER(
     {
      Dependencies!$A$2:$A$1000;
      QuestObjectives!$A$2:$A$1000
     },
     {
      Dependencies!$B$2:$B$1000;
      QuestObjectives!$E$2:$E$1000
     }=id
    )
   ),
   """"
  )"&amp;",
 names,
  MAP(
   successorIDs,
   LAMBDA(s,
    IF(
     s="""",
     """",
     XLOOKUP(
      s,
      $A$2:$A$1000,
      $B$2:$B$1000,
      s
     )
    )
   )
  ),
 IF(
  successorIDs="""",
  """",
  TEXTJOIN("", "",TRUE,names)
 )
)"),"Dungeon Lv 5, Station Lv 1, Train Lv 1")</f>
        <v>Dungeon Lv 5, Station Lv 1, Train Lv 1</v>
      </c>
      <c r="T402" s="26" t="str">
        <f t="array" ref="T402">_xlfn.XLOOKUP(
 A402,
 tblTargets[TargetID],
 tblTargets[CompletionMethod],
 ""
)</f>
        <v>PLAYER</v>
      </c>
      <c r="U402" s="84" t="b">
        <f>COUNTIF(tblCost[TargetID],A402)&gt;0</f>
        <v>0</v>
      </c>
      <c r="V402" s="85" t="str">
        <f t="array" ref="V402">IF(
 U402=FALSE,
 "",
 _xlfn.XLOOKUP(
  A402,
  tblCost[TargetID],
  tblCost[FundingPercent],
  ""
 )
)</f>
        <v/>
      </c>
      <c r="W402" s="26" t="str">
        <f t="array" ref="W402">IF(
 U402=FALSE,
 "",
 _xlfn.XLOOKUP(
  A402,
  tblCost[TargetID],
  tblCost[RemainingRequirements],
  ""
 )
)</f>
        <v/>
      </c>
      <c r="X402" s="45" t="str">
        <f t="array" ref="X402">IF(
 U402=FALSE,
 "N/A",
 _xlfn.XLOOKUP(
  A403,
  tblCost[TargetID],
  tblCost[TargetFunded],
  FALSE
 )
)</f>
        <v>N/A</v>
      </c>
      <c r="Y402" s="26" t="str">
        <f>IFERROR(__xludf.DUMMYFUNCTION("IFERROR(
 TEXTJOIN(
  "", "",
  TRUE,
  FILTER(
   'cost checklist'!$E$2:$E1000&amp;"": ""&amp;'cost checklist'!$G$2:$G1000,
   'cost checklist'!$B$2:$B1000=A402,
   'cost checklist'!$J$2:$J1000=FALSE
  )
 ),
 """"
)"),"")</f>
        <v/>
      </c>
      <c r="Z402" s="26" t="b">
        <f>IFERROR(__xludf.DUMMYFUNCTION("IF(
 AND(
  E402=""QUEST"",
  RIGHT(A402,9)="".accepted"",
  D402=TRUE
 ),
 XLOOKUP(
  REGEXREPLACE(A402,""\.accepted$"","""")&amp;"".finished"",
  $A$2:$A1000,
  $D$2:$D1000,
  TRUE
 )=FALSE,
 FALSE
)"),FALSE)</f>
        <v>0</v>
      </c>
      <c r="AA402" s="26" t="str">
        <f>IFERROR(__xludf.DUMMYFUNCTION("LET(
 id,A402,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3" ht="14.25" customHeight="1">
      <c r="A403" s="26" t="s">
        <v>1431</v>
      </c>
      <c r="B403" s="26" t="str">
        <f t="array" ref="B403">_xlfn.XLOOKUP(
 A403,
 tblTargets[TargetID],
 tblTargets[DisplayName],
 ""
)</f>
        <v>Character Level@55</v>
      </c>
      <c r="C403" s="26" t="str">
        <f t="shared" si="1"/>
        <v>READY</v>
      </c>
      <c r="D403" s="26" t="b">
        <f>IFERROR(__xludf.DUMMYFUNCTION("LET(
 id,A403,
 IF(
  F403=""CHARACTER"",
  LET(
   base,REGEXREPLACE(id,""@\d+$"",""""),
   required,VALUE(REGEXEXTRACT(id,""@(\d+)$"")),
   current,XLOOKUP(
    base,
    tblPlayer[PlayerStateID],
    tblPlayer[Value],
    0
   ),
   current&gt;=required
 "&amp;" ),
  IF(
   T403=""AUTO"",
   L403=0,
   COUNTIFS(
    tblChecklist[TargetID],id,
    tblChecklist[PlayerCompleted],TRUE
   )&gt;0
  )
 )
)"),FALSE)</f>
        <v>0</v>
      </c>
      <c r="E403" s="26" t="str">
        <f t="array" ref="E403">_xlfn.XLOOKUP(
 A403,
 tblTargets[TargetID],
 tblTargets[TargetType],
 ""
)</f>
        <v>STATE</v>
      </c>
      <c r="F403" s="26" t="str">
        <f t="array" ref="F403">_xlfn.XLOOKUP(
 A403,
 tblTargets[TargetID],
 tblTargets[StateType],
 ""
)</f>
        <v>CHARACTER</v>
      </c>
      <c r="G403" s="26">
        <f>LET(
 id,A403,
 depCount,COUNTIF(tblDependencies[TargetID],id),
 objCount,COUNTIF(tblQuestObjectives[QuestTargetID],id),
 depCount+objCount
)</f>
        <v>0</v>
      </c>
      <c r="H403" s="26">
        <f t="shared" si="2"/>
        <v>0</v>
      </c>
      <c r="I403" s="26">
        <f>IFERROR(__xludf.DUMMYFUNCTION("LET(
 id,A403,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3" s="26">
        <f t="shared" si="3"/>
        <v>0</v>
      </c>
      <c r="K403" s="26" t="b">
        <f t="shared" si="4"/>
        <v>1</v>
      </c>
      <c r="L403" s="26">
        <f t="shared" si="5"/>
        <v>0</v>
      </c>
      <c r="M403" s="26" t="str">
        <f>IFERROR(__xludf.DUMMYFUNCTION("LET(
 id,A403,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L403=0,
  """",
  IFERROR(INDEX(incomplete,1),"""")"&amp;"
 )
)"),"")</f>
        <v/>
      </c>
      <c r="N403" s="26" t="str">
        <f t="array" ref="N403">IF(
 M403="",
 "",
 _xlfn.XLOOKUP(
  M403,
  tblTargets[TargetID],
  tblTargets[DisplayName],
  M403
 )
)</f>
        <v/>
      </c>
      <c r="O403" s="26" t="str">
        <f>IFERROR(__xludf.DUMMYFUNCTION("SWITCH(
 E403,
 ""BUILDING"",XLOOKUP(A403,tblBuildings[BuildingID],tblBuildings[costtext],""""),
 ""TECH"",XLOOKUP(A403,tblTechnologies[TechnologyID],tblTechnologies[costtext],""""),
 ""QUEST"",XLOOKUP(
  REGEXREPLACE(A403,""\.[^.]+$"",""""),
  tblQuests["&amp;"QuestID],
  tblQuests[Costtext],
  """"
 ),
 ""CITADEL"",XLOOKUP(A403,tblCitadel[CitadelID],tblCitadel[costtext],""""),
 ""COLLECTION"",XLOOKUP(A403,tblCollections[CollectionID],tblCollections[costtext],""""),
 ""CRAFTIFACT"",XLOOKUP(A403,tblCraftifacts[C"&amp;"raftifactID],tblCraftifacts[costtext],""""),
 """"
)"),"")</f>
        <v/>
      </c>
      <c r="P403" s="26" t="str">
        <f t="shared" si="6"/>
        <v/>
      </c>
      <c r="Q403" s="26" t="str">
        <f t="shared" si="7"/>
        <v>READY</v>
      </c>
      <c r="R403" s="26" t="str">
        <f t="array" ref="R403">IFERROR(
 _xlfn.XLOOKUP(
  A403,
  tblChecklist[TargetID],
  tblChecklist[PlayerSort],
  ""
 ),
 ""
)</f>
        <v/>
      </c>
      <c r="S403" s="26" t="str">
        <f>IFERROR(__xludf.DUMMYFUNCTION("LET(
 id,A403,
 successorIDs,
  IFERROR(
   UNIQUE(
    FILTER(
     {
      Dependencies!$A$2:$A$1000;
      QuestObjectives!$A$2:$A$1000
     },
     {
      Dependencies!$B$2:$B$1000;
      QuestObjectives!$E$2:$E$1000
     }=id
    )
   ),
   """"
  )"&amp;",
 names,
  MAP(
   successorIDs,
   LAMBDA(s,
    IF(
     s="""",
     """",
     XLOOKUP(
      s,
      $A$2:$A$1000,
      $B$2:$B$1000,
      s
     )
    )
   )
  ),
 IF(
  successorIDs="""",
  """",
  TEXTJOIN("", "",TRUE,names)
 )
)"),"Fermentory Lv 1")</f>
        <v>Fermentory Lv 1</v>
      </c>
      <c r="T403" s="26" t="str">
        <f t="array" ref="T403">_xlfn.XLOOKUP(
 A403,
 tblTargets[TargetID],
 tblTargets[CompletionMethod],
 ""
)</f>
        <v>PLAYER</v>
      </c>
      <c r="U403" s="84" t="b">
        <f>COUNTIF(tblCost[TargetID],A403)&gt;0</f>
        <v>0</v>
      </c>
      <c r="V403" s="85" t="str">
        <f t="array" ref="V403">IF(
 U403=FALSE,
 "",
 _xlfn.XLOOKUP(
  A403,
  tblCost[TargetID],
  tblCost[FundingPercent],
  ""
 )
)</f>
        <v/>
      </c>
      <c r="W403" s="26" t="str">
        <f t="array" ref="W403">IF(
 U403=FALSE,
 "",
 _xlfn.XLOOKUP(
  A403,
  tblCost[TargetID],
  tblCost[RemainingRequirements],
  ""
 )
)</f>
        <v/>
      </c>
      <c r="X403" s="45" t="str">
        <f t="array" ref="X403">IF(
 U403=FALSE,
 "N/A",
 _xlfn.XLOOKUP(
  A404,
  tblCost[TargetID],
  tblCost[TargetFunded],
  FALSE
 )
)</f>
        <v>N/A</v>
      </c>
      <c r="Y403" s="26" t="str">
        <f>IFERROR(__xludf.DUMMYFUNCTION("IFERROR(
 TEXTJOIN(
  "", "",
  TRUE,
  FILTER(
   'cost checklist'!$E$2:$E1000&amp;"": ""&amp;'cost checklist'!$G$2:$G1000,
   'cost checklist'!$B$2:$B1000=A403,
   'cost checklist'!$J$2:$J1000=FALSE
  )
 ),
 """"
)"),"")</f>
        <v/>
      </c>
      <c r="Z403" s="26" t="b">
        <f>IFERROR(__xludf.DUMMYFUNCTION("IF(
 AND(
  E403=""QUEST"",
  RIGHT(A403,9)="".accepted"",
  D403=TRUE
 ),
 XLOOKUP(
  REGEXREPLACE(A403,""\.accepted$"","""")&amp;"".finished"",
  $A$2:$A1000,
  $D$2:$D1000,
  TRUE
 )=FALSE,
 FALSE
)"),FALSE)</f>
        <v>0</v>
      </c>
      <c r="AA403" s="26" t="str">
        <f>IFERROR(__xludf.DUMMYFUNCTION("LET(
 id,A403,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4" ht="14.25" customHeight="1">
      <c r="A404" s="26" t="s">
        <v>1433</v>
      </c>
      <c r="B404" s="26" t="str">
        <f t="array" ref="B404">_xlfn.XLOOKUP(
 A404,
 tblTargets[TargetID],
 tblTargets[DisplayName],
 ""
)</f>
        <v>Character Level@6</v>
      </c>
      <c r="C404" s="26" t="str">
        <f t="shared" si="1"/>
        <v>READY</v>
      </c>
      <c r="D404" s="26" t="b">
        <f>IFERROR(__xludf.DUMMYFUNCTION("LET(
 id,A404,
 IF(
  F404=""CHARACTER"",
  LET(
   base,REGEXREPLACE(id,""@\d+$"",""""),
   required,VALUE(REGEXEXTRACT(id,""@(\d+)$"")),
   current,XLOOKUP(
    base,
    tblPlayer[PlayerStateID],
    tblPlayer[Value],
    0
   ),
   current&gt;=required
 "&amp;" ),
  IF(
   T404=""AUTO"",
   L404=0,
   COUNTIFS(
    tblChecklist[TargetID],id,
    tblChecklist[PlayerCompleted],TRUE
   )&gt;0
  )
 )
)"),FALSE)</f>
        <v>0</v>
      </c>
      <c r="E404" s="26" t="str">
        <f t="array" ref="E404">_xlfn.XLOOKUP(
 A404,
 tblTargets[TargetID],
 tblTargets[TargetType],
 ""
)</f>
        <v>STATE</v>
      </c>
      <c r="F404" s="26" t="str">
        <f t="array" ref="F404">_xlfn.XLOOKUP(
 A404,
 tblTargets[TargetID],
 tblTargets[StateType],
 ""
)</f>
        <v>CHARACTER</v>
      </c>
      <c r="G404" s="26">
        <f>LET(
 id,A404,
 depCount,COUNTIF(tblDependencies[TargetID],id),
 objCount,COUNTIF(tblQuestObjectives[QuestTargetID],id),
 depCount+objCount
)</f>
        <v>0</v>
      </c>
      <c r="H404" s="26">
        <f t="shared" si="2"/>
        <v>0</v>
      </c>
      <c r="I404" s="26">
        <f>IFERROR(__xludf.DUMMYFUNCTION("LET(
 id,A404,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4" s="26">
        <f t="shared" si="3"/>
        <v>0</v>
      </c>
      <c r="K404" s="26" t="b">
        <f t="shared" si="4"/>
        <v>1</v>
      </c>
      <c r="L404" s="26">
        <f t="shared" si="5"/>
        <v>0</v>
      </c>
      <c r="M404" s="26" t="str">
        <f>IFERROR(__xludf.DUMMYFUNCTION("LET(
 id,A404,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L404=0,
  """",
  IFERROR(INDEX(incomplete,1),"""")"&amp;"
 )
)"),"")</f>
        <v/>
      </c>
      <c r="N404" s="26" t="str">
        <f t="array" ref="N404">IF(
 M404="",
 "",
 _xlfn.XLOOKUP(
  M404,
  tblTargets[TargetID],
  tblTargets[DisplayName],
  M404
 )
)</f>
        <v/>
      </c>
      <c r="O404" s="26" t="str">
        <f>IFERROR(__xludf.DUMMYFUNCTION("SWITCH(
 E404,
 ""BUILDING"",XLOOKUP(A404,tblBuildings[BuildingID],tblBuildings[costtext],""""),
 ""TECH"",XLOOKUP(A404,tblTechnologies[TechnologyID],tblTechnologies[costtext],""""),
 ""QUEST"",XLOOKUP(
  REGEXREPLACE(A404,""\.[^.]+$"",""""),
  tblQuests["&amp;"QuestID],
  tblQuests[Costtext],
  """"
 ),
 ""CITADEL"",XLOOKUP(A404,tblCitadel[CitadelID],tblCitadel[costtext],""""),
 ""COLLECTION"",XLOOKUP(A404,tblCollections[CollectionID],tblCollections[costtext],""""),
 ""CRAFTIFACT"",XLOOKUP(A404,tblCraftifacts[C"&amp;"raftifactID],tblCraftifacts[costtext],""""),
 """"
)"),"")</f>
        <v/>
      </c>
      <c r="P404" s="26" t="str">
        <f t="shared" si="6"/>
        <v/>
      </c>
      <c r="Q404" s="26" t="str">
        <f t="shared" si="7"/>
        <v>READY</v>
      </c>
      <c r="R404" s="26" t="str">
        <f t="array" ref="R404">IFERROR(
 _xlfn.XLOOKUP(
  A404,
  tblChecklist[TargetID],
  tblChecklist[PlayerSort],
  ""
 ),
 ""
)</f>
        <v/>
      </c>
      <c r="S404" s="26" t="str">
        <f>IFERROR(__xludf.DUMMYFUNCTION("LET(
 id,A404,
 successorIDs,
  IFERROR(
   UNIQUE(
    FILTER(
     {
      Dependencies!$A$2:$A$1000;
      QuestObjectives!$A$2:$A$1000
     },
     {
      Dependencies!$B$2:$B$1000;
      QuestObjectives!$E$2:$E$1000
     }=id
    )
   ),
   """"
  )"&amp;",
 names,
  MAP(
   successorIDs,
   LAMBDA(s,
    IF(
     s="""",
     """",
     XLOOKUP(
      s,
      $A$2:$A$1000,
      $B$2:$B$1000,
      s
     )
    )
   )
  ),
 IF(
  successorIDs="""",
  """",
  TEXTJOIN("", "",TRUE,names)
 )
)"),"Alchemist's Hut Lv 1")</f>
        <v>Alchemist's Hut Lv 1</v>
      </c>
      <c r="T404" s="26" t="str">
        <f t="array" ref="T404">_xlfn.XLOOKUP(
 A404,
 tblTargets[TargetID],
 tblTargets[CompletionMethod],
 ""
)</f>
        <v>PLAYER</v>
      </c>
      <c r="U404" s="84" t="b">
        <f>COUNTIF(tblCost[TargetID],A404)&gt;0</f>
        <v>0</v>
      </c>
      <c r="V404" s="85" t="str">
        <f t="array" ref="V404">IF(
 U404=FALSE,
 "",
 _xlfn.XLOOKUP(
  A404,
  tblCost[TargetID],
  tblCost[FundingPercent],
  ""
 )
)</f>
        <v/>
      </c>
      <c r="W404" s="26" t="str">
        <f t="array" ref="W404">IF(
 U404=FALSE,
 "",
 _xlfn.XLOOKUP(
  A404,
  tblCost[TargetID],
  tblCost[RemainingRequirements],
  ""
 )
)</f>
        <v/>
      </c>
      <c r="X404" s="45" t="str">
        <f t="array" ref="X404">IF(
 U404=FALSE,
 "N/A",
 _xlfn.XLOOKUP(
  A405,
  tblCost[TargetID],
  tblCost[TargetFunded],
  FALSE
 )
)</f>
        <v>N/A</v>
      </c>
      <c r="Y404" s="26" t="str">
        <f>IFERROR(__xludf.DUMMYFUNCTION("IFERROR(
 TEXTJOIN(
  "", "",
  TRUE,
  FILTER(
   'cost checklist'!$E$2:$E1000&amp;"": ""&amp;'cost checklist'!$G$2:$G1000,
   'cost checklist'!$B$2:$B1000=A404,
   'cost checklist'!$J$2:$J1000=FALSE
  )
 ),
 """"
)"),"")</f>
        <v/>
      </c>
      <c r="Z404" s="26" t="b">
        <f>IFERROR(__xludf.DUMMYFUNCTION("IF(
 AND(
  E404=""QUEST"",
  RIGHT(A404,9)="".accepted"",
  D404=TRUE
 ),
 XLOOKUP(
  REGEXREPLACE(A404,""\.accepted$"","""")&amp;"".finished"",
  $A$2:$A1000,
  $D$2:$D1000,
  TRUE
 )=FALSE,
 FALSE
)"),FALSE)</f>
        <v>0</v>
      </c>
      <c r="AA404" s="26" t="str">
        <f>IFERROR(__xludf.DUMMYFUNCTION("LET(
 id,A404,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5" ht="14.25" customHeight="1">
      <c r="A405" s="26" t="s">
        <v>1435</v>
      </c>
      <c r="B405" s="26" t="str">
        <f t="array" ref="B405">_xlfn.XLOOKUP(
 A405,
 tblTargets[TargetID],
 tblTargets[DisplayName],
 ""
)</f>
        <v>Character Level@7</v>
      </c>
      <c r="C405" s="26" t="str">
        <f t="shared" si="1"/>
        <v>READY</v>
      </c>
      <c r="D405" s="26" t="b">
        <f>IFERROR(__xludf.DUMMYFUNCTION("LET(
 id,A405,
 IF(
  F405=""CHARACTER"",
  LET(
   base,REGEXREPLACE(id,""@\d+$"",""""),
   required,VALUE(REGEXEXTRACT(id,""@(\d+)$"")),
   current,XLOOKUP(
    base,
    tblPlayer[PlayerStateID],
    tblPlayer[Value],
    0
   ),
   current&gt;=required
 "&amp;" ),
  IF(
   T405=""AUTO"",
   L405=0,
   COUNTIFS(
    tblChecklist[TargetID],id,
    tblChecklist[PlayerCompleted],TRUE
   )&gt;0
  )
 )
)"),FALSE)</f>
        <v>0</v>
      </c>
      <c r="E405" s="26" t="str">
        <f t="array" ref="E405">_xlfn.XLOOKUP(
 A405,
 tblTargets[TargetID],
 tblTargets[TargetType],
 ""
)</f>
        <v>STATE</v>
      </c>
      <c r="F405" s="26" t="str">
        <f t="array" ref="F405">_xlfn.XLOOKUP(
 A405,
 tblTargets[TargetID],
 tblTargets[StateType],
 ""
)</f>
        <v>CHARACTER</v>
      </c>
      <c r="G405" s="26">
        <f>LET(
 id,A405,
 depCount,COUNTIF(tblDependencies[TargetID],id),
 objCount,COUNTIF(tblQuestObjectives[QuestTargetID],id),
 depCount+objCount
)</f>
        <v>0</v>
      </c>
      <c r="H405" s="26">
        <f t="shared" si="2"/>
        <v>0</v>
      </c>
      <c r="I405" s="26">
        <f>IFERROR(__xludf.DUMMYFUNCTION("LET(
 id,A405,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5" s="26">
        <f t="shared" si="3"/>
        <v>0</v>
      </c>
      <c r="K405" s="26" t="b">
        <f t="shared" si="4"/>
        <v>1</v>
      </c>
      <c r="L405" s="26">
        <f t="shared" si="5"/>
        <v>0</v>
      </c>
      <c r="M405" s="26" t="str">
        <f>IFERROR(__xludf.DUMMYFUNCTION("LET(
 id,A405,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L405=0,
  """",
  IFERROR(INDEX(incomplete,1),"""")"&amp;"
 )
)"),"")</f>
        <v/>
      </c>
      <c r="N405" s="26" t="str">
        <f t="array" ref="N405">IF(
 M405="",
 "",
 _xlfn.XLOOKUP(
  M405,
  tblTargets[TargetID],
  tblTargets[DisplayName],
  M405
 )
)</f>
        <v/>
      </c>
      <c r="O405" s="26" t="str">
        <f>IFERROR(__xludf.DUMMYFUNCTION("SWITCH(
 E405,
 ""BUILDING"",XLOOKUP(A405,tblBuildings[BuildingID],tblBuildings[costtext],""""),
 ""TECH"",XLOOKUP(A405,tblTechnologies[TechnologyID],tblTechnologies[costtext],""""),
 ""QUEST"",XLOOKUP(
  REGEXREPLACE(A405,""\.[^.]+$"",""""),
  tblQuests["&amp;"QuestID],
  tblQuests[Costtext],
  """"
 ),
 ""CITADEL"",XLOOKUP(A405,tblCitadel[CitadelID],tblCitadel[costtext],""""),
 ""COLLECTION"",XLOOKUP(A405,tblCollections[CollectionID],tblCollections[costtext],""""),
 ""CRAFTIFACT"",XLOOKUP(A405,tblCraftifacts[C"&amp;"raftifactID],tblCraftifacts[costtext],""""),
 """"
)"),"")</f>
        <v/>
      </c>
      <c r="P405" s="26" t="str">
        <f t="shared" si="6"/>
        <v/>
      </c>
      <c r="Q405" s="26" t="str">
        <f t="shared" si="7"/>
        <v>READY</v>
      </c>
      <c r="R405" s="26" t="str">
        <f t="array" ref="R405">IFERROR(
 _xlfn.XLOOKUP(
  A405,
  tblChecklist[TargetID],
  tblChecklist[PlayerSort],
  ""
 ),
 ""
)</f>
        <v/>
      </c>
      <c r="S405" s="26" t="str">
        <f>IFERROR(__xludf.DUMMYFUNCTION("LET(
 id,A405,
 successorIDs,
  IFERROR(
   UNIQUE(
    FILTER(
     {
      Dependencies!$A$2:$A$1000;
      QuestObjectives!$A$2:$A$1000
     },
     {
      Dependencies!$B$2:$B$1000;
      QuestObjectives!$E$2:$E$1000
     }=id
    )
   ),
   """"
  )"&amp;",
 names,
  MAP(
   successorIDs,
   LAMBDA(s,
    IF(
     s="""",
     """",
     XLOOKUP(
      s,
      $A$2:$A$1000,
      $B$2:$B$1000,
      s
     )
    )
   )
  ),
 IF(
  successorIDs="""",
  """",
  TEXTJOIN("", "",TRUE,names)
 )
)"),"Field Lv 1, Pagoda Lv 2")</f>
        <v>Field Lv 1, Pagoda Lv 2</v>
      </c>
      <c r="T405" s="26" t="str">
        <f t="array" ref="T405">_xlfn.XLOOKUP(
 A405,
 tblTargets[TargetID],
 tblTargets[CompletionMethod],
 ""
)</f>
        <v>PLAYER</v>
      </c>
      <c r="U405" s="84" t="b">
        <f>COUNTIF(tblCost[TargetID],A405)&gt;0</f>
        <v>0</v>
      </c>
      <c r="V405" s="85" t="str">
        <f t="array" ref="V405">IF(
 U405=FALSE,
 "",
 _xlfn.XLOOKUP(
  A405,
  tblCost[TargetID],
  tblCost[FundingPercent],
  ""
 )
)</f>
        <v/>
      </c>
      <c r="W405" s="26" t="str">
        <f t="array" ref="W405">IF(
 U405=FALSE,
 "",
 _xlfn.XLOOKUP(
  A405,
  tblCost[TargetID],
  tblCost[RemainingRequirements],
  ""
 )
)</f>
        <v/>
      </c>
      <c r="X405" s="45" t="str">
        <f t="array" ref="X405">IF(
 U405=FALSE,
 "N/A",
 _xlfn.XLOOKUP(
  A406,
  tblCost[TargetID],
  tblCost[TargetFunded],
  FALSE
 )
)</f>
        <v>N/A</v>
      </c>
      <c r="Y405" s="26" t="str">
        <f>IFERROR(__xludf.DUMMYFUNCTION("IFERROR(
 TEXTJOIN(
  "", "",
  TRUE,
  FILTER(
   'cost checklist'!$E$2:$E1000&amp;"": ""&amp;'cost checklist'!$G$2:$G1000,
   'cost checklist'!$B$2:$B1000=A405,
   'cost checklist'!$J$2:$J1000=FALSE
  )
 ),
 """"
)"),"")</f>
        <v/>
      </c>
      <c r="Z405" s="26" t="b">
        <f>IFERROR(__xludf.DUMMYFUNCTION("IF(
 AND(
  E405=""QUEST"",
  RIGHT(A405,9)="".accepted"",
  D405=TRUE
 ),
 XLOOKUP(
  REGEXREPLACE(A405,""\.accepted$"","""")&amp;"".finished"",
  $A$2:$A1000,
  $D$2:$D1000,
  TRUE
 )=FALSE,
 FALSE
)"),FALSE)</f>
        <v>0</v>
      </c>
      <c r="AA405" s="26" t="str">
        <f>IFERROR(__xludf.DUMMYFUNCTION("LET(
 id,A405,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6" ht="14.25" customHeight="1">
      <c r="A406" s="26" t="s">
        <v>1438</v>
      </c>
      <c r="B406" s="26" t="str">
        <f t="array" ref="B406">_xlfn.XLOOKUP(
 A406,
 tblTargets[TargetID],
 tblTargets[DisplayName],
 ""
)</f>
        <v>Character Level@8</v>
      </c>
      <c r="C406" s="26" t="str">
        <f t="shared" si="1"/>
        <v>READY</v>
      </c>
      <c r="D406" s="26" t="b">
        <f>IFERROR(__xludf.DUMMYFUNCTION("LET(
 id,A406,
 IF(
  F406=""CHARACTER"",
  LET(
   base,REGEXREPLACE(id,""@\d+$"",""""),
   required,VALUE(REGEXEXTRACT(id,""@(\d+)$"")),
   current,XLOOKUP(
    base,
    tblPlayer[PlayerStateID],
    tblPlayer[Value],
    0
   ),
   current&gt;=required
 "&amp;" ),
  IF(
   T406=""AUTO"",
   L406=0,
   COUNTIFS(
    tblChecklist[TargetID],id,
    tblChecklist[PlayerCompleted],TRUE
   )&gt;0
  )
 )
)"),FALSE)</f>
        <v>0</v>
      </c>
      <c r="E406" s="26" t="str">
        <f t="array" ref="E406">_xlfn.XLOOKUP(
 A406,
 tblTargets[TargetID],
 tblTargets[TargetType],
 ""
)</f>
        <v>STATE</v>
      </c>
      <c r="F406" s="26" t="str">
        <f t="array" ref="F406">_xlfn.XLOOKUP(
 A406,
 tblTargets[TargetID],
 tblTargets[StateType],
 ""
)</f>
        <v>CHARACTER</v>
      </c>
      <c r="G406" s="26">
        <f>LET(
 id,A406,
 depCount,COUNTIF(tblDependencies[TargetID],id),
 objCount,COUNTIF(tblQuestObjectives[QuestTargetID],id),
 depCount+objCount
)</f>
        <v>0</v>
      </c>
      <c r="H406" s="26">
        <f t="shared" si="2"/>
        <v>0</v>
      </c>
      <c r="I406" s="26">
        <f>IFERROR(__xludf.DUMMYFUNCTION("LET(
 id,A406,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6" s="26">
        <f t="shared" si="3"/>
        <v>0</v>
      </c>
      <c r="K406" s="26" t="b">
        <f t="shared" si="4"/>
        <v>1</v>
      </c>
      <c r="L406" s="26">
        <f t="shared" si="5"/>
        <v>0</v>
      </c>
      <c r="M406" s="26" t="str">
        <f>IFERROR(__xludf.DUMMYFUNCTION("LET(
 id,A406,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L406=0,
  """",
  IFERROR(INDEX(incomplete,1),"""")"&amp;"
 )
)"),"")</f>
        <v/>
      </c>
      <c r="N406" s="26" t="str">
        <f t="array" ref="N406">IF(
 M406="",
 "",
 _xlfn.XLOOKUP(
  M406,
  tblTargets[TargetID],
  tblTargets[DisplayName],
  M406
 )
)</f>
        <v/>
      </c>
      <c r="O406" s="26" t="str">
        <f>IFERROR(__xludf.DUMMYFUNCTION("SWITCH(
 E406,
 ""BUILDING"",XLOOKUP(A406,tblBuildings[BuildingID],tblBuildings[costtext],""""),
 ""TECH"",XLOOKUP(A406,tblTechnologies[TechnologyID],tblTechnologies[costtext],""""),
 ""QUEST"",XLOOKUP(
  REGEXREPLACE(A406,""\.[^.]+$"",""""),
  tblQuests["&amp;"QuestID],
  tblQuests[Costtext],
  """"
 ),
 ""CITADEL"",XLOOKUP(A406,tblCitadel[CitadelID],tblCitadel[costtext],""""),
 ""COLLECTION"",XLOOKUP(A406,tblCollections[CollectionID],tblCollections[costtext],""""),
 ""CRAFTIFACT"",XLOOKUP(A406,tblCraftifacts[C"&amp;"raftifactID],tblCraftifacts[costtext],""""),
 """"
)"),"")</f>
        <v/>
      </c>
      <c r="P406" s="26" t="str">
        <f t="shared" si="6"/>
        <v/>
      </c>
      <c r="Q406" s="26" t="str">
        <f t="shared" si="7"/>
        <v>READY</v>
      </c>
      <c r="R406" s="26" t="str">
        <f t="array" ref="R406">IFERROR(
 _xlfn.XLOOKUP(
  A406,
  tblChecklist[TargetID],
  tblChecklist[PlayerSort],
  ""
 ),
 ""
)</f>
        <v/>
      </c>
      <c r="S406" s="26" t="str">
        <f>IFERROR(__xludf.DUMMYFUNCTION("LET(
 id,A406,
 successorIDs,
  IFERROR(
   UNIQUE(
    FILTER(
     {
      Dependencies!$A$2:$A$1000;
      QuestObjectives!$A$2:$A$1000
     },
     {
      Dependencies!$B$2:$B$1000;
      QuestObjectives!$E$2:$E$1000
     }=id
    )
   ),
   """"
  )"&amp;",
 names,
  MAP(
   successorIDs,
   LAMBDA(s,
    IF(
     s="""",
     """",
     XLOOKUP(
      s,
      $A$2:$A$1000,
      $B$2:$B$1000,
      s
     )
    )
   )
  ),
 IF(
  successorIDs="""",
  """",
  TEXTJOIN("", "",TRUE,names)
 )
)"),"Food Stall Lv 1, Furnace Lv 1")</f>
        <v>Food Stall Lv 1, Furnace Lv 1</v>
      </c>
      <c r="T406" s="26" t="str">
        <f t="array" ref="T406">_xlfn.XLOOKUP(
 A406,
 tblTargets[TargetID],
 tblTargets[CompletionMethod],
 ""
)</f>
        <v>PLAYER</v>
      </c>
      <c r="U406" s="84" t="b">
        <f>COUNTIF(tblCost[TargetID],A406)&gt;0</f>
        <v>0</v>
      </c>
      <c r="V406" s="85" t="str">
        <f t="array" ref="V406">IF(
 U406=FALSE,
 "",
 _xlfn.XLOOKUP(
  A406,
  tblCost[TargetID],
  tblCost[FundingPercent],
  ""
 )
)</f>
        <v/>
      </c>
      <c r="W406" s="26" t="str">
        <f t="array" ref="W406">IF(
 U406=FALSE,
 "",
 _xlfn.XLOOKUP(
  A406,
  tblCost[TargetID],
  tblCost[RemainingRequirements],
  ""
 )
)</f>
        <v/>
      </c>
      <c r="X406" s="45" t="str">
        <f t="array" ref="X406">IF(
 U406=FALSE,
 "N/A",
 _xlfn.XLOOKUP(
  A407,
  tblCost[TargetID],
  tblCost[TargetFunded],
  FALSE
 )
)</f>
        <v>N/A</v>
      </c>
      <c r="Y406" s="26" t="str">
        <f>IFERROR(__xludf.DUMMYFUNCTION("IFERROR(
 TEXTJOIN(
  "", "",
  TRUE,
  FILTER(
   'cost checklist'!$E$2:$E1000&amp;"": ""&amp;'cost checklist'!$G$2:$G1000,
   'cost checklist'!$B$2:$B1000=A406,
   'cost checklist'!$J$2:$J1000=FALSE
  )
 ),
 """"
)"),"")</f>
        <v/>
      </c>
      <c r="Z406" s="26" t="b">
        <f>IFERROR(__xludf.DUMMYFUNCTION("IF(
 AND(
  E406=""QUEST"",
  RIGHT(A406,9)="".accepted"",
  D406=TRUE
 ),
 XLOOKUP(
  REGEXREPLACE(A406,""\.accepted$"","""")&amp;"".finished"",
  $A$2:$A1000,
  $D$2:$D1000,
  TRUE
 )=FALSE,
 FALSE
)"),FALSE)</f>
        <v>0</v>
      </c>
      <c r="AA406" s="26" t="str">
        <f>IFERROR(__xludf.DUMMYFUNCTION("LET(
 id,A406,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7" ht="14.25" customHeight="1">
      <c r="A407" s="26" t="s">
        <v>1440</v>
      </c>
      <c r="B407" s="26" t="str">
        <f t="array" ref="B407">_xlfn.XLOOKUP(
 A407,
 tblTargets[TargetID],
 tblTargets[DisplayName],
 ""
)</f>
        <v>Character Level@80</v>
      </c>
      <c r="C407" s="26" t="str">
        <f t="shared" si="1"/>
        <v>READY</v>
      </c>
      <c r="D407" s="26" t="b">
        <f>IFERROR(__xludf.DUMMYFUNCTION("LET(
 id,A407,
 IF(
  F407=""CHARACTER"",
  LET(
   base,REGEXREPLACE(id,""@\d+$"",""""),
   required,VALUE(REGEXEXTRACT(id,""@(\d+)$"")),
   current,XLOOKUP(
    base,
    tblPlayer[PlayerStateID],
    tblPlayer[Value],
    0
   ),
   current&gt;=required
 "&amp;" ),
  IF(
   T407=""AUTO"",
   L407=0,
   COUNTIFS(
    tblChecklist[TargetID],id,
    tblChecklist[PlayerCompleted],TRUE
   )&gt;0
  )
 )
)"),FALSE)</f>
        <v>0</v>
      </c>
      <c r="E407" s="26" t="str">
        <f t="array" ref="E407">_xlfn.XLOOKUP(
 A407,
 tblTargets[TargetID],
 tblTargets[TargetType],
 ""
)</f>
        <v>STATE</v>
      </c>
      <c r="F407" s="26" t="str">
        <f t="array" ref="F407">_xlfn.XLOOKUP(
 A407,
 tblTargets[TargetID],
 tblTargets[StateType],
 ""
)</f>
        <v>CHARACTER</v>
      </c>
      <c r="G407" s="26">
        <f>LET(
 id,A407,
 depCount,COUNTIF(tblDependencies[TargetID],id),
 objCount,COUNTIF(tblQuestObjectives[QuestTargetID],id),
 depCount+objCount
)</f>
        <v>0</v>
      </c>
      <c r="H407" s="26">
        <f t="shared" si="2"/>
        <v>0</v>
      </c>
      <c r="I407" s="26">
        <f>IFERROR(__xludf.DUMMYFUNCTION("LET(
 id,A407,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7" s="26">
        <f t="shared" si="3"/>
        <v>0</v>
      </c>
      <c r="K407" s="26" t="b">
        <f t="shared" si="4"/>
        <v>1</v>
      </c>
      <c r="L407" s="26">
        <f t="shared" si="5"/>
        <v>0</v>
      </c>
      <c r="M407" s="26" t="str">
        <f>IFERROR(__xludf.DUMMYFUNCTION("LET(
 id,A407,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L407=0,
  """",
  IFERROR(INDEX(incomplete,1),"""")"&amp;"
 )
)"),"")</f>
        <v/>
      </c>
      <c r="N407" s="26" t="str">
        <f t="array" ref="N407">IF(
 M407="",
 "",
 _xlfn.XLOOKUP(
  M407,
  tblTargets[TargetID],
  tblTargets[DisplayName],
  M407
 )
)</f>
        <v/>
      </c>
      <c r="O407" s="26" t="str">
        <f>IFERROR(__xludf.DUMMYFUNCTION("SWITCH(
 E407,
 ""BUILDING"",XLOOKUP(A407,tblBuildings[BuildingID],tblBuildings[costtext],""""),
 ""TECH"",XLOOKUP(A407,tblTechnologies[TechnologyID],tblTechnologies[costtext],""""),
 ""QUEST"",XLOOKUP(
  REGEXREPLACE(A407,""\.[^.]+$"",""""),
  tblQuests["&amp;"QuestID],
  tblQuests[Costtext],
  """"
 ),
 ""CITADEL"",XLOOKUP(A407,tblCitadel[CitadelID],tblCitadel[costtext],""""),
 ""COLLECTION"",XLOOKUP(A407,tblCollections[CollectionID],tblCollections[costtext],""""),
 ""CRAFTIFACT"",XLOOKUP(A407,tblCraftifacts[C"&amp;"raftifactID],tblCraftifacts[costtext],""""),
 """"
)"),"")</f>
        <v/>
      </c>
      <c r="P407" s="26" t="str">
        <f t="shared" si="6"/>
        <v/>
      </c>
      <c r="Q407" s="26" t="str">
        <f t="shared" si="7"/>
        <v>READY</v>
      </c>
      <c r="R407" s="26" t="str">
        <f t="array" ref="R407">IFERROR(
 _xlfn.XLOOKUP(
  A407,
  tblChecklist[TargetID],
  tblChecklist[PlayerSort],
  ""
 ),
 ""
)</f>
        <v/>
      </c>
      <c r="S407" s="26" t="str">
        <f>IFERROR(__xludf.DUMMYFUNCTION("LET(
 id,A407,
 successorIDs,
  IFERROR(
   UNIQUE(
    FILTER(
     {
      Dependencies!$A$2:$A$1000;
      QuestObjectives!$A$2:$A$1000
     },
     {
      Dependencies!$B$2:$B$1000;
      QuestObjectives!$E$2:$E$1000
     }=id
    )
   ),
   """"
  )"&amp;",
 names,
  MAP(
   successorIDs,
   LAMBDA(s,
    IF(
     s="""",
     """",
     XLOOKUP(
      s,
      $A$2:$A$1000,
      $B$2:$B$1000,
      s
     )
    )
   )
  ),
 IF(
  successorIDs="""",
  """",
  TEXTJOIN("", "",TRUE,names)
 )
)"),"Laboratory Lv 1")</f>
        <v>Laboratory Lv 1</v>
      </c>
      <c r="T407" s="26" t="str">
        <f t="array" ref="T407">_xlfn.XLOOKUP(
 A407,
 tblTargets[TargetID],
 tblTargets[CompletionMethod],
 ""
)</f>
        <v>PLAYER</v>
      </c>
      <c r="U407" s="84" t="b">
        <f>COUNTIF(tblCost[TargetID],A407)&gt;0</f>
        <v>0</v>
      </c>
      <c r="V407" s="85" t="str">
        <f t="array" ref="V407">IF(
 U407=FALSE,
 "",
 _xlfn.XLOOKUP(
  A407,
  tblCost[TargetID],
  tblCost[FundingPercent],
  ""
 )
)</f>
        <v/>
      </c>
      <c r="W407" s="26" t="str">
        <f t="array" ref="W407">IF(
 U407=FALSE,
 "",
 _xlfn.XLOOKUP(
  A407,
  tblCost[TargetID],
  tblCost[RemainingRequirements],
  ""
 )
)</f>
        <v/>
      </c>
      <c r="X407" s="45" t="str">
        <f t="array" ref="X407">IF(
 U407=FALSE,
 "N/A",
 _xlfn.XLOOKUP(
  A408,
  tblCost[TargetID],
  tblCost[TargetFunded],
  FALSE
 )
)</f>
        <v>N/A</v>
      </c>
      <c r="Y407" s="26" t="str">
        <f>IFERROR(__xludf.DUMMYFUNCTION("IFERROR(
 TEXTJOIN(
  "", "",
  TRUE,
  FILTER(
   'cost checklist'!$E$2:$E1000&amp;"": ""&amp;'cost checklist'!$G$2:$G1000,
   'cost checklist'!$B$2:$B1000=A407,
   'cost checklist'!$J$2:$J1000=FALSE
  )
 ),
 """"
)"),"")</f>
        <v/>
      </c>
      <c r="Z407" s="26" t="b">
        <f>IFERROR(__xludf.DUMMYFUNCTION("IF(
 AND(
  E407=""QUEST"",
  RIGHT(A407,9)="".accepted"",
  D407=TRUE
 ),
 XLOOKUP(
  REGEXREPLACE(A407,""\.accepted$"","""")&amp;"".finished"",
  $A$2:$A1000,
  $D$2:$D1000,
  TRUE
 )=FALSE,
 FALSE
)"),FALSE)</f>
        <v>0</v>
      </c>
      <c r="AA407" s="26" t="str">
        <f>IFERROR(__xludf.DUMMYFUNCTION("LET(
 id,A407,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8" ht="14.25" customHeight="1">
      <c r="A408" s="26" t="s">
        <v>1442</v>
      </c>
      <c r="B408" s="26" t="str">
        <f t="array" ref="B408">_xlfn.XLOOKUP(
 A408,
 tblTargets[TargetID],
 tblTargets[DisplayName],
 ""
)</f>
        <v>Character Level@9</v>
      </c>
      <c r="C408" s="26" t="str">
        <f t="shared" si="1"/>
        <v>READY</v>
      </c>
      <c r="D408" s="26" t="b">
        <f>IFERROR(__xludf.DUMMYFUNCTION("LET(
 id,A408,
 IF(
  F408=""CHARACTER"",
  LET(
   base,REGEXREPLACE(id,""@\d+$"",""""),
   required,VALUE(REGEXEXTRACT(id,""@(\d+)$"")),
   current,XLOOKUP(
    base,
    tblPlayer[PlayerStateID],
    tblPlayer[Value],
    0
   ),
   current&gt;=required
 "&amp;" ),
  IF(
   T408=""AUTO"",
   L408=0,
   COUNTIFS(
    tblChecklist[TargetID],id,
    tblChecklist[PlayerCompleted],TRUE
   )&gt;0
  )
 )
)"),FALSE)</f>
        <v>0</v>
      </c>
      <c r="E408" s="26" t="str">
        <f t="array" ref="E408">_xlfn.XLOOKUP(
 A408,
 tblTargets[TargetID],
 tblTargets[TargetType],
 ""
)</f>
        <v>STATE</v>
      </c>
      <c r="F408" s="26" t="str">
        <f t="array" ref="F408">_xlfn.XLOOKUP(
 A408,
 tblTargets[TargetID],
 tblTargets[StateType],
 ""
)</f>
        <v>CHARACTER</v>
      </c>
      <c r="G408" s="26">
        <f>LET(
 id,A408,
 depCount,COUNTIF(tblDependencies[TargetID],id),
 objCount,COUNTIF(tblQuestObjectives[QuestTargetID],id),
 depCount+objCount
)</f>
        <v>0</v>
      </c>
      <c r="H408" s="26">
        <f t="shared" si="2"/>
        <v>0</v>
      </c>
      <c r="I408" s="26">
        <f>IFERROR(__xludf.DUMMYFUNCTION("LET(
 id,A408,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8" s="26">
        <f t="shared" si="3"/>
        <v>0</v>
      </c>
      <c r="K408" s="26" t="b">
        <f t="shared" si="4"/>
        <v>1</v>
      </c>
      <c r="L408" s="26">
        <f t="shared" si="5"/>
        <v>0</v>
      </c>
      <c r="M408" s="26" t="str">
        <f>IFERROR(__xludf.DUMMYFUNCTION("LET(
 id,A408,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L408=0,
  """",
  IFERROR(INDEX(incomplete,1),"""")"&amp;"
 )
)"),"")</f>
        <v/>
      </c>
      <c r="N408" s="26" t="str">
        <f t="array" ref="N408">IF(
 M408="",
 "",
 _xlfn.XLOOKUP(
  M408,
  tblTargets[TargetID],
  tblTargets[DisplayName],
  M408
 )
)</f>
        <v/>
      </c>
      <c r="O408" s="26" t="str">
        <f>IFERROR(__xludf.DUMMYFUNCTION("SWITCH(
 E408,
 ""BUILDING"",XLOOKUP(A408,tblBuildings[BuildingID],tblBuildings[costtext],""""),
 ""TECH"",XLOOKUP(A408,tblTechnologies[TechnologyID],tblTechnologies[costtext],""""),
 ""QUEST"",XLOOKUP(
  REGEXREPLACE(A408,""\.[^.]+$"",""""),
  tblQuests["&amp;"QuestID],
  tblQuests[Costtext],
  """"
 ),
 ""CITADEL"",XLOOKUP(A408,tblCitadel[CitadelID],tblCitadel[costtext],""""),
 ""COLLECTION"",XLOOKUP(A408,tblCollections[CollectionID],tblCollections[costtext],""""),
 ""CRAFTIFACT"",XLOOKUP(A408,tblCraftifacts[C"&amp;"raftifactID],tblCraftifacts[costtext],""""),
 """"
)"),"")</f>
        <v/>
      </c>
      <c r="P408" s="26" t="str">
        <f t="shared" si="6"/>
        <v/>
      </c>
      <c r="Q408" s="26" t="str">
        <f t="shared" si="7"/>
        <v>READY</v>
      </c>
      <c r="R408" s="26" t="str">
        <f t="array" ref="R408">IFERROR(
 _xlfn.XLOOKUP(
  A408,
  tblChecklist[TargetID],
  tblChecklist[PlayerSort],
  ""
 ),
 ""
)</f>
        <v/>
      </c>
      <c r="S408" s="26" t="str">
        <f>IFERROR(__xludf.DUMMYFUNCTION("LET(
 id,A408,
 successorIDs,
  IFERROR(
   UNIQUE(
    FILTER(
     {
      Dependencies!$A$2:$A$1000;
      QuestObjectives!$A$2:$A$1000
     },
     {
      Dependencies!$B$2:$B$1000;
      QuestObjectives!$E$2:$E$1000
     }=id
    )
   ),
   """"
  )"&amp;",
 names,
  MAP(
   successorIDs,
   LAMBDA(s,
    IF(
     s="""",
     """",
     XLOOKUP(
      s,
      $A$2:$A$1000,
      $B$2:$B$1000,
      s
     )
    )
   )
  ),
 IF(
  successorIDs="""",
  """",
  TEXTJOIN("", "",TRUE,names)
 )
)"),"Smithy Lv 1, Windmill Lv 1")</f>
        <v>Smithy Lv 1, Windmill Lv 1</v>
      </c>
      <c r="T408" s="26" t="str">
        <f t="array" ref="T408">_xlfn.XLOOKUP(
 A408,
 tblTargets[TargetID],
 tblTargets[CompletionMethod],
 ""
)</f>
        <v>PLAYER</v>
      </c>
      <c r="U408" s="84" t="b">
        <f>COUNTIF(tblCost[TargetID],A408)&gt;0</f>
        <v>0</v>
      </c>
      <c r="V408" s="85" t="str">
        <f t="array" ref="V408">IF(
 U408=FALSE,
 "",
 _xlfn.XLOOKUP(
  A408,
  tblCost[TargetID],
  tblCost[FundingPercent],
  ""
 )
)</f>
        <v/>
      </c>
      <c r="W408" s="26" t="str">
        <f t="array" ref="W408">IF(
 U408=FALSE,
 "",
 _xlfn.XLOOKUP(
  A408,
  tblCost[TargetID],
  tblCost[RemainingRequirements],
  ""
 )
)</f>
        <v/>
      </c>
      <c r="X408" s="45" t="str">
        <f t="array" ref="X408">IF(
 U408=FALSE,
 "N/A",
 _xlfn.XLOOKUP(
  A409,
  tblCost[TargetID],
  tblCost[TargetFunded],
  FALSE
 )
)</f>
        <v>N/A</v>
      </c>
      <c r="Y408" s="26" t="str">
        <f>IFERROR(__xludf.DUMMYFUNCTION("IFERROR(
 TEXTJOIN(
  "", "",
  TRUE,
  FILTER(
   'cost checklist'!$E$2:$E1000&amp;"": ""&amp;'cost checklist'!$G$2:$G1000,
   'cost checklist'!$B$2:$B1000=A408,
   'cost checklist'!$J$2:$J1000=FALSE
  )
 ),
 """"
)"),"")</f>
        <v/>
      </c>
      <c r="Z408" s="26" t="b">
        <f>IFERROR(__xludf.DUMMYFUNCTION("IF(
 AND(
  E408=""QUEST"",
  RIGHT(A408,9)="".accepted"",
  D408=TRUE
 ),
 XLOOKUP(
  REGEXREPLACE(A408,""\.accepted$"","""")&amp;"".finished"",
  $A$2:$A1000,
  $D$2:$D1000,
  TRUE
 )=FALSE,
 FALSE
)"),FALSE)</f>
        <v>0</v>
      </c>
      <c r="AA408" s="26" t="str">
        <f>IFERROR(__xludf.DUMMYFUNCTION("LET(
 id,A408,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09" ht="14.25" customHeight="1">
      <c r="A409" s="26" t="s">
        <v>1444</v>
      </c>
      <c r="B409" s="26" t="str">
        <f t="array" ref="B409">_xlfn.XLOOKUP(
 A409,
 tblTargets[TargetID],
 tblTargets[DisplayName],
 ""
)</f>
        <v>Complete Dungeon 5C</v>
      </c>
      <c r="C409" s="26" t="str">
        <f t="shared" si="1"/>
        <v>BLOCKED</v>
      </c>
      <c r="D409" s="26" t="b">
        <f>IFERROR(__xludf.DUMMYFUNCTION("LET(
 id,A409,
 IF(
  F409=""CHARACTER"",
  LET(
   base,REGEXREPLACE(id,""@\d+$"",""""),
   required,VALUE(REGEXEXTRACT(id,""@(\d+)$"")),
   current,XLOOKUP(
    base,
    tblPlayer[PlayerStateID],
    tblPlayer[Value],
    0
   ),
   current&gt;=required
 "&amp;" ),
  IF(
   T409=""AUTO"",
   L409=0,
   COUNTIFS(
    tblChecklist[TargetID],id,
    tblChecklist[PlayerCompleted],TRUE
   )&gt;0
  )
 )
)"),FALSE)</f>
        <v>0</v>
      </c>
      <c r="E409" s="26" t="str">
        <f t="array" ref="E409">_xlfn.XLOOKUP(
 A409,
 tblTargets[TargetID],
 tblTargets[TargetType],
 ""
)</f>
        <v>STATE</v>
      </c>
      <c r="F409" s="26" t="str">
        <f t="array" ref="F409">_xlfn.XLOOKUP(
 A409,
 tblTargets[TargetID],
 tblTargets[StateType],
 ""
)</f>
        <v>COMPLETE</v>
      </c>
      <c r="G409" s="26">
        <f>LET(
 id,A409,
 depCount,COUNTIF(tblDependencies[TargetID],id),
 objCount,COUNTIF(tblQuestObjectives[QuestTargetID],id),
 depCount+objCount
)</f>
        <v>2</v>
      </c>
      <c r="H409" s="26">
        <f t="shared" si="2"/>
        <v>2</v>
      </c>
      <c r="I409" s="26">
        <f>IFERROR(__xludf.DUMMYFUNCTION("LET(
 id,A409,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09" s="26">
        <f t="shared" si="3"/>
        <v>0</v>
      </c>
      <c r="K409" s="26" t="b">
        <f t="shared" si="4"/>
        <v>0</v>
      </c>
      <c r="L409" s="26">
        <f t="shared" si="5"/>
        <v>2</v>
      </c>
      <c r="M409" s="26" t="str">
        <f>IFERROR(__xludf.DUMMYFUNCTION("LET(
 id,A409,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L409=0,
  """",
  IFERROR(INDEX(incomplete,1),"""")"&amp;"
 )
)"),"quest.dragon_teeth.finished")</f>
        <v>quest.dragon_teeth.finished</v>
      </c>
      <c r="N409" s="26" t="str">
        <f t="array" ref="N409">IF(
 M409="",
 "",
 _xlfn.XLOOKUP(
  M409,
  tblTargets[TargetID],
  tblTargets[DisplayName],
  M409
 )
)</f>
        <v>Dragon teeth Finished</v>
      </c>
      <c r="O409" s="26" t="str">
        <f>IFERROR(__xludf.DUMMYFUNCTION("SWITCH(
 E409,
 ""BUILDING"",XLOOKUP(A409,tblBuildings[BuildingID],tblBuildings[costtext],""""),
 ""TECH"",XLOOKUP(A409,tblTechnologies[TechnologyID],tblTechnologies[costtext],""""),
 ""QUEST"",XLOOKUP(
  REGEXREPLACE(A409,""\.[^.]+$"",""""),
  tblQuests["&amp;"QuestID],
  tblQuests[Costtext],
  """"
 ),
 ""CITADEL"",XLOOKUP(A409,tblCitadel[CitadelID],tblCitadel[costtext],""""),
 ""COLLECTION"",XLOOKUP(A409,tblCollections[CollectionID],tblCollections[costtext],""""),
 ""CRAFTIFACT"",XLOOKUP(A409,tblCraftifacts[C"&amp;"raftifactID],tblCraftifacts[costtext],""""),
 """"
)"),"")</f>
        <v/>
      </c>
      <c r="P409" s="26" t="str">
        <f t="shared" si="6"/>
        <v>BLOCKED</v>
      </c>
      <c r="Q409" s="26" t="str">
        <f t="shared" si="7"/>
        <v>BLOCKED</v>
      </c>
      <c r="R409" s="26" t="str">
        <f t="array" ref="R409">IFERROR(
 _xlfn.XLOOKUP(
  A409,
  tblChecklist[TargetID],
  tblChecklist[PlayerSort],
  ""
 ),
 ""
)</f>
        <v/>
      </c>
      <c r="S409" s="26" t="str">
        <f>IFERROR(__xludf.DUMMYFUNCTION("LET(
 id,A409,
 successorIDs,
  IFERROR(
   UNIQUE(
    FILTER(
     {
      Dependencies!$A$2:$A$1000;
      QuestObjectives!$A$2:$A$1000
     },
     {
      Dependencies!$B$2:$B$1000;
      QuestObjectives!$E$2:$E$1000
     }=id
    )
   ),
   """"
  )"&amp;",
 names,
  MAP(
   successorIDs,
   LAMBDA(s,
    IF(
     s="""",
     """",
     XLOOKUP(
      s,
      $A$2:$A$1000,
      $B$2:$B$1000,
      s
     )
    )
   )
  ),
 IF(
  successorIDs="""",
  """",
  TEXTJOIN("", "",TRUE,names)
 )
)"),"Undead Revenge Accepted, Visit Dungeon@5A , Undead Revenge Finished")</f>
        <v>Undead Revenge Accepted, Visit Dungeon@5A , Undead Revenge Finished</v>
      </c>
      <c r="T409" s="26" t="str">
        <f t="array" ref="T409">_xlfn.XLOOKUP(
 A409,
 tblTargets[TargetID],
 tblTargets[CompletionMethod],
 ""
)</f>
        <v>PLAYER</v>
      </c>
      <c r="U409" s="84" t="b">
        <f>COUNTIF(tblCost[TargetID],A409)&gt;0</f>
        <v>0</v>
      </c>
      <c r="V409" s="85" t="str">
        <f t="array" ref="V409">IF(
 U409=FALSE,
 "",
 _xlfn.XLOOKUP(
  A409,
  tblCost[TargetID],
  tblCost[FundingPercent],
  ""
 )
)</f>
        <v/>
      </c>
      <c r="W409" s="26" t="str">
        <f t="array" ref="W409">IF(
 U409=FALSE,
 "",
 _xlfn.XLOOKUP(
  A409,
  tblCost[TargetID],
  tblCost[RemainingRequirements],
  ""
 )
)</f>
        <v/>
      </c>
      <c r="X409" s="45" t="str">
        <f t="array" ref="X409">IF(
 U409=FALSE,
 "N/A",
 _xlfn.XLOOKUP(
  A410,
  tblCost[TargetID],
  tblCost[TargetFunded],
  FALSE
 )
)</f>
        <v>N/A</v>
      </c>
      <c r="Y409" s="26" t="str">
        <f>IFERROR(__xludf.DUMMYFUNCTION("IFERROR(
 TEXTJOIN(
  "", "",
  TRUE,
  FILTER(
   'cost checklist'!$E$2:$E1000&amp;"": ""&amp;'cost checklist'!$G$2:$G1000,
   'cost checklist'!$B$2:$B1000=A409,
   'cost checklist'!$J$2:$J1000=FALSE
  )
 ),
 """"
)"),"")</f>
        <v/>
      </c>
      <c r="Z409" s="26" t="b">
        <f>IFERROR(__xludf.DUMMYFUNCTION("IF(
 AND(
  E409=""QUEST"",
  RIGHT(A409,9)="".accepted"",
  D409=TRUE
 ),
 XLOOKUP(
  REGEXREPLACE(A409,""\.accepted$"","""")&amp;"".finished"",
  $A$2:$A1000,
  $D$2:$D1000,
  TRUE
 )=FALSE,
 FALSE
)"),FALSE)</f>
        <v>0</v>
      </c>
      <c r="AA409" s="26" t="str">
        <f>IFERROR(__xludf.DUMMYFUNCTION("LET(
 id,A409,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)"),"Undead Revenge")</f>
        <v>Undead Revenge</v>
      </c>
    </row>
    <row r="410" ht="14.25" customHeight="1">
      <c r="A410" s="26" t="s">
        <v>1447</v>
      </c>
      <c r="B410" s="26" t="str">
        <f t="array" ref="B410">_xlfn.XLOOKUP(
 A410,
 tblTargets[TargetID],
 tblTargets[DisplayName],
 ""
)</f>
        <v>Complete Dungeon 6C</v>
      </c>
      <c r="C410" s="26" t="str">
        <f t="shared" si="1"/>
        <v>BLOCKED</v>
      </c>
      <c r="D410" s="26" t="b">
        <f>IFERROR(__xludf.DUMMYFUNCTION("LET(
 id,A410,
 IF(
  F410=""CHARACTER"",
  LET(
   base,REGEXREPLACE(id,""@\d+$"",""""),
   required,VALUE(REGEXEXTRACT(id,""@(\d+)$"")),
   current,XLOOKUP(
    base,
    tblPlayer[PlayerStateID],
    tblPlayer[Value],
    0
   ),
   current&gt;=required
 "&amp;" ),
  IF(
   T410=""AUTO"",
   L410=0,
   COUNTIFS(
    tblChecklist[TargetID],id,
    tblChecklist[PlayerCompleted],TRUE
   )&gt;0
  )
 )
)"),FALSE)</f>
        <v>0</v>
      </c>
      <c r="E410" s="26" t="str">
        <f t="array" ref="E410">_xlfn.XLOOKUP(
 A410,
 tblTargets[TargetID],
 tblTargets[TargetType],
 ""
)</f>
        <v>STATE</v>
      </c>
      <c r="F410" s="26" t="str">
        <f t="array" ref="F410">_xlfn.XLOOKUP(
 A410,
 tblTargets[TargetID],
 tblTargets[StateType],
 ""
)</f>
        <v>COMPLETE</v>
      </c>
      <c r="G410" s="26">
        <f>LET(
 id,A410,
 depCount,COUNTIF(tblDependencies[TargetID],id),
 objCount,COUNTIF(tblQuestObjectives[QuestTargetID],id),
 depCount+objCount
)</f>
        <v>2</v>
      </c>
      <c r="H410" s="26">
        <f t="shared" si="2"/>
        <v>2</v>
      </c>
      <c r="I410" s="26">
        <f>IFERROR(__xludf.DUMMYFUNCTION("LET(
 id,A410,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0" s="26">
        <f t="shared" si="3"/>
        <v>0</v>
      </c>
      <c r="K410" s="26" t="b">
        <f t="shared" si="4"/>
        <v>0</v>
      </c>
      <c r="L410" s="26">
        <f t="shared" si="5"/>
        <v>2</v>
      </c>
      <c r="M410" s="26" t="str">
        <f>IFERROR(__xludf.DUMMYFUNCTION("LET(
 id,A410,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L410=0,
  """",
  IFERROR(INDEX(incomplete,1),"""")"&amp;"
 )
)"),"quest.the_ordinary_days_of_an_adventurer_chapter_7.accepted")</f>
        <v>quest.the_ordinary_days_of_an_adventurer_chapter_7.accepted</v>
      </c>
      <c r="N410" s="26" t="str">
        <f t="array" ref="N410">IF(
 M410="",
 "",
 _xlfn.XLOOKUP(
  M410,
  tblTargets[TargetID],
  tblTargets[DisplayName],
  M410
 )
)</f>
        <v>The Ordinary Days of an Adventurer Chapter 7 Accepted</v>
      </c>
      <c r="O410" s="26" t="str">
        <f>IFERROR(__xludf.DUMMYFUNCTION("SWITCH(
 E410,
 ""BUILDING"",XLOOKUP(A410,tblBuildings[BuildingID],tblBuildings[costtext],""""),
 ""TECH"",XLOOKUP(A410,tblTechnologies[TechnologyID],tblTechnologies[costtext],""""),
 ""QUEST"",XLOOKUP(
  REGEXREPLACE(A410,""\.[^.]+$"",""""),
  tblQuests["&amp;"QuestID],
  tblQuests[Costtext],
  """"
 ),
 ""CITADEL"",XLOOKUP(A410,tblCitadel[CitadelID],tblCitadel[costtext],""""),
 ""COLLECTION"",XLOOKUP(A410,tblCollections[CollectionID],tblCollections[costtext],""""),
 ""CRAFTIFACT"",XLOOKUP(A410,tblCraftifacts[C"&amp;"raftifactID],tblCraftifacts[costtext],""""),
 """"
)"),"")</f>
        <v/>
      </c>
      <c r="P410" s="26" t="str">
        <f t="shared" si="6"/>
        <v>BLOCKED</v>
      </c>
      <c r="Q410" s="26" t="str">
        <f t="shared" si="7"/>
        <v>BLOCKED</v>
      </c>
      <c r="R410" s="26" t="str">
        <f t="array" ref="R410">IFERROR(
 _xlfn.XLOOKUP(
  A410,
  tblChecklist[TargetID],
  tblChecklist[PlayerSort],
  ""
 ),
 ""
)</f>
        <v/>
      </c>
      <c r="S410" s="26" t="str">
        <f>IFERROR(__xludf.DUMMYFUNCTION("LET(
 id,A410,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7 Finished")</f>
        <v>The Ordinary Days of an Adventurer Chapter 7 Finished</v>
      </c>
      <c r="T410" s="26" t="str">
        <f t="array" ref="T410">_xlfn.XLOOKUP(
 A410,
 tblTargets[TargetID],
 tblTargets[CompletionMethod],
 ""
)</f>
        <v>PLAYER</v>
      </c>
      <c r="U410" s="84" t="b">
        <f>COUNTIF(tblCost[TargetID],A410)&gt;0</f>
        <v>0</v>
      </c>
      <c r="V410" s="85" t="str">
        <f t="array" ref="V410">IF(
 U410=FALSE,
 "",
 _xlfn.XLOOKUP(
  A410,
  tblCost[TargetID],
  tblCost[FundingPercent],
  ""
 )
)</f>
        <v/>
      </c>
      <c r="W410" s="26" t="str">
        <f t="array" ref="W410">IF(
 U410=FALSE,
 "",
 _xlfn.XLOOKUP(
  A410,
  tblCost[TargetID],
  tblCost[RemainingRequirements],
  ""
 )
)</f>
        <v/>
      </c>
      <c r="X410" s="45" t="str">
        <f t="array" ref="X410">IF(
 U410=FALSE,
 "N/A",
 _xlfn.XLOOKUP(
  A411,
  tblCost[TargetID],
  tblCost[TargetFunded],
  FALSE
 )
)</f>
        <v>N/A</v>
      </c>
      <c r="Y410" s="26" t="str">
        <f>IFERROR(__xludf.DUMMYFUNCTION("IFERROR(
 TEXTJOIN(
  "", "",
  TRUE,
  FILTER(
   'cost checklist'!$E$2:$E1000&amp;"": ""&amp;'cost checklist'!$G$2:$G1000,
   'cost checklist'!$B$2:$B1000=A410,
   'cost checklist'!$J$2:$J1000=FALSE
  )
 ),
 """"
)"),"")</f>
        <v/>
      </c>
      <c r="Z410" s="26" t="b">
        <f>IFERROR(__xludf.DUMMYFUNCTION("IF(
 AND(
  E410=""QUEST"",
  RIGHT(A410,9)="".accepted"",
  D410=TRUE
 ),
 XLOOKUP(
  REGEXREPLACE(A410,""\.accepted$"","""")&amp;"".finished"",
  $A$2:$A1000,
  $D$2:$D1000,
  TRUE
 )=FALSE,
 FALSE
)"),FALSE)</f>
        <v>0</v>
      </c>
      <c r="AA410" s="26" t="str">
        <f>IFERROR(__xludf.DUMMYFUNCTION("LET(
 id,A410,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11" ht="14.25" customHeight="1">
      <c r="A411" s="26" t="s">
        <v>1449</v>
      </c>
      <c r="B411" s="26" t="str">
        <f t="array" ref="B411">_xlfn.XLOOKUP(
 A411,
 tblTargets[TargetID],
 tblTargets[DisplayName],
 ""
)</f>
        <v>Complete F1 for the first time</v>
      </c>
      <c r="C411" s="26" t="str">
        <f t="shared" si="1"/>
        <v>BLOCKED</v>
      </c>
      <c r="D411" s="26" t="b">
        <f>IFERROR(__xludf.DUMMYFUNCTION("LET(
 id,A411,
 IF(
  F411=""CHARACTER"",
  LET(
   base,REGEXREPLACE(id,""@\d+$"",""""),
   required,VALUE(REGEXEXTRACT(id,""@(\d+)$"")),
   current,XLOOKUP(
    base,
    tblPlayer[PlayerStateID],
    tblPlayer[Value],
    0
   ),
   current&gt;=required
 "&amp;" ),
  IF(
   T411=""AUTO"",
   L411=0,
   COUNTIFS(
    tblChecklist[TargetID],id,
    tblChecklist[PlayerCompleted],TRUE
   )&gt;0
  )
 )
)"),FALSE)</f>
        <v>0</v>
      </c>
      <c r="E411" s="26" t="str">
        <f t="array" ref="E411">_xlfn.XLOOKUP(
 A411,
 tblTargets[TargetID],
 tblTargets[TargetType],
 ""
)</f>
        <v>STATE</v>
      </c>
      <c r="F411" s="26" t="str">
        <f t="array" ref="F411">_xlfn.XLOOKUP(
 A411,
 tblTargets[TargetID],
 tblTargets[StateType],
 ""
)</f>
        <v>COMPLETE</v>
      </c>
      <c r="G411" s="26">
        <f>LET(
 id,A411,
 depCount,COUNTIF(tblDependencies[TargetID],id),
 objCount,COUNTIF(tblQuestObjectives[QuestTargetID],id),
 depCount+objCount
)</f>
        <v>1</v>
      </c>
      <c r="H411" s="26">
        <f t="shared" si="2"/>
        <v>1</v>
      </c>
      <c r="I411" s="26">
        <f>IFERROR(__xludf.DUMMYFUNCTION("LET(
 id,A411,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1" s="26">
        <f t="shared" si="3"/>
        <v>0</v>
      </c>
      <c r="K411" s="26" t="b">
        <f t="shared" si="4"/>
        <v>0</v>
      </c>
      <c r="L411" s="26">
        <f t="shared" si="5"/>
        <v>1</v>
      </c>
      <c r="M411" s="26" t="str">
        <f>IFERROR(__xludf.DUMMYFUNCTION("LET(
 id,A411,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L411=0,
  """",
  IFERROR(INDEX(incomplete,1),"""")"&amp;"
 )
)"),"quest.once_upon_a_forest_chapter_2.accepted")</f>
        <v>quest.once_upon_a_forest_chapter_2.accepted</v>
      </c>
      <c r="N411" s="26" t="str">
        <f t="array" ref="N411">IF(
 M411="",
 "",
 _xlfn.XLOOKUP(
  M411,
  tblTargets[TargetID],
  tblTargets[DisplayName],
  M411
 )
)</f>
        <v>Once Upon a Forest Chapter 2 Accepted</v>
      </c>
      <c r="O411" s="26" t="str">
        <f>IFERROR(__xludf.DUMMYFUNCTION("SWITCH(
 E411,
 ""BUILDING"",XLOOKUP(A411,tblBuildings[BuildingID],tblBuildings[costtext],""""),
 ""TECH"",XLOOKUP(A411,tblTechnologies[TechnologyID],tblTechnologies[costtext],""""),
 ""QUEST"",XLOOKUP(
  REGEXREPLACE(A411,""\.[^.]+$"",""""),
  tblQuests["&amp;"QuestID],
  tblQuests[Costtext],
  """"
 ),
 ""CITADEL"",XLOOKUP(A411,tblCitadel[CitadelID],tblCitadel[costtext],""""),
 ""COLLECTION"",XLOOKUP(A411,tblCollections[CollectionID],tblCollections[costtext],""""),
 ""CRAFTIFACT"",XLOOKUP(A411,tblCraftifacts[C"&amp;"raftifactID],tblCraftifacts[costtext],""""),
 """"
)"),"")</f>
        <v/>
      </c>
      <c r="P411" s="26" t="str">
        <f t="shared" si="6"/>
        <v>BLOCKED</v>
      </c>
      <c r="Q411" s="26" t="str">
        <f t="shared" si="7"/>
        <v>BLOCKED</v>
      </c>
      <c r="R411" s="26" t="str">
        <f t="array" ref="R411">IFERROR(
 _xlfn.XLOOKUP(
  A411,
  tblChecklist[TargetID],
  tblChecklist[PlayerSort],
  ""
 ),
 ""
)</f>
        <v/>
      </c>
      <c r="S411" s="26" t="str">
        <f>IFERROR(__xludf.DUMMYFUNCTION("LET(
 id,A411,
 successorIDs,
  IFERROR(
   UNIQUE(
    FILTER(
     {
      Dependencies!$A$2:$A$1000;
      QuestObjectives!$A$2:$A$1000
     },
     {
      Dependencies!$B$2:$B$1000;
      QuestObjectives!$E$2:$E$1000
     }=id
    )
   ),
   """"
  )"&amp;",
 names,
  MAP(
   successorIDs,
   LAMBDA(s,
    IF(
     s="""",
     """",
     XLOOKUP(
      s,
      $A$2:$A$1000,
      $B$2:$B$1000,
      s
     )
    )
   )
  ),
 IF(
  successorIDs="""",
  """",
  TEXTJOIN("", "",TRUE,names)
 )
)"),"Once Upon a Forest Chapter 2 Finished")</f>
        <v>Once Upon a Forest Chapter 2 Finished</v>
      </c>
      <c r="T411" s="26" t="str">
        <f t="array" ref="T411">_xlfn.XLOOKUP(
 A411,
 tblTargets[TargetID],
 tblTargets[CompletionMethod],
 ""
)</f>
        <v>PLAYER</v>
      </c>
      <c r="U411" s="84" t="b">
        <f>COUNTIF(tblCost[TargetID],A411)&gt;0</f>
        <v>0</v>
      </c>
      <c r="V411" s="85" t="str">
        <f t="array" ref="V411">IF(
 U411=FALSE,
 "",
 _xlfn.XLOOKUP(
  A411,
  tblCost[TargetID],
  tblCost[FundingPercent],
  ""
 )
)</f>
        <v/>
      </c>
      <c r="W411" s="26" t="str">
        <f t="array" ref="W411">IF(
 U411=FALSE,
 "",
 _xlfn.XLOOKUP(
  A411,
  tblCost[TargetID],
  tblCost[RemainingRequirements],
  ""
 )
)</f>
        <v/>
      </c>
      <c r="X411" s="45" t="str">
        <f t="array" ref="X411">IF(
 U411=FALSE,
 "N/A",
 _xlfn.XLOOKUP(
  A412,
  tblCost[TargetID],
  tblCost[TargetFunded],
  FALSE
 )
)</f>
        <v>N/A</v>
      </c>
      <c r="Y411" s="26" t="str">
        <f>IFERROR(__xludf.DUMMYFUNCTION("IFERROR(
 TEXTJOIN(
  "", "",
  TRUE,
  FILTER(
   'cost checklist'!$E$2:$E1000&amp;"": ""&amp;'cost checklist'!$G$2:$G1000,
   'cost checklist'!$B$2:$B1000=A411,
   'cost checklist'!$J$2:$J1000=FALSE
  )
 ),
 """"
)"),"")</f>
        <v/>
      </c>
      <c r="Z411" s="26" t="b">
        <f>IFERROR(__xludf.DUMMYFUNCTION("IF(
 AND(
  E411=""QUEST"",
  RIGHT(A411,9)="".accepted"",
  D411=TRUE
 ),
 XLOOKUP(
  REGEXREPLACE(A411,""\.accepted$"","""")&amp;"".finished"",
  $A$2:$A1000,
  $D$2:$D1000,
  TRUE
 )=FALSE,
 FALSE
)"),FALSE)</f>
        <v>0</v>
      </c>
      <c r="AA411" s="26" t="str">
        <f>IFERROR(__xludf.DUMMYFUNCTION("LET(
 id,A411,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12" ht="14.25" customHeight="1">
      <c r="A412" s="26" t="s">
        <v>1451</v>
      </c>
      <c r="B412" s="26" t="str">
        <f t="array" ref="B412">_xlfn.XLOOKUP(
 A412,
 tblTargets[TargetID],
 tblTargets[DisplayName],
 ""
)</f>
        <v>Escort Mr and Mrs Diligance through F1</v>
      </c>
      <c r="C412" s="26" t="str">
        <f t="shared" si="1"/>
        <v>BLOCKED</v>
      </c>
      <c r="D412" s="26" t="b">
        <f>IFERROR(__xludf.DUMMYFUNCTION("LET(
 id,A412,
 IF(
  F412=""CHARACTER"",
  LET(
   base,REGEXREPLACE(id,""@\d+$"",""""),
   required,VALUE(REGEXEXTRACT(id,""@(\d+)$"")),
   current,XLOOKUP(
    base,
    tblPlayer[PlayerStateID],
    tblPlayer[Value],
    0
   ),
   current&gt;=required
 "&amp;" ),
  IF(
   T412=""AUTO"",
   L412=0,
   COUNTIFS(
    tblChecklist[TargetID],id,
    tblChecklist[PlayerCompleted],TRUE
   )&gt;0
  )
 )
)"),FALSE)</f>
        <v>0</v>
      </c>
      <c r="E412" s="26" t="str">
        <f t="array" ref="E412">_xlfn.XLOOKUP(
 A412,
 tblTargets[TargetID],
 tblTargets[TargetType],
 ""
)</f>
        <v>STATE</v>
      </c>
      <c r="F412" s="26" t="str">
        <f t="array" ref="F412">_xlfn.XLOOKUP(
 A412,
 tblTargets[TargetID],
 tblTargets[StateType],
 ""
)</f>
        <v>COMPLETE</v>
      </c>
      <c r="G412" s="26">
        <f>LET(
 id,A412,
 depCount,COUNTIF(tblDependencies[TargetID],id),
 objCount,COUNTIF(tblQuestObjectives[QuestTargetID],id),
 depCount+objCount
)</f>
        <v>2</v>
      </c>
      <c r="H412" s="26">
        <f t="shared" si="2"/>
        <v>2</v>
      </c>
      <c r="I412" s="26">
        <f>IFERROR(__xludf.DUMMYFUNCTION("LET(
 id,A412,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2" s="26">
        <f t="shared" si="3"/>
        <v>0</v>
      </c>
      <c r="K412" s="26" t="b">
        <f t="shared" si="4"/>
        <v>0</v>
      </c>
      <c r="L412" s="26">
        <f t="shared" si="5"/>
        <v>2</v>
      </c>
      <c r="M412" s="26" t="str">
        <f>IFERROR(__xludf.DUMMYFUNCTION("LET(
 id,A412,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L412=0,
  """",
  IFERROR(INDEX(incomplete,1),"""")"&amp;"
 )
)"),"quest.once_upon_a_forest_chapter_12.accepted")</f>
        <v>quest.once_upon_a_forest_chapter_12.accepted</v>
      </c>
      <c r="N412" s="26" t="str">
        <f t="array" ref="N412">IF(
 M412="",
 "",
 _xlfn.XLOOKUP(
  M412,
  tblTargets[TargetID],
  tblTargets[DisplayName],
  M412
 )
)</f>
        <v>Once Upon a Forest Chapter 12 Accepted</v>
      </c>
      <c r="O412" s="26" t="str">
        <f>IFERROR(__xludf.DUMMYFUNCTION("SWITCH(
 E412,
 ""BUILDING"",XLOOKUP(A412,tblBuildings[BuildingID],tblBuildings[costtext],""""),
 ""TECH"",XLOOKUP(A412,tblTechnologies[TechnologyID],tblTechnologies[costtext],""""),
 ""QUEST"",XLOOKUP(
  REGEXREPLACE(A412,""\.[^.]+$"",""""),
  tblQuests["&amp;"QuestID],
  tblQuests[Costtext],
  """"
 ),
 ""CITADEL"",XLOOKUP(A412,tblCitadel[CitadelID],tblCitadel[costtext],""""),
 ""COLLECTION"",XLOOKUP(A412,tblCollections[CollectionID],tblCollections[costtext],""""),
 ""CRAFTIFACT"",XLOOKUP(A412,tblCraftifacts[C"&amp;"raftifactID],tblCraftifacts[costtext],""""),
 """"
)"),"")</f>
        <v/>
      </c>
      <c r="P412" s="26" t="str">
        <f t="shared" si="6"/>
        <v>BLOCKED</v>
      </c>
      <c r="Q412" s="26" t="str">
        <f t="shared" si="7"/>
        <v>BLOCKED</v>
      </c>
      <c r="R412" s="26" t="str">
        <f t="array" ref="R412">IFERROR(
 _xlfn.XLOOKUP(
  A412,
  tblChecklist[TargetID],
  tblChecklist[PlayerSort],
  ""
 ),
 ""
)</f>
        <v/>
      </c>
      <c r="S412" s="26" t="str">
        <f>IFERROR(__xludf.DUMMYFUNCTION("LET(
 id,A412,
 successorIDs,
  IFERROR(
   UNIQUE(
    FILTER(
     {
      Dependencies!$A$2:$A$1000;
      QuestObjectives!$A$2:$A$1000
     },
     {
      Dependencies!$B$2:$B$1000;
      QuestObjectives!$E$2:$E$1000
     }=id
    )
   ),
   """"
  )"&amp;",
 names,
  MAP(
   successorIDs,
   LAMBDA(s,
    IF(
     s="""",
     """",
     XLOOKUP(
      s,
      $A$2:$A$1000,
      $B$2:$B$1000,
      s
     )
    )
   )
  ),
 IF(
  successorIDs="""",
  """",
  TEXTJOIN("", "",TRUE,names)
 )
)"),"Once Upon a Forest Chapter 12 Finished")</f>
        <v>Once Upon a Forest Chapter 12 Finished</v>
      </c>
      <c r="T412" s="26" t="str">
        <f t="array" ref="T412">_xlfn.XLOOKUP(
 A412,
 tblTargets[TargetID],
 tblTargets[CompletionMethod],
 ""
)</f>
        <v>PLAYER</v>
      </c>
      <c r="U412" s="84" t="b">
        <f>COUNTIF(tblCost[TargetID],A412)&gt;0</f>
        <v>0</v>
      </c>
      <c r="V412" s="85" t="str">
        <f t="array" ref="V412">IF(
 U412=FALSE,
 "",
 _xlfn.XLOOKUP(
  A412,
  tblCost[TargetID],
  tblCost[FundingPercent],
  ""
 )
)</f>
        <v/>
      </c>
      <c r="W412" s="26" t="str">
        <f t="array" ref="W412">IF(
 U412=FALSE,
 "",
 _xlfn.XLOOKUP(
  A412,
  tblCost[TargetID],
  tblCost[RemainingRequirements],
  ""
 )
)</f>
        <v/>
      </c>
      <c r="X412" s="45" t="str">
        <f t="array" ref="X412">IF(
 U412=FALSE,
 "N/A",
 _xlfn.XLOOKUP(
  A413,
  tblCost[TargetID],
  tblCost[TargetFunded],
  FALSE
 )
)</f>
        <v>N/A</v>
      </c>
      <c r="Y412" s="26" t="str">
        <f>IFERROR(__xludf.DUMMYFUNCTION("IFERROR(
 TEXTJOIN(
  "", "",
  TRUE,
  FILTER(
   'cost checklist'!$E$2:$E1000&amp;"": ""&amp;'cost checklist'!$G$2:$G1000,
   'cost checklist'!$B$2:$B1000=A412,
   'cost checklist'!$J$2:$J1000=FALSE
  )
 ),
 """"
)"),"")</f>
        <v/>
      </c>
      <c r="Z412" s="26" t="b">
        <f>IFERROR(__xludf.DUMMYFUNCTION("IF(
 AND(
  E412=""QUEST"",
  RIGHT(A412,9)="".accepted"",
  D412=TRUE
 ),
 XLOOKUP(
  REGEXREPLACE(A412,""\.accepted$"","""")&amp;"".finished"",
  $A$2:$A1000,
  $D$2:$D1000,
  TRUE
 )=FALSE,
 FALSE
)"),FALSE)</f>
        <v>0</v>
      </c>
      <c r="AA412" s="26" t="str">
        <f>IFERROR(__xludf.DUMMYFUNCTION("LET(
 id,A412,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13" ht="14.25" customHeight="1">
      <c r="A413" s="26" t="s">
        <v>1454</v>
      </c>
      <c r="B413" s="26" t="str">
        <f t="array" ref="B413">_xlfn.XLOOKUP(
 A413,
 tblTargets[TargetID],
 tblTargets[DisplayName],
 ""
)</f>
        <v>Escort Mr and Mrs Diligance through F2</v>
      </c>
      <c r="C413" s="26" t="str">
        <f t="shared" si="1"/>
        <v>BLOCKED</v>
      </c>
      <c r="D413" s="26" t="b">
        <f>IFERROR(__xludf.DUMMYFUNCTION("LET(
 id,A413,
 IF(
  F413=""CHARACTER"",
  LET(
   base,REGEXREPLACE(id,""@\d+$"",""""),
   required,VALUE(REGEXEXTRACT(id,""@(\d+)$"")),
   current,XLOOKUP(
    base,
    tblPlayer[PlayerStateID],
    tblPlayer[Value],
    0
   ),
   current&gt;=required
 "&amp;" ),
  IF(
   T413=""AUTO"",
   L413=0,
   COUNTIFS(
    tblChecklist[TargetID],id,
    tblChecklist[PlayerCompleted],TRUE
   )&gt;0
  )
 )
)"),FALSE)</f>
        <v>0</v>
      </c>
      <c r="E413" s="26" t="str">
        <f t="array" ref="E413">_xlfn.XLOOKUP(
 A413,
 tblTargets[TargetID],
 tblTargets[TargetType],
 ""
)</f>
        <v>STATE</v>
      </c>
      <c r="F413" s="26" t="str">
        <f t="array" ref="F413">_xlfn.XLOOKUP(
 A413,
 tblTargets[TargetID],
 tblTargets[StateType],
 ""
)</f>
        <v>COMPLETE</v>
      </c>
      <c r="G413" s="26">
        <f>LET(
 id,A413,
 depCount,COUNTIF(tblDependencies[TargetID],id),
 objCount,COUNTIF(tblQuestObjectives[QuestTargetID],id),
 depCount+objCount
)</f>
        <v>2</v>
      </c>
      <c r="H413" s="26">
        <f t="shared" si="2"/>
        <v>2</v>
      </c>
      <c r="I413" s="26">
        <f>IFERROR(__xludf.DUMMYFUNCTION("LET(
 id,A413,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3" s="26">
        <f t="shared" si="3"/>
        <v>0</v>
      </c>
      <c r="K413" s="26" t="b">
        <f t="shared" si="4"/>
        <v>0</v>
      </c>
      <c r="L413" s="26">
        <f t="shared" si="5"/>
        <v>2</v>
      </c>
      <c r="M413" s="26" t="str">
        <f>IFERROR(__xludf.DUMMYFUNCTION("LET(
 id,A413,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L413=0,
  """",
  IFERROR(INDEX(incomplete,1),"""")"&amp;"
 )
)"),"quest.once_upon_a_forest_chapter_12.accepted")</f>
        <v>quest.once_upon_a_forest_chapter_12.accepted</v>
      </c>
      <c r="N413" s="26" t="str">
        <f t="array" ref="N413">IF(
 M413="",
 "",
 _xlfn.XLOOKUP(
  M413,
  tblTargets[TargetID],
  tblTargets[DisplayName],
  M413
 )
)</f>
        <v>Once Upon a Forest Chapter 12 Accepted</v>
      </c>
      <c r="O413" s="26" t="str">
        <f>IFERROR(__xludf.DUMMYFUNCTION("SWITCH(
 E413,
 ""BUILDING"",XLOOKUP(A413,tblBuildings[BuildingID],tblBuildings[costtext],""""),
 ""TECH"",XLOOKUP(A413,tblTechnologies[TechnologyID],tblTechnologies[costtext],""""),
 ""QUEST"",XLOOKUP(
  REGEXREPLACE(A413,""\.[^.]+$"",""""),
  tblQuests["&amp;"QuestID],
  tblQuests[Costtext],
  """"
 ),
 ""CITADEL"",XLOOKUP(A413,tblCitadel[CitadelID],tblCitadel[costtext],""""),
 ""COLLECTION"",XLOOKUP(A413,tblCollections[CollectionID],tblCollections[costtext],""""),
 ""CRAFTIFACT"",XLOOKUP(A413,tblCraftifacts[C"&amp;"raftifactID],tblCraftifacts[costtext],""""),
 """"
)"),"")</f>
        <v/>
      </c>
      <c r="P413" s="26" t="str">
        <f t="shared" si="6"/>
        <v>BLOCKED</v>
      </c>
      <c r="Q413" s="26" t="str">
        <f t="shared" si="7"/>
        <v>BLOCKED</v>
      </c>
      <c r="R413" s="26" t="str">
        <f t="array" ref="R413">IFERROR(
 _xlfn.XLOOKUP(
  A413,
  tblChecklist[TargetID],
  tblChecklist[PlayerSort],
  ""
 ),
 ""
)</f>
        <v/>
      </c>
      <c r="S413" s="26" t="str">
        <f>IFERROR(__xludf.DUMMYFUNCTION("LET(
 id,A413,
 successorIDs,
  IFERROR(
   UNIQUE(
    FILTER(
     {
      Dependencies!$A$2:$A$1000;
      QuestObjectives!$A$2:$A$1000
     },
     {
      Dependencies!$B$2:$B$1000;
      QuestObjectives!$E$2:$E$1000
     }=id
    )
   ),
   """"
  )"&amp;",
 names,
  MAP(
   successorIDs,
   LAMBDA(s,
    IF(
     s="""",
     """",
     XLOOKUP(
      s,
      $A$2:$A$1000,
      $B$2:$B$1000,
      s
     )
    )
   )
  ),
 IF(
  successorIDs="""",
  """",
  TEXTJOIN("", "",TRUE,names)
 )
)"),"Once Upon a Forest Chapter 12 Finished")</f>
        <v>Once Upon a Forest Chapter 12 Finished</v>
      </c>
      <c r="T413" s="26" t="str">
        <f t="array" ref="T413">_xlfn.XLOOKUP(
 A413,
 tblTargets[TargetID],
 tblTargets[CompletionMethod],
 ""
)</f>
        <v>PLAYER</v>
      </c>
      <c r="U413" s="84" t="b">
        <f>COUNTIF(tblCost[TargetID],A413)&gt;0</f>
        <v>0</v>
      </c>
      <c r="V413" s="85" t="str">
        <f t="array" ref="V413">IF(
 U413=FALSE,
 "",
 _xlfn.XLOOKUP(
  A413,
  tblCost[TargetID],
  tblCost[FundingPercent],
  ""
 )
)</f>
        <v/>
      </c>
      <c r="W413" s="26" t="str">
        <f t="array" ref="W413">IF(
 U413=FALSE,
 "",
 _xlfn.XLOOKUP(
  A413,
  tblCost[TargetID],
  tblCost[RemainingRequirements],
  ""
 )
)</f>
        <v/>
      </c>
      <c r="X413" s="45" t="str">
        <f t="array" ref="X413">IF(
 U413=FALSE,
 "N/A",
 _xlfn.XLOOKUP(
  A414,
  tblCost[TargetID],
  tblCost[TargetFunded],
  FALSE
 )
)</f>
        <v>N/A</v>
      </c>
      <c r="Y413" s="26" t="str">
        <f>IFERROR(__xludf.DUMMYFUNCTION("IFERROR(
 TEXTJOIN(
  "", "",
  TRUE,
  FILTER(
   'cost checklist'!$E$2:$E1000&amp;"": ""&amp;'cost checklist'!$G$2:$G1000,
   'cost checklist'!$B$2:$B1000=A413,
   'cost checklist'!$J$2:$J1000=FALSE
  )
 ),
 """"
)"),"")</f>
        <v/>
      </c>
      <c r="Z413" s="26" t="b">
        <f>IFERROR(__xludf.DUMMYFUNCTION("IF(
 AND(
  E413=""QUEST"",
  RIGHT(A413,9)="".accepted"",
  D413=TRUE
 ),
 XLOOKUP(
  REGEXREPLACE(A413,""\.accepted$"","""")&amp;"".finished"",
  $A$2:$A1000,
  $D$2:$D1000,
  TRUE
 )=FALSE,
 FALSE
)"),FALSE)</f>
        <v>0</v>
      </c>
      <c r="AA413" s="26" t="str">
        <f>IFERROR(__xludf.DUMMYFUNCTION("LET(
 id,A413,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14" ht="14.25" customHeight="1">
      <c r="A414" s="26" t="s">
        <v>1457</v>
      </c>
      <c r="B414" s="26" t="str">
        <f t="array" ref="B414">_xlfn.XLOOKUP(
 A414,
 tblTargets[TargetID],
 tblTargets[DisplayName],
 ""
)</f>
        <v>Escort Mr and Mrs Diligance through F3</v>
      </c>
      <c r="C414" s="26" t="str">
        <f t="shared" si="1"/>
        <v>BLOCKED</v>
      </c>
      <c r="D414" s="26" t="b">
        <f>IFERROR(__xludf.DUMMYFUNCTION("LET(
 id,A414,
 IF(
  F414=""CHARACTER"",
  LET(
   base,REGEXREPLACE(id,""@\d+$"",""""),
   required,VALUE(REGEXEXTRACT(id,""@(\d+)$"")),
   current,XLOOKUP(
    base,
    tblPlayer[PlayerStateID],
    tblPlayer[Value],
    0
   ),
   current&gt;=required
 "&amp;" ),
  IF(
   T414=""AUTO"",
   L414=0,
   COUNTIFS(
    tblChecklist[TargetID],id,
    tblChecklist[PlayerCompleted],TRUE
   )&gt;0
  )
 )
)"),FALSE)</f>
        <v>0</v>
      </c>
      <c r="E414" s="26" t="str">
        <f t="array" ref="E414">_xlfn.XLOOKUP(
 A414,
 tblTargets[TargetID],
 tblTargets[TargetType],
 ""
)</f>
        <v>STATE</v>
      </c>
      <c r="F414" s="26" t="str">
        <f t="array" ref="F414">_xlfn.XLOOKUP(
 A414,
 tblTargets[TargetID],
 tblTargets[StateType],
 ""
)</f>
        <v>COMPLETE</v>
      </c>
      <c r="G414" s="26">
        <f>LET(
 id,A414,
 depCount,COUNTIF(tblDependencies[TargetID],id),
 objCount,COUNTIF(tblQuestObjectives[QuestTargetID],id),
 depCount+objCount
)</f>
        <v>2</v>
      </c>
      <c r="H414" s="26">
        <f t="shared" si="2"/>
        <v>2</v>
      </c>
      <c r="I414" s="26">
        <f>IFERROR(__xludf.DUMMYFUNCTION("LET(
 id,A414,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4" s="26">
        <f t="shared" si="3"/>
        <v>0</v>
      </c>
      <c r="K414" s="26" t="b">
        <f t="shared" si="4"/>
        <v>0</v>
      </c>
      <c r="L414" s="26">
        <f t="shared" si="5"/>
        <v>2</v>
      </c>
      <c r="M414" s="26" t="str">
        <f>IFERROR(__xludf.DUMMYFUNCTION("LET(
 id,A414,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L414=0,
  """",
  IFERROR(INDEX(incomplete,1),"""")"&amp;"
 )
)"),"quest.once_upon_a_forest_chapter_12.accepted")</f>
        <v>quest.once_upon_a_forest_chapter_12.accepted</v>
      </c>
      <c r="N414" s="26" t="str">
        <f t="array" ref="N414">IF(
 M414="",
 "",
 _xlfn.XLOOKUP(
  M414,
  tblTargets[TargetID],
  tblTargets[DisplayName],
  M414
 )
)</f>
        <v>Once Upon a Forest Chapter 12 Accepted</v>
      </c>
      <c r="O414" s="26" t="str">
        <f>IFERROR(__xludf.DUMMYFUNCTION("SWITCH(
 E414,
 ""BUILDING"",XLOOKUP(A414,tblBuildings[BuildingID],tblBuildings[costtext],""""),
 ""TECH"",XLOOKUP(A414,tblTechnologies[TechnologyID],tblTechnologies[costtext],""""),
 ""QUEST"",XLOOKUP(
  REGEXREPLACE(A414,""\.[^.]+$"",""""),
  tblQuests["&amp;"QuestID],
  tblQuests[Costtext],
  """"
 ),
 ""CITADEL"",XLOOKUP(A414,tblCitadel[CitadelID],tblCitadel[costtext],""""),
 ""COLLECTION"",XLOOKUP(A414,tblCollections[CollectionID],tblCollections[costtext],""""),
 ""CRAFTIFACT"",XLOOKUP(A414,tblCraftifacts[C"&amp;"raftifactID],tblCraftifacts[costtext],""""),
 """"
)"),"")</f>
        <v/>
      </c>
      <c r="P414" s="26" t="str">
        <f t="shared" si="6"/>
        <v>BLOCKED</v>
      </c>
      <c r="Q414" s="26" t="str">
        <f t="shared" si="7"/>
        <v>BLOCKED</v>
      </c>
      <c r="R414" s="26" t="str">
        <f t="array" ref="R414">IFERROR(
 _xlfn.XLOOKUP(
  A414,
  tblChecklist[TargetID],
  tblChecklist[PlayerSort],
  ""
 ),
 ""
)</f>
        <v/>
      </c>
      <c r="S414" s="26" t="str">
        <f>IFERROR(__xludf.DUMMYFUNCTION("LET(
 id,A414,
 successorIDs,
  IFERROR(
   UNIQUE(
    FILTER(
     {
      Dependencies!$A$2:$A$1000;
      QuestObjectives!$A$2:$A$1000
     },
     {
      Dependencies!$B$2:$B$1000;
      QuestObjectives!$E$2:$E$1000
     }=id
    )
   ),
   """"
  )"&amp;",
 names,
  MAP(
   successorIDs,
   LAMBDA(s,
    IF(
     s="""",
     """",
     XLOOKUP(
      s,
      $A$2:$A$1000,
      $B$2:$B$1000,
      s
     )
    )
   )
  ),
 IF(
  successorIDs="""",
  """",
  TEXTJOIN("", "",TRUE,names)
 )
)"),"Once Upon a Forest Chapter 12 Finished")</f>
        <v>Once Upon a Forest Chapter 12 Finished</v>
      </c>
      <c r="T414" s="26" t="str">
        <f t="array" ref="T414">_xlfn.XLOOKUP(
 A414,
 tblTargets[TargetID],
 tblTargets[CompletionMethod],
 ""
)</f>
        <v>PLAYER</v>
      </c>
      <c r="U414" s="84" t="b">
        <f>COUNTIF(tblCost[TargetID],A414)&gt;0</f>
        <v>0</v>
      </c>
      <c r="V414" s="85" t="str">
        <f t="array" ref="V414">IF(
 U414=FALSE,
 "",
 _xlfn.XLOOKUP(
  A414,
  tblCost[TargetID],
  tblCost[FundingPercent],
  ""
 )
)</f>
        <v/>
      </c>
      <c r="W414" s="26" t="str">
        <f t="array" ref="W414">IF(
 U414=FALSE,
 "",
 _xlfn.XLOOKUP(
  A414,
  tblCost[TargetID],
  tblCost[RemainingRequirements],
  ""
 )
)</f>
        <v/>
      </c>
      <c r="X414" s="45" t="str">
        <f t="array" ref="X414">IF(
 U414=FALSE,
 "N/A",
 _xlfn.XLOOKUP(
  A415,
  tblCost[TargetID],
  tblCost[TargetFunded],
  FALSE
 )
)</f>
        <v>N/A</v>
      </c>
      <c r="Y414" s="26" t="str">
        <f>IFERROR(__xludf.DUMMYFUNCTION("IFERROR(
 TEXTJOIN(
  "", "",
  TRUE,
  FILTER(
   'cost checklist'!$E$2:$E1000&amp;"": ""&amp;'cost checklist'!$G$2:$G1000,
   'cost checklist'!$B$2:$B1000=A414,
   'cost checklist'!$J$2:$J1000=FALSE
  )
 ),
 """"
)"),"")</f>
        <v/>
      </c>
      <c r="Z414" s="26" t="b">
        <f>IFERROR(__xludf.DUMMYFUNCTION("IF(
 AND(
  E414=""QUEST"",
  RIGHT(A414,9)="".accepted"",
  D414=TRUE
 ),
 XLOOKUP(
  REGEXREPLACE(A414,""\.accepted$"","""")&amp;"".finished"",
  $A$2:$A1000,
  $D$2:$D1000,
  TRUE
 )=FALSE,
 FALSE
)"),FALSE)</f>
        <v>0</v>
      </c>
      <c r="AA414" s="26" t="str">
        <f>IFERROR(__xludf.DUMMYFUNCTION("LET(
 id,A414,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15" ht="14.25" customHeight="1">
      <c r="A415" s="26" t="s">
        <v>1459</v>
      </c>
      <c r="B415" s="26" t="str">
        <f t="array" ref="B415">_xlfn.XLOOKUP(
 A415,
 tblTargets[TargetID],
 tblTargets[DisplayName],
 ""
)</f>
        <v>Escort Mr and Mrs Diligance through F4</v>
      </c>
      <c r="C415" s="26" t="str">
        <f t="shared" si="1"/>
        <v>BLOCKED</v>
      </c>
      <c r="D415" s="26" t="b">
        <f>IFERROR(__xludf.DUMMYFUNCTION("LET(
 id,A415,
 IF(
  F415=""CHARACTER"",
  LET(
   base,REGEXREPLACE(id,""@\d+$"",""""),
   required,VALUE(REGEXEXTRACT(id,""@(\d+)$"")),
   current,XLOOKUP(
    base,
    tblPlayer[PlayerStateID],
    tblPlayer[Value],
    0
   ),
   current&gt;=required
 "&amp;" ),
  IF(
   T415=""AUTO"",
   L415=0,
   COUNTIFS(
    tblChecklist[TargetID],id,
    tblChecklist[PlayerCompleted],TRUE
   )&gt;0
  )
 )
)"),FALSE)</f>
        <v>0</v>
      </c>
      <c r="E415" s="26" t="str">
        <f t="array" ref="E415">_xlfn.XLOOKUP(
 A415,
 tblTargets[TargetID],
 tblTargets[TargetType],
 ""
)</f>
        <v>STATE</v>
      </c>
      <c r="F415" s="26" t="str">
        <f t="array" ref="F415">_xlfn.XLOOKUP(
 A415,
 tblTargets[TargetID],
 tblTargets[StateType],
 ""
)</f>
        <v>COMPLETE</v>
      </c>
      <c r="G415" s="26">
        <f>LET(
 id,A415,
 depCount,COUNTIF(tblDependencies[TargetID],id),
 objCount,COUNTIF(tblQuestObjectives[QuestTargetID],id),
 depCount+objCount
)</f>
        <v>2</v>
      </c>
      <c r="H415" s="26">
        <f t="shared" si="2"/>
        <v>2</v>
      </c>
      <c r="I415" s="26">
        <f>IFERROR(__xludf.DUMMYFUNCTION("LET(
 id,A415,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5" s="26">
        <f t="shared" si="3"/>
        <v>0</v>
      </c>
      <c r="K415" s="26" t="b">
        <f t="shared" si="4"/>
        <v>0</v>
      </c>
      <c r="L415" s="26">
        <f t="shared" si="5"/>
        <v>2</v>
      </c>
      <c r="M415" s="26" t="str">
        <f>IFERROR(__xludf.DUMMYFUNCTION("LET(
 id,A415,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L415=0,
  """",
  IFERROR(INDEX(incomplete,1),"""")"&amp;"
 )
)"),"quest.once_upon_a_forest_chapter_12.accepted")</f>
        <v>quest.once_upon_a_forest_chapter_12.accepted</v>
      </c>
      <c r="N415" s="26" t="str">
        <f t="array" ref="N415">IF(
 M415="",
 "",
 _xlfn.XLOOKUP(
  M415,
  tblTargets[TargetID],
  tblTargets[DisplayName],
  M415
 )
)</f>
        <v>Once Upon a Forest Chapter 12 Accepted</v>
      </c>
      <c r="O415" s="26" t="str">
        <f>IFERROR(__xludf.DUMMYFUNCTION("SWITCH(
 E415,
 ""BUILDING"",XLOOKUP(A415,tblBuildings[BuildingID],tblBuildings[costtext],""""),
 ""TECH"",XLOOKUP(A415,tblTechnologies[TechnologyID],tblTechnologies[costtext],""""),
 ""QUEST"",XLOOKUP(
  REGEXREPLACE(A415,""\.[^.]+$"",""""),
  tblQuests["&amp;"QuestID],
  tblQuests[Costtext],
  """"
 ),
 ""CITADEL"",XLOOKUP(A415,tblCitadel[CitadelID],tblCitadel[costtext],""""),
 ""COLLECTION"",XLOOKUP(A415,tblCollections[CollectionID],tblCollections[costtext],""""),
 ""CRAFTIFACT"",XLOOKUP(A415,tblCraftifacts[C"&amp;"raftifactID],tblCraftifacts[costtext],""""),
 """"
)"),"")</f>
        <v/>
      </c>
      <c r="P415" s="26" t="str">
        <f t="shared" si="6"/>
        <v>BLOCKED</v>
      </c>
      <c r="Q415" s="26" t="str">
        <f t="shared" si="7"/>
        <v>BLOCKED</v>
      </c>
      <c r="R415" s="26" t="str">
        <f t="array" ref="R415">IFERROR(
 _xlfn.XLOOKUP(
  A415,
  tblChecklist[TargetID],
  tblChecklist[PlayerSort],
  ""
 ),
 ""
)</f>
        <v/>
      </c>
      <c r="S415" s="26" t="str">
        <f>IFERROR(__xludf.DUMMYFUNCTION("LET(
 id,A415,
 successorIDs,
  IFERROR(
   UNIQUE(
    FILTER(
     {
      Dependencies!$A$2:$A$1000;
      QuestObjectives!$A$2:$A$1000
     },
     {
      Dependencies!$B$2:$B$1000;
      QuestObjectives!$E$2:$E$1000
     }=id
    )
   ),
   """"
  )"&amp;",
 names,
  MAP(
   successorIDs,
   LAMBDA(s,
    IF(
     s="""",
     """",
     XLOOKUP(
      s,
      $A$2:$A$1000,
      $B$2:$B$1000,
      s
     )
    )
   )
  ),
 IF(
  successorIDs="""",
  """",
  TEXTJOIN("", "",TRUE,names)
 )
)"),"Once Upon a Forest Chapter 12 Finished")</f>
        <v>Once Upon a Forest Chapter 12 Finished</v>
      </c>
      <c r="T415" s="26" t="str">
        <f t="array" ref="T415">_xlfn.XLOOKUP(
 A415,
 tblTargets[TargetID],
 tblTargets[CompletionMethod],
 ""
)</f>
        <v>PLAYER</v>
      </c>
      <c r="U415" s="84" t="b">
        <f>COUNTIF(tblCost[TargetID],A415)&gt;0</f>
        <v>0</v>
      </c>
      <c r="V415" s="85" t="str">
        <f t="array" ref="V415">IF(
 U415=FALSE,
 "",
 _xlfn.XLOOKUP(
  A415,
  tblCost[TargetID],
  tblCost[FundingPercent],
  ""
 )
)</f>
        <v/>
      </c>
      <c r="W415" s="26" t="str">
        <f t="array" ref="W415">IF(
 U415=FALSE,
 "",
 _xlfn.XLOOKUP(
  A415,
  tblCost[TargetID],
  tblCost[RemainingRequirements],
  ""
 )
)</f>
        <v/>
      </c>
      <c r="X415" s="45" t="str">
        <f t="array" ref="X415">IF(
 U415=FALSE,
 "N/A",
 _xlfn.XLOOKUP(
  A416,
  tblCost[TargetID],
  tblCost[TargetFunded],
  FALSE
 )
)</f>
        <v>N/A</v>
      </c>
      <c r="Y415" s="26" t="str">
        <f>IFERROR(__xludf.DUMMYFUNCTION("IFERROR(
 TEXTJOIN(
  "", "",
  TRUE,
  FILTER(
   'cost checklist'!$E$2:$E1000&amp;"": ""&amp;'cost checklist'!$G$2:$G1000,
   'cost checklist'!$B$2:$B1000=A415,
   'cost checklist'!$J$2:$J1000=FALSE
  )
 ),
 """"
)"),"")</f>
        <v/>
      </c>
      <c r="Z415" s="26" t="b">
        <f>IFERROR(__xludf.DUMMYFUNCTION("IF(
 AND(
  E415=""QUEST"",
  RIGHT(A415,9)="".accepted"",
  D415=TRUE
 ),
 XLOOKUP(
  REGEXREPLACE(A415,""\.accepted$"","""")&amp;"".finished"",
  $A$2:$A1000,
  $D$2:$D1000,
  TRUE
 )=FALSE,
 FALSE
)"),FALSE)</f>
        <v>0</v>
      </c>
      <c r="AA415" s="26" t="str">
        <f>IFERROR(__xludf.DUMMYFUNCTION("LET(
 id,A415,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16" ht="14.25" customHeight="1">
      <c r="A416" s="26" t="s">
        <v>1462</v>
      </c>
      <c r="B416" s="26" t="str">
        <f t="array" ref="B416">_xlfn.XLOOKUP(
 A416,
 tblTargets[TargetID],
 tblTargets[DisplayName],
 ""
)</f>
        <v>Complete Lvl1 Any Project</v>
      </c>
      <c r="C416" s="26" t="str">
        <f t="shared" si="1"/>
        <v>BLOCKED</v>
      </c>
      <c r="D416" s="26" t="b">
        <f>IFERROR(__xludf.DUMMYFUNCTION("LET(
 id,A416,
 IF(
  F416=""CHARACTER"",
  LET(
   base,REGEXREPLACE(id,""@\d+$"",""""),
   required,VALUE(REGEXEXTRACT(id,""@(\d+)$"")),
   current,XLOOKUP(
    base,
    tblPlayer[PlayerStateID],
    tblPlayer[Value],
    0
   ),
   current&gt;=required
 "&amp;" ),
  IF(
   T416=""AUTO"",
   L416=0,
   COUNTIFS(
    tblChecklist[TargetID],id,
    tblChecklist[PlayerCompleted],TRUE
   )&gt;0
  )
 )
)"),FALSE)</f>
        <v>0</v>
      </c>
      <c r="E416" s="26" t="str">
        <f t="array" ref="E416">_xlfn.XLOOKUP(
 A416,
 tblTargets[TargetID],
 tblTargets[TargetType],
 ""
)</f>
        <v>STATE</v>
      </c>
      <c r="F416" s="26" t="str">
        <f t="array" ref="F416">_xlfn.XLOOKUP(
 A416,
 tblTargets[TargetID],
 tblTargets[StateType],
 ""
)</f>
        <v>COMPLETE</v>
      </c>
      <c r="G416" s="26">
        <f>LET(
 id,A416,
 depCount,COUNTIF(tblDependencies[TargetID],id),
 objCount,COUNTIF(tblQuestObjectives[QuestTargetID],id),
 depCount+objCount
)</f>
        <v>1</v>
      </c>
      <c r="H416" s="26">
        <f t="shared" si="2"/>
        <v>1</v>
      </c>
      <c r="I416" s="26">
        <f>IFERROR(__xludf.DUMMYFUNCTION("LET(
 id,A416,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6" s="26">
        <f t="shared" si="3"/>
        <v>0</v>
      </c>
      <c r="K416" s="26" t="b">
        <f t="shared" si="4"/>
        <v>0</v>
      </c>
      <c r="L416" s="26">
        <f t="shared" si="5"/>
        <v>1</v>
      </c>
      <c r="M416" s="26" t="str">
        <f>IFERROR(__xludf.DUMMYFUNCTION("LET(
 id,A416,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L416=0,
  """",
  IFERROR(INDEX(incomplete,1),"""")"&amp;"
 )
)"),"quest.once_upon_a_forest_chapter_9.finished")</f>
        <v>quest.once_upon_a_forest_chapter_9.finished</v>
      </c>
      <c r="N416" s="26" t="str">
        <f t="array" ref="N416">IF(
 M416="",
 "",
 _xlfn.XLOOKUP(
  M416,
  tblTargets[TargetID],
  tblTargets[DisplayName],
  M416
 )
)</f>
        <v>Once Upon a Forest Chapter 9 Finished</v>
      </c>
      <c r="O416" s="26" t="str">
        <f>IFERROR(__xludf.DUMMYFUNCTION("SWITCH(
 E416,
 ""BUILDING"",XLOOKUP(A416,tblBuildings[BuildingID],tblBuildings[costtext],""""),
 ""TECH"",XLOOKUP(A416,tblTechnologies[TechnologyID],tblTechnologies[costtext],""""),
 ""QUEST"",XLOOKUP(
  REGEXREPLACE(A416,""\.[^.]+$"",""""),
  tblQuests["&amp;"QuestID],
  tblQuests[Costtext],
  """"
 ),
 ""CITADEL"",XLOOKUP(A416,tblCitadel[CitadelID],tblCitadel[costtext],""""),
 ""COLLECTION"",XLOOKUP(A416,tblCollections[CollectionID],tblCollections[costtext],""""),
 ""CRAFTIFACT"",XLOOKUP(A416,tblCraftifacts[C"&amp;"raftifactID],tblCraftifacts[costtext],""""),
 """"
)"),"")</f>
        <v/>
      </c>
      <c r="P416" s="26" t="str">
        <f t="shared" si="6"/>
        <v>BLOCKED</v>
      </c>
      <c r="Q416" s="26" t="str">
        <f t="shared" si="7"/>
        <v>BLOCKED</v>
      </c>
      <c r="R416" s="26" t="str">
        <f t="array" ref="R416">IFERROR(
 _xlfn.XLOOKUP(
  A416,
  tblChecklist[TargetID],
  tblChecklist[PlayerSort],
  ""
 ),
 ""
)</f>
        <v/>
      </c>
      <c r="S416" s="26" t="str">
        <f>IFERROR(__xludf.DUMMYFUNCTION("LET(
 id,A416,
 successorIDs,
  IFERROR(
   UNIQUE(
    FILTER(
     {
      Dependencies!$A$2:$A$1000;
      QuestObjectives!$A$2:$A$1000
     },
     {
      Dependencies!$B$2:$B$1000;
      QuestObjectives!$E$2:$E$1000
     }=id
    )
   ),
   """"
  )"&amp;",
 names,
  MAP(
   successorIDs,
   LAMBDA(s,
    IF(
     s="""",
     """",
     XLOOKUP(
      s,
      $A$2:$A$1000,
      $B$2:$B$1000,
      s
     )
    )
   )
  ),
 IF(
  successorIDs="""",
  """",
  TEXTJOIN("", "",TRUE,names)
 )
)"),"Ahead of Time Chapter 1 Accepted, Meet mechanical adventurer in Dungeon 3A")</f>
        <v>Ahead of Time Chapter 1 Accepted, Meet mechanical adventurer in Dungeon 3A</v>
      </c>
      <c r="T416" s="26" t="str">
        <f t="array" ref="T416">_xlfn.XLOOKUP(
 A416,
 tblTargets[TargetID],
 tblTargets[CompletionMethod],
 ""
)</f>
        <v>PLAYER</v>
      </c>
      <c r="U416" s="84" t="b">
        <f>COUNTIF(tblCost[TargetID],A416)&gt;0</f>
        <v>0</v>
      </c>
      <c r="V416" s="85" t="str">
        <f t="array" ref="V416">IF(
 U416=FALSE,
 "",
 _xlfn.XLOOKUP(
  A416,
  tblCost[TargetID],
  tblCost[FundingPercent],
  ""
 )
)</f>
        <v/>
      </c>
      <c r="W416" s="26" t="str">
        <f t="array" ref="W416">IF(
 U416=FALSE,
 "",
 _xlfn.XLOOKUP(
  A416,
  tblCost[TargetID],
  tblCost[RemainingRequirements],
  ""
 )
)</f>
        <v/>
      </c>
      <c r="X416" s="45" t="str">
        <f t="array" ref="X416">IF(
 U416=FALSE,
 "N/A",
 _xlfn.XLOOKUP(
  A417,
  tblCost[TargetID],
  tblCost[TargetFunded],
  FALSE
 )
)</f>
        <v>N/A</v>
      </c>
      <c r="Y416" s="26" t="str">
        <f>IFERROR(__xludf.DUMMYFUNCTION("IFERROR(
 TEXTJOIN(
  "", "",
  TRUE,
  FILTER(
   'cost checklist'!$E$2:$E1000&amp;"": ""&amp;'cost checklist'!$G$2:$G1000,
   'cost checklist'!$B$2:$B1000=A416,
   'cost checklist'!$J$2:$J1000=FALSE
  )
 ),
 """"
)"),"")</f>
        <v/>
      </c>
      <c r="Z416" s="26" t="b">
        <f>IFERROR(__xludf.DUMMYFUNCTION("IF(
 AND(
  E416=""QUEST"",
  RIGHT(A416,9)="".accepted"",
  D416=TRUE
 ),
 XLOOKUP(
  REGEXREPLACE(A416,""\.accepted$"","""")&amp;"".finished"",
  $A$2:$A1000,
  $D$2:$D1000,
  TRUE
 )=FALSE,
 FALSE
)"),FALSE)</f>
        <v>0</v>
      </c>
      <c r="AA416" s="26" t="str">
        <f>IFERROR(__xludf.DUMMYFUNCTION("LET(
 id,A416,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1")</f>
        <v>Ahead of Time Chapter 1</v>
      </c>
    </row>
    <row r="417" ht="14.25" customHeight="1">
      <c r="A417" s="26" t="s">
        <v>1464</v>
      </c>
      <c r="B417" s="26" t="str">
        <f t="array" ref="B417">_xlfn.XLOOKUP(
 A417,
 tblTargets[TargetID],
 tblTargets[DisplayName],
 ""
)</f>
        <v>Deliver Ambrosia to Dark Lady in F3</v>
      </c>
      <c r="C417" s="26" t="str">
        <f t="shared" si="1"/>
        <v>BLOCKED</v>
      </c>
      <c r="D417" s="26" t="b">
        <f>IFERROR(__xludf.DUMMYFUNCTION("LET(
 id,A417,
 IF(
  F417=""CHARACTER"",
  LET(
   base,REGEXREPLACE(id,""@\d+$"",""""),
   required,VALUE(REGEXEXTRACT(id,""@(\d+)$"")),
   current,XLOOKUP(
    base,
    tblPlayer[PlayerStateID],
    tblPlayer[Value],
    0
   ),
   current&gt;=required
 "&amp;" ),
  IF(
   T417=""AUTO"",
   L417=0,
   COUNTIFS(
    tblChecklist[TargetID],id,
    tblChecklist[PlayerCompleted],TRUE
   )&gt;0
  )
 )
)"),FALSE)</f>
        <v>0</v>
      </c>
      <c r="E417" s="26" t="str">
        <f t="array" ref="E417">_xlfn.XLOOKUP(
 A417,
 tblTargets[TargetID],
 tblTargets[TargetType],
 ""
)</f>
        <v>STATE</v>
      </c>
      <c r="F417" s="26" t="str">
        <f t="array" ref="F417">_xlfn.XLOOKUP(
 A417,
 tblTargets[TargetID],
 tblTargets[StateType],
 ""
)</f>
        <v>DELIVER</v>
      </c>
      <c r="G417" s="26">
        <f>LET(
 id,A417,
 depCount,COUNTIF(tblDependencies[TargetID],id),
 objCount,COUNTIF(tblQuestObjectives[QuestTargetID],id),
 depCount+objCount
)</f>
        <v>1</v>
      </c>
      <c r="H417" s="26">
        <f t="shared" si="2"/>
        <v>1</v>
      </c>
      <c r="I417" s="26">
        <f>IFERROR(__xludf.DUMMYFUNCTION("LET(
 id,A417,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7" s="26">
        <f t="shared" si="3"/>
        <v>0</v>
      </c>
      <c r="K417" s="26" t="b">
        <f t="shared" si="4"/>
        <v>0</v>
      </c>
      <c r="L417" s="26">
        <f t="shared" si="5"/>
        <v>1</v>
      </c>
      <c r="M417" s="26" t="str">
        <f>IFERROR(__xludf.DUMMYFUNCTION("LET(
 id,A417,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L417=0,
  """",
  IFERROR(INDEX(incomplete,1),"""")"&amp;"
 )
)"),"quest.once_upon_a_forest_chapter_7.accepted")</f>
        <v>quest.once_upon_a_forest_chapter_7.accepted</v>
      </c>
      <c r="N417" s="26" t="str">
        <f t="array" ref="N417">IF(
 M417="",
 "",
 _xlfn.XLOOKUP(
  M417,
  tblTargets[TargetID],
  tblTargets[DisplayName],
  M417
 )
)</f>
        <v>Once Upon a Forest Chapter 7 Accepted</v>
      </c>
      <c r="O417" s="26" t="str">
        <f>IFERROR(__xludf.DUMMYFUNCTION("SWITCH(
 E417,
 ""BUILDING"",XLOOKUP(A417,tblBuildings[BuildingID],tblBuildings[costtext],""""),
 ""TECH"",XLOOKUP(A417,tblTechnologies[TechnologyID],tblTechnologies[costtext],""""),
 ""QUEST"",XLOOKUP(
  REGEXREPLACE(A417,""\.[^.]+$"",""""),
  tblQuests["&amp;"QuestID],
  tblQuests[Costtext],
  """"
 ),
 ""CITADEL"",XLOOKUP(A417,tblCitadel[CitadelID],tblCitadel[costtext],""""),
 ""COLLECTION"",XLOOKUP(A417,tblCollections[CollectionID],tblCollections[costtext],""""),
 ""CRAFTIFACT"",XLOOKUP(A417,tblCraftifacts[C"&amp;"raftifactID],tblCraftifacts[costtext],""""),
 """"
)"),"")</f>
        <v/>
      </c>
      <c r="P417" s="26" t="str">
        <f t="shared" si="6"/>
        <v>BLOCKED</v>
      </c>
      <c r="Q417" s="26" t="str">
        <f t="shared" si="7"/>
        <v>BLOCKED</v>
      </c>
      <c r="R417" s="26" t="str">
        <f t="array" ref="R417">IFERROR(
 _xlfn.XLOOKUP(
  A417,
  tblChecklist[TargetID],
  tblChecklist[PlayerSort],
  ""
 ),
 ""
)</f>
        <v/>
      </c>
      <c r="S417" s="26" t="str">
        <f>IFERROR(__xludf.DUMMYFUNCTION("LET(
 id,A417,
 successorIDs,
  IFERROR(
   UNIQUE(
    FILTER(
     {
      Dependencies!$A$2:$A$1000;
      QuestObjectives!$A$2:$A$1000
     },
     {
      Dependencies!$B$2:$B$1000;
      QuestObjectives!$E$2:$E$1000
     }=id
    )
   ),
   """"
  )"&amp;",
 names,
  MAP(
   successorIDs,
   LAMBDA(s,
    IF(
     s="""",
     """",
     XLOOKUP(
      s,
      $A$2:$A$1000,
      $B$2:$B$1000,
      s
     )
    )
   )
  ),
 IF(
  successorIDs="""",
  """",
  TEXTJOIN("", "",TRUE,names)
 )
)"),"Once Upon a Forest Chapter 7 Finished")</f>
        <v>Once Upon a Forest Chapter 7 Finished</v>
      </c>
      <c r="T417" s="26" t="str">
        <f t="array" ref="T417">_xlfn.XLOOKUP(
 A417,
 tblTargets[TargetID],
 tblTargets[CompletionMethod],
 ""
)</f>
        <v>PLAYER</v>
      </c>
      <c r="U417" s="84" t="b">
        <f>COUNTIF(tblCost[TargetID],A417)&gt;0</f>
        <v>0</v>
      </c>
      <c r="V417" s="85" t="str">
        <f t="array" ref="V417">IF(
 U417=FALSE,
 "",
 _xlfn.XLOOKUP(
  A417,
  tblCost[TargetID],
  tblCost[FundingPercent],
  ""
 )
)</f>
        <v/>
      </c>
      <c r="W417" s="26" t="str">
        <f t="array" ref="W417">IF(
 U417=FALSE,
 "",
 _xlfn.XLOOKUP(
  A417,
  tblCost[TargetID],
  tblCost[RemainingRequirements],
  ""
 )
)</f>
        <v/>
      </c>
      <c r="X417" s="45" t="str">
        <f t="array" ref="X417">IF(
 U417=FALSE,
 "N/A",
 _xlfn.XLOOKUP(
  A418,
  tblCost[TargetID],
  tblCost[TargetFunded],
  FALSE
 )
)</f>
        <v>N/A</v>
      </c>
      <c r="Y417" s="26" t="str">
        <f>IFERROR(__xludf.DUMMYFUNCTION("IFERROR(
 TEXTJOIN(
  "", "",
  TRUE,
  FILTER(
   'cost checklist'!$E$2:$E1000&amp;"": ""&amp;'cost checklist'!$G$2:$G1000,
   'cost checklist'!$B$2:$B1000=A417,
   'cost checklist'!$J$2:$J1000=FALSE
  )
 ),
 """"
)"),"")</f>
        <v/>
      </c>
      <c r="Z417" s="26" t="b">
        <f>IFERROR(__xludf.DUMMYFUNCTION("IF(
 AND(
  E417=""QUEST"",
  RIGHT(A417,9)="".accepted"",
  D417=TRUE
 ),
 XLOOKUP(
  REGEXREPLACE(A417,""\.accepted$"","""")&amp;"".finished"",
  $A$2:$A1000,
  $D$2:$D1000,
  TRUE
 )=FALSE,
 FALSE
)"),FALSE)</f>
        <v>0</v>
      </c>
      <c r="AA417" s="26" t="str">
        <f>IFERROR(__xludf.DUMMYFUNCTION("LET(
 id,A417,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18" ht="14.25" customHeight="1">
      <c r="A418" s="26" t="s">
        <v>1466</v>
      </c>
      <c r="B418" s="26" t="str">
        <f t="array" ref="B418">_xlfn.XLOOKUP(
 A418,
 tblTargets[TargetID],
 tblTargets[DisplayName],
 ""
)</f>
        <v>Deliver Balm To Hunter @F2</v>
      </c>
      <c r="C418" s="26" t="str">
        <f t="shared" si="1"/>
        <v>BLOCKED</v>
      </c>
      <c r="D418" s="26" t="b">
        <f>IFERROR(__xludf.DUMMYFUNCTION("LET(
 id,A418,
 IF(
  F418=""CHARACTER"",
  LET(
   base,REGEXREPLACE(id,""@\d+$"",""""),
   required,VALUE(REGEXEXTRACT(id,""@(\d+)$"")),
   current,XLOOKUP(
    base,
    tblPlayer[PlayerStateID],
    tblPlayer[Value],
    0
   ),
   current&gt;=required
 "&amp;" ),
  IF(
   T418=""AUTO"",
   L418=0,
   COUNTIFS(
    tblChecklist[TargetID],id,
    tblChecklist[PlayerCompleted],TRUE
   )&gt;0
  )
 )
)"),FALSE)</f>
        <v>0</v>
      </c>
      <c r="E418" s="26" t="str">
        <f t="array" ref="E418">_xlfn.XLOOKUP(
 A418,
 tblTargets[TargetID],
 tblTargets[TargetType],
 ""
)</f>
        <v>STATE</v>
      </c>
      <c r="F418" s="26" t="str">
        <f t="array" ref="F418">_xlfn.XLOOKUP(
 A418,
 tblTargets[TargetID],
 tblTargets[StateType],
 ""
)</f>
        <v>DELIVER</v>
      </c>
      <c r="G418" s="26">
        <f>LET(
 id,A418,
 depCount,COUNTIF(tblDependencies[TargetID],id),
 objCount,COUNTIF(tblQuestObjectives[QuestTargetID],id),
 depCount+objCount
)</f>
        <v>1</v>
      </c>
      <c r="H418" s="26">
        <f t="shared" si="2"/>
        <v>1</v>
      </c>
      <c r="I418" s="26">
        <f>IFERROR(__xludf.DUMMYFUNCTION("LET(
 id,A418,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8" s="26">
        <f t="shared" si="3"/>
        <v>0</v>
      </c>
      <c r="K418" s="26" t="b">
        <f t="shared" si="4"/>
        <v>0</v>
      </c>
      <c r="L418" s="26">
        <f t="shared" si="5"/>
        <v>1</v>
      </c>
      <c r="M418" s="26" t="str">
        <f>IFERROR(__xludf.DUMMYFUNCTION("LET(
 id,A418,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L418=0,
  """",
  IFERROR(INDEX(incomplete,1),"""")"&amp;"
 )
)"),"quest.once_upon_a_forest_chapter_10.accepted")</f>
        <v>quest.once_upon_a_forest_chapter_10.accepted</v>
      </c>
      <c r="N418" s="26" t="str">
        <f t="array" ref="N418">IF(
 M418="",
 "",
 _xlfn.XLOOKUP(
  M418,
  tblTargets[TargetID],
  tblTargets[DisplayName],
  M418
 )
)</f>
        <v>Once Upon a Forest Chapter 10 Accepted</v>
      </c>
      <c r="O418" s="26" t="str">
        <f>IFERROR(__xludf.DUMMYFUNCTION("SWITCH(
 E418,
 ""BUILDING"",XLOOKUP(A418,tblBuildings[BuildingID],tblBuildings[costtext],""""),
 ""TECH"",XLOOKUP(A418,tblTechnologies[TechnologyID],tblTechnologies[costtext],""""),
 ""QUEST"",XLOOKUP(
  REGEXREPLACE(A418,""\.[^.]+$"",""""),
  tblQuests["&amp;"QuestID],
  tblQuests[Costtext],
  """"
 ),
 ""CITADEL"",XLOOKUP(A418,tblCitadel[CitadelID],tblCitadel[costtext],""""),
 ""COLLECTION"",XLOOKUP(A418,tblCollections[CollectionID],tblCollections[costtext],""""),
 ""CRAFTIFACT"",XLOOKUP(A418,tblCraftifacts[C"&amp;"raftifactID],tblCraftifacts[costtext],""""),
 """"
)"),"")</f>
        <v/>
      </c>
      <c r="P418" s="26" t="str">
        <f t="shared" si="6"/>
        <v>BLOCKED</v>
      </c>
      <c r="Q418" s="26" t="str">
        <f t="shared" si="7"/>
        <v>BLOCKED</v>
      </c>
      <c r="R418" s="26" t="str">
        <f t="array" ref="R418">IFERROR(
 _xlfn.XLOOKUP(
  A418,
  tblChecklist[TargetID],
  tblChecklist[PlayerSort],
  ""
 ),
 ""
)</f>
        <v/>
      </c>
      <c r="S418" s="26" t="str">
        <f>IFERROR(__xludf.DUMMYFUNCTION("LET(
 id,A418,
 successorIDs,
  IFERROR(
   UNIQUE(
    FILTER(
     {
      Dependencies!$A$2:$A$1000;
      QuestObjectives!$A$2:$A$1000
     },
     {
      Dependencies!$B$2:$B$1000;
      QuestObjectives!$E$2:$E$1000
     }=id
    )
   ),
   """"
  )"&amp;",
 names,
  MAP(
   successorIDs,
   LAMBDA(s,
    IF(
     s="""",
     """",
     XLOOKUP(
      s,
      $A$2:$A$1000,
      $B$2:$B$1000,
      s
     )
    )
   )
  ),
 IF(
  successorIDs="""",
  """",
  TEXTJOIN("", "",TRUE,names)
 )
)"),"Once Upon a Forest Chapter 10 Finished")</f>
        <v>Once Upon a Forest Chapter 10 Finished</v>
      </c>
      <c r="T418" s="26" t="str">
        <f t="array" ref="T418">_xlfn.XLOOKUP(
 A418,
 tblTargets[TargetID],
 tblTargets[CompletionMethod],
 ""
)</f>
        <v>PLAYER</v>
      </c>
      <c r="U418" s="84" t="b">
        <f>COUNTIF(tblCost[TargetID],A418)&gt;0</f>
        <v>0</v>
      </c>
      <c r="V418" s="85" t="str">
        <f t="array" ref="V418">IF(
 U418=FALSE,
 "",
 _xlfn.XLOOKUP(
  A418,
  tblCost[TargetID],
  tblCost[FundingPercent],
  ""
 )
)</f>
        <v/>
      </c>
      <c r="W418" s="26" t="str">
        <f t="array" ref="W418">IF(
 U418=FALSE,
 "",
 _xlfn.XLOOKUP(
  A418,
  tblCost[TargetID],
  tblCost[RemainingRequirements],
  ""
 )
)</f>
        <v/>
      </c>
      <c r="X418" s="45" t="str">
        <f t="array" ref="X418">IF(
 U418=FALSE,
 "N/A",
 _xlfn.XLOOKUP(
  A419,
  tblCost[TargetID],
  tblCost[TargetFunded],
  FALSE
 )
)</f>
        <v>N/A</v>
      </c>
      <c r="Y418" s="26" t="str">
        <f>IFERROR(__xludf.DUMMYFUNCTION("IFERROR(
 TEXTJOIN(
  "", "",
  TRUE,
  FILTER(
   'cost checklist'!$E$2:$E1000&amp;"": ""&amp;'cost checklist'!$G$2:$G1000,
   'cost checklist'!$B$2:$B1000=A418,
   'cost checklist'!$J$2:$J1000=FALSE
  )
 ),
 """"
)"),"")</f>
        <v/>
      </c>
      <c r="Z418" s="26" t="b">
        <f>IFERROR(__xludf.DUMMYFUNCTION("IF(
 AND(
  E418=""QUEST"",
  RIGHT(A418,9)="".accepted"",
  D418=TRUE
 ),
 XLOOKUP(
  REGEXREPLACE(A418,""\.accepted$"","""")&amp;"".finished"",
  $A$2:$A1000,
  $D$2:$D1000,
  TRUE
 )=FALSE,
 FALSE
)"),FALSE)</f>
        <v>0</v>
      </c>
      <c r="AA418" s="26" t="str">
        <f>IFERROR(__xludf.DUMMYFUNCTION("LET(
 id,A418,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19" ht="14.25" customHeight="1">
      <c r="A419" s="26" t="s">
        <v>1469</v>
      </c>
      <c r="B419" s="26" t="str">
        <f t="array" ref="B419">_xlfn.XLOOKUP(
 A419,
 tblTargets[TargetID],
 tblTargets[DisplayName],
 ""
)</f>
        <v>Deliver Bedroll to  4B </v>
      </c>
      <c r="C419" s="26" t="str">
        <f t="shared" si="1"/>
        <v>BLOCKED</v>
      </c>
      <c r="D419" s="26" t="b">
        <f>IFERROR(__xludf.DUMMYFUNCTION("LET(
 id,A419,
 IF(
  F419=""CHARACTER"",
  LET(
   base,REGEXREPLACE(id,""@\d+$"",""""),
   required,VALUE(REGEXEXTRACT(id,""@(\d+)$"")),
   current,XLOOKUP(
    base,
    tblPlayer[PlayerStateID],
    tblPlayer[Value],
    0
   ),
   current&gt;=required
 "&amp;" ),
  IF(
   T419=""AUTO"",
   L419=0,
   COUNTIFS(
    tblChecklist[TargetID],id,
    tblChecklist[PlayerCompleted],TRUE
   )&gt;0
  )
 )
)"),FALSE)</f>
        <v>0</v>
      </c>
      <c r="E419" s="26" t="str">
        <f t="array" ref="E419">_xlfn.XLOOKUP(
 A419,
 tblTargets[TargetID],
 tblTargets[TargetType],
 ""
)</f>
        <v>STATE</v>
      </c>
      <c r="F419" s="26" t="str">
        <f t="array" ref="F419">_xlfn.XLOOKUP(
 A419,
 tblTargets[TargetID],
 tblTargets[StateType],
 ""
)</f>
        <v>DELIVER</v>
      </c>
      <c r="G419" s="26">
        <f>LET(
 id,A419,
 depCount,COUNTIF(tblDependencies[TargetID],id),
 objCount,COUNTIF(tblQuestObjectives[QuestTargetID],id),
 depCount+objCount
)</f>
        <v>1</v>
      </c>
      <c r="H419" s="26">
        <f t="shared" si="2"/>
        <v>1</v>
      </c>
      <c r="I419" s="26">
        <f>IFERROR(__xludf.DUMMYFUNCTION("LET(
 id,A419,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19" s="26">
        <f t="shared" si="3"/>
        <v>0</v>
      </c>
      <c r="K419" s="26" t="b">
        <f t="shared" si="4"/>
        <v>0</v>
      </c>
      <c r="L419" s="26">
        <f t="shared" si="5"/>
        <v>1</v>
      </c>
      <c r="M419" s="26" t="str">
        <f>IFERROR(__xludf.DUMMYFUNCTION("LET(
 id,A419,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L419=0,
  """",
  IFERROR(INDEX(incomplete,1),"""")"&amp;"
 )
)"),"quest.ahead_of_time_chapter_1.accepted")</f>
        <v>quest.ahead_of_time_chapter_1.accepted</v>
      </c>
      <c r="N419" s="26" t="str">
        <f t="array" ref="N419">IF(
 M419="",
 "",
 _xlfn.XLOOKUP(
  M419,
  tblTargets[TargetID],
  tblTargets[DisplayName],
  M419
 )
)</f>
        <v>Ahead of Time Chapter 1 Accepted</v>
      </c>
      <c r="O419" s="26" t="str">
        <f>IFERROR(__xludf.DUMMYFUNCTION("SWITCH(
 E419,
 ""BUILDING"",XLOOKUP(A419,tblBuildings[BuildingID],tblBuildings[costtext],""""),
 ""TECH"",XLOOKUP(A419,tblTechnologies[TechnologyID],tblTechnologies[costtext],""""),
 ""QUEST"",XLOOKUP(
  REGEXREPLACE(A419,""\.[^.]+$"",""""),
  tblQuests["&amp;"QuestID],
  tblQuests[Costtext],
  """"
 ),
 ""CITADEL"",XLOOKUP(A419,tblCitadel[CitadelID],tblCitadel[costtext],""""),
 ""COLLECTION"",XLOOKUP(A419,tblCollections[CollectionID],tblCollections[costtext],""""),
 ""CRAFTIFACT"",XLOOKUP(A419,tblCraftifacts[C"&amp;"raftifactID],tblCraftifacts[costtext],""""),
 """"
)"),"")</f>
        <v/>
      </c>
      <c r="P419" s="26" t="str">
        <f t="shared" si="6"/>
        <v>BLOCKED</v>
      </c>
      <c r="Q419" s="26" t="str">
        <f t="shared" si="7"/>
        <v>BLOCKED</v>
      </c>
      <c r="R419" s="26" t="str">
        <f t="array" ref="R419">IFERROR(
 _xlfn.XLOOKUP(
  A419,
  tblChecklist[TargetID],
  tblChecklist[PlayerSort],
  ""
 ),
 ""
)</f>
        <v/>
      </c>
      <c r="S419" s="26" t="str">
        <f>IFERROR(__xludf.DUMMYFUNCTION("LET(
 id,A419,
 successorIDs,
  IFERROR(
   UNIQUE(
    FILTER(
     {
      Dependencies!$A$2:$A$1000;
      QuestObjectives!$A$2:$A$1000
     },
     {
      Dependencies!$B$2:$B$1000;
      QuestObjectives!$E$2:$E$1000
     }=id
    )
   ),
   """"
  )"&amp;",
 names,
  MAP(
   successorIDs,
   LAMBDA(s,
    IF(
     s="""",
     """",
     XLOOKUP(
      s,
      $A$2:$A$1000,
      $B$2:$B$1000,
      s
     )
    )
   )
  ),
 IF(
  successorIDs="""",
  """",
  TEXTJOIN("", "",TRUE,names)
 )
)"),"Ahead of Time Chapter 1 Finished")</f>
        <v>Ahead of Time Chapter 1 Finished</v>
      </c>
      <c r="T419" s="26" t="str">
        <f t="array" ref="T419">_xlfn.XLOOKUP(
 A419,
 tblTargets[TargetID],
 tblTargets[CompletionMethod],
 ""
)</f>
        <v>PLAYER</v>
      </c>
      <c r="U419" s="84" t="b">
        <f>COUNTIF(tblCost[TargetID],A419)&gt;0</f>
        <v>0</v>
      </c>
      <c r="V419" s="85" t="str">
        <f t="array" ref="V419">IF(
 U419=FALSE,
 "",
 _xlfn.XLOOKUP(
  A419,
  tblCost[TargetID],
  tblCost[FundingPercent],
  ""
 )
)</f>
        <v/>
      </c>
      <c r="W419" s="26" t="str">
        <f t="array" ref="W419">IF(
 U419=FALSE,
 "",
 _xlfn.XLOOKUP(
  A419,
  tblCost[TargetID],
  tblCost[RemainingRequirements],
  ""
 )
)</f>
        <v/>
      </c>
      <c r="X419" s="45" t="str">
        <f t="array" ref="X419">IF(
 U419=FALSE,
 "N/A",
 _xlfn.XLOOKUP(
  A420,
  tblCost[TargetID],
  tblCost[TargetFunded],
  FALSE
 )
)</f>
        <v>N/A</v>
      </c>
      <c r="Y419" s="26" t="str">
        <f>IFERROR(__xludf.DUMMYFUNCTION("IFERROR(
 TEXTJOIN(
  "", "",
  TRUE,
  FILTER(
   'cost checklist'!$E$2:$E1000&amp;"": ""&amp;'cost checklist'!$G$2:$G1000,
   'cost checklist'!$B$2:$B1000=A419,
   'cost checklist'!$J$2:$J1000=FALSE
  )
 ),
 """"
)"),"")</f>
        <v/>
      </c>
      <c r="Z419" s="26" t="b">
        <f>IFERROR(__xludf.DUMMYFUNCTION("IF(
 AND(
  E419=""QUEST"",
  RIGHT(A419,9)="".accepted"",
  D419=TRUE
 ),
 XLOOKUP(
  REGEXREPLACE(A419,""\.accepted$"","""")&amp;"".finished"",
  $A$2:$A1000,
  $D$2:$D1000,
  TRUE
 )=FALSE,
 FALSE
)"),FALSE)</f>
        <v>0</v>
      </c>
      <c r="AA419" s="26" t="str">
        <f>IFERROR(__xludf.DUMMYFUNCTION("LET(
 id,A419,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0" ht="14.25" customHeight="1">
      <c r="A420" s="26" t="s">
        <v>1471</v>
      </c>
      <c r="B420" s="26" t="str">
        <f t="array" ref="B420">_xlfn.XLOOKUP(
 A420,
 tblTargets[TargetID],
 tblTargets[DisplayName],
 ""
)</f>
        <v>Deliver Cheese to Rat in 6B</v>
      </c>
      <c r="C420" s="26" t="str">
        <f t="shared" si="1"/>
        <v>BLOCKED</v>
      </c>
      <c r="D420" s="26" t="b">
        <f>IFERROR(__xludf.DUMMYFUNCTION("LET(
 id,A420,
 IF(
  F420=""CHARACTER"",
  LET(
   base,REGEXREPLACE(id,""@\d+$"",""""),
   required,VALUE(REGEXEXTRACT(id,""@(\d+)$"")),
   current,XLOOKUP(
    base,
    tblPlayer[PlayerStateID],
    tblPlayer[Value],
    0
   ),
   current&gt;=required
 "&amp;" ),
  IF(
   T420=""AUTO"",
   L420=0,
   COUNTIFS(
    tblChecklist[TargetID],id,
    tblChecklist[PlayerCompleted],TRUE
   )&gt;0
  )
 )
)"),FALSE)</f>
        <v>0</v>
      </c>
      <c r="E420" s="26" t="str">
        <f t="array" ref="E420">_xlfn.XLOOKUP(
 A420,
 tblTargets[TargetID],
 tblTargets[TargetType],
 ""
)</f>
        <v>STATE</v>
      </c>
      <c r="F420" s="26" t="str">
        <f t="array" ref="F420">_xlfn.XLOOKUP(
 A420,
 tblTargets[TargetID],
 tblTargets[StateType],
 ""
)</f>
        <v>DELIVER</v>
      </c>
      <c r="G420" s="26">
        <f>LET(
 id,A420,
 depCount,COUNTIF(tblDependencies[TargetID],id),
 objCount,COUNTIF(tblQuestObjectives[QuestTargetID],id),
 depCount+objCount
)</f>
        <v>1</v>
      </c>
      <c r="H420" s="26">
        <f t="shared" si="2"/>
        <v>1</v>
      </c>
      <c r="I420" s="26">
        <f>IFERROR(__xludf.DUMMYFUNCTION("LET(
 id,A420,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0" s="26">
        <f t="shared" si="3"/>
        <v>0</v>
      </c>
      <c r="K420" s="26" t="b">
        <f t="shared" si="4"/>
        <v>0</v>
      </c>
      <c r="L420" s="26">
        <f t="shared" si="5"/>
        <v>1</v>
      </c>
      <c r="M420" s="26" t="str">
        <f>IFERROR(__xludf.DUMMYFUNCTION("LET(
 id,A420,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L420=0,
  """",
  IFERROR(INDEX(incomplete,1),"""")"&amp;"
 )
)"),"quest.the_ordinary_days_of_an_adventurer_chapter_6.accepted")</f>
        <v>quest.the_ordinary_days_of_an_adventurer_chapter_6.accepted</v>
      </c>
      <c r="N420" s="26" t="str">
        <f t="array" ref="N420">IF(
 M420="",
 "",
 _xlfn.XLOOKUP(
  M420,
  tblTargets[TargetID],
  tblTargets[DisplayName],
  M420
 )
)</f>
        <v>The Ordinary Days of an Adventurer Chapter 6 Accepted</v>
      </c>
      <c r="O420" s="26" t="str">
        <f>IFERROR(__xludf.DUMMYFUNCTION("SWITCH(
 E420,
 ""BUILDING"",XLOOKUP(A420,tblBuildings[BuildingID],tblBuildings[costtext],""""),
 ""TECH"",XLOOKUP(A420,tblTechnologies[TechnologyID],tblTechnologies[costtext],""""),
 ""QUEST"",XLOOKUP(
  REGEXREPLACE(A420,""\.[^.]+$"",""""),
  tblQuests["&amp;"QuestID],
  tblQuests[Costtext],
  """"
 ),
 ""CITADEL"",XLOOKUP(A420,tblCitadel[CitadelID],tblCitadel[costtext],""""),
 ""COLLECTION"",XLOOKUP(A420,tblCollections[CollectionID],tblCollections[costtext],""""),
 ""CRAFTIFACT"",XLOOKUP(A420,tblCraftifacts[C"&amp;"raftifactID],tblCraftifacts[costtext],""""),
 """"
)"),"")</f>
        <v/>
      </c>
      <c r="P420" s="26" t="str">
        <f t="shared" si="6"/>
        <v>BLOCKED</v>
      </c>
      <c r="Q420" s="26" t="str">
        <f t="shared" si="7"/>
        <v>BLOCKED</v>
      </c>
      <c r="R420" s="26" t="str">
        <f t="array" ref="R420">IFERROR(
 _xlfn.XLOOKUP(
  A420,
  tblChecklist[TargetID],
  tblChecklist[PlayerSort],
  ""
 ),
 ""
)</f>
        <v/>
      </c>
      <c r="S420" s="26" t="str">
        <f>IFERROR(__xludf.DUMMYFUNCTION("LET(
 id,A420,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6 Finished")</f>
        <v>The Ordinary Days of an Adventurer Chapter 6 Finished</v>
      </c>
      <c r="T420" s="26" t="str">
        <f t="array" ref="T420">_xlfn.XLOOKUP(
 A420,
 tblTargets[TargetID],
 tblTargets[CompletionMethod],
 ""
)</f>
        <v>PLAYER</v>
      </c>
      <c r="U420" s="84" t="b">
        <f>COUNTIF(tblCost[TargetID],A420)&gt;0</f>
        <v>0</v>
      </c>
      <c r="V420" s="85" t="str">
        <f t="array" ref="V420">IF(
 U420=FALSE,
 "",
 _xlfn.XLOOKUP(
  A420,
  tblCost[TargetID],
  tblCost[FundingPercent],
  ""
 )
)</f>
        <v/>
      </c>
      <c r="W420" s="26" t="str">
        <f t="array" ref="W420">IF(
 U420=FALSE,
 "",
 _xlfn.XLOOKUP(
  A420,
  tblCost[TargetID],
  tblCost[RemainingRequirements],
  ""
 )
)</f>
        <v/>
      </c>
      <c r="X420" s="45" t="str">
        <f t="array" ref="X420">IF(
 U420=FALSE,
 "N/A",
 _xlfn.XLOOKUP(
  A421,
  tblCost[TargetID],
  tblCost[TargetFunded],
  FALSE
 )
)</f>
        <v>N/A</v>
      </c>
      <c r="Y420" s="26" t="str">
        <f>IFERROR(__xludf.DUMMYFUNCTION("IFERROR(
 TEXTJOIN(
  "", "",
  TRUE,
  FILTER(
   'cost checklist'!$E$2:$E1000&amp;"": ""&amp;'cost checklist'!$G$2:$G1000,
   'cost checklist'!$B$2:$B1000=A420,
   'cost checklist'!$J$2:$J1000=FALSE
  )
 ),
 """"
)"),"")</f>
        <v/>
      </c>
      <c r="Z420" s="26" t="b">
        <f>IFERROR(__xludf.DUMMYFUNCTION("IF(
 AND(
  E420=""QUEST"",
  RIGHT(A420,9)="".accepted"",
  D420=TRUE
 ),
 XLOOKUP(
  REGEXREPLACE(A420,""\.accepted$"","""")&amp;"".finished"",
  $A$2:$A1000,
  $D$2:$D1000,
  TRUE
 )=FALSE,
 FALSE
)"),FALSE)</f>
        <v>0</v>
      </c>
      <c r="AA420" s="26" t="str">
        <f>IFERROR(__xludf.DUMMYFUNCTION("LET(
 id,A420,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1" ht="14.25" customHeight="1">
      <c r="A421" s="26" t="s">
        <v>1473</v>
      </c>
      <c r="B421" s="26" t="str">
        <f t="array" ref="B421">_xlfn.XLOOKUP(
 A421,
 tblTargets[TargetID],
 tblTargets[DisplayName],
 ""
)</f>
        <v>Deliver Horn to  2C </v>
      </c>
      <c r="C421" s="26" t="str">
        <f t="shared" si="1"/>
        <v>BLOCKED</v>
      </c>
      <c r="D421" s="26" t="b">
        <f>IFERROR(__xludf.DUMMYFUNCTION("LET(
 id,A421,
 IF(
  F421=""CHARACTER"",
  LET(
   base,REGEXREPLACE(id,""@\d+$"",""""),
   required,VALUE(REGEXEXTRACT(id,""@(\d+)$"")),
   current,XLOOKUP(
    base,
    tblPlayer[PlayerStateID],
    tblPlayer[Value],
    0
   ),
   current&gt;=required
 "&amp;" ),
  IF(
   T421=""AUTO"",
   L421=0,
   COUNTIFS(
    tblChecklist[TargetID],id,
    tblChecklist[PlayerCompleted],TRUE
   )&gt;0
  )
 )
)"),FALSE)</f>
        <v>0</v>
      </c>
      <c r="E421" s="26" t="str">
        <f t="array" ref="E421">_xlfn.XLOOKUP(
 A421,
 tblTargets[TargetID],
 tblTargets[TargetType],
 ""
)</f>
        <v>STATE</v>
      </c>
      <c r="F421" s="26" t="str">
        <f t="array" ref="F421">_xlfn.XLOOKUP(
 A421,
 tblTargets[TargetID],
 tblTargets[StateType],
 ""
)</f>
        <v>DELIVER</v>
      </c>
      <c r="G421" s="26">
        <f>LET(
 id,A421,
 depCount,COUNTIF(tblDependencies[TargetID],id),
 objCount,COUNTIF(tblQuestObjectives[QuestTargetID],id),
 depCount+objCount
)</f>
        <v>1</v>
      </c>
      <c r="H421" s="26">
        <f t="shared" si="2"/>
        <v>1</v>
      </c>
      <c r="I421" s="26">
        <f>IFERROR(__xludf.DUMMYFUNCTION("LET(
 id,A421,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1" s="26">
        <f t="shared" si="3"/>
        <v>0</v>
      </c>
      <c r="K421" s="26" t="b">
        <f t="shared" si="4"/>
        <v>0</v>
      </c>
      <c r="L421" s="26">
        <f t="shared" si="5"/>
        <v>1</v>
      </c>
      <c r="M421" s="26" t="str">
        <f>IFERROR(__xludf.DUMMYFUNCTION("LET(
 id,A421,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L421=0,
  """",
  IFERROR(INDEX(incomplete,1),"""")"&amp;"
 )
)"),"quest.ahead_of_time_chapter_1.accepted")</f>
        <v>quest.ahead_of_time_chapter_1.accepted</v>
      </c>
      <c r="N421" s="26" t="str">
        <f t="array" ref="N421">IF(
 M421="",
 "",
 _xlfn.XLOOKUP(
  M421,
  tblTargets[TargetID],
  tblTargets[DisplayName],
  M421
 )
)</f>
        <v>Ahead of Time Chapter 1 Accepted</v>
      </c>
      <c r="O421" s="26" t="str">
        <f>IFERROR(__xludf.DUMMYFUNCTION("SWITCH(
 E421,
 ""BUILDING"",XLOOKUP(A421,tblBuildings[BuildingID],tblBuildings[costtext],""""),
 ""TECH"",XLOOKUP(A421,tblTechnologies[TechnologyID],tblTechnologies[costtext],""""),
 ""QUEST"",XLOOKUP(
  REGEXREPLACE(A421,""\.[^.]+$"",""""),
  tblQuests["&amp;"QuestID],
  tblQuests[Costtext],
  """"
 ),
 ""CITADEL"",XLOOKUP(A421,tblCitadel[CitadelID],tblCitadel[costtext],""""),
 ""COLLECTION"",XLOOKUP(A421,tblCollections[CollectionID],tblCollections[costtext],""""),
 ""CRAFTIFACT"",XLOOKUP(A421,tblCraftifacts[C"&amp;"raftifactID],tblCraftifacts[costtext],""""),
 """"
)"),"")</f>
        <v/>
      </c>
      <c r="P421" s="26" t="str">
        <f t="shared" si="6"/>
        <v>BLOCKED</v>
      </c>
      <c r="Q421" s="26" t="str">
        <f t="shared" si="7"/>
        <v>BLOCKED</v>
      </c>
      <c r="R421" s="26" t="str">
        <f t="array" ref="R421">IFERROR(
 _xlfn.XLOOKUP(
  A421,
  tblChecklist[TargetID],
  tblChecklist[PlayerSort],
  ""
 ),
 ""
)</f>
        <v/>
      </c>
      <c r="S421" s="26" t="str">
        <f>IFERROR(__xludf.DUMMYFUNCTION("LET(
 id,A421,
 successorIDs,
  IFERROR(
   UNIQUE(
    FILTER(
     {
      Dependencies!$A$2:$A$1000;
      QuestObjectives!$A$2:$A$1000
     },
     {
      Dependencies!$B$2:$B$1000;
      QuestObjectives!$E$2:$E$1000
     }=id
    )
   ),
   """"
  )"&amp;",
 names,
  MAP(
   successorIDs,
   LAMBDA(s,
    IF(
     s="""",
     """",
     XLOOKUP(
      s,
      $A$2:$A$1000,
      $B$2:$B$1000,
      s
     )
    )
   )
  ),
 IF(
  successorIDs="""",
  """",
  TEXTJOIN("", "",TRUE,names)
 )
)"),"Ahead of Time Chapter 1 Finished")</f>
        <v>Ahead of Time Chapter 1 Finished</v>
      </c>
      <c r="T421" s="26" t="str">
        <f t="array" ref="T421">_xlfn.XLOOKUP(
 A421,
 tblTargets[TargetID],
 tblTargets[CompletionMethod],
 ""
)</f>
        <v>PLAYER</v>
      </c>
      <c r="U421" s="84" t="b">
        <f>COUNTIF(tblCost[TargetID],A421)&gt;0</f>
        <v>0</v>
      </c>
      <c r="V421" s="85" t="str">
        <f t="array" ref="V421">IF(
 U421=FALSE,
 "",
 _xlfn.XLOOKUP(
  A421,
  tblCost[TargetID],
  tblCost[FundingPercent],
  ""
 )
)</f>
        <v/>
      </c>
      <c r="W421" s="26" t="str">
        <f t="array" ref="W421">IF(
 U421=FALSE,
 "",
 _xlfn.XLOOKUP(
  A421,
  tblCost[TargetID],
  tblCost[RemainingRequirements],
  ""
 )
)</f>
        <v/>
      </c>
      <c r="X421" s="45" t="str">
        <f t="array" ref="X421">IF(
 U421=FALSE,
 "N/A",
 _xlfn.XLOOKUP(
  A422,
  tblCost[TargetID],
  tblCost[TargetFunded],
  FALSE
 )
)</f>
        <v>N/A</v>
      </c>
      <c r="Y421" s="26" t="str">
        <f>IFERROR(__xludf.DUMMYFUNCTION("IFERROR(
 TEXTJOIN(
  "", "",
  TRUE,
  FILTER(
   'cost checklist'!$E$2:$E1000&amp;"": ""&amp;'cost checklist'!$G$2:$G1000,
   'cost checklist'!$B$2:$B1000=A421,
   'cost checklist'!$J$2:$J1000=FALSE
  )
 ),
 """"
)"),"")</f>
        <v/>
      </c>
      <c r="Z421" s="26" t="b">
        <f>IFERROR(__xludf.DUMMYFUNCTION("IF(
 AND(
  E421=""QUEST"",
  RIGHT(A421,9)="".accepted"",
  D421=TRUE
 ),
 XLOOKUP(
  REGEXREPLACE(A421,""\.accepted$"","""")&amp;"".finished"",
  $A$2:$A1000,
  $D$2:$D1000,
  TRUE
 )=FALSE,
 FALSE
)"),FALSE)</f>
        <v>0</v>
      </c>
      <c r="AA421" s="26" t="str">
        <f>IFERROR(__xludf.DUMMYFUNCTION("LET(
 id,A421,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2" ht="14.25" customHeight="1">
      <c r="A422" s="26" t="s">
        <v>1476</v>
      </c>
      <c r="B422" s="26" t="str">
        <f t="array" ref="B422">_xlfn.XLOOKUP(
 A422,
 tblTargets[TargetID],
 tblTargets[DisplayName],
 ""
)</f>
        <v>Deliver Inarizushi to 4B</v>
      </c>
      <c r="C422" s="26" t="str">
        <f t="shared" si="1"/>
        <v>BLOCKED</v>
      </c>
      <c r="D422" s="26" t="b">
        <f>IFERROR(__xludf.DUMMYFUNCTION("LET(
 id,A422,
 IF(
  F422=""CHARACTER"",
  LET(
   base,REGEXREPLACE(id,""@\d+$"",""""),
   required,VALUE(REGEXEXTRACT(id,""@(\d+)$"")),
   current,XLOOKUP(
    base,
    tblPlayer[PlayerStateID],
    tblPlayer[Value],
    0
   ),
   current&gt;=required
 "&amp;" ),
  IF(
   T422=""AUTO"",
   L422=0,
   COUNTIFS(
    tblChecklist[TargetID],id,
    tblChecklist[PlayerCompleted],TRUE
   )&gt;0
  )
 )
)"),FALSE)</f>
        <v>0</v>
      </c>
      <c r="E422" s="26" t="str">
        <f t="array" ref="E422">_xlfn.XLOOKUP(
 A422,
 tblTargets[TargetID],
 tblTargets[TargetType],
 ""
)</f>
        <v>STATE</v>
      </c>
      <c r="F422" s="26" t="str">
        <f t="array" ref="F422">_xlfn.XLOOKUP(
 A422,
 tblTargets[TargetID],
 tblTargets[StateType],
 ""
)</f>
        <v>DELIVER</v>
      </c>
      <c r="G422" s="26">
        <f>LET(
 id,A422,
 depCount,COUNTIF(tblDependencies[TargetID],id),
 objCount,COUNTIF(tblQuestObjectives[QuestTargetID],id),
 depCount+objCount
)</f>
        <v>1</v>
      </c>
      <c r="H422" s="26">
        <f t="shared" si="2"/>
        <v>1</v>
      </c>
      <c r="I422" s="26">
        <f>IFERROR(__xludf.DUMMYFUNCTION("LET(
 id,A422,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2" s="26">
        <f t="shared" si="3"/>
        <v>0</v>
      </c>
      <c r="K422" s="26" t="b">
        <f t="shared" si="4"/>
        <v>0</v>
      </c>
      <c r="L422" s="26">
        <f t="shared" si="5"/>
        <v>1</v>
      </c>
      <c r="M422" s="26" t="str">
        <f>IFERROR(__xludf.DUMMYFUNCTION("LET(
 id,A422,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L422=0,
  """",
  IFERROR(INDEX(incomplete,1),"""")"&amp;"
 )
)"),"quest.magic_beans.accepted")</f>
        <v>quest.magic_beans.accepted</v>
      </c>
      <c r="N422" s="26" t="str">
        <f t="array" ref="N422">IF(
 M422="",
 "",
 _xlfn.XLOOKUP(
  M422,
  tblTargets[TargetID],
  tblTargets[DisplayName],
  M422
 )
)</f>
        <v>Magic Beans Accepted</v>
      </c>
      <c r="O422" s="26" t="str">
        <f>IFERROR(__xludf.DUMMYFUNCTION("SWITCH(
 E422,
 ""BUILDING"",XLOOKUP(A422,tblBuildings[BuildingID],tblBuildings[costtext],""""),
 ""TECH"",XLOOKUP(A422,tblTechnologies[TechnologyID],tblTechnologies[costtext],""""),
 ""QUEST"",XLOOKUP(
  REGEXREPLACE(A422,""\.[^.]+$"",""""),
  tblQuests["&amp;"QuestID],
  tblQuests[Costtext],
  """"
 ),
 ""CITADEL"",XLOOKUP(A422,tblCitadel[CitadelID],tblCitadel[costtext],""""),
 ""COLLECTION"",XLOOKUP(A422,tblCollections[CollectionID],tblCollections[costtext],""""),
 ""CRAFTIFACT"",XLOOKUP(A422,tblCraftifacts[C"&amp;"raftifactID],tblCraftifacts[costtext],""""),
 """"
)"),"")</f>
        <v/>
      </c>
      <c r="P422" s="26" t="str">
        <f t="shared" si="6"/>
        <v>BLOCKED</v>
      </c>
      <c r="Q422" s="26" t="str">
        <f t="shared" si="7"/>
        <v>BLOCKED</v>
      </c>
      <c r="R422" s="26" t="str">
        <f t="array" ref="R422">IFERROR(
 _xlfn.XLOOKUP(
  A422,
  tblChecklist[TargetID],
  tblChecklist[PlayerSort],
  ""
 ),
 ""
)</f>
        <v/>
      </c>
      <c r="S422" s="26" t="str">
        <f>IFERROR(__xludf.DUMMYFUNCTION("LET(
 id,A422,
 successorIDs,
  IFERROR(
   UNIQUE(
    FILTER(
     {
      Dependencies!$A$2:$A$1000;
      QuestObjectives!$A$2:$A$1000
     },
     {
      Dependencies!$B$2:$B$1000;
      QuestObjectives!$E$2:$E$1000
     }=id
    )
   ),
   """"
  )"&amp;",
 names,
  MAP(
   successorIDs,
   LAMBDA(s,
    IF(
     s="""",
     """",
     XLOOKUP(
      s,
      $A$2:$A$1000,
      $B$2:$B$1000,
      s
     )
    )
   )
  ),
 IF(
  successorIDs="""",
  """",
  TEXTJOIN("", "",TRUE,names)
 )
)"),"Magic Beans Finished")</f>
        <v>Magic Beans Finished</v>
      </c>
      <c r="T422" s="26" t="str">
        <f t="array" ref="T422">_xlfn.XLOOKUP(
 A422,
 tblTargets[TargetID],
 tblTargets[CompletionMethod],
 ""
)</f>
        <v>PLAYER</v>
      </c>
      <c r="U422" s="84" t="b">
        <f>COUNTIF(tblCost[TargetID],A422)&gt;0</f>
        <v>0</v>
      </c>
      <c r="V422" s="85" t="str">
        <f t="array" ref="V422">IF(
 U422=FALSE,
 "",
 _xlfn.XLOOKUP(
  A422,
  tblCost[TargetID],
  tblCost[FundingPercent],
  ""
 )
)</f>
        <v/>
      </c>
      <c r="W422" s="26" t="str">
        <f t="array" ref="W422">IF(
 U422=FALSE,
 "",
 _xlfn.XLOOKUP(
  A422,
  tblCost[TargetID],
  tblCost[RemainingRequirements],
  ""
 )
)</f>
        <v/>
      </c>
      <c r="X422" s="45" t="str">
        <f t="array" ref="X422">IF(
 U422=FALSE,
 "N/A",
 _xlfn.XLOOKUP(
  A423,
  tblCost[TargetID],
  tblCost[TargetFunded],
  FALSE
 )
)</f>
        <v>N/A</v>
      </c>
      <c r="Y422" s="26" t="str">
        <f>IFERROR(__xludf.DUMMYFUNCTION("IFERROR(
 TEXTJOIN(
  "", "",
  TRUE,
  FILTER(
   'cost checklist'!$E$2:$E1000&amp;"": ""&amp;'cost checklist'!$G$2:$G1000,
   'cost checklist'!$B$2:$B1000=A422,
   'cost checklist'!$J$2:$J1000=FALSE
  )
 ),
 """"
)"),"")</f>
        <v/>
      </c>
      <c r="Z422" s="26" t="b">
        <f>IFERROR(__xludf.DUMMYFUNCTION("IF(
 AND(
  E422=""QUEST"",
  RIGHT(A422,9)="".accepted"",
  D422=TRUE
 ),
 XLOOKUP(
  REGEXREPLACE(A422,""\.accepted$"","""")&amp;"".finished"",
  $A$2:$A1000,
  $D$2:$D1000,
  TRUE
 )=FALSE,
 FALSE
)"),FALSE)</f>
        <v>0</v>
      </c>
      <c r="AA422" s="26" t="str">
        <f>IFERROR(__xludf.DUMMYFUNCTION("LET(
 id,A422,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3" ht="14.25" customHeight="1">
      <c r="A423" s="26" t="s">
        <v>1478</v>
      </c>
      <c r="B423" s="26" t="str">
        <f t="array" ref="B423">_xlfn.XLOOKUP(
 A423,
 tblTargets[TargetID],
 tblTargets[DisplayName],
 ""
)</f>
        <v>Deliver Pizza Diavola to  5B </v>
      </c>
      <c r="C423" s="26" t="str">
        <f t="shared" si="1"/>
        <v>BLOCKED</v>
      </c>
      <c r="D423" s="26" t="b">
        <f>IFERROR(__xludf.DUMMYFUNCTION("LET(
 id,A423,
 IF(
  F423=""CHARACTER"",
  LET(
   base,REGEXREPLACE(id,""@\d+$"",""""),
   required,VALUE(REGEXEXTRACT(id,""@(\d+)$"")),
   current,XLOOKUP(
    base,
    tblPlayer[PlayerStateID],
    tblPlayer[Value],
    0
   ),
   current&gt;=required
 "&amp;" ),
  IF(
   T423=""AUTO"",
   L423=0,
   COUNTIFS(
    tblChecklist[TargetID],id,
    tblChecklist[PlayerCompleted],TRUE
   )&gt;0
  )
 )
)"),FALSE)</f>
        <v>0</v>
      </c>
      <c r="E423" s="26" t="str">
        <f t="array" ref="E423">_xlfn.XLOOKUP(
 A423,
 tblTargets[TargetID],
 tblTargets[TargetType],
 ""
)</f>
        <v>STATE</v>
      </c>
      <c r="F423" s="26" t="str">
        <f t="array" ref="F423">_xlfn.XLOOKUP(
 A423,
 tblTargets[TargetID],
 tblTargets[StateType],
 ""
)</f>
        <v>DELIVER</v>
      </c>
      <c r="G423" s="26">
        <f>LET(
 id,A423,
 depCount,COUNTIF(tblDependencies[TargetID],id),
 objCount,COUNTIF(tblQuestObjectives[QuestTargetID],id),
 depCount+objCount
)</f>
        <v>1</v>
      </c>
      <c r="H423" s="26">
        <f t="shared" si="2"/>
        <v>1</v>
      </c>
      <c r="I423" s="26">
        <f>IFERROR(__xludf.DUMMYFUNCTION("LET(
 id,A423,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3" s="26">
        <f t="shared" si="3"/>
        <v>0</v>
      </c>
      <c r="K423" s="26" t="b">
        <f t="shared" si="4"/>
        <v>0</v>
      </c>
      <c r="L423" s="26">
        <f t="shared" si="5"/>
        <v>1</v>
      </c>
      <c r="M423" s="26" t="str">
        <f>IFERROR(__xludf.DUMMYFUNCTION("LET(
 id,A423,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L423=0,
  """",
  IFERROR(INDEX(incomplete,1),"""")"&amp;"
 )
)"),"quest.ahead_of_time_chapter_1.accepted")</f>
        <v>quest.ahead_of_time_chapter_1.accepted</v>
      </c>
      <c r="N423" s="26" t="str">
        <f t="array" ref="N423">IF(
 M423="",
 "",
 _xlfn.XLOOKUP(
  M423,
  tblTargets[TargetID],
  tblTargets[DisplayName],
  M423
 )
)</f>
        <v>Ahead of Time Chapter 1 Accepted</v>
      </c>
      <c r="O423" s="26" t="str">
        <f>IFERROR(__xludf.DUMMYFUNCTION("SWITCH(
 E423,
 ""BUILDING"",XLOOKUP(A423,tblBuildings[BuildingID],tblBuildings[costtext],""""),
 ""TECH"",XLOOKUP(A423,tblTechnologies[TechnologyID],tblTechnologies[costtext],""""),
 ""QUEST"",XLOOKUP(
  REGEXREPLACE(A423,""\.[^.]+$"",""""),
  tblQuests["&amp;"QuestID],
  tblQuests[Costtext],
  """"
 ),
 ""CITADEL"",XLOOKUP(A423,tblCitadel[CitadelID],tblCitadel[costtext],""""),
 ""COLLECTION"",XLOOKUP(A423,tblCollections[CollectionID],tblCollections[costtext],""""),
 ""CRAFTIFACT"",XLOOKUP(A423,tblCraftifacts[C"&amp;"raftifactID],tblCraftifacts[costtext],""""),
 """"
)"),"")</f>
        <v/>
      </c>
      <c r="P423" s="26" t="str">
        <f t="shared" si="6"/>
        <v>BLOCKED</v>
      </c>
      <c r="Q423" s="26" t="str">
        <f t="shared" si="7"/>
        <v>BLOCKED</v>
      </c>
      <c r="R423" s="26" t="str">
        <f t="array" ref="R423">IFERROR(
 _xlfn.XLOOKUP(
  A423,
  tblChecklist[TargetID],
  tblChecklist[PlayerSort],
  ""
 ),
 ""
)</f>
        <v/>
      </c>
      <c r="S423" s="26" t="str">
        <f>IFERROR(__xludf.DUMMYFUNCTION("LET(
 id,A423,
 successorIDs,
  IFERROR(
   UNIQUE(
    FILTER(
     {
      Dependencies!$A$2:$A$1000;
      QuestObjectives!$A$2:$A$1000
     },
     {
      Dependencies!$B$2:$B$1000;
      QuestObjectives!$E$2:$E$1000
     }=id
    )
   ),
   """"
  )"&amp;",
 names,
  MAP(
   successorIDs,
   LAMBDA(s,
    IF(
     s="""",
     """",
     XLOOKUP(
      s,
      $A$2:$A$1000,
      $B$2:$B$1000,
      s
     )
    )
   )
  ),
 IF(
  successorIDs="""",
  """",
  TEXTJOIN("", "",TRUE,names)
 )
)"),"Ahead of Time Chapter 1 Finished")</f>
        <v>Ahead of Time Chapter 1 Finished</v>
      </c>
      <c r="T423" s="26" t="str">
        <f t="array" ref="T423">_xlfn.XLOOKUP(
 A423,
 tblTargets[TargetID],
 tblTargets[CompletionMethod],
 ""
)</f>
        <v>PLAYER</v>
      </c>
      <c r="U423" s="84" t="b">
        <f>COUNTIF(tblCost[TargetID],A423)&gt;0</f>
        <v>0</v>
      </c>
      <c r="V423" s="85" t="str">
        <f t="array" ref="V423">IF(
 U423=FALSE,
 "",
 _xlfn.XLOOKUP(
  A423,
  tblCost[TargetID],
  tblCost[FundingPercent],
  ""
 )
)</f>
        <v/>
      </c>
      <c r="W423" s="26" t="str">
        <f t="array" ref="W423">IF(
 U423=FALSE,
 "",
 _xlfn.XLOOKUP(
  A423,
  tblCost[TargetID],
  tblCost[RemainingRequirements],
  ""
 )
)</f>
        <v/>
      </c>
      <c r="X423" s="45" t="str">
        <f t="array" ref="X423">IF(
 U423=FALSE,
 "N/A",
 _xlfn.XLOOKUP(
  A424,
  tblCost[TargetID],
  tblCost[TargetFunded],
  FALSE
 )
)</f>
        <v>N/A</v>
      </c>
      <c r="Y423" s="26" t="str">
        <f>IFERROR(__xludf.DUMMYFUNCTION("IFERROR(
 TEXTJOIN(
  "", "",
  TRUE,
  FILTER(
   'cost checklist'!$E$2:$E1000&amp;"": ""&amp;'cost checklist'!$G$2:$G1000,
   'cost checklist'!$B$2:$B1000=A423,
   'cost checklist'!$J$2:$J1000=FALSE
  )
 ),
 """"
)"),"")</f>
        <v/>
      </c>
      <c r="Z423" s="26" t="b">
        <f>IFERROR(__xludf.DUMMYFUNCTION("IF(
 AND(
  E423=""QUEST"",
  RIGHT(A423,9)="".accepted"",
  D423=TRUE
 ),
 XLOOKUP(
  REGEXREPLACE(A423,""\.accepted$"","""")&amp;"".finished"",
  $A$2:$A1000,
  $D$2:$D1000,
  TRUE
 )=FALSE,
 FALSE
)"),FALSE)</f>
        <v>0</v>
      </c>
      <c r="AA423" s="26" t="str">
        <f>IFERROR(__xludf.DUMMYFUNCTION("LET(
 id,A423,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4" ht="14.25" customHeight="1">
      <c r="A424" s="26" t="s">
        <v>1480</v>
      </c>
      <c r="B424" s="26" t="str">
        <f t="array" ref="B424">_xlfn.XLOOKUP(
 A424,
 tblTargets[TargetID],
 tblTargets[DisplayName],
 ""
)</f>
        <v>Deliver Pizza Diavola to  5C </v>
      </c>
      <c r="C424" s="26" t="str">
        <f t="shared" si="1"/>
        <v>BLOCKED</v>
      </c>
      <c r="D424" s="26" t="b">
        <f>IFERROR(__xludf.DUMMYFUNCTION("LET(
 id,A424,
 IF(
  F424=""CHARACTER"",
  LET(
   base,REGEXREPLACE(id,""@\d+$"",""""),
   required,VALUE(REGEXEXTRACT(id,""@(\d+)$"")),
   current,XLOOKUP(
    base,
    tblPlayer[PlayerStateID],
    tblPlayer[Value],
    0
   ),
   current&gt;=required
 "&amp;" ),
  IF(
   T424=""AUTO"",
   L424=0,
   COUNTIFS(
    tblChecklist[TargetID],id,
    tblChecklist[PlayerCompleted],TRUE
   )&gt;0
  )
 )
)"),FALSE)</f>
        <v>0</v>
      </c>
      <c r="E424" s="26" t="str">
        <f t="array" ref="E424">_xlfn.XLOOKUP(
 A424,
 tblTargets[TargetID],
 tblTargets[TargetType],
 ""
)</f>
        <v>STATE</v>
      </c>
      <c r="F424" s="26" t="str">
        <f t="array" ref="F424">_xlfn.XLOOKUP(
 A424,
 tblTargets[TargetID],
 tblTargets[StateType],
 ""
)</f>
        <v>DELIVER</v>
      </c>
      <c r="G424" s="26">
        <f>LET(
 id,A424,
 depCount,COUNTIF(tblDependencies[TargetID],id),
 objCount,COUNTIF(tblQuestObjectives[QuestTargetID],id),
 depCount+objCount
)</f>
        <v>1</v>
      </c>
      <c r="H424" s="26">
        <f t="shared" si="2"/>
        <v>1</v>
      </c>
      <c r="I424" s="26">
        <f>IFERROR(__xludf.DUMMYFUNCTION("LET(
 id,A424,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4" s="26">
        <f t="shared" si="3"/>
        <v>0</v>
      </c>
      <c r="K424" s="26" t="b">
        <f t="shared" si="4"/>
        <v>0</v>
      </c>
      <c r="L424" s="26">
        <f t="shared" si="5"/>
        <v>1</v>
      </c>
      <c r="M424" s="26" t="str">
        <f>IFERROR(__xludf.DUMMYFUNCTION("LET(
 id,A424,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L424=0,
  """",
  IFERROR(INDEX(incomplete,1),"""")"&amp;"
 )
)"),"quest.ahead_of_time_chapter_1.accepted")</f>
        <v>quest.ahead_of_time_chapter_1.accepted</v>
      </c>
      <c r="N424" s="26" t="str">
        <f t="array" ref="N424">IF(
 M424="",
 "",
 _xlfn.XLOOKUP(
  M424,
  tblTargets[TargetID],
  tblTargets[DisplayName],
  M424
 )
)</f>
        <v>Ahead of Time Chapter 1 Accepted</v>
      </c>
      <c r="O424" s="26" t="str">
        <f>IFERROR(__xludf.DUMMYFUNCTION("SWITCH(
 E424,
 ""BUILDING"",XLOOKUP(A424,tblBuildings[BuildingID],tblBuildings[costtext],""""),
 ""TECH"",XLOOKUP(A424,tblTechnologies[TechnologyID],tblTechnologies[costtext],""""),
 ""QUEST"",XLOOKUP(
  REGEXREPLACE(A424,""\.[^.]+$"",""""),
  tblQuests["&amp;"QuestID],
  tblQuests[Costtext],
  """"
 ),
 ""CITADEL"",XLOOKUP(A424,tblCitadel[CitadelID],tblCitadel[costtext],""""),
 ""COLLECTION"",XLOOKUP(A424,tblCollections[CollectionID],tblCollections[costtext],""""),
 ""CRAFTIFACT"",XLOOKUP(A424,tblCraftifacts[C"&amp;"raftifactID],tblCraftifacts[costtext],""""),
 """"
)"),"")</f>
        <v/>
      </c>
      <c r="P424" s="26" t="str">
        <f t="shared" si="6"/>
        <v>BLOCKED</v>
      </c>
      <c r="Q424" s="26" t="str">
        <f t="shared" si="7"/>
        <v>BLOCKED</v>
      </c>
      <c r="R424" s="26" t="str">
        <f t="array" ref="R424">IFERROR(
 _xlfn.XLOOKUP(
  A424,
  tblChecklist[TargetID],
  tblChecklist[PlayerSort],
  ""
 ),
 ""
)</f>
        <v/>
      </c>
      <c r="S424" s="26" t="str">
        <f>IFERROR(__xludf.DUMMYFUNCTION("LET(
 id,A424,
 successorIDs,
  IFERROR(
   UNIQUE(
    FILTER(
     {
      Dependencies!$A$2:$A$1000;
      QuestObjectives!$A$2:$A$1000
     },
     {
      Dependencies!$B$2:$B$1000;
      QuestObjectives!$E$2:$E$1000
     }=id
    )
   ),
   """"
  )"&amp;",
 names,
  MAP(
   successorIDs,
   LAMBDA(s,
    IF(
     s="""",
     """",
     XLOOKUP(
      s,
      $A$2:$A$1000,
      $B$2:$B$1000,
      s
     )
    )
   )
  ),
 IF(
  successorIDs="""",
  """",
  TEXTJOIN("", "",TRUE,names)
 )
)"),"Ahead of Time Chapter 1 Finished")</f>
        <v>Ahead of Time Chapter 1 Finished</v>
      </c>
      <c r="T424" s="26" t="str">
        <f t="array" ref="T424">_xlfn.XLOOKUP(
 A424,
 tblTargets[TargetID],
 tblTargets[CompletionMethod],
 ""
)</f>
        <v>PLAYER</v>
      </c>
      <c r="U424" s="84" t="b">
        <f>COUNTIF(tblCost[TargetID],A424)&gt;0</f>
        <v>0</v>
      </c>
      <c r="V424" s="85" t="str">
        <f t="array" ref="V424">IF(
 U424=FALSE,
 "",
 _xlfn.XLOOKUP(
  A424,
  tblCost[TargetID],
  tblCost[FundingPercent],
  ""
 )
)</f>
        <v/>
      </c>
      <c r="W424" s="26" t="str">
        <f t="array" ref="W424">IF(
 U424=FALSE,
 "",
 _xlfn.XLOOKUP(
  A424,
  tblCost[TargetID],
  tblCost[RemainingRequirements],
  ""
 )
)</f>
        <v/>
      </c>
      <c r="X424" s="45" t="str">
        <f t="array" ref="X424">IF(
 U424=FALSE,
 "N/A",
 _xlfn.XLOOKUP(
  A425,
  tblCost[TargetID],
  tblCost[TargetFunded],
  FALSE
 )
)</f>
        <v>N/A</v>
      </c>
      <c r="Y424" s="26" t="str">
        <f>IFERROR(__xludf.DUMMYFUNCTION("IFERROR(
 TEXTJOIN(
  "", "",
  TRUE,
  FILTER(
   'cost checklist'!$E$2:$E1000&amp;"": ""&amp;'cost checklist'!$G$2:$G1000,
   'cost checklist'!$B$2:$B1000=A424,
   'cost checklist'!$J$2:$J1000=FALSE
  )
 ),
 """"
)"),"")</f>
        <v/>
      </c>
      <c r="Z424" s="26" t="b">
        <f>IFERROR(__xludf.DUMMYFUNCTION("IF(
 AND(
  E424=""QUEST"",
  RIGHT(A424,9)="".accepted"",
  D424=TRUE
 ),
 XLOOKUP(
  REGEXREPLACE(A424,""\.accepted$"","""")&amp;"".finished"",
  $A$2:$A1000,
  $D$2:$D1000,
  TRUE
 )=FALSE,
 FALSE
)"),FALSE)</f>
        <v>0</v>
      </c>
      <c r="AA424" s="26" t="str">
        <f>IFERROR(__xludf.DUMMYFUNCTION("LET(
 id,A424,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5" ht="14.25" customHeight="1">
      <c r="A425" s="26" t="s">
        <v>1482</v>
      </c>
      <c r="B425" s="26" t="str">
        <f t="array" ref="B425">_xlfn.XLOOKUP(
 A425,
 tblTargets[TargetID],
 tblTargets[DisplayName],
 ""
)</f>
        <v>Deliver Porcini pasta to  3C </v>
      </c>
      <c r="C425" s="26" t="str">
        <f t="shared" si="1"/>
        <v>BLOCKED</v>
      </c>
      <c r="D425" s="26" t="b">
        <f>IFERROR(__xludf.DUMMYFUNCTION("LET(
 id,A425,
 IF(
  F425=""CHARACTER"",
  LET(
   base,REGEXREPLACE(id,""@\d+$"",""""),
   required,VALUE(REGEXEXTRACT(id,""@(\d+)$"")),
   current,XLOOKUP(
    base,
    tblPlayer[PlayerStateID],
    tblPlayer[Value],
    0
   ),
   current&gt;=required
 "&amp;" ),
  IF(
   T425=""AUTO"",
   L425=0,
   COUNTIFS(
    tblChecklist[TargetID],id,
    tblChecklist[PlayerCompleted],TRUE
   )&gt;0
  )
 )
)"),FALSE)</f>
        <v>0</v>
      </c>
      <c r="E425" s="26" t="str">
        <f t="array" ref="E425">_xlfn.XLOOKUP(
 A425,
 tblTargets[TargetID],
 tblTargets[TargetType],
 ""
)</f>
        <v>STATE</v>
      </c>
      <c r="F425" s="26" t="str">
        <f t="array" ref="F425">_xlfn.XLOOKUP(
 A425,
 tblTargets[TargetID],
 tblTargets[StateType],
 ""
)</f>
        <v>DELIVER</v>
      </c>
      <c r="G425" s="26">
        <f>LET(
 id,A425,
 depCount,COUNTIF(tblDependencies[TargetID],id),
 objCount,COUNTIF(tblQuestObjectives[QuestTargetID],id),
 depCount+objCount
)</f>
        <v>1</v>
      </c>
      <c r="H425" s="26">
        <f t="shared" si="2"/>
        <v>1</v>
      </c>
      <c r="I425" s="26">
        <f>IFERROR(__xludf.DUMMYFUNCTION("LET(
 id,A425,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5" s="26">
        <f t="shared" si="3"/>
        <v>0</v>
      </c>
      <c r="K425" s="26" t="b">
        <f t="shared" si="4"/>
        <v>0</v>
      </c>
      <c r="L425" s="26">
        <f t="shared" si="5"/>
        <v>1</v>
      </c>
      <c r="M425" s="26" t="str">
        <f>IFERROR(__xludf.DUMMYFUNCTION("LET(
 id,A425,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L425=0,
  """",
  IFERROR(INDEX(incomplete,1),"""")"&amp;"
 )
)"),"quest.ahead_of_time_chapter_1.accepted")</f>
        <v>quest.ahead_of_time_chapter_1.accepted</v>
      </c>
      <c r="N425" s="26" t="str">
        <f t="array" ref="N425">IF(
 M425="",
 "",
 _xlfn.XLOOKUP(
  M425,
  tblTargets[TargetID],
  tblTargets[DisplayName],
  M425
 )
)</f>
        <v>Ahead of Time Chapter 1 Accepted</v>
      </c>
      <c r="O425" s="26" t="str">
        <f>IFERROR(__xludf.DUMMYFUNCTION("SWITCH(
 E425,
 ""BUILDING"",XLOOKUP(A425,tblBuildings[BuildingID],tblBuildings[costtext],""""),
 ""TECH"",XLOOKUP(A425,tblTechnologies[TechnologyID],tblTechnologies[costtext],""""),
 ""QUEST"",XLOOKUP(
  REGEXREPLACE(A425,""\.[^.]+$"",""""),
  tblQuests["&amp;"QuestID],
  tblQuests[Costtext],
  """"
 ),
 ""CITADEL"",XLOOKUP(A425,tblCitadel[CitadelID],tblCitadel[costtext],""""),
 ""COLLECTION"",XLOOKUP(A425,tblCollections[CollectionID],tblCollections[costtext],""""),
 ""CRAFTIFACT"",XLOOKUP(A425,tblCraftifacts[C"&amp;"raftifactID],tblCraftifacts[costtext],""""),
 """"
)"),"")</f>
        <v/>
      </c>
      <c r="P425" s="26" t="str">
        <f t="shared" si="6"/>
        <v>BLOCKED</v>
      </c>
      <c r="Q425" s="26" t="str">
        <f t="shared" si="7"/>
        <v>BLOCKED</v>
      </c>
      <c r="R425" s="26" t="str">
        <f t="array" ref="R425">IFERROR(
 _xlfn.XLOOKUP(
  A425,
  tblChecklist[TargetID],
  tblChecklist[PlayerSort],
  ""
 ),
 ""
)</f>
        <v/>
      </c>
      <c r="S425" s="26" t="str">
        <f>IFERROR(__xludf.DUMMYFUNCTION("LET(
 id,A425,
 successorIDs,
  IFERROR(
   UNIQUE(
    FILTER(
     {
      Dependencies!$A$2:$A$1000;
      QuestObjectives!$A$2:$A$1000
     },
     {
      Dependencies!$B$2:$B$1000;
      QuestObjectives!$E$2:$E$1000
     }=id
    )
   ),
   """"
  )"&amp;",
 names,
  MAP(
   successorIDs,
   LAMBDA(s,
    IF(
     s="""",
     """",
     XLOOKUP(
      s,
      $A$2:$A$1000,
      $B$2:$B$1000,
      s
     )
    )
   )
  ),
 IF(
  successorIDs="""",
  """",
  TEXTJOIN("", "",TRUE,names)
 )
)"),"Ahead of Time Chapter 1 Finished")</f>
        <v>Ahead of Time Chapter 1 Finished</v>
      </c>
      <c r="T425" s="26" t="str">
        <f t="array" ref="T425">_xlfn.XLOOKUP(
 A425,
 tblTargets[TargetID],
 tblTargets[CompletionMethod],
 ""
)</f>
        <v>PLAYER</v>
      </c>
      <c r="U425" s="84" t="b">
        <f>COUNTIF(tblCost[TargetID],A425)&gt;0</f>
        <v>0</v>
      </c>
      <c r="V425" s="85" t="str">
        <f t="array" ref="V425">IF(
 U425=FALSE,
 "",
 _xlfn.XLOOKUP(
  A425,
  tblCost[TargetID],
  tblCost[FundingPercent],
  ""
 )
)</f>
        <v/>
      </c>
      <c r="W425" s="26" t="str">
        <f t="array" ref="W425">IF(
 U425=FALSE,
 "",
 _xlfn.XLOOKUP(
  A425,
  tblCost[TargetID],
  tblCost[RemainingRequirements],
  ""
 )
)</f>
        <v/>
      </c>
      <c r="X425" s="45" t="str">
        <f t="array" ref="X425">IF(
 U425=FALSE,
 "N/A",
 _xlfn.XLOOKUP(
  A426,
  tblCost[TargetID],
  tblCost[TargetFunded],
  FALSE
 )
)</f>
        <v>N/A</v>
      </c>
      <c r="Y425" s="26" t="str">
        <f>IFERROR(__xludf.DUMMYFUNCTION("IFERROR(
 TEXTJOIN(
  "", "",
  TRUE,
  FILTER(
   'cost checklist'!$E$2:$E1000&amp;"": ""&amp;'cost checklist'!$G$2:$G1000,
   'cost checklist'!$B$2:$B1000=A425,
   'cost checklist'!$J$2:$J1000=FALSE
  )
 ),
 """"
)"),"")</f>
        <v/>
      </c>
      <c r="Z425" s="26" t="b">
        <f>IFERROR(__xludf.DUMMYFUNCTION("IF(
 AND(
  E425=""QUEST"",
  RIGHT(A425,9)="".accepted"",
  D425=TRUE
 ),
 XLOOKUP(
  REGEXREPLACE(A425,""\.accepted$"","""")&amp;"".finished"",
  $A$2:$A1000,
  $D$2:$D1000,
  TRUE
 )=FALSE,
 FALSE
)"),FALSE)</f>
        <v>0</v>
      </c>
      <c r="AA425" s="26" t="str">
        <f>IFERROR(__xludf.DUMMYFUNCTION("LET(
 id,A425,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6" ht="14.25" customHeight="1">
      <c r="A426" s="26" t="s">
        <v>1485</v>
      </c>
      <c r="B426" s="26" t="str">
        <f t="array" ref="B426">_xlfn.XLOOKUP(
 A426,
 tblTargets[TargetID],
 tblTargets[DisplayName],
 ""
)</f>
        <v>Deliver Potion Ambrosia to  3B </v>
      </c>
      <c r="C426" s="26" t="str">
        <f t="shared" si="1"/>
        <v>BLOCKED</v>
      </c>
      <c r="D426" s="26" t="b">
        <f>IFERROR(__xludf.DUMMYFUNCTION("LET(
 id,A426,
 IF(
  F426=""CHARACTER"",
  LET(
   base,REGEXREPLACE(id,""@\d+$"",""""),
   required,VALUE(REGEXEXTRACT(id,""@(\d+)$"")),
   current,XLOOKUP(
    base,
    tblPlayer[PlayerStateID],
    tblPlayer[Value],
    0
   ),
   current&gt;=required
 "&amp;" ),
  IF(
   T426=""AUTO"",
   L426=0,
   COUNTIFS(
    tblChecklist[TargetID],id,
    tblChecklist[PlayerCompleted],TRUE
   )&gt;0
  )
 )
)"),FALSE)</f>
        <v>0</v>
      </c>
      <c r="E426" s="26" t="str">
        <f t="array" ref="E426">_xlfn.XLOOKUP(
 A426,
 tblTargets[TargetID],
 tblTargets[TargetType],
 ""
)</f>
        <v>STATE</v>
      </c>
      <c r="F426" s="26" t="str">
        <f t="array" ref="F426">_xlfn.XLOOKUP(
 A426,
 tblTargets[TargetID],
 tblTargets[StateType],
 ""
)</f>
        <v>DELIVER</v>
      </c>
      <c r="G426" s="26">
        <f>LET(
 id,A426,
 depCount,COUNTIF(tblDependencies[TargetID],id),
 objCount,COUNTIF(tblQuestObjectives[QuestTargetID],id),
 depCount+objCount
)</f>
        <v>1</v>
      </c>
      <c r="H426" s="26">
        <f t="shared" si="2"/>
        <v>1</v>
      </c>
      <c r="I426" s="26">
        <f>IFERROR(__xludf.DUMMYFUNCTION("LET(
 id,A426,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6" s="26">
        <f t="shared" si="3"/>
        <v>0</v>
      </c>
      <c r="K426" s="26" t="b">
        <f t="shared" si="4"/>
        <v>0</v>
      </c>
      <c r="L426" s="26">
        <f t="shared" si="5"/>
        <v>1</v>
      </c>
      <c r="M426" s="26" t="str">
        <f>IFERROR(__xludf.DUMMYFUNCTION("LET(
 id,A426,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L426=0,
  """",
  IFERROR(INDEX(incomplete,1),"""")"&amp;"
 )
)"),"quest.ahead_of_time_chapter_1.accepted")</f>
        <v>quest.ahead_of_time_chapter_1.accepted</v>
      </c>
      <c r="N426" s="26" t="str">
        <f t="array" ref="N426">IF(
 M426="",
 "",
 _xlfn.XLOOKUP(
  M426,
  tblTargets[TargetID],
  tblTargets[DisplayName],
  M426
 )
)</f>
        <v>Ahead of Time Chapter 1 Accepted</v>
      </c>
      <c r="O426" s="26" t="str">
        <f>IFERROR(__xludf.DUMMYFUNCTION("SWITCH(
 E426,
 ""BUILDING"",XLOOKUP(A426,tblBuildings[BuildingID],tblBuildings[costtext],""""),
 ""TECH"",XLOOKUP(A426,tblTechnologies[TechnologyID],tblTechnologies[costtext],""""),
 ""QUEST"",XLOOKUP(
  REGEXREPLACE(A426,""\.[^.]+$"",""""),
  tblQuests["&amp;"QuestID],
  tblQuests[Costtext],
  """"
 ),
 ""CITADEL"",XLOOKUP(A426,tblCitadel[CitadelID],tblCitadel[costtext],""""),
 ""COLLECTION"",XLOOKUP(A426,tblCollections[CollectionID],tblCollections[costtext],""""),
 ""CRAFTIFACT"",XLOOKUP(A426,tblCraftifacts[C"&amp;"raftifactID],tblCraftifacts[costtext],""""),
 """"
)"),"")</f>
        <v/>
      </c>
      <c r="P426" s="26" t="str">
        <f t="shared" si="6"/>
        <v>BLOCKED</v>
      </c>
      <c r="Q426" s="26" t="str">
        <f t="shared" si="7"/>
        <v>BLOCKED</v>
      </c>
      <c r="R426" s="26" t="str">
        <f t="array" ref="R426">IFERROR(
 _xlfn.XLOOKUP(
  A426,
  tblChecklist[TargetID],
  tblChecklist[PlayerSort],
  ""
 ),
 ""
)</f>
        <v/>
      </c>
      <c r="S426" s="26" t="str">
        <f>IFERROR(__xludf.DUMMYFUNCTION("LET(
 id,A426,
 successorIDs,
  IFERROR(
   UNIQUE(
    FILTER(
     {
      Dependencies!$A$2:$A$1000;
      QuestObjectives!$A$2:$A$1000
     },
     {
      Dependencies!$B$2:$B$1000;
      QuestObjectives!$E$2:$E$1000
     }=id
    )
   ),
   """"
  )"&amp;",
 names,
  MAP(
   successorIDs,
   LAMBDA(s,
    IF(
     s="""",
     """",
     XLOOKUP(
      s,
      $A$2:$A$1000,
      $B$2:$B$1000,
      s
     )
    )
   )
  ),
 IF(
  successorIDs="""",
  """",
  TEXTJOIN("", "",TRUE,names)
 )
)"),"Ahead of Time Chapter 1 Finished")</f>
        <v>Ahead of Time Chapter 1 Finished</v>
      </c>
      <c r="T426" s="26" t="str">
        <f t="array" ref="T426">_xlfn.XLOOKUP(
 A426,
 tblTargets[TargetID],
 tblTargets[CompletionMethod],
 ""
)</f>
        <v>PLAYER</v>
      </c>
      <c r="U426" s="84" t="b">
        <f>COUNTIF(tblCost[TargetID],A426)&gt;0</f>
        <v>0</v>
      </c>
      <c r="V426" s="85" t="str">
        <f t="array" ref="V426">IF(
 U426=FALSE,
 "",
 _xlfn.XLOOKUP(
  A426,
  tblCost[TargetID],
  tblCost[FundingPercent],
  ""
 )
)</f>
        <v/>
      </c>
      <c r="W426" s="26" t="str">
        <f t="array" ref="W426">IF(
 U426=FALSE,
 "",
 _xlfn.XLOOKUP(
  A426,
  tblCost[TargetID],
  tblCost[RemainingRequirements],
  ""
 )
)</f>
        <v/>
      </c>
      <c r="X426" s="45" t="str">
        <f t="array" ref="X426">IF(
 U426=FALSE,
 "N/A",
 _xlfn.XLOOKUP(
  A427,
  tblCost[TargetID],
  tblCost[TargetFunded],
  FALSE
 )
)</f>
        <v>N/A</v>
      </c>
      <c r="Y426" s="26" t="str">
        <f>IFERROR(__xludf.DUMMYFUNCTION("IFERROR(
 TEXTJOIN(
  "", "",
  TRUE,
  FILTER(
   'cost checklist'!$E$2:$E1000&amp;"": ""&amp;'cost checklist'!$G$2:$G1000,
   'cost checklist'!$B$2:$B1000=A426,
   'cost checklist'!$J$2:$J1000=FALSE
  )
 ),
 """"
)"),"")</f>
        <v/>
      </c>
      <c r="Z426" s="26" t="b">
        <f>IFERROR(__xludf.DUMMYFUNCTION("IF(
 AND(
  E426=""QUEST"",
  RIGHT(A426,9)="".accepted"",
  D426=TRUE
 ),
 XLOOKUP(
  REGEXREPLACE(A426,""\.accepted$"","""")&amp;"".finished"",
  $A$2:$A1000,
  $D$2:$D1000,
  TRUE
 )=FALSE,
 FALSE
)"),FALSE)</f>
        <v>0</v>
      </c>
      <c r="AA426" s="26" t="str">
        <f>IFERROR(__xludf.DUMMYFUNCTION("LET(
 id,A426,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7" ht="14.25" customHeight="1">
      <c r="A427" s="26" t="s">
        <v>1487</v>
      </c>
      <c r="B427" s="26" t="str">
        <f t="array" ref="B427">_xlfn.XLOOKUP(
 A427,
 tblTargets[TargetID],
 tblTargets[DisplayName],
 ""
)</f>
        <v>Deliver Potion Berserker rage to  1C </v>
      </c>
      <c r="C427" s="26" t="str">
        <f t="shared" si="1"/>
        <v>BLOCKED</v>
      </c>
      <c r="D427" s="26" t="b">
        <f>IFERROR(__xludf.DUMMYFUNCTION("LET(
 id,A427,
 IF(
  F427=""CHARACTER"",
  LET(
   base,REGEXREPLACE(id,""@\d+$"",""""),
   required,VALUE(REGEXEXTRACT(id,""@(\d+)$"")),
   current,XLOOKUP(
    base,
    tblPlayer[PlayerStateID],
    tblPlayer[Value],
    0
   ),
   current&gt;=required
 "&amp;" ),
  IF(
   T427=""AUTO"",
   L427=0,
   COUNTIFS(
    tblChecklist[TargetID],id,
    tblChecklist[PlayerCompleted],TRUE
   )&gt;0
  )
 )
)"),FALSE)</f>
        <v>0</v>
      </c>
      <c r="E427" s="26" t="str">
        <f t="array" ref="E427">_xlfn.XLOOKUP(
 A427,
 tblTargets[TargetID],
 tblTargets[TargetType],
 ""
)</f>
        <v>STATE</v>
      </c>
      <c r="F427" s="26" t="str">
        <f t="array" ref="F427">_xlfn.XLOOKUP(
 A427,
 tblTargets[TargetID],
 tblTargets[StateType],
 ""
)</f>
        <v>DELIVER</v>
      </c>
      <c r="G427" s="26">
        <f>LET(
 id,A427,
 depCount,COUNTIF(tblDependencies[TargetID],id),
 objCount,COUNTIF(tblQuestObjectives[QuestTargetID],id),
 depCount+objCount
)</f>
        <v>1</v>
      </c>
      <c r="H427" s="26">
        <f t="shared" si="2"/>
        <v>1</v>
      </c>
      <c r="I427" s="26">
        <f>IFERROR(__xludf.DUMMYFUNCTION("LET(
 id,A427,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7" s="26">
        <f t="shared" si="3"/>
        <v>0</v>
      </c>
      <c r="K427" s="26" t="b">
        <f t="shared" si="4"/>
        <v>0</v>
      </c>
      <c r="L427" s="26">
        <f t="shared" si="5"/>
        <v>1</v>
      </c>
      <c r="M427" s="26" t="str">
        <f>IFERROR(__xludf.DUMMYFUNCTION("LET(
 id,A427,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L427=0,
  """",
  IFERROR(INDEX(incomplete,1),"""")"&amp;"
 )
)"),"quest.ahead_of_time_chapter_1.accepted")</f>
        <v>quest.ahead_of_time_chapter_1.accepted</v>
      </c>
      <c r="N427" s="26" t="str">
        <f t="array" ref="N427">IF(
 M427="",
 "",
 _xlfn.XLOOKUP(
  M427,
  tblTargets[TargetID],
  tblTargets[DisplayName],
  M427
 )
)</f>
        <v>Ahead of Time Chapter 1 Accepted</v>
      </c>
      <c r="O427" s="26" t="str">
        <f>IFERROR(__xludf.DUMMYFUNCTION("SWITCH(
 E427,
 ""BUILDING"",XLOOKUP(A427,tblBuildings[BuildingID],tblBuildings[costtext],""""),
 ""TECH"",XLOOKUP(A427,tblTechnologies[TechnologyID],tblTechnologies[costtext],""""),
 ""QUEST"",XLOOKUP(
  REGEXREPLACE(A427,""\.[^.]+$"",""""),
  tblQuests["&amp;"QuestID],
  tblQuests[Costtext],
  """"
 ),
 ""CITADEL"",XLOOKUP(A427,tblCitadel[CitadelID],tblCitadel[costtext],""""),
 ""COLLECTION"",XLOOKUP(A427,tblCollections[CollectionID],tblCollections[costtext],""""),
 ""CRAFTIFACT"",XLOOKUP(A427,tblCraftifacts[C"&amp;"raftifactID],tblCraftifacts[costtext],""""),
 """"
)"),"")</f>
        <v/>
      </c>
      <c r="P427" s="26" t="str">
        <f t="shared" si="6"/>
        <v>BLOCKED</v>
      </c>
      <c r="Q427" s="26" t="str">
        <f t="shared" si="7"/>
        <v>BLOCKED</v>
      </c>
      <c r="R427" s="26" t="str">
        <f t="array" ref="R427">IFERROR(
 _xlfn.XLOOKUP(
  A427,
  tblChecklist[TargetID],
  tblChecklist[PlayerSort],
  ""
 ),
 ""
)</f>
        <v/>
      </c>
      <c r="S427" s="26" t="str">
        <f>IFERROR(__xludf.DUMMYFUNCTION("LET(
 id,A427,
 successorIDs,
  IFERROR(
   UNIQUE(
    FILTER(
     {
      Dependencies!$A$2:$A$1000;
      QuestObjectives!$A$2:$A$1000
     },
     {
      Dependencies!$B$2:$B$1000;
      QuestObjectives!$E$2:$E$1000
     }=id
    )
   ),
   """"
  )"&amp;",
 names,
  MAP(
   successorIDs,
   LAMBDA(s,
    IF(
     s="""",
     """",
     XLOOKUP(
      s,
      $A$2:$A$1000,
      $B$2:$B$1000,
      s
     )
    )
   )
  ),
 IF(
  successorIDs="""",
  """",
  TEXTJOIN("", "",TRUE,names)
 )
)"),"Ahead of Time Chapter 1 Finished")</f>
        <v>Ahead of Time Chapter 1 Finished</v>
      </c>
      <c r="T427" s="26" t="str">
        <f t="array" ref="T427">_xlfn.XLOOKUP(
 A427,
 tblTargets[TargetID],
 tblTargets[CompletionMethod],
 ""
)</f>
        <v>PLAYER</v>
      </c>
      <c r="U427" s="84" t="b">
        <f>COUNTIF(tblCost[TargetID],A427)&gt;0</f>
        <v>0</v>
      </c>
      <c r="V427" s="85" t="str">
        <f t="array" ref="V427">IF(
 U427=FALSE,
 "",
 _xlfn.XLOOKUP(
  A427,
  tblCost[TargetID],
  tblCost[FundingPercent],
  ""
 )
)</f>
        <v/>
      </c>
      <c r="W427" s="26" t="str">
        <f t="array" ref="W427">IF(
 U427=FALSE,
 "",
 _xlfn.XLOOKUP(
  A427,
  tblCost[TargetID],
  tblCost[RemainingRequirements],
  ""
 )
)</f>
        <v/>
      </c>
      <c r="X427" s="45" t="str">
        <f t="array" ref="X427">IF(
 U427=FALSE,
 "N/A",
 _xlfn.XLOOKUP(
  A428,
  tblCost[TargetID],
  tblCost[TargetFunded],
  FALSE
 )
)</f>
        <v>N/A</v>
      </c>
      <c r="Y427" s="26" t="str">
        <f>IFERROR(__xludf.DUMMYFUNCTION("IFERROR(
 TEXTJOIN(
  "", "",
  TRUE,
  FILTER(
   'cost checklist'!$E$2:$E1000&amp;"": ""&amp;'cost checklist'!$G$2:$G1000,
   'cost checklist'!$B$2:$B1000=A427,
   'cost checklist'!$J$2:$J1000=FALSE
  )
 ),
 """"
)"),"")</f>
        <v/>
      </c>
      <c r="Z427" s="26" t="b">
        <f>IFERROR(__xludf.DUMMYFUNCTION("IF(
 AND(
  E427=""QUEST"",
  RIGHT(A427,9)="".accepted"",
  D427=TRUE
 ),
 XLOOKUP(
  REGEXREPLACE(A427,""\.accepted$"","""")&amp;"".finished"",
  $A$2:$A1000,
  $D$2:$D1000,
  TRUE
 )=FALSE,
 FALSE
)"),FALSE)</f>
        <v>0</v>
      </c>
      <c r="AA427" s="26" t="str">
        <f>IFERROR(__xludf.DUMMYFUNCTION("LET(
 id,A427,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8" ht="14.25" customHeight="1">
      <c r="A428" s="26" t="s">
        <v>1490</v>
      </c>
      <c r="B428" s="26" t="str">
        <f t="array" ref="B428">_xlfn.XLOOKUP(
 A428,
 tblTargets[TargetID],
 tblTargets[DisplayName],
 ""
)</f>
        <v>Deliver Potion of Mental Power to F2</v>
      </c>
      <c r="C428" s="26" t="str">
        <f t="shared" si="1"/>
        <v>BLOCKED</v>
      </c>
      <c r="D428" s="26" t="b">
        <f>IFERROR(__xludf.DUMMYFUNCTION("LET(
 id,A428,
 IF(
  F428=""CHARACTER"",
  LET(
   base,REGEXREPLACE(id,""@\d+$"",""""),
   required,VALUE(REGEXEXTRACT(id,""@(\d+)$"")),
   current,XLOOKUP(
    base,
    tblPlayer[PlayerStateID],
    tblPlayer[Value],
    0
   ),
   current&gt;=required
 "&amp;" ),
  IF(
   T428=""AUTO"",
   L428=0,
   COUNTIFS(
    tblChecklist[TargetID],id,
    tblChecklist[PlayerCompleted],TRUE
   )&gt;0
  )
 )
)"),FALSE)</f>
        <v>0</v>
      </c>
      <c r="E428" s="26" t="str">
        <f t="array" ref="E428">_xlfn.XLOOKUP(
 A428,
 tblTargets[TargetID],
 tblTargets[TargetType],
 ""
)</f>
        <v>STATE</v>
      </c>
      <c r="F428" s="26" t="str">
        <f t="array" ref="F428">_xlfn.XLOOKUP(
 A428,
 tblTargets[TargetID],
 tblTargets[StateType],
 ""
)</f>
        <v>DELIVER</v>
      </c>
      <c r="G428" s="26">
        <f>LET(
 id,A428,
 depCount,COUNTIF(tblDependencies[TargetID],id),
 objCount,COUNTIF(tblQuestObjectives[QuestTargetID],id),
 depCount+objCount
)</f>
        <v>1</v>
      </c>
      <c r="H428" s="26">
        <f t="shared" si="2"/>
        <v>1</v>
      </c>
      <c r="I428" s="26">
        <f>IFERROR(__xludf.DUMMYFUNCTION("LET(
 id,A428,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8" s="26">
        <f t="shared" si="3"/>
        <v>0</v>
      </c>
      <c r="K428" s="26" t="b">
        <f t="shared" si="4"/>
        <v>0</v>
      </c>
      <c r="L428" s="26">
        <f t="shared" si="5"/>
        <v>1</v>
      </c>
      <c r="M428" s="26" t="str">
        <f>IFERROR(__xludf.DUMMYFUNCTION("LET(
 id,A428,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L428=0,
  """",
  IFERROR(INDEX(incomplete,1),"""")"&amp;"
 )
)"),"quest.once_upon_a_forest_chapter_6.accepted")</f>
        <v>quest.once_upon_a_forest_chapter_6.accepted</v>
      </c>
      <c r="N428" s="26" t="str">
        <f t="array" ref="N428">IF(
 M428="",
 "",
 _xlfn.XLOOKUP(
  M428,
  tblTargets[TargetID],
  tblTargets[DisplayName],
  M428
 )
)</f>
        <v>Once Upon a Forest Chapter 6 Accepted</v>
      </c>
      <c r="O428" s="26" t="str">
        <f>IFERROR(__xludf.DUMMYFUNCTION("SWITCH(
 E428,
 ""BUILDING"",XLOOKUP(A428,tblBuildings[BuildingID],tblBuildings[costtext],""""),
 ""TECH"",XLOOKUP(A428,tblTechnologies[TechnologyID],tblTechnologies[costtext],""""),
 ""QUEST"",XLOOKUP(
  REGEXREPLACE(A428,""\.[^.]+$"",""""),
  tblQuests["&amp;"QuestID],
  tblQuests[Costtext],
  """"
 ),
 ""CITADEL"",XLOOKUP(A428,tblCitadel[CitadelID],tblCitadel[costtext],""""),
 ""COLLECTION"",XLOOKUP(A428,tblCollections[CollectionID],tblCollections[costtext],""""),
 ""CRAFTIFACT"",XLOOKUP(A428,tblCraftifacts[C"&amp;"raftifactID],tblCraftifacts[costtext],""""),
 """"
)"),"")</f>
        <v/>
      </c>
      <c r="P428" s="26" t="str">
        <f t="shared" si="6"/>
        <v>BLOCKED</v>
      </c>
      <c r="Q428" s="26" t="str">
        <f t="shared" si="7"/>
        <v>BLOCKED</v>
      </c>
      <c r="R428" s="26" t="str">
        <f t="array" ref="R428">IFERROR(
 _xlfn.XLOOKUP(
  A428,
  tblChecklist[TargetID],
  tblChecklist[PlayerSort],
  ""
 ),
 ""
)</f>
        <v/>
      </c>
      <c r="S428" s="26" t="str">
        <f>IFERROR(__xludf.DUMMYFUNCTION("LET(
 id,A428,
 successorIDs,
  IFERROR(
   UNIQUE(
    FILTER(
     {
      Dependencies!$A$2:$A$1000;
      QuestObjectives!$A$2:$A$1000
     },
     {
      Dependencies!$B$2:$B$1000;
      QuestObjectives!$E$2:$E$1000
     }=id
    )
   ),
   """"
  )"&amp;",
 names,
  MAP(
   successorIDs,
   LAMBDA(s,
    IF(
     s="""",
     """",
     XLOOKUP(
      s,
      $A$2:$A$1000,
      $B$2:$B$1000,
      s
     )
    )
   )
  ),
 IF(
  successorIDs="""",
  """",
  TEXTJOIN("", "",TRUE,names)
 )
)"),"Once Upon a Forest Chapter 6 Finished")</f>
        <v>Once Upon a Forest Chapter 6 Finished</v>
      </c>
      <c r="T428" s="26" t="str">
        <f t="array" ref="T428">_xlfn.XLOOKUP(
 A428,
 tblTargets[TargetID],
 tblTargets[CompletionMethod],
 ""
)</f>
        <v>PLAYER</v>
      </c>
      <c r="U428" s="84" t="b">
        <f>COUNTIF(tblCost[TargetID],A428)&gt;0</f>
        <v>0</v>
      </c>
      <c r="V428" s="85" t="str">
        <f t="array" ref="V428">IF(
 U428=FALSE,
 "",
 _xlfn.XLOOKUP(
  A428,
  tblCost[TargetID],
  tblCost[FundingPercent],
  ""
 )
)</f>
        <v/>
      </c>
      <c r="W428" s="26" t="str">
        <f t="array" ref="W428">IF(
 U428=FALSE,
 "",
 _xlfn.XLOOKUP(
  A428,
  tblCost[TargetID],
  tblCost[RemainingRequirements],
  ""
 )
)</f>
        <v/>
      </c>
      <c r="X428" s="45" t="str">
        <f t="array" ref="X428">IF(
 U428=FALSE,
 "N/A",
 _xlfn.XLOOKUP(
  A429,
  tblCost[TargetID],
  tblCost[TargetFunded],
  FALSE
 )
)</f>
        <v>N/A</v>
      </c>
      <c r="Y428" s="26" t="str">
        <f>IFERROR(__xludf.DUMMYFUNCTION("IFERROR(
 TEXTJOIN(
  "", "",
  TRUE,
  FILTER(
   'cost checklist'!$E$2:$E1000&amp;"": ""&amp;'cost checklist'!$G$2:$G1000,
   'cost checklist'!$B$2:$B1000=A428,
   'cost checklist'!$J$2:$J1000=FALSE
  )
 ),
 """"
)"),"")</f>
        <v/>
      </c>
      <c r="Z428" s="26" t="b">
        <f>IFERROR(__xludf.DUMMYFUNCTION("IF(
 AND(
  E428=""QUEST"",
  RIGHT(A428,9)="".accepted"",
  D428=TRUE
 ),
 XLOOKUP(
  REGEXREPLACE(A428,""\.accepted$"","""")&amp;"".finished"",
  $A$2:$A1000,
  $D$2:$D1000,
  TRUE
 )=FALSE,
 FALSE
)"),FALSE)</f>
        <v>0</v>
      </c>
      <c r="AA428" s="26" t="str">
        <f>IFERROR(__xludf.DUMMYFUNCTION("LET(
 id,A428,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29" ht="14.25" customHeight="1">
      <c r="A429" s="26" t="s">
        <v>1492</v>
      </c>
      <c r="B429" s="26" t="str">
        <f t="array" ref="B429">_xlfn.XLOOKUP(
 A429,
 tblTargets[TargetID],
 tblTargets[DisplayName],
 ""
)</f>
        <v>Return the ring</v>
      </c>
      <c r="C429" s="26" t="str">
        <f t="shared" si="1"/>
        <v>BLOCKED</v>
      </c>
      <c r="D429" s="26" t="b">
        <f>IFERROR(__xludf.DUMMYFUNCTION("LET(
 id,A429,
 IF(
  F429=""CHARACTER"",
  LET(
   base,REGEXREPLACE(id,""@\d+$"",""""),
   required,VALUE(REGEXEXTRACT(id,""@(\d+)$"")),
   current,XLOOKUP(
    base,
    tblPlayer[PlayerStateID],
    tblPlayer[Value],
    0
   ),
   current&gt;=required
 "&amp;" ),
  IF(
   T429=""AUTO"",
   L429=0,
   COUNTIFS(
    tblChecklist[TargetID],id,
    tblChecklist[PlayerCompleted],TRUE
   )&gt;0
  )
 )
)"),FALSE)</f>
        <v>0</v>
      </c>
      <c r="E429" s="26" t="str">
        <f t="array" ref="E429">_xlfn.XLOOKUP(
 A429,
 tblTargets[TargetID],
 tblTargets[TargetType],
 ""
)</f>
        <v>STATE</v>
      </c>
      <c r="F429" s="26" t="str">
        <f t="array" ref="F429">_xlfn.XLOOKUP(
 A429,
 tblTargets[TargetID],
 tblTargets[StateType],
 ""
)</f>
        <v>DELIVER</v>
      </c>
      <c r="G429" s="26">
        <f>LET(
 id,A429,
 depCount,COUNTIF(tblDependencies[TargetID],id),
 objCount,COUNTIF(tblQuestObjectives[QuestTargetID],id),
 depCount+objCount
)</f>
        <v>1</v>
      </c>
      <c r="H429" s="26">
        <f t="shared" si="2"/>
        <v>1</v>
      </c>
      <c r="I429" s="26">
        <f>IFERROR(__xludf.DUMMYFUNCTION("LET(
 id,A429,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29" s="26">
        <f t="shared" si="3"/>
        <v>0</v>
      </c>
      <c r="K429" s="26" t="b">
        <f t="shared" si="4"/>
        <v>0</v>
      </c>
      <c r="L429" s="26">
        <f t="shared" si="5"/>
        <v>1</v>
      </c>
      <c r="M429" s="26" t="str">
        <f>IFERROR(__xludf.DUMMYFUNCTION("LET(
 id,A429,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L429=0,
  """",
  IFERROR(INDEX(incomplete,1),"""")"&amp;"
 )
)"),"quest.the_ring_of_the_dark_lady.accepted")</f>
        <v>quest.the_ring_of_the_dark_lady.accepted</v>
      </c>
      <c r="N429" s="26" t="str">
        <f t="array" ref="N429">IF(
 M429="",
 "",
 _xlfn.XLOOKUP(
  M429,
  tblTargets[TargetID],
  tblTargets[DisplayName],
  M429
 )
)</f>
        <v>The Ring of the Dark Lady Accepted</v>
      </c>
      <c r="O429" s="26" t="str">
        <f>IFERROR(__xludf.DUMMYFUNCTION("SWITCH(
 E429,
 ""BUILDING"",XLOOKUP(A429,tblBuildings[BuildingID],tblBuildings[costtext],""""),
 ""TECH"",XLOOKUP(A429,tblTechnologies[TechnologyID],tblTechnologies[costtext],""""),
 ""QUEST"",XLOOKUP(
  REGEXREPLACE(A429,""\.[^.]+$"",""""),
  tblQuests["&amp;"QuestID],
  tblQuests[Costtext],
  """"
 ),
 ""CITADEL"",XLOOKUP(A429,tblCitadel[CitadelID],tblCitadel[costtext],""""),
 ""COLLECTION"",XLOOKUP(A429,tblCollections[CollectionID],tblCollections[costtext],""""),
 ""CRAFTIFACT"",XLOOKUP(A429,tblCraftifacts[C"&amp;"raftifactID],tblCraftifacts[costtext],""""),
 """"
)"),"")</f>
        <v/>
      </c>
      <c r="P429" s="26" t="str">
        <f t="shared" si="6"/>
        <v>BLOCKED</v>
      </c>
      <c r="Q429" s="26" t="str">
        <f t="shared" si="7"/>
        <v>BLOCKED</v>
      </c>
      <c r="R429" s="26" t="str">
        <f t="array" ref="R429">IFERROR(
 _xlfn.XLOOKUP(
  A429,
  tblChecklist[TargetID],
  tblChecklist[PlayerSort],
  ""
 ),
 ""
)</f>
        <v/>
      </c>
      <c r="S429" s="26" t="str">
        <f>IFERROR(__xludf.DUMMYFUNCTION("LET(
 id,A429,
 successorIDs,
  IFERROR(
   UNIQUE(
    FILTER(
     {
      Dependencies!$A$2:$A$1000;
      QuestObjectives!$A$2:$A$1000
     },
     {
      Dependencies!$B$2:$B$1000;
      QuestObjectives!$E$2:$E$1000
     }=id
    )
   ),
   """"
  )"&amp;",
 names,
  MAP(
   successorIDs,
   LAMBDA(s,
    IF(
     s="""",
     """",
     XLOOKUP(
      s,
      $A$2:$A$1000,
      $B$2:$B$1000,
      s
     )
    )
   )
  ),
 IF(
  successorIDs="""",
  """",
  TEXTJOIN("", "",TRUE,names)
 )
)"),"The Ring of the Dark Lady Finished")</f>
        <v>The Ring of the Dark Lady Finished</v>
      </c>
      <c r="T429" s="26" t="str">
        <f t="array" ref="T429">_xlfn.XLOOKUP(
 A429,
 tblTargets[TargetID],
 tblTargets[CompletionMethod],
 ""
)</f>
        <v>PLAYER</v>
      </c>
      <c r="U429" s="84" t="b">
        <f>COUNTIF(tblCost[TargetID],A429)&gt;0</f>
        <v>0</v>
      </c>
      <c r="V429" s="85" t="str">
        <f t="array" ref="V429">IF(
 U429=FALSE,
 "",
 _xlfn.XLOOKUP(
  A429,
  tblCost[TargetID],
  tblCost[FundingPercent],
  ""
 )
)</f>
        <v/>
      </c>
      <c r="W429" s="26" t="str">
        <f t="array" ref="W429">IF(
 U429=FALSE,
 "",
 _xlfn.XLOOKUP(
  A429,
  tblCost[TargetID],
  tblCost[RemainingRequirements],
  ""
 )
)</f>
        <v/>
      </c>
      <c r="X429" s="45" t="str">
        <f t="array" ref="X429">IF(
 U429=FALSE,
 "N/A",
 _xlfn.XLOOKUP(
  A430,
  tblCost[TargetID],
  tblCost[TargetFunded],
  FALSE
 )
)</f>
        <v>N/A</v>
      </c>
      <c r="Y429" s="26" t="str">
        <f>IFERROR(__xludf.DUMMYFUNCTION("IFERROR(
 TEXTJOIN(
  "", "",
  TRUE,
  FILTER(
   'cost checklist'!$E$2:$E1000&amp;"": ""&amp;'cost checklist'!$G$2:$G1000,
   'cost checklist'!$B$2:$B1000=A429,
   'cost checklist'!$J$2:$J1000=FALSE
  )
 ),
 """"
)"),"")</f>
        <v/>
      </c>
      <c r="Z429" s="26" t="b">
        <f>IFERROR(__xludf.DUMMYFUNCTION("IF(
 AND(
  E429=""QUEST"",
  RIGHT(A429,9)="".accepted"",
  D429=TRUE
 ),
 XLOOKUP(
  REGEXREPLACE(A429,""\.accepted$"","""")&amp;"".finished"",
  $A$2:$A1000,
  $D$2:$D1000,
  TRUE
 )=FALSE,
 FALSE
)"),FALSE)</f>
        <v>0</v>
      </c>
      <c r="AA429" s="26" t="str">
        <f>IFERROR(__xludf.DUMMYFUNCTION("LET(
 id,A429,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0" ht="14.25" customHeight="1">
      <c r="A430" s="26" t="s">
        <v>1495</v>
      </c>
      <c r="B430" s="26" t="str">
        <f t="array" ref="B430">_xlfn.XLOOKUP(
 A430,
 tblTargets[TargetID],
 tblTargets[DisplayName],
 ""
)</f>
        <v>Deliver Teriyaki Salmon to 4C</v>
      </c>
      <c r="C430" s="26" t="str">
        <f t="shared" si="1"/>
        <v>BLOCKED</v>
      </c>
      <c r="D430" s="26" t="b">
        <f>IFERROR(__xludf.DUMMYFUNCTION("LET(
 id,A430,
 IF(
  F430=""CHARACTER"",
  LET(
   base,REGEXREPLACE(id,""@\d+$"",""""),
   required,VALUE(REGEXEXTRACT(id,""@(\d+)$"")),
   current,XLOOKUP(
    base,
    tblPlayer[PlayerStateID],
    tblPlayer[Value],
    0
   ),
   current&gt;=required
 "&amp;" ),
  IF(
   T430=""AUTO"",
   L430=0,
   COUNTIFS(
    tblChecklist[TargetID],id,
    tblChecklist[PlayerCompleted],TRUE
   )&gt;0
  )
 )
)"),FALSE)</f>
        <v>0</v>
      </c>
      <c r="E430" s="26" t="str">
        <f t="array" ref="E430">_xlfn.XLOOKUP(
 A430,
 tblTargets[TargetID],
 tblTargets[TargetType],
 ""
)</f>
        <v>STATE</v>
      </c>
      <c r="F430" s="26" t="str">
        <f t="array" ref="F430">_xlfn.XLOOKUP(
 A430,
 tblTargets[TargetID],
 tblTargets[StateType],
 ""
)</f>
        <v>DELIVER</v>
      </c>
      <c r="G430" s="26">
        <f>LET(
 id,A430,
 depCount,COUNTIF(tblDependencies[TargetID],id),
 objCount,COUNTIF(tblQuestObjectives[QuestTargetID],id),
 depCount+objCount
)</f>
        <v>1</v>
      </c>
      <c r="H430" s="26">
        <f t="shared" si="2"/>
        <v>1</v>
      </c>
      <c r="I430" s="26">
        <f>IFERROR(__xludf.DUMMYFUNCTION("LET(
 id,A430,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0" s="26">
        <f t="shared" si="3"/>
        <v>0</v>
      </c>
      <c r="K430" s="26" t="b">
        <f t="shared" si="4"/>
        <v>0</v>
      </c>
      <c r="L430" s="26">
        <f t="shared" si="5"/>
        <v>1</v>
      </c>
      <c r="M430" s="26" t="str">
        <f>IFERROR(__xludf.DUMMYFUNCTION("LET(
 id,A430,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L430=0,
  """",
  IFERROR(INDEX(incomplete,1),"""")"&amp;"
 )
)"),"quest.magic_beans.accepted")</f>
        <v>quest.magic_beans.accepted</v>
      </c>
      <c r="N430" s="26" t="str">
        <f t="array" ref="N430">IF(
 M430="",
 "",
 _xlfn.XLOOKUP(
  M430,
  tblTargets[TargetID],
  tblTargets[DisplayName],
  M430
 )
)</f>
        <v>Magic Beans Accepted</v>
      </c>
      <c r="O430" s="26" t="str">
        <f>IFERROR(__xludf.DUMMYFUNCTION("SWITCH(
 E430,
 ""BUILDING"",XLOOKUP(A430,tblBuildings[BuildingID],tblBuildings[costtext],""""),
 ""TECH"",XLOOKUP(A430,tblTechnologies[TechnologyID],tblTechnologies[costtext],""""),
 ""QUEST"",XLOOKUP(
  REGEXREPLACE(A430,""\.[^.]+$"",""""),
  tblQuests["&amp;"QuestID],
  tblQuests[Costtext],
  """"
 ),
 ""CITADEL"",XLOOKUP(A430,tblCitadel[CitadelID],tblCitadel[costtext],""""),
 ""COLLECTION"",XLOOKUP(A430,tblCollections[CollectionID],tblCollections[costtext],""""),
 ""CRAFTIFACT"",XLOOKUP(A430,tblCraftifacts[C"&amp;"raftifactID],tblCraftifacts[costtext],""""),
 """"
)"),"")</f>
        <v/>
      </c>
      <c r="P430" s="26" t="str">
        <f t="shared" si="6"/>
        <v>BLOCKED</v>
      </c>
      <c r="Q430" s="26" t="str">
        <f t="shared" si="7"/>
        <v>BLOCKED</v>
      </c>
      <c r="R430" s="26" t="str">
        <f t="array" ref="R430">IFERROR(
 _xlfn.XLOOKUP(
  A430,
  tblChecklist[TargetID],
  tblChecklist[PlayerSort],
  ""
 ),
 ""
)</f>
        <v/>
      </c>
      <c r="S430" s="26" t="str">
        <f>IFERROR(__xludf.DUMMYFUNCTION("LET(
 id,A430,
 successorIDs,
  IFERROR(
   UNIQUE(
    FILTER(
     {
      Dependencies!$A$2:$A$1000;
      QuestObjectives!$A$2:$A$1000
     },
     {
      Dependencies!$B$2:$B$1000;
      QuestObjectives!$E$2:$E$1000
     }=id
    )
   ),
   """"
  )"&amp;",
 names,
  MAP(
   successorIDs,
   LAMBDA(s,
    IF(
     s="""",
     """",
     XLOOKUP(
      s,
      $A$2:$A$1000,
      $B$2:$B$1000,
      s
     )
    )
   )
  ),
 IF(
  successorIDs="""",
  """",
  TEXTJOIN("", "",TRUE,names)
 )
)"),"Magic Beans Finished")</f>
        <v>Magic Beans Finished</v>
      </c>
      <c r="T430" s="26" t="str">
        <f t="array" ref="T430">_xlfn.XLOOKUP(
 A430,
 tblTargets[TargetID],
 tblTargets[CompletionMethod],
 ""
)</f>
        <v>PLAYER</v>
      </c>
      <c r="U430" s="84" t="b">
        <f>COUNTIF(tblCost[TargetID],A430)&gt;0</f>
        <v>0</v>
      </c>
      <c r="V430" s="85" t="str">
        <f t="array" ref="V430">IF(
 U430=FALSE,
 "",
 _xlfn.XLOOKUP(
  A430,
  tblCost[TargetID],
  tblCost[FundingPercent],
  ""
 )
)</f>
        <v/>
      </c>
      <c r="W430" s="26" t="str">
        <f t="array" ref="W430">IF(
 U430=FALSE,
 "",
 _xlfn.XLOOKUP(
  A430,
  tblCost[TargetID],
  tblCost[RemainingRequirements],
  ""
 )
)</f>
        <v/>
      </c>
      <c r="X430" s="45" t="str">
        <f t="array" ref="X430">IF(
 U430=FALSE,
 "N/A",
 _xlfn.XLOOKUP(
  A431,
  tblCost[TargetID],
  tblCost[TargetFunded],
  FALSE
 )
)</f>
        <v>N/A</v>
      </c>
      <c r="Y430" s="26" t="str">
        <f>IFERROR(__xludf.DUMMYFUNCTION("IFERROR(
 TEXTJOIN(
  "", "",
  TRUE,
  FILTER(
   'cost checklist'!$E$2:$E1000&amp;"": ""&amp;'cost checklist'!$G$2:$G1000,
   'cost checklist'!$B$2:$B1000=A430,
   'cost checklist'!$J$2:$J1000=FALSE
  )
 ),
 """"
)"),"")</f>
        <v/>
      </c>
      <c r="Z430" s="26" t="b">
        <f>IFERROR(__xludf.DUMMYFUNCTION("IF(
 AND(
  E430=""QUEST"",
  RIGHT(A430,9)="".accepted"",
  D430=TRUE
 ),
 XLOOKUP(
  REGEXREPLACE(A430,""\.accepted$"","""")&amp;"".finished"",
  $A$2:$A1000,
  $D$2:$D1000,
  TRUE
 )=FALSE,
 FALSE
)"),FALSE)</f>
        <v>0</v>
      </c>
      <c r="AA430" s="26" t="str">
        <f>IFERROR(__xludf.DUMMYFUNCTION("LET(
 id,A430,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1" ht="14.25" customHeight="1">
      <c r="A431" s="26" t="s">
        <v>1498</v>
      </c>
      <c r="B431" s="26" t="str">
        <f t="array" ref="B431">_xlfn.XLOOKUP(
 A431,
 tblTargets[TargetID],
 tblTargets[DisplayName],
 ""
)</f>
        <v>Deliver Tofu to 4A</v>
      </c>
      <c r="C431" s="26" t="str">
        <f t="shared" si="1"/>
        <v>BLOCKED</v>
      </c>
      <c r="D431" s="26" t="b">
        <f>IFERROR(__xludf.DUMMYFUNCTION("LET(
 id,A431,
 IF(
  F431=""CHARACTER"",
  LET(
   base,REGEXREPLACE(id,""@\d+$"",""""),
   required,VALUE(REGEXEXTRACT(id,""@(\d+)$"")),
   current,XLOOKUP(
    base,
    tblPlayer[PlayerStateID],
    tblPlayer[Value],
    0
   ),
   current&gt;=required
 "&amp;" ),
  IF(
   T431=""AUTO"",
   L431=0,
   COUNTIFS(
    tblChecklist[TargetID],id,
    tblChecklist[PlayerCompleted],TRUE
   )&gt;0
  )
 )
)"),FALSE)</f>
        <v>0</v>
      </c>
      <c r="E431" s="26" t="str">
        <f t="array" ref="E431">_xlfn.XLOOKUP(
 A431,
 tblTargets[TargetID],
 tblTargets[TargetType],
 ""
)</f>
        <v>STATE</v>
      </c>
      <c r="F431" s="26" t="str">
        <f t="array" ref="F431">_xlfn.XLOOKUP(
 A431,
 tblTargets[TargetID],
 tblTargets[StateType],
 ""
)</f>
        <v>DELIVER</v>
      </c>
      <c r="G431" s="26">
        <f>LET(
 id,A431,
 depCount,COUNTIF(tblDependencies[TargetID],id),
 objCount,COUNTIF(tblQuestObjectives[QuestTargetID],id),
 depCount+objCount
)</f>
        <v>1</v>
      </c>
      <c r="H431" s="26">
        <f t="shared" si="2"/>
        <v>1</v>
      </c>
      <c r="I431" s="26">
        <f>IFERROR(__xludf.DUMMYFUNCTION("LET(
 id,A431,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1" s="26">
        <f t="shared" si="3"/>
        <v>0</v>
      </c>
      <c r="K431" s="26" t="b">
        <f t="shared" si="4"/>
        <v>0</v>
      </c>
      <c r="L431" s="26">
        <f t="shared" si="5"/>
        <v>1</v>
      </c>
      <c r="M431" s="26" t="str">
        <f>IFERROR(__xludf.DUMMYFUNCTION("LET(
 id,A431,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L431=0,
  """",
  IFERROR(INDEX(incomplete,1),"""")"&amp;"
 )
)"),"quest.magic_beans.accepted")</f>
        <v>quest.magic_beans.accepted</v>
      </c>
      <c r="N431" s="26" t="str">
        <f t="array" ref="N431">IF(
 M431="",
 "",
 _xlfn.XLOOKUP(
  M431,
  tblTargets[TargetID],
  tblTargets[DisplayName],
  M431
 )
)</f>
        <v>Magic Beans Accepted</v>
      </c>
      <c r="O431" s="26" t="str">
        <f>IFERROR(__xludf.DUMMYFUNCTION("SWITCH(
 E431,
 ""BUILDING"",XLOOKUP(A431,tblBuildings[BuildingID],tblBuildings[costtext],""""),
 ""TECH"",XLOOKUP(A431,tblTechnologies[TechnologyID],tblTechnologies[costtext],""""),
 ""QUEST"",XLOOKUP(
  REGEXREPLACE(A431,""\.[^.]+$"",""""),
  tblQuests["&amp;"QuestID],
  tblQuests[Costtext],
  """"
 ),
 ""CITADEL"",XLOOKUP(A431,tblCitadel[CitadelID],tblCitadel[costtext],""""),
 ""COLLECTION"",XLOOKUP(A431,tblCollections[CollectionID],tblCollections[costtext],""""),
 ""CRAFTIFACT"",XLOOKUP(A431,tblCraftifacts[C"&amp;"raftifactID],tblCraftifacts[costtext],""""),
 """"
)"),"")</f>
        <v/>
      </c>
      <c r="P431" s="26" t="str">
        <f t="shared" si="6"/>
        <v>BLOCKED</v>
      </c>
      <c r="Q431" s="26" t="str">
        <f t="shared" si="7"/>
        <v>BLOCKED</v>
      </c>
      <c r="R431" s="26" t="str">
        <f t="array" ref="R431">IFERROR(
 _xlfn.XLOOKUP(
  A431,
  tblChecklist[TargetID],
  tblChecklist[PlayerSort],
  ""
 ),
 ""
)</f>
        <v/>
      </c>
      <c r="S431" s="26" t="str">
        <f>IFERROR(__xludf.DUMMYFUNCTION("LET(
 id,A431,
 successorIDs,
  IFERROR(
   UNIQUE(
    FILTER(
     {
      Dependencies!$A$2:$A$1000;
      QuestObjectives!$A$2:$A$1000
     },
     {
      Dependencies!$B$2:$B$1000;
      QuestObjectives!$E$2:$E$1000
     }=id
    )
   ),
   """"
  )"&amp;",
 names,
  MAP(
   successorIDs,
   LAMBDA(s,
    IF(
     s="""",
     """",
     XLOOKUP(
      s,
      $A$2:$A$1000,
      $B$2:$B$1000,
      s
     )
    )
   )
  ),
 IF(
  successorIDs="""",
  """",
  TEXTJOIN("", "",TRUE,names)
 )
)"),"Magic Beans Finished")</f>
        <v>Magic Beans Finished</v>
      </c>
      <c r="T431" s="26" t="str">
        <f t="array" ref="T431">_xlfn.XLOOKUP(
 A431,
 tblTargets[TargetID],
 tblTargets[CompletionMethod],
 ""
)</f>
        <v>PLAYER</v>
      </c>
      <c r="U431" s="84" t="b">
        <f>COUNTIF(tblCost[TargetID],A431)&gt;0</f>
        <v>0</v>
      </c>
      <c r="V431" s="85" t="str">
        <f t="array" ref="V431">IF(
 U431=FALSE,
 "",
 _xlfn.XLOOKUP(
  A431,
  tblCost[TargetID],
  tblCost[FundingPercent],
  ""
 )
)</f>
        <v/>
      </c>
      <c r="W431" s="26" t="str">
        <f t="array" ref="W431">IF(
 U431=FALSE,
 "",
 _xlfn.XLOOKUP(
  A431,
  tblCost[TargetID],
  tblCost[RemainingRequirements],
  ""
 )
)</f>
        <v/>
      </c>
      <c r="X431" s="45" t="str">
        <f t="array" ref="X431">IF(
 U431=FALSE,
 "N/A",
 _xlfn.XLOOKUP(
  A432,
  tblCost[TargetID],
  tblCost[TargetFunded],
  FALSE
 )
)</f>
        <v>N/A</v>
      </c>
      <c r="Y431" s="26" t="str">
        <f>IFERROR(__xludf.DUMMYFUNCTION("IFERROR(
 TEXTJOIN(
  "", "",
  TRUE,
  FILTER(
   'cost checklist'!$E$2:$E1000&amp;"": ""&amp;'cost checklist'!$G$2:$G1000,
   'cost checklist'!$B$2:$B1000=A431,
   'cost checklist'!$J$2:$J1000=FALSE
  )
 ),
 """"
)"),"")</f>
        <v/>
      </c>
      <c r="Z431" s="26" t="b">
        <f>IFERROR(__xludf.DUMMYFUNCTION("IF(
 AND(
  E431=""QUEST"",
  RIGHT(A431,9)="".accepted"",
  D431=TRUE
 ),
 XLOOKUP(
  REGEXREPLACE(A431,""\.accepted$"","""")&amp;"".finished"",
  $A$2:$A1000,
  $D$2:$D1000,
  TRUE
 )=FALSE,
 FALSE
)"),FALSE)</f>
        <v>0</v>
      </c>
      <c r="AA431" s="26" t="str">
        <f>IFERROR(__xludf.DUMMYFUNCTION("LET(
 id,A431,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2" ht="14.25" customHeight="1">
      <c r="A432" s="26" t="s">
        <v>1500</v>
      </c>
      <c r="B432" s="26" t="str">
        <f t="array" ref="B432">_xlfn.XLOOKUP(
 A432,
 tblTargets[TargetID],
 tblTargets[DisplayName],
 ""
)</f>
        <v>Deliver Yuba to  4C </v>
      </c>
      <c r="C432" s="26" t="str">
        <f t="shared" si="1"/>
        <v>BLOCKED</v>
      </c>
      <c r="D432" s="26" t="b">
        <f>IFERROR(__xludf.DUMMYFUNCTION("LET(
 id,A432,
 IF(
  F432=""CHARACTER"",
  LET(
   base,REGEXREPLACE(id,""@\d+$"",""""),
   required,VALUE(REGEXEXTRACT(id,""@(\d+)$"")),
   current,XLOOKUP(
    base,
    tblPlayer[PlayerStateID],
    tblPlayer[Value],
    0
   ),
   current&gt;=required
 "&amp;" ),
  IF(
   T432=""AUTO"",
   L432=0,
   COUNTIFS(
    tblChecklist[TargetID],id,
    tblChecklist[PlayerCompleted],TRUE
   )&gt;0
  )
 )
)"),FALSE)</f>
        <v>0</v>
      </c>
      <c r="E432" s="26" t="str">
        <f t="array" ref="E432">_xlfn.XLOOKUP(
 A432,
 tblTargets[TargetID],
 tblTargets[TargetType],
 ""
)</f>
        <v>STATE</v>
      </c>
      <c r="F432" s="26" t="str">
        <f t="array" ref="F432">_xlfn.XLOOKUP(
 A432,
 tblTargets[TargetID],
 tblTargets[StateType],
 ""
)</f>
        <v>DELIVER</v>
      </c>
      <c r="G432" s="26">
        <f>LET(
 id,A432,
 depCount,COUNTIF(tblDependencies[TargetID],id),
 objCount,COUNTIF(tblQuestObjectives[QuestTargetID],id),
 depCount+objCount
)</f>
        <v>1</v>
      </c>
      <c r="H432" s="26">
        <f t="shared" si="2"/>
        <v>1</v>
      </c>
      <c r="I432" s="26">
        <f>IFERROR(__xludf.DUMMYFUNCTION("LET(
 id,A432,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2" s="26">
        <f t="shared" si="3"/>
        <v>0</v>
      </c>
      <c r="K432" s="26" t="b">
        <f t="shared" si="4"/>
        <v>0</v>
      </c>
      <c r="L432" s="26">
        <f t="shared" si="5"/>
        <v>1</v>
      </c>
      <c r="M432" s="26" t="str">
        <f>IFERROR(__xludf.DUMMYFUNCTION("LET(
 id,A432,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L432=0,
  """",
  IFERROR(INDEX(incomplete,1),"""")"&amp;"
 )
)"),"quest.ahead_of_time_chapter_1.accepted")</f>
        <v>quest.ahead_of_time_chapter_1.accepted</v>
      </c>
      <c r="N432" s="26" t="str">
        <f t="array" ref="N432">IF(
 M432="",
 "",
 _xlfn.XLOOKUP(
  M432,
  tblTargets[TargetID],
  tblTargets[DisplayName],
  M432
 )
)</f>
        <v>Ahead of Time Chapter 1 Accepted</v>
      </c>
      <c r="O432" s="26" t="str">
        <f>IFERROR(__xludf.DUMMYFUNCTION("SWITCH(
 E432,
 ""BUILDING"",XLOOKUP(A432,tblBuildings[BuildingID],tblBuildings[costtext],""""),
 ""TECH"",XLOOKUP(A432,tblTechnologies[TechnologyID],tblTechnologies[costtext],""""),
 ""QUEST"",XLOOKUP(
  REGEXREPLACE(A432,""\.[^.]+$"",""""),
  tblQuests["&amp;"QuestID],
  tblQuests[Costtext],
  """"
 ),
 ""CITADEL"",XLOOKUP(A432,tblCitadel[CitadelID],tblCitadel[costtext],""""),
 ""COLLECTION"",XLOOKUP(A432,tblCollections[CollectionID],tblCollections[costtext],""""),
 ""CRAFTIFACT"",XLOOKUP(A432,tblCraftifacts[C"&amp;"raftifactID],tblCraftifacts[costtext],""""),
 """"
)"),"")</f>
        <v/>
      </c>
      <c r="P432" s="26" t="str">
        <f t="shared" si="6"/>
        <v>BLOCKED</v>
      </c>
      <c r="Q432" s="26" t="str">
        <f t="shared" si="7"/>
        <v>BLOCKED</v>
      </c>
      <c r="R432" s="26" t="str">
        <f t="array" ref="R432">IFERROR(
 _xlfn.XLOOKUP(
  A432,
  tblChecklist[TargetID],
  tblChecklist[PlayerSort],
  ""
 ),
 ""
)</f>
        <v/>
      </c>
      <c r="S432" s="26" t="str">
        <f>IFERROR(__xludf.DUMMYFUNCTION("LET(
 id,A432,
 successorIDs,
  IFERROR(
   UNIQUE(
    FILTER(
     {
      Dependencies!$A$2:$A$1000;
      QuestObjectives!$A$2:$A$1000
     },
     {
      Dependencies!$B$2:$B$1000;
      QuestObjectives!$E$2:$E$1000
     }=id
    )
   ),
   """"
  )"&amp;",
 names,
  MAP(
   successorIDs,
   LAMBDA(s,
    IF(
     s="""",
     """",
     XLOOKUP(
      s,
      $A$2:$A$1000,
      $B$2:$B$1000,
      s
     )
    )
   )
  ),
 IF(
  successorIDs="""",
  """",
  TEXTJOIN("", "",TRUE,names)
 )
)"),"Ahead of Time Chapter 1 Finished")</f>
        <v>Ahead of Time Chapter 1 Finished</v>
      </c>
      <c r="T432" s="26" t="str">
        <f t="array" ref="T432">_xlfn.XLOOKUP(
 A432,
 tblTargets[TargetID],
 tblTargets[CompletionMethod],
 ""
)</f>
        <v>PLAYER</v>
      </c>
      <c r="U432" s="84" t="b">
        <f>COUNTIF(tblCost[TargetID],A432)&gt;0</f>
        <v>0</v>
      </c>
      <c r="V432" s="85" t="str">
        <f t="array" ref="V432">IF(
 U432=FALSE,
 "",
 _xlfn.XLOOKUP(
  A432,
  tblCost[TargetID],
  tblCost[FundingPercent],
  ""
 )
)</f>
        <v/>
      </c>
      <c r="W432" s="26" t="str">
        <f t="array" ref="W432">IF(
 U432=FALSE,
 "",
 _xlfn.XLOOKUP(
  A432,
  tblCost[TargetID],
  tblCost[RemainingRequirements],
  ""
 )
)</f>
        <v/>
      </c>
      <c r="X432" s="45" t="str">
        <f t="array" ref="X432">IF(
 U432=FALSE,
 "N/A",
 _xlfn.XLOOKUP(
  A433,
  tblCost[TargetID],
  tblCost[TargetFunded],
  FALSE
 )
)</f>
        <v>N/A</v>
      </c>
      <c r="Y432" s="26" t="str">
        <f>IFERROR(__xludf.DUMMYFUNCTION("IFERROR(
 TEXTJOIN(
  "", "",
  TRUE,
  FILTER(
   'cost checklist'!$E$2:$E1000&amp;"": ""&amp;'cost checklist'!$G$2:$G1000,
   'cost checklist'!$B$2:$B1000=A432,
   'cost checklist'!$J$2:$J1000=FALSE
  )
 ),
 """"
)"),"")</f>
        <v/>
      </c>
      <c r="Z432" s="26" t="b">
        <f>IFERROR(__xludf.DUMMYFUNCTION("IF(
 AND(
  E432=""QUEST"",
  RIGHT(A432,9)="".accepted"",
  D432=TRUE
 ),
 XLOOKUP(
  REGEXREPLACE(A432,""\.accepted$"","""")&amp;"".finished"",
  $A$2:$A1000,
  $D$2:$D1000,
  TRUE
 )=FALSE,
 FALSE
)"),FALSE)</f>
        <v>0</v>
      </c>
      <c r="AA432" s="26" t="str">
        <f>IFERROR(__xludf.DUMMYFUNCTION("LET(
 id,A432,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3" ht="14.25" customHeight="1">
      <c r="A433" s="26" t="s">
        <v>1502</v>
      </c>
      <c r="B433" s="26" t="str">
        <f t="array" ref="B433">_xlfn.XLOOKUP(
 A433,
 tblTargets[TargetID],
 tblTargets[DisplayName],
 ""
)</f>
        <v>Discover the gate in 3C to F2</v>
      </c>
      <c r="C433" s="26" t="str">
        <f t="shared" si="1"/>
        <v>BLOCKED</v>
      </c>
      <c r="D433" s="26" t="b">
        <f>IFERROR(__xludf.DUMMYFUNCTION("LET(
 id,A433,
 IF(
  F433=""CHARACTER"",
  LET(
   base,REGEXREPLACE(id,""@\d+$"",""""),
   required,VALUE(REGEXEXTRACT(id,""@(\d+)$"")),
   current,XLOOKUP(
    base,
    tblPlayer[PlayerStateID],
    tblPlayer[Value],
    0
   ),
   current&gt;=required
 "&amp;" ),
  IF(
   T433=""AUTO"",
   L433=0,
   COUNTIFS(
    tblChecklist[TargetID],id,
    tblChecklist[PlayerCompleted],TRUE
   )&gt;0
  )
 )
)"),FALSE)</f>
        <v>0</v>
      </c>
      <c r="E433" s="26" t="str">
        <f t="array" ref="E433">_xlfn.XLOOKUP(
 A433,
 tblTargets[TargetID],
 tblTargets[TargetType],
 ""
)</f>
        <v>STATE</v>
      </c>
      <c r="F433" s="26" t="str">
        <f t="array" ref="F433">_xlfn.XLOOKUP(
 A433,
 tblTargets[TargetID],
 tblTargets[StateType],
 ""
)</f>
        <v>FIND</v>
      </c>
      <c r="G433" s="26">
        <f>LET(
 id,A433,
 depCount,COUNTIF(tblDependencies[TargetID],id),
 objCount,COUNTIF(tblQuestObjectives[QuestTargetID],id),
 depCount+objCount
)</f>
        <v>1</v>
      </c>
      <c r="H433" s="26">
        <f t="shared" si="2"/>
        <v>1</v>
      </c>
      <c r="I433" s="26">
        <f>IFERROR(__xludf.DUMMYFUNCTION("LET(
 id,A433,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3" s="26">
        <f t="shared" si="3"/>
        <v>0</v>
      </c>
      <c r="K433" s="26" t="b">
        <f t="shared" si="4"/>
        <v>0</v>
      </c>
      <c r="L433" s="26">
        <f t="shared" si="5"/>
        <v>1</v>
      </c>
      <c r="M433" s="26" t="str">
        <f>IFERROR(__xludf.DUMMYFUNCTION("LET(
 id,A433,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L433=0,
  """",
  IFERROR(INDEX(incomplete,1),"""")"&amp;"
 )
)"),"quest.once_upon_a_forest_chapter_4.accepted")</f>
        <v>quest.once_upon_a_forest_chapter_4.accepted</v>
      </c>
      <c r="N433" s="26" t="str">
        <f t="array" ref="N433">IF(
 M433="",
 "",
 _xlfn.XLOOKUP(
  M433,
  tblTargets[TargetID],
  tblTargets[DisplayName],
  M433
 )
)</f>
        <v>Once Upon a Forest Chapter 4 Accepted</v>
      </c>
      <c r="O433" s="26" t="str">
        <f>IFERROR(__xludf.DUMMYFUNCTION("SWITCH(
 E433,
 ""BUILDING"",XLOOKUP(A433,tblBuildings[BuildingID],tblBuildings[costtext],""""),
 ""TECH"",XLOOKUP(A433,tblTechnologies[TechnologyID],tblTechnologies[costtext],""""),
 ""QUEST"",XLOOKUP(
  REGEXREPLACE(A433,""\.[^.]+$"",""""),
  tblQuests["&amp;"QuestID],
  tblQuests[Costtext],
  """"
 ),
 ""CITADEL"",XLOOKUP(A433,tblCitadel[CitadelID],tblCitadel[costtext],""""),
 ""COLLECTION"",XLOOKUP(A433,tblCollections[CollectionID],tblCollections[costtext],""""),
 ""CRAFTIFACT"",XLOOKUP(A433,tblCraftifacts[C"&amp;"raftifactID],tblCraftifacts[costtext],""""),
 """"
)"),"")</f>
        <v/>
      </c>
      <c r="P433" s="26" t="str">
        <f t="shared" si="6"/>
        <v>BLOCKED</v>
      </c>
      <c r="Q433" s="26" t="str">
        <f t="shared" si="7"/>
        <v>BLOCKED</v>
      </c>
      <c r="R433" s="26" t="str">
        <f t="array" ref="R433">IFERROR(
 _xlfn.XLOOKUP(
  A433,
  tblChecklist[TargetID],
  tblChecklist[PlayerSort],
  ""
 ),
 ""
)</f>
        <v/>
      </c>
      <c r="S433" s="26" t="str">
        <f>IFERROR(__xludf.DUMMYFUNCTION("LET(
 id,A433,
 successorIDs,
  IFERROR(
   UNIQUE(
    FILTER(
     {
      Dependencies!$A$2:$A$1000;
      QuestObjectives!$A$2:$A$1000
     },
     {
      Dependencies!$B$2:$B$1000;
      QuestObjectives!$E$2:$E$1000
     }=id
    )
   ),
   """"
  )"&amp;",
 names,
  MAP(
   successorIDs,
   LAMBDA(s,
    IF(
     s="""",
     """",
     XLOOKUP(
      s,
      $A$2:$A$1000,
      $B$2:$B$1000,
      s
     )
    )
   )
  ),
 IF(
  successorIDs="""",
  """",
  TEXTJOIN("", "",TRUE,names)
 )
)"),"Once Upon a Forest Chapter 4 Finished")</f>
        <v>Once Upon a Forest Chapter 4 Finished</v>
      </c>
      <c r="T433" s="26" t="str">
        <f t="array" ref="T433">_xlfn.XLOOKUP(
 A433,
 tblTargets[TargetID],
 tblTargets[CompletionMethod],
 ""
)</f>
        <v>PLAYER</v>
      </c>
      <c r="U433" s="84" t="b">
        <f>COUNTIF(tblCost[TargetID],A433)&gt;0</f>
        <v>0</v>
      </c>
      <c r="V433" s="85" t="str">
        <f t="array" ref="V433">IF(
 U433=FALSE,
 "",
 _xlfn.XLOOKUP(
  A433,
  tblCost[TargetID],
  tblCost[FundingPercent],
  ""
 )
)</f>
        <v/>
      </c>
      <c r="W433" s="26" t="str">
        <f t="array" ref="W433">IF(
 U433=FALSE,
 "",
 _xlfn.XLOOKUP(
  A433,
  tblCost[TargetID],
  tblCost[RemainingRequirements],
  ""
 )
)</f>
        <v/>
      </c>
      <c r="X433" s="45" t="str">
        <f t="array" ref="X433">IF(
 U433=FALSE,
 "N/A",
 _xlfn.XLOOKUP(
  A434,
  tblCost[TargetID],
  tblCost[TargetFunded],
  FALSE
 )
)</f>
        <v>N/A</v>
      </c>
      <c r="Y433" s="26" t="str">
        <f>IFERROR(__xludf.DUMMYFUNCTION("IFERROR(
 TEXTJOIN(
  "", "",
  TRUE,
  FILTER(
   'cost checklist'!$E$2:$E1000&amp;"": ""&amp;'cost checklist'!$G$2:$G1000,
   'cost checklist'!$B$2:$B1000=A433,
   'cost checklist'!$J$2:$J1000=FALSE
  )
 ),
 """"
)"),"")</f>
        <v/>
      </c>
      <c r="Z433" s="26" t="b">
        <f>IFERROR(__xludf.DUMMYFUNCTION("IF(
 AND(
  E433=""QUEST"",
  RIGHT(A433,9)="".accepted"",
  D433=TRUE
 ),
 XLOOKUP(
  REGEXREPLACE(A433,""\.accepted$"","""")&amp;"".finished"",
  $A$2:$A1000,
  $D$2:$D1000,
  TRUE
 )=FALSE,
 FALSE
)"),FALSE)</f>
        <v>0</v>
      </c>
      <c r="AA433" s="26" t="str">
        <f>IFERROR(__xludf.DUMMYFUNCTION("LET(
 id,A433,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4" ht="14.25" customHeight="1">
      <c r="A434" s="26" t="s">
        <v>1505</v>
      </c>
      <c r="B434" s="26" t="str">
        <f t="array" ref="B434">_xlfn.XLOOKUP(
 A434,
 tblTargets[TargetID],
 tblTargets[DisplayName],
 ""
)</f>
        <v>Discover the gate in 4C to F3</v>
      </c>
      <c r="C434" s="26" t="str">
        <f t="shared" si="1"/>
        <v>BLOCKED</v>
      </c>
      <c r="D434" s="26" t="b">
        <f>IFERROR(__xludf.DUMMYFUNCTION("LET(
 id,A434,
 IF(
  F434=""CHARACTER"",
  LET(
   base,REGEXREPLACE(id,""@\d+$"",""""),
   required,VALUE(REGEXEXTRACT(id,""@(\d+)$"")),
   current,XLOOKUP(
    base,
    tblPlayer[PlayerStateID],
    tblPlayer[Value],
    0
   ),
   current&gt;=required
 "&amp;" ),
  IF(
   T434=""AUTO"",
   L434=0,
   COUNTIFS(
    tblChecklist[TargetID],id,
    tblChecklist[PlayerCompleted],TRUE
   )&gt;0
  )
 )
)"),FALSE)</f>
        <v>0</v>
      </c>
      <c r="E434" s="26" t="str">
        <f t="array" ref="E434">_xlfn.XLOOKUP(
 A434,
 tblTargets[TargetID],
 tblTargets[TargetType],
 ""
)</f>
        <v>STATE</v>
      </c>
      <c r="F434" s="26" t="str">
        <f t="array" ref="F434">_xlfn.XLOOKUP(
 A434,
 tblTargets[TargetID],
 tblTargets[StateType],
 ""
)</f>
        <v>FIND</v>
      </c>
      <c r="G434" s="26">
        <f>LET(
 id,A434,
 depCount,COUNTIF(tblDependencies[TargetID],id),
 objCount,COUNTIF(tblQuestObjectives[QuestTargetID],id),
 depCount+objCount
)</f>
        <v>1</v>
      </c>
      <c r="H434" s="26">
        <f t="shared" si="2"/>
        <v>1</v>
      </c>
      <c r="I434" s="26">
        <f>IFERROR(__xludf.DUMMYFUNCTION("LET(
 id,A434,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4" s="26">
        <f t="shared" si="3"/>
        <v>0</v>
      </c>
      <c r="K434" s="26" t="b">
        <f t="shared" si="4"/>
        <v>0</v>
      </c>
      <c r="L434" s="26">
        <f t="shared" si="5"/>
        <v>1</v>
      </c>
      <c r="M434" s="26" t="str">
        <f>IFERROR(__xludf.DUMMYFUNCTION("LET(
 id,A434,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L434=0,
  """",
  IFERROR(INDEX(incomplete,1),"""")"&amp;"
 )
)"),"quest.once_upon_a_forest_chapter_4.accepted")</f>
        <v>quest.once_upon_a_forest_chapter_4.accepted</v>
      </c>
      <c r="N434" s="26" t="str">
        <f t="array" ref="N434">IF(
 M434="",
 "",
 _xlfn.XLOOKUP(
  M434,
  tblTargets[TargetID],
  tblTargets[DisplayName],
  M434
 )
)</f>
        <v>Once Upon a Forest Chapter 4 Accepted</v>
      </c>
      <c r="O434" s="26" t="str">
        <f>IFERROR(__xludf.DUMMYFUNCTION("SWITCH(
 E434,
 ""BUILDING"",XLOOKUP(A434,tblBuildings[BuildingID],tblBuildings[costtext],""""),
 ""TECH"",XLOOKUP(A434,tblTechnologies[TechnologyID],tblTechnologies[costtext],""""),
 ""QUEST"",XLOOKUP(
  REGEXREPLACE(A434,""\.[^.]+$"",""""),
  tblQuests["&amp;"QuestID],
  tblQuests[Costtext],
  """"
 ),
 ""CITADEL"",XLOOKUP(A434,tblCitadel[CitadelID],tblCitadel[costtext],""""),
 ""COLLECTION"",XLOOKUP(A434,tblCollections[CollectionID],tblCollections[costtext],""""),
 ""CRAFTIFACT"",XLOOKUP(A434,tblCraftifacts[C"&amp;"raftifactID],tblCraftifacts[costtext],""""),
 """"
)"),"")</f>
        <v/>
      </c>
      <c r="P434" s="26" t="str">
        <f t="shared" si="6"/>
        <v>BLOCKED</v>
      </c>
      <c r="Q434" s="26" t="str">
        <f t="shared" si="7"/>
        <v>BLOCKED</v>
      </c>
      <c r="R434" s="26" t="str">
        <f t="array" ref="R434">IFERROR(
 _xlfn.XLOOKUP(
  A434,
  tblChecklist[TargetID],
  tblChecklist[PlayerSort],
  ""
 ),
 ""
)</f>
        <v/>
      </c>
      <c r="S434" s="26" t="str">
        <f>IFERROR(__xludf.DUMMYFUNCTION("LET(
 id,A434,
 successorIDs,
  IFERROR(
   UNIQUE(
    FILTER(
     {
      Dependencies!$A$2:$A$1000;
      QuestObjectives!$A$2:$A$1000
     },
     {
      Dependencies!$B$2:$B$1000;
      QuestObjectives!$E$2:$E$1000
     }=id
    )
   ),
   """"
  )"&amp;",
 names,
  MAP(
   successorIDs,
   LAMBDA(s,
    IF(
     s="""",
     """",
     XLOOKUP(
      s,
      $A$2:$A$1000,
      $B$2:$B$1000,
      s
     )
    )
   )
  ),
 IF(
  successorIDs="""",
  """",
  TEXTJOIN("", "",TRUE,names)
 )
)"),"Once Upon a Forest Chapter 4 Finished")</f>
        <v>Once Upon a Forest Chapter 4 Finished</v>
      </c>
      <c r="T434" s="26" t="str">
        <f t="array" ref="T434">_xlfn.XLOOKUP(
 A434,
 tblTargets[TargetID],
 tblTargets[CompletionMethod],
 ""
)</f>
        <v>PLAYER</v>
      </c>
      <c r="U434" s="84" t="b">
        <f>COUNTIF(tblCost[TargetID],A434)&gt;0</f>
        <v>0</v>
      </c>
      <c r="V434" s="85" t="str">
        <f t="array" ref="V434">IF(
 U434=FALSE,
 "",
 _xlfn.XLOOKUP(
  A434,
  tblCost[TargetID],
  tblCost[FundingPercent],
  ""
 )
)</f>
        <v/>
      </c>
      <c r="W434" s="26" t="str">
        <f t="array" ref="W434">IF(
 U434=FALSE,
 "",
 _xlfn.XLOOKUP(
  A434,
  tblCost[TargetID],
  tblCost[RemainingRequirements],
  ""
 )
)</f>
        <v/>
      </c>
      <c r="X434" s="45" t="str">
        <f t="array" ref="X434">IF(
 U434=FALSE,
 "N/A",
 _xlfn.XLOOKUP(
  A435,
  tblCost[TargetID],
  tblCost[TargetFunded],
  FALSE
 )
)</f>
        <v>N/A</v>
      </c>
      <c r="Y434" s="26" t="str">
        <f>IFERROR(__xludf.DUMMYFUNCTION("IFERROR(
 TEXTJOIN(
  "", "",
  TRUE,
  FILTER(
   'cost checklist'!$E$2:$E1000&amp;"": ""&amp;'cost checklist'!$G$2:$G1000,
   'cost checklist'!$B$2:$B1000=A434,
   'cost checklist'!$J$2:$J1000=FALSE
  )
 ),
 """"
)"),"")</f>
        <v/>
      </c>
      <c r="Z434" s="26" t="b">
        <f>IFERROR(__xludf.DUMMYFUNCTION("IF(
 AND(
  E434=""QUEST"",
  RIGHT(A434,9)="".accepted"",
  D434=TRUE
 ),
 XLOOKUP(
  REGEXREPLACE(A434,""\.accepted$"","""")&amp;"".finished"",
  $A$2:$A1000,
  $D$2:$D1000,
  TRUE
 )=FALSE,
 FALSE
)"),FALSE)</f>
        <v>0</v>
      </c>
      <c r="AA434" s="26" t="str">
        <f>IFERROR(__xludf.DUMMYFUNCTION("LET(
 id,A434,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5" ht="14.25" customHeight="1">
      <c r="A435" s="26" t="s">
        <v>1507</v>
      </c>
      <c r="B435" s="26" t="str">
        <f t="array" ref="B435">_xlfn.XLOOKUP(
 A435,
 tblTargets[TargetID],
 tblTargets[DisplayName],
 ""
)</f>
        <v>Discover the gate in 5C to F4</v>
      </c>
      <c r="C435" s="26" t="str">
        <f t="shared" si="1"/>
        <v>BLOCKED</v>
      </c>
      <c r="D435" s="26" t="b">
        <f>IFERROR(__xludf.DUMMYFUNCTION("LET(
 id,A435,
 IF(
  F435=""CHARACTER"",
  LET(
   base,REGEXREPLACE(id,""@\d+$"",""""),
   required,VALUE(REGEXEXTRACT(id,""@(\d+)$"")),
   current,XLOOKUP(
    base,
    tblPlayer[PlayerStateID],
    tblPlayer[Value],
    0
   ),
   current&gt;=required
 "&amp;" ),
  IF(
   T435=""AUTO"",
   L435=0,
   COUNTIFS(
    tblChecklist[TargetID],id,
    tblChecklist[PlayerCompleted],TRUE
   )&gt;0
  )
 )
)"),FALSE)</f>
        <v>0</v>
      </c>
      <c r="E435" s="26" t="str">
        <f t="array" ref="E435">_xlfn.XLOOKUP(
 A435,
 tblTargets[TargetID],
 tblTargets[TargetType],
 ""
)</f>
        <v>STATE</v>
      </c>
      <c r="F435" s="26" t="str">
        <f t="array" ref="F435">_xlfn.XLOOKUP(
 A435,
 tblTargets[TargetID],
 tblTargets[StateType],
 ""
)</f>
        <v>FIND</v>
      </c>
      <c r="G435" s="26">
        <f>LET(
 id,A435,
 depCount,COUNTIF(tblDependencies[TargetID],id),
 objCount,COUNTIF(tblQuestObjectives[QuestTargetID],id),
 depCount+objCount
)</f>
        <v>1</v>
      </c>
      <c r="H435" s="26">
        <f t="shared" si="2"/>
        <v>1</v>
      </c>
      <c r="I435" s="26">
        <f>IFERROR(__xludf.DUMMYFUNCTION("LET(
 id,A435,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5" s="26">
        <f t="shared" si="3"/>
        <v>0</v>
      </c>
      <c r="K435" s="26" t="b">
        <f t="shared" si="4"/>
        <v>0</v>
      </c>
      <c r="L435" s="26">
        <f t="shared" si="5"/>
        <v>1</v>
      </c>
      <c r="M435" s="26" t="str">
        <f>IFERROR(__xludf.DUMMYFUNCTION("LET(
 id,A435,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L435=0,
  """",
  IFERROR(INDEX(incomplete,1),"""")"&amp;"
 )
)"),"quest.once_upon_a_forest_chapter_4.accepted")</f>
        <v>quest.once_upon_a_forest_chapter_4.accepted</v>
      </c>
      <c r="N435" s="26" t="str">
        <f t="array" ref="N435">IF(
 M435="",
 "",
 _xlfn.XLOOKUP(
  M435,
  tblTargets[TargetID],
  tblTargets[DisplayName],
  M435
 )
)</f>
        <v>Once Upon a Forest Chapter 4 Accepted</v>
      </c>
      <c r="O435" s="26" t="str">
        <f>IFERROR(__xludf.DUMMYFUNCTION("SWITCH(
 E435,
 ""BUILDING"",XLOOKUP(A435,tblBuildings[BuildingID],tblBuildings[costtext],""""),
 ""TECH"",XLOOKUP(A435,tblTechnologies[TechnologyID],tblTechnologies[costtext],""""),
 ""QUEST"",XLOOKUP(
  REGEXREPLACE(A435,""\.[^.]+$"",""""),
  tblQuests["&amp;"QuestID],
  tblQuests[Costtext],
  """"
 ),
 ""CITADEL"",XLOOKUP(A435,tblCitadel[CitadelID],tblCitadel[costtext],""""),
 ""COLLECTION"",XLOOKUP(A435,tblCollections[CollectionID],tblCollections[costtext],""""),
 ""CRAFTIFACT"",XLOOKUP(A435,tblCraftifacts[C"&amp;"raftifactID],tblCraftifacts[costtext],""""),
 """"
)"),"")</f>
        <v/>
      </c>
      <c r="P435" s="26" t="str">
        <f t="shared" si="6"/>
        <v>BLOCKED</v>
      </c>
      <c r="Q435" s="26" t="str">
        <f t="shared" si="7"/>
        <v>BLOCKED</v>
      </c>
      <c r="R435" s="26" t="str">
        <f t="array" ref="R435">IFERROR(
 _xlfn.XLOOKUP(
  A435,
  tblChecklist[TargetID],
  tblChecklist[PlayerSort],
  ""
 ),
 ""
)</f>
        <v/>
      </c>
      <c r="S435" s="26" t="str">
        <f>IFERROR(__xludf.DUMMYFUNCTION("LET(
 id,A435,
 successorIDs,
  IFERROR(
   UNIQUE(
    FILTER(
     {
      Dependencies!$A$2:$A$1000;
      QuestObjectives!$A$2:$A$1000
     },
     {
      Dependencies!$B$2:$B$1000;
      QuestObjectives!$E$2:$E$1000
     }=id
    )
   ),
   """"
  )"&amp;",
 names,
  MAP(
   successorIDs,
   LAMBDA(s,
    IF(
     s="""",
     """",
     XLOOKUP(
      s,
      $A$2:$A$1000,
      $B$2:$B$1000,
      s
     )
    )
   )
  ),
 IF(
  successorIDs="""",
  """",
  TEXTJOIN("", "",TRUE,names)
 )
)"),"Once Upon a Forest Chapter 4 Finished")</f>
        <v>Once Upon a Forest Chapter 4 Finished</v>
      </c>
      <c r="T435" s="26" t="str">
        <f t="array" ref="T435">_xlfn.XLOOKUP(
 A435,
 tblTargets[TargetID],
 tblTargets[CompletionMethod],
 ""
)</f>
        <v>PLAYER</v>
      </c>
      <c r="U435" s="84" t="b">
        <f>COUNTIF(tblCost[TargetID],A435)&gt;0</f>
        <v>0</v>
      </c>
      <c r="V435" s="85" t="str">
        <f t="array" ref="V435">IF(
 U435=FALSE,
 "",
 _xlfn.XLOOKUP(
  A435,
  tblCost[TargetID],
  tblCost[FundingPercent],
  ""
 )
)</f>
        <v/>
      </c>
      <c r="W435" s="26" t="str">
        <f t="array" ref="W435">IF(
 U435=FALSE,
 "",
 _xlfn.XLOOKUP(
  A435,
  tblCost[TargetID],
  tblCost[RemainingRequirements],
  ""
 )
)</f>
        <v/>
      </c>
      <c r="X435" s="45" t="str">
        <f t="array" ref="X435">IF(
 U435=FALSE,
 "N/A",
 _xlfn.XLOOKUP(
  A436,
  tblCost[TargetID],
  tblCost[TargetFunded],
  FALSE
 )
)</f>
        <v>N/A</v>
      </c>
      <c r="Y435" s="26" t="str">
        <f>IFERROR(__xludf.DUMMYFUNCTION("IFERROR(
 TEXTJOIN(
  "", "",
  TRUE,
  FILTER(
   'cost checklist'!$E$2:$E1000&amp;"": ""&amp;'cost checklist'!$G$2:$G1000,
   'cost checklist'!$B$2:$B1000=A435,
   'cost checklist'!$J$2:$J1000=FALSE
  )
 ),
 """"
)"),"")</f>
        <v/>
      </c>
      <c r="Z435" s="26" t="b">
        <f>IFERROR(__xludf.DUMMYFUNCTION("IF(
 AND(
  E435=""QUEST"",
  RIGHT(A435,9)="".accepted"",
  D435=TRUE
 ),
 XLOOKUP(
  REGEXREPLACE(A435,""\.accepted$"","""")&amp;"".finished"",
  $A$2:$A1000,
  $D$2:$D1000,
  TRUE
 )=FALSE,
 FALSE
)"),FALSE)</f>
        <v>0</v>
      </c>
      <c r="AA435" s="26" t="str">
        <f>IFERROR(__xludf.DUMMYFUNCTION("LET(
 id,A435,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6" ht="14.25" customHeight="1">
      <c r="A436" s="26" t="s">
        <v>1509</v>
      </c>
      <c r="B436" s="26" t="str">
        <f t="array" ref="B436">_xlfn.XLOOKUP(
 A436,
 tblTargets[TargetID],
 tblTargets[DisplayName],
 ""
)</f>
        <v>Find Goat in 6B</v>
      </c>
      <c r="C436" s="26" t="str">
        <f t="shared" si="1"/>
        <v>BLOCKED</v>
      </c>
      <c r="D436" s="26" t="b">
        <f>IFERROR(__xludf.DUMMYFUNCTION("LET(
 id,A436,
 IF(
  F436=""CHARACTER"",
  LET(
   base,REGEXREPLACE(id,""@\d+$"",""""),
   required,VALUE(REGEXEXTRACT(id,""@(\d+)$"")),
   current,XLOOKUP(
    base,
    tblPlayer[PlayerStateID],
    tblPlayer[Value],
    0
   ),
   current&gt;=required
 "&amp;" ),
  IF(
   T436=""AUTO"",
   L436=0,
   COUNTIFS(
    tblChecklist[TargetID],id,
    tblChecklist[PlayerCompleted],TRUE
   )&gt;0
  )
 )
)"),FALSE)</f>
        <v>0</v>
      </c>
      <c r="E436" s="26" t="str">
        <f t="array" ref="E436">_xlfn.XLOOKUP(
 A436,
 tblTargets[TargetID],
 tblTargets[TargetType],
 ""
)</f>
        <v>STATE</v>
      </c>
      <c r="F436" s="26" t="str">
        <f t="array" ref="F436">_xlfn.XLOOKUP(
 A436,
 tblTargets[TargetID],
 tblTargets[StateType],
 ""
)</f>
        <v>FIND</v>
      </c>
      <c r="G436" s="26">
        <f>LET(
 id,A436,
 depCount,COUNTIF(tblDependencies[TargetID],id),
 objCount,COUNTIF(tblQuestObjectives[QuestTargetID],id),
 depCount+objCount
)</f>
        <v>1</v>
      </c>
      <c r="H436" s="26">
        <f t="shared" si="2"/>
        <v>1</v>
      </c>
      <c r="I436" s="26">
        <f>IFERROR(__xludf.DUMMYFUNCTION("LET(
 id,A436,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6" s="26">
        <f t="shared" si="3"/>
        <v>0</v>
      </c>
      <c r="K436" s="26" t="b">
        <f t="shared" si="4"/>
        <v>0</v>
      </c>
      <c r="L436" s="26">
        <f t="shared" si="5"/>
        <v>1</v>
      </c>
      <c r="M436" s="26" t="str">
        <f>IFERROR(__xludf.DUMMYFUNCTION("LET(
 id,A436,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L436=0,
  """",
  IFERROR(INDEX(incomplete,1),"""")"&amp;"
 )
)"),"quest.the_ordinary_days_of_an_adventurer_chapter_1.accepted")</f>
        <v>quest.the_ordinary_days_of_an_adventurer_chapter_1.accepted</v>
      </c>
      <c r="N436" s="26" t="str">
        <f t="array" ref="N436">IF(
 M436="",
 "",
 _xlfn.XLOOKUP(
  M436,
  tblTargets[TargetID],
  tblTargets[DisplayName],
  M436
 )
)</f>
        <v>The Ordinary Days of an Adventurer Chapter 1 Accepted</v>
      </c>
      <c r="O436" s="26" t="str">
        <f>IFERROR(__xludf.DUMMYFUNCTION("SWITCH(
 E436,
 ""BUILDING"",XLOOKUP(A436,tblBuildings[BuildingID],tblBuildings[costtext],""""),
 ""TECH"",XLOOKUP(A436,tblTechnologies[TechnologyID],tblTechnologies[costtext],""""),
 ""QUEST"",XLOOKUP(
  REGEXREPLACE(A436,""\.[^.]+$"",""""),
  tblQuests["&amp;"QuestID],
  tblQuests[Costtext],
  """"
 ),
 ""CITADEL"",XLOOKUP(A436,tblCitadel[CitadelID],tblCitadel[costtext],""""),
 ""COLLECTION"",XLOOKUP(A436,tblCollections[CollectionID],tblCollections[costtext],""""),
 ""CRAFTIFACT"",XLOOKUP(A436,tblCraftifacts[C"&amp;"raftifactID],tblCraftifacts[costtext],""""),
 """"
)"),"")</f>
        <v/>
      </c>
      <c r="P436" s="26" t="str">
        <f t="shared" si="6"/>
        <v>BLOCKED</v>
      </c>
      <c r="Q436" s="26" t="str">
        <f t="shared" si="7"/>
        <v>BLOCKED</v>
      </c>
      <c r="R436" s="26" t="str">
        <f t="array" ref="R436">IFERROR(
 _xlfn.XLOOKUP(
  A436,
  tblChecklist[TargetID],
  tblChecklist[PlayerSort],
  ""
 ),
 ""
)</f>
        <v/>
      </c>
      <c r="S436" s="26" t="str">
        <f>IFERROR(__xludf.DUMMYFUNCTION("LET(
 id,A436,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1 Finished")</f>
        <v>The Ordinary Days of an Adventurer Chapter 1 Finished</v>
      </c>
      <c r="T436" s="26" t="str">
        <f t="array" ref="T436">_xlfn.XLOOKUP(
 A436,
 tblTargets[TargetID],
 tblTargets[CompletionMethod],
 ""
)</f>
        <v>PLAYER</v>
      </c>
      <c r="U436" s="84" t="b">
        <f>COUNTIF(tblCost[TargetID],A436)&gt;0</f>
        <v>0</v>
      </c>
      <c r="V436" s="85" t="str">
        <f t="array" ref="V436">IF(
 U436=FALSE,
 "",
 _xlfn.XLOOKUP(
  A436,
  tblCost[TargetID],
  tblCost[FundingPercent],
  ""
 )
)</f>
        <v/>
      </c>
      <c r="W436" s="26" t="str">
        <f t="array" ref="W436">IF(
 U436=FALSE,
 "",
 _xlfn.XLOOKUP(
  A436,
  tblCost[TargetID],
  tblCost[RemainingRequirements],
  ""
 )
)</f>
        <v/>
      </c>
      <c r="X436" s="45" t="str">
        <f t="array" ref="X436">IF(
 U436=FALSE,
 "N/A",
 _xlfn.XLOOKUP(
  A437,
  tblCost[TargetID],
  tblCost[TargetFunded],
  FALSE
 )
)</f>
        <v>N/A</v>
      </c>
      <c r="Y436" s="26" t="str">
        <f>IFERROR(__xludf.DUMMYFUNCTION("IFERROR(
 TEXTJOIN(
  "", "",
  TRUE,
  FILTER(
   'cost checklist'!$E$2:$E1000&amp;"": ""&amp;'cost checklist'!$G$2:$G1000,
   'cost checklist'!$B$2:$B1000=A436,
   'cost checklist'!$J$2:$J1000=FALSE
  )
 ),
 """"
)"),"")</f>
        <v/>
      </c>
      <c r="Z436" s="26" t="b">
        <f>IFERROR(__xludf.DUMMYFUNCTION("IF(
 AND(
  E436=""QUEST"",
  RIGHT(A436,9)="".accepted"",
  D436=TRUE
 ),
 XLOOKUP(
  REGEXREPLACE(A436,""\.accepted$"","""")&amp;"".finished"",
  $A$2:$A1000,
  $D$2:$D1000,
  TRUE
 )=FALSE,
 FALSE
)"),FALSE)</f>
        <v>0</v>
      </c>
      <c r="AA436" s="26" t="str">
        <f>IFERROR(__xludf.DUMMYFUNCTION("LET(
 id,A436,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7" ht="14.25" customHeight="1">
      <c r="A437" s="26" t="s">
        <v>1512</v>
      </c>
      <c r="B437" s="26" t="str">
        <f t="array" ref="B437">_xlfn.XLOOKUP(
 A437,
 tblTargets[TargetID],
 tblTargets[DisplayName],
 ""
)</f>
        <v>Find Jade Gate in 2C</v>
      </c>
      <c r="C437" s="26" t="str">
        <f t="shared" si="1"/>
        <v>BLOCKED</v>
      </c>
      <c r="D437" s="26" t="b">
        <f>IFERROR(__xludf.DUMMYFUNCTION("LET(
 id,A437,
 IF(
  F437=""CHARACTER"",
  LET(
   base,REGEXREPLACE(id,""@\d+$"",""""),
   required,VALUE(REGEXEXTRACT(id,""@(\d+)$"")),
   current,XLOOKUP(
    base,
    tblPlayer[PlayerStateID],
    tblPlayer[Value],
    0
   ),
   current&gt;=required
 "&amp;" ),
  IF(
   T437=""AUTO"",
   L437=0,
   COUNTIFS(
    tblChecklist[TargetID],id,
    tblChecklist[PlayerCompleted],TRUE
   )&gt;0
  )
 )
)"),FALSE)</f>
        <v>0</v>
      </c>
      <c r="E437" s="26" t="str">
        <f t="array" ref="E437">_xlfn.XLOOKUP(
 A437,
 tblTargets[TargetID],
 tblTargets[TargetType],
 ""
)</f>
        <v>STATE</v>
      </c>
      <c r="F437" s="26" t="str">
        <f t="array" ref="F437">_xlfn.XLOOKUP(
 A437,
 tblTargets[TargetID],
 tblTargets[StateType],
 ""
)</f>
        <v>FIND</v>
      </c>
      <c r="G437" s="26">
        <f>LET(
 id,A437,
 depCount,COUNTIF(tblDependencies[TargetID],id),
 objCount,COUNTIF(tblQuestObjectives[QuestTargetID],id),
 depCount+objCount
)</f>
        <v>1</v>
      </c>
      <c r="H437" s="26">
        <f t="shared" si="2"/>
        <v>1</v>
      </c>
      <c r="I437" s="26">
        <f>IFERROR(__xludf.DUMMYFUNCTION("LET(
 id,A437,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7" s="26">
        <f t="shared" si="3"/>
        <v>0</v>
      </c>
      <c r="K437" s="26" t="b">
        <f t="shared" si="4"/>
        <v>0</v>
      </c>
      <c r="L437" s="26">
        <f t="shared" si="5"/>
        <v>1</v>
      </c>
      <c r="M437" s="26" t="str">
        <f>IFERROR(__xludf.DUMMYFUNCTION("LET(
 id,A437,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L437=0,
  """",
  IFERROR(INDEX(incomplete,1),"""")"&amp;"
 )
)"),"quest.once_upon_a_forest_chapter_1.accepted")</f>
        <v>quest.once_upon_a_forest_chapter_1.accepted</v>
      </c>
      <c r="N437" s="26" t="str">
        <f t="array" ref="N437">IF(
 M437="",
 "",
 _xlfn.XLOOKUP(
  M437,
  tblTargets[TargetID],
  tblTargets[DisplayName],
  M437
 )
)</f>
        <v>Once Upon a Forest Chapter 1 Accepted</v>
      </c>
      <c r="O437" s="26" t="str">
        <f>IFERROR(__xludf.DUMMYFUNCTION("SWITCH(
 E437,
 ""BUILDING"",XLOOKUP(A437,tblBuildings[BuildingID],tblBuildings[costtext],""""),
 ""TECH"",XLOOKUP(A437,tblTechnologies[TechnologyID],tblTechnologies[costtext],""""),
 ""QUEST"",XLOOKUP(
  REGEXREPLACE(A437,""\.[^.]+$"",""""),
  tblQuests["&amp;"QuestID],
  tblQuests[Costtext],
  """"
 ),
 ""CITADEL"",XLOOKUP(A437,tblCitadel[CitadelID],tblCitadel[costtext],""""),
 ""COLLECTION"",XLOOKUP(A437,tblCollections[CollectionID],tblCollections[costtext],""""),
 ""CRAFTIFACT"",XLOOKUP(A437,tblCraftifacts[C"&amp;"raftifactID],tblCraftifacts[costtext],""""),
 """"
)"),"")</f>
        <v/>
      </c>
      <c r="P437" s="26" t="str">
        <f t="shared" si="6"/>
        <v>BLOCKED</v>
      </c>
      <c r="Q437" s="26" t="str">
        <f t="shared" si="7"/>
        <v>BLOCKED</v>
      </c>
      <c r="R437" s="26" t="str">
        <f t="array" ref="R437">IFERROR(
 _xlfn.XLOOKUP(
  A437,
  tblChecklist[TargetID],
  tblChecklist[PlayerSort],
  ""
 ),
 ""
)</f>
        <v/>
      </c>
      <c r="S437" s="26" t="str">
        <f>IFERROR(__xludf.DUMMYFUNCTION("LET(
 id,A437,
 successorIDs,
  IFERROR(
   UNIQUE(
    FILTER(
     {
      Dependencies!$A$2:$A$1000;
      QuestObjectives!$A$2:$A$1000
     },
     {
      Dependencies!$B$2:$B$1000;
      QuestObjectives!$E$2:$E$1000
     }=id
    )
   ),
   """"
  )"&amp;",
 names,
  MAP(
   successorIDs,
   LAMBDA(s,
    IF(
     s="""",
     """",
     XLOOKUP(
      s,
      $A$2:$A$1000,
      $B$2:$B$1000,
      s
     )
    )
   )
  ),
 IF(
  successorIDs="""",
  """",
  TEXTJOIN("", "",TRUE,names)
 )
)"),"Obtain Strawberry@F1 , Once Upon a Forest Chapter 1 Finished")</f>
        <v>Obtain Strawberry@F1 , Once Upon a Forest Chapter 1 Finished</v>
      </c>
      <c r="T437" s="26" t="str">
        <f t="array" ref="T437">_xlfn.XLOOKUP(
 A437,
 tblTargets[TargetID],
 tblTargets[CompletionMethod],
 ""
)</f>
        <v>PLAYER</v>
      </c>
      <c r="U437" s="84" t="b">
        <f>COUNTIF(tblCost[TargetID],A437)&gt;0</f>
        <v>0</v>
      </c>
      <c r="V437" s="85" t="str">
        <f t="array" ref="V437">IF(
 U437=FALSE,
 "",
 _xlfn.XLOOKUP(
  A437,
  tblCost[TargetID],
  tblCost[FundingPercent],
  ""
 )
)</f>
        <v/>
      </c>
      <c r="W437" s="26" t="str">
        <f t="array" ref="W437">IF(
 U437=FALSE,
 "",
 _xlfn.XLOOKUP(
  A437,
  tblCost[TargetID],
  tblCost[RemainingRequirements],
  ""
 )
)</f>
        <v/>
      </c>
      <c r="X437" s="45" t="str">
        <f t="array" ref="X437">IF(
 U437=FALSE,
 "N/A",
 _xlfn.XLOOKUP(
  A438,
  tblCost[TargetID],
  tblCost[TargetFunded],
  FALSE
 )
)</f>
        <v>N/A</v>
      </c>
      <c r="Y437" s="26" t="str">
        <f>IFERROR(__xludf.DUMMYFUNCTION("IFERROR(
 TEXTJOIN(
  "", "",
  TRUE,
  FILTER(
   'cost checklist'!$E$2:$E1000&amp;"": ""&amp;'cost checklist'!$G$2:$G1000,
   'cost checklist'!$B$2:$B1000=A437,
   'cost checklist'!$J$2:$J1000=FALSE
  )
 ),
 """"
)"),"")</f>
        <v/>
      </c>
      <c r="Z437" s="26" t="b">
        <f>IFERROR(__xludf.DUMMYFUNCTION("IF(
 AND(
  E437=""QUEST"",
  RIGHT(A437,9)="".accepted"",
  D437=TRUE
 ),
 XLOOKUP(
  REGEXREPLACE(A437,""\.accepted$"","""")&amp;"".finished"",
  $A$2:$A1000,
  $D$2:$D1000,
  TRUE
 )=FALSE,
 FALSE
)"),FALSE)</f>
        <v>0</v>
      </c>
      <c r="AA437" s="26" t="str">
        <f>IFERROR(__xludf.DUMMYFUNCTION("LET(
 id,A437,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8" ht="14.25" customHeight="1">
      <c r="A438" s="26" t="s">
        <v>1514</v>
      </c>
      <c r="B438" s="26" t="str">
        <f t="array" ref="B438">_xlfn.XLOOKUP(
 A438,
 tblTargets[TargetID],
 tblTargets[DisplayName],
 ""
)</f>
        <v>Meet Alchemist in 6D</v>
      </c>
      <c r="C438" s="26" t="str">
        <f t="shared" si="1"/>
        <v>BLOCKED</v>
      </c>
      <c r="D438" s="26" t="b">
        <f>IFERROR(__xludf.DUMMYFUNCTION("LET(
 id,A438,
 IF(
  F438=""CHARACTER"",
  LET(
   base,REGEXREPLACE(id,""@\d+$"",""""),
   required,VALUE(REGEXEXTRACT(id,""@(\d+)$"")),
   current,XLOOKUP(
    base,
    tblPlayer[PlayerStateID],
    tblPlayer[Value],
    0
   ),
   current&gt;=required
 "&amp;" ),
  IF(
   T438=""AUTO"",
   L438=0,
   COUNTIFS(
    tblChecklist[TargetID],id,
    tblChecklist[PlayerCompleted],TRUE
   )&gt;0
  )
 )
)"),FALSE)</f>
        <v>0</v>
      </c>
      <c r="E438" s="26" t="str">
        <f t="array" ref="E438">_xlfn.XLOOKUP(
 A438,
 tblTargets[TargetID],
 tblTargets[TargetType],
 ""
)</f>
        <v>STATE</v>
      </c>
      <c r="F438" s="26" t="str">
        <f t="array" ref="F438">_xlfn.XLOOKUP(
 A438,
 tblTargets[TargetID],
 tblTargets[StateType],
 ""
)</f>
        <v>MEET</v>
      </c>
      <c r="G438" s="26">
        <f>LET(
 id,A438,
 depCount,COUNTIF(tblDependencies[TargetID],id),
 objCount,COUNTIF(tblQuestObjectives[QuestTargetID],id),
 depCount+objCount
)</f>
        <v>1</v>
      </c>
      <c r="H438" s="26">
        <f t="shared" si="2"/>
        <v>1</v>
      </c>
      <c r="I438" s="26">
        <f>IFERROR(__xludf.DUMMYFUNCTION("LET(
 id,A438,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8" s="26">
        <f t="shared" si="3"/>
        <v>0</v>
      </c>
      <c r="K438" s="26" t="b">
        <f t="shared" si="4"/>
        <v>0</v>
      </c>
      <c r="L438" s="26">
        <f t="shared" si="5"/>
        <v>1</v>
      </c>
      <c r="M438" s="26" t="str">
        <f>IFERROR(__xludf.DUMMYFUNCTION("LET(
 id,A438,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L438=0,
  """",
  IFERROR(INDEX(incomplete,1),"""")"&amp;"
 )
)"),"quest.ahead_of_time_chapter_3.accepted")</f>
        <v>quest.ahead_of_time_chapter_3.accepted</v>
      </c>
      <c r="N438" s="26" t="str">
        <f t="array" ref="N438">IF(
 M438="",
 "",
 _xlfn.XLOOKUP(
  M438,
  tblTargets[TargetID],
  tblTargets[DisplayName],
  M438
 )
)</f>
        <v>Ahead of Time Chapter 3 Accepted</v>
      </c>
      <c r="O438" s="26" t="str">
        <f>IFERROR(__xludf.DUMMYFUNCTION("SWITCH(
 E438,
 ""BUILDING"",XLOOKUP(A438,tblBuildings[BuildingID],tblBuildings[costtext],""""),
 ""TECH"",XLOOKUP(A438,tblTechnologies[TechnologyID],tblTechnologies[costtext],""""),
 ""QUEST"",XLOOKUP(
  REGEXREPLACE(A438,""\.[^.]+$"",""""),
  tblQuests["&amp;"QuestID],
  tblQuests[Costtext],
  """"
 ),
 ""CITADEL"",XLOOKUP(A438,tblCitadel[CitadelID],tblCitadel[costtext],""""),
 ""COLLECTION"",XLOOKUP(A438,tblCollections[CollectionID],tblCollections[costtext],""""),
 ""CRAFTIFACT"",XLOOKUP(A438,tblCraftifacts[C"&amp;"raftifactID],tblCraftifacts[costtext],""""),
 """"
)"),"")</f>
        <v/>
      </c>
      <c r="P438" s="26" t="str">
        <f t="shared" si="6"/>
        <v>BLOCKED</v>
      </c>
      <c r="Q438" s="26" t="str">
        <f t="shared" si="7"/>
        <v>BLOCKED</v>
      </c>
      <c r="R438" s="26" t="str">
        <f t="array" ref="R438">IFERROR(
 _xlfn.XLOOKUP(
  A438,
  tblChecklist[TargetID],
  tblChecklist[PlayerSort],
  ""
 ),
 ""
)</f>
        <v/>
      </c>
      <c r="S438" s="26" t="str">
        <f>IFERROR(__xludf.DUMMYFUNCTION("LET(
 id,A438,
 successorIDs,
  IFERROR(
   UNIQUE(
    FILTER(
     {
      Dependencies!$A$2:$A$1000;
      QuestObjectives!$A$2:$A$1000
     },
     {
      Dependencies!$B$2:$B$1000;
      QuestObjectives!$E$2:$E$1000
     }=id
    )
   ),
   """"
  )"&amp;",
 names,
  MAP(
   successorIDs,
   LAMBDA(s,
    IF(
     s="""",
     """",
     XLOOKUP(
      s,
      $A$2:$A$1000,
      $B$2:$B$1000,
      s
     )
    )
   )
  ),
 IF(
  successorIDs="""",
  """",
  TEXTJOIN("", "",TRUE,names)
 )
)"),"Ahead of Time Chapter 3 Finished")</f>
        <v>Ahead of Time Chapter 3 Finished</v>
      </c>
      <c r="T438" s="26" t="str">
        <f t="array" ref="T438">_xlfn.XLOOKUP(
 A438,
 tblTargets[TargetID],
 tblTargets[CompletionMethod],
 ""
)</f>
        <v>PLAYER</v>
      </c>
      <c r="U438" s="84" t="b">
        <f>COUNTIF(tblCost[TargetID],A438)&gt;0</f>
        <v>0</v>
      </c>
      <c r="V438" s="85" t="str">
        <f t="array" ref="V438">IF(
 U438=FALSE,
 "",
 _xlfn.XLOOKUP(
  A438,
  tblCost[TargetID],
  tblCost[FundingPercent],
  ""
 )
)</f>
        <v/>
      </c>
      <c r="W438" s="26" t="str">
        <f t="array" ref="W438">IF(
 U438=FALSE,
 "",
 _xlfn.XLOOKUP(
  A438,
  tblCost[TargetID],
  tblCost[RemainingRequirements],
  ""
 )
)</f>
        <v/>
      </c>
      <c r="X438" s="45" t="str">
        <f t="array" ref="X438">IF(
 U438=FALSE,
 "N/A",
 _xlfn.XLOOKUP(
  A439,
  tblCost[TargetID],
  tblCost[TargetFunded],
  FALSE
 )
)</f>
        <v>N/A</v>
      </c>
      <c r="Y438" s="26" t="str">
        <f>IFERROR(__xludf.DUMMYFUNCTION("IFERROR(
 TEXTJOIN(
  "", "",
  TRUE,
  FILTER(
   'cost checklist'!$E$2:$E1000&amp;"": ""&amp;'cost checklist'!$G$2:$G1000,
   'cost checklist'!$B$2:$B1000=A438,
   'cost checklist'!$J$2:$J1000=FALSE
  )
 ),
 """"
)"),"")</f>
        <v/>
      </c>
      <c r="Z438" s="26" t="b">
        <f>IFERROR(__xludf.DUMMYFUNCTION("IF(
 AND(
  E438=""QUEST"",
  RIGHT(A438,9)="".accepted"",
  D438=TRUE
 ),
 XLOOKUP(
  REGEXREPLACE(A438,""\.accepted$"","""")&amp;"".finished"",
  $A$2:$A1000,
  $D$2:$D1000,
  TRUE
 )=FALSE,
 FALSE
)"),FALSE)</f>
        <v>0</v>
      </c>
      <c r="AA438" s="26" t="str">
        <f>IFERROR(__xludf.DUMMYFUNCTION("LET(
 id,A438,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39" ht="14.25" customHeight="1">
      <c r="A439" s="26" t="s">
        <v>1516</v>
      </c>
      <c r="B439" s="26" t="str">
        <f t="array" ref="B439">_xlfn.XLOOKUP(
 A439,
 tblTargets[TargetID],
 tblTargets[DisplayName],
 ""
)</f>
        <v>Meet Dark Lady@4A</v>
      </c>
      <c r="C439" s="26" t="str">
        <f t="shared" si="1"/>
        <v>BLOCKED</v>
      </c>
      <c r="D439" s="26" t="b">
        <f>IFERROR(__xludf.DUMMYFUNCTION("LET(
 id,A439,
 IF(
  F439=""CHARACTER"",
  LET(
   base,REGEXREPLACE(id,""@\d+$"",""""),
   required,VALUE(REGEXEXTRACT(id,""@(\d+)$"")),
   current,XLOOKUP(
    base,
    tblPlayer[PlayerStateID],
    tblPlayer[Value],
    0
   ),
   current&gt;=required
 "&amp;" ),
  IF(
   T439=""AUTO"",
   L439=0,
   COUNTIFS(
    tblChecklist[TargetID],id,
    tblChecklist[PlayerCompleted],TRUE
   )&gt;0
  )
 )
)"),FALSE)</f>
        <v>0</v>
      </c>
      <c r="E439" s="26" t="str">
        <f t="array" ref="E439">_xlfn.XLOOKUP(
 A439,
 tblTargets[TargetID],
 tblTargets[TargetType],
 ""
)</f>
        <v>STATE</v>
      </c>
      <c r="F439" s="26" t="str">
        <f t="array" ref="F439">_xlfn.XLOOKUP(
 A439,
 tblTargets[TargetID],
 tblTargets[StateType],
 ""
)</f>
        <v>MEET</v>
      </c>
      <c r="G439" s="26">
        <f>LET(
 id,A439,
 depCount,COUNTIF(tblDependencies[TargetID],id),
 objCount,COUNTIF(tblQuestObjectives[QuestTargetID],id),
 depCount+objCount
)</f>
        <v>1</v>
      </c>
      <c r="H439" s="26">
        <f t="shared" si="2"/>
        <v>1</v>
      </c>
      <c r="I439" s="26">
        <f>IFERROR(__xludf.DUMMYFUNCTION("LET(
 id,A439,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39" s="26">
        <f t="shared" si="3"/>
        <v>0</v>
      </c>
      <c r="K439" s="26" t="b">
        <f t="shared" si="4"/>
        <v>0</v>
      </c>
      <c r="L439" s="26">
        <f t="shared" si="5"/>
        <v>1</v>
      </c>
      <c r="M439" s="26" t="str">
        <f>IFERROR(__xludf.DUMMYFUNCTION("LET(
 id,A439,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L439=0,
  """",
  IFERROR(INDEX(incomplete,1),"""")"&amp;"
 )
)"),"quest.dragon_teeth.finished")</f>
        <v>quest.dragon_teeth.finished</v>
      </c>
      <c r="N439" s="26" t="str">
        <f t="array" ref="N439">IF(
 M439="",
 "",
 _xlfn.XLOOKUP(
  M439,
  tblTargets[TargetID],
  tblTargets[DisplayName],
  M439
 )
)</f>
        <v>Dragon teeth Finished</v>
      </c>
      <c r="O439" s="26" t="str">
        <f>IFERROR(__xludf.DUMMYFUNCTION("SWITCH(
 E439,
 ""BUILDING"",XLOOKUP(A439,tblBuildings[BuildingID],tblBuildings[costtext],""""),
 ""TECH"",XLOOKUP(A439,tblTechnologies[TechnologyID],tblTechnologies[costtext],""""),
 ""QUEST"",XLOOKUP(
  REGEXREPLACE(A439,""\.[^.]+$"",""""),
  tblQuests["&amp;"QuestID],
  tblQuests[Costtext],
  """"
 ),
 ""CITADEL"",XLOOKUP(A439,tblCitadel[CitadelID],tblCitadel[costtext],""""),
 ""COLLECTION"",XLOOKUP(A439,tblCollections[CollectionID],tblCollections[costtext],""""),
 ""CRAFTIFACT"",XLOOKUP(A439,tblCraftifacts[C"&amp;"raftifactID],tblCraftifacts[costtext],""""),
 """"
)"),"")</f>
        <v/>
      </c>
      <c r="P439" s="26" t="str">
        <f t="shared" si="6"/>
        <v>BLOCKED</v>
      </c>
      <c r="Q439" s="26" t="str">
        <f t="shared" si="7"/>
        <v>BLOCKED</v>
      </c>
      <c r="R439" s="26" t="str">
        <f t="array" ref="R439">IFERROR(
 _xlfn.XLOOKUP(
  A439,
  tblChecklist[TargetID],
  tblChecklist[PlayerSort],
  ""
 ),
 ""
)</f>
        <v/>
      </c>
      <c r="S439" s="26" t="str">
        <f>IFERROR(__xludf.DUMMYFUNCTION("LET(
 id,A439,
 successorIDs,
  IFERROR(
   UNIQUE(
    FILTER(
     {
      Dependencies!$A$2:$A$1000;
      QuestObjectives!$A$2:$A$1000
     },
     {
      Dependencies!$B$2:$B$1000;
      QuestObjectives!$E$2:$E$1000
     }=id
    )
   ),
   """"
  )"&amp;",
 names,
  MAP(
   successorIDs,
   LAMBDA(s,
    IF(
     s="""",
     """",
     XLOOKUP(
      s,
      $A$2:$A$1000,
      $B$2:$B$1000,
      s
     )
    )
   )
  ),
 IF(
  successorIDs="""",
  """",
  TEXTJOIN("", "",TRUE,names)
 )
)"),"The Ring of the Dark Lady Accepted")</f>
        <v>The Ring of the Dark Lady Accepted</v>
      </c>
      <c r="T439" s="26" t="str">
        <f t="array" ref="T439">_xlfn.XLOOKUP(
 A439,
 tblTargets[TargetID],
 tblTargets[CompletionMethod],
 ""
)</f>
        <v>PLAYER</v>
      </c>
      <c r="U439" s="84" t="b">
        <f>COUNTIF(tblCost[TargetID],A439)&gt;0</f>
        <v>0</v>
      </c>
      <c r="V439" s="85" t="str">
        <f t="array" ref="V439">IF(
 U439=FALSE,
 "",
 _xlfn.XLOOKUP(
  A439,
  tblCost[TargetID],
  tblCost[FundingPercent],
  ""
 )
)</f>
        <v/>
      </c>
      <c r="W439" s="26" t="str">
        <f t="array" ref="W439">IF(
 U439=FALSE,
 "",
 _xlfn.XLOOKUP(
  A439,
  tblCost[TargetID],
  tblCost[RemainingRequirements],
  ""
 )
)</f>
        <v/>
      </c>
      <c r="X439" s="45" t="str">
        <f t="array" ref="X439">IF(
 U439=FALSE,
 "N/A",
 _xlfn.XLOOKUP(
  A440,
  tblCost[TargetID],
  tblCost[TargetFunded],
  FALSE
 )
)</f>
        <v>N/A</v>
      </c>
      <c r="Y439" s="26" t="str">
        <f>IFERROR(__xludf.DUMMYFUNCTION("IFERROR(
 TEXTJOIN(
  "", "",
  TRUE,
  FILTER(
   'cost checklist'!$E$2:$E1000&amp;"": ""&amp;'cost checklist'!$G$2:$G1000,
   'cost checklist'!$B$2:$B1000=A439,
   'cost checklist'!$J$2:$J1000=FALSE
  )
 ),
 """"
)"),"")</f>
        <v/>
      </c>
      <c r="Z439" s="26" t="b">
        <f>IFERROR(__xludf.DUMMYFUNCTION("IF(
 AND(
  E439=""QUEST"",
  RIGHT(A439,9)="".accepted"",
  D439=TRUE
 ),
 XLOOKUP(
  REGEXREPLACE(A439,""\.accepted$"","""")&amp;"".finished"",
  $A$2:$A1000,
  $D$2:$D1000,
  TRUE
 )=FALSE,
 FALSE
)"),FALSE)</f>
        <v>0</v>
      </c>
      <c r="AA439" s="26" t="str">
        <f>IFERROR(__xludf.DUMMYFUNCTION("LET(
 id,A439,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Ring of the Dark Lady")</f>
        <v>The Ring of the Dark Lady</v>
      </c>
    </row>
    <row r="440" ht="14.25" customHeight="1">
      <c r="A440" s="26" t="s">
        <v>1519</v>
      </c>
      <c r="B440" s="26" t="str">
        <f t="array" ref="B440">_xlfn.XLOOKUP(
 A440,
 tblTargets[TargetID],
 tblTargets[DisplayName],
 ""
)</f>
        <v>Meet Dark Lady@6A</v>
      </c>
      <c r="C440" s="26" t="str">
        <f t="shared" si="1"/>
        <v>BLOCKED</v>
      </c>
      <c r="D440" s="26" t="b">
        <f>IFERROR(__xludf.DUMMYFUNCTION("LET(
 id,A440,
 IF(
  F440=""CHARACTER"",
  LET(
   base,REGEXREPLACE(id,""@\d+$"",""""),
   required,VALUE(REGEXEXTRACT(id,""@(\d+)$"")),
   current,XLOOKUP(
    base,
    tblPlayer[PlayerStateID],
    tblPlayer[Value],
    0
   ),
   current&gt;=required
 "&amp;" ),
  IF(
   T440=""AUTO"",
   L440=0,
   COUNTIFS(
    tblChecklist[TargetID],id,
    tblChecklist[PlayerCompleted],TRUE
   )&gt;0
  )
 )
)"),FALSE)</f>
        <v>0</v>
      </c>
      <c r="E440" s="26" t="str">
        <f t="array" ref="E440">_xlfn.XLOOKUP(
 A440,
 tblTargets[TargetID],
 tblTargets[TargetType],
 ""
)</f>
        <v>STATE</v>
      </c>
      <c r="F440" s="26" t="str">
        <f t="array" ref="F440">_xlfn.XLOOKUP(
 A440,
 tblTargets[TargetID],
 tblTargets[StateType],
 ""
)</f>
        <v>MEET</v>
      </c>
      <c r="G440" s="26">
        <f>LET(
 id,A440,
 depCount,COUNTIF(tblDependencies[TargetID],id),
 objCount,COUNTIF(tblQuestObjectives[QuestTargetID],id),
 depCount+objCount
)</f>
        <v>1</v>
      </c>
      <c r="H440" s="26">
        <f t="shared" si="2"/>
        <v>1</v>
      </c>
      <c r="I440" s="26">
        <f>IFERROR(__xludf.DUMMYFUNCTION("LET(
 id,A440,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0" s="26">
        <f t="shared" si="3"/>
        <v>0</v>
      </c>
      <c r="K440" s="26" t="b">
        <f t="shared" si="4"/>
        <v>0</v>
      </c>
      <c r="L440" s="26">
        <f t="shared" si="5"/>
        <v>1</v>
      </c>
      <c r="M440" s="26" t="str">
        <f>IFERROR(__xludf.DUMMYFUNCTION("LET(
 id,A440,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L440=0,
  """",
  IFERROR(INDEX(incomplete,1),"""")"&amp;"
 )
)"),"quest.the_ordinary_days_of_an_adventurer_chapter_2.finished")</f>
        <v>quest.the_ordinary_days_of_an_adventurer_chapter_2.finished</v>
      </c>
      <c r="N440" s="26" t="str">
        <f t="array" ref="N440">IF(
 M440="",
 "",
 _xlfn.XLOOKUP(
  M440,
  tblTargets[TargetID],
  tblTargets[DisplayName],
  M440
 )
)</f>
        <v>The Ordinary Days of an Adventurer Chapter 2 Finished</v>
      </c>
      <c r="O440" s="26" t="str">
        <f>IFERROR(__xludf.DUMMYFUNCTION("SWITCH(
 E440,
 ""BUILDING"",XLOOKUP(A440,tblBuildings[BuildingID],tblBuildings[costtext],""""),
 ""TECH"",XLOOKUP(A440,tblTechnologies[TechnologyID],tblTechnologies[costtext],""""),
 ""QUEST"",XLOOKUP(
  REGEXREPLACE(A440,""\.[^.]+$"",""""),
  tblQuests["&amp;"QuestID],
  tblQuests[Costtext],
  """"
 ),
 ""CITADEL"",XLOOKUP(A440,tblCitadel[CitadelID],tblCitadel[costtext],""""),
 ""COLLECTION"",XLOOKUP(A440,tblCollections[CollectionID],tblCollections[costtext],""""),
 ""CRAFTIFACT"",XLOOKUP(A440,tblCraftifacts[C"&amp;"raftifactID],tblCraftifacts[costtext],""""),
 """"
)"),"")</f>
        <v/>
      </c>
      <c r="P440" s="26" t="str">
        <f t="shared" si="6"/>
        <v>BLOCKED</v>
      </c>
      <c r="Q440" s="26" t="str">
        <f t="shared" si="7"/>
        <v>BLOCKED</v>
      </c>
      <c r="R440" s="26" t="str">
        <f t="array" ref="R440">IFERROR(
 _xlfn.XLOOKUP(
  A440,
  tblChecklist[TargetID],
  tblChecklist[PlayerSort],
  ""
 ),
 ""
)</f>
        <v/>
      </c>
      <c r="S440" s="26" t="str">
        <f>IFERROR(__xludf.DUMMYFUNCTION("LET(
 id,A440,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3 Accepted")</f>
        <v>The Ordinary Days of an Adventurer Chapter 3 Accepted</v>
      </c>
      <c r="T440" s="26" t="str">
        <f t="array" ref="T440">_xlfn.XLOOKUP(
 A440,
 tblTargets[TargetID],
 tblTargets[CompletionMethod],
 ""
)</f>
        <v>PLAYER</v>
      </c>
      <c r="U440" s="84" t="b">
        <f>COUNTIF(tblCost[TargetID],A440)&gt;0</f>
        <v>0</v>
      </c>
      <c r="V440" s="85" t="str">
        <f t="array" ref="V440">IF(
 U440=FALSE,
 "",
 _xlfn.XLOOKUP(
  A440,
  tblCost[TargetID],
  tblCost[FundingPercent],
  ""
 )
)</f>
        <v/>
      </c>
      <c r="W440" s="26" t="str">
        <f t="array" ref="W440">IF(
 U440=FALSE,
 "",
 _xlfn.XLOOKUP(
  A440,
  tblCost[TargetID],
  tblCost[RemainingRequirements],
  ""
 )
)</f>
        <v/>
      </c>
      <c r="X440" s="45" t="str">
        <f t="array" ref="X440">IF(
 U440=FALSE,
 "N/A",
 _xlfn.XLOOKUP(
  A441,
  tblCost[TargetID],
  tblCost[TargetFunded],
  FALSE
 )
)</f>
        <v>N/A</v>
      </c>
      <c r="Y440" s="26" t="str">
        <f>IFERROR(__xludf.DUMMYFUNCTION("IFERROR(
 TEXTJOIN(
  "", "",
  TRUE,
  FILTER(
   'cost checklist'!$E$2:$E1000&amp;"": ""&amp;'cost checklist'!$G$2:$G1000,
   'cost checklist'!$B$2:$B1000=A440,
   'cost checklist'!$J$2:$J1000=FALSE
  )
 ),
 """"
)"),"")</f>
        <v/>
      </c>
      <c r="Z440" s="26" t="b">
        <f>IFERROR(__xludf.DUMMYFUNCTION("IF(
 AND(
  E440=""QUEST"",
  RIGHT(A440,9)="".accepted"",
  D440=TRUE
 ),
 XLOOKUP(
  REGEXREPLACE(A440,""\.accepted$"","""")&amp;"".finished"",
  $A$2:$A1000,
  $D$2:$D1000,
  TRUE
 )=FALSE,
 FALSE
)"),FALSE)</f>
        <v>0</v>
      </c>
      <c r="AA440" s="26" t="str">
        <f>IFERROR(__xludf.DUMMYFUNCTION("LET(
 id,A440,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3")</f>
        <v>The Ordinary Days of an Adventurer Chapter 3</v>
      </c>
    </row>
    <row r="441" ht="14.25" customHeight="1">
      <c r="A441" s="26" t="s">
        <v>1521</v>
      </c>
      <c r="B441" s="26" t="str">
        <f t="array" ref="B441">_xlfn.XLOOKUP(
 A441,
 tblTargets[TargetID],
 tblTargets[DisplayName],
 ""
)</f>
        <v>Meet Dark Lady@6B</v>
      </c>
      <c r="C441" s="26" t="str">
        <f t="shared" si="1"/>
        <v>BLOCKED</v>
      </c>
      <c r="D441" s="26" t="b">
        <f>IFERROR(__xludf.DUMMYFUNCTION("LET(
 id,A441,
 IF(
  F441=""CHARACTER"",
  LET(
   base,REGEXREPLACE(id,""@\d+$"",""""),
   required,VALUE(REGEXEXTRACT(id,""@(\d+)$"")),
   current,XLOOKUP(
    base,
    tblPlayer[PlayerStateID],
    tblPlayer[Value],
    0
   ),
   current&gt;=required
 "&amp;" ),
  IF(
   T441=""AUTO"",
   L441=0,
   COUNTIFS(
    tblChecklist[TargetID],id,
    tblChecklist[PlayerCompleted],TRUE
   )&gt;0
  )
 )
)"),FALSE)</f>
        <v>0</v>
      </c>
      <c r="E441" s="26" t="str">
        <f t="array" ref="E441">_xlfn.XLOOKUP(
 A441,
 tblTargets[TargetID],
 tblTargets[TargetType],
 ""
)</f>
        <v>STATE</v>
      </c>
      <c r="F441" s="26" t="str">
        <f t="array" ref="F441">_xlfn.XLOOKUP(
 A441,
 tblTargets[TargetID],
 tblTargets[StateType],
 ""
)</f>
        <v>MEET</v>
      </c>
      <c r="G441" s="26">
        <f>LET(
 id,A441,
 depCount,COUNTIF(tblDependencies[TargetID],id),
 objCount,COUNTIF(tblQuestObjectives[QuestTargetID],id),
 depCount+objCount
)</f>
        <v>1</v>
      </c>
      <c r="H441" s="26">
        <f t="shared" si="2"/>
        <v>1</v>
      </c>
      <c r="I441" s="26">
        <f>IFERROR(__xludf.DUMMYFUNCTION("LET(
 id,A441,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1" s="26">
        <f t="shared" si="3"/>
        <v>0</v>
      </c>
      <c r="K441" s="26" t="b">
        <f t="shared" si="4"/>
        <v>0</v>
      </c>
      <c r="L441" s="26">
        <f t="shared" si="5"/>
        <v>1</v>
      </c>
      <c r="M441" s="26" t="str">
        <f>IFERROR(__xludf.DUMMYFUNCTION("LET(
 id,A441,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L441=0,
  """",
  IFERROR(INDEX(incomplete,1),"""")"&amp;"
 )
)"),"quest.the_ordinary_days_of_an_adventurer_chapter_3.finished")</f>
        <v>quest.the_ordinary_days_of_an_adventurer_chapter_3.finished</v>
      </c>
      <c r="N441" s="26" t="str">
        <f t="array" ref="N441">IF(
 M441="",
 "",
 _xlfn.XLOOKUP(
  M441,
  tblTargets[TargetID],
  tblTargets[DisplayName],
  M441
 )
)</f>
        <v>The Ordinary Days of an Adventurer Chapter 3 Finished</v>
      </c>
      <c r="O441" s="26" t="str">
        <f>IFERROR(__xludf.DUMMYFUNCTION("SWITCH(
 E441,
 ""BUILDING"",XLOOKUP(A441,tblBuildings[BuildingID],tblBuildings[costtext],""""),
 ""TECH"",XLOOKUP(A441,tblTechnologies[TechnologyID],tblTechnologies[costtext],""""),
 ""QUEST"",XLOOKUP(
  REGEXREPLACE(A441,""\.[^.]+$"",""""),
  tblQuests["&amp;"QuestID],
  tblQuests[Costtext],
  """"
 ),
 ""CITADEL"",XLOOKUP(A441,tblCitadel[CitadelID],tblCitadel[costtext],""""),
 ""COLLECTION"",XLOOKUP(A441,tblCollections[CollectionID],tblCollections[costtext],""""),
 ""CRAFTIFACT"",XLOOKUP(A441,tblCraftifacts[C"&amp;"raftifactID],tblCraftifacts[costtext],""""),
 """"
)"),"")</f>
        <v/>
      </c>
      <c r="P441" s="26" t="str">
        <f t="shared" si="6"/>
        <v>BLOCKED</v>
      </c>
      <c r="Q441" s="26" t="str">
        <f t="shared" si="7"/>
        <v>BLOCKED</v>
      </c>
      <c r="R441" s="26" t="str">
        <f t="array" ref="R441">IFERROR(
 _xlfn.XLOOKUP(
  A441,
  tblChecklist[TargetID],
  tblChecklist[PlayerSort],
  ""
 ),
 ""
)</f>
        <v/>
      </c>
      <c r="S441" s="26" t="str">
        <f>IFERROR(__xludf.DUMMYFUNCTION("LET(
 id,A441,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4 Accepted")</f>
        <v>The Ordinary Days of an Adventurer Chapter 4 Accepted</v>
      </c>
      <c r="T441" s="26" t="str">
        <f t="array" ref="T441">_xlfn.XLOOKUP(
 A441,
 tblTargets[TargetID],
 tblTargets[CompletionMethod],
 ""
)</f>
        <v>PLAYER</v>
      </c>
      <c r="U441" s="84" t="b">
        <f>COUNTIF(tblCost[TargetID],A441)&gt;0</f>
        <v>0</v>
      </c>
      <c r="V441" s="85" t="str">
        <f t="array" ref="V441">IF(
 U441=FALSE,
 "",
 _xlfn.XLOOKUP(
  A441,
  tblCost[TargetID],
  tblCost[FundingPercent],
  ""
 )
)</f>
        <v/>
      </c>
      <c r="W441" s="26" t="str">
        <f t="array" ref="W441">IF(
 U441=FALSE,
 "",
 _xlfn.XLOOKUP(
  A441,
  tblCost[TargetID],
  tblCost[RemainingRequirements],
  ""
 )
)</f>
        <v/>
      </c>
      <c r="X441" s="45" t="str">
        <f t="array" ref="X441">IF(
 U441=FALSE,
 "N/A",
 _xlfn.XLOOKUP(
  A442,
  tblCost[TargetID],
  tblCost[TargetFunded],
  FALSE
 )
)</f>
        <v>N/A</v>
      </c>
      <c r="Y441" s="26" t="str">
        <f>IFERROR(__xludf.DUMMYFUNCTION("IFERROR(
 TEXTJOIN(
  "", "",
  TRUE,
  FILTER(
   'cost checklist'!$E$2:$E1000&amp;"": ""&amp;'cost checklist'!$G$2:$G1000,
   'cost checklist'!$B$2:$B1000=A441,
   'cost checklist'!$J$2:$J1000=FALSE
  )
 ),
 """"
)"),"")</f>
        <v/>
      </c>
      <c r="Z441" s="26" t="b">
        <f>IFERROR(__xludf.DUMMYFUNCTION("IF(
 AND(
  E441=""QUEST"",
  RIGHT(A441,9)="".accepted"",
  D441=TRUE
 ),
 XLOOKUP(
  REGEXREPLACE(A441,""\.accepted$"","""")&amp;"".finished"",
  $A$2:$A1000,
  $D$2:$D1000,
  TRUE
 )=FALSE,
 FALSE
)"),FALSE)</f>
        <v>0</v>
      </c>
      <c r="AA441" s="26" t="str">
        <f>IFERROR(__xludf.DUMMYFUNCTION("LET(
 id,A441,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4")</f>
        <v>The Ordinary Days of an Adventurer Chapter 4</v>
      </c>
    </row>
    <row r="442" ht="14.25" customHeight="1">
      <c r="A442" s="26" t="s">
        <v>1523</v>
      </c>
      <c r="B442" s="26" t="str">
        <f t="array" ref="B442">_xlfn.XLOOKUP(
 A442,
 tblTargets[TargetID],
 tblTargets[DisplayName],
 ""
)</f>
        <v>Meet Dark Lady@F2</v>
      </c>
      <c r="C442" s="26" t="str">
        <f t="shared" si="1"/>
        <v>BLOCKED</v>
      </c>
      <c r="D442" s="26" t="b">
        <f>IFERROR(__xludf.DUMMYFUNCTION("LET(
 id,A442,
 IF(
  F442=""CHARACTER"",
  LET(
   base,REGEXREPLACE(id,""@\d+$"",""""),
   required,VALUE(REGEXEXTRACT(id,""@(\d+)$"")),
   current,XLOOKUP(
    base,
    tblPlayer[PlayerStateID],
    tblPlayer[Value],
    0
   ),
   current&gt;=required
 "&amp;" ),
  IF(
   T442=""AUTO"",
   L442=0,
   COUNTIFS(
    tblChecklist[TargetID],id,
    tblChecklist[PlayerCompleted],TRUE
   )&gt;0
  )
 )
)"),FALSE)</f>
        <v>0</v>
      </c>
      <c r="E442" s="26" t="str">
        <f t="array" ref="E442">_xlfn.XLOOKUP(
 A442,
 tblTargets[TargetID],
 tblTargets[TargetType],
 ""
)</f>
        <v>STATE</v>
      </c>
      <c r="F442" s="26" t="str">
        <f t="array" ref="F442">_xlfn.XLOOKUP(
 A442,
 tblTargets[TargetID],
 tblTargets[StateType],
 ""
)</f>
        <v>MEET</v>
      </c>
      <c r="G442" s="26">
        <f>LET(
 id,A442,
 depCount,COUNTIF(tblDependencies[TargetID],id),
 objCount,COUNTIF(tblQuestObjectives[QuestTargetID],id),
 depCount+objCount
)</f>
        <v>1</v>
      </c>
      <c r="H442" s="26">
        <f t="shared" si="2"/>
        <v>1</v>
      </c>
      <c r="I442" s="26">
        <f>IFERROR(__xludf.DUMMYFUNCTION("LET(
 id,A442,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2" s="26">
        <f t="shared" si="3"/>
        <v>0</v>
      </c>
      <c r="K442" s="26" t="b">
        <f t="shared" si="4"/>
        <v>0</v>
      </c>
      <c r="L442" s="26">
        <f t="shared" si="5"/>
        <v>1</v>
      </c>
      <c r="M442" s="26" t="str">
        <f>IFERROR(__xludf.DUMMYFUNCTION("LET(
 id,A442,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L442=0,
  """",
  IFERROR(INDEX(incomplete,1),"""")"&amp;"
 )
)"),"quest.once_upon_a_forest_chapter_6.finished")</f>
        <v>quest.once_upon_a_forest_chapter_6.finished</v>
      </c>
      <c r="N442" s="26" t="str">
        <f t="array" ref="N442">IF(
 M442="",
 "",
 _xlfn.XLOOKUP(
  M442,
  tblTargets[TargetID],
  tblTargets[DisplayName],
  M442
 )
)</f>
        <v>Once Upon a Forest Chapter 6 Finished</v>
      </c>
      <c r="O442" s="26" t="str">
        <f>IFERROR(__xludf.DUMMYFUNCTION("SWITCH(
 E442,
 ""BUILDING"",XLOOKUP(A442,tblBuildings[BuildingID],tblBuildings[costtext],""""),
 ""TECH"",XLOOKUP(A442,tblTechnologies[TechnologyID],tblTechnologies[costtext],""""),
 ""QUEST"",XLOOKUP(
  REGEXREPLACE(A442,""\.[^.]+$"",""""),
  tblQuests["&amp;"QuestID],
  tblQuests[Costtext],
  """"
 ),
 ""CITADEL"",XLOOKUP(A442,tblCitadel[CitadelID],tblCitadel[costtext],""""),
 ""COLLECTION"",XLOOKUP(A442,tblCollections[CollectionID],tblCollections[costtext],""""),
 ""CRAFTIFACT"",XLOOKUP(A442,tblCraftifacts[C"&amp;"raftifactID],tblCraftifacts[costtext],""""),
 """"
)"),"")</f>
        <v/>
      </c>
      <c r="P442" s="26" t="str">
        <f t="shared" si="6"/>
        <v>BLOCKED</v>
      </c>
      <c r="Q442" s="26" t="str">
        <f t="shared" si="7"/>
        <v>BLOCKED</v>
      </c>
      <c r="R442" s="26" t="str">
        <f t="array" ref="R442">IFERROR(
 _xlfn.XLOOKUP(
  A442,
  tblChecklist[TargetID],
  tblChecklist[PlayerSort],
  ""
 ),
 ""
)</f>
        <v/>
      </c>
      <c r="S442" s="26" t="str">
        <f>IFERROR(__xludf.DUMMYFUNCTION("LET(
 id,A442,
 successorIDs,
  IFERROR(
   UNIQUE(
    FILTER(
     {
      Dependencies!$A$2:$A$1000;
      QuestObjectives!$A$2:$A$1000
     },
     {
      Dependencies!$B$2:$B$1000;
      QuestObjectives!$E$2:$E$1000
     }=id
    )
   ),
   """"
  )"&amp;",
 names,
  MAP(
   successorIDs,
   LAMBDA(s,
    IF(
     s="""",
     """",
     XLOOKUP(
      s,
      $A$2:$A$1000,
      $B$2:$B$1000,
      s
     )
    )
   )
  ),
 IF(
  successorIDs="""",
  """",
  TEXTJOIN("", "",TRUE,names)
 )
)"),"Once Upon a Forest Chapter 7 Accepted")</f>
        <v>Once Upon a Forest Chapter 7 Accepted</v>
      </c>
      <c r="T442" s="26" t="str">
        <f t="array" ref="T442">_xlfn.XLOOKUP(
 A442,
 tblTargets[TargetID],
 tblTargets[CompletionMethod],
 ""
)</f>
        <v>PLAYER</v>
      </c>
      <c r="U442" s="84" t="b">
        <f>COUNTIF(tblCost[TargetID],A442)&gt;0</f>
        <v>0</v>
      </c>
      <c r="V442" s="85" t="str">
        <f t="array" ref="V442">IF(
 U442=FALSE,
 "",
 _xlfn.XLOOKUP(
  A442,
  tblCost[TargetID],
  tblCost[FundingPercent],
  ""
 )
)</f>
        <v/>
      </c>
      <c r="W442" s="26" t="str">
        <f t="array" ref="W442">IF(
 U442=FALSE,
 "",
 _xlfn.XLOOKUP(
  A442,
  tblCost[TargetID],
  tblCost[RemainingRequirements],
  ""
 )
)</f>
        <v/>
      </c>
      <c r="X442" s="45" t="str">
        <f t="array" ref="X442">IF(
 U442=FALSE,
 "N/A",
 _xlfn.XLOOKUP(
  A443,
  tblCost[TargetID],
  tblCost[TargetFunded],
  FALSE
 )
)</f>
        <v>N/A</v>
      </c>
      <c r="Y442" s="26" t="str">
        <f>IFERROR(__xludf.DUMMYFUNCTION("IFERROR(
 TEXTJOIN(
  "", "",
  TRUE,
  FILTER(
   'cost checklist'!$E$2:$E1000&amp;"": ""&amp;'cost checklist'!$G$2:$G1000,
   'cost checklist'!$B$2:$B1000=A442,
   'cost checklist'!$J$2:$J1000=FALSE
  )
 ),
 """"
)"),"")</f>
        <v/>
      </c>
      <c r="Z442" s="26" t="b">
        <f>IFERROR(__xludf.DUMMYFUNCTION("IF(
 AND(
  E442=""QUEST"",
  RIGHT(A442,9)="".accepted"",
  D442=TRUE
 ),
 XLOOKUP(
  REGEXREPLACE(A442,""\.accepted$"","""")&amp;"".finished"",
  $A$2:$A1000,
  $D$2:$D1000,
  TRUE
 )=FALSE,
 FALSE
)"),FALSE)</f>
        <v>0</v>
      </c>
      <c r="AA442" s="26" t="str">
        <f>IFERROR(__xludf.DUMMYFUNCTION("LET(
 id,A442,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7")</f>
        <v>Once Upon a Forest Chapter 7</v>
      </c>
    </row>
    <row r="443" ht="14.25" customHeight="1">
      <c r="A443" s="26" t="s">
        <v>1525</v>
      </c>
      <c r="B443" s="26" t="str">
        <f t="array" ref="B443">_xlfn.XLOOKUP(
 A443,
 tblTargets[TargetID],
 tblTargets[DisplayName],
 ""
)</f>
        <v>Meet Dark Lady in 6D</v>
      </c>
      <c r="C443" s="26" t="str">
        <f t="shared" si="1"/>
        <v>BLOCKED</v>
      </c>
      <c r="D443" s="26" t="b">
        <f>IFERROR(__xludf.DUMMYFUNCTION("LET(
 id,A443,
 IF(
  F443=""CHARACTER"",
  LET(
   base,REGEXREPLACE(id,""@\d+$"",""""),
   required,VALUE(REGEXEXTRACT(id,""@(\d+)$"")),
   current,XLOOKUP(
    base,
    tblPlayer[PlayerStateID],
    tblPlayer[Value],
    0
   ),
   current&gt;=required
 "&amp;" ),
  IF(
   T443=""AUTO"",
   L443=0,
   COUNTIFS(
    tblChecklist[TargetID],id,
    tblChecklist[PlayerCompleted],TRUE
   )&gt;0
  )
 )
)"),FALSE)</f>
        <v>0</v>
      </c>
      <c r="E443" s="26" t="str">
        <f t="array" ref="E443">_xlfn.XLOOKUP(
 A443,
 tblTargets[TargetID],
 tblTargets[TargetType],
 ""
)</f>
        <v>STATE</v>
      </c>
      <c r="F443" s="26" t="str">
        <f t="array" ref="F443">_xlfn.XLOOKUP(
 A443,
 tblTargets[TargetID],
 tblTargets[StateType],
 ""
)</f>
        <v>MEET</v>
      </c>
      <c r="G443" s="26">
        <f>LET(
 id,A443,
 depCount,COUNTIF(tblDependencies[TargetID],id),
 objCount,COUNTIF(tblQuestObjectives[QuestTargetID],id),
 depCount+objCount
)</f>
        <v>1</v>
      </c>
      <c r="H443" s="26">
        <f t="shared" si="2"/>
        <v>1</v>
      </c>
      <c r="I443" s="26">
        <f>IFERROR(__xludf.DUMMYFUNCTION("LET(
 id,A443,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3" s="26">
        <f t="shared" si="3"/>
        <v>0</v>
      </c>
      <c r="K443" s="26" t="b">
        <f t="shared" si="4"/>
        <v>0</v>
      </c>
      <c r="L443" s="26">
        <f t="shared" si="5"/>
        <v>1</v>
      </c>
      <c r="M443" s="26" t="str">
        <f>IFERROR(__xludf.DUMMYFUNCTION("LET(
 id,A443,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L443=0,
  """",
  IFERROR(INDEX(incomplete,1),"""")"&amp;"
 )
)"),"quest.ahead_of_time_chapter_3.accepted")</f>
        <v>quest.ahead_of_time_chapter_3.accepted</v>
      </c>
      <c r="N443" s="26" t="str">
        <f t="array" ref="N443">IF(
 M443="",
 "",
 _xlfn.XLOOKUP(
  M443,
  tblTargets[TargetID],
  tblTargets[DisplayName],
  M443
 )
)</f>
        <v>Ahead of Time Chapter 3 Accepted</v>
      </c>
      <c r="O443" s="26" t="str">
        <f>IFERROR(__xludf.DUMMYFUNCTION("SWITCH(
 E443,
 ""BUILDING"",XLOOKUP(A443,tblBuildings[BuildingID],tblBuildings[costtext],""""),
 ""TECH"",XLOOKUP(A443,tblTechnologies[TechnologyID],tblTechnologies[costtext],""""),
 ""QUEST"",XLOOKUP(
  REGEXREPLACE(A443,""\.[^.]+$"",""""),
  tblQuests["&amp;"QuestID],
  tblQuests[Costtext],
  """"
 ),
 ""CITADEL"",XLOOKUP(A443,tblCitadel[CitadelID],tblCitadel[costtext],""""),
 ""COLLECTION"",XLOOKUP(A443,tblCollections[CollectionID],tblCollections[costtext],""""),
 ""CRAFTIFACT"",XLOOKUP(A443,tblCraftifacts[C"&amp;"raftifactID],tblCraftifacts[costtext],""""),
 """"
)"),"")</f>
        <v/>
      </c>
      <c r="P443" s="26" t="str">
        <f t="shared" si="6"/>
        <v>BLOCKED</v>
      </c>
      <c r="Q443" s="26" t="str">
        <f t="shared" si="7"/>
        <v>BLOCKED</v>
      </c>
      <c r="R443" s="26" t="str">
        <f t="array" ref="R443">IFERROR(
 _xlfn.XLOOKUP(
  A443,
  tblChecklist[TargetID],
  tblChecklist[PlayerSort],
  ""
 ),
 ""
)</f>
        <v/>
      </c>
      <c r="S443" s="26" t="str">
        <f>IFERROR(__xludf.DUMMYFUNCTION("LET(
 id,A443,
 successorIDs,
  IFERROR(
   UNIQUE(
    FILTER(
     {
      Dependencies!$A$2:$A$1000;
      QuestObjectives!$A$2:$A$1000
     },
     {
      Dependencies!$B$2:$B$1000;
      QuestObjectives!$E$2:$E$1000
     }=id
    )
   ),
   """"
  )"&amp;",
 names,
  MAP(
   successorIDs,
   LAMBDA(s,
    IF(
     s="""",
     """",
     XLOOKUP(
      s,
      $A$2:$A$1000,
      $B$2:$B$1000,
      s
     )
    )
   )
  ),
 IF(
  successorIDs="""",
  """",
  TEXTJOIN("", "",TRUE,names)
 )
)"),"Ahead of Time Chapter 3 Finished")</f>
        <v>Ahead of Time Chapter 3 Finished</v>
      </c>
      <c r="T443" s="26" t="str">
        <f t="array" ref="T443">_xlfn.XLOOKUP(
 A443,
 tblTargets[TargetID],
 tblTargets[CompletionMethod],
 ""
)</f>
        <v>PLAYER</v>
      </c>
      <c r="U443" s="84" t="b">
        <f>COUNTIF(tblCost[TargetID],A443)&gt;0</f>
        <v>0</v>
      </c>
      <c r="V443" s="85" t="str">
        <f t="array" ref="V443">IF(
 U443=FALSE,
 "",
 _xlfn.XLOOKUP(
  A443,
  tblCost[TargetID],
  tblCost[FundingPercent],
  ""
 )
)</f>
        <v/>
      </c>
      <c r="W443" s="26" t="str">
        <f t="array" ref="W443">IF(
 U443=FALSE,
 "",
 _xlfn.XLOOKUP(
  A443,
  tblCost[TargetID],
  tblCost[RemainingRequirements],
  ""
 )
)</f>
        <v/>
      </c>
      <c r="X443" s="45" t="str">
        <f t="array" ref="X443">IF(
 U443=FALSE,
 "N/A",
 _xlfn.XLOOKUP(
  A444,
  tblCost[TargetID],
  tblCost[TargetFunded],
  FALSE
 )
)</f>
        <v>N/A</v>
      </c>
      <c r="Y443" s="26" t="str">
        <f>IFERROR(__xludf.DUMMYFUNCTION("IFERROR(
 TEXTJOIN(
  "", "",
  TRUE,
  FILTER(
   'cost checklist'!$E$2:$E1000&amp;"": ""&amp;'cost checklist'!$G$2:$G1000,
   'cost checklist'!$B$2:$B1000=A443,
   'cost checklist'!$J$2:$J1000=FALSE
  )
 ),
 """"
)"),"")</f>
        <v/>
      </c>
      <c r="Z443" s="26" t="b">
        <f>IFERROR(__xludf.DUMMYFUNCTION("IF(
 AND(
  E443=""QUEST"",
  RIGHT(A443,9)="".accepted"",
  D443=TRUE
 ),
 XLOOKUP(
  REGEXREPLACE(A443,""\.accepted$"","""")&amp;"".finished"",
  $A$2:$A1000,
  $D$2:$D1000,
  TRUE
 )=FALSE,
 FALSE
)"),FALSE)</f>
        <v>0</v>
      </c>
      <c r="AA443" s="26" t="str">
        <f>IFERROR(__xludf.DUMMYFUNCTION("LET(
 id,A443,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44" ht="14.25" customHeight="1">
      <c r="A444" s="26" t="s">
        <v>1528</v>
      </c>
      <c r="B444" s="26" t="str">
        <f t="array" ref="B444">_xlfn.XLOOKUP(
 A444,
 tblTargets[TargetID],
 tblTargets[DisplayName],
 ""
)</f>
        <v>Meet Fat Demon@4A</v>
      </c>
      <c r="C444" s="26" t="str">
        <f t="shared" si="1"/>
        <v>BLOCKED</v>
      </c>
      <c r="D444" s="26" t="b">
        <f>IFERROR(__xludf.DUMMYFUNCTION("LET(
 id,A444,
 IF(
  F444=""CHARACTER"",
  LET(
   base,REGEXREPLACE(id,""@\d+$"",""""),
   required,VALUE(REGEXEXTRACT(id,""@(\d+)$"")),
   current,XLOOKUP(
    base,
    tblPlayer[PlayerStateID],
    tblPlayer[Value],
    0
   ),
   current&gt;=required
 "&amp;" ),
  IF(
   T444=""AUTO"",
   L444=0,
   COUNTIFS(
    tblChecklist[TargetID],id,
    tblChecklist[PlayerCompleted],TRUE
   )&gt;0
  )
 )
)"),FALSE)</f>
        <v>0</v>
      </c>
      <c r="E444" s="26" t="str">
        <f t="array" ref="E444">_xlfn.XLOOKUP(
 A444,
 tblTargets[TargetID],
 tblTargets[TargetType],
 ""
)</f>
        <v>STATE</v>
      </c>
      <c r="F444" s="26" t="str">
        <f t="array" ref="F444">_xlfn.XLOOKUP(
 A444,
 tblTargets[TargetID],
 tblTargets[StateType],
 ""
)</f>
        <v>MEET</v>
      </c>
      <c r="G444" s="26">
        <f>LET(
 id,A444,
 depCount,COUNTIF(tblDependencies[TargetID],id),
 objCount,COUNTIF(tblQuestObjectives[QuestTargetID],id),
 depCount+objCount
)</f>
        <v>1</v>
      </c>
      <c r="H444" s="26">
        <f t="shared" si="2"/>
        <v>1</v>
      </c>
      <c r="I444" s="26">
        <f>IFERROR(__xludf.DUMMYFUNCTION("LET(
 id,A444,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4" s="26">
        <f t="shared" si="3"/>
        <v>0</v>
      </c>
      <c r="K444" s="26" t="b">
        <f t="shared" si="4"/>
        <v>0</v>
      </c>
      <c r="L444" s="26">
        <f t="shared" si="5"/>
        <v>1</v>
      </c>
      <c r="M444" s="26" t="str">
        <f>IFERROR(__xludf.DUMMYFUNCTION("LET(
 id,A444,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L444=0,
  """",
  IFERROR(INDEX(incomplete,1),"""")"&amp;"
 )
)"),"building.dungeon@4")</f>
        <v>building.dungeon@4</v>
      </c>
      <c r="N444" s="26" t="str">
        <f t="array" ref="N444">IF(
 M444="",
 "",
 _xlfn.XLOOKUP(
  M444,
  tblTargets[TargetID],
  tblTargets[DisplayName],
  M444
 )
)</f>
        <v>Dungeon Lv 4</v>
      </c>
      <c r="O444" s="26" t="str">
        <f>IFERROR(__xludf.DUMMYFUNCTION("SWITCH(
 E444,
 ""BUILDING"",XLOOKUP(A444,tblBuildings[BuildingID],tblBuildings[costtext],""""),
 ""TECH"",XLOOKUP(A444,tblTechnologies[TechnologyID],tblTechnologies[costtext],""""),
 ""QUEST"",XLOOKUP(
  REGEXREPLACE(A444,""\.[^.]+$"",""""),
  tblQuests["&amp;"QuestID],
  tblQuests[Costtext],
  """"
 ),
 ""CITADEL"",XLOOKUP(A444,tblCitadel[CitadelID],tblCitadel[costtext],""""),
 ""COLLECTION"",XLOOKUP(A444,tblCollections[CollectionID],tblCollections[costtext],""""),
 ""CRAFTIFACT"",XLOOKUP(A444,tblCraftifacts[C"&amp;"raftifactID],tblCraftifacts[costtext],""""),
 """"
)"),"")</f>
        <v/>
      </c>
      <c r="P444" s="26" t="str">
        <f t="shared" si="6"/>
        <v>BLOCKED</v>
      </c>
      <c r="Q444" s="26" t="str">
        <f t="shared" si="7"/>
        <v>BLOCKED</v>
      </c>
      <c r="R444" s="26" t="str">
        <f t="array" ref="R444">IFERROR(
 _xlfn.XLOOKUP(
  A444,
  tblChecklist[TargetID],
  tblChecklist[PlayerSort],
  ""
 ),
 ""
)</f>
        <v/>
      </c>
      <c r="S444" s="26" t="str">
        <f>IFERROR(__xludf.DUMMYFUNCTION("LET(
 id,A444,
 successorIDs,
  IFERROR(
   UNIQUE(
    FILTER(
     {
      Dependencies!$A$2:$A$1000;
      QuestObjectives!$A$2:$A$1000
     },
     {
      Dependencies!$B$2:$B$1000;
      QuestObjectives!$E$2:$E$1000
     }=id
    )
   ),
   """"
  )"&amp;",
 names,
  MAP(
   successorIDs,
   LAMBDA(s,
    IF(
     s="""",
     """",
     XLOOKUP(
      s,
      $A$2:$A$1000,
      $B$2:$B$1000,
      s
     )
    )
   )
  ),
 IF(
  successorIDs="""",
  """",
  TEXTJOIN("", "",TRUE,names)
 )
)"),"Culinary Battle Accepted")</f>
        <v>Culinary Battle Accepted</v>
      </c>
      <c r="T444" s="26" t="str">
        <f t="array" ref="T444">_xlfn.XLOOKUP(
 A444,
 tblTargets[TargetID],
 tblTargets[CompletionMethod],
 ""
)</f>
        <v>PLAYER</v>
      </c>
      <c r="U444" s="84" t="b">
        <f>COUNTIF(tblCost[TargetID],A444)&gt;0</f>
        <v>0</v>
      </c>
      <c r="V444" s="85" t="str">
        <f t="array" ref="V444">IF(
 U444=FALSE,
 "",
 _xlfn.XLOOKUP(
  A444,
  tblCost[TargetID],
  tblCost[FundingPercent],
  ""
 )
)</f>
        <v/>
      </c>
      <c r="W444" s="26" t="str">
        <f t="array" ref="W444">IF(
 U444=FALSE,
 "",
 _xlfn.XLOOKUP(
  A444,
  tblCost[TargetID],
  tblCost[RemainingRequirements],
  ""
 )
)</f>
        <v/>
      </c>
      <c r="X444" s="45" t="str">
        <f t="array" ref="X444">IF(
 U444=FALSE,
 "N/A",
 _xlfn.XLOOKUP(
  A445,
  tblCost[TargetID],
  tblCost[TargetFunded],
  FALSE
 )
)</f>
        <v>N/A</v>
      </c>
      <c r="Y444" s="26" t="str">
        <f>IFERROR(__xludf.DUMMYFUNCTION("IFERROR(
 TEXTJOIN(
  "", "",
  TRUE,
  FILTER(
   'cost checklist'!$E$2:$E1000&amp;"": ""&amp;'cost checklist'!$G$2:$G1000,
   'cost checklist'!$B$2:$B1000=A444,
   'cost checklist'!$J$2:$J1000=FALSE
  )
 ),
 """"
)"),"")</f>
        <v/>
      </c>
      <c r="Z444" s="26" t="b">
        <f>IFERROR(__xludf.DUMMYFUNCTION("IF(
 AND(
  E444=""QUEST"",
  RIGHT(A444,9)="".accepted"",
  D444=TRUE
 ),
 XLOOKUP(
  REGEXREPLACE(A444,""\.accepted$"","""")&amp;"".finished"",
  $A$2:$A1000,
  $D$2:$D1000,
  TRUE
 )=FALSE,
 FALSE
)"),FALSE)</f>
        <v>0</v>
      </c>
      <c r="AA444" s="26" t="str">
        <f>IFERROR(__xludf.DUMMYFUNCTION("LET(
 id,A444,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)"),"Culinary Battle")</f>
        <v>Culinary Battle</v>
      </c>
    </row>
    <row r="445" ht="14.25" customHeight="1">
      <c r="A445" s="26" t="s">
        <v>1530</v>
      </c>
      <c r="B445" s="26" t="str">
        <f t="array" ref="B445">_xlfn.XLOOKUP(
 A445,
 tblTargets[TargetID],
 tblTargets[DisplayName],
 ""
)</f>
        <v>Meet Foodie Demon@F2</v>
      </c>
      <c r="C445" s="26" t="str">
        <f t="shared" si="1"/>
        <v>BLOCKED</v>
      </c>
      <c r="D445" s="26" t="b">
        <f>IFERROR(__xludf.DUMMYFUNCTION("LET(
 id,A445,
 IF(
  F445=""CHARACTER"",
  LET(
   base,REGEXREPLACE(id,""@\d+$"",""""),
   required,VALUE(REGEXEXTRACT(id,""@(\d+)$"")),
   current,XLOOKUP(
    base,
    tblPlayer[PlayerStateID],
    tblPlayer[Value],
    0
   ),
   current&gt;=required
 "&amp;" ),
  IF(
   T445=""AUTO"",
   L445=0,
   COUNTIFS(
    tblChecklist[TargetID],id,
    tblChecklist[PlayerCompleted],TRUE
   )&gt;0
  )
 )
)"),FALSE)</f>
        <v>0</v>
      </c>
      <c r="E445" s="26" t="str">
        <f t="array" ref="E445">_xlfn.XLOOKUP(
 A445,
 tblTargets[TargetID],
 tblTargets[TargetType],
 ""
)</f>
        <v>STATE</v>
      </c>
      <c r="F445" s="26" t="str">
        <f t="array" ref="F445">_xlfn.XLOOKUP(
 A445,
 tblTargets[TargetID],
 tblTargets[StateType],
 ""
)</f>
        <v>MEET</v>
      </c>
      <c r="G445" s="26">
        <f>LET(
 id,A445,
 depCount,COUNTIF(tblDependencies[TargetID],id),
 objCount,COUNTIF(tblQuestObjectives[QuestTargetID],id),
 depCount+objCount
)</f>
        <v>1</v>
      </c>
      <c r="H445" s="26">
        <f t="shared" si="2"/>
        <v>1</v>
      </c>
      <c r="I445" s="26">
        <f>IFERROR(__xludf.DUMMYFUNCTION("LET(
 id,A445,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5" s="26">
        <f t="shared" si="3"/>
        <v>0</v>
      </c>
      <c r="K445" s="26" t="b">
        <f t="shared" si="4"/>
        <v>0</v>
      </c>
      <c r="L445" s="26">
        <f t="shared" si="5"/>
        <v>1</v>
      </c>
      <c r="M445" s="26" t="str">
        <f>IFERROR(__xludf.DUMMYFUNCTION("LET(
 id,A445,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L445=0,
  """",
  IFERROR(INDEX(incomplete,1),"""")"&amp;"
 )
)"),"quest.once_upon_a_forest_chapter_12.accepted")</f>
        <v>quest.once_upon_a_forest_chapter_12.accepted</v>
      </c>
      <c r="N445" s="26" t="str">
        <f t="array" ref="N445">IF(
 M445="",
 "",
 _xlfn.XLOOKUP(
  M445,
  tblTargets[TargetID],
  tblTargets[DisplayName],
  M445
 )
)</f>
        <v>Once Upon a Forest Chapter 12 Accepted</v>
      </c>
      <c r="O445" s="26" t="str">
        <f>IFERROR(__xludf.DUMMYFUNCTION("SWITCH(
 E445,
 ""BUILDING"",XLOOKUP(A445,tblBuildings[BuildingID],tblBuildings[costtext],""""),
 ""TECH"",XLOOKUP(A445,tblTechnologies[TechnologyID],tblTechnologies[costtext],""""),
 ""QUEST"",XLOOKUP(
  REGEXREPLACE(A445,""\.[^.]+$"",""""),
  tblQuests["&amp;"QuestID],
  tblQuests[Costtext],
  """"
 ),
 ""CITADEL"",XLOOKUP(A445,tblCitadel[CitadelID],tblCitadel[costtext],""""),
 ""COLLECTION"",XLOOKUP(A445,tblCollections[CollectionID],tblCollections[costtext],""""),
 ""CRAFTIFACT"",XLOOKUP(A445,tblCraftifacts[C"&amp;"raftifactID],tblCraftifacts[costtext],""""),
 """"
)"),"")</f>
        <v/>
      </c>
      <c r="P445" s="26" t="str">
        <f t="shared" si="6"/>
        <v>BLOCKED</v>
      </c>
      <c r="Q445" s="26" t="str">
        <f t="shared" si="7"/>
        <v>BLOCKED</v>
      </c>
      <c r="R445" s="26" t="str">
        <f t="array" ref="R445">IFERROR(
 _xlfn.XLOOKUP(
  A445,
  tblChecklist[TargetID],
  tblChecklist[PlayerSort],
  ""
 ),
 ""
)</f>
        <v/>
      </c>
      <c r="S445" s="26" t="str">
        <f>IFERROR(__xludf.DUMMYFUNCTION("LET(
 id,A445,
 successorIDs,
  IFERROR(
   UNIQUE(
    FILTER(
     {
      Dependencies!$A$2:$A$1000;
      QuestObjectives!$A$2:$A$1000
     },
     {
      Dependencies!$B$2:$B$1000;
      QuestObjectives!$E$2:$E$1000
     }=id
    )
   ),
   """"
  )"&amp;",
 names,
  MAP(
   successorIDs,
   LAMBDA(s,
    IF(
     s="""",
     """",
     XLOOKUP(
      s,
      $A$2:$A$1000,
      $B$2:$B$1000,
      s
     )
    )
   )
  ),
 IF(
  successorIDs="""",
  """",
  TEXTJOIN("", "",TRUE,names)
 )
)"),"Once Upon a Forest Chapter 13 Accepted, Once Upon a Forest Chapter 12 Finished")</f>
        <v>Once Upon a Forest Chapter 13 Accepted, Once Upon a Forest Chapter 12 Finished</v>
      </c>
      <c r="T445" s="26" t="str">
        <f t="array" ref="T445">_xlfn.XLOOKUP(
 A445,
 tblTargets[TargetID],
 tblTargets[CompletionMethod],
 ""
)</f>
        <v>PLAYER</v>
      </c>
      <c r="U445" s="84" t="b">
        <f>COUNTIF(tblCost[TargetID],A445)&gt;0</f>
        <v>0</v>
      </c>
      <c r="V445" s="85" t="str">
        <f t="array" ref="V445">IF(
 U445=FALSE,
 "",
 _xlfn.XLOOKUP(
  A445,
  tblCost[TargetID],
  tblCost[FundingPercent],
  ""
 )
)</f>
        <v/>
      </c>
      <c r="W445" s="26" t="str">
        <f t="array" ref="W445">IF(
 U445=FALSE,
 "",
 _xlfn.XLOOKUP(
  A445,
  tblCost[TargetID],
  tblCost[RemainingRequirements],
  ""
 )
)</f>
        <v/>
      </c>
      <c r="X445" s="45" t="str">
        <f t="array" ref="X445">IF(
 U445=FALSE,
 "N/A",
 _xlfn.XLOOKUP(
  A446,
  tblCost[TargetID],
  tblCost[TargetFunded],
  FALSE
 )
)</f>
        <v>N/A</v>
      </c>
      <c r="Y445" s="26" t="str">
        <f>IFERROR(__xludf.DUMMYFUNCTION("IFERROR(
 TEXTJOIN(
  "", "",
  TRUE,
  FILTER(
   'cost checklist'!$E$2:$E1000&amp;"": ""&amp;'cost checklist'!$G$2:$G1000,
   'cost checklist'!$B$2:$B1000=A445,
   'cost checklist'!$J$2:$J1000=FALSE
  )
 ),
 """"
)"),"")</f>
        <v/>
      </c>
      <c r="Z445" s="26" t="b">
        <f>IFERROR(__xludf.DUMMYFUNCTION("IF(
 AND(
  E445=""QUEST"",
  RIGHT(A445,9)="".accepted"",
  D445=TRUE
 ),
 XLOOKUP(
  REGEXREPLACE(A445,""\.accepted$"","""")&amp;"".finished"",
  $A$2:$A1000,
  $D$2:$D1000,
  TRUE
 )=FALSE,
 FALSE
)"),FALSE)</f>
        <v>0</v>
      </c>
      <c r="AA445" s="26" t="str">
        <f>IFERROR(__xludf.DUMMYFUNCTION("LET(
 id,A445,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13")</f>
        <v>Once Upon a Forest Chapter 13</v>
      </c>
    </row>
    <row r="446" ht="14.25" customHeight="1">
      <c r="A446" s="26" t="s">
        <v>1532</v>
      </c>
      <c r="B446" s="26" t="str">
        <f t="array" ref="B446">_xlfn.XLOOKUP(
 A446,
 tblTargets[TargetID],
 tblTargets[DisplayName],
 ""
)</f>
        <v>Meet Forest Fairy@F2</v>
      </c>
      <c r="C446" s="26" t="str">
        <f t="shared" si="1"/>
        <v>BLOCKED</v>
      </c>
      <c r="D446" s="26" t="b">
        <f>IFERROR(__xludf.DUMMYFUNCTION("LET(
 id,A446,
 IF(
  F446=""CHARACTER"",
  LET(
   base,REGEXREPLACE(id,""@\d+$"",""""),
   required,VALUE(REGEXEXTRACT(id,""@(\d+)$"")),
   current,XLOOKUP(
    base,
    tblPlayer[PlayerStateID],
    tblPlayer[Value],
    0
   ),
   current&gt;=required
 "&amp;" ),
  IF(
   T446=""AUTO"",
   L446=0,
   COUNTIFS(
    tblChecklist[TargetID],id,
    tblChecklist[PlayerCompleted],TRUE
   )&gt;0
  )
 )
)"),FALSE)</f>
        <v>0</v>
      </c>
      <c r="E446" s="26" t="str">
        <f t="array" ref="E446">_xlfn.XLOOKUP(
 A446,
 tblTargets[TargetID],
 tblTargets[TargetType],
 ""
)</f>
        <v>STATE</v>
      </c>
      <c r="F446" s="26" t="str">
        <f t="array" ref="F446">_xlfn.XLOOKUP(
 A446,
 tblTargets[TargetID],
 tblTargets[StateType],
 ""
)</f>
        <v>MEET</v>
      </c>
      <c r="G446" s="26">
        <f>LET(
 id,A446,
 depCount,COUNTIF(tblDependencies[TargetID],id),
 objCount,COUNTIF(tblQuestObjectives[QuestTargetID],id),
 depCount+objCount
)</f>
        <v>1</v>
      </c>
      <c r="H446" s="26">
        <f t="shared" si="2"/>
        <v>1</v>
      </c>
      <c r="I446" s="26">
        <f>IFERROR(__xludf.DUMMYFUNCTION("LET(
 id,A446,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6" s="26">
        <f t="shared" si="3"/>
        <v>0</v>
      </c>
      <c r="K446" s="26" t="b">
        <f t="shared" si="4"/>
        <v>0</v>
      </c>
      <c r="L446" s="26">
        <f t="shared" si="5"/>
        <v>1</v>
      </c>
      <c r="M446" s="26" t="str">
        <f>IFERROR(__xludf.DUMMYFUNCTION("LET(
 id,A446,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L446=0,
  """",
  IFERROR(INDEX(incomplete,1),"""")"&amp;"
 )
)"),"quest.once_upon_a_forest_chapter_5.accepted")</f>
        <v>quest.once_upon_a_forest_chapter_5.accepted</v>
      </c>
      <c r="N446" s="26" t="str">
        <f t="array" ref="N446">IF(
 M446="",
 "",
 _xlfn.XLOOKUP(
  M446,
  tblTargets[TargetID],
  tblTargets[DisplayName],
  M446
 )
)</f>
        <v>Once Upon a Forest Chapter 5 Accepted</v>
      </c>
      <c r="O446" s="26" t="str">
        <f>IFERROR(__xludf.DUMMYFUNCTION("SWITCH(
 E446,
 ""BUILDING"",XLOOKUP(A446,tblBuildings[BuildingID],tblBuildings[costtext],""""),
 ""TECH"",XLOOKUP(A446,tblTechnologies[TechnologyID],tblTechnologies[costtext],""""),
 ""QUEST"",XLOOKUP(
  REGEXREPLACE(A446,""\.[^.]+$"",""""),
  tblQuests["&amp;"QuestID],
  tblQuests[Costtext],
  """"
 ),
 ""CITADEL"",XLOOKUP(A446,tblCitadel[CitadelID],tblCitadel[costtext],""""),
 ""COLLECTION"",XLOOKUP(A446,tblCollections[CollectionID],tblCollections[costtext],""""),
 ""CRAFTIFACT"",XLOOKUP(A446,tblCraftifacts[C"&amp;"raftifactID],tblCraftifacts[costtext],""""),
 """"
)"),"")</f>
        <v/>
      </c>
      <c r="P446" s="26" t="str">
        <f t="shared" si="6"/>
        <v>BLOCKED</v>
      </c>
      <c r="Q446" s="26" t="str">
        <f t="shared" si="7"/>
        <v>BLOCKED</v>
      </c>
      <c r="R446" s="26" t="str">
        <f t="array" ref="R446">IFERROR(
 _xlfn.XLOOKUP(
  A446,
  tblChecklist[TargetID],
  tblChecklist[PlayerSort],
  ""
 ),
 ""
)</f>
        <v/>
      </c>
      <c r="S446" s="26" t="str">
        <f>IFERROR(__xludf.DUMMYFUNCTION("LET(
 id,A446,
 successorIDs,
  IFERROR(
   UNIQUE(
    FILTER(
     {
      Dependencies!$A$2:$A$1000;
      QuestObjectives!$A$2:$A$1000
     },
     {
      Dependencies!$B$2:$B$1000;
      QuestObjectives!$E$2:$E$1000
     }=id
    )
   ),
   """"
  )"&amp;",
 names,
  MAP(
   successorIDs,
   LAMBDA(s,
    IF(
     s="""",
     """",
     XLOOKUP(
      s,
      $A$2:$A$1000,
      $B$2:$B$1000,
      s
     )
    )
   )
  ),
 IF(
  successorIDs="""",
  """",
  TEXTJOIN("", "",TRUE,names)
 )
)"),"Once Upon a Forest Chapter 6 Accepted")</f>
        <v>Once Upon a Forest Chapter 6 Accepted</v>
      </c>
      <c r="T446" s="26" t="str">
        <f t="array" ref="T446">_xlfn.XLOOKUP(
 A446,
 tblTargets[TargetID],
 tblTargets[CompletionMethod],
 ""
)</f>
        <v>PLAYER</v>
      </c>
      <c r="U446" s="84" t="b">
        <f>COUNTIF(tblCost[TargetID],A446)&gt;0</f>
        <v>0</v>
      </c>
      <c r="V446" s="85" t="str">
        <f t="array" ref="V446">IF(
 U446=FALSE,
 "",
 _xlfn.XLOOKUP(
  A446,
  tblCost[TargetID],
  tblCost[FundingPercent],
  ""
 )
)</f>
        <v/>
      </c>
      <c r="W446" s="26" t="str">
        <f t="array" ref="W446">IF(
 U446=FALSE,
 "",
 _xlfn.XLOOKUP(
  A446,
  tblCost[TargetID],
  tblCost[RemainingRequirements],
  ""
 )
)</f>
        <v/>
      </c>
      <c r="X446" s="45" t="str">
        <f t="array" ref="X446">IF(
 U446=FALSE,
 "N/A",
 _xlfn.XLOOKUP(
  A447,
  tblCost[TargetID],
  tblCost[TargetFunded],
  FALSE
 )
)</f>
        <v>N/A</v>
      </c>
      <c r="Y446" s="26" t="str">
        <f>IFERROR(__xludf.DUMMYFUNCTION("IFERROR(
 TEXTJOIN(
  "", "",
  TRUE,
  FILTER(
   'cost checklist'!$E$2:$E1000&amp;"": ""&amp;'cost checklist'!$G$2:$G1000,
   'cost checklist'!$B$2:$B1000=A446,
   'cost checklist'!$J$2:$J1000=FALSE
  )
 ),
 """"
)"),"")</f>
        <v/>
      </c>
      <c r="Z446" s="26" t="b">
        <f>IFERROR(__xludf.DUMMYFUNCTION("IF(
 AND(
  E446=""QUEST"",
  RIGHT(A446,9)="".accepted"",
  D446=TRUE
 ),
 XLOOKUP(
  REGEXREPLACE(A446,""\.accepted$"","""")&amp;"".finished"",
  $A$2:$A1000,
  $D$2:$D1000,
  TRUE
 )=FALSE,
 FALSE
)"),FALSE)</f>
        <v>0</v>
      </c>
      <c r="AA446" s="26" t="str">
        <f>IFERROR(__xludf.DUMMYFUNCTION("LET(
 id,A446,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6")</f>
        <v>Once Upon a Forest Chapter 6</v>
      </c>
    </row>
    <row r="447" ht="14.25" customHeight="1">
      <c r="A447" s="26" t="s">
        <v>1534</v>
      </c>
      <c r="B447" s="26" t="str">
        <f t="array" ref="B447">_xlfn.XLOOKUP(
 A447,
 tblTargets[TargetID],
 tblTargets[DisplayName],
 ""
)</f>
        <v>Visit Dungeon@F1</v>
      </c>
      <c r="C447" s="26" t="str">
        <f t="shared" si="1"/>
        <v>BLOCKED</v>
      </c>
      <c r="D447" s="26" t="b">
        <f>IFERROR(__xludf.DUMMYFUNCTION("LET(
 id,A447,
 IF(
  F447=""CHARACTER"",
  LET(
   base,REGEXREPLACE(id,""@\d+$"",""""),
   required,VALUE(REGEXEXTRACT(id,""@(\d+)$"")),
   current,XLOOKUP(
    base,
    tblPlayer[PlayerStateID],
    tblPlayer[Value],
    0
   ),
   current&gt;=required
 "&amp;" ),
  IF(
   T447=""AUTO"",
   L447=0,
   COUNTIFS(
    tblChecklist[TargetID],id,
    tblChecklist[PlayerCompleted],TRUE
   )&gt;0
  )
 )
)"),FALSE)</f>
        <v>0</v>
      </c>
      <c r="E447" s="26" t="str">
        <f t="array" ref="E447">_xlfn.XLOOKUP(
 A447,
 tblTargets[TargetID],
 tblTargets[TargetType],
 ""
)</f>
        <v>STATE</v>
      </c>
      <c r="F447" s="26" t="str">
        <f t="array" ref="F447">_xlfn.XLOOKUP(
 A447,
 tblTargets[TargetID],
 tblTargets[StateType],
 ""
)</f>
        <v>MEET</v>
      </c>
      <c r="G447" s="26">
        <f>LET(
 id,A447,
 depCount,COUNTIF(tblDependencies[TargetID],id),
 objCount,COUNTIF(tblQuestObjectives[QuestTargetID],id),
 depCount+objCount
)</f>
        <v>1</v>
      </c>
      <c r="H447" s="26">
        <f t="shared" si="2"/>
        <v>1</v>
      </c>
      <c r="I447" s="26">
        <f>IFERROR(__xludf.DUMMYFUNCTION("LET(
 id,A447,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7" s="26">
        <f t="shared" si="3"/>
        <v>0</v>
      </c>
      <c r="K447" s="26" t="b">
        <f t="shared" si="4"/>
        <v>0</v>
      </c>
      <c r="L447" s="26">
        <f t="shared" si="5"/>
        <v>1</v>
      </c>
      <c r="M447" s="26" t="str">
        <f>IFERROR(__xludf.DUMMYFUNCTION("LET(
 id,A447,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L447=0,
  """",
  IFERROR(INDEX(incomplete,1),"""")"&amp;"
 )
)"),"quest.once_upon_a_forest_chapter_9.accepted")</f>
        <v>quest.once_upon_a_forest_chapter_9.accepted</v>
      </c>
      <c r="N447" s="26" t="str">
        <f t="array" ref="N447">IF(
 M447="",
 "",
 _xlfn.XLOOKUP(
  M447,
  tblTargets[TargetID],
  tblTargets[DisplayName],
  M447
 )
)</f>
        <v>Once Upon a Forest Chapter 9 Accepted</v>
      </c>
      <c r="O447" s="26" t="str">
        <f>IFERROR(__xludf.DUMMYFUNCTION("SWITCH(
 E447,
 ""BUILDING"",XLOOKUP(A447,tblBuildings[BuildingID],tblBuildings[costtext],""""),
 ""TECH"",XLOOKUP(A447,tblTechnologies[TechnologyID],tblTechnologies[costtext],""""),
 ""QUEST"",XLOOKUP(
  REGEXREPLACE(A447,""\.[^.]+$"",""""),
  tblQuests["&amp;"QuestID],
  tblQuests[Costtext],
  """"
 ),
 ""CITADEL"",XLOOKUP(A447,tblCitadel[CitadelID],tblCitadel[costtext],""""),
 ""COLLECTION"",XLOOKUP(A447,tblCollections[CollectionID],tblCollections[costtext],""""),
 ""CRAFTIFACT"",XLOOKUP(A447,tblCraftifacts[C"&amp;"raftifactID],tblCraftifacts[costtext],""""),
 """"
)"),"")</f>
        <v/>
      </c>
      <c r="P447" s="26" t="str">
        <f t="shared" si="6"/>
        <v>BLOCKED</v>
      </c>
      <c r="Q447" s="26" t="str">
        <f t="shared" si="7"/>
        <v>BLOCKED</v>
      </c>
      <c r="R447" s="26" t="str">
        <f t="array" ref="R447">IFERROR(
 _xlfn.XLOOKUP(
  A447,
  tblChecklist[TargetID],
  tblChecklist[PlayerSort],
  ""
 ),
 ""
)</f>
        <v/>
      </c>
      <c r="S447" s="26" t="str">
        <f>IFERROR(__xludf.DUMMYFUNCTION("LET(
 id,A447,
 successorIDs,
  IFERROR(
   UNIQUE(
    FILTER(
     {
      Dependencies!$A$2:$A$1000;
      QuestObjectives!$A$2:$A$1000
     },
     {
      Dependencies!$B$2:$B$1000;
      QuestObjectives!$E$2:$E$1000
     }=id
    )
   ),
   """"
  )"&amp;",
 names,
  MAP(
   successorIDs,
   LAMBDA(s,
    IF(
     s="""",
     """",
     XLOOKUP(
      s,
      $A$2:$A$1000,
      $B$2:$B$1000,
      s
     )
    )
   )
  ),
 IF(
  successorIDs="""",
  """",
  TEXTJOIN("", "",TRUE,names)
 )
)"),"Once Upon a Forest Chapter 10 Accepted")</f>
        <v>Once Upon a Forest Chapter 10 Accepted</v>
      </c>
      <c r="T447" s="26" t="str">
        <f t="array" ref="T447">_xlfn.XLOOKUP(
 A447,
 tblTargets[TargetID],
 tblTargets[CompletionMethod],
 ""
)</f>
        <v>PLAYER</v>
      </c>
      <c r="U447" s="84" t="b">
        <f>COUNTIF(tblCost[TargetID],A447)&gt;0</f>
        <v>0</v>
      </c>
      <c r="V447" s="85" t="str">
        <f t="array" ref="V447">IF(
 U447=FALSE,
 "",
 _xlfn.XLOOKUP(
  A447,
  tblCost[TargetID],
  tblCost[FundingPercent],
  ""
 )
)</f>
        <v/>
      </c>
      <c r="W447" s="26" t="str">
        <f t="array" ref="W447">IF(
 U447=FALSE,
 "",
 _xlfn.XLOOKUP(
  A447,
  tblCost[TargetID],
  tblCost[RemainingRequirements],
  ""
 )
)</f>
        <v/>
      </c>
      <c r="X447" s="45" t="str">
        <f t="array" ref="X447">IF(
 U447=FALSE,
 "N/A",
 _xlfn.XLOOKUP(
  A448,
  tblCost[TargetID],
  tblCost[TargetFunded],
  FALSE
 )
)</f>
        <v>N/A</v>
      </c>
      <c r="Y447" s="26" t="str">
        <f>IFERROR(__xludf.DUMMYFUNCTION("IFERROR(
 TEXTJOIN(
  "", "",
  TRUE,
  FILTER(
   'cost checklist'!$E$2:$E1000&amp;"": ""&amp;'cost checklist'!$G$2:$G1000,
   'cost checklist'!$B$2:$B1000=A447,
   'cost checklist'!$J$2:$J1000=FALSE
  )
 ),
 """"
)"),"")</f>
        <v/>
      </c>
      <c r="Z447" s="26" t="b">
        <f>IFERROR(__xludf.DUMMYFUNCTION("IF(
 AND(
  E447=""QUEST"",
  RIGHT(A447,9)="".accepted"",
  D447=TRUE
 ),
 XLOOKUP(
  REGEXREPLACE(A447,""\.accepted$"","""")&amp;"".finished"",
  $A$2:$A1000,
  $D$2:$D1000,
  TRUE
 )=FALSE,
 FALSE
)"),FALSE)</f>
        <v>0</v>
      </c>
      <c r="AA447" s="26" t="str">
        <f>IFERROR(__xludf.DUMMYFUNCTION("LET(
 id,A447,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10")</f>
        <v>Once Upon a Forest Chapter 10</v>
      </c>
    </row>
    <row r="448" ht="14.25" customHeight="1">
      <c r="A448" s="26" t="s">
        <v>1538</v>
      </c>
      <c r="B448" s="26" t="str">
        <f t="array" ref="B448">_xlfn.XLOOKUP(
 A448,
 tblTargets[TargetID],
 tblTargets[DisplayName],
 ""
)</f>
        <v>Meet Inventor@5B</v>
      </c>
      <c r="C448" s="26" t="str">
        <f t="shared" si="1"/>
        <v>BLOCKED</v>
      </c>
      <c r="D448" s="26" t="b">
        <f>IFERROR(__xludf.DUMMYFUNCTION("LET(
 id,A448,
 IF(
  F448=""CHARACTER"",
  LET(
   base,REGEXREPLACE(id,""@\d+$"",""""),
   required,VALUE(REGEXEXTRACT(id,""@(\d+)$"")),
   current,XLOOKUP(
    base,
    tblPlayer[PlayerStateID],
    tblPlayer[Value],
    0
   ),
   current&gt;=required
 "&amp;" ),
  IF(
   T448=""AUTO"",
   L448=0,
   COUNTIFS(
    tblChecklist[TargetID],id,
    tblChecklist[PlayerCompleted],TRUE
   )&gt;0
  )
 )
)"),FALSE)</f>
        <v>0</v>
      </c>
      <c r="E448" s="26" t="str">
        <f t="array" ref="E448">_xlfn.XLOOKUP(
 A448,
 tblTargets[TargetID],
 tblTargets[TargetType],
 ""
)</f>
        <v>STATE</v>
      </c>
      <c r="F448" s="26" t="str">
        <f t="array" ref="F448">_xlfn.XLOOKUP(
 A448,
 tblTargets[TargetID],
 tblTargets[StateType],
 ""
)</f>
        <v>MEET</v>
      </c>
      <c r="G448" s="26">
        <f>LET(
 id,A448,
 depCount,COUNTIF(tblDependencies[TargetID],id),
 objCount,COUNTIF(tblQuestObjectives[QuestTargetID],id),
 depCount+objCount
)</f>
        <v>1</v>
      </c>
      <c r="H448" s="26">
        <f t="shared" si="2"/>
        <v>1</v>
      </c>
      <c r="I448" s="26">
        <f>IFERROR(__xludf.DUMMYFUNCTION("LET(
 id,A448,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8" s="26">
        <f t="shared" si="3"/>
        <v>0</v>
      </c>
      <c r="K448" s="26" t="b">
        <f t="shared" si="4"/>
        <v>0</v>
      </c>
      <c r="L448" s="26">
        <f t="shared" si="5"/>
        <v>1</v>
      </c>
      <c r="M448" s="26" t="str">
        <f>IFERROR(__xludf.DUMMYFUNCTION("LET(
 id,A448,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L448=0,
  """",
  IFERROR(INDEX(incomplete,1),"""")"&amp;"
 )
)"),"quest.once_upon_a_forest_chapter_8.finished")</f>
        <v>quest.once_upon_a_forest_chapter_8.finished</v>
      </c>
      <c r="N448" s="26" t="str">
        <f t="array" ref="N448">IF(
 M448="",
 "",
 _xlfn.XLOOKUP(
  M448,
  tblTargets[TargetID],
  tblTargets[DisplayName],
  M448
 )
)</f>
        <v>Once Upon a Forest Chapter 8 Finished</v>
      </c>
      <c r="O448" s="26" t="str">
        <f>IFERROR(__xludf.DUMMYFUNCTION("SWITCH(
 E448,
 ""BUILDING"",XLOOKUP(A448,tblBuildings[BuildingID],tblBuildings[costtext],""""),
 ""TECH"",XLOOKUP(A448,tblTechnologies[TechnologyID],tblTechnologies[costtext],""""),
 ""QUEST"",XLOOKUP(
  REGEXREPLACE(A448,""\.[^.]+$"",""""),
  tblQuests["&amp;"QuestID],
  tblQuests[Costtext],
  """"
 ),
 ""CITADEL"",XLOOKUP(A448,tblCitadel[CitadelID],tblCitadel[costtext],""""),
 ""COLLECTION"",XLOOKUP(A448,tblCollections[CollectionID],tblCollections[costtext],""""),
 ""CRAFTIFACT"",XLOOKUP(A448,tblCraftifacts[C"&amp;"raftifactID],tblCraftifacts[costtext],""""),
 """"
)"),"")</f>
        <v/>
      </c>
      <c r="P448" s="26" t="str">
        <f t="shared" si="6"/>
        <v>BLOCKED</v>
      </c>
      <c r="Q448" s="26" t="str">
        <f t="shared" si="7"/>
        <v>BLOCKED</v>
      </c>
      <c r="R448" s="26" t="str">
        <f t="array" ref="R448">IFERROR(
 _xlfn.XLOOKUP(
  A448,
  tblChecklist[TargetID],
  tblChecklist[PlayerSort],
  ""
 ),
 ""
)</f>
        <v/>
      </c>
      <c r="S448" s="26" t="str">
        <f>IFERROR(__xludf.DUMMYFUNCTION("LET(
 id,A448,
 successorIDs,
  IFERROR(
   UNIQUE(
    FILTER(
     {
      Dependencies!$A$2:$A$1000;
      QuestObjectives!$A$2:$A$1000
     },
     {
      Dependencies!$B$2:$B$1000;
      QuestObjectives!$E$2:$E$1000
     }=id
    )
   ),
   """"
  )"&amp;",
 names,
  MAP(
   successorIDs,
   LAMBDA(s,
    IF(
     s="""",
     """",
     XLOOKUP(
      s,
      $A$2:$A$1000,
      $B$2:$B$1000,
      s
     )
    )
   )
  ),
 IF(
  successorIDs="""",
  """",
  TEXTJOIN("", "",TRUE,names)
 )
)"),"Once Upon a Forest Chapter 9 Accepted")</f>
        <v>Once Upon a Forest Chapter 9 Accepted</v>
      </c>
      <c r="T448" s="26" t="str">
        <f t="array" ref="T448">_xlfn.XLOOKUP(
 A448,
 tblTargets[TargetID],
 tblTargets[CompletionMethod],
 ""
)</f>
        <v>PLAYER</v>
      </c>
      <c r="U448" s="84" t="b">
        <f>COUNTIF(tblCost[TargetID],A448)&gt;0</f>
        <v>0</v>
      </c>
      <c r="V448" s="85" t="str">
        <f t="array" ref="V448">IF(
 U448=FALSE,
 "",
 _xlfn.XLOOKUP(
  A448,
  tblCost[TargetID],
  tblCost[FundingPercent],
  ""
 )
)</f>
        <v/>
      </c>
      <c r="W448" s="26" t="str">
        <f t="array" ref="W448">IF(
 U448=FALSE,
 "",
 _xlfn.XLOOKUP(
  A448,
  tblCost[TargetID],
  tblCost[RemainingRequirements],
  ""
 )
)</f>
        <v/>
      </c>
      <c r="X448" s="45" t="str">
        <f t="array" ref="X448">IF(
 U448=FALSE,
 "N/A",
 _xlfn.XLOOKUP(
  A449,
  tblCost[TargetID],
  tblCost[TargetFunded],
  FALSE
 )
)</f>
        <v>N/A</v>
      </c>
      <c r="Y448" s="26" t="str">
        <f>IFERROR(__xludf.DUMMYFUNCTION("IFERROR(
 TEXTJOIN(
  "", "",
  TRUE,
  FILTER(
   'cost checklist'!$E$2:$E1000&amp;"": ""&amp;'cost checklist'!$G$2:$G1000,
   'cost checklist'!$B$2:$B1000=A448,
   'cost checklist'!$J$2:$J1000=FALSE
  )
 ),
 """"
)"),"")</f>
        <v/>
      </c>
      <c r="Z448" s="26" t="b">
        <f>IFERROR(__xludf.DUMMYFUNCTION("IF(
 AND(
  E448=""QUEST"",
  RIGHT(A448,9)="".accepted"",
  D448=TRUE
 ),
 XLOOKUP(
  REGEXREPLACE(A448,""\.accepted$"","""")&amp;"".finished"",
  $A$2:$A1000,
  $D$2:$D1000,
  TRUE
 )=FALSE,
 FALSE
)"),FALSE)</f>
        <v>0</v>
      </c>
      <c r="AA448" s="26" t="str">
        <f>IFERROR(__xludf.DUMMYFUNCTION("LET(
 id,A448,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9")</f>
        <v>Once Upon a Forest Chapter 9</v>
      </c>
    </row>
    <row r="449" ht="14.25" customHeight="1">
      <c r="A449" s="26" t="s">
        <v>1540</v>
      </c>
      <c r="B449" s="26" t="str">
        <f t="array" ref="B449">_xlfn.XLOOKUP(
 A449,
 tblTargets[TargetID],
 tblTargets[DisplayName],
 ""
)</f>
        <v>Meet Mech Adventurer@2B</v>
      </c>
      <c r="C449" s="26" t="str">
        <f t="shared" si="1"/>
        <v>BLOCKED</v>
      </c>
      <c r="D449" s="26" t="b">
        <f>IFERROR(__xludf.DUMMYFUNCTION("LET(
 id,A449,
 IF(
  F449=""CHARACTER"",
  LET(
   base,REGEXREPLACE(id,""@\d+$"",""""),
   required,VALUE(REGEXEXTRACT(id,""@(\d+)$"")),
   current,XLOOKUP(
    base,
    tblPlayer[PlayerStateID],
    tblPlayer[Value],
    0
   ),
   current&gt;=required
 "&amp;" ),
  IF(
   T449=""AUTO"",
   L449=0,
   COUNTIFS(
    tblChecklist[TargetID],id,
    tblChecklist[PlayerCompleted],TRUE
   )&gt;0
  )
 )
)"),FALSE)</f>
        <v>0</v>
      </c>
      <c r="E449" s="26" t="str">
        <f t="array" ref="E449">_xlfn.XLOOKUP(
 A449,
 tblTargets[TargetID],
 tblTargets[TargetType],
 ""
)</f>
        <v>STATE</v>
      </c>
      <c r="F449" s="26" t="str">
        <f t="array" ref="F449">_xlfn.XLOOKUP(
 A449,
 tblTargets[TargetID],
 tblTargets[StateType],
 ""
)</f>
        <v>MEET</v>
      </c>
      <c r="G449" s="26">
        <f>LET(
 id,A449,
 depCount,COUNTIF(tblDependencies[TargetID],id),
 objCount,COUNTIF(tblQuestObjectives[QuestTargetID],id),
 depCount+objCount
)</f>
        <v>1</v>
      </c>
      <c r="H449" s="26">
        <f t="shared" si="2"/>
        <v>1</v>
      </c>
      <c r="I449" s="26">
        <f>IFERROR(__xludf.DUMMYFUNCTION("LET(
 id,A449,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49" s="26">
        <f t="shared" si="3"/>
        <v>0</v>
      </c>
      <c r="K449" s="26" t="b">
        <f t="shared" si="4"/>
        <v>0</v>
      </c>
      <c r="L449" s="26">
        <f t="shared" si="5"/>
        <v>1</v>
      </c>
      <c r="M449" s="26" t="str">
        <f>IFERROR(__xludf.DUMMYFUNCTION("LET(
 id,A449,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L449=0,
  """",
  IFERROR(INDEX(incomplete,1),"""")"&amp;"
 )
)"),"building.dungeon@2")</f>
        <v>building.dungeon@2</v>
      </c>
      <c r="N449" s="26" t="str">
        <f t="array" ref="N449">IF(
 M449="",
 "",
 _xlfn.XLOOKUP(
  M449,
  tblTargets[TargetID],
  tblTargets[DisplayName],
  M449
 )
)</f>
        <v>Dungeon Lv 2</v>
      </c>
      <c r="O449" s="26" t="str">
        <f>IFERROR(__xludf.DUMMYFUNCTION("SWITCH(
 E449,
 ""BUILDING"",XLOOKUP(A449,tblBuildings[BuildingID],tblBuildings[costtext],""""),
 ""TECH"",XLOOKUP(A449,tblTechnologies[TechnologyID],tblTechnologies[costtext],""""),
 ""QUEST"",XLOOKUP(
  REGEXREPLACE(A449,""\.[^.]+$"",""""),
  tblQuests["&amp;"QuestID],
  tblQuests[Costtext],
  """"
 ),
 ""CITADEL"",XLOOKUP(A449,tblCitadel[CitadelID],tblCitadel[costtext],""""),
 ""COLLECTION"",XLOOKUP(A449,tblCollections[CollectionID],tblCollections[costtext],""""),
 ""CRAFTIFACT"",XLOOKUP(A449,tblCraftifacts[C"&amp;"raftifactID],tblCraftifacts[costtext],""""),
 """"
)"),"")</f>
        <v/>
      </c>
      <c r="P449" s="26" t="str">
        <f t="shared" si="6"/>
        <v>BLOCKED</v>
      </c>
      <c r="Q449" s="26" t="str">
        <f t="shared" si="7"/>
        <v>BLOCKED</v>
      </c>
      <c r="R449" s="26" t="str">
        <f t="array" ref="R449">IFERROR(
 _xlfn.XLOOKUP(
  A449,
  tblChecklist[TargetID],
  tblChecklist[PlayerSort],
  ""
 ),
 ""
)</f>
        <v/>
      </c>
      <c r="S449" s="26" t="str">
        <f>IFERROR(__xludf.DUMMYFUNCTION("LET(
 id,A449,
 successorIDs,
  IFERROR(
   UNIQUE(
    FILTER(
     {
      Dependencies!$A$2:$A$1000;
      QuestObjectives!$A$2:$A$1000
     },
     {
      Dependencies!$B$2:$B$1000;
      QuestObjectives!$E$2:$E$1000
     }=id
    )
   ),
   """"
  )"&amp;",
 names,
  MAP(
   successorIDs,
   LAMBDA(s,
    IF(
     s="""",
     """",
     XLOOKUP(
      s,
      $A$2:$A$1000,
      $B$2:$B$1000,
      s
     )
    )
   )
  ),
 IF(
  successorIDs="""",
  """",
  TEXTJOIN("", "",TRUE,names)
 )
)"),"Once Upon a Forest Chapter 1 Accepted")</f>
        <v>Once Upon a Forest Chapter 1 Accepted</v>
      </c>
      <c r="T449" s="26" t="str">
        <f t="array" ref="T449">_xlfn.XLOOKUP(
 A449,
 tblTargets[TargetID],
 tblTargets[CompletionMethod],
 ""
)</f>
        <v>PLAYER</v>
      </c>
      <c r="U449" s="84" t="b">
        <f>COUNTIF(tblCost[TargetID],A449)&gt;0</f>
        <v>0</v>
      </c>
      <c r="V449" s="85" t="str">
        <f t="array" ref="V449">IF(
 U449=FALSE,
 "",
 _xlfn.XLOOKUP(
  A449,
  tblCost[TargetID],
  tblCost[FundingPercent],
  ""
 )
)</f>
        <v/>
      </c>
      <c r="W449" s="26" t="str">
        <f t="array" ref="W449">IF(
 U449=FALSE,
 "",
 _xlfn.XLOOKUP(
  A449,
  tblCost[TargetID],
  tblCost[RemainingRequirements],
  ""
 )
)</f>
        <v/>
      </c>
      <c r="X449" s="45" t="str">
        <f t="array" ref="X449">IF(
 U449=FALSE,
 "N/A",
 _xlfn.XLOOKUP(
  A450,
  tblCost[TargetID],
  tblCost[TargetFunded],
  FALSE
 )
)</f>
        <v>N/A</v>
      </c>
      <c r="Y449" s="26" t="str">
        <f>IFERROR(__xludf.DUMMYFUNCTION("IFERROR(
 TEXTJOIN(
  "", "",
  TRUE,
  FILTER(
   'cost checklist'!$E$2:$E1000&amp;"": ""&amp;'cost checklist'!$G$2:$G1000,
   'cost checklist'!$B$2:$B1000=A449,
   'cost checklist'!$J$2:$J1000=FALSE
  )
 ),
 """"
)"),"")</f>
        <v/>
      </c>
      <c r="Z449" s="26" t="b">
        <f>IFERROR(__xludf.DUMMYFUNCTION("IF(
 AND(
  E449=""QUEST"",
  RIGHT(A449,9)="".accepted"",
  D449=TRUE
 ),
 XLOOKUP(
  REGEXREPLACE(A449,""\.accepted$"","""")&amp;"".finished"",
  $A$2:$A1000,
  $D$2:$D1000,
  TRUE
 )=FALSE,
 FALSE
)"),FALSE)</f>
        <v>0</v>
      </c>
      <c r="AA449" s="26" t="str">
        <f>IFERROR(__xludf.DUMMYFUNCTION("LET(
 id,A449,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f>
        <v>Once Upon a Forest Chapter 1</v>
      </c>
    </row>
    <row r="450" ht="14.25" customHeight="1">
      <c r="A450" s="26" t="s">
        <v>1542</v>
      </c>
      <c r="B450" s="26" t="str">
        <f t="array" ref="B450">_xlfn.XLOOKUP(
 A450,
 tblTargets[TargetID],
 tblTargets[DisplayName],
 ""
)</f>
        <v>Meet mechanical adventurer in Dungeon 3A</v>
      </c>
      <c r="C450" s="26" t="str">
        <f t="shared" si="1"/>
        <v>BLOCKED</v>
      </c>
      <c r="D450" s="26" t="b">
        <f>IFERROR(__xludf.DUMMYFUNCTION("LET(
 id,A450,
 IF(
  F450=""CHARACTER"",
  LET(
   base,REGEXREPLACE(id,""@\d+$"",""""),
   required,VALUE(REGEXEXTRACT(id,""@(\d+)$"")),
   current,XLOOKUP(
    base,
    tblPlayer[PlayerStateID],
    tblPlayer[Value],
    0
   ),
   current&gt;=required
 "&amp;" ),
  IF(
   T450=""AUTO"",
   L450=0,
   COUNTIFS(
    tblChecklist[TargetID],id,
    tblChecklist[PlayerCompleted],TRUE
   )&gt;0
  )
 )
)"),FALSE)</f>
        <v>0</v>
      </c>
      <c r="E450" s="26" t="str">
        <f t="array" ref="E450">_xlfn.XLOOKUP(
 A450,
 tblTargets[TargetID],
 tblTargets[TargetType],
 ""
)</f>
        <v>STATE</v>
      </c>
      <c r="F450" s="26" t="str">
        <f t="array" ref="F450">_xlfn.XLOOKUP(
 A450,
 tblTargets[TargetID],
 tblTargets[StateType],
 ""
)</f>
        <v>MEET</v>
      </c>
      <c r="G450" s="26">
        <f>LET(
 id,A450,
 depCount,COUNTIF(tblDependencies[TargetID],id),
 objCount,COUNTIF(tblQuestObjectives[QuestTargetID],id),
 depCount+objCount
)</f>
        <v>4</v>
      </c>
      <c r="H450" s="26">
        <f t="shared" si="2"/>
        <v>4</v>
      </c>
      <c r="I450" s="26">
        <f>IFERROR(__xludf.DUMMYFUNCTION("LET(
 id,A450,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0" s="26">
        <f t="shared" si="3"/>
        <v>0</v>
      </c>
      <c r="K450" s="26" t="b">
        <f t="shared" si="4"/>
        <v>0</v>
      </c>
      <c r="L450" s="26">
        <f t="shared" si="5"/>
        <v>4</v>
      </c>
      <c r="M450" s="26" t="str">
        <f>IFERROR(__xludf.DUMMYFUNCTION("LET(
 id,A450,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L450=0,
  """",
  IFERROR(INDEX(incomplete,1),"""")"&amp;"
 )
)"),"quest.magic_beans.finished")</f>
        <v>quest.magic_beans.finished</v>
      </c>
      <c r="N450" s="26" t="str">
        <f t="array" ref="N450">IF(
 M450="",
 "",
 _xlfn.XLOOKUP(
  M450,
  tblTargets[TargetID],
  tblTargets[DisplayName],
  M450
 )
)</f>
        <v>Magic Beans Finished</v>
      </c>
      <c r="O450" s="26" t="str">
        <f>IFERROR(__xludf.DUMMYFUNCTION("SWITCH(
 E450,
 ""BUILDING"",XLOOKUP(A450,tblBuildings[BuildingID],tblBuildings[costtext],""""),
 ""TECH"",XLOOKUP(A450,tblTechnologies[TechnologyID],tblTechnologies[costtext],""""),
 ""QUEST"",XLOOKUP(
  REGEXREPLACE(A450,""\.[^.]+$"",""""),
  tblQuests["&amp;"QuestID],
  tblQuests[Costtext],
  """"
 ),
 ""CITADEL"",XLOOKUP(A450,tblCitadel[CitadelID],tblCitadel[costtext],""""),
 ""COLLECTION"",XLOOKUP(A450,tblCollections[CollectionID],tblCollections[costtext],""""),
 ""CRAFTIFACT"",XLOOKUP(A450,tblCraftifacts[C"&amp;"raftifactID],tblCraftifacts[costtext],""""),
 """"
)"),"")</f>
        <v/>
      </c>
      <c r="P450" s="26" t="str">
        <f t="shared" si="6"/>
        <v>BLOCKED</v>
      </c>
      <c r="Q450" s="26" t="str">
        <f t="shared" si="7"/>
        <v>BLOCKED</v>
      </c>
      <c r="R450" s="26" t="str">
        <f t="array" ref="R450">IFERROR(
 _xlfn.XLOOKUP(
  A450,
  tblChecklist[TargetID],
  tblChecklist[PlayerSort],
  ""
 ),
 ""
)</f>
        <v/>
      </c>
      <c r="S450" s="26" t="str">
        <f>IFERROR(__xludf.DUMMYFUNCTION("LET(
 id,A450,
 successorIDs,
  IFERROR(
   UNIQUE(
    FILTER(
     {
      Dependencies!$A$2:$A$1000;
      QuestObjectives!$A$2:$A$1000
     },
     {
      Dependencies!$B$2:$B$1000;
      QuestObjectives!$E$2:$E$1000
     }=id
    )
   ),
   """"
  )"&amp;",
 names,
  MAP(
   successorIDs,
   LAMBDA(s,
    IF(
     s="""",
     """",
     XLOOKUP(
      s,
      $A$2:$A$1000,
      $B$2:$B$1000,
      s
     )
    )
   )
  ),
 IF(
  successorIDs="""",
  """",
  TEXTJOIN("", "",TRUE,names)
 )
)"),"Ahead of Time Chapter 1 Accepted")</f>
        <v>Ahead of Time Chapter 1 Accepted</v>
      </c>
      <c r="T450" s="26" t="str">
        <f t="array" ref="T450">_xlfn.XLOOKUP(
 A450,
 tblTargets[TargetID],
 tblTargets[CompletionMethod],
 ""
)</f>
        <v>PLAYER</v>
      </c>
      <c r="U450" s="84" t="b">
        <f>COUNTIF(tblCost[TargetID],A450)&gt;0</f>
        <v>0</v>
      </c>
      <c r="V450" s="85" t="str">
        <f t="array" ref="V450">IF(
 U450=FALSE,
 "",
 _xlfn.XLOOKUP(
  A450,
  tblCost[TargetID],
  tblCost[FundingPercent],
  ""
 )
)</f>
        <v/>
      </c>
      <c r="W450" s="26" t="str">
        <f t="array" ref="W450">IF(
 U450=FALSE,
 "",
 _xlfn.XLOOKUP(
  A450,
  tblCost[TargetID],
  tblCost[RemainingRequirements],
  ""
 )
)</f>
        <v/>
      </c>
      <c r="X450" s="45" t="str">
        <f t="array" ref="X450">IF(
 U450=FALSE,
 "N/A",
 _xlfn.XLOOKUP(
  A451,
  tblCost[TargetID],
  tblCost[TargetFunded],
  FALSE
 )
)</f>
        <v>N/A</v>
      </c>
      <c r="Y450" s="26" t="str">
        <f>IFERROR(__xludf.DUMMYFUNCTION("IFERROR(
 TEXTJOIN(
  "", "",
  TRUE,
  FILTER(
   'cost checklist'!$E$2:$E1000&amp;"": ""&amp;'cost checklist'!$G$2:$G1000,
   'cost checklist'!$B$2:$B1000=A450,
   'cost checklist'!$J$2:$J1000=FALSE
  )
 ),
 """"
)"),"")</f>
        <v/>
      </c>
      <c r="Z450" s="26" t="b">
        <f>IFERROR(__xludf.DUMMYFUNCTION("IF(
 AND(
  E450=""QUEST"",
  RIGHT(A450,9)="".accepted"",
  D450=TRUE
 ),
 XLOOKUP(
  REGEXREPLACE(A450,""\.accepted$"","""")&amp;"".finished"",
  $A$2:$A1000,
  $D$2:$D1000,
  TRUE
 )=FALSE,
 FALSE
)"),FALSE)</f>
        <v>0</v>
      </c>
      <c r="AA450" s="26" t="str">
        <f>IFERROR(__xludf.DUMMYFUNCTION("LET(
 id,A450,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1")</f>
        <v>Ahead of Time Chapter 1</v>
      </c>
    </row>
    <row r="451" ht="14.25" customHeight="1">
      <c r="A451" s="26" t="s">
        <v>1544</v>
      </c>
      <c r="B451" s="26" t="str">
        <f t="array" ref="B451">_xlfn.XLOOKUP(
 A451,
 tblTargets[TargetID],
 tblTargets[DisplayName],
 ""
)</f>
        <v>Meet mechanical adventurer in Dungeon F1</v>
      </c>
      <c r="C451" s="26" t="str">
        <f t="shared" si="1"/>
        <v>BLOCKED</v>
      </c>
      <c r="D451" s="26" t="b">
        <f>IFERROR(__xludf.DUMMYFUNCTION("LET(
 id,A451,
 IF(
  F451=""CHARACTER"",
  LET(
   base,REGEXREPLACE(id,""@\d+$"",""""),
   required,VALUE(REGEXEXTRACT(id,""@(\d+)$"")),
   current,XLOOKUP(
    base,
    tblPlayer[PlayerStateID],
    tblPlayer[Value],
    0
   ),
   current&gt;=required
 "&amp;" ),
  IF(
   T451=""AUTO"",
   L451=0,
   COUNTIFS(
    tblChecklist[TargetID],id,
    tblChecklist[PlayerCompleted],TRUE
   )&gt;0
  )
 )
)"),FALSE)</f>
        <v>0</v>
      </c>
      <c r="E451" s="26" t="str">
        <f t="array" ref="E451">_xlfn.XLOOKUP(
 A451,
 tblTargets[TargetID],
 tblTargets[TargetType],
 ""
)</f>
        <v>STATE</v>
      </c>
      <c r="F451" s="26" t="str">
        <f t="array" ref="F451">_xlfn.XLOOKUP(
 A451,
 tblTargets[TargetID],
 tblTargets[StateType],
 ""
)</f>
        <v>MEET</v>
      </c>
      <c r="G451" s="26">
        <f>LET(
 id,A451,
 depCount,COUNTIF(tblDependencies[TargetID],id),
 objCount,COUNTIF(tblQuestObjectives[QuestTargetID],id),
 depCount+objCount
)</f>
        <v>1</v>
      </c>
      <c r="H451" s="26">
        <f t="shared" si="2"/>
        <v>1</v>
      </c>
      <c r="I451" s="26">
        <f>IFERROR(__xludf.DUMMYFUNCTION("LET(
 id,A451,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1" s="26">
        <f t="shared" si="3"/>
        <v>0</v>
      </c>
      <c r="K451" s="26" t="b">
        <f t="shared" si="4"/>
        <v>0</v>
      </c>
      <c r="L451" s="26">
        <f t="shared" si="5"/>
        <v>1</v>
      </c>
      <c r="M451" s="26" t="str">
        <f>IFERROR(__xludf.DUMMYFUNCTION("LET(
 id,A451,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L451=0,
  """",
  IFERROR(INDEX(incomplete,1),"""")"&amp;"
 )
)"),"quest.once_upon_a_forest_chapter_2.finished")</f>
        <v>quest.once_upon_a_forest_chapter_2.finished</v>
      </c>
      <c r="N451" s="26" t="str">
        <f t="array" ref="N451">IF(
 M451="",
 "",
 _xlfn.XLOOKUP(
  M451,
  tblTargets[TargetID],
  tblTargets[DisplayName],
  M451
 )
)</f>
        <v>Once Upon a Forest Chapter 2 Finished</v>
      </c>
      <c r="O451" s="26" t="str">
        <f>IFERROR(__xludf.DUMMYFUNCTION("SWITCH(
 E451,
 ""BUILDING"",XLOOKUP(A451,tblBuildings[BuildingID],tblBuildings[costtext],""""),
 ""TECH"",XLOOKUP(A451,tblTechnologies[TechnologyID],tblTechnologies[costtext],""""),
 ""QUEST"",XLOOKUP(
  REGEXREPLACE(A451,""\.[^.]+$"",""""),
  tblQuests["&amp;"QuestID],
  tblQuests[Costtext],
  """"
 ),
 ""CITADEL"",XLOOKUP(A451,tblCitadel[CitadelID],tblCitadel[costtext],""""),
 ""COLLECTION"",XLOOKUP(A451,tblCollections[CollectionID],tblCollections[costtext],""""),
 ""CRAFTIFACT"",XLOOKUP(A451,tblCraftifacts[C"&amp;"raftifactID],tblCraftifacts[costtext],""""),
 """"
)"),"")</f>
        <v/>
      </c>
      <c r="P451" s="26" t="str">
        <f t="shared" si="6"/>
        <v>BLOCKED</v>
      </c>
      <c r="Q451" s="26" t="str">
        <f t="shared" si="7"/>
        <v>BLOCKED</v>
      </c>
      <c r="R451" s="26" t="str">
        <f t="array" ref="R451">IFERROR(
 _xlfn.XLOOKUP(
  A451,
  tblChecklist[TargetID],
  tblChecklist[PlayerSort],
  ""
 ),
 ""
)</f>
        <v/>
      </c>
      <c r="S451" s="26" t="str">
        <f>IFERROR(__xludf.DUMMYFUNCTION("LET(
 id,A451,
 successorIDs,
  IFERROR(
   UNIQUE(
    FILTER(
     {
      Dependencies!$A$2:$A$1000;
      QuestObjectives!$A$2:$A$1000
     },
     {
      Dependencies!$B$2:$B$1000;
      QuestObjectives!$E$2:$E$1000
     }=id
    )
   ),
   """"
  )"&amp;",
 names,
  MAP(
   successorIDs,
   LAMBDA(s,
    IF(
     s="""",
     """",
     XLOOKUP(
      s,
      $A$2:$A$1000,
      $B$2:$B$1000,
      s
     )
    )
   )
  ),
 IF(
  successorIDs="""",
  """",
  TEXTJOIN("", "",TRUE,names)
 )
)"),"Once Upon a Forest Chapter 3 Accepted")</f>
        <v>Once Upon a Forest Chapter 3 Accepted</v>
      </c>
      <c r="T451" s="26" t="str">
        <f t="array" ref="T451">_xlfn.XLOOKUP(
 A451,
 tblTargets[TargetID],
 tblTargets[CompletionMethod],
 ""
)</f>
        <v>PLAYER</v>
      </c>
      <c r="U451" s="84" t="b">
        <f>COUNTIF(tblCost[TargetID],A451)&gt;0</f>
        <v>0</v>
      </c>
      <c r="V451" s="85" t="str">
        <f t="array" ref="V451">IF(
 U451=FALSE,
 "",
 _xlfn.XLOOKUP(
  A451,
  tblCost[TargetID],
  tblCost[FundingPercent],
  ""
 )
)</f>
        <v/>
      </c>
      <c r="W451" s="26" t="str">
        <f t="array" ref="W451">IF(
 U451=FALSE,
 "",
 _xlfn.XLOOKUP(
  A451,
  tblCost[TargetID],
  tblCost[RemainingRequirements],
  ""
 )
)</f>
        <v/>
      </c>
      <c r="X451" s="45" t="str">
        <f t="array" ref="X451">IF(
 U451=FALSE,
 "N/A",
 _xlfn.XLOOKUP(
  A452,
  tblCost[TargetID],
  tblCost[TargetFunded],
  FALSE
 )
)</f>
        <v>N/A</v>
      </c>
      <c r="Y451" s="26" t="str">
        <f>IFERROR(__xludf.DUMMYFUNCTION("IFERROR(
 TEXTJOIN(
  "", "",
  TRUE,
  FILTER(
   'cost checklist'!$E$2:$E1000&amp;"": ""&amp;'cost checklist'!$G$2:$G1000,
   'cost checklist'!$B$2:$B1000=A451,
   'cost checklist'!$J$2:$J1000=FALSE
  )
 ),
 """"
)"),"")</f>
        <v/>
      </c>
      <c r="Z451" s="26" t="b">
        <f>IFERROR(__xludf.DUMMYFUNCTION("IF(
 AND(
  E451=""QUEST"",
  RIGHT(A451,9)="".accepted"",
  D451=TRUE
 ),
 XLOOKUP(
  REGEXREPLACE(A451,""\.accepted$"","""")&amp;"".finished"",
  $A$2:$A1000,
  $D$2:$D1000,
  TRUE
 )=FALSE,
 FALSE
)"),FALSE)</f>
        <v>0</v>
      </c>
      <c r="AA451" s="26" t="str">
        <f>IFERROR(__xludf.DUMMYFUNCTION("LET(
 id,A451,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3")</f>
        <v>Once Upon a Forest Chapter 3</v>
      </c>
    </row>
    <row r="452" ht="14.25" customHeight="1">
      <c r="A452" s="26" t="s">
        <v>1547</v>
      </c>
      <c r="B452" s="26" t="str">
        <f t="array" ref="B452">_xlfn.XLOOKUP(
 A452,
 tblTargets[TargetID],
 tblTargets[DisplayName],
 ""
)</f>
        <v>Meet Methusalem@F3</v>
      </c>
      <c r="C452" s="26" t="str">
        <f t="shared" si="1"/>
        <v>BLOCKED</v>
      </c>
      <c r="D452" s="26" t="b">
        <f>IFERROR(__xludf.DUMMYFUNCTION("LET(
 id,A452,
 IF(
  F452=""CHARACTER"",
  LET(
   base,REGEXREPLACE(id,""@\d+$"",""""),
   required,VALUE(REGEXEXTRACT(id,""@(\d+)$"")),
   current,XLOOKUP(
    base,
    tblPlayer[PlayerStateID],
    tblPlayer[Value],
    0
   ),
   current&gt;=required
 "&amp;" ),
  IF(
   T452=""AUTO"",
   L452=0,
   COUNTIFS(
    tblChecklist[TargetID],id,
    tblChecklist[PlayerCompleted],TRUE
   )&gt;0
  )
 )
)"),FALSE)</f>
        <v>0</v>
      </c>
      <c r="E452" s="26" t="str">
        <f t="array" ref="E452">_xlfn.XLOOKUP(
 A452,
 tblTargets[TargetID],
 tblTargets[TargetType],
 ""
)</f>
        <v>STATE</v>
      </c>
      <c r="F452" s="26" t="str">
        <f t="array" ref="F452">_xlfn.XLOOKUP(
 A452,
 tblTargets[TargetID],
 tblTargets[StateType],
 ""
)</f>
        <v>MEET</v>
      </c>
      <c r="G452" s="26">
        <f>LET(
 id,A452,
 depCount,COUNTIF(tblDependencies[TargetID],id),
 objCount,COUNTIF(tblQuestObjectives[QuestTargetID],id),
 depCount+objCount
)</f>
        <v>1</v>
      </c>
      <c r="H452" s="26">
        <f t="shared" si="2"/>
        <v>1</v>
      </c>
      <c r="I452" s="26">
        <f>IFERROR(__xludf.DUMMYFUNCTION("LET(
 id,A452,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2" s="26">
        <f t="shared" si="3"/>
        <v>0</v>
      </c>
      <c r="K452" s="26" t="b">
        <f t="shared" si="4"/>
        <v>0</v>
      </c>
      <c r="L452" s="26">
        <f t="shared" si="5"/>
        <v>1</v>
      </c>
      <c r="M452" s="26" t="str">
        <f>IFERROR(__xludf.DUMMYFUNCTION("LET(
 id,A452,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L452=0,
  """",
  IFERROR(INDEX(incomplete,1),"""")"&amp;"
 )
)"),"quest.once_upon_a_forest_chapter_12.finished")</f>
        <v>quest.once_upon_a_forest_chapter_12.finished</v>
      </c>
      <c r="N452" s="26" t="str">
        <f t="array" ref="N452">IF(
 M452="",
 "",
 _xlfn.XLOOKUP(
  M452,
  tblTargets[TargetID],
  tblTargets[DisplayName],
  M452
 )
)</f>
        <v>Once Upon a Forest Chapter 12 Finished</v>
      </c>
      <c r="O452" s="26" t="str">
        <f>IFERROR(__xludf.DUMMYFUNCTION("SWITCH(
 E452,
 ""BUILDING"",XLOOKUP(A452,tblBuildings[BuildingID],tblBuildings[costtext],""""),
 ""TECH"",XLOOKUP(A452,tblTechnologies[TechnologyID],tblTechnologies[costtext],""""),
 ""QUEST"",XLOOKUP(
  REGEXREPLACE(A452,""\.[^.]+$"",""""),
  tblQuests["&amp;"QuestID],
  tblQuests[Costtext],
  """"
 ),
 ""CITADEL"",XLOOKUP(A452,tblCitadel[CitadelID],tblCitadel[costtext],""""),
 ""COLLECTION"",XLOOKUP(A452,tblCollections[CollectionID],tblCollections[costtext],""""),
 ""CRAFTIFACT"",XLOOKUP(A452,tblCraftifacts[C"&amp;"raftifactID],tblCraftifacts[costtext],""""),
 """"
)"),"")</f>
        <v/>
      </c>
      <c r="P452" s="26" t="str">
        <f t="shared" si="6"/>
        <v>BLOCKED</v>
      </c>
      <c r="Q452" s="26" t="str">
        <f t="shared" si="7"/>
        <v>BLOCKED</v>
      </c>
      <c r="R452" s="26" t="str">
        <f t="array" ref="R452">IFERROR(
 _xlfn.XLOOKUP(
  A452,
  tblChecklist[TargetID],
  tblChecklist[PlayerSort],
  ""
 ),
 ""
)</f>
        <v/>
      </c>
      <c r="S452" s="26" t="str">
        <f>IFERROR(__xludf.DUMMYFUNCTION("LET(
 id,A452,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1 Accepted")</f>
        <v>The Ordinary Days of an Adventurer Chapter 1 Accepted</v>
      </c>
      <c r="T452" s="26" t="str">
        <f t="array" ref="T452">_xlfn.XLOOKUP(
 A452,
 tblTargets[TargetID],
 tblTargets[CompletionMethod],
 ""
)</f>
        <v>PLAYER</v>
      </c>
      <c r="U452" s="84" t="b">
        <f>COUNTIF(tblCost[TargetID],A452)&gt;0</f>
        <v>0</v>
      </c>
      <c r="V452" s="85" t="str">
        <f t="array" ref="V452">IF(
 U452=FALSE,
 "",
 _xlfn.XLOOKUP(
  A452,
  tblCost[TargetID],
  tblCost[FundingPercent],
  ""
 )
)</f>
        <v/>
      </c>
      <c r="W452" s="26" t="str">
        <f t="array" ref="W452">IF(
 U452=FALSE,
 "",
 _xlfn.XLOOKUP(
  A452,
  tblCost[TargetID],
  tblCost[RemainingRequirements],
  ""
 )
)</f>
        <v/>
      </c>
      <c r="X452" s="45" t="str">
        <f t="array" ref="X452">IF(
 U452=FALSE,
 "N/A",
 _xlfn.XLOOKUP(
  A453,
  tblCost[TargetID],
  tblCost[TargetFunded],
  FALSE
 )
)</f>
        <v>N/A</v>
      </c>
      <c r="Y452" s="26" t="str">
        <f>IFERROR(__xludf.DUMMYFUNCTION("IFERROR(
 TEXTJOIN(
  "", "",
  TRUE,
  FILTER(
   'cost checklist'!$E$2:$E1000&amp;"": ""&amp;'cost checklist'!$G$2:$G1000,
   'cost checklist'!$B$2:$B1000=A452,
   'cost checklist'!$J$2:$J1000=FALSE
  )
 ),
 """"
)"),"")</f>
        <v/>
      </c>
      <c r="Z452" s="26" t="b">
        <f>IFERROR(__xludf.DUMMYFUNCTION("IF(
 AND(
  E452=""QUEST"",
  RIGHT(A452,9)="".accepted"",
  D452=TRUE
 ),
 XLOOKUP(
  REGEXREPLACE(A452,""\.accepted$"","""")&amp;"".finished"",
  $A$2:$A1000,
  $D$2:$D1000,
  TRUE
 )=FALSE,
 FALSE
)"),FALSE)</f>
        <v>0</v>
      </c>
      <c r="AA452" s="26" t="str">
        <f>IFERROR(__xludf.DUMMYFUNCTION("LET(
 id,A452,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1")</f>
        <v>The Ordinary Days of an Adventurer Chapter 1</v>
      </c>
    </row>
    <row r="453" ht="14.25" customHeight="1">
      <c r="A453" s="26" t="s">
        <v>1549</v>
      </c>
      <c r="B453" s="26" t="str">
        <f t="array" ref="B453">_xlfn.XLOOKUP(
 A453,
 tblTargets[TargetID],
 tblTargets[DisplayName],
 ""
)</f>
        <v>Meet Mr Diligence@F1</v>
      </c>
      <c r="C453" s="26" t="str">
        <f t="shared" si="1"/>
        <v>BLOCKED</v>
      </c>
      <c r="D453" s="26" t="b">
        <f>IFERROR(__xludf.DUMMYFUNCTION("LET(
 id,A453,
 IF(
  F453=""CHARACTER"",
  LET(
   base,REGEXREPLACE(id,""@\d+$"",""""),
   required,VALUE(REGEXEXTRACT(id,""@(\d+)$"")),
   current,XLOOKUP(
    base,
    tblPlayer[PlayerStateID],
    tblPlayer[Value],
    0
   ),
   current&gt;=required
 "&amp;" ),
  IF(
   T453=""AUTO"",
   L453=0,
   COUNTIFS(
    tblChecklist[TargetID],id,
    tblChecklist[PlayerCompleted],TRUE
   )&gt;0
  )
 )
)"),FALSE)</f>
        <v>0</v>
      </c>
      <c r="E453" s="26" t="str">
        <f t="array" ref="E453">_xlfn.XLOOKUP(
 A453,
 tblTargets[TargetID],
 tblTargets[TargetType],
 ""
)</f>
        <v>STATE</v>
      </c>
      <c r="F453" s="26" t="str">
        <f t="array" ref="F453">_xlfn.XLOOKUP(
 A453,
 tblTargets[TargetID],
 tblTargets[StateType],
 ""
)</f>
        <v>MEET</v>
      </c>
      <c r="G453" s="26">
        <f>LET(
 id,A453,
 depCount,COUNTIF(tblDependencies[TargetID],id),
 objCount,COUNTIF(tblQuestObjectives[QuestTargetID],id),
 depCount+objCount
)</f>
        <v>2</v>
      </c>
      <c r="H453" s="26">
        <f t="shared" si="2"/>
        <v>2</v>
      </c>
      <c r="I453" s="26">
        <f>IFERROR(__xludf.DUMMYFUNCTION("LET(
 id,A453,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3" s="26">
        <f t="shared" si="3"/>
        <v>0</v>
      </c>
      <c r="K453" s="26" t="b">
        <f t="shared" si="4"/>
        <v>0</v>
      </c>
      <c r="L453" s="26">
        <f t="shared" si="5"/>
        <v>2</v>
      </c>
      <c r="M453" s="26" t="str">
        <f>IFERROR(__xludf.DUMMYFUNCTION("LET(
 id,A453,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L453=0,
  """",
  IFERROR(INDEX(incomplete,1),"""")"&amp;"
 )
)"),"quest.once_upon_a_forest_chapter_11.accepted")</f>
        <v>quest.once_upon_a_forest_chapter_11.accepted</v>
      </c>
      <c r="N453" s="26" t="str">
        <f t="array" ref="N453">IF(
 M453="",
 "",
 _xlfn.XLOOKUP(
  M453,
  tblTargets[TargetID],
  tblTargets[DisplayName],
  M453
 )
)</f>
        <v>Once Upon a Forest Chapter 11 Accepted</v>
      </c>
      <c r="O453" s="26" t="str">
        <f>IFERROR(__xludf.DUMMYFUNCTION("SWITCH(
 E453,
 ""BUILDING"",XLOOKUP(A453,tblBuildings[BuildingID],tblBuildings[costtext],""""),
 ""TECH"",XLOOKUP(A453,tblTechnologies[TechnologyID],tblTechnologies[costtext],""""),
 ""QUEST"",XLOOKUP(
  REGEXREPLACE(A453,""\.[^.]+$"",""""),
  tblQuests["&amp;"QuestID],
  tblQuests[Costtext],
  """"
 ),
 ""CITADEL"",XLOOKUP(A453,tblCitadel[CitadelID],tblCitadel[costtext],""""),
 ""COLLECTION"",XLOOKUP(A453,tblCollections[CollectionID],tblCollections[costtext],""""),
 ""CRAFTIFACT"",XLOOKUP(A453,tblCraftifacts[C"&amp;"raftifactID],tblCraftifacts[costtext],""""),
 """"
)"),"")</f>
        <v/>
      </c>
      <c r="P453" s="26" t="str">
        <f t="shared" si="6"/>
        <v>BLOCKED</v>
      </c>
      <c r="Q453" s="26" t="str">
        <f t="shared" si="7"/>
        <v>BLOCKED</v>
      </c>
      <c r="R453" s="26" t="str">
        <f t="array" ref="R453">IFERROR(
 _xlfn.XLOOKUP(
  A453,
  tblChecklist[TargetID],
  tblChecklist[PlayerSort],
  ""
 ),
 ""
)</f>
        <v/>
      </c>
      <c r="S453" s="26" t="str">
        <f>IFERROR(__xludf.DUMMYFUNCTION("LET(
 id,A453,
 successorIDs,
  IFERROR(
   UNIQUE(
    FILTER(
     {
      Dependencies!$A$2:$A$1000;
      QuestObjectives!$A$2:$A$1000
     },
     {
      Dependencies!$B$2:$B$1000;
      QuestObjectives!$E$2:$E$1000
     }=id
    )
   ),
   """"
  )"&amp;",
 names,
  MAP(
   successorIDs,
   LAMBDA(s,
    IF(
     s="""",
     """",
     XLOOKUP(
      s,
      $A$2:$A$1000,
      $B$2:$B$1000,
      s
     )
    )
   )
  ),
 IF(
  successorIDs="""",
  """",
  TEXTJOIN("", "",TRUE,names)
 )
)"),"Once Upon a Forest Chapter 12 Accepted")</f>
        <v>Once Upon a Forest Chapter 12 Accepted</v>
      </c>
      <c r="T453" s="26" t="str">
        <f t="array" ref="T453">_xlfn.XLOOKUP(
 A453,
 tblTargets[TargetID],
 tblTargets[CompletionMethod],
 ""
)</f>
        <v>PLAYER</v>
      </c>
      <c r="U453" s="84" t="b">
        <f>COUNTIF(tblCost[TargetID],A453)&gt;0</f>
        <v>0</v>
      </c>
      <c r="V453" s="85" t="str">
        <f t="array" ref="V453">IF(
 U453=FALSE,
 "",
 _xlfn.XLOOKUP(
  A453,
  tblCost[TargetID],
  tblCost[FundingPercent],
  ""
 )
)</f>
        <v/>
      </c>
      <c r="W453" s="26" t="str">
        <f t="array" ref="W453">IF(
 U453=FALSE,
 "",
 _xlfn.XLOOKUP(
  A453,
  tblCost[TargetID],
  tblCost[RemainingRequirements],
  ""
 )
)</f>
        <v/>
      </c>
      <c r="X453" s="45" t="str">
        <f t="array" ref="X453">IF(
 U453=FALSE,
 "N/A",
 _xlfn.XLOOKUP(
  A454,
  tblCost[TargetID],
  tblCost[TargetFunded],
  FALSE
 )
)</f>
        <v>N/A</v>
      </c>
      <c r="Y453" s="26" t="str">
        <f>IFERROR(__xludf.DUMMYFUNCTION("IFERROR(
 TEXTJOIN(
  "", "",
  TRUE,
  FILTER(
   'cost checklist'!$E$2:$E1000&amp;"": ""&amp;'cost checklist'!$G$2:$G1000,
   'cost checklist'!$B$2:$B1000=A453,
   'cost checklist'!$J$2:$J1000=FALSE
  )
 ),
 """"
)"),"")</f>
        <v/>
      </c>
      <c r="Z453" s="26" t="b">
        <f>IFERROR(__xludf.DUMMYFUNCTION("IF(
 AND(
  E453=""QUEST"",
  RIGHT(A453,9)="".accepted"",
  D453=TRUE
 ),
 XLOOKUP(
  REGEXREPLACE(A453,""\.accepted$"","""")&amp;"".finished"",
  $A$2:$A1000,
  $D$2:$D1000,
  TRUE
 )=FALSE,
 FALSE
)"),FALSE)</f>
        <v>0</v>
      </c>
      <c r="AA453" s="26" t="str">
        <f>IFERROR(__xludf.DUMMYFUNCTION("LET(
 id,A453,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12")</f>
        <v>Once Upon a Forest Chapter 12</v>
      </c>
    </row>
    <row r="454" ht="14.25" customHeight="1">
      <c r="A454" s="26" t="s">
        <v>1551</v>
      </c>
      <c r="B454" s="26" t="str">
        <f t="array" ref="B454">_xlfn.XLOOKUP(
 A454,
 tblTargets[TargetID],
 tblTargets[DisplayName],
 ""
)</f>
        <v>Meet Mrs Diligance@F2</v>
      </c>
      <c r="C454" s="26" t="str">
        <f t="shared" si="1"/>
        <v>BLOCKED</v>
      </c>
      <c r="D454" s="26" t="b">
        <f>IFERROR(__xludf.DUMMYFUNCTION("LET(
 id,A454,
 IF(
  F454=""CHARACTER"",
  LET(
   base,REGEXREPLACE(id,""@\d+$"",""""),
   required,VALUE(REGEXEXTRACT(id,""@(\d+)$"")),
   current,XLOOKUP(
    base,
    tblPlayer[PlayerStateID],
    tblPlayer[Value],
    0
   ),
   current&gt;=required
 "&amp;" ),
  IF(
   T454=""AUTO"",
   L454=0,
   COUNTIFS(
    tblChecklist[TargetID],id,
    tblChecklist[PlayerCompleted],TRUE
   )&gt;0
  )
 )
)"),FALSE)</f>
        <v>0</v>
      </c>
      <c r="E454" s="26" t="str">
        <f t="array" ref="E454">_xlfn.XLOOKUP(
 A454,
 tblTargets[TargetID],
 tblTargets[TargetType],
 ""
)</f>
        <v>STATE</v>
      </c>
      <c r="F454" s="26" t="str">
        <f t="array" ref="F454">_xlfn.XLOOKUP(
 A454,
 tblTargets[TargetID],
 tblTargets[StateType],
 ""
)</f>
        <v>MEET</v>
      </c>
      <c r="G454" s="26">
        <f>LET(
 id,A454,
 depCount,COUNTIF(tblDependencies[TargetID],id),
 objCount,COUNTIF(tblQuestObjectives[QuestTargetID],id),
 depCount+objCount
)</f>
        <v>1</v>
      </c>
      <c r="H454" s="26">
        <f t="shared" si="2"/>
        <v>1</v>
      </c>
      <c r="I454" s="26">
        <f>IFERROR(__xludf.DUMMYFUNCTION("LET(
 id,A454,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4" s="26">
        <f t="shared" si="3"/>
        <v>0</v>
      </c>
      <c r="K454" s="26" t="b">
        <f t="shared" si="4"/>
        <v>0</v>
      </c>
      <c r="L454" s="26">
        <f t="shared" si="5"/>
        <v>1</v>
      </c>
      <c r="M454" s="26" t="str">
        <f>IFERROR(__xludf.DUMMYFUNCTION("LET(
 id,A454,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L454=0,
  """",
  IFERROR(INDEX(incomplete,1),"""")"&amp;"
 )
)"),"quest.once_upon_a_forest_chapter_4.finished")</f>
        <v>quest.once_upon_a_forest_chapter_4.finished</v>
      </c>
      <c r="N454" s="26" t="str">
        <f t="array" ref="N454">IF(
 M454="",
 "",
 _xlfn.XLOOKUP(
  M454,
  tblTargets[TargetID],
  tblTargets[DisplayName],
  M454
 )
)</f>
        <v>Once Upon a Forest Chapter 4 Finished</v>
      </c>
      <c r="O454" s="26" t="str">
        <f>IFERROR(__xludf.DUMMYFUNCTION("SWITCH(
 E454,
 ""BUILDING"",XLOOKUP(A454,tblBuildings[BuildingID],tblBuildings[costtext],""""),
 ""TECH"",XLOOKUP(A454,tblTechnologies[TechnologyID],tblTechnologies[costtext],""""),
 ""QUEST"",XLOOKUP(
  REGEXREPLACE(A454,""\.[^.]+$"",""""),
  tblQuests["&amp;"QuestID],
  tblQuests[Costtext],
  """"
 ),
 ""CITADEL"",XLOOKUP(A454,tblCitadel[CitadelID],tblCitadel[costtext],""""),
 ""COLLECTION"",XLOOKUP(A454,tblCollections[CollectionID],tblCollections[costtext],""""),
 ""CRAFTIFACT"",XLOOKUP(A454,tblCraftifacts[C"&amp;"raftifactID],tblCraftifacts[costtext],""""),
 """"
)"),"")</f>
        <v/>
      </c>
      <c r="P454" s="26" t="str">
        <f t="shared" si="6"/>
        <v>BLOCKED</v>
      </c>
      <c r="Q454" s="26" t="str">
        <f t="shared" si="7"/>
        <v>BLOCKED</v>
      </c>
      <c r="R454" s="26" t="str">
        <f t="array" ref="R454">IFERROR(
 _xlfn.XLOOKUP(
  A454,
  tblChecklist[TargetID],
  tblChecklist[PlayerSort],
  ""
 ),
 ""
)</f>
        <v/>
      </c>
      <c r="S454" s="26" t="str">
        <f>IFERROR(__xludf.DUMMYFUNCTION("LET(
 id,A454,
 successorIDs,
  IFERROR(
   UNIQUE(
    FILTER(
     {
      Dependencies!$A$2:$A$1000;
      QuestObjectives!$A$2:$A$1000
     },
     {
      Dependencies!$B$2:$B$1000;
      QuestObjectives!$E$2:$E$1000
     }=id
    )
   ),
   """"
  )"&amp;",
 names,
  MAP(
   successorIDs,
   LAMBDA(s,
    IF(
     s="""",
     """",
     XLOOKUP(
      s,
      $A$2:$A$1000,
      $B$2:$B$1000,
      s
     )
    )
   )
  ),
 IF(
  successorIDs="""",
  """",
  TEXTJOIN("", "",TRUE,names)
 )
)"),"Once Upon a Forest Chapter 5 Accepted")</f>
        <v>Once Upon a Forest Chapter 5 Accepted</v>
      </c>
      <c r="T454" s="26" t="str">
        <f t="array" ref="T454">_xlfn.XLOOKUP(
 A454,
 tblTargets[TargetID],
 tblTargets[CompletionMethod],
 ""
)</f>
        <v>PLAYER</v>
      </c>
      <c r="U454" s="84" t="b">
        <f>COUNTIF(tblCost[TargetID],A454)&gt;0</f>
        <v>0</v>
      </c>
      <c r="V454" s="85" t="str">
        <f t="array" ref="V454">IF(
 U454=FALSE,
 "",
 _xlfn.XLOOKUP(
  A454,
  tblCost[TargetID],
  tblCost[FundingPercent],
  ""
 )
)</f>
        <v/>
      </c>
      <c r="W454" s="26" t="str">
        <f t="array" ref="W454">IF(
 U454=FALSE,
 "",
 _xlfn.XLOOKUP(
  A454,
  tblCost[TargetID],
  tblCost[RemainingRequirements],
  ""
 )
)</f>
        <v/>
      </c>
      <c r="X454" s="45" t="str">
        <f t="array" ref="X454">IF(
 U454=FALSE,
 "N/A",
 _xlfn.XLOOKUP(
  A455,
  tblCost[TargetID],
  tblCost[TargetFunded],
  FALSE
 )
)</f>
        <v>N/A</v>
      </c>
      <c r="Y454" s="26" t="str">
        <f>IFERROR(__xludf.DUMMYFUNCTION("IFERROR(
 TEXTJOIN(
  "", "",
  TRUE,
  FILTER(
   'cost checklist'!$E$2:$E1000&amp;"": ""&amp;'cost checklist'!$G$2:$G1000,
   'cost checklist'!$B$2:$B1000=A454,
   'cost checklist'!$J$2:$J1000=FALSE
  )
 ),
 """"
)"),"")</f>
        <v/>
      </c>
      <c r="Z454" s="26" t="b">
        <f>IFERROR(__xludf.DUMMYFUNCTION("IF(
 AND(
  E454=""QUEST"",
  RIGHT(A454,9)="".accepted"",
  D454=TRUE
 ),
 XLOOKUP(
  REGEXREPLACE(A454,""\.accepted$"","""")&amp;"".finished"",
  $A$2:$A1000,
  $D$2:$D1000,
  TRUE
 )=FALSE,
 FALSE
)"),FALSE)</f>
        <v>0</v>
      </c>
      <c r="AA454" s="26" t="str">
        <f>IFERROR(__xludf.DUMMYFUNCTION("LET(
 id,A454,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5")</f>
        <v>Once Upon a Forest Chapter 5</v>
      </c>
    </row>
    <row r="455" ht="14.25" customHeight="1">
      <c r="A455" s="26" t="s">
        <v>1554</v>
      </c>
      <c r="B455" s="26" t="str">
        <f t="array" ref="B455">_xlfn.XLOOKUP(
 A455,
 tblTargets[TargetID],
 tblTargets[DisplayName],
 ""
)</f>
        <v>Meet Old Man@4C</v>
      </c>
      <c r="C455" s="26" t="str">
        <f t="shared" si="1"/>
        <v>BLOCKED</v>
      </c>
      <c r="D455" s="26" t="b">
        <f>IFERROR(__xludf.DUMMYFUNCTION("LET(
 id,A455,
 IF(
  F455=""CHARACTER"",
  LET(
   base,REGEXREPLACE(id,""@\d+$"",""""),
   required,VALUE(REGEXEXTRACT(id,""@(\d+)$"")),
   current,XLOOKUP(
    base,
    tblPlayer[PlayerStateID],
    tblPlayer[Value],
    0
   ),
   current&gt;=required
 "&amp;" ),
  IF(
   T455=""AUTO"",
   L455=0,
   COUNTIFS(
    tblChecklist[TargetID],id,
    tblChecklist[PlayerCompleted],TRUE
   )&gt;0
  )
 )
)"),FALSE)</f>
        <v>0</v>
      </c>
      <c r="E455" s="26" t="str">
        <f t="array" ref="E455">_xlfn.XLOOKUP(
 A455,
 tblTargets[TargetID],
 tblTargets[TargetType],
 ""
)</f>
        <v>STATE</v>
      </c>
      <c r="F455" s="26" t="str">
        <f t="array" ref="F455">_xlfn.XLOOKUP(
 A455,
 tblTargets[TargetID],
 tblTargets[StateType],
 ""
)</f>
        <v>MEET</v>
      </c>
      <c r="G455" s="26">
        <f>LET(
 id,A455,
 depCount,COUNTIF(tblDependencies[TargetID],id),
 objCount,COUNTIF(tblQuestObjectives[QuestTargetID],id),
 depCount+objCount
)</f>
        <v>1</v>
      </c>
      <c r="H455" s="26">
        <f t="shared" si="2"/>
        <v>1</v>
      </c>
      <c r="I455" s="26">
        <f>IFERROR(__xludf.DUMMYFUNCTION("LET(
 id,A455,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5" s="26">
        <f t="shared" si="3"/>
        <v>0</v>
      </c>
      <c r="K455" s="26" t="b">
        <f t="shared" si="4"/>
        <v>0</v>
      </c>
      <c r="L455" s="26">
        <f t="shared" si="5"/>
        <v>1</v>
      </c>
      <c r="M455" s="26" t="str">
        <f>IFERROR(__xludf.DUMMYFUNCTION("LET(
 id,A455,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L455=0,
  """",
  IFERROR(INDEX(incomplete,1),"""")"&amp;"
 )
)"),"building.dungeon@4")</f>
        <v>building.dungeon@4</v>
      </c>
      <c r="N455" s="26" t="str">
        <f t="array" ref="N455">IF(
 M455="",
 "",
 _xlfn.XLOOKUP(
  M455,
  tblTargets[TargetID],
  tblTargets[DisplayName],
  M455
 )
)</f>
        <v>Dungeon Lv 4</v>
      </c>
      <c r="O455" s="26" t="str">
        <f>IFERROR(__xludf.DUMMYFUNCTION("SWITCH(
 E455,
 ""BUILDING"",XLOOKUP(A455,tblBuildings[BuildingID],tblBuildings[costtext],""""),
 ""TECH"",XLOOKUP(A455,tblTechnologies[TechnologyID],tblTechnologies[costtext],""""),
 ""QUEST"",XLOOKUP(
  REGEXREPLACE(A455,""\.[^.]+$"",""""),
  tblQuests["&amp;"QuestID],
  tblQuests[Costtext],
  """"
 ),
 ""CITADEL"",XLOOKUP(A455,tblCitadel[CitadelID],tblCitadel[costtext],""""),
 ""COLLECTION"",XLOOKUP(A455,tblCollections[CollectionID],tblCollections[costtext],""""),
 ""CRAFTIFACT"",XLOOKUP(A455,tblCraftifacts[C"&amp;"raftifactID],tblCraftifacts[costtext],""""),
 """"
)"),"")</f>
        <v/>
      </c>
      <c r="P455" s="26" t="str">
        <f t="shared" si="6"/>
        <v>BLOCKED</v>
      </c>
      <c r="Q455" s="26" t="str">
        <f t="shared" si="7"/>
        <v>BLOCKED</v>
      </c>
      <c r="R455" s="26" t="str">
        <f t="array" ref="R455">IFERROR(
 _xlfn.XLOOKUP(
  A455,
  tblChecklist[TargetID],
  tblChecklist[PlayerSort],
  ""
 ),
 ""
)</f>
        <v/>
      </c>
      <c r="S455" s="26" t="str">
        <f>IFERROR(__xludf.DUMMYFUNCTION("LET(
 id,A455,
 successorIDs,
  IFERROR(
   UNIQUE(
    FILTER(
     {
      Dependencies!$A$2:$A$1000;
      QuestObjectives!$A$2:$A$1000
     },
     {
      Dependencies!$B$2:$B$1000;
      QuestObjectives!$E$2:$E$1000
     }=id
    )
   ),
   """"
  )"&amp;",
 names,
  MAP(
   successorIDs,
   LAMBDA(s,
    IF(
     s="""",
     """",
     XLOOKUP(
      s,
      $A$2:$A$1000,
      $B$2:$B$1000,
      s
     )
    )
   )
  ),
 IF(
  successorIDs="""",
  """",
  TEXTJOIN("", "",TRUE,names)
 )
)"),"Dragon teeth Accepted")</f>
        <v>Dragon teeth Accepted</v>
      </c>
      <c r="T455" s="26" t="str">
        <f t="array" ref="T455">_xlfn.XLOOKUP(
 A455,
 tblTargets[TargetID],
 tblTargets[CompletionMethod],
 ""
)</f>
        <v>PLAYER</v>
      </c>
      <c r="U455" s="84" t="b">
        <f>COUNTIF(tblCost[TargetID],A455)&gt;0</f>
        <v>0</v>
      </c>
      <c r="V455" s="85" t="str">
        <f t="array" ref="V455">IF(
 U455=FALSE,
 "",
 _xlfn.XLOOKUP(
  A455,
  tblCost[TargetID],
  tblCost[FundingPercent],
  ""
 )
)</f>
        <v/>
      </c>
      <c r="W455" s="26" t="str">
        <f t="array" ref="W455">IF(
 U455=FALSE,
 "",
 _xlfn.XLOOKUP(
  A455,
  tblCost[TargetID],
  tblCost[RemainingRequirements],
  ""
 )
)</f>
        <v/>
      </c>
      <c r="X455" s="45" t="str">
        <f t="array" ref="X455">IF(
 U455=FALSE,
 "N/A",
 _xlfn.XLOOKUP(
  A456,
  tblCost[TargetID],
  tblCost[TargetFunded],
  FALSE
 )
)</f>
        <v>N/A</v>
      </c>
      <c r="Y455" s="26" t="str">
        <f>IFERROR(__xludf.DUMMYFUNCTION("IFERROR(
 TEXTJOIN(
  "", "",
  TRUE,
  FILTER(
   'cost checklist'!$E$2:$E1000&amp;"": ""&amp;'cost checklist'!$G$2:$G1000,
   'cost checklist'!$B$2:$B1000=A455,
   'cost checklist'!$J$2:$J1000=FALSE
  )
 ),
 """"
)"),"")</f>
        <v/>
      </c>
      <c r="Z455" s="26" t="b">
        <f>IFERROR(__xludf.DUMMYFUNCTION("IF(
 AND(
  E455=""QUEST"",
  RIGHT(A455,9)="".accepted"",
  D455=TRUE
 ),
 XLOOKUP(
  REGEXREPLACE(A455,""\.accepted$"","""")&amp;"".finished"",
  $A$2:$A1000,
  $D$2:$D1000,
  TRUE
 )=FALSE,
 FALSE
)"),FALSE)</f>
        <v>0</v>
      </c>
      <c r="AA455" s="26" t="str">
        <f>IFERROR(__xludf.DUMMYFUNCTION("LET(
 id,A455,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)"),"Dragon teeth")</f>
        <v>Dragon teeth</v>
      </c>
    </row>
    <row r="456" ht="14.25" customHeight="1">
      <c r="A456" s="26" t="s">
        <v>1556</v>
      </c>
      <c r="B456" s="26" t="str">
        <f t="array" ref="B456">_xlfn.XLOOKUP(
 A456,
 tblTargets[TargetID],
 tblTargets[DisplayName],
 ""
)</f>
        <v>Meet Pilot@F3</v>
      </c>
      <c r="C456" s="26" t="str">
        <f t="shared" si="1"/>
        <v>BLOCKED</v>
      </c>
      <c r="D456" s="26" t="b">
        <f>IFERROR(__xludf.DUMMYFUNCTION("LET(
 id,A456,
 IF(
  F456=""CHARACTER"",
  LET(
   base,REGEXREPLACE(id,""@\d+$"",""""),
   required,VALUE(REGEXEXTRACT(id,""@(\d+)$"")),
   current,XLOOKUP(
    base,
    tblPlayer[PlayerStateID],
    tblPlayer[Value],
    0
   ),
   current&gt;=required
 "&amp;" ),
  IF(
   T456=""AUTO"",
   L456=0,
   COUNTIFS(
    tblChecklist[TargetID],id,
    tblChecklist[PlayerCompleted],TRUE
   )&gt;0
  )
 )
)"),FALSE)</f>
        <v>0</v>
      </c>
      <c r="E456" s="26" t="str">
        <f t="array" ref="E456">_xlfn.XLOOKUP(
 A456,
 tblTargets[TargetID],
 tblTargets[TargetType],
 ""
)</f>
        <v>STATE</v>
      </c>
      <c r="F456" s="26" t="str">
        <f t="array" ref="F456">_xlfn.XLOOKUP(
 A456,
 tblTargets[TargetID],
 tblTargets[StateType],
 ""
)</f>
        <v>MEET</v>
      </c>
      <c r="G456" s="26">
        <f>LET(
 id,A456,
 depCount,COUNTIF(tblDependencies[TargetID],id),
 objCount,COUNTIF(tblQuestObjectives[QuestTargetID],id),
 depCount+objCount
)</f>
        <v>1</v>
      </c>
      <c r="H456" s="26">
        <f t="shared" si="2"/>
        <v>1</v>
      </c>
      <c r="I456" s="26">
        <f>IFERROR(__xludf.DUMMYFUNCTION("LET(
 id,A456,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6" s="26">
        <f t="shared" si="3"/>
        <v>0</v>
      </c>
      <c r="K456" s="26" t="b">
        <f t="shared" si="4"/>
        <v>0</v>
      </c>
      <c r="L456" s="26">
        <f t="shared" si="5"/>
        <v>1</v>
      </c>
      <c r="M456" s="26" t="str">
        <f>IFERROR(__xludf.DUMMYFUNCTION("LET(
 id,A456,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L456=0,
  """",
  IFERROR(INDEX(incomplete,1),"""")"&amp;"
 )
)"),"quest.once_upon_a_forest_chapter_10.accepted")</f>
        <v>quest.once_upon_a_forest_chapter_10.accepted</v>
      </c>
      <c r="N456" s="26" t="str">
        <f t="array" ref="N456">IF(
 M456="",
 "",
 _xlfn.XLOOKUP(
  M456,
  tblTargets[TargetID],
  tblTargets[DisplayName],
  M456
 )
)</f>
        <v>Once Upon a Forest Chapter 10 Accepted</v>
      </c>
      <c r="O456" s="26" t="str">
        <f>IFERROR(__xludf.DUMMYFUNCTION("SWITCH(
 E456,
 ""BUILDING"",XLOOKUP(A456,tblBuildings[BuildingID],tblBuildings[costtext],""""),
 ""TECH"",XLOOKUP(A456,tblTechnologies[TechnologyID],tblTechnologies[costtext],""""),
 ""QUEST"",XLOOKUP(
  REGEXREPLACE(A456,""\.[^.]+$"",""""),
  tblQuests["&amp;"QuestID],
  tblQuests[Costtext],
  """"
 ),
 ""CITADEL"",XLOOKUP(A456,tblCitadel[CitadelID],tblCitadel[costtext],""""),
 ""COLLECTION"",XLOOKUP(A456,tblCollections[CollectionID],tblCollections[costtext],""""),
 ""CRAFTIFACT"",XLOOKUP(A456,tblCraftifacts[C"&amp;"raftifactID],tblCraftifacts[costtext],""""),
 """"
)"),"")</f>
        <v/>
      </c>
      <c r="P456" s="26" t="str">
        <f t="shared" si="6"/>
        <v>BLOCKED</v>
      </c>
      <c r="Q456" s="26" t="str">
        <f t="shared" si="7"/>
        <v>BLOCKED</v>
      </c>
      <c r="R456" s="26" t="str">
        <f t="array" ref="R456">IFERROR(
 _xlfn.XLOOKUP(
  A456,
  tblChecklist[TargetID],
  tblChecklist[PlayerSort],
  ""
 ),
 ""
)</f>
        <v/>
      </c>
      <c r="S456" s="26" t="str">
        <f>IFERROR(__xludf.DUMMYFUNCTION("LET(
 id,A456,
 successorIDs,
  IFERROR(
   UNIQUE(
    FILTER(
     {
      Dependencies!$A$2:$A$1000;
      QuestObjectives!$A$2:$A$1000
     },
     {
      Dependencies!$B$2:$B$1000;
      QuestObjectives!$E$2:$E$1000
     }=id
    )
   ),
   """"
  )"&amp;",
 names,
  MAP(
   successorIDs,
   LAMBDA(s,
    IF(
     s="""",
     """",
     XLOOKUP(
      s,
      $A$2:$A$1000,
      $B$2:$B$1000,
      s
     )
    )
   )
  ),
 IF(
  successorIDs="""",
  """",
  TEXTJOIN("", "",TRUE,names)
 )
)"),"Once Upon a Forest Chapter 11 Accepted")</f>
        <v>Once Upon a Forest Chapter 11 Accepted</v>
      </c>
      <c r="T456" s="26" t="str">
        <f t="array" ref="T456">_xlfn.XLOOKUP(
 A456,
 tblTargets[TargetID],
 tblTargets[CompletionMethod],
 ""
)</f>
        <v>PLAYER</v>
      </c>
      <c r="U456" s="84" t="b">
        <f>COUNTIF(tblCost[TargetID],A456)&gt;0</f>
        <v>0</v>
      </c>
      <c r="V456" s="85" t="str">
        <f t="array" ref="V456">IF(
 U456=FALSE,
 "",
 _xlfn.XLOOKUP(
  A456,
  tblCost[TargetID],
  tblCost[FundingPercent],
  ""
 )
)</f>
        <v/>
      </c>
      <c r="W456" s="26" t="str">
        <f t="array" ref="W456">IF(
 U456=FALSE,
 "",
 _xlfn.XLOOKUP(
  A456,
  tblCost[TargetID],
  tblCost[RemainingRequirements],
  ""
 )
)</f>
        <v/>
      </c>
      <c r="X456" s="45" t="str">
        <f t="array" ref="X456">IF(
 U456=FALSE,
 "N/A",
 _xlfn.XLOOKUP(
  A457,
  tblCost[TargetID],
  tblCost[TargetFunded],
  FALSE
 )
)</f>
        <v>N/A</v>
      </c>
      <c r="Y456" s="26" t="str">
        <f>IFERROR(__xludf.DUMMYFUNCTION("IFERROR(
 TEXTJOIN(
  "", "",
  TRUE,
  FILTER(
   'cost checklist'!$E$2:$E1000&amp;"": ""&amp;'cost checklist'!$G$2:$G1000,
   'cost checklist'!$B$2:$B1000=A456,
   'cost checklist'!$J$2:$J1000=FALSE
  )
 ),
 """"
)"),"")</f>
        <v/>
      </c>
      <c r="Z456" s="26" t="b">
        <f>IFERROR(__xludf.DUMMYFUNCTION("IF(
 AND(
  E456=""QUEST"",
  RIGHT(A456,9)="".accepted"",
  D456=TRUE
 ),
 XLOOKUP(
  REGEXREPLACE(A456,""\.accepted$"","""")&amp;"".finished"",
  $A$2:$A1000,
  $D$2:$D1000,
  TRUE
 )=FALSE,
 FALSE
)"),FALSE)</f>
        <v>0</v>
      </c>
      <c r="AA456" s="26" t="str">
        <f>IFERROR(__xludf.DUMMYFUNCTION("LET(
 id,A456,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11")</f>
        <v>Once Upon a Forest Chapter 11</v>
      </c>
    </row>
    <row r="457" ht="14.25" customHeight="1">
      <c r="A457" s="26" t="s">
        <v>1559</v>
      </c>
      <c r="B457" s="26" t="str">
        <f t="array" ref="B457">_xlfn.XLOOKUP(
 A457,
 tblTargets[TargetID],
 tblTargets[DisplayName],
 ""
)</f>
        <v>Meet Pirate Skeleton@3A</v>
      </c>
      <c r="C457" s="26" t="str">
        <f t="shared" si="1"/>
        <v>BLOCKED</v>
      </c>
      <c r="D457" s="26" t="b">
        <f>IFERROR(__xludf.DUMMYFUNCTION("LET(
 id,A457,
 IF(
  F457=""CHARACTER"",
  LET(
   base,REGEXREPLACE(id,""@\d+$"",""""),
   required,VALUE(REGEXEXTRACT(id,""@(\d+)$"")),
   current,XLOOKUP(
    base,
    tblPlayer[PlayerStateID],
    tblPlayer[Value],
    0
   ),
   current&gt;=required
 "&amp;" ),
  IF(
   T457=""AUTO"",
   L457=0,
   COUNTIFS(
    tblChecklist[TargetID],id,
    tblChecklist[PlayerCompleted],TRUE
   )&gt;0
  )
 )
)"),FALSE)</f>
        <v>0</v>
      </c>
      <c r="E457" s="26" t="str">
        <f t="array" ref="E457">_xlfn.XLOOKUP(
 A457,
 tblTargets[TargetID],
 tblTargets[TargetType],
 ""
)</f>
        <v>STATE</v>
      </c>
      <c r="F457" s="26" t="str">
        <f t="array" ref="F457">_xlfn.XLOOKUP(
 A457,
 tblTargets[TargetID],
 tblTargets[StateType],
 ""
)</f>
        <v>MEET</v>
      </c>
      <c r="G457" s="26">
        <f>LET(
 id,A457,
 depCount,COUNTIF(tblDependencies[TargetID],id),
 objCount,COUNTIF(tblQuestObjectives[QuestTargetID],id),
 depCount+objCount
)</f>
        <v>2</v>
      </c>
      <c r="H457" s="26">
        <f t="shared" si="2"/>
        <v>2</v>
      </c>
      <c r="I457" s="26">
        <f>IFERROR(__xludf.DUMMYFUNCTION("LET(
 id,A457,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7" s="26">
        <f t="shared" si="3"/>
        <v>0</v>
      </c>
      <c r="K457" s="26" t="b">
        <f t="shared" si="4"/>
        <v>0</v>
      </c>
      <c r="L457" s="26">
        <f t="shared" si="5"/>
        <v>2</v>
      </c>
      <c r="M457" s="26" t="str">
        <f>IFERROR(__xludf.DUMMYFUNCTION("LET(
 id,A457,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L457=0,
  """",
  IFERROR(INDEX(incomplete,1),"""")"&amp;"
 )
)"),"quest.shoguns_katana_chapter_4.finished")</f>
        <v>quest.shoguns_katana_chapter_4.finished</v>
      </c>
      <c r="N457" s="26" t="str">
        <f t="array" ref="N457">IF(
 M457="",
 "",
 _xlfn.XLOOKUP(
  M457,
  tblTargets[TargetID],
  tblTargets[DisplayName],
  M457
 )
)</f>
        <v>Shogun's Katana Chapter 4 Finished</v>
      </c>
      <c r="O457" s="26" t="str">
        <f>IFERROR(__xludf.DUMMYFUNCTION("SWITCH(
 E457,
 ""BUILDING"",XLOOKUP(A457,tblBuildings[BuildingID],tblBuildings[costtext],""""),
 ""TECH"",XLOOKUP(A457,tblTechnologies[TechnologyID],tblTechnologies[costtext],""""),
 ""QUEST"",XLOOKUP(
  REGEXREPLACE(A457,""\.[^.]+$"",""""),
  tblQuests["&amp;"QuestID],
  tblQuests[Costtext],
  """"
 ),
 ""CITADEL"",XLOOKUP(A457,tblCitadel[CitadelID],tblCitadel[costtext],""""),
 ""COLLECTION"",XLOOKUP(A457,tblCollections[CollectionID],tblCollections[costtext],""""),
 ""CRAFTIFACT"",XLOOKUP(A457,tblCraftifacts[C"&amp;"raftifactID],tblCraftifacts[costtext],""""),
 """"
)"),"")</f>
        <v/>
      </c>
      <c r="P457" s="26" t="str">
        <f t="shared" si="6"/>
        <v>BLOCKED</v>
      </c>
      <c r="Q457" s="26" t="str">
        <f t="shared" si="7"/>
        <v>BLOCKED</v>
      </c>
      <c r="R457" s="26" t="str">
        <f t="array" ref="R457">IFERROR(
 _xlfn.XLOOKUP(
  A457,
  tblChecklist[TargetID],
  tblChecklist[PlayerSort],
  ""
 ),
 ""
)</f>
        <v/>
      </c>
      <c r="S457" s="26" t="str">
        <f>IFERROR(__xludf.DUMMYFUNCTION("LET(
 id,A457,
 successorIDs,
  IFERROR(
   UNIQUE(
    FILTER(
     {
      Dependencies!$A$2:$A$1000;
      QuestObjectives!$A$2:$A$1000
     },
     {
      Dependencies!$B$2:$B$1000;
      QuestObjectives!$E$2:$E$1000
     }=id
    )
   ),
   """"
  )"&amp;",
 names,
  MAP(
   successorIDs,
   LAMBDA(s,
    IF(
     s="""",
     """",
     XLOOKUP(
      s,
      $A$2:$A$1000,
      $B$2:$B$1000,
      s
     )
    )
   )
  ),
 IF(
  successorIDs="""",
  """",
  TEXTJOIN("", "",TRUE,names)
 )
)"),"Treasure Island Accepted")</f>
        <v>Treasure Island Accepted</v>
      </c>
      <c r="T457" s="26" t="str">
        <f t="array" ref="T457">_xlfn.XLOOKUP(
 A457,
 tblTargets[TargetID],
 tblTargets[CompletionMethod],
 ""
)</f>
        <v>PLAYER</v>
      </c>
      <c r="U457" s="84" t="b">
        <f>COUNTIF(tblCost[TargetID],A457)&gt;0</f>
        <v>0</v>
      </c>
      <c r="V457" s="85" t="str">
        <f t="array" ref="V457">IF(
 U457=FALSE,
 "",
 _xlfn.XLOOKUP(
  A457,
  tblCost[TargetID],
  tblCost[FundingPercent],
  ""
 )
)</f>
        <v/>
      </c>
      <c r="W457" s="26" t="str">
        <f t="array" ref="W457">IF(
 U457=FALSE,
 "",
 _xlfn.XLOOKUP(
  A457,
  tblCost[TargetID],
  tblCost[RemainingRequirements],
  ""
 )
)</f>
        <v/>
      </c>
      <c r="X457" s="45" t="str">
        <f t="array" ref="X457">IF(
 U457=FALSE,
 "N/A",
 _xlfn.XLOOKUP(
  A458,
  tblCost[TargetID],
  tblCost[TargetFunded],
  FALSE
 )
)</f>
        <v>N/A</v>
      </c>
      <c r="Y457" s="26" t="str">
        <f>IFERROR(__xludf.DUMMYFUNCTION("IFERROR(
 TEXTJOIN(
  "", "",
  TRUE,
  FILTER(
   'cost checklist'!$E$2:$E1000&amp;"": ""&amp;'cost checklist'!$G$2:$G1000,
   'cost checklist'!$B$2:$B1000=A457,
   'cost checklist'!$J$2:$J1000=FALSE
  )
 ),
 """"
)"),"")</f>
        <v/>
      </c>
      <c r="Z457" s="26" t="b">
        <f>IFERROR(__xludf.DUMMYFUNCTION("IF(
 AND(
  E457=""QUEST"",
  RIGHT(A457,9)="".accepted"",
  D457=TRUE
 ),
 XLOOKUP(
  REGEXREPLACE(A457,""\.accepted$"","""")&amp;"".finished"",
  $A$2:$A1000,
  $D$2:$D1000,
  TRUE
 )=FALSE,
 FALSE
)"),FALSE)</f>
        <v>0</v>
      </c>
      <c r="AA457" s="26" t="str">
        <f>IFERROR(__xludf.DUMMYFUNCTION("LET(
 id,A457,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)"),"Treasure Island")</f>
        <v>Treasure Island</v>
      </c>
    </row>
    <row r="458" ht="14.25" customHeight="1">
      <c r="A458" s="26" t="s">
        <v>1561</v>
      </c>
      <c r="B458" s="26" t="str">
        <f t="array" ref="B458">_xlfn.XLOOKUP(
 A458,
 tblTargets[TargetID],
 tblTargets[DisplayName],
 ""
)</f>
        <v>Meet Raven @F1 on first entrance</v>
      </c>
      <c r="C458" s="26" t="str">
        <f t="shared" si="1"/>
        <v>BLOCKED</v>
      </c>
      <c r="D458" s="26" t="b">
        <f>IFERROR(__xludf.DUMMYFUNCTION("LET(
 id,A458,
 IF(
  F458=""CHARACTER"",
  LET(
   base,REGEXREPLACE(id,""@\d+$"",""""),
   required,VALUE(REGEXEXTRACT(id,""@(\d+)$"")),
   current,XLOOKUP(
    base,
    tblPlayer[PlayerStateID],
    tblPlayer[Value],
    0
   ),
   current&gt;=required
 "&amp;" ),
  IF(
   T458=""AUTO"",
   L458=0,
   COUNTIFS(
    tblChecklist[TargetID],id,
    tblChecklist[PlayerCompleted],TRUE
   )&gt;0
  )
 )
)"),FALSE)</f>
        <v>0</v>
      </c>
      <c r="E458" s="26" t="str">
        <f t="array" ref="E458">_xlfn.XLOOKUP(
 A458,
 tblTargets[TargetID],
 tblTargets[TargetType],
 ""
)</f>
        <v>STATE</v>
      </c>
      <c r="F458" s="26" t="str">
        <f t="array" ref="F458">_xlfn.XLOOKUP(
 A458,
 tblTargets[TargetID],
 tblTargets[StateType],
 ""
)</f>
        <v>MEET</v>
      </c>
      <c r="G458" s="26">
        <f>LET(
 id,A458,
 depCount,COUNTIF(tblDependencies[TargetID],id),
 objCount,COUNTIF(tblQuestObjectives[QuestTargetID],id),
 depCount+objCount
)</f>
        <v>1</v>
      </c>
      <c r="H458" s="26">
        <f t="shared" si="2"/>
        <v>1</v>
      </c>
      <c r="I458" s="26">
        <f>IFERROR(__xludf.DUMMYFUNCTION("LET(
 id,A458,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8" s="26">
        <f t="shared" si="3"/>
        <v>0</v>
      </c>
      <c r="K458" s="26" t="b">
        <f t="shared" si="4"/>
        <v>0</v>
      </c>
      <c r="L458" s="26">
        <f t="shared" si="5"/>
        <v>1</v>
      </c>
      <c r="M458" s="26" t="str">
        <f>IFERROR(__xludf.DUMMYFUNCTION("LET(
 id,A458,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L458=0,
  """",
  IFERROR(INDEX(incomplete,1),"""")"&amp;"
 )
)"),"quest.once_upon_a_forest_chapter_1.finished")</f>
        <v>quest.once_upon_a_forest_chapter_1.finished</v>
      </c>
      <c r="N458" s="26" t="str">
        <f t="array" ref="N458">IF(
 M458="",
 "",
 _xlfn.XLOOKUP(
  M458,
  tblTargets[TargetID],
  tblTargets[DisplayName],
  M458
 )
)</f>
        <v>Once Upon a Forest Chapter 1 Finished</v>
      </c>
      <c r="O458" s="26" t="str">
        <f>IFERROR(__xludf.DUMMYFUNCTION("SWITCH(
 E458,
 ""BUILDING"",XLOOKUP(A458,tblBuildings[BuildingID],tblBuildings[costtext],""""),
 ""TECH"",XLOOKUP(A458,tblTechnologies[TechnologyID],tblTechnologies[costtext],""""),
 ""QUEST"",XLOOKUP(
  REGEXREPLACE(A458,""\.[^.]+$"",""""),
  tblQuests["&amp;"QuestID],
  tblQuests[Costtext],
  """"
 ),
 ""CITADEL"",XLOOKUP(A458,tblCitadel[CitadelID],tblCitadel[costtext],""""),
 ""COLLECTION"",XLOOKUP(A458,tblCollections[CollectionID],tblCollections[costtext],""""),
 ""CRAFTIFACT"",XLOOKUP(A458,tblCraftifacts[C"&amp;"raftifactID],tblCraftifacts[costtext],""""),
 """"
)"),"")</f>
        <v/>
      </c>
      <c r="P458" s="26" t="str">
        <f t="shared" si="6"/>
        <v>BLOCKED</v>
      </c>
      <c r="Q458" s="26" t="str">
        <f t="shared" si="7"/>
        <v>BLOCKED</v>
      </c>
      <c r="R458" s="26" t="str">
        <f t="array" ref="R458">IFERROR(
 _xlfn.XLOOKUP(
  A458,
  tblChecklist[TargetID],
  tblChecklist[PlayerSort],
  ""
 ),
 ""
)</f>
        <v/>
      </c>
      <c r="S458" s="26" t="str">
        <f>IFERROR(__xludf.DUMMYFUNCTION("LET(
 id,A458,
 successorIDs,
  IFERROR(
   UNIQUE(
    FILTER(
     {
      Dependencies!$A$2:$A$1000;
      QuestObjectives!$A$2:$A$1000
     },
     {
      Dependencies!$B$2:$B$1000;
      QuestObjectives!$E$2:$E$1000
     }=id
    )
   ),
   """"
  )"&amp;",
 names,
  MAP(
   successorIDs,
   LAMBDA(s,
    IF(
     s="""",
     """",
     XLOOKUP(
      s,
      $A$2:$A$1000,
      $B$2:$B$1000,
      s
     )
    )
   )
  ),
 IF(
  successorIDs="""",
  """",
  TEXTJOIN("", "",TRUE,names)
 )
)"),"Once Upon a Forest Chapter 2 Accepted")</f>
        <v>Once Upon a Forest Chapter 2 Accepted</v>
      </c>
      <c r="T458" s="26" t="str">
        <f t="array" ref="T458">_xlfn.XLOOKUP(
 A458,
 tblTargets[TargetID],
 tblTargets[CompletionMethod],
 ""
)</f>
        <v>PLAYER</v>
      </c>
      <c r="U458" s="84" t="b">
        <f>COUNTIF(tblCost[TargetID],A458)&gt;0</f>
        <v>0</v>
      </c>
      <c r="V458" s="85" t="str">
        <f t="array" ref="V458">IF(
 U458=FALSE,
 "",
 _xlfn.XLOOKUP(
  A458,
  tblCost[TargetID],
  tblCost[FundingPercent],
  ""
 )
)</f>
        <v/>
      </c>
      <c r="W458" s="26" t="str">
        <f t="array" ref="W458">IF(
 U458=FALSE,
 "",
 _xlfn.XLOOKUP(
  A458,
  tblCost[TargetID],
  tblCost[RemainingRequirements],
  ""
 )
)</f>
        <v/>
      </c>
      <c r="X458" s="45" t="str">
        <f t="array" ref="X458">IF(
 U458=FALSE,
 "N/A",
 _xlfn.XLOOKUP(
  A459,
  tblCost[TargetID],
  tblCost[TargetFunded],
  FALSE
 )
)</f>
        <v>N/A</v>
      </c>
      <c r="Y458" s="26" t="str">
        <f>IFERROR(__xludf.DUMMYFUNCTION("IFERROR(
 TEXTJOIN(
  "", "",
  TRUE,
  FILTER(
   'cost checklist'!$E$2:$E1000&amp;"": ""&amp;'cost checklist'!$G$2:$G1000,
   'cost checklist'!$B$2:$B1000=A458,
   'cost checklist'!$J$2:$J1000=FALSE
  )
 ),
 """"
)"),"")</f>
        <v/>
      </c>
      <c r="Z458" s="26" t="b">
        <f>IFERROR(__xludf.DUMMYFUNCTION("IF(
 AND(
  E458=""QUEST"",
  RIGHT(A458,9)="".accepted"",
  D458=TRUE
 ),
 XLOOKUP(
  REGEXREPLACE(A458,""\.accepted$"","""")&amp;"".finished"",
  $A$2:$A1000,
  $D$2:$D1000,
  TRUE
 )=FALSE,
 FALSE
)"),FALSE)</f>
        <v>0</v>
      </c>
      <c r="AA458" s="26" t="str">
        <f>IFERROR(__xludf.DUMMYFUNCTION("LET(
 id,A458,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2")</f>
        <v>Once Upon a Forest Chapter 2</v>
      </c>
    </row>
    <row r="459" ht="14.25" customHeight="1">
      <c r="A459" s="26" t="s">
        <v>1563</v>
      </c>
      <c r="B459" s="26" t="str">
        <f t="array" ref="B459">_xlfn.XLOOKUP(
 A459,
 tblTargets[TargetID],
 tblTargets[DisplayName],
 ""
)</f>
        <v>Repeat Visit Dungeon@ F1</v>
      </c>
      <c r="C459" s="26" t="str">
        <f t="shared" si="1"/>
        <v>BLOCKED</v>
      </c>
      <c r="D459" s="26" t="b">
        <f>IFERROR(__xludf.DUMMYFUNCTION("LET(
 id,A459,
 IF(
  F459=""CHARACTER"",
  LET(
   base,REGEXREPLACE(id,""@\d+$"",""""),
   required,VALUE(REGEXEXTRACT(id,""@(\d+)$"")),
   current,XLOOKUP(
    base,
    tblPlayer[PlayerStateID],
    tblPlayer[Value],
    0
   ),
   current&gt;=required
 "&amp;" ),
  IF(
   T459=""AUTO"",
   L459=0,
   COUNTIFS(
    tblChecklist[TargetID],id,
    tblChecklist[PlayerCompleted],TRUE
   )&gt;0
  )
 )
)"),FALSE)</f>
        <v>0</v>
      </c>
      <c r="E459" s="26" t="str">
        <f t="array" ref="E459">_xlfn.XLOOKUP(
 A459,
 tblTargets[TargetID],
 tblTargets[TargetType],
 ""
)</f>
        <v>STATE</v>
      </c>
      <c r="F459" s="26" t="str">
        <f t="array" ref="F459">_xlfn.XLOOKUP(
 A459,
 tblTargets[TargetID],
 tblTargets[StateType],
 ""
)</f>
        <v>MEET</v>
      </c>
      <c r="G459" s="26">
        <f>LET(
 id,A459,
 depCount,COUNTIF(tblDependencies[TargetID],id),
 objCount,COUNTIF(tblQuestObjectives[QuestTargetID],id),
 depCount+objCount
)</f>
        <v>1</v>
      </c>
      <c r="H459" s="26">
        <f t="shared" si="2"/>
        <v>1</v>
      </c>
      <c r="I459" s="26">
        <f>IFERROR(__xludf.DUMMYFUNCTION("LET(
 id,A459,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59" s="26">
        <f t="shared" si="3"/>
        <v>0</v>
      </c>
      <c r="K459" s="26" t="b">
        <f t="shared" si="4"/>
        <v>0</v>
      </c>
      <c r="L459" s="26">
        <f t="shared" si="5"/>
        <v>1</v>
      </c>
      <c r="M459" s="26" t="str">
        <f>IFERROR(__xludf.DUMMYFUNCTION("LET(
 id,A459,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L459=0,
  """",
  IFERROR(INDEX(incomplete,1),"""")"&amp;"
 )
)"),"quest.once_upon_a_forest_chapter_3.finished")</f>
        <v>quest.once_upon_a_forest_chapter_3.finished</v>
      </c>
      <c r="N459" s="26" t="str">
        <f t="array" ref="N459">IF(
 M459="",
 "",
 _xlfn.XLOOKUP(
  M459,
  tblTargets[TargetID],
  tblTargets[DisplayName],
  M459
 )
)</f>
        <v>Once Upon a Forest Chapter 3 Finished</v>
      </c>
      <c r="O459" s="26" t="str">
        <f>IFERROR(__xludf.DUMMYFUNCTION("SWITCH(
 E459,
 ""BUILDING"",XLOOKUP(A459,tblBuildings[BuildingID],tblBuildings[costtext],""""),
 ""TECH"",XLOOKUP(A459,tblTechnologies[TechnologyID],tblTechnologies[costtext],""""),
 ""QUEST"",XLOOKUP(
  REGEXREPLACE(A459,""\.[^.]+$"",""""),
  tblQuests["&amp;"QuestID],
  tblQuests[Costtext],
  """"
 ),
 ""CITADEL"",XLOOKUP(A459,tblCitadel[CitadelID],tblCitadel[costtext],""""),
 ""COLLECTION"",XLOOKUP(A459,tblCollections[CollectionID],tblCollections[costtext],""""),
 ""CRAFTIFACT"",XLOOKUP(A459,tblCraftifacts[C"&amp;"raftifactID],tblCraftifacts[costtext],""""),
 """"
)"),"")</f>
        <v/>
      </c>
      <c r="P459" s="26" t="str">
        <f t="shared" si="6"/>
        <v>BLOCKED</v>
      </c>
      <c r="Q459" s="26" t="str">
        <f t="shared" si="7"/>
        <v>BLOCKED</v>
      </c>
      <c r="R459" s="26" t="str">
        <f t="array" ref="R459">IFERROR(
 _xlfn.XLOOKUP(
  A459,
  tblChecklist[TargetID],
  tblChecklist[PlayerSort],
  ""
 ),
 ""
)</f>
        <v/>
      </c>
      <c r="S459" s="26" t="str">
        <f>IFERROR(__xludf.DUMMYFUNCTION("LET(
 id,A459,
 successorIDs,
  IFERROR(
   UNIQUE(
    FILTER(
     {
      Dependencies!$A$2:$A$1000;
      QuestObjectives!$A$2:$A$1000
     },
     {
      Dependencies!$B$2:$B$1000;
      QuestObjectives!$E$2:$E$1000
     }=id
    )
   ),
   """"
  )"&amp;",
 names,
  MAP(
   successorIDs,
   LAMBDA(s,
    IF(
     s="""",
     """",
     XLOOKUP(
      s,
      $A$2:$A$1000,
      $B$2:$B$1000,
      s
     )
    )
   )
  ),
 IF(
  successorIDs="""",
  """",
  TEXTJOIN("", "",TRUE,names)
 )
)"),"Once Upon a Forest Chapter 4 Accepted")</f>
        <v>Once Upon a Forest Chapter 4 Accepted</v>
      </c>
      <c r="T459" s="26" t="str">
        <f t="array" ref="T459">_xlfn.XLOOKUP(
 A459,
 tblTargets[TargetID],
 tblTargets[CompletionMethod],
 ""
)</f>
        <v>PLAYER</v>
      </c>
      <c r="U459" s="84" t="b">
        <f>COUNTIF(tblCost[TargetID],A459)&gt;0</f>
        <v>0</v>
      </c>
      <c r="V459" s="85" t="str">
        <f t="array" ref="V459">IF(
 U459=FALSE,
 "",
 _xlfn.XLOOKUP(
  A459,
  tblCost[TargetID],
  tblCost[FundingPercent],
  ""
 )
)</f>
        <v/>
      </c>
      <c r="W459" s="26" t="str">
        <f t="array" ref="W459">IF(
 U459=FALSE,
 "",
 _xlfn.XLOOKUP(
  A459,
  tblCost[TargetID],
  tblCost[RemainingRequirements],
  ""
 )
)</f>
        <v/>
      </c>
      <c r="X459" s="45" t="str">
        <f t="array" ref="X459">IF(
 U459=FALSE,
 "N/A",
 _xlfn.XLOOKUP(
  A460,
  tblCost[TargetID],
  tblCost[TargetFunded],
  FALSE
 )
)</f>
        <v>N/A</v>
      </c>
      <c r="Y459" s="26" t="str">
        <f>IFERROR(__xludf.DUMMYFUNCTION("IFERROR(
 TEXTJOIN(
  "", "",
  TRUE,
  FILTER(
   'cost checklist'!$E$2:$E1000&amp;"": ""&amp;'cost checklist'!$G$2:$G1000,
   'cost checklist'!$B$2:$B1000=A459,
   'cost checklist'!$J$2:$J1000=FALSE
  )
 ),
 """"
)"),"")</f>
        <v/>
      </c>
      <c r="Z459" s="26" t="b">
        <f>IFERROR(__xludf.DUMMYFUNCTION("IF(
 AND(
  E459=""QUEST"",
  RIGHT(A459,9)="".accepted"",
  D459=TRUE
 ),
 XLOOKUP(
  REGEXREPLACE(A459,""\.accepted$"","""")&amp;"".finished"",
  $A$2:$A1000,
  $D$2:$D1000,
  TRUE
 )=FALSE,
 FALSE
)"),FALSE)</f>
        <v>0</v>
      </c>
      <c r="AA459" s="26" t="str">
        <f>IFERROR(__xludf.DUMMYFUNCTION("LET(
 id,A459,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4")</f>
        <v>Once Upon a Forest Chapter 4</v>
      </c>
    </row>
    <row r="460" ht="14.25" customHeight="1">
      <c r="A460" s="26" t="s">
        <v>1565</v>
      </c>
      <c r="B460" s="26" t="str">
        <f t="array" ref="B460">_xlfn.XLOOKUP(
 A460,
 tblTargets[TargetID],
 tblTargets[DisplayName],
 ""
)</f>
        <v>Meet Raven@F1</v>
      </c>
      <c r="C460" s="26" t="str">
        <f t="shared" si="1"/>
        <v>BLOCKED</v>
      </c>
      <c r="D460" s="26" t="b">
        <f>IFERROR(__xludf.DUMMYFUNCTION("LET(
 id,A460,
 IF(
  F460=""CHARACTER"",
  LET(
   base,REGEXREPLACE(id,""@\d+$"",""""),
   required,VALUE(REGEXEXTRACT(id,""@(\d+)$"")),
   current,XLOOKUP(
    base,
    tblPlayer[PlayerStateID],
    tblPlayer[Value],
    0
   ),
   current&gt;=required
 "&amp;" ),
  IF(
   T460=""AUTO"",
   L460=0,
   COUNTIFS(
    tblChecklist[TargetID],id,
    tblChecklist[PlayerCompleted],TRUE
   )&gt;0
  )
 )
)"),FALSE)</f>
        <v>0</v>
      </c>
      <c r="E460" s="26" t="str">
        <f t="array" ref="E460">_xlfn.XLOOKUP(
 A460,
 tblTargets[TargetID],
 tblTargets[TargetType],
 ""
)</f>
        <v>STATE</v>
      </c>
      <c r="F460" s="26" t="str">
        <f t="array" ref="F460">_xlfn.XLOOKUP(
 A460,
 tblTargets[TargetID],
 tblTargets[StateType],
 ""
)</f>
        <v>MEET</v>
      </c>
      <c r="G460" s="26">
        <f>LET(
 id,A460,
 depCount,COUNTIF(tblDependencies[TargetID],id),
 objCount,COUNTIF(tblQuestObjectives[QuestTargetID],id),
 depCount+objCount
)</f>
        <v>2</v>
      </c>
      <c r="H460" s="26">
        <f t="shared" si="2"/>
        <v>2</v>
      </c>
      <c r="I460" s="26">
        <f>IFERROR(__xludf.DUMMYFUNCTION("LET(
 id,A460,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0" s="26">
        <f t="shared" si="3"/>
        <v>0</v>
      </c>
      <c r="K460" s="26" t="b">
        <f t="shared" si="4"/>
        <v>0</v>
      </c>
      <c r="L460" s="26">
        <f t="shared" si="5"/>
        <v>2</v>
      </c>
      <c r="M460" s="26" t="str">
        <f>IFERROR(__xludf.DUMMYFUNCTION("LET(
 id,A460,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L460=0,
  """",
  IFERROR(INDEX(incomplete,1),"""")"&amp;"
 )
)"),"quest.once_upon_a_forest_chapter_14.finished")</f>
        <v>quest.once_upon_a_forest_chapter_14.finished</v>
      </c>
      <c r="N460" s="26" t="str">
        <f t="array" ref="N460">IF(
 M460="",
 "",
 _xlfn.XLOOKUP(
  M460,
  tblTargets[TargetID],
  tblTargets[DisplayName],
  M460
 )
)</f>
        <v>Once Upon a Forest Chapter 14 Finished</v>
      </c>
      <c r="O460" s="26" t="str">
        <f>IFERROR(__xludf.DUMMYFUNCTION("SWITCH(
 E460,
 ""BUILDING"",XLOOKUP(A460,tblBuildings[BuildingID],tblBuildings[costtext],""""),
 ""TECH"",XLOOKUP(A460,tblTechnologies[TechnologyID],tblTechnologies[costtext],""""),
 ""QUEST"",XLOOKUP(
  REGEXREPLACE(A460,""\.[^.]+$"",""""),
  tblQuests["&amp;"QuestID],
  tblQuests[Costtext],
  """"
 ),
 ""CITADEL"",XLOOKUP(A460,tblCitadel[CitadelID],tblCitadel[costtext],""""),
 ""COLLECTION"",XLOOKUP(A460,tblCollections[CollectionID],tblCollections[costtext],""""),
 ""CRAFTIFACT"",XLOOKUP(A460,tblCraftifacts[C"&amp;"raftifactID],tblCraftifacts[costtext],""""),
 """"
)"),"")</f>
        <v/>
      </c>
      <c r="P460" s="26" t="str">
        <f t="shared" si="6"/>
        <v>BLOCKED</v>
      </c>
      <c r="Q460" s="26" t="str">
        <f t="shared" si="7"/>
        <v>BLOCKED</v>
      </c>
      <c r="R460" s="26" t="str">
        <f t="array" ref="R460">IFERROR(
 _xlfn.XLOOKUP(
  A460,
  tblChecklist[TargetID],
  tblChecklist[PlayerSort],
  ""
 ),
 ""
)</f>
        <v/>
      </c>
      <c r="S460" s="26" t="str">
        <f>IFERROR(__xludf.DUMMYFUNCTION("LET(
 id,A460,
 successorIDs,
  IFERROR(
   UNIQUE(
    FILTER(
     {
      Dependencies!$A$2:$A$1000;
      QuestObjectives!$A$2:$A$1000
     },
     {
      Dependencies!$B$2:$B$1000;
      QuestObjectives!$E$2:$E$1000
     }=id
    )
   ),
   """"
  )"&amp;",
 names,
  MAP(
   successorIDs,
   LAMBDA(s,
    IF(
     s="""",
     """",
     XLOOKUP(
      s,
      $A$2:$A$1000,
      $B$2:$B$1000,
      s
     )
    )
   )
  ),
 IF(
  successorIDs="""",
  """",
  TEXTJOIN("", "",TRUE,names)
 )
)"),"Once Upon a Forest Chapter 15 Accepted")</f>
        <v>Once Upon a Forest Chapter 15 Accepted</v>
      </c>
      <c r="T460" s="26" t="str">
        <f t="array" ref="T460">_xlfn.XLOOKUP(
 A460,
 tblTargets[TargetID],
 tblTargets[CompletionMethod],
 ""
)</f>
        <v>PLAYER</v>
      </c>
      <c r="U460" s="84" t="b">
        <f>COUNTIF(tblCost[TargetID],A460)&gt;0</f>
        <v>0</v>
      </c>
      <c r="V460" s="85" t="str">
        <f t="array" ref="V460">IF(
 U460=FALSE,
 "",
 _xlfn.XLOOKUP(
  A460,
  tblCost[TargetID],
  tblCost[FundingPercent],
  ""
 )
)</f>
        <v/>
      </c>
      <c r="W460" s="26" t="str">
        <f t="array" ref="W460">IF(
 U460=FALSE,
 "",
 _xlfn.XLOOKUP(
  A460,
  tblCost[TargetID],
  tblCost[RemainingRequirements],
  ""
 )
)</f>
        <v/>
      </c>
      <c r="X460" s="45" t="str">
        <f t="array" ref="X460">IF(
 U460=FALSE,
 "N/A",
 _xlfn.XLOOKUP(
  A461,
  tblCost[TargetID],
  tblCost[TargetFunded],
  FALSE
 )
)</f>
        <v>N/A</v>
      </c>
      <c r="Y460" s="26" t="str">
        <f>IFERROR(__xludf.DUMMYFUNCTION("IFERROR(
 TEXTJOIN(
  "", "",
  TRUE,
  FILTER(
   'cost checklist'!$E$2:$E1000&amp;"": ""&amp;'cost checklist'!$G$2:$G1000,
   'cost checklist'!$B$2:$B1000=A460,
   'cost checklist'!$J$2:$J1000=FALSE
  )
 ),
 """"
)"),"")</f>
        <v/>
      </c>
      <c r="Z460" s="26" t="b">
        <f>IFERROR(__xludf.DUMMYFUNCTION("IF(
 AND(
  E460=""QUEST"",
  RIGHT(A460,9)="".accepted"",
  D460=TRUE
 ),
 XLOOKUP(
  REGEXREPLACE(A460,""\.accepted$"","""")&amp;"".finished"",
  $A$2:$A1000,
  $D$2:$D1000,
  TRUE
 )=FALSE,
 FALSE
)"),FALSE)</f>
        <v>0</v>
      </c>
      <c r="AA460" s="26" t="str">
        <f>IFERROR(__xludf.DUMMYFUNCTION("LET(
 id,A460,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15")</f>
        <v>Once Upon a Forest Chapter 15</v>
      </c>
    </row>
    <row r="461" ht="14.25" customHeight="1">
      <c r="A461" s="26" t="s">
        <v>1568</v>
      </c>
      <c r="B461" s="26" t="str">
        <f t="array" ref="B461">_xlfn.XLOOKUP(
 A461,
 tblTargets[TargetID],
 tblTargets[DisplayName],
 ""
)</f>
        <v>Meet the raven in F2</v>
      </c>
      <c r="C461" s="26" t="str">
        <f t="shared" si="1"/>
        <v>BLOCKED</v>
      </c>
      <c r="D461" s="26" t="b">
        <f>IFERROR(__xludf.DUMMYFUNCTION("LET(
 id,A461,
 IF(
  F461=""CHARACTER"",
  LET(
   base,REGEXREPLACE(id,""@\d+$"",""""),
   required,VALUE(REGEXEXTRACT(id,""@(\d+)$"")),
   current,XLOOKUP(
    base,
    tblPlayer[PlayerStateID],
    tblPlayer[Value],
    0
   ),
   current&gt;=required
 "&amp;" ),
  IF(
   T461=""AUTO"",
   L461=0,
   COUNTIFS(
    tblChecklist[TargetID],id,
    tblChecklist[PlayerCompleted],TRUE
   )&gt;0
  )
 )
)"),FALSE)</f>
        <v>0</v>
      </c>
      <c r="E461" s="26" t="str">
        <f t="array" ref="E461">_xlfn.XLOOKUP(
 A461,
 tblTargets[TargetID],
 tblTargets[TargetType],
 ""
)</f>
        <v>STATE</v>
      </c>
      <c r="F461" s="26" t="str">
        <f t="array" ref="F461">_xlfn.XLOOKUP(
 A461,
 tblTargets[TargetID],
 tblTargets[StateType],
 ""
)</f>
        <v>MEET</v>
      </c>
      <c r="G461" s="26">
        <f>LET(
 id,A461,
 depCount,COUNTIF(tblDependencies[TargetID],id),
 objCount,COUNTIF(tblQuestObjectives[QuestTargetID],id),
 depCount+objCount
)</f>
        <v>1</v>
      </c>
      <c r="H461" s="26">
        <f t="shared" si="2"/>
        <v>1</v>
      </c>
      <c r="I461" s="26">
        <f>IFERROR(__xludf.DUMMYFUNCTION("LET(
 id,A461,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1" s="26">
        <f t="shared" si="3"/>
        <v>0</v>
      </c>
      <c r="K461" s="26" t="b">
        <f t="shared" si="4"/>
        <v>0</v>
      </c>
      <c r="L461" s="26">
        <f t="shared" si="5"/>
        <v>1</v>
      </c>
      <c r="M461" s="26" t="str">
        <f>IFERROR(__xludf.DUMMYFUNCTION("LET(
 id,A461,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L461=0,
  """",
  IFERROR(INDEX(incomplete,1),"""")"&amp;"
 )
)"),"quest.once_upon_a_forest_chapter_15.accepted")</f>
        <v>quest.once_upon_a_forest_chapter_15.accepted</v>
      </c>
      <c r="N461" s="26" t="str">
        <f t="array" ref="N461">IF(
 M461="",
 "",
 _xlfn.XLOOKUP(
  M461,
  tblTargets[TargetID],
  tblTargets[DisplayName],
  M461
 )
)</f>
        <v>Once Upon a Forest Chapter 15 Accepted</v>
      </c>
      <c r="O461" s="26" t="str">
        <f>IFERROR(__xludf.DUMMYFUNCTION("SWITCH(
 E461,
 ""BUILDING"",XLOOKUP(A461,tblBuildings[BuildingID],tblBuildings[costtext],""""),
 ""TECH"",XLOOKUP(A461,tblTechnologies[TechnologyID],tblTechnologies[costtext],""""),
 ""QUEST"",XLOOKUP(
  REGEXREPLACE(A461,""\.[^.]+$"",""""),
  tblQuests["&amp;"QuestID],
  tblQuests[Costtext],
  """"
 ),
 ""CITADEL"",XLOOKUP(A461,tblCitadel[CitadelID],tblCitadel[costtext],""""),
 ""COLLECTION"",XLOOKUP(A461,tblCollections[CollectionID],tblCollections[costtext],""""),
 ""CRAFTIFACT"",XLOOKUP(A461,tblCraftifacts[C"&amp;"raftifactID],tblCraftifacts[costtext],""""),
 """"
)"),"")</f>
        <v/>
      </c>
      <c r="P461" s="26" t="str">
        <f t="shared" si="6"/>
        <v>BLOCKED</v>
      </c>
      <c r="Q461" s="26" t="str">
        <f t="shared" si="7"/>
        <v>BLOCKED</v>
      </c>
      <c r="R461" s="26" t="str">
        <f t="array" ref="R461">IFERROR(
 _xlfn.XLOOKUP(
  A461,
  tblChecklist[TargetID],
  tblChecklist[PlayerSort],
  ""
 ),
 ""
)</f>
        <v/>
      </c>
      <c r="S461" s="26" t="str">
        <f>IFERROR(__xludf.DUMMYFUNCTION("LET(
 id,A461,
 successorIDs,
  IFERROR(
   UNIQUE(
    FILTER(
     {
      Dependencies!$A$2:$A$1000;
      QuestObjectives!$A$2:$A$1000
     },
     {
      Dependencies!$B$2:$B$1000;
      QuestObjectives!$E$2:$E$1000
     }=id
    )
   ),
   """"
  )"&amp;",
 names,
  MAP(
   successorIDs,
   LAMBDA(s,
    IF(
     s="""",
     """",
     XLOOKUP(
      s,
      $A$2:$A$1000,
      $B$2:$B$1000,
      s
     )
    )
   )
  ),
 IF(
  successorIDs="""",
  """",
  TEXTJOIN("", "",TRUE,names)
 )
)"),"Once Upon a Forest Chapter 15 Finished")</f>
        <v>Once Upon a Forest Chapter 15 Finished</v>
      </c>
      <c r="T461" s="26" t="str">
        <f t="array" ref="T461">_xlfn.XLOOKUP(
 A461,
 tblTargets[TargetID],
 tblTargets[CompletionMethod],
 ""
)</f>
        <v>PLAYER</v>
      </c>
      <c r="U461" s="84" t="b">
        <f>COUNTIF(tblCost[TargetID],A461)&gt;0</f>
        <v>0</v>
      </c>
      <c r="V461" s="85" t="str">
        <f t="array" ref="V461">IF(
 U461=FALSE,
 "",
 _xlfn.XLOOKUP(
  A461,
  tblCost[TargetID],
  tblCost[FundingPercent],
  ""
 )
)</f>
        <v/>
      </c>
      <c r="W461" s="26" t="str">
        <f t="array" ref="W461">IF(
 U461=FALSE,
 "",
 _xlfn.XLOOKUP(
  A461,
  tblCost[TargetID],
  tblCost[RemainingRequirements],
  ""
 )
)</f>
        <v/>
      </c>
      <c r="X461" s="45" t="str">
        <f t="array" ref="X461">IF(
 U461=FALSE,
 "N/A",
 _xlfn.XLOOKUP(
  A462,
  tblCost[TargetID],
  tblCost[TargetFunded],
  FALSE
 )
)</f>
        <v>N/A</v>
      </c>
      <c r="Y461" s="26" t="str">
        <f>IFERROR(__xludf.DUMMYFUNCTION("IFERROR(
 TEXTJOIN(
  "", "",
  TRUE,
  FILTER(
   'cost checklist'!$E$2:$E1000&amp;"": ""&amp;'cost checklist'!$G$2:$G1000,
   'cost checklist'!$B$2:$B1000=A461,
   'cost checklist'!$J$2:$J1000=FALSE
  )
 ),
 """"
)"),"")</f>
        <v/>
      </c>
      <c r="Z461" s="26" t="b">
        <f>IFERROR(__xludf.DUMMYFUNCTION("IF(
 AND(
  E461=""QUEST"",
  RIGHT(A461,9)="".accepted"",
  D461=TRUE
 ),
 XLOOKUP(
  REGEXREPLACE(A461,""\.accepted$"","""")&amp;"".finished"",
  $A$2:$A1000,
  $D$2:$D1000,
  TRUE
 )=FALSE,
 FALSE
)"),FALSE)</f>
        <v>0</v>
      </c>
      <c r="AA461" s="26" t="str">
        <f>IFERROR(__xludf.DUMMYFUNCTION("LET(
 id,A461,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62" ht="14.25" customHeight="1">
      <c r="A462" s="26" t="s">
        <v>1570</v>
      </c>
      <c r="B462" s="26" t="str">
        <f t="array" ref="B462">_xlfn.XLOOKUP(
 A462,
 tblTargets[TargetID],
 tblTargets[DisplayName],
 ""
)</f>
        <v>Meet Raven@F3</v>
      </c>
      <c r="C462" s="26" t="str">
        <f t="shared" si="1"/>
        <v>BLOCKED</v>
      </c>
      <c r="D462" s="26" t="b">
        <f>IFERROR(__xludf.DUMMYFUNCTION("LET(
 id,A462,
 IF(
  F462=""CHARACTER"",
  LET(
   base,REGEXREPLACE(id,""@\d+$"",""""),
   required,VALUE(REGEXEXTRACT(id,""@(\d+)$"")),
   current,XLOOKUP(
    base,
    tblPlayer[PlayerStateID],
    tblPlayer[Value],
    0
   ),
   current&gt;=required
 "&amp;" ),
  IF(
   T462=""AUTO"",
   L462=0,
   COUNTIFS(
    tblChecklist[TargetID],id,
    tblChecklist[PlayerCompleted],TRUE
   )&gt;0
  )
 )
)"),FALSE)</f>
        <v>0</v>
      </c>
      <c r="E462" s="26" t="str">
        <f t="array" ref="E462">_xlfn.XLOOKUP(
 A462,
 tblTargets[TargetID],
 tblTargets[TargetType],
 ""
)</f>
        <v>STATE</v>
      </c>
      <c r="F462" s="26" t="str">
        <f t="array" ref="F462">_xlfn.XLOOKUP(
 A462,
 tblTargets[TargetID],
 tblTargets[StateType],
 ""
)</f>
        <v>MEET</v>
      </c>
      <c r="G462" s="26">
        <f>LET(
 id,A462,
 depCount,COUNTIF(tblDependencies[TargetID],id),
 objCount,COUNTIF(tblQuestObjectives[QuestTargetID],id),
 depCount+objCount
)</f>
        <v>1</v>
      </c>
      <c r="H462" s="26">
        <f t="shared" si="2"/>
        <v>1</v>
      </c>
      <c r="I462" s="26">
        <f>IFERROR(__xludf.DUMMYFUNCTION("LET(
 id,A462,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2" s="26">
        <f t="shared" si="3"/>
        <v>0</v>
      </c>
      <c r="K462" s="26" t="b">
        <f t="shared" si="4"/>
        <v>0</v>
      </c>
      <c r="L462" s="26">
        <f t="shared" si="5"/>
        <v>1</v>
      </c>
      <c r="M462" s="26" t="str">
        <f>IFERROR(__xludf.DUMMYFUNCTION("LET(
 id,A462,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L462=0,
  """",
  IFERROR(INDEX(incomplete,1),"""")"&amp;"
 )
)"),"quest.once_upon_a_forest_chapter_7.finished")</f>
        <v>quest.once_upon_a_forest_chapter_7.finished</v>
      </c>
      <c r="N462" s="26" t="str">
        <f t="array" ref="N462">IF(
 M462="",
 "",
 _xlfn.XLOOKUP(
  M462,
  tblTargets[TargetID],
  tblTargets[DisplayName],
  M462
 )
)</f>
        <v>Once Upon a Forest Chapter 7 Finished</v>
      </c>
      <c r="O462" s="26" t="str">
        <f>IFERROR(__xludf.DUMMYFUNCTION("SWITCH(
 E462,
 ""BUILDING"",XLOOKUP(A462,tblBuildings[BuildingID],tblBuildings[costtext],""""),
 ""TECH"",XLOOKUP(A462,tblTechnologies[TechnologyID],tblTechnologies[costtext],""""),
 ""QUEST"",XLOOKUP(
  REGEXREPLACE(A462,""\.[^.]+$"",""""),
  tblQuests["&amp;"QuestID],
  tblQuests[Costtext],
  """"
 ),
 ""CITADEL"",XLOOKUP(A462,tblCitadel[CitadelID],tblCitadel[costtext],""""),
 ""COLLECTION"",XLOOKUP(A462,tblCollections[CollectionID],tblCollections[costtext],""""),
 ""CRAFTIFACT"",XLOOKUP(A462,tblCraftifacts[C"&amp;"raftifactID],tblCraftifacts[costtext],""""),
 """"
)"),"")</f>
        <v/>
      </c>
      <c r="P462" s="26" t="str">
        <f t="shared" si="6"/>
        <v>BLOCKED</v>
      </c>
      <c r="Q462" s="26" t="str">
        <f t="shared" si="7"/>
        <v>BLOCKED</v>
      </c>
      <c r="R462" s="26" t="str">
        <f t="array" ref="R462">IFERROR(
 _xlfn.XLOOKUP(
  A462,
  tblChecklist[TargetID],
  tblChecklist[PlayerSort],
  ""
 ),
 ""
)</f>
        <v/>
      </c>
      <c r="S462" s="26" t="str">
        <f>IFERROR(__xludf.DUMMYFUNCTION("LET(
 id,A462,
 successorIDs,
  IFERROR(
   UNIQUE(
    FILTER(
     {
      Dependencies!$A$2:$A$1000;
      QuestObjectives!$A$2:$A$1000
     },
     {
      Dependencies!$B$2:$B$1000;
      QuestObjectives!$E$2:$E$1000
     }=id
    )
   ),
   """"
  )"&amp;",
 names,
  MAP(
   successorIDs,
   LAMBDA(s,
    IF(
     s="""",
     """",
     XLOOKUP(
      s,
      $A$2:$A$1000,
      $B$2:$B$1000,
      s
     )
    )
   )
  ),
 IF(
  successorIDs="""",
  """",
  TEXTJOIN("", "",TRUE,names)
 )
)"),"Once Upon a Forest Chapter 8 Accepted")</f>
        <v>Once Upon a Forest Chapter 8 Accepted</v>
      </c>
      <c r="T462" s="26" t="str">
        <f t="array" ref="T462">_xlfn.XLOOKUP(
 A462,
 tblTargets[TargetID],
 tblTargets[CompletionMethod],
 ""
)</f>
        <v>PLAYER</v>
      </c>
      <c r="U462" s="84" t="b">
        <f>COUNTIF(tblCost[TargetID],A462)&gt;0</f>
        <v>0</v>
      </c>
      <c r="V462" s="85" t="str">
        <f t="array" ref="V462">IF(
 U462=FALSE,
 "",
 _xlfn.XLOOKUP(
  A462,
  tblCost[TargetID],
  tblCost[FundingPercent],
  ""
 )
)</f>
        <v/>
      </c>
      <c r="W462" s="26" t="str">
        <f t="array" ref="W462">IF(
 U462=FALSE,
 "",
 _xlfn.XLOOKUP(
  A462,
  tblCost[TargetID],
  tblCost[RemainingRequirements],
  ""
 )
)</f>
        <v/>
      </c>
      <c r="X462" s="45" t="str">
        <f t="array" ref="X462">IF(
 U462=FALSE,
 "N/A",
 _xlfn.XLOOKUP(
  A463,
  tblCost[TargetID],
  tblCost[TargetFunded],
  FALSE
 )
)</f>
        <v>N/A</v>
      </c>
      <c r="Y462" s="26" t="str">
        <f>IFERROR(__xludf.DUMMYFUNCTION("IFERROR(
 TEXTJOIN(
  "", "",
  TRUE,
  FILTER(
   'cost checklist'!$E$2:$E1000&amp;"": ""&amp;'cost checklist'!$G$2:$G1000,
   'cost checklist'!$B$2:$B1000=A462,
   'cost checklist'!$J$2:$J1000=FALSE
  )
 ),
 """"
)"),"")</f>
        <v/>
      </c>
      <c r="Z462" s="26" t="b">
        <f>IFERROR(__xludf.DUMMYFUNCTION("IF(
 AND(
  E462=""QUEST"",
  RIGHT(A462,9)="".accepted"",
  D462=TRUE
 ),
 XLOOKUP(
  REGEXREPLACE(A462,""\.accepted$"","""")&amp;"".finished"",
  $A$2:$A1000,
  $D$2:$D1000,
  TRUE
 )=FALSE,
 FALSE
)"),FALSE)</f>
        <v>0</v>
      </c>
      <c r="AA462" s="26" t="str">
        <f>IFERROR(__xludf.DUMMYFUNCTION("LET(
 id,A462,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)"),"Once Upon a Forest Chapter 8")</f>
        <v>Once Upon a Forest Chapter 8</v>
      </c>
    </row>
    <row r="463" ht="14.25" customHeight="1">
      <c r="A463" s="26" t="s">
        <v>1572</v>
      </c>
      <c r="B463" s="26" t="str">
        <f t="array" ref="B463">_xlfn.XLOOKUP(
 A463,
 tblTargets[TargetID],
 tblTargets[DisplayName],
 ""
)</f>
        <v>Meet Samurai Panda@6A</v>
      </c>
      <c r="C463" s="26" t="str">
        <f t="shared" si="1"/>
        <v>BLOCKED</v>
      </c>
      <c r="D463" s="26" t="b">
        <f>IFERROR(__xludf.DUMMYFUNCTION("LET(
 id,A463,
 IF(
  F463=""CHARACTER"",
  LET(
   base,REGEXREPLACE(id,""@\d+$"",""""),
   required,VALUE(REGEXEXTRACT(id,""@(\d+)$"")),
   current,XLOOKUP(
    base,
    tblPlayer[PlayerStateID],
    tblPlayer[Value],
    0
   ),
   current&gt;=required
 "&amp;" ),
  IF(
   T463=""AUTO"",
   L463=0,
   COUNTIFS(
    tblChecklist[TargetID],id,
    tblChecklist[PlayerCompleted],TRUE
   )&gt;0
  )
 )
)"),FALSE)</f>
        <v>0</v>
      </c>
      <c r="E463" s="26" t="str">
        <f t="array" ref="E463">_xlfn.XLOOKUP(
 A463,
 tblTargets[TargetID],
 tblTargets[TargetType],
 ""
)</f>
        <v>STATE</v>
      </c>
      <c r="F463" s="26" t="str">
        <f t="array" ref="F463">_xlfn.XLOOKUP(
 A463,
 tblTargets[TargetID],
 tblTargets[StateType],
 ""
)</f>
        <v>MEET</v>
      </c>
      <c r="G463" s="26">
        <f>LET(
 id,A463,
 depCount,COUNTIF(tblDependencies[TargetID],id),
 objCount,COUNTIF(tblQuestObjectives[QuestTargetID],id),
 depCount+objCount
)</f>
        <v>1</v>
      </c>
      <c r="H463" s="26">
        <f t="shared" si="2"/>
        <v>1</v>
      </c>
      <c r="I463" s="26">
        <f>IFERROR(__xludf.DUMMYFUNCTION("LET(
 id,A463,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3" s="26">
        <f t="shared" si="3"/>
        <v>0</v>
      </c>
      <c r="K463" s="26" t="b">
        <f t="shared" si="4"/>
        <v>0</v>
      </c>
      <c r="L463" s="26">
        <f t="shared" si="5"/>
        <v>1</v>
      </c>
      <c r="M463" s="26" t="str">
        <f>IFERROR(__xludf.DUMMYFUNCTION("LET(
 id,A463,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L463=0,
  """",
  IFERROR(INDEX(incomplete,1),"""")"&amp;"
 )
)"),"quest.once_upon_a_forest_chapter_12.finished")</f>
        <v>quest.once_upon_a_forest_chapter_12.finished</v>
      </c>
      <c r="N463" s="26" t="str">
        <f t="array" ref="N463">IF(
 M463="",
 "",
 _xlfn.XLOOKUP(
  M463,
  tblTargets[TargetID],
  tblTargets[DisplayName],
  M463
 )
)</f>
        <v>Once Upon a Forest Chapter 12 Finished</v>
      </c>
      <c r="O463" s="26" t="str">
        <f>IFERROR(__xludf.DUMMYFUNCTION("SWITCH(
 E463,
 ""BUILDING"",XLOOKUP(A463,tblBuildings[BuildingID],tblBuildings[costtext],""""),
 ""TECH"",XLOOKUP(A463,tblTechnologies[TechnologyID],tblTechnologies[costtext],""""),
 ""QUEST"",XLOOKUP(
  REGEXREPLACE(A463,""\.[^.]+$"",""""),
  tblQuests["&amp;"QuestID],
  tblQuests[Costtext],
  """"
 ),
 ""CITADEL"",XLOOKUP(A463,tblCitadel[CitadelID],tblCitadel[costtext],""""),
 ""COLLECTION"",XLOOKUP(A463,tblCollections[CollectionID],tblCollections[costtext],""""),
 ""CRAFTIFACT"",XLOOKUP(A463,tblCraftifacts[C"&amp;"raftifactID],tblCraftifacts[costtext],""""),
 """"
)"),"")</f>
        <v/>
      </c>
      <c r="P463" s="26" t="str">
        <f t="shared" si="6"/>
        <v>BLOCKED</v>
      </c>
      <c r="Q463" s="26" t="str">
        <f t="shared" si="7"/>
        <v>BLOCKED</v>
      </c>
      <c r="R463" s="26" t="str">
        <f t="array" ref="R463">IFERROR(
 _xlfn.XLOOKUP(
  A463,
  tblChecklist[TargetID],
  tblChecklist[PlayerSort],
  ""
 ),
 ""
)</f>
        <v/>
      </c>
      <c r="S463" s="26" t="str">
        <f>IFERROR(__xludf.DUMMYFUNCTION("LET(
 id,A463,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2 Accepted")</f>
        <v>The Ordinary Days of an Adventurer Chapter 2 Accepted</v>
      </c>
      <c r="T463" s="26" t="str">
        <f t="array" ref="T463">_xlfn.XLOOKUP(
 A463,
 tblTargets[TargetID],
 tblTargets[CompletionMethod],
 ""
)</f>
        <v>PLAYER</v>
      </c>
      <c r="U463" s="84" t="b">
        <f>COUNTIF(tblCost[TargetID],A463)&gt;0</f>
        <v>0</v>
      </c>
      <c r="V463" s="85" t="str">
        <f t="array" ref="V463">IF(
 U463=FALSE,
 "",
 _xlfn.XLOOKUP(
  A463,
  tblCost[TargetID],
  tblCost[FundingPercent],
  ""
 )
)</f>
        <v/>
      </c>
      <c r="W463" s="26" t="str">
        <f t="array" ref="W463">IF(
 U463=FALSE,
 "",
 _xlfn.XLOOKUP(
  A463,
  tblCost[TargetID],
  tblCost[RemainingRequirements],
  ""
 )
)</f>
        <v/>
      </c>
      <c r="X463" s="45" t="str">
        <f t="array" ref="X463">IF(
 U463=FALSE,
 "N/A",
 _xlfn.XLOOKUP(
  A464,
  tblCost[TargetID],
  tblCost[TargetFunded],
  FALSE
 )
)</f>
        <v>N/A</v>
      </c>
      <c r="Y463" s="26" t="str">
        <f>IFERROR(__xludf.DUMMYFUNCTION("IFERROR(
 TEXTJOIN(
  "", "",
  TRUE,
  FILTER(
   'cost checklist'!$E$2:$E1000&amp;"": ""&amp;'cost checklist'!$G$2:$G1000,
   'cost checklist'!$B$2:$B1000=A463,
   'cost checklist'!$J$2:$J1000=FALSE
  )
 ),
 """"
)"),"")</f>
        <v/>
      </c>
      <c r="Z463" s="26" t="b">
        <f>IFERROR(__xludf.DUMMYFUNCTION("IF(
 AND(
  E463=""QUEST"",
  RIGHT(A463,9)="".accepted"",
  D463=TRUE
 ),
 XLOOKUP(
  REGEXREPLACE(A463,""\.accepted$"","""")&amp;"".finished"",
  $A$2:$A1000,
  $D$2:$D1000,
  TRUE
 )=FALSE,
 FALSE
)"),FALSE)</f>
        <v>0</v>
      </c>
      <c r="AA463" s="26" t="str">
        <f>IFERROR(__xludf.DUMMYFUNCTION("LET(
 id,A463,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2")</f>
        <v>The Ordinary Days of an Adventurer Chapter 2</v>
      </c>
    </row>
    <row r="464" ht="14.25" customHeight="1">
      <c r="A464" s="26" t="s">
        <v>1575</v>
      </c>
      <c r="B464" s="26" t="str">
        <f t="array" ref="B464">_xlfn.XLOOKUP(
 A464,
 tblTargets[TargetID],
 tblTargets[DisplayName],
 ""
)</f>
        <v>Meet Traveling Merchant @1B</v>
      </c>
      <c r="C464" s="26" t="str">
        <f t="shared" si="1"/>
        <v>BLOCKED</v>
      </c>
      <c r="D464" s="26" t="b">
        <f>IFERROR(__xludf.DUMMYFUNCTION("LET(
 id,A464,
 IF(
  F464=""CHARACTER"",
  LET(
   base,REGEXREPLACE(id,""@\d+$"",""""),
   required,VALUE(REGEXEXTRACT(id,""@(\d+)$"")),
   current,XLOOKUP(
    base,
    tblPlayer[PlayerStateID],
    tblPlayer[Value],
    0
   ),
   current&gt;=required
 "&amp;" ),
  IF(
   T464=""AUTO"",
   L464=0,
   COUNTIFS(
    tblChecklist[TargetID],id,
    tblChecklist[PlayerCompleted],TRUE
   )&gt;0
  )
 )
)"),FALSE)</f>
        <v>0</v>
      </c>
      <c r="E464" s="26" t="str">
        <f t="array" ref="E464">_xlfn.XLOOKUP(
 A464,
 tblTargets[TargetID],
 tblTargets[TargetType],
 ""
)</f>
        <v>STATE</v>
      </c>
      <c r="F464" s="26" t="str">
        <f t="array" ref="F464">_xlfn.XLOOKUP(
 A464,
 tblTargets[TargetID],
 tblTargets[StateType],
 ""
)</f>
        <v>MEET</v>
      </c>
      <c r="G464" s="26">
        <f>LET(
 id,A464,
 depCount,COUNTIF(tblDependencies[TargetID],id),
 objCount,COUNTIF(tblQuestObjectives[QuestTargetID],id),
 depCount+objCount
)</f>
        <v>1</v>
      </c>
      <c r="H464" s="26">
        <f t="shared" si="2"/>
        <v>1</v>
      </c>
      <c r="I464" s="26">
        <f>IFERROR(__xludf.DUMMYFUNCTION("LET(
 id,A464,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4" s="26">
        <f t="shared" si="3"/>
        <v>0</v>
      </c>
      <c r="K464" s="26" t="b">
        <f t="shared" si="4"/>
        <v>0</v>
      </c>
      <c r="L464" s="26">
        <f t="shared" si="5"/>
        <v>1</v>
      </c>
      <c r="M464" s="26" t="str">
        <f>IFERROR(__xludf.DUMMYFUNCTION("LET(
 id,A464,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L464=0,
  """",
  IFERROR(INDEX(incomplete,1),"""")"&amp;"
 )
)"),"building.dungeon@1")</f>
        <v>building.dungeon@1</v>
      </c>
      <c r="N464" s="26" t="str">
        <f t="array" ref="N464">IF(
 M464="",
 "",
 _xlfn.XLOOKUP(
  M464,
  tblTargets[TargetID],
  tblTargets[DisplayName],
  M464
 )
)</f>
        <v>Dungeon Lv 1</v>
      </c>
      <c r="O464" s="26" t="str">
        <f>IFERROR(__xludf.DUMMYFUNCTION("SWITCH(
 E464,
 ""BUILDING"",XLOOKUP(A464,tblBuildings[BuildingID],tblBuildings[costtext],""""),
 ""TECH"",XLOOKUP(A464,tblTechnologies[TechnologyID],tblTechnologies[costtext],""""),
 ""QUEST"",XLOOKUP(
  REGEXREPLACE(A464,""\.[^.]+$"",""""),
  tblQuests["&amp;"QuestID],
  tblQuests[Costtext],
  """"
 ),
 ""CITADEL"",XLOOKUP(A464,tblCitadel[CitadelID],tblCitadel[costtext],""""),
 ""COLLECTION"",XLOOKUP(A464,tblCollections[CollectionID],tblCollections[costtext],""""),
 ""CRAFTIFACT"",XLOOKUP(A464,tblCraftifacts[C"&amp;"raftifactID],tblCraftifacts[costtext],""""),
 """"
)"),"")</f>
        <v/>
      </c>
      <c r="P464" s="26" t="str">
        <f t="shared" si="6"/>
        <v>BLOCKED</v>
      </c>
      <c r="Q464" s="26" t="str">
        <f t="shared" si="7"/>
        <v>BLOCKED</v>
      </c>
      <c r="R464" s="26" t="str">
        <f t="array" ref="R464">IFERROR(
 _xlfn.XLOOKUP(
  A464,
  tblChecklist[TargetID],
  tblChecklist[PlayerSort],
  ""
 ),
 ""
)</f>
        <v/>
      </c>
      <c r="S464" s="26" t="str">
        <f>IFERROR(__xludf.DUMMYFUNCTION("LET(
 id,A464,
 successorIDs,
  IFERROR(
   UNIQUE(
    FILTER(
     {
      Dependencies!$A$2:$A$1000;
      QuestObjectives!$A$2:$A$1000
     },
     {
      Dependencies!$B$2:$B$1000;
      QuestObjectives!$E$2:$E$1000
     }=id
    )
   ),
   """"
  )"&amp;",
 names,
  MAP(
   successorIDs,
   LAMBDA(s,
    IF(
     s="""",
     """",
     XLOOKUP(
      s,
      $A$2:$A$1000,
      $B$2:$B$1000,
      s
     )
    )
   )
  ),
 IF(
  successorIDs="""",
  """",
  TEXTJOIN("", "",TRUE,names)
 )
)"),"Green Potion Accepted")</f>
        <v>Green Potion Accepted</v>
      </c>
      <c r="T464" s="26" t="str">
        <f t="array" ref="T464">_xlfn.XLOOKUP(
 A464,
 tblTargets[TargetID],
 tblTargets[CompletionMethod],
 ""
)</f>
        <v>PLAYER</v>
      </c>
      <c r="U464" s="84" t="b">
        <f>COUNTIF(tblCost[TargetID],A464)&gt;0</f>
        <v>0</v>
      </c>
      <c r="V464" s="85" t="str">
        <f t="array" ref="V464">IF(
 U464=FALSE,
 "",
 _xlfn.XLOOKUP(
  A464,
  tblCost[TargetID],
  tblCost[FundingPercent],
  ""
 )
)</f>
        <v/>
      </c>
      <c r="W464" s="26" t="str">
        <f t="array" ref="W464">IF(
 U464=FALSE,
 "",
 _xlfn.XLOOKUP(
  A464,
  tblCost[TargetID],
  tblCost[RemainingRequirements],
  ""
 )
)</f>
        <v/>
      </c>
      <c r="X464" s="45" t="str">
        <f t="array" ref="X464">IF(
 U464=FALSE,
 "N/A",
 _xlfn.XLOOKUP(
  A465,
  tblCost[TargetID],
  tblCost[TargetFunded],
  FALSE
 )
)</f>
        <v>N/A</v>
      </c>
      <c r="Y464" s="26" t="str">
        <f>IFERROR(__xludf.DUMMYFUNCTION("IFERROR(
 TEXTJOIN(
  "", "",
  TRUE,
  FILTER(
   'cost checklist'!$E$2:$E1000&amp;"": ""&amp;'cost checklist'!$G$2:$G1000,
   'cost checklist'!$B$2:$B1000=A464,
   'cost checklist'!$J$2:$J1000=FALSE
  )
 ),
 """"
)"),"")</f>
        <v/>
      </c>
      <c r="Z464" s="26" t="b">
        <f>IFERROR(__xludf.DUMMYFUNCTION("IF(
 AND(
  E464=""QUEST"",
  RIGHT(A464,9)="".accepted"",
  D464=TRUE
 ),
 XLOOKUP(
  REGEXREPLACE(A464,""\.accepted$"","""")&amp;"".finished"",
  $A$2:$A1000,
  $D$2:$D1000,
  TRUE
 )=FALSE,
 FALSE
)"),FALSE)</f>
        <v>0</v>
      </c>
      <c r="AA464" s="26" t="str">
        <f>IFERROR(__xludf.DUMMYFUNCTION("LET(
 id,A464,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)"),"Green Potion")</f>
        <v>Green Potion</v>
      </c>
    </row>
    <row r="465" ht="14.25" customHeight="1">
      <c r="A465" s="26" t="s">
        <v>1577</v>
      </c>
      <c r="B465" s="26" t="str">
        <f t="array" ref="B465">_xlfn.XLOOKUP(
 A465,
 tblTargets[TargetID],
 tblTargets[DisplayName],
 ""
)</f>
        <v>Obtain 8 MALU</v>
      </c>
      <c r="C465" s="26" t="str">
        <f t="shared" si="1"/>
        <v>BLOCKED</v>
      </c>
      <c r="D465" s="26" t="b">
        <f>IFERROR(__xludf.DUMMYFUNCTION("LET(
 id,A465,
 IF(
  F465=""CHARACTER"",
  LET(
   base,REGEXREPLACE(id,""@\d+$"",""""),
   required,VALUE(REGEXEXTRACT(id,""@(\d+)$"")),
   current,XLOOKUP(
    base,
    tblPlayer[PlayerStateID],
    tblPlayer[Value],
    0
   ),
   current&gt;=required
 "&amp;" ),
  IF(
   T465=""AUTO"",
   L465=0,
   COUNTIFS(
    tblChecklist[TargetID],id,
    tblChecklist[PlayerCompleted],TRUE
   )&gt;0
  )
 )
)"),FALSE)</f>
        <v>0</v>
      </c>
      <c r="E465" s="26" t="str">
        <f t="array" ref="E465">_xlfn.XLOOKUP(
 A465,
 tblTargets[TargetID],
 tblTargets[TargetType],
 ""
)</f>
        <v>STATE</v>
      </c>
      <c r="F465" s="26" t="str">
        <f t="array" ref="F465">_xlfn.XLOOKUP(
 A465,
 tblTargets[TargetID],
 tblTargets[StateType],
 ""
)</f>
        <v>OBTAIN</v>
      </c>
      <c r="G465" s="26">
        <f>LET(
 id,A465,
 depCount,COUNTIF(tblDependencies[TargetID],id),
 objCount,COUNTIF(tblQuestObjectives[QuestTargetID],id),
 depCount+objCount
)</f>
        <v>1</v>
      </c>
      <c r="H465" s="26">
        <f t="shared" si="2"/>
        <v>1</v>
      </c>
      <c r="I465" s="26">
        <f>IFERROR(__xludf.DUMMYFUNCTION("LET(
 id,A465,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5" s="26">
        <f t="shared" si="3"/>
        <v>0</v>
      </c>
      <c r="K465" s="26" t="b">
        <f t="shared" si="4"/>
        <v>0</v>
      </c>
      <c r="L465" s="26">
        <f t="shared" si="5"/>
        <v>1</v>
      </c>
      <c r="M465" s="26" t="str">
        <f>IFERROR(__xludf.DUMMYFUNCTION("LET(
 id,A465,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L465=0,
  """",
  IFERROR(INDEX(incomplete,1),"""")"&amp;"
 )
)"),"quest.once_upon_a_forest_chapter_3.accepted")</f>
        <v>quest.once_upon_a_forest_chapter_3.accepted</v>
      </c>
      <c r="N465" s="26" t="str">
        <f t="array" ref="N465">IF(
 M465="",
 "",
 _xlfn.XLOOKUP(
  M465,
  tblTargets[TargetID],
  tblTargets[DisplayName],
  M465
 )
)</f>
        <v>Once Upon a Forest Chapter 3 Accepted</v>
      </c>
      <c r="O465" s="26" t="str">
        <f>IFERROR(__xludf.DUMMYFUNCTION("SWITCH(
 E465,
 ""BUILDING"",XLOOKUP(A465,tblBuildings[BuildingID],tblBuildings[costtext],""""),
 ""TECH"",XLOOKUP(A465,tblTechnologies[TechnologyID],tblTechnologies[costtext],""""),
 ""QUEST"",XLOOKUP(
  REGEXREPLACE(A465,""\.[^.]+$"",""""),
  tblQuests["&amp;"QuestID],
  tblQuests[Costtext],
  """"
 ),
 ""CITADEL"",XLOOKUP(A465,tblCitadel[CitadelID],tblCitadel[costtext],""""),
 ""COLLECTION"",XLOOKUP(A465,tblCollections[CollectionID],tblCollections[costtext],""""),
 ""CRAFTIFACT"",XLOOKUP(A465,tblCraftifacts[C"&amp;"raftifactID],tblCraftifacts[costtext],""""),
 """"
)"),"")</f>
        <v/>
      </c>
      <c r="P465" s="26" t="str">
        <f t="shared" si="6"/>
        <v>BLOCKED</v>
      </c>
      <c r="Q465" s="26" t="str">
        <f t="shared" si="7"/>
        <v>BLOCKED</v>
      </c>
      <c r="R465" s="26" t="str">
        <f t="array" ref="R465">IFERROR(
 _xlfn.XLOOKUP(
  A465,
  tblChecklist[TargetID],
  tblChecklist[PlayerSort],
  ""
 ),
 ""
)</f>
        <v/>
      </c>
      <c r="S465" s="26" t="str">
        <f>IFERROR(__xludf.DUMMYFUNCTION("LET(
 id,A465,
 successorIDs,
  IFERROR(
   UNIQUE(
    FILTER(
     {
      Dependencies!$A$2:$A$1000;
      QuestObjectives!$A$2:$A$1000
     },
     {
      Dependencies!$B$2:$B$1000;
      QuestObjectives!$E$2:$E$1000
     }=id
    )
   ),
   """"
  )"&amp;",
 names,
  MAP(
   successorIDs,
   LAMBDA(s,
    IF(
     s="""",
     """",
     XLOOKUP(
      s,
      $A$2:$A$1000,
      $B$2:$B$1000,
      s
     )
    )
   )
  ),
 IF(
  successorIDs="""",
  """",
  TEXTJOIN("", "",TRUE,names)
 )
)"),"Once Upon a Forest Chapter 3 Finished")</f>
        <v>Once Upon a Forest Chapter 3 Finished</v>
      </c>
      <c r="T465" s="26" t="str">
        <f t="array" ref="T465">_xlfn.XLOOKUP(
 A465,
 tblTargets[TargetID],
 tblTargets[CompletionMethod],
 ""
)</f>
        <v>PLAYER</v>
      </c>
      <c r="U465" s="84" t="b">
        <f>COUNTIF(tblCost[TargetID],A465)&gt;0</f>
        <v>0</v>
      </c>
      <c r="V465" s="85" t="str">
        <f t="array" ref="V465">IF(
 U465=FALSE,
 "",
 _xlfn.XLOOKUP(
  A465,
  tblCost[TargetID],
  tblCost[FundingPercent],
  ""
 )
)</f>
        <v/>
      </c>
      <c r="W465" s="26" t="str">
        <f t="array" ref="W465">IF(
 U465=FALSE,
 "",
 _xlfn.XLOOKUP(
  A465,
  tblCost[TargetID],
  tblCost[RemainingRequirements],
  ""
 )
)</f>
        <v/>
      </c>
      <c r="X465" s="45" t="str">
        <f t="array" ref="X465">IF(
 U465=FALSE,
 "N/A",
 _xlfn.XLOOKUP(
  A466,
  tblCost[TargetID],
  tblCost[TargetFunded],
  FALSE
 )
)</f>
        <v>N/A</v>
      </c>
      <c r="Y465" s="26" t="str">
        <f>IFERROR(__xludf.DUMMYFUNCTION("IFERROR(
 TEXTJOIN(
  "", "",
  TRUE,
  FILTER(
   'cost checklist'!$E$2:$E1000&amp;"": ""&amp;'cost checklist'!$G$2:$G1000,
   'cost checklist'!$B$2:$B1000=A465,
   'cost checklist'!$J$2:$J1000=FALSE
  )
 ),
 """"
)"),"")</f>
        <v/>
      </c>
      <c r="Z465" s="26" t="b">
        <f>IFERROR(__xludf.DUMMYFUNCTION("IF(
 AND(
  E465=""QUEST"",
  RIGHT(A465,9)="".accepted"",
  D465=TRUE
 ),
 XLOOKUP(
  REGEXREPLACE(A465,""\.accepted$"","""")&amp;"".finished"",
  $A$2:$A1000,
  $D$2:$D1000,
  TRUE
 )=FALSE,
 FALSE
)"),FALSE)</f>
        <v>0</v>
      </c>
      <c r="AA465" s="26" t="str">
        <f>IFERROR(__xludf.DUMMYFUNCTION("LET(
 id,A465,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66" ht="14.25" customHeight="1">
      <c r="A466" s="26" t="s">
        <v>1579</v>
      </c>
      <c r="B466" s="26" t="str">
        <f t="array" ref="B466">_xlfn.XLOOKUP(
 A466,
 tblTargets[TargetID],
 tblTargets[DisplayName],
 ""
)</f>
        <v>Obtain all emerald shards</v>
      </c>
      <c r="C466" s="26" t="str">
        <f t="shared" si="1"/>
        <v>BLOCKED</v>
      </c>
      <c r="D466" s="26" t="b">
        <f>IFERROR(__xludf.DUMMYFUNCTION("LET(
 id,A466,
 IF(
  F466=""CHARACTER"",
  LET(
   base,REGEXREPLACE(id,""@\d+$"",""""),
   required,VALUE(REGEXEXTRACT(id,""@(\d+)$"")),
   current,XLOOKUP(
    base,
    tblPlayer[PlayerStateID],
    tblPlayer[Value],
    0
   ),
   current&gt;=required
 "&amp;" ),
  IF(
   T466=""AUTO"",
   L466=0,
   COUNTIFS(
    tblChecklist[TargetID],id,
    tblChecklist[PlayerCompleted],TRUE
   )&gt;0
  )
 )
)"),FALSE)</f>
        <v>0</v>
      </c>
      <c r="E466" s="26" t="str">
        <f t="array" ref="E466">_xlfn.XLOOKUP(
 A466,
 tblTargets[TargetID],
 tblTargets[TargetType],
 ""
)</f>
        <v>STATE</v>
      </c>
      <c r="F466" s="26" t="str">
        <f t="array" ref="F466">_xlfn.XLOOKUP(
 A466,
 tblTargets[TargetID],
 tblTargets[StateType],
 ""
)</f>
        <v>OBTAIN</v>
      </c>
      <c r="G466" s="26">
        <f>LET(
 id,A466,
 depCount,COUNTIF(tblDependencies[TargetID],id),
 objCount,COUNTIF(tblQuestObjectives[QuestTargetID],id),
 depCount+objCount
)</f>
        <v>1</v>
      </c>
      <c r="H466" s="26">
        <f t="shared" si="2"/>
        <v>1</v>
      </c>
      <c r="I466" s="26">
        <f>IFERROR(__xludf.DUMMYFUNCTION("LET(
 id,A466,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6" s="26">
        <f t="shared" si="3"/>
        <v>0</v>
      </c>
      <c r="K466" s="26" t="b">
        <f t="shared" si="4"/>
        <v>0</v>
      </c>
      <c r="L466" s="26">
        <f t="shared" si="5"/>
        <v>1</v>
      </c>
      <c r="M466" s="26" t="str">
        <f>IFERROR(__xludf.DUMMYFUNCTION("LET(
 id,A466,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L466=0,
  """",
  IFERROR(INDEX(incomplete,1),"""")"&amp;"
 )
)"),"quest.quest_for_knowledge_chapter_3.accepted")</f>
        <v>quest.quest_for_knowledge_chapter_3.accepted</v>
      </c>
      <c r="N466" s="26" t="str">
        <f t="array" ref="N466">IF(
 M466="",
 "",
 _xlfn.XLOOKUP(
  M466,
  tblTargets[TargetID],
  tblTargets[DisplayName],
  M466
 )
)</f>
        <v>Quest for Knowledge Chapter 3 Accepted</v>
      </c>
      <c r="O466" s="26" t="str">
        <f>IFERROR(__xludf.DUMMYFUNCTION("SWITCH(
 E466,
 ""BUILDING"",XLOOKUP(A466,tblBuildings[BuildingID],tblBuildings[costtext],""""),
 ""TECH"",XLOOKUP(A466,tblTechnologies[TechnologyID],tblTechnologies[costtext],""""),
 ""QUEST"",XLOOKUP(
  REGEXREPLACE(A466,""\.[^.]+$"",""""),
  tblQuests["&amp;"QuestID],
  tblQuests[Costtext],
  """"
 ),
 ""CITADEL"",XLOOKUP(A466,tblCitadel[CitadelID],tblCitadel[costtext],""""),
 ""COLLECTION"",XLOOKUP(A466,tblCollections[CollectionID],tblCollections[costtext],""""),
 ""CRAFTIFACT"",XLOOKUP(A466,tblCraftifacts[C"&amp;"raftifactID],tblCraftifacts[costtext],""""),
 """"
)"),"")</f>
        <v/>
      </c>
      <c r="P466" s="26" t="str">
        <f t="shared" si="6"/>
        <v>BLOCKED</v>
      </c>
      <c r="Q466" s="26" t="str">
        <f t="shared" si="7"/>
        <v>BLOCKED</v>
      </c>
      <c r="R466" s="26" t="str">
        <f t="array" ref="R466">IFERROR(
 _xlfn.XLOOKUP(
  A466,
  tblChecklist[TargetID],
  tblChecklist[PlayerSort],
  ""
 ),
 ""
)</f>
        <v/>
      </c>
      <c r="S466" s="26" t="str">
        <f>IFERROR(__xludf.DUMMYFUNCTION("LET(
 id,A466,
 successorIDs,
  IFERROR(
   UNIQUE(
    FILTER(
     {
      Dependencies!$A$2:$A$1000;
      QuestObjectives!$A$2:$A$1000
     },
     {
      Dependencies!$B$2:$B$1000;
      QuestObjectives!$E$2:$E$1000
     }=id
    )
   ),
   """"
  )"&amp;",
 names,
  MAP(
   successorIDs,
   LAMBDA(s,
    IF(
     s="""",
     """",
     XLOOKUP(
      s,
      $A$2:$A$1000,
      $B$2:$B$1000,
      s
     )
    )
   )
  ),
 IF(
  successorIDs="""",
  """",
  TEXTJOIN("", "",TRUE,names)
 )
)"),"Quest for Knowledge Chapter 3 Finished")</f>
        <v>Quest for Knowledge Chapter 3 Finished</v>
      </c>
      <c r="T466" s="26" t="str">
        <f t="array" ref="T466">_xlfn.XLOOKUP(
 A466,
 tblTargets[TargetID],
 tblTargets[CompletionMethod],
 ""
)</f>
        <v>PLAYER</v>
      </c>
      <c r="U466" s="84" t="b">
        <f>COUNTIF(tblCost[TargetID],A466)&gt;0</f>
        <v>0</v>
      </c>
      <c r="V466" s="85" t="str">
        <f t="array" ref="V466">IF(
 U466=FALSE,
 "",
 _xlfn.XLOOKUP(
  A466,
  tblCost[TargetID],
  tblCost[FundingPercent],
  ""
 )
)</f>
        <v/>
      </c>
      <c r="W466" s="26" t="str">
        <f t="array" ref="W466">IF(
 U466=FALSE,
 "",
 _xlfn.XLOOKUP(
  A466,
  tblCost[TargetID],
  tblCost[RemainingRequirements],
  ""
 )
)</f>
        <v/>
      </c>
      <c r="X466" s="45" t="str">
        <f t="array" ref="X466">IF(
 U466=FALSE,
 "N/A",
 _xlfn.XLOOKUP(
  A467,
  tblCost[TargetID],
  tblCost[TargetFunded],
  FALSE
 )
)</f>
        <v>N/A</v>
      </c>
      <c r="Y466" s="26" t="str">
        <f>IFERROR(__xludf.DUMMYFUNCTION("IFERROR(
 TEXTJOIN(
  "", "",
  TRUE,
  FILTER(
   'cost checklist'!$E$2:$E1000&amp;"": ""&amp;'cost checklist'!$G$2:$G1000,
   'cost checklist'!$B$2:$B1000=A466,
   'cost checklist'!$J$2:$J1000=FALSE
  )
 ),
 """"
)"),"")</f>
        <v/>
      </c>
      <c r="Z466" s="26" t="b">
        <f>IFERROR(__xludf.DUMMYFUNCTION("IF(
 AND(
  E466=""QUEST"",
  RIGHT(A466,9)="".accepted"",
  D466=TRUE
 ),
 XLOOKUP(
  REGEXREPLACE(A466,""\.accepted$"","""")&amp;"".finished"",
  $A$2:$A1000,
  $D$2:$D1000,
  TRUE
 )=FALSE,
 FALSE
)"),FALSE)</f>
        <v>0</v>
      </c>
      <c r="AA466" s="26" t="str">
        <f>IFERROR(__xludf.DUMMYFUNCTION("LET(
 id,A466,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67" ht="14.25" customHeight="1">
      <c r="A467" s="26" t="s">
        <v>1582</v>
      </c>
      <c r="B467" s="26" t="str">
        <f t="array" ref="B467">_xlfn.XLOOKUP(
 A467,
 tblTargets[TargetID],
 tblTargets[DisplayName],
 ""
)</f>
        <v>Obtain Any Artifact</v>
      </c>
      <c r="C467" s="26" t="str">
        <f t="shared" si="1"/>
        <v>BLOCKED</v>
      </c>
      <c r="D467" s="26" t="b">
        <f>IFERROR(__xludf.DUMMYFUNCTION("LET(
 id,A467,
 IF(
  F467=""CHARACTER"",
  LET(
   base,REGEXREPLACE(id,""@\d+$"",""""),
   required,VALUE(REGEXEXTRACT(id,""@(\d+)$"")),
   current,XLOOKUP(
    base,
    tblPlayer[PlayerStateID],
    tblPlayer[Value],
    0
   ),
   current&gt;=required
 "&amp;" ),
  IF(
   T467=""AUTO"",
   L467=0,
   COUNTIFS(
    tblChecklist[TargetID],id,
    tblChecklist[PlayerCompleted],TRUE
   )&gt;0
  )
 )
)"),FALSE)</f>
        <v>0</v>
      </c>
      <c r="E467" s="26" t="str">
        <f t="array" ref="E467">_xlfn.XLOOKUP(
 A467,
 tblTargets[TargetID],
 tblTargets[TargetType],
 ""
)</f>
        <v>STATE</v>
      </c>
      <c r="F467" s="26" t="str">
        <f t="array" ref="F467">_xlfn.XLOOKUP(
 A467,
 tblTargets[TargetID],
 tblTargets[StateType],
 ""
)</f>
        <v>OBTAIN</v>
      </c>
      <c r="G467" s="26">
        <f>LET(
 id,A467,
 depCount,COUNTIF(tblDependencies[TargetID],id),
 objCount,COUNTIF(tblQuestObjectives[QuestTargetID],id),
 depCount+objCount
)</f>
        <v>1</v>
      </c>
      <c r="H467" s="26">
        <f t="shared" si="2"/>
        <v>1</v>
      </c>
      <c r="I467" s="26">
        <f>IFERROR(__xludf.DUMMYFUNCTION("LET(
 id,A467,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7" s="26">
        <f t="shared" si="3"/>
        <v>0</v>
      </c>
      <c r="K467" s="26" t="b">
        <f t="shared" si="4"/>
        <v>0</v>
      </c>
      <c r="L467" s="26">
        <f t="shared" si="5"/>
        <v>1</v>
      </c>
      <c r="M467" s="26" t="str">
        <f>IFERROR(__xludf.DUMMYFUNCTION("LET(
 id,A467,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L467=0,
  """",
  IFERROR(INDEX(incomplete,1),"""")"&amp;"
 )
)"),"building.ship@1")</f>
        <v>building.ship@1</v>
      </c>
      <c r="N467" s="26" t="str">
        <f t="array" ref="N467">IF(
 M467="",
 "",
 _xlfn.XLOOKUP(
  M467,
  tblTargets[TargetID],
  tblTargets[DisplayName],
  M467
 )
)</f>
        <v>Ship Lv 1</v>
      </c>
      <c r="O467" s="26" t="str">
        <f>IFERROR(__xludf.DUMMYFUNCTION("SWITCH(
 E467,
 ""BUILDING"",XLOOKUP(A467,tblBuildings[BuildingID],tblBuildings[costtext],""""),
 ""TECH"",XLOOKUP(A467,tblTechnologies[TechnologyID],tblTechnologies[costtext],""""),
 ""QUEST"",XLOOKUP(
  REGEXREPLACE(A467,""\.[^.]+$"",""""),
  tblQuests["&amp;"QuestID],
  tblQuests[Costtext],
  """"
 ),
 ""CITADEL"",XLOOKUP(A467,tblCitadel[CitadelID],tblCitadel[costtext],""""),
 ""COLLECTION"",XLOOKUP(A467,tblCollections[CollectionID],tblCollections[costtext],""""),
 ""CRAFTIFACT"",XLOOKUP(A467,tblCraftifacts[C"&amp;"raftifactID],tblCraftifacts[costtext],""""),
 """"
)"),"")</f>
        <v/>
      </c>
      <c r="P467" s="26" t="str">
        <f t="shared" si="6"/>
        <v>BLOCKED</v>
      </c>
      <c r="Q467" s="26" t="str">
        <f t="shared" si="7"/>
        <v>BLOCKED</v>
      </c>
      <c r="R467" s="26" t="str">
        <f t="array" ref="R467">IFERROR(
 _xlfn.XLOOKUP(
  A467,
  tblChecklist[TargetID],
  tblChecklist[PlayerSort],
  ""
 ),
 ""
)</f>
        <v/>
      </c>
      <c r="S467" s="26" t="str">
        <f>IFERROR(__xludf.DUMMYFUNCTION("LET(
 id,A467,
 successorIDs,
  IFERROR(
   UNIQUE(
    FILTER(
     {
      Dependencies!$A$2:$A$1000;
      QuestObjectives!$A$2:$A$1000
     },
     {
      Dependencies!$B$2:$B$1000;
      QuestObjectives!$E$2:$E$1000
     }=id
    )
   ),
   """"
  )"&amp;",
 names,
  MAP(
   successorIDs,
   LAMBDA(s,
    IF(
     s="""",
     """",
     XLOOKUP(
      s,
      $A$2:$A$1000,
      $B$2:$B$1000,
      s
     )
    )
   )
  ),
 IF(
  successorIDs="""",
  """",
  TEXTJOIN("", "",TRUE,names)
 )
)"),"Shogun's Katana Chapter 1 Accepted")</f>
        <v>Shogun's Katana Chapter 1 Accepted</v>
      </c>
      <c r="T467" s="26" t="str">
        <f t="array" ref="T467">_xlfn.XLOOKUP(
 A467,
 tblTargets[TargetID],
 tblTargets[CompletionMethod],
 ""
)</f>
        <v>PLAYER</v>
      </c>
      <c r="U467" s="84" t="b">
        <f>COUNTIF(tblCost[TargetID],A467)&gt;0</f>
        <v>0</v>
      </c>
      <c r="V467" s="85" t="str">
        <f t="array" ref="V467">IF(
 U467=FALSE,
 "",
 _xlfn.XLOOKUP(
  A467,
  tblCost[TargetID],
  tblCost[FundingPercent],
  ""
 )
)</f>
        <v/>
      </c>
      <c r="W467" s="26" t="str">
        <f t="array" ref="W467">IF(
 U467=FALSE,
 "",
 _xlfn.XLOOKUP(
  A467,
  tblCost[TargetID],
  tblCost[RemainingRequirements],
  ""
 )
)</f>
        <v/>
      </c>
      <c r="X467" s="45" t="str">
        <f t="array" ref="X467">IF(
 U467=FALSE,
 "N/A",
 _xlfn.XLOOKUP(
  A468,
  tblCost[TargetID],
  tblCost[TargetFunded],
  FALSE
 )
)</f>
        <v>N/A</v>
      </c>
      <c r="Y467" s="26" t="str">
        <f>IFERROR(__xludf.DUMMYFUNCTION("IFERROR(
 TEXTJOIN(
  "", "",
  TRUE,
  FILTER(
   'cost checklist'!$E$2:$E1000&amp;"": ""&amp;'cost checklist'!$G$2:$G1000,
   'cost checklist'!$B$2:$B1000=A467,
   'cost checklist'!$J$2:$J1000=FALSE
  )
 ),
 """"
)"),"")</f>
        <v/>
      </c>
      <c r="Z467" s="26" t="b">
        <f>IFERROR(__xludf.DUMMYFUNCTION("IF(
 AND(
  E467=""QUEST"",
  RIGHT(A467,9)="".accepted"",
  D467=TRUE
 ),
 XLOOKUP(
  REGEXREPLACE(A467,""\.accepted$"","""")&amp;"".finished"",
  $A$2:$A1000,
  $D$2:$D1000,
  TRUE
 )=FALSE,
 FALSE
)"),FALSE)</f>
        <v>0</v>
      </c>
      <c r="AA467" s="26" t="str">
        <f>IFERROR(__xludf.DUMMYFUNCTION("LET(
 id,A467,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)"),"Shogun's Katana Chapter 1")</f>
        <v>Shogun's Katana Chapter 1</v>
      </c>
    </row>
    <row r="468" ht="14.25" customHeight="1">
      <c r="A468" s="26" t="s">
        <v>1585</v>
      </c>
      <c r="B468" s="26" t="str">
        <f t="array" ref="B468">_xlfn.XLOOKUP(
 A468,
 tblTargets[TargetID],
 tblTargets[DisplayName],
 ""
)</f>
        <v>Craft Armor 4</v>
      </c>
      <c r="C468" s="26" t="str">
        <f t="shared" si="1"/>
        <v>BLOCKED</v>
      </c>
      <c r="D468" s="26" t="b">
        <f>IFERROR(__xludf.DUMMYFUNCTION("LET(
 id,A468,
 IF(
  F468=""CHARACTER"",
  LET(
   base,REGEXREPLACE(id,""@\d+$"",""""),
   required,VALUE(REGEXEXTRACT(id,""@(\d+)$"")),
   current,XLOOKUP(
    base,
    tblPlayer[PlayerStateID],
    tblPlayer[Value],
    0
   ),
   current&gt;=required
 "&amp;" ),
  IF(
   T468=""AUTO"",
   L468=0,
   COUNTIFS(
    tblChecklist[TargetID],id,
    tblChecklist[PlayerCompleted],TRUE
   )&gt;0
  )
 )
)"),FALSE)</f>
        <v>0</v>
      </c>
      <c r="E468" s="26" t="str">
        <f t="array" ref="E468">_xlfn.XLOOKUP(
 A468,
 tblTargets[TargetID],
 tblTargets[TargetType],
 ""
)</f>
        <v>STATE</v>
      </c>
      <c r="F468" s="26" t="str">
        <f t="array" ref="F468">_xlfn.XLOOKUP(
 A468,
 tblTargets[TargetID],
 tblTargets[StateType],
 ""
)</f>
        <v>OBTAIN</v>
      </c>
      <c r="G468" s="26">
        <f>LET(
 id,A468,
 depCount,COUNTIF(tblDependencies[TargetID],id),
 objCount,COUNTIF(tblQuestObjectives[QuestTargetID],id),
 depCount+objCount
)</f>
        <v>1</v>
      </c>
      <c r="H468" s="26">
        <f t="shared" si="2"/>
        <v>1</v>
      </c>
      <c r="I468" s="26">
        <f>IFERROR(__xludf.DUMMYFUNCTION("LET(
 id,A468,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8" s="26">
        <f t="shared" si="3"/>
        <v>0</v>
      </c>
      <c r="K468" s="26" t="b">
        <f t="shared" si="4"/>
        <v>0</v>
      </c>
      <c r="L468" s="26">
        <f t="shared" si="5"/>
        <v>1</v>
      </c>
      <c r="M468" s="26" t="str">
        <f>IFERROR(__xludf.DUMMYFUNCTION("LET(
 id,A468,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L468=0,
  """",
  IFERROR(INDEX(incomplete,1),"""")"&amp;"
 )
)"),"tech.tailor.armor_for_a_hero_lvl_4")</f>
        <v>tech.tailor.armor_for_a_hero_lvl_4</v>
      </c>
      <c r="N468" s="26" t="str">
        <f t="array" ref="N468">IF(
 M468="",
 "",
 _xlfn.XLOOKUP(
  M468,
  tblTargets[TargetID],
  tblTargets[DisplayName],
  M468
 )
)</f>
        <v>Tailor - Armor For A Hero Lvl 4</v>
      </c>
      <c r="O468" s="26" t="str">
        <f>IFERROR(__xludf.DUMMYFUNCTION("SWITCH(
 E468,
 ""BUILDING"",XLOOKUP(A468,tblBuildings[BuildingID],tblBuildings[costtext],""""),
 ""TECH"",XLOOKUP(A468,tblTechnologies[TechnologyID],tblTechnologies[costtext],""""),
 ""QUEST"",XLOOKUP(
  REGEXREPLACE(A468,""\.[^.]+$"",""""),
  tblQuests["&amp;"QuestID],
  tblQuests[Costtext],
  """"
 ),
 ""CITADEL"",XLOOKUP(A468,tblCitadel[CitadelID],tblCitadel[costtext],""""),
 ""COLLECTION"",XLOOKUP(A468,tblCollections[CollectionID],tblCollections[costtext],""""),
 ""CRAFTIFACT"",XLOOKUP(A468,tblCraftifacts[C"&amp;"raftifactID],tblCraftifacts[costtext],""""),
 """"
)"),"")</f>
        <v/>
      </c>
      <c r="P468" s="26" t="str">
        <f t="shared" si="6"/>
        <v>BLOCKED</v>
      </c>
      <c r="Q468" s="26" t="str">
        <f t="shared" si="7"/>
        <v>BLOCKED</v>
      </c>
      <c r="R468" s="26" t="str">
        <f t="array" ref="R468">IFERROR(
 _xlfn.XLOOKUP(
  A468,
  tblChecklist[TargetID],
  tblChecklist[PlayerSort],
  ""
 ),
 ""
)</f>
        <v/>
      </c>
      <c r="S468" s="26" t="str">
        <f>IFERROR(__xludf.DUMMYFUNCTION("LET(
 id,A468,
 successorIDs,
  IFERROR(
   UNIQUE(
    FILTER(
     {
      Dependencies!$A$2:$A$1000;
      QuestObjectives!$A$2:$A$1000
     },
     {
      Dependencies!$B$2:$B$1000;
      QuestObjectives!$E$2:$E$1000
     }=id
    )
   ),
   """"
  )"&amp;",
 names,
  MAP(
   successorIDs,
   LAMBDA(s,
    IF(
     s="""",
     """",
     XLOOKUP(
      s,
      $A$2:$A$1000,
      $B$2:$B$1000,
      s
     )
    )
   )
  ),
 IF(
  successorIDs="""",
  """",
  TEXTJOIN("", "",TRUE,names)
 )
)"),"Once Upon a Forest Chapter 9 Finished")</f>
        <v>Once Upon a Forest Chapter 9 Finished</v>
      </c>
      <c r="T468" s="26" t="str">
        <f t="array" ref="T468">_xlfn.XLOOKUP(
 A468,
 tblTargets[TargetID],
 tblTargets[CompletionMethod],
 ""
)</f>
        <v>PLAYER</v>
      </c>
      <c r="U468" s="84" t="b">
        <f>COUNTIF(tblCost[TargetID],A468)&gt;0</f>
        <v>0</v>
      </c>
      <c r="V468" s="85" t="str">
        <f t="array" ref="V468">IF(
 U468=FALSE,
 "",
 _xlfn.XLOOKUP(
  A468,
  tblCost[TargetID],
  tblCost[FundingPercent],
  ""
 )
)</f>
        <v/>
      </c>
      <c r="W468" s="26" t="str">
        <f t="array" ref="W468">IF(
 U468=FALSE,
 "",
 _xlfn.XLOOKUP(
  A468,
  tblCost[TargetID],
  tblCost[RemainingRequirements],
  ""
 )
)</f>
        <v/>
      </c>
      <c r="X468" s="45" t="str">
        <f t="array" ref="X468">IF(
 U468=FALSE,
 "N/A",
 _xlfn.XLOOKUP(
  A469,
  tblCost[TargetID],
  tblCost[TargetFunded],
  FALSE
 )
)</f>
        <v>N/A</v>
      </c>
      <c r="Y468" s="26" t="str">
        <f>IFERROR(__xludf.DUMMYFUNCTION("IFERROR(
 TEXTJOIN(
  "", "",
  TRUE,
  FILTER(
   'cost checklist'!$E$2:$E1000&amp;"": ""&amp;'cost checklist'!$G$2:$G1000,
   'cost checklist'!$B$2:$B1000=A468,
   'cost checklist'!$J$2:$J1000=FALSE
  )
 ),
 """"
)"),"")</f>
        <v/>
      </c>
      <c r="Z468" s="26" t="b">
        <f>IFERROR(__xludf.DUMMYFUNCTION("IF(
 AND(
  E468=""QUEST"",
  RIGHT(A468,9)="".accepted"",
  D468=TRUE
 ),
 XLOOKUP(
  REGEXREPLACE(A468,""\.accepted$"","""")&amp;"".finished"",
  $A$2:$A1000,
  $D$2:$D1000,
  TRUE
 )=FALSE,
 FALSE
)"),FALSE)</f>
        <v>0</v>
      </c>
      <c r="AA468" s="26" t="str">
        <f>IFERROR(__xludf.DUMMYFUNCTION("LET(
 id,A468,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69" ht="14.25" customHeight="1">
      <c r="A469" s="26" t="s">
        <v>1587</v>
      </c>
      <c r="B469" s="26" t="str">
        <f t="array" ref="B469">_xlfn.XLOOKUP(
 A469,
 tblTargets[TargetID],
 tblTargets[DisplayName],
 ""
)</f>
        <v>Craft Armor 4+</v>
      </c>
      <c r="C469" s="26" t="str">
        <f t="shared" si="1"/>
        <v>BLOCKED</v>
      </c>
      <c r="D469" s="26" t="b">
        <f>IFERROR(__xludf.DUMMYFUNCTION("LET(
 id,A469,
 IF(
  F469=""CHARACTER"",
  LET(
   base,REGEXREPLACE(id,""@\d+$"",""""),
   required,VALUE(REGEXEXTRACT(id,""@(\d+)$"")),
   current,XLOOKUP(
    base,
    tblPlayer[PlayerStateID],
    tblPlayer[Value],
    0
   ),
   current&gt;=required
 "&amp;" ),
  IF(
   T469=""AUTO"",
   L469=0,
   COUNTIFS(
    tblChecklist[TargetID],id,
    tblChecklist[PlayerCompleted],TRUE
   )&gt;0
  )
 )
)"),FALSE)</f>
        <v>0</v>
      </c>
      <c r="E469" s="26" t="str">
        <f t="array" ref="E469">_xlfn.XLOOKUP(
 A469,
 tblTargets[TargetID],
 tblTargets[TargetType],
 ""
)</f>
        <v>STATE</v>
      </c>
      <c r="F469" s="26" t="str">
        <f t="array" ref="F469">_xlfn.XLOOKUP(
 A469,
 tblTargets[TargetID],
 tblTargets[StateType],
 ""
)</f>
        <v>OBTAIN</v>
      </c>
      <c r="G469" s="26">
        <f>LET(
 id,A469,
 depCount,COUNTIF(tblDependencies[TargetID],id),
 objCount,COUNTIF(tblQuestObjectives[QuestTargetID],id),
 depCount+objCount
)</f>
        <v>1</v>
      </c>
      <c r="H469" s="26">
        <f t="shared" si="2"/>
        <v>1</v>
      </c>
      <c r="I469" s="26">
        <f>IFERROR(__xludf.DUMMYFUNCTION("LET(
 id,A469,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69" s="26">
        <f t="shared" si="3"/>
        <v>0</v>
      </c>
      <c r="K469" s="26" t="b">
        <f t="shared" si="4"/>
        <v>0</v>
      </c>
      <c r="L469" s="26">
        <f t="shared" si="5"/>
        <v>1</v>
      </c>
      <c r="M469" s="26" t="str">
        <f>IFERROR(__xludf.DUMMYFUNCTION("LET(
 id,A469,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L469=0,
  """",
  IFERROR(INDEX(incomplete,1),"""")"&amp;"
 )
)"),"tech.tailor.armor_for_a_hero_lvl_4+")</f>
        <v>tech.tailor.armor_for_a_hero_lvl_4+</v>
      </c>
      <c r="N469" s="26" t="str">
        <f t="array" ref="N469">IF(
 M469="",
 "",
 _xlfn.XLOOKUP(
  M469,
  tblTargets[TargetID],
  tblTargets[DisplayName],
  M469
 )
)</f>
        <v>Tailor - Armor For A Hero Lvl 4+</v>
      </c>
      <c r="O469" s="26" t="str">
        <f>IFERROR(__xludf.DUMMYFUNCTION("SWITCH(
 E469,
 ""BUILDING"",XLOOKUP(A469,tblBuildings[BuildingID],tblBuildings[costtext],""""),
 ""TECH"",XLOOKUP(A469,tblTechnologies[TechnologyID],tblTechnologies[costtext],""""),
 ""QUEST"",XLOOKUP(
  REGEXREPLACE(A469,""\.[^.]+$"",""""),
  tblQuests["&amp;"QuestID],
  tblQuests[Costtext],
  """"
 ),
 ""CITADEL"",XLOOKUP(A469,tblCitadel[CitadelID],tblCitadel[costtext],""""),
 ""COLLECTION"",XLOOKUP(A469,tblCollections[CollectionID],tblCollections[costtext],""""),
 ""CRAFTIFACT"",XLOOKUP(A469,tblCraftifacts[C"&amp;"raftifactID],tblCraftifacts[costtext],""""),
 """"
)"),"")</f>
        <v/>
      </c>
      <c r="P469" s="26" t="str">
        <f t="shared" si="6"/>
        <v>BLOCKED</v>
      </c>
      <c r="Q469" s="26" t="str">
        <f t="shared" si="7"/>
        <v>BLOCKED</v>
      </c>
      <c r="R469" s="26" t="str">
        <f t="array" ref="R469">IFERROR(
 _xlfn.XLOOKUP(
  A469,
  tblChecklist[TargetID],
  tblChecklist[PlayerSort],
  ""
 ),
 ""
)</f>
        <v/>
      </c>
      <c r="S469" s="26" t="str">
        <f>IFERROR(__xludf.DUMMYFUNCTION("LET(
 id,A469,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4 Finished")</f>
        <v>The Ordinary Days of an Adventurer Chapter 4 Finished</v>
      </c>
      <c r="T469" s="26" t="str">
        <f t="array" ref="T469">_xlfn.XLOOKUP(
 A469,
 tblTargets[TargetID],
 tblTargets[CompletionMethod],
 ""
)</f>
        <v>PLAYER</v>
      </c>
      <c r="U469" s="84" t="b">
        <f>COUNTIF(tblCost[TargetID],A469)&gt;0</f>
        <v>0</v>
      </c>
      <c r="V469" s="85" t="str">
        <f t="array" ref="V469">IF(
 U469=FALSE,
 "",
 _xlfn.XLOOKUP(
  A469,
  tblCost[TargetID],
  tblCost[FundingPercent],
  ""
 )
)</f>
        <v/>
      </c>
      <c r="W469" s="26" t="str">
        <f t="array" ref="W469">IF(
 U469=FALSE,
 "",
 _xlfn.XLOOKUP(
  A469,
  tblCost[TargetID],
  tblCost[RemainingRequirements],
  ""
 )
)</f>
        <v/>
      </c>
      <c r="X469" s="45" t="str">
        <f t="array" ref="X469">IF(
 U469=FALSE,
 "N/A",
 _xlfn.XLOOKUP(
  A470,
  tblCost[TargetID],
  tblCost[TargetFunded],
  FALSE
 )
)</f>
        <v>N/A</v>
      </c>
      <c r="Y469" s="26" t="str">
        <f>IFERROR(__xludf.DUMMYFUNCTION("IFERROR(
 TEXTJOIN(
  "", "",
  TRUE,
  FILTER(
   'cost checklist'!$E$2:$E1000&amp;"": ""&amp;'cost checklist'!$G$2:$G1000,
   'cost checklist'!$B$2:$B1000=A469,
   'cost checklist'!$J$2:$J1000=FALSE
  )
 ),
 """"
)"),"")</f>
        <v/>
      </c>
      <c r="Z469" s="26" t="b">
        <f>IFERROR(__xludf.DUMMYFUNCTION("IF(
 AND(
  E469=""QUEST"",
  RIGHT(A469,9)="".accepted"",
  D469=TRUE
 ),
 XLOOKUP(
  REGEXREPLACE(A469,""\.accepted$"","""")&amp;"".finished"",
  $A$2:$A1000,
  $D$2:$D1000,
  TRUE
 )=FALSE,
 FALSE
)"),FALSE)</f>
        <v>0</v>
      </c>
      <c r="AA469" s="26" t="str">
        <f>IFERROR(__xludf.DUMMYFUNCTION("LET(
 id,A469,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0" ht="14.25" customHeight="1">
      <c r="A470" s="26" t="s">
        <v>1590</v>
      </c>
      <c r="B470" s="26" t="str">
        <f t="array" ref="B470">_xlfn.XLOOKUP(
 A470,
 tblTargets[TargetID],
 tblTargets[DisplayName],
 ""
)</f>
        <v>Obtain Blueprint</v>
      </c>
      <c r="C470" s="26" t="str">
        <f t="shared" si="1"/>
        <v>BLOCKED</v>
      </c>
      <c r="D470" s="26" t="b">
        <f>IFERROR(__xludf.DUMMYFUNCTION("LET(
 id,A470,
 IF(
  F470=""CHARACTER"",
  LET(
   base,REGEXREPLACE(id,""@\d+$"",""""),
   required,VALUE(REGEXEXTRACT(id,""@(\d+)$"")),
   current,XLOOKUP(
    base,
    tblPlayer[PlayerStateID],
    tblPlayer[Value],
    0
   ),
   current&gt;=required
 "&amp;" ),
  IF(
   T470=""AUTO"",
   L470=0,
   COUNTIFS(
    tblChecklist[TargetID],id,
    tblChecklist[PlayerCompleted],TRUE
   )&gt;0
  )
 )
)"),FALSE)</f>
        <v>0</v>
      </c>
      <c r="E470" s="26" t="str">
        <f t="array" ref="E470">_xlfn.XLOOKUP(
 A470,
 tblTargets[TargetID],
 tblTargets[TargetType],
 ""
)</f>
        <v>STATE</v>
      </c>
      <c r="F470" s="26" t="str">
        <f t="array" ref="F470">_xlfn.XLOOKUP(
 A470,
 tblTargets[TargetID],
 tblTargets[StateType],
 ""
)</f>
        <v>OBTAIN</v>
      </c>
      <c r="G470" s="26">
        <f>LET(
 id,A470,
 depCount,COUNTIF(tblDependencies[TargetID],id),
 objCount,COUNTIF(tblQuestObjectives[QuestTargetID],id),
 depCount+objCount
)</f>
        <v>1</v>
      </c>
      <c r="H470" s="26">
        <f t="shared" si="2"/>
        <v>1</v>
      </c>
      <c r="I470" s="26">
        <f>IFERROR(__xludf.DUMMYFUNCTION("LET(
 id,A470,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0" s="26">
        <f t="shared" si="3"/>
        <v>0</v>
      </c>
      <c r="K470" s="26" t="b">
        <f t="shared" si="4"/>
        <v>0</v>
      </c>
      <c r="L470" s="26">
        <f t="shared" si="5"/>
        <v>1</v>
      </c>
      <c r="M470" s="26" t="str">
        <f>IFERROR(__xludf.DUMMYFUNCTION("LET(
 id,A470,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L470=0,
  """",
  IFERROR(INDEX(incomplete,1),"""")"&amp;"
 )
)"),"quest.journey_through_japan_by_train.accepted")</f>
        <v>quest.journey_through_japan_by_train.accepted</v>
      </c>
      <c r="N470" s="26" t="str">
        <f t="array" ref="N470">IF(
 M470="",
 "",
 _xlfn.XLOOKUP(
  M470,
  tblTargets[TargetID],
  tblTargets[DisplayName],
  M470
 )
)</f>
        <v>Journey Through Japan By Train Accepted</v>
      </c>
      <c r="O470" s="26" t="str">
        <f>IFERROR(__xludf.DUMMYFUNCTION("SWITCH(
 E470,
 ""BUILDING"",XLOOKUP(A470,tblBuildings[BuildingID],tblBuildings[costtext],""""),
 ""TECH"",XLOOKUP(A470,tblTechnologies[TechnologyID],tblTechnologies[costtext],""""),
 ""QUEST"",XLOOKUP(
  REGEXREPLACE(A470,""\.[^.]+$"",""""),
  tblQuests["&amp;"QuestID],
  tblQuests[Costtext],
  """"
 ),
 ""CITADEL"",XLOOKUP(A470,tblCitadel[CitadelID],tblCitadel[costtext],""""),
 ""COLLECTION"",XLOOKUP(A470,tblCollections[CollectionID],tblCollections[costtext],""""),
 ""CRAFTIFACT"",XLOOKUP(A470,tblCraftifacts[C"&amp;"raftifactID],tblCraftifacts[costtext],""""),
 """"
)"),"")</f>
        <v/>
      </c>
      <c r="P470" s="26" t="str">
        <f t="shared" si="6"/>
        <v>BLOCKED</v>
      </c>
      <c r="Q470" s="26" t="str">
        <f t="shared" si="7"/>
        <v>BLOCKED</v>
      </c>
      <c r="R470" s="26" t="str">
        <f t="array" ref="R470">IFERROR(
 _xlfn.XLOOKUP(
  A470,
  tblChecklist[TargetID],
  tblChecklist[PlayerSort],
  ""
 ),
 ""
)</f>
        <v/>
      </c>
      <c r="S470" s="26" t="str">
        <f>IFERROR(__xludf.DUMMYFUNCTION("LET(
 id,A470,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f>
        <v>Journey Through Japan By Train Finished</v>
      </c>
      <c r="T470" s="26" t="str">
        <f t="array" ref="T470">_xlfn.XLOOKUP(
 A470,
 tblTargets[TargetID],
 tblTargets[CompletionMethod],
 ""
)</f>
        <v>PLAYER</v>
      </c>
      <c r="U470" s="84" t="b">
        <f>COUNTIF(tblCost[TargetID],A470)&gt;0</f>
        <v>0</v>
      </c>
      <c r="V470" s="85" t="str">
        <f t="array" ref="V470">IF(
 U470=FALSE,
 "",
 _xlfn.XLOOKUP(
  A470,
  tblCost[TargetID],
  tblCost[FundingPercent],
  ""
 )
)</f>
        <v/>
      </c>
      <c r="W470" s="26" t="str">
        <f t="array" ref="W470">IF(
 U470=FALSE,
 "",
 _xlfn.XLOOKUP(
  A470,
  tblCost[TargetID],
  tblCost[RemainingRequirements],
  ""
 )
)</f>
        <v/>
      </c>
      <c r="X470" s="45" t="str">
        <f t="array" ref="X470">IF(
 U470=FALSE,
 "N/A",
 _xlfn.XLOOKUP(
  A471,
  tblCost[TargetID],
  tblCost[TargetFunded],
  FALSE
 )
)</f>
        <v>N/A</v>
      </c>
      <c r="Y470" s="26" t="str">
        <f>IFERROR(__xludf.DUMMYFUNCTION("IFERROR(
 TEXTJOIN(
  "", "",
  TRUE,
  FILTER(
   'cost checklist'!$E$2:$E1000&amp;"": ""&amp;'cost checklist'!$G$2:$G1000,
   'cost checklist'!$B$2:$B1000=A470,
   'cost checklist'!$J$2:$J1000=FALSE
  )
 ),
 """"
)"),"")</f>
        <v/>
      </c>
      <c r="Z470" s="26" t="b">
        <f>IFERROR(__xludf.DUMMYFUNCTION("IF(
 AND(
  E470=""QUEST"",
  RIGHT(A470,9)="".accepted"",
  D470=TRUE
 ),
 XLOOKUP(
  REGEXREPLACE(A470,""\.accepted$"","""")&amp;"".finished"",
  $A$2:$A1000,
  $D$2:$D1000,
  TRUE
 )=FALSE,
 FALSE
)"),FALSE)</f>
        <v>0</v>
      </c>
      <c r="AA470" s="26" t="str">
        <f>IFERROR(__xludf.DUMMYFUNCTION("LET(
 id,A470,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1" ht="14.25" customHeight="1">
      <c r="A471" s="26" t="s">
        <v>1592</v>
      </c>
      <c r="B471" s="26" t="str">
        <f t="array" ref="B471">_xlfn.XLOOKUP(
 A471,
 tblTargets[TargetID],
 tblTargets[DisplayName],
 ""
)</f>
        <v>Obtain Hide</v>
      </c>
      <c r="C471" s="26" t="str">
        <f t="shared" si="1"/>
        <v>BLOCKED</v>
      </c>
      <c r="D471" s="26" t="b">
        <f>IFERROR(__xludf.DUMMYFUNCTION("LET(
 id,A471,
 IF(
  F471=""CHARACTER"",
  LET(
   base,REGEXREPLACE(id,""@\d+$"",""""),
   required,VALUE(REGEXEXTRACT(id,""@(\d+)$"")),
   current,XLOOKUP(
    base,
    tblPlayer[PlayerStateID],
    tblPlayer[Value],
    0
   ),
   current&gt;=required
 "&amp;" ),
  IF(
   T471=""AUTO"",
   L471=0,
   COUNTIFS(
    tblChecklist[TargetID],id,
    tblChecklist[PlayerCompleted],TRUE
   )&gt;0
  )
 )
)"),FALSE)</f>
        <v>0</v>
      </c>
      <c r="E471" s="26" t="str">
        <f t="array" ref="E471">_xlfn.XLOOKUP(
 A471,
 tblTargets[TargetID],
 tblTargets[TargetType],
 ""
)</f>
        <v>STATE</v>
      </c>
      <c r="F471" s="26" t="str">
        <f t="array" ref="F471">_xlfn.XLOOKUP(
 A471,
 tblTargets[TargetID],
 tblTargets[StateType],
 ""
)</f>
        <v>OBTAIN</v>
      </c>
      <c r="G471" s="26">
        <f>LET(
 id,A471,
 depCount,COUNTIF(tblDependencies[TargetID],id),
 objCount,COUNTIF(tblQuestObjectives[QuestTargetID],id),
 depCount+objCount
)</f>
        <v>1</v>
      </c>
      <c r="H471" s="26">
        <f t="shared" si="2"/>
        <v>1</v>
      </c>
      <c r="I471" s="26">
        <f>IFERROR(__xludf.DUMMYFUNCTION("LET(
 id,A471,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1" s="26">
        <f t="shared" si="3"/>
        <v>0</v>
      </c>
      <c r="K471" s="26" t="b">
        <f t="shared" si="4"/>
        <v>0</v>
      </c>
      <c r="L471" s="26">
        <f t="shared" si="5"/>
        <v>1</v>
      </c>
      <c r="M471" s="26" t="str">
        <f>IFERROR(__xludf.DUMMYFUNCTION("LET(
 id,A471,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L471=0,
  """",
  IFERROR(INDEX(incomplete,1),"""")"&amp;"
 )
)"),"quest.once_upon_a_forest_chapter_9.accepted")</f>
        <v>quest.once_upon_a_forest_chapter_9.accepted</v>
      </c>
      <c r="N471" s="26" t="str">
        <f t="array" ref="N471">IF(
 M471="",
 "",
 _xlfn.XLOOKUP(
  M471,
  tblTargets[TargetID],
  tblTargets[DisplayName],
  M471
 )
)</f>
        <v>Once Upon a Forest Chapter 9 Accepted</v>
      </c>
      <c r="O471" s="26" t="str">
        <f>IFERROR(__xludf.DUMMYFUNCTION("SWITCH(
 E471,
 ""BUILDING"",XLOOKUP(A471,tblBuildings[BuildingID],tblBuildings[costtext],""""),
 ""TECH"",XLOOKUP(A471,tblTechnologies[TechnologyID],tblTechnologies[costtext],""""),
 ""QUEST"",XLOOKUP(
  REGEXREPLACE(A471,""\.[^.]+$"",""""),
  tblQuests["&amp;"QuestID],
  tblQuests[Costtext],
  """"
 ),
 ""CITADEL"",XLOOKUP(A471,tblCitadel[CitadelID],tblCitadel[costtext],""""),
 ""COLLECTION"",XLOOKUP(A471,tblCollections[CollectionID],tblCollections[costtext],""""),
 ""CRAFTIFACT"",XLOOKUP(A471,tblCraftifacts[C"&amp;"raftifactID],tblCraftifacts[costtext],""""),
 """"
)"),"")</f>
        <v/>
      </c>
      <c r="P471" s="26" t="str">
        <f t="shared" si="6"/>
        <v>BLOCKED</v>
      </c>
      <c r="Q471" s="26" t="str">
        <f t="shared" si="7"/>
        <v>BLOCKED</v>
      </c>
      <c r="R471" s="26" t="str">
        <f t="array" ref="R471">IFERROR(
 _xlfn.XLOOKUP(
  A471,
  tblChecklist[TargetID],
  tblChecklist[PlayerSort],
  ""
 ),
 ""
)</f>
        <v/>
      </c>
      <c r="S471" s="26" t="str">
        <f>IFERROR(__xludf.DUMMYFUNCTION("LET(
 id,A471,
 successorIDs,
  IFERROR(
   UNIQUE(
    FILTER(
     {
      Dependencies!$A$2:$A$1000;
      QuestObjectives!$A$2:$A$1000
     },
     {
      Dependencies!$B$2:$B$1000;
      QuestObjectives!$E$2:$E$1000
     }=id
    )
   ),
   """"
  )"&amp;",
 names,
  MAP(
   successorIDs,
   LAMBDA(s,
    IF(
     s="""",
     """",
     XLOOKUP(
      s,
      $A$2:$A$1000,
      $B$2:$B$1000,
      s
     )
    )
   )
  ),
 IF(
  successorIDs="""",
  """",
  TEXTJOIN("", "",TRUE,names)
 )
)"),"Once Upon a Forest Chapter 9 Finished")</f>
        <v>Once Upon a Forest Chapter 9 Finished</v>
      </c>
      <c r="T471" s="26" t="str">
        <f t="array" ref="T471">_xlfn.XLOOKUP(
 A471,
 tblTargets[TargetID],
 tblTargets[CompletionMethod],
 ""
)</f>
        <v>PLAYER</v>
      </c>
      <c r="U471" s="84" t="b">
        <f>COUNTIF(tblCost[TargetID],A471)&gt;0</f>
        <v>0</v>
      </c>
      <c r="V471" s="85" t="str">
        <f t="array" ref="V471">IF(
 U471=FALSE,
 "",
 _xlfn.XLOOKUP(
  A471,
  tblCost[TargetID],
  tblCost[FundingPercent],
  ""
 )
)</f>
        <v/>
      </c>
      <c r="W471" s="26" t="str">
        <f t="array" ref="W471">IF(
 U471=FALSE,
 "",
 _xlfn.XLOOKUP(
  A471,
  tblCost[TargetID],
  tblCost[RemainingRequirements],
  ""
 )
)</f>
        <v/>
      </c>
      <c r="X471" s="45" t="str">
        <f t="array" ref="X471">IF(
 U471=FALSE,
 "N/A",
 _xlfn.XLOOKUP(
  A472,
  tblCost[TargetID],
  tblCost[TargetFunded],
  FALSE
 )
)</f>
        <v>N/A</v>
      </c>
      <c r="Y471" s="26" t="str">
        <f>IFERROR(__xludf.DUMMYFUNCTION("IFERROR(
 TEXTJOIN(
  "", "",
  TRUE,
  FILTER(
   'cost checklist'!$E$2:$E1000&amp;"": ""&amp;'cost checklist'!$G$2:$G1000,
   'cost checklist'!$B$2:$B1000=A471,
   'cost checklist'!$J$2:$J1000=FALSE
  )
 ),
 """"
)"),"")</f>
        <v/>
      </c>
      <c r="Z471" s="26" t="b">
        <f>IFERROR(__xludf.DUMMYFUNCTION("IF(
 AND(
  E471=""QUEST"",
  RIGHT(A471,9)="".accepted"",
  D471=TRUE
 ),
 XLOOKUP(
  REGEXREPLACE(A471,""\.accepted$"","""")&amp;"".finished"",
  $A$2:$A1000,
  $D$2:$D1000,
  TRUE
 )=FALSE,
 FALSE
)"),FALSE)</f>
        <v>0</v>
      </c>
      <c r="AA471" s="26" t="str">
        <f>IFERROR(__xludf.DUMMYFUNCTION("LET(
 id,A471,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2" ht="14.25" customHeight="1">
      <c r="A472" s="26" t="s">
        <v>1594</v>
      </c>
      <c r="B472" s="26" t="str">
        <f t="array" ref="B472">_xlfn.XLOOKUP(
 A472,
 tblTargets[TargetID],
 tblTargets[DisplayName],
 ""
)</f>
        <v>Obtain level 2 artifact</v>
      </c>
      <c r="C472" s="26" t="str">
        <f t="shared" si="1"/>
        <v>BLOCKED</v>
      </c>
      <c r="D472" s="26" t="b">
        <f>IFERROR(__xludf.DUMMYFUNCTION("LET(
 id,A472,
 IF(
  F472=""CHARACTER"",
  LET(
   base,REGEXREPLACE(id,""@\d+$"",""""),
   required,VALUE(REGEXEXTRACT(id,""@(\d+)$"")),
   current,XLOOKUP(
    base,
    tblPlayer[PlayerStateID],
    tblPlayer[Value],
    0
   ),
   current&gt;=required
 "&amp;" ),
  IF(
   T472=""AUTO"",
   L472=0,
   COUNTIFS(
    tblChecklist[TargetID],id,
    tblChecklist[PlayerCompleted],TRUE
   )&gt;0
  )
 )
)"),FALSE)</f>
        <v>0</v>
      </c>
      <c r="E472" s="26" t="str">
        <f t="array" ref="E472">_xlfn.XLOOKUP(
 A472,
 tblTargets[TargetID],
 tblTargets[TargetType],
 ""
)</f>
        <v>STATE</v>
      </c>
      <c r="F472" s="26" t="str">
        <f t="array" ref="F472">_xlfn.XLOOKUP(
 A472,
 tblTargets[TargetID],
 tblTargets[StateType],
 ""
)</f>
        <v>OBTAIN</v>
      </c>
      <c r="G472" s="26">
        <f>LET(
 id,A472,
 depCount,COUNTIF(tblDependencies[TargetID],id),
 objCount,COUNTIF(tblQuestObjectives[QuestTargetID],id),
 depCount+objCount
)</f>
        <v>1</v>
      </c>
      <c r="H472" s="26">
        <f t="shared" si="2"/>
        <v>1</v>
      </c>
      <c r="I472" s="26">
        <f>IFERROR(__xludf.DUMMYFUNCTION("LET(
 id,A472,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2" s="26">
        <f t="shared" si="3"/>
        <v>0</v>
      </c>
      <c r="K472" s="26" t="b">
        <f t="shared" si="4"/>
        <v>0</v>
      </c>
      <c r="L472" s="26">
        <f t="shared" si="5"/>
        <v>1</v>
      </c>
      <c r="M472" s="26" t="str">
        <f>IFERROR(__xludf.DUMMYFUNCTION("LET(
 id,A472,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L472=0,
  """",
  IFERROR(INDEX(incomplete,1),"""")"&amp;"
 )
)"),"quest.shoguns_katana_chapter_1.accepted")</f>
        <v>quest.shoguns_katana_chapter_1.accepted</v>
      </c>
      <c r="N472" s="26" t="str">
        <f t="array" ref="N472">IF(
 M472="",
 "",
 _xlfn.XLOOKUP(
  M472,
  tblTargets[TargetID],
  tblTargets[DisplayName],
  M472
 )
)</f>
        <v>Shogun's Katana Chapter 1 Accepted</v>
      </c>
      <c r="O472" s="26" t="str">
        <f>IFERROR(__xludf.DUMMYFUNCTION("SWITCH(
 E472,
 ""BUILDING"",XLOOKUP(A472,tblBuildings[BuildingID],tblBuildings[costtext],""""),
 ""TECH"",XLOOKUP(A472,tblTechnologies[TechnologyID],tblTechnologies[costtext],""""),
 ""QUEST"",XLOOKUP(
  REGEXREPLACE(A472,""\.[^.]+$"",""""),
  tblQuests["&amp;"QuestID],
  tblQuests[Costtext],
  """"
 ),
 ""CITADEL"",XLOOKUP(A472,tblCitadel[CitadelID],tblCitadel[costtext],""""),
 ""COLLECTION"",XLOOKUP(A472,tblCollections[CollectionID],tblCollections[costtext],""""),
 ""CRAFTIFACT"",XLOOKUP(A472,tblCraftifacts[C"&amp;"raftifactID],tblCraftifacts[costtext],""""),
 """"
)"),"")</f>
        <v/>
      </c>
      <c r="P472" s="26" t="str">
        <f t="shared" si="6"/>
        <v>BLOCKED</v>
      </c>
      <c r="Q472" s="26" t="str">
        <f t="shared" si="7"/>
        <v>BLOCKED</v>
      </c>
      <c r="R472" s="26" t="str">
        <f t="array" ref="R472">IFERROR(
 _xlfn.XLOOKUP(
  A472,
  tblChecklist[TargetID],
  tblChecklist[PlayerSort],
  ""
 ),
 ""
)</f>
        <v/>
      </c>
      <c r="S472" s="26" t="str">
        <f>IFERROR(__xludf.DUMMYFUNCTION("LET(
 id,A472,
 successorIDs,
  IFERROR(
   UNIQUE(
    FILTER(
     {
      Dependencies!$A$2:$A$1000;
      QuestObjectives!$A$2:$A$1000
     },
     {
      Dependencies!$B$2:$B$1000;
      QuestObjectives!$E$2:$E$1000
     }=id
    )
   ),
   """"
  )"&amp;",
 names,
  MAP(
   successorIDs,
   LAMBDA(s,
    IF(
     s="""",
     """",
     XLOOKUP(
      s,
      $A$2:$A$1000,
      $B$2:$B$1000,
      s
     )
    )
   )
  ),
 IF(
  successorIDs="""",
  """",
  TEXTJOIN("", "",TRUE,names)
 )
)"),"Shogun's Katana Chapter 1 Finished")</f>
        <v>Shogun's Katana Chapter 1 Finished</v>
      </c>
      <c r="T472" s="26" t="str">
        <f t="array" ref="T472">_xlfn.XLOOKUP(
 A472,
 tblTargets[TargetID],
 tblTargets[CompletionMethod],
 ""
)</f>
        <v>PLAYER</v>
      </c>
      <c r="U472" s="84" t="b">
        <f>COUNTIF(tblCost[TargetID],A472)&gt;0</f>
        <v>0</v>
      </c>
      <c r="V472" s="85" t="str">
        <f t="array" ref="V472">IF(
 U472=FALSE,
 "",
 _xlfn.XLOOKUP(
  A472,
  tblCost[TargetID],
  tblCost[FundingPercent],
  ""
 )
)</f>
        <v/>
      </c>
      <c r="W472" s="26" t="str">
        <f t="array" ref="W472">IF(
 U472=FALSE,
 "",
 _xlfn.XLOOKUP(
  A472,
  tblCost[TargetID],
  tblCost[RemainingRequirements],
  ""
 )
)</f>
        <v/>
      </c>
      <c r="X472" s="45" t="str">
        <f t="array" ref="X472">IF(
 U472=FALSE,
 "N/A",
 _xlfn.XLOOKUP(
  A473,
  tblCost[TargetID],
  tblCost[TargetFunded],
  FALSE
 )
)</f>
        <v>N/A</v>
      </c>
      <c r="Y472" s="26" t="str">
        <f>IFERROR(__xludf.DUMMYFUNCTION("IFERROR(
 TEXTJOIN(
  "", "",
  TRUE,
  FILTER(
   'cost checklist'!$E$2:$E1000&amp;"": ""&amp;'cost checklist'!$G$2:$G1000,
   'cost checklist'!$B$2:$B1000=A472,
   'cost checklist'!$J$2:$J1000=FALSE
  )
 ),
 """"
)"),"")</f>
        <v/>
      </c>
      <c r="Z472" s="26" t="b">
        <f>IFERROR(__xludf.DUMMYFUNCTION("IF(
 AND(
  E472=""QUEST"",
  RIGHT(A472,9)="".accepted"",
  D472=TRUE
 ),
 XLOOKUP(
  REGEXREPLACE(A472,""\.accepted$"","""")&amp;"".finished"",
  $A$2:$A1000,
  $D$2:$D1000,
  TRUE
 )=FALSE,
 FALSE
)"),FALSE)</f>
        <v>0</v>
      </c>
      <c r="AA472" s="26" t="str">
        <f>IFERROR(__xludf.DUMMYFUNCTION("LET(
 id,A472,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3" ht="14.25" customHeight="1">
      <c r="A473" s="26" t="s">
        <v>1597</v>
      </c>
      <c r="B473" s="26" t="str">
        <f t="array" ref="B473">_xlfn.XLOOKUP(
 A473,
 tblTargets[TargetID],
 tblTargets[DisplayName],
 ""
)</f>
        <v>Craft level 2 map</v>
      </c>
      <c r="C473" s="26" t="str">
        <f t="shared" si="1"/>
        <v>BLOCKED</v>
      </c>
      <c r="D473" s="26" t="b">
        <f>IFERROR(__xludf.DUMMYFUNCTION("LET(
 id,A473,
 IF(
  F473=""CHARACTER"",
  LET(
   base,REGEXREPLACE(id,""@\d+$"",""""),
   required,VALUE(REGEXEXTRACT(id,""@(\d+)$"")),
   current,XLOOKUP(
    base,
    tblPlayer[PlayerStateID],
    tblPlayer[Value],
    0
   ),
   current&gt;=required
 "&amp;" ),
  IF(
   T473=""AUTO"",
   L473=0,
   COUNTIFS(
    tblChecklist[TargetID],id,
    tblChecklist[PlayerCompleted],TRUE
   )&gt;0
  )
 )
)"),FALSE)</f>
        <v>0</v>
      </c>
      <c r="E473" s="26" t="str">
        <f t="array" ref="E473">_xlfn.XLOOKUP(
 A473,
 tblTargets[TargetID],
 tblTargets[TargetType],
 ""
)</f>
        <v>STATE</v>
      </c>
      <c r="F473" s="26" t="str">
        <f t="array" ref="F473">_xlfn.XLOOKUP(
 A473,
 tblTargets[TargetID],
 tblTargets[StateType],
 ""
)</f>
        <v>OBTAIN</v>
      </c>
      <c r="G473" s="26">
        <f>LET(
 id,A473,
 depCount,COUNTIF(tblDependencies[TargetID],id),
 objCount,COUNTIF(tblQuestObjectives[QuestTargetID],id),
 depCount+objCount
)</f>
        <v>1</v>
      </c>
      <c r="H473" s="26">
        <f t="shared" si="2"/>
        <v>1</v>
      </c>
      <c r="I473" s="26">
        <f>IFERROR(__xludf.DUMMYFUNCTION("LET(
 id,A473,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3" s="26">
        <f t="shared" si="3"/>
        <v>0</v>
      </c>
      <c r="K473" s="26" t="b">
        <f t="shared" si="4"/>
        <v>0</v>
      </c>
      <c r="L473" s="26">
        <f t="shared" si="5"/>
        <v>1</v>
      </c>
      <c r="M473" s="26" t="str">
        <f>IFERROR(__xludf.DUMMYFUNCTION("LET(
 id,A473,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L473=0,
  """",
  IFERROR(INDEX(incomplete,1),"""")"&amp;"
 )
)"),"quest.shoguns_katana_chapter_1.accepted")</f>
        <v>quest.shoguns_katana_chapter_1.accepted</v>
      </c>
      <c r="N473" s="26" t="str">
        <f t="array" ref="N473">IF(
 M473="",
 "",
 _xlfn.XLOOKUP(
  M473,
  tblTargets[TargetID],
  tblTargets[DisplayName],
  M473
 )
)</f>
        <v>Shogun's Katana Chapter 1 Accepted</v>
      </c>
      <c r="O473" s="26" t="str">
        <f>IFERROR(__xludf.DUMMYFUNCTION("SWITCH(
 E473,
 ""BUILDING"",XLOOKUP(A473,tblBuildings[BuildingID],tblBuildings[costtext],""""),
 ""TECH"",XLOOKUP(A473,tblTechnologies[TechnologyID],tblTechnologies[costtext],""""),
 ""QUEST"",XLOOKUP(
  REGEXREPLACE(A473,""\.[^.]+$"",""""),
  tblQuests["&amp;"QuestID],
  tblQuests[Costtext],
  """"
 ),
 ""CITADEL"",XLOOKUP(A473,tblCitadel[CitadelID],tblCitadel[costtext],""""),
 ""COLLECTION"",XLOOKUP(A473,tblCollections[CollectionID],tblCollections[costtext],""""),
 ""CRAFTIFACT"",XLOOKUP(A473,tblCraftifacts[C"&amp;"raftifactID],tblCraftifacts[costtext],""""),
 """"
)"),"")</f>
        <v/>
      </c>
      <c r="P473" s="26" t="str">
        <f t="shared" si="6"/>
        <v>BLOCKED</v>
      </c>
      <c r="Q473" s="26" t="str">
        <f t="shared" si="7"/>
        <v>BLOCKED</v>
      </c>
      <c r="R473" s="26" t="str">
        <f t="array" ref="R473">IFERROR(
 _xlfn.XLOOKUP(
  A473,
  tblChecklist[TargetID],
  tblChecklist[PlayerSort],
  ""
 ),
 ""
)</f>
        <v/>
      </c>
      <c r="S473" s="26" t="str">
        <f>IFERROR(__xludf.DUMMYFUNCTION("LET(
 id,A473,
 successorIDs,
  IFERROR(
   UNIQUE(
    FILTER(
     {
      Dependencies!$A$2:$A$1000;
      QuestObjectives!$A$2:$A$1000
     },
     {
      Dependencies!$B$2:$B$1000;
      QuestObjectives!$E$2:$E$1000
     }=id
    )
   ),
   """"
  )"&amp;",
 names,
  MAP(
   successorIDs,
   LAMBDA(s,
    IF(
     s="""",
     """",
     XLOOKUP(
      s,
      $A$2:$A$1000,
      $B$2:$B$1000,
      s
     )
    )
   )
  ),
 IF(
  successorIDs="""",
  """",
  TEXTJOIN("", "",TRUE,names)
 )
)"),"Shogun's Katana Chapter 1 Finished")</f>
        <v>Shogun's Katana Chapter 1 Finished</v>
      </c>
      <c r="T473" s="26" t="str">
        <f t="array" ref="T473">_xlfn.XLOOKUP(
 A473,
 tblTargets[TargetID],
 tblTargets[CompletionMethod],
 ""
)</f>
        <v>PLAYER</v>
      </c>
      <c r="U473" s="84" t="b">
        <f>COUNTIF(tblCost[TargetID],A473)&gt;0</f>
        <v>0</v>
      </c>
      <c r="V473" s="85" t="str">
        <f t="array" ref="V473">IF(
 U473=FALSE,
 "",
 _xlfn.XLOOKUP(
  A473,
  tblCost[TargetID],
  tblCost[FundingPercent],
  ""
 )
)</f>
        <v/>
      </c>
      <c r="W473" s="26" t="str">
        <f t="array" ref="W473">IF(
 U473=FALSE,
 "",
 _xlfn.XLOOKUP(
  A473,
  tblCost[TargetID],
  tblCost[RemainingRequirements],
  ""
 )
)</f>
        <v/>
      </c>
      <c r="X473" s="45" t="str">
        <f t="array" ref="X473">IF(
 U473=FALSE,
 "N/A",
 _xlfn.XLOOKUP(
  A474,
  tblCost[TargetID],
  tblCost[TargetFunded],
  FALSE
 )
)</f>
        <v>N/A</v>
      </c>
      <c r="Y473" s="26" t="str">
        <f>IFERROR(__xludf.DUMMYFUNCTION("IFERROR(
 TEXTJOIN(
  "", "",
  TRUE,
  FILTER(
   'cost checklist'!$E$2:$E1000&amp;"": ""&amp;'cost checklist'!$G$2:$G1000,
   'cost checklist'!$B$2:$B1000=A473,
   'cost checklist'!$J$2:$J1000=FALSE
  )
 ),
 """"
)"),"")</f>
        <v/>
      </c>
      <c r="Z473" s="26" t="b">
        <f>IFERROR(__xludf.DUMMYFUNCTION("IF(
 AND(
  E473=""QUEST"",
  RIGHT(A473,9)="".accepted"",
  D473=TRUE
 ),
 XLOOKUP(
  REGEXREPLACE(A473,""\.accepted$"","""")&amp;"".finished"",
  $A$2:$A1000,
  $D$2:$D1000,
  TRUE
 )=FALSE,
 FALSE
)"),FALSE)</f>
        <v>0</v>
      </c>
      <c r="AA473" s="26" t="str">
        <f>IFERROR(__xludf.DUMMYFUNCTION("LET(
 id,A473,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4" ht="14.25" customHeight="1">
      <c r="A474" s="26" t="s">
        <v>1599</v>
      </c>
      <c r="B474" s="26" t="str">
        <f t="array" ref="B474">_xlfn.XLOOKUP(
 A474,
 tblTargets[TargetID],
 tblTargets[DisplayName],
 ""
)</f>
        <v>Obtain level 3 artifact</v>
      </c>
      <c r="C474" s="26" t="str">
        <f t="shared" si="1"/>
        <v>BLOCKED</v>
      </c>
      <c r="D474" s="26" t="b">
        <f>IFERROR(__xludf.DUMMYFUNCTION("LET(
 id,A474,
 IF(
  F474=""CHARACTER"",
  LET(
   base,REGEXREPLACE(id,""@\d+$"",""""),
   required,VALUE(REGEXEXTRACT(id,""@(\d+)$"")),
   current,XLOOKUP(
    base,
    tblPlayer[PlayerStateID],
    tblPlayer[Value],
    0
   ),
   current&gt;=required
 "&amp;" ),
  IF(
   T474=""AUTO"",
   L474=0,
   COUNTIFS(
    tblChecklist[TargetID],id,
    tblChecklist[PlayerCompleted],TRUE
   )&gt;0
  )
 )
)"),FALSE)</f>
        <v>0</v>
      </c>
      <c r="E474" s="26" t="str">
        <f t="array" ref="E474">_xlfn.XLOOKUP(
 A474,
 tblTargets[TargetID],
 tblTargets[TargetType],
 ""
)</f>
        <v>STATE</v>
      </c>
      <c r="F474" s="26" t="str">
        <f t="array" ref="F474">_xlfn.XLOOKUP(
 A474,
 tblTargets[TargetID],
 tblTargets[StateType],
 ""
)</f>
        <v>OBTAIN</v>
      </c>
      <c r="G474" s="26">
        <f>LET(
 id,A474,
 depCount,COUNTIF(tblDependencies[TargetID],id),
 objCount,COUNTIF(tblQuestObjectives[QuestTargetID],id),
 depCount+objCount
)</f>
        <v>1</v>
      </c>
      <c r="H474" s="26">
        <f t="shared" si="2"/>
        <v>1</v>
      </c>
      <c r="I474" s="26">
        <f>IFERROR(__xludf.DUMMYFUNCTION("LET(
 id,A474,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4" s="26">
        <f t="shared" si="3"/>
        <v>0</v>
      </c>
      <c r="K474" s="26" t="b">
        <f t="shared" si="4"/>
        <v>0</v>
      </c>
      <c r="L474" s="26">
        <f t="shared" si="5"/>
        <v>1</v>
      </c>
      <c r="M474" s="26" t="str">
        <f>IFERROR(__xludf.DUMMYFUNCTION("LET(
 id,A474,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L474=0,
  """",
  IFERROR(INDEX(incomplete,1),"""")"&amp;"
 )
)"),"quest.shoguns_katana_chapter_2.accepted")</f>
        <v>quest.shoguns_katana_chapter_2.accepted</v>
      </c>
      <c r="N474" s="26" t="str">
        <f t="array" ref="N474">IF(
 M474="",
 "",
 _xlfn.XLOOKUP(
  M474,
  tblTargets[TargetID],
  tblTargets[DisplayName],
  M474
 )
)</f>
        <v>Shogun's Katana Chapter 2 Accepted</v>
      </c>
      <c r="O474" s="26" t="str">
        <f>IFERROR(__xludf.DUMMYFUNCTION("SWITCH(
 E474,
 ""BUILDING"",XLOOKUP(A474,tblBuildings[BuildingID],tblBuildings[costtext],""""),
 ""TECH"",XLOOKUP(A474,tblTechnologies[TechnologyID],tblTechnologies[costtext],""""),
 ""QUEST"",XLOOKUP(
  REGEXREPLACE(A474,""\.[^.]+$"",""""),
  tblQuests["&amp;"QuestID],
  tblQuests[Costtext],
  """"
 ),
 ""CITADEL"",XLOOKUP(A474,tblCitadel[CitadelID],tblCitadel[costtext],""""),
 ""COLLECTION"",XLOOKUP(A474,tblCollections[CollectionID],tblCollections[costtext],""""),
 ""CRAFTIFACT"",XLOOKUP(A474,tblCraftifacts[C"&amp;"raftifactID],tblCraftifacts[costtext],""""),
 """"
)"),"")</f>
        <v/>
      </c>
      <c r="P474" s="26" t="str">
        <f t="shared" si="6"/>
        <v>BLOCKED</v>
      </c>
      <c r="Q474" s="26" t="str">
        <f t="shared" si="7"/>
        <v>BLOCKED</v>
      </c>
      <c r="R474" s="26" t="str">
        <f t="array" ref="R474">IFERROR(
 _xlfn.XLOOKUP(
  A474,
  tblChecklist[TargetID],
  tblChecklist[PlayerSort],
  ""
 ),
 ""
)</f>
        <v/>
      </c>
      <c r="S474" s="26" t="str">
        <f>IFERROR(__xludf.DUMMYFUNCTION("LET(
 id,A474,
 successorIDs,
  IFERROR(
   UNIQUE(
    FILTER(
     {
      Dependencies!$A$2:$A$1000;
      QuestObjectives!$A$2:$A$1000
     },
     {
      Dependencies!$B$2:$B$1000;
      QuestObjectives!$E$2:$E$1000
     }=id
    )
   ),
   """"
  )"&amp;",
 names,
  MAP(
   successorIDs,
   LAMBDA(s,
    IF(
     s="""",
     """",
     XLOOKUP(
      s,
      $A$2:$A$1000,
      $B$2:$B$1000,
      s
     )
    )
   )
  ),
 IF(
  successorIDs="""",
  """",
  TEXTJOIN("", "",TRUE,names)
 )
)"),"Shogun's Katana Chapter 2 Finished")</f>
        <v>Shogun's Katana Chapter 2 Finished</v>
      </c>
      <c r="T474" s="26" t="str">
        <f t="array" ref="T474">_xlfn.XLOOKUP(
 A474,
 tblTargets[TargetID],
 tblTargets[CompletionMethod],
 ""
)</f>
        <v>PLAYER</v>
      </c>
      <c r="U474" s="84" t="b">
        <f>COUNTIF(tblCost[TargetID],A474)&gt;0</f>
        <v>0</v>
      </c>
      <c r="V474" s="85" t="str">
        <f t="array" ref="V474">IF(
 U474=FALSE,
 "",
 _xlfn.XLOOKUP(
  A474,
  tblCost[TargetID],
  tblCost[FundingPercent],
  ""
 )
)</f>
        <v/>
      </c>
      <c r="W474" s="26" t="str">
        <f t="array" ref="W474">IF(
 U474=FALSE,
 "",
 _xlfn.XLOOKUP(
  A474,
  tblCost[TargetID],
  tblCost[RemainingRequirements],
  ""
 )
)</f>
        <v/>
      </c>
      <c r="X474" s="45" t="str">
        <f t="array" ref="X474">IF(
 U474=FALSE,
 "N/A",
 _xlfn.XLOOKUP(
  A475,
  tblCost[TargetID],
  tblCost[TargetFunded],
  FALSE
 )
)</f>
        <v>N/A</v>
      </c>
      <c r="Y474" s="26" t="str">
        <f>IFERROR(__xludf.DUMMYFUNCTION("IFERROR(
 TEXTJOIN(
  "", "",
  TRUE,
  FILTER(
   'cost checklist'!$E$2:$E1000&amp;"": ""&amp;'cost checklist'!$G$2:$G1000,
   'cost checklist'!$B$2:$B1000=A474,
   'cost checklist'!$J$2:$J1000=FALSE
  )
 ),
 """"
)"),"")</f>
        <v/>
      </c>
      <c r="Z474" s="26" t="b">
        <f>IFERROR(__xludf.DUMMYFUNCTION("IF(
 AND(
  E474=""QUEST"",
  RIGHT(A474,9)="".accepted"",
  D474=TRUE
 ),
 XLOOKUP(
  REGEXREPLACE(A474,""\.accepted$"","""")&amp;"".finished"",
  $A$2:$A1000,
  $D$2:$D1000,
  TRUE
 )=FALSE,
 FALSE
)"),FALSE)</f>
        <v>0</v>
      </c>
      <c r="AA474" s="26" t="str">
        <f>IFERROR(__xludf.DUMMYFUNCTION("LET(
 id,A474,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5" ht="14.25" customHeight="1">
      <c r="A475" s="26" t="s">
        <v>1601</v>
      </c>
      <c r="B475" s="26" t="str">
        <f t="array" ref="B475">_xlfn.XLOOKUP(
 A475,
 tblTargets[TargetID],
 tblTargets[DisplayName],
 ""
)</f>
        <v>Map Catacombs</v>
      </c>
      <c r="C475" s="26" t="str">
        <f t="shared" si="1"/>
        <v>BLOCKED</v>
      </c>
      <c r="D475" s="26" t="b">
        <f>IFERROR(__xludf.DUMMYFUNCTION("LET(
 id,A475,
 IF(
  F475=""CHARACTER"",
  LET(
   base,REGEXREPLACE(id,""@\d+$"",""""),
   required,VALUE(REGEXEXTRACT(id,""@(\d+)$"")),
   current,XLOOKUP(
    base,
    tblPlayer[PlayerStateID],
    tblPlayer[Value],
    0
   ),
   current&gt;=required
 "&amp;" ),
  IF(
   T475=""AUTO"",
   L475=0,
   COUNTIFS(
    tblChecklist[TargetID],id,
    tblChecklist[PlayerCompleted],TRUE
   )&gt;0
  )
 )
)"),FALSE)</f>
        <v>0</v>
      </c>
      <c r="E475" s="26" t="str">
        <f t="array" ref="E475">_xlfn.XLOOKUP(
 A475,
 tblTargets[TargetID],
 tblTargets[TargetType],
 ""
)</f>
        <v>STATE</v>
      </c>
      <c r="F475" s="26" t="str">
        <f t="array" ref="F475">_xlfn.XLOOKUP(
 A475,
 tblTargets[TargetID],
 tblTargets[StateType],
 ""
)</f>
        <v>OBTAIN</v>
      </c>
      <c r="G475" s="26">
        <f>LET(
 id,A475,
 depCount,COUNTIF(tblDependencies[TargetID],id),
 objCount,COUNTIF(tblQuestObjectives[QuestTargetID],id),
 depCount+objCount
)</f>
        <v>1</v>
      </c>
      <c r="H475" s="26">
        <f t="shared" si="2"/>
        <v>1</v>
      </c>
      <c r="I475" s="26">
        <f>IFERROR(__xludf.DUMMYFUNCTION("LET(
 id,A475,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5" s="26">
        <f t="shared" si="3"/>
        <v>0</v>
      </c>
      <c r="K475" s="26" t="b">
        <f t="shared" si="4"/>
        <v>0</v>
      </c>
      <c r="L475" s="26">
        <f t="shared" si="5"/>
        <v>1</v>
      </c>
      <c r="M475" s="26" t="str">
        <f>IFERROR(__xludf.DUMMYFUNCTION("LET(
 id,A475,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L475=0,
  """",
  IFERROR(INDEX(incomplete,1),"""")"&amp;"
 )
)"),"quest.quest_for_knowledge_chapter_3.finished")</f>
        <v>quest.quest_for_knowledge_chapter_3.finished</v>
      </c>
      <c r="N475" s="26" t="str">
        <f t="array" ref="N475">IF(
 M475="",
 "",
 _xlfn.XLOOKUP(
  M475,
  tblTargets[TargetID],
  tblTargets[DisplayName],
  M475
 )
)</f>
        <v>Quest for Knowledge Chapter 3 Finished</v>
      </c>
      <c r="O475" s="26" t="str">
        <f>IFERROR(__xludf.DUMMYFUNCTION("SWITCH(
 E475,
 ""BUILDING"",XLOOKUP(A475,tblBuildings[BuildingID],tblBuildings[costtext],""""),
 ""TECH"",XLOOKUP(A475,tblTechnologies[TechnologyID],tblTechnologies[costtext],""""),
 ""QUEST"",XLOOKUP(
  REGEXREPLACE(A475,""\.[^.]+$"",""""),
  tblQuests["&amp;"QuestID],
  tblQuests[Costtext],
  """"
 ),
 ""CITADEL"",XLOOKUP(A475,tblCitadel[CitadelID],tblCitadel[costtext],""""),
 ""COLLECTION"",XLOOKUP(A475,tblCollections[CollectionID],tblCollections[costtext],""""),
 ""CRAFTIFACT"",XLOOKUP(A475,tblCraftifacts[C"&amp;"raftifactID],tblCraftifacts[costtext],""""),
 """"
)"),"")</f>
        <v/>
      </c>
      <c r="P475" s="26" t="str">
        <f t="shared" si="6"/>
        <v>BLOCKED</v>
      </c>
      <c r="Q475" s="26" t="str">
        <f t="shared" si="7"/>
        <v>BLOCKED</v>
      </c>
      <c r="R475" s="26" t="str">
        <f t="array" ref="R475">IFERROR(
 _xlfn.XLOOKUP(
  A475,
  tblChecklist[TargetID],
  tblChecklist[PlayerSort],
  ""
 ),
 ""
)</f>
        <v/>
      </c>
      <c r="S475" s="26" t="str">
        <f>IFERROR(__xludf.DUMMYFUNCTION("LET(
 id,A475,
 successorIDs,
  IFERROR(
   UNIQUE(
    FILTER(
     {
      Dependencies!$A$2:$A$1000;
      QuestObjectives!$A$2:$A$1000
     },
     {
      Dependencies!$B$2:$B$1000;
      QuestObjectives!$E$2:$E$1000
     }=id
    )
   ),
   """"
  )"&amp;",
 names,
  MAP(
   successorIDs,
   LAMBDA(s,
    IF(
     s="""",
     """",
     XLOOKUP(
      s,
      $A$2:$A$1000,
      $B$2:$B$1000,
      s
     )
    )
   )
  ),
 IF(
  successorIDs="""",
  """",
  TEXTJOIN("", "",TRUE,names)
 )
)"),"Quest for Knowledge Chapter 4 Accepted")</f>
        <v>Quest for Knowledge Chapter 4 Accepted</v>
      </c>
      <c r="T475" s="26" t="str">
        <f t="array" ref="T475">_xlfn.XLOOKUP(
 A475,
 tblTargets[TargetID],
 tblTargets[CompletionMethod],
 ""
)</f>
        <v>PLAYER</v>
      </c>
      <c r="U475" s="84" t="b">
        <f>COUNTIF(tblCost[TargetID],A475)&gt;0</f>
        <v>0</v>
      </c>
      <c r="V475" s="85" t="str">
        <f t="array" ref="V475">IF(
 U475=FALSE,
 "",
 _xlfn.XLOOKUP(
  A475,
  tblCost[TargetID],
  tblCost[FundingPercent],
  ""
 )
)</f>
        <v/>
      </c>
      <c r="W475" s="26" t="str">
        <f t="array" ref="W475">IF(
 U475=FALSE,
 "",
 _xlfn.XLOOKUP(
  A475,
  tblCost[TargetID],
  tblCost[RemainingRequirements],
  ""
 )
)</f>
        <v/>
      </c>
      <c r="X475" s="45" t="str">
        <f t="array" ref="X475">IF(
 U475=FALSE,
 "N/A",
 _xlfn.XLOOKUP(
  A476,
  tblCost[TargetID],
  tblCost[TargetFunded],
  FALSE
 )
)</f>
        <v>N/A</v>
      </c>
      <c r="Y475" s="26" t="str">
        <f>IFERROR(__xludf.DUMMYFUNCTION("IFERROR(
 TEXTJOIN(
  "", "",
  TRUE,
  FILTER(
   'cost checklist'!$E$2:$E1000&amp;"": ""&amp;'cost checklist'!$G$2:$G1000,
   'cost checklist'!$B$2:$B1000=A475,
   'cost checklist'!$J$2:$J1000=FALSE
  )
 ),
 """"
)"),"")</f>
        <v/>
      </c>
      <c r="Z475" s="26" t="b">
        <f>IFERROR(__xludf.DUMMYFUNCTION("IF(
 AND(
  E475=""QUEST"",
  RIGHT(A475,9)="".accepted"",
  D475=TRUE
 ),
 XLOOKUP(
  REGEXREPLACE(A475,""\.accepted$"","""")&amp;"".finished"",
  $A$2:$A1000,
  $D$2:$D1000,
  TRUE
 )=FALSE,
 FALSE
)"),FALSE)</f>
        <v>0</v>
      </c>
      <c r="AA475" s="26" t="str">
        <f>IFERROR(__xludf.DUMMYFUNCTION("LET(
 id,A475,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)"),"Quest for Knowledge Chapter 4")</f>
        <v>Quest for Knowledge Chapter 4</v>
      </c>
    </row>
    <row r="476" ht="14.25" customHeight="1">
      <c r="A476" s="26" t="s">
        <v>1604</v>
      </c>
      <c r="B476" s="26" t="str">
        <f t="array" ref="B476">_xlfn.XLOOKUP(
 A476,
 tblTargets[TargetID],
 tblTargets[DisplayName],
 ""
)</f>
        <v>Craft level 4 map</v>
      </c>
      <c r="C476" s="26" t="str">
        <f t="shared" si="1"/>
        <v>BLOCKED</v>
      </c>
      <c r="D476" s="26" t="b">
        <f>IFERROR(__xludf.DUMMYFUNCTION("LET(
 id,A476,
 IF(
  F476=""CHARACTER"",
  LET(
   base,REGEXREPLACE(id,""@\d+$"",""""),
   required,VALUE(REGEXEXTRACT(id,""@(\d+)$"")),
   current,XLOOKUP(
    base,
    tblPlayer[PlayerStateID],
    tblPlayer[Value],
    0
   ),
   current&gt;=required
 "&amp;" ),
  IF(
   T476=""AUTO"",
   L476=0,
   COUNTIFS(
    tblChecklist[TargetID],id,
    tblChecklist[PlayerCompleted],TRUE
   )&gt;0
  )
 )
)"),FALSE)</f>
        <v>0</v>
      </c>
      <c r="E476" s="26" t="str">
        <f t="array" ref="E476">_xlfn.XLOOKUP(
 A476,
 tblTargets[TargetID],
 tblTargets[TargetType],
 ""
)</f>
        <v>STATE</v>
      </c>
      <c r="F476" s="26" t="str">
        <f t="array" ref="F476">_xlfn.XLOOKUP(
 A476,
 tblTargets[TargetID],
 tblTargets[StateType],
 ""
)</f>
        <v>OBTAIN</v>
      </c>
      <c r="G476" s="26">
        <f>LET(
 id,A476,
 depCount,COUNTIF(tblDependencies[TargetID],id),
 objCount,COUNTIF(tblQuestObjectives[QuestTargetID],id),
 depCount+objCount
)</f>
        <v>1</v>
      </c>
      <c r="H476" s="26">
        <f t="shared" si="2"/>
        <v>1</v>
      </c>
      <c r="I476" s="26">
        <f>IFERROR(__xludf.DUMMYFUNCTION("LET(
 id,A476,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6" s="26">
        <f t="shared" si="3"/>
        <v>0</v>
      </c>
      <c r="K476" s="26" t="b">
        <f t="shared" si="4"/>
        <v>0</v>
      </c>
      <c r="L476" s="26">
        <f t="shared" si="5"/>
        <v>1</v>
      </c>
      <c r="M476" s="26" t="str">
        <f>IFERROR(__xludf.DUMMYFUNCTION("LET(
 id,A476,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L476=0,
  """",
  IFERROR(INDEX(incomplete,1),"""")"&amp;"
 )
)"),"quest.shoguns_katana_chapter_6.accepted")</f>
        <v>quest.shoguns_katana_chapter_6.accepted</v>
      </c>
      <c r="N476" s="26" t="str">
        <f t="array" ref="N476">IF(
 M476="",
 "",
 _xlfn.XLOOKUP(
  M476,
  tblTargets[TargetID],
  tblTargets[DisplayName],
  M476
 )
)</f>
        <v>Shogun's Katana Chapter 6 Accepted</v>
      </c>
      <c r="O476" s="26" t="str">
        <f>IFERROR(__xludf.DUMMYFUNCTION("SWITCH(
 E476,
 ""BUILDING"",XLOOKUP(A476,tblBuildings[BuildingID],tblBuildings[costtext],""""),
 ""TECH"",XLOOKUP(A476,tblTechnologies[TechnologyID],tblTechnologies[costtext],""""),
 ""QUEST"",XLOOKUP(
  REGEXREPLACE(A476,""\.[^.]+$"",""""),
  tblQuests["&amp;"QuestID],
  tblQuests[Costtext],
  """"
 ),
 ""CITADEL"",XLOOKUP(A476,tblCitadel[CitadelID],tblCitadel[costtext],""""),
 ""COLLECTION"",XLOOKUP(A476,tblCollections[CollectionID],tblCollections[costtext],""""),
 ""CRAFTIFACT"",XLOOKUP(A476,tblCraftifacts[C"&amp;"raftifactID],tblCraftifacts[costtext],""""),
 """"
)"),"")</f>
        <v/>
      </c>
      <c r="P476" s="26" t="str">
        <f t="shared" si="6"/>
        <v>BLOCKED</v>
      </c>
      <c r="Q476" s="26" t="str">
        <f t="shared" si="7"/>
        <v>BLOCKED</v>
      </c>
      <c r="R476" s="26" t="str">
        <f t="array" ref="R476">IFERROR(
 _xlfn.XLOOKUP(
  A476,
  tblChecklist[TargetID],
  tblChecklist[PlayerSort],
  ""
 ),
 ""
)</f>
        <v/>
      </c>
      <c r="S476" s="26" t="str">
        <f>IFERROR(__xludf.DUMMYFUNCTION("LET(
 id,A476,
 successorIDs,
  IFERROR(
   UNIQUE(
    FILTER(
     {
      Dependencies!$A$2:$A$1000;
      QuestObjectives!$A$2:$A$1000
     },
     {
      Dependencies!$B$2:$B$1000;
      QuestObjectives!$E$2:$E$1000
     }=id
    )
   ),
   """"
  )"&amp;",
 names,
  MAP(
   successorIDs,
   LAMBDA(s,
    IF(
     s="""",
     """",
     XLOOKUP(
      s,
      $A$2:$A$1000,
      $B$2:$B$1000,
      s
     )
    )
   )
  ),
 IF(
  successorIDs="""",
  """",
  TEXTJOIN("", "",TRUE,names)
 )
)"),"Obtain Shogun's Mortar, Shogun's Katana Chapter 6 Finished")</f>
        <v>Obtain Shogun's Mortar, Shogun's Katana Chapter 6 Finished</v>
      </c>
      <c r="T476" s="26" t="str">
        <f t="array" ref="T476">_xlfn.XLOOKUP(
 A476,
 tblTargets[TargetID],
 tblTargets[CompletionMethod],
 ""
)</f>
        <v>PLAYER</v>
      </c>
      <c r="U476" s="84" t="b">
        <f>COUNTIF(tblCost[TargetID],A476)&gt;0</f>
        <v>0</v>
      </c>
      <c r="V476" s="85" t="str">
        <f t="array" ref="V476">IF(
 U476=FALSE,
 "",
 _xlfn.XLOOKUP(
  A476,
  tblCost[TargetID],
  tblCost[FundingPercent],
  ""
 )
)</f>
        <v/>
      </c>
      <c r="W476" s="26" t="str">
        <f t="array" ref="W476">IF(
 U476=FALSE,
 "",
 _xlfn.XLOOKUP(
  A476,
  tblCost[TargetID],
  tblCost[RemainingRequirements],
  ""
 )
)</f>
        <v/>
      </c>
      <c r="X476" s="45" t="str">
        <f t="array" ref="X476">IF(
 U476=FALSE,
 "N/A",
 _xlfn.XLOOKUP(
  A477,
  tblCost[TargetID],
  tblCost[TargetFunded],
  FALSE
 )
)</f>
        <v>N/A</v>
      </c>
      <c r="Y476" s="26" t="str">
        <f>IFERROR(__xludf.DUMMYFUNCTION("IFERROR(
 TEXTJOIN(
  "", "",
  TRUE,
  FILTER(
   'cost checklist'!$E$2:$E1000&amp;"": ""&amp;'cost checklist'!$G$2:$G1000,
   'cost checklist'!$B$2:$B1000=A476,
   'cost checklist'!$J$2:$J1000=FALSE
  )
 ),
 """"
)"),"")</f>
        <v/>
      </c>
      <c r="Z476" s="26" t="b">
        <f>IFERROR(__xludf.DUMMYFUNCTION("IF(
 AND(
  E476=""QUEST"",
  RIGHT(A476,9)="".accepted"",
  D476=TRUE
 ),
 XLOOKUP(
  REGEXREPLACE(A476,""\.accepted$"","""")&amp;"".finished"",
  $A$2:$A1000,
  $D$2:$D1000,
  TRUE
 )=FALSE,
 FALSE
)"),FALSE)</f>
        <v>0</v>
      </c>
      <c r="AA476" s="26" t="str">
        <f>IFERROR(__xludf.DUMMYFUNCTION("LET(
 id,A476,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7" ht="14.25" customHeight="1">
      <c r="A477" s="26" t="s">
        <v>1607</v>
      </c>
      <c r="B477" s="26" t="str">
        <f t="array" ref="B477">_xlfn.XLOOKUP(
 A477,
 tblTargets[TargetID],
 tblTargets[DisplayName],
 ""
)</f>
        <v>Craft level 4 map again</v>
      </c>
      <c r="C477" s="26" t="str">
        <f t="shared" si="1"/>
        <v>BLOCKED</v>
      </c>
      <c r="D477" s="26" t="b">
        <f>IFERROR(__xludf.DUMMYFUNCTION("LET(
 id,A477,
 IF(
  F477=""CHARACTER"",
  LET(
   base,REGEXREPLACE(id,""@\d+$"",""""),
   required,VALUE(REGEXEXTRACT(id,""@(\d+)$"")),
   current,XLOOKUP(
    base,
    tblPlayer[PlayerStateID],
    tblPlayer[Value],
    0
   ),
   current&gt;=required
 "&amp;" ),
  IF(
   T477=""AUTO"",
   L477=0,
   COUNTIFS(
    tblChecklist[TargetID],id,
    tblChecklist[PlayerCompleted],TRUE
   )&gt;0
  )
 )
)"),FALSE)</f>
        <v>0</v>
      </c>
      <c r="E477" s="26" t="str">
        <f t="array" ref="E477">_xlfn.XLOOKUP(
 A477,
 tblTargets[TargetID],
 tblTargets[TargetType],
 ""
)</f>
        <v>STATE</v>
      </c>
      <c r="F477" s="26" t="str">
        <f t="array" ref="F477">_xlfn.XLOOKUP(
 A477,
 tblTargets[TargetID],
 tblTargets[StateType],
 ""
)</f>
        <v>OBTAIN</v>
      </c>
      <c r="G477" s="26">
        <f>LET(
 id,A477,
 depCount,COUNTIF(tblDependencies[TargetID],id),
 objCount,COUNTIF(tblQuestObjectives[QuestTargetID],id),
 depCount+objCount
)</f>
        <v>1</v>
      </c>
      <c r="H477" s="26">
        <f t="shared" si="2"/>
        <v>1</v>
      </c>
      <c r="I477" s="26">
        <f>IFERROR(__xludf.DUMMYFUNCTION("LET(
 id,A477,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7" s="26">
        <f t="shared" si="3"/>
        <v>0</v>
      </c>
      <c r="K477" s="26" t="b">
        <f t="shared" si="4"/>
        <v>0</v>
      </c>
      <c r="L477" s="26">
        <f t="shared" si="5"/>
        <v>1</v>
      </c>
      <c r="M477" s="26" t="str">
        <f>IFERROR(__xludf.DUMMYFUNCTION("LET(
 id,A477,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L477=0,
  """",
  IFERROR(INDEX(incomplete,1),"""")"&amp;"
 )
)"),"quest.shoguns_katana_chapter_7.accepted")</f>
        <v>quest.shoguns_katana_chapter_7.accepted</v>
      </c>
      <c r="N477" s="26" t="str">
        <f t="array" ref="N477">IF(
 M477="",
 "",
 _xlfn.XLOOKUP(
  M477,
  tblTargets[TargetID],
  tblTargets[DisplayName],
  M477
 )
)</f>
        <v>Shogun's Katana Chapter 7 Accepted</v>
      </c>
      <c r="O477" s="26" t="str">
        <f>IFERROR(__xludf.DUMMYFUNCTION("SWITCH(
 E477,
 ""BUILDING"",XLOOKUP(A477,tblBuildings[BuildingID],tblBuildings[costtext],""""),
 ""TECH"",XLOOKUP(A477,tblTechnologies[TechnologyID],tblTechnologies[costtext],""""),
 ""QUEST"",XLOOKUP(
  REGEXREPLACE(A477,""\.[^.]+$"",""""),
  tblQuests["&amp;"QuestID],
  tblQuests[Costtext],
  """"
 ),
 ""CITADEL"",XLOOKUP(A477,tblCitadel[CitadelID],tblCitadel[costtext],""""),
 ""COLLECTION"",XLOOKUP(A477,tblCollections[CollectionID],tblCollections[costtext],""""),
 ""CRAFTIFACT"",XLOOKUP(A477,tblCraftifacts[C"&amp;"raftifactID],tblCraftifacts[costtext],""""),
 """"
)"),"")</f>
        <v/>
      </c>
      <c r="P477" s="26" t="str">
        <f t="shared" si="6"/>
        <v>BLOCKED</v>
      </c>
      <c r="Q477" s="26" t="str">
        <f t="shared" si="7"/>
        <v>BLOCKED</v>
      </c>
      <c r="R477" s="26" t="str">
        <f t="array" ref="R477">IFERROR(
 _xlfn.XLOOKUP(
  A477,
  tblChecklist[TargetID],
  tblChecklist[PlayerSort],
  ""
 ),
 ""
)</f>
        <v/>
      </c>
      <c r="S477" s="26" t="str">
        <f>IFERROR(__xludf.DUMMYFUNCTION("LET(
 id,A477,
 successorIDs,
  IFERROR(
   UNIQUE(
    FILTER(
     {
      Dependencies!$A$2:$A$1000;
      QuestObjectives!$A$2:$A$1000
     },
     {
      Dependencies!$B$2:$B$1000;
      QuestObjectives!$E$2:$E$1000
     }=id
    )
   ),
   """"
  )"&amp;",
 names,
  MAP(
   successorIDs,
   LAMBDA(s,
    IF(
     s="""",
     """",
     XLOOKUP(
      s,
      $A$2:$A$1000,
      $B$2:$B$1000,
      s
     )
    )
   )
  ),
 IF(
  successorIDs="""",
  """",
  TEXTJOIN("", "",TRUE,names)
 )
)"),"Shogun's Katana Chapter 7 Finished")</f>
        <v>Shogun's Katana Chapter 7 Finished</v>
      </c>
      <c r="T477" s="26" t="str">
        <f t="array" ref="T477">_xlfn.XLOOKUP(
 A477,
 tblTargets[TargetID],
 tblTargets[CompletionMethod],
 ""
)</f>
        <v>PLAYER</v>
      </c>
      <c r="U477" s="84" t="b">
        <f>COUNTIF(tblCost[TargetID],A477)&gt;0</f>
        <v>0</v>
      </c>
      <c r="V477" s="85" t="str">
        <f t="array" ref="V477">IF(
 U477=FALSE,
 "",
 _xlfn.XLOOKUP(
  A477,
  tblCost[TargetID],
  tblCost[FundingPercent],
  ""
 )
)</f>
        <v/>
      </c>
      <c r="W477" s="26" t="str">
        <f t="array" ref="W477">IF(
 U477=FALSE,
 "",
 _xlfn.XLOOKUP(
  A477,
  tblCost[TargetID],
  tblCost[RemainingRequirements],
  ""
 )
)</f>
        <v/>
      </c>
      <c r="X477" s="45" t="str">
        <f t="array" ref="X477">IF(
 U477=FALSE,
 "N/A",
 _xlfn.XLOOKUP(
  A478,
  tblCost[TargetID],
  tblCost[TargetFunded],
  FALSE
 )
)</f>
        <v>N/A</v>
      </c>
      <c r="Y477" s="26" t="str">
        <f>IFERROR(__xludf.DUMMYFUNCTION("IFERROR(
 TEXTJOIN(
  "", "",
  TRUE,
  FILTER(
   'cost checklist'!$E$2:$E1000&amp;"": ""&amp;'cost checklist'!$G$2:$G1000,
   'cost checklist'!$B$2:$B1000=A477,
   'cost checklist'!$J$2:$J1000=FALSE
  )
 ),
 """"
)"),"")</f>
        <v/>
      </c>
      <c r="Z477" s="26" t="b">
        <f>IFERROR(__xludf.DUMMYFUNCTION("IF(
 AND(
  E477=""QUEST"",
  RIGHT(A477,9)="".accepted"",
  D477=TRUE
 ),
 XLOOKUP(
  REGEXREPLACE(A477,""\.accepted$"","""")&amp;"".finished"",
  $A$2:$A1000,
  $D$2:$D1000,
  TRUE
 )=FALSE,
 FALSE
)"),FALSE)</f>
        <v>0</v>
      </c>
      <c r="AA477" s="26" t="str">
        <f>IFERROR(__xludf.DUMMYFUNCTION("LET(
 id,A477,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8" ht="14.25" customHeight="1">
      <c r="A478" s="26" t="s">
        <v>1609</v>
      </c>
      <c r="B478" s="26" t="str">
        <f t="array" ref="B478">_xlfn.XLOOKUP(
 A478,
 tblTargets[TargetID],
 tblTargets[DisplayName],
 ""
)</f>
        <v>Craft mechanism</v>
      </c>
      <c r="C478" s="26" t="str">
        <f t="shared" si="1"/>
        <v>BLOCKED</v>
      </c>
      <c r="D478" s="26" t="b">
        <f>IFERROR(__xludf.DUMMYFUNCTION("LET(
 id,A478,
 IF(
  F478=""CHARACTER"",
  LET(
   base,REGEXREPLACE(id,""@\d+$"",""""),
   required,VALUE(REGEXEXTRACT(id,""@(\d+)$"")),
   current,XLOOKUP(
    base,
    tblPlayer[PlayerStateID],
    tblPlayer[Value],
    0
   ),
   current&gt;=required
 "&amp;" ),
  IF(
   T478=""AUTO"",
   L478=0,
   COUNTIFS(
    tblChecklist[TargetID],id,
    tblChecklist[PlayerCompleted],TRUE
   )&gt;0
  )
 )
)"),FALSE)</f>
        <v>0</v>
      </c>
      <c r="E478" s="26" t="str">
        <f t="array" ref="E478">_xlfn.XLOOKUP(
 A478,
 tblTargets[TargetID],
 tblTargets[TargetType],
 ""
)</f>
        <v>STATE</v>
      </c>
      <c r="F478" s="26" t="str">
        <f t="array" ref="F478">_xlfn.XLOOKUP(
 A478,
 tblTargets[TargetID],
 tblTargets[StateType],
 ""
)</f>
        <v>OBTAIN</v>
      </c>
      <c r="G478" s="26">
        <f>LET(
 id,A478,
 depCount,COUNTIF(tblDependencies[TargetID],id),
 objCount,COUNTIF(tblQuestObjectives[QuestTargetID],id),
 depCount+objCount
)</f>
        <v>1</v>
      </c>
      <c r="H478" s="26">
        <f t="shared" si="2"/>
        <v>1</v>
      </c>
      <c r="I478" s="26">
        <f>IFERROR(__xludf.DUMMYFUNCTION("LET(
 id,A478,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8" s="26">
        <f t="shared" si="3"/>
        <v>0</v>
      </c>
      <c r="K478" s="26" t="b">
        <f t="shared" si="4"/>
        <v>0</v>
      </c>
      <c r="L478" s="26">
        <f t="shared" si="5"/>
        <v>1</v>
      </c>
      <c r="M478" s="26" t="str">
        <f>IFERROR(__xludf.DUMMYFUNCTION("LET(
 id,A478,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L478=0,
  """",
  IFERROR(INDEX(incomplete,1),"""")"&amp;"
 )
)"),"quest.quest_for_knowledge_chapter_5.accepted")</f>
        <v>quest.quest_for_knowledge_chapter_5.accepted</v>
      </c>
      <c r="N478" s="26" t="str">
        <f t="array" ref="N478">IF(
 M478="",
 "",
 _xlfn.XLOOKUP(
  M478,
  tblTargets[TargetID],
  tblTargets[DisplayName],
  M478
 )
)</f>
        <v>Quest for Knowledge Chapter 5 Accepted</v>
      </c>
      <c r="O478" s="26" t="str">
        <f>IFERROR(__xludf.DUMMYFUNCTION("SWITCH(
 E478,
 ""BUILDING"",XLOOKUP(A478,tblBuildings[BuildingID],tblBuildings[costtext],""""),
 ""TECH"",XLOOKUP(A478,tblTechnologies[TechnologyID],tblTechnologies[costtext],""""),
 ""QUEST"",XLOOKUP(
  REGEXREPLACE(A478,""\.[^.]+$"",""""),
  tblQuests["&amp;"QuestID],
  tblQuests[Costtext],
  """"
 ),
 ""CITADEL"",XLOOKUP(A478,tblCitadel[CitadelID],tblCitadel[costtext],""""),
 ""COLLECTION"",XLOOKUP(A478,tblCollections[CollectionID],tblCollections[costtext],""""),
 ""CRAFTIFACT"",XLOOKUP(A478,tblCraftifacts[C"&amp;"raftifactID],tblCraftifacts[costtext],""""),
 """"
)"),"")</f>
        <v/>
      </c>
      <c r="P478" s="26" t="str">
        <f t="shared" si="6"/>
        <v>BLOCKED</v>
      </c>
      <c r="Q478" s="26" t="str">
        <f t="shared" si="7"/>
        <v>BLOCKED</v>
      </c>
      <c r="R478" s="26" t="str">
        <f t="array" ref="R478">IFERROR(
 _xlfn.XLOOKUP(
  A478,
  tblChecklist[TargetID],
  tblChecklist[PlayerSort],
  ""
 ),
 ""
)</f>
        <v/>
      </c>
      <c r="S478" s="26" t="str">
        <f>IFERROR(__xludf.DUMMYFUNCTION("LET(
 id,A478,
 successorIDs,
  IFERROR(
   UNIQUE(
    FILTER(
     {
      Dependencies!$A$2:$A$1000;
      QuestObjectives!$A$2:$A$1000
     },
     {
      Dependencies!$B$2:$B$1000;
      QuestObjectives!$E$2:$E$1000
     }=id
    )
   ),
   """"
  )"&amp;",
 names,
  MAP(
   successorIDs,
   LAMBDA(s,
    IF(
     s="""",
     """",
     XLOOKUP(
      s,
      $A$2:$A$1000,
      $B$2:$B$1000,
      s
     )
    )
   )
  ),
 IF(
  successorIDs="""",
  """",
  TEXTJOIN("", "",TRUE,names)
 )
)"),"Quest for Knowledge Chapter 5 Finished")</f>
        <v>Quest for Knowledge Chapter 5 Finished</v>
      </c>
      <c r="T478" s="26" t="str">
        <f t="array" ref="T478">_xlfn.XLOOKUP(
 A478,
 tblTargets[TargetID],
 tblTargets[CompletionMethod],
 ""
)</f>
        <v>PLAYER</v>
      </c>
      <c r="U478" s="84" t="b">
        <f>COUNTIF(tblCost[TargetID],A478)&gt;0</f>
        <v>0</v>
      </c>
      <c r="V478" s="85" t="str">
        <f t="array" ref="V478">IF(
 U478=FALSE,
 "",
 _xlfn.XLOOKUP(
  A478,
  tblCost[TargetID],
  tblCost[FundingPercent],
  ""
 )
)</f>
        <v/>
      </c>
      <c r="W478" s="26" t="str">
        <f t="array" ref="W478">IF(
 U478=FALSE,
 "",
 _xlfn.XLOOKUP(
  A478,
  tblCost[TargetID],
  tblCost[RemainingRequirements],
  ""
 )
)</f>
        <v/>
      </c>
      <c r="X478" s="45" t="str">
        <f t="array" ref="X478">IF(
 U478=FALSE,
 "N/A",
 _xlfn.XLOOKUP(
  A479,
  tblCost[TargetID],
  tblCost[TargetFunded],
  FALSE
 )
)</f>
        <v>N/A</v>
      </c>
      <c r="Y478" s="26" t="str">
        <f>IFERROR(__xludf.DUMMYFUNCTION("IFERROR(
 TEXTJOIN(
  "", "",
  TRUE,
  FILTER(
   'cost checklist'!$E$2:$E1000&amp;"": ""&amp;'cost checklist'!$G$2:$G1000,
   'cost checklist'!$B$2:$B1000=A478,
   'cost checklist'!$J$2:$J1000=FALSE
  )
 ),
 """"
)"),"")</f>
        <v/>
      </c>
      <c r="Z478" s="26" t="b">
        <f>IFERROR(__xludf.DUMMYFUNCTION("IF(
 AND(
  E478=""QUEST"",
  RIGHT(A478,9)="".accepted"",
  D478=TRUE
 ),
 XLOOKUP(
  REGEXREPLACE(A478,""\.accepted$"","""")&amp;"".finished"",
  $A$2:$A1000,
  $D$2:$D1000,
  TRUE
 )=FALSE,
 FALSE
)"),FALSE)</f>
        <v>0</v>
      </c>
      <c r="AA478" s="26" t="str">
        <f>IFERROR(__xludf.DUMMYFUNCTION("LET(
 id,A478,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79" ht="14.25" customHeight="1">
      <c r="A479" s="26" t="s">
        <v>1611</v>
      </c>
      <c r="B479" s="26" t="str">
        <f t="array" ref="B479">_xlfn.XLOOKUP(
 A479,
 tblTargets[TargetID],
 tblTargets[DisplayName],
 ""
)</f>
        <v>Craft Potion of Mental Power</v>
      </c>
      <c r="C479" s="26" t="str">
        <f t="shared" si="1"/>
        <v>BLOCKED</v>
      </c>
      <c r="D479" s="26" t="b">
        <f>IFERROR(__xludf.DUMMYFUNCTION("LET(
 id,A479,
 IF(
  F479=""CHARACTER"",
  LET(
   base,REGEXREPLACE(id,""@\d+$"",""""),
   required,VALUE(REGEXEXTRACT(id,""@(\d+)$"")),
   current,XLOOKUP(
    base,
    tblPlayer[PlayerStateID],
    tblPlayer[Value],
    0
   ),
   current&gt;=required
 "&amp;" ),
  IF(
   T479=""AUTO"",
   L479=0,
   COUNTIFS(
    tblChecklist[TargetID],id,
    tblChecklist[PlayerCompleted],TRUE
   )&gt;0
  )
 )
)"),FALSE)</f>
        <v>0</v>
      </c>
      <c r="E479" s="26" t="str">
        <f t="array" ref="E479">_xlfn.XLOOKUP(
 A479,
 tblTargets[TargetID],
 tblTargets[TargetType],
 ""
)</f>
        <v>STATE</v>
      </c>
      <c r="F479" s="26" t="str">
        <f t="array" ref="F479">_xlfn.XLOOKUP(
 A479,
 tblTargets[TargetID],
 tblTargets[StateType],
 ""
)</f>
        <v>OBTAIN</v>
      </c>
      <c r="G479" s="26">
        <f>LET(
 id,A479,
 depCount,COUNTIF(tblDependencies[TargetID],id),
 objCount,COUNTIF(tblQuestObjectives[QuestTargetID],id),
 depCount+objCount
)</f>
        <v>2</v>
      </c>
      <c r="H479" s="26">
        <f t="shared" si="2"/>
        <v>2</v>
      </c>
      <c r="I479" s="26">
        <f>IFERROR(__xludf.DUMMYFUNCTION("LET(
 id,A479,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79" s="26">
        <f t="shared" si="3"/>
        <v>0</v>
      </c>
      <c r="K479" s="26" t="b">
        <f t="shared" si="4"/>
        <v>0</v>
      </c>
      <c r="L479" s="26">
        <f t="shared" si="5"/>
        <v>2</v>
      </c>
      <c r="M479" s="26" t="str">
        <f>IFERROR(__xludf.DUMMYFUNCTION("LET(
 id,A479,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L479=0,
  """",
  IFERROR(INDEX(incomplete,1),"""")"&amp;"
 )
)"),"quest.once_upon_a_forest_chapter_6.accepted")</f>
        <v>quest.once_upon_a_forest_chapter_6.accepted</v>
      </c>
      <c r="N479" s="26" t="str">
        <f t="array" ref="N479">IF(
 M479="",
 "",
 _xlfn.XLOOKUP(
  M479,
  tblTargets[TargetID],
  tblTargets[DisplayName],
  M479
 )
)</f>
        <v>Once Upon a Forest Chapter 6 Accepted</v>
      </c>
      <c r="O479" s="26" t="str">
        <f>IFERROR(__xludf.DUMMYFUNCTION("SWITCH(
 E479,
 ""BUILDING"",XLOOKUP(A479,tblBuildings[BuildingID],tblBuildings[costtext],""""),
 ""TECH"",XLOOKUP(A479,tblTechnologies[TechnologyID],tblTechnologies[costtext],""""),
 ""QUEST"",XLOOKUP(
  REGEXREPLACE(A479,""\.[^.]+$"",""""),
  tblQuests["&amp;"QuestID],
  tblQuests[Costtext],
  """"
 ),
 ""CITADEL"",XLOOKUP(A479,tblCitadel[CitadelID],tblCitadel[costtext],""""),
 ""COLLECTION"",XLOOKUP(A479,tblCollections[CollectionID],tblCollections[costtext],""""),
 ""CRAFTIFACT"",XLOOKUP(A479,tblCraftifacts[C"&amp;"raftifactID],tblCraftifacts[costtext],""""),
 """"
)"),"")</f>
        <v/>
      </c>
      <c r="P479" s="26" t="str">
        <f t="shared" si="6"/>
        <v>BLOCKED</v>
      </c>
      <c r="Q479" s="26" t="str">
        <f t="shared" si="7"/>
        <v>BLOCKED</v>
      </c>
      <c r="R479" s="26" t="str">
        <f t="array" ref="R479">IFERROR(
 _xlfn.XLOOKUP(
  A479,
  tblChecklist[TargetID],
  tblChecklist[PlayerSort],
  ""
 ),
 ""
)</f>
        <v/>
      </c>
      <c r="S479" s="26" t="str">
        <f>IFERROR(__xludf.DUMMYFUNCTION("LET(
 id,A479,
 successorIDs,
  IFERROR(
   UNIQUE(
    FILTER(
     {
      Dependencies!$A$2:$A$1000;
      QuestObjectives!$A$2:$A$1000
     },
     {
      Dependencies!$B$2:$B$1000;
      QuestObjectives!$E$2:$E$1000
     }=id
    )
   ),
   """"
  )"&amp;",
 names,
  MAP(
   successorIDs,
   LAMBDA(s,
    IF(
     s="""",
     """",
     XLOOKUP(
      s,
      $A$2:$A$1000,
      $B$2:$B$1000,
      s
     )
    )
   )
  ),
 IF(
  successorIDs="""",
  """",
  TEXTJOIN("", "",TRUE,names)
 )
)"),"Once Upon a Forest Chapter 6 Finished")</f>
        <v>Once Upon a Forest Chapter 6 Finished</v>
      </c>
      <c r="T479" s="26" t="str">
        <f t="array" ref="T479">_xlfn.XLOOKUP(
 A479,
 tblTargets[TargetID],
 tblTargets[CompletionMethod],
 ""
)</f>
        <v>PLAYER</v>
      </c>
      <c r="U479" s="84" t="b">
        <f>COUNTIF(tblCost[TargetID],A479)&gt;0</f>
        <v>0</v>
      </c>
      <c r="V479" s="85" t="str">
        <f t="array" ref="V479">IF(
 U479=FALSE,
 "",
 _xlfn.XLOOKUP(
  A479,
  tblCost[TargetID],
  tblCost[FundingPercent],
  ""
 )
)</f>
        <v/>
      </c>
      <c r="W479" s="26" t="str">
        <f t="array" ref="W479">IF(
 U479=FALSE,
 "",
 _xlfn.XLOOKUP(
  A479,
  tblCost[TargetID],
  tblCost[RemainingRequirements],
  ""
 )
)</f>
        <v/>
      </c>
      <c r="X479" s="45" t="str">
        <f t="array" ref="X479">IF(
 U479=FALSE,
 "N/A",
 _xlfn.XLOOKUP(
  A480,
  tblCost[TargetID],
  tblCost[TargetFunded],
  FALSE
 )
)</f>
        <v>N/A</v>
      </c>
      <c r="Y479" s="26" t="str">
        <f>IFERROR(__xludf.DUMMYFUNCTION("IFERROR(
 TEXTJOIN(
  "", "",
  TRUE,
  FILTER(
   'cost checklist'!$E$2:$E1000&amp;"": ""&amp;'cost checklist'!$G$2:$G1000,
   'cost checklist'!$B$2:$B1000=A479,
   'cost checklist'!$J$2:$J1000=FALSE
  )
 ),
 """"
)"),"")</f>
        <v/>
      </c>
      <c r="Z479" s="26" t="b">
        <f>IFERROR(__xludf.DUMMYFUNCTION("IF(
 AND(
  E479=""QUEST"",
  RIGHT(A479,9)="".accepted"",
  D479=TRUE
 ),
 XLOOKUP(
  REGEXREPLACE(A479,""\.accepted$"","""")&amp;"".finished"",
  $A$2:$A1000,
  $D$2:$D1000,
  TRUE
 )=FALSE,
 FALSE
)"),FALSE)</f>
        <v>0</v>
      </c>
      <c r="AA479" s="26" t="str">
        <f>IFERROR(__xludf.DUMMYFUNCTION("LET(
 id,A479,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0" ht="14.25" customHeight="1">
      <c r="A480" s="26" t="s">
        <v>1614</v>
      </c>
      <c r="B480" s="26" t="str">
        <f t="array" ref="B480">_xlfn.XLOOKUP(
 A480,
 tblTargets[TargetID],
 tblTargets[DisplayName],
 ""
)</f>
        <v>Obtain Reagent from 3A</v>
      </c>
      <c r="C480" s="26" t="str">
        <f t="shared" si="1"/>
        <v>BLOCKED</v>
      </c>
      <c r="D480" s="26" t="b">
        <f>IFERROR(__xludf.DUMMYFUNCTION("LET(
 id,A480,
 IF(
  F480=""CHARACTER"",
  LET(
   base,REGEXREPLACE(id,""@\d+$"",""""),
   required,VALUE(REGEXEXTRACT(id,""@(\d+)$"")),
   current,XLOOKUP(
    base,
    tblPlayer[PlayerStateID],
    tblPlayer[Value],
    0
   ),
   current&gt;=required
 "&amp;" ),
  IF(
   T480=""AUTO"",
   L480=0,
   COUNTIFS(
    tblChecklist[TargetID],id,
    tblChecklist[PlayerCompleted],TRUE
   )&gt;0
  )
 )
)"),FALSE)</f>
        <v>0</v>
      </c>
      <c r="E480" s="26" t="str">
        <f t="array" ref="E480">_xlfn.XLOOKUP(
 A480,
 tblTargets[TargetID],
 tblTargets[TargetType],
 ""
)</f>
        <v>STATE</v>
      </c>
      <c r="F480" s="26" t="str">
        <f t="array" ref="F480">_xlfn.XLOOKUP(
 A480,
 tblTargets[TargetID],
 tblTargets[StateType],
 ""
)</f>
        <v>OBTAIN</v>
      </c>
      <c r="G480" s="26">
        <f>LET(
 id,A480,
 depCount,COUNTIF(tblDependencies[TargetID],id),
 objCount,COUNTIF(tblQuestObjectives[QuestTargetID],id),
 depCount+objCount
)</f>
        <v>1</v>
      </c>
      <c r="H480" s="26">
        <f t="shared" si="2"/>
        <v>1</v>
      </c>
      <c r="I480" s="26">
        <f>IFERROR(__xludf.DUMMYFUNCTION("LET(
 id,A480,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0" s="26">
        <f t="shared" si="3"/>
        <v>0</v>
      </c>
      <c r="K480" s="26" t="b">
        <f t="shared" si="4"/>
        <v>0</v>
      </c>
      <c r="L480" s="26">
        <f t="shared" si="5"/>
        <v>1</v>
      </c>
      <c r="M480" s="26" t="str">
        <f>IFERROR(__xludf.DUMMYFUNCTION("LET(
 id,A480,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L480=0,
  """",
  IFERROR(INDEX(incomplete,1),"""")"&amp;"
 )
)"),"quest.green_potion.accepted")</f>
        <v>quest.green_potion.accepted</v>
      </c>
      <c r="N480" s="26" t="str">
        <f t="array" ref="N480">IF(
 M480="",
 "",
 _xlfn.XLOOKUP(
  M480,
  tblTargets[TargetID],
  tblTargets[DisplayName],
  M480
 )
)</f>
        <v>Green Potion Accepted</v>
      </c>
      <c r="O480" s="26" t="str">
        <f>IFERROR(__xludf.DUMMYFUNCTION("SWITCH(
 E480,
 ""BUILDING"",XLOOKUP(A480,tblBuildings[BuildingID],tblBuildings[costtext],""""),
 ""TECH"",XLOOKUP(A480,tblTechnologies[TechnologyID],tblTechnologies[costtext],""""),
 ""QUEST"",XLOOKUP(
  REGEXREPLACE(A480,""\.[^.]+$"",""""),
  tblQuests["&amp;"QuestID],
  tblQuests[Costtext],
  """"
 ),
 ""CITADEL"",XLOOKUP(A480,tblCitadel[CitadelID],tblCitadel[costtext],""""),
 ""COLLECTION"",XLOOKUP(A480,tblCollections[CollectionID],tblCollections[costtext],""""),
 ""CRAFTIFACT"",XLOOKUP(A480,tblCraftifacts[C"&amp;"raftifactID],tblCraftifacts[costtext],""""),
 """"
)"),"")</f>
        <v/>
      </c>
      <c r="P480" s="26" t="str">
        <f t="shared" si="6"/>
        <v>BLOCKED</v>
      </c>
      <c r="Q480" s="26" t="str">
        <f t="shared" si="7"/>
        <v>BLOCKED</v>
      </c>
      <c r="R480" s="26" t="str">
        <f t="array" ref="R480">IFERROR(
 _xlfn.XLOOKUP(
  A480,
  tblChecklist[TargetID],
  tblChecklist[PlayerSort],
  ""
 ),
 ""
)</f>
        <v/>
      </c>
      <c r="S480" s="26" t="str">
        <f>IFERROR(__xludf.DUMMYFUNCTION("LET(
 id,A480,
 successorIDs,
  IFERROR(
   UNIQUE(
    FILTER(
     {
      Dependencies!$A$2:$A$1000;
      QuestObjectives!$A$2:$A$1000
     },
     {
      Dependencies!$B$2:$B$1000;
      QuestObjectives!$E$2:$E$1000
     }=id
    )
   ),
   """"
  )"&amp;",
 names,
  MAP(
   successorIDs,
   LAMBDA(s,
    IF(
     s="""",
     """",
     XLOOKUP(
      s,
      $A$2:$A$1000,
      $B$2:$B$1000,
      s
     )
    )
   )
  ),
 IF(
  successorIDs="""",
  """",
  TEXTJOIN("", "",TRUE,names)
 )
)"),"Green Potion Finished")</f>
        <v>Green Potion Finished</v>
      </c>
      <c r="T480" s="26" t="str">
        <f t="array" ref="T480">_xlfn.XLOOKUP(
 A480,
 tblTargets[TargetID],
 tblTargets[CompletionMethod],
 ""
)</f>
        <v>PLAYER</v>
      </c>
      <c r="U480" s="84" t="b">
        <f>COUNTIF(tblCost[TargetID],A480)&gt;0</f>
        <v>0</v>
      </c>
      <c r="V480" s="85" t="str">
        <f t="array" ref="V480">IF(
 U480=FALSE,
 "",
 _xlfn.XLOOKUP(
  A480,
  tblCost[TargetID],
  tblCost[FundingPercent],
  ""
 )
)</f>
        <v/>
      </c>
      <c r="W480" s="26" t="str">
        <f t="array" ref="W480">IF(
 U480=FALSE,
 "",
 _xlfn.XLOOKUP(
  A480,
  tblCost[TargetID],
  tblCost[RemainingRequirements],
  ""
 )
)</f>
        <v/>
      </c>
      <c r="X480" s="45" t="str">
        <f t="array" ref="X480">IF(
 U480=FALSE,
 "N/A",
 _xlfn.XLOOKUP(
  A481,
  tblCost[TargetID],
  tblCost[TargetFunded],
  FALSE
 )
)</f>
        <v>N/A</v>
      </c>
      <c r="Y480" s="26" t="str">
        <f>IFERROR(__xludf.DUMMYFUNCTION("IFERROR(
 TEXTJOIN(
  "", "",
  TRUE,
  FILTER(
   'cost checklist'!$E$2:$E1000&amp;"": ""&amp;'cost checklist'!$G$2:$G1000,
   'cost checklist'!$B$2:$B1000=A480,
   'cost checklist'!$J$2:$J1000=FALSE
  )
 ),
 """"
)"),"")</f>
        <v/>
      </c>
      <c r="Z480" s="26" t="b">
        <f>IFERROR(__xludf.DUMMYFUNCTION("IF(
 AND(
  E480=""QUEST"",
  RIGHT(A480,9)="".accepted"",
  D480=TRUE
 ),
 XLOOKUP(
  REGEXREPLACE(A480,""\.accepted$"","""")&amp;"".finished"",
  $A$2:$A1000,
  $D$2:$D1000,
  TRUE
 )=FALSE,
 FALSE
)"),FALSE)</f>
        <v>0</v>
      </c>
      <c r="AA480" s="26" t="str">
        <f>IFERROR(__xludf.DUMMYFUNCTION("LET(
 id,A480,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1" ht="14.25" customHeight="1">
      <c r="A481" s="26" t="s">
        <v>1616</v>
      </c>
      <c r="B481" s="26" t="str">
        <f t="array" ref="B481">_xlfn.XLOOKUP(
 A481,
 tblTargets[TargetID],
 tblTargets[DisplayName],
 ""
)</f>
        <v>Obtain the Red Diamond in 6A</v>
      </c>
      <c r="C481" s="26" t="str">
        <f t="shared" si="1"/>
        <v>BLOCKED</v>
      </c>
      <c r="D481" s="26" t="b">
        <f>IFERROR(__xludf.DUMMYFUNCTION("LET(
 id,A481,
 IF(
  F481=""CHARACTER"",
  LET(
   base,REGEXREPLACE(id,""@\d+$"",""""),
   required,VALUE(REGEXEXTRACT(id,""@(\d+)$"")),
   current,XLOOKUP(
    base,
    tblPlayer[PlayerStateID],
    tblPlayer[Value],
    0
   ),
   current&gt;=required
 "&amp;" ),
  IF(
   T481=""AUTO"",
   L481=0,
   COUNTIFS(
    tblChecklist[TargetID],id,
    tblChecklist[PlayerCompleted],TRUE
   )&gt;0
  )
 )
)"),FALSE)</f>
        <v>0</v>
      </c>
      <c r="E481" s="26" t="str">
        <f t="array" ref="E481">_xlfn.XLOOKUP(
 A481,
 tblTargets[TargetID],
 tblTargets[TargetType],
 ""
)</f>
        <v>STATE</v>
      </c>
      <c r="F481" s="26" t="str">
        <f t="array" ref="F481">_xlfn.XLOOKUP(
 A481,
 tblTargets[TargetID],
 tblTargets[StateType],
 ""
)</f>
        <v>OBTAIN</v>
      </c>
      <c r="G481" s="26">
        <f>LET(
 id,A481,
 depCount,COUNTIF(tblDependencies[TargetID],id),
 objCount,COUNTIF(tblQuestObjectives[QuestTargetID],id),
 depCount+objCount
)</f>
        <v>1</v>
      </c>
      <c r="H481" s="26">
        <f t="shared" si="2"/>
        <v>1</v>
      </c>
      <c r="I481" s="26">
        <f>IFERROR(__xludf.DUMMYFUNCTION("LET(
 id,A481,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1" s="26">
        <f t="shared" si="3"/>
        <v>0</v>
      </c>
      <c r="K481" s="26" t="b">
        <f t="shared" si="4"/>
        <v>0</v>
      </c>
      <c r="L481" s="26">
        <f t="shared" si="5"/>
        <v>1</v>
      </c>
      <c r="M481" s="26" t="str">
        <f>IFERROR(__xludf.DUMMYFUNCTION("LET(
 id,A481,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L481=0,
  """",
  IFERROR(INDEX(incomplete,1),"""")"&amp;"
 )
)"),"quest.the_ordinary_days_of_an_adventurer_chapter_3.accepted")</f>
        <v>quest.the_ordinary_days_of_an_adventurer_chapter_3.accepted</v>
      </c>
      <c r="N481" s="26" t="str">
        <f t="array" ref="N481">IF(
 M481="",
 "",
 _xlfn.XLOOKUP(
  M481,
  tblTargets[TargetID],
  tblTargets[DisplayName],
  M481
 )
)</f>
        <v>The Ordinary Days of an Adventurer Chapter 3 Accepted</v>
      </c>
      <c r="O481" s="26" t="str">
        <f>IFERROR(__xludf.DUMMYFUNCTION("SWITCH(
 E481,
 ""BUILDING"",XLOOKUP(A481,tblBuildings[BuildingID],tblBuildings[costtext],""""),
 ""TECH"",XLOOKUP(A481,tblTechnologies[TechnologyID],tblTechnologies[costtext],""""),
 ""QUEST"",XLOOKUP(
  REGEXREPLACE(A481,""\.[^.]+$"",""""),
  tblQuests["&amp;"QuestID],
  tblQuests[Costtext],
  """"
 ),
 ""CITADEL"",XLOOKUP(A481,tblCitadel[CitadelID],tblCitadel[costtext],""""),
 ""COLLECTION"",XLOOKUP(A481,tblCollections[CollectionID],tblCollections[costtext],""""),
 ""CRAFTIFACT"",XLOOKUP(A481,tblCraftifacts[C"&amp;"raftifactID],tblCraftifacts[costtext],""""),
 """"
)"),"")</f>
        <v/>
      </c>
      <c r="P481" s="26" t="str">
        <f t="shared" si="6"/>
        <v>BLOCKED</v>
      </c>
      <c r="Q481" s="26" t="str">
        <f t="shared" si="7"/>
        <v>BLOCKED</v>
      </c>
      <c r="R481" s="26" t="str">
        <f t="array" ref="R481">IFERROR(
 _xlfn.XLOOKUP(
  A481,
  tblChecklist[TargetID],
  tblChecklist[PlayerSort],
  ""
 ),
 ""
)</f>
        <v/>
      </c>
      <c r="S481" s="26" t="str">
        <f>IFERROR(__xludf.DUMMYFUNCTION("LET(
 id,A481,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3 Finished")</f>
        <v>The Ordinary Days of an Adventurer Chapter 3 Finished</v>
      </c>
      <c r="T481" s="26" t="str">
        <f t="array" ref="T481">_xlfn.XLOOKUP(
 A481,
 tblTargets[TargetID],
 tblTargets[CompletionMethod],
 ""
)</f>
        <v>PLAYER</v>
      </c>
      <c r="U481" s="84" t="b">
        <f>COUNTIF(tblCost[TargetID],A481)&gt;0</f>
        <v>0</v>
      </c>
      <c r="V481" s="85" t="str">
        <f t="array" ref="V481">IF(
 U481=FALSE,
 "",
 _xlfn.XLOOKUP(
  A481,
  tblCost[TargetID],
  tblCost[FundingPercent],
  ""
 )
)</f>
        <v/>
      </c>
      <c r="W481" s="26" t="str">
        <f t="array" ref="W481">IF(
 U481=FALSE,
 "",
 _xlfn.XLOOKUP(
  A481,
  tblCost[TargetID],
  tblCost[RemainingRequirements],
  ""
 )
)</f>
        <v/>
      </c>
      <c r="X481" s="45" t="str">
        <f t="array" ref="X481">IF(
 U481=FALSE,
 "N/A",
 _xlfn.XLOOKUP(
  A482,
  tblCost[TargetID],
  tblCost[TargetFunded],
  FALSE
 )
)</f>
        <v>N/A</v>
      </c>
      <c r="Y481" s="26" t="str">
        <f>IFERROR(__xludf.DUMMYFUNCTION("IFERROR(
 TEXTJOIN(
  "", "",
  TRUE,
  FILTER(
   'cost checklist'!$E$2:$E1000&amp;"": ""&amp;'cost checklist'!$G$2:$G1000,
   'cost checklist'!$B$2:$B1000=A481,
   'cost checklist'!$J$2:$J1000=FALSE
  )
 ),
 """"
)"),"")</f>
        <v/>
      </c>
      <c r="Z481" s="26" t="b">
        <f>IFERROR(__xludf.DUMMYFUNCTION("IF(
 AND(
  E481=""QUEST"",
  RIGHT(A481,9)="".accepted"",
  D481=TRUE
 ),
 XLOOKUP(
  REGEXREPLACE(A481,""\.accepted$"","""")&amp;"".finished"",
  $A$2:$A1000,
  $D$2:$D1000,
  TRUE
 )=FALSE,
 FALSE
)"),FALSE)</f>
        <v>0</v>
      </c>
      <c r="AA481" s="26" t="str">
        <f>IFERROR(__xludf.DUMMYFUNCTION("LET(
 id,A481,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2" ht="14.25" customHeight="1">
      <c r="A482" s="26" t="s">
        <v>1618</v>
      </c>
      <c r="B482" s="26" t="str">
        <f t="array" ref="B482">_xlfn.XLOOKUP(
 A482,
 tblTargets[TargetID],
 tblTargets[DisplayName],
 ""
)</f>
        <v>Obtain the Red Diamond in 6B</v>
      </c>
      <c r="C482" s="26" t="str">
        <f t="shared" si="1"/>
        <v>BLOCKED</v>
      </c>
      <c r="D482" s="26" t="b">
        <f>IFERROR(__xludf.DUMMYFUNCTION("LET(
 id,A482,
 IF(
  F482=""CHARACTER"",
  LET(
   base,REGEXREPLACE(id,""@\d+$"",""""),
   required,VALUE(REGEXEXTRACT(id,""@(\d+)$"")),
   current,XLOOKUP(
    base,
    tblPlayer[PlayerStateID],
    tblPlayer[Value],
    0
   ),
   current&gt;=required
 "&amp;" ),
  IF(
   T482=""AUTO"",
   L482=0,
   COUNTIFS(
    tblChecklist[TargetID],id,
    tblChecklist[PlayerCompleted],TRUE
   )&gt;0
  )
 )
)"),FALSE)</f>
        <v>0</v>
      </c>
      <c r="E482" s="26" t="str">
        <f t="array" ref="E482">_xlfn.XLOOKUP(
 A482,
 tblTargets[TargetID],
 tblTargets[TargetType],
 ""
)</f>
        <v>STATE</v>
      </c>
      <c r="F482" s="26" t="str">
        <f t="array" ref="F482">_xlfn.XLOOKUP(
 A482,
 tblTargets[TargetID],
 tblTargets[StateType],
 ""
)</f>
        <v>OBTAIN</v>
      </c>
      <c r="G482" s="26">
        <f>LET(
 id,A482,
 depCount,COUNTIF(tblDependencies[TargetID],id),
 objCount,COUNTIF(tblQuestObjectives[QuestTargetID],id),
 depCount+objCount
)</f>
        <v>1</v>
      </c>
      <c r="H482" s="26">
        <f t="shared" si="2"/>
        <v>1</v>
      </c>
      <c r="I482" s="26">
        <f>IFERROR(__xludf.DUMMYFUNCTION("LET(
 id,A482,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2" s="26">
        <f t="shared" si="3"/>
        <v>0</v>
      </c>
      <c r="K482" s="26" t="b">
        <f t="shared" si="4"/>
        <v>0</v>
      </c>
      <c r="L482" s="26">
        <f t="shared" si="5"/>
        <v>1</v>
      </c>
      <c r="M482" s="26" t="str">
        <f>IFERROR(__xludf.DUMMYFUNCTION("LET(
 id,A482,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L482=0,
  """",
  IFERROR(INDEX(incomplete,1),"""")"&amp;"
 )
)"),"quest.the_ordinary_days_of_an_adventurer_chapter_3.accepted")</f>
        <v>quest.the_ordinary_days_of_an_adventurer_chapter_3.accepted</v>
      </c>
      <c r="N482" s="26" t="str">
        <f t="array" ref="N482">IF(
 M482="",
 "",
 _xlfn.XLOOKUP(
  M482,
  tblTargets[TargetID],
  tblTargets[DisplayName],
  M482
 )
)</f>
        <v>The Ordinary Days of an Adventurer Chapter 3 Accepted</v>
      </c>
      <c r="O482" s="26" t="str">
        <f>IFERROR(__xludf.DUMMYFUNCTION("SWITCH(
 E482,
 ""BUILDING"",XLOOKUP(A482,tblBuildings[BuildingID],tblBuildings[costtext],""""),
 ""TECH"",XLOOKUP(A482,tblTechnologies[TechnologyID],tblTechnologies[costtext],""""),
 ""QUEST"",XLOOKUP(
  REGEXREPLACE(A482,""\.[^.]+$"",""""),
  tblQuests["&amp;"QuestID],
  tblQuests[Costtext],
  """"
 ),
 ""CITADEL"",XLOOKUP(A482,tblCitadel[CitadelID],tblCitadel[costtext],""""),
 ""COLLECTION"",XLOOKUP(A482,tblCollections[CollectionID],tblCollections[costtext],""""),
 ""CRAFTIFACT"",XLOOKUP(A482,tblCraftifacts[C"&amp;"raftifactID],tblCraftifacts[costtext],""""),
 """"
)"),"")</f>
        <v/>
      </c>
      <c r="P482" s="26" t="str">
        <f t="shared" si="6"/>
        <v>BLOCKED</v>
      </c>
      <c r="Q482" s="26" t="str">
        <f t="shared" si="7"/>
        <v>BLOCKED</v>
      </c>
      <c r="R482" s="26" t="str">
        <f t="array" ref="R482">IFERROR(
 _xlfn.XLOOKUP(
  A482,
  tblChecklist[TargetID],
  tblChecklist[PlayerSort],
  ""
 ),
 ""
)</f>
        <v/>
      </c>
      <c r="S482" s="26" t="str">
        <f>IFERROR(__xludf.DUMMYFUNCTION("LET(
 id,A482,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3 Finished")</f>
        <v>The Ordinary Days of an Adventurer Chapter 3 Finished</v>
      </c>
      <c r="T482" s="26" t="str">
        <f t="array" ref="T482">_xlfn.XLOOKUP(
 A482,
 tblTargets[TargetID],
 tblTargets[CompletionMethod],
 ""
)</f>
        <v>PLAYER</v>
      </c>
      <c r="U482" s="84" t="b">
        <f>COUNTIF(tblCost[TargetID],A482)&gt;0</f>
        <v>0</v>
      </c>
      <c r="V482" s="85" t="str">
        <f t="array" ref="V482">IF(
 U482=FALSE,
 "",
 _xlfn.XLOOKUP(
  A482,
  tblCost[TargetID],
  tblCost[FundingPercent],
  ""
 )
)</f>
        <v/>
      </c>
      <c r="W482" s="26" t="str">
        <f t="array" ref="W482">IF(
 U482=FALSE,
 "",
 _xlfn.XLOOKUP(
  A482,
  tblCost[TargetID],
  tblCost[RemainingRequirements],
  ""
 )
)</f>
        <v/>
      </c>
      <c r="X482" s="45" t="str">
        <f t="array" ref="X482">IF(
 U482=FALSE,
 "N/A",
 _xlfn.XLOOKUP(
  A483,
  tblCost[TargetID],
  tblCost[TargetFunded],
  FALSE
 )
)</f>
        <v>N/A</v>
      </c>
      <c r="Y482" s="26" t="str">
        <f>IFERROR(__xludf.DUMMYFUNCTION("IFERROR(
 TEXTJOIN(
  "", "",
  TRUE,
  FILTER(
   'cost checklist'!$E$2:$E1000&amp;"": ""&amp;'cost checklist'!$G$2:$G1000,
   'cost checklist'!$B$2:$B1000=A482,
   'cost checklist'!$J$2:$J1000=FALSE
  )
 ),
 """"
)"),"")</f>
        <v/>
      </c>
      <c r="Z482" s="26" t="b">
        <f>IFERROR(__xludf.DUMMYFUNCTION("IF(
 AND(
  E482=""QUEST"",
  RIGHT(A482,9)="".accepted"",
  D482=TRUE
 ),
 XLOOKUP(
  REGEXREPLACE(A482,""\.accepted$"","""")&amp;"".finished"",
  $A$2:$A1000,
  $D$2:$D1000,
  TRUE
 )=FALSE,
 FALSE
)"),FALSE)</f>
        <v>0</v>
      </c>
      <c r="AA482" s="26" t="str">
        <f>IFERROR(__xludf.DUMMYFUNCTION("LET(
 id,A482,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3" ht="14.25" customHeight="1">
      <c r="A483" s="26" t="s">
        <v>1621</v>
      </c>
      <c r="B483" s="26" t="str">
        <f t="array" ref="B483">_xlfn.XLOOKUP(
 A483,
 tblTargets[TargetID],
 tblTargets[DisplayName],
 ""
)</f>
        <v>Obtain the Red Diamond in 6C</v>
      </c>
      <c r="C483" s="26" t="str">
        <f t="shared" si="1"/>
        <v>BLOCKED</v>
      </c>
      <c r="D483" s="26" t="b">
        <f>IFERROR(__xludf.DUMMYFUNCTION("LET(
 id,A483,
 IF(
  F483=""CHARACTER"",
  LET(
   base,REGEXREPLACE(id,""@\d+$"",""""),
   required,VALUE(REGEXEXTRACT(id,""@(\d+)$"")),
   current,XLOOKUP(
    base,
    tblPlayer[PlayerStateID],
    tblPlayer[Value],
    0
   ),
   current&gt;=required
 "&amp;" ),
  IF(
   T483=""AUTO"",
   L483=0,
   COUNTIFS(
    tblChecklist[TargetID],id,
    tblChecklist[PlayerCompleted],TRUE
   )&gt;0
  )
 )
)"),FALSE)</f>
        <v>0</v>
      </c>
      <c r="E483" s="26" t="str">
        <f t="array" ref="E483">_xlfn.XLOOKUP(
 A483,
 tblTargets[TargetID],
 tblTargets[TargetType],
 ""
)</f>
        <v>STATE</v>
      </c>
      <c r="F483" s="26" t="str">
        <f t="array" ref="F483">_xlfn.XLOOKUP(
 A483,
 tblTargets[TargetID],
 tblTargets[StateType],
 ""
)</f>
        <v>OBTAIN</v>
      </c>
      <c r="G483" s="26">
        <f>LET(
 id,A483,
 depCount,COUNTIF(tblDependencies[TargetID],id),
 objCount,COUNTIF(tblQuestObjectives[QuestTargetID],id),
 depCount+objCount
)</f>
        <v>1</v>
      </c>
      <c r="H483" s="26">
        <f t="shared" si="2"/>
        <v>1</v>
      </c>
      <c r="I483" s="26">
        <f>IFERROR(__xludf.DUMMYFUNCTION("LET(
 id,A483,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3" s="26">
        <f t="shared" si="3"/>
        <v>0</v>
      </c>
      <c r="K483" s="26" t="b">
        <f t="shared" si="4"/>
        <v>0</v>
      </c>
      <c r="L483" s="26">
        <f t="shared" si="5"/>
        <v>1</v>
      </c>
      <c r="M483" s="26" t="str">
        <f>IFERROR(__xludf.DUMMYFUNCTION("LET(
 id,A483,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L483=0,
  """",
  IFERROR(INDEX(incomplete,1),"""")"&amp;"
 )
)"),"quest.the_ordinary_days_of_an_adventurer_chapter_3.accepted")</f>
        <v>quest.the_ordinary_days_of_an_adventurer_chapter_3.accepted</v>
      </c>
      <c r="N483" s="26" t="str">
        <f t="array" ref="N483">IF(
 M483="",
 "",
 _xlfn.XLOOKUP(
  M483,
  tblTargets[TargetID],
  tblTargets[DisplayName],
  M483
 )
)</f>
        <v>The Ordinary Days of an Adventurer Chapter 3 Accepted</v>
      </c>
      <c r="O483" s="26" t="str">
        <f>IFERROR(__xludf.DUMMYFUNCTION("SWITCH(
 E483,
 ""BUILDING"",XLOOKUP(A483,tblBuildings[BuildingID],tblBuildings[costtext],""""),
 ""TECH"",XLOOKUP(A483,tblTechnologies[TechnologyID],tblTechnologies[costtext],""""),
 ""QUEST"",XLOOKUP(
  REGEXREPLACE(A483,""\.[^.]+$"",""""),
  tblQuests["&amp;"QuestID],
  tblQuests[Costtext],
  """"
 ),
 ""CITADEL"",XLOOKUP(A483,tblCitadel[CitadelID],tblCitadel[costtext],""""),
 ""COLLECTION"",XLOOKUP(A483,tblCollections[CollectionID],tblCollections[costtext],""""),
 ""CRAFTIFACT"",XLOOKUP(A483,tblCraftifacts[C"&amp;"raftifactID],tblCraftifacts[costtext],""""),
 """"
)"),"")</f>
        <v/>
      </c>
      <c r="P483" s="26" t="str">
        <f t="shared" si="6"/>
        <v>BLOCKED</v>
      </c>
      <c r="Q483" s="26" t="str">
        <f t="shared" si="7"/>
        <v>BLOCKED</v>
      </c>
      <c r="R483" s="26" t="str">
        <f t="array" ref="R483">IFERROR(
 _xlfn.XLOOKUP(
  A483,
  tblChecklist[TargetID],
  tblChecklist[PlayerSort],
  ""
 ),
 ""
)</f>
        <v/>
      </c>
      <c r="S483" s="26" t="str">
        <f>IFERROR(__xludf.DUMMYFUNCTION("LET(
 id,A483,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3 Finished")</f>
        <v>The Ordinary Days of an Adventurer Chapter 3 Finished</v>
      </c>
      <c r="T483" s="26" t="str">
        <f t="array" ref="T483">_xlfn.XLOOKUP(
 A483,
 tblTargets[TargetID],
 tblTargets[CompletionMethod],
 ""
)</f>
        <v>PLAYER</v>
      </c>
      <c r="U483" s="84" t="b">
        <f>COUNTIF(tblCost[TargetID],A483)&gt;0</f>
        <v>0</v>
      </c>
      <c r="V483" s="85" t="str">
        <f t="array" ref="V483">IF(
 U483=FALSE,
 "",
 _xlfn.XLOOKUP(
  A483,
  tblCost[TargetID],
  tblCost[FundingPercent],
  ""
 )
)</f>
        <v/>
      </c>
      <c r="W483" s="26" t="str">
        <f t="array" ref="W483">IF(
 U483=FALSE,
 "",
 _xlfn.XLOOKUP(
  A483,
  tblCost[TargetID],
  tblCost[RemainingRequirements],
  ""
 )
)</f>
        <v/>
      </c>
      <c r="X483" s="45" t="str">
        <f t="array" ref="X483">IF(
 U483=FALSE,
 "N/A",
 _xlfn.XLOOKUP(
  A484,
  tblCost[TargetID],
  tblCost[TargetFunded],
  FALSE
 )
)</f>
        <v>N/A</v>
      </c>
      <c r="Y483" s="26" t="str">
        <f>IFERROR(__xludf.DUMMYFUNCTION("IFERROR(
 TEXTJOIN(
  "", "",
  TRUE,
  FILTER(
   'cost checklist'!$E$2:$E1000&amp;"": ""&amp;'cost checklist'!$G$2:$G1000,
   'cost checklist'!$B$2:$B1000=A483,
   'cost checklist'!$J$2:$J1000=FALSE
  )
 ),
 """"
)"),"")</f>
        <v/>
      </c>
      <c r="Z483" s="26" t="b">
        <f>IFERROR(__xludf.DUMMYFUNCTION("IF(
 AND(
  E483=""QUEST"",
  RIGHT(A483,9)="".accepted"",
  D483=TRUE
 ),
 XLOOKUP(
  REGEXREPLACE(A483,""\.accepted$"","""")&amp;"".finished"",
  $A$2:$A1000,
  $D$2:$D1000,
  TRUE
 )=FALSE,
 FALSE
)"),FALSE)</f>
        <v>0</v>
      </c>
      <c r="AA483" s="26" t="str">
        <f>IFERROR(__xludf.DUMMYFUNCTION("LET(
 id,A483,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4" ht="14.25" customHeight="1">
      <c r="A484" s="26" t="s">
        <v>1623</v>
      </c>
      <c r="B484" s="26" t="str">
        <f t="array" ref="B484">_xlfn.XLOOKUP(
 A484,
 tblTargets[TargetID],
 tblTargets[DisplayName],
 ""
)</f>
        <v>Craft Shield 4+</v>
      </c>
      <c r="C484" s="26" t="str">
        <f t="shared" si="1"/>
        <v>BLOCKED</v>
      </c>
      <c r="D484" s="26" t="b">
        <f>IFERROR(__xludf.DUMMYFUNCTION("LET(
 id,A484,
 IF(
  F484=""CHARACTER"",
  LET(
   base,REGEXREPLACE(id,""@\d+$"",""""),
   required,VALUE(REGEXEXTRACT(id,""@(\d+)$"")),
   current,XLOOKUP(
    base,
    tblPlayer[PlayerStateID],
    tblPlayer[Value],
    0
   ),
   current&gt;=required
 "&amp;" ),
  IF(
   T484=""AUTO"",
   L484=0,
   COUNTIFS(
    tblChecklist[TargetID],id,
    tblChecklist[PlayerCompleted],TRUE
   )&gt;0
  )
 )
)"),FALSE)</f>
        <v>0</v>
      </c>
      <c r="E484" s="26" t="str">
        <f t="array" ref="E484">_xlfn.XLOOKUP(
 A484,
 tblTargets[TargetID],
 tblTargets[TargetType],
 ""
)</f>
        <v>STATE</v>
      </c>
      <c r="F484" s="26" t="str">
        <f t="array" ref="F484">_xlfn.XLOOKUP(
 A484,
 tblTargets[TargetID],
 tblTargets[StateType],
 ""
)</f>
        <v>OBTAIN</v>
      </c>
      <c r="G484" s="26">
        <f>LET(
 id,A484,
 depCount,COUNTIF(tblDependencies[TargetID],id),
 objCount,COUNTIF(tblQuestObjectives[QuestTargetID],id),
 depCount+objCount
)</f>
        <v>1</v>
      </c>
      <c r="H484" s="26">
        <f t="shared" si="2"/>
        <v>1</v>
      </c>
      <c r="I484" s="26">
        <f>IFERROR(__xludf.DUMMYFUNCTION("LET(
 id,A484,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4" s="26">
        <f t="shared" si="3"/>
        <v>0</v>
      </c>
      <c r="K484" s="26" t="b">
        <f t="shared" si="4"/>
        <v>0</v>
      </c>
      <c r="L484" s="26">
        <f t="shared" si="5"/>
        <v>1</v>
      </c>
      <c r="M484" s="26" t="str">
        <f>IFERROR(__xludf.DUMMYFUNCTION("LET(
 id,A484,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L484=0,
  """",
  IFERROR(INDEX(incomplete,1),"""")"&amp;"
 )
)"),"tech.workshop.shield_for_a_hero_lvl_4+")</f>
        <v>tech.workshop.shield_for_a_hero_lvl_4+</v>
      </c>
      <c r="N484" s="26" t="str">
        <f t="array" ref="N484">IF(
 M484="",
 "",
 _xlfn.XLOOKUP(
  M484,
  tblTargets[TargetID],
  tblTargets[DisplayName],
  M484
 )
)</f>
        <v>Workshop - Shield For A Hero Lvl 4+</v>
      </c>
      <c r="O484" s="26" t="str">
        <f>IFERROR(__xludf.DUMMYFUNCTION("SWITCH(
 E484,
 ""BUILDING"",XLOOKUP(A484,tblBuildings[BuildingID],tblBuildings[costtext],""""),
 ""TECH"",XLOOKUP(A484,tblTechnologies[TechnologyID],tblTechnologies[costtext],""""),
 ""QUEST"",XLOOKUP(
  REGEXREPLACE(A484,""\.[^.]+$"",""""),
  tblQuests["&amp;"QuestID],
  tblQuests[Costtext],
  """"
 ),
 ""CITADEL"",XLOOKUP(A484,tblCitadel[CitadelID],tblCitadel[costtext],""""),
 ""COLLECTION"",XLOOKUP(A484,tblCollections[CollectionID],tblCollections[costtext],""""),
 ""CRAFTIFACT"",XLOOKUP(A484,tblCraftifacts[C"&amp;"raftifactID],tblCraftifacts[costtext],""""),
 """"
)"),"")</f>
        <v/>
      </c>
      <c r="P484" s="26" t="str">
        <f t="shared" si="6"/>
        <v>BLOCKED</v>
      </c>
      <c r="Q484" s="26" t="str">
        <f t="shared" si="7"/>
        <v>BLOCKED</v>
      </c>
      <c r="R484" s="26" t="str">
        <f t="array" ref="R484">IFERROR(
 _xlfn.XLOOKUP(
  A484,
  tblChecklist[TargetID],
  tblChecklist[PlayerSort],
  ""
 ),
 ""
)</f>
        <v/>
      </c>
      <c r="S484" s="26" t="str">
        <f>IFERROR(__xludf.DUMMYFUNCTION("LET(
 id,A484,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4 Finished")</f>
        <v>The Ordinary Days of an Adventurer Chapter 4 Finished</v>
      </c>
      <c r="T484" s="26" t="str">
        <f t="array" ref="T484">_xlfn.XLOOKUP(
 A484,
 tblTargets[TargetID],
 tblTargets[CompletionMethod],
 ""
)</f>
        <v>PLAYER</v>
      </c>
      <c r="U484" s="84" t="b">
        <f>COUNTIF(tblCost[TargetID],A484)&gt;0</f>
        <v>0</v>
      </c>
      <c r="V484" s="85" t="str">
        <f t="array" ref="V484">IF(
 U484=FALSE,
 "",
 _xlfn.XLOOKUP(
  A484,
  tblCost[TargetID],
  tblCost[FundingPercent],
  ""
 )
)</f>
        <v/>
      </c>
      <c r="W484" s="26" t="str">
        <f t="array" ref="W484">IF(
 U484=FALSE,
 "",
 _xlfn.XLOOKUP(
  A484,
  tblCost[TargetID],
  tblCost[RemainingRequirements],
  ""
 )
)</f>
        <v/>
      </c>
      <c r="X484" s="45" t="str">
        <f t="array" ref="X484">IF(
 U484=FALSE,
 "N/A",
 _xlfn.XLOOKUP(
  A485,
  tblCost[TargetID],
  tblCost[TargetFunded],
  FALSE
 )
)</f>
        <v>N/A</v>
      </c>
      <c r="Y484" s="26" t="str">
        <f>IFERROR(__xludf.DUMMYFUNCTION("IFERROR(
 TEXTJOIN(
  "", "",
  TRUE,
  FILTER(
   'cost checklist'!$E$2:$E1000&amp;"": ""&amp;'cost checklist'!$G$2:$G1000,
   'cost checklist'!$B$2:$B1000=A484,
   'cost checklist'!$J$2:$J1000=FALSE
  )
 ),
 """"
)"),"")</f>
        <v/>
      </c>
      <c r="Z484" s="26" t="b">
        <f>IFERROR(__xludf.DUMMYFUNCTION("IF(
 AND(
  E484=""QUEST"",
  RIGHT(A484,9)="".accepted"",
  D484=TRUE
 ),
 XLOOKUP(
  REGEXREPLACE(A484,""\.accepted$"","""")&amp;"".finished"",
  $A$2:$A1000,
  $D$2:$D1000,
  TRUE
 )=FALSE,
 FALSE
)"),FALSE)</f>
        <v>0</v>
      </c>
      <c r="AA484" s="26" t="str">
        <f>IFERROR(__xludf.DUMMYFUNCTION("LET(
 id,A484,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5" ht="14.25" customHeight="1">
      <c r="A485" s="26" t="s">
        <v>1625</v>
      </c>
      <c r="B485" s="26" t="str">
        <f t="array" ref="B485">_xlfn.XLOOKUP(
 A485,
 tblTargets[TargetID],
 tblTargets[DisplayName],
 ""
)</f>
        <v>Obtain Ship in a bottle</v>
      </c>
      <c r="C485" s="26" t="str">
        <f t="shared" si="1"/>
        <v>BLOCKED</v>
      </c>
      <c r="D485" s="26" t="b">
        <f>IFERROR(__xludf.DUMMYFUNCTION("LET(
 id,A485,
 IF(
  F485=""CHARACTER"",
  LET(
   base,REGEXREPLACE(id,""@\d+$"",""""),
   required,VALUE(REGEXEXTRACT(id,""@(\d+)$"")),
   current,XLOOKUP(
    base,
    tblPlayer[PlayerStateID],
    tblPlayer[Value],
    0
   ),
   current&gt;=required
 "&amp;" ),
  IF(
   T485=""AUTO"",
   L485=0,
   COUNTIFS(
    tblChecklist[TargetID],id,
    tblChecklist[PlayerCompleted],TRUE
   )&gt;0
  )
 )
)"),FALSE)</f>
        <v>0</v>
      </c>
      <c r="E485" s="26" t="str">
        <f t="array" ref="E485">_xlfn.XLOOKUP(
 A485,
 tblTargets[TargetID],
 tblTargets[TargetType],
 ""
)</f>
        <v>STATE</v>
      </c>
      <c r="F485" s="26" t="str">
        <f t="array" ref="F485">_xlfn.XLOOKUP(
 A485,
 tblTargets[TargetID],
 tblTargets[StateType],
 ""
)</f>
        <v>OBTAIN</v>
      </c>
      <c r="G485" s="26">
        <f>LET(
 id,A485,
 depCount,COUNTIF(tblDependencies[TargetID],id),
 objCount,COUNTIF(tblQuestObjectives[QuestTargetID],id),
 depCount+objCount
)</f>
        <v>1</v>
      </c>
      <c r="H485" s="26">
        <f t="shared" si="2"/>
        <v>1</v>
      </c>
      <c r="I485" s="26">
        <f>IFERROR(__xludf.DUMMYFUNCTION("LET(
 id,A485,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5" s="26">
        <f t="shared" si="3"/>
        <v>0</v>
      </c>
      <c r="K485" s="26" t="b">
        <f t="shared" si="4"/>
        <v>0</v>
      </c>
      <c r="L485" s="26">
        <f t="shared" si="5"/>
        <v>1</v>
      </c>
      <c r="M485" s="26" t="str">
        <f>IFERROR(__xludf.DUMMYFUNCTION("LET(
 id,A485,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L485=0,
  """",
  IFERROR(INDEX(incomplete,1),"""")"&amp;"
 )
)"),"quest.shoguns_katana_chapter_4.accepted")</f>
        <v>quest.shoguns_katana_chapter_4.accepted</v>
      </c>
      <c r="N485" s="26" t="str">
        <f t="array" ref="N485">IF(
 M485="",
 "",
 _xlfn.XLOOKUP(
  M485,
  tblTargets[TargetID],
  tblTargets[DisplayName],
  M485
 )
)</f>
        <v>Shogun's Katana Chapter 4 Accepted</v>
      </c>
      <c r="O485" s="26" t="str">
        <f>IFERROR(__xludf.DUMMYFUNCTION("SWITCH(
 E485,
 ""BUILDING"",XLOOKUP(A485,tblBuildings[BuildingID],tblBuildings[costtext],""""),
 ""TECH"",XLOOKUP(A485,tblTechnologies[TechnologyID],tblTechnologies[costtext],""""),
 ""QUEST"",XLOOKUP(
  REGEXREPLACE(A485,""\.[^.]+$"",""""),
  tblQuests["&amp;"QuestID],
  tblQuests[Costtext],
  """"
 ),
 ""CITADEL"",XLOOKUP(A485,tblCitadel[CitadelID],tblCitadel[costtext],""""),
 ""COLLECTION"",XLOOKUP(A485,tblCollections[CollectionID],tblCollections[costtext],""""),
 ""CRAFTIFACT"",XLOOKUP(A485,tblCraftifacts[C"&amp;"raftifactID],tblCraftifacts[costtext],""""),
 """"
)"),"")</f>
        <v/>
      </c>
      <c r="P485" s="26" t="str">
        <f t="shared" si="6"/>
        <v>BLOCKED</v>
      </c>
      <c r="Q485" s="26" t="str">
        <f t="shared" si="7"/>
        <v>BLOCKED</v>
      </c>
      <c r="R485" s="26" t="str">
        <f t="array" ref="R485">IFERROR(
 _xlfn.XLOOKUP(
  A485,
  tblChecklist[TargetID],
  tblChecklist[PlayerSort],
  ""
 ),
 ""
)</f>
        <v/>
      </c>
      <c r="S485" s="26" t="str">
        <f>IFERROR(__xludf.DUMMYFUNCTION("LET(
 id,A485,
 successorIDs,
  IFERROR(
   UNIQUE(
    FILTER(
     {
      Dependencies!$A$2:$A$1000;
      QuestObjectives!$A$2:$A$1000
     },
     {
      Dependencies!$B$2:$B$1000;
      QuestObjectives!$E$2:$E$1000
     }=id
    )
   ),
   """"
  )"&amp;",
 names,
  MAP(
   successorIDs,
   LAMBDA(s,
    IF(
     s="""",
     """",
     XLOOKUP(
      s,
      $A$2:$A$1000,
      $B$2:$B$1000,
      s
     )
    )
   )
  ),
 IF(
  successorIDs="""",
  """",
  TEXTJOIN("", "",TRUE,names)
 )
)"),"Shogun's Katana Chapter 4 Finished")</f>
        <v>Shogun's Katana Chapter 4 Finished</v>
      </c>
      <c r="T485" s="26" t="str">
        <f t="array" ref="T485">_xlfn.XLOOKUP(
 A485,
 tblTargets[TargetID],
 tblTargets[CompletionMethod],
 ""
)</f>
        <v>PLAYER</v>
      </c>
      <c r="U485" s="84" t="b">
        <f>COUNTIF(tblCost[TargetID],A485)&gt;0</f>
        <v>0</v>
      </c>
      <c r="V485" s="85" t="str">
        <f t="array" ref="V485">IF(
 U485=FALSE,
 "",
 _xlfn.XLOOKUP(
  A485,
  tblCost[TargetID],
  tblCost[FundingPercent],
  ""
 )
)</f>
        <v/>
      </c>
      <c r="W485" s="26" t="str">
        <f t="array" ref="W485">IF(
 U485=FALSE,
 "",
 _xlfn.XLOOKUP(
  A485,
  tblCost[TargetID],
  tblCost[RemainingRequirements],
  ""
 )
)</f>
        <v/>
      </c>
      <c r="X485" s="45" t="str">
        <f t="array" ref="X485">IF(
 U485=FALSE,
 "N/A",
 _xlfn.XLOOKUP(
  A486,
  tblCost[TargetID],
  tblCost[TargetFunded],
  FALSE
 )
)</f>
        <v>N/A</v>
      </c>
      <c r="Y485" s="26" t="str">
        <f>IFERROR(__xludf.DUMMYFUNCTION("IFERROR(
 TEXTJOIN(
  "", "",
  TRUE,
  FILTER(
   'cost checklist'!$E$2:$E1000&amp;"": ""&amp;'cost checklist'!$G$2:$G1000,
   'cost checklist'!$B$2:$B1000=A485,
   'cost checklist'!$J$2:$J1000=FALSE
  )
 ),
 """"
)"),"")</f>
        <v/>
      </c>
      <c r="Z485" s="26" t="b">
        <f>IFERROR(__xludf.DUMMYFUNCTION("IF(
 AND(
  E485=""QUEST"",
  RIGHT(A485,9)="".accepted"",
  D485=TRUE
 ),
 XLOOKUP(
  REGEXREPLACE(A485,""\.accepted$"","""")&amp;"".finished"",
  $A$2:$A1000,
  $D$2:$D1000,
  TRUE
 )=FALSE,
 FALSE
)"),FALSE)</f>
        <v>0</v>
      </c>
      <c r="AA485" s="26" t="str">
        <f>IFERROR(__xludf.DUMMYFUNCTION("LET(
 id,A485,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6" ht="14.25" customHeight="1">
      <c r="A486" s="26" t="s">
        <v>1628</v>
      </c>
      <c r="B486" s="26" t="str">
        <f t="array" ref="B486">_xlfn.XLOOKUP(
 A486,
 tblTargets[TargetID],
 tblTargets[DisplayName],
 ""
)</f>
        <v>Obtain Shogun's Katana</v>
      </c>
      <c r="C486" s="26" t="str">
        <f t="shared" si="1"/>
        <v>BLOCKED</v>
      </c>
      <c r="D486" s="26" t="b">
        <f>IFERROR(__xludf.DUMMYFUNCTION("LET(
 id,A486,
 IF(
  F486=""CHARACTER"",
  LET(
   base,REGEXREPLACE(id,""@\d+$"",""""),
   required,VALUE(REGEXEXTRACT(id,""@(\d+)$"")),
   current,XLOOKUP(
    base,
    tblPlayer[PlayerStateID],
    tblPlayer[Value],
    0
   ),
   current&gt;=required
 "&amp;" ),
  IF(
   T486=""AUTO"",
   L486=0,
   COUNTIFS(
    tblChecklist[TargetID],id,
    tblChecklist[PlayerCompleted],TRUE
   )&gt;0
  )
 )
)"),FALSE)</f>
        <v>0</v>
      </c>
      <c r="E486" s="26" t="str">
        <f t="array" ref="E486">_xlfn.XLOOKUP(
 A486,
 tblTargets[TargetID],
 tblTargets[TargetType],
 ""
)</f>
        <v>STATE</v>
      </c>
      <c r="F486" s="26" t="str">
        <f t="array" ref="F486">_xlfn.XLOOKUP(
 A486,
 tblTargets[TargetID],
 tblTargets[StateType],
 ""
)</f>
        <v>OBTAIN</v>
      </c>
      <c r="G486" s="26">
        <f>LET(
 id,A486,
 depCount,COUNTIF(tblDependencies[TargetID],id),
 objCount,COUNTIF(tblQuestObjectives[QuestTargetID],id),
 depCount+objCount
)</f>
        <v>1</v>
      </c>
      <c r="H486" s="26">
        <f t="shared" si="2"/>
        <v>1</v>
      </c>
      <c r="I486" s="26">
        <f>IFERROR(__xludf.DUMMYFUNCTION("LET(
 id,A486,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6" s="26">
        <f t="shared" si="3"/>
        <v>0</v>
      </c>
      <c r="K486" s="26" t="b">
        <f t="shared" si="4"/>
        <v>0</v>
      </c>
      <c r="L486" s="26">
        <f t="shared" si="5"/>
        <v>1</v>
      </c>
      <c r="M486" s="26" t="str">
        <f>IFERROR(__xludf.DUMMYFUNCTION("LET(
 id,A486,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L486=0,
  """",
  IFERROR(INDEX(incomplete,1),"""")"&amp;"
 )
)"),"quest.shoguns_katana_chapter_7.finished")</f>
        <v>quest.shoguns_katana_chapter_7.finished</v>
      </c>
      <c r="N486" s="26" t="str">
        <f t="array" ref="N486">IF(
 M486="",
 "",
 _xlfn.XLOOKUP(
  M486,
  tblTargets[TargetID],
  tblTargets[DisplayName],
  M486
 )
)</f>
        <v>Shogun's Katana Chapter 7 Finished</v>
      </c>
      <c r="O486" s="26" t="str">
        <f>IFERROR(__xludf.DUMMYFUNCTION("SWITCH(
 E486,
 ""BUILDING"",XLOOKUP(A486,tblBuildings[BuildingID],tblBuildings[costtext],""""),
 ""TECH"",XLOOKUP(A486,tblTechnologies[TechnologyID],tblTechnologies[costtext],""""),
 ""QUEST"",XLOOKUP(
  REGEXREPLACE(A486,""\.[^.]+$"",""""),
  tblQuests["&amp;"QuestID],
  tblQuests[Costtext],
  """"
 ),
 ""CITADEL"",XLOOKUP(A486,tblCitadel[CitadelID],tblCitadel[costtext],""""),
 ""COLLECTION"",XLOOKUP(A486,tblCollections[CollectionID],tblCollections[costtext],""""),
 ""CRAFTIFACT"",XLOOKUP(A486,tblCraftifacts[C"&amp;"raftifactID],tblCraftifacts[costtext],""""),
 """"
)"),"")</f>
        <v/>
      </c>
      <c r="P486" s="26" t="str">
        <f t="shared" si="6"/>
        <v>BLOCKED</v>
      </c>
      <c r="Q486" s="26" t="str">
        <f t="shared" si="7"/>
        <v>BLOCKED</v>
      </c>
      <c r="R486" s="26" t="str">
        <f t="array" ref="R486">IFERROR(
 _xlfn.XLOOKUP(
  A486,
  tblChecklist[TargetID],
  tblChecklist[PlayerSort],
  ""
 ),
 ""
)</f>
        <v/>
      </c>
      <c r="S486" s="26" t="str">
        <f>IFERROR(__xludf.DUMMYFUNCTION("LET(
 id,A486,
 successorIDs,
  IFERROR(
   UNIQUE(
    FILTER(
     {
      Dependencies!$A$2:$A$1000;
      QuestObjectives!$A$2:$A$1000
     },
     {
      Dependencies!$B$2:$B$1000;
      QuestObjectives!$E$2:$E$1000
     }=id
    )
   ),
   """"
  )"&amp;",
 names,
  MAP(
   successorIDs,
   LAMBDA(s,
    IF(
     s="""",
     """",
     XLOOKUP(
      s,
      $A$2:$A$1000,
      $B$2:$B$1000,
      s
     )
    )
   )
  ),
 IF(
  successorIDs="""",
  """",
  TEXTJOIN("", "",TRUE,names)
 )
)"),"Shogun's Katana Chapter 7 Finished")</f>
        <v>Shogun's Katana Chapter 7 Finished</v>
      </c>
      <c r="T486" s="26" t="str">
        <f t="array" ref="T486">_xlfn.XLOOKUP(
 A486,
 tblTargets[TargetID],
 tblTargets[CompletionMethod],
 ""
)</f>
        <v>PLAYER</v>
      </c>
      <c r="U486" s="84" t="b">
        <f>COUNTIF(tblCost[TargetID],A486)&gt;0</f>
        <v>0</v>
      </c>
      <c r="V486" s="85" t="str">
        <f t="array" ref="V486">IF(
 U486=FALSE,
 "",
 _xlfn.XLOOKUP(
  A486,
  tblCost[TargetID],
  tblCost[FundingPercent],
  ""
 )
)</f>
        <v/>
      </c>
      <c r="W486" s="26" t="str">
        <f t="array" ref="W486">IF(
 U486=FALSE,
 "",
 _xlfn.XLOOKUP(
  A486,
  tblCost[TargetID],
  tblCost[RemainingRequirements],
  ""
 )
)</f>
        <v/>
      </c>
      <c r="X486" s="45" t="str">
        <f t="array" ref="X486">IF(
 U486=FALSE,
 "N/A",
 _xlfn.XLOOKUP(
  A487,
  tblCost[TargetID],
  tblCost[TargetFunded],
  FALSE
 )
)</f>
        <v>N/A</v>
      </c>
      <c r="Y486" s="26" t="str">
        <f>IFERROR(__xludf.DUMMYFUNCTION("IFERROR(
 TEXTJOIN(
  "", "",
  TRUE,
  FILTER(
   'cost checklist'!$E$2:$E1000&amp;"": ""&amp;'cost checklist'!$G$2:$G1000,
   'cost checklist'!$B$2:$B1000=A486,
   'cost checklist'!$J$2:$J1000=FALSE
  )
 ),
 """"
)"),"")</f>
        <v/>
      </c>
      <c r="Z486" s="26" t="b">
        <f>IFERROR(__xludf.DUMMYFUNCTION("IF(
 AND(
  E486=""QUEST"",
  RIGHT(A486,9)="".accepted"",
  D486=TRUE
 ),
 XLOOKUP(
  REGEXREPLACE(A486,""\.accepted$"","""")&amp;"".finished"",
  $A$2:$A1000,
  $D$2:$D1000,
  TRUE
 )=FALSE,
 FALSE
)"),FALSE)</f>
        <v>0</v>
      </c>
      <c r="AA486" s="26" t="str">
        <f>IFERROR(__xludf.DUMMYFUNCTION("LET(
 id,A486,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7" ht="14.25" customHeight="1">
      <c r="A487" s="26" t="s">
        <v>1630</v>
      </c>
      <c r="B487" s="26" t="str">
        <f t="array" ref="B487">_xlfn.XLOOKUP(
 A487,
 tblTargets[TargetID],
 tblTargets[DisplayName],
 ""
)</f>
        <v>Purchase Smuggler's map for 10 spices</v>
      </c>
      <c r="C487" s="26" t="str">
        <f t="shared" si="1"/>
        <v>BLOCKED</v>
      </c>
      <c r="D487" s="26" t="b">
        <f>IFERROR(__xludf.DUMMYFUNCTION("LET(
 id,A487,
 IF(
  F487=""CHARACTER"",
  LET(
   base,REGEXREPLACE(id,""@\d+$"",""""),
   required,VALUE(REGEXEXTRACT(id,""@(\d+)$"")),
   current,XLOOKUP(
    base,
    tblPlayer[PlayerStateID],
    tblPlayer[Value],
    0
   ),
   current&gt;=required
 "&amp;" ),
  IF(
   T487=""AUTO"",
   L487=0,
   COUNTIFS(
    tblChecklist[TargetID],id,
    tblChecklist[PlayerCompleted],TRUE
   )&gt;0
  )
 )
)"),FALSE)</f>
        <v>0</v>
      </c>
      <c r="E487" s="26" t="str">
        <f t="array" ref="E487">_xlfn.XLOOKUP(
 A487,
 tblTargets[TargetID],
 tblTargets[TargetType],
 ""
)</f>
        <v>STATE</v>
      </c>
      <c r="F487" s="26" t="str">
        <f t="array" ref="F487">_xlfn.XLOOKUP(
 A487,
 tblTargets[TargetID],
 tblTargets[StateType],
 ""
)</f>
        <v>OBTAIN</v>
      </c>
      <c r="G487" s="26">
        <f>LET(
 id,A487,
 depCount,COUNTIF(tblDependencies[TargetID],id),
 objCount,COUNTIF(tblQuestObjectives[QuestTargetID],id),
 depCount+objCount
)</f>
        <v>1</v>
      </c>
      <c r="H487" s="26">
        <f t="shared" si="2"/>
        <v>1</v>
      </c>
      <c r="I487" s="26">
        <f>IFERROR(__xludf.DUMMYFUNCTION("LET(
 id,A487,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7" s="26">
        <f t="shared" si="3"/>
        <v>0</v>
      </c>
      <c r="K487" s="26" t="b">
        <f t="shared" si="4"/>
        <v>0</v>
      </c>
      <c r="L487" s="26">
        <f t="shared" si="5"/>
        <v>1</v>
      </c>
      <c r="M487" s="26" t="str">
        <f>IFERROR(__xludf.DUMMYFUNCTION("LET(
 id,A487,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L487=0,
  """",
  IFERROR(INDEX(incomplete,1),"""")"&amp;"
 )
)"),"quest.shoguns_katana_chapter_4.accepted")</f>
        <v>quest.shoguns_katana_chapter_4.accepted</v>
      </c>
      <c r="N487" s="26" t="str">
        <f t="array" ref="N487">IF(
 M487="",
 "",
 _xlfn.XLOOKUP(
  M487,
  tblTargets[TargetID],
  tblTargets[DisplayName],
  M487
 )
)</f>
        <v>Shogun's Katana Chapter 4 Accepted</v>
      </c>
      <c r="O487" s="26" t="str">
        <f>IFERROR(__xludf.DUMMYFUNCTION("SWITCH(
 E487,
 ""BUILDING"",XLOOKUP(A487,tblBuildings[BuildingID],tblBuildings[costtext],""""),
 ""TECH"",XLOOKUP(A487,tblTechnologies[TechnologyID],tblTechnologies[costtext],""""),
 ""QUEST"",XLOOKUP(
  REGEXREPLACE(A487,""\.[^.]+$"",""""),
  tblQuests["&amp;"QuestID],
  tblQuests[Costtext],
  """"
 ),
 ""CITADEL"",XLOOKUP(A487,tblCitadel[CitadelID],tblCitadel[costtext],""""),
 ""COLLECTION"",XLOOKUP(A487,tblCollections[CollectionID],tblCollections[costtext],""""),
 ""CRAFTIFACT"",XLOOKUP(A487,tblCraftifacts[C"&amp;"raftifactID],tblCraftifacts[costtext],""""),
 """"
)"),"")</f>
        <v/>
      </c>
      <c r="P487" s="26" t="str">
        <f t="shared" si="6"/>
        <v>BLOCKED</v>
      </c>
      <c r="Q487" s="26" t="str">
        <f t="shared" si="7"/>
        <v>BLOCKED</v>
      </c>
      <c r="R487" s="26" t="str">
        <f t="array" ref="R487">IFERROR(
 _xlfn.XLOOKUP(
  A487,
  tblChecklist[TargetID],
  tblChecklist[PlayerSort],
  ""
 ),
 ""
)</f>
        <v/>
      </c>
      <c r="S487" s="26" t="str">
        <f>IFERROR(__xludf.DUMMYFUNCTION("LET(
 id,A487,
 successorIDs,
  IFERROR(
   UNIQUE(
    FILTER(
     {
      Dependencies!$A$2:$A$1000;
      QuestObjectives!$A$2:$A$1000
     },
     {
      Dependencies!$B$2:$B$1000;
      QuestObjectives!$E$2:$E$1000
     }=id
    )
   ),
   """"
  )"&amp;",
 names,
  MAP(
   successorIDs,
   LAMBDA(s,
    IF(
     s="""",
     """",
     XLOOKUP(
      s,
      $A$2:$A$1000,
      $B$2:$B$1000,
      s
     )
    )
   )
  ),
 IF(
  successorIDs="""",
  """",
  TEXTJOIN("", "",TRUE,names)
 )
)"),"Shogun's Katana Chapter 4 Finished")</f>
        <v>Shogun's Katana Chapter 4 Finished</v>
      </c>
      <c r="T487" s="26" t="str">
        <f t="array" ref="T487">_xlfn.XLOOKUP(
 A487,
 tblTargets[TargetID],
 tblTargets[CompletionMethod],
 ""
)</f>
        <v>PLAYER</v>
      </c>
      <c r="U487" s="84" t="b">
        <f>COUNTIF(tblCost[TargetID],A487)&gt;0</f>
        <v>0</v>
      </c>
      <c r="V487" s="85" t="str">
        <f t="array" ref="V487">IF(
 U487=FALSE,
 "",
 _xlfn.XLOOKUP(
  A487,
  tblCost[TargetID],
  tblCost[FundingPercent],
  ""
 )
)</f>
        <v/>
      </c>
      <c r="W487" s="26" t="str">
        <f t="array" ref="W487">IF(
 U487=FALSE,
 "",
 _xlfn.XLOOKUP(
  A487,
  tblCost[TargetID],
  tblCost[RemainingRequirements],
  ""
 )
)</f>
        <v/>
      </c>
      <c r="X487" s="45" t="str">
        <f t="array" ref="X487">IF(
 U487=FALSE,
 "N/A",
 _xlfn.XLOOKUP(
  A488,
  tblCost[TargetID],
  tblCost[TargetFunded],
  FALSE
 )
)</f>
        <v>N/A</v>
      </c>
      <c r="Y487" s="26" t="str">
        <f>IFERROR(__xludf.DUMMYFUNCTION("IFERROR(
 TEXTJOIN(
  "", "",
  TRUE,
  FILTER(
   'cost checklist'!$E$2:$E1000&amp;"": ""&amp;'cost checklist'!$G$2:$G1000,
   'cost checklist'!$B$2:$B1000=A487,
   'cost checklist'!$J$2:$J1000=FALSE
  )
 ),
 """"
)"),"")</f>
        <v/>
      </c>
      <c r="Z487" s="26" t="b">
        <f>IFERROR(__xludf.DUMMYFUNCTION("IF(
 AND(
  E487=""QUEST"",
  RIGHT(A487,9)="".accepted"",
  D487=TRUE
 ),
 XLOOKUP(
  REGEXREPLACE(A487,""\.accepted$"","""")&amp;"".finished"",
  $A$2:$A1000,
  $D$2:$D1000,
  TRUE
 )=FALSE,
 FALSE
)"),FALSE)</f>
        <v>0</v>
      </c>
      <c r="AA487" s="26" t="str">
        <f>IFERROR(__xludf.DUMMYFUNCTION("LET(
 id,A487,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8" ht="14.25" customHeight="1">
      <c r="A488" s="26" t="s">
        <v>1632</v>
      </c>
      <c r="B488" s="26" t="str">
        <f t="array" ref="B488">_xlfn.XLOOKUP(
 A488,
 tblTargets[TargetID],
 tblTargets[DisplayName],
 ""
)</f>
        <v>Purchase Smuggler's map for 100 coffee beans</v>
      </c>
      <c r="C488" s="26" t="str">
        <f t="shared" si="1"/>
        <v>BLOCKED</v>
      </c>
      <c r="D488" s="26" t="b">
        <f>IFERROR(__xludf.DUMMYFUNCTION("LET(
 id,A488,
 IF(
  F488=""CHARACTER"",
  LET(
   base,REGEXREPLACE(id,""@\d+$"",""""),
   required,VALUE(REGEXEXTRACT(id,""@(\d+)$"")),
   current,XLOOKUP(
    base,
    tblPlayer[PlayerStateID],
    tblPlayer[Value],
    0
   ),
   current&gt;=required
 "&amp;" ),
  IF(
   T488=""AUTO"",
   L488=0,
   COUNTIFS(
    tblChecklist[TargetID],id,
    tblChecklist[PlayerCompleted],TRUE
   )&gt;0
  )
 )
)"),FALSE)</f>
        <v>0</v>
      </c>
      <c r="E488" s="26" t="str">
        <f t="array" ref="E488">_xlfn.XLOOKUP(
 A488,
 tblTargets[TargetID],
 tblTargets[TargetType],
 ""
)</f>
        <v>STATE</v>
      </c>
      <c r="F488" s="26" t="str">
        <f t="array" ref="F488">_xlfn.XLOOKUP(
 A488,
 tblTargets[TargetID],
 tblTargets[StateType],
 ""
)</f>
        <v>OBTAIN</v>
      </c>
      <c r="G488" s="26">
        <f>LET(
 id,A488,
 depCount,COUNTIF(tblDependencies[TargetID],id),
 objCount,COUNTIF(tblQuestObjectives[QuestTargetID],id),
 depCount+objCount
)</f>
        <v>1</v>
      </c>
      <c r="H488" s="26">
        <f t="shared" si="2"/>
        <v>1</v>
      </c>
      <c r="I488" s="26">
        <f>IFERROR(__xludf.DUMMYFUNCTION("LET(
 id,A488,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8" s="26">
        <f t="shared" si="3"/>
        <v>0</v>
      </c>
      <c r="K488" s="26" t="b">
        <f t="shared" si="4"/>
        <v>0</v>
      </c>
      <c r="L488" s="26">
        <f t="shared" si="5"/>
        <v>1</v>
      </c>
      <c r="M488" s="26" t="str">
        <f>IFERROR(__xludf.DUMMYFUNCTION("LET(
 id,A488,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L488=0,
  """",
  IFERROR(INDEX(incomplete,1),"""")"&amp;"
 )
)"),"quest.shoguns_katana_chapter_3.accepted")</f>
        <v>quest.shoguns_katana_chapter_3.accepted</v>
      </c>
      <c r="N488" s="26" t="str">
        <f t="array" ref="N488">IF(
 M488="",
 "",
 _xlfn.XLOOKUP(
  M488,
  tblTargets[TargetID],
  tblTargets[DisplayName],
  M488
 )
)</f>
        <v>Shogun's Katana Chapter 3 Accepted</v>
      </c>
      <c r="O488" s="26" t="str">
        <f>IFERROR(__xludf.DUMMYFUNCTION("SWITCH(
 E488,
 ""BUILDING"",XLOOKUP(A488,tblBuildings[BuildingID],tblBuildings[costtext],""""),
 ""TECH"",XLOOKUP(A488,tblTechnologies[TechnologyID],tblTechnologies[costtext],""""),
 ""QUEST"",XLOOKUP(
  REGEXREPLACE(A488,""\.[^.]+$"",""""),
  tblQuests["&amp;"QuestID],
  tblQuests[Costtext],
  """"
 ),
 ""CITADEL"",XLOOKUP(A488,tblCitadel[CitadelID],tblCitadel[costtext],""""),
 ""COLLECTION"",XLOOKUP(A488,tblCollections[CollectionID],tblCollections[costtext],""""),
 ""CRAFTIFACT"",XLOOKUP(A488,tblCraftifacts[C"&amp;"raftifactID],tblCraftifacts[costtext],""""),
 """"
)"),"")</f>
        <v/>
      </c>
      <c r="P488" s="26" t="str">
        <f t="shared" si="6"/>
        <v>BLOCKED</v>
      </c>
      <c r="Q488" s="26" t="str">
        <f t="shared" si="7"/>
        <v>BLOCKED</v>
      </c>
      <c r="R488" s="26" t="str">
        <f t="array" ref="R488">IFERROR(
 _xlfn.XLOOKUP(
  A488,
  tblChecklist[TargetID],
  tblChecklist[PlayerSort],
  ""
 ),
 ""
)</f>
        <v/>
      </c>
      <c r="S488" s="26" t="str">
        <f>IFERROR(__xludf.DUMMYFUNCTION("LET(
 id,A488,
 successorIDs,
  IFERROR(
   UNIQUE(
    FILTER(
     {
      Dependencies!$A$2:$A$1000;
      QuestObjectives!$A$2:$A$1000
     },
     {
      Dependencies!$B$2:$B$1000;
      QuestObjectives!$E$2:$E$1000
     }=id
    )
   ),
   """"
  )"&amp;",
 names,
  MAP(
   successorIDs,
   LAMBDA(s,
    IF(
     s="""",
     """",
     XLOOKUP(
      s,
      $A$2:$A$1000,
      $B$2:$B$1000,
      s
     )
    )
   )
  ),
 IF(
  successorIDs="""",
  """",
  TEXTJOIN("", "",TRUE,names)
 )
)"),"Obtain Pirate hat, Shogun's Katana Chapter 3 Finished")</f>
        <v>Obtain Pirate hat, Shogun's Katana Chapter 3 Finished</v>
      </c>
      <c r="T488" s="26" t="str">
        <f t="array" ref="T488">_xlfn.XLOOKUP(
 A488,
 tblTargets[TargetID],
 tblTargets[CompletionMethod],
 ""
)</f>
        <v>PLAYER</v>
      </c>
      <c r="U488" s="84" t="b">
        <f>COUNTIF(tblCost[TargetID],A488)&gt;0</f>
        <v>0</v>
      </c>
      <c r="V488" s="85" t="str">
        <f t="array" ref="V488">IF(
 U488=FALSE,
 "",
 _xlfn.XLOOKUP(
  A488,
  tblCost[TargetID],
  tblCost[FundingPercent],
  ""
 )
)</f>
        <v/>
      </c>
      <c r="W488" s="26" t="str">
        <f t="array" ref="W488">IF(
 U488=FALSE,
 "",
 _xlfn.XLOOKUP(
  A488,
  tblCost[TargetID],
  tblCost[RemainingRequirements],
  ""
 )
)</f>
        <v/>
      </c>
      <c r="X488" s="45" t="str">
        <f t="array" ref="X488">IF(
 U488=FALSE,
 "N/A",
 _xlfn.XLOOKUP(
  A489,
  tblCost[TargetID],
  tblCost[TargetFunded],
  FALSE
 )
)</f>
        <v>N/A</v>
      </c>
      <c r="Y488" s="26" t="str">
        <f>IFERROR(__xludf.DUMMYFUNCTION("IFERROR(
 TEXTJOIN(
  "", "",
  TRUE,
  FILTER(
   'cost checklist'!$E$2:$E1000&amp;"": ""&amp;'cost checklist'!$G$2:$G1000,
   'cost checklist'!$B$2:$B1000=A488,
   'cost checklist'!$J$2:$J1000=FALSE
  )
 ),
 """"
)"),"")</f>
        <v/>
      </c>
      <c r="Z488" s="26" t="b">
        <f>IFERROR(__xludf.DUMMYFUNCTION("IF(
 AND(
  E488=""QUEST"",
  RIGHT(A488,9)="".accepted"",
  D488=TRUE
 ),
 XLOOKUP(
  REGEXREPLACE(A488,""\.accepted$"","""")&amp;"".finished"",
  $A$2:$A1000,
  $D$2:$D1000,
  TRUE
 )=FALSE,
 FALSE
)"),FALSE)</f>
        <v>0</v>
      </c>
      <c r="AA488" s="26" t="str">
        <f>IFERROR(__xludf.DUMMYFUNCTION("LET(
 id,A488,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89" ht="14.25" customHeight="1">
      <c r="A489" s="26" t="s">
        <v>1635</v>
      </c>
      <c r="B489" s="26" t="str">
        <f t="array" ref="B489">_xlfn.XLOOKUP(
 A489,
 tblTargets[TargetID],
 tblTargets[DisplayName],
 ""
)</f>
        <v>Purchase Smuggler's map for 15 pearl</v>
      </c>
      <c r="C489" s="26" t="str">
        <f t="shared" si="1"/>
        <v>BLOCKED</v>
      </c>
      <c r="D489" s="26" t="b">
        <f>IFERROR(__xludf.DUMMYFUNCTION("LET(
 id,A489,
 IF(
  F489=""CHARACTER"",
  LET(
   base,REGEXREPLACE(id,""@\d+$"",""""),
   required,VALUE(REGEXEXTRACT(id,""@(\d+)$"")),
   current,XLOOKUP(
    base,
    tblPlayer[PlayerStateID],
    tblPlayer[Value],
    0
   ),
   current&gt;=required
 "&amp;" ),
  IF(
   T489=""AUTO"",
   L489=0,
   COUNTIFS(
    tblChecklist[TargetID],id,
    tblChecklist[PlayerCompleted],TRUE
   )&gt;0
  )
 )
)"),FALSE)</f>
        <v>0</v>
      </c>
      <c r="E489" s="26" t="str">
        <f t="array" ref="E489">_xlfn.XLOOKUP(
 A489,
 tblTargets[TargetID],
 tblTargets[TargetType],
 ""
)</f>
        <v>STATE</v>
      </c>
      <c r="F489" s="26" t="str">
        <f t="array" ref="F489">_xlfn.XLOOKUP(
 A489,
 tblTargets[TargetID],
 tblTargets[StateType],
 ""
)</f>
        <v>OBTAIN</v>
      </c>
      <c r="G489" s="26">
        <f>LET(
 id,A489,
 depCount,COUNTIF(tblDependencies[TargetID],id),
 objCount,COUNTIF(tblQuestObjectives[QuestTargetID],id),
 depCount+objCount
)</f>
        <v>1</v>
      </c>
      <c r="H489" s="26">
        <f t="shared" si="2"/>
        <v>1</v>
      </c>
      <c r="I489" s="26">
        <f>IFERROR(__xludf.DUMMYFUNCTION("LET(
 id,A489,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89" s="26">
        <f t="shared" si="3"/>
        <v>0</v>
      </c>
      <c r="K489" s="26" t="b">
        <f t="shared" si="4"/>
        <v>0</v>
      </c>
      <c r="L489" s="26">
        <f t="shared" si="5"/>
        <v>1</v>
      </c>
      <c r="M489" s="26" t="str">
        <f>IFERROR(__xludf.DUMMYFUNCTION("LET(
 id,A489,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L489=0,
  """",
  IFERROR(INDEX(incomplete,1),"""")"&amp;"
 )
)"),"quest.shoguns_katana_chapter_5.accepted")</f>
        <v>quest.shoguns_katana_chapter_5.accepted</v>
      </c>
      <c r="N489" s="26" t="str">
        <f t="array" ref="N489">IF(
 M489="",
 "",
 _xlfn.XLOOKUP(
  M489,
  tblTargets[TargetID],
  tblTargets[DisplayName],
  M489
 )
)</f>
        <v>Shogun's Katana Chapter 5 Accepted</v>
      </c>
      <c r="O489" s="26" t="str">
        <f>IFERROR(__xludf.DUMMYFUNCTION("SWITCH(
 E489,
 ""BUILDING"",XLOOKUP(A489,tblBuildings[BuildingID],tblBuildings[costtext],""""),
 ""TECH"",XLOOKUP(A489,tblTechnologies[TechnologyID],tblTechnologies[costtext],""""),
 ""QUEST"",XLOOKUP(
  REGEXREPLACE(A489,""\.[^.]+$"",""""),
  tblQuests["&amp;"QuestID],
  tblQuests[Costtext],
  """"
 ),
 ""CITADEL"",XLOOKUP(A489,tblCitadel[CitadelID],tblCitadel[costtext],""""),
 ""COLLECTION"",XLOOKUP(A489,tblCollections[CollectionID],tblCollections[costtext],""""),
 ""CRAFTIFACT"",XLOOKUP(A489,tblCraftifacts[C"&amp;"raftifactID],tblCraftifacts[costtext],""""),
 """"
)"),"")</f>
        <v/>
      </c>
      <c r="P489" s="26" t="str">
        <f t="shared" si="6"/>
        <v>BLOCKED</v>
      </c>
      <c r="Q489" s="26" t="str">
        <f t="shared" si="7"/>
        <v>BLOCKED</v>
      </c>
      <c r="R489" s="26" t="str">
        <f t="array" ref="R489">IFERROR(
 _xlfn.XLOOKUP(
  A489,
  tblChecklist[TargetID],
  tblChecklist[PlayerSort],
  ""
 ),
 ""
)</f>
        <v/>
      </c>
      <c r="S489" s="26" t="str">
        <f>IFERROR(__xludf.DUMMYFUNCTION("LET(
 id,A489,
 successorIDs,
  IFERROR(
   UNIQUE(
    FILTER(
     {
      Dependencies!$A$2:$A$1000;
      QuestObjectives!$A$2:$A$1000
     },
     {
      Dependencies!$B$2:$B$1000;
      QuestObjectives!$E$2:$E$1000
     }=id
    )
   ),
   """"
  )"&amp;",
 names,
  MAP(
   successorIDs,
   LAMBDA(s,
    IF(
     s="""",
     """",
     XLOOKUP(
      s,
      $A$2:$A$1000,
      $B$2:$B$1000,
      s
     )
    )
   )
  ),
 IF(
  successorIDs="""",
  """",
  TEXTJOIN("", "",TRUE,names)
 )
)"),"Obtain Black Pearl, Shogun's Katana Chapter 5 Finished")</f>
        <v>Obtain Black Pearl, Shogun's Katana Chapter 5 Finished</v>
      </c>
      <c r="T489" s="26" t="str">
        <f t="array" ref="T489">_xlfn.XLOOKUP(
 A489,
 tblTargets[TargetID],
 tblTargets[CompletionMethod],
 ""
)</f>
        <v>PLAYER</v>
      </c>
      <c r="U489" s="84" t="b">
        <f>COUNTIF(tblCost[TargetID],A489)&gt;0</f>
        <v>0</v>
      </c>
      <c r="V489" s="85" t="str">
        <f t="array" ref="V489">IF(
 U489=FALSE,
 "",
 _xlfn.XLOOKUP(
  A489,
  tblCost[TargetID],
  tblCost[FundingPercent],
  ""
 )
)</f>
        <v/>
      </c>
      <c r="W489" s="26" t="str">
        <f t="array" ref="W489">IF(
 U489=FALSE,
 "",
 _xlfn.XLOOKUP(
  A489,
  tblCost[TargetID],
  tblCost[RemainingRequirements],
  ""
 )
)</f>
        <v/>
      </c>
      <c r="X489" s="45" t="str">
        <f t="array" ref="X489">IF(
 U489=FALSE,
 "N/A",
 _xlfn.XLOOKUP(
  A490,
  tblCost[TargetID],
  tblCost[TargetFunded],
  FALSE
 )
)</f>
        <v>N/A</v>
      </c>
      <c r="Y489" s="26" t="str">
        <f>IFERROR(__xludf.DUMMYFUNCTION("IFERROR(
 TEXTJOIN(
  "", "",
  TRUE,
  FILTER(
   'cost checklist'!$E$2:$E1000&amp;"": ""&amp;'cost checklist'!$G$2:$G1000,
   'cost checklist'!$B$2:$B1000=A489,
   'cost checklist'!$J$2:$J1000=FALSE
  )
 ),
 """"
)"),"")</f>
        <v/>
      </c>
      <c r="Z489" s="26" t="b">
        <f>IFERROR(__xludf.DUMMYFUNCTION("IF(
 AND(
  E489=""QUEST"",
  RIGHT(A489,9)="".accepted"",
  D489=TRUE
 ),
 XLOOKUP(
  REGEXREPLACE(A489,""\.accepted$"","""")&amp;"".finished"",
  $A$2:$A1000,
  $D$2:$D1000,
  TRUE
 )=FALSE,
 FALSE
)"),FALSE)</f>
        <v>0</v>
      </c>
      <c r="AA489" s="26" t="str">
        <f>IFERROR(__xludf.DUMMYFUNCTION("LET(
 id,A489,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0" ht="14.25" customHeight="1">
      <c r="A490" s="26" t="s">
        <v>1637</v>
      </c>
      <c r="B490" s="26" t="str">
        <f t="array" ref="B490">_xlfn.XLOOKUP(
 A490,
 tblTargets[TargetID],
 tblTargets[DisplayName],
 ""
)</f>
        <v>Obtain Spices from Spice Island</v>
      </c>
      <c r="C490" s="26" t="str">
        <f t="shared" si="1"/>
        <v>BLOCKED</v>
      </c>
      <c r="D490" s="26" t="b">
        <f>IFERROR(__xludf.DUMMYFUNCTION("LET(
 id,A490,
 IF(
  F490=""CHARACTER"",
  LET(
   base,REGEXREPLACE(id,""@\d+$"",""""),
   required,VALUE(REGEXEXTRACT(id,""@(\d+)$"")),
   current,XLOOKUP(
    base,
    tblPlayer[PlayerStateID],
    tblPlayer[Value],
    0
   ),
   current&gt;=required
 "&amp;" ),
  IF(
   T490=""AUTO"",
   L490=0,
   COUNTIFS(
    tblChecklist[TargetID],id,
    tblChecklist[PlayerCompleted],TRUE
   )&gt;0
  )
 )
)"),FALSE)</f>
        <v>0</v>
      </c>
      <c r="E490" s="26" t="str">
        <f t="array" ref="E490">_xlfn.XLOOKUP(
 A490,
 tblTargets[TargetID],
 tblTargets[TargetType],
 ""
)</f>
        <v>STATE</v>
      </c>
      <c r="F490" s="26" t="str">
        <f t="array" ref="F490">_xlfn.XLOOKUP(
 A490,
 tblTargets[TargetID],
 tblTargets[StateType],
 ""
)</f>
        <v>OBTAIN</v>
      </c>
      <c r="G490" s="26">
        <f>LET(
 id,A490,
 depCount,COUNTIF(tblDependencies[TargetID],id),
 objCount,COUNTIF(tblQuestObjectives[QuestTargetID],id),
 depCount+objCount
)</f>
        <v>1</v>
      </c>
      <c r="H490" s="26">
        <f t="shared" si="2"/>
        <v>1</v>
      </c>
      <c r="I490" s="26">
        <f>IFERROR(__xludf.DUMMYFUNCTION("LET(
 id,A490,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0" s="26">
        <f t="shared" si="3"/>
        <v>0</v>
      </c>
      <c r="K490" s="26" t="b">
        <f t="shared" si="4"/>
        <v>0</v>
      </c>
      <c r="L490" s="26">
        <f t="shared" si="5"/>
        <v>1</v>
      </c>
      <c r="M490" s="26" t="str">
        <f>IFERROR(__xludf.DUMMYFUNCTION("LET(
 id,A490,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L490=0,
  """",
  IFERROR(INDEX(incomplete,1),"""")"&amp;"
 )
)"),"quest.spicy_odyssey.accepted")</f>
        <v>quest.spicy_odyssey.accepted</v>
      </c>
      <c r="N490" s="26" t="str">
        <f t="array" ref="N490">IF(
 M490="",
 "",
 _xlfn.XLOOKUP(
  M490,
  tblTargets[TargetID],
  tblTargets[DisplayName],
  M490
 )
)</f>
        <v>Spicy Odyssey Accepted</v>
      </c>
      <c r="O490" s="26" t="str">
        <f>IFERROR(__xludf.DUMMYFUNCTION("SWITCH(
 E490,
 ""BUILDING"",XLOOKUP(A490,tblBuildings[BuildingID],tblBuildings[costtext],""""),
 ""TECH"",XLOOKUP(A490,tblTechnologies[TechnologyID],tblTechnologies[costtext],""""),
 ""QUEST"",XLOOKUP(
  REGEXREPLACE(A490,""\.[^.]+$"",""""),
  tblQuests["&amp;"QuestID],
  tblQuests[Costtext],
  """"
 ),
 ""CITADEL"",XLOOKUP(A490,tblCitadel[CitadelID],tblCitadel[costtext],""""),
 ""COLLECTION"",XLOOKUP(A490,tblCollections[CollectionID],tblCollections[costtext],""""),
 ""CRAFTIFACT"",XLOOKUP(A490,tblCraftifacts[C"&amp;"raftifactID],tblCraftifacts[costtext],""""),
 """"
)"),"")</f>
        <v/>
      </c>
      <c r="P490" s="26" t="str">
        <f t="shared" si="6"/>
        <v>BLOCKED</v>
      </c>
      <c r="Q490" s="26" t="str">
        <f t="shared" si="7"/>
        <v>BLOCKED</v>
      </c>
      <c r="R490" s="26" t="str">
        <f t="array" ref="R490">IFERROR(
 _xlfn.XLOOKUP(
  A490,
  tblChecklist[TargetID],
  tblChecklist[PlayerSort],
  ""
 ),
 ""
)</f>
        <v/>
      </c>
      <c r="S490" s="26" t="str">
        <f>IFERROR(__xludf.DUMMYFUNCTION("LET(
 id,A490,
 successorIDs,
  IFERROR(
   UNIQUE(
    FILTER(
     {
      Dependencies!$A$2:$A$1000;
      QuestObjectives!$A$2:$A$1000
     },
     {
      Dependencies!$B$2:$B$1000;
      QuestObjectives!$E$2:$E$1000
     }=id
    )
   ),
   """"
  )"&amp;",
 names,
  MAP(
   successorIDs,
   LAMBDA(s,
    IF(
     s="""",
     """",
     XLOOKUP(
      s,
      $A$2:$A$1000,
      $B$2:$B$1000,
      s
     )
    )
   )
  ),
 IF(
  successorIDs="""",
  """",
  TEXTJOIN("", "",TRUE,names)
 )
)"),"Spicy Odyssey Finished")</f>
        <v>Spicy Odyssey Finished</v>
      </c>
      <c r="T490" s="26" t="str">
        <f t="array" ref="T490">_xlfn.XLOOKUP(
 A490,
 tblTargets[TargetID],
 tblTargets[CompletionMethod],
 ""
)</f>
        <v>PLAYER</v>
      </c>
      <c r="U490" s="84" t="b">
        <f>COUNTIF(tblCost[TargetID],A490)&gt;0</f>
        <v>0</v>
      </c>
      <c r="V490" s="85" t="str">
        <f t="array" ref="V490">IF(
 U490=FALSE,
 "",
 _xlfn.XLOOKUP(
  A490,
  tblCost[TargetID],
  tblCost[FundingPercent],
  ""
 )
)</f>
        <v/>
      </c>
      <c r="W490" s="26" t="str">
        <f t="array" ref="W490">IF(
 U490=FALSE,
 "",
 _xlfn.XLOOKUP(
  A490,
  tblCost[TargetID],
  tblCost[RemainingRequirements],
  ""
 )
)</f>
        <v/>
      </c>
      <c r="X490" s="45" t="str">
        <f t="array" ref="X490">IF(
 U490=FALSE,
 "N/A",
 _xlfn.XLOOKUP(
  A491,
  tblCost[TargetID],
  tblCost[TargetFunded],
  FALSE
 )
)</f>
        <v>N/A</v>
      </c>
      <c r="Y490" s="26" t="str">
        <f>IFERROR(__xludf.DUMMYFUNCTION("IFERROR(
 TEXTJOIN(
  "", "",
  TRUE,
  FILTER(
   'cost checklist'!$E$2:$E1000&amp;"": ""&amp;'cost checklist'!$G$2:$G1000,
   'cost checklist'!$B$2:$B1000=A490,
   'cost checklist'!$J$2:$J1000=FALSE
  )
 ),
 """"
)"),"")</f>
        <v/>
      </c>
      <c r="Z490" s="26" t="b">
        <f>IFERROR(__xludf.DUMMYFUNCTION("IF(
 AND(
  E490=""QUEST"",
  RIGHT(A490,9)="".accepted"",
  D490=TRUE
 ),
 XLOOKUP(
  REGEXREPLACE(A490,""\.accepted$"","""")&amp;"".finished"",
  $A$2:$A1000,
  $D$2:$D1000,
  TRUE
 )=FALSE,
 FALSE
)"),FALSE)</f>
        <v>0</v>
      </c>
      <c r="AA490" s="26" t="str">
        <f>IFERROR(__xludf.DUMMYFUNCTION("LET(
 id,A490,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1" ht="14.25" customHeight="1">
      <c r="A491" s="26" t="s">
        <v>1639</v>
      </c>
      <c r="B491" s="26" t="str">
        <f t="array" ref="B491">_xlfn.XLOOKUP(
 A491,
 tblTargets[TargetID],
 tblTargets[DisplayName],
 ""
)</f>
        <v>Craft steamobile</v>
      </c>
      <c r="C491" s="26" t="str">
        <f t="shared" si="1"/>
        <v>BLOCKED</v>
      </c>
      <c r="D491" s="26" t="b">
        <f>IFERROR(__xludf.DUMMYFUNCTION("LET(
 id,A491,
 IF(
  F491=""CHARACTER"",
  LET(
   base,REGEXREPLACE(id,""@\d+$"",""""),
   required,VALUE(REGEXEXTRACT(id,""@(\d+)$"")),
   current,XLOOKUP(
    base,
    tblPlayer[PlayerStateID],
    tblPlayer[Value],
    0
   ),
   current&gt;=required
 "&amp;" ),
  IF(
   T491=""AUTO"",
   L491=0,
   COUNTIFS(
    tblChecklist[TargetID],id,
    tblChecklist[PlayerCompleted],TRUE
   )&gt;0
  )
 )
)"),FALSE)</f>
        <v>0</v>
      </c>
      <c r="E491" s="26" t="str">
        <f t="array" ref="E491">_xlfn.XLOOKUP(
 A491,
 tblTargets[TargetID],
 tblTargets[TargetType],
 ""
)</f>
        <v>STATE</v>
      </c>
      <c r="F491" s="26" t="str">
        <f t="array" ref="F491">_xlfn.XLOOKUP(
 A491,
 tblTargets[TargetID],
 tblTargets[StateType],
 ""
)</f>
        <v>OBTAIN</v>
      </c>
      <c r="G491" s="26">
        <f>LET(
 id,A491,
 depCount,COUNTIF(tblDependencies[TargetID],id),
 objCount,COUNTIF(tblQuestObjectives[QuestTargetID],id),
 depCount+objCount
)</f>
        <v>1</v>
      </c>
      <c r="H491" s="26">
        <f t="shared" si="2"/>
        <v>1</v>
      </c>
      <c r="I491" s="26">
        <f>IFERROR(__xludf.DUMMYFUNCTION("LET(
 id,A491,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1" s="26">
        <f t="shared" si="3"/>
        <v>0</v>
      </c>
      <c r="K491" s="26" t="b">
        <f t="shared" si="4"/>
        <v>0</v>
      </c>
      <c r="L491" s="26">
        <f t="shared" si="5"/>
        <v>1</v>
      </c>
      <c r="M491" s="26" t="str">
        <f>IFERROR(__xludf.DUMMYFUNCTION("LET(
 id,A491,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L491=0,
  """",
  IFERROR(INDEX(incomplete,1),"""")"&amp;"
 )
)"),"quest.quest_for_knowledge_chapter_5.accepted")</f>
        <v>quest.quest_for_knowledge_chapter_5.accepted</v>
      </c>
      <c r="N491" s="26" t="str">
        <f t="array" ref="N491">IF(
 M491="",
 "",
 _xlfn.XLOOKUP(
  M491,
  tblTargets[TargetID],
  tblTargets[DisplayName],
  M491
 )
)</f>
        <v>Quest for Knowledge Chapter 5 Accepted</v>
      </c>
      <c r="O491" s="26" t="str">
        <f>IFERROR(__xludf.DUMMYFUNCTION("SWITCH(
 E491,
 ""BUILDING"",XLOOKUP(A491,tblBuildings[BuildingID],tblBuildings[costtext],""""),
 ""TECH"",XLOOKUP(A491,tblTechnologies[TechnologyID],tblTechnologies[costtext],""""),
 ""QUEST"",XLOOKUP(
  REGEXREPLACE(A491,""\.[^.]+$"",""""),
  tblQuests["&amp;"QuestID],
  tblQuests[Costtext],
  """"
 ),
 ""CITADEL"",XLOOKUP(A491,tblCitadel[CitadelID],tblCitadel[costtext],""""),
 ""COLLECTION"",XLOOKUP(A491,tblCollections[CollectionID],tblCollections[costtext],""""),
 ""CRAFTIFACT"",XLOOKUP(A491,tblCraftifacts[C"&amp;"raftifactID],tblCraftifacts[costtext],""""),
 """"
)"),"")</f>
        <v/>
      </c>
      <c r="P491" s="26" t="str">
        <f t="shared" si="6"/>
        <v>BLOCKED</v>
      </c>
      <c r="Q491" s="26" t="str">
        <f t="shared" si="7"/>
        <v>BLOCKED</v>
      </c>
      <c r="R491" s="26" t="str">
        <f t="array" ref="R491">IFERROR(
 _xlfn.XLOOKUP(
  A491,
  tblChecklist[TargetID],
  tblChecklist[PlayerSort],
  ""
 ),
 ""
)</f>
        <v/>
      </c>
      <c r="S491" s="26" t="str">
        <f>IFERROR(__xludf.DUMMYFUNCTION("LET(
 id,A491,
 successorIDs,
  IFERROR(
   UNIQUE(
    FILTER(
     {
      Dependencies!$A$2:$A$1000;
      QuestObjectives!$A$2:$A$1000
     },
     {
      Dependencies!$B$2:$B$1000;
      QuestObjectives!$E$2:$E$1000
     }=id
    )
   ),
   """"
  )"&amp;",
 names,
  MAP(
   successorIDs,
   LAMBDA(s,
    IF(
     s="""",
     """",
     XLOOKUP(
      s,
      $A$2:$A$1000,
      $B$2:$B$1000,
      s
     )
    )
   )
  ),
 IF(
  successorIDs="""",
  """",
  TEXTJOIN("", "",TRUE,names)
 )
)"),"Quest for Knowledge Chapter 5 Finished")</f>
        <v>Quest for Knowledge Chapter 5 Finished</v>
      </c>
      <c r="T491" s="26" t="str">
        <f t="array" ref="T491">_xlfn.XLOOKUP(
 A491,
 tblTargets[TargetID],
 tblTargets[CompletionMethod],
 ""
)</f>
        <v>PLAYER</v>
      </c>
      <c r="U491" s="84" t="b">
        <f>COUNTIF(tblCost[TargetID],A491)&gt;0</f>
        <v>0</v>
      </c>
      <c r="V491" s="85" t="str">
        <f t="array" ref="V491">IF(
 U491=FALSE,
 "",
 _xlfn.XLOOKUP(
  A491,
  tblCost[TargetID],
  tblCost[FundingPercent],
  ""
 )
)</f>
        <v/>
      </c>
      <c r="W491" s="26" t="str">
        <f t="array" ref="W491">IF(
 U491=FALSE,
 "",
 _xlfn.XLOOKUP(
  A491,
  tblCost[TargetID],
  tblCost[RemainingRequirements],
  ""
 )
)</f>
        <v/>
      </c>
      <c r="X491" s="45" t="str">
        <f t="array" ref="X491">IF(
 U491=FALSE,
 "N/A",
 _xlfn.XLOOKUP(
  A492,
  tblCost[TargetID],
  tblCost[TargetFunded],
  FALSE
 )
)</f>
        <v>N/A</v>
      </c>
      <c r="Y491" s="26" t="str">
        <f>IFERROR(__xludf.DUMMYFUNCTION("IFERROR(
 TEXTJOIN(
  "", "",
  TRUE,
  FILTER(
   'cost checklist'!$E$2:$E1000&amp;"": ""&amp;'cost checklist'!$G$2:$G1000,
   'cost checklist'!$B$2:$B1000=A491,
   'cost checklist'!$J$2:$J1000=FALSE
  )
 ),
 """"
)"),"")</f>
        <v/>
      </c>
      <c r="Z491" s="26" t="b">
        <f>IFERROR(__xludf.DUMMYFUNCTION("IF(
 AND(
  E491=""QUEST"",
  RIGHT(A491,9)="".accepted"",
  D491=TRUE
 ),
 XLOOKUP(
  REGEXREPLACE(A491,""\.accepted$"","""")&amp;"".finished"",
  $A$2:$A1000,
  $D$2:$D1000,
  TRUE
 )=FALSE,
 FALSE
)"),FALSE)</f>
        <v>0</v>
      </c>
      <c r="AA491" s="26" t="str">
        <f>IFERROR(__xludf.DUMMYFUNCTION("LET(
 id,A491,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2" ht="14.25" customHeight="1">
      <c r="A492" s="26" t="s">
        <v>1641</v>
      </c>
      <c r="B492" s="26" t="str">
        <f t="array" ref="B492">_xlfn.XLOOKUP(
 A492,
 tblTargets[TargetID],
 tblTargets[DisplayName],
 ""
)</f>
        <v>Obtain Strawberry@F1 </v>
      </c>
      <c r="C492" s="26" t="str">
        <f t="shared" si="1"/>
        <v>BLOCKED</v>
      </c>
      <c r="D492" s="26" t="b">
        <f>IFERROR(__xludf.DUMMYFUNCTION("LET(
 id,A492,
 IF(
  F492=""CHARACTER"",
  LET(
   base,REGEXREPLACE(id,""@\d+$"",""""),
   required,VALUE(REGEXEXTRACT(id,""@(\d+)$"")),
   current,XLOOKUP(
    base,
    tblPlayer[PlayerStateID],
    tblPlayer[Value],
    0
   ),
   current&gt;=required
 "&amp;" ),
  IF(
   T492=""AUTO"",
   L492=0,
   COUNTIFS(
    tblChecklist[TargetID],id,
    tblChecklist[PlayerCompleted],TRUE
   )&gt;0
  )
 )
)"),FALSE)</f>
        <v>0</v>
      </c>
      <c r="E492" s="26" t="str">
        <f t="array" ref="E492">_xlfn.XLOOKUP(
 A492,
 tblTargets[TargetID],
 tblTargets[TargetType],
 ""
)</f>
        <v>STATE</v>
      </c>
      <c r="F492" s="26" t="str">
        <f t="array" ref="F492">_xlfn.XLOOKUP(
 A492,
 tblTargets[TargetID],
 tblTargets[StateType],
 ""
)</f>
        <v>OBTAIN</v>
      </c>
      <c r="G492" s="26">
        <f>LET(
 id,A492,
 depCount,COUNTIF(tblDependencies[TargetID],id),
 objCount,COUNTIF(tblQuestObjectives[QuestTargetID],id),
 depCount+objCount
)</f>
        <v>1</v>
      </c>
      <c r="H492" s="26">
        <f t="shared" si="2"/>
        <v>1</v>
      </c>
      <c r="I492" s="26">
        <f>IFERROR(__xludf.DUMMYFUNCTION("LET(
 id,A492,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2" s="26">
        <f t="shared" si="3"/>
        <v>0</v>
      </c>
      <c r="K492" s="26" t="b">
        <f t="shared" si="4"/>
        <v>0</v>
      </c>
      <c r="L492" s="26">
        <f t="shared" si="5"/>
        <v>1</v>
      </c>
      <c r="M492" s="26" t="str">
        <f>IFERROR(__xludf.DUMMYFUNCTION("LET(
 id,A492,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L492=0,
  """",
  IFERROR(INDEX(incomplete,1),"""")"&amp;"
 )
)"),"state.find_jade_gate_2c")</f>
        <v>state.find_jade_gate_2c</v>
      </c>
      <c r="N492" s="26" t="str">
        <f t="array" ref="N492">IF(
 M492="",
 "",
 _xlfn.XLOOKUP(
  M492,
  tblTargets[TargetID],
  tblTargets[DisplayName],
  M492
 )
)</f>
        <v>Find Jade Gate in 2C</v>
      </c>
      <c r="O492" s="26" t="str">
        <f>IFERROR(__xludf.DUMMYFUNCTION("SWITCH(
 E492,
 ""BUILDING"",XLOOKUP(A492,tblBuildings[BuildingID],tblBuildings[costtext],""""),
 ""TECH"",XLOOKUP(A492,tblTechnologies[TechnologyID],tblTechnologies[costtext],""""),
 ""QUEST"",XLOOKUP(
  REGEXREPLACE(A492,""\.[^.]+$"",""""),
  tblQuests["&amp;"QuestID],
  tblQuests[Costtext],
  """"
 ),
 ""CITADEL"",XLOOKUP(A492,tblCitadel[CitadelID],tblCitadel[costtext],""""),
 ""COLLECTION"",XLOOKUP(A492,tblCollections[CollectionID],tblCollections[costtext],""""),
 ""CRAFTIFACT"",XLOOKUP(A492,tblCraftifacts[C"&amp;"raftifactID],tblCraftifacts[costtext],""""),
 """"
)"),"")</f>
        <v/>
      </c>
      <c r="P492" s="26" t="str">
        <f t="shared" si="6"/>
        <v>BLOCKED</v>
      </c>
      <c r="Q492" s="26" t="str">
        <f t="shared" si="7"/>
        <v>BLOCKED</v>
      </c>
      <c r="R492" s="26" t="str">
        <f t="array" ref="R492">IFERROR(
 _xlfn.XLOOKUP(
  A492,
  tblChecklist[TargetID],
  tblChecklist[PlayerSort],
  ""
 ),
 ""
)</f>
        <v/>
      </c>
      <c r="S492" s="26" t="str">
        <f>IFERROR(__xludf.DUMMYFUNCTION("LET(
 id,A492,
 successorIDs,
  IFERROR(
   UNIQUE(
    FILTER(
     {
      Dependencies!$A$2:$A$1000;
      QuestObjectives!$A$2:$A$1000
     },
     {
      Dependencies!$B$2:$B$1000;
      QuestObjectives!$E$2:$E$1000
     }=id
    )
   ),
   """"
  )"&amp;",
 names,
  MAP(
   successorIDs,
   LAMBDA(s,
    IF(
     s="""",
     """",
     XLOOKUP(
      s,
      $A$2:$A$1000,
      $B$2:$B$1000,
      s
     )
    )
   )
  ),
 IF(
  successorIDs="""",
  """",
  TEXTJOIN("", "",TRUE,names)
 )
)"),"Food Stall - Jam")</f>
        <v>Food Stall - Jam</v>
      </c>
      <c r="T492" s="26" t="str">
        <f t="array" ref="T492">_xlfn.XLOOKUP(
 A492,
 tblTargets[TargetID],
 tblTargets[CompletionMethod],
 ""
)</f>
        <v>PLAYER</v>
      </c>
      <c r="U492" s="84" t="b">
        <f>COUNTIF(tblCost[TargetID],A492)&gt;0</f>
        <v>0</v>
      </c>
      <c r="V492" s="85" t="str">
        <f t="array" ref="V492">IF(
 U492=FALSE,
 "",
 _xlfn.XLOOKUP(
  A492,
  tblCost[TargetID],
  tblCost[FundingPercent],
  ""
 )
)</f>
        <v/>
      </c>
      <c r="W492" s="26" t="str">
        <f t="array" ref="W492">IF(
 U492=FALSE,
 "",
 _xlfn.XLOOKUP(
  A492,
  tblCost[TargetID],
  tblCost[RemainingRequirements],
  ""
 )
)</f>
        <v/>
      </c>
      <c r="X492" s="45" t="str">
        <f t="array" ref="X492">IF(
 U492=FALSE,
 "N/A",
 _xlfn.XLOOKUP(
  A493,
  tblCost[TargetID],
  tblCost[TargetFunded],
  FALSE
 )
)</f>
        <v>N/A</v>
      </c>
      <c r="Y492" s="26" t="str">
        <f>IFERROR(__xludf.DUMMYFUNCTION("IFERROR(
 TEXTJOIN(
  "", "",
  TRUE,
  FILTER(
   'cost checklist'!$E$2:$E1000&amp;"": ""&amp;'cost checklist'!$G$2:$G1000,
   'cost checklist'!$B$2:$B1000=A492,
   'cost checklist'!$J$2:$J1000=FALSE
  )
 ),
 """"
)"),"")</f>
        <v/>
      </c>
      <c r="Z492" s="26" t="b">
        <f>IFERROR(__xludf.DUMMYFUNCTION("IF(
 AND(
  E492=""QUEST"",
  RIGHT(A492,9)="".accepted"",
  D492=TRUE
 ),
 XLOOKUP(
  REGEXREPLACE(A492,""\.accepted$"","""")&amp;"".finished"",
  $A$2:$A1000,
  $D$2:$D1000,
  TRUE
 )=FALSE,
 FALSE
)"),FALSE)</f>
        <v>0</v>
      </c>
      <c r="AA492" s="26" t="str">
        <f>IFERROR(__xludf.DUMMYFUNCTION("LET(
 id,A492,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3" ht="14.25" customHeight="1">
      <c r="A493" s="26" t="s">
        <v>1644</v>
      </c>
      <c r="B493" s="26" t="str">
        <f t="array" ref="B493">_xlfn.XLOOKUP(
 A493,
 tblTargets[TargetID],
 tblTargets[DisplayName],
 ""
)</f>
        <v>Craft Sword for a Hero Lvl 4</v>
      </c>
      <c r="C493" s="26" t="str">
        <f t="shared" si="1"/>
        <v>BLOCKED</v>
      </c>
      <c r="D493" s="26" t="b">
        <f>IFERROR(__xludf.DUMMYFUNCTION("LET(
 id,A493,
 IF(
  F493=""CHARACTER"",
  LET(
   base,REGEXREPLACE(id,""@\d+$"",""""),
   required,VALUE(REGEXEXTRACT(id,""@(\d+)$"")),
   current,XLOOKUP(
    base,
    tblPlayer[PlayerStateID],
    tblPlayer[Value],
    0
   ),
   current&gt;=required
 "&amp;" ),
  IF(
   T493=""AUTO"",
   L493=0,
   COUNTIFS(
    tblChecklist[TargetID],id,
    tblChecklist[PlayerCompleted],TRUE
   )&gt;0
  )
 )
)"),FALSE)</f>
        <v>0</v>
      </c>
      <c r="E493" s="26" t="str">
        <f t="array" ref="E493">_xlfn.XLOOKUP(
 A493,
 tblTargets[TargetID],
 tblTargets[TargetType],
 ""
)</f>
        <v>STATE</v>
      </c>
      <c r="F493" s="26" t="str">
        <f t="array" ref="F493">_xlfn.XLOOKUP(
 A493,
 tblTargets[TargetID],
 tblTargets[StateType],
 ""
)</f>
        <v>OBTAIN</v>
      </c>
      <c r="G493" s="26">
        <f>LET(
 id,A493,
 depCount,COUNTIF(tblDependencies[TargetID],id),
 objCount,COUNTIF(tblQuestObjectives[QuestTargetID],id),
 depCount+objCount
)</f>
        <v>1</v>
      </c>
      <c r="H493" s="26">
        <f t="shared" si="2"/>
        <v>1</v>
      </c>
      <c r="I493" s="26">
        <f>IFERROR(__xludf.DUMMYFUNCTION("LET(
 id,A493,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3" s="26">
        <f t="shared" si="3"/>
        <v>0</v>
      </c>
      <c r="K493" s="26" t="b">
        <f t="shared" si="4"/>
        <v>0</v>
      </c>
      <c r="L493" s="26">
        <f t="shared" si="5"/>
        <v>1</v>
      </c>
      <c r="M493" s="26" t="str">
        <f>IFERROR(__xludf.DUMMYFUNCTION("LET(
 id,A493,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L493=0,
  """",
  IFERROR(INDEX(incomplete,1),"""")"&amp;"
 )
)"),"tech.smithy.sword_for_a_hero_lvl_4")</f>
        <v>tech.smithy.sword_for_a_hero_lvl_4</v>
      </c>
      <c r="N493" s="26" t="str">
        <f t="array" ref="N493">IF(
 M493="",
 "",
 _xlfn.XLOOKUP(
  M493,
  tblTargets[TargetID],
  tblTargets[DisplayName],
  M493
 )
)</f>
        <v>Smithy - Sword For A Hero Lvl 4</v>
      </c>
      <c r="O493" s="26" t="str">
        <f>IFERROR(__xludf.DUMMYFUNCTION("SWITCH(
 E493,
 ""BUILDING"",XLOOKUP(A493,tblBuildings[BuildingID],tblBuildings[costtext],""""),
 ""TECH"",XLOOKUP(A493,tblTechnologies[TechnologyID],tblTechnologies[costtext],""""),
 ""QUEST"",XLOOKUP(
  REGEXREPLACE(A493,""\.[^.]+$"",""""),
  tblQuests["&amp;"QuestID],
  tblQuests[Costtext],
  """"
 ),
 ""CITADEL"",XLOOKUP(A493,tblCitadel[CitadelID],tblCitadel[costtext],""""),
 ""COLLECTION"",XLOOKUP(A493,tblCollections[CollectionID],tblCollections[costtext],""""),
 ""CRAFTIFACT"",XLOOKUP(A493,tblCraftifacts[C"&amp;"raftifactID],tblCraftifacts[costtext],""""),
 """"
)"),"")</f>
        <v/>
      </c>
      <c r="P493" s="26" t="str">
        <f t="shared" si="6"/>
        <v>BLOCKED</v>
      </c>
      <c r="Q493" s="26" t="str">
        <f t="shared" si="7"/>
        <v>BLOCKED</v>
      </c>
      <c r="R493" s="26" t="str">
        <f t="array" ref="R493">IFERROR(
 _xlfn.XLOOKUP(
  A493,
  tblChecklist[TargetID],
  tblChecklist[PlayerSort],
  ""
 ),
 ""
)</f>
        <v/>
      </c>
      <c r="S493" s="26" t="str">
        <f>IFERROR(__xludf.DUMMYFUNCTION("LET(
 id,A493,
 successorIDs,
  IFERROR(
   UNIQUE(
    FILTER(
     {
      Dependencies!$A$2:$A$1000;
      QuestObjectives!$A$2:$A$1000
     },
     {
      Dependencies!$B$2:$B$1000;
      QuestObjectives!$E$2:$E$1000
     }=id
    )
   ),
   """"
  )"&amp;",
 names,
  MAP(
   successorIDs,
   LAMBDA(s,
    IF(
     s="""",
     """",
     XLOOKUP(
      s,
      $A$2:$A$1000,
      $B$2:$B$1000,
      s
     )
    )
   )
  ),
 IF(
  successorIDs="""",
  """",
  TEXTJOIN("", "",TRUE,names)
 )
)"),"Dragon teeth Finished")</f>
        <v>Dragon teeth Finished</v>
      </c>
      <c r="T493" s="26" t="str">
        <f t="array" ref="T493">_xlfn.XLOOKUP(
 A493,
 tblTargets[TargetID],
 tblTargets[CompletionMethod],
 ""
)</f>
        <v>PLAYER</v>
      </c>
      <c r="U493" s="84" t="b">
        <f>COUNTIF(tblCost[TargetID],A493)&gt;0</f>
        <v>0</v>
      </c>
      <c r="V493" s="85" t="str">
        <f t="array" ref="V493">IF(
 U493=FALSE,
 "",
 _xlfn.XLOOKUP(
  A493,
  tblCost[TargetID],
  tblCost[FundingPercent],
  ""
 )
)</f>
        <v/>
      </c>
      <c r="W493" s="26" t="str">
        <f t="array" ref="W493">IF(
 U493=FALSE,
 "",
 _xlfn.XLOOKUP(
  A493,
  tblCost[TargetID],
  tblCost[RemainingRequirements],
  ""
 )
)</f>
        <v/>
      </c>
      <c r="X493" s="45" t="str">
        <f t="array" ref="X493">IF(
 U493=FALSE,
 "N/A",
 _xlfn.XLOOKUP(
  A494,
  tblCost[TargetID],
  tblCost[TargetFunded],
  FALSE
 )
)</f>
        <v>N/A</v>
      </c>
      <c r="Y493" s="26" t="str">
        <f>IFERROR(__xludf.DUMMYFUNCTION("IFERROR(
 TEXTJOIN(
  "", "",
  TRUE,
  FILTER(
   'cost checklist'!$E$2:$E1000&amp;"": ""&amp;'cost checklist'!$G$2:$G1000,
   'cost checklist'!$B$2:$B1000=A493,
   'cost checklist'!$J$2:$J1000=FALSE
  )
 ),
 """"
)"),"")</f>
        <v/>
      </c>
      <c r="Z493" s="26" t="b">
        <f>IFERROR(__xludf.DUMMYFUNCTION("IF(
 AND(
  E493=""QUEST"",
  RIGHT(A493,9)="".accepted"",
  D493=TRUE
 ),
 XLOOKUP(
  REGEXREPLACE(A493,""\.accepted$"","""")&amp;"".finished"",
  $A$2:$A1000,
  $D$2:$D1000,
  TRUE
 )=FALSE,
 FALSE
)"),FALSE)</f>
        <v>0</v>
      </c>
      <c r="AA493" s="26" t="str">
        <f>IFERROR(__xludf.DUMMYFUNCTION("LET(
 id,A493,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4" ht="14.25" customHeight="1">
      <c r="A494" s="26" t="s">
        <v>1646</v>
      </c>
      <c r="B494" s="26" t="str">
        <f t="array" ref="B494">_xlfn.XLOOKUP(
 A494,
 tblTargets[TargetID],
 tblTargets[DisplayName],
 ""
)</f>
        <v>Craft sword 4+</v>
      </c>
      <c r="C494" s="26" t="str">
        <f t="shared" si="1"/>
        <v>BLOCKED</v>
      </c>
      <c r="D494" s="26" t="b">
        <f>IFERROR(__xludf.DUMMYFUNCTION("LET(
 id,A494,
 IF(
  F494=""CHARACTER"",
  LET(
   base,REGEXREPLACE(id,""@\d+$"",""""),
   required,VALUE(REGEXEXTRACT(id,""@(\d+)$"")),
   current,XLOOKUP(
    base,
    tblPlayer[PlayerStateID],
    tblPlayer[Value],
    0
   ),
   current&gt;=required
 "&amp;" ),
  IF(
   T494=""AUTO"",
   L494=0,
   COUNTIFS(
    tblChecklist[TargetID],id,
    tblChecklist[PlayerCompleted],TRUE
   )&gt;0
  )
 )
)"),FALSE)</f>
        <v>0</v>
      </c>
      <c r="E494" s="26" t="str">
        <f t="array" ref="E494">_xlfn.XLOOKUP(
 A494,
 tblTargets[TargetID],
 tblTargets[TargetType],
 ""
)</f>
        <v>STATE</v>
      </c>
      <c r="F494" s="26" t="str">
        <f t="array" ref="F494">_xlfn.XLOOKUP(
 A494,
 tblTargets[TargetID],
 tblTargets[StateType],
 ""
)</f>
        <v>OBTAIN</v>
      </c>
      <c r="G494" s="26">
        <f>LET(
 id,A494,
 depCount,COUNTIF(tblDependencies[TargetID],id),
 objCount,COUNTIF(tblQuestObjectives[QuestTargetID],id),
 depCount+objCount
)</f>
        <v>1</v>
      </c>
      <c r="H494" s="26">
        <f t="shared" si="2"/>
        <v>1</v>
      </c>
      <c r="I494" s="26">
        <f>IFERROR(__xludf.DUMMYFUNCTION("LET(
 id,A494,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4" s="26">
        <f t="shared" si="3"/>
        <v>0</v>
      </c>
      <c r="K494" s="26" t="b">
        <f t="shared" si="4"/>
        <v>0</v>
      </c>
      <c r="L494" s="26">
        <f t="shared" si="5"/>
        <v>1</v>
      </c>
      <c r="M494" s="26" t="str">
        <f>IFERROR(__xludf.DUMMYFUNCTION("LET(
 id,A494,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L494=0,
  """",
  IFERROR(INDEX(incomplete,1),"""")"&amp;"
 )
)"),"tech.smithy.sword_for_a_hero_lvl_4+")</f>
        <v>tech.smithy.sword_for_a_hero_lvl_4+</v>
      </c>
      <c r="N494" s="26" t="str">
        <f t="array" ref="N494">IF(
 M494="",
 "",
 _xlfn.XLOOKUP(
  M494,
  tblTargets[TargetID],
  tblTargets[DisplayName],
  M494
 )
)</f>
        <v>Smithy - Sword For A Hero Lvl 4+</v>
      </c>
      <c r="O494" s="26" t="str">
        <f>IFERROR(__xludf.DUMMYFUNCTION("SWITCH(
 E494,
 ""BUILDING"",XLOOKUP(A494,tblBuildings[BuildingID],tblBuildings[costtext],""""),
 ""TECH"",XLOOKUP(A494,tblTechnologies[TechnologyID],tblTechnologies[costtext],""""),
 ""QUEST"",XLOOKUP(
  REGEXREPLACE(A494,""\.[^.]+$"",""""),
  tblQuests["&amp;"QuestID],
  tblQuests[Costtext],
  """"
 ),
 ""CITADEL"",XLOOKUP(A494,tblCitadel[CitadelID],tblCitadel[costtext],""""),
 ""COLLECTION"",XLOOKUP(A494,tblCollections[CollectionID],tblCollections[costtext],""""),
 ""CRAFTIFACT"",XLOOKUP(A494,tblCraftifacts[C"&amp;"raftifactID],tblCraftifacts[costtext],""""),
 """"
)"),"")</f>
        <v/>
      </c>
      <c r="P494" s="26" t="str">
        <f t="shared" si="6"/>
        <v>BLOCKED</v>
      </c>
      <c r="Q494" s="26" t="str">
        <f t="shared" si="7"/>
        <v>BLOCKED</v>
      </c>
      <c r="R494" s="26" t="str">
        <f t="array" ref="R494">IFERROR(
 _xlfn.XLOOKUP(
  A494,
  tblChecklist[TargetID],
  tblChecklist[PlayerSort],
  ""
 ),
 ""
)</f>
        <v/>
      </c>
      <c r="S494" s="26" t="str">
        <f>IFERROR(__xludf.DUMMYFUNCTION("LET(
 id,A494,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4 Finished")</f>
        <v>The Ordinary Days of an Adventurer Chapter 4 Finished</v>
      </c>
      <c r="T494" s="26" t="str">
        <f t="array" ref="T494">_xlfn.XLOOKUP(
 A494,
 tblTargets[TargetID],
 tblTargets[CompletionMethod],
 ""
)</f>
        <v>PLAYER</v>
      </c>
      <c r="U494" s="84" t="b">
        <f>COUNTIF(tblCost[TargetID],A494)&gt;0</f>
        <v>0</v>
      </c>
      <c r="V494" s="85" t="str">
        <f t="array" ref="V494">IF(
 U494=FALSE,
 "",
 _xlfn.XLOOKUP(
  A494,
  tblCost[TargetID],
  tblCost[FundingPercent],
  ""
 )
)</f>
        <v/>
      </c>
      <c r="W494" s="26" t="str">
        <f t="array" ref="W494">IF(
 U494=FALSE,
 "",
 _xlfn.XLOOKUP(
  A494,
  tblCost[TargetID],
  tblCost[RemainingRequirements],
  ""
 )
)</f>
        <v/>
      </c>
      <c r="X494" s="45" t="str">
        <f t="array" ref="X494">IF(
 U494=FALSE,
 "N/A",
 _xlfn.XLOOKUP(
  A495,
  tblCost[TargetID],
  tblCost[TargetFunded],
  FALSE
 )
)</f>
        <v>N/A</v>
      </c>
      <c r="Y494" s="26" t="str">
        <f>IFERROR(__xludf.DUMMYFUNCTION("IFERROR(
 TEXTJOIN(
  "", "",
  TRUE,
  FILTER(
   'cost checklist'!$E$2:$E1000&amp;"": ""&amp;'cost checklist'!$G$2:$G1000,
   'cost checklist'!$B$2:$B1000=A494,
   'cost checklist'!$J$2:$J1000=FALSE
  )
 ),
 """"
)"),"")</f>
        <v/>
      </c>
      <c r="Z494" s="26" t="b">
        <f>IFERROR(__xludf.DUMMYFUNCTION("IF(
 AND(
  E494=""QUEST"",
  RIGHT(A494,9)="".accepted"",
  D494=TRUE
 ),
 XLOOKUP(
  REGEXREPLACE(A494,""\.accepted$"","""")&amp;"".finished"",
  $A$2:$A1000,
  $D$2:$D1000,
  TRUE
 )=FALSE,
 FALSE
)"),FALSE)</f>
        <v>0</v>
      </c>
      <c r="AA494" s="26" t="str">
        <f>IFERROR(__xludf.DUMMYFUNCTION("LET(
 id,A494,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5" ht="14.25" customHeight="1">
      <c r="A495" s="26" t="s">
        <v>1648</v>
      </c>
      <c r="B495" s="26" t="str">
        <f t="array" ref="B495">_xlfn.XLOOKUP(
 A495,
 tblTargets[TargetID],
 tblTargets[DisplayName],
 ""
)</f>
        <v>Obtain Titanium</v>
      </c>
      <c r="C495" s="26" t="str">
        <f t="shared" si="1"/>
        <v>BLOCKED</v>
      </c>
      <c r="D495" s="26" t="b">
        <f>IFERROR(__xludf.DUMMYFUNCTION("LET(
 id,A495,
 IF(
  F495=""CHARACTER"",
  LET(
   base,REGEXREPLACE(id,""@\d+$"",""""),
   required,VALUE(REGEXEXTRACT(id,""@(\d+)$"")),
   current,XLOOKUP(
    base,
    tblPlayer[PlayerStateID],
    tblPlayer[Value],
    0
   ),
   current&gt;=required
 "&amp;" ),
  IF(
   T495=""AUTO"",
   L495=0,
   COUNTIFS(
    tblChecklist[TargetID],id,
    tblChecklist[PlayerCompleted],TRUE
   )&gt;0
  )
 )
)"),FALSE)</f>
        <v>0</v>
      </c>
      <c r="E495" s="26" t="str">
        <f t="array" ref="E495">_xlfn.XLOOKUP(
 A495,
 tblTargets[TargetID],
 tblTargets[TargetType],
 ""
)</f>
        <v>STATE</v>
      </c>
      <c r="F495" s="26" t="str">
        <f t="array" ref="F495">_xlfn.XLOOKUP(
 A495,
 tblTargets[TargetID],
 tblTargets[StateType],
 ""
)</f>
        <v>OBTAIN</v>
      </c>
      <c r="G495" s="26">
        <f>LET(
 id,A495,
 depCount,COUNTIF(tblDependencies[TargetID],id),
 objCount,COUNTIF(tblQuestObjectives[QuestTargetID],id),
 depCount+objCount
)</f>
        <v>1</v>
      </c>
      <c r="H495" s="26">
        <f t="shared" si="2"/>
        <v>1</v>
      </c>
      <c r="I495" s="26">
        <f>IFERROR(__xludf.DUMMYFUNCTION("LET(
 id,A495,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5" s="26">
        <f t="shared" si="3"/>
        <v>0</v>
      </c>
      <c r="K495" s="26" t="b">
        <f t="shared" si="4"/>
        <v>0</v>
      </c>
      <c r="L495" s="26">
        <f t="shared" si="5"/>
        <v>1</v>
      </c>
      <c r="M495" s="26" t="str">
        <f>IFERROR(__xludf.DUMMYFUNCTION("LET(
 id,A495,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L495=0,
  """",
  IFERROR(INDEX(incomplete,1),"""")"&amp;"
 )
)"),"quest.once_upon_a_forest_chapter_9.accepted")</f>
        <v>quest.once_upon_a_forest_chapter_9.accepted</v>
      </c>
      <c r="N495" s="26" t="str">
        <f t="array" ref="N495">IF(
 M495="",
 "",
 _xlfn.XLOOKUP(
  M495,
  tblTargets[TargetID],
  tblTargets[DisplayName],
  M495
 )
)</f>
        <v>Once Upon a Forest Chapter 9 Accepted</v>
      </c>
      <c r="O495" s="26" t="str">
        <f>IFERROR(__xludf.DUMMYFUNCTION("SWITCH(
 E495,
 ""BUILDING"",XLOOKUP(A495,tblBuildings[BuildingID],tblBuildings[costtext],""""),
 ""TECH"",XLOOKUP(A495,tblTechnologies[TechnologyID],tblTechnologies[costtext],""""),
 ""QUEST"",XLOOKUP(
  REGEXREPLACE(A495,""\.[^.]+$"",""""),
  tblQuests["&amp;"QuestID],
  tblQuests[Costtext],
  """"
 ),
 ""CITADEL"",XLOOKUP(A495,tblCitadel[CitadelID],tblCitadel[costtext],""""),
 ""COLLECTION"",XLOOKUP(A495,tblCollections[CollectionID],tblCollections[costtext],""""),
 ""CRAFTIFACT"",XLOOKUP(A495,tblCraftifacts[C"&amp;"raftifactID],tblCraftifacts[costtext],""""),
 """"
)"),"")</f>
        <v/>
      </c>
      <c r="P495" s="26" t="str">
        <f t="shared" si="6"/>
        <v>BLOCKED</v>
      </c>
      <c r="Q495" s="26" t="str">
        <f t="shared" si="7"/>
        <v>BLOCKED</v>
      </c>
      <c r="R495" s="26" t="str">
        <f t="array" ref="R495">IFERROR(
 _xlfn.XLOOKUP(
  A495,
  tblChecklist[TargetID],
  tblChecklist[PlayerSort],
  ""
 ),
 ""
)</f>
        <v/>
      </c>
      <c r="S495" s="26" t="str">
        <f>IFERROR(__xludf.DUMMYFUNCTION("LET(
 id,A495,
 successorIDs,
  IFERROR(
   UNIQUE(
    FILTER(
     {
      Dependencies!$A$2:$A$1000;
      QuestObjectives!$A$2:$A$1000
     },
     {
      Dependencies!$B$2:$B$1000;
      QuestObjectives!$E$2:$E$1000
     }=id
    )
   ),
   """"
  )"&amp;",
 names,
  MAP(
   successorIDs,
   LAMBDA(s,
    IF(
     s="""",
     """",
     XLOOKUP(
      s,
      $A$2:$A$1000,
      $B$2:$B$1000,
      s
     )
    )
   )
  ),
 IF(
  successorIDs="""",
  """",
  TEXTJOIN("", "",TRUE,names)
 )
)"),"Once Upon a Forest Chapter 9 Finished")</f>
        <v>Once Upon a Forest Chapter 9 Finished</v>
      </c>
      <c r="T495" s="26" t="str">
        <f t="array" ref="T495">_xlfn.XLOOKUP(
 A495,
 tblTargets[TargetID],
 tblTargets[CompletionMethod],
 ""
)</f>
        <v>PLAYER</v>
      </c>
      <c r="U495" s="84" t="b">
        <f>COUNTIF(tblCost[TargetID],A495)&gt;0</f>
        <v>0</v>
      </c>
      <c r="V495" s="85" t="str">
        <f t="array" ref="V495">IF(
 U495=FALSE,
 "",
 _xlfn.XLOOKUP(
  A495,
  tblCost[TargetID],
  tblCost[FundingPercent],
  ""
 )
)</f>
        <v/>
      </c>
      <c r="W495" s="26" t="str">
        <f t="array" ref="W495">IF(
 U495=FALSE,
 "",
 _xlfn.XLOOKUP(
  A495,
  tblCost[TargetID],
  tblCost[RemainingRequirements],
  ""
 )
)</f>
        <v/>
      </c>
      <c r="X495" s="45" t="str">
        <f t="array" ref="X495">IF(
 U495=FALSE,
 "N/A",
 _xlfn.XLOOKUP(
  A496,
  tblCost[TargetID],
  tblCost[TargetFunded],
  FALSE
 )
)</f>
        <v>N/A</v>
      </c>
      <c r="Y495" s="26" t="str">
        <f>IFERROR(__xludf.DUMMYFUNCTION("IFERROR(
 TEXTJOIN(
  "", "",
  TRUE,
  FILTER(
   'cost checklist'!$E$2:$E1000&amp;"": ""&amp;'cost checklist'!$G$2:$G1000,
   'cost checklist'!$B$2:$B1000=A495,
   'cost checklist'!$J$2:$J1000=FALSE
  )
 ),
 """"
)"),"")</f>
        <v/>
      </c>
      <c r="Z495" s="26" t="b">
        <f>IFERROR(__xludf.DUMMYFUNCTION("IF(
 AND(
  E495=""QUEST"",
  RIGHT(A495,9)="".accepted"",
  D495=TRUE
 ),
 XLOOKUP(
  REGEXREPLACE(A495,""\.accepted$"","""")&amp;"".finished"",
  $A$2:$A1000,
  $D$2:$D1000,
  TRUE
 )=FALSE,
 FALSE
)"),FALSE)</f>
        <v>0</v>
      </c>
      <c r="AA495" s="26" t="str">
        <f>IFERROR(__xludf.DUMMYFUNCTION("LET(
 id,A495,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6" ht="14.25" customHeight="1">
      <c r="A496" s="26" t="s">
        <v>1650</v>
      </c>
      <c r="B496" s="26" t="str">
        <f t="array" ref="B496">_xlfn.XLOOKUP(
 A496,
 tblTargets[TargetID],
 tblTargets[DisplayName],
 ""
)</f>
        <v>Obtain Treasure</v>
      </c>
      <c r="C496" s="26" t="str">
        <f t="shared" si="1"/>
        <v>BLOCKED</v>
      </c>
      <c r="D496" s="26" t="b">
        <f>IFERROR(__xludf.DUMMYFUNCTION("LET(
 id,A496,
 IF(
  F496=""CHARACTER"",
  LET(
   base,REGEXREPLACE(id,""@\d+$"",""""),
   required,VALUE(REGEXEXTRACT(id,""@(\d+)$"")),
   current,XLOOKUP(
    base,
    tblPlayer[PlayerStateID],
    tblPlayer[Value],
    0
   ),
   current&gt;=required
 "&amp;" ),
  IF(
   T496=""AUTO"",
   L496=0,
   COUNTIFS(
    tblChecklist[TargetID],id,
    tblChecklist[PlayerCompleted],TRUE
   )&gt;0
  )
 )
)"),FALSE)</f>
        <v>0</v>
      </c>
      <c r="E496" s="26" t="str">
        <f t="array" ref="E496">_xlfn.XLOOKUP(
 A496,
 tblTargets[TargetID],
 tblTargets[TargetType],
 ""
)</f>
        <v>STATE</v>
      </c>
      <c r="F496" s="26" t="str">
        <f t="array" ref="F496">_xlfn.XLOOKUP(
 A496,
 tblTargets[TargetID],
 tblTargets[StateType],
 ""
)</f>
        <v>OBTAIN</v>
      </c>
      <c r="G496" s="26">
        <f>LET(
 id,A496,
 depCount,COUNTIF(tblDependencies[TargetID],id),
 objCount,COUNTIF(tblQuestObjectives[QuestTargetID],id),
 depCount+objCount
)</f>
        <v>1</v>
      </c>
      <c r="H496" s="26">
        <f t="shared" si="2"/>
        <v>1</v>
      </c>
      <c r="I496" s="26">
        <f>IFERROR(__xludf.DUMMYFUNCTION("LET(
 id,A496,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6" s="26">
        <f t="shared" si="3"/>
        <v>0</v>
      </c>
      <c r="K496" s="26" t="b">
        <f t="shared" si="4"/>
        <v>0</v>
      </c>
      <c r="L496" s="26">
        <f t="shared" si="5"/>
        <v>1</v>
      </c>
      <c r="M496" s="26" t="str">
        <f>IFERROR(__xludf.DUMMYFUNCTION("LET(
 id,A496,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L496=0,
  """",
  IFERROR(INDEX(incomplete,1),"""")"&amp;"
 )
)"),"quest.treasure_island.accepted")</f>
        <v>quest.treasure_island.accepted</v>
      </c>
      <c r="N496" s="26" t="str">
        <f t="array" ref="N496">IF(
 M496="",
 "",
 _xlfn.XLOOKUP(
  M496,
  tblTargets[TargetID],
  tblTargets[DisplayName],
  M496
 )
)</f>
        <v>Treasure Island Accepted</v>
      </c>
      <c r="O496" s="26" t="str">
        <f>IFERROR(__xludf.DUMMYFUNCTION("SWITCH(
 E496,
 ""BUILDING"",XLOOKUP(A496,tblBuildings[BuildingID],tblBuildings[costtext],""""),
 ""TECH"",XLOOKUP(A496,tblTechnologies[TechnologyID],tblTechnologies[costtext],""""),
 ""QUEST"",XLOOKUP(
  REGEXREPLACE(A496,""\.[^.]+$"",""""),
  tblQuests["&amp;"QuestID],
  tblQuests[Costtext],
  """"
 ),
 ""CITADEL"",XLOOKUP(A496,tblCitadel[CitadelID],tblCitadel[costtext],""""),
 ""COLLECTION"",XLOOKUP(A496,tblCollections[CollectionID],tblCollections[costtext],""""),
 ""CRAFTIFACT"",XLOOKUP(A496,tblCraftifacts[C"&amp;"raftifactID],tblCraftifacts[costtext],""""),
 """"
)"),"")</f>
        <v/>
      </c>
      <c r="P496" s="26" t="str">
        <f t="shared" si="6"/>
        <v>BLOCKED</v>
      </c>
      <c r="Q496" s="26" t="str">
        <f t="shared" si="7"/>
        <v>BLOCKED</v>
      </c>
      <c r="R496" s="26" t="str">
        <f t="array" ref="R496">IFERROR(
 _xlfn.XLOOKUP(
  A496,
  tblChecklist[TargetID],
  tblChecklist[PlayerSort],
  ""
 ),
 ""
)</f>
        <v/>
      </c>
      <c r="S496" s="26" t="str">
        <f>IFERROR(__xludf.DUMMYFUNCTION("LET(
 id,A496,
 successorIDs,
  IFERROR(
   UNIQUE(
    FILTER(
     {
      Dependencies!$A$2:$A$1000;
      QuestObjectives!$A$2:$A$1000
     },
     {
      Dependencies!$B$2:$B$1000;
      QuestObjectives!$E$2:$E$1000
     }=id
    )
   ),
   """"
  )"&amp;",
 names,
  MAP(
   successorIDs,
   LAMBDA(s,
    IF(
     s="""",
     """",
     XLOOKUP(
      s,
      $A$2:$A$1000,
      $B$2:$B$1000,
      s
     )
    )
   )
  ),
 IF(
  successorIDs="""",
  """",
  TEXTJOIN("", "",TRUE,names)
 )
)"),"Treasure Island Finished")</f>
        <v>Treasure Island Finished</v>
      </c>
      <c r="T496" s="26" t="str">
        <f t="array" ref="T496">_xlfn.XLOOKUP(
 A496,
 tblTargets[TargetID],
 tblTargets[CompletionMethod],
 ""
)</f>
        <v>PLAYER</v>
      </c>
      <c r="U496" s="84" t="b">
        <f>COUNTIF(tblCost[TargetID],A496)&gt;0</f>
        <v>0</v>
      </c>
      <c r="V496" s="85" t="str">
        <f t="array" ref="V496">IF(
 U496=FALSE,
 "",
 _xlfn.XLOOKUP(
  A496,
  tblCost[TargetID],
  tblCost[FundingPercent],
  ""
 )
)</f>
        <v/>
      </c>
      <c r="W496" s="26" t="str">
        <f t="array" ref="W496">IF(
 U496=FALSE,
 "",
 _xlfn.XLOOKUP(
  A496,
  tblCost[TargetID],
  tblCost[RemainingRequirements],
  ""
 )
)</f>
        <v/>
      </c>
      <c r="X496" s="45" t="str">
        <f t="array" ref="X496">IF(
 U496=FALSE,
 "N/A",
 _xlfn.XLOOKUP(
  A497,
  tblCost[TargetID],
  tblCost[TargetFunded],
  FALSE
 )
)</f>
        <v>N/A</v>
      </c>
      <c r="Y496" s="26" t="str">
        <f>IFERROR(__xludf.DUMMYFUNCTION("IFERROR(
 TEXTJOIN(
  "", "",
  TRUE,
  FILTER(
   'cost checklist'!$E$2:$E1000&amp;"": ""&amp;'cost checklist'!$G$2:$G1000,
   'cost checklist'!$B$2:$B1000=A496,
   'cost checklist'!$J$2:$J1000=FALSE
  )
 ),
 """"
)"),"")</f>
        <v/>
      </c>
      <c r="Z496" s="26" t="b">
        <f>IFERROR(__xludf.DUMMYFUNCTION("IF(
 AND(
  E496=""QUEST"",
  RIGHT(A496,9)="".accepted"",
  D496=TRUE
 ),
 XLOOKUP(
  REGEXREPLACE(A496,""\.accepted$"","""")&amp;"".finished"",
  $A$2:$A1000,
  $D$2:$D1000,
  TRUE
 )=FALSE,
 FALSE
)"),FALSE)</f>
        <v>0</v>
      </c>
      <c r="AA496" s="26" t="str">
        <f>IFERROR(__xludf.DUMMYFUNCTION("LET(
 id,A496,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7" ht="14.25" customHeight="1">
      <c r="A497" s="26" t="s">
        <v>1653</v>
      </c>
      <c r="B497" s="26" t="str">
        <f t="array" ref="B497">_xlfn.XLOOKUP(
 A497,
 tblTargets[TargetID],
 tblTargets[DisplayName],
 ""
)</f>
        <v>Visit Aomori</v>
      </c>
      <c r="C497" s="26" t="str">
        <f t="shared" si="1"/>
        <v>BLOCKED</v>
      </c>
      <c r="D497" s="26" t="b">
        <f>IFERROR(__xludf.DUMMYFUNCTION("LET(
 id,A497,
 IF(
  F497=""CHARACTER"",
  LET(
   base,REGEXREPLACE(id,""@\d+$"",""""),
   required,VALUE(REGEXEXTRACT(id,""@(\d+)$"")),
   current,XLOOKUP(
    base,
    tblPlayer[PlayerStateID],
    tblPlayer[Value],
    0
   ),
   current&gt;=required
 "&amp;" ),
  IF(
   T497=""AUTO"",
   L497=0,
   COUNTIFS(
    tblChecklist[TargetID],id,
    tblChecklist[PlayerCompleted],TRUE
   )&gt;0
  )
 )
)"),FALSE)</f>
        <v>0</v>
      </c>
      <c r="E497" s="26" t="str">
        <f t="array" ref="E497">_xlfn.XLOOKUP(
 A497,
 tblTargets[TargetID],
 tblTargets[TargetType],
 ""
)</f>
        <v>STATE</v>
      </c>
      <c r="F497" s="26" t="str">
        <f t="array" ref="F497">_xlfn.XLOOKUP(
 A497,
 tblTargets[TargetID],
 tblTargets[StateType],
 ""
)</f>
        <v>VISIT</v>
      </c>
      <c r="G497" s="26">
        <f>LET(
 id,A497,
 depCount,COUNTIF(tblDependencies[TargetID],id),
 objCount,COUNTIF(tblQuestObjectives[QuestTargetID],id),
 depCount+objCount
)</f>
        <v>2</v>
      </c>
      <c r="H497" s="26">
        <f t="shared" si="2"/>
        <v>2</v>
      </c>
      <c r="I497" s="26">
        <f>IFERROR(__xludf.DUMMYFUNCTION("LET(
 id,A497,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7" s="26">
        <f t="shared" si="3"/>
        <v>0</v>
      </c>
      <c r="K497" s="26" t="b">
        <f t="shared" si="4"/>
        <v>0</v>
      </c>
      <c r="L497" s="26">
        <f t="shared" si="5"/>
        <v>2</v>
      </c>
      <c r="M497" s="26" t="str">
        <f>IFERROR(__xludf.DUMMYFUNCTION("LET(
 id,A497,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L497=0,
  """",
  IFERROR(INDEX(incomplete,1),"""")"&amp;"
 )
)"),"quest.journey_through_japan_by_train.accepted")</f>
        <v>quest.journey_through_japan_by_train.accepted</v>
      </c>
      <c r="N497" s="26" t="str">
        <f t="array" ref="N497">IF(
 M497="",
 "",
 _xlfn.XLOOKUP(
  M497,
  tblTargets[TargetID],
  tblTargets[DisplayName],
  M497
 )
)</f>
        <v>Journey Through Japan By Train Accepted</v>
      </c>
      <c r="O497" s="26" t="str">
        <f>IFERROR(__xludf.DUMMYFUNCTION("SWITCH(
 E497,
 ""BUILDING"",XLOOKUP(A497,tblBuildings[BuildingID],tblBuildings[costtext],""""),
 ""TECH"",XLOOKUP(A497,tblTechnologies[TechnologyID],tblTechnologies[costtext],""""),
 ""QUEST"",XLOOKUP(
  REGEXREPLACE(A497,""\.[^.]+$"",""""),
  tblQuests["&amp;"QuestID],
  tblQuests[Costtext],
  """"
 ),
 ""CITADEL"",XLOOKUP(A497,tblCitadel[CitadelID],tblCitadel[costtext],""""),
 ""COLLECTION"",XLOOKUP(A497,tblCollections[CollectionID],tblCollections[costtext],""""),
 ""CRAFTIFACT"",XLOOKUP(A497,tblCraftifacts[C"&amp;"raftifactID],tblCraftifacts[costtext],""""),
 """"
)"),"")</f>
        <v/>
      </c>
      <c r="P497" s="26" t="str">
        <f t="shared" si="6"/>
        <v>BLOCKED</v>
      </c>
      <c r="Q497" s="26" t="str">
        <f t="shared" si="7"/>
        <v>BLOCKED</v>
      </c>
      <c r="R497" s="26" t="str">
        <f t="array" ref="R497">IFERROR(
 _xlfn.XLOOKUP(
  A497,
  tblChecklist[TargetID],
  tblChecklist[PlayerSort],
  ""
 ),
 ""
)</f>
        <v/>
      </c>
      <c r="S497" s="26" t="str">
        <f>IFERROR(__xludf.DUMMYFUNCTION("LET(
 id,A497,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f>
        <v>Journey Through Japan By Train Finished</v>
      </c>
      <c r="T497" s="26" t="str">
        <f t="array" ref="T497">_xlfn.XLOOKUP(
 A497,
 tblTargets[TargetID],
 tblTargets[CompletionMethod],
 ""
)</f>
        <v>PLAYER</v>
      </c>
      <c r="U497" s="84" t="b">
        <f>COUNTIF(tblCost[TargetID],A497)&gt;0</f>
        <v>0</v>
      </c>
      <c r="V497" s="85" t="str">
        <f t="array" ref="V497">IF(
 U497=FALSE,
 "",
 _xlfn.XLOOKUP(
  A497,
  tblCost[TargetID],
  tblCost[FundingPercent],
  ""
 )
)</f>
        <v/>
      </c>
      <c r="W497" s="26" t="str">
        <f t="array" ref="W497">IF(
 U497=FALSE,
 "",
 _xlfn.XLOOKUP(
  A497,
  tblCost[TargetID],
  tblCost[RemainingRequirements],
  ""
 )
)</f>
        <v/>
      </c>
      <c r="X497" s="45" t="str">
        <f t="array" ref="X497">IF(
 U497=FALSE,
 "N/A",
 _xlfn.XLOOKUP(
  A498,
  tblCost[TargetID],
  tblCost[TargetFunded],
  FALSE
 )
)</f>
        <v>N/A</v>
      </c>
      <c r="Y497" s="26" t="str">
        <f>IFERROR(__xludf.DUMMYFUNCTION("IFERROR(
 TEXTJOIN(
  "", "",
  TRUE,
  FILTER(
   'cost checklist'!$E$2:$E1000&amp;"": ""&amp;'cost checklist'!$G$2:$G1000,
   'cost checklist'!$B$2:$B1000=A497,
   'cost checklist'!$J$2:$J1000=FALSE
  )
 ),
 """"
)"),"")</f>
        <v/>
      </c>
      <c r="Z497" s="26" t="b">
        <f>IFERROR(__xludf.DUMMYFUNCTION("IF(
 AND(
  E497=""QUEST"",
  RIGHT(A497,9)="".accepted"",
  D497=TRUE
 ),
 XLOOKUP(
  REGEXREPLACE(A497,""\.accepted$"","""")&amp;"".finished"",
  $A$2:$A1000,
  $D$2:$D1000,
  TRUE
 )=FALSE,
 FALSE
)"),FALSE)</f>
        <v>0</v>
      </c>
      <c r="AA497" s="26" t="str">
        <f>IFERROR(__xludf.DUMMYFUNCTION("LET(
 id,A497,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8" ht="14.25" customHeight="1">
      <c r="A498" s="26" t="s">
        <v>1655</v>
      </c>
      <c r="B498" s="26" t="str">
        <f t="array" ref="B498">_xlfn.XLOOKUP(
 A498,
 tblTargets[TargetID],
 tblTargets[DisplayName],
 ""
)</f>
        <v>Visit Athens</v>
      </c>
      <c r="C498" s="26" t="str">
        <f t="shared" si="1"/>
        <v>BLOCKED</v>
      </c>
      <c r="D498" s="26" t="b">
        <f>IFERROR(__xludf.DUMMYFUNCTION("LET(
 id,A498,
 IF(
  F498=""CHARACTER"",
  LET(
   base,REGEXREPLACE(id,""@\d+$"",""""),
   required,VALUE(REGEXEXTRACT(id,""@(\d+)$"")),
   current,XLOOKUP(
    base,
    tblPlayer[PlayerStateID],
    tblPlayer[Value],
    0
   ),
   current&gt;=required
 "&amp;" ),
  IF(
   T498=""AUTO"",
   L498=0,
   COUNTIFS(
    tblChecklist[TargetID],id,
    tblChecklist[PlayerCompleted],TRUE
   )&gt;0
  )
 )
)"),FALSE)</f>
        <v>0</v>
      </c>
      <c r="E498" s="26" t="str">
        <f t="array" ref="E498">_xlfn.XLOOKUP(
 A498,
 tblTargets[TargetID],
 tblTargets[TargetType],
 ""
)</f>
        <v>STATE</v>
      </c>
      <c r="F498" s="26" t="str">
        <f t="array" ref="F498">_xlfn.XLOOKUP(
 A498,
 tblTargets[TargetID],
 tblTargets[StateType],
 ""
)</f>
        <v>VISIT</v>
      </c>
      <c r="G498" s="26">
        <f>LET(
 id,A498,
 depCount,COUNTIF(tblDependencies[TargetID],id),
 objCount,COUNTIF(tblQuestObjectives[QuestTargetID],id),
 depCount+objCount
)</f>
        <v>1</v>
      </c>
      <c r="H498" s="26">
        <f t="shared" si="2"/>
        <v>1</v>
      </c>
      <c r="I498" s="26">
        <f>IFERROR(__xludf.DUMMYFUNCTION("LET(
 id,A498,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8" s="26">
        <f t="shared" si="3"/>
        <v>0</v>
      </c>
      <c r="K498" s="26" t="b">
        <f t="shared" si="4"/>
        <v>0</v>
      </c>
      <c r="L498" s="26">
        <f t="shared" si="5"/>
        <v>1</v>
      </c>
      <c r="M498" s="26" t="str">
        <f>IFERROR(__xludf.DUMMYFUNCTION("LET(
 id,A498,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L498=0,
  """",
  IFERROR(INDEX(incomplete,1),"""")"&amp;"
 )
)"),"quest.silk_road.accepted")</f>
        <v>quest.silk_road.accepted</v>
      </c>
      <c r="N498" s="26" t="str">
        <f t="array" ref="N498">IF(
 M498="",
 "",
 _xlfn.XLOOKUP(
  M498,
  tblTargets[TargetID],
  tblTargets[DisplayName],
  M498
 )
)</f>
        <v>Silk Road Accepted</v>
      </c>
      <c r="O498" s="26" t="str">
        <f>IFERROR(__xludf.DUMMYFUNCTION("SWITCH(
 E498,
 ""BUILDING"",XLOOKUP(A498,tblBuildings[BuildingID],tblBuildings[costtext],""""),
 ""TECH"",XLOOKUP(A498,tblTechnologies[TechnologyID],tblTechnologies[costtext],""""),
 ""QUEST"",XLOOKUP(
  REGEXREPLACE(A498,""\.[^.]+$"",""""),
  tblQuests["&amp;"QuestID],
  tblQuests[Costtext],
  """"
 ),
 ""CITADEL"",XLOOKUP(A498,tblCitadel[CitadelID],tblCitadel[costtext],""""),
 ""COLLECTION"",XLOOKUP(A498,tblCollections[CollectionID],tblCollections[costtext],""""),
 ""CRAFTIFACT"",XLOOKUP(A498,tblCraftifacts[C"&amp;"raftifactID],tblCraftifacts[costtext],""""),
 """"
)"),"")</f>
        <v/>
      </c>
      <c r="P498" s="26" t="str">
        <f t="shared" si="6"/>
        <v>BLOCKED</v>
      </c>
      <c r="Q498" s="26" t="str">
        <f t="shared" si="7"/>
        <v>BLOCKED</v>
      </c>
      <c r="R498" s="26" t="str">
        <f t="array" ref="R498">IFERROR(
 _xlfn.XLOOKUP(
  A498,
  tblChecklist[TargetID],
  tblChecklist[PlayerSort],
  ""
 ),
 ""
)</f>
        <v/>
      </c>
      <c r="S498" s="26" t="str">
        <f>IFERROR(__xludf.DUMMYFUNCTION("LET(
 id,A498,
 successorIDs,
  IFERROR(
   UNIQUE(
    FILTER(
     {
      Dependencies!$A$2:$A$1000;
      QuestObjectives!$A$2:$A$1000
     },
     {
      Dependencies!$B$2:$B$1000;
      QuestObjectives!$E$2:$E$1000
     }=id
    )
   ),
   """"
  )"&amp;",
 names,
  MAP(
   successorIDs,
   LAMBDA(s,
    IF(
     s="""",
     """",
     XLOOKUP(
      s,
      $A$2:$A$1000,
      $B$2:$B$1000,
      s
     )
    )
   )
  ),
 IF(
  successorIDs="""",
  """",
  TEXTJOIN("", "",TRUE,names)
 )
)"),"Silk Road Finished")</f>
        <v>Silk Road Finished</v>
      </c>
      <c r="T498" s="26" t="str">
        <f t="array" ref="T498">_xlfn.XLOOKUP(
 A498,
 tblTargets[TargetID],
 tblTargets[CompletionMethod],
 ""
)</f>
        <v>PLAYER</v>
      </c>
      <c r="U498" s="84" t="b">
        <f>COUNTIF(tblCost[TargetID],A498)&gt;0</f>
        <v>0</v>
      </c>
      <c r="V498" s="85" t="str">
        <f t="array" ref="V498">IF(
 U498=FALSE,
 "",
 _xlfn.XLOOKUP(
  A498,
  tblCost[TargetID],
  tblCost[FundingPercent],
  ""
 )
)</f>
        <v/>
      </c>
      <c r="W498" s="26" t="str">
        <f t="array" ref="W498">IF(
 U498=FALSE,
 "",
 _xlfn.XLOOKUP(
  A498,
  tblCost[TargetID],
  tblCost[RemainingRequirements],
  ""
 )
)</f>
        <v/>
      </c>
      <c r="X498" s="45" t="str">
        <f t="array" ref="X498">IF(
 U498=FALSE,
 "N/A",
 _xlfn.XLOOKUP(
  A499,
  tblCost[TargetID],
  tblCost[TargetFunded],
  FALSE
 )
)</f>
        <v>N/A</v>
      </c>
      <c r="Y498" s="26" t="str">
        <f>IFERROR(__xludf.DUMMYFUNCTION("IFERROR(
 TEXTJOIN(
  "", "",
  TRUE,
  FILTER(
   'cost checklist'!$E$2:$E1000&amp;"": ""&amp;'cost checklist'!$G$2:$G1000,
   'cost checklist'!$B$2:$B1000=A498,
   'cost checklist'!$J$2:$J1000=FALSE
  )
 ),
 """"
)"),"")</f>
        <v/>
      </c>
      <c r="Z498" s="26" t="b">
        <f>IFERROR(__xludf.DUMMYFUNCTION("IF(
 AND(
  E498=""QUEST"",
  RIGHT(A498,9)="".accepted"",
  D498=TRUE
 ),
 XLOOKUP(
  REGEXREPLACE(A498,""\.accepted$"","""")&amp;"".finished"",
  $A$2:$A1000,
  $D$2:$D1000,
  TRUE
 )=FALSE,
 FALSE
)"),FALSE)</f>
        <v>0</v>
      </c>
      <c r="AA498" s="26" t="str">
        <f>IFERROR(__xludf.DUMMYFUNCTION("LET(
 id,A498,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499" ht="14.25" customHeight="1">
      <c r="A499" s="26" t="s">
        <v>1657</v>
      </c>
      <c r="B499" s="26" t="str">
        <f t="array" ref="B499">_xlfn.XLOOKUP(
 A499,
 tblTargets[TargetID],
 tblTargets[DisplayName],
 ""
)</f>
        <v>Visit Baghdad</v>
      </c>
      <c r="C499" s="26" t="str">
        <f t="shared" si="1"/>
        <v>BLOCKED</v>
      </c>
      <c r="D499" s="26" t="b">
        <f>IFERROR(__xludf.DUMMYFUNCTION("LET(
 id,A499,
 IF(
  F499=""CHARACTER"",
  LET(
   base,REGEXREPLACE(id,""@\d+$"",""""),
   required,VALUE(REGEXEXTRACT(id,""@(\d+)$"")),
   current,XLOOKUP(
    base,
    tblPlayer[PlayerStateID],
    tblPlayer[Value],
    0
   ),
   current&gt;=required
 "&amp;" ),
  IF(
   T499=""AUTO"",
   L499=0,
   COUNTIFS(
    tblChecklist[TargetID],id,
    tblChecklist[PlayerCompleted],TRUE
   )&gt;0
  )
 )
)"),FALSE)</f>
        <v>0</v>
      </c>
      <c r="E499" s="26" t="str">
        <f t="array" ref="E499">_xlfn.XLOOKUP(
 A499,
 tblTargets[TargetID],
 tblTargets[TargetType],
 ""
)</f>
        <v>STATE</v>
      </c>
      <c r="F499" s="26" t="str">
        <f t="array" ref="F499">_xlfn.XLOOKUP(
 A499,
 tblTargets[TargetID],
 tblTargets[StateType],
 ""
)</f>
        <v>VISIT</v>
      </c>
      <c r="G499" s="26">
        <f>LET(
 id,A499,
 depCount,COUNTIF(tblDependencies[TargetID],id),
 objCount,COUNTIF(tblQuestObjectives[QuestTargetID],id),
 depCount+objCount
)</f>
        <v>1</v>
      </c>
      <c r="H499" s="26">
        <f t="shared" si="2"/>
        <v>1</v>
      </c>
      <c r="I499" s="26">
        <f>IFERROR(__xludf.DUMMYFUNCTION("LET(
 id,A499,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499" s="26">
        <f t="shared" si="3"/>
        <v>0</v>
      </c>
      <c r="K499" s="26" t="b">
        <f t="shared" si="4"/>
        <v>0</v>
      </c>
      <c r="L499" s="26">
        <f t="shared" si="5"/>
        <v>1</v>
      </c>
      <c r="M499" s="26" t="str">
        <f>IFERROR(__xludf.DUMMYFUNCTION("LET(
 id,A499,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L499=0,
  """",
  IFERROR(INDEX(incomplete,1),"""")"&amp;"
 )
)"),"quest.silk_road.accepted")</f>
        <v>quest.silk_road.accepted</v>
      </c>
      <c r="N499" s="26" t="str">
        <f t="array" ref="N499">IF(
 M499="",
 "",
 _xlfn.XLOOKUP(
  M499,
  tblTargets[TargetID],
  tblTargets[DisplayName],
  M499
 )
)</f>
        <v>Silk Road Accepted</v>
      </c>
      <c r="O499" s="26" t="str">
        <f>IFERROR(__xludf.DUMMYFUNCTION("SWITCH(
 E499,
 ""BUILDING"",XLOOKUP(A499,tblBuildings[BuildingID],tblBuildings[costtext],""""),
 ""TECH"",XLOOKUP(A499,tblTechnologies[TechnologyID],tblTechnologies[costtext],""""),
 ""QUEST"",XLOOKUP(
  REGEXREPLACE(A499,""\.[^.]+$"",""""),
  tblQuests["&amp;"QuestID],
  tblQuests[Costtext],
  """"
 ),
 ""CITADEL"",XLOOKUP(A499,tblCitadel[CitadelID],tblCitadel[costtext],""""),
 ""COLLECTION"",XLOOKUP(A499,tblCollections[CollectionID],tblCollections[costtext],""""),
 ""CRAFTIFACT"",XLOOKUP(A499,tblCraftifacts[C"&amp;"raftifactID],tblCraftifacts[costtext],""""),
 """"
)"),"")</f>
        <v/>
      </c>
      <c r="P499" s="26" t="str">
        <f t="shared" si="6"/>
        <v>BLOCKED</v>
      </c>
      <c r="Q499" s="26" t="str">
        <f t="shared" si="7"/>
        <v>BLOCKED</v>
      </c>
      <c r="R499" s="26" t="str">
        <f t="array" ref="R499">IFERROR(
 _xlfn.XLOOKUP(
  A499,
  tblChecklist[TargetID],
  tblChecklist[PlayerSort],
  ""
 ),
 ""
)</f>
        <v/>
      </c>
      <c r="S499" s="26" t="str">
        <f>IFERROR(__xludf.DUMMYFUNCTION("LET(
 id,A499,
 successorIDs,
  IFERROR(
   UNIQUE(
    FILTER(
     {
      Dependencies!$A$2:$A$1000;
      QuestObjectives!$A$2:$A$1000
     },
     {
      Dependencies!$B$2:$B$1000;
      QuestObjectives!$E$2:$E$1000
     }=id
    )
   ),
   """"
  )"&amp;",
 names,
  MAP(
   successorIDs,
   LAMBDA(s,
    IF(
     s="""",
     """",
     XLOOKUP(
      s,
      $A$2:$A$1000,
      $B$2:$B$1000,
      s
     )
    )
   )
  ),
 IF(
  successorIDs="""",
  """",
  TEXTJOIN("", "",TRUE,names)
 )
)"),"Silk Road Finished")</f>
        <v>Silk Road Finished</v>
      </c>
      <c r="T499" s="26" t="str">
        <f t="array" ref="T499">_xlfn.XLOOKUP(
 A499,
 tblTargets[TargetID],
 tblTargets[CompletionMethod],
 ""
)</f>
        <v>PLAYER</v>
      </c>
      <c r="U499" s="84" t="b">
        <f>COUNTIF(tblCost[TargetID],A499)&gt;0</f>
        <v>0</v>
      </c>
      <c r="V499" s="85" t="str">
        <f t="array" ref="V499">IF(
 U499=FALSE,
 "",
 _xlfn.XLOOKUP(
  A499,
  tblCost[TargetID],
  tblCost[FundingPercent],
  ""
 )
)</f>
        <v/>
      </c>
      <c r="W499" s="26" t="str">
        <f t="array" ref="W499">IF(
 U499=FALSE,
 "",
 _xlfn.XLOOKUP(
  A499,
  tblCost[TargetID],
  tblCost[RemainingRequirements],
  ""
 )
)</f>
        <v/>
      </c>
      <c r="X499" s="45" t="str">
        <f t="array" ref="X499">IF(
 U499=FALSE,
 "N/A",
 _xlfn.XLOOKUP(
  A500,
  tblCost[TargetID],
  tblCost[TargetFunded],
  FALSE
 )
)</f>
        <v>N/A</v>
      </c>
      <c r="Y499" s="26" t="str">
        <f>IFERROR(__xludf.DUMMYFUNCTION("IFERROR(
 TEXTJOIN(
  "", "",
  TRUE,
  FILTER(
   'cost checklist'!$E$2:$E1000&amp;"": ""&amp;'cost checklist'!$G$2:$G1000,
   'cost checklist'!$B$2:$B1000=A499,
   'cost checklist'!$J$2:$J1000=FALSE
  )
 ),
 """"
)"),"")</f>
        <v/>
      </c>
      <c r="Z499" s="26" t="b">
        <f>IFERROR(__xludf.DUMMYFUNCTION("IF(
 AND(
  E499=""QUEST"",
  RIGHT(A499,9)="".accepted"",
  D499=TRUE
 ),
 XLOOKUP(
  REGEXREPLACE(A499,""\.accepted$"","""")&amp;"".finished"",
  $A$2:$A1000,
  $D$2:$D1000,
  TRUE
 )=FALSE,
 FALSE
)"),FALSE)</f>
        <v>0</v>
      </c>
      <c r="AA499" s="26" t="str">
        <f>IFERROR(__xludf.DUMMYFUNCTION("LET(
 id,A499,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00" ht="14.25" customHeight="1">
      <c r="A500" s="26" t="s">
        <v>1660</v>
      </c>
      <c r="B500" s="26" t="str">
        <f t="array" ref="B500">_xlfn.XLOOKUP(
 A500,
 tblTargets[TargetID],
 tblTargets[DisplayName],
 ""
)</f>
        <v>Visit Beijing</v>
      </c>
      <c r="C500" s="26" t="str">
        <f t="shared" si="1"/>
        <v>BLOCKED</v>
      </c>
      <c r="D500" s="26" t="b">
        <f>IFERROR(__xludf.DUMMYFUNCTION("LET(
 id,A500,
 IF(
  F500=""CHARACTER"",
  LET(
   base,REGEXREPLACE(id,""@\d+$"",""""),
   required,VALUE(REGEXEXTRACT(id,""@(\d+)$"")),
   current,XLOOKUP(
    base,
    tblPlayer[PlayerStateID],
    tblPlayer[Value],
    0
   ),
   current&gt;=required
 "&amp;" ),
  IF(
   T500=""AUTO"",
   L500=0,
   COUNTIFS(
    tblChecklist[TargetID],id,
    tblChecklist[PlayerCompleted],TRUE
   )&gt;0
  )
 )
)"),FALSE)</f>
        <v>0</v>
      </c>
      <c r="E500" s="26" t="str">
        <f t="array" ref="E500">_xlfn.XLOOKUP(
 A500,
 tblTargets[TargetID],
 tblTargets[TargetType],
 ""
)</f>
        <v>STATE</v>
      </c>
      <c r="F500" s="26" t="str">
        <f t="array" ref="F500">_xlfn.XLOOKUP(
 A500,
 tblTargets[TargetID],
 tblTargets[StateType],
 ""
)</f>
        <v>VISIT</v>
      </c>
      <c r="G500" s="26">
        <f>LET(
 id,A500,
 depCount,COUNTIF(tblDependencies[TargetID],id),
 objCount,COUNTIF(tblQuestObjectives[QuestTargetID],id),
 depCount+objCount
)</f>
        <v>1</v>
      </c>
      <c r="H500" s="26">
        <f t="shared" si="2"/>
        <v>1</v>
      </c>
      <c r="I500" s="26">
        <f>IFERROR(__xludf.DUMMYFUNCTION("LET(
 id,A500,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0" s="26">
        <f t="shared" si="3"/>
        <v>0</v>
      </c>
      <c r="K500" s="26" t="b">
        <f t="shared" si="4"/>
        <v>0</v>
      </c>
      <c r="L500" s="26">
        <f t="shared" si="5"/>
        <v>1</v>
      </c>
      <c r="M500" s="26" t="str">
        <f>IFERROR(__xludf.DUMMYFUNCTION("LET(
 id,A500,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L500=0,
  """",
  IFERROR(INDEX(incomplete,1),"""")"&amp;"
 )
)"),"quest.silk_road.accepted")</f>
        <v>quest.silk_road.accepted</v>
      </c>
      <c r="N500" s="26" t="str">
        <f t="array" ref="N500">IF(
 M500="",
 "",
 _xlfn.XLOOKUP(
  M500,
  tblTargets[TargetID],
  tblTargets[DisplayName],
  M500
 )
)</f>
        <v>Silk Road Accepted</v>
      </c>
      <c r="O500" s="26" t="str">
        <f>IFERROR(__xludf.DUMMYFUNCTION("SWITCH(
 E500,
 ""BUILDING"",XLOOKUP(A500,tblBuildings[BuildingID],tblBuildings[costtext],""""),
 ""TECH"",XLOOKUP(A500,tblTechnologies[TechnologyID],tblTechnologies[costtext],""""),
 ""QUEST"",XLOOKUP(
  REGEXREPLACE(A500,""\.[^.]+$"",""""),
  tblQuests["&amp;"QuestID],
  tblQuests[Costtext],
  """"
 ),
 ""CITADEL"",XLOOKUP(A500,tblCitadel[CitadelID],tblCitadel[costtext],""""),
 ""COLLECTION"",XLOOKUP(A500,tblCollections[CollectionID],tblCollections[costtext],""""),
 ""CRAFTIFACT"",XLOOKUP(A500,tblCraftifacts[C"&amp;"raftifactID],tblCraftifacts[costtext],""""),
 """"
)"),"")</f>
        <v/>
      </c>
      <c r="P500" s="26" t="str">
        <f t="shared" si="6"/>
        <v>BLOCKED</v>
      </c>
      <c r="Q500" s="26" t="str">
        <f t="shared" si="7"/>
        <v>BLOCKED</v>
      </c>
      <c r="R500" s="26" t="str">
        <f t="array" ref="R500">IFERROR(
 _xlfn.XLOOKUP(
  A500,
  tblChecklist[TargetID],
  tblChecklist[PlayerSort],
  ""
 ),
 ""
)</f>
        <v/>
      </c>
      <c r="S500" s="26" t="str">
        <f>IFERROR(__xludf.DUMMYFUNCTION("LET(
 id,A500,
 successorIDs,
  IFERROR(
   UNIQUE(
    FILTER(
     {
      Dependencies!$A$2:$A$1000;
      QuestObjectives!$A$2:$A$1000
     },
     {
      Dependencies!$B$2:$B$1000;
      QuestObjectives!$E$2:$E$1000
     }=id
    )
   ),
   """"
  )"&amp;",
 names,
  MAP(
   successorIDs,
   LAMBDA(s,
    IF(
     s="""",
     """",
     XLOOKUP(
      s,
      $A$2:$A$1000,
      $B$2:$B$1000,
      s
     )
    )
   )
  ),
 IF(
  successorIDs="""",
  """",
  TEXTJOIN("", "",TRUE,names)
 )
)"),"Silk Road Finished")</f>
        <v>Silk Road Finished</v>
      </c>
      <c r="T500" s="26" t="str">
        <f t="array" ref="T500">_xlfn.XLOOKUP(
 A500,
 tblTargets[TargetID],
 tblTargets[CompletionMethod],
 ""
)</f>
        <v>PLAYER</v>
      </c>
      <c r="U500" s="84" t="b">
        <f>COUNTIF(tblCost[TargetID],A500)&gt;0</f>
        <v>0</v>
      </c>
      <c r="V500" s="85" t="str">
        <f t="array" ref="V500">IF(
 U500=FALSE,
 "",
 _xlfn.XLOOKUP(
  A500,
  tblCost[TargetID],
  tblCost[FundingPercent],
  ""
 )
)</f>
        <v/>
      </c>
      <c r="W500" s="26" t="str">
        <f t="array" ref="W500">IF(
 U500=FALSE,
 "",
 _xlfn.XLOOKUP(
  A500,
  tblCost[TargetID],
  tblCost[RemainingRequirements],
  ""
 )
)</f>
        <v/>
      </c>
      <c r="X500" s="45" t="str">
        <f t="array" ref="X500">IF(
 U500=FALSE,
 "N/A",
 _xlfn.XLOOKUP(
  A501,
  tblCost[TargetID],
  tblCost[TargetFunded],
  FALSE
 )
)</f>
        <v>N/A</v>
      </c>
      <c r="Y500" s="26" t="str">
        <f>IFERROR(__xludf.DUMMYFUNCTION("IFERROR(
 TEXTJOIN(
  "", "",
  TRUE,
  FILTER(
   'cost checklist'!$E$2:$E1000&amp;"": ""&amp;'cost checklist'!$G$2:$G1000,
   'cost checklist'!$B$2:$B1000=A500,
   'cost checklist'!$J$2:$J1000=FALSE
  )
 ),
 """"
)"),"")</f>
        <v/>
      </c>
      <c r="Z500" s="26" t="b">
        <f>IFERROR(__xludf.DUMMYFUNCTION("IF(
 AND(
  E500=""QUEST"",
  RIGHT(A500,9)="".accepted"",
  D500=TRUE
 ),
 XLOOKUP(
  REGEXREPLACE(A500,""\.accepted$"","""")&amp;"".finished"",
  $A$2:$A1000,
  $D$2:$D1000,
  TRUE
 )=FALSE,
 FALSE
)"),FALSE)</f>
        <v>0</v>
      </c>
      <c r="AA500" s="26" t="str">
        <f>IFERROR(__xludf.DUMMYFUNCTION("LET(
 id,A500,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01" ht="14.25" customHeight="1">
      <c r="A501" s="26" t="s">
        <v>1662</v>
      </c>
      <c r="B501" s="26" t="str">
        <f t="array" ref="B501">_xlfn.XLOOKUP(
 A501,
 tblTargets[TargetID],
 tblTargets[DisplayName],
 ""
)</f>
        <v>Visit Cairo</v>
      </c>
      <c r="C501" s="26" t="str">
        <f t="shared" si="1"/>
        <v>BLOCKED</v>
      </c>
      <c r="D501" s="26" t="b">
        <f>IFERROR(__xludf.DUMMYFUNCTION("LET(
 id,A501,
 IF(
  F501=""CHARACTER"",
  LET(
   base,REGEXREPLACE(id,""@\d+$"",""""),
   required,VALUE(REGEXEXTRACT(id,""@(\d+)$"")),
   current,XLOOKUP(
    base,
    tblPlayer[PlayerStateID],
    tblPlayer[Value],
    0
   ),
   current&gt;=required
 "&amp;" ),
  IF(
   T501=""AUTO"",
   L501=0,
   COUNTIFS(
    tblChecklist[TargetID],id,
    tblChecklist[PlayerCompleted],TRUE
   )&gt;0
  )
 )
)"),FALSE)</f>
        <v>0</v>
      </c>
      <c r="E501" s="26" t="str">
        <f t="array" ref="E501">_xlfn.XLOOKUP(
 A501,
 tblTargets[TargetID],
 tblTargets[TargetType],
 ""
)</f>
        <v>STATE</v>
      </c>
      <c r="F501" s="26" t="str">
        <f t="array" ref="F501">_xlfn.XLOOKUP(
 A501,
 tblTargets[TargetID],
 tblTargets[StateType],
 ""
)</f>
        <v>VISIT</v>
      </c>
      <c r="G501" s="26">
        <f>LET(
 id,A501,
 depCount,COUNTIF(tblDependencies[TargetID],id),
 objCount,COUNTIF(tblQuestObjectives[QuestTargetID],id),
 depCount+objCount
)</f>
        <v>1</v>
      </c>
      <c r="H501" s="26">
        <f t="shared" si="2"/>
        <v>1</v>
      </c>
      <c r="I501" s="26">
        <f>IFERROR(__xludf.DUMMYFUNCTION("LET(
 id,A501,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1" s="26">
        <f t="shared" si="3"/>
        <v>0</v>
      </c>
      <c r="K501" s="26" t="b">
        <f t="shared" si="4"/>
        <v>0</v>
      </c>
      <c r="L501" s="26">
        <f t="shared" si="5"/>
        <v>1</v>
      </c>
      <c r="M501" s="26" t="str">
        <f>IFERROR(__xludf.DUMMYFUNCTION("LET(
 id,A501,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L501=0,
  """",
  IFERROR(INDEX(incomplete,1),"""")"&amp;"
 )
)"),"quest.silk_road.accepted")</f>
        <v>quest.silk_road.accepted</v>
      </c>
      <c r="N501" s="26" t="str">
        <f t="array" ref="N501">IF(
 M501="",
 "",
 _xlfn.XLOOKUP(
  M501,
  tblTargets[TargetID],
  tblTargets[DisplayName],
  M501
 )
)</f>
        <v>Silk Road Accepted</v>
      </c>
      <c r="O501" s="26" t="str">
        <f>IFERROR(__xludf.DUMMYFUNCTION("SWITCH(
 E501,
 ""BUILDING"",XLOOKUP(A501,tblBuildings[BuildingID],tblBuildings[costtext],""""),
 ""TECH"",XLOOKUP(A501,tblTechnologies[TechnologyID],tblTechnologies[costtext],""""),
 ""QUEST"",XLOOKUP(
  REGEXREPLACE(A501,""\.[^.]+$"",""""),
  tblQuests["&amp;"QuestID],
  tblQuests[Costtext],
  """"
 ),
 ""CITADEL"",XLOOKUP(A501,tblCitadel[CitadelID],tblCitadel[costtext],""""),
 ""COLLECTION"",XLOOKUP(A501,tblCollections[CollectionID],tblCollections[costtext],""""),
 ""CRAFTIFACT"",XLOOKUP(A501,tblCraftifacts[C"&amp;"raftifactID],tblCraftifacts[costtext],""""),
 """"
)"),"")</f>
        <v/>
      </c>
      <c r="P501" s="26" t="str">
        <f t="shared" si="6"/>
        <v>BLOCKED</v>
      </c>
      <c r="Q501" s="26" t="str">
        <f t="shared" si="7"/>
        <v>BLOCKED</v>
      </c>
      <c r="R501" s="26" t="str">
        <f t="array" ref="R501">IFERROR(
 _xlfn.XLOOKUP(
  A501,
  tblChecklist[TargetID],
  tblChecklist[PlayerSort],
  ""
 ),
 ""
)</f>
        <v/>
      </c>
      <c r="S501" s="26" t="str">
        <f>IFERROR(__xludf.DUMMYFUNCTION("LET(
 id,A501,
 successorIDs,
  IFERROR(
   UNIQUE(
    FILTER(
     {
      Dependencies!$A$2:$A$1000;
      QuestObjectives!$A$2:$A$1000
     },
     {
      Dependencies!$B$2:$B$1000;
      QuestObjectives!$E$2:$E$1000
     }=id
    )
   ),
   """"
  )"&amp;",
 names,
  MAP(
   successorIDs,
   LAMBDA(s,
    IF(
     s="""",
     """",
     XLOOKUP(
      s,
      $A$2:$A$1000,
      $B$2:$B$1000,
      s
     )
    )
   )
  ),
 IF(
  successorIDs="""",
  """",
  TEXTJOIN("", "",TRUE,names)
 )
)"),"Silk Road Finished")</f>
        <v>Silk Road Finished</v>
      </c>
      <c r="T501" s="26" t="str">
        <f t="array" ref="T501">_xlfn.XLOOKUP(
 A501,
 tblTargets[TargetID],
 tblTargets[CompletionMethod],
 ""
)</f>
        <v>PLAYER</v>
      </c>
      <c r="U501" s="84" t="b">
        <f>COUNTIF(tblCost[TargetID],A501)&gt;0</f>
        <v>0</v>
      </c>
      <c r="V501" s="85" t="str">
        <f t="array" ref="V501">IF(
 U501=FALSE,
 "",
 _xlfn.XLOOKUP(
  A501,
  tblCost[TargetID],
  tblCost[FundingPercent],
  ""
 )
)</f>
        <v/>
      </c>
      <c r="W501" s="26" t="str">
        <f t="array" ref="W501">IF(
 U501=FALSE,
 "",
 _xlfn.XLOOKUP(
  A501,
  tblCost[TargetID],
  tblCost[RemainingRequirements],
  ""
 )
)</f>
        <v/>
      </c>
      <c r="X501" s="45" t="str">
        <f t="array" ref="X501">IF(
 U501=FALSE,
 "N/A",
 _xlfn.XLOOKUP(
  A502,
  tblCost[TargetID],
  tblCost[TargetFunded],
  FALSE
 )
)</f>
        <v>N/A</v>
      </c>
      <c r="Y501" s="26" t="str">
        <f>IFERROR(__xludf.DUMMYFUNCTION("IFERROR(
 TEXTJOIN(
  "", "",
  TRUE,
  FILTER(
   'cost checklist'!$E$2:$E1000&amp;"": ""&amp;'cost checklist'!$G$2:$G1000,
   'cost checklist'!$B$2:$B1000=A501,
   'cost checklist'!$J$2:$J1000=FALSE
  )
 ),
 """"
)"),"")</f>
        <v/>
      </c>
      <c r="Z501" s="26" t="b">
        <f>IFERROR(__xludf.DUMMYFUNCTION("IF(
 AND(
  E501=""QUEST"",
  RIGHT(A501,9)="".accepted"",
  D501=TRUE
 ),
 XLOOKUP(
  REGEXREPLACE(A501,""\.accepted$"","""")&amp;"".finished"",
  $A$2:$A1000,
  $D$2:$D1000,
  TRUE
 )=FALSE,
 FALSE
)"),FALSE)</f>
        <v>0</v>
      </c>
      <c r="AA501" s="26" t="str">
        <f>IFERROR(__xludf.DUMMYFUNCTION("LET(
 id,A501,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02" ht="14.25" customHeight="1">
      <c r="A502" s="26" t="s">
        <v>1665</v>
      </c>
      <c r="B502" s="26" t="str">
        <f t="array" ref="B502">_xlfn.XLOOKUP(
 A502,
 tblTargets[TargetID],
 tblTargets[DisplayName],
 ""
)</f>
        <v>Visit Delhi</v>
      </c>
      <c r="C502" s="26" t="str">
        <f t="shared" si="1"/>
        <v>BLOCKED</v>
      </c>
      <c r="D502" s="26" t="b">
        <f>IFERROR(__xludf.DUMMYFUNCTION("LET(
 id,A502,
 IF(
  F502=""CHARACTER"",
  LET(
   base,REGEXREPLACE(id,""@\d+$"",""""),
   required,VALUE(REGEXEXTRACT(id,""@(\d+)$"")),
   current,XLOOKUP(
    base,
    tblPlayer[PlayerStateID],
    tblPlayer[Value],
    0
   ),
   current&gt;=required
 "&amp;" ),
  IF(
   T502=""AUTO"",
   L502=0,
   COUNTIFS(
    tblChecklist[TargetID],id,
    tblChecklist[PlayerCompleted],TRUE
   )&gt;0
  )
 )
)"),FALSE)</f>
        <v>0</v>
      </c>
      <c r="E502" s="26" t="str">
        <f t="array" ref="E502">_xlfn.XLOOKUP(
 A502,
 tblTargets[TargetID],
 tblTargets[TargetType],
 ""
)</f>
        <v>STATE</v>
      </c>
      <c r="F502" s="26" t="str">
        <f t="array" ref="F502">_xlfn.XLOOKUP(
 A502,
 tblTargets[TargetID],
 tblTargets[StateType],
 ""
)</f>
        <v>VISIT</v>
      </c>
      <c r="G502" s="26">
        <f>LET(
 id,A502,
 depCount,COUNTIF(tblDependencies[TargetID],id),
 objCount,COUNTIF(tblQuestObjectives[QuestTargetID],id),
 depCount+objCount
)</f>
        <v>1</v>
      </c>
      <c r="H502" s="26">
        <f t="shared" si="2"/>
        <v>1</v>
      </c>
      <c r="I502" s="26">
        <f>IFERROR(__xludf.DUMMYFUNCTION("LET(
 id,A502,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2" s="26">
        <f t="shared" si="3"/>
        <v>0</v>
      </c>
      <c r="K502" s="26" t="b">
        <f t="shared" si="4"/>
        <v>0</v>
      </c>
      <c r="L502" s="26">
        <f t="shared" si="5"/>
        <v>1</v>
      </c>
      <c r="M502" s="26" t="str">
        <f>IFERROR(__xludf.DUMMYFUNCTION("LET(
 id,A502,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L502=0,
  """",
  IFERROR(INDEX(incomplete,1),"""")"&amp;"
 )
)"),"quest.silk_road.accepted")</f>
        <v>quest.silk_road.accepted</v>
      </c>
      <c r="N502" s="26" t="str">
        <f t="array" ref="N502">IF(
 M502="",
 "",
 _xlfn.XLOOKUP(
  M502,
  tblTargets[TargetID],
  tblTargets[DisplayName],
  M502
 )
)</f>
        <v>Silk Road Accepted</v>
      </c>
      <c r="O502" s="26" t="str">
        <f>IFERROR(__xludf.DUMMYFUNCTION("SWITCH(
 E502,
 ""BUILDING"",XLOOKUP(A502,tblBuildings[BuildingID],tblBuildings[costtext],""""),
 ""TECH"",XLOOKUP(A502,tblTechnologies[TechnologyID],tblTechnologies[costtext],""""),
 ""QUEST"",XLOOKUP(
  REGEXREPLACE(A502,""\.[^.]+$"",""""),
  tblQuests["&amp;"QuestID],
  tblQuests[Costtext],
  """"
 ),
 ""CITADEL"",XLOOKUP(A502,tblCitadel[CitadelID],tblCitadel[costtext],""""),
 ""COLLECTION"",XLOOKUP(A502,tblCollections[CollectionID],tblCollections[costtext],""""),
 ""CRAFTIFACT"",XLOOKUP(A502,tblCraftifacts[C"&amp;"raftifactID],tblCraftifacts[costtext],""""),
 """"
)"),"")</f>
        <v/>
      </c>
      <c r="P502" s="26" t="str">
        <f t="shared" si="6"/>
        <v>BLOCKED</v>
      </c>
      <c r="Q502" s="26" t="str">
        <f t="shared" si="7"/>
        <v>BLOCKED</v>
      </c>
      <c r="R502" s="26" t="str">
        <f t="array" ref="R502">IFERROR(
 _xlfn.XLOOKUP(
  A502,
  tblChecklist[TargetID],
  tblChecklist[PlayerSort],
  ""
 ),
 ""
)</f>
        <v/>
      </c>
      <c r="S502" s="26" t="str">
        <f>IFERROR(__xludf.DUMMYFUNCTION("LET(
 id,A502,
 successorIDs,
  IFERROR(
   UNIQUE(
    FILTER(
     {
      Dependencies!$A$2:$A$1000;
      QuestObjectives!$A$2:$A$1000
     },
     {
      Dependencies!$B$2:$B$1000;
      QuestObjectives!$E$2:$E$1000
     }=id
    )
   ),
   """"
  )"&amp;",
 names,
  MAP(
   successorIDs,
   LAMBDA(s,
    IF(
     s="""",
     """",
     XLOOKUP(
      s,
      $A$2:$A$1000,
      $B$2:$B$1000,
      s
     )
    )
   )
  ),
 IF(
  successorIDs="""",
  """",
  TEXTJOIN("", "",TRUE,names)
 )
)"),"Silk Road Finished")</f>
        <v>Silk Road Finished</v>
      </c>
      <c r="T502" s="26" t="str">
        <f t="array" ref="T502">_xlfn.XLOOKUP(
 A502,
 tblTargets[TargetID],
 tblTargets[CompletionMethod],
 ""
)</f>
        <v>PLAYER</v>
      </c>
      <c r="U502" s="84" t="b">
        <f>COUNTIF(tblCost[TargetID],A502)&gt;0</f>
        <v>0</v>
      </c>
      <c r="V502" s="85" t="str">
        <f t="array" ref="V502">IF(
 U502=FALSE,
 "",
 _xlfn.XLOOKUP(
  A502,
  tblCost[TargetID],
  tblCost[FundingPercent],
  ""
 )
)</f>
        <v/>
      </c>
      <c r="W502" s="26" t="str">
        <f t="array" ref="W502">IF(
 U502=FALSE,
 "",
 _xlfn.XLOOKUP(
  A502,
  tblCost[TargetID],
  tblCost[RemainingRequirements],
  ""
 )
)</f>
        <v/>
      </c>
      <c r="X502" s="45" t="str">
        <f t="array" ref="X502">IF(
 U502=FALSE,
 "N/A",
 _xlfn.XLOOKUP(
  A503,
  tblCost[TargetID],
  tblCost[TargetFunded],
  FALSE
 )
)</f>
        <v>N/A</v>
      </c>
      <c r="Y502" s="26" t="str">
        <f>IFERROR(__xludf.DUMMYFUNCTION("IFERROR(
 TEXTJOIN(
  "", "",
  TRUE,
  FILTER(
   'cost checklist'!$E$2:$E1000&amp;"": ""&amp;'cost checklist'!$G$2:$G1000,
   'cost checklist'!$B$2:$B1000=A502,
   'cost checklist'!$J$2:$J1000=FALSE
  )
 ),
 """"
)"),"")</f>
        <v/>
      </c>
      <c r="Z502" s="26" t="b">
        <f>IFERROR(__xludf.DUMMYFUNCTION("IF(
 AND(
  E502=""QUEST"",
  RIGHT(A502,9)="".accepted"",
  D502=TRUE
 ),
 XLOOKUP(
  REGEXREPLACE(A502,""\.accepted$"","""")&amp;"".finished"",
  $A$2:$A1000,
  $D$2:$D1000,
  TRUE
 )=FALSE,
 FALSE
)"),FALSE)</f>
        <v>0</v>
      </c>
      <c r="AA502" s="26" t="str">
        <f>IFERROR(__xludf.DUMMYFUNCTION("LET(
 id,A502,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03" ht="14.25" customHeight="1">
      <c r="A503" s="26" t="s">
        <v>1667</v>
      </c>
      <c r="B503" s="26" t="str">
        <f t="array" ref="B503">_xlfn.XLOOKUP(
 A503,
 tblTargets[TargetID],
 tblTargets[DisplayName],
 ""
)</f>
        <v>Visit Dungeon@4A</v>
      </c>
      <c r="C503" s="26" t="str">
        <f t="shared" si="1"/>
        <v>BLOCKED</v>
      </c>
      <c r="D503" s="26" t="b">
        <f>IFERROR(__xludf.DUMMYFUNCTION("LET(
 id,A503,
 IF(
  F503=""CHARACTER"",
  LET(
   base,REGEXREPLACE(id,""@\d+$"",""""),
   required,VALUE(REGEXEXTRACT(id,""@(\d+)$"")),
   current,XLOOKUP(
    base,
    tblPlayer[PlayerStateID],
    tblPlayer[Value],
    0
   ),
   current&gt;=required
 "&amp;" ),
  IF(
   T503=""AUTO"",
   L503=0,
   COUNTIFS(
    tblChecklist[TargetID],id,
    tblChecklist[PlayerCompleted],TRUE
   )&gt;0
  )
 )
)"),FALSE)</f>
        <v>0</v>
      </c>
      <c r="E503" s="26" t="str">
        <f t="array" ref="E503">_xlfn.XLOOKUP(
 A503,
 tblTargets[TargetID],
 tblTargets[TargetType],
 ""
)</f>
        <v>STATE</v>
      </c>
      <c r="F503" s="26" t="str">
        <f t="array" ref="F503">_xlfn.XLOOKUP(
 A503,
 tblTargets[TargetID],
 tblTargets[StateType],
 ""
)</f>
        <v>VISIT</v>
      </c>
      <c r="G503" s="26">
        <f>LET(
 id,A503,
 depCount,COUNTIF(tblDependencies[TargetID],id),
 objCount,COUNTIF(tblQuestObjectives[QuestTargetID],id),
 depCount+objCount
)</f>
        <v>1</v>
      </c>
      <c r="H503" s="26">
        <f t="shared" si="2"/>
        <v>1</v>
      </c>
      <c r="I503" s="26">
        <f>IFERROR(__xludf.DUMMYFUNCTION("LET(
 id,A503,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3" s="26">
        <f t="shared" si="3"/>
        <v>0</v>
      </c>
      <c r="K503" s="26" t="b">
        <f t="shared" si="4"/>
        <v>0</v>
      </c>
      <c r="L503" s="26">
        <f t="shared" si="5"/>
        <v>1</v>
      </c>
      <c r="M503" s="26" t="str">
        <f>IFERROR(__xludf.DUMMYFUNCTION("LET(
 id,A503,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L503=0,
  """",
  IFERROR(INDEX(incomplete,1),"""")"&amp;"
 )
)"),"quest.the_ring_of_the_dark_lady.finished")</f>
        <v>quest.the_ring_of_the_dark_lady.finished</v>
      </c>
      <c r="N503" s="26" t="str">
        <f t="array" ref="N503">IF(
 M503="",
 "",
 _xlfn.XLOOKUP(
  M503,
  tblTargets[TargetID],
  tblTargets[DisplayName],
  M503
 )
)</f>
        <v>The Ring of the Dark Lady Finished</v>
      </c>
      <c r="O503" s="26" t="str">
        <f>IFERROR(__xludf.DUMMYFUNCTION("SWITCH(
 E503,
 ""BUILDING"",XLOOKUP(A503,tblBuildings[BuildingID],tblBuildings[costtext],""""),
 ""TECH"",XLOOKUP(A503,tblTechnologies[TechnologyID],tblTechnologies[costtext],""""),
 ""QUEST"",XLOOKUP(
  REGEXREPLACE(A503,""\.[^.]+$"",""""),
  tblQuests["&amp;"QuestID],
  tblQuests[Costtext],
  """"
 ),
 ""CITADEL"",XLOOKUP(A503,tblCitadel[CitadelID],tblCitadel[costtext],""""),
 ""COLLECTION"",XLOOKUP(A503,tblCollections[CollectionID],tblCollections[costtext],""""),
 ""CRAFTIFACT"",XLOOKUP(A503,tblCraftifacts[C"&amp;"raftifactID],tblCraftifacts[costtext],""""),
 """"
)"),"")</f>
        <v/>
      </c>
      <c r="P503" s="26" t="str">
        <f t="shared" si="6"/>
        <v>BLOCKED</v>
      </c>
      <c r="Q503" s="26" t="str">
        <f t="shared" si="7"/>
        <v>BLOCKED</v>
      </c>
      <c r="R503" s="26" t="str">
        <f t="array" ref="R503">IFERROR(
 _xlfn.XLOOKUP(
  A503,
  tblChecklist[TargetID],
  tblChecklist[PlayerSort],
  ""
 ),
 ""
)</f>
        <v/>
      </c>
      <c r="S503" s="26" t="str">
        <f>IFERROR(__xludf.DUMMYFUNCTION("LET(
 id,A503,
 successorIDs,
  IFERROR(
   UNIQUE(
    FILTER(
     {
      Dependencies!$A$2:$A$1000;
      QuestObjectives!$A$2:$A$1000
     },
     {
      Dependencies!$B$2:$B$1000;
      QuestObjectives!$E$2:$E$1000
     }=id
    )
   ),
   """"
  )"&amp;",
 names,
  MAP(
   successorIDs,
   LAMBDA(s,
    IF(
     s="""",
     """",
     XLOOKUP(
      s,
      $A$2:$A$1000,
      $B$2:$B$1000,
      s
     )
    )
   )
  ),
 IF(
  successorIDs="""",
  """",
  TEXTJOIN("", "",TRUE,names)
 )
)"),"Magic Beans Accepted")</f>
        <v>Magic Beans Accepted</v>
      </c>
      <c r="T503" s="26" t="str">
        <f t="array" ref="T503">_xlfn.XLOOKUP(
 A503,
 tblTargets[TargetID],
 tblTargets[CompletionMethod],
 ""
)</f>
        <v>PLAYER</v>
      </c>
      <c r="U503" s="84" t="b">
        <f>COUNTIF(tblCost[TargetID],A503)&gt;0</f>
        <v>0</v>
      </c>
      <c r="V503" s="85" t="str">
        <f t="array" ref="V503">IF(
 U503=FALSE,
 "",
 _xlfn.XLOOKUP(
  A503,
  tblCost[TargetID],
  tblCost[FundingPercent],
  ""
 )
)</f>
        <v/>
      </c>
      <c r="W503" s="26" t="str">
        <f t="array" ref="W503">IF(
 U503=FALSE,
 "",
 _xlfn.XLOOKUP(
  A503,
  tblCost[TargetID],
  tblCost[RemainingRequirements],
  ""
 )
)</f>
        <v/>
      </c>
      <c r="X503" s="45" t="str">
        <f t="array" ref="X503">IF(
 U503=FALSE,
 "N/A",
 _xlfn.XLOOKUP(
  A504,
  tblCost[TargetID],
  tblCost[TargetFunded],
  FALSE
 )
)</f>
        <v>N/A</v>
      </c>
      <c r="Y503" s="26" t="str">
        <f>IFERROR(__xludf.DUMMYFUNCTION("IFERROR(
 TEXTJOIN(
  "", "",
  TRUE,
  FILTER(
   'cost checklist'!$E$2:$E1000&amp;"": ""&amp;'cost checklist'!$G$2:$G1000,
   'cost checklist'!$B$2:$B1000=A503,
   'cost checklist'!$J$2:$J1000=FALSE
  )
 ),
 """"
)"),"")</f>
        <v/>
      </c>
      <c r="Z503" s="26" t="b">
        <f>IFERROR(__xludf.DUMMYFUNCTION("IF(
 AND(
  E503=""QUEST"",
  RIGHT(A503,9)="".accepted"",
  D503=TRUE
 ),
 XLOOKUP(
  REGEXREPLACE(A503,""\.accepted$"","""")&amp;"".finished"",
  $A$2:$A1000,
  $D$2:$D1000,
  TRUE
 )=FALSE,
 FALSE
)"),FALSE)</f>
        <v>0</v>
      </c>
      <c r="AA503" s="26" t="str">
        <f>IFERROR(__xludf.DUMMYFUNCTION("LET(
 id,A503,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)"),"Magic Beans")</f>
        <v>Magic Beans</v>
      </c>
    </row>
    <row r="504" ht="14.25" customHeight="1">
      <c r="A504" s="26" t="s">
        <v>1669</v>
      </c>
      <c r="B504" s="26" t="str">
        <f t="array" ref="B504">_xlfn.XLOOKUP(
 A504,
 tblTargets[TargetID],
 tblTargets[DisplayName],
 ""
)</f>
        <v>Visit Dungeon@5A </v>
      </c>
      <c r="C504" s="26" t="str">
        <f t="shared" si="1"/>
        <v>BLOCKED</v>
      </c>
      <c r="D504" s="26" t="b">
        <f>IFERROR(__xludf.DUMMYFUNCTION("LET(
 id,A504,
 IF(
  F504=""CHARACTER"",
  LET(
   base,REGEXREPLACE(id,""@\d+$"",""""),
   required,VALUE(REGEXEXTRACT(id,""@(\d+)$"")),
   current,XLOOKUP(
    base,
    tblPlayer[PlayerStateID],
    tblPlayer[Value],
    0
   ),
   current&gt;=required
 "&amp;" ),
  IF(
   T504=""AUTO"",
   L504=0,
   COUNTIFS(
    tblChecklist[TargetID],id,
    tblChecklist[PlayerCompleted],TRUE
   )&gt;0
  )
 )
)"),FALSE)</f>
        <v>0</v>
      </c>
      <c r="E504" s="26" t="str">
        <f t="array" ref="E504">_xlfn.XLOOKUP(
 A504,
 tblTargets[TargetID],
 tblTargets[TargetType],
 ""
)</f>
        <v>STATE</v>
      </c>
      <c r="F504" s="26" t="str">
        <f t="array" ref="F504">_xlfn.XLOOKUP(
 A504,
 tblTargets[TargetID],
 tblTargets[StateType],
 ""
)</f>
        <v>VISIT</v>
      </c>
      <c r="G504" s="26">
        <f>LET(
 id,A504,
 depCount,COUNTIF(tblDependencies[TargetID],id),
 objCount,COUNTIF(tblQuestObjectives[QuestTargetID],id),
 depCount+objCount
)</f>
        <v>2</v>
      </c>
      <c r="H504" s="26">
        <f t="shared" si="2"/>
        <v>2</v>
      </c>
      <c r="I504" s="26">
        <f>IFERROR(__xludf.DUMMYFUNCTION("LET(
 id,A504,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4" s="26">
        <f t="shared" si="3"/>
        <v>0</v>
      </c>
      <c r="K504" s="26" t="b">
        <f t="shared" si="4"/>
        <v>0</v>
      </c>
      <c r="L504" s="26">
        <f t="shared" si="5"/>
        <v>2</v>
      </c>
      <c r="M504" s="26" t="str">
        <f>IFERROR(__xludf.DUMMYFUNCTION("LET(
 id,A504,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L504=0,
  """",
  IFERROR(INDEX(incomplete,1),"""")"&amp;"
 )
)"),"quest.dragon_teeth.finished")</f>
        <v>quest.dragon_teeth.finished</v>
      </c>
      <c r="N504" s="26" t="str">
        <f t="array" ref="N504">IF(
 M504="",
 "",
 _xlfn.XLOOKUP(
  M504,
  tblTargets[TargetID],
  tblTargets[DisplayName],
  M504
 )
)</f>
        <v>Dragon teeth Finished</v>
      </c>
      <c r="O504" s="26" t="str">
        <f>IFERROR(__xludf.DUMMYFUNCTION("SWITCH(
 E504,
 ""BUILDING"",XLOOKUP(A504,tblBuildings[BuildingID],tblBuildings[costtext],""""),
 ""TECH"",XLOOKUP(A504,tblTechnologies[TechnologyID],tblTechnologies[costtext],""""),
 ""QUEST"",XLOOKUP(
  REGEXREPLACE(A504,""\.[^.]+$"",""""),
  tblQuests["&amp;"QuestID],
  tblQuests[Costtext],
  """"
 ),
 ""CITADEL"",XLOOKUP(A504,tblCitadel[CitadelID],tblCitadel[costtext],""""),
 ""COLLECTION"",XLOOKUP(A504,tblCollections[CollectionID],tblCollections[costtext],""""),
 ""CRAFTIFACT"",XLOOKUP(A504,tblCraftifacts[C"&amp;"raftifactID],tblCraftifacts[costtext],""""),
 """"
)"),"")</f>
        <v/>
      </c>
      <c r="P504" s="26" t="str">
        <f t="shared" si="6"/>
        <v>BLOCKED</v>
      </c>
      <c r="Q504" s="26" t="str">
        <f t="shared" si="7"/>
        <v>BLOCKED</v>
      </c>
      <c r="R504" s="26" t="str">
        <f t="array" ref="R504">IFERROR(
 _xlfn.XLOOKUP(
  A504,
  tblChecklist[TargetID],
  tblChecklist[PlayerSort],
  ""
 ),
 ""
)</f>
        <v/>
      </c>
      <c r="S504" s="26" t="str">
        <f>IFERROR(__xludf.DUMMYFUNCTION("LET(
 id,A504,
 successorIDs,
  IFERROR(
   UNIQUE(
    FILTER(
     {
      Dependencies!$A$2:$A$1000;
      QuestObjectives!$A$2:$A$1000
     },
     {
      Dependencies!$B$2:$B$1000;
      QuestObjectives!$E$2:$E$1000
     }=id
    )
   ),
   """"
  )"&amp;",
 names,
  MAP(
   successorIDs,
   LAMBDA(s,
    IF(
     s="""",
     """",
     XLOOKUP(
      s,
      $A$2:$A$1000,
      $B$2:$B$1000,
      s
     )
    )
   )
  ),
 IF(
  successorIDs="""",
  """",
  TEXTJOIN("", "",TRUE,names)
 )
)"),"Undead Revenge Accepted")</f>
        <v>Undead Revenge Accepted</v>
      </c>
      <c r="T504" s="26" t="str">
        <f t="array" ref="T504">_xlfn.XLOOKUP(
 A504,
 tblTargets[TargetID],
 tblTargets[CompletionMethod],
 ""
)</f>
        <v>PLAYER</v>
      </c>
      <c r="U504" s="84" t="b">
        <f>COUNTIF(tblCost[TargetID],A504)&gt;0</f>
        <v>0</v>
      </c>
      <c r="V504" s="85" t="str">
        <f t="array" ref="V504">IF(
 U504=FALSE,
 "",
 _xlfn.XLOOKUP(
  A504,
  tblCost[TargetID],
  tblCost[FundingPercent],
  ""
 )
)</f>
        <v/>
      </c>
      <c r="W504" s="26" t="str">
        <f t="array" ref="W504">IF(
 U504=FALSE,
 "",
 _xlfn.XLOOKUP(
  A504,
  tblCost[TargetID],
  tblCost[RemainingRequirements],
  ""
 )
)</f>
        <v/>
      </c>
      <c r="X504" s="45" t="str">
        <f t="array" ref="X504">IF(
 U504=FALSE,
 "N/A",
 _xlfn.XLOOKUP(
  A505,
  tblCost[TargetID],
  tblCost[TargetFunded],
  FALSE
 )
)</f>
        <v>N/A</v>
      </c>
      <c r="Y504" s="26" t="str">
        <f>IFERROR(__xludf.DUMMYFUNCTION("IFERROR(
 TEXTJOIN(
  "", "",
  TRUE,
  FILTER(
   'cost checklist'!$E$2:$E1000&amp;"": ""&amp;'cost checklist'!$G$2:$G1000,
   'cost checklist'!$B$2:$B1000=A504,
   'cost checklist'!$J$2:$J1000=FALSE
  )
 ),
 """"
)"),"")</f>
        <v/>
      </c>
      <c r="Z504" s="26" t="b">
        <f>IFERROR(__xludf.DUMMYFUNCTION("IF(
 AND(
  E504=""QUEST"",
  RIGHT(A504,9)="".accepted"",
  D504=TRUE
 ),
 XLOOKUP(
  REGEXREPLACE(A504,""\.accepted$"","""")&amp;"".finished"",
  $A$2:$A1000,
  $D$2:$D1000,
  TRUE
 )=FALSE,
 FALSE
)"),FALSE)</f>
        <v>0</v>
      </c>
      <c r="AA504" s="26" t="str">
        <f>IFERROR(__xludf.DUMMYFUNCTION("LET(
 id,A504,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)"),"Undead Revenge")</f>
        <v>Undead Revenge</v>
      </c>
    </row>
    <row r="505" ht="14.25" customHeight="1">
      <c r="A505" s="26" t="s">
        <v>1671</v>
      </c>
      <c r="B505" s="26" t="str">
        <f t="array" ref="B505">_xlfn.XLOOKUP(
 A505,
 tblTargets[TargetID],
 tblTargets[DisplayName],
 ""
)</f>
        <v>Visit Dungeon@6A</v>
      </c>
      <c r="C505" s="26" t="str">
        <f t="shared" si="1"/>
        <v>BLOCKED</v>
      </c>
      <c r="D505" s="26" t="b">
        <f>IFERROR(__xludf.DUMMYFUNCTION("LET(
 id,A505,
 IF(
  F505=""CHARACTER"",
  LET(
   base,REGEXREPLACE(id,""@\d+$"",""""),
   required,VALUE(REGEXEXTRACT(id,""@(\d+)$"")),
   current,XLOOKUP(
    base,
    tblPlayer[PlayerStateID],
    tblPlayer[Value],
    0
   ),
   current&gt;=required
 "&amp;" ),
  IF(
   T505=""AUTO"",
   L505=0,
   COUNTIFS(
    tblChecklist[TargetID],id,
    tblChecklist[PlayerCompleted],TRUE
   )&gt;0
  )
 )
)"),FALSE)</f>
        <v>0</v>
      </c>
      <c r="E505" s="26" t="str">
        <f t="array" ref="E505">_xlfn.XLOOKUP(
 A505,
 tblTargets[TargetID],
 tblTargets[TargetType],
 ""
)</f>
        <v>STATE</v>
      </c>
      <c r="F505" s="26" t="str">
        <f t="array" ref="F505">_xlfn.XLOOKUP(
 A505,
 tblTargets[TargetID],
 tblTargets[StateType],
 ""
)</f>
        <v>VISIT</v>
      </c>
      <c r="G505" s="26">
        <f>LET(
 id,A505,
 depCount,COUNTIF(tblDependencies[TargetID],id),
 objCount,COUNTIF(tblQuestObjectives[QuestTargetID],id),
 depCount+objCount
)</f>
        <v>1</v>
      </c>
      <c r="H505" s="26">
        <f t="shared" si="2"/>
        <v>1</v>
      </c>
      <c r="I505" s="26">
        <f>IFERROR(__xludf.DUMMYFUNCTION("LET(
 id,A505,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5" s="26">
        <f t="shared" si="3"/>
        <v>0</v>
      </c>
      <c r="K505" s="26" t="b">
        <f t="shared" si="4"/>
        <v>0</v>
      </c>
      <c r="L505" s="26">
        <f t="shared" si="5"/>
        <v>1</v>
      </c>
      <c r="M505" s="26" t="str">
        <f>IFERROR(__xludf.DUMMYFUNCTION("LET(
 id,A505,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L505=0,
  """",
  IFERROR(INDEX(incomplete,1),"""")"&amp;"
 )
)"),"quest.ahead_of_time_chapter_1.finished")</f>
        <v>quest.ahead_of_time_chapter_1.finished</v>
      </c>
      <c r="N505" s="26" t="str">
        <f t="array" ref="N505">IF(
 M505="",
 "",
 _xlfn.XLOOKUP(
  M505,
  tblTargets[TargetID],
  tblTargets[DisplayName],
  M505
 )
)</f>
        <v>Ahead of Time Chapter 1 Finished</v>
      </c>
      <c r="O505" s="26" t="str">
        <f>IFERROR(__xludf.DUMMYFUNCTION("SWITCH(
 E505,
 ""BUILDING"",XLOOKUP(A505,tblBuildings[BuildingID],tblBuildings[costtext],""""),
 ""TECH"",XLOOKUP(A505,tblTechnologies[TechnologyID],tblTechnologies[costtext],""""),
 ""QUEST"",XLOOKUP(
  REGEXREPLACE(A505,""\.[^.]+$"",""""),
  tblQuests["&amp;"QuestID],
  tblQuests[Costtext],
  """"
 ),
 ""CITADEL"",XLOOKUP(A505,tblCitadel[CitadelID],tblCitadel[costtext],""""),
 ""COLLECTION"",XLOOKUP(A505,tblCollections[CollectionID],tblCollections[costtext],""""),
 ""CRAFTIFACT"",XLOOKUP(A505,tblCraftifacts[C"&amp;"raftifactID],tblCraftifacts[costtext],""""),
 """"
)"),"")</f>
        <v/>
      </c>
      <c r="P505" s="26" t="str">
        <f t="shared" si="6"/>
        <v>BLOCKED</v>
      </c>
      <c r="Q505" s="26" t="str">
        <f t="shared" si="7"/>
        <v>BLOCKED</v>
      </c>
      <c r="R505" s="26" t="str">
        <f t="array" ref="R505">IFERROR(
 _xlfn.XLOOKUP(
  A505,
  tblChecklist[TargetID],
  tblChecklist[PlayerSort],
  ""
 ),
 ""
)</f>
        <v/>
      </c>
      <c r="S505" s="26" t="str">
        <f>IFERROR(__xludf.DUMMYFUNCTION("LET(
 id,A505,
 successorIDs,
  IFERROR(
   UNIQUE(
    FILTER(
     {
      Dependencies!$A$2:$A$1000;
      QuestObjectives!$A$2:$A$1000
     },
     {
      Dependencies!$B$2:$B$1000;
      QuestObjectives!$E$2:$E$1000
     }=id
    )
   ),
   """"
  )"&amp;",
 names,
  MAP(
   successorIDs,
   LAMBDA(s,
    IF(
     s="""",
     """",
     XLOOKUP(
      s,
      $A$2:$A$1000,
      $B$2:$B$1000,
      s
     )
    )
   )
  ),
 IF(
  successorIDs="""",
  """",
  TEXTJOIN("", "",TRUE,names)
 )
)"),"Ahead of Time Chapter 2 Accepted")</f>
        <v>Ahead of Time Chapter 2 Accepted</v>
      </c>
      <c r="T505" s="26" t="str">
        <f t="array" ref="T505">_xlfn.XLOOKUP(
 A505,
 tblTargets[TargetID],
 tblTargets[CompletionMethod],
 ""
)</f>
        <v>PLAYER</v>
      </c>
      <c r="U505" s="84" t="b">
        <f>COUNTIF(tblCost[TargetID],A505)&gt;0</f>
        <v>0</v>
      </c>
      <c r="V505" s="85" t="str">
        <f t="array" ref="V505">IF(
 U505=FALSE,
 "",
 _xlfn.XLOOKUP(
  A505,
  tblCost[TargetID],
  tblCost[FundingPercent],
  ""
 )
)</f>
        <v/>
      </c>
      <c r="W505" s="26" t="str">
        <f t="array" ref="W505">IF(
 U505=FALSE,
 "",
 _xlfn.XLOOKUP(
  A505,
  tblCost[TargetID],
  tblCost[RemainingRequirements],
  ""
 )
)</f>
        <v/>
      </c>
      <c r="X505" s="45" t="str">
        <f t="array" ref="X505">IF(
 U505=FALSE,
 "N/A",
 _xlfn.XLOOKUP(
  A506,
  tblCost[TargetID],
  tblCost[TargetFunded],
  FALSE
 )
)</f>
        <v>N/A</v>
      </c>
      <c r="Y505" s="26" t="str">
        <f>IFERROR(__xludf.DUMMYFUNCTION("IFERROR(
 TEXTJOIN(
  "", "",
  TRUE,
  FILTER(
   'cost checklist'!$E$2:$E1000&amp;"": ""&amp;'cost checklist'!$G$2:$G1000,
   'cost checklist'!$B$2:$B1000=A505,
   'cost checklist'!$J$2:$J1000=FALSE
  )
 ),
 """"
)"),"")</f>
        <v/>
      </c>
      <c r="Z505" s="26" t="b">
        <f>IFERROR(__xludf.DUMMYFUNCTION("IF(
 AND(
  E505=""QUEST"",
  RIGHT(A505,9)="".accepted"",
  D505=TRUE
 ),
 XLOOKUP(
  REGEXREPLACE(A505,""\.accepted$"","""")&amp;"".finished"",
  $A$2:$A1000,
  $D$2:$D1000,
  TRUE
 )=FALSE,
 FALSE
)"),FALSE)</f>
        <v>0</v>
      </c>
      <c r="AA505" s="26" t="str">
        <f>IFERROR(__xludf.DUMMYFUNCTION("LET(
 id,A505,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)"),"Ahead of Time Chapter 2")</f>
        <v>Ahead of Time Chapter 2</v>
      </c>
    </row>
    <row r="506" ht="14.25" customHeight="1">
      <c r="A506" s="26" t="s">
        <v>1674</v>
      </c>
      <c r="B506" s="26" t="str">
        <f t="array" ref="B506">_xlfn.XLOOKUP(
 A506,
 tblTargets[TargetID],
 tblTargets[DisplayName],
 ""
)</f>
        <v>Visit Dungeon@ 6B</v>
      </c>
      <c r="C506" s="26" t="str">
        <f t="shared" si="1"/>
        <v>BLOCKED</v>
      </c>
      <c r="D506" s="26" t="b">
        <f>IFERROR(__xludf.DUMMYFUNCTION("LET(
 id,A506,
 IF(
  F506=""CHARACTER"",
  LET(
   base,REGEXREPLACE(id,""@\d+$"",""""),
   required,VALUE(REGEXEXTRACT(id,""@(\d+)$"")),
   current,XLOOKUP(
    base,
    tblPlayer[PlayerStateID],
    tblPlayer[Value],
    0
   ),
   current&gt;=required
 "&amp;" ),
  IF(
   T506=""AUTO"",
   L506=0,
   COUNTIFS(
    tblChecklist[TargetID],id,
    tblChecklist[PlayerCompleted],TRUE
   )&gt;0
  )
 )
)"),FALSE)</f>
        <v>0</v>
      </c>
      <c r="E506" s="26" t="str">
        <f t="array" ref="E506">_xlfn.XLOOKUP(
 A506,
 tblTargets[TargetID],
 tblTargets[TargetType],
 ""
)</f>
        <v>STATE</v>
      </c>
      <c r="F506" s="26" t="str">
        <f t="array" ref="F506">_xlfn.XLOOKUP(
 A506,
 tblTargets[TargetID],
 tblTargets[StateType],
 ""
)</f>
        <v>MEET</v>
      </c>
      <c r="G506" s="26">
        <f>LET(
 id,A506,
 depCount,COUNTIF(tblDependencies[TargetID],id),
 objCount,COUNTIF(tblQuestObjectives[QuestTargetID],id),
 depCount+objCount
)</f>
        <v>1</v>
      </c>
      <c r="H506" s="26">
        <f t="shared" si="2"/>
        <v>1</v>
      </c>
      <c r="I506" s="26">
        <f>IFERROR(__xludf.DUMMYFUNCTION("LET(
 id,A506,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6" s="26">
        <f t="shared" si="3"/>
        <v>0</v>
      </c>
      <c r="K506" s="26" t="b">
        <f t="shared" si="4"/>
        <v>0</v>
      </c>
      <c r="L506" s="26">
        <f t="shared" si="5"/>
        <v>1</v>
      </c>
      <c r="M506" s="26" t="str">
        <f>IFERROR(__xludf.DUMMYFUNCTION("LET(
 id,A506,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L506=0,
  """",
  IFERROR(INDEX(incomplete,1),"""")"&amp;"
 )
)"),"building.dairy@2")</f>
        <v>building.dairy@2</v>
      </c>
      <c r="N506" s="26" t="str">
        <f t="array" ref="N506">IF(
 M506="",
 "",
 _xlfn.XLOOKUP(
  M506,
  tblTargets[TargetID],
  tblTargets[DisplayName],
  M506
 )
)</f>
        <v>Dairy Lv 2</v>
      </c>
      <c r="O506" s="26" t="str">
        <f>IFERROR(__xludf.DUMMYFUNCTION("SWITCH(
 E506,
 ""BUILDING"",XLOOKUP(A506,tblBuildings[BuildingID],tblBuildings[costtext],""""),
 ""TECH"",XLOOKUP(A506,tblTechnologies[TechnologyID],tblTechnologies[costtext],""""),
 ""QUEST"",XLOOKUP(
  REGEXREPLACE(A506,""\.[^.]+$"",""""),
  tblQuests["&amp;"QuestID],
  tblQuests[Costtext],
  """"
 ),
 ""CITADEL"",XLOOKUP(A506,tblCitadel[CitadelID],tblCitadel[costtext],""""),
 ""COLLECTION"",XLOOKUP(A506,tblCollections[CollectionID],tblCollections[costtext],""""),
 ""CRAFTIFACT"",XLOOKUP(A506,tblCraftifacts[C"&amp;"raftifactID],tblCraftifacts[costtext],""""),
 """"
)"),"")</f>
        <v/>
      </c>
      <c r="P506" s="26" t="str">
        <f t="shared" si="6"/>
        <v>BLOCKED</v>
      </c>
      <c r="Q506" s="26" t="str">
        <f t="shared" si="7"/>
        <v>BLOCKED</v>
      </c>
      <c r="R506" s="26" t="str">
        <f t="array" ref="R506">IFERROR(
 _xlfn.XLOOKUP(
  A506,
  tblChecklist[TargetID],
  tblChecklist[PlayerSort],
  ""
 ),
 ""
)</f>
        <v/>
      </c>
      <c r="S506" s="26" t="str">
        <f>IFERROR(__xludf.DUMMYFUNCTION("LET(
 id,A506,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6 Accepted")</f>
        <v>The Ordinary Days of an Adventurer Chapter 6 Accepted</v>
      </c>
      <c r="T506" s="26" t="str">
        <f t="array" ref="T506">_xlfn.XLOOKUP(
 A506,
 tblTargets[TargetID],
 tblTargets[CompletionMethod],
 ""
)</f>
        <v>PLAYER</v>
      </c>
      <c r="U506" s="84" t="b">
        <f>COUNTIF(tblCost[TargetID],A506)&gt;0</f>
        <v>0</v>
      </c>
      <c r="V506" s="85" t="str">
        <f t="array" ref="V506">IF(
 U506=FALSE,
 "",
 _xlfn.XLOOKUP(
  A506,
  tblCost[TargetID],
  tblCost[FundingPercent],
  ""
 )
)</f>
        <v/>
      </c>
      <c r="W506" s="26" t="str">
        <f t="array" ref="W506">IF(
 U506=FALSE,
 "",
 _xlfn.XLOOKUP(
  A506,
  tblCost[TargetID],
  tblCost[RemainingRequirements],
  ""
 )
)</f>
        <v/>
      </c>
      <c r="X506" s="45" t="str">
        <f t="array" ref="X506">IF(
 U506=FALSE,
 "N/A",
 _xlfn.XLOOKUP(
  A507,
  tblCost[TargetID],
  tblCost[TargetFunded],
  FALSE
 )
)</f>
        <v>N/A</v>
      </c>
      <c r="Y506" s="26" t="str">
        <f>IFERROR(__xludf.DUMMYFUNCTION("IFERROR(
 TEXTJOIN(
  "", "",
  TRUE,
  FILTER(
   'cost checklist'!$E$2:$E1000&amp;"": ""&amp;'cost checklist'!$G$2:$G1000,
   'cost checklist'!$B$2:$B1000=A506,
   'cost checklist'!$J$2:$J1000=FALSE
  )
 ),
 """"
)"),"")</f>
        <v/>
      </c>
      <c r="Z506" s="26" t="b">
        <f>IFERROR(__xludf.DUMMYFUNCTION("IF(
 AND(
  E506=""QUEST"",
  RIGHT(A506,9)="".accepted"",
  D506=TRUE
 ),
 XLOOKUP(
  REGEXREPLACE(A506,""\.accepted$"","""")&amp;"".finished"",
  $A$2:$A1000,
  $D$2:$D1000,
  TRUE
 )=FALSE,
 FALSE
)"),FALSE)</f>
        <v>0</v>
      </c>
      <c r="AA506" s="26" t="str">
        <f>IFERROR(__xludf.DUMMYFUNCTION("LET(
 id,A506,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6")</f>
        <v>The Ordinary Days of an Adventurer Chapter 6</v>
      </c>
    </row>
    <row r="507" ht="14.25" customHeight="1">
      <c r="A507" s="26" t="s">
        <v>1677</v>
      </c>
      <c r="B507" s="26" t="str">
        <f t="array" ref="B507">_xlfn.XLOOKUP(
 A507,
 tblTargets[TargetID],
 tblTargets[DisplayName],
 ""
)</f>
        <v>Visit Fukushima</v>
      </c>
      <c r="C507" s="26" t="str">
        <f t="shared" si="1"/>
        <v>BLOCKED</v>
      </c>
      <c r="D507" s="26" t="b">
        <f>IFERROR(__xludf.DUMMYFUNCTION("LET(
 id,A507,
 IF(
  F507=""CHARACTER"",
  LET(
   base,REGEXREPLACE(id,""@\d+$"",""""),
   required,VALUE(REGEXEXTRACT(id,""@(\d+)$"")),
   current,XLOOKUP(
    base,
    tblPlayer[PlayerStateID],
    tblPlayer[Value],
    0
   ),
   current&gt;=required
 "&amp;" ),
  IF(
   T507=""AUTO"",
   L507=0,
   COUNTIFS(
    tblChecklist[TargetID],id,
    tblChecklist[PlayerCompleted],TRUE
   )&gt;0
  )
 )
)"),FALSE)</f>
        <v>0</v>
      </c>
      <c r="E507" s="26" t="str">
        <f t="array" ref="E507">_xlfn.XLOOKUP(
 A507,
 tblTargets[TargetID],
 tblTargets[TargetType],
 ""
)</f>
        <v>STATE</v>
      </c>
      <c r="F507" s="26" t="str">
        <f t="array" ref="F507">_xlfn.XLOOKUP(
 A507,
 tblTargets[TargetID],
 tblTargets[StateType],
 ""
)</f>
        <v>VISIT</v>
      </c>
      <c r="G507" s="26">
        <f>LET(
 id,A507,
 depCount,COUNTIF(tblDependencies[TargetID],id),
 objCount,COUNTIF(tblQuestObjectives[QuestTargetID],id),
 depCount+objCount
)</f>
        <v>2</v>
      </c>
      <c r="H507" s="26">
        <f t="shared" si="2"/>
        <v>2</v>
      </c>
      <c r="I507" s="26">
        <f>IFERROR(__xludf.DUMMYFUNCTION("LET(
 id,A507,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7" s="26">
        <f t="shared" si="3"/>
        <v>0</v>
      </c>
      <c r="K507" s="26" t="b">
        <f t="shared" si="4"/>
        <v>0</v>
      </c>
      <c r="L507" s="26">
        <f t="shared" si="5"/>
        <v>2</v>
      </c>
      <c r="M507" s="26" t="str">
        <f>IFERROR(__xludf.DUMMYFUNCTION("LET(
 id,A507,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L507=0,
  """",
  IFERROR(INDEX(incomplete,1),"""")"&amp;"
 )
)"),"quest.journey_through_japan_by_train.accepted")</f>
        <v>quest.journey_through_japan_by_train.accepted</v>
      </c>
      <c r="N507" s="26" t="str">
        <f t="array" ref="N507">IF(
 M507="",
 "",
 _xlfn.XLOOKUP(
  M507,
  tblTargets[TargetID],
  tblTargets[DisplayName],
  M507
 )
)</f>
        <v>Journey Through Japan By Train Accepted</v>
      </c>
      <c r="O507" s="26" t="str">
        <f>IFERROR(__xludf.DUMMYFUNCTION("SWITCH(
 E507,
 ""BUILDING"",XLOOKUP(A507,tblBuildings[BuildingID],tblBuildings[costtext],""""),
 ""TECH"",XLOOKUP(A507,tblTechnologies[TechnologyID],tblTechnologies[costtext],""""),
 ""QUEST"",XLOOKUP(
  REGEXREPLACE(A507,""\.[^.]+$"",""""),
  tblQuests["&amp;"QuestID],
  tblQuests[Costtext],
  """"
 ),
 ""CITADEL"",XLOOKUP(A507,tblCitadel[CitadelID],tblCitadel[costtext],""""),
 ""COLLECTION"",XLOOKUP(A507,tblCollections[CollectionID],tblCollections[costtext],""""),
 ""CRAFTIFACT"",XLOOKUP(A507,tblCraftifacts[C"&amp;"raftifactID],tblCraftifacts[costtext],""""),
 """"
)"),"")</f>
        <v/>
      </c>
      <c r="P507" s="26" t="str">
        <f t="shared" si="6"/>
        <v>BLOCKED</v>
      </c>
      <c r="Q507" s="26" t="str">
        <f t="shared" si="7"/>
        <v>BLOCKED</v>
      </c>
      <c r="R507" s="26" t="str">
        <f t="array" ref="R507">IFERROR(
 _xlfn.XLOOKUP(
  A507,
  tblChecklist[TargetID],
  tblChecklist[PlayerSort],
  ""
 ),
 ""
)</f>
        <v/>
      </c>
      <c r="S507" s="26" t="str">
        <f>IFERROR(__xludf.DUMMYFUNCTION("LET(
 id,A507,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f>
        <v>Journey Through Japan By Train Finished</v>
      </c>
      <c r="T507" s="26" t="str">
        <f t="array" ref="T507">_xlfn.XLOOKUP(
 A507,
 tblTargets[TargetID],
 tblTargets[CompletionMethod],
 ""
)</f>
        <v>PLAYER</v>
      </c>
      <c r="U507" s="84" t="b">
        <f>COUNTIF(tblCost[TargetID],A507)&gt;0</f>
        <v>0</v>
      </c>
      <c r="V507" s="85" t="str">
        <f t="array" ref="V507">IF(
 U507=FALSE,
 "",
 _xlfn.XLOOKUP(
  A507,
  tblCost[TargetID],
  tblCost[FundingPercent],
  ""
 )
)</f>
        <v/>
      </c>
      <c r="W507" s="26" t="str">
        <f t="array" ref="W507">IF(
 U507=FALSE,
 "",
 _xlfn.XLOOKUP(
  A507,
  tblCost[TargetID],
  tblCost[RemainingRequirements],
  ""
 )
)</f>
        <v/>
      </c>
      <c r="X507" s="45" t="str">
        <f t="array" ref="X507">IF(
 U507=FALSE,
 "N/A",
 _xlfn.XLOOKUP(
  A508,
  tblCost[TargetID],
  tblCost[TargetFunded],
  FALSE
 )
)</f>
        <v>N/A</v>
      </c>
      <c r="Y507" s="26" t="str">
        <f>IFERROR(__xludf.DUMMYFUNCTION("IFERROR(
 TEXTJOIN(
  "", "",
  TRUE,
  FILTER(
   'cost checklist'!$E$2:$E1000&amp;"": ""&amp;'cost checklist'!$G$2:$G1000,
   'cost checklist'!$B$2:$B1000=A507,
   'cost checklist'!$J$2:$J1000=FALSE
  )
 ),
 """"
)"),"")</f>
        <v/>
      </c>
      <c r="Z507" s="26" t="b">
        <f>IFERROR(__xludf.DUMMYFUNCTION("IF(
 AND(
  E507=""QUEST"",
  RIGHT(A507,9)="".accepted"",
  D507=TRUE
 ),
 XLOOKUP(
  REGEXREPLACE(A507,""\.accepted$"","""")&amp;"".finished"",
  $A$2:$A1000,
  $D$2:$D1000,
  TRUE
 )=FALSE,
 FALSE
)"),FALSE)</f>
        <v>0</v>
      </c>
      <c r="AA507" s="26" t="str">
        <f>IFERROR(__xludf.DUMMYFUNCTION("LET(
 id,A507,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08" ht="14.25" customHeight="1">
      <c r="A508" s="26" t="s">
        <v>1679</v>
      </c>
      <c r="B508" s="26" t="str">
        <f t="array" ref="B508">_xlfn.XLOOKUP(
 A508,
 tblTargets[TargetID],
 tblTargets[DisplayName],
 ""
)</f>
        <v>Visit Kyiv</v>
      </c>
      <c r="C508" s="26" t="str">
        <f t="shared" si="1"/>
        <v>BLOCKED</v>
      </c>
      <c r="D508" s="26" t="b">
        <f>IFERROR(__xludf.DUMMYFUNCTION("LET(
 id,A508,
 IF(
  F508=""CHARACTER"",
  LET(
   base,REGEXREPLACE(id,""@\d+$"",""""),
   required,VALUE(REGEXEXTRACT(id,""@(\d+)$"")),
   current,XLOOKUP(
    base,
    tblPlayer[PlayerStateID],
    tblPlayer[Value],
    0
   ),
   current&gt;=required
 "&amp;" ),
  IF(
   T508=""AUTO"",
   L508=0,
   COUNTIFS(
    tblChecklist[TargetID],id,
    tblChecklist[PlayerCompleted],TRUE
   )&gt;0
  )
 )
)"),FALSE)</f>
        <v>0</v>
      </c>
      <c r="E508" s="26" t="str">
        <f t="array" ref="E508">_xlfn.XLOOKUP(
 A508,
 tblTargets[TargetID],
 tblTargets[TargetType],
 ""
)</f>
        <v>STATE</v>
      </c>
      <c r="F508" s="26" t="str">
        <f t="array" ref="F508">_xlfn.XLOOKUP(
 A508,
 tblTargets[TargetID],
 tblTargets[StateType],
 ""
)</f>
        <v>VISIT</v>
      </c>
      <c r="G508" s="26">
        <f>LET(
 id,A508,
 depCount,COUNTIF(tblDependencies[TargetID],id),
 objCount,COUNTIF(tblQuestObjectives[QuestTargetID],id),
 depCount+objCount
)</f>
        <v>1</v>
      </c>
      <c r="H508" s="26">
        <f t="shared" si="2"/>
        <v>1</v>
      </c>
      <c r="I508" s="26">
        <f>IFERROR(__xludf.DUMMYFUNCTION("LET(
 id,A508,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8" s="26">
        <f t="shared" si="3"/>
        <v>0</v>
      </c>
      <c r="K508" s="26" t="b">
        <f t="shared" si="4"/>
        <v>0</v>
      </c>
      <c r="L508" s="26">
        <f t="shared" si="5"/>
        <v>1</v>
      </c>
      <c r="M508" s="26" t="str">
        <f>IFERROR(__xludf.DUMMYFUNCTION("LET(
 id,A508,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L508=0,
  """",
  IFERROR(INDEX(incomplete,1),"""")"&amp;"
 )
)"),"quest.silk_road.accepted")</f>
        <v>quest.silk_road.accepted</v>
      </c>
      <c r="N508" s="26" t="str">
        <f t="array" ref="N508">IF(
 M508="",
 "",
 _xlfn.XLOOKUP(
  M508,
  tblTargets[TargetID],
  tblTargets[DisplayName],
  M508
 )
)</f>
        <v>Silk Road Accepted</v>
      </c>
      <c r="O508" s="26" t="str">
        <f>IFERROR(__xludf.DUMMYFUNCTION("SWITCH(
 E508,
 ""BUILDING"",XLOOKUP(A508,tblBuildings[BuildingID],tblBuildings[costtext],""""),
 ""TECH"",XLOOKUP(A508,tblTechnologies[TechnologyID],tblTechnologies[costtext],""""),
 ""QUEST"",XLOOKUP(
  REGEXREPLACE(A508,""\.[^.]+$"",""""),
  tblQuests["&amp;"QuestID],
  tblQuests[Costtext],
  """"
 ),
 ""CITADEL"",XLOOKUP(A508,tblCitadel[CitadelID],tblCitadel[costtext],""""),
 ""COLLECTION"",XLOOKUP(A508,tblCollections[CollectionID],tblCollections[costtext],""""),
 ""CRAFTIFACT"",XLOOKUP(A508,tblCraftifacts[C"&amp;"raftifactID],tblCraftifacts[costtext],""""),
 """"
)"),"")</f>
        <v/>
      </c>
      <c r="P508" s="26" t="str">
        <f t="shared" si="6"/>
        <v>BLOCKED</v>
      </c>
      <c r="Q508" s="26" t="str">
        <f t="shared" si="7"/>
        <v>BLOCKED</v>
      </c>
      <c r="R508" s="26" t="str">
        <f t="array" ref="R508">IFERROR(
 _xlfn.XLOOKUP(
  A508,
  tblChecklist[TargetID],
  tblChecklist[PlayerSort],
  ""
 ),
 ""
)</f>
        <v/>
      </c>
      <c r="S508" s="26" t="str">
        <f>IFERROR(__xludf.DUMMYFUNCTION("LET(
 id,A508,
 successorIDs,
  IFERROR(
   UNIQUE(
    FILTER(
     {
      Dependencies!$A$2:$A$1000;
      QuestObjectives!$A$2:$A$1000
     },
     {
      Dependencies!$B$2:$B$1000;
      QuestObjectives!$E$2:$E$1000
     }=id
    )
   ),
   """"
  )"&amp;",
 names,
  MAP(
   successorIDs,
   LAMBDA(s,
    IF(
     s="""",
     """",
     XLOOKUP(
      s,
      $A$2:$A$1000,
      $B$2:$B$1000,
      s
     )
    )
   )
  ),
 IF(
  successorIDs="""",
  """",
  TEXTJOIN("", "",TRUE,names)
 )
)"),"Silk Road Finished")</f>
        <v>Silk Road Finished</v>
      </c>
      <c r="T508" s="26" t="str">
        <f t="array" ref="T508">_xlfn.XLOOKUP(
 A508,
 tblTargets[TargetID],
 tblTargets[CompletionMethod],
 ""
)</f>
        <v>PLAYER</v>
      </c>
      <c r="U508" s="84" t="b">
        <f>COUNTIF(tblCost[TargetID],A508)&gt;0</f>
        <v>0</v>
      </c>
      <c r="V508" s="85" t="str">
        <f t="array" ref="V508">IF(
 U508=FALSE,
 "",
 _xlfn.XLOOKUP(
  A508,
  tblCost[TargetID],
  tblCost[FundingPercent],
  ""
 )
)</f>
        <v/>
      </c>
      <c r="W508" s="26" t="str">
        <f t="array" ref="W508">IF(
 U508=FALSE,
 "",
 _xlfn.XLOOKUP(
  A508,
  tblCost[TargetID],
  tblCost[RemainingRequirements],
  ""
 )
)</f>
        <v/>
      </c>
      <c r="X508" s="45" t="str">
        <f t="array" ref="X508">IF(
 U508=FALSE,
 "N/A",
 _xlfn.XLOOKUP(
  A509,
  tblCost[TargetID],
  tblCost[TargetFunded],
  FALSE
 )
)</f>
        <v>N/A</v>
      </c>
      <c r="Y508" s="26" t="str">
        <f>IFERROR(__xludf.DUMMYFUNCTION("IFERROR(
 TEXTJOIN(
  "", "",
  TRUE,
  FILTER(
   'cost checklist'!$E$2:$E1000&amp;"": ""&amp;'cost checklist'!$G$2:$G1000,
   'cost checklist'!$B$2:$B1000=A508,
   'cost checklist'!$J$2:$J1000=FALSE
  )
 ),
 """"
)"),"")</f>
        <v/>
      </c>
      <c r="Z508" s="26" t="b">
        <f>IFERROR(__xludf.DUMMYFUNCTION("IF(
 AND(
  E508=""QUEST"",
  RIGHT(A508,9)="".accepted"",
  D508=TRUE
 ),
 XLOOKUP(
  REGEXREPLACE(A508,""\.accepted$"","""")&amp;"".finished"",
  $A$2:$A1000,
  $D$2:$D1000,
  TRUE
 )=FALSE,
 FALSE
)"),FALSE)</f>
        <v>0</v>
      </c>
      <c r="AA508" s="26" t="str">
        <f>IFERROR(__xludf.DUMMYFUNCTION("LET(
 id,A508,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09" ht="14.25" customHeight="1">
      <c r="A509" s="26" t="s">
        <v>1682</v>
      </c>
      <c r="B509" s="26" t="str">
        <f t="array" ref="B509">_xlfn.XLOOKUP(
 A509,
 tblTargets[TargetID],
 tblTargets[DisplayName],
 ""
)</f>
        <v>Visit Kyoto</v>
      </c>
      <c r="C509" s="26" t="str">
        <f t="shared" si="1"/>
        <v>BLOCKED</v>
      </c>
      <c r="D509" s="26" t="b">
        <f>IFERROR(__xludf.DUMMYFUNCTION("LET(
 id,A509,
 IF(
  F509=""CHARACTER"",
  LET(
   base,REGEXREPLACE(id,""@\d+$"",""""),
   required,VALUE(REGEXEXTRACT(id,""@(\d+)$"")),
   current,XLOOKUP(
    base,
    tblPlayer[PlayerStateID],
    tblPlayer[Value],
    0
   ),
   current&gt;=required
 "&amp;" ),
  IF(
   T509=""AUTO"",
   L509=0,
   COUNTIFS(
    tblChecklist[TargetID],id,
    tblChecklist[PlayerCompleted],TRUE
   )&gt;0
  )
 )
)"),FALSE)</f>
        <v>0</v>
      </c>
      <c r="E509" s="26" t="str">
        <f t="array" ref="E509">_xlfn.XLOOKUP(
 A509,
 tblTargets[TargetID],
 tblTargets[TargetType],
 ""
)</f>
        <v>STATE</v>
      </c>
      <c r="F509" s="26" t="str">
        <f t="array" ref="F509">_xlfn.XLOOKUP(
 A509,
 tblTargets[TargetID],
 tblTargets[StateType],
 ""
)</f>
        <v>VISIT</v>
      </c>
      <c r="G509" s="26">
        <f>LET(
 id,A509,
 depCount,COUNTIF(tblDependencies[TargetID],id),
 objCount,COUNTIF(tblQuestObjectives[QuestTargetID],id),
 depCount+objCount
)</f>
        <v>2</v>
      </c>
      <c r="H509" s="26">
        <f t="shared" si="2"/>
        <v>2</v>
      </c>
      <c r="I509" s="26">
        <f>IFERROR(__xludf.DUMMYFUNCTION("LET(
 id,A509,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09" s="26">
        <f t="shared" si="3"/>
        <v>0</v>
      </c>
      <c r="K509" s="26" t="b">
        <f t="shared" si="4"/>
        <v>0</v>
      </c>
      <c r="L509" s="26">
        <f t="shared" si="5"/>
        <v>2</v>
      </c>
      <c r="M509" s="26" t="str">
        <f>IFERROR(__xludf.DUMMYFUNCTION("LET(
 id,A509,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L509=0,
  """",
  IFERROR(INDEX(incomplete,1),"""")"&amp;"
 )
)"),"quest.journey_through_japan_by_train.accepted")</f>
        <v>quest.journey_through_japan_by_train.accepted</v>
      </c>
      <c r="N509" s="26" t="str">
        <f t="array" ref="N509">IF(
 M509="",
 "",
 _xlfn.XLOOKUP(
  M509,
  tblTargets[TargetID],
  tblTargets[DisplayName],
  M509
 )
)</f>
        <v>Journey Through Japan By Train Accepted</v>
      </c>
      <c r="O509" s="26" t="str">
        <f>IFERROR(__xludf.DUMMYFUNCTION("SWITCH(
 E509,
 ""BUILDING"",XLOOKUP(A509,tblBuildings[BuildingID],tblBuildings[costtext],""""),
 ""TECH"",XLOOKUP(A509,tblTechnologies[TechnologyID],tblTechnologies[costtext],""""),
 ""QUEST"",XLOOKUP(
  REGEXREPLACE(A509,""\.[^.]+$"",""""),
  tblQuests["&amp;"QuestID],
  tblQuests[Costtext],
  """"
 ),
 ""CITADEL"",XLOOKUP(A509,tblCitadel[CitadelID],tblCitadel[costtext],""""),
 ""COLLECTION"",XLOOKUP(A509,tblCollections[CollectionID],tblCollections[costtext],""""),
 ""CRAFTIFACT"",XLOOKUP(A509,tblCraftifacts[C"&amp;"raftifactID],tblCraftifacts[costtext],""""),
 """"
)"),"")</f>
        <v/>
      </c>
      <c r="P509" s="26" t="str">
        <f t="shared" si="6"/>
        <v>BLOCKED</v>
      </c>
      <c r="Q509" s="26" t="str">
        <f t="shared" si="7"/>
        <v>BLOCKED</v>
      </c>
      <c r="R509" s="26" t="str">
        <f t="array" ref="R509">IFERROR(
 _xlfn.XLOOKUP(
  A509,
  tblChecklist[TargetID],
  tblChecklist[PlayerSort],
  ""
 ),
 ""
)</f>
        <v/>
      </c>
      <c r="S509" s="26" t="str">
        <f>IFERROR(__xludf.DUMMYFUNCTION("LET(
 id,A509,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f>
        <v>Journey Through Japan By Train Finished</v>
      </c>
      <c r="T509" s="26" t="str">
        <f t="array" ref="T509">_xlfn.XLOOKUP(
 A509,
 tblTargets[TargetID],
 tblTargets[CompletionMethod],
 ""
)</f>
        <v>PLAYER</v>
      </c>
      <c r="U509" s="84" t="b">
        <f>COUNTIF(tblCost[TargetID],A509)&gt;0</f>
        <v>0</v>
      </c>
      <c r="V509" s="85" t="str">
        <f t="array" ref="V509">IF(
 U509=FALSE,
 "",
 _xlfn.XLOOKUP(
  A509,
  tblCost[TargetID],
  tblCost[FundingPercent],
  ""
 )
)</f>
        <v/>
      </c>
      <c r="W509" s="26" t="str">
        <f t="array" ref="W509">IF(
 U509=FALSE,
 "",
 _xlfn.XLOOKUP(
  A509,
  tblCost[TargetID],
  tblCost[RemainingRequirements],
  ""
 )
)</f>
        <v/>
      </c>
      <c r="X509" s="45" t="str">
        <f t="array" ref="X509">IF(
 U509=FALSE,
 "N/A",
 _xlfn.XLOOKUP(
  A510,
  tblCost[TargetID],
  tblCost[TargetFunded],
  FALSE
 )
)</f>
        <v>N/A</v>
      </c>
      <c r="Y509" s="26" t="str">
        <f>IFERROR(__xludf.DUMMYFUNCTION("IFERROR(
 TEXTJOIN(
  "", "",
  TRUE,
  FILTER(
   'cost checklist'!$E$2:$E1000&amp;"": ""&amp;'cost checklist'!$G$2:$G1000,
   'cost checklist'!$B$2:$B1000=A509,
   'cost checklist'!$J$2:$J1000=FALSE
  )
 ),
 """"
)"),"")</f>
        <v/>
      </c>
      <c r="Z509" s="26" t="b">
        <f>IFERROR(__xludf.DUMMYFUNCTION("IF(
 AND(
  E509=""QUEST"",
  RIGHT(A509,9)="".accepted"",
  D509=TRUE
 ),
 XLOOKUP(
  REGEXREPLACE(A509,""\.accepted$"","""")&amp;"".finished"",
  $A$2:$A1000,
  $D$2:$D1000,
  TRUE
 )=FALSE,
 FALSE
)"),FALSE)</f>
        <v>0</v>
      </c>
      <c r="AA509" s="26" t="str">
        <f>IFERROR(__xludf.DUMMYFUNCTION("LET(
 id,A509,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0" ht="14.25" customHeight="1">
      <c r="A510" s="26" t="s">
        <v>1684</v>
      </c>
      <c r="B510" s="26" t="str">
        <f t="array" ref="B510">_xlfn.XLOOKUP(
 A510,
 tblTargets[TargetID],
 tblTargets[DisplayName],
 ""
)</f>
        <v>Visit Melbourne in Airship</v>
      </c>
      <c r="C510" s="26" t="str">
        <f t="shared" si="1"/>
        <v>BLOCKED</v>
      </c>
      <c r="D510" s="26" t="b">
        <f>IFERROR(__xludf.DUMMYFUNCTION("LET(
 id,A510,
 IF(
  F510=""CHARACTER"",
  LET(
   base,REGEXREPLACE(id,""@\d+$"",""""),
   required,VALUE(REGEXEXTRACT(id,""@(\d+)$"")),
   current,XLOOKUP(
    base,
    tblPlayer[PlayerStateID],
    tblPlayer[Value],
    0
   ),
   current&gt;=required
 "&amp;" ),
  IF(
   T510=""AUTO"",
   L510=0,
   COUNTIFS(
    tblChecklist[TargetID],id,
    tblChecklist[PlayerCompleted],TRUE
   )&gt;0
  )
 )
)"),FALSE)</f>
        <v>0</v>
      </c>
      <c r="E510" s="26" t="str">
        <f t="array" ref="E510">_xlfn.XLOOKUP(
 A510,
 tblTargets[TargetID],
 tblTargets[TargetType],
 ""
)</f>
        <v>STATE</v>
      </c>
      <c r="F510" s="26" t="str">
        <f t="array" ref="F510">_xlfn.XLOOKUP(
 A510,
 tblTargets[TargetID],
 tblTargets[StateType],
 ""
)</f>
        <v>VISIT</v>
      </c>
      <c r="G510" s="26">
        <f>LET(
 id,A510,
 depCount,COUNTIF(tblDependencies[TargetID],id),
 objCount,COUNTIF(tblQuestObjectives[QuestTargetID],id),
 depCount+objCount
)</f>
        <v>1</v>
      </c>
      <c r="H510" s="26">
        <f t="shared" si="2"/>
        <v>1</v>
      </c>
      <c r="I510" s="26">
        <f>IFERROR(__xludf.DUMMYFUNCTION("LET(
 id,A510,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0" s="26">
        <f t="shared" si="3"/>
        <v>0</v>
      </c>
      <c r="K510" s="26" t="b">
        <f t="shared" si="4"/>
        <v>0</v>
      </c>
      <c r="L510" s="26">
        <f t="shared" si="5"/>
        <v>1</v>
      </c>
      <c r="M510" s="26" t="str">
        <f>IFERROR(__xludf.DUMMYFUNCTION("LET(
 id,A510,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L510=0,
  """",
  IFERROR(INDEX(incomplete,1),"""")"&amp;"
 )
)"),"quest.once_upon_a_forest_chapter_11.accepted")</f>
        <v>quest.once_upon_a_forest_chapter_11.accepted</v>
      </c>
      <c r="N510" s="26" t="str">
        <f t="array" ref="N510">IF(
 M510="",
 "",
 _xlfn.XLOOKUP(
  M510,
  tblTargets[TargetID],
  tblTargets[DisplayName],
  M510
 )
)</f>
        <v>Once Upon a Forest Chapter 11 Accepted</v>
      </c>
      <c r="O510" s="26" t="str">
        <f>IFERROR(__xludf.DUMMYFUNCTION("SWITCH(
 E510,
 ""BUILDING"",XLOOKUP(A510,tblBuildings[BuildingID],tblBuildings[costtext],""""),
 ""TECH"",XLOOKUP(A510,tblTechnologies[TechnologyID],tblTechnologies[costtext],""""),
 ""QUEST"",XLOOKUP(
  REGEXREPLACE(A510,""\.[^.]+$"",""""),
  tblQuests["&amp;"QuestID],
  tblQuests[Costtext],
  """"
 ),
 ""CITADEL"",XLOOKUP(A510,tblCitadel[CitadelID],tblCitadel[costtext],""""),
 ""COLLECTION"",XLOOKUP(A510,tblCollections[CollectionID],tblCollections[costtext],""""),
 ""CRAFTIFACT"",XLOOKUP(A510,tblCraftifacts[C"&amp;"raftifactID],tblCraftifacts[costtext],""""),
 """"
)"),"")</f>
        <v/>
      </c>
      <c r="P510" s="26" t="str">
        <f t="shared" si="6"/>
        <v>BLOCKED</v>
      </c>
      <c r="Q510" s="26" t="str">
        <f t="shared" si="7"/>
        <v>BLOCKED</v>
      </c>
      <c r="R510" s="26" t="str">
        <f t="array" ref="R510">IFERROR(
 _xlfn.XLOOKUP(
  A510,
  tblChecklist[TargetID],
  tblChecklist[PlayerSort],
  ""
 ),
 ""
)</f>
        <v/>
      </c>
      <c r="S510" s="26" t="str">
        <f>IFERROR(__xludf.DUMMYFUNCTION("LET(
 id,A510,
 successorIDs,
  IFERROR(
   UNIQUE(
    FILTER(
     {
      Dependencies!$A$2:$A$1000;
      QuestObjectives!$A$2:$A$1000
     },
     {
      Dependencies!$B$2:$B$1000;
      QuestObjectives!$E$2:$E$1000
     }=id
    )
   ),
   """"
  )"&amp;",
 names,
  MAP(
   successorIDs,
   LAMBDA(s,
    IF(
     s="""",
     """",
     XLOOKUP(
      s,
      $A$2:$A$1000,
      $B$2:$B$1000,
      s
     )
    )
   )
  ),
 IF(
  successorIDs="""",
  """",
  TEXTJOIN("", "",TRUE,names)
 )
)"),"Once Upon a Forest Chapter 11 Finished")</f>
        <v>Once Upon a Forest Chapter 11 Finished</v>
      </c>
      <c r="T510" s="26" t="str">
        <f t="array" ref="T510">_xlfn.XLOOKUP(
 A510,
 tblTargets[TargetID],
 tblTargets[CompletionMethod],
 ""
)</f>
        <v>PLAYER</v>
      </c>
      <c r="U510" s="84" t="b">
        <f>COUNTIF(tblCost[TargetID],A510)&gt;0</f>
        <v>0</v>
      </c>
      <c r="V510" s="85" t="str">
        <f t="array" ref="V510">IF(
 U510=FALSE,
 "",
 _xlfn.XLOOKUP(
  A510,
  tblCost[TargetID],
  tblCost[FundingPercent],
  ""
 )
)</f>
        <v/>
      </c>
      <c r="W510" s="26" t="str">
        <f t="array" ref="W510">IF(
 U510=FALSE,
 "",
 _xlfn.XLOOKUP(
  A510,
  tblCost[TargetID],
  tblCost[RemainingRequirements],
  ""
 )
)</f>
        <v/>
      </c>
      <c r="X510" s="45" t="str">
        <f t="array" ref="X510">IF(
 U510=FALSE,
 "N/A",
 _xlfn.XLOOKUP(
  A511,
  tblCost[TargetID],
  tblCost[TargetFunded],
  FALSE
 )
)</f>
        <v>N/A</v>
      </c>
      <c r="Y510" s="26" t="str">
        <f>IFERROR(__xludf.DUMMYFUNCTION("IFERROR(
 TEXTJOIN(
  "", "",
  TRUE,
  FILTER(
   'cost checklist'!$E$2:$E1000&amp;"": ""&amp;'cost checklist'!$G$2:$G1000,
   'cost checklist'!$B$2:$B1000=A510,
   'cost checklist'!$J$2:$J1000=FALSE
  )
 ),
 """"
)"),"")</f>
        <v/>
      </c>
      <c r="Z510" s="26" t="b">
        <f>IFERROR(__xludf.DUMMYFUNCTION("IF(
 AND(
  E510=""QUEST"",
  RIGHT(A510,9)="".accepted"",
  D510=TRUE
 ),
 XLOOKUP(
  REGEXREPLACE(A510,""\.accepted$"","""")&amp;"".finished"",
  $A$2:$A1000,
  $D$2:$D1000,
  TRUE
 )=FALSE,
 FALSE
)"),FALSE)</f>
        <v>0</v>
      </c>
      <c r="AA510" s="26" t="str">
        <f>IFERROR(__xludf.DUMMYFUNCTION("LET(
 id,A510,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1" ht="14.25" customHeight="1">
      <c r="A511" s="26" t="s">
        <v>1686</v>
      </c>
      <c r="B511" s="26" t="str">
        <f t="array" ref="B511">_xlfn.XLOOKUP(
 A511,
 tblTargets[TargetID],
 tblTargets[DisplayName],
 ""
)</f>
        <v>Visit Nagasaki</v>
      </c>
      <c r="C511" s="26" t="str">
        <f t="shared" si="1"/>
        <v>BLOCKED</v>
      </c>
      <c r="D511" s="26" t="b">
        <f>IFERROR(__xludf.DUMMYFUNCTION("LET(
 id,A511,
 IF(
  F511=""CHARACTER"",
  LET(
   base,REGEXREPLACE(id,""@\d+$"",""""),
   required,VALUE(REGEXEXTRACT(id,""@(\d+)$"")),
   current,XLOOKUP(
    base,
    tblPlayer[PlayerStateID],
    tblPlayer[Value],
    0
   ),
   current&gt;=required
 "&amp;" ),
  IF(
   T511=""AUTO"",
   L511=0,
   COUNTIFS(
    tblChecklist[TargetID],id,
    tblChecklist[PlayerCompleted],TRUE
   )&gt;0
  )
 )
)"),FALSE)</f>
        <v>0</v>
      </c>
      <c r="E511" s="26" t="str">
        <f t="array" ref="E511">_xlfn.XLOOKUP(
 A511,
 tblTargets[TargetID],
 tblTargets[TargetType],
 ""
)</f>
        <v>STATE</v>
      </c>
      <c r="F511" s="26" t="str">
        <f t="array" ref="F511">_xlfn.XLOOKUP(
 A511,
 tblTargets[TargetID],
 tblTargets[StateType],
 ""
)</f>
        <v>VISIT</v>
      </c>
      <c r="G511" s="26">
        <f>LET(
 id,A511,
 depCount,COUNTIF(tblDependencies[TargetID],id),
 objCount,COUNTIF(tblQuestObjectives[QuestTargetID],id),
 depCount+objCount
)</f>
        <v>2</v>
      </c>
      <c r="H511" s="26">
        <f t="shared" si="2"/>
        <v>2</v>
      </c>
      <c r="I511" s="26">
        <f>IFERROR(__xludf.DUMMYFUNCTION("LET(
 id,A511,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1" s="26">
        <f t="shared" si="3"/>
        <v>0</v>
      </c>
      <c r="K511" s="26" t="b">
        <f t="shared" si="4"/>
        <v>0</v>
      </c>
      <c r="L511" s="26">
        <f t="shared" si="5"/>
        <v>2</v>
      </c>
      <c r="M511" s="26" t="str">
        <f>IFERROR(__xludf.DUMMYFUNCTION("LET(
 id,A511,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L511=0,
  """",
  IFERROR(INDEX(incomplete,1),"""")"&amp;"
 )
)"),"quest.journey_through_japan_by_train.accepted")</f>
        <v>quest.journey_through_japan_by_train.accepted</v>
      </c>
      <c r="N511" s="26" t="str">
        <f t="array" ref="N511">IF(
 M511="",
 "",
 _xlfn.XLOOKUP(
  M511,
  tblTargets[TargetID],
  tblTargets[DisplayName],
  M511
 )
)</f>
        <v>Journey Through Japan By Train Accepted</v>
      </c>
      <c r="O511" s="26" t="str">
        <f>IFERROR(__xludf.DUMMYFUNCTION("SWITCH(
 E511,
 ""BUILDING"",XLOOKUP(A511,tblBuildings[BuildingID],tblBuildings[costtext],""""),
 ""TECH"",XLOOKUP(A511,tblTechnologies[TechnologyID],tblTechnologies[costtext],""""),
 ""QUEST"",XLOOKUP(
  REGEXREPLACE(A511,""\.[^.]+$"",""""),
  tblQuests["&amp;"QuestID],
  tblQuests[Costtext],
  """"
 ),
 ""CITADEL"",XLOOKUP(A511,tblCitadel[CitadelID],tblCitadel[costtext],""""),
 ""COLLECTION"",XLOOKUP(A511,tblCollections[CollectionID],tblCollections[costtext],""""),
 ""CRAFTIFACT"",XLOOKUP(A511,tblCraftifacts[C"&amp;"raftifactID],tblCraftifacts[costtext],""""),
 """"
)"),"")</f>
        <v/>
      </c>
      <c r="P511" s="26" t="str">
        <f t="shared" si="6"/>
        <v>BLOCKED</v>
      </c>
      <c r="Q511" s="26" t="str">
        <f t="shared" si="7"/>
        <v>BLOCKED</v>
      </c>
      <c r="R511" s="26" t="str">
        <f t="array" ref="R511">IFERROR(
 _xlfn.XLOOKUP(
  A511,
  tblChecklist[TargetID],
  tblChecklist[PlayerSort],
  ""
 ),
 ""
)</f>
        <v/>
      </c>
      <c r="S511" s="26" t="str">
        <f>IFERROR(__xludf.DUMMYFUNCTION("LET(
 id,A511,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f>
        <v>Journey Through Japan By Train Finished</v>
      </c>
      <c r="T511" s="26" t="str">
        <f t="array" ref="T511">_xlfn.XLOOKUP(
 A511,
 tblTargets[TargetID],
 tblTargets[CompletionMethod],
 ""
)</f>
        <v>PLAYER</v>
      </c>
      <c r="U511" s="84" t="b">
        <f>COUNTIF(tblCost[TargetID],A511)&gt;0</f>
        <v>0</v>
      </c>
      <c r="V511" s="85" t="str">
        <f t="array" ref="V511">IF(
 U511=FALSE,
 "",
 _xlfn.XLOOKUP(
  A511,
  tblCost[TargetID],
  tblCost[FundingPercent],
  ""
 )
)</f>
        <v/>
      </c>
      <c r="W511" s="26" t="str">
        <f t="array" ref="W511">IF(
 U511=FALSE,
 "",
 _xlfn.XLOOKUP(
  A511,
  tblCost[TargetID],
  tblCost[RemainingRequirements],
  ""
 )
)</f>
        <v/>
      </c>
      <c r="X511" s="45" t="str">
        <f t="array" ref="X511">IF(
 U511=FALSE,
 "N/A",
 _xlfn.XLOOKUP(
  A512,
  tblCost[TargetID],
  tblCost[TargetFunded],
  FALSE
 )
)</f>
        <v>N/A</v>
      </c>
      <c r="Y511" s="26" t="str">
        <f>IFERROR(__xludf.DUMMYFUNCTION("IFERROR(
 TEXTJOIN(
  "", "",
  TRUE,
  FILTER(
   'cost checklist'!$E$2:$E1000&amp;"": ""&amp;'cost checklist'!$G$2:$G1000,
   'cost checklist'!$B$2:$B1000=A511,
   'cost checklist'!$J$2:$J1000=FALSE
  )
 ),
 """"
)"),"")</f>
        <v/>
      </c>
      <c r="Z511" s="26" t="b">
        <f>IFERROR(__xludf.DUMMYFUNCTION("IF(
 AND(
  E511=""QUEST"",
  RIGHT(A511,9)="".accepted"",
  D511=TRUE
 ),
 XLOOKUP(
  REGEXREPLACE(A511,""\.accepted$"","""")&amp;"".finished"",
  $A$2:$A1000,
  $D$2:$D1000,
  TRUE
 )=FALSE,
 FALSE
)"),FALSE)</f>
        <v>0</v>
      </c>
      <c r="AA511" s="26" t="str">
        <f>IFERROR(__xludf.DUMMYFUNCTION("LET(
 id,A511,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2" ht="14.25" customHeight="1">
      <c r="A512" s="26" t="s">
        <v>1690</v>
      </c>
      <c r="B512" s="26" t="str">
        <f t="array" ref="B512">_xlfn.XLOOKUP(
 A512,
 tblTargets[TargetID],
 tblTargets[DisplayName],
 ""
)</f>
        <v>Visit Osaka</v>
      </c>
      <c r="C512" s="26" t="str">
        <f t="shared" si="1"/>
        <v>BLOCKED</v>
      </c>
      <c r="D512" s="26" t="b">
        <f>IFERROR(__xludf.DUMMYFUNCTION("LET(
 id,A512,
 IF(
  F512=""CHARACTER"",
  LET(
   base,REGEXREPLACE(id,""@\d+$"",""""),
   required,VALUE(REGEXEXTRACT(id,""@(\d+)$"")),
   current,XLOOKUP(
    base,
    tblPlayer[PlayerStateID],
    tblPlayer[Value],
    0
   ),
   current&gt;=required
 "&amp;" ),
  IF(
   T512=""AUTO"",
   L512=0,
   COUNTIFS(
    tblChecklist[TargetID],id,
    tblChecklist[PlayerCompleted],TRUE
   )&gt;0
  )
 )
)"),FALSE)</f>
        <v>0</v>
      </c>
      <c r="E512" s="26" t="str">
        <f t="array" ref="E512">_xlfn.XLOOKUP(
 A512,
 tblTargets[TargetID],
 tblTargets[TargetType],
 ""
)</f>
        <v>STATE</v>
      </c>
      <c r="F512" s="26" t="str">
        <f t="array" ref="F512">_xlfn.XLOOKUP(
 A512,
 tblTargets[TargetID],
 tblTargets[StateType],
 ""
)</f>
        <v>VISIT</v>
      </c>
      <c r="G512" s="26">
        <f>LET(
 id,A512,
 depCount,COUNTIF(tblDependencies[TargetID],id),
 objCount,COUNTIF(tblQuestObjectives[QuestTargetID],id),
 depCount+objCount
)</f>
        <v>2</v>
      </c>
      <c r="H512" s="26">
        <f t="shared" si="2"/>
        <v>2</v>
      </c>
      <c r="I512" s="26">
        <f>IFERROR(__xludf.DUMMYFUNCTION("LET(
 id,A512,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2" s="26">
        <f t="shared" si="3"/>
        <v>0</v>
      </c>
      <c r="K512" s="26" t="b">
        <f t="shared" si="4"/>
        <v>0</v>
      </c>
      <c r="L512" s="26">
        <f t="shared" si="5"/>
        <v>2</v>
      </c>
      <c r="M512" s="26" t="str">
        <f>IFERROR(__xludf.DUMMYFUNCTION("LET(
 id,A512,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L512=0,
  """",
  IFERROR(INDEX(incomplete,1),"""")"&amp;"
 )
)"),"quest.journey_through_japan_by_train.accepted")</f>
        <v>quest.journey_through_japan_by_train.accepted</v>
      </c>
      <c r="N512" s="26" t="str">
        <f t="array" ref="N512">IF(
 M512="",
 "",
 _xlfn.XLOOKUP(
  M512,
  tblTargets[TargetID],
  tblTargets[DisplayName],
  M512
 )
)</f>
        <v>Journey Through Japan By Train Accepted</v>
      </c>
      <c r="O512" s="26" t="str">
        <f>IFERROR(__xludf.DUMMYFUNCTION("SWITCH(
 E512,
 ""BUILDING"",XLOOKUP(A512,tblBuildings[BuildingID],tblBuildings[costtext],""""),
 ""TECH"",XLOOKUP(A512,tblTechnologies[TechnologyID],tblTechnologies[costtext],""""),
 ""QUEST"",XLOOKUP(
  REGEXREPLACE(A512,""\.[^.]+$"",""""),
  tblQuests["&amp;"QuestID],
  tblQuests[Costtext],
  """"
 ),
 ""CITADEL"",XLOOKUP(A512,tblCitadel[CitadelID],tblCitadel[costtext],""""),
 ""COLLECTION"",XLOOKUP(A512,tblCollections[CollectionID],tblCollections[costtext],""""),
 ""CRAFTIFACT"",XLOOKUP(A512,tblCraftifacts[C"&amp;"raftifactID],tblCraftifacts[costtext],""""),
 """"
)"),"")</f>
        <v/>
      </c>
      <c r="P512" s="26" t="str">
        <f t="shared" si="6"/>
        <v>BLOCKED</v>
      </c>
      <c r="Q512" s="26" t="str">
        <f t="shared" si="7"/>
        <v>BLOCKED</v>
      </c>
      <c r="R512" s="26" t="str">
        <f t="array" ref="R512">IFERROR(
 _xlfn.XLOOKUP(
  A512,
  tblChecklist[TargetID],
  tblChecklist[PlayerSort],
  ""
 ),
 ""
)</f>
        <v/>
      </c>
      <c r="S512" s="26" t="str">
        <f>IFERROR(__xludf.DUMMYFUNCTION("LET(
 id,A512,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f>
        <v>Journey Through Japan By Train Finished</v>
      </c>
      <c r="T512" s="26" t="str">
        <f t="array" ref="T512">_xlfn.XLOOKUP(
 A512,
 tblTargets[TargetID],
 tblTargets[CompletionMethod],
 ""
)</f>
        <v>PLAYER</v>
      </c>
      <c r="U512" s="84" t="b">
        <f>COUNTIF(tblCost[TargetID],A512)&gt;0</f>
        <v>0</v>
      </c>
      <c r="V512" s="85" t="str">
        <f t="array" ref="V512">IF(
 U512=FALSE,
 "",
 _xlfn.XLOOKUP(
  A512,
  tblCost[TargetID],
  tblCost[FundingPercent],
  ""
 )
)</f>
        <v/>
      </c>
      <c r="W512" s="26" t="str">
        <f t="array" ref="W512">IF(
 U512=FALSE,
 "",
 _xlfn.XLOOKUP(
  A512,
  tblCost[TargetID],
  tblCost[RemainingRequirements],
  ""
 )
)</f>
        <v/>
      </c>
      <c r="X512" s="45" t="str">
        <f t="array" ref="X512">IF(
 U512=FALSE,
 "N/A",
 _xlfn.XLOOKUP(
  A513,
  tblCost[TargetID],
  tblCost[TargetFunded],
  FALSE
 )
)</f>
        <v>N/A</v>
      </c>
      <c r="Y512" s="26" t="str">
        <f>IFERROR(__xludf.DUMMYFUNCTION("IFERROR(
 TEXTJOIN(
  "", "",
  TRUE,
  FILTER(
   'cost checklist'!$E$2:$E1000&amp;"": ""&amp;'cost checklist'!$G$2:$G1000,
   'cost checklist'!$B$2:$B1000=A512,
   'cost checklist'!$J$2:$J1000=FALSE
  )
 ),
 """"
)"),"")</f>
        <v/>
      </c>
      <c r="Z512" s="26" t="b">
        <f>IFERROR(__xludf.DUMMYFUNCTION("IF(
 AND(
  E512=""QUEST"",
  RIGHT(A512,9)="".accepted"",
  D512=TRUE
 ),
 XLOOKUP(
  REGEXREPLACE(A512,""\.accepted$"","""")&amp;"".finished"",
  $A$2:$A1000,
  $D$2:$D1000,
  TRUE
 )=FALSE,
 FALSE
)"),FALSE)</f>
        <v>0</v>
      </c>
      <c r="AA512" s="26" t="str">
        <f>IFERROR(__xludf.DUMMYFUNCTION("LET(
 id,A512,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3" ht="14.25" customHeight="1">
      <c r="A513" s="26" t="s">
        <v>1692</v>
      </c>
      <c r="B513" s="26" t="str">
        <f t="array" ref="B513">_xlfn.XLOOKUP(
 A513,
 tblTargets[TargetID],
 tblTargets[DisplayName],
 ""
)</f>
        <v>Visit Paris in the Airship</v>
      </c>
      <c r="C513" s="26" t="str">
        <f t="shared" si="1"/>
        <v>BLOCKED</v>
      </c>
      <c r="D513" s="26" t="b">
        <f>IFERROR(__xludf.DUMMYFUNCTION("LET(
 id,A513,
 IF(
  F513=""CHARACTER"",
  LET(
   base,REGEXREPLACE(id,""@\d+$"",""""),
   required,VALUE(REGEXEXTRACT(id,""@(\d+)$"")),
   current,XLOOKUP(
    base,
    tblPlayer[PlayerStateID],
    tblPlayer[Value],
    0
   ),
   current&gt;=required
 "&amp;" ),
  IF(
   T513=""AUTO"",
   L513=0,
   COUNTIFS(
    tblChecklist[TargetID],id,
    tblChecklist[PlayerCompleted],TRUE
   )&gt;0
  )
 )
)"),FALSE)</f>
        <v>0</v>
      </c>
      <c r="E513" s="26" t="str">
        <f t="array" ref="E513">_xlfn.XLOOKUP(
 A513,
 tblTargets[TargetID],
 tblTargets[TargetType],
 ""
)</f>
        <v>STATE</v>
      </c>
      <c r="F513" s="26" t="str">
        <f t="array" ref="F513">_xlfn.XLOOKUP(
 A513,
 tblTargets[TargetID],
 tblTargets[StateType],
 ""
)</f>
        <v>VISIT</v>
      </c>
      <c r="G513" s="26">
        <f>LET(
 id,A513,
 depCount,COUNTIF(tblDependencies[TargetID],id),
 objCount,COUNTIF(tblQuestObjectives[QuestTargetID],id),
 depCount+objCount
)</f>
        <v>1</v>
      </c>
      <c r="H513" s="26">
        <f t="shared" si="2"/>
        <v>1</v>
      </c>
      <c r="I513" s="26">
        <f>IFERROR(__xludf.DUMMYFUNCTION("LET(
 id,A513,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3" s="26">
        <f t="shared" si="3"/>
        <v>0</v>
      </c>
      <c r="K513" s="26" t="b">
        <f t="shared" si="4"/>
        <v>0</v>
      </c>
      <c r="L513" s="26">
        <f t="shared" si="5"/>
        <v>1</v>
      </c>
      <c r="M513" s="26" t="str">
        <f>IFERROR(__xludf.DUMMYFUNCTION("LET(
 id,A513,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L513=0,
  """",
  IFERROR(INDEX(incomplete,1),"""")"&amp;"
 )
)"),"quest.the_ordinary_days_of_an_adventurer_chapter_8.accepted")</f>
        <v>quest.the_ordinary_days_of_an_adventurer_chapter_8.accepted</v>
      </c>
      <c r="N513" s="26" t="str">
        <f t="array" ref="N513">IF(
 M513="",
 "",
 _xlfn.XLOOKUP(
  M513,
  tblTargets[TargetID],
  tblTargets[DisplayName],
  M513
 )
)</f>
        <v>The Ordinary Days of an Adventurer Chapter 8 Accepted</v>
      </c>
      <c r="O513" s="26" t="str">
        <f>IFERROR(__xludf.DUMMYFUNCTION("SWITCH(
 E513,
 ""BUILDING"",XLOOKUP(A513,tblBuildings[BuildingID],tblBuildings[costtext],""""),
 ""TECH"",XLOOKUP(A513,tblTechnologies[TechnologyID],tblTechnologies[costtext],""""),
 ""QUEST"",XLOOKUP(
  REGEXREPLACE(A513,""\.[^.]+$"",""""),
  tblQuests["&amp;"QuestID],
  tblQuests[Costtext],
  """"
 ),
 ""CITADEL"",XLOOKUP(A513,tblCitadel[CitadelID],tblCitadel[costtext],""""),
 ""COLLECTION"",XLOOKUP(A513,tblCollections[CollectionID],tblCollections[costtext],""""),
 ""CRAFTIFACT"",XLOOKUP(A513,tblCraftifacts[C"&amp;"raftifactID],tblCraftifacts[costtext],""""),
 """"
)"),"")</f>
        <v/>
      </c>
      <c r="P513" s="26" t="str">
        <f t="shared" si="6"/>
        <v>BLOCKED</v>
      </c>
      <c r="Q513" s="26" t="str">
        <f t="shared" si="7"/>
        <v>BLOCKED</v>
      </c>
      <c r="R513" s="26" t="str">
        <f t="array" ref="R513">IFERROR(
 _xlfn.XLOOKUP(
  A513,
  tblChecklist[TargetID],
  tblChecklist[PlayerSort],
  ""
 ),
 ""
)</f>
        <v/>
      </c>
      <c r="S513" s="26" t="str">
        <f>IFERROR(__xludf.DUMMYFUNCTION("LET(
 id,A513,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8 Finished")</f>
        <v>The Ordinary Days of an Adventurer Chapter 8 Finished</v>
      </c>
      <c r="T513" s="26" t="str">
        <f t="array" ref="T513">_xlfn.XLOOKUP(
 A513,
 tblTargets[TargetID],
 tblTargets[CompletionMethod],
 ""
)</f>
        <v>PLAYER</v>
      </c>
      <c r="U513" s="84" t="b">
        <f>COUNTIF(tblCost[TargetID],A513)&gt;0</f>
        <v>0</v>
      </c>
      <c r="V513" s="85" t="str">
        <f t="array" ref="V513">IF(
 U513=FALSE,
 "",
 _xlfn.XLOOKUP(
  A513,
  tblCost[TargetID],
  tblCost[FundingPercent],
  ""
 )
)</f>
        <v/>
      </c>
      <c r="W513" s="26" t="str">
        <f t="array" ref="W513">IF(
 U513=FALSE,
 "",
 _xlfn.XLOOKUP(
  A513,
  tblCost[TargetID],
  tblCost[RemainingRequirements],
  ""
 )
)</f>
        <v/>
      </c>
      <c r="X513" s="45" t="str">
        <f t="array" ref="X513">IF(
 U513=FALSE,
 "N/A",
 _xlfn.XLOOKUP(
  A514,
  tblCost[TargetID],
  tblCost[TargetFunded],
  FALSE
 )
)</f>
        <v>N/A</v>
      </c>
      <c r="Y513" s="26" t="str">
        <f>IFERROR(__xludf.DUMMYFUNCTION("IFERROR(
 TEXTJOIN(
  "", "",
  TRUE,
  FILTER(
   'cost checklist'!$E$2:$E1000&amp;"": ""&amp;'cost checklist'!$G$2:$G1000,
   'cost checklist'!$B$2:$B1000=A513,
   'cost checklist'!$J$2:$J1000=FALSE
  )
 ),
 """"
)"),"")</f>
        <v/>
      </c>
      <c r="Z513" s="26" t="b">
        <f>IFERROR(__xludf.DUMMYFUNCTION("IF(
 AND(
  E513=""QUEST"",
  RIGHT(A513,9)="".accepted"",
  D513=TRUE
 ),
 XLOOKUP(
  REGEXREPLACE(A513,""\.accepted$"","""")&amp;"".finished"",
  $A$2:$A1000,
  $D$2:$D1000,
  TRUE
 )=FALSE,
 FALSE
)"),FALSE)</f>
        <v>0</v>
      </c>
      <c r="AA513" s="26" t="str">
        <f>IFERROR(__xludf.DUMMYFUNCTION("LET(
 id,A513,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4" ht="14.25" customHeight="1">
      <c r="A514" s="26" t="s">
        <v>1694</v>
      </c>
      <c r="B514" s="26" t="str">
        <f t="array" ref="B514">_xlfn.XLOOKUP(
 A514,
 tblTargets[TargetID],
 tblTargets[DisplayName],
 ""
)</f>
        <v>Visit Rome</v>
      </c>
      <c r="C514" s="26" t="str">
        <f t="shared" si="1"/>
        <v>BLOCKED</v>
      </c>
      <c r="D514" s="26" t="b">
        <f>IFERROR(__xludf.DUMMYFUNCTION("LET(
 id,A514,
 IF(
  F514=""CHARACTER"",
  LET(
   base,REGEXREPLACE(id,""@\d+$"",""""),
   required,VALUE(REGEXEXTRACT(id,""@(\d+)$"")),
   current,XLOOKUP(
    base,
    tblPlayer[PlayerStateID],
    tblPlayer[Value],
    0
   ),
   current&gt;=required
 "&amp;" ),
  IF(
   T514=""AUTO"",
   L514=0,
   COUNTIFS(
    tblChecklist[TargetID],id,
    tblChecklist[PlayerCompleted],TRUE
   )&gt;0
  )
 )
)"),FALSE)</f>
        <v>0</v>
      </c>
      <c r="E514" s="26" t="str">
        <f t="array" ref="E514">_xlfn.XLOOKUP(
 A514,
 tblTargets[TargetID],
 tblTargets[TargetType],
 ""
)</f>
        <v>STATE</v>
      </c>
      <c r="F514" s="26" t="str">
        <f t="array" ref="F514">_xlfn.XLOOKUP(
 A514,
 tblTargets[TargetID],
 tblTargets[StateType],
 ""
)</f>
        <v>VISIT</v>
      </c>
      <c r="G514" s="26">
        <f>LET(
 id,A514,
 depCount,COUNTIF(tblDependencies[TargetID],id),
 objCount,COUNTIF(tblQuestObjectives[QuestTargetID],id),
 depCount+objCount
)</f>
        <v>1</v>
      </c>
      <c r="H514" s="26">
        <f t="shared" si="2"/>
        <v>1</v>
      </c>
      <c r="I514" s="26">
        <f>IFERROR(__xludf.DUMMYFUNCTION("LET(
 id,A514,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4" s="26">
        <f t="shared" si="3"/>
        <v>0</v>
      </c>
      <c r="K514" s="26" t="b">
        <f t="shared" si="4"/>
        <v>0</v>
      </c>
      <c r="L514" s="26">
        <f t="shared" si="5"/>
        <v>1</v>
      </c>
      <c r="M514" s="26" t="str">
        <f>IFERROR(__xludf.DUMMYFUNCTION("LET(
 id,A514,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L514=0,
  """",
  IFERROR(INDEX(incomplete,1),"""")"&amp;"
 )
)"),"quest.silk_road.accepted")</f>
        <v>quest.silk_road.accepted</v>
      </c>
      <c r="N514" s="26" t="str">
        <f t="array" ref="N514">IF(
 M514="",
 "",
 _xlfn.XLOOKUP(
  M514,
  tblTargets[TargetID],
  tblTargets[DisplayName],
  M514
 )
)</f>
        <v>Silk Road Accepted</v>
      </c>
      <c r="O514" s="26" t="str">
        <f>IFERROR(__xludf.DUMMYFUNCTION("SWITCH(
 E514,
 ""BUILDING"",XLOOKUP(A514,tblBuildings[BuildingID],tblBuildings[costtext],""""),
 ""TECH"",XLOOKUP(A514,tblTechnologies[TechnologyID],tblTechnologies[costtext],""""),
 ""QUEST"",XLOOKUP(
  REGEXREPLACE(A514,""\.[^.]+$"",""""),
  tblQuests["&amp;"QuestID],
  tblQuests[Costtext],
  """"
 ),
 ""CITADEL"",XLOOKUP(A514,tblCitadel[CitadelID],tblCitadel[costtext],""""),
 ""COLLECTION"",XLOOKUP(A514,tblCollections[CollectionID],tblCollections[costtext],""""),
 ""CRAFTIFACT"",XLOOKUP(A514,tblCraftifacts[C"&amp;"raftifactID],tblCraftifacts[costtext],""""),
 """"
)"),"")</f>
        <v/>
      </c>
      <c r="P514" s="26" t="str">
        <f t="shared" si="6"/>
        <v>BLOCKED</v>
      </c>
      <c r="Q514" s="26" t="str">
        <f t="shared" si="7"/>
        <v>BLOCKED</v>
      </c>
      <c r="R514" s="26" t="str">
        <f t="array" ref="R514">IFERROR(
 _xlfn.XLOOKUP(
  A514,
  tblChecklist[TargetID],
  tblChecklist[PlayerSort],
  ""
 ),
 ""
)</f>
        <v/>
      </c>
      <c r="S514" s="26" t="str">
        <f>IFERROR(__xludf.DUMMYFUNCTION("LET(
 id,A514,
 successorIDs,
  IFERROR(
   UNIQUE(
    FILTER(
     {
      Dependencies!$A$2:$A$1000;
      QuestObjectives!$A$2:$A$1000
     },
     {
      Dependencies!$B$2:$B$1000;
      QuestObjectives!$E$2:$E$1000
     }=id
    )
   ),
   """"
  )"&amp;",
 names,
  MAP(
   successorIDs,
   LAMBDA(s,
    IF(
     s="""",
     """",
     XLOOKUP(
      s,
      $A$2:$A$1000,
      $B$2:$B$1000,
      s
     )
    )
   )
  ),
 IF(
  successorIDs="""",
  """",
  TEXTJOIN("", "",TRUE,names)
 )
)"),"Silk Road Finished")</f>
        <v>Silk Road Finished</v>
      </c>
      <c r="T514" s="26" t="str">
        <f t="array" ref="T514">_xlfn.XLOOKUP(
 A514,
 tblTargets[TargetID],
 tblTargets[CompletionMethod],
 ""
)</f>
        <v>PLAYER</v>
      </c>
      <c r="U514" s="84" t="b">
        <f>COUNTIF(tblCost[TargetID],A514)&gt;0</f>
        <v>0</v>
      </c>
      <c r="V514" s="85" t="str">
        <f t="array" ref="V514">IF(
 U514=FALSE,
 "",
 _xlfn.XLOOKUP(
  A514,
  tblCost[TargetID],
  tblCost[FundingPercent],
  ""
 )
)</f>
        <v/>
      </c>
      <c r="W514" s="26" t="str">
        <f t="array" ref="W514">IF(
 U514=FALSE,
 "",
 _xlfn.XLOOKUP(
  A514,
  tblCost[TargetID],
  tblCost[RemainingRequirements],
  ""
 )
)</f>
        <v/>
      </c>
      <c r="X514" s="45" t="str">
        <f t="array" ref="X514">IF(
 U514=FALSE,
 "N/A",
 _xlfn.XLOOKUP(
  A515,
  tblCost[TargetID],
  tblCost[TargetFunded],
  FALSE
 )
)</f>
        <v>N/A</v>
      </c>
      <c r="Y514" s="26" t="str">
        <f>IFERROR(__xludf.DUMMYFUNCTION("IFERROR(
 TEXTJOIN(
  "", "",
  TRUE,
  FILTER(
   'cost checklist'!$E$2:$E1000&amp;"": ""&amp;'cost checklist'!$G$2:$G1000,
   'cost checklist'!$B$2:$B1000=A514,
   'cost checklist'!$J$2:$J1000=FALSE
  )
 ),
 """"
)"),"")</f>
        <v/>
      </c>
      <c r="Z514" s="26" t="b">
        <f>IFERROR(__xludf.DUMMYFUNCTION("IF(
 AND(
  E514=""QUEST"",
  RIGHT(A514,9)="".accepted"",
  D514=TRUE
 ),
 XLOOKUP(
  REGEXREPLACE(A514,""\.accepted$"","""")&amp;"".finished"",
  $A$2:$A1000,
  $D$2:$D1000,
  TRUE
 )=FALSE,
 FALSE
)"),FALSE)</f>
        <v>0</v>
      </c>
      <c r="AA514" s="26" t="str">
        <f>IFERROR(__xludf.DUMMYFUNCTION("LET(
 id,A514,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5" ht="14.25" customHeight="1">
      <c r="A515" s="26" t="s">
        <v>1697</v>
      </c>
      <c r="B515" s="26" t="str">
        <f t="array" ref="B515">_xlfn.XLOOKUP(
 A515,
 tblTargets[TargetID],
 tblTargets[DisplayName],
 ""
)</f>
        <v>Visit Tokyo</v>
      </c>
      <c r="C515" s="26" t="str">
        <f t="shared" si="1"/>
        <v>BLOCKED</v>
      </c>
      <c r="D515" s="26" t="b">
        <f>IFERROR(__xludf.DUMMYFUNCTION("LET(
 id,A515,
 IF(
  F515=""CHARACTER"",
  LET(
   base,REGEXREPLACE(id,""@\d+$"",""""),
   required,VALUE(REGEXEXTRACT(id,""@(\d+)$"")),
   current,XLOOKUP(
    base,
    tblPlayer[PlayerStateID],
    tblPlayer[Value],
    0
   ),
   current&gt;=required
 "&amp;" ),
  IF(
   T515=""AUTO"",
   L515=0,
   COUNTIFS(
    tblChecklist[TargetID],id,
    tblChecklist[PlayerCompleted],TRUE
   )&gt;0
  )
 )
)"),FALSE)</f>
        <v>0</v>
      </c>
      <c r="E515" s="26" t="str">
        <f t="array" ref="E515">_xlfn.XLOOKUP(
 A515,
 tblTargets[TargetID],
 tblTargets[TargetType],
 ""
)</f>
        <v>STATE</v>
      </c>
      <c r="F515" s="26" t="str">
        <f t="array" ref="F515">_xlfn.XLOOKUP(
 A515,
 tblTargets[TargetID],
 tblTargets[StateType],
 ""
)</f>
        <v>VISIT</v>
      </c>
      <c r="G515" s="26">
        <f>LET(
 id,A515,
 depCount,COUNTIF(tblDependencies[TargetID],id),
 objCount,COUNTIF(tblQuestObjectives[QuestTargetID],id),
 depCount+objCount
)</f>
        <v>2</v>
      </c>
      <c r="H515" s="26">
        <f t="shared" si="2"/>
        <v>2</v>
      </c>
      <c r="I515" s="26">
        <f>IFERROR(__xludf.DUMMYFUNCTION("LET(
 id,A515,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5" s="26">
        <f t="shared" si="3"/>
        <v>0</v>
      </c>
      <c r="K515" s="26" t="b">
        <f t="shared" si="4"/>
        <v>0</v>
      </c>
      <c r="L515" s="26">
        <f t="shared" si="5"/>
        <v>2</v>
      </c>
      <c r="M515" s="26" t="str">
        <f>IFERROR(__xludf.DUMMYFUNCTION("LET(
 id,A515,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L515=0,
  """",
  IFERROR(INDEX(incomplete,1),"""")"&amp;"
 )
)"),"quest.journey_through_japan_by_train.accepted")</f>
        <v>quest.journey_through_japan_by_train.accepted</v>
      </c>
      <c r="N515" s="26" t="str">
        <f t="array" ref="N515">IF(
 M515="",
 "",
 _xlfn.XLOOKUP(
  M515,
  tblTargets[TargetID],
  tblTargets[DisplayName],
  M515
 )
)</f>
        <v>Journey Through Japan By Train Accepted</v>
      </c>
      <c r="O515" s="26" t="str">
        <f>IFERROR(__xludf.DUMMYFUNCTION("SWITCH(
 E515,
 ""BUILDING"",XLOOKUP(A515,tblBuildings[BuildingID],tblBuildings[costtext],""""),
 ""TECH"",XLOOKUP(A515,tblTechnologies[TechnologyID],tblTechnologies[costtext],""""),
 ""QUEST"",XLOOKUP(
  REGEXREPLACE(A515,""\.[^.]+$"",""""),
  tblQuests["&amp;"QuestID],
  tblQuests[Costtext],
  """"
 ),
 ""CITADEL"",XLOOKUP(A515,tblCitadel[CitadelID],tblCitadel[costtext],""""),
 ""COLLECTION"",XLOOKUP(A515,tblCollections[CollectionID],tblCollections[costtext],""""),
 ""CRAFTIFACT"",XLOOKUP(A515,tblCraftifacts[C"&amp;"raftifactID],tblCraftifacts[costtext],""""),
 """"
)"),"")</f>
        <v/>
      </c>
      <c r="P515" s="26" t="str">
        <f t="shared" si="6"/>
        <v>BLOCKED</v>
      </c>
      <c r="Q515" s="26" t="str">
        <f t="shared" si="7"/>
        <v>BLOCKED</v>
      </c>
      <c r="R515" s="26" t="str">
        <f t="array" ref="R515">IFERROR(
 _xlfn.XLOOKUP(
  A515,
  tblChecklist[TargetID],
  tblChecklist[PlayerSort],
  ""
 ),
 ""
)</f>
        <v/>
      </c>
      <c r="S515" s="26" t="str">
        <f>IFERROR(__xludf.DUMMYFUNCTION("LET(
 id,A515,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f>
        <v>Journey Through Japan By Train Finished</v>
      </c>
      <c r="T515" s="26" t="str">
        <f t="array" ref="T515">_xlfn.XLOOKUP(
 A515,
 tblTargets[TargetID],
 tblTargets[CompletionMethod],
 ""
)</f>
        <v>PLAYER</v>
      </c>
      <c r="U515" s="84" t="b">
        <f>COUNTIF(tblCost[TargetID],A515)&gt;0</f>
        <v>0</v>
      </c>
      <c r="V515" s="85" t="str">
        <f t="array" ref="V515">IF(
 U515=FALSE,
 "",
 _xlfn.XLOOKUP(
  A515,
  tblCost[TargetID],
  tblCost[FundingPercent],
  ""
 )
)</f>
        <v/>
      </c>
      <c r="W515" s="26" t="str">
        <f t="array" ref="W515">IF(
 U515=FALSE,
 "",
 _xlfn.XLOOKUP(
  A515,
  tblCost[TargetID],
  tblCost[RemainingRequirements],
  ""
 )
)</f>
        <v/>
      </c>
      <c r="X515" s="45" t="str">
        <f t="array" ref="X515">IF(
 U515=FALSE,
 "N/A",
 _xlfn.XLOOKUP(
  A516,
  tblCost[TargetID],
  tblCost[TargetFunded],
  FALSE
 )
)</f>
        <v>N/A</v>
      </c>
      <c r="Y515" s="26" t="str">
        <f>IFERROR(__xludf.DUMMYFUNCTION("IFERROR(
 TEXTJOIN(
  "", "",
  TRUE,
  FILTER(
   'cost checklist'!$E$2:$E1000&amp;"": ""&amp;'cost checklist'!$G$2:$G1000,
   'cost checklist'!$B$2:$B1000=A515,
   'cost checklist'!$J$2:$J1000=FALSE
  )
 ),
 """"
)"),"")</f>
        <v/>
      </c>
      <c r="Z515" s="26" t="b">
        <f>IFERROR(__xludf.DUMMYFUNCTION("IF(
 AND(
  E515=""QUEST"",
  RIGHT(A515,9)="".accepted"",
  D515=TRUE
 ),
 XLOOKUP(
  REGEXREPLACE(A515,""\.accepted$"","""")&amp;"".finished"",
  $A$2:$A1000,
  $D$2:$D1000,
  TRUE
 )=FALSE,
 FALSE
)"),FALSE)</f>
        <v>0</v>
      </c>
      <c r="AA515" s="26" t="str">
        <f>IFERROR(__xludf.DUMMYFUNCTION("LET(
 id,A515,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6" ht="14.25" customHeight="1">
      <c r="A516" s="26" t="s">
        <v>1699</v>
      </c>
      <c r="B516" s="26" t="str">
        <f t="array" ref="B516">_xlfn.XLOOKUP(
 A516,
 tblTargets[TargetID],
 tblTargets[DisplayName],
 ""
)</f>
        <v>Visit Wakayama</v>
      </c>
      <c r="C516" s="26" t="str">
        <f t="shared" si="1"/>
        <v>BLOCKED</v>
      </c>
      <c r="D516" s="26" t="b">
        <f>IFERROR(__xludf.DUMMYFUNCTION("LET(
 id,A516,
 IF(
  F516=""CHARACTER"",
  LET(
   base,REGEXREPLACE(id,""@\d+$"",""""),
   required,VALUE(REGEXEXTRACT(id,""@(\d+)$"")),
   current,XLOOKUP(
    base,
    tblPlayer[PlayerStateID],
    tblPlayer[Value],
    0
   ),
   current&gt;=required
 "&amp;" ),
  IF(
   T516=""AUTO"",
   L516=0,
   COUNTIFS(
    tblChecklist[TargetID],id,
    tblChecklist[PlayerCompleted],TRUE
   )&gt;0
  )
 )
)"),FALSE)</f>
        <v>0</v>
      </c>
      <c r="E516" s="26" t="str">
        <f t="array" ref="E516">_xlfn.XLOOKUP(
 A516,
 tblTargets[TargetID],
 tblTargets[TargetType],
 ""
)</f>
        <v>STATE</v>
      </c>
      <c r="F516" s="26" t="str">
        <f t="array" ref="F516">_xlfn.XLOOKUP(
 A516,
 tblTargets[TargetID],
 tblTargets[StateType],
 ""
)</f>
        <v>VISIT</v>
      </c>
      <c r="G516" s="26">
        <f>LET(
 id,A516,
 depCount,COUNTIF(tblDependencies[TargetID],id),
 objCount,COUNTIF(tblQuestObjectives[QuestTargetID],id),
 depCount+objCount
)</f>
        <v>2</v>
      </c>
      <c r="H516" s="26">
        <f t="shared" si="2"/>
        <v>2</v>
      </c>
      <c r="I516" s="26">
        <f>IFERROR(__xludf.DUMMYFUNCTION("LET(
 id,A516,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6" s="26">
        <f t="shared" si="3"/>
        <v>0</v>
      </c>
      <c r="K516" s="26" t="b">
        <f t="shared" si="4"/>
        <v>0</v>
      </c>
      <c r="L516" s="26">
        <f t="shared" si="5"/>
        <v>2</v>
      </c>
      <c r="M516" s="26" t="str">
        <f>IFERROR(__xludf.DUMMYFUNCTION("LET(
 id,A516,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L516=0,
  """",
  IFERROR(INDEX(incomplete,1),"""")"&amp;"
 )
)"),"quest.journey_through_japan_by_train.accepted")</f>
        <v>quest.journey_through_japan_by_train.accepted</v>
      </c>
      <c r="N516" s="26" t="str">
        <f t="array" ref="N516">IF(
 M516="",
 "",
 _xlfn.XLOOKUP(
  M516,
  tblTargets[TargetID],
  tblTargets[DisplayName],
  M516
 )
)</f>
        <v>Journey Through Japan By Train Accepted</v>
      </c>
      <c r="O516" s="26" t="str">
        <f>IFERROR(__xludf.DUMMYFUNCTION("SWITCH(
 E516,
 ""BUILDING"",XLOOKUP(A516,tblBuildings[BuildingID],tblBuildings[costtext],""""),
 ""TECH"",XLOOKUP(A516,tblTechnologies[TechnologyID],tblTechnologies[costtext],""""),
 ""QUEST"",XLOOKUP(
  REGEXREPLACE(A516,""\.[^.]+$"",""""),
  tblQuests["&amp;"QuestID],
  tblQuests[Costtext],
  """"
 ),
 ""CITADEL"",XLOOKUP(A516,tblCitadel[CitadelID],tblCitadel[costtext],""""),
 ""COLLECTION"",XLOOKUP(A516,tblCollections[CollectionID],tblCollections[costtext],""""),
 ""CRAFTIFACT"",XLOOKUP(A516,tblCraftifacts[C"&amp;"raftifactID],tblCraftifacts[costtext],""""),
 """"
)"),"")</f>
        <v/>
      </c>
      <c r="P516" s="26" t="str">
        <f t="shared" si="6"/>
        <v>BLOCKED</v>
      </c>
      <c r="Q516" s="26" t="str">
        <f t="shared" si="7"/>
        <v>BLOCKED</v>
      </c>
      <c r="R516" s="26" t="str">
        <f t="array" ref="R516">IFERROR(
 _xlfn.XLOOKUP(
  A516,
  tblChecklist[TargetID],
  tblChecklist[PlayerSort],
  ""
 ),
 ""
)</f>
        <v/>
      </c>
      <c r="S516" s="26" t="str">
        <f>IFERROR(__xludf.DUMMYFUNCTION("LET(
 id,A516,
 successorIDs,
  IFERROR(
   UNIQUE(
    FILTER(
     {
      Dependencies!$A$2:$A$1000;
      QuestObjectives!$A$2:$A$1000
     },
     {
      Dependencies!$B$2:$B$1000;
      QuestObjectives!$E$2:$E$1000
     }=id
    )
   ),
   """"
  )"&amp;",
 names,
  MAP(
   successorIDs,
   LAMBDA(s,
    IF(
     s="""",
     """",
     XLOOKUP(
      s,
      $A$2:$A$1000,
      $B$2:$B$1000,
      s
     )
    )
   )
  ),
 IF(
  successorIDs="""",
  """",
  TEXTJOIN("", "",TRUE,names)
 )
)"),"Journey Through Japan By Train Finished")</f>
        <v>Journey Through Japan By Train Finished</v>
      </c>
      <c r="T516" s="26" t="str">
        <f t="array" ref="T516">_xlfn.XLOOKUP(
 A516,
 tblTargets[TargetID],
 tblTargets[CompletionMethod],
 ""
)</f>
        <v>PLAYER</v>
      </c>
      <c r="U516" s="84" t="b">
        <f>COUNTIF(tblCost[TargetID],A516)&gt;0</f>
        <v>0</v>
      </c>
      <c r="V516" s="85" t="str">
        <f t="array" ref="V516">IF(
 U516=FALSE,
 "",
 _xlfn.XLOOKUP(
  A516,
  tblCost[TargetID],
  tblCost[FundingPercent],
  ""
 )
)</f>
        <v/>
      </c>
      <c r="W516" s="26" t="str">
        <f t="array" ref="W516">IF(
 U516=FALSE,
 "",
 _xlfn.XLOOKUP(
  A516,
  tblCost[TargetID],
  tblCost[RemainingRequirements],
  ""
 )
)</f>
        <v/>
      </c>
      <c r="X516" s="45" t="str">
        <f t="array" ref="X516">IF(
 U516=FALSE,
 "N/A",
 _xlfn.XLOOKUP(
  A517,
  tblCost[TargetID],
  tblCost[TargetFunded],
  FALSE
 )
)</f>
        <v>N/A</v>
      </c>
      <c r="Y516" s="26" t="str">
        <f>IFERROR(__xludf.DUMMYFUNCTION("IFERROR(
 TEXTJOIN(
  "", "",
  TRUE,
  FILTER(
   'cost checklist'!$E$2:$E1000&amp;"": ""&amp;'cost checklist'!$G$2:$G1000,
   'cost checklist'!$B$2:$B1000=A516,
   'cost checklist'!$J$2:$J1000=FALSE
  )
 ),
 """"
)"),"")</f>
        <v/>
      </c>
      <c r="Z516" s="26" t="b">
        <f>IFERROR(__xludf.DUMMYFUNCTION("IF(
 AND(
  E516=""QUEST"",
  RIGHT(A516,9)="".accepted"",
  D516=TRUE
 ),
 XLOOKUP(
  REGEXREPLACE(A516,""\.accepted$"","""")&amp;"".finished"",
  $A$2:$A1000,
  $D$2:$D1000,
  TRUE
 )=FALSE,
 FALSE
)"),FALSE)</f>
        <v>0</v>
      </c>
      <c r="AA516" s="26" t="str">
        <f>IFERROR(__xludf.DUMMYFUNCTION("LET(
 id,A516,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7" ht="14.25" customHeight="1">
      <c r="A517" s="26" t="s">
        <v>1701</v>
      </c>
      <c r="B517" s="26" t="str">
        <f t="array" ref="B517">_xlfn.XLOOKUP(
 A517,
 tblTargets[TargetID],
 tblTargets[DisplayName],
 ""
)</f>
        <v>Visit Xian</v>
      </c>
      <c r="C517" s="26" t="str">
        <f t="shared" si="1"/>
        <v>BLOCKED</v>
      </c>
      <c r="D517" s="26" t="b">
        <f>IFERROR(__xludf.DUMMYFUNCTION("LET(
 id,A517,
 IF(
  F517=""CHARACTER"",
  LET(
   base,REGEXREPLACE(id,""@\d+$"",""""),
   required,VALUE(REGEXEXTRACT(id,""@(\d+)$"")),
   current,XLOOKUP(
    base,
    tblPlayer[PlayerStateID],
    tblPlayer[Value],
    0
   ),
   current&gt;=required
 "&amp;" ),
  IF(
   T517=""AUTO"",
   L517=0,
   COUNTIFS(
    tblChecklist[TargetID],id,
    tblChecklist[PlayerCompleted],TRUE
   )&gt;0
  )
 )
)"),FALSE)</f>
        <v>0</v>
      </c>
      <c r="E517" s="26" t="str">
        <f t="array" ref="E517">_xlfn.XLOOKUP(
 A517,
 tblTargets[TargetID],
 tblTargets[TargetType],
 ""
)</f>
        <v>STATE</v>
      </c>
      <c r="F517" s="26" t="str">
        <f t="array" ref="F517">_xlfn.XLOOKUP(
 A517,
 tblTargets[TargetID],
 tblTargets[StateType],
 ""
)</f>
        <v>VISIT</v>
      </c>
      <c r="G517" s="26">
        <f>LET(
 id,A517,
 depCount,COUNTIF(tblDependencies[TargetID],id),
 objCount,COUNTIF(tblQuestObjectives[QuestTargetID],id),
 depCount+objCount
)</f>
        <v>1</v>
      </c>
      <c r="H517" s="26">
        <f t="shared" si="2"/>
        <v>1</v>
      </c>
      <c r="I517" s="26">
        <f>IFERROR(__xludf.DUMMYFUNCTION("LET(
 id,A517,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7" s="26">
        <f t="shared" si="3"/>
        <v>0</v>
      </c>
      <c r="K517" s="26" t="b">
        <f t="shared" si="4"/>
        <v>0</v>
      </c>
      <c r="L517" s="26">
        <f t="shared" si="5"/>
        <v>1</v>
      </c>
      <c r="M517" s="26" t="str">
        <f>IFERROR(__xludf.DUMMYFUNCTION("LET(
 id,A517,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L517=0,
  """",
  IFERROR(INDEX(incomplete,1),"""")"&amp;"
 )
)"),"quest.silk_road.accepted")</f>
        <v>quest.silk_road.accepted</v>
      </c>
      <c r="N517" s="26" t="str">
        <f t="array" ref="N517">IF(
 M517="",
 "",
 _xlfn.XLOOKUP(
  M517,
  tblTargets[TargetID],
  tblTargets[DisplayName],
  M517
 )
)</f>
        <v>Silk Road Accepted</v>
      </c>
      <c r="O517" s="26" t="str">
        <f>IFERROR(__xludf.DUMMYFUNCTION("SWITCH(
 E517,
 ""BUILDING"",XLOOKUP(A517,tblBuildings[BuildingID],tblBuildings[costtext],""""),
 ""TECH"",XLOOKUP(A517,tblTechnologies[TechnologyID],tblTechnologies[costtext],""""),
 ""QUEST"",XLOOKUP(
  REGEXREPLACE(A517,""\.[^.]+$"",""""),
  tblQuests["&amp;"QuestID],
  tblQuests[Costtext],
  """"
 ),
 ""CITADEL"",XLOOKUP(A517,tblCitadel[CitadelID],tblCitadel[costtext],""""),
 ""COLLECTION"",XLOOKUP(A517,tblCollections[CollectionID],tblCollections[costtext],""""),
 ""CRAFTIFACT"",XLOOKUP(A517,tblCraftifacts[C"&amp;"raftifactID],tblCraftifacts[costtext],""""),
 """"
)"),"")</f>
        <v/>
      </c>
      <c r="P517" s="26" t="str">
        <f t="shared" si="6"/>
        <v>BLOCKED</v>
      </c>
      <c r="Q517" s="26" t="str">
        <f t="shared" si="7"/>
        <v>BLOCKED</v>
      </c>
      <c r="R517" s="26" t="str">
        <f t="array" ref="R517">IFERROR(
 _xlfn.XLOOKUP(
  A517,
  tblChecklist[TargetID],
  tblChecklist[PlayerSort],
  ""
 ),
 ""
)</f>
        <v/>
      </c>
      <c r="S517" s="26" t="str">
        <f>IFERROR(__xludf.DUMMYFUNCTION("LET(
 id,A517,
 successorIDs,
  IFERROR(
   UNIQUE(
    FILTER(
     {
      Dependencies!$A$2:$A$1000;
      QuestObjectives!$A$2:$A$1000
     },
     {
      Dependencies!$B$2:$B$1000;
      QuestObjectives!$E$2:$E$1000
     }=id
    )
   ),
   """"
  )"&amp;",
 names,
  MAP(
   successorIDs,
   LAMBDA(s,
    IF(
     s="""",
     """",
     XLOOKUP(
      s,
      $A$2:$A$1000,
      $B$2:$B$1000,
      s
     )
    )
   )
  ),
 IF(
  successorIDs="""",
  """",
  TEXTJOIN("", "",TRUE,names)
 )
)"),"Silk Road Finished")</f>
        <v>Silk Road Finished</v>
      </c>
      <c r="T517" s="26" t="str">
        <f t="array" ref="T517">_xlfn.XLOOKUP(
 A517,
 tblTargets[TargetID],
 tblTargets[CompletionMethod],
 ""
)</f>
        <v>PLAYER</v>
      </c>
      <c r="U517" s="84" t="b">
        <f>COUNTIF(tblCost[TargetID],A517)&gt;0</f>
        <v>0</v>
      </c>
      <c r="V517" s="85" t="str">
        <f t="array" ref="V517">IF(
 U517=FALSE,
 "",
 _xlfn.XLOOKUP(
  A517,
  tblCost[TargetID],
  tblCost[FundingPercent],
  ""
 )
)</f>
        <v/>
      </c>
      <c r="W517" s="26" t="str">
        <f t="array" ref="W517">IF(
 U517=FALSE,
 "",
 _xlfn.XLOOKUP(
  A517,
  tblCost[TargetID],
  tblCost[RemainingRequirements],
  ""
 )
)</f>
        <v/>
      </c>
      <c r="X517" s="45" t="str">
        <f t="array" ref="X517">IF(
 U517=FALSE,
 "N/A",
 _xlfn.XLOOKUP(
  A518,
  tblCost[TargetID],
  tblCost[TargetFunded],
  FALSE
 )
)</f>
        <v>N/A</v>
      </c>
      <c r="Y517" s="26" t="str">
        <f>IFERROR(__xludf.DUMMYFUNCTION("IFERROR(
 TEXTJOIN(
  "", "",
  TRUE,
  FILTER(
   'cost checklist'!$E$2:$E1000&amp;"": ""&amp;'cost checklist'!$G$2:$G1000,
   'cost checklist'!$B$2:$B1000=A517,
   'cost checklist'!$J$2:$J1000=FALSE
  )
 ),
 """"
)"),"")</f>
        <v/>
      </c>
      <c r="Z517" s="26" t="b">
        <f>IFERROR(__xludf.DUMMYFUNCTION("IF(
 AND(
  E517=""QUEST"",
  RIGHT(A517,9)="".accepted"",
  D517=TRUE
 ),
 XLOOKUP(
  REGEXREPLACE(A517,""\.accepted$"","""")&amp;"".finished"",
  $A$2:$A1000,
  $D$2:$D1000,
  TRUE
 )=FALSE,
 FALSE
)"),FALSE)</f>
        <v>0</v>
      </c>
      <c r="AA517" s="26" t="str">
        <f>IFERROR(__xludf.DUMMYFUNCTION("LET(
 id,A517,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8" ht="14.25" customHeight="1">
      <c r="A518" s="26" t="s">
        <v>1703</v>
      </c>
      <c r="B518" s="26" t="str">
        <f t="array" ref="B518">_xlfn.XLOOKUP(
 A518,
 tblTargets[TargetID],
 tblTargets[DisplayName],
 ""
)</f>
        <v>Airship - Titanium Longerons</v>
      </c>
      <c r="C518" s="26" t="str">
        <f t="shared" si="1"/>
        <v>BLOCKED</v>
      </c>
      <c r="D518" s="26" t="b">
        <f>IFERROR(__xludf.DUMMYFUNCTION("LET(
 id,A518,
 IF(
  F518=""CHARACTER"",
  LET(
   base,REGEXREPLACE(id,""@\d+$"",""""),
   required,VALUE(REGEXEXTRACT(id,""@(\d+)$"")),
   current,XLOOKUP(
    base,
    tblPlayer[PlayerStateID],
    tblPlayer[Value],
    0
   ),
   current&gt;=required
 "&amp;" ),
  IF(
   T518=""AUTO"",
   L518=0,
   COUNTIFS(
    tblChecklist[TargetID],id,
    tblChecklist[PlayerCompleted],TRUE
   )&gt;0
  )
 )
)"),FALSE)</f>
        <v>0</v>
      </c>
      <c r="E518" s="26" t="str">
        <f t="array" ref="E518">_xlfn.XLOOKUP(
 A518,
 tblTargets[TargetID],
 tblTargets[TargetType],
 ""
)</f>
        <v>TECH</v>
      </c>
      <c r="F518" s="26" t="str">
        <f t="array" ref="F518">_xlfn.XLOOKUP(
 A518,
 tblTargets[TargetID],
 tblTargets[StateType],
 ""
)</f>
        <v/>
      </c>
      <c r="G518" s="26">
        <f>LET(
 id,A518,
 depCount,COUNTIF(tblDependencies[TargetID],id),
 objCount,COUNTIF(tblQuestObjectives[QuestTargetID],id),
 depCount+objCount
)</f>
        <v>3</v>
      </c>
      <c r="H518" s="26">
        <f t="shared" si="2"/>
        <v>3</v>
      </c>
      <c r="I518" s="26">
        <f>IFERROR(__xludf.DUMMYFUNCTION("LET(
 id,A518,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8" s="26">
        <f t="shared" si="3"/>
        <v>0</v>
      </c>
      <c r="K518" s="26" t="b">
        <f t="shared" si="4"/>
        <v>0</v>
      </c>
      <c r="L518" s="26">
        <f t="shared" si="5"/>
        <v>3</v>
      </c>
      <c r="M518" s="26" t="str">
        <f>IFERROR(__xludf.DUMMYFUNCTION("LET(
 id,A518,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L518=0,
  """",
  IFERROR(INDEX(incomplete,1),"""")"&amp;"
 )
)"),"tech.furnace.titanium_parts")</f>
        <v>tech.furnace.titanium_parts</v>
      </c>
      <c r="N518" s="26" t="str">
        <f t="array" ref="N518">IF(
 M518="",
 "",
 _xlfn.XLOOKUP(
  M518,
  tblTargets[TargetID],
  tblTargets[DisplayName],
  M518
 )
)</f>
        <v>Furnace - Titanium Parts</v>
      </c>
      <c r="O518" s="26" t="str">
        <f>IFERROR(__xludf.DUMMYFUNCTION("SWITCH(
 E518,
 ""BUILDING"",XLOOKUP(A518,tblBuildings[BuildingID],tblBuildings[costtext],""""),
 ""TECH"",XLOOKUP(A518,tblTechnologies[TechnologyID],tblTechnologies[costtext],""""),
 ""QUEST"",XLOOKUP(
  REGEXREPLACE(A518,""\.[^.]+$"",""""),
  tblQuests["&amp;"QuestID],
  tblQuests[Costtext],
  """"
 ),
 ""CITADEL"",XLOOKUP(A518,tblCitadel[CitadelID],tblCitadel[costtext],""""),
 ""COLLECTION"",XLOOKUP(A518,tblCollections[CollectionID],tblCollections[costtext],""""),
 ""CRAFTIFACT"",XLOOKUP(A518,tblCraftifacts[C"&amp;"raftifactID],tblCraftifacts[costtext],""""),
 """"
)"),"10 apy,30 blueprint,1000 coin,20 reagent,5 ruby,30 tparts")</f>
        <v>10 apy,30 blueprint,1000 coin,20 reagent,5 ruby,30 tparts</v>
      </c>
      <c r="P518" s="26" t="str">
        <f t="shared" si="6"/>
        <v>BLOCKED</v>
      </c>
      <c r="Q518" s="26" t="str">
        <f t="shared" si="7"/>
        <v>BLOCKED</v>
      </c>
      <c r="R518" s="26">
        <f t="array" ref="R518">IFERROR(
 _xlfn.XLOOKUP(
  A518,
  tblChecklist[TargetID],
  tblChecklist[PlayerSort],
  ""
 ),
 ""
)</f>
        <v>1</v>
      </c>
      <c r="S518" s="26" t="str">
        <f>IFERROR(__xludf.DUMMYFUNCTION("LET(
 id,A518,
 successorIDs,
  IFERROR(
   UNIQUE(
    FILTER(
     {
      Dependencies!$A$2:$A$1000;
      QuestObjectives!$A$2:$A$1000
     },
     {
      Dependencies!$B$2:$B$1000;
      QuestObjectives!$E$2:$E$1000
     }=id
    )
   ),
   """"
  )"&amp;",
 names,
  MAP(
   successorIDs,
   LAMBDA(s,
    IF(
     s="""",
     """",
     XLOOKUP(
      s,
      $A$2:$A$1000,
      $B$2:$B$1000,
      s
     )
    )
   )
  ),
 IF(
  successorIDs="""",
  """",
  TEXTJOIN("", "",TRUE,names)
 )
)"),"")</f>
        <v/>
      </c>
      <c r="T518" s="26" t="str">
        <f t="array" ref="T518">_xlfn.XLOOKUP(
 A518,
 tblTargets[TargetID],
 tblTargets[CompletionMethod],
 ""
)</f>
        <v>PLAYER</v>
      </c>
      <c r="U518" s="84" t="b">
        <f>COUNTIF(tblCost[TargetID],A518)&gt;0</f>
        <v>1</v>
      </c>
      <c r="V518" s="85">
        <f t="array" ref="V518">IF(
 U518=FALSE,
 "",
 _xlfn.XLOOKUP(
  A518,
  tblCost[TargetID],
  tblCost[FundingPercent],
  ""
 )
)</f>
        <v>0</v>
      </c>
      <c r="W518" s="26">
        <f t="array" ref="W518">IF(
 U518=FALSE,
 "",
 _xlfn.XLOOKUP(
  A518,
  tblCost[TargetID],
  tblCost[RemainingRequirements],
  ""
 )
)</f>
        <v>6</v>
      </c>
      <c r="X518" s="45" t="b">
        <f t="array" ref="X518">IF(
 U518=FALSE,
 "N/A",
 _xlfn.XLOOKUP(
  A519,
  tblCost[TargetID],
  tblCost[TargetFunded],
  FALSE
 )
)</f>
        <v>0</v>
      </c>
      <c r="Y518" s="26" t="str">
        <f>IFERROR(__xludf.DUMMYFUNCTION("IFERROR(
 TEXTJOIN(
  "", "",
  TRUE,
  FILTER(
   'cost checklist'!$E$2:$E1000&amp;"": ""&amp;'cost checklist'!$G$2:$G1000,
   'cost checklist'!$B$2:$B1000=A518,
   'cost checklist'!$J$2:$J1000=FALSE
  )
 ),
 """"
)"),"apy: 10, blueprint: 30, coin: 1000, reagent: 20, ruby: 5, tparts: 30")</f>
        <v>apy: 10, blueprint: 30, coin: 1000, reagent: 20, ruby: 5, tparts: 30</v>
      </c>
      <c r="Z518" s="26" t="b">
        <f>IFERROR(__xludf.DUMMYFUNCTION("IF(
 AND(
  E518=""QUEST"",
  RIGHT(A518,9)="".accepted"",
  D518=TRUE
 ),
 XLOOKUP(
  REGEXREPLACE(A518,""\.accepted$"","""")&amp;"".finished"",
  $A$2:$A1000,
  $D$2:$D1000,
  TRUE
 )=FALSE,
 FALSE
)"),FALSE)</f>
        <v>0</v>
      </c>
      <c r="AA518" s="26" t="str">
        <f>IFERROR(__xludf.DUMMYFUNCTION("LET(
 id,A518,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19" ht="14.25" customHeight="1">
      <c r="A519" s="26" t="s">
        <v>1707</v>
      </c>
      <c r="B519" s="26" t="str">
        <f t="array" ref="B519">_xlfn.XLOOKUP(
 A519,
 tblTargets[TargetID],
 tblTargets[DisplayName],
 ""
)</f>
        <v>Alchemists Hut - Advanced Fertilizer</v>
      </c>
      <c r="C519" s="26" t="str">
        <f t="shared" si="1"/>
        <v>BLOCKED</v>
      </c>
      <c r="D519" s="26" t="b">
        <f>IFERROR(__xludf.DUMMYFUNCTION("LET(
 id,A519,
 IF(
  F519=""CHARACTER"",
  LET(
   base,REGEXREPLACE(id,""@\d+$"",""""),
   required,VALUE(REGEXEXTRACT(id,""@(\d+)$"")),
   current,XLOOKUP(
    base,
    tblPlayer[PlayerStateID],
    tblPlayer[Value],
    0
   ),
   current&gt;=required
 "&amp;" ),
  IF(
   T519=""AUTO"",
   L519=0,
   COUNTIFS(
    tblChecklist[TargetID],id,
    tblChecklist[PlayerCompleted],TRUE
   )&gt;0
  )
 )
)"),FALSE)</f>
        <v>0</v>
      </c>
      <c r="E519" s="26" t="str">
        <f t="array" ref="E519">_xlfn.XLOOKUP(
 A519,
 tblTargets[TargetID],
 tblTargets[TargetType],
 ""
)</f>
        <v>TECH</v>
      </c>
      <c r="F519" s="26" t="str">
        <f t="array" ref="F519">_xlfn.XLOOKUP(
 A519,
 tblTargets[TargetID],
 tblTargets[StateType],
 ""
)</f>
        <v/>
      </c>
      <c r="G519" s="26">
        <f>LET(
 id,A519,
 depCount,COUNTIF(tblDependencies[TargetID],id),
 objCount,COUNTIF(tblQuestObjectives[QuestTargetID],id),
 depCount+objCount
)</f>
        <v>2</v>
      </c>
      <c r="H519" s="26">
        <f t="shared" si="2"/>
        <v>2</v>
      </c>
      <c r="I519" s="26">
        <f>IFERROR(__xludf.DUMMYFUNCTION("LET(
 id,A519,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19" s="26">
        <f t="shared" si="3"/>
        <v>0</v>
      </c>
      <c r="K519" s="26" t="b">
        <f t="shared" si="4"/>
        <v>0</v>
      </c>
      <c r="L519" s="26">
        <f t="shared" si="5"/>
        <v>2</v>
      </c>
      <c r="M519" s="26" t="str">
        <f>IFERROR(__xludf.DUMMYFUNCTION("LET(
 id,A519,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L519=0,
  """",
  IFERROR(INDEX(incomplete,1),"""")"&amp;"
 )
)"),"tech.alchemists_hut.synthetic_fertilizer")</f>
        <v>tech.alchemists_hut.synthetic_fertilizer</v>
      </c>
      <c r="N519" s="26" t="str">
        <f t="array" ref="N519">IF(
 M519="",
 "",
 _xlfn.XLOOKUP(
  M519,
  tblTargets[TargetID],
  tblTargets[DisplayName],
  M519
 )
)</f>
        <v>Alchemists Hut - Synthetic Fertilizer</v>
      </c>
      <c r="O519" s="26" t="str">
        <f>IFERROR(__xludf.DUMMYFUNCTION("SWITCH(
 E519,
 ""BUILDING"",XLOOKUP(A519,tblBuildings[BuildingID],tblBuildings[costtext],""""),
 ""TECH"",XLOOKUP(A519,tblTechnologies[TechnologyID],tblTechnologies[costtext],""""),
 ""QUEST"",XLOOKUP(
  REGEXREPLACE(A519,""\.[^.]+$"",""""),
  tblQuests["&amp;"QuestID],
  tblQuests[Costtext],
  """"
 ),
 ""CITADEL"",XLOOKUP(A519,tblCitadel[CitadelID],tblCitadel[costtext],""""),
 ""COLLECTION"",XLOOKUP(A519,tblCollections[CollectionID],tblCollections[costtext],""""),
 ""CRAFTIFACT"",XLOOKUP(A519,tblCraftifacts[C"&amp;"raftifactID],tblCraftifacts[costtext],""""),
 """"
)"),"30 blueprint,20 catalyst,100 chemicals,800 coin,50 fertilizer,20 glass,20 reagent,5 ruby,10 titanium")</f>
        <v>30 blueprint,20 catalyst,100 chemicals,800 coin,50 fertilizer,20 glass,20 reagent,5 ruby,10 titanium</v>
      </c>
      <c r="P519" s="26" t="str">
        <f t="shared" si="6"/>
        <v>BLOCKED</v>
      </c>
      <c r="Q519" s="26" t="str">
        <f t="shared" si="7"/>
        <v>BLOCKED</v>
      </c>
      <c r="R519" s="26" t="str">
        <f t="array" ref="R519">IFERROR(
 _xlfn.XLOOKUP(
  A519,
  tblChecklist[TargetID],
  tblChecklist[PlayerSort],
  ""
 ),
 ""
)</f>
        <v/>
      </c>
      <c r="S519" s="26" t="str">
        <f>IFERROR(__xludf.DUMMYFUNCTION("LET(
 id,A519,
 successorIDs,
  IFERROR(
   UNIQUE(
    FILTER(
     {
      Dependencies!$A$2:$A$1000;
      QuestObjectives!$A$2:$A$1000
     },
     {
      Dependencies!$B$2:$B$1000;
      QuestObjectives!$E$2:$E$1000
     }=id
    )
   ),
   """"
  )"&amp;",
 names,
  MAP(
   successorIDs,
   LAMBDA(s,
    IF(
     s="""",
     """",
     XLOOKUP(
      s,
      $A$2:$A$1000,
      $B$2:$B$1000,
      s
     )
    )
   )
  ),
 IF(
  successorIDs="""",
  """",
  TEXTJOIN("", "",TRUE,names)
 )
)"),"")</f>
        <v/>
      </c>
      <c r="T519" s="26" t="str">
        <f t="array" ref="T519">_xlfn.XLOOKUP(
 A519,
 tblTargets[TargetID],
 tblTargets[CompletionMethod],
 ""
)</f>
        <v>PLAYER</v>
      </c>
      <c r="U519" s="84" t="b">
        <f>COUNTIF(tblCost[TargetID],A519)&gt;0</f>
        <v>1</v>
      </c>
      <c r="V519" s="85">
        <f t="array" ref="V519">IF(
 U519=FALSE,
 "",
 _xlfn.XLOOKUP(
  A519,
  tblCost[TargetID],
  tblCost[FundingPercent],
  ""
 )
)</f>
        <v>0</v>
      </c>
      <c r="W519" s="26">
        <f t="array" ref="W519">IF(
 U519=FALSE,
 "",
 _xlfn.XLOOKUP(
  A519,
  tblCost[TargetID],
  tblCost[RemainingRequirements],
  ""
 )
)</f>
        <v>9</v>
      </c>
      <c r="X519" s="45" t="b">
        <f t="array" ref="X519">IF(
 U519=FALSE,
 "N/A",
 _xlfn.XLOOKUP(
  A520,
  tblCost[TargetID],
  tblCost[TargetFunded],
  FALSE
 )
)</f>
        <v>0</v>
      </c>
      <c r="Y519" s="26" t="str">
        <f>IFERROR(__xludf.DUMMYFUNCTION("IFERROR(
 TEXTJOIN(
  "", "",
  TRUE,
  FILTER(
   'cost checklist'!$E$2:$E1000&amp;"": ""&amp;'cost checklist'!$G$2:$G1000,
   'cost checklist'!$B$2:$B1000=A519,
   'cost checklist'!$J$2:$J1000=FALSE
  )
 ),
 """"
)"),"blueprint: 30, catalyst: 20, chemicals: 100, coin: 800, fertilizer: 50, glass: 20, reagent: 20, ruby: 5, titanium: 10")</f>
        <v>blueprint: 30, catalyst: 20, chemicals: 100, coin: 800, fertilizer: 50, glass: 20, reagent: 20, ruby: 5, titanium: 10</v>
      </c>
      <c r="Z519" s="26" t="b">
        <f>IFERROR(__xludf.DUMMYFUNCTION("IF(
 AND(
  E519=""QUEST"",
  RIGHT(A519,9)="".accepted"",
  D519=TRUE
 ),
 XLOOKUP(
  REGEXREPLACE(A519,""\.accepted$"","""")&amp;"".finished"",
  $A$2:$A1000,
  $D$2:$D1000,
  TRUE
 )=FALSE,
 FALSE
)"),FALSE)</f>
        <v>0</v>
      </c>
      <c r="AA519" s="26" t="str">
        <f>IFERROR(__xludf.DUMMYFUNCTION("LET(
 id,A519,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0" ht="14.25" customHeight="1">
      <c r="A520" s="26" t="s">
        <v>1709</v>
      </c>
      <c r="B520" s="26" t="str">
        <f t="array" ref="B520">_xlfn.XLOOKUP(
 A520,
 tblTargets[TargetID],
 tblTargets[DisplayName],
 ""
)</f>
        <v>Alchemists Hut - Balm</v>
      </c>
      <c r="C520" s="26" t="str">
        <f t="shared" si="1"/>
        <v>BLOCKED</v>
      </c>
      <c r="D520" s="26" t="b">
        <f>IFERROR(__xludf.DUMMYFUNCTION("LET(
 id,A520,
 IF(
  F520=""CHARACTER"",
  LET(
   base,REGEXREPLACE(id,""@\d+$"",""""),
   required,VALUE(REGEXEXTRACT(id,""@(\d+)$"")),
   current,XLOOKUP(
    base,
    tblPlayer[PlayerStateID],
    tblPlayer[Value],
    0
   ),
   current&gt;=required
 "&amp;" ),
  IF(
   T520=""AUTO"",
   L520=0,
   COUNTIFS(
    tblChecklist[TargetID],id,
    tblChecklist[PlayerCompleted],TRUE
   )&gt;0
  )
 )
)"),FALSE)</f>
        <v>0</v>
      </c>
      <c r="E520" s="26" t="str">
        <f t="array" ref="E520">_xlfn.XLOOKUP(
 A520,
 tblTargets[TargetID],
 tblTargets[TargetType],
 ""
)</f>
        <v>TECH</v>
      </c>
      <c r="F520" s="26" t="str">
        <f t="array" ref="F520">_xlfn.XLOOKUP(
 A520,
 tblTargets[TargetID],
 tblTargets[StateType],
 ""
)</f>
        <v/>
      </c>
      <c r="G520" s="26">
        <f>LET(
 id,A520,
 depCount,COUNTIF(tblDependencies[TargetID],id),
 objCount,COUNTIF(tblQuestObjectives[QuestTargetID],id),
 depCount+objCount
)</f>
        <v>2</v>
      </c>
      <c r="H520" s="26">
        <f t="shared" si="2"/>
        <v>2</v>
      </c>
      <c r="I520" s="26">
        <f>IFERROR(__xludf.DUMMYFUNCTION("LET(
 id,A520,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0" s="26">
        <f t="shared" si="3"/>
        <v>0</v>
      </c>
      <c r="K520" s="26" t="b">
        <f t="shared" si="4"/>
        <v>0</v>
      </c>
      <c r="L520" s="26">
        <f t="shared" si="5"/>
        <v>2</v>
      </c>
      <c r="M520" s="26" t="str">
        <f>IFERROR(__xludf.DUMMYFUNCTION("LET(
 id,A520,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L520=0,
  """",
  IFERROR(INDEX(incomplete,1),"""")"&amp;"
 )
)"),"quest.once_upon_a_forest_chapter_6.accepted")</f>
        <v>quest.once_upon_a_forest_chapter_6.accepted</v>
      </c>
      <c r="N520" s="26" t="str">
        <f t="array" ref="N520">IF(
 M520="",
 "",
 _xlfn.XLOOKUP(
  M520,
  tblTargets[TargetID],
  tblTargets[DisplayName],
  M520
 )
)</f>
        <v>Once Upon a Forest Chapter 6 Accepted</v>
      </c>
      <c r="O520" s="26" t="str">
        <f>IFERROR(__xludf.DUMMYFUNCTION("SWITCH(
 E520,
 ""BUILDING"",XLOOKUP(A520,tblBuildings[BuildingID],tblBuildings[costtext],""""),
 ""TECH"",XLOOKUP(A520,tblTechnologies[TechnologyID],tblTechnologies[costtext],""""),
 ""QUEST"",XLOOKUP(
  REGEXREPLACE(A520,""\.[^.]+$"",""""),
  tblQuests["&amp;"QuestID],
  tblQuests[Costtext],
  """"
 ),
 ""CITADEL"",XLOOKUP(A520,tblCitadel[CitadelID],tblCitadel[costtext],""""),
 ""COLLECTION"",XLOOKUP(A520,tblCollections[CollectionID],tblCollections[costtext],""""),
 ""CRAFTIFACT"",XLOOKUP(A520,tblCraftifacts[C"&amp;"raftifactID],tblCraftifacts[costtext],""""),
 """"
)"),"9 cinnabar,300 coin,10 glass,10 grimoire,30 herbs,5 oil,1 ruby")</f>
        <v>9 cinnabar,300 coin,10 glass,10 grimoire,30 herbs,5 oil,1 ruby</v>
      </c>
      <c r="P520" s="26" t="str">
        <f t="shared" si="6"/>
        <v>BLOCKED</v>
      </c>
      <c r="Q520" s="26" t="str">
        <f t="shared" si="7"/>
        <v>BLOCKED</v>
      </c>
      <c r="R520" s="26" t="str">
        <f t="array" ref="R520">IFERROR(
 _xlfn.XLOOKUP(
  A520,
  tblChecklist[TargetID],
  tblChecklist[PlayerSort],
  ""
 ),
 ""
)</f>
        <v/>
      </c>
      <c r="S520" s="26" t="str">
        <f>IFERROR(__xludf.DUMMYFUNCTION("LET(
 id,A520,
 successorIDs,
  IFERROR(
   UNIQUE(
    FILTER(
     {
      Dependencies!$A$2:$A$1000;
      QuestObjectives!$A$2:$A$1000
     },
     {
      Dependencies!$B$2:$B$1000;
      QuestObjectives!$E$2:$E$1000
     }=id
    )
   ),
   """"
  )"&amp;",
 names,
  MAP(
   successorIDs,
   LAMBDA(s,
    IF(
     s="""",
     """",
     XLOOKUP(
      s,
      $A$2:$A$1000,
      $B$2:$B$1000,
      s
     )
    )
   )
  ),
 IF(
  successorIDs="""",
  """",
  TEXTJOIN("", "",TRUE,names)
 )
)"),"")</f>
        <v/>
      </c>
      <c r="T520" s="26" t="str">
        <f t="array" ref="T520">_xlfn.XLOOKUP(
 A520,
 tblTargets[TargetID],
 tblTargets[CompletionMethod],
 ""
)</f>
        <v>PLAYER</v>
      </c>
      <c r="U520" s="84" t="b">
        <f>COUNTIF(tblCost[TargetID],A520)&gt;0</f>
        <v>1</v>
      </c>
      <c r="V520" s="85">
        <f t="array" ref="V520">IF(
 U520=FALSE,
 "",
 _xlfn.XLOOKUP(
  A520,
  tblCost[TargetID],
  tblCost[FundingPercent],
  ""
 )
)</f>
        <v>0</v>
      </c>
      <c r="W520" s="26">
        <f t="array" ref="W520">IF(
 U520=FALSE,
 "",
 _xlfn.XLOOKUP(
  A520,
  tblCost[TargetID],
  tblCost[RemainingRequirements],
  ""
 )
)</f>
        <v>7</v>
      </c>
      <c r="X520" s="45" t="b">
        <f t="array" ref="X520">IF(
 U520=FALSE,
 "N/A",
 _xlfn.XLOOKUP(
  A521,
  tblCost[TargetID],
  tblCost[TargetFunded],
  FALSE
 )
)</f>
        <v>0</v>
      </c>
      <c r="Y520" s="26" t="str">
        <f>IFERROR(__xludf.DUMMYFUNCTION("IFERROR(
 TEXTJOIN(
  "", "",
  TRUE,
  FILTER(
   'cost checklist'!$E$2:$E1000&amp;"": ""&amp;'cost checklist'!$G$2:$G1000,
   'cost checklist'!$B$2:$B1000=A520,
   'cost checklist'!$J$2:$J1000=FALSE
  )
 ),
 """"
)"),"cinnabar: 9, coin: 300, glass: 10, grimoire: 10, herbs: 30, oil: 5, ruby: 1")</f>
        <v>cinnabar: 9, coin: 300, glass: 10, grimoire: 10, herbs: 30, oil: 5, ruby: 1</v>
      </c>
      <c r="Z520" s="26" t="b">
        <f>IFERROR(__xludf.DUMMYFUNCTION("IF(
 AND(
  E520=""QUEST"",
  RIGHT(A520,9)="".accepted"",
  D520=TRUE
 ),
 XLOOKUP(
  REGEXREPLACE(A520,""\.accepted$"","""")&amp;"".finished"",
  $A$2:$A1000,
  $D$2:$D1000,
  TRUE
 )=FALSE,
 FALSE
)"),FALSE)</f>
        <v>0</v>
      </c>
      <c r="AA520" s="26" t="str">
        <f>IFERROR(__xludf.DUMMYFUNCTION("LET(
 id,A520,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1" ht="14.25" customHeight="1">
      <c r="A521" s="26" t="s">
        <v>1712</v>
      </c>
      <c r="B521" s="26" t="str">
        <f t="array" ref="B521">_xlfn.XLOOKUP(
 A521,
 tblTargets[TargetID],
 tblTargets[DisplayName],
 ""
)</f>
        <v>Alchemists Hut - Conveyor Lvl 1</v>
      </c>
      <c r="C521" s="26" t="str">
        <f t="shared" si="1"/>
        <v>BLOCKED</v>
      </c>
      <c r="D521" s="26" t="b">
        <f>IFERROR(__xludf.DUMMYFUNCTION("LET(
 id,A521,
 IF(
  F521=""CHARACTER"",
  LET(
   base,REGEXREPLACE(id,""@\d+$"",""""),
   required,VALUE(REGEXEXTRACT(id,""@(\d+)$"")),
   current,XLOOKUP(
    base,
    tblPlayer[PlayerStateID],
    tblPlayer[Value],
    0
   ),
   current&gt;=required
 "&amp;" ),
  IF(
   T521=""AUTO"",
   L521=0,
   COUNTIFS(
    tblChecklist[TargetID],id,
    tblChecklist[PlayerCompleted],TRUE
   )&gt;0
  )
 )
)"),FALSE)</f>
        <v>0</v>
      </c>
      <c r="E521" s="26" t="str">
        <f t="array" ref="E521">_xlfn.XLOOKUP(
 A521,
 tblTargets[TargetID],
 tblTargets[TargetType],
 ""
)</f>
        <v>TECH</v>
      </c>
      <c r="F521" s="26" t="str">
        <f t="array" ref="F521">_xlfn.XLOOKUP(
 A521,
 tblTargets[TargetID],
 tblTargets[StateType],
 ""
)</f>
        <v/>
      </c>
      <c r="G521" s="26">
        <f>LET(
 id,A521,
 depCount,COUNTIF(tblDependencies[TargetID],id),
 objCount,COUNTIF(tblQuestObjectives[QuestTargetID],id),
 depCount+objCount
)</f>
        <v>2</v>
      </c>
      <c r="H521" s="26">
        <f t="shared" si="2"/>
        <v>2</v>
      </c>
      <c r="I521" s="26">
        <f>IFERROR(__xludf.DUMMYFUNCTION("LET(
 id,A521,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1" s="26">
        <f t="shared" si="3"/>
        <v>0</v>
      </c>
      <c r="K521" s="26" t="b">
        <f t="shared" si="4"/>
        <v>0</v>
      </c>
      <c r="L521" s="26">
        <f t="shared" si="5"/>
        <v>2</v>
      </c>
      <c r="M521" s="26" t="str">
        <f>IFERROR(__xludf.DUMMYFUNCTION("LET(
 id,A521,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L521=0,
  """",
  IFERROR(INDEX(incomplete,1),"""")"&amp;"
 )
)"),"building.alchemists_hut.maxed")</f>
        <v>building.alchemists_hut.maxed</v>
      </c>
      <c r="N521" s="26" t="str">
        <f t="array" ref="N521">IF(
 M521="",
 "",
 _xlfn.XLOOKUP(
  M521,
  tblTargets[TargetID],
  tblTargets[DisplayName],
  M521
 )
)</f>
        <v>Alchemists Hut maxed</v>
      </c>
      <c r="O521" s="26" t="str">
        <f>IFERROR(__xludf.DUMMYFUNCTION("SWITCH(
 E521,
 ""BUILDING"",XLOOKUP(A521,tblBuildings[BuildingID],tblBuildings[costtext],""""),
 ""TECH"",XLOOKUP(A521,tblTechnologies[TechnologyID],tblTechnologies[costtext],""""),
 ""QUEST"",XLOOKUP(
  REGEXREPLACE(A521,""\.[^.]+$"",""""),
  tblQuests["&amp;"QuestID],
  tblQuests[Costtext],
  """"
 ),
 ""CITADEL"",XLOOKUP(A521,tblCitadel[CitadelID],tblCitadel[costtext],""""),
 ""COLLECTION"",XLOOKUP(A521,tblCollections[CollectionID],tblCollections[costtext],""""),
 ""CRAFTIFACT"",XLOOKUP(A521,tblCraftifacts[C"&amp;"raftifactID],tblCraftifacts[costtext],""""),
 """"
)"),"10 blueprint,400 coin,40 elixir,10 mechanism,20 msteel,2 ruby")</f>
        <v>10 blueprint,400 coin,40 elixir,10 mechanism,20 msteel,2 ruby</v>
      </c>
      <c r="P521" s="26" t="str">
        <f t="shared" si="6"/>
        <v>BLOCKED</v>
      </c>
      <c r="Q521" s="26" t="str">
        <f t="shared" si="7"/>
        <v>BLOCKED</v>
      </c>
      <c r="R521" s="26" t="str">
        <f t="array" ref="R521">IFERROR(
 _xlfn.XLOOKUP(
  A521,
  tblChecklist[TargetID],
  tblChecklist[PlayerSort],
  ""
 ),
 ""
)</f>
        <v/>
      </c>
      <c r="S521" s="26" t="str">
        <f>IFERROR(__xludf.DUMMYFUNCTION("LET(
 id,A521,
 successorIDs,
  IFERROR(
   UNIQUE(
    FILTER(
     {
      Dependencies!$A$2:$A$1000;
      QuestObjectives!$A$2:$A$1000
     },
     {
      Dependencies!$B$2:$B$1000;
      QuestObjectives!$E$2:$E$1000
     }=id
    )
   ),
   """"
  )"&amp;",
 names,
  MAP(
   successorIDs,
   LAMBDA(s,
    IF(
     s="""",
     """",
     XLOOKUP(
      s,
      $A$2:$A$1000,
      $B$2:$B$1000,
      s
     )
    )
   )
  ),
 IF(
  successorIDs="""",
  """",
  TEXTJOIN("", "",TRUE,names)
 )
)"),"Alchemists Hut - Conveyor Lvl 2")</f>
        <v>Alchemists Hut - Conveyor Lvl 2</v>
      </c>
      <c r="T521" s="26" t="str">
        <f t="array" ref="T521">_xlfn.XLOOKUP(
 A521,
 tblTargets[TargetID],
 tblTargets[CompletionMethod],
 ""
)</f>
        <v>PLAYER</v>
      </c>
      <c r="U521" s="84" t="b">
        <f>COUNTIF(tblCost[TargetID],A521)&gt;0</f>
        <v>1</v>
      </c>
      <c r="V521" s="85">
        <f t="array" ref="V521">IF(
 U521=FALSE,
 "",
 _xlfn.XLOOKUP(
  A521,
  tblCost[TargetID],
  tblCost[FundingPercent],
  ""
 )
)</f>
        <v>0</v>
      </c>
      <c r="W521" s="26">
        <f t="array" ref="W521">IF(
 U521=FALSE,
 "",
 _xlfn.XLOOKUP(
  A521,
  tblCost[TargetID],
  tblCost[RemainingRequirements],
  ""
 )
)</f>
        <v>6</v>
      </c>
      <c r="X521" s="45" t="b">
        <f t="array" ref="X521">IF(
 U521=FALSE,
 "N/A",
 _xlfn.XLOOKUP(
  A522,
  tblCost[TargetID],
  tblCost[TargetFunded],
  FALSE
 )
)</f>
        <v>0</v>
      </c>
      <c r="Y521" s="26" t="str">
        <f>IFERROR(__xludf.DUMMYFUNCTION("IFERROR(
 TEXTJOIN(
  "", "",
  TRUE,
  FILTER(
   'cost checklist'!$E$2:$E1000&amp;"": ""&amp;'cost checklist'!$G$2:$G1000,
   'cost checklist'!$B$2:$B1000=A521,
   'cost checklist'!$J$2:$J1000=FALSE
  )
 ),
 """"
)"),"blueprint: 10, coin: 400, elixir: 40, mechanism: 10, msteel: 20, ruby: 2")</f>
        <v>blueprint: 10, coin: 400, elixir: 40, mechanism: 10, msteel: 20, ruby: 2</v>
      </c>
      <c r="Z521" s="26" t="b">
        <f>IFERROR(__xludf.DUMMYFUNCTION("IF(
 AND(
  E521=""QUEST"",
  RIGHT(A521,9)="".accepted"",
  D521=TRUE
 ),
 XLOOKUP(
  REGEXREPLACE(A521,""\.accepted$"","""")&amp;"".finished"",
  $A$2:$A1000,
  $D$2:$D1000,
  TRUE
 )=FALSE,
 FALSE
)"),FALSE)</f>
        <v>0</v>
      </c>
      <c r="AA521" s="26" t="str">
        <f>IFERROR(__xludf.DUMMYFUNCTION("LET(
 id,A521,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2" ht="14.25" customHeight="1">
      <c r="A522" s="26" t="s">
        <v>1715</v>
      </c>
      <c r="B522" s="26" t="str">
        <f t="array" ref="B522">_xlfn.XLOOKUP(
 A522,
 tblTargets[TargetID],
 tblTargets[DisplayName],
 ""
)</f>
        <v>Alchemists Hut - Conveyor Lvl 2</v>
      </c>
      <c r="C522" s="26" t="str">
        <f t="shared" si="1"/>
        <v>BLOCKED</v>
      </c>
      <c r="D522" s="26" t="b">
        <f>IFERROR(__xludf.DUMMYFUNCTION("LET(
 id,A522,
 IF(
  F522=""CHARACTER"",
  LET(
   base,REGEXREPLACE(id,""@\d+$"",""""),
   required,VALUE(REGEXEXTRACT(id,""@(\d+)$"")),
   current,XLOOKUP(
    base,
    tblPlayer[PlayerStateID],
    tblPlayer[Value],
    0
   ),
   current&gt;=required
 "&amp;" ),
  IF(
   T522=""AUTO"",
   L522=0,
   COUNTIFS(
    tblChecklist[TargetID],id,
    tblChecklist[PlayerCompleted],TRUE
   )&gt;0
  )
 )
)"),FALSE)</f>
        <v>0</v>
      </c>
      <c r="E522" s="26" t="str">
        <f t="array" ref="E522">_xlfn.XLOOKUP(
 A522,
 tblTargets[TargetID],
 tblTargets[TargetType],
 ""
)</f>
        <v>TECH</v>
      </c>
      <c r="F522" s="26" t="str">
        <f t="array" ref="F522">_xlfn.XLOOKUP(
 A522,
 tblTargets[TargetID],
 tblTargets[StateType],
 ""
)</f>
        <v/>
      </c>
      <c r="G522" s="26">
        <f>LET(
 id,A522,
 depCount,COUNTIF(tblDependencies[TargetID],id),
 objCount,COUNTIF(tblQuestObjectives[QuestTargetID],id),
 depCount+objCount
)</f>
        <v>1</v>
      </c>
      <c r="H522" s="26">
        <f t="shared" si="2"/>
        <v>1</v>
      </c>
      <c r="I522" s="26">
        <f>IFERROR(__xludf.DUMMYFUNCTION("LET(
 id,A522,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2" s="26">
        <f t="shared" si="3"/>
        <v>0</v>
      </c>
      <c r="K522" s="26" t="b">
        <f t="shared" si="4"/>
        <v>0</v>
      </c>
      <c r="L522" s="26">
        <f t="shared" si="5"/>
        <v>1</v>
      </c>
      <c r="M522" s="26" t="str">
        <f>IFERROR(__xludf.DUMMYFUNCTION("LET(
 id,A522,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L522=0,
  """",
  IFERROR(INDEX(incomplete,1),"""")"&amp;"
 )
)"),"tech.alchemists_hut.conveyor_lvl_1")</f>
        <v>tech.alchemists_hut.conveyor_lvl_1</v>
      </c>
      <c r="N522" s="26" t="str">
        <f t="array" ref="N522">IF(
 M522="",
 "",
 _xlfn.XLOOKUP(
  M522,
  tblTargets[TargetID],
  tblTargets[DisplayName],
  M522
 )
)</f>
        <v>Alchemists Hut - Conveyor Lvl 1</v>
      </c>
      <c r="O522" s="26" t="str">
        <f>IFERROR(__xludf.DUMMYFUNCTION("SWITCH(
 E522,
 ""BUILDING"",XLOOKUP(A522,tblBuildings[BuildingID],tblBuildings[costtext],""""),
 ""TECH"",XLOOKUP(A522,tblTechnologies[TechnologyID],tblTechnologies[costtext],""""),
 ""QUEST"",XLOOKUP(
  REGEXREPLACE(A522,""\.[^.]+$"",""""),
  tblQuests["&amp;"QuestID],
  tblQuests[Costtext],
  """"
 ),
 ""CITADEL"",XLOOKUP(A522,tblCitadel[CitadelID],tblCitadel[costtext],""""),
 ""COLLECTION"",XLOOKUP(A522,tblCollections[CollectionID],tblCollections[costtext],""""),
 ""CRAFTIFACT"",XLOOKUP(A522,tblCraftifacts[C"&amp;"raftifactID],tblCraftifacts[costtext],""""),
 """"
)"),"15 blueprint,500 coin,60 elixir,15 mechanism,30 msteel,3 ruby")</f>
        <v>15 blueprint,500 coin,60 elixir,15 mechanism,30 msteel,3 ruby</v>
      </c>
      <c r="P522" s="26" t="str">
        <f t="shared" si="6"/>
        <v>BLOCKED</v>
      </c>
      <c r="Q522" s="26" t="str">
        <f t="shared" si="7"/>
        <v>BLOCKED</v>
      </c>
      <c r="R522" s="26" t="str">
        <f t="array" ref="R522">IFERROR(
 _xlfn.XLOOKUP(
  A522,
  tblChecklist[TargetID],
  tblChecklist[PlayerSort],
  ""
 ),
 ""
)</f>
        <v/>
      </c>
      <c r="S522" s="26" t="str">
        <f>IFERROR(__xludf.DUMMYFUNCTION("LET(
 id,A522,
 successorIDs,
  IFERROR(
   UNIQUE(
    FILTER(
     {
      Dependencies!$A$2:$A$1000;
      QuestObjectives!$A$2:$A$1000
     },
     {
      Dependencies!$B$2:$B$1000;
      QuestObjectives!$E$2:$E$1000
     }=id
    )
   ),
   """"
  )"&amp;",
 names,
  MAP(
   successorIDs,
   LAMBDA(s,
    IF(
     s="""",
     """",
     XLOOKUP(
      s,
      $A$2:$A$1000,
      $B$2:$B$1000,
      s
     )
    )
   )
  ),
 IF(
  successorIDs="""",
  """",
  TEXTJOIN("", "",TRUE,names)
 )
)"),"")</f>
        <v/>
      </c>
      <c r="T522" s="26" t="str">
        <f t="array" ref="T522">_xlfn.XLOOKUP(
 A522,
 tblTargets[TargetID],
 tblTargets[CompletionMethod],
 ""
)</f>
        <v>PLAYER</v>
      </c>
      <c r="U522" s="84" t="b">
        <f>COUNTIF(tblCost[TargetID],A522)&gt;0</f>
        <v>1</v>
      </c>
      <c r="V522" s="85">
        <f t="array" ref="V522">IF(
 U522=FALSE,
 "",
 _xlfn.XLOOKUP(
  A522,
  tblCost[TargetID],
  tblCost[FundingPercent],
  ""
 )
)</f>
        <v>0</v>
      </c>
      <c r="W522" s="26">
        <f t="array" ref="W522">IF(
 U522=FALSE,
 "",
 _xlfn.XLOOKUP(
  A522,
  tblCost[TargetID],
  tblCost[RemainingRequirements],
  ""
 )
)</f>
        <v>6</v>
      </c>
      <c r="X522" s="45" t="b">
        <f t="array" ref="X522">IF(
 U522=FALSE,
 "N/A",
 _xlfn.XLOOKUP(
  A523,
  tblCost[TargetID],
  tblCost[TargetFunded],
  FALSE
 )
)</f>
        <v>0</v>
      </c>
      <c r="Y522" s="26" t="str">
        <f>IFERROR(__xludf.DUMMYFUNCTION("IFERROR(
 TEXTJOIN(
  "", "",
  TRUE,
  FILTER(
   'cost checklist'!$E$2:$E1000&amp;"": ""&amp;'cost checklist'!$G$2:$G1000,
   'cost checklist'!$B$2:$B1000=A522,
   'cost checklist'!$J$2:$J1000=FALSE
  )
 ),
 """"
)"),"blueprint: 15, coin: 500, elixir: 60, mechanism: 15, msteel: 30, ruby: 3")</f>
        <v>blueprint: 15, coin: 500, elixir: 60, mechanism: 15, msteel: 30, ruby: 3</v>
      </c>
      <c r="Z522" s="26" t="b">
        <f>IFERROR(__xludf.DUMMYFUNCTION("IF(
 AND(
  E522=""QUEST"",
  RIGHT(A522,9)="".accepted"",
  D522=TRUE
 ),
 XLOOKUP(
  REGEXREPLACE(A522,""\.accepted$"","""")&amp;"".finished"",
  $A$2:$A1000,
  $D$2:$D1000,
  TRUE
 )=FALSE,
 FALSE
)"),FALSE)</f>
        <v>0</v>
      </c>
      <c r="AA522" s="26" t="str">
        <f>IFERROR(__xludf.DUMMYFUNCTION("LET(
 id,A522,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3" ht="14.25" customHeight="1">
      <c r="A523" s="26" t="s">
        <v>1717</v>
      </c>
      <c r="B523" s="26" t="str">
        <f t="array" ref="B523">_xlfn.XLOOKUP(
 A523,
 tblTargets[TargetID],
 tblTargets[DisplayName],
 ""
)</f>
        <v>Alchemists Hut - Galvanization</v>
      </c>
      <c r="C523" s="26" t="str">
        <f t="shared" si="1"/>
        <v>BLOCKED</v>
      </c>
      <c r="D523" s="26" t="b">
        <f>IFERROR(__xludf.DUMMYFUNCTION("LET(
 id,A523,
 IF(
  F523=""CHARACTER"",
  LET(
   base,REGEXREPLACE(id,""@\d+$"",""""),
   required,VALUE(REGEXEXTRACT(id,""@(\d+)$"")),
   current,XLOOKUP(
    base,
    tblPlayer[PlayerStateID],
    tblPlayer[Value],
    0
   ),
   current&gt;=required
 "&amp;" ),
  IF(
   T523=""AUTO"",
   L523=0,
   COUNTIFS(
    tblChecklist[TargetID],id,
    tblChecklist[PlayerCompleted],TRUE
   )&gt;0
  )
 )
)"),FALSE)</f>
        <v>0</v>
      </c>
      <c r="E523" s="26" t="str">
        <f t="array" ref="E523">_xlfn.XLOOKUP(
 A523,
 tblTargets[TargetID],
 tblTargets[TargetType],
 ""
)</f>
        <v>TECH</v>
      </c>
      <c r="F523" s="26" t="str">
        <f t="array" ref="F523">_xlfn.XLOOKUP(
 A523,
 tblTargets[TargetID],
 tblTargets[StateType],
 ""
)</f>
        <v/>
      </c>
      <c r="G523" s="26">
        <f>LET(
 id,A523,
 depCount,COUNTIF(tblDependencies[TargetID],id),
 objCount,COUNTIF(tblQuestObjectives[QuestTargetID],id),
 depCount+objCount
)</f>
        <v>1</v>
      </c>
      <c r="H523" s="26">
        <f t="shared" si="2"/>
        <v>1</v>
      </c>
      <c r="I523" s="26">
        <f>IFERROR(__xludf.DUMMYFUNCTION("LET(
 id,A523,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3" s="26">
        <f t="shared" si="3"/>
        <v>0</v>
      </c>
      <c r="K523" s="26" t="b">
        <f t="shared" si="4"/>
        <v>0</v>
      </c>
      <c r="L523" s="26">
        <f t="shared" si="5"/>
        <v>1</v>
      </c>
      <c r="M523" s="26" t="str">
        <f>IFERROR(__xludf.DUMMYFUNCTION("LET(
 id,A523,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L523=0,
  """",
  IFERROR(INDEX(incomplete,1),"""")"&amp;"
 )
)"),"building.alchemists_hut.maxed")</f>
        <v>building.alchemists_hut.maxed</v>
      </c>
      <c r="N523" s="26" t="str">
        <f t="array" ref="N523">IF(
 M523="",
 "",
 _xlfn.XLOOKUP(
  M523,
  tblTargets[TargetID],
  tblTargets[DisplayName],
  M523
 )
)</f>
        <v>Alchemists Hut maxed</v>
      </c>
      <c r="O523" s="26" t="str">
        <f>IFERROR(__xludf.DUMMYFUNCTION("SWITCH(
 E523,
 ""BUILDING"",XLOOKUP(A523,tblBuildings[BuildingID],tblBuildings[costtext],""""),
 ""TECH"",XLOOKUP(A523,tblTechnologies[TechnologyID],tblTechnologies[costtext],""""),
 ""QUEST"",XLOOKUP(
  REGEXREPLACE(A523,""\.[^.]+$"",""""),
  tblQuests["&amp;"QuestID],
  tblQuests[Costtext],
  """"
 ),
 ""CITADEL"",XLOOKUP(A523,tblCitadel[CitadelID],tblCitadel[costtext],""""),
 ""COLLECTION"",XLOOKUP(A523,tblCollections[CollectionID],tblCollections[costtext],""""),
 ""CRAFTIFACT"",XLOOKUP(A523,tblCraftifacts[C"&amp;"raftifactID],tblCraftifacts[costtext],""""),
 """"
)"),"30 blueprint,20 catalyst,25 ingot,40 reagent,2 ruby")</f>
        <v>30 blueprint,20 catalyst,25 ingot,40 reagent,2 ruby</v>
      </c>
      <c r="P523" s="26" t="str">
        <f t="shared" si="6"/>
        <v>BLOCKED</v>
      </c>
      <c r="Q523" s="26" t="str">
        <f t="shared" si="7"/>
        <v>BLOCKED</v>
      </c>
      <c r="R523" s="26" t="str">
        <f t="array" ref="R523">IFERROR(
 _xlfn.XLOOKUP(
  A523,
  tblChecklist[TargetID],
  tblChecklist[PlayerSort],
  ""
 ),
 ""
)</f>
        <v/>
      </c>
      <c r="S523" s="26" t="str">
        <f>IFERROR(__xludf.DUMMYFUNCTION("LET(
 id,A523,
 successorIDs,
  IFERROR(
   UNIQUE(
    FILTER(
     {
      Dependencies!$A$2:$A$1000;
      QuestObjectives!$A$2:$A$1000
     },
     {
      Dependencies!$B$2:$B$1000;
      QuestObjectives!$E$2:$E$1000
     }=id
    )
   ),
   """"
  )"&amp;",
 names,
  MAP(
   successorIDs,
   LAMBDA(s,
    IF(
     s="""",
     """",
     XLOOKUP(
      s,
      $A$2:$A$1000,
      $B$2:$B$1000,
      s
     )
    )
   )
  ),
 IF(
  successorIDs="""",
  """",
  TEXTJOIN("", "",TRUE,names)
 )
)"),"")</f>
        <v/>
      </c>
      <c r="T523" s="26" t="str">
        <f t="array" ref="T523">_xlfn.XLOOKUP(
 A523,
 tblTargets[TargetID],
 tblTargets[CompletionMethod],
 ""
)</f>
        <v>PLAYER</v>
      </c>
      <c r="U523" s="84" t="b">
        <f>COUNTIF(tblCost[TargetID],A523)&gt;0</f>
        <v>1</v>
      </c>
      <c r="V523" s="85">
        <f t="array" ref="V523">IF(
 U523=FALSE,
 "",
 _xlfn.XLOOKUP(
  A523,
  tblCost[TargetID],
  tblCost[FundingPercent],
  ""
 )
)</f>
        <v>0</v>
      </c>
      <c r="W523" s="26">
        <f t="array" ref="W523">IF(
 U523=FALSE,
 "",
 _xlfn.XLOOKUP(
  A523,
  tblCost[TargetID],
  tblCost[RemainingRequirements],
  ""
 )
)</f>
        <v>5</v>
      </c>
      <c r="X523" s="45" t="b">
        <f t="array" ref="X523">IF(
 U523=FALSE,
 "N/A",
 _xlfn.XLOOKUP(
  A524,
  tblCost[TargetID],
  tblCost[TargetFunded],
  FALSE
 )
)</f>
        <v>0</v>
      </c>
      <c r="Y523" s="26" t="str">
        <f>IFERROR(__xludf.DUMMYFUNCTION("IFERROR(
 TEXTJOIN(
  "", "",
  TRUE,
  FILTER(
   'cost checklist'!$E$2:$E1000&amp;"": ""&amp;'cost checklist'!$G$2:$G1000,
   'cost checklist'!$B$2:$B1000=A523,
   'cost checklist'!$J$2:$J1000=FALSE
  )
 ),
 """"
)"),"blueprint: 30, catalyst: 20, ingot: 25, reagent: 40, ruby: 2")</f>
        <v>blueprint: 30, catalyst: 20, ingot: 25, reagent: 40, ruby: 2</v>
      </c>
      <c r="Z523" s="26" t="b">
        <f>IFERROR(__xludf.DUMMYFUNCTION("IF(
 AND(
  E523=""QUEST"",
  RIGHT(A523,9)="".accepted"",
  D523=TRUE
 ),
 XLOOKUP(
  REGEXREPLACE(A523,""\.accepted$"","""")&amp;"".finished"",
  $A$2:$A1000,
  $D$2:$D1000,
  TRUE
 )=FALSE,
 FALSE
)"),FALSE)</f>
        <v>0</v>
      </c>
      <c r="AA523" s="26" t="str">
        <f>IFERROR(__xludf.DUMMYFUNCTION("LET(
 id,A523,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4" ht="14.25" customHeight="1">
      <c r="A524" s="26" t="s">
        <v>1719</v>
      </c>
      <c r="B524" s="26" t="str">
        <f t="array" ref="B524">_xlfn.XLOOKUP(
 A524,
 tblTargets[TargetID],
 tblTargets[DisplayName],
 ""
)</f>
        <v>Alchemists Hut - Gold Ingot</v>
      </c>
      <c r="C524" s="26" t="str">
        <f t="shared" si="1"/>
        <v>BLOCKED</v>
      </c>
      <c r="D524" s="26" t="b">
        <f>IFERROR(__xludf.DUMMYFUNCTION("LET(
 id,A524,
 IF(
  F524=""CHARACTER"",
  LET(
   base,REGEXREPLACE(id,""@\d+$"",""""),
   required,VALUE(REGEXEXTRACT(id,""@(\d+)$"")),
   current,XLOOKUP(
    base,
    tblPlayer[PlayerStateID],
    tblPlayer[Value],
    0
   ),
   current&gt;=required
 "&amp;" ),
  IF(
   T524=""AUTO"",
   L524=0,
   COUNTIFS(
    tblChecklist[TargetID],id,
    tblChecklist[PlayerCompleted],TRUE
   )&gt;0
  )
 )
)"),FALSE)</f>
        <v>0</v>
      </c>
      <c r="E524" s="26" t="str">
        <f t="array" ref="E524">_xlfn.XLOOKUP(
 A524,
 tblTargets[TargetID],
 tblTargets[TargetType],
 ""
)</f>
        <v>TECH</v>
      </c>
      <c r="F524" s="26" t="str">
        <f t="array" ref="F524">_xlfn.XLOOKUP(
 A524,
 tblTargets[TargetID],
 tblTargets[StateType],
 ""
)</f>
        <v/>
      </c>
      <c r="G524" s="26">
        <f>LET(
 id,A524,
 depCount,COUNTIF(tblDependencies[TargetID],id),
 objCount,COUNTIF(tblQuestObjectives[QuestTargetID],id),
 depCount+objCount
)</f>
        <v>2</v>
      </c>
      <c r="H524" s="26">
        <f t="shared" si="2"/>
        <v>2</v>
      </c>
      <c r="I524" s="26">
        <f>IFERROR(__xludf.DUMMYFUNCTION("LET(
 id,A524,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4" s="26">
        <f t="shared" si="3"/>
        <v>0</v>
      </c>
      <c r="K524" s="26" t="b">
        <f t="shared" si="4"/>
        <v>0</v>
      </c>
      <c r="L524" s="26">
        <f t="shared" si="5"/>
        <v>2</v>
      </c>
      <c r="M524" s="26" t="str">
        <f>IFERROR(__xludf.DUMMYFUNCTION("LET(
 id,A524,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L524=0,
  """",
  IFERROR(INDEX(incomplete,1),"""")"&amp;"
 )
)"),"tech.alchemists_hut.mercury")</f>
        <v>tech.alchemists_hut.mercury</v>
      </c>
      <c r="N524" s="26" t="str">
        <f t="array" ref="N524">IF(
 M524="",
 "",
 _xlfn.XLOOKUP(
  M524,
  tblTargets[TargetID],
  tblTargets[DisplayName],
  M524
 )
)</f>
        <v>Alchemists Hut - Mercury</v>
      </c>
      <c r="O524" s="26" t="str">
        <f>IFERROR(__xludf.DUMMYFUNCTION("SWITCH(
 E524,
 ""BUILDING"",XLOOKUP(A524,tblBuildings[BuildingID],tblBuildings[costtext],""""),
 ""TECH"",XLOOKUP(A524,tblTechnologies[TechnologyID],tblTechnologies[costtext],""""),
 ""QUEST"",XLOOKUP(
  REGEXREPLACE(A524,""\.[^.]+$"",""""),
  tblQuests["&amp;"QuestID],
  tblQuests[Costtext],
  """"
 ),
 ""CITADEL"",XLOOKUP(A524,tblCitadel[CitadelID],tblCitadel[costtext],""""),
 ""COLLECTION"",XLOOKUP(A524,tblCollections[CollectionID],tblCollections[costtext],""""),
 ""CRAFTIFACT"",XLOOKUP(A524,tblCraftifacts[C"&amp;"raftifactID],tblCraftifacts[costtext],""""),
 """"
)"),"20 apy,100 charcoal,10 grimoire,20 ingot,15 mercury,3 ruby")</f>
        <v>20 apy,100 charcoal,10 grimoire,20 ingot,15 mercury,3 ruby</v>
      </c>
      <c r="P524" s="26" t="str">
        <f t="shared" si="6"/>
        <v>BLOCKED</v>
      </c>
      <c r="Q524" s="26" t="str">
        <f t="shared" si="7"/>
        <v>BLOCKED</v>
      </c>
      <c r="R524" s="26">
        <f t="array" ref="R524">IFERROR(
 _xlfn.XLOOKUP(
  A524,
  tblChecklist[TargetID],
  tblChecklist[PlayerSort],
  ""
 ),
 ""
)</f>
        <v>800</v>
      </c>
      <c r="S524" s="26" t="str">
        <f>IFERROR(__xludf.DUMMYFUNCTION("LET(
 id,A524,
 successorIDs,
  IFERROR(
   UNIQUE(
    FILTER(
     {
      Dependencies!$A$2:$A$1000;
      QuestObjectives!$A$2:$A$1000
     },
     {
      Dependencies!$B$2:$B$1000;
      QuestObjectives!$E$2:$E$1000
     }=id
    )
   ),
   """"
  )"&amp;",
 names,
  MAP(
   successorIDs,
   LAMBDA(s,
    IF(
     s="""",
     """",
     XLOOKUP(
      s,
      $A$2:$A$1000,
      $B$2:$B$1000,
      s
     )
    )
   )
  ),
 IF(
  successorIDs="""",
  """",
  TEXTJOIN("", "",TRUE,names)
 )
)"),"")</f>
        <v/>
      </c>
      <c r="T524" s="26" t="str">
        <f t="array" ref="T524">_xlfn.XLOOKUP(
 A524,
 tblTargets[TargetID],
 tblTargets[CompletionMethod],
 ""
)</f>
        <v>PLAYER</v>
      </c>
      <c r="U524" s="84" t="b">
        <f>COUNTIF(tblCost[TargetID],A524)&gt;0</f>
        <v>1</v>
      </c>
      <c r="V524" s="85">
        <f t="array" ref="V524">IF(
 U524=FALSE,
 "",
 _xlfn.XLOOKUP(
  A524,
  tblCost[TargetID],
  tblCost[FundingPercent],
  ""
 )
)</f>
        <v>0</v>
      </c>
      <c r="W524" s="26">
        <f t="array" ref="W524">IF(
 U524=FALSE,
 "",
 _xlfn.XLOOKUP(
  A524,
  tblCost[TargetID],
  tblCost[RemainingRequirements],
  ""
 )
)</f>
        <v>6</v>
      </c>
      <c r="X524" s="45" t="b">
        <f t="array" ref="X524">IF(
 U524=FALSE,
 "N/A",
 _xlfn.XLOOKUP(
  A525,
  tblCost[TargetID],
  tblCost[TargetFunded],
  FALSE
 )
)</f>
        <v>0</v>
      </c>
      <c r="Y524" s="26" t="str">
        <f>IFERROR(__xludf.DUMMYFUNCTION("IFERROR(
 TEXTJOIN(
  "", "",
  TRUE,
  FILTER(
   'cost checklist'!$E$2:$E1000&amp;"": ""&amp;'cost checklist'!$G$2:$G1000,
   'cost checklist'!$B$2:$B1000=A524,
   'cost checklist'!$J$2:$J1000=FALSE
  )
 ),
 """"
)"),"apy: 20, charcoal: 100, grimoire: 10, ingot: 20, mercury: 15, ruby: 3")</f>
        <v>apy: 20, charcoal: 100, grimoire: 10, ingot: 20, mercury: 15, ruby: 3</v>
      </c>
      <c r="Z524" s="26" t="b">
        <f>IFERROR(__xludf.DUMMYFUNCTION("IF(
 AND(
  E524=""QUEST"",
  RIGHT(A524,9)="".accepted"",
  D524=TRUE
 ),
 XLOOKUP(
  REGEXREPLACE(A524,""\.accepted$"","""")&amp;"".finished"",
  $A$2:$A1000,
  $D$2:$D1000,
  TRUE
 )=FALSE,
 FALSE
)"),FALSE)</f>
        <v>0</v>
      </c>
      <c r="AA524" s="26" t="str">
        <f>IFERROR(__xludf.DUMMYFUNCTION("LET(
 id,A524,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5" ht="14.25" customHeight="1">
      <c r="A525" s="26" t="s">
        <v>1721</v>
      </c>
      <c r="B525" s="26" t="str">
        <f t="array" ref="B525">_xlfn.XLOOKUP(
 A525,
 tblTargets[TargetID],
 tblTargets[DisplayName],
 ""
)</f>
        <v>Alchemists Hut - Greek Grenade</v>
      </c>
      <c r="C525" s="26" t="str">
        <f t="shared" si="1"/>
        <v>BLOCKED</v>
      </c>
      <c r="D525" s="26" t="b">
        <f>IFERROR(__xludf.DUMMYFUNCTION("LET(
 id,A525,
 IF(
  F525=""CHARACTER"",
  LET(
   base,REGEXREPLACE(id,""@\d+$"",""""),
   required,VALUE(REGEXEXTRACT(id,""@(\d+)$"")),
   current,XLOOKUP(
    base,
    tblPlayer[PlayerStateID],
    tblPlayer[Value],
    0
   ),
   current&gt;=required
 "&amp;" ),
  IF(
   T525=""AUTO"",
   L525=0,
   COUNTIFS(
    tblChecklist[TargetID],id,
    tblChecklist[PlayerCompleted],TRUE
   )&gt;0
  )
 )
)"),FALSE)</f>
        <v>0</v>
      </c>
      <c r="E525" s="26" t="str">
        <f t="array" ref="E525">_xlfn.XLOOKUP(
 A525,
 tblTargets[TargetID],
 tblTargets[TargetType],
 ""
)</f>
        <v>TECH</v>
      </c>
      <c r="F525" s="26" t="str">
        <f t="array" ref="F525">_xlfn.XLOOKUP(
 A525,
 tblTargets[TargetID],
 tblTargets[StateType],
 ""
)</f>
        <v/>
      </c>
      <c r="G525" s="26">
        <f>LET(
 id,A525,
 depCount,COUNTIF(tblDependencies[TargetID],id),
 objCount,COUNTIF(tblQuestObjectives[QuestTargetID],id),
 depCount+objCount
)</f>
        <v>1</v>
      </c>
      <c r="H525" s="26">
        <f t="shared" si="2"/>
        <v>1</v>
      </c>
      <c r="I525" s="26">
        <f>IFERROR(__xludf.DUMMYFUNCTION("LET(
 id,A525,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5" s="26">
        <f t="shared" si="3"/>
        <v>0</v>
      </c>
      <c r="K525" s="26" t="b">
        <f t="shared" si="4"/>
        <v>0</v>
      </c>
      <c r="L525" s="26">
        <f t="shared" si="5"/>
        <v>1</v>
      </c>
      <c r="M525" s="26" t="str">
        <f>IFERROR(__xludf.DUMMYFUNCTION("LET(
 id,A525,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L525=0,
  """",
  IFERROR(INDEX(incomplete,1),"""")"&amp;"
 )
)"),"building.alchemists_hut.maxed")</f>
        <v>building.alchemists_hut.maxed</v>
      </c>
      <c r="N525" s="26" t="str">
        <f t="array" ref="N525">IF(
 M525="",
 "",
 _xlfn.XLOOKUP(
  M525,
  tblTargets[TargetID],
  tblTargets[DisplayName],
  M525
 )
)</f>
        <v>Alchemists Hut maxed</v>
      </c>
      <c r="O525" s="26" t="str">
        <f>IFERROR(__xludf.DUMMYFUNCTION("SWITCH(
 E525,
 ""BUILDING"",XLOOKUP(A525,tblBuildings[BuildingID],tblBuildings[costtext],""""),
 ""TECH"",XLOOKUP(A525,tblTechnologies[TechnologyID],tblTechnologies[costtext],""""),
 ""QUEST"",XLOOKUP(
  REGEXREPLACE(A525,""\.[^.]+$"",""""),
  tblQuests["&amp;"QuestID],
  tblQuests[Costtext],
  """"
 ),
 ""CITADEL"",XLOOKUP(A525,tblCitadel[CitadelID],tblCitadel[costtext],""""),
 ""COLLECTION"",XLOOKUP(A525,tblCollections[CollectionID],tblCollections[costtext],""""),
 ""CRAFTIFACT"",XLOOKUP(A525,tblCraftifacts[C"&amp;"raftifactID],tblCraftifacts[costtext],""""),
 """"
)"),"40 chemicals,300 coin,10 glass,10 oil,20 page,1 ruby")</f>
        <v>40 chemicals,300 coin,10 glass,10 oil,20 page,1 ruby</v>
      </c>
      <c r="P525" s="26" t="str">
        <f t="shared" si="6"/>
        <v>BLOCKED</v>
      </c>
      <c r="Q525" s="26" t="str">
        <f t="shared" si="7"/>
        <v>BLOCKED</v>
      </c>
      <c r="R525" s="26" t="str">
        <f t="array" ref="R525">IFERROR(
 _xlfn.XLOOKUP(
  A525,
  tblChecklist[TargetID],
  tblChecklist[PlayerSort],
  ""
 ),
 ""
)</f>
        <v/>
      </c>
      <c r="S525" s="26" t="str">
        <f>IFERROR(__xludf.DUMMYFUNCTION("LET(
 id,A525,
 successorIDs,
  IFERROR(
   UNIQUE(
    FILTER(
     {
      Dependencies!$A$2:$A$1000;
      QuestObjectives!$A$2:$A$1000
     },
     {
      Dependencies!$B$2:$B$1000;
      QuestObjectives!$E$2:$E$1000
     }=id
    )
   ),
   """"
  )"&amp;",
 names,
  MAP(
   successorIDs,
   LAMBDA(s,
    IF(
     s="""",
     """",
     XLOOKUP(
      s,
      $A$2:$A$1000,
      $B$2:$B$1000,
      s
     )
    )
   )
  ),
 IF(
  successorIDs="""",
  """",
  TEXTJOIN("", "",TRUE,names)
 )
)"),"")</f>
        <v/>
      </c>
      <c r="T525" s="26" t="str">
        <f t="array" ref="T525">_xlfn.XLOOKUP(
 A525,
 tblTargets[TargetID],
 tblTargets[CompletionMethod],
 ""
)</f>
        <v>PLAYER</v>
      </c>
      <c r="U525" s="84" t="b">
        <f>COUNTIF(tblCost[TargetID],A525)&gt;0</f>
        <v>1</v>
      </c>
      <c r="V525" s="85">
        <f t="array" ref="V525">IF(
 U525=FALSE,
 "",
 _xlfn.XLOOKUP(
  A525,
  tblCost[TargetID],
  tblCost[FundingPercent],
  ""
 )
)</f>
        <v>0</v>
      </c>
      <c r="W525" s="26">
        <f t="array" ref="W525">IF(
 U525=FALSE,
 "",
 _xlfn.XLOOKUP(
  A525,
  tblCost[TargetID],
  tblCost[RemainingRequirements],
  ""
 )
)</f>
        <v>6</v>
      </c>
      <c r="X525" s="45" t="b">
        <f t="array" ref="X525">IF(
 U525=FALSE,
 "N/A",
 _xlfn.XLOOKUP(
  A526,
  tblCost[TargetID],
  tblCost[TargetFunded],
  FALSE
 )
)</f>
        <v>0</v>
      </c>
      <c r="Y525" s="26" t="str">
        <f>IFERROR(__xludf.DUMMYFUNCTION("IFERROR(
 TEXTJOIN(
  "", "",
  TRUE,
  FILTER(
   'cost checklist'!$E$2:$E1000&amp;"": ""&amp;'cost checklist'!$G$2:$G1000,
   'cost checklist'!$B$2:$B1000=A525,
   'cost checklist'!$J$2:$J1000=FALSE
  )
 ),
 """"
)"),"chemicals: 40, coin: 300, glass: 10, oil: 10, page: 20, ruby: 1")</f>
        <v>chemicals: 40, coin: 300, glass: 10, oil: 10, page: 20, ruby: 1</v>
      </c>
      <c r="Z525" s="26" t="b">
        <f>IFERROR(__xludf.DUMMYFUNCTION("IF(
 AND(
  E525=""QUEST"",
  RIGHT(A525,9)="".accepted"",
  D525=TRUE
 ),
 XLOOKUP(
  REGEXREPLACE(A525,""\.accepted$"","""")&amp;"".finished"",
  $A$2:$A1000,
  $D$2:$D1000,
  TRUE
 )=FALSE,
 FALSE
)"),FALSE)</f>
        <v>0</v>
      </c>
      <c r="AA525" s="26" t="str">
        <f>IFERROR(__xludf.DUMMYFUNCTION("LET(
 id,A525,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6" ht="14.25" customHeight="1">
      <c r="A526" s="26" t="s">
        <v>1724</v>
      </c>
      <c r="B526" s="26" t="str">
        <f t="array" ref="B526">_xlfn.XLOOKUP(
 A526,
 tblTargets[TargetID],
 tblTargets[DisplayName],
 ""
)</f>
        <v>Alchemists Hut - Madness Grenade</v>
      </c>
      <c r="C526" s="26" t="str">
        <f t="shared" si="1"/>
        <v>BLOCKED</v>
      </c>
      <c r="D526" s="26" t="b">
        <f>IFERROR(__xludf.DUMMYFUNCTION("LET(
 id,A526,
 IF(
  F526=""CHARACTER"",
  LET(
   base,REGEXREPLACE(id,""@\d+$"",""""),
   required,VALUE(REGEXEXTRACT(id,""@(\d+)$"")),
   current,XLOOKUP(
    base,
    tblPlayer[PlayerStateID],
    tblPlayer[Value],
    0
   ),
   current&gt;=required
 "&amp;" ),
  IF(
   T526=""AUTO"",
   L526=0,
   COUNTIFS(
    tblChecklist[TargetID],id,
    tblChecklist[PlayerCompleted],TRUE
   )&gt;0
  )
 )
)"),FALSE)</f>
        <v>0</v>
      </c>
      <c r="E526" s="26" t="str">
        <f t="array" ref="E526">_xlfn.XLOOKUP(
 A526,
 tblTargets[TargetID],
 tblTargets[TargetType],
 ""
)</f>
        <v>TECH</v>
      </c>
      <c r="F526" s="26" t="str">
        <f t="array" ref="F526">_xlfn.XLOOKUP(
 A526,
 tblTargets[TargetID],
 tblTargets[StateType],
 ""
)</f>
        <v/>
      </c>
      <c r="G526" s="26">
        <f>LET(
 id,A526,
 depCount,COUNTIF(tblDependencies[TargetID],id),
 objCount,COUNTIF(tblQuestObjectives[QuestTargetID],id),
 depCount+objCount
)</f>
        <v>2</v>
      </c>
      <c r="H526" s="26">
        <f t="shared" si="2"/>
        <v>2</v>
      </c>
      <c r="I526" s="26">
        <f>IFERROR(__xludf.DUMMYFUNCTION("LET(
 id,A526,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6" s="26">
        <f t="shared" si="3"/>
        <v>0</v>
      </c>
      <c r="K526" s="26" t="b">
        <f t="shared" si="4"/>
        <v>0</v>
      </c>
      <c r="L526" s="26">
        <f t="shared" si="5"/>
        <v>2</v>
      </c>
      <c r="M526" s="26" t="str">
        <f>IFERROR(__xludf.DUMMYFUNCTION("LET(
 id,A526,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L526=0,
  """",
  IFERROR(INDEX(incomplete,1),"""")"&amp;"
 )
)"),"tech.alchemists_hut.mercury")</f>
        <v>tech.alchemists_hut.mercury</v>
      </c>
      <c r="N526" s="26" t="str">
        <f t="array" ref="N526">IF(
 M526="",
 "",
 _xlfn.XLOOKUP(
  M526,
  tblTargets[TargetID],
  tblTargets[DisplayName],
  M526
 )
)</f>
        <v>Alchemists Hut - Mercury</v>
      </c>
      <c r="O526" s="26" t="str">
        <f>IFERROR(__xludf.DUMMYFUNCTION("SWITCH(
 E526,
 ""BUILDING"",XLOOKUP(A526,tblBuildings[BuildingID],tblBuildings[costtext],""""),
 ""TECH"",XLOOKUP(A526,tblTechnologies[TechnologyID],tblTechnologies[costtext],""""),
 ""QUEST"",XLOOKUP(
  REGEXREPLACE(A526,""\.[^.]+$"",""""),
  tblQuests["&amp;"QuestID],
  tblQuests[Costtext],
  """"
 ),
 ""CITADEL"",XLOOKUP(A526,tblCitadel[CitadelID],tblCitadel[costtext],""""),
 ""COLLECTION"",XLOOKUP(A526,tblCollections[CollectionID],tblCollections[costtext],""""),
 ""CRAFTIFACT"",XLOOKUP(A526,tblCraftifacts[C"&amp;"raftifactID],tblCraftifacts[costtext],""""),
 """"
)"),"5 apy,300 coin,10 glass,10 grimoire,100 gunpowder,10 herbs,10 mercury,1 ruby")</f>
        <v>5 apy,300 coin,10 glass,10 grimoire,100 gunpowder,10 herbs,10 mercury,1 ruby</v>
      </c>
      <c r="P526" s="26" t="str">
        <f t="shared" si="6"/>
        <v>BLOCKED</v>
      </c>
      <c r="Q526" s="26" t="str">
        <f t="shared" si="7"/>
        <v>BLOCKED</v>
      </c>
      <c r="R526" s="26" t="str">
        <f t="array" ref="R526">IFERROR(
 _xlfn.XLOOKUP(
  A526,
  tblChecklist[TargetID],
  tblChecklist[PlayerSort],
  ""
 ),
 ""
)</f>
        <v/>
      </c>
      <c r="S526" s="26" t="str">
        <f>IFERROR(__xludf.DUMMYFUNCTION("LET(
 id,A526,
 successorIDs,
  IFERROR(
   UNIQUE(
    FILTER(
     {
      Dependencies!$A$2:$A$1000;
      QuestObjectives!$A$2:$A$1000
     },
     {
      Dependencies!$B$2:$B$1000;
      QuestObjectives!$E$2:$E$1000
     }=id
    )
   ),
   """"
  )"&amp;",
 names,
  MAP(
   successorIDs,
   LAMBDA(s,
    IF(
     s="""",
     """",
     XLOOKUP(
      s,
      $A$2:$A$1000,
      $B$2:$B$1000,
      s
     )
    )
   )
  ),
 IF(
  successorIDs="""",
  """",
  TEXTJOIN("", "",TRUE,names)
 )
)"),"")</f>
        <v/>
      </c>
      <c r="T526" s="26" t="str">
        <f t="array" ref="T526">_xlfn.XLOOKUP(
 A526,
 tblTargets[TargetID],
 tblTargets[CompletionMethod],
 ""
)</f>
        <v>PLAYER</v>
      </c>
      <c r="U526" s="84" t="b">
        <f>COUNTIF(tblCost[TargetID],A526)&gt;0</f>
        <v>1</v>
      </c>
      <c r="V526" s="85">
        <f t="array" ref="V526">IF(
 U526=FALSE,
 "",
 _xlfn.XLOOKUP(
  A526,
  tblCost[TargetID],
  tblCost[FundingPercent],
  ""
 )
)</f>
        <v>0</v>
      </c>
      <c r="W526" s="26">
        <f t="array" ref="W526">IF(
 U526=FALSE,
 "",
 _xlfn.XLOOKUP(
  A526,
  tblCost[TargetID],
  tblCost[RemainingRequirements],
  ""
 )
)</f>
        <v>8</v>
      </c>
      <c r="X526" s="45" t="b">
        <f t="array" ref="X526">IF(
 U526=FALSE,
 "N/A",
 _xlfn.XLOOKUP(
  A527,
  tblCost[TargetID],
  tblCost[TargetFunded],
  FALSE
 )
)</f>
        <v>0</v>
      </c>
      <c r="Y526" s="26" t="str">
        <f>IFERROR(__xludf.DUMMYFUNCTION("IFERROR(
 TEXTJOIN(
  "", "",
  TRUE,
  FILTER(
   'cost checklist'!$E$2:$E1000&amp;"": ""&amp;'cost checklist'!$G$2:$G1000,
   'cost checklist'!$B$2:$B1000=A526,
   'cost checklist'!$J$2:$J1000=FALSE
  )
 ),
 """"
)"),"apy: 5, coin: 300, glass: 10, grimoire: 10, gunpowder: 100, herbs: 10, mercury: 10, ruby: 1")</f>
        <v>apy: 5, coin: 300, glass: 10, grimoire: 10, gunpowder: 100, herbs: 10, mercury: 10, ruby: 1</v>
      </c>
      <c r="Z526" s="26" t="b">
        <f>IFERROR(__xludf.DUMMYFUNCTION("IF(
 AND(
  E526=""QUEST"",
  RIGHT(A526,9)="".accepted"",
  D526=TRUE
 ),
 XLOOKUP(
  REGEXREPLACE(A526,""\.accepted$"","""")&amp;"".finished"",
  $A$2:$A1000,
  $D$2:$D1000,
  TRUE
 )=FALSE,
 FALSE
)"),FALSE)</f>
        <v>0</v>
      </c>
      <c r="AA526" s="26" t="str">
        <f>IFERROR(__xludf.DUMMYFUNCTION("LET(
 id,A526,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7" ht="14.25" customHeight="1">
      <c r="A527" s="26" t="s">
        <v>1726</v>
      </c>
      <c r="B527" s="26" t="str">
        <f t="array" ref="B527">_xlfn.XLOOKUP(
 A527,
 tblTargets[TargetID],
 tblTargets[DisplayName],
 ""
)</f>
        <v>Alchemists Hut - Mercury</v>
      </c>
      <c r="C527" s="26" t="str">
        <f t="shared" si="1"/>
        <v>BLOCKED</v>
      </c>
      <c r="D527" s="26" t="b">
        <f>IFERROR(__xludf.DUMMYFUNCTION("LET(
 id,A527,
 IF(
  F527=""CHARACTER"",
  LET(
   base,REGEXREPLACE(id,""@\d+$"",""""),
   required,VALUE(REGEXEXTRACT(id,""@(\d+)$"")),
   current,XLOOKUP(
    base,
    tblPlayer[PlayerStateID],
    tblPlayer[Value],
    0
   ),
   current&gt;=required
 "&amp;" ),
  IF(
   T527=""AUTO"",
   L527=0,
   COUNTIFS(
    tblChecklist[TargetID],id,
    tblChecklist[PlayerCompleted],TRUE
   )&gt;0
  )
 )
)"),FALSE)</f>
        <v>0</v>
      </c>
      <c r="E527" s="26" t="str">
        <f t="array" ref="E527">_xlfn.XLOOKUP(
 A527,
 tblTargets[TargetID],
 tblTargets[TargetType],
 ""
)</f>
        <v>TECH</v>
      </c>
      <c r="F527" s="26" t="str">
        <f t="array" ref="F527">_xlfn.XLOOKUP(
 A527,
 tblTargets[TargetID],
 tblTargets[StateType],
 ""
)</f>
        <v/>
      </c>
      <c r="G527" s="26">
        <f>LET(
 id,A527,
 depCount,COUNTIF(tblDependencies[TargetID],id),
 objCount,COUNTIF(tblQuestObjectives[QuestTargetID],id),
 depCount+objCount
)</f>
        <v>3</v>
      </c>
      <c r="H527" s="26">
        <f t="shared" si="2"/>
        <v>3</v>
      </c>
      <c r="I527" s="26">
        <f>IFERROR(__xludf.DUMMYFUNCTION("LET(
 id,A527,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7" s="26">
        <f t="shared" si="3"/>
        <v>0</v>
      </c>
      <c r="K527" s="26" t="b">
        <f t="shared" si="4"/>
        <v>0</v>
      </c>
      <c r="L527" s="26">
        <f t="shared" si="5"/>
        <v>3</v>
      </c>
      <c r="M527" s="26" t="str">
        <f>IFERROR(__xludf.DUMMYFUNCTION("LET(
 id,A527,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L527=0,
  """",
  IFERROR(INDEX(incomplete,1),"""")"&amp;"
 )
)"),"quest.once_upon_a_forest_chapter_6.finished")</f>
        <v>quest.once_upon_a_forest_chapter_6.finished</v>
      </c>
      <c r="N527" s="26" t="str">
        <f t="array" ref="N527">IF(
 M527="",
 "",
 _xlfn.XLOOKUP(
  M527,
  tblTargets[TargetID],
  tblTargets[DisplayName],
  M527
 )
)</f>
        <v>Once Upon a Forest Chapter 6 Finished</v>
      </c>
      <c r="O527" s="26" t="str">
        <f>IFERROR(__xludf.DUMMYFUNCTION("SWITCH(
 E527,
 ""BUILDING"",XLOOKUP(A527,tblBuildings[BuildingID],tblBuildings[costtext],""""),
 ""TECH"",XLOOKUP(A527,tblTechnologies[TechnologyID],tblTechnologies[costtext],""""),
 ""QUEST"",XLOOKUP(
  REGEXREPLACE(A527,""\.[^.]+$"",""""),
  tblQuests["&amp;"QuestID],
  tblQuests[Costtext],
  """"
 ),
 ""CITADEL"",XLOOKUP(A527,tblCitadel[CitadelID],tblCitadel[costtext],""""),
 ""COLLECTION"",XLOOKUP(A527,tblCollections[CollectionID],tblCollections[costtext],""""),
 ""CRAFTIFACT"",XLOOKUP(A527,tblCraftifacts[C"&amp;"raftifactID],tblCraftifacts[costtext],""""),
 """"
)"),"100 charcoal,30 cinnabar,400 coin,10 glass,10 grimoire,10 reagent,1 ruby")</f>
        <v>100 charcoal,30 cinnabar,400 coin,10 glass,10 grimoire,10 reagent,1 ruby</v>
      </c>
      <c r="P527" s="26" t="str">
        <f t="shared" si="6"/>
        <v>BLOCKED</v>
      </c>
      <c r="Q527" s="26" t="str">
        <f t="shared" si="7"/>
        <v>BLOCKED</v>
      </c>
      <c r="R527" s="26" t="str">
        <f t="array" ref="R527">IFERROR(
 _xlfn.XLOOKUP(
  A527,
  tblChecklist[TargetID],
  tblChecklist[PlayerSort],
  ""
 ),
 ""
)</f>
        <v/>
      </c>
      <c r="S527" s="26" t="str">
        <f>IFERROR(__xludf.DUMMYFUNCTION("LET(
 id,A527,
 successorIDs,
  IFERROR(
   UNIQUE(
    FILTER(
     {
      Dependencies!$A$2:$A$1000;
      QuestObjectives!$A$2:$A$1000
     },
     {
      Dependencies!$B$2:$B$1000;
      QuestObjectives!$E$2:$E$1000
     }=id
    )
   ),
   """"
  )"&amp;",
 names,
  MAP(
   successorIDs,
   LAMBDA(s,
    IF(
     s="""",
     """",
     XLOOKUP(
      s,
      $A$2:$A$1000,
      $B$2:$B$1000,
      s
     )
    )
   )
  ),
 IF(
  successorIDs="""",
  """",
  TEXTJOIN("", "",TRUE,names)
 )
)"),"Alchemists Hut - Gold Ingot, Alchemists Hut - Madness Grenade, Alchemists Hut - Metamorphosis")</f>
        <v>Alchemists Hut - Gold Ingot, Alchemists Hut - Madness Grenade, Alchemists Hut - Metamorphosis</v>
      </c>
      <c r="T527" s="26" t="str">
        <f t="array" ref="T527">_xlfn.XLOOKUP(
 A527,
 tblTargets[TargetID],
 tblTargets[CompletionMethod],
 ""
)</f>
        <v>PLAYER</v>
      </c>
      <c r="U527" s="84" t="b">
        <f>COUNTIF(tblCost[TargetID],A527)&gt;0</f>
        <v>1</v>
      </c>
      <c r="V527" s="85">
        <f t="array" ref="V527">IF(
 U527=FALSE,
 "",
 _xlfn.XLOOKUP(
  A527,
  tblCost[TargetID],
  tblCost[FundingPercent],
  ""
 )
)</f>
        <v>0</v>
      </c>
      <c r="W527" s="26">
        <f t="array" ref="W527">IF(
 U527=FALSE,
 "",
 _xlfn.XLOOKUP(
  A527,
  tblCost[TargetID],
  tblCost[RemainingRequirements],
  ""
 )
)</f>
        <v>7</v>
      </c>
      <c r="X527" s="45" t="b">
        <f t="array" ref="X527">IF(
 U527=FALSE,
 "N/A",
 _xlfn.XLOOKUP(
  A528,
  tblCost[TargetID],
  tblCost[TargetFunded],
  FALSE
 )
)</f>
        <v>0</v>
      </c>
      <c r="Y527" s="26" t="str">
        <f>IFERROR(__xludf.DUMMYFUNCTION("IFERROR(
 TEXTJOIN(
  "", "",
  TRUE,
  FILTER(
   'cost checklist'!$E$2:$E1000&amp;"": ""&amp;'cost checklist'!$G$2:$G1000,
   'cost checklist'!$B$2:$B1000=A527,
   'cost checklist'!$J$2:$J1000=FALSE
  )
 ),
 """"
)"),"charcoal: 100, cinnabar: 30, coin: 400, glass: 10, grimoire: 10, reagent: 10, ruby: 1")</f>
        <v>charcoal: 100, cinnabar: 30, coin: 400, glass: 10, grimoire: 10, reagent: 10, ruby: 1</v>
      </c>
      <c r="Z527" s="26" t="b">
        <f>IFERROR(__xludf.DUMMYFUNCTION("IF(
 AND(
  E527=""QUEST"",
  RIGHT(A527,9)="".accepted"",
  D527=TRUE
 ),
 XLOOKUP(
  REGEXREPLACE(A527,""\.accepted$"","""")&amp;"".finished"",
  $A$2:$A1000,
  $D$2:$D1000,
  TRUE
 )=FALSE,
 FALSE
)"),FALSE)</f>
        <v>0</v>
      </c>
      <c r="AA527" s="26" t="str">
        <f>IFERROR(__xludf.DUMMYFUNCTION("LET(
 id,A527,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8" ht="14.25" customHeight="1">
      <c r="A528" s="26" t="s">
        <v>1728</v>
      </c>
      <c r="B528" s="26" t="str">
        <f t="array" ref="B528">_xlfn.XLOOKUP(
 A528,
 tblTargets[TargetID],
 tblTargets[DisplayName],
 ""
)</f>
        <v>Alchemists Hut - Metamorphosis</v>
      </c>
      <c r="C528" s="26" t="str">
        <f t="shared" si="1"/>
        <v>BLOCKED</v>
      </c>
      <c r="D528" s="26" t="b">
        <f>IFERROR(__xludf.DUMMYFUNCTION("LET(
 id,A528,
 IF(
  F528=""CHARACTER"",
  LET(
   base,REGEXREPLACE(id,""@\d+$"",""""),
   required,VALUE(REGEXEXTRACT(id,""@(\d+)$"")),
   current,XLOOKUP(
    base,
    tblPlayer[PlayerStateID],
    tblPlayer[Value],
    0
   ),
   current&gt;=required
 "&amp;" ),
  IF(
   T528=""AUTO"",
   L528=0,
   COUNTIFS(
    tblChecklist[TargetID],id,
    tblChecklist[PlayerCompleted],TRUE
   )&gt;0
  )
 )
)"),FALSE)</f>
        <v>0</v>
      </c>
      <c r="E528" s="26" t="str">
        <f t="array" ref="E528">_xlfn.XLOOKUP(
 A528,
 tblTargets[TargetID],
 tblTargets[TargetType],
 ""
)</f>
        <v>TECH</v>
      </c>
      <c r="F528" s="26" t="str">
        <f t="array" ref="F528">_xlfn.XLOOKUP(
 A528,
 tblTargets[TargetID],
 tblTargets[StateType],
 ""
)</f>
        <v/>
      </c>
      <c r="G528" s="26">
        <f>LET(
 id,A528,
 depCount,COUNTIF(tblDependencies[TargetID],id),
 objCount,COUNTIF(tblQuestObjectives[QuestTargetID],id),
 depCount+objCount
)</f>
        <v>2</v>
      </c>
      <c r="H528" s="26">
        <f t="shared" si="2"/>
        <v>2</v>
      </c>
      <c r="I528" s="26">
        <f>IFERROR(__xludf.DUMMYFUNCTION("LET(
 id,A528,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8" s="26">
        <f t="shared" si="3"/>
        <v>0</v>
      </c>
      <c r="K528" s="26" t="b">
        <f t="shared" si="4"/>
        <v>0</v>
      </c>
      <c r="L528" s="26">
        <f t="shared" si="5"/>
        <v>2</v>
      </c>
      <c r="M528" s="26" t="str">
        <f>IFERROR(__xludf.DUMMYFUNCTION("LET(
 id,A528,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L528=0,
  """",
  IFERROR(INDEX(incomplete,1),"""")"&amp;"
 )
)"),"tech.alchemists_hut.mercury")</f>
        <v>tech.alchemists_hut.mercury</v>
      </c>
      <c r="N528" s="26" t="str">
        <f t="array" ref="N528">IF(
 M528="",
 "",
 _xlfn.XLOOKUP(
  M528,
  tblTargets[TargetID],
  tblTargets[DisplayName],
  M528
 )
)</f>
        <v>Alchemists Hut - Mercury</v>
      </c>
      <c r="O528" s="26" t="str">
        <f>IFERROR(__xludf.DUMMYFUNCTION("SWITCH(
 E528,
 ""BUILDING"",XLOOKUP(A528,tblBuildings[BuildingID],tblBuildings[costtext],""""),
 ""TECH"",XLOOKUP(A528,tblTechnologies[TechnologyID],tblTechnologies[costtext],""""),
 ""QUEST"",XLOOKUP(
  REGEXREPLACE(A528,""\.[^.]+$"",""""),
  tblQuests["&amp;"QuestID],
  tblQuests[Costtext],
  """"
 ),
 ""CITADEL"",XLOOKUP(A528,tblCitadel[CitadelID],tblCitadel[costtext],""""),
 ""COLLECTION"",XLOOKUP(A528,tblCollections[CollectionID],tblCollections[costtext],""""),
 ""CRAFTIFACT"",XLOOKUP(A528,tblCraftifacts[C"&amp;"raftifactID],tblCraftifacts[costtext],""""),
 """"
)"),"300 coin,5 grimoire,15 mandrake,5 mercury,15 reagent,3 ruby")</f>
        <v>300 coin,5 grimoire,15 mandrake,5 mercury,15 reagent,3 ruby</v>
      </c>
      <c r="P528" s="26" t="str">
        <f t="shared" si="6"/>
        <v>BLOCKED</v>
      </c>
      <c r="Q528" s="26" t="str">
        <f t="shared" si="7"/>
        <v>BLOCKED</v>
      </c>
      <c r="R528" s="26">
        <f t="array" ref="R528">IFERROR(
 _xlfn.XLOOKUP(
  A528,
  tblChecklist[TargetID],
  tblChecklist[PlayerSort],
  ""
 ),
 ""
)</f>
        <v>999</v>
      </c>
      <c r="S528" s="26" t="str">
        <f>IFERROR(__xludf.DUMMYFUNCTION("LET(
 id,A528,
 successorIDs,
  IFERROR(
   UNIQUE(
    FILTER(
     {
      Dependencies!$A$2:$A$1000;
      QuestObjectives!$A$2:$A$1000
     },
     {
      Dependencies!$B$2:$B$1000;
      QuestObjectives!$E$2:$E$1000
     }=id
    )
   ),
   """"
  )"&amp;",
 names,
  MAP(
   successorIDs,
   LAMBDA(s,
    IF(
     s="""",
     """",
     XLOOKUP(
      s,
      $A$2:$A$1000,
      $B$2:$B$1000,
      s
     )
    )
   )
  ),
 IF(
  successorIDs="""",
  """",
  TEXTJOIN("", "",TRUE,names)
 )
)"),"")</f>
        <v/>
      </c>
      <c r="T528" s="26" t="str">
        <f t="array" ref="T528">_xlfn.XLOOKUP(
 A528,
 tblTargets[TargetID],
 tblTargets[CompletionMethod],
 ""
)</f>
        <v>PLAYER</v>
      </c>
      <c r="U528" s="84" t="b">
        <f>COUNTIF(tblCost[TargetID],A528)&gt;0</f>
        <v>1</v>
      </c>
      <c r="V528" s="85">
        <f t="array" ref="V528">IF(
 U528=FALSE,
 "",
 _xlfn.XLOOKUP(
  A528,
  tblCost[TargetID],
  tblCost[FundingPercent],
  ""
 )
)</f>
        <v>0</v>
      </c>
      <c r="W528" s="26">
        <f t="array" ref="W528">IF(
 U528=FALSE,
 "",
 _xlfn.XLOOKUP(
  A528,
  tblCost[TargetID],
  tblCost[RemainingRequirements],
  ""
 )
)</f>
        <v>6</v>
      </c>
      <c r="X528" s="45" t="b">
        <f t="array" ref="X528">IF(
 U528=FALSE,
 "N/A",
 _xlfn.XLOOKUP(
  A529,
  tblCost[TargetID],
  tblCost[TargetFunded],
  FALSE
 )
)</f>
        <v>0</v>
      </c>
      <c r="Y528" s="26" t="str">
        <f>IFERROR(__xludf.DUMMYFUNCTION("IFERROR(
 TEXTJOIN(
  "", "",
  TRUE,
  FILTER(
   'cost checklist'!$E$2:$E1000&amp;"": ""&amp;'cost checklist'!$G$2:$G1000,
   'cost checklist'!$B$2:$B1000=A528,
   'cost checklist'!$J$2:$J1000=FALSE
  )
 ),
 """"
)"),"coin: 300, grimoire: 5, mandrake: 15, mercury: 5, reagent: 15, ruby: 3")</f>
        <v>coin: 300, grimoire: 5, mandrake: 15, mercury: 5, reagent: 15, ruby: 3</v>
      </c>
      <c r="Z528" s="26" t="b">
        <f>IFERROR(__xludf.DUMMYFUNCTION("IF(
 AND(
  E528=""QUEST"",
  RIGHT(A528,9)="".accepted"",
  D528=TRUE
 ),
 XLOOKUP(
  REGEXREPLACE(A528,""\.accepted$"","""")&amp;"".finished"",
  $A$2:$A1000,
  $D$2:$D1000,
  TRUE
 )=FALSE,
 FALSE
)"),FALSE)</f>
        <v>0</v>
      </c>
      <c r="AA528" s="26" t="str">
        <f>IFERROR(__xludf.DUMMYFUNCTION("LET(
 id,A528,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29" ht="14.25" customHeight="1">
      <c r="A529" s="26" t="s">
        <v>1731</v>
      </c>
      <c r="B529" s="26" t="str">
        <f t="array" ref="B529">_xlfn.XLOOKUP(
 A529,
 tblTargets[TargetID],
 tblTargets[DisplayName],
 ""
)</f>
        <v>Alchemist's Hut - Perfect Fertilizer</v>
      </c>
      <c r="C529" s="26" t="str">
        <f t="shared" si="1"/>
        <v>BLOCKED</v>
      </c>
      <c r="D529" s="26" t="b">
        <f>IFERROR(__xludf.DUMMYFUNCTION("LET(
 id,A529,
 IF(
  F529=""CHARACTER"",
  LET(
   base,REGEXREPLACE(id,""@\d+$"",""""),
   required,VALUE(REGEXEXTRACT(id,""@(\d+)$"")),
   current,XLOOKUP(
    base,
    tblPlayer[PlayerStateID],
    tblPlayer[Value],
    0
   ),
   current&gt;=required
 "&amp;" ),
  IF(
   T529=""AUTO"",
   L529=0,
   COUNTIFS(
    tblChecklist[TargetID],id,
    tblChecklist[PlayerCompleted],TRUE
   )&gt;0
  )
 )
)"),FALSE)</f>
        <v>0</v>
      </c>
      <c r="E529" s="26" t="str">
        <f t="array" ref="E529">_xlfn.XLOOKUP(
 A529,
 tblTargets[TargetID],
 tblTargets[TargetType],
 ""
)</f>
        <v>TECH</v>
      </c>
      <c r="F529" s="26" t="str">
        <f t="array" ref="F529">_xlfn.XLOOKUP(
 A529,
 tblTargets[TargetID],
 tblTargets[StateType],
 ""
)</f>
        <v/>
      </c>
      <c r="G529" s="26">
        <f>LET(
 id,A529,
 depCount,COUNTIF(tblDependencies[TargetID],id),
 objCount,COUNTIF(tblQuestObjectives[QuestTargetID],id),
 depCount+objCount
)</f>
        <v>1</v>
      </c>
      <c r="H529" s="26">
        <f t="shared" si="2"/>
        <v>1</v>
      </c>
      <c r="I529" s="26">
        <f>IFERROR(__xludf.DUMMYFUNCTION("LET(
 id,A529,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29" s="26">
        <f t="shared" si="3"/>
        <v>0</v>
      </c>
      <c r="K529" s="26" t="b">
        <f t="shared" si="4"/>
        <v>0</v>
      </c>
      <c r="L529" s="26">
        <f t="shared" si="5"/>
        <v>1</v>
      </c>
      <c r="M529" s="26" t="str">
        <f>IFERROR(__xludf.DUMMYFUNCTION("LET(
 id,A529,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L529=0,
  """",
  IFERROR(INDEX(incomplete,1),"""")"&amp;"
 )
)"),"quest.ahead_of_time_chapter_1.accepted")</f>
        <v>quest.ahead_of_time_chapter_1.accepted</v>
      </c>
      <c r="N529" s="26" t="str">
        <f t="array" ref="N529">IF(
 M529="",
 "",
 _xlfn.XLOOKUP(
  M529,
  tblTargets[TargetID],
  tblTargets[DisplayName],
  M529
 )
)</f>
        <v>Ahead of Time Chapter 1 Accepted</v>
      </c>
      <c r="O529" s="26" t="str">
        <f>IFERROR(__xludf.DUMMYFUNCTION("SWITCH(
 E529,
 ""BUILDING"",XLOOKUP(A529,tblBuildings[BuildingID],tblBuildings[costtext],""""),
 ""TECH"",XLOOKUP(A529,tblTechnologies[TechnologyID],tblTechnologies[costtext],""""),
 ""QUEST"",XLOOKUP(
  REGEXREPLACE(A529,""\.[^.]+$"",""""),
  tblQuests["&amp;"QuestID],
  tblQuests[Costtext],
  """"
 ),
 ""CITADEL"",XLOOKUP(A529,tblCitadel[CitadelID],tblCitadel[costtext],""""),
 ""COLLECTION"",XLOOKUP(A529,tblCollections[CollectionID],tblCollections[costtext],""""),
 ""CRAFTIFACT"",XLOOKUP(A529,tblCraftifacts[C"&amp;"raftifactID],tblCraftifacts[costtext],""""),
 """"
)"),"5 Ruby, 1000 coin, 50 fertilizer, 30 bonemeal, 100 chemical, 20 reagent, 20 catalyst, 30 blueprint, 30 pcard")</f>
        <v>5 Ruby, 1000 coin, 50 fertilizer, 30 bonemeal, 100 chemical, 20 reagent, 20 catalyst, 30 blueprint, 30 pcard</v>
      </c>
      <c r="P529" s="26" t="str">
        <f t="shared" si="6"/>
        <v>BLOCKED</v>
      </c>
      <c r="Q529" s="26" t="str">
        <f t="shared" si="7"/>
        <v>BLOCKED</v>
      </c>
      <c r="R529" s="26" t="str">
        <f t="array" ref="R529">IFERROR(
 _xlfn.XLOOKUP(
  A529,
  tblChecklist[TargetID],
  tblChecklist[PlayerSort],
  ""
 ),
 ""
)</f>
        <v/>
      </c>
      <c r="S529" s="26" t="str">
        <f>IFERROR(__xludf.DUMMYFUNCTION("LET(
 id,A529,
 successorIDs,
  IFERROR(
   UNIQUE(
    FILTER(
     {
      Dependencies!$A$2:$A$1000;
      QuestObjectives!$A$2:$A$1000
     },
     {
      Dependencies!$B$2:$B$1000;
      QuestObjectives!$E$2:$E$1000
     }=id
    )
   ),
   """"
  )"&amp;",
 names,
  MAP(
   successorIDs,
   LAMBDA(s,
    IF(
     s="""",
     """",
     XLOOKUP(
      s,
      $A$2:$A$1000,
      $B$2:$B$1000,
      s
     )
    )
   )
  ),
 IF(
  successorIDs="""",
  """",
  TEXTJOIN("", "",TRUE,names)
 )
)"),"")</f>
        <v/>
      </c>
      <c r="T529" s="26" t="str">
        <f t="array" ref="T529">_xlfn.XLOOKUP(
 A529,
 tblTargets[TargetID],
 tblTargets[CompletionMethod],
 ""
)</f>
        <v>PLAYER</v>
      </c>
      <c r="U529" s="84" t="b">
        <f>COUNTIF(tblCost[TargetID],A529)&gt;0</f>
        <v>1</v>
      </c>
      <c r="V529" s="85">
        <f t="array" ref="V529">IF(
 U529=FALSE,
 "",
 _xlfn.XLOOKUP(
  A529,
  tblCost[TargetID],
  tblCost[FundingPercent],
  ""
 )
)</f>
        <v>0</v>
      </c>
      <c r="W529" s="26">
        <f t="array" ref="W529">IF(
 U529=FALSE,
 "",
 _xlfn.XLOOKUP(
  A529,
  tblCost[TargetID],
  tblCost[RemainingRequirements],
  ""
 )
)</f>
        <v>9</v>
      </c>
      <c r="X529" s="45" t="b">
        <f t="array" ref="X529">IF(
 U529=FALSE,
 "N/A",
 _xlfn.XLOOKUP(
  A530,
  tblCost[TargetID],
  tblCost[TargetFunded],
  FALSE
 )
)</f>
        <v>0</v>
      </c>
      <c r="Y529" s="26" t="str">
        <f>IFERROR(__xludf.DUMMYFUNCTION("IFERROR(
 TEXTJOIN(
  "", "",
  TRUE,
  FILTER(
   'cost checklist'!$E$2:$E1000&amp;"": ""&amp;'cost checklist'!$G$2:$G1000,
   'cost checklist'!$B$2:$B1000=A529,
   'cost checklist'!$J$2:$J1000=FALSE
  )
 ),
 """"
)"),"blueprint: 30, bone_meal: 30, catalyst: 20, chemicals: 100, coin: 1000, punch_card: 30, reagent: 20, ruby: 5, synthetic_fertilizer: 50")</f>
        <v>blueprint: 30, bone_meal: 30, catalyst: 20, chemicals: 100, coin: 1000, punch_card: 30, reagent: 20, ruby: 5, synthetic_fertilizer: 50</v>
      </c>
      <c r="Z529" s="26" t="b">
        <f>IFERROR(__xludf.DUMMYFUNCTION("IF(
 AND(
  E529=""QUEST"",
  RIGHT(A529,9)="".accepted"",
  D529=TRUE
 ),
 XLOOKUP(
  REGEXREPLACE(A529,""\.accepted$"","""")&amp;"".finished"",
  $A$2:$A1000,
  $D$2:$D1000,
  TRUE
 )=FALSE,
 FALSE
)"),FALSE)</f>
        <v>0</v>
      </c>
      <c r="AA529" s="26" t="str">
        <f>IFERROR(__xludf.DUMMYFUNCTION("LET(
 id,A529,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0" ht="14.25" customHeight="1">
      <c r="A530" s="26" t="s">
        <v>1733</v>
      </c>
      <c r="B530" s="26" t="str">
        <f t="array" ref="B530">_xlfn.XLOOKUP(
 A530,
 tblTargets[TargetID],
 tblTargets[DisplayName],
 ""
)</f>
        <v>Alchemists Hut - Potion Ambrosia</v>
      </c>
      <c r="C530" s="26" t="str">
        <f t="shared" si="1"/>
        <v>BLOCKED</v>
      </c>
      <c r="D530" s="26" t="b">
        <f>IFERROR(__xludf.DUMMYFUNCTION("LET(
 id,A530,
 IF(
  F530=""CHARACTER"",
  LET(
   base,REGEXREPLACE(id,""@\d+$"",""""),
   required,VALUE(REGEXEXTRACT(id,""@(\d+)$"")),
   current,XLOOKUP(
    base,
    tblPlayer[PlayerStateID],
    tblPlayer[Value],
    0
   ),
   current&gt;=required
 "&amp;" ),
  IF(
   T530=""AUTO"",
   L530=0,
   COUNTIFS(
    tblChecklist[TargetID],id,
    tblChecklist[PlayerCompleted],TRUE
   )&gt;0
  )
 )
)"),FALSE)</f>
        <v>0</v>
      </c>
      <c r="E530" s="26" t="str">
        <f t="array" ref="E530">_xlfn.XLOOKUP(
 A530,
 tblTargets[TargetID],
 tblTargets[TargetType],
 ""
)</f>
        <v>TECH</v>
      </c>
      <c r="F530" s="26" t="str">
        <f t="array" ref="F530">_xlfn.XLOOKUP(
 A530,
 tblTargets[TargetID],
 tblTargets[StateType],
 ""
)</f>
        <v/>
      </c>
      <c r="G530" s="26">
        <f>LET(
 id,A530,
 depCount,COUNTIF(tblDependencies[TargetID],id),
 objCount,COUNTIF(tblQuestObjectives[QuestTargetID],id),
 depCount+objCount
)</f>
        <v>3</v>
      </c>
      <c r="H530" s="26">
        <f t="shared" si="2"/>
        <v>3</v>
      </c>
      <c r="I530" s="26">
        <f>IFERROR(__xludf.DUMMYFUNCTION("LET(
 id,A530,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0" s="26">
        <f t="shared" si="3"/>
        <v>0</v>
      </c>
      <c r="K530" s="26" t="b">
        <f t="shared" si="4"/>
        <v>0</v>
      </c>
      <c r="L530" s="26">
        <f t="shared" si="5"/>
        <v>3</v>
      </c>
      <c r="M530" s="26" t="str">
        <f>IFERROR(__xludf.DUMMYFUNCTION("LET(
 id,A530,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L530=0,
  """",
  IFERROR(INDEX(incomplete,1),"""")"&amp;"
 )
)"),"tech.alchemists_hut.potion_berserker_rage")</f>
        <v>tech.alchemists_hut.potion_berserker_rage</v>
      </c>
      <c r="N530" s="26" t="str">
        <f t="array" ref="N530">IF(
 M530="",
 "",
 _xlfn.XLOOKUP(
  M530,
  tblTargets[TargetID],
  tblTargets[DisplayName],
  M530
 )
)</f>
        <v>Alchemists Hut - Potion Berserker Rage</v>
      </c>
      <c r="O530" s="26" t="str">
        <f>IFERROR(__xludf.DUMMYFUNCTION("SWITCH(
 E530,
 ""BUILDING"",XLOOKUP(A530,tblBuildings[BuildingID],tblBuildings[costtext],""""),
 ""TECH"",XLOOKUP(A530,tblTechnologies[TechnologyID],tblTechnologies[costtext],""""),
 ""QUEST"",XLOOKUP(
  REGEXREPLACE(A530,""\.[^.]+$"",""""),
  tblQuests["&amp;"QuestID],
  tblQuests[Costtext],
  """"
 ),
 ""CITADEL"",XLOOKUP(A530,tblCitadel[CitadelID],tblCitadel[costtext],""""),
 ""COLLECTION"",XLOOKUP(A530,tblCollections[CollectionID],tblCollections[costtext],""""),
 ""CRAFTIFACT"",XLOOKUP(A530,tblCraftifacts[C"&amp;"raftifactID],tblCraftifacts[costtext],""""),
 """"
)"),"20 catalyst,1000 coin,15 mandrake,30 page,12 poh2,30 reagent,5 ruby")</f>
        <v>20 catalyst,1000 coin,15 mandrake,30 page,12 poh2,30 reagent,5 ruby</v>
      </c>
      <c r="P530" s="26" t="str">
        <f t="shared" si="6"/>
        <v>BLOCKED</v>
      </c>
      <c r="Q530" s="26" t="str">
        <f t="shared" si="7"/>
        <v>BLOCKED</v>
      </c>
      <c r="R530" s="26" t="str">
        <f t="array" ref="R530">IFERROR(
 _xlfn.XLOOKUP(
  A530,
  tblChecklist[TargetID],
  tblChecklist[PlayerSort],
  ""
 ),
 ""
)</f>
        <v/>
      </c>
      <c r="S530" s="26" t="str">
        <f>IFERROR(__xludf.DUMMYFUNCTION("LET(
 id,A530,
 successorIDs,
  IFERROR(
   UNIQUE(
    FILTER(
     {
      Dependencies!$A$2:$A$1000;
      QuestObjectives!$A$2:$A$1000
     },
     {
      Dependencies!$B$2:$B$1000;
      QuestObjectives!$E$2:$E$1000
     }=id
    )
   ),
   """"
  )"&amp;",
 names,
  MAP(
   successorIDs,
   LAMBDA(s,
    IF(
     s="""",
     """",
     XLOOKUP(
      s,
      $A$2:$A$1000,
      $B$2:$B$1000,
      s
     )
    )
   )
  ),
 IF(
  successorIDs="""",
  """",
  TEXTJOIN("", "",TRUE,names)
 )
)"),"")</f>
        <v/>
      </c>
      <c r="T530" s="26" t="str">
        <f t="array" ref="T530">_xlfn.XLOOKUP(
 A530,
 tblTargets[TargetID],
 tblTargets[CompletionMethod],
 ""
)</f>
        <v>PLAYER</v>
      </c>
      <c r="U530" s="84" t="b">
        <f>COUNTIF(tblCost[TargetID],A530)&gt;0</f>
        <v>1</v>
      </c>
      <c r="V530" s="85">
        <f t="array" ref="V530">IF(
 U530=FALSE,
 "",
 _xlfn.XLOOKUP(
  A530,
  tblCost[TargetID],
  tblCost[FundingPercent],
  ""
 )
)</f>
        <v>0</v>
      </c>
      <c r="W530" s="26">
        <f t="array" ref="W530">IF(
 U530=FALSE,
 "",
 _xlfn.XLOOKUP(
  A530,
  tblCost[TargetID],
  tblCost[RemainingRequirements],
  ""
 )
)</f>
        <v>7</v>
      </c>
      <c r="X530" s="45" t="b">
        <f t="array" ref="X530">IF(
 U530=FALSE,
 "N/A",
 _xlfn.XLOOKUP(
  A531,
  tblCost[TargetID],
  tblCost[TargetFunded],
  FALSE
 )
)</f>
        <v>0</v>
      </c>
      <c r="Y530" s="26" t="str">
        <f>IFERROR(__xludf.DUMMYFUNCTION("IFERROR(
 TEXTJOIN(
  "", "",
  TRUE,
  FILTER(
   'cost checklist'!$E$2:$E1000&amp;"": ""&amp;'cost checklist'!$G$2:$G1000,
   'cost checklist'!$B$2:$B1000=A530,
   'cost checklist'!$J$2:$J1000=FALSE
  )
 ),
 """"
)"),"catalyst: 20, coin: 1000, mandrake: 15, page: 30, poh2: 12, reagent: 30, ruby: 5")</f>
        <v>catalyst: 20, coin: 1000, mandrake: 15, page: 30, poh2: 12, reagent: 30, ruby: 5</v>
      </c>
      <c r="Z530" s="26" t="b">
        <f>IFERROR(__xludf.DUMMYFUNCTION("IF(
 AND(
  E530=""QUEST"",
  RIGHT(A530,9)="".accepted"",
  D530=TRUE
 ),
 XLOOKUP(
  REGEXREPLACE(A530,""\.accepted$"","""")&amp;"".finished"",
  $A$2:$A1000,
  $D$2:$D1000,
  TRUE
 )=FALSE,
 FALSE
)"),FALSE)</f>
        <v>0</v>
      </c>
      <c r="AA530" s="26" t="str">
        <f>IFERROR(__xludf.DUMMYFUNCTION("LET(
 id,A530,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1" ht="14.25" customHeight="1">
      <c r="A531" s="26" t="s">
        <v>1735</v>
      </c>
      <c r="B531" s="26" t="str">
        <f t="array" ref="B531">_xlfn.XLOOKUP(
 A531,
 tblTargets[TargetID],
 tblTargets[DisplayName],
 ""
)</f>
        <v>Alchemists Hut - Potion Berserker Rage</v>
      </c>
      <c r="C531" s="26" t="str">
        <f t="shared" si="1"/>
        <v>BLOCKED</v>
      </c>
      <c r="D531" s="26" t="b">
        <f>IFERROR(__xludf.DUMMYFUNCTION("LET(
 id,A531,
 IF(
  F531=""CHARACTER"",
  LET(
   base,REGEXREPLACE(id,""@\d+$"",""""),
   required,VALUE(REGEXEXTRACT(id,""@(\d+)$"")),
   current,XLOOKUP(
    base,
    tblPlayer[PlayerStateID],
    tblPlayer[Value],
    0
   ),
   current&gt;=required
 "&amp;" ),
  IF(
   T531=""AUTO"",
   L531=0,
   COUNTIFS(
    tblChecklist[TargetID],id,
    tblChecklist[PlayerCompleted],TRUE
   )&gt;0
  )
 )
)"),FALSE)</f>
        <v>0</v>
      </c>
      <c r="E531" s="26" t="str">
        <f t="array" ref="E531">_xlfn.XLOOKUP(
 A531,
 tblTargets[TargetID],
 tblTargets[TargetType],
 ""
)</f>
        <v>TECH</v>
      </c>
      <c r="F531" s="26" t="str">
        <f t="array" ref="F531">_xlfn.XLOOKUP(
 A531,
 tblTargets[TargetID],
 tblTargets[StateType],
 ""
)</f>
        <v/>
      </c>
      <c r="G531" s="26">
        <f>LET(
 id,A531,
 depCount,COUNTIF(tblDependencies[TargetID],id),
 objCount,COUNTIF(tblQuestObjectives[QuestTargetID],id),
 depCount+objCount
)</f>
        <v>1</v>
      </c>
      <c r="H531" s="26">
        <f t="shared" si="2"/>
        <v>1</v>
      </c>
      <c r="I531" s="26">
        <f>IFERROR(__xludf.DUMMYFUNCTION("LET(
 id,A531,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1" s="26">
        <f t="shared" si="3"/>
        <v>0</v>
      </c>
      <c r="K531" s="26" t="b">
        <f t="shared" si="4"/>
        <v>0</v>
      </c>
      <c r="L531" s="26">
        <f t="shared" si="5"/>
        <v>1</v>
      </c>
      <c r="M531" s="26" t="str">
        <f>IFERROR(__xludf.DUMMYFUNCTION("LET(
 id,A531,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L531=0,
  """",
  IFERROR(INDEX(incomplete,1),"""")"&amp;"
 )
)"),"building.alchemists_hut.maxed")</f>
        <v>building.alchemists_hut.maxed</v>
      </c>
      <c r="N531" s="26" t="str">
        <f t="array" ref="N531">IF(
 M531="",
 "",
 _xlfn.XLOOKUP(
  M531,
  tblTargets[TargetID],
  tblTargets[DisplayName],
  M531
 )
)</f>
        <v>Alchemists Hut maxed</v>
      </c>
      <c r="O531" s="26" t="str">
        <f>IFERROR(__xludf.DUMMYFUNCTION("SWITCH(
 E531,
 ""BUILDING"",XLOOKUP(A531,tblBuildings[BuildingID],tblBuildings[costtext],""""),
 ""TECH"",XLOOKUP(A531,tblTechnologies[TechnologyID],tblTechnologies[costtext],""""),
 ""QUEST"",XLOOKUP(
  REGEXREPLACE(A531,""\.[^.]+$"",""""),
  tblQuests["&amp;"QuestID],
  tblQuests[Costtext],
  """"
 ),
 ""CITADEL"",XLOOKUP(A531,tblCitadel[CitadelID],tblCitadel[costtext],""""),
 ""COLLECTION"",XLOOKUP(A531,tblCollections[CollectionID],tblCollections[costtext],""""),
 ""CRAFTIFACT"",XLOOKUP(A531,tblCraftifacts[C"&amp;"raftifactID],tblCraftifacts[costtext],""""),
 """"
)"),"500 coin,10 glass,10 mandrake,20 page,20 reagent,3 ruby,3 spices")</f>
        <v>500 coin,10 glass,10 mandrake,20 page,20 reagent,3 ruby,3 spices</v>
      </c>
      <c r="P531" s="26" t="str">
        <f t="shared" si="6"/>
        <v>BLOCKED</v>
      </c>
      <c r="Q531" s="26" t="str">
        <f t="shared" si="7"/>
        <v>BLOCKED</v>
      </c>
      <c r="R531" s="26" t="str">
        <f t="array" ref="R531">IFERROR(
 _xlfn.XLOOKUP(
  A531,
  tblChecklist[TargetID],
  tblChecklist[PlayerSort],
  ""
 ),
 ""
)</f>
        <v/>
      </c>
      <c r="S531" s="26" t="str">
        <f>IFERROR(__xludf.DUMMYFUNCTION("LET(
 id,A531,
 successorIDs,
  IFERROR(
   UNIQUE(
    FILTER(
     {
      Dependencies!$A$2:$A$1000;
      QuestObjectives!$A$2:$A$1000
     },
     {
      Dependencies!$B$2:$B$1000;
      QuestObjectives!$E$2:$E$1000
     }=id
    )
   ),
   """"
  )"&amp;",
 names,
  MAP(
   successorIDs,
   LAMBDA(s,
    IF(
     s="""",
     """",
     XLOOKUP(
      s,
      $A$2:$A$1000,
      $B$2:$B$1000,
      s
     )
    )
   )
  ),
 IF(
  successorIDs="""",
  """",
  TEXTJOIN("", "",TRUE,names)
 )
)"),"Alchemists Hut - Potion Ambrosia")</f>
        <v>Alchemists Hut - Potion Ambrosia</v>
      </c>
      <c r="T531" s="26" t="str">
        <f t="array" ref="T531">_xlfn.XLOOKUP(
 A531,
 tblTargets[TargetID],
 tblTargets[CompletionMethod],
 ""
)</f>
        <v>PLAYER</v>
      </c>
      <c r="U531" s="84" t="b">
        <f>COUNTIF(tblCost[TargetID],A531)&gt;0</f>
        <v>1</v>
      </c>
      <c r="V531" s="85">
        <f t="array" ref="V531">IF(
 U531=FALSE,
 "",
 _xlfn.XLOOKUP(
  A531,
  tblCost[TargetID],
  tblCost[FundingPercent],
  ""
 )
)</f>
        <v>0</v>
      </c>
      <c r="W531" s="26">
        <f t="array" ref="W531">IF(
 U531=FALSE,
 "",
 _xlfn.XLOOKUP(
  A531,
  tblCost[TargetID],
  tblCost[RemainingRequirements],
  ""
 )
)</f>
        <v>7</v>
      </c>
      <c r="X531" s="45" t="b">
        <f t="array" ref="X531">IF(
 U531=FALSE,
 "N/A",
 _xlfn.XLOOKUP(
  A532,
  tblCost[TargetID],
  tblCost[TargetFunded],
  FALSE
 )
)</f>
        <v>0</v>
      </c>
      <c r="Y531" s="26" t="str">
        <f>IFERROR(__xludf.DUMMYFUNCTION("IFERROR(
 TEXTJOIN(
  "", "",
  TRUE,
  FILTER(
   'cost checklist'!$E$2:$E1000&amp;"": ""&amp;'cost checklist'!$G$2:$G1000,
   'cost checklist'!$B$2:$B1000=A531,
   'cost checklist'!$J$2:$J1000=FALSE
  )
 ),
 """"
)"),"coin: 500, glass: 10, mandrake: 10, page: 20, reagent: 20, ruby: 3, spices: 3")</f>
        <v>coin: 500, glass: 10, mandrake: 10, page: 20, reagent: 20, ruby: 3, spices: 3</v>
      </c>
      <c r="Z531" s="26" t="b">
        <f>IFERROR(__xludf.DUMMYFUNCTION("IF(
 AND(
  E531=""QUEST"",
  RIGHT(A531,9)="".accepted"",
  D531=TRUE
 ),
 XLOOKUP(
  REGEXREPLACE(A531,""\.accepted$"","""")&amp;"".finished"",
  $A$2:$A1000,
  $D$2:$D1000,
  TRUE
 )=FALSE,
 FALSE
)"),FALSE)</f>
        <v>0</v>
      </c>
      <c r="AA531" s="26" t="str">
        <f>IFERROR(__xludf.DUMMYFUNCTION("LET(
 id,A531,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2" ht="14.25" customHeight="1">
      <c r="A532" s="26" t="s">
        <v>1737</v>
      </c>
      <c r="B532" s="26" t="str">
        <f t="array" ref="B532">_xlfn.XLOOKUP(
 A532,
 tblTargets[TargetID],
 tblTargets[DisplayName],
 ""
)</f>
        <v>Alchemists Hut - Potion Of Energy</v>
      </c>
      <c r="C532" s="26" t="str">
        <f t="shared" si="1"/>
        <v>BLOCKED</v>
      </c>
      <c r="D532" s="26" t="b">
        <f>IFERROR(__xludf.DUMMYFUNCTION("LET(
 id,A532,
 IF(
  F532=""CHARACTER"",
  LET(
   base,REGEXREPLACE(id,""@\d+$"",""""),
   required,VALUE(REGEXEXTRACT(id,""@(\d+)$"")),
   current,XLOOKUP(
    base,
    tblPlayer[PlayerStateID],
    tblPlayer[Value],
    0
   ),
   current&gt;=required
 "&amp;" ),
  IF(
   T532=""AUTO"",
   L532=0,
   COUNTIFS(
    tblChecklist[TargetID],id,
    tblChecklist[PlayerCompleted],TRUE
   )&gt;0
  )
 )
)"),FALSE)</f>
        <v>0</v>
      </c>
      <c r="E532" s="26" t="str">
        <f t="array" ref="E532">_xlfn.XLOOKUP(
 A532,
 tblTargets[TargetID],
 tblTargets[TargetType],
 ""
)</f>
        <v>TECH</v>
      </c>
      <c r="F532" s="26" t="str">
        <f t="array" ref="F532">_xlfn.XLOOKUP(
 A532,
 tblTargets[TargetID],
 tblTargets[StateType],
 ""
)</f>
        <v/>
      </c>
      <c r="G532" s="26">
        <f>LET(
 id,A532,
 depCount,COUNTIF(tblDependencies[TargetID],id),
 objCount,COUNTIF(tblQuestObjectives[QuestTargetID],id),
 depCount+objCount
)</f>
        <v>1</v>
      </c>
      <c r="H532" s="26">
        <f t="shared" si="2"/>
        <v>1</v>
      </c>
      <c r="I532" s="26">
        <f>IFERROR(__xludf.DUMMYFUNCTION("LET(
 id,A532,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2" s="26">
        <f t="shared" si="3"/>
        <v>0</v>
      </c>
      <c r="K532" s="26" t="b">
        <f t="shared" si="4"/>
        <v>0</v>
      </c>
      <c r="L532" s="26">
        <f t="shared" si="5"/>
        <v>1</v>
      </c>
      <c r="M532" s="26" t="str">
        <f>IFERROR(__xludf.DUMMYFUNCTION("LET(
 id,A532,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L532=0,
  """",
  IFERROR(INDEX(incomplete,1),"""")"&amp;"
 )
)"),"building.alchemists_hut.maxed")</f>
        <v>building.alchemists_hut.maxed</v>
      </c>
      <c r="N532" s="26" t="str">
        <f t="array" ref="N532">IF(
 M532="",
 "",
 _xlfn.XLOOKUP(
  M532,
  tblTargets[TargetID],
  tblTargets[DisplayName],
  M532
 )
)</f>
        <v>Alchemists Hut maxed</v>
      </c>
      <c r="O532" s="26" t="str">
        <f>IFERROR(__xludf.DUMMYFUNCTION("SWITCH(
 E532,
 ""BUILDING"",XLOOKUP(A532,tblBuildings[BuildingID],tblBuildings[costtext],""""),
 ""TECH"",XLOOKUP(A532,tblTechnologies[TechnologyID],tblTechnologies[costtext],""""),
 ""QUEST"",XLOOKUP(
  REGEXREPLACE(A532,""\.[^.]+$"",""""),
  tblQuests["&amp;"QuestID],
  tblQuests[Costtext],
  """"
 ),
 ""CITADEL"",XLOOKUP(A532,tblCitadel[CitadelID],tblCitadel[costtext],""""),
 ""COLLECTION"",XLOOKUP(A532,tblCollections[CollectionID],tblCollections[costtext],""""),
 ""CRAFTIFACT"",XLOOKUP(A532,tblCraftifacts[C"&amp;"raftifactID],tblCraftifacts[costtext],""""),
 """"
)"),"300 coin,50 crypto,10 glass,15 page,15 reagent,1 ruby")</f>
        <v>300 coin,50 crypto,10 glass,15 page,15 reagent,1 ruby</v>
      </c>
      <c r="P532" s="26" t="str">
        <f t="shared" si="6"/>
        <v>BLOCKED</v>
      </c>
      <c r="Q532" s="26" t="str">
        <f t="shared" si="7"/>
        <v>BLOCKED</v>
      </c>
      <c r="R532" s="26" t="str">
        <f t="array" ref="R532">IFERROR(
 _xlfn.XLOOKUP(
  A532,
  tblChecklist[TargetID],
  tblChecklist[PlayerSort],
  ""
 ),
 ""
)</f>
        <v/>
      </c>
      <c r="S532" s="26" t="str">
        <f>IFERROR(__xludf.DUMMYFUNCTION("LET(
 id,A532,
 successorIDs,
  IFERROR(
   UNIQUE(
    FILTER(
     {
      Dependencies!$A$2:$A$1000;
      QuestObjectives!$A$2:$A$1000
     },
     {
      Dependencies!$B$2:$B$1000;
      QuestObjectives!$E$2:$E$1000
     }=id
    )
   ),
   """"
  )"&amp;",
 names,
  MAP(
   successorIDs,
   LAMBDA(s,
    IF(
     s="""",
     """",
     XLOOKUP(
      s,
      $A$2:$A$1000,
      $B$2:$B$1000,
      s
     )
    )
   )
  ),
 IF(
  successorIDs="""",
  """",
  TEXTJOIN("", "",TRUE,names)
 )
)"),"")</f>
        <v/>
      </c>
      <c r="T532" s="26" t="str">
        <f t="array" ref="T532">_xlfn.XLOOKUP(
 A532,
 tblTargets[TargetID],
 tblTargets[CompletionMethod],
 ""
)</f>
        <v>PLAYER</v>
      </c>
      <c r="U532" s="84" t="b">
        <f>COUNTIF(tblCost[TargetID],A532)&gt;0</f>
        <v>1</v>
      </c>
      <c r="V532" s="85">
        <f t="array" ref="V532">IF(
 U532=FALSE,
 "",
 _xlfn.XLOOKUP(
  A532,
  tblCost[TargetID],
  tblCost[FundingPercent],
  ""
 )
)</f>
        <v>0</v>
      </c>
      <c r="W532" s="26">
        <f t="array" ref="W532">IF(
 U532=FALSE,
 "",
 _xlfn.XLOOKUP(
  A532,
  tblCost[TargetID],
  tblCost[RemainingRequirements],
  ""
 )
)</f>
        <v>6</v>
      </c>
      <c r="X532" s="45" t="b">
        <f t="array" ref="X532">IF(
 U532=FALSE,
 "N/A",
 _xlfn.XLOOKUP(
  A533,
  tblCost[TargetID],
  tblCost[TargetFunded],
  FALSE
 )
)</f>
        <v>0</v>
      </c>
      <c r="Y532" s="26" t="str">
        <f>IFERROR(__xludf.DUMMYFUNCTION("IFERROR(
 TEXTJOIN(
  "", "",
  TRUE,
  FILTER(
   'cost checklist'!$E$2:$E1000&amp;"": ""&amp;'cost checklist'!$G$2:$G1000,
   'cost checklist'!$B$2:$B1000=A532,
   'cost checklist'!$J$2:$J1000=FALSE
  )
 ),
 """"
)"),"coin: 300, crypto: 50, glass: 10, page: 15, reagent: 15, ruby: 1")</f>
        <v>coin: 300, crypto: 50, glass: 10, page: 15, reagent: 15, ruby: 1</v>
      </c>
      <c r="Z532" s="26" t="b">
        <f>IFERROR(__xludf.DUMMYFUNCTION("IF(
 AND(
  E532=""QUEST"",
  RIGHT(A532,9)="".accepted"",
  D532=TRUE
 ),
 XLOOKUP(
  REGEXREPLACE(A532,""\.accepted$"","""")&amp;"".finished"",
  $A$2:$A1000,
  $D$2:$D1000,
  TRUE
 )=FALSE,
 FALSE
)"),FALSE)</f>
        <v>0</v>
      </c>
      <c r="AA532" s="26" t="str">
        <f>IFERROR(__xludf.DUMMYFUNCTION("LET(
 id,A532,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3" ht="14.25" customHeight="1">
      <c r="A533" s="26" t="s">
        <v>1740</v>
      </c>
      <c r="B533" s="26" t="str">
        <f t="array" ref="B533">_xlfn.XLOOKUP(
 A533,
 tblTargets[TargetID],
 tblTargets[DisplayName],
 ""
)</f>
        <v>Alchemists Hut - Potion Of Healing</v>
      </c>
      <c r="C533" s="26" t="str">
        <f t="shared" si="1"/>
        <v>BLOCKED</v>
      </c>
      <c r="D533" s="26" t="b">
        <f>IFERROR(__xludf.DUMMYFUNCTION("LET(
 id,A533,
 IF(
  F533=""CHARACTER"",
  LET(
   base,REGEXREPLACE(id,""@\d+$"",""""),
   required,VALUE(REGEXEXTRACT(id,""@(\d+)$"")),
   current,XLOOKUP(
    base,
    tblPlayer[PlayerStateID],
    tblPlayer[Value],
    0
   ),
   current&gt;=required
 "&amp;" ),
  IF(
   T533=""AUTO"",
   L533=0,
   COUNTIFS(
    tblChecklist[TargetID],id,
    tblChecklist[PlayerCompleted],TRUE
   )&gt;0
  )
 )
)"),FALSE)</f>
        <v>0</v>
      </c>
      <c r="E533" s="26" t="str">
        <f t="array" ref="E533">_xlfn.XLOOKUP(
 A533,
 tblTargets[TargetID],
 tblTargets[TargetType],
 ""
)</f>
        <v>TECH</v>
      </c>
      <c r="F533" s="26" t="str">
        <f t="array" ref="F533">_xlfn.XLOOKUP(
 A533,
 tblTargets[TargetID],
 tblTargets[StateType],
 ""
)</f>
        <v/>
      </c>
      <c r="G533" s="26">
        <f>LET(
 id,A533,
 depCount,COUNTIF(tblDependencies[TargetID],id),
 objCount,COUNTIF(tblQuestObjectives[QuestTargetID],id),
 depCount+objCount
)</f>
        <v>1</v>
      </c>
      <c r="H533" s="26">
        <f t="shared" si="2"/>
        <v>1</v>
      </c>
      <c r="I533" s="26">
        <f>IFERROR(__xludf.DUMMYFUNCTION("LET(
 id,A533,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3" s="26">
        <f t="shared" si="3"/>
        <v>0</v>
      </c>
      <c r="K533" s="26" t="b">
        <f t="shared" si="4"/>
        <v>0</v>
      </c>
      <c r="L533" s="26">
        <f t="shared" si="5"/>
        <v>1</v>
      </c>
      <c r="M533" s="26" t="str">
        <f>IFERROR(__xludf.DUMMYFUNCTION("LET(
 id,A533,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L533=0,
  """",
  IFERROR(INDEX(incomplete,1),"""")"&amp;"
 )
)"),"building.alchemists_hut.maxed")</f>
        <v>building.alchemists_hut.maxed</v>
      </c>
      <c r="N533" s="26" t="str">
        <f t="array" ref="N533">IF(
 M533="",
 "",
 _xlfn.XLOOKUP(
  M533,
  tblTargets[TargetID],
  tblTargets[DisplayName],
  M533
 )
)</f>
        <v>Alchemists Hut maxed</v>
      </c>
      <c r="O533" s="26" t="str">
        <f>IFERROR(__xludf.DUMMYFUNCTION("SWITCH(
 E533,
 ""BUILDING"",XLOOKUP(A533,tblBuildings[BuildingID],tblBuildings[costtext],""""),
 ""TECH"",XLOOKUP(A533,tblTechnologies[TechnologyID],tblTechnologies[costtext],""""),
 ""QUEST"",XLOOKUP(
  REGEXREPLACE(A533,""\.[^.]+$"",""""),
  tblQuests["&amp;"QuestID],
  tblQuests[Costtext],
  """"
 ),
 ""CITADEL"",XLOOKUP(A533,tblCitadel[CitadelID],tblCitadel[costtext],""""),
 ""COLLECTION"",XLOOKUP(A533,tblCollections[CollectionID],tblCollections[costtext],""""),
 ""CRAFTIFACT"",XLOOKUP(A533,tblCraftifacts[C"&amp;"raftifactID],tblCraftifacts[costtext],""""),
 """"
)"),"300 coin,50 crypto,10 glass,15 page,15 reagent,1 ruby")</f>
        <v>300 coin,50 crypto,10 glass,15 page,15 reagent,1 ruby</v>
      </c>
      <c r="P533" s="26" t="str">
        <f t="shared" si="6"/>
        <v>BLOCKED</v>
      </c>
      <c r="Q533" s="26" t="str">
        <f t="shared" si="7"/>
        <v>BLOCKED</v>
      </c>
      <c r="R533" s="26" t="str">
        <f t="array" ref="R533">IFERROR(
 _xlfn.XLOOKUP(
  A533,
  tblChecklist[TargetID],
  tblChecklist[PlayerSort],
  ""
 ),
 ""
)</f>
        <v/>
      </c>
      <c r="S533" s="26" t="str">
        <f>IFERROR(__xludf.DUMMYFUNCTION("LET(
 id,A533,
 successorIDs,
  IFERROR(
   UNIQUE(
    FILTER(
     {
      Dependencies!$A$2:$A$1000;
      QuestObjectives!$A$2:$A$1000
     },
     {
      Dependencies!$B$2:$B$1000;
      QuestObjectives!$E$2:$E$1000
     }=id
    )
   ),
   """"
  )"&amp;",
 names,
  MAP(
   successorIDs,
   LAMBDA(s,
    IF(
     s="""",
     """",
     XLOOKUP(
      s,
      $A$2:$A$1000,
      $B$2:$B$1000,
      s
     )
    )
   )
  ),
 IF(
  successorIDs="""",
  """",
  TEXTJOIN("", "",TRUE,names)
 )
)"),"Alchemists Hut - Potion Of Healing Lvl 2")</f>
        <v>Alchemists Hut - Potion Of Healing Lvl 2</v>
      </c>
      <c r="T533" s="26" t="str">
        <f t="array" ref="T533">_xlfn.XLOOKUP(
 A533,
 tblTargets[TargetID],
 tblTargets[CompletionMethod],
 ""
)</f>
        <v>PLAYER</v>
      </c>
      <c r="U533" s="84" t="b">
        <f>COUNTIF(tblCost[TargetID],A533)&gt;0</f>
        <v>1</v>
      </c>
      <c r="V533" s="85">
        <f t="array" ref="V533">IF(
 U533=FALSE,
 "",
 _xlfn.XLOOKUP(
  A533,
  tblCost[TargetID],
  tblCost[FundingPercent],
  ""
 )
)</f>
        <v>0</v>
      </c>
      <c r="W533" s="26">
        <f t="array" ref="W533">IF(
 U533=FALSE,
 "",
 _xlfn.XLOOKUP(
  A533,
  tblCost[TargetID],
  tblCost[RemainingRequirements],
  ""
 )
)</f>
        <v>6</v>
      </c>
      <c r="X533" s="45" t="b">
        <f t="array" ref="X533">IF(
 U533=FALSE,
 "N/A",
 _xlfn.XLOOKUP(
  A534,
  tblCost[TargetID],
  tblCost[TargetFunded],
  FALSE
 )
)</f>
        <v>0</v>
      </c>
      <c r="Y533" s="26" t="str">
        <f>IFERROR(__xludf.DUMMYFUNCTION("IFERROR(
 TEXTJOIN(
  "", "",
  TRUE,
  FILTER(
   'cost checklist'!$E$2:$E1000&amp;"": ""&amp;'cost checklist'!$G$2:$G1000,
   'cost checklist'!$B$2:$B1000=A533,
   'cost checklist'!$J$2:$J1000=FALSE
  )
 ),
 """"
)"),"coin: 300, crypto: 50, glass: 10, page: 15, reagent: 15, ruby: 1")</f>
        <v>coin: 300, crypto: 50, glass: 10, page: 15, reagent: 15, ruby: 1</v>
      </c>
      <c r="Z533" s="26" t="b">
        <f>IFERROR(__xludf.DUMMYFUNCTION("IF(
 AND(
  E533=""QUEST"",
  RIGHT(A533,9)="".accepted"",
  D533=TRUE
 ),
 XLOOKUP(
  REGEXREPLACE(A533,""\.accepted$"","""")&amp;"".finished"",
  $A$2:$A1000,
  $D$2:$D1000,
  TRUE
 )=FALSE,
 FALSE
)"),FALSE)</f>
        <v>0</v>
      </c>
      <c r="AA533" s="26" t="str">
        <f>IFERROR(__xludf.DUMMYFUNCTION("LET(
 id,A533,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4" ht="14.25" customHeight="1">
      <c r="A534" s="26" t="s">
        <v>1742</v>
      </c>
      <c r="B534" s="26" t="str">
        <f t="array" ref="B534">_xlfn.XLOOKUP(
 A534,
 tblTargets[TargetID],
 tblTargets[DisplayName],
 ""
)</f>
        <v>Alchemists Hut - Potion Of Healing Lvl 2</v>
      </c>
      <c r="C534" s="26" t="str">
        <f t="shared" si="1"/>
        <v>BLOCKED</v>
      </c>
      <c r="D534" s="26" t="b">
        <f>IFERROR(__xludf.DUMMYFUNCTION("LET(
 id,A534,
 IF(
  F534=""CHARACTER"",
  LET(
   base,REGEXREPLACE(id,""@\d+$"",""""),
   required,VALUE(REGEXEXTRACT(id,""@(\d+)$"")),
   current,XLOOKUP(
    base,
    tblPlayer[PlayerStateID],
    tblPlayer[Value],
    0
   ),
   current&gt;=required
 "&amp;" ),
  IF(
   T534=""AUTO"",
   L534=0,
   COUNTIFS(
    tblChecklist[TargetID],id,
    tblChecklist[PlayerCompleted],TRUE
   )&gt;0
  )
 )
)"),FALSE)</f>
        <v>0</v>
      </c>
      <c r="E534" s="26" t="str">
        <f t="array" ref="E534">_xlfn.XLOOKUP(
 A534,
 tblTargets[TargetID],
 tblTargets[TargetType],
 ""
)</f>
        <v>TECH</v>
      </c>
      <c r="F534" s="26" t="str">
        <f t="array" ref="F534">_xlfn.XLOOKUP(
 A534,
 tblTargets[TargetID],
 tblTargets[StateType],
 ""
)</f>
        <v/>
      </c>
      <c r="G534" s="26">
        <f>LET(
 id,A534,
 depCount,COUNTIF(tblDependencies[TargetID],id),
 objCount,COUNTIF(tblQuestObjectives[QuestTargetID],id),
 depCount+objCount
)</f>
        <v>1</v>
      </c>
      <c r="H534" s="26">
        <f t="shared" si="2"/>
        <v>1</v>
      </c>
      <c r="I534" s="26">
        <f>IFERROR(__xludf.DUMMYFUNCTION("LET(
 id,A534,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4" s="26">
        <f t="shared" si="3"/>
        <v>0</v>
      </c>
      <c r="K534" s="26" t="b">
        <f t="shared" si="4"/>
        <v>0</v>
      </c>
      <c r="L534" s="26">
        <f t="shared" si="5"/>
        <v>1</v>
      </c>
      <c r="M534" s="26" t="str">
        <f>IFERROR(__xludf.DUMMYFUNCTION("LET(
 id,A534,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L534=0,
  """",
  IFERROR(INDEX(incomplete,1),"""")"&amp;"
 )
)"),"tech.alchemists_hut.potion_of_healing")</f>
        <v>tech.alchemists_hut.potion_of_healing</v>
      </c>
      <c r="N534" s="26" t="str">
        <f t="array" ref="N534">IF(
 M534="",
 "",
 _xlfn.XLOOKUP(
  M534,
  tblTargets[TargetID],
  tblTargets[DisplayName],
  M534
 )
)</f>
        <v>Alchemists Hut - Potion Of Healing</v>
      </c>
      <c r="O534" s="26" t="str">
        <f>IFERROR(__xludf.DUMMYFUNCTION("SWITCH(
 E534,
 ""BUILDING"",XLOOKUP(A534,tblBuildings[BuildingID],tblBuildings[costtext],""""),
 ""TECH"",XLOOKUP(A534,tblTechnologies[TechnologyID],tblTechnologies[costtext],""""),
 ""QUEST"",XLOOKUP(
  REGEXREPLACE(A534,""\.[^.]+$"",""""),
  tblQuests["&amp;"QuestID],
  tblQuests[Costtext],
  """"
 ),
 ""CITADEL"",XLOOKUP(A534,tblCitadel[CitadelID],tblCitadel[costtext],""""),
 ""COLLECTION"",XLOOKUP(A534,tblCollections[CollectionID],tblCollections[costtext],""""),
 ""CRAFTIFACT"",XLOOKUP(A534,tblCraftifacts[C"&amp;"raftifactID],tblCraftifacts[costtext],""""),
 """"
)"),"15 catalyst,500 coin,10 mandrake,20 page,12 poh,20 reagent,3 ruby")</f>
        <v>15 catalyst,500 coin,10 mandrake,20 page,12 poh,20 reagent,3 ruby</v>
      </c>
      <c r="P534" s="26" t="str">
        <f t="shared" si="6"/>
        <v>BLOCKED</v>
      </c>
      <c r="Q534" s="26" t="str">
        <f t="shared" si="7"/>
        <v>BLOCKED</v>
      </c>
      <c r="R534" s="26" t="str">
        <f t="array" ref="R534">IFERROR(
 _xlfn.XLOOKUP(
  A534,
  tblChecklist[TargetID],
  tblChecklist[PlayerSort],
  ""
 ),
 ""
)</f>
        <v/>
      </c>
      <c r="S534" s="26" t="str">
        <f>IFERROR(__xludf.DUMMYFUNCTION("LET(
 id,A534,
 successorIDs,
  IFERROR(
   UNIQUE(
    FILTER(
     {
      Dependencies!$A$2:$A$1000;
      QuestObjectives!$A$2:$A$1000
     },
     {
      Dependencies!$B$2:$B$1000;
      QuestObjectives!$E$2:$E$1000
     }=id
    )
   ),
   """"
  )"&amp;",
 names,
  MAP(
   successorIDs,
   LAMBDA(s,
    IF(
     s="""",
     """",
     XLOOKUP(
      s,
      $A$2:$A$1000,
      $B$2:$B$1000,
      s
     )
    )
   )
  ),
 IF(
  successorIDs="""",
  """",
  TEXTJOIN("", "",TRUE,names)
 )
)"),"Alchemists Hut - Potion Ambrosia")</f>
        <v>Alchemists Hut - Potion Ambrosia</v>
      </c>
      <c r="T534" s="26" t="str">
        <f t="array" ref="T534">_xlfn.XLOOKUP(
 A534,
 tblTargets[TargetID],
 tblTargets[CompletionMethod],
 ""
)</f>
        <v>PLAYER</v>
      </c>
      <c r="U534" s="84" t="b">
        <f>COUNTIF(tblCost[TargetID],A534)&gt;0</f>
        <v>1</v>
      </c>
      <c r="V534" s="85">
        <f t="array" ref="V534">IF(
 U534=FALSE,
 "",
 _xlfn.XLOOKUP(
  A534,
  tblCost[TargetID],
  tblCost[FundingPercent],
  ""
 )
)</f>
        <v>0</v>
      </c>
      <c r="W534" s="26">
        <f t="array" ref="W534">IF(
 U534=FALSE,
 "",
 _xlfn.XLOOKUP(
  A534,
  tblCost[TargetID],
  tblCost[RemainingRequirements],
  ""
 )
)</f>
        <v>7</v>
      </c>
      <c r="X534" s="45" t="b">
        <f t="array" ref="X534">IF(
 U534=FALSE,
 "N/A",
 _xlfn.XLOOKUP(
  A535,
  tblCost[TargetID],
  tblCost[TargetFunded],
  FALSE
 )
)</f>
        <v>0</v>
      </c>
      <c r="Y534" s="26" t="str">
        <f>IFERROR(__xludf.DUMMYFUNCTION("IFERROR(
 TEXTJOIN(
  "", "",
  TRUE,
  FILTER(
   'cost checklist'!$E$2:$E1000&amp;"": ""&amp;'cost checklist'!$G$2:$G1000,
   'cost checklist'!$B$2:$B1000=A534,
   'cost checklist'!$J$2:$J1000=FALSE
  )
 ),
 """"
)"),"catalyst: 15, coin: 500, mandrake: 10, page: 20, poh: 12, reagent: 20, ruby: 3")</f>
        <v>catalyst: 15, coin: 500, mandrake: 10, page: 20, poh: 12, reagent: 20, ruby: 3</v>
      </c>
      <c r="Z534" s="26" t="b">
        <f>IFERROR(__xludf.DUMMYFUNCTION("IF(
 AND(
  E534=""QUEST"",
  RIGHT(A534,9)="".accepted"",
  D534=TRUE
 ),
 XLOOKUP(
  REGEXREPLACE(A534,""\.accepted$"","""")&amp;"".finished"",
  $A$2:$A1000,
  $D$2:$D1000,
  TRUE
 )=FALSE,
 FALSE
)"),FALSE)</f>
        <v>0</v>
      </c>
      <c r="AA534" s="26" t="str">
        <f>IFERROR(__xludf.DUMMYFUNCTION("LET(
 id,A534,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5" ht="14.25" customHeight="1">
      <c r="A535" s="26" t="s">
        <v>1744</v>
      </c>
      <c r="B535" s="26" t="str">
        <f t="array" ref="B535">_xlfn.XLOOKUP(
 A535,
 tblTargets[TargetID],
 tblTargets[DisplayName],
 ""
)</f>
        <v>Alchemists Hut - Potion Of Mental Power</v>
      </c>
      <c r="C535" s="26" t="str">
        <f t="shared" si="1"/>
        <v>BLOCKED</v>
      </c>
      <c r="D535" s="26" t="b">
        <f>IFERROR(__xludf.DUMMYFUNCTION("LET(
 id,A535,
 IF(
  F535=""CHARACTER"",
  LET(
   base,REGEXREPLACE(id,""@\d+$"",""""),
   required,VALUE(REGEXEXTRACT(id,""@(\d+)$"")),
   current,XLOOKUP(
    base,
    tblPlayer[PlayerStateID],
    tblPlayer[Value],
    0
   ),
   current&gt;=required
 "&amp;" ),
  IF(
   T535=""AUTO"",
   L535=0,
   COUNTIFS(
    tblChecklist[TargetID],id,
    tblChecklist[PlayerCompleted],TRUE
   )&gt;0
  )
 )
)"),FALSE)</f>
        <v>0</v>
      </c>
      <c r="E535" s="26" t="str">
        <f t="array" ref="E535">_xlfn.XLOOKUP(
 A535,
 tblTargets[TargetID],
 tblTargets[TargetType],
 ""
)</f>
        <v>TECH</v>
      </c>
      <c r="F535" s="26" t="str">
        <f t="array" ref="F535">_xlfn.XLOOKUP(
 A535,
 tblTargets[TargetID],
 tblTargets[StateType],
 ""
)</f>
        <v/>
      </c>
      <c r="G535" s="26">
        <f>LET(
 id,A535,
 depCount,COUNTIF(tblDependencies[TargetID],id),
 objCount,COUNTIF(tblQuestObjectives[QuestTargetID],id),
 depCount+objCount
)</f>
        <v>2</v>
      </c>
      <c r="H535" s="26">
        <f t="shared" si="2"/>
        <v>2</v>
      </c>
      <c r="I535" s="26">
        <f>IFERROR(__xludf.DUMMYFUNCTION("LET(
 id,A535,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5" s="26">
        <f t="shared" si="3"/>
        <v>0</v>
      </c>
      <c r="K535" s="26" t="b">
        <f t="shared" si="4"/>
        <v>0</v>
      </c>
      <c r="L535" s="26">
        <f t="shared" si="5"/>
        <v>2</v>
      </c>
      <c r="M535" s="26" t="str">
        <f>IFERROR(__xludf.DUMMYFUNCTION("LET(
 id,A535,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L535=0,
  """",
  IFERROR(INDEX(incomplete,1),"""")"&amp;"
 )
)"),"quest.once_upon_a_forest_chapter_6.accepted")</f>
        <v>quest.once_upon_a_forest_chapter_6.accepted</v>
      </c>
      <c r="N535" s="26" t="str">
        <f t="array" ref="N535">IF(
 M535="",
 "",
 _xlfn.XLOOKUP(
  M535,
  tblTargets[TargetID],
  tblTargets[DisplayName],
  M535
 )
)</f>
        <v>Once Upon a Forest Chapter 6 Accepted</v>
      </c>
      <c r="O535" s="26" t="str">
        <f>IFERROR(__xludf.DUMMYFUNCTION("SWITCH(
 E535,
 ""BUILDING"",XLOOKUP(A535,tblBuildings[BuildingID],tblBuildings[costtext],""""),
 ""TECH"",XLOOKUP(A535,tblTechnologies[TechnologyID],tblTechnologies[costtext],""""),
 ""QUEST"",XLOOKUP(
  REGEXREPLACE(A535,""\.[^.]+$"",""""),
  tblQuests["&amp;"QuestID],
  tblQuests[Costtext],
  """"
 ),
 ""CITADEL"",XLOOKUP(A535,tblCitadel[CitadelID],tblCitadel[costtext],""""),
 ""COLLECTION"",XLOOKUP(A535,tblCollections[CollectionID],tblCollections[costtext],""""),
 ""CRAFTIFACT"",XLOOKUP(A535,tblCraftifacts[C"&amp;"raftifactID],tblCraftifacts[costtext],""""),
 """"
)"),"15 cinnabar,300 coin,20 ginkgo,10 glass,10 grimoire,10 herbs,10 reagent,1 ruby")</f>
        <v>15 cinnabar,300 coin,20 ginkgo,10 glass,10 grimoire,10 herbs,10 reagent,1 ruby</v>
      </c>
      <c r="P535" s="26" t="str">
        <f t="shared" si="6"/>
        <v>BLOCKED</v>
      </c>
      <c r="Q535" s="26" t="str">
        <f t="shared" si="7"/>
        <v>BLOCKED</v>
      </c>
      <c r="R535" s="26" t="str">
        <f t="array" ref="R535">IFERROR(
 _xlfn.XLOOKUP(
  A535,
  tblChecklist[TargetID],
  tblChecklist[PlayerSort],
  ""
 ),
 ""
)</f>
        <v/>
      </c>
      <c r="S535" s="26" t="str">
        <f>IFERROR(__xludf.DUMMYFUNCTION("LET(
 id,A535,
 successorIDs,
  IFERROR(
   UNIQUE(
    FILTER(
     {
      Dependencies!$A$2:$A$1000;
      QuestObjectives!$A$2:$A$1000
     },
     {
      Dependencies!$B$2:$B$1000;
      QuestObjectives!$E$2:$E$1000
     }=id
    )
   ),
   """"
  )"&amp;",
 names,
  MAP(
   successorIDs,
   LAMBDA(s,
    IF(
     s="""",
     """",
     XLOOKUP(
      s,
      $A$2:$A$1000,
      $B$2:$B$1000,
      s
     )
    )
   )
  ),
 IF(
  successorIDs="""",
  """",
  TEXTJOIN("", "",TRUE,names)
 )
)"),"Craft Potion of Mental Power, Once Upon a Forest Chapter 6 Finished")</f>
        <v>Craft Potion of Mental Power, Once Upon a Forest Chapter 6 Finished</v>
      </c>
      <c r="T535" s="26" t="str">
        <f t="array" ref="T535">_xlfn.XLOOKUP(
 A535,
 tblTargets[TargetID],
 tblTargets[CompletionMethod],
 ""
)</f>
        <v>PLAYER</v>
      </c>
      <c r="U535" s="84" t="b">
        <f>COUNTIF(tblCost[TargetID],A535)&gt;0</f>
        <v>1</v>
      </c>
      <c r="V535" s="85">
        <f t="array" ref="V535">IF(
 U535=FALSE,
 "",
 _xlfn.XLOOKUP(
  A535,
  tblCost[TargetID],
  tblCost[FundingPercent],
  ""
 )
)</f>
        <v>0</v>
      </c>
      <c r="W535" s="26">
        <f t="array" ref="W535">IF(
 U535=FALSE,
 "",
 _xlfn.XLOOKUP(
  A535,
  tblCost[TargetID],
  tblCost[RemainingRequirements],
  ""
 )
)</f>
        <v>8</v>
      </c>
      <c r="X535" s="45" t="b">
        <f t="array" ref="X535">IF(
 U535=FALSE,
 "N/A",
 _xlfn.XLOOKUP(
  A536,
  tblCost[TargetID],
  tblCost[TargetFunded],
  FALSE
 )
)</f>
        <v>0</v>
      </c>
      <c r="Y535" s="26" t="str">
        <f>IFERROR(__xludf.DUMMYFUNCTION("IFERROR(
 TEXTJOIN(
  "", "",
  TRUE,
  FILTER(
   'cost checklist'!$E$2:$E1000&amp;"": ""&amp;'cost checklist'!$G$2:$G1000,
   'cost checklist'!$B$2:$B1000=A535,
   'cost checklist'!$J$2:$J1000=FALSE
  )
 ),
 """"
)"),"cinnabar: 15, coin: 300, ginkgo: 20, glass: 10, grimoire: 10, herbs: 10, reagent: 10, ruby: 1")</f>
        <v>cinnabar: 15, coin: 300, ginkgo: 20, glass: 10, grimoire: 10, herbs: 10, reagent: 10, ruby: 1</v>
      </c>
      <c r="Z535" s="26" t="b">
        <f>IFERROR(__xludf.DUMMYFUNCTION("IF(
 AND(
  E535=""QUEST"",
  RIGHT(A535,9)="".accepted"",
  D535=TRUE
 ),
 XLOOKUP(
  REGEXREPLACE(A535,""\.accepted$"","""")&amp;"".finished"",
  $A$2:$A1000,
  $D$2:$D1000,
  TRUE
 )=FALSE,
 FALSE
)"),FALSE)</f>
        <v>0</v>
      </c>
      <c r="AA535" s="26" t="str">
        <f>IFERROR(__xludf.DUMMYFUNCTION("LET(
 id,A535,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6" ht="14.25" customHeight="1">
      <c r="A536" s="26" t="s">
        <v>1747</v>
      </c>
      <c r="B536" s="26" t="str">
        <f t="array" ref="B536">_xlfn.XLOOKUP(
 A536,
 tblTargets[TargetID],
 tblTargets[DisplayName],
 ""
)</f>
        <v>Alchemists Hut - Synthetic Fertilizer</v>
      </c>
      <c r="C536" s="26" t="str">
        <f t="shared" si="1"/>
        <v>BLOCKED</v>
      </c>
      <c r="D536" s="26" t="b">
        <f>IFERROR(__xludf.DUMMYFUNCTION("LET(
 id,A536,
 IF(
  F536=""CHARACTER"",
  LET(
   base,REGEXREPLACE(id,""@\d+$"",""""),
   required,VALUE(REGEXEXTRACT(id,""@(\d+)$"")),
   current,XLOOKUP(
    base,
    tblPlayer[PlayerStateID],
    tblPlayer[Value],
    0
   ),
   current&gt;=required
 "&amp;" ),
  IF(
   T536=""AUTO"",
   L536=0,
   COUNTIFS(
    tblChecklist[TargetID],id,
    tblChecklist[PlayerCompleted],TRUE
   )&gt;0
  )
 )
)"),FALSE)</f>
        <v>0</v>
      </c>
      <c r="E536" s="26" t="str">
        <f t="array" ref="E536">_xlfn.XLOOKUP(
 A536,
 tblTargets[TargetID],
 tblTargets[TargetType],
 ""
)</f>
        <v>TECH</v>
      </c>
      <c r="F536" s="26" t="str">
        <f t="array" ref="F536">_xlfn.XLOOKUP(
 A536,
 tblTargets[TargetID],
 tblTargets[StateType],
 ""
)</f>
        <v/>
      </c>
      <c r="G536" s="26">
        <f>LET(
 id,A536,
 depCount,COUNTIF(tblDependencies[TargetID],id),
 objCount,COUNTIF(tblQuestObjectives[QuestTargetID],id),
 depCount+objCount
)</f>
        <v>1</v>
      </c>
      <c r="H536" s="26">
        <f t="shared" si="2"/>
        <v>1</v>
      </c>
      <c r="I536" s="26">
        <f>IFERROR(__xludf.DUMMYFUNCTION("LET(
 id,A536,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6" s="26">
        <f t="shared" si="3"/>
        <v>0</v>
      </c>
      <c r="K536" s="26" t="b">
        <f t="shared" si="4"/>
        <v>0</v>
      </c>
      <c r="L536" s="26">
        <f t="shared" si="5"/>
        <v>1</v>
      </c>
      <c r="M536" s="26" t="str">
        <f>IFERROR(__xludf.DUMMYFUNCTION("LET(
 id,A536,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L536=0,
  """",
  IFERROR(INDEX(incomplete,1),"""")"&amp;"
 )
)"),"building.alchemists_hut.maxed")</f>
        <v>building.alchemists_hut.maxed</v>
      </c>
      <c r="N536" s="26" t="str">
        <f t="array" ref="N536">IF(
 M536="",
 "",
 _xlfn.XLOOKUP(
  M536,
  tblTargets[TargetID],
  tblTargets[DisplayName],
  M536
 )
)</f>
        <v>Alchemists Hut maxed</v>
      </c>
      <c r="O536" s="26" t="str">
        <f>IFERROR(__xludf.DUMMYFUNCTION("SWITCH(
 E536,
 ""BUILDING"",XLOOKUP(A536,tblBuildings[BuildingID],tblBuildings[costtext],""""),
 ""TECH"",XLOOKUP(A536,tblTechnologies[TechnologyID],tblTechnologies[costtext],""""),
 ""QUEST"",XLOOKUP(
  REGEXREPLACE(A536,""\.[^.]+$"",""""),
  tblQuests["&amp;"QuestID],
  tblQuests[Costtext],
  """"
 ),
 ""CITADEL"",XLOOKUP(A536,tblCitadel[CitadelID],tblCitadel[costtext],""""),
 ""COLLECTION"",XLOOKUP(A536,tblCollections[CollectionID],tblCollections[costtext],""""),
 ""CRAFTIFACT"",XLOOKUP(A536,tblCraftifacts[C"&amp;"raftifactID],tblCraftifacts[costtext],""""),
 """"
)"),"15 blueprint,100 charcoal,50 chemicals,300 coin,10 reagent,1 ruby")</f>
        <v>15 blueprint,100 charcoal,50 chemicals,300 coin,10 reagent,1 ruby</v>
      </c>
      <c r="P536" s="26" t="str">
        <f t="shared" si="6"/>
        <v>BLOCKED</v>
      </c>
      <c r="Q536" s="26" t="str">
        <f t="shared" si="7"/>
        <v>BLOCKED</v>
      </c>
      <c r="R536" s="26" t="str">
        <f t="array" ref="R536">IFERROR(
 _xlfn.XLOOKUP(
  A536,
  tblChecklist[TargetID],
  tblChecklist[PlayerSort],
  ""
 ),
 ""
)</f>
        <v/>
      </c>
      <c r="S536" s="26" t="str">
        <f>IFERROR(__xludf.DUMMYFUNCTION("LET(
 id,A536,
 successorIDs,
  IFERROR(
   UNIQUE(
    FILTER(
     {
      Dependencies!$A$2:$A$1000;
      QuestObjectives!$A$2:$A$1000
     },
     {
      Dependencies!$B$2:$B$1000;
      QuestObjectives!$E$2:$E$1000
     }=id
    )
   ),
   """"
  )"&amp;",
 names,
  MAP(
   successorIDs,
   LAMBDA(s,
    IF(
     s="""",
     """",
     XLOOKUP(
      s,
      $A$2:$A$1000,
      $B$2:$B$1000,
      s
     )
    )
   )
  ),
 IF(
  successorIDs="""",
  """",
  TEXTJOIN("", "",TRUE,names)
 )
)"),"Alchemists Hut - Advanced Fertilizer")</f>
        <v>Alchemists Hut - Advanced Fertilizer</v>
      </c>
      <c r="T536" s="26" t="str">
        <f t="array" ref="T536">_xlfn.XLOOKUP(
 A536,
 tblTargets[TargetID],
 tblTargets[CompletionMethod],
 ""
)</f>
        <v>PLAYER</v>
      </c>
      <c r="U536" s="84" t="b">
        <f>COUNTIF(tblCost[TargetID],A536)&gt;0</f>
        <v>1</v>
      </c>
      <c r="V536" s="85">
        <f t="array" ref="V536">IF(
 U536=FALSE,
 "",
 _xlfn.XLOOKUP(
  A536,
  tblCost[TargetID],
  tblCost[FundingPercent],
  ""
 )
)</f>
        <v>0</v>
      </c>
      <c r="W536" s="26">
        <f t="array" ref="W536">IF(
 U536=FALSE,
 "",
 _xlfn.XLOOKUP(
  A536,
  tblCost[TargetID],
  tblCost[RemainingRequirements],
  ""
 )
)</f>
        <v>6</v>
      </c>
      <c r="X536" s="45" t="b">
        <f t="array" ref="X536">IF(
 U536=FALSE,
 "N/A",
 _xlfn.XLOOKUP(
  A537,
  tblCost[TargetID],
  tblCost[TargetFunded],
  FALSE
 )
)</f>
        <v>0</v>
      </c>
      <c r="Y536" s="26" t="str">
        <f>IFERROR(__xludf.DUMMYFUNCTION("IFERROR(
 TEXTJOIN(
  "", "",
  TRUE,
  FILTER(
   'cost checklist'!$E$2:$E1000&amp;"": ""&amp;'cost checklist'!$G$2:$G1000,
   'cost checklist'!$B$2:$B1000=A536,
   'cost checklist'!$J$2:$J1000=FALSE
  )
 ),
 """"
)"),"blueprint: 15, charcoal: 100, chemicals: 50, coin: 300, reagent: 10, ruby: 1")</f>
        <v>blueprint: 15, charcoal: 100, chemicals: 50, coin: 300, reagent: 10, ruby: 1</v>
      </c>
      <c r="Z536" s="26" t="b">
        <f>IFERROR(__xludf.DUMMYFUNCTION("IF(
 AND(
  E536=""QUEST"",
  RIGHT(A536,9)="".accepted"",
  D536=TRUE
 ),
 XLOOKUP(
  REGEXREPLACE(A536,""\.accepted$"","""")&amp;"".finished"",
  $A$2:$A1000,
  $D$2:$D1000,
  TRUE
 )=FALSE,
 FALSE
)"),FALSE)</f>
        <v>0</v>
      </c>
      <c r="AA536" s="26" t="str">
        <f>IFERROR(__xludf.DUMMYFUNCTION("LET(
 id,A536,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7" ht="14.25" customHeight="1">
      <c r="A537" s="26" t="s">
        <v>1749</v>
      </c>
      <c r="B537" s="26" t="str">
        <f t="array" ref="B537">_xlfn.XLOOKUP(
 A537,
 tblTargets[TargetID],
 tblTargets[DisplayName],
 ""
)</f>
        <v>Bridge - Koi Fish</v>
      </c>
      <c r="C537" s="26" t="str">
        <f t="shared" si="1"/>
        <v>BLOCKED</v>
      </c>
      <c r="D537" s="26" t="b">
        <f>IFERROR(__xludf.DUMMYFUNCTION("LET(
 id,A537,
 IF(
  F537=""CHARACTER"",
  LET(
   base,REGEXREPLACE(id,""@\d+$"",""""),
   required,VALUE(REGEXEXTRACT(id,""@(\d+)$"")),
   current,XLOOKUP(
    base,
    tblPlayer[PlayerStateID],
    tblPlayer[Value],
    0
   ),
   current&gt;=required
 "&amp;" ),
  IF(
   T537=""AUTO"",
   L537=0,
   COUNTIFS(
    tblChecklist[TargetID],id,
    tblChecklist[PlayerCompleted],TRUE
   )&gt;0
  )
 )
)"),FALSE)</f>
        <v>0</v>
      </c>
      <c r="E537" s="26" t="str">
        <f t="array" ref="E537">_xlfn.XLOOKUP(
 A537,
 tblTargets[TargetID],
 tblTargets[TargetType],
 ""
)</f>
        <v>TECH</v>
      </c>
      <c r="F537" s="26" t="str">
        <f t="array" ref="F537">_xlfn.XLOOKUP(
 A537,
 tblTargets[TargetID],
 tblTargets[StateType],
 ""
)</f>
        <v/>
      </c>
      <c r="G537" s="26">
        <f>LET(
 id,A537,
 depCount,COUNTIF(tblDependencies[TargetID],id),
 objCount,COUNTIF(tblQuestObjectives[QuestTargetID],id),
 depCount+objCount
)</f>
        <v>1</v>
      </c>
      <c r="H537" s="26">
        <f t="shared" si="2"/>
        <v>1</v>
      </c>
      <c r="I537" s="26">
        <f>IFERROR(__xludf.DUMMYFUNCTION("LET(
 id,A537,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7" s="26">
        <f t="shared" si="3"/>
        <v>0</v>
      </c>
      <c r="K537" s="26" t="b">
        <f t="shared" si="4"/>
        <v>0</v>
      </c>
      <c r="L537" s="26">
        <f t="shared" si="5"/>
        <v>1</v>
      </c>
      <c r="M537" s="26" t="str">
        <f>IFERROR(__xludf.DUMMYFUNCTION("LET(
 id,A537,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L537=0,
  """",
  IFERROR(INDEX(incomplete,1),"""")"&amp;"
 )
)"),"building.bridge.maxed")</f>
        <v>building.bridge.maxed</v>
      </c>
      <c r="N537" s="26" t="str">
        <f t="array" ref="N537">IF(
 M537="",
 "",
 _xlfn.XLOOKUP(
  M537,
  tblTargets[TargetID],
  tblTargets[DisplayName],
  M537
 )
)</f>
        <v>Bridge maxed</v>
      </c>
      <c r="O537" s="26" t="str">
        <f>IFERROR(__xludf.DUMMYFUNCTION("SWITCH(
 E537,
 ""BUILDING"",XLOOKUP(A537,tblBuildings[BuildingID],tblBuildings[costtext],""""),
 ""TECH"",XLOOKUP(A537,tblTechnologies[TechnologyID],tblTechnologies[costtext],""""),
 ""QUEST"",XLOOKUP(
  REGEXREPLACE(A537,""\.[^.]+$"",""""),
  tblQuests["&amp;"QuestID],
  tblQuests[Costtext],
  """"
 ),
 ""CITADEL"",XLOOKUP(A537,tblCitadel[CitadelID],tblCitadel[costtext],""""),
 ""COLLECTION"",XLOOKUP(A537,tblCollections[CollectionID],tblCollections[costtext],""""),
 ""CRAFTIFACT"",XLOOKUP(A537,tblCraftifacts[C"&amp;"raftifactID],tblCraftifacts[costtext],""""),
 """"
)"),"20 ingot,20 paper,20 ruby,20 salmon,20 tuna,20 wheat")</f>
        <v>20 ingot,20 paper,20 ruby,20 salmon,20 tuna,20 wheat</v>
      </c>
      <c r="P537" s="26" t="str">
        <f t="shared" si="6"/>
        <v>BLOCKED</v>
      </c>
      <c r="Q537" s="26" t="str">
        <f t="shared" si="7"/>
        <v>BLOCKED</v>
      </c>
      <c r="R537" s="26" t="str">
        <f t="array" ref="R537">IFERROR(
 _xlfn.XLOOKUP(
  A537,
  tblChecklist[TargetID],
  tblChecklist[PlayerSort],
  ""
 ),
 ""
)</f>
        <v/>
      </c>
      <c r="S537" s="26" t="str">
        <f>IFERROR(__xludf.DUMMYFUNCTION("LET(
 id,A537,
 successorIDs,
  IFERROR(
   UNIQUE(
    FILTER(
     {
      Dependencies!$A$2:$A$1000;
      QuestObjectives!$A$2:$A$1000
     },
     {
      Dependencies!$B$2:$B$1000;
      QuestObjectives!$E$2:$E$1000
     }=id
    )
   ),
   """"
  )"&amp;",
 names,
  MAP(
   successorIDs,
   LAMBDA(s,
    IF(
     s="""",
     """",
     XLOOKUP(
      s,
      $A$2:$A$1000,
      $B$2:$B$1000,
      s
     )
    )
   )
  ),
 IF(
  successorIDs="""",
  """",
  TEXTJOIN("", "",TRUE,names)
 )
)"),"")</f>
        <v/>
      </c>
      <c r="T537" s="26" t="str">
        <f t="array" ref="T537">_xlfn.XLOOKUP(
 A537,
 tblTargets[TargetID],
 tblTargets[CompletionMethod],
 ""
)</f>
        <v>PLAYER</v>
      </c>
      <c r="U537" s="84" t="b">
        <f>COUNTIF(tblCost[TargetID],A537)&gt;0</f>
        <v>1</v>
      </c>
      <c r="V537" s="85">
        <f t="array" ref="V537">IF(
 U537=FALSE,
 "",
 _xlfn.XLOOKUP(
  A537,
  tblCost[TargetID],
  tblCost[FundingPercent],
  ""
 )
)</f>
        <v>0</v>
      </c>
      <c r="W537" s="26">
        <f t="array" ref="W537">IF(
 U537=FALSE,
 "",
 _xlfn.XLOOKUP(
  A537,
  tblCost[TargetID],
  tblCost[RemainingRequirements],
  ""
 )
)</f>
        <v>6</v>
      </c>
      <c r="X537" s="45" t="b">
        <f t="array" ref="X537">IF(
 U537=FALSE,
 "N/A",
 _xlfn.XLOOKUP(
  A538,
  tblCost[TargetID],
  tblCost[TargetFunded],
  FALSE
 )
)</f>
        <v>0</v>
      </c>
      <c r="Y537" s="26" t="str">
        <f>IFERROR(__xludf.DUMMYFUNCTION("IFERROR(
 TEXTJOIN(
  "", "",
  TRUE,
  FILTER(
   'cost checklist'!$E$2:$E1000&amp;"": ""&amp;'cost checklist'!$G$2:$G1000,
   'cost checklist'!$B$2:$B1000=A537,
   'cost checklist'!$J$2:$J1000=FALSE
  )
 ),
 """"
)"),"ingot: 20, paper: 20, ruby: 20, salmon: 20, tuna: 20, wheat: 20")</f>
        <v>ingot: 20, paper: 20, ruby: 20, salmon: 20, tuna: 20, wheat: 20</v>
      </c>
      <c r="Z537" s="26" t="b">
        <f>IFERROR(__xludf.DUMMYFUNCTION("IF(
 AND(
  E537=""QUEST"",
  RIGHT(A537,9)="".accepted"",
  D537=TRUE
 ),
 XLOOKUP(
  REGEXREPLACE(A537,""\.accepted$"","""")&amp;"".finished"",
  $A$2:$A1000,
  $D$2:$D1000,
  TRUE
 )=FALSE,
 FALSE
)"),FALSE)</f>
        <v>0</v>
      </c>
      <c r="AA537" s="26" t="str">
        <f>IFERROR(__xludf.DUMMYFUNCTION("LET(
 id,A537,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8" ht="14.25" customHeight="1">
      <c r="A538" s="26" t="s">
        <v>1751</v>
      </c>
      <c r="B538" s="26" t="str">
        <f t="array" ref="B538">_xlfn.XLOOKUP(
 A538,
 tblTargets[TargetID],
 tblTargets[DisplayName],
 ""
)</f>
        <v>Bridge - Salmon Farming</v>
      </c>
      <c r="C538" s="26" t="str">
        <f t="shared" si="1"/>
        <v>BLOCKED</v>
      </c>
      <c r="D538" s="26" t="b">
        <f>IFERROR(__xludf.DUMMYFUNCTION("LET(
 id,A538,
 IF(
  F538=""CHARACTER"",
  LET(
   base,REGEXREPLACE(id,""@\d+$"",""""),
   required,VALUE(REGEXEXTRACT(id,""@(\d+)$"")),
   current,XLOOKUP(
    base,
    tblPlayer[PlayerStateID],
    tblPlayer[Value],
    0
   ),
   current&gt;=required
 "&amp;" ),
  IF(
   T538=""AUTO"",
   L538=0,
   COUNTIFS(
    tblChecklist[TargetID],id,
    tblChecklist[PlayerCompleted],TRUE
   )&gt;0
  )
 )
)"),FALSE)</f>
        <v>0</v>
      </c>
      <c r="E538" s="26" t="str">
        <f t="array" ref="E538">_xlfn.XLOOKUP(
 A538,
 tblTargets[TargetID],
 tblTargets[TargetType],
 ""
)</f>
        <v>TECH</v>
      </c>
      <c r="F538" s="26" t="str">
        <f t="array" ref="F538">_xlfn.XLOOKUP(
 A538,
 tblTargets[TargetID],
 tblTargets[StateType],
 ""
)</f>
        <v/>
      </c>
      <c r="G538" s="26">
        <f>LET(
 id,A538,
 depCount,COUNTIF(tblDependencies[TargetID],id),
 objCount,COUNTIF(tblQuestObjectives[QuestTargetID],id),
 depCount+objCount
)</f>
        <v>1</v>
      </c>
      <c r="H538" s="26">
        <f t="shared" si="2"/>
        <v>1</v>
      </c>
      <c r="I538" s="26">
        <f>IFERROR(__xludf.DUMMYFUNCTION("LET(
 id,A538,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8" s="26">
        <f t="shared" si="3"/>
        <v>0</v>
      </c>
      <c r="K538" s="26" t="b">
        <f t="shared" si="4"/>
        <v>0</v>
      </c>
      <c r="L538" s="26">
        <f t="shared" si="5"/>
        <v>1</v>
      </c>
      <c r="M538" s="26" t="str">
        <f>IFERROR(__xludf.DUMMYFUNCTION("LET(
 id,A538,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L538=0,
  """",
  IFERROR(INDEX(incomplete,1),"""")"&amp;"
 )
)"),"building.bridge.maxed")</f>
        <v>building.bridge.maxed</v>
      </c>
      <c r="N538" s="26" t="str">
        <f t="array" ref="N538">IF(
 M538="",
 "",
 _xlfn.XLOOKUP(
  M538,
  tblTargets[TargetID],
  tblTargets[DisplayName],
  M538
 )
)</f>
        <v>Bridge maxed</v>
      </c>
      <c r="O538" s="26" t="str">
        <f>IFERROR(__xludf.DUMMYFUNCTION("SWITCH(
 E538,
 ""BUILDING"",XLOOKUP(A538,tblBuildings[BuildingID],tblBuildings[costtext],""""),
 ""TECH"",XLOOKUP(A538,tblTechnologies[TechnologyID],tblTechnologies[costtext],""""),
 ""QUEST"",XLOOKUP(
  REGEXREPLACE(A538,""\.[^.]+$"",""""),
  tblQuests["&amp;"QuestID],
  tblQuests[Costtext],
  """"
 ),
 ""CITADEL"",XLOOKUP(A538,tblCitadel[CitadelID],tblCitadel[costtext],""""),
 ""COLLECTION"",XLOOKUP(A538,tblCollections[CollectionID],tblCollections[costtext],""""),
 ""CRAFTIFACT"",XLOOKUP(A538,tblCraftifacts[C"&amp;"raftifactID],tblCraftifacts[costtext],""""),
 """"
)"),"20 blueprint,40 flour,20 glass,10 net,15 ruby,20 salmon,400 stone")</f>
        <v>20 blueprint,40 flour,20 glass,10 net,15 ruby,20 salmon,400 stone</v>
      </c>
      <c r="P538" s="26" t="str">
        <f t="shared" si="6"/>
        <v>BLOCKED</v>
      </c>
      <c r="Q538" s="26" t="str">
        <f t="shared" si="7"/>
        <v>BLOCKED</v>
      </c>
      <c r="R538" s="26" t="str">
        <f t="array" ref="R538">IFERROR(
 _xlfn.XLOOKUP(
  A538,
  tblChecklist[TargetID],
  tblChecklist[PlayerSort],
  ""
 ),
 ""
)</f>
        <v/>
      </c>
      <c r="S538" s="26" t="str">
        <f>IFERROR(__xludf.DUMMYFUNCTION("LET(
 id,A538,
 successorIDs,
  IFERROR(
   UNIQUE(
    FILTER(
     {
      Dependencies!$A$2:$A$1000;
      QuestObjectives!$A$2:$A$1000
     },
     {
      Dependencies!$B$2:$B$1000;
      QuestObjectives!$E$2:$E$1000
     }=id
    )
   ),
   """"
  )"&amp;",
 names,
  MAP(
   successorIDs,
   LAMBDA(s,
    IF(
     s="""",
     """",
     XLOOKUP(
      s,
      $A$2:$A$1000,
      $B$2:$B$1000,
      s
     )
    )
   )
  ),
 IF(
  successorIDs="""",
  """",
  TEXTJOIN("", "",TRUE,names)
 )
)"),"")</f>
        <v/>
      </c>
      <c r="T538" s="26" t="str">
        <f t="array" ref="T538">_xlfn.XLOOKUP(
 A538,
 tblTargets[TargetID],
 tblTargets[CompletionMethod],
 ""
)</f>
        <v>PLAYER</v>
      </c>
      <c r="U538" s="84" t="b">
        <f>COUNTIF(tblCost[TargetID],A538)&gt;0</f>
        <v>1</v>
      </c>
      <c r="V538" s="85">
        <f t="array" ref="V538">IF(
 U538=FALSE,
 "",
 _xlfn.XLOOKUP(
  A538,
  tblCost[TargetID],
  tblCost[FundingPercent],
  ""
 )
)</f>
        <v>0</v>
      </c>
      <c r="W538" s="26">
        <f t="array" ref="W538">IF(
 U538=FALSE,
 "",
 _xlfn.XLOOKUP(
  A538,
  tblCost[TargetID],
  tblCost[RemainingRequirements],
  ""
 )
)</f>
        <v>7</v>
      </c>
      <c r="X538" s="45" t="b">
        <f t="array" ref="X538">IF(
 U538=FALSE,
 "N/A",
 _xlfn.XLOOKUP(
  A539,
  tblCost[TargetID],
  tblCost[TargetFunded],
  FALSE
 )
)</f>
        <v>0</v>
      </c>
      <c r="Y538" s="26" t="str">
        <f>IFERROR(__xludf.DUMMYFUNCTION("IFERROR(
 TEXTJOIN(
  "", "",
  TRUE,
  FILTER(
   'cost checklist'!$E$2:$E1000&amp;"": ""&amp;'cost checklist'!$G$2:$G1000,
   'cost checklist'!$B$2:$B1000=A538,
   'cost checklist'!$J$2:$J1000=FALSE
  )
 ),
 """"
)"),"blueprint: 20, flour: 40, glass: 20, net: 10, ruby: 15, salmon: 20, stone: 400")</f>
        <v>blueprint: 20, flour: 40, glass: 20, net: 10, ruby: 15, salmon: 20, stone: 400</v>
      </c>
      <c r="Z538" s="26" t="b">
        <f>IFERROR(__xludf.DUMMYFUNCTION("IF(
 AND(
  E538=""QUEST"",
  RIGHT(A538,9)="".accepted"",
  D538=TRUE
 ),
 XLOOKUP(
  REGEXREPLACE(A538,""\.accepted$"","""")&amp;"".finished"",
  $A$2:$A1000,
  $D$2:$D1000,
  TRUE
 )=FALSE,
 FALSE
)"),FALSE)</f>
        <v>0</v>
      </c>
      <c r="AA538" s="26" t="str">
        <f>IFERROR(__xludf.DUMMYFUNCTION("LET(
 id,A538,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39" ht="14.25" customHeight="1">
      <c r="A539" s="26" t="s">
        <v>1753</v>
      </c>
      <c r="B539" s="26" t="str">
        <f t="array" ref="B539">_xlfn.XLOOKUP(
 A539,
 tblTargets[TargetID],
 tblTargets[DisplayName],
 ""
)</f>
        <v>Dairy - Big Data Farming</v>
      </c>
      <c r="C539" s="26" t="str">
        <f t="shared" si="1"/>
        <v>BLOCKED</v>
      </c>
      <c r="D539" s="26" t="b">
        <f>IFERROR(__xludf.DUMMYFUNCTION("LET(
 id,A539,
 IF(
  F539=""CHARACTER"",
  LET(
   base,REGEXREPLACE(id,""@\d+$"",""""),
   required,VALUE(REGEXEXTRACT(id,""@(\d+)$"")),
   current,XLOOKUP(
    base,
    tblPlayer[PlayerStateID],
    tblPlayer[Value],
    0
   ),
   current&gt;=required
 "&amp;" ),
  IF(
   T539=""AUTO"",
   L539=0,
   COUNTIFS(
    tblChecklist[TargetID],id,
    tblChecklist[PlayerCompleted],TRUE
   )&gt;0
  )
 )
)"),FALSE)</f>
        <v>0</v>
      </c>
      <c r="E539" s="26" t="str">
        <f t="array" ref="E539">_xlfn.XLOOKUP(
 A539,
 tblTargets[TargetID],
 tblTargets[TargetType],
 ""
)</f>
        <v>TECH</v>
      </c>
      <c r="F539" s="26" t="str">
        <f t="array" ref="F539">_xlfn.XLOOKUP(
 A539,
 tblTargets[TargetID],
 tblTargets[StateType],
 ""
)</f>
        <v/>
      </c>
      <c r="G539" s="26">
        <f>LET(
 id,A539,
 depCount,COUNTIF(tblDependencies[TargetID],id),
 objCount,COUNTIF(tblQuestObjectives[QuestTargetID],id),
 depCount+objCount
)</f>
        <v>1</v>
      </c>
      <c r="H539" s="26">
        <f t="shared" si="2"/>
        <v>1</v>
      </c>
      <c r="I539" s="26">
        <f>IFERROR(__xludf.DUMMYFUNCTION("LET(
 id,A539,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39" s="26">
        <f t="shared" si="3"/>
        <v>0</v>
      </c>
      <c r="K539" s="26" t="b">
        <f t="shared" si="4"/>
        <v>0</v>
      </c>
      <c r="L539" s="26">
        <f t="shared" si="5"/>
        <v>1</v>
      </c>
      <c r="M539" s="26" t="str">
        <f>IFERROR(__xludf.DUMMYFUNCTION("LET(
 id,A539,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L539=0,
  """",
  IFERROR(INDEX(incomplete,1),"""")"&amp;"
 )
)"),"tech.dairy.classical_music_for_the_farm")</f>
        <v>tech.dairy.classical_music_for_the_farm</v>
      </c>
      <c r="N539" s="26" t="str">
        <f t="array" ref="N539">IF(
 M539="",
 "",
 _xlfn.XLOOKUP(
  M539,
  tblTargets[TargetID],
  tblTargets[DisplayName],
  M539
 )
)</f>
        <v>Dairy - Classical Music For The Farm</v>
      </c>
      <c r="O539" s="26" t="str">
        <f>IFERROR(__xludf.DUMMYFUNCTION("SWITCH(
 E539,
 ""BUILDING"",XLOOKUP(A539,tblBuildings[BuildingID],tblBuildings[costtext],""""),
 ""TECH"",XLOOKUP(A539,tblTechnologies[TechnologyID],tblTechnologies[costtext],""""),
 ""QUEST"",XLOOKUP(
  REGEXREPLACE(A539,""\.[^.]+$"",""""),
  tblQuests["&amp;"QuestID],
  tblQuests[Costtext],
  """"
 ),
 ""CITADEL"",XLOOKUP(A539,tblCitadel[CitadelID],tblCitadel[costtext],""""),
 ""COLLECTION"",XLOOKUP(A539,tblCollections[CollectionID],tblCollections[costtext],""""),
 ""CRAFTIFACT"",XLOOKUP(A539,tblCraftifacts[C"&amp;"raftifactID],tblCraftifacts[costtext],""""),
 """"
)"),"32 blueprint,1000 coin,20 mechanism,20 milk,40 paper,20 quartz,5 ruby,20 tparts,10 violetcrystal")</f>
        <v>32 blueprint,1000 coin,20 mechanism,20 milk,40 paper,20 quartz,5 ruby,20 tparts,10 violetcrystal</v>
      </c>
      <c r="P539" s="26" t="str">
        <f t="shared" si="6"/>
        <v>BLOCKED</v>
      </c>
      <c r="Q539" s="26" t="str">
        <f t="shared" si="7"/>
        <v>BLOCKED</v>
      </c>
      <c r="R539" s="26" t="str">
        <f t="array" ref="R539">IFERROR(
 _xlfn.XLOOKUP(
  A539,
  tblChecklist[TargetID],
  tblChecklist[PlayerSort],
  ""
 ),
 ""
)</f>
        <v/>
      </c>
      <c r="S539" s="26" t="str">
        <f>IFERROR(__xludf.DUMMYFUNCTION("LET(
 id,A539,
 successorIDs,
  IFERROR(
   UNIQUE(
    FILTER(
     {
      Dependencies!$A$2:$A$1000;
      QuestObjectives!$A$2:$A$1000
     },
     {
      Dependencies!$B$2:$B$1000;
      QuestObjectives!$E$2:$E$1000
     }=id
    )
   ),
   """"
  )"&amp;",
 names,
  MAP(
   successorIDs,
   LAMBDA(s,
    IF(
     s="""",
     """",
     XLOOKUP(
      s,
      $A$2:$A$1000,
      $B$2:$B$1000,
      s
     )
    )
   )
  ),
 IF(
  successorIDs="""",
  """",
  TEXTJOIN("", "",TRUE,names)
 )
)"),"")</f>
        <v/>
      </c>
      <c r="T539" s="26" t="str">
        <f t="array" ref="T539">_xlfn.XLOOKUP(
 A539,
 tblTargets[TargetID],
 tblTargets[CompletionMethod],
 ""
)</f>
        <v>PLAYER</v>
      </c>
      <c r="U539" s="84" t="b">
        <f>COUNTIF(tblCost[TargetID],A539)&gt;0</f>
        <v>1</v>
      </c>
      <c r="V539" s="85">
        <f t="array" ref="V539">IF(
 U539=FALSE,
 "",
 _xlfn.XLOOKUP(
  A539,
  tblCost[TargetID],
  tblCost[FundingPercent],
  ""
 )
)</f>
        <v>0</v>
      </c>
      <c r="W539" s="26">
        <f t="array" ref="W539">IF(
 U539=FALSE,
 "",
 _xlfn.XLOOKUP(
  A539,
  tblCost[TargetID],
  tblCost[RemainingRequirements],
  ""
 )
)</f>
        <v>9</v>
      </c>
      <c r="X539" s="45" t="b">
        <f t="array" ref="X539">IF(
 U539=FALSE,
 "N/A",
 _xlfn.XLOOKUP(
  A540,
  tblCost[TargetID],
  tblCost[TargetFunded],
  FALSE
 )
)</f>
        <v>0</v>
      </c>
      <c r="Y539" s="26" t="str">
        <f>IFERROR(__xludf.DUMMYFUNCTION("IFERROR(
 TEXTJOIN(
  "", "",
  TRUE,
  FILTER(
   'cost checklist'!$E$2:$E1000&amp;"": ""&amp;'cost checklist'!$G$2:$G1000,
   'cost checklist'!$B$2:$B1000=A539,
   'cost checklist'!$J$2:$J1000=FALSE
  )
 ),
 """"
)"),"blueprint: 32, coin: 1000, mechanism: 20, milk: 20, paper: 40, quartz: 20, ruby: 5, tparts: 20, violetcrystal: 10")</f>
        <v>blueprint: 32, coin: 1000, mechanism: 20, milk: 20, paper: 40, quartz: 20, ruby: 5, tparts: 20, violetcrystal: 10</v>
      </c>
      <c r="Z539" s="26" t="b">
        <f>IFERROR(__xludf.DUMMYFUNCTION("IF(
 AND(
  E539=""QUEST"",
  RIGHT(A539,9)="".accepted"",
  D539=TRUE
 ),
 XLOOKUP(
  REGEXREPLACE(A539,""\.accepted$"","""")&amp;"".finished"",
  $A$2:$A1000,
  $D$2:$D1000,
  TRUE
 )=FALSE,
 FALSE
)"),FALSE)</f>
        <v>0</v>
      </c>
      <c r="AA539" s="26" t="str">
        <f>IFERROR(__xludf.DUMMYFUNCTION("LET(
 id,A539,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0" ht="14.25" customHeight="1">
      <c r="A540" s="26" t="s">
        <v>1756</v>
      </c>
      <c r="B540" s="26" t="str">
        <f t="array" ref="B540">_xlfn.XLOOKUP(
 A540,
 tblTargets[TargetID],
 tblTargets[DisplayName],
 ""
)</f>
        <v>Dairy - Classical Music For The Farm</v>
      </c>
      <c r="C540" s="26" t="str">
        <f t="shared" si="1"/>
        <v>BLOCKED</v>
      </c>
      <c r="D540" s="26" t="b">
        <f>IFERROR(__xludf.DUMMYFUNCTION("LET(
 id,A540,
 IF(
  F540=""CHARACTER"",
  LET(
   base,REGEXREPLACE(id,""@\d+$"",""""),
   required,VALUE(REGEXEXTRACT(id,""@(\d+)$"")),
   current,XLOOKUP(
    base,
    tblPlayer[PlayerStateID],
    tblPlayer[Value],
    0
   ),
   current&gt;=required
 "&amp;" ),
  IF(
   T540=""AUTO"",
   L540=0,
   COUNTIFS(
    tblChecklist[TargetID],id,
    tblChecklist[PlayerCompleted],TRUE
   )&gt;0
  )
 )
)"),FALSE)</f>
        <v>0</v>
      </c>
      <c r="E540" s="26" t="str">
        <f t="array" ref="E540">_xlfn.XLOOKUP(
 A540,
 tblTargets[TargetID],
 tblTargets[TargetType],
 ""
)</f>
        <v>TECH</v>
      </c>
      <c r="F540" s="26" t="str">
        <f t="array" ref="F540">_xlfn.XLOOKUP(
 A540,
 tblTargets[TargetID],
 tblTargets[StateType],
 ""
)</f>
        <v/>
      </c>
      <c r="G540" s="26">
        <f>LET(
 id,A540,
 depCount,COUNTIF(tblDependencies[TargetID],id),
 objCount,COUNTIF(tblQuestObjectives[QuestTargetID],id),
 depCount+objCount
)</f>
        <v>2</v>
      </c>
      <c r="H540" s="26">
        <f t="shared" si="2"/>
        <v>2</v>
      </c>
      <c r="I540" s="26">
        <f>IFERROR(__xludf.DUMMYFUNCTION("LET(
 id,A540,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0" s="26">
        <f t="shared" si="3"/>
        <v>0</v>
      </c>
      <c r="K540" s="26" t="b">
        <f t="shared" si="4"/>
        <v>0</v>
      </c>
      <c r="L540" s="26">
        <f t="shared" si="5"/>
        <v>2</v>
      </c>
      <c r="M540" s="26" t="str">
        <f>IFERROR(__xludf.DUMMYFUNCTION("LET(
 id,A540,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L540=0,
  """",
  IFERROR(INDEX(incomplete,1),"""")"&amp;"
 )
)"),"quest.the_ordinary_days_of_an_adventurer_chapter_7.finished")</f>
        <v>quest.the_ordinary_days_of_an_adventurer_chapter_7.finished</v>
      </c>
      <c r="N540" s="26" t="str">
        <f t="array" ref="N540">IF(
 M540="",
 "",
 _xlfn.XLOOKUP(
  M540,
  tblTargets[TargetID],
  tblTargets[DisplayName],
  M540
 )
)</f>
        <v>The Ordinary Days of an Adventurer Chapter 7 Finished</v>
      </c>
      <c r="O540" s="26" t="str">
        <f>IFERROR(__xludf.DUMMYFUNCTION("SWITCH(
 E540,
 ""BUILDING"",XLOOKUP(A540,tblBuildings[BuildingID],tblBuildings[costtext],""""),
 ""TECH"",XLOOKUP(A540,tblTechnologies[TechnologyID],tblTechnologies[costtext],""""),
 ""QUEST"",XLOOKUP(
  REGEXREPLACE(A540,""\.[^.]+$"",""""),
  tblQuests["&amp;"QuestID],
  tblQuests[Costtext],
  """"
 ),
 ""CITADEL"",XLOOKUP(A540,tblCitadel[CitadelID],tblCitadel[costtext],""""),
 ""COLLECTION"",XLOOKUP(A540,tblCollections[CollectionID],tblCollections[costtext],""""),
 ""CRAFTIFACT"",XLOOKUP(A540,tblCraftifacts[C"&amp;"raftifactID],tblCraftifacts[costtext],""""),
 """"
)"),"20 blueprint,500 coin,20 glass,4 horn,15 mechanism,20 milk,20 quartz,3 ruby")</f>
        <v>20 blueprint,500 coin,20 glass,4 horn,15 mechanism,20 milk,20 quartz,3 ruby</v>
      </c>
      <c r="P540" s="26" t="str">
        <f t="shared" si="6"/>
        <v>BLOCKED</v>
      </c>
      <c r="Q540" s="26" t="str">
        <f t="shared" si="7"/>
        <v>BLOCKED</v>
      </c>
      <c r="R540" s="26" t="str">
        <f t="array" ref="R540">IFERROR(
 _xlfn.XLOOKUP(
  A540,
  tblChecklist[TargetID],
  tblChecklist[PlayerSort],
  ""
 ),
 ""
)</f>
        <v/>
      </c>
      <c r="S540" s="26" t="str">
        <f>IFERROR(__xludf.DUMMYFUNCTION("LET(
 id,A540,
 successorIDs,
  IFERROR(
   UNIQUE(
    FILTER(
     {
      Dependencies!$A$2:$A$1000;
      QuestObjectives!$A$2:$A$1000
     },
     {
      Dependencies!$B$2:$B$1000;
      QuestObjectives!$E$2:$E$1000
     }=id
    )
   ),
   """"
  )"&amp;",
 names,
  MAP(
   successorIDs,
   LAMBDA(s,
    IF(
     s="""",
     """",
     XLOOKUP(
      s,
      $A$2:$A$1000,
      $B$2:$B$1000,
      s
     )
    )
   )
  ),
 IF(
  successorIDs="""",
  """",
  TEXTJOIN("", "",TRUE,names)
 )
)"),"Dairy - Big Data Farming")</f>
        <v>Dairy - Big Data Farming</v>
      </c>
      <c r="T540" s="26" t="str">
        <f t="array" ref="T540">_xlfn.XLOOKUP(
 A540,
 tblTargets[TargetID],
 tblTargets[CompletionMethod],
 ""
)</f>
        <v>PLAYER</v>
      </c>
      <c r="U540" s="84" t="b">
        <f>COUNTIF(tblCost[TargetID],A540)&gt;0</f>
        <v>1</v>
      </c>
      <c r="V540" s="85">
        <f t="array" ref="V540">IF(
 U540=FALSE,
 "",
 _xlfn.XLOOKUP(
  A540,
  tblCost[TargetID],
  tblCost[FundingPercent],
  ""
 )
)</f>
        <v>0</v>
      </c>
      <c r="W540" s="26">
        <f t="array" ref="W540">IF(
 U540=FALSE,
 "",
 _xlfn.XLOOKUP(
  A540,
  tblCost[TargetID],
  tblCost[RemainingRequirements],
  ""
 )
)</f>
        <v>8</v>
      </c>
      <c r="X540" s="45" t="b">
        <f t="array" ref="X540">IF(
 U540=FALSE,
 "N/A",
 _xlfn.XLOOKUP(
  A541,
  tblCost[TargetID],
  tblCost[TargetFunded],
  FALSE
 )
)</f>
        <v>0</v>
      </c>
      <c r="Y540" s="26" t="str">
        <f>IFERROR(__xludf.DUMMYFUNCTION("IFERROR(
 TEXTJOIN(
  "", "",
  TRUE,
  FILTER(
   'cost checklist'!$E$2:$E1000&amp;"": ""&amp;'cost checklist'!$G$2:$G1000,
   'cost checklist'!$B$2:$B1000=A540,
   'cost checklist'!$J$2:$J1000=FALSE
  )
 ),
 """"
)"),"blueprint: 20, coin: 500, glass: 20, horn: 4, mechanism: 15, milk: 20, quartz: 20, ruby: 3")</f>
        <v>blueprint: 20, coin: 500, glass: 20, horn: 4, mechanism: 15, milk: 20, quartz: 20, ruby: 3</v>
      </c>
      <c r="Z540" s="26" t="b">
        <f>IFERROR(__xludf.DUMMYFUNCTION("IF(
 AND(
  E540=""QUEST"",
  RIGHT(A540,9)="".accepted"",
  D540=TRUE
 ),
 XLOOKUP(
  REGEXREPLACE(A540,""\.accepted$"","""")&amp;"".finished"",
  $A$2:$A1000,
  $D$2:$D1000,
  TRUE
 )=FALSE,
 FALSE
)"),FALSE)</f>
        <v>0</v>
      </c>
      <c r="AA540" s="26" t="str">
        <f>IFERROR(__xludf.DUMMYFUNCTION("LET(
 id,A540,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1" ht="14.25" customHeight="1">
      <c r="A541" s="26" t="s">
        <v>1758</v>
      </c>
      <c r="B541" s="26" t="str">
        <f t="array" ref="B541">_xlfn.XLOOKUP(
 A541,
 tblTargets[TargetID],
 tblTargets[DisplayName],
 ""
)</f>
        <v>Dungeon - Great Hall</v>
      </c>
      <c r="C541" s="26" t="str">
        <f t="shared" si="1"/>
        <v>BLOCKED</v>
      </c>
      <c r="D541" s="26" t="b">
        <f>IFERROR(__xludf.DUMMYFUNCTION("LET(
 id,A541,
 IF(
  F541=""CHARACTER"",
  LET(
   base,REGEXREPLACE(id,""@\d+$"",""""),
   required,VALUE(REGEXEXTRACT(id,""@(\d+)$"")),
   current,XLOOKUP(
    base,
    tblPlayer[PlayerStateID],
    tblPlayer[Value],
    0
   ),
   current&gt;=required
 "&amp;" ),
  IF(
   T541=""AUTO"",
   L541=0,
   COUNTIFS(
    tblChecklist[TargetID],id,
    tblChecklist[PlayerCompleted],TRUE
   )&gt;0
  )
 )
)"),FALSE)</f>
        <v>0</v>
      </c>
      <c r="E541" s="26" t="str">
        <f t="array" ref="E541">_xlfn.XLOOKUP(
 A541,
 tblTargets[TargetID],
 tblTargets[TargetType],
 ""
)</f>
        <v>TECH</v>
      </c>
      <c r="F541" s="26" t="str">
        <f t="array" ref="F541">_xlfn.XLOOKUP(
 A541,
 tblTargets[TargetID],
 tblTargets[StateType],
 ""
)</f>
        <v/>
      </c>
      <c r="G541" s="26">
        <f>LET(
 id,A541,
 depCount,COUNTIF(tblDependencies[TargetID],id),
 objCount,COUNTIF(tblQuestObjectives[QuestTargetID],id),
 depCount+objCount
)</f>
        <v>1</v>
      </c>
      <c r="H541" s="26">
        <f t="shared" si="2"/>
        <v>1</v>
      </c>
      <c r="I541" s="26">
        <f>IFERROR(__xludf.DUMMYFUNCTION("LET(
 id,A541,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1" s="26">
        <f t="shared" si="3"/>
        <v>0</v>
      </c>
      <c r="K541" s="26" t="b">
        <f t="shared" si="4"/>
        <v>0</v>
      </c>
      <c r="L541" s="26">
        <f t="shared" si="5"/>
        <v>1</v>
      </c>
      <c r="M541" s="26" t="str">
        <f>IFERROR(__xludf.DUMMYFUNCTION("LET(
 id,A541,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L541=0,
  """",
  IFERROR(INDEX(incomplete,1),"""")"&amp;"
 )
)"),"building.dungeon@3")</f>
        <v>building.dungeon@3</v>
      </c>
      <c r="N541" s="26" t="str">
        <f t="array" ref="N541">IF(
 M541="",
 "",
 _xlfn.XLOOKUP(
  M541,
  tblTargets[TargetID],
  tblTargets[DisplayName],
  M541
 )
)</f>
        <v>Dungeon Lv 3</v>
      </c>
      <c r="O541" s="26" t="str">
        <f>IFERROR(__xludf.DUMMYFUNCTION("SWITCH(
 E541,
 ""BUILDING"",XLOOKUP(A541,tblBuildings[BuildingID],tblBuildings[costtext],""""),
 ""TECH"",XLOOKUP(A541,tblTechnologies[TechnologyID],tblTechnologies[costtext],""""),
 ""QUEST"",XLOOKUP(
  REGEXREPLACE(A541,""\.[^.]+$"",""""),
  tblQuests["&amp;"QuestID],
  tblQuests[Costtext],
  """"
 ),
 ""CITADEL"",XLOOKUP(A541,tblCitadel[CitadelID],tblCitadel[costtext],""""),
 ""COLLECTION"",XLOOKUP(A541,tblCollections[CollectionID],tblCollections[costtext],""""),
 ""CRAFTIFACT"",XLOOKUP(A541,tblCraftifacts[C"&amp;"raftifactID],tblCraftifacts[costtext],""""),
 """"
)"),"300 coin,30 fan,100 steel,50 stone,200 wood")</f>
        <v>300 coin,30 fan,100 steel,50 stone,200 wood</v>
      </c>
      <c r="P541" s="26" t="str">
        <f t="shared" si="6"/>
        <v>BLOCKED</v>
      </c>
      <c r="Q541" s="26" t="str">
        <f t="shared" si="7"/>
        <v>BLOCKED</v>
      </c>
      <c r="R541" s="26" t="str">
        <f t="array" ref="R541">IFERROR(
 _xlfn.XLOOKUP(
  A541,
  tblChecklist[TargetID],
  tblChecklist[PlayerSort],
  ""
 ),
 ""
)</f>
        <v/>
      </c>
      <c r="S541" s="26" t="str">
        <f>IFERROR(__xludf.DUMMYFUNCTION("LET(
 id,A541,
 successorIDs,
  IFERROR(
   UNIQUE(
    FILTER(
     {
      Dependencies!$A$2:$A$1000;
      QuestObjectives!$A$2:$A$1000
     },
     {
      Dependencies!$B$2:$B$1000;
      QuestObjectives!$E$2:$E$1000
     }=id
    )
   ),
   """"
  )"&amp;",
 names,
  MAP(
   successorIDs,
   LAMBDA(s,
    IF(
     s="""",
     """",
     XLOOKUP(
      s,
      $A$2:$A$1000,
      $B$2:$B$1000,
      s
     )
    )
   )
  ),
 IF(
  successorIDs="""",
  """",
  TEXTJOIN("", "",TRUE,names)
 )
)"),"Armory, Attic, Gallery, Kitchen and Buttery, Lair lvl. 1, Mushroom Farm, Orangery, Pantry, Tavern, Treasury")</f>
        <v>Armory, Attic, Gallery, Kitchen and Buttery, Lair lvl. 1, Mushroom Farm, Orangery, Pantry, Tavern, Treasury</v>
      </c>
      <c r="T541" s="26" t="str">
        <f t="array" ref="T541">_xlfn.XLOOKUP(
 A541,
 tblTargets[TargetID],
 tblTargets[CompletionMethod],
 ""
)</f>
        <v>PLAYER</v>
      </c>
      <c r="U541" s="84" t="b">
        <f>COUNTIF(tblCost[TargetID],A541)&gt;0</f>
        <v>1</v>
      </c>
      <c r="V541" s="85">
        <f t="array" ref="V541">IF(
 U541=FALSE,
 "",
 _xlfn.XLOOKUP(
  A541,
  tblCost[TargetID],
  tblCost[FundingPercent],
  ""
 )
)</f>
        <v>0</v>
      </c>
      <c r="W541" s="26">
        <f t="array" ref="W541">IF(
 U541=FALSE,
 "",
 _xlfn.XLOOKUP(
  A541,
  tblCost[TargetID],
  tblCost[RemainingRequirements],
  ""
 )
)</f>
        <v>5</v>
      </c>
      <c r="X541" s="45" t="b">
        <f t="array" ref="X541">IF(
 U541=FALSE,
 "N/A",
 _xlfn.XLOOKUP(
  A542,
  tblCost[TargetID],
  tblCost[TargetFunded],
  FALSE
 )
)</f>
        <v>0</v>
      </c>
      <c r="Y541" s="26" t="str">
        <f>IFERROR(__xludf.DUMMYFUNCTION("IFERROR(
 TEXTJOIN(
  "", "",
  TRUE,
  FILTER(
   'cost checklist'!$E$2:$E1000&amp;"": ""&amp;'cost checklist'!$G$2:$G1000,
   'cost checklist'!$B$2:$B1000=A541,
   'cost checklist'!$J$2:$J1000=FALSE
  )
 ),
 """"
)"),"coin: 300, fan: 30, steel: 100, stone: 50, wood: 200")</f>
        <v>coin: 300, fan: 30, steel: 100, stone: 50, wood: 200</v>
      </c>
      <c r="Z541" s="26" t="b">
        <f>IFERROR(__xludf.DUMMYFUNCTION("IF(
 AND(
  E541=""QUEST"",
  RIGHT(A541,9)="".accepted"",
  D541=TRUE
 ),
 XLOOKUP(
  REGEXREPLACE(A541,""\.accepted$"","""")&amp;"".finished"",
  $A$2:$A1000,
  $D$2:$D1000,
  TRUE
 )=FALSE,
 FALSE
)"),FALSE)</f>
        <v>0</v>
      </c>
      <c r="AA541" s="26" t="str">
        <f>IFERROR(__xludf.DUMMYFUNCTION("LET(
 id,A541,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2" ht="14.25" customHeight="1">
      <c r="A542" s="26" t="s">
        <v>1760</v>
      </c>
      <c r="B542" s="26" t="str">
        <f t="array" ref="B542">_xlfn.XLOOKUP(
 A542,
 tblTargets[TargetID],
 tblTargets[DisplayName],
 ""
)</f>
        <v>Fermentory - Pasteurization</v>
      </c>
      <c r="C542" s="26" t="str">
        <f t="shared" si="1"/>
        <v>BLOCKED</v>
      </c>
      <c r="D542" s="26" t="b">
        <f>IFERROR(__xludf.DUMMYFUNCTION("LET(
 id,A542,
 IF(
  F542=""CHARACTER"",
  LET(
   base,REGEXREPLACE(id,""@\d+$"",""""),
   required,VALUE(REGEXEXTRACT(id,""@(\d+)$"")),
   current,XLOOKUP(
    base,
    tblPlayer[PlayerStateID],
    tblPlayer[Value],
    0
   ),
   current&gt;=required
 "&amp;" ),
  IF(
   T542=""AUTO"",
   L542=0,
   COUNTIFS(
    tblChecklist[TargetID],id,
    tblChecklist[PlayerCompleted],TRUE
   )&gt;0
  )
 )
)"),FALSE)</f>
        <v>0</v>
      </c>
      <c r="E542" s="26" t="str">
        <f t="array" ref="E542">_xlfn.XLOOKUP(
 A542,
 tblTargets[TargetID],
 tblTargets[TargetType],
 ""
)</f>
        <v>TECH</v>
      </c>
      <c r="F542" s="26" t="str">
        <f t="array" ref="F542">_xlfn.XLOOKUP(
 A542,
 tblTargets[TargetID],
 tblTargets[StateType],
 ""
)</f>
        <v/>
      </c>
      <c r="G542" s="26">
        <f>LET(
 id,A542,
 depCount,COUNTIF(tblDependencies[TargetID],id),
 objCount,COUNTIF(tblQuestObjectives[QuestTargetID],id),
 depCount+objCount
)</f>
        <v>1</v>
      </c>
      <c r="H542" s="26">
        <f t="shared" si="2"/>
        <v>1</v>
      </c>
      <c r="I542" s="26">
        <f>IFERROR(__xludf.DUMMYFUNCTION("LET(
 id,A542,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2" s="26">
        <f t="shared" si="3"/>
        <v>0</v>
      </c>
      <c r="K542" s="26" t="b">
        <f t="shared" si="4"/>
        <v>0</v>
      </c>
      <c r="L542" s="26">
        <f t="shared" si="5"/>
        <v>1</v>
      </c>
      <c r="M542" s="26" t="str">
        <f>IFERROR(__xludf.DUMMYFUNCTION("LET(
 id,A542,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L542=0,
  """",
  IFERROR(INDEX(incomplete,1),"""")"&amp;"
 )
)"),"building.fermentory.maxed")</f>
        <v>building.fermentory.maxed</v>
      </c>
      <c r="N542" s="26" t="str">
        <f t="array" ref="N542">IF(
 M542="",
 "",
 _xlfn.XLOOKUP(
  M542,
  tblTargets[TargetID],
  tblTargets[DisplayName],
  M542
 )
)</f>
        <v>Fermentory maxed</v>
      </c>
      <c r="O542" s="26" t="str">
        <f>IFERROR(__xludf.DUMMYFUNCTION("SWITCH(
 E542,
 ""BUILDING"",XLOOKUP(A542,tblBuildings[BuildingID],tblBuildings[costtext],""""),
 ""TECH"",XLOOKUP(A542,tblTechnologies[TechnologyID],tblTechnologies[costtext],""""),
 ""QUEST"",XLOOKUP(
  REGEXREPLACE(A542,""\.[^.]+$"",""""),
  tblQuests["&amp;"QuestID],
  tblQuests[Costtext],
  """"
 ),
 ""CITADEL"",XLOOKUP(A542,tblCitadel[CitadelID],tblCitadel[costtext],""""),
 ""COLLECTION"",XLOOKUP(A542,tblCollections[CollectionID],tblCollections[costtext],""""),
 ""CRAFTIFACT"",XLOOKUP(A542,tblCraftifacts[C"&amp;"raftifactID],tblCraftifacts[costtext],""""),
 """"
)"),"20 amazake,40 blueprint,20 catalyst,1000 coin,10 enzyme,30 glass,10 ruby,200 steel")</f>
        <v>20 amazake,40 blueprint,20 catalyst,1000 coin,10 enzyme,30 glass,10 ruby,200 steel</v>
      </c>
      <c r="P542" s="26" t="str">
        <f t="shared" si="6"/>
        <v>BLOCKED</v>
      </c>
      <c r="Q542" s="26" t="str">
        <f t="shared" si="7"/>
        <v>BLOCKED</v>
      </c>
      <c r="R542" s="26" t="str">
        <f t="array" ref="R542">IFERROR(
 _xlfn.XLOOKUP(
  A542,
  tblChecklist[TargetID],
  tblChecklist[PlayerSort],
  ""
 ),
 ""
)</f>
        <v/>
      </c>
      <c r="S542" s="26" t="str">
        <f>IFERROR(__xludf.DUMMYFUNCTION("LET(
 id,A542,
 successorIDs,
  IFERROR(
   UNIQUE(
    FILTER(
     {
      Dependencies!$A$2:$A$1000;
      QuestObjectives!$A$2:$A$1000
     },
     {
      Dependencies!$B$2:$B$1000;
      QuestObjectives!$E$2:$E$1000
     }=id
    )
   ),
   """"
  )"&amp;",
 names,
  MAP(
   successorIDs,
   LAMBDA(s,
    IF(
     s="""",
     """",
     XLOOKUP(
      s,
      $A$2:$A$1000,
      $B$2:$B$1000,
      s
     )
    )
   )
  ),
 IF(
  successorIDs="""",
  """",
  TEXTJOIN("", "",TRUE,names)
 )
)"),"")</f>
        <v/>
      </c>
      <c r="T542" s="26" t="str">
        <f t="array" ref="T542">_xlfn.XLOOKUP(
 A542,
 tblTargets[TargetID],
 tblTargets[CompletionMethod],
 ""
)</f>
        <v>PLAYER</v>
      </c>
      <c r="U542" s="84" t="b">
        <f>COUNTIF(tblCost[TargetID],A542)&gt;0</f>
        <v>1</v>
      </c>
      <c r="V542" s="85">
        <f t="array" ref="V542">IF(
 U542=FALSE,
 "",
 _xlfn.XLOOKUP(
  A542,
  tblCost[TargetID],
  tblCost[FundingPercent],
  ""
 )
)</f>
        <v>0</v>
      </c>
      <c r="W542" s="26">
        <f t="array" ref="W542">IF(
 U542=FALSE,
 "",
 _xlfn.XLOOKUP(
  A542,
  tblCost[TargetID],
  tblCost[RemainingRequirements],
  ""
 )
)</f>
        <v>8</v>
      </c>
      <c r="X542" s="45" t="b">
        <f t="array" ref="X542">IF(
 U542=FALSE,
 "N/A",
 _xlfn.XLOOKUP(
  A543,
  tblCost[TargetID],
  tblCost[TargetFunded],
  FALSE
 )
)</f>
        <v>0</v>
      </c>
      <c r="Y542" s="26" t="str">
        <f>IFERROR(__xludf.DUMMYFUNCTION("IFERROR(
 TEXTJOIN(
  "", "",
  TRUE,
  FILTER(
   'cost checklist'!$E$2:$E1000&amp;"": ""&amp;'cost checklist'!$G$2:$G1000,
   'cost checklist'!$B$2:$B1000=A542,
   'cost checklist'!$J$2:$J1000=FALSE
  )
 ),
 """"
)"),"amazake: 20, blueprint: 40, catalyst: 20, coin: 1000, enzyme: 10, glass: 30, ruby: 10, steel: 200")</f>
        <v>amazake: 20, blueprint: 40, catalyst: 20, coin: 1000, enzyme: 10, glass: 30, ruby: 10, steel: 200</v>
      </c>
      <c r="Z542" s="26" t="b">
        <f>IFERROR(__xludf.DUMMYFUNCTION("IF(
 AND(
  E542=""QUEST"",
  RIGHT(A542,9)="".accepted"",
  D542=TRUE
 ),
 XLOOKUP(
  REGEXREPLACE(A542,""\.accepted$"","""")&amp;"".finished"",
  $A$2:$A1000,
  $D$2:$D1000,
  TRUE
 )=FALSE,
 FALSE
)"),FALSE)</f>
        <v>0</v>
      </c>
      <c r="AA542" s="26" t="str">
        <f>IFERROR(__xludf.DUMMYFUNCTION("LET(
 id,A542,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3" ht="14.25" customHeight="1">
      <c r="A543" s="26" t="s">
        <v>1762</v>
      </c>
      <c r="B543" s="26" t="str">
        <f t="array" ref="B543">_xlfn.XLOOKUP(
 A543,
 tblTargets[TargetID],
 tblTargets[DisplayName],
 ""
)</f>
        <v>Field - Combine Harvester</v>
      </c>
      <c r="C543" s="26" t="str">
        <f t="shared" si="1"/>
        <v>BLOCKED</v>
      </c>
      <c r="D543" s="26" t="b">
        <f>IFERROR(__xludf.DUMMYFUNCTION("LET(
 id,A543,
 IF(
  F543=""CHARACTER"",
  LET(
   base,REGEXREPLACE(id,""@\d+$"",""""),
   required,VALUE(REGEXEXTRACT(id,""@(\d+)$"")),
   current,XLOOKUP(
    base,
    tblPlayer[PlayerStateID],
    tblPlayer[Value],
    0
   ),
   current&gt;=required
 "&amp;" ),
  IF(
   T543=""AUTO"",
   L543=0,
   COUNTIFS(
    tblChecklist[TargetID],id,
    tblChecklist[PlayerCompleted],TRUE
   )&gt;0
  )
 )
)"),FALSE)</f>
        <v>0</v>
      </c>
      <c r="E543" s="26" t="str">
        <f t="array" ref="E543">_xlfn.XLOOKUP(
 A543,
 tblTargets[TargetID],
 tblTargets[TargetType],
 ""
)</f>
        <v>TECH</v>
      </c>
      <c r="F543" s="26" t="str">
        <f t="array" ref="F543">_xlfn.XLOOKUP(
 A543,
 tblTargets[TargetID],
 tblTargets[StateType],
 ""
)</f>
        <v/>
      </c>
      <c r="G543" s="26">
        <f>LET(
 id,A543,
 depCount,COUNTIF(tblDependencies[TargetID],id),
 objCount,COUNTIF(tblQuestObjectives[QuestTargetID],id),
 depCount+objCount
)</f>
        <v>2</v>
      </c>
      <c r="H543" s="26">
        <f t="shared" si="2"/>
        <v>2</v>
      </c>
      <c r="I543" s="26">
        <f>IFERROR(__xludf.DUMMYFUNCTION("LET(
 id,A543,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3" s="26">
        <f t="shared" si="3"/>
        <v>0</v>
      </c>
      <c r="K543" s="26" t="b">
        <f t="shared" si="4"/>
        <v>0</v>
      </c>
      <c r="L543" s="26">
        <f t="shared" si="5"/>
        <v>2</v>
      </c>
      <c r="M543" s="26" t="str">
        <f>IFERROR(__xludf.DUMMYFUNCTION("LET(
 id,A543,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L543=0,
  """",
  IFERROR(INDEX(incomplete,1),"""")"&amp;"
 )
)"),"tech.workshop.steamobile")</f>
        <v>tech.workshop.steamobile</v>
      </c>
      <c r="N543" s="26" t="str">
        <f t="array" ref="N543">IF(
 M543="",
 "",
 _xlfn.XLOOKUP(
  M543,
  tblTargets[TargetID],
  tblTargets[DisplayName],
  M543
 )
)</f>
        <v>Workshop - Steamobile</v>
      </c>
      <c r="O543" s="26" t="str">
        <f>IFERROR(__xludf.DUMMYFUNCTION("SWITCH(
 E543,
 ""BUILDING"",XLOOKUP(A543,tblBuildings[BuildingID],tblBuildings[costtext],""""),
 ""TECH"",XLOOKUP(A543,tblTechnologies[TechnologyID],tblTechnologies[costtext],""""),
 ""QUEST"",XLOOKUP(
  REGEXREPLACE(A543,""\.[^.]+$"",""""),
  tblQuests["&amp;"QuestID],
  tblQuests[Costtext],
  """"
 ),
 ""CITADEL"",XLOOKUP(A543,tblCitadel[CitadelID],tblCitadel[costtext],""""),
 ""COLLECTION"",XLOOKUP(A543,tblCollections[CollectionID],tblCollections[costtext],""""),
 ""CRAFTIFACT"",XLOOKUP(A543,tblCraftifacts[C"&amp;"raftifactID],tblCraftifacts[costtext],""""),
 """"
)"),"30 blueprint,600 coin,60 elixir,10 mechanism,4 ruby,10 steamobile")</f>
        <v>30 blueprint,600 coin,60 elixir,10 mechanism,4 ruby,10 steamobile</v>
      </c>
      <c r="P543" s="26" t="str">
        <f t="shared" si="6"/>
        <v>BLOCKED</v>
      </c>
      <c r="Q543" s="26" t="str">
        <f t="shared" si="7"/>
        <v>BLOCKED</v>
      </c>
      <c r="R543" s="26" t="str">
        <f t="array" ref="R543">IFERROR(
 _xlfn.XLOOKUP(
  A543,
  tblChecklist[TargetID],
  tblChecklist[PlayerSort],
  ""
 ),
 ""
)</f>
        <v/>
      </c>
      <c r="S543" s="26" t="str">
        <f>IFERROR(__xludf.DUMMYFUNCTION("LET(
 id,A543,
 successorIDs,
  IFERROR(
   UNIQUE(
    FILTER(
     {
      Dependencies!$A$2:$A$1000;
      QuestObjectives!$A$2:$A$1000
     },
     {
      Dependencies!$B$2:$B$1000;
      QuestObjectives!$E$2:$E$1000
     }=id
    )
   ),
   """"
  )"&amp;",
 names,
  MAP(
   successorIDs,
   LAMBDA(s,
    IF(
     s="""",
     """",
     XLOOKUP(
      s,
      $A$2:$A$1000,
      $B$2:$B$1000,
      s
     )
    )
   )
  ),
 IF(
  successorIDs="""",
  """",
  TEXTJOIN("", "",TRUE,names)
 )
)"),"")</f>
        <v/>
      </c>
      <c r="T543" s="26" t="str">
        <f t="array" ref="T543">_xlfn.XLOOKUP(
 A543,
 tblTargets[TargetID],
 tblTargets[CompletionMethod],
 ""
)</f>
        <v>PLAYER</v>
      </c>
      <c r="U543" s="84" t="b">
        <f>COUNTIF(tblCost[TargetID],A543)&gt;0</f>
        <v>1</v>
      </c>
      <c r="V543" s="85">
        <f t="array" ref="V543">IF(
 U543=FALSE,
 "",
 _xlfn.XLOOKUP(
  A543,
  tblCost[TargetID],
  tblCost[FundingPercent],
  ""
 )
)</f>
        <v>0</v>
      </c>
      <c r="W543" s="26">
        <f t="array" ref="W543">IF(
 U543=FALSE,
 "",
 _xlfn.XLOOKUP(
  A543,
  tblCost[TargetID],
  tblCost[RemainingRequirements],
  ""
 )
)</f>
        <v>6</v>
      </c>
      <c r="X543" s="45" t="b">
        <f t="array" ref="X543">IF(
 U543=FALSE,
 "N/A",
 _xlfn.XLOOKUP(
  A544,
  tblCost[TargetID],
  tblCost[TargetFunded],
  FALSE
 )
)</f>
        <v>0</v>
      </c>
      <c r="Y543" s="26" t="str">
        <f>IFERROR(__xludf.DUMMYFUNCTION("IFERROR(
 TEXTJOIN(
  "", "",
  TRUE,
  FILTER(
   'cost checklist'!$E$2:$E1000&amp;"": ""&amp;'cost checklist'!$G$2:$G1000,
   'cost checklist'!$B$2:$B1000=A543,
   'cost checklist'!$J$2:$J1000=FALSE
  )
 ),
 """"
)"),"blueprint: 30, coin: 600, elixir: 60, mechanism: 10, ruby: 4, steamobile: 10")</f>
        <v>blueprint: 30, coin: 600, elixir: 60, mechanism: 10, ruby: 4, steamobile: 10</v>
      </c>
      <c r="Z543" s="26" t="b">
        <f>IFERROR(__xludf.DUMMYFUNCTION("IF(
 AND(
  E543=""QUEST"",
  RIGHT(A543,9)="".accepted"",
  D543=TRUE
 ),
 XLOOKUP(
  REGEXREPLACE(A543,""\.accepted$"","""")&amp;"".finished"",
  $A$2:$A1000,
  $D$2:$D1000,
  TRUE
 )=FALSE,
 FALSE
)"),FALSE)</f>
        <v>0</v>
      </c>
      <c r="AA543" s="26" t="str">
        <f>IFERROR(__xludf.DUMMYFUNCTION("LET(
 id,A543,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4" ht="14.25" customHeight="1">
      <c r="A544" s="26" t="s">
        <v>1765</v>
      </c>
      <c r="B544" s="26" t="str">
        <f t="array" ref="B544">_xlfn.XLOOKUP(
 A544,
 tblTargets[TargetID],
 tblTargets[DisplayName],
 ""
)</f>
        <v>Field - Seed Drill</v>
      </c>
      <c r="C544" s="26" t="str">
        <f t="shared" si="1"/>
        <v>BLOCKED</v>
      </c>
      <c r="D544" s="26" t="b">
        <f>IFERROR(__xludf.DUMMYFUNCTION("LET(
 id,A544,
 IF(
  F544=""CHARACTER"",
  LET(
   base,REGEXREPLACE(id,""@\d+$"",""""),
   required,VALUE(REGEXEXTRACT(id,""@(\d+)$"")),
   current,XLOOKUP(
    base,
    tblPlayer[PlayerStateID],
    tblPlayer[Value],
    0
   ),
   current&gt;=required
 "&amp;" ),
  IF(
   T544=""AUTO"",
   L544=0,
   COUNTIFS(
    tblChecklist[TargetID],id,
    tblChecklist[PlayerCompleted],TRUE
   )&gt;0
  )
 )
)"),FALSE)</f>
        <v>0</v>
      </c>
      <c r="E544" s="26" t="str">
        <f t="array" ref="E544">_xlfn.XLOOKUP(
 A544,
 tblTargets[TargetID],
 tblTargets[TargetType],
 ""
)</f>
        <v>TECH</v>
      </c>
      <c r="F544" s="26" t="str">
        <f t="array" ref="F544">_xlfn.XLOOKUP(
 A544,
 tblTargets[TargetID],
 tblTargets[StateType],
 ""
)</f>
        <v/>
      </c>
      <c r="G544" s="26">
        <f>LET(
 id,A544,
 depCount,COUNTIF(tblDependencies[TargetID],id),
 objCount,COUNTIF(tblQuestObjectives[QuestTargetID],id),
 depCount+objCount
)</f>
        <v>2</v>
      </c>
      <c r="H544" s="26">
        <f t="shared" si="2"/>
        <v>2</v>
      </c>
      <c r="I544" s="26">
        <f>IFERROR(__xludf.DUMMYFUNCTION("LET(
 id,A544,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4" s="26">
        <f t="shared" si="3"/>
        <v>0</v>
      </c>
      <c r="K544" s="26" t="b">
        <f t="shared" si="4"/>
        <v>0</v>
      </c>
      <c r="L544" s="26">
        <f t="shared" si="5"/>
        <v>2</v>
      </c>
      <c r="M544" s="26" t="str">
        <f>IFERROR(__xludf.DUMMYFUNCTION("LET(
 id,A544,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L544=0,
  """",
  IFERROR(INDEX(incomplete,1),"""")"&amp;"
 )
)"),"tech.workshop.mechanism")</f>
        <v>tech.workshop.mechanism</v>
      </c>
      <c r="N544" s="26" t="str">
        <f t="array" ref="N544">IF(
 M544="",
 "",
 _xlfn.XLOOKUP(
  M544,
  tblTargets[TargetID],
  tblTargets[DisplayName],
  M544
 )
)</f>
        <v>Workshop - Mechanism</v>
      </c>
      <c r="O544" s="26" t="str">
        <f>IFERROR(__xludf.DUMMYFUNCTION("SWITCH(
 E544,
 ""BUILDING"",XLOOKUP(A544,tblBuildings[BuildingID],tblBuildings[costtext],""""),
 ""TECH"",XLOOKUP(A544,tblTechnologies[TechnologyID],tblTechnologies[costtext],""""),
 ""QUEST"",XLOOKUP(
  REGEXREPLACE(A544,""\.[^.]+$"",""""),
  tblQuests["&amp;"QuestID],
  tblQuests[Costtext],
  """"
 ),
 ""CITADEL"",XLOOKUP(A544,tblCitadel[CitadelID],tblCitadel[costtext],""""),
 ""COLLECTION"",XLOOKUP(A544,tblCollections[CollectionID],tblCollections[costtext],""""),
 ""CRAFTIFACT"",XLOOKUP(A544,tblCraftifacts[C"&amp;"raftifactID],tblCraftifacts[costtext],""""),
 """"
)"),"10 blueprint,400 coin,40 elixir,10 mechanism,20 msteel,2 ruby")</f>
        <v>10 blueprint,400 coin,40 elixir,10 mechanism,20 msteel,2 ruby</v>
      </c>
      <c r="P544" s="26" t="str">
        <f t="shared" si="6"/>
        <v>BLOCKED</v>
      </c>
      <c r="Q544" s="26" t="str">
        <f t="shared" si="7"/>
        <v>BLOCKED</v>
      </c>
      <c r="R544" s="26" t="str">
        <f t="array" ref="R544">IFERROR(
 _xlfn.XLOOKUP(
  A544,
  tblChecklist[TargetID],
  tblChecklist[PlayerSort],
  ""
 ),
 ""
)</f>
        <v/>
      </c>
      <c r="S544" s="26" t="str">
        <f>IFERROR(__xludf.DUMMYFUNCTION("LET(
 id,A544,
 successorIDs,
  IFERROR(
   UNIQUE(
    FILTER(
     {
      Dependencies!$A$2:$A$1000;
      QuestObjectives!$A$2:$A$1000
     },
     {
      Dependencies!$B$2:$B$1000;
      QuestObjectives!$E$2:$E$1000
     }=id
    )
   ),
   """"
  )"&amp;",
 names,
  MAP(
   successorIDs,
   LAMBDA(s,
    IF(
     s="""",
     """",
     XLOOKUP(
      s,
      $A$2:$A$1000,
      $B$2:$B$1000,
      s
     )
    )
   )
  ),
 IF(
  successorIDs="""",
  """",
  TEXTJOIN("", "",TRUE,names)
 )
)"),"Field - Combine Harvester")</f>
        <v>Field - Combine Harvester</v>
      </c>
      <c r="T544" s="26" t="str">
        <f t="array" ref="T544">_xlfn.XLOOKUP(
 A544,
 tblTargets[TargetID],
 tblTargets[CompletionMethod],
 ""
)</f>
        <v>PLAYER</v>
      </c>
      <c r="U544" s="84" t="b">
        <f>COUNTIF(tblCost[TargetID],A544)&gt;0</f>
        <v>1</v>
      </c>
      <c r="V544" s="85">
        <f t="array" ref="V544">IF(
 U544=FALSE,
 "",
 _xlfn.XLOOKUP(
  A544,
  tblCost[TargetID],
  tblCost[FundingPercent],
  ""
 )
)</f>
        <v>0</v>
      </c>
      <c r="W544" s="26">
        <f t="array" ref="W544">IF(
 U544=FALSE,
 "",
 _xlfn.XLOOKUP(
  A544,
  tblCost[TargetID],
  tblCost[RemainingRequirements],
  ""
 )
)</f>
        <v>6</v>
      </c>
      <c r="X544" s="45" t="b">
        <f t="array" ref="X544">IF(
 U544=FALSE,
 "N/A",
 _xlfn.XLOOKUP(
  A545,
  tblCost[TargetID],
  tblCost[TargetFunded],
  FALSE
 )
)</f>
        <v>0</v>
      </c>
      <c r="Y544" s="26" t="str">
        <f>IFERROR(__xludf.DUMMYFUNCTION("IFERROR(
 TEXTJOIN(
  "", "",
  TRUE,
  FILTER(
   'cost checklist'!$E$2:$E1000&amp;"": ""&amp;'cost checklist'!$G$2:$G1000,
   'cost checklist'!$B$2:$B1000=A544,
   'cost checklist'!$J$2:$J1000=FALSE
  )
 ),
 """"
)"),"blueprint: 10, coin: 400, elixir: 40, mechanism: 10, msteel: 20, ruby: 2")</f>
        <v>blueprint: 10, coin: 400, elixir: 40, mechanism: 10, msteel: 20, ruby: 2</v>
      </c>
      <c r="Z544" s="26" t="b">
        <f>IFERROR(__xludf.DUMMYFUNCTION("IF(
 AND(
  E544=""QUEST"",
  RIGHT(A544,9)="".accepted"",
  D544=TRUE
 ),
 XLOOKUP(
  REGEXREPLACE(A544,""\.accepted$"","""")&amp;"".finished"",
  $A$2:$A1000,
  $D$2:$D1000,
  TRUE
 )=FALSE,
 FALSE
)"),FALSE)</f>
        <v>0</v>
      </c>
      <c r="AA544" s="26" t="str">
        <f>IFERROR(__xludf.DUMMYFUNCTION("LET(
 id,A544,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5" ht="14.25" customHeight="1">
      <c r="A545" s="26" t="s">
        <v>1768</v>
      </c>
      <c r="B545" s="26" t="str">
        <f t="array" ref="B545">_xlfn.XLOOKUP(
 A545,
 tblTargets[TargetID],
 tblTargets[DisplayName],
 ""
)</f>
        <v>Field - Soybean</v>
      </c>
      <c r="C545" s="26" t="str">
        <f t="shared" si="1"/>
        <v>BLOCKED</v>
      </c>
      <c r="D545" s="26" t="b">
        <f>IFERROR(__xludf.DUMMYFUNCTION("LET(
 id,A545,
 IF(
  F545=""CHARACTER"",
  LET(
   base,REGEXREPLACE(id,""@\d+$"",""""),
   required,VALUE(REGEXEXTRACT(id,""@(\d+)$"")),
   current,XLOOKUP(
    base,
    tblPlayer[PlayerStateID],
    tblPlayer[Value],
    0
   ),
   current&gt;=required
 "&amp;" ),
  IF(
   T545=""AUTO"",
   L545=0,
   COUNTIFS(
    tblChecklist[TargetID],id,
    tblChecklist[PlayerCompleted],TRUE
   )&gt;0
  )
 )
)"),FALSE)</f>
        <v>0</v>
      </c>
      <c r="E545" s="26" t="str">
        <f t="array" ref="E545">_xlfn.XLOOKUP(
 A545,
 tblTargets[TargetID],
 tblTargets[TargetType],
 ""
)</f>
        <v>TECH</v>
      </c>
      <c r="F545" s="26" t="str">
        <f t="array" ref="F545">_xlfn.XLOOKUP(
 A545,
 tblTargets[TargetID],
 tblTargets[StateType],
 ""
)</f>
        <v/>
      </c>
      <c r="G545" s="26">
        <f>LET(
 id,A545,
 depCount,COUNTIF(tblDependencies[TargetID],id),
 objCount,COUNTIF(tblQuestObjectives[QuestTargetID],id),
 depCount+objCount
)</f>
        <v>2</v>
      </c>
      <c r="H545" s="26">
        <f t="shared" si="2"/>
        <v>2</v>
      </c>
      <c r="I545" s="26">
        <f>IFERROR(__xludf.DUMMYFUNCTION("LET(
 id,A545,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5" s="26">
        <f t="shared" si="3"/>
        <v>0</v>
      </c>
      <c r="K545" s="26" t="b">
        <f t="shared" si="4"/>
        <v>0</v>
      </c>
      <c r="L545" s="26">
        <f t="shared" si="5"/>
        <v>2</v>
      </c>
      <c r="M545" s="26" t="str">
        <f>IFERROR(__xludf.DUMMYFUNCTION("LET(
 id,A545,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L545=0,
  """",
  IFERROR(INDEX(incomplete,1),"""")"&amp;"
 )
)"),"quest.magic_beans.finished")</f>
        <v>quest.magic_beans.finished</v>
      </c>
      <c r="N545" s="26" t="str">
        <f t="array" ref="N545">IF(
 M545="",
 "",
 _xlfn.XLOOKUP(
  M545,
  tblTargets[TargetID],
  tblTargets[DisplayName],
  M545
 )
)</f>
        <v>Magic Beans Finished</v>
      </c>
      <c r="O545" s="26" t="str">
        <f>IFERROR(__xludf.DUMMYFUNCTION("SWITCH(
 E545,
 ""BUILDING"",XLOOKUP(A545,tblBuildings[BuildingID],tblBuildings[costtext],""""),
 ""TECH"",XLOOKUP(A545,tblTechnologies[TechnologyID],tblTechnologies[costtext],""""),
 ""QUEST"",XLOOKUP(
  REGEXREPLACE(A545,""\.[^.]+$"",""""),
  tblQuests["&amp;"QuestID],
  tblQuests[Costtext],
  """"
 ),
 ""CITADEL"",XLOOKUP(A545,tblCitadel[CitadelID],tblCitadel[costtext],""""),
 ""COLLECTION"",XLOOKUP(A545,tblCollections[CollectionID],tblCollections[costtext],""""),
 ""CRAFTIFACT"",XLOOKUP(A545,tblCraftifacts[C"&amp;"raftifactID],tblCraftifacts[costtext],""""),
 """"
)"),"800 coin,20 flatbread,20 onigiri,20 page,5 ruby,200 steel,20 thread,500 wood")</f>
        <v>800 coin,20 flatbread,20 onigiri,20 page,5 ruby,200 steel,20 thread,500 wood</v>
      </c>
      <c r="P545" s="26" t="str">
        <f t="shared" si="6"/>
        <v>BLOCKED</v>
      </c>
      <c r="Q545" s="26" t="str">
        <f t="shared" si="7"/>
        <v>BLOCKED</v>
      </c>
      <c r="R545" s="26" t="str">
        <f t="array" ref="R545">IFERROR(
 _xlfn.XLOOKUP(
  A545,
  tblChecklist[TargetID],
  tblChecklist[PlayerSort],
  ""
 ),
 ""
)</f>
        <v/>
      </c>
      <c r="S545" s="26" t="str">
        <f>IFERROR(__xludf.DUMMYFUNCTION("LET(
 id,A545,
 successorIDs,
  IFERROR(
   UNIQUE(
    FILTER(
     {
      Dependencies!$A$2:$A$1000;
      QuestObjectives!$A$2:$A$1000
     },
     {
      Dependencies!$B$2:$B$1000;
      QuestObjectives!$E$2:$E$1000
     }=id
    )
   ),
   """"
  )"&amp;",
 names,
  MAP(
   successorIDs,
   LAMBDA(s,
    IF(
     s="""",
     """",
     XLOOKUP(
      s,
      $A$2:$A$1000,
      $B$2:$B$1000,
      s
     )
    )
   )
  ),
 IF(
  successorIDs="""",
  """",
  TEXTJOIN("", "",TRUE,names)
 )
)"),"")</f>
        <v/>
      </c>
      <c r="T545" s="26" t="str">
        <f t="array" ref="T545">_xlfn.XLOOKUP(
 A545,
 tblTargets[TargetID],
 tblTargets[CompletionMethod],
 ""
)</f>
        <v>PLAYER</v>
      </c>
      <c r="U545" s="84" t="b">
        <f>COUNTIF(tblCost[TargetID],A545)&gt;0</f>
        <v>1</v>
      </c>
      <c r="V545" s="85">
        <f t="array" ref="V545">IF(
 U545=FALSE,
 "",
 _xlfn.XLOOKUP(
  A545,
  tblCost[TargetID],
  tblCost[FundingPercent],
  ""
 )
)</f>
        <v>0</v>
      </c>
      <c r="W545" s="26">
        <f t="array" ref="W545">IF(
 U545=FALSE,
 "",
 _xlfn.XLOOKUP(
  A545,
  tblCost[TargetID],
  tblCost[RemainingRequirements],
  ""
 )
)</f>
        <v>8</v>
      </c>
      <c r="X545" s="45" t="b">
        <f t="array" ref="X545">IF(
 U545=FALSE,
 "N/A",
 _xlfn.XLOOKUP(
  A546,
  tblCost[TargetID],
  tblCost[TargetFunded],
  FALSE
 )
)</f>
        <v>0</v>
      </c>
      <c r="Y545" s="26" t="str">
        <f>IFERROR(__xludf.DUMMYFUNCTION("IFERROR(
 TEXTJOIN(
  "", "",
  TRUE,
  FILTER(
   'cost checklist'!$E$2:$E1000&amp;"": ""&amp;'cost checklist'!$G$2:$G1000,
   'cost checklist'!$B$2:$B1000=A545,
   'cost checklist'!$J$2:$J1000=FALSE
  )
 ),
 """"
)"),"coin: 800, flatbread: 20, onigiri: 20, page: 20, ruby: 5, steel: 200, thread: 20, wood: 500")</f>
        <v>coin: 800, flatbread: 20, onigiri: 20, page: 20, ruby: 5, steel: 200, thread: 20, wood: 500</v>
      </c>
      <c r="Z545" s="26" t="b">
        <f>IFERROR(__xludf.DUMMYFUNCTION("IF(
 AND(
  E545=""QUEST"",
  RIGHT(A545,9)="".accepted"",
  D545=TRUE
 ),
 XLOOKUP(
  REGEXREPLACE(A545,""\.accepted$"","""")&amp;"".finished"",
  $A$2:$A1000,
  $D$2:$D1000,
  TRUE
 )=FALSE,
 FALSE
)"),FALSE)</f>
        <v>0</v>
      </c>
      <c r="AA545" s="26" t="str">
        <f>IFERROR(__xludf.DUMMYFUNCTION("LET(
 id,A545,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6" ht="14.25" customHeight="1">
      <c r="A546" s="26" t="s">
        <v>1770</v>
      </c>
      <c r="B546" s="26" t="str">
        <f t="array" ref="B546">_xlfn.XLOOKUP(
 A546,
 tblTargets[TargetID],
 tblTargets[DisplayName],
 ""
)</f>
        <v>Food Stall - Conveyor Belt Sushi</v>
      </c>
      <c r="C546" s="26" t="str">
        <f t="shared" si="1"/>
        <v>BLOCKED</v>
      </c>
      <c r="D546" s="26" t="b">
        <f>IFERROR(__xludf.DUMMYFUNCTION("LET(
 id,A546,
 IF(
  F546=""CHARACTER"",
  LET(
   base,REGEXREPLACE(id,""@\d+$"",""""),
   required,VALUE(REGEXEXTRACT(id,""@(\d+)$"")),
   current,XLOOKUP(
    base,
    tblPlayer[PlayerStateID],
    tblPlayer[Value],
    0
   ),
   current&gt;=required
 "&amp;" ),
  IF(
   T546=""AUTO"",
   L546=0,
   COUNTIFS(
    tblChecklist[TargetID],id,
    tblChecklist[PlayerCompleted],TRUE
   )&gt;0
  )
 )
)"),FALSE)</f>
        <v>0</v>
      </c>
      <c r="E546" s="26" t="str">
        <f t="array" ref="E546">_xlfn.XLOOKUP(
 A546,
 tblTargets[TargetID],
 tblTargets[TargetType],
 ""
)</f>
        <v>TECH</v>
      </c>
      <c r="F546" s="26" t="str">
        <f t="array" ref="F546">_xlfn.XLOOKUP(
 A546,
 tblTargets[TargetID],
 tblTargets[StateType],
 ""
)</f>
        <v/>
      </c>
      <c r="G546" s="26">
        <f>LET(
 id,A546,
 depCount,COUNTIF(tblDependencies[TargetID],id),
 objCount,COUNTIF(tblQuestObjectives[QuestTargetID],id),
 depCount+objCount
)</f>
        <v>1</v>
      </c>
      <c r="H546" s="26">
        <f t="shared" si="2"/>
        <v>1</v>
      </c>
      <c r="I546" s="26">
        <f>IFERROR(__xludf.DUMMYFUNCTION("LET(
 id,A546,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6" s="26">
        <f t="shared" si="3"/>
        <v>0</v>
      </c>
      <c r="K546" s="26" t="b">
        <f t="shared" si="4"/>
        <v>0</v>
      </c>
      <c r="L546" s="26">
        <f t="shared" si="5"/>
        <v>1</v>
      </c>
      <c r="M546" s="26" t="str">
        <f>IFERROR(__xludf.DUMMYFUNCTION("LET(
 id,A546,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L546=0,
  """",
  IFERROR(INDEX(incomplete,1),"""")"&amp;"
 )
)"),"building.food_stall.maxed")</f>
        <v>building.food_stall.maxed</v>
      </c>
      <c r="N546" s="26" t="str">
        <f t="array" ref="N546">IF(
 M546="",
 "",
 _xlfn.XLOOKUP(
  M546,
  tblTargets[TargetID],
  tblTargets[DisplayName],
  M546
 )
)</f>
        <v>Food stall maxed</v>
      </c>
      <c r="O546" s="26" t="str">
        <f>IFERROR(__xludf.DUMMYFUNCTION("SWITCH(
 E546,
 ""BUILDING"",XLOOKUP(A546,tblBuildings[BuildingID],tblBuildings[costtext],""""),
 ""TECH"",XLOOKUP(A546,tblTechnologies[TechnologyID],tblTechnologies[costtext],""""),
 ""QUEST"",XLOOKUP(
  REGEXREPLACE(A546,""\.[^.]+$"",""""),
  tblQuests["&amp;"QuestID],
  tblQuests[Costtext],
  """"
 ),
 ""CITADEL"",XLOOKUP(A546,tblCitadel[CitadelID],tblCitadel[costtext],""""),
 ""COLLECTION"",XLOOKUP(A546,tblCollections[CollectionID],tblCollections[costtext],""""),
 ""CRAFTIFACT"",XLOOKUP(A546,tblCraftifacts[C"&amp;"raftifactID],tblCraftifacts[costtext],""""),
 """"
)"),"10 blueprint,300 coin,40 elixir,5 mechanism,2 ruby,20 steel")</f>
        <v>10 blueprint,300 coin,40 elixir,5 mechanism,2 ruby,20 steel</v>
      </c>
      <c r="P546" s="26" t="str">
        <f t="shared" si="6"/>
        <v>BLOCKED</v>
      </c>
      <c r="Q546" s="26" t="str">
        <f t="shared" si="7"/>
        <v>BLOCKED</v>
      </c>
      <c r="R546" s="26" t="str">
        <f t="array" ref="R546">IFERROR(
 _xlfn.XLOOKUP(
  A546,
  tblChecklist[TargetID],
  tblChecklist[PlayerSort],
  ""
 ),
 ""
)</f>
        <v/>
      </c>
      <c r="S546" s="26" t="str">
        <f>IFERROR(__xludf.DUMMYFUNCTION("LET(
 id,A546,
 successorIDs,
  IFERROR(
   UNIQUE(
    FILTER(
     {
      Dependencies!$A$2:$A$1000;
      QuestObjectives!$A$2:$A$1000
     },
     {
      Dependencies!$B$2:$B$1000;
      QuestObjectives!$E$2:$E$1000
     }=id
    )
   ),
   """"
  )"&amp;",
 names,
  MAP(
   successorIDs,
   LAMBDA(s,
    IF(
     s="""",
     """",
     XLOOKUP(
      s,
      $A$2:$A$1000,
      $B$2:$B$1000,
      s
     )
    )
   )
  ),
 IF(
  successorIDs="""",
  """",
  TEXTJOIN("", "",TRUE,names)
 )
)"),"")</f>
        <v/>
      </c>
      <c r="T546" s="26" t="str">
        <f t="array" ref="T546">_xlfn.XLOOKUP(
 A546,
 tblTargets[TargetID],
 tblTargets[CompletionMethod],
 ""
)</f>
        <v>PLAYER</v>
      </c>
      <c r="U546" s="84" t="b">
        <f>COUNTIF(tblCost[TargetID],A546)&gt;0</f>
        <v>1</v>
      </c>
      <c r="V546" s="85">
        <f t="array" ref="V546">IF(
 U546=FALSE,
 "",
 _xlfn.XLOOKUP(
  A546,
  tblCost[TargetID],
  tblCost[FundingPercent],
  ""
 )
)</f>
        <v>0</v>
      </c>
      <c r="W546" s="26">
        <f t="array" ref="W546">IF(
 U546=FALSE,
 "",
 _xlfn.XLOOKUP(
  A546,
  tblCost[TargetID],
  tblCost[RemainingRequirements],
  ""
 )
)</f>
        <v>6</v>
      </c>
      <c r="X546" s="45" t="b">
        <f t="array" ref="X546">IF(
 U546=FALSE,
 "N/A",
 _xlfn.XLOOKUP(
  A547,
  tblCost[TargetID],
  tblCost[TargetFunded],
  FALSE
 )
)</f>
        <v>0</v>
      </c>
      <c r="Y546" s="26" t="str">
        <f>IFERROR(__xludf.DUMMYFUNCTION("IFERROR(
 TEXTJOIN(
  "", "",
  TRUE,
  FILTER(
   'cost checklist'!$E$2:$E1000&amp;"": ""&amp;'cost checklist'!$G$2:$G1000,
   'cost checklist'!$B$2:$B1000=A546,
   'cost checklist'!$J$2:$J1000=FALSE
  )
 ),
 """"
)"),"blueprint: 10, coin: 300, elixir: 40, mechanism: 5, ruby: 2, steel: 20")</f>
        <v>blueprint: 10, coin: 300, elixir: 40, mechanism: 5, ruby: 2, steel: 20</v>
      </c>
      <c r="Z546" s="26" t="b">
        <f>IFERROR(__xludf.DUMMYFUNCTION("IF(
 AND(
  E546=""QUEST"",
  RIGHT(A546,9)="".accepted"",
  D546=TRUE
 ),
 XLOOKUP(
  REGEXREPLACE(A546,""\.accepted$"","""")&amp;"".finished"",
  $A$2:$A1000,
  $D$2:$D1000,
  TRUE
 )=FALSE,
 FALSE
)"),FALSE)</f>
        <v>0</v>
      </c>
      <c r="AA546" s="26" t="str">
        <f>IFERROR(__xludf.DUMMYFUNCTION("LET(
 id,A546,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7" ht="14.25" customHeight="1">
      <c r="A547" s="26" t="s">
        <v>1772</v>
      </c>
      <c r="B547" s="26" t="str">
        <f t="array" ref="B547">_xlfn.XLOOKUP(
 A547,
 tblTargets[TargetID],
 tblTargets[DisplayName],
 ""
)</f>
        <v>Food Stall - Inarizushi</v>
      </c>
      <c r="C547" s="26" t="str">
        <f t="shared" si="1"/>
        <v>BLOCKED</v>
      </c>
      <c r="D547" s="26" t="b">
        <f>IFERROR(__xludf.DUMMYFUNCTION("LET(
 id,A547,
 IF(
  F547=""CHARACTER"",
  LET(
   base,REGEXREPLACE(id,""@\d+$"",""""),
   required,VALUE(REGEXEXTRACT(id,""@(\d+)$"")),
   current,XLOOKUP(
    base,
    tblPlayer[PlayerStateID],
    tblPlayer[Value],
    0
   ),
   current&gt;=required
 "&amp;" ),
  IF(
   T547=""AUTO"",
   L547=0,
   COUNTIFS(
    tblChecklist[TargetID],id,
    tblChecklist[PlayerCompleted],TRUE
   )&gt;0
  )
 )
)"),FALSE)</f>
        <v>0</v>
      </c>
      <c r="E547" s="26" t="str">
        <f t="array" ref="E547">_xlfn.XLOOKUP(
 A547,
 tblTargets[TargetID],
 tblTargets[TargetType],
 ""
)</f>
        <v>TECH</v>
      </c>
      <c r="F547" s="26" t="str">
        <f t="array" ref="F547">_xlfn.XLOOKUP(
 A547,
 tblTargets[TargetID],
 tblTargets[StateType],
 ""
)</f>
        <v/>
      </c>
      <c r="G547" s="26">
        <f>LET(
 id,A547,
 depCount,COUNTIF(tblDependencies[TargetID],id),
 objCount,COUNTIF(tblQuestObjectives[QuestTargetID],id),
 depCount+objCount
)</f>
        <v>2</v>
      </c>
      <c r="H547" s="26">
        <f t="shared" si="2"/>
        <v>2</v>
      </c>
      <c r="I547" s="26">
        <f>IFERROR(__xludf.DUMMYFUNCTION("LET(
 id,A547,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7" s="26">
        <f t="shared" si="3"/>
        <v>0</v>
      </c>
      <c r="K547" s="26" t="b">
        <f t="shared" si="4"/>
        <v>0</v>
      </c>
      <c r="L547" s="26">
        <f t="shared" si="5"/>
        <v>2</v>
      </c>
      <c r="M547" s="26" t="str">
        <f>IFERROR(__xludf.DUMMYFUNCTION("LET(
 id,A547,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L547=0,
  """",
  IFERROR(INDEX(incomplete,1),"""")"&amp;"
 )
)"),"state.character_cooking@13")</f>
        <v>state.character_cooking@13</v>
      </c>
      <c r="N547" s="26" t="str">
        <f t="array" ref="N547">IF(
 M547="",
 "",
 _xlfn.XLOOKUP(
  M547,
  tblTargets[TargetID],
  tblTargets[DisplayName],
  M547
 )
)</f>
        <v>Attain level 13 cooking skill</v>
      </c>
      <c r="O547" s="26" t="str">
        <f>IFERROR(__xludf.DUMMYFUNCTION("SWITCH(
 E547,
 ""BUILDING"",XLOOKUP(A547,tblBuildings[BuildingID],tblBuildings[costtext],""""),
 ""TECH"",XLOOKUP(A547,tblTechnologies[TechnologyID],tblTechnologies[costtext],""""),
 ""QUEST"",XLOOKUP(
  REGEXREPLACE(A547,""\.[^.]+$"",""""),
  tblQuests["&amp;"QuestID],
  tblQuests[Costtext],
  """"
 ),
 ""CITADEL"",XLOOKUP(A547,tblCitadel[CitadelID],tblCitadel[costtext],""""),
 ""COLLECTION"",XLOOKUP(A547,tblCollections[CollectionID],tblCollections[costtext],""""),
 ""CRAFTIFACT"",XLOOKUP(A547,tblCraftifacts[C"&amp;"raftifactID],tblCraftifacts[costtext],""""),
 """"
)"),"400 coin,13 grimoire,2 ruby,8 soy,10 tofu")</f>
        <v>400 coin,13 grimoire,2 ruby,8 soy,10 tofu</v>
      </c>
      <c r="P547" s="26" t="str">
        <f t="shared" si="6"/>
        <v>READY</v>
      </c>
      <c r="Q547" s="26" t="str">
        <f t="shared" si="7"/>
        <v>BLOCKED</v>
      </c>
      <c r="R547" s="26" t="str">
        <f t="array" ref="R547">IFERROR(
 _xlfn.XLOOKUP(
  A547,
  tblChecklist[TargetID],
  tblChecklist[PlayerSort],
  ""
 ),
 ""
)</f>
        <v/>
      </c>
      <c r="S547" s="26" t="str">
        <f>IFERROR(__xludf.DUMMYFUNCTION("LET(
 id,A547,
 successorIDs,
  IFERROR(
   UNIQUE(
    FILTER(
     {
      Dependencies!$A$2:$A$1000;
      QuestObjectives!$A$2:$A$1000
     },
     {
      Dependencies!$B$2:$B$1000;
      QuestObjectives!$E$2:$E$1000
     }=id
    )
   ),
   """"
  )"&amp;",
 names,
  MAP(
   successorIDs,
   LAMBDA(s,
    IF(
     s="""",
     """",
     XLOOKUP(
      s,
      $A$2:$A$1000,
      $B$2:$B$1000,
      s
     )
    )
   )
  ),
 IF(
  successorIDs="""",
  """",
  TEXTJOIN("", "",TRUE,names)
 )
)"),"")</f>
        <v/>
      </c>
      <c r="T547" s="26" t="str">
        <f t="array" ref="T547">_xlfn.XLOOKUP(
 A547,
 tblTargets[TargetID],
 tblTargets[CompletionMethod],
 ""
)</f>
        <v>PLAYER</v>
      </c>
      <c r="U547" s="84" t="b">
        <f>COUNTIF(tblCost[TargetID],A547)&gt;0</f>
        <v>1</v>
      </c>
      <c r="V547" s="85">
        <f t="array" ref="V547">IF(
 U547=FALSE,
 "",
 _xlfn.XLOOKUP(
  A547,
  tblCost[TargetID],
  tblCost[FundingPercent],
  ""
 )
)</f>
        <v>0</v>
      </c>
      <c r="W547" s="26">
        <f t="array" ref="W547">IF(
 U547=FALSE,
 "",
 _xlfn.XLOOKUP(
  A547,
  tblCost[TargetID],
  tblCost[RemainingRequirements],
  ""
 )
)</f>
        <v>5</v>
      </c>
      <c r="X547" s="45" t="b">
        <f t="array" ref="X547">IF(
 U547=FALSE,
 "N/A",
 _xlfn.XLOOKUP(
  A548,
  tblCost[TargetID],
  tblCost[TargetFunded],
  FALSE
 )
)</f>
        <v>0</v>
      </c>
      <c r="Y547" s="26" t="str">
        <f>IFERROR(__xludf.DUMMYFUNCTION("IFERROR(
 TEXTJOIN(
  "", "",
  TRUE,
  FILTER(
   'cost checklist'!$E$2:$E1000&amp;"": ""&amp;'cost checklist'!$G$2:$G1000,
   'cost checklist'!$B$2:$B1000=A547,
   'cost checklist'!$J$2:$J1000=FALSE
  )
 ),
 """"
)"),"coin: 400, grimoire: 13, ruby: 2, soy: 8, tofu: 10")</f>
        <v>coin: 400, grimoire: 13, ruby: 2, soy: 8, tofu: 10</v>
      </c>
      <c r="Z547" s="26" t="b">
        <f>IFERROR(__xludf.DUMMYFUNCTION("IF(
 AND(
  E547=""QUEST"",
  RIGHT(A547,9)="".accepted"",
  D547=TRUE
 ),
 XLOOKUP(
  REGEXREPLACE(A547,""\.accepted$"","""")&amp;"".finished"",
  $A$2:$A1000,
  $D$2:$D1000,
  TRUE
 )=FALSE,
 FALSE
)"),FALSE)</f>
        <v>0</v>
      </c>
      <c r="AA547" s="26" t="str">
        <f>IFERROR(__xludf.DUMMYFUNCTION("LET(
 id,A547,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8" ht="14.25" customHeight="1">
      <c r="A548" s="26" t="s">
        <v>1775</v>
      </c>
      <c r="B548" s="26" t="str">
        <f t="array" ref="B548">_xlfn.XLOOKUP(
 A548,
 tblTargets[TargetID],
 tblTargets[DisplayName],
 ""
)</f>
        <v>Food Stall - Jam</v>
      </c>
      <c r="C548" s="26" t="str">
        <f t="shared" si="1"/>
        <v>BLOCKED</v>
      </c>
      <c r="D548" s="26" t="b">
        <f>IFERROR(__xludf.DUMMYFUNCTION("LET(
 id,A548,
 IF(
  F548=""CHARACTER"",
  LET(
   base,REGEXREPLACE(id,""@\d+$"",""""),
   required,VALUE(REGEXEXTRACT(id,""@(\d+)$"")),
   current,XLOOKUP(
    base,
    tblPlayer[PlayerStateID],
    tblPlayer[Value],
    0
   ),
   current&gt;=required
 "&amp;" ),
  IF(
   T548=""AUTO"",
   L548=0,
   COUNTIFS(
    tblChecklist[TargetID],id,
    tblChecklist[PlayerCompleted],TRUE
   )&gt;0
  )
 )
)"),FALSE)</f>
        <v>0</v>
      </c>
      <c r="E548" s="26" t="str">
        <f t="array" ref="E548">_xlfn.XLOOKUP(
 A548,
 tblTargets[TargetID],
 tblTargets[TargetType],
 ""
)</f>
        <v>TECH</v>
      </c>
      <c r="F548" s="26" t="str">
        <f t="array" ref="F548">_xlfn.XLOOKUP(
 A548,
 tblTargets[TargetID],
 tblTargets[StateType],
 ""
)</f>
        <v/>
      </c>
      <c r="G548" s="26">
        <f>LET(
 id,A548,
 depCount,COUNTIF(tblDependencies[TargetID],id),
 objCount,COUNTIF(tblQuestObjectives[QuestTargetID],id),
 depCount+objCount
)</f>
        <v>2</v>
      </c>
      <c r="H548" s="26">
        <f t="shared" si="2"/>
        <v>2</v>
      </c>
      <c r="I548" s="26">
        <f>IFERROR(__xludf.DUMMYFUNCTION("LET(
 id,A548,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8" s="26">
        <f t="shared" si="3"/>
        <v>0</v>
      </c>
      <c r="K548" s="26" t="b">
        <f t="shared" si="4"/>
        <v>0</v>
      </c>
      <c r="L548" s="26">
        <f t="shared" si="5"/>
        <v>2</v>
      </c>
      <c r="M548" s="26" t="str">
        <f>IFERROR(__xludf.DUMMYFUNCTION("LET(
 id,A548,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L548=0,
  """",
  IFERROR(INDEX(incomplete,1),"""")"&amp;"
 )
)"),"state.obtain_strawberry@f1")</f>
        <v>state.obtain_strawberry@f1</v>
      </c>
      <c r="N548" s="26" t="str">
        <f t="array" ref="N548">IF(
 M548="",
 "",
 _xlfn.XLOOKUP(
  M548,
  tblTargets[TargetID],
  tblTargets[DisplayName],
  M548
 )
)</f>
        <v>Obtain Strawberry@F1 </v>
      </c>
      <c r="O548" s="26" t="str">
        <f>IFERROR(__xludf.DUMMYFUNCTION("SWITCH(
 E548,
 ""BUILDING"",XLOOKUP(A548,tblBuildings[BuildingID],tblBuildings[costtext],""""),
 ""TECH"",XLOOKUP(A548,tblTechnologies[TechnologyID],tblTechnologies[costtext],""""),
 ""QUEST"",XLOOKUP(
  REGEXREPLACE(A548,""\.[^.]+$"",""""),
  tblQuests["&amp;"QuestID],
  tblQuests[Costtext],
  """"
 ),
 ""CITADEL"",XLOOKUP(A548,tblCitadel[CitadelID],tblCitadel[costtext],""""),
 ""COLLECTION"",XLOOKUP(A548,tblCollections[CollectionID],tblCollections[costtext],""""),
 ""CRAFTIFACT"",XLOOKUP(A548,tblCraftifacts[C"&amp;"raftifactID],tblCraftifacts[costtext],""""),
 """"
)"),"400 coin,5 glass,10 grimoire,2 ruby,20 strawberry")</f>
        <v>400 coin,5 glass,10 grimoire,2 ruby,20 strawberry</v>
      </c>
      <c r="P548" s="26" t="str">
        <f t="shared" si="6"/>
        <v>BLOCKED</v>
      </c>
      <c r="Q548" s="26" t="str">
        <f t="shared" si="7"/>
        <v>BLOCKED</v>
      </c>
      <c r="R548" s="26" t="str">
        <f t="array" ref="R548">IFERROR(
 _xlfn.XLOOKUP(
  A548,
  tblChecklist[TargetID],
  tblChecklist[PlayerSort],
  ""
 ),
 ""
)</f>
        <v/>
      </c>
      <c r="S548" s="26" t="str">
        <f>IFERROR(__xludf.DUMMYFUNCTION("LET(
 id,A548,
 successorIDs,
  IFERROR(
   UNIQUE(
    FILTER(
     {
      Dependencies!$A$2:$A$1000;
      QuestObjectives!$A$2:$A$1000
     },
     {
      Dependencies!$B$2:$B$1000;
      QuestObjectives!$E$2:$E$1000
     }=id
    )
   ),
   """"
  )"&amp;",
 names,
  MAP(
   successorIDs,
   LAMBDA(s,
    IF(
     s="""",
     """",
     XLOOKUP(
      s,
      $A$2:$A$1000,
      $B$2:$B$1000,
      s
     )
    )
   )
  ),
 IF(
  successorIDs="""",
  """",
  TEXTJOIN("", "",TRUE,names)
 )
)"),"Once Upon a Forest Chapter 13 Finished")</f>
        <v>Once Upon a Forest Chapter 13 Finished</v>
      </c>
      <c r="T548" s="26" t="str">
        <f t="array" ref="T548">_xlfn.XLOOKUP(
 A548,
 tblTargets[TargetID],
 tblTargets[CompletionMethod],
 ""
)</f>
        <v>PLAYER</v>
      </c>
      <c r="U548" s="84" t="b">
        <f>COUNTIF(tblCost[TargetID],A548)&gt;0</f>
        <v>1</v>
      </c>
      <c r="V548" s="85">
        <f t="array" ref="V548">IF(
 U548=FALSE,
 "",
 _xlfn.XLOOKUP(
  A548,
  tblCost[TargetID],
  tblCost[FundingPercent],
  ""
 )
)</f>
        <v>0</v>
      </c>
      <c r="W548" s="26">
        <f t="array" ref="W548">IF(
 U548=FALSE,
 "",
 _xlfn.XLOOKUP(
  A548,
  tblCost[TargetID],
  tblCost[RemainingRequirements],
  ""
 )
)</f>
        <v>5</v>
      </c>
      <c r="X548" s="45" t="b">
        <f t="array" ref="X548">IF(
 U548=FALSE,
 "N/A",
 _xlfn.XLOOKUP(
  A549,
  tblCost[TargetID],
  tblCost[TargetFunded],
  FALSE
 )
)</f>
        <v>0</v>
      </c>
      <c r="Y548" s="26" t="str">
        <f>IFERROR(__xludf.DUMMYFUNCTION("IFERROR(
 TEXTJOIN(
  "", "",
  TRUE,
  FILTER(
   'cost checklist'!$E$2:$E1000&amp;"": ""&amp;'cost checklist'!$G$2:$G1000,
   'cost checklist'!$B$2:$B1000=A548,
   'cost checklist'!$J$2:$J1000=FALSE
  )
 ),
 """"
)"),"coin: 400, glass: 5, grimoire: 10, ruby: 2, strawberry: 20")</f>
        <v>coin: 400, glass: 5, grimoire: 10, ruby: 2, strawberry: 20</v>
      </c>
      <c r="Z548" s="26" t="b">
        <f>IFERROR(__xludf.DUMMYFUNCTION("IF(
 AND(
  E548=""QUEST"",
  RIGHT(A548,9)="".accepted"",
  D548=TRUE
 ),
 XLOOKUP(
  REGEXREPLACE(A548,""\.accepted$"","""")&amp;"".finished"",
  $A$2:$A1000,
  $D$2:$D1000,
  TRUE
 )=FALSE,
 FALSE
)"),FALSE)</f>
        <v>0</v>
      </c>
      <c r="AA548" s="26" t="str">
        <f>IFERROR(__xludf.DUMMYFUNCTION("LET(
 id,A548,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49" ht="14.25" customHeight="1">
      <c r="A549" s="26" t="s">
        <v>1777</v>
      </c>
      <c r="B549" s="26" t="str">
        <f t="array" ref="B549">_xlfn.XLOOKUP(
 A549,
 tblTargets[TargetID],
 tblTargets[DisplayName],
 ""
)</f>
        <v>Food Stall - Mandra Cola</v>
      </c>
      <c r="C549" s="26" t="str">
        <f t="shared" si="1"/>
        <v>BLOCKED</v>
      </c>
      <c r="D549" s="26" t="b">
        <f>IFERROR(__xludf.DUMMYFUNCTION("LET(
 id,A549,
 IF(
  F549=""CHARACTER"",
  LET(
   base,REGEXREPLACE(id,""@\d+$"",""""),
   required,VALUE(REGEXEXTRACT(id,""@(\d+)$"")),
   current,XLOOKUP(
    base,
    tblPlayer[PlayerStateID],
    tblPlayer[Value],
    0
   ),
   current&gt;=required
 "&amp;" ),
  IF(
   T549=""AUTO"",
   L549=0,
   COUNTIFS(
    tblChecklist[TargetID],id,
    tblChecklist[PlayerCompleted],TRUE
   )&gt;0
  )
 )
)"),FALSE)</f>
        <v>0</v>
      </c>
      <c r="E549" s="26" t="str">
        <f t="array" ref="E549">_xlfn.XLOOKUP(
 A549,
 tblTargets[TargetID],
 tblTargets[TargetType],
 ""
)</f>
        <v>TECH</v>
      </c>
      <c r="F549" s="26" t="str">
        <f t="array" ref="F549">_xlfn.XLOOKUP(
 A549,
 tblTargets[TargetID],
 tblTargets[StateType],
 ""
)</f>
        <v/>
      </c>
      <c r="G549" s="26">
        <f>LET(
 id,A549,
 depCount,COUNTIF(tblDependencies[TargetID],id),
 objCount,COUNTIF(tblQuestObjectives[QuestTargetID],id),
 depCount+objCount
)</f>
        <v>1</v>
      </c>
      <c r="H549" s="26">
        <f t="shared" si="2"/>
        <v>1</v>
      </c>
      <c r="I549" s="26">
        <f>IFERROR(__xludf.DUMMYFUNCTION("LET(
 id,A549,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49" s="26">
        <f t="shared" si="3"/>
        <v>0</v>
      </c>
      <c r="K549" s="26" t="b">
        <f t="shared" si="4"/>
        <v>0</v>
      </c>
      <c r="L549" s="26">
        <f t="shared" si="5"/>
        <v>1</v>
      </c>
      <c r="M549" s="26" t="str">
        <f>IFERROR(__xludf.DUMMYFUNCTION("LET(
 id,A549,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L549=0,
  """",
  IFERROR(INDEX(incomplete,1),"""")"&amp;"
 )
)"),"building.food_stall.maxed")</f>
        <v>building.food_stall.maxed</v>
      </c>
      <c r="N549" s="26" t="str">
        <f t="array" ref="N549">IF(
 M549="",
 "",
 _xlfn.XLOOKUP(
  M549,
  tblTargets[TargetID],
  tblTargets[DisplayName],
  M549
 )
)</f>
        <v>Food stall maxed</v>
      </c>
      <c r="O549" s="26" t="str">
        <f>IFERROR(__xludf.DUMMYFUNCTION("SWITCH(
 E549,
 ""BUILDING"",XLOOKUP(A549,tblBuildings[BuildingID],tblBuildings[costtext],""""),
 ""TECH"",XLOOKUP(A549,tblTechnologies[TechnologyID],tblTechnologies[costtext],""""),
 ""QUEST"",XLOOKUP(
  REGEXREPLACE(A549,""\.[^.]+$"",""""),
  tblQuests["&amp;"QuestID],
  tblQuests[Costtext],
  """"
 ),
 ""CITADEL"",XLOOKUP(A549,tblCitadel[CitadelID],tblCitadel[costtext],""""),
 ""COLLECTION"",XLOOKUP(A549,tblCollections[CollectionID],tblCollections[costtext],""""),
 ""CRAFTIFACT"",XLOOKUP(A549,tblCraftifacts[C"&amp;"raftifactID],tblCraftifacts[costtext],""""),
 """"
)"),"20 beans,15 blueprint,400 coin,5 glass,10 honey,20 mandrake,2 ruby")</f>
        <v>20 beans,15 blueprint,400 coin,5 glass,10 honey,20 mandrake,2 ruby</v>
      </c>
      <c r="P549" s="26" t="str">
        <f t="shared" si="6"/>
        <v>BLOCKED</v>
      </c>
      <c r="Q549" s="26" t="str">
        <f t="shared" si="7"/>
        <v>BLOCKED</v>
      </c>
      <c r="R549" s="26" t="str">
        <f t="array" ref="R549">IFERROR(
 _xlfn.XLOOKUP(
  A549,
  tblChecklist[TargetID],
  tblChecklist[PlayerSort],
  ""
 ),
 ""
)</f>
        <v/>
      </c>
      <c r="S549" s="26" t="str">
        <f>IFERROR(__xludf.DUMMYFUNCTION("LET(
 id,A549,
 successorIDs,
  IFERROR(
   UNIQUE(
    FILTER(
     {
      Dependencies!$A$2:$A$1000;
      QuestObjectives!$A$2:$A$1000
     },
     {
      Dependencies!$B$2:$B$1000;
      QuestObjectives!$E$2:$E$1000
     }=id
    )
   ),
   """"
  )"&amp;",
 names,
  MAP(
   successorIDs,
   LAMBDA(s,
    IF(
     s="""",
     """",
     XLOOKUP(
      s,
      $A$2:$A$1000,
      $B$2:$B$1000,
      s
     )
    )
   )
  ),
 IF(
  successorIDs="""",
  """",
  TEXTJOIN("", "",TRUE,names)
 )
)"),"Once Upon a Forest Chapter 13 Finished")</f>
        <v>Once Upon a Forest Chapter 13 Finished</v>
      </c>
      <c r="T549" s="26" t="str">
        <f t="array" ref="T549">_xlfn.XLOOKUP(
 A549,
 tblTargets[TargetID],
 tblTargets[CompletionMethod],
 ""
)</f>
        <v>PLAYER</v>
      </c>
      <c r="U549" s="84" t="b">
        <f>COUNTIF(tblCost[TargetID],A549)&gt;0</f>
        <v>1</v>
      </c>
      <c r="V549" s="85">
        <f t="array" ref="V549">IF(
 U549=FALSE,
 "",
 _xlfn.XLOOKUP(
  A549,
  tblCost[TargetID],
  tblCost[FundingPercent],
  ""
 )
)</f>
        <v>0</v>
      </c>
      <c r="W549" s="26">
        <f t="array" ref="W549">IF(
 U549=FALSE,
 "",
 _xlfn.XLOOKUP(
  A549,
  tblCost[TargetID],
  tblCost[RemainingRequirements],
  ""
 )
)</f>
        <v>7</v>
      </c>
      <c r="X549" s="45" t="b">
        <f t="array" ref="X549">IF(
 U549=FALSE,
 "N/A",
 _xlfn.XLOOKUP(
  A550,
  tblCost[TargetID],
  tblCost[TargetFunded],
  FALSE
 )
)</f>
        <v>0</v>
      </c>
      <c r="Y549" s="26" t="str">
        <f>IFERROR(__xludf.DUMMYFUNCTION("IFERROR(
 TEXTJOIN(
  "", "",
  TRUE,
  FILTER(
   'cost checklist'!$E$2:$E1000&amp;"": ""&amp;'cost checklist'!$G$2:$G1000,
   'cost checklist'!$B$2:$B1000=A549,
   'cost checklist'!$J$2:$J1000=FALSE
  )
 ),
 """"
)"),"beans: 20, blueprint: 15, coin: 400, glass: 5, honey: 10, mandrake: 20, ruby: 2")</f>
        <v>beans: 20, blueprint: 15, coin: 400, glass: 5, honey: 10, mandrake: 20, ruby: 2</v>
      </c>
      <c r="Z549" s="26" t="b">
        <f>IFERROR(__xludf.DUMMYFUNCTION("IF(
 AND(
  E549=""QUEST"",
  RIGHT(A549,9)="".accepted"",
  D549=TRUE
 ),
 XLOOKUP(
  REGEXREPLACE(A549,""\.accepted$"","""")&amp;"".finished"",
  $A$2:$A1000,
  $D$2:$D1000,
  TRUE
 )=FALSE,
 FALSE
)"),FALSE)</f>
        <v>0</v>
      </c>
      <c r="AA549" s="26" t="str">
        <f>IFERROR(__xludf.DUMMYFUNCTION("LET(
 id,A549,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0" ht="14.25" customHeight="1">
      <c r="A550" s="26" t="s">
        <v>1779</v>
      </c>
      <c r="B550" s="26" t="str">
        <f t="array" ref="B550">_xlfn.XLOOKUP(
 A550,
 tblTargets[TargetID],
 tblTargets[DisplayName],
 ""
)</f>
        <v>Food Stall - Mayonnaise</v>
      </c>
      <c r="C550" s="26" t="str">
        <f t="shared" si="1"/>
        <v>BLOCKED</v>
      </c>
      <c r="D550" s="26" t="b">
        <f>IFERROR(__xludf.DUMMYFUNCTION("LET(
 id,A550,
 IF(
  F550=""CHARACTER"",
  LET(
   base,REGEXREPLACE(id,""@\d+$"",""""),
   required,VALUE(REGEXEXTRACT(id,""@(\d+)$"")),
   current,XLOOKUP(
    base,
    tblPlayer[PlayerStateID],
    tblPlayer[Value],
    0
   ),
   current&gt;=required
 "&amp;" ),
  IF(
   T550=""AUTO"",
   L550=0,
   COUNTIFS(
    tblChecklist[TargetID],id,
    tblChecklist[PlayerCompleted],TRUE
   )&gt;0
  )
 )
)"),FALSE)</f>
        <v>0</v>
      </c>
      <c r="E550" s="26" t="str">
        <f t="array" ref="E550">_xlfn.XLOOKUP(
 A550,
 tblTargets[TargetID],
 tblTargets[TargetType],
 ""
)</f>
        <v>TECH</v>
      </c>
      <c r="F550" s="26" t="str">
        <f t="array" ref="F550">_xlfn.XLOOKUP(
 A550,
 tblTargets[TargetID],
 tblTargets[StateType],
 ""
)</f>
        <v/>
      </c>
      <c r="G550" s="26">
        <f>LET(
 id,A550,
 depCount,COUNTIF(tblDependencies[TargetID],id),
 objCount,COUNTIF(tblQuestObjectives[QuestTargetID],id),
 depCount+objCount
)</f>
        <v>1</v>
      </c>
      <c r="H550" s="26">
        <f t="shared" si="2"/>
        <v>1</v>
      </c>
      <c r="I550" s="26">
        <f>IFERROR(__xludf.DUMMYFUNCTION("LET(
 id,A550,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0" s="26">
        <f t="shared" si="3"/>
        <v>0</v>
      </c>
      <c r="K550" s="26" t="b">
        <f t="shared" si="4"/>
        <v>0</v>
      </c>
      <c r="L550" s="26">
        <f t="shared" si="5"/>
        <v>1</v>
      </c>
      <c r="M550" s="26" t="str">
        <f>IFERROR(__xludf.DUMMYFUNCTION("LET(
 id,A550,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L550=0,
  """",
  IFERROR(INDEX(incomplete,1),"""")"&amp;"
 )
)"),"building.food_stall.maxed")</f>
        <v>building.food_stall.maxed</v>
      </c>
      <c r="N550" s="26" t="str">
        <f t="array" ref="N550">IF(
 M550="",
 "",
 _xlfn.XLOOKUP(
  M550,
  tblTargets[TargetID],
  tblTargets[DisplayName],
  M550
 )
)</f>
        <v>Food stall maxed</v>
      </c>
      <c r="O550" s="26" t="str">
        <f>IFERROR(__xludf.DUMMYFUNCTION("SWITCH(
 E550,
 ""BUILDING"",XLOOKUP(A550,tblBuildings[BuildingID],tblBuildings[costtext],""""),
 ""TECH"",XLOOKUP(A550,tblTechnologies[TechnologyID],tblTechnologies[costtext],""""),
 ""QUEST"",XLOOKUP(
  REGEXREPLACE(A550,""\.[^.]+$"",""""),
  tblQuests["&amp;"QuestID],
  tblQuests[Costtext],
  """"
 ),
 ""CITADEL"",XLOOKUP(A550,tblCitadel[CitadelID],tblCitadel[costtext],""""),
 ""COLLECTION"",XLOOKUP(A550,tblCollections[CollectionID],tblCollections[costtext],""""),
 ""CRAFTIFACT"",XLOOKUP(A550,tblCraftifacts[C"&amp;"raftifactID],tblCraftifacts[costtext],""""),
 """"
)"),"15 blueprint,400 coin,25 egg,1 glass,10 oil,2 ruby")</f>
        <v>15 blueprint,400 coin,25 egg,1 glass,10 oil,2 ruby</v>
      </c>
      <c r="P550" s="26" t="str">
        <f t="shared" si="6"/>
        <v>BLOCKED</v>
      </c>
      <c r="Q550" s="26" t="str">
        <f t="shared" si="7"/>
        <v>BLOCKED</v>
      </c>
      <c r="R550" s="26" t="str">
        <f t="array" ref="R550">IFERROR(
 _xlfn.XLOOKUP(
  A550,
  tblChecklist[TargetID],
  tblChecklist[PlayerSort],
  ""
 ),
 ""
)</f>
        <v/>
      </c>
      <c r="S550" s="26" t="str">
        <f>IFERROR(__xludf.DUMMYFUNCTION("LET(
 id,A550,
 successorIDs,
  IFERROR(
   UNIQUE(
    FILTER(
     {
      Dependencies!$A$2:$A$1000;
      QuestObjectives!$A$2:$A$1000
     },
     {
      Dependencies!$B$2:$B$1000;
      QuestObjectives!$E$2:$E$1000
     }=id
    )
   ),
   """"
  )"&amp;",
 names,
  MAP(
   successorIDs,
   LAMBDA(s,
    IF(
     s="""",
     """",
     XLOOKUP(
      s,
      $A$2:$A$1000,
      $B$2:$B$1000,
      s
     )
    )
   )
  ),
 IF(
  successorIDs="""",
  """",
  TEXTJOIN("", "",TRUE,names)
 )
)"),"Culinary Battle Finished")</f>
        <v>Culinary Battle Finished</v>
      </c>
      <c r="T550" s="26" t="str">
        <f t="array" ref="T550">_xlfn.XLOOKUP(
 A550,
 tblTargets[TargetID],
 tblTargets[CompletionMethod],
 ""
)</f>
        <v>PLAYER</v>
      </c>
      <c r="U550" s="84" t="b">
        <f>COUNTIF(tblCost[TargetID],A550)&gt;0</f>
        <v>1</v>
      </c>
      <c r="V550" s="85">
        <f t="array" ref="V550">IF(
 U550=FALSE,
 "",
 _xlfn.XLOOKUP(
  A550,
  tblCost[TargetID],
  tblCost[FundingPercent],
  ""
 )
)</f>
        <v>0</v>
      </c>
      <c r="W550" s="26">
        <f t="array" ref="W550">IF(
 U550=FALSE,
 "",
 _xlfn.XLOOKUP(
  A550,
  tblCost[TargetID],
  tblCost[RemainingRequirements],
  ""
 )
)</f>
        <v>6</v>
      </c>
      <c r="X550" s="45" t="b">
        <f t="array" ref="X550">IF(
 U550=FALSE,
 "N/A",
 _xlfn.XLOOKUP(
  A551,
  tblCost[TargetID],
  tblCost[TargetFunded],
  FALSE
 )
)</f>
        <v>0</v>
      </c>
      <c r="Y550" s="26" t="str">
        <f>IFERROR(__xludf.DUMMYFUNCTION("IFERROR(
 TEXTJOIN(
  "", "",
  TRUE,
  FILTER(
   'cost checklist'!$E$2:$E1000&amp;"": ""&amp;'cost checklist'!$G$2:$G1000,
   'cost checklist'!$B$2:$B1000=A550,
   'cost checklist'!$J$2:$J1000=FALSE
  )
 ),
 """"
)"),"blueprint: 15, coin: 400, egg: 25, glass: 1, oil: 10, ruby: 2")</f>
        <v>blueprint: 15, coin: 400, egg: 25, glass: 1, oil: 10, ruby: 2</v>
      </c>
      <c r="Z550" s="26" t="b">
        <f>IFERROR(__xludf.DUMMYFUNCTION("IF(
 AND(
  E550=""QUEST"",
  RIGHT(A550,9)="".accepted"",
  D550=TRUE
 ),
 XLOOKUP(
  REGEXREPLACE(A550,""\.accepted$"","""")&amp;"".finished"",
  $A$2:$A1000,
  $D$2:$D1000,
  TRUE
 )=FALSE,
 FALSE
)"),FALSE)</f>
        <v>0</v>
      </c>
      <c r="AA550" s="26" t="str">
        <f>IFERROR(__xludf.DUMMYFUNCTION("LET(
 id,A550,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1" ht="14.25" customHeight="1">
      <c r="A551" s="26" t="s">
        <v>1782</v>
      </c>
      <c r="B551" s="26" t="str">
        <f t="array" ref="B551">_xlfn.XLOOKUP(
 A551,
 tblTargets[TargetID],
 tblTargets[DisplayName],
 ""
)</f>
        <v>Food Stall - Miso Soup</v>
      </c>
      <c r="C551" s="26" t="str">
        <f t="shared" si="1"/>
        <v>BLOCKED</v>
      </c>
      <c r="D551" s="26" t="b">
        <f>IFERROR(__xludf.DUMMYFUNCTION("LET(
 id,A551,
 IF(
  F551=""CHARACTER"",
  LET(
   base,REGEXREPLACE(id,""@\d+$"",""""),
   required,VALUE(REGEXEXTRACT(id,""@(\d+)$"")),
   current,XLOOKUP(
    base,
    tblPlayer[PlayerStateID],
    tblPlayer[Value],
    0
   ),
   current&gt;=required
 "&amp;" ),
  IF(
   T551=""AUTO"",
   L551=0,
   COUNTIFS(
    tblChecklist[TargetID],id,
    tblChecklist[PlayerCompleted],TRUE
   )&gt;0
  )
 )
)"),FALSE)</f>
        <v>0</v>
      </c>
      <c r="E551" s="26" t="str">
        <f t="array" ref="E551">_xlfn.XLOOKUP(
 A551,
 tblTargets[TargetID],
 tblTargets[TargetType],
 ""
)</f>
        <v>TECH</v>
      </c>
      <c r="F551" s="26" t="str">
        <f t="array" ref="F551">_xlfn.XLOOKUP(
 A551,
 tblTargets[TargetID],
 tblTargets[StateType],
 ""
)</f>
        <v/>
      </c>
      <c r="G551" s="26">
        <f>LET(
 id,A551,
 depCount,COUNTIF(tblDependencies[TargetID],id),
 objCount,COUNTIF(tblQuestObjectives[QuestTargetID],id),
 depCount+objCount
)</f>
        <v>2</v>
      </c>
      <c r="H551" s="26">
        <f t="shared" si="2"/>
        <v>2</v>
      </c>
      <c r="I551" s="26">
        <f>IFERROR(__xludf.DUMMYFUNCTION("LET(
 id,A551,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1" s="26">
        <f t="shared" si="3"/>
        <v>0</v>
      </c>
      <c r="K551" s="26" t="b">
        <f t="shared" si="4"/>
        <v>0</v>
      </c>
      <c r="L551" s="26">
        <f t="shared" si="5"/>
        <v>2</v>
      </c>
      <c r="M551" s="26" t="str">
        <f>IFERROR(__xludf.DUMMYFUNCTION("LET(
 id,A551,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L551=0,
  """",
  IFERROR(INDEX(incomplete,1),"""")"&amp;"
 )
)"),"building.food_stall.maxed")</f>
        <v>building.food_stall.maxed</v>
      </c>
      <c r="N551" s="26" t="str">
        <f t="array" ref="N551">IF(
 M551="",
 "",
 _xlfn.XLOOKUP(
  M551,
  tblTargets[TargetID],
  tblTargets[DisplayName],
  M551
 )
)</f>
        <v>Food stall maxed</v>
      </c>
      <c r="O551" s="26" t="str">
        <f>IFERROR(__xludf.DUMMYFUNCTION("SWITCH(
 E551,
 ""BUILDING"",XLOOKUP(A551,tblBuildings[BuildingID],tblBuildings[costtext],""""),
 ""TECH"",XLOOKUP(A551,tblTechnologies[TechnologyID],tblTechnologies[costtext],""""),
 ""QUEST"",XLOOKUP(
  REGEXREPLACE(A551,""\.[^.]+$"",""""),
  tblQuests["&amp;"QuestID],
  tblQuests[Costtext],
  """"
 ),
 ""CITADEL"",XLOOKUP(A551,tblCitadel[CitadelID],tblCitadel[costtext],""""),
 ""COLLECTION"",XLOOKUP(A551,tblCollections[CollectionID],tblCollections[costtext],""""),
 ""CRAFTIFACT"",XLOOKUP(A551,tblCraftifacts[C"&amp;"raftifactID],tblCraftifacts[costtext],""""),
 """"
)"),"500 coin,20 elixir,10 grimoire,10 misopaste,5 ruby,10 sushi,10 tofu")</f>
        <v>500 coin,20 elixir,10 grimoire,10 misopaste,5 ruby,10 sushi,10 tofu</v>
      </c>
      <c r="P551" s="26" t="str">
        <f t="shared" si="6"/>
        <v>BLOCKED</v>
      </c>
      <c r="Q551" s="26" t="str">
        <f t="shared" si="7"/>
        <v>BLOCKED</v>
      </c>
      <c r="R551" s="26" t="str">
        <f t="array" ref="R551">IFERROR(
 _xlfn.XLOOKUP(
  A551,
  tblChecklist[TargetID],
  tblChecklist[PlayerSort],
  ""
 ),
 ""
)</f>
        <v/>
      </c>
      <c r="S551" s="26" t="str">
        <f>IFERROR(__xludf.DUMMYFUNCTION("LET(
 id,A551,
 successorIDs,
  IFERROR(
   UNIQUE(
    FILTER(
     {
      Dependencies!$A$2:$A$1000;
      QuestObjectives!$A$2:$A$1000
     },
     {
      Dependencies!$B$2:$B$1000;
      QuestObjectives!$E$2:$E$1000
     }=id
    )
   ),
   """"
  )"&amp;",
 names,
  MAP(
   successorIDs,
   LAMBDA(s,
    IF(
     s="""",
     """",
     XLOOKUP(
      s,
      $A$2:$A$1000,
      $B$2:$B$1000,
      s
     )
    )
   )
  ),
 IF(
  successorIDs="""",
  """",
  TEXTJOIN("", "",TRUE,names)
 )
)"),"")</f>
        <v/>
      </c>
      <c r="T551" s="26" t="str">
        <f t="array" ref="T551">_xlfn.XLOOKUP(
 A551,
 tblTargets[TargetID],
 tblTargets[CompletionMethod],
 ""
)</f>
        <v>PLAYER</v>
      </c>
      <c r="U551" s="84" t="b">
        <f>COUNTIF(tblCost[TargetID],A551)&gt;0</f>
        <v>1</v>
      </c>
      <c r="V551" s="85">
        <f t="array" ref="V551">IF(
 U551=FALSE,
 "",
 _xlfn.XLOOKUP(
  A551,
  tblCost[TargetID],
  tblCost[FundingPercent],
  ""
 )
)</f>
        <v>0</v>
      </c>
      <c r="W551" s="26">
        <f t="array" ref="W551">IF(
 U551=FALSE,
 "",
 _xlfn.XLOOKUP(
  A551,
  tblCost[TargetID],
  tblCost[RemainingRequirements],
  ""
 )
)</f>
        <v>7</v>
      </c>
      <c r="X551" s="45" t="b">
        <f t="array" ref="X551">IF(
 U551=FALSE,
 "N/A",
 _xlfn.XLOOKUP(
  A552,
  tblCost[TargetID],
  tblCost[TargetFunded],
  FALSE
 )
)</f>
        <v>0</v>
      </c>
      <c r="Y551" s="26" t="str">
        <f>IFERROR(__xludf.DUMMYFUNCTION("IFERROR(
 TEXTJOIN(
  "", "",
  TRUE,
  FILTER(
   'cost checklist'!$E$2:$E1000&amp;"": ""&amp;'cost checklist'!$G$2:$G1000,
   'cost checklist'!$B$2:$B1000=A551,
   'cost checklist'!$J$2:$J1000=FALSE
  )
 ),
 """"
)"),"coin: 500, elixir: 20, grimoire: 10, misopaste: 10, ruby: 5, sushi: 10, tofu: 10")</f>
        <v>coin: 500, elixir: 20, grimoire: 10, misopaste: 10, ruby: 5, sushi: 10, tofu: 10</v>
      </c>
      <c r="Z551" s="26" t="b">
        <f>IFERROR(__xludf.DUMMYFUNCTION("IF(
 AND(
  E551=""QUEST"",
  RIGHT(A551,9)="".accepted"",
  D551=TRUE
 ),
 XLOOKUP(
  REGEXREPLACE(A551,""\.accepted$"","""")&amp;"".finished"",
  $A$2:$A1000,
  $D$2:$D1000,
  TRUE
 )=FALSE,
 FALSE
)"),FALSE)</f>
        <v>0</v>
      </c>
      <c r="AA551" s="26" t="str">
        <f>IFERROR(__xludf.DUMMYFUNCTION("LET(
 id,A551,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2" ht="14.25" customHeight="1">
      <c r="A552" s="26" t="s">
        <v>1784</v>
      </c>
      <c r="B552" s="26" t="str">
        <f t="array" ref="B552">_xlfn.XLOOKUP(
 A552,
 tblTargets[TargetID],
 tblTargets[DisplayName],
 ""
)</f>
        <v>Food Stall - Quintessence Of Taste</v>
      </c>
      <c r="C552" s="26" t="str">
        <f t="shared" si="1"/>
        <v>BLOCKED</v>
      </c>
      <c r="D552" s="26" t="b">
        <f>IFERROR(__xludf.DUMMYFUNCTION("LET(
 id,A552,
 IF(
  F552=""CHARACTER"",
  LET(
   base,REGEXREPLACE(id,""@\d+$"",""""),
   required,VALUE(REGEXEXTRACT(id,""@(\d+)$"")),
   current,XLOOKUP(
    base,
    tblPlayer[PlayerStateID],
    tblPlayer[Value],
    0
   ),
   current&gt;=required
 "&amp;" ),
  IF(
   T552=""AUTO"",
   L552=0,
   COUNTIFS(
    tblChecklist[TargetID],id,
    tblChecklist[PlayerCompleted],TRUE
   )&gt;0
  )
 )
)"),FALSE)</f>
        <v>0</v>
      </c>
      <c r="E552" s="26" t="str">
        <f t="array" ref="E552">_xlfn.XLOOKUP(
 A552,
 tblTargets[TargetID],
 tblTargets[TargetType],
 ""
)</f>
        <v>TECH</v>
      </c>
      <c r="F552" s="26" t="str">
        <f t="array" ref="F552">_xlfn.XLOOKUP(
 A552,
 tblTargets[TargetID],
 tblTargets[StateType],
 ""
)</f>
        <v/>
      </c>
      <c r="G552" s="26">
        <f>LET(
 id,A552,
 depCount,COUNTIF(tblDependencies[TargetID],id),
 objCount,COUNTIF(tblQuestObjectives[QuestTargetID],id),
 depCount+objCount
)</f>
        <v>1</v>
      </c>
      <c r="H552" s="26">
        <f t="shared" si="2"/>
        <v>1</v>
      </c>
      <c r="I552" s="26">
        <f>IFERROR(__xludf.DUMMYFUNCTION("LET(
 id,A552,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2" s="26">
        <f t="shared" si="3"/>
        <v>0</v>
      </c>
      <c r="K552" s="26" t="b">
        <f t="shared" si="4"/>
        <v>0</v>
      </c>
      <c r="L552" s="26">
        <f t="shared" si="5"/>
        <v>1</v>
      </c>
      <c r="M552" s="26" t="str">
        <f>IFERROR(__xludf.DUMMYFUNCTION("LET(
 id,A552,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L552=0,
  """",
  IFERROR(INDEX(incomplete,1),"""")"&amp;"
 )
)"),"building.food_stall.maxed")</f>
        <v>building.food_stall.maxed</v>
      </c>
      <c r="N552" s="26" t="str">
        <f t="array" ref="N552">IF(
 M552="",
 "",
 _xlfn.XLOOKUP(
  M552,
  tblTargets[TargetID],
  tblTargets[DisplayName],
  M552
 )
)</f>
        <v>Food stall maxed</v>
      </c>
      <c r="O552" s="26" t="str">
        <f>IFERROR(__xludf.DUMMYFUNCTION("SWITCH(
 E552,
 ""BUILDING"",XLOOKUP(A552,tblBuildings[BuildingID],tblBuildings[costtext],""""),
 ""TECH"",XLOOKUP(A552,tblTechnologies[TechnologyID],tblTechnologies[costtext],""""),
 ""QUEST"",XLOOKUP(
  REGEXREPLACE(A552,""\.[^.]+$"",""""),
  tblQuests["&amp;"QuestID],
  tblQuests[Costtext],
  """"
 ),
 ""CITADEL"",XLOOKUP(A552,tblCitadel[CitadelID],tblCitadel[costtext],""""),
 ""COLLECTION"",XLOOKUP(A552,tblCollections[CollectionID],tblCollections[costtext],""""),
 ""CRAFTIFACT"",XLOOKUP(A552,tblCraftifacts[C"&amp;"raftifactID],tblCraftifacts[costtext],""""),
 """"
)"),"10 beans,10 blueprint,300 coin,10 honey,1 ruby,1 spices")</f>
        <v>10 beans,10 blueprint,300 coin,10 honey,1 ruby,1 spices</v>
      </c>
      <c r="P552" s="26" t="str">
        <f t="shared" si="6"/>
        <v>BLOCKED</v>
      </c>
      <c r="Q552" s="26" t="str">
        <f t="shared" si="7"/>
        <v>BLOCKED</v>
      </c>
      <c r="R552" s="26" t="str">
        <f t="array" ref="R552">IFERROR(
 _xlfn.XLOOKUP(
  A552,
  tblChecklist[TargetID],
  tblChecklist[PlayerSort],
  ""
 ),
 ""
)</f>
        <v/>
      </c>
      <c r="S552" s="26" t="str">
        <f>IFERROR(__xludf.DUMMYFUNCTION("LET(
 id,A552,
 successorIDs,
  IFERROR(
   UNIQUE(
    FILTER(
     {
      Dependencies!$A$2:$A$1000;
      QuestObjectives!$A$2:$A$1000
     },
     {
      Dependencies!$B$2:$B$1000;
      QuestObjectives!$E$2:$E$1000
     }=id
    )
   ),
   """"
  )"&amp;",
 names,
  MAP(
   successorIDs,
   LAMBDA(s,
    IF(
     s="""",
     """",
     XLOOKUP(
      s,
      $A$2:$A$1000,
      $B$2:$B$1000,
      s
     )
    )
   )
  ),
 IF(
  successorIDs="""",
  """",
  TEXTJOIN("", "",TRUE,names)
 )
)"),"Culinary Battle Finished")</f>
        <v>Culinary Battle Finished</v>
      </c>
      <c r="T552" s="26" t="str">
        <f t="array" ref="T552">_xlfn.XLOOKUP(
 A552,
 tblTargets[TargetID],
 tblTargets[CompletionMethod],
 ""
)</f>
        <v>PLAYER</v>
      </c>
      <c r="U552" s="84" t="b">
        <f>COUNTIF(tblCost[TargetID],A552)&gt;0</f>
        <v>1</v>
      </c>
      <c r="V552" s="85">
        <f t="array" ref="V552">IF(
 U552=FALSE,
 "",
 _xlfn.XLOOKUP(
  A552,
  tblCost[TargetID],
  tblCost[FundingPercent],
  ""
 )
)</f>
        <v>0</v>
      </c>
      <c r="W552" s="26">
        <f t="array" ref="W552">IF(
 U552=FALSE,
 "",
 _xlfn.XLOOKUP(
  A552,
  tblCost[TargetID],
  tblCost[RemainingRequirements],
  ""
 )
)</f>
        <v>6</v>
      </c>
      <c r="X552" s="45" t="b">
        <f t="array" ref="X552">IF(
 U552=FALSE,
 "N/A",
 _xlfn.XLOOKUP(
  A553,
  tblCost[TargetID],
  tblCost[TargetFunded],
  FALSE
 )
)</f>
        <v>0</v>
      </c>
      <c r="Y552" s="26" t="str">
        <f>IFERROR(__xludf.DUMMYFUNCTION("IFERROR(
 TEXTJOIN(
  "", "",
  TRUE,
  FILTER(
   'cost checklist'!$E$2:$E1000&amp;"": ""&amp;'cost checklist'!$G$2:$G1000,
   'cost checklist'!$B$2:$B1000=A552,
   'cost checklist'!$J$2:$J1000=FALSE
  )
 ),
 """"
)"),"beans: 10, blueprint: 10, coin: 300, honey: 10, ruby: 1, spices: 1")</f>
        <v>beans: 10, blueprint: 10, coin: 300, honey: 10, ruby: 1, spices: 1</v>
      </c>
      <c r="Z552" s="26" t="b">
        <f>IFERROR(__xludf.DUMMYFUNCTION("IF(
 AND(
  E552=""QUEST"",
  RIGHT(A552,9)="".accepted"",
  D552=TRUE
 ),
 XLOOKUP(
  REGEXREPLACE(A552,""\.accepted$"","""")&amp;"".finished"",
  $A$2:$A1000,
  $D$2:$D1000,
  TRUE
 )=FALSE,
 FALSE
)"),FALSE)</f>
        <v>0</v>
      </c>
      <c r="AA552" s="26" t="str">
        <f>IFERROR(__xludf.DUMMYFUNCTION("LET(
 id,A552,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3" ht="14.25" customHeight="1">
      <c r="A553" s="26" t="s">
        <v>1786</v>
      </c>
      <c r="B553" s="26" t="str">
        <f t="array" ref="B553">_xlfn.XLOOKUP(
 A553,
 tblTargets[TargetID],
 tblTargets[DisplayName],
 ""
)</f>
        <v>Furnace - Conveyor</v>
      </c>
      <c r="C553" s="26" t="str">
        <f t="shared" si="1"/>
        <v>BLOCKED</v>
      </c>
      <c r="D553" s="26" t="b">
        <f>IFERROR(__xludf.DUMMYFUNCTION("LET(
 id,A553,
 IF(
  F553=""CHARACTER"",
  LET(
   base,REGEXREPLACE(id,""@\d+$"",""""),
   required,VALUE(REGEXEXTRACT(id,""@(\d+)$"")),
   current,XLOOKUP(
    base,
    tblPlayer[PlayerStateID],
    tblPlayer[Value],
    0
   ),
   current&gt;=required
 "&amp;" ),
  IF(
   T553=""AUTO"",
   L553=0,
   COUNTIFS(
    tblChecklist[TargetID],id,
    tblChecklist[PlayerCompleted],TRUE
   )&gt;0
  )
 )
)"),FALSE)</f>
        <v>0</v>
      </c>
      <c r="E553" s="26" t="str">
        <f t="array" ref="E553">_xlfn.XLOOKUP(
 A553,
 tblTargets[TargetID],
 tblTargets[TargetType],
 ""
)</f>
        <v>TECH</v>
      </c>
      <c r="F553" s="26" t="str">
        <f t="array" ref="F553">_xlfn.XLOOKUP(
 A553,
 tblTargets[TargetID],
 tblTargets[StateType],
 ""
)</f>
        <v/>
      </c>
      <c r="G553" s="26">
        <f>LET(
 id,A553,
 depCount,COUNTIF(tblDependencies[TargetID],id),
 objCount,COUNTIF(tblQuestObjectives[QuestTargetID],id),
 depCount+objCount
)</f>
        <v>1</v>
      </c>
      <c r="H553" s="26">
        <f t="shared" si="2"/>
        <v>1</v>
      </c>
      <c r="I553" s="26">
        <f>IFERROR(__xludf.DUMMYFUNCTION("LET(
 id,A553,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3" s="26">
        <f t="shared" si="3"/>
        <v>0</v>
      </c>
      <c r="K553" s="26" t="b">
        <f t="shared" si="4"/>
        <v>0</v>
      </c>
      <c r="L553" s="26">
        <f t="shared" si="5"/>
        <v>1</v>
      </c>
      <c r="M553" s="26" t="str">
        <f>IFERROR(__xludf.DUMMYFUNCTION("LET(
 id,A553,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L553=0,
  """",
  IFERROR(INDEX(incomplete,1),"""")"&amp;"
 )
)"),"building.furnace.maxed")</f>
        <v>building.furnace.maxed</v>
      </c>
      <c r="N553" s="26" t="str">
        <f t="array" ref="N553">IF(
 M553="",
 "",
 _xlfn.XLOOKUP(
  M553,
  tblTargets[TargetID],
  tblTargets[DisplayName],
  M553
 )
)</f>
        <v>Furnace maxed</v>
      </c>
      <c r="O553" s="26" t="str">
        <f>IFERROR(__xludf.DUMMYFUNCTION("SWITCH(
 E553,
 ""BUILDING"",XLOOKUP(A553,tblBuildings[BuildingID],tblBuildings[costtext],""""),
 ""TECH"",XLOOKUP(A553,tblTechnologies[TechnologyID],tblTechnologies[costtext],""""),
 ""QUEST"",XLOOKUP(
  REGEXREPLACE(A553,""\.[^.]+$"",""""),
  tblQuests["&amp;"QuestID],
  tblQuests[Costtext],
  """"
 ),
 ""CITADEL"",XLOOKUP(A553,tblCitadel[CitadelID],tblCitadel[costtext],""""),
 ""COLLECTION"",XLOOKUP(A553,tblCollections[CollectionID],tblCollections[costtext],""""),
 ""CRAFTIFACT"",XLOOKUP(A553,tblCraftifacts[C"&amp;"raftifactID],tblCraftifacts[costtext],""""),
 """"
)"),"15 blueprint,400 coin,40 elixir,10 mechanism,20 msteel,2 ruby")</f>
        <v>15 blueprint,400 coin,40 elixir,10 mechanism,20 msteel,2 ruby</v>
      </c>
      <c r="P553" s="26" t="str">
        <f t="shared" si="6"/>
        <v>BLOCKED</v>
      </c>
      <c r="Q553" s="26" t="str">
        <f t="shared" si="7"/>
        <v>BLOCKED</v>
      </c>
      <c r="R553" s="26" t="str">
        <f t="array" ref="R553">IFERROR(
 _xlfn.XLOOKUP(
  A553,
  tblChecklist[TargetID],
  tblChecklist[PlayerSort],
  ""
 ),
 ""
)</f>
        <v/>
      </c>
      <c r="S553" s="26" t="str">
        <f>IFERROR(__xludf.DUMMYFUNCTION("LET(
 id,A553,
 successorIDs,
  IFERROR(
   UNIQUE(
    FILTER(
     {
      Dependencies!$A$2:$A$1000;
      QuestObjectives!$A$2:$A$1000
     },
     {
      Dependencies!$B$2:$B$1000;
      QuestObjectives!$E$2:$E$1000
     }=id
    )
   ),
   """"
  )"&amp;",
 names,
  MAP(
   successorIDs,
   LAMBDA(s,
    IF(
     s="""",
     """",
     XLOOKUP(
      s,
      $A$2:$A$1000,
      $B$2:$B$1000,
      s
     )
    )
   )
  ),
 IF(
  successorIDs="""",
  """",
  TEXTJOIN("", "",TRUE,names)
 )
)"),"")</f>
        <v/>
      </c>
      <c r="T553" s="26" t="str">
        <f t="array" ref="T553">_xlfn.XLOOKUP(
 A553,
 tblTargets[TargetID],
 tblTargets[CompletionMethod],
 ""
)</f>
        <v>PLAYER</v>
      </c>
      <c r="U553" s="84" t="b">
        <f>COUNTIF(tblCost[TargetID],A553)&gt;0</f>
        <v>1</v>
      </c>
      <c r="V553" s="85">
        <f t="array" ref="V553">IF(
 U553=FALSE,
 "",
 _xlfn.XLOOKUP(
  A553,
  tblCost[TargetID],
  tblCost[FundingPercent],
  ""
 )
)</f>
        <v>0</v>
      </c>
      <c r="W553" s="26">
        <f t="array" ref="W553">IF(
 U553=FALSE,
 "",
 _xlfn.XLOOKUP(
  A553,
  tblCost[TargetID],
  tblCost[RemainingRequirements],
  ""
 )
)</f>
        <v>6</v>
      </c>
      <c r="X553" s="45" t="b">
        <f t="array" ref="X553">IF(
 U553=FALSE,
 "N/A",
 _xlfn.XLOOKUP(
  A554,
  tblCost[TargetID],
  tblCost[TargetFunded],
  FALSE
 )
)</f>
        <v>0</v>
      </c>
      <c r="Y553" s="26" t="str">
        <f>IFERROR(__xludf.DUMMYFUNCTION("IFERROR(
 TEXTJOIN(
  "", "",
  TRUE,
  FILTER(
   'cost checklist'!$E$2:$E1000&amp;"": ""&amp;'cost checklist'!$G$2:$G1000,
   'cost checklist'!$B$2:$B1000=A553,
   'cost checklist'!$J$2:$J1000=FALSE
  )
 ),
 """"
)"),"blueprint: 15, coin: 400, elixir: 40, mechanism: 10, msteel: 20, ruby: 2")</f>
        <v>blueprint: 15, coin: 400, elixir: 40, mechanism: 10, msteel: 20, ruby: 2</v>
      </c>
      <c r="Z553" s="26" t="b">
        <f>IFERROR(__xludf.DUMMYFUNCTION("IF(
 AND(
  E553=""QUEST"",
  RIGHT(A553,9)="".accepted"",
  D553=TRUE
 ),
 XLOOKUP(
  REGEXREPLACE(A553,""\.accepted$"","""")&amp;"".finished"",
  $A$2:$A1000,
  $D$2:$D1000,
  TRUE
 )=FALSE,
 FALSE
)"),FALSE)</f>
        <v>0</v>
      </c>
      <c r="AA553" s="26" t="str">
        <f>IFERROR(__xludf.DUMMYFUNCTION("LET(
 id,A553,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4" ht="14.25" customHeight="1">
      <c r="A554" s="26" t="s">
        <v>1789</v>
      </c>
      <c r="B554" s="26" t="str">
        <f t="array" ref="B554">_xlfn.XLOOKUP(
 A554,
 tblTargets[TargetID],
 tblTargets[DisplayName],
 ""
)</f>
        <v>Furnace - Glass</v>
      </c>
      <c r="C554" s="26" t="str">
        <f t="shared" si="1"/>
        <v>BLOCKED</v>
      </c>
      <c r="D554" s="26" t="b">
        <f>IFERROR(__xludf.DUMMYFUNCTION("LET(
 id,A554,
 IF(
  F554=""CHARACTER"",
  LET(
   base,REGEXREPLACE(id,""@\d+$"",""""),
   required,VALUE(REGEXEXTRACT(id,""@(\d+)$"")),
   current,XLOOKUP(
    base,
    tblPlayer[PlayerStateID],
    tblPlayer[Value],
    0
   ),
   current&gt;=required
 "&amp;" ),
  IF(
   T554=""AUTO"",
   L554=0,
   COUNTIFS(
    tblChecklist[TargetID],id,
    tblChecklist[PlayerCompleted],TRUE
   )&gt;0
  )
 )
)"),FALSE)</f>
        <v>0</v>
      </c>
      <c r="E554" s="26" t="str">
        <f t="array" ref="E554">_xlfn.XLOOKUP(
 A554,
 tblTargets[TargetID],
 tblTargets[TargetType],
 ""
)</f>
        <v>TECH</v>
      </c>
      <c r="F554" s="26" t="str">
        <f t="array" ref="F554">_xlfn.XLOOKUP(
 A554,
 tblTargets[TargetID],
 tblTargets[StateType],
 ""
)</f>
        <v/>
      </c>
      <c r="G554" s="26">
        <f>LET(
 id,A554,
 depCount,COUNTIF(tblDependencies[TargetID],id),
 objCount,COUNTIF(tblQuestObjectives[QuestTargetID],id),
 depCount+objCount
)</f>
        <v>2</v>
      </c>
      <c r="H554" s="26">
        <f t="shared" si="2"/>
        <v>2</v>
      </c>
      <c r="I554" s="26">
        <f>IFERROR(__xludf.DUMMYFUNCTION("LET(
 id,A554,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4" s="26">
        <f t="shared" si="3"/>
        <v>0</v>
      </c>
      <c r="K554" s="26" t="b">
        <f t="shared" si="4"/>
        <v>0</v>
      </c>
      <c r="L554" s="26">
        <f t="shared" si="5"/>
        <v>2</v>
      </c>
      <c r="M554" s="26" t="str">
        <f>IFERROR(__xludf.DUMMYFUNCTION("LET(
 id,A554,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L554=0,
  """",
  IFERROR(INDEX(incomplete,1),"""")"&amp;"
 )
)"),"quest.the_ordinary_days_of_an_adventurer_chapter_4.finished")</f>
        <v>quest.the_ordinary_days_of_an_adventurer_chapter_4.finished</v>
      </c>
      <c r="N554" s="26" t="str">
        <f t="array" ref="N554">IF(
 M554="",
 "",
 _xlfn.XLOOKUP(
  M554,
  tblTargets[TargetID],
  tblTargets[DisplayName],
  M554
 )
)</f>
        <v>The Ordinary Days of an Adventurer Chapter 4 Finished</v>
      </c>
      <c r="O554" s="26" t="str">
        <f>IFERROR(__xludf.DUMMYFUNCTION("SWITCH(
 E554,
 ""BUILDING"",XLOOKUP(A554,tblBuildings[BuildingID],tblBuildings[costtext],""""),
 ""TECH"",XLOOKUP(A554,tblTechnologies[TechnologyID],tblTechnologies[costtext],""""),
 ""QUEST"",XLOOKUP(
  REGEXREPLACE(A554,""\.[^.]+$"",""""),
  tblQuests["&amp;"QuestID],
  tblQuests[Costtext],
  """"
 ),
 ""CITADEL"",XLOOKUP(A554,tblCitadel[CitadelID],tblCitadel[costtext],""""),
 ""COLLECTION"",XLOOKUP(A554,tblCollections[CollectionID],tblCollections[costtext],""""),
 ""CRAFTIFACT"",XLOOKUP(A554,tblCraftifacts[C"&amp;"raftifactID],tblCraftifacts[costtext],""""),
 """"
)"),"20 blueprint,20 chemicals,500 coin,20 glass,5 mechanism,40 quartz,3 ruby")</f>
        <v>20 blueprint,20 chemicals,500 coin,20 glass,5 mechanism,40 quartz,3 ruby</v>
      </c>
      <c r="P554" s="26" t="str">
        <f t="shared" si="6"/>
        <v>BLOCKED</v>
      </c>
      <c r="Q554" s="26" t="str">
        <f t="shared" si="7"/>
        <v>BLOCKED</v>
      </c>
      <c r="R554" s="26" t="str">
        <f t="array" ref="R554">IFERROR(
 _xlfn.XLOOKUP(
  A554,
  tblChecklist[TargetID],
  tblChecklist[PlayerSort],
  ""
 ),
 ""
)</f>
        <v/>
      </c>
      <c r="S554" s="26" t="str">
        <f>IFERROR(__xludf.DUMMYFUNCTION("LET(
 id,A554,
 successorIDs,
  IFERROR(
   UNIQUE(
    FILTER(
     {
      Dependencies!$A$2:$A$1000;
      QuestObjectives!$A$2:$A$1000
     },
     {
      Dependencies!$B$2:$B$1000;
      QuestObjectives!$E$2:$E$1000
     }=id
    )
   ),
   """"
  )"&amp;",
 names,
  MAP(
   successorIDs,
   LAMBDA(s,
    IF(
     s="""",
     """",
     XLOOKUP(
      s,
      $A$2:$A$1000,
      $B$2:$B$1000,
      s
     )
    )
   )
  ),
 IF(
  successorIDs="""",
  """",
  TEXTJOIN("", "",TRUE,names)
 )
)"),"")</f>
        <v/>
      </c>
      <c r="T554" s="26" t="str">
        <f t="array" ref="T554">_xlfn.XLOOKUP(
 A554,
 tblTargets[TargetID],
 tblTargets[CompletionMethod],
 ""
)</f>
        <v>PLAYER</v>
      </c>
      <c r="U554" s="84" t="b">
        <f>COUNTIF(tblCost[TargetID],A554)&gt;0</f>
        <v>1</v>
      </c>
      <c r="V554" s="85">
        <f t="array" ref="V554">IF(
 U554=FALSE,
 "",
 _xlfn.XLOOKUP(
  A554,
  tblCost[TargetID],
  tblCost[FundingPercent],
  ""
 )
)</f>
        <v>0</v>
      </c>
      <c r="W554" s="26">
        <f t="array" ref="W554">IF(
 U554=FALSE,
 "",
 _xlfn.XLOOKUP(
  A554,
  tblCost[TargetID],
  tblCost[RemainingRequirements],
  ""
 )
)</f>
        <v>7</v>
      </c>
      <c r="X554" s="45" t="b">
        <f t="array" ref="X554">IF(
 U554=FALSE,
 "N/A",
 _xlfn.XLOOKUP(
  A555,
  tblCost[TargetID],
  tblCost[TargetFunded],
  FALSE
 )
)</f>
        <v>0</v>
      </c>
      <c r="Y554" s="26" t="str">
        <f>IFERROR(__xludf.DUMMYFUNCTION("IFERROR(
 TEXTJOIN(
  "", "",
  TRUE,
  FILTER(
   'cost checklist'!$E$2:$E1000&amp;"": ""&amp;'cost checklist'!$G$2:$G1000,
   'cost checklist'!$B$2:$B1000=A554,
   'cost checklist'!$J$2:$J1000=FALSE
  )
 ),
 """"
)"),"blueprint: 20, chemicals: 20, coin: 500, glass: 20, mechanism: 5, quartz: 40, ruby: 3")</f>
        <v>blueprint: 20, chemicals: 20, coin: 500, glass: 20, mechanism: 5, quartz: 40, ruby: 3</v>
      </c>
      <c r="Z554" s="26" t="b">
        <f>IFERROR(__xludf.DUMMYFUNCTION("IF(
 AND(
  E554=""QUEST"",
  RIGHT(A554,9)="".accepted"",
  D554=TRUE
 ),
 XLOOKUP(
  REGEXREPLACE(A554,""\.accepted$"","""")&amp;"".finished"",
  $A$2:$A1000,
  $D$2:$D1000,
  TRUE
 )=FALSE,
 FALSE
)"),FALSE)</f>
        <v>0</v>
      </c>
      <c r="AA554" s="26" t="str">
        <f>IFERROR(__xludf.DUMMYFUNCTION("LET(
 id,A554,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5" ht="14.25" customHeight="1">
      <c r="A555" s="26" t="s">
        <v>1791</v>
      </c>
      <c r="B555" s="26" t="str">
        <f t="array" ref="B555">_xlfn.XLOOKUP(
 A555,
 tblTargets[TargetID],
 tblTargets[DisplayName],
 ""
)</f>
        <v>Furnace - Meteoric Steel</v>
      </c>
      <c r="C555" s="26" t="str">
        <f t="shared" si="1"/>
        <v>BLOCKED</v>
      </c>
      <c r="D555" s="26" t="b">
        <f>IFERROR(__xludf.DUMMYFUNCTION("LET(
 id,A555,
 IF(
  F555=""CHARACTER"",
  LET(
   base,REGEXREPLACE(id,""@\d+$"",""""),
   required,VALUE(REGEXEXTRACT(id,""@(\d+)$"")),
   current,XLOOKUP(
    base,
    tblPlayer[PlayerStateID],
    tblPlayer[Value],
    0
   ),
   current&gt;=required
 "&amp;" ),
  IF(
   T555=""AUTO"",
   L555=0,
   COUNTIFS(
    tblChecklist[TargetID],id,
    tblChecklist[PlayerCompleted],TRUE
   )&gt;0
  )
 )
)"),FALSE)</f>
        <v>0</v>
      </c>
      <c r="E555" s="26" t="str">
        <f t="array" ref="E555">_xlfn.XLOOKUP(
 A555,
 tblTargets[TargetID],
 tblTargets[TargetType],
 ""
)</f>
        <v>TECH</v>
      </c>
      <c r="F555" s="26" t="str">
        <f t="array" ref="F555">_xlfn.XLOOKUP(
 A555,
 tblTargets[TargetID],
 tblTargets[StateType],
 ""
)</f>
        <v/>
      </c>
      <c r="G555" s="26">
        <f>LET(
 id,A555,
 depCount,COUNTIF(tblDependencies[TargetID],id),
 objCount,COUNTIF(tblQuestObjectives[QuestTargetID],id),
 depCount+objCount
)</f>
        <v>1</v>
      </c>
      <c r="H555" s="26">
        <f t="shared" si="2"/>
        <v>1</v>
      </c>
      <c r="I555" s="26">
        <f>IFERROR(__xludf.DUMMYFUNCTION("LET(
 id,A555,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5" s="26">
        <f t="shared" si="3"/>
        <v>0</v>
      </c>
      <c r="K555" s="26" t="b">
        <f t="shared" si="4"/>
        <v>0</v>
      </c>
      <c r="L555" s="26">
        <f t="shared" si="5"/>
        <v>1</v>
      </c>
      <c r="M555" s="26" t="str">
        <f>IFERROR(__xludf.DUMMYFUNCTION("LET(
 id,A555,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L555=0,
  """",
  IFERROR(INDEX(incomplete,1),"""")"&amp;"
 )
)"),"building.furnace.maxed")</f>
        <v>building.furnace.maxed</v>
      </c>
      <c r="N555" s="26" t="str">
        <f t="array" ref="N555">IF(
 M555="",
 "",
 _xlfn.XLOOKUP(
  M555,
  tblTargets[TargetID],
  tblTargets[DisplayName],
  M555
 )
)</f>
        <v>Furnace maxed</v>
      </c>
      <c r="O555" s="26" t="str">
        <f>IFERROR(__xludf.DUMMYFUNCTION("SWITCH(
 E555,
 ""BUILDING"",XLOOKUP(A555,tblBuildings[BuildingID],tblBuildings[costtext],""""),
 ""TECH"",XLOOKUP(A555,tblTechnologies[TechnologyID],tblTechnologies[costtext],""""),
 ""QUEST"",XLOOKUP(
  REGEXREPLACE(A555,""\.[^.]+$"",""""),
  tblQuests["&amp;"QuestID],
  tblQuests[Costtext],
  """"
 ),
 ""CITADEL"",XLOOKUP(A555,tblCitadel[CitadelID],tblCitadel[costtext],""""),
 ""COLLECTION"",XLOOKUP(A555,tblCollections[CollectionID],tblCollections[costtext],""""),
 ""CRAFTIFACT"",XLOOKUP(A555,tblCraftifacts[C"&amp;"raftifactID],tblCraftifacts[costtext],""""),
 """"
)"),"15 blueprint,1000 coin,50 miron,3 ruby")</f>
        <v>15 blueprint,1000 coin,50 miron,3 ruby</v>
      </c>
      <c r="P555" s="26" t="str">
        <f t="shared" si="6"/>
        <v>BLOCKED</v>
      </c>
      <c r="Q555" s="26" t="str">
        <f t="shared" si="7"/>
        <v>BLOCKED</v>
      </c>
      <c r="R555" s="26" t="str">
        <f t="array" ref="R555">IFERROR(
 _xlfn.XLOOKUP(
  A555,
  tblChecklist[TargetID],
  tblChecklist[PlayerSort],
  ""
 ),
 ""
)</f>
        <v/>
      </c>
      <c r="S555" s="26" t="str">
        <f>IFERROR(__xludf.DUMMYFUNCTION("LET(
 id,A555,
 successorIDs,
  IFERROR(
   UNIQUE(
    FILTER(
     {
      Dependencies!$A$2:$A$1000;
      QuestObjectives!$A$2:$A$1000
     },
     {
      Dependencies!$B$2:$B$1000;
      QuestObjectives!$E$2:$E$1000
     }=id
    )
   ),
   """"
  )"&amp;",
 names,
  MAP(
   successorIDs,
   LAMBDA(s,
    IF(
     s="""",
     """",
     XLOOKUP(
      s,
      $A$2:$A$1000,
      $B$2:$B$1000,
      s
     )
    )
   )
  ),
 IF(
  successorIDs="""",
  """",
  TEXTJOIN("", "",TRUE,names)
 )
)"),"")</f>
        <v/>
      </c>
      <c r="T555" s="26" t="str">
        <f t="array" ref="T555">_xlfn.XLOOKUP(
 A555,
 tblTargets[TargetID],
 tblTargets[CompletionMethod],
 ""
)</f>
        <v>PLAYER</v>
      </c>
      <c r="U555" s="84" t="b">
        <f>COUNTIF(tblCost[TargetID],A555)&gt;0</f>
        <v>1</v>
      </c>
      <c r="V555" s="85">
        <f t="array" ref="V555">IF(
 U555=FALSE,
 "",
 _xlfn.XLOOKUP(
  A555,
  tblCost[TargetID],
  tblCost[FundingPercent],
  ""
 )
)</f>
        <v>0</v>
      </c>
      <c r="W555" s="26">
        <f t="array" ref="W555">IF(
 U555=FALSE,
 "",
 _xlfn.XLOOKUP(
  A555,
  tblCost[TargetID],
  tblCost[RemainingRequirements],
  ""
 )
)</f>
        <v>4</v>
      </c>
      <c r="X555" s="45" t="b">
        <f t="array" ref="X555">IF(
 U555=FALSE,
 "N/A",
 _xlfn.XLOOKUP(
  A556,
  tblCost[TargetID],
  tblCost[TargetFunded],
  FALSE
 )
)</f>
        <v>0</v>
      </c>
      <c r="Y555" s="26" t="str">
        <f>IFERROR(__xludf.DUMMYFUNCTION("IFERROR(
 TEXTJOIN(
  "", "",
  TRUE,
  FILTER(
   'cost checklist'!$E$2:$E1000&amp;"": ""&amp;'cost checklist'!$G$2:$G1000,
   'cost checklist'!$B$2:$B1000=A555,
   'cost checklist'!$J$2:$J1000=FALSE
  )
 ),
 """"
)"),"blueprint: 15, coin: 1000, miron: 50, ruby: 3")</f>
        <v>blueprint: 15, coin: 1000, miron: 50, ruby: 3</v>
      </c>
      <c r="Z555" s="26" t="b">
        <f>IFERROR(__xludf.DUMMYFUNCTION("IF(
 AND(
  E555=""QUEST"",
  RIGHT(A555,9)="".accepted"",
  D555=TRUE
 ),
 XLOOKUP(
  REGEXREPLACE(A555,""\.accepted$"","""")&amp;"".finished"",
  $A$2:$A1000,
  $D$2:$D1000,
  TRUE
 )=FALSE,
 FALSE
)"),FALSE)</f>
        <v>0</v>
      </c>
      <c r="AA555" s="26" t="str">
        <f>IFERROR(__xludf.DUMMYFUNCTION("LET(
 id,A555,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6" ht="14.25" customHeight="1">
      <c r="A556" s="26" t="s">
        <v>1793</v>
      </c>
      <c r="B556" s="26" t="str">
        <f t="array" ref="B556">_xlfn.XLOOKUP(
 A556,
 tblTargets[TargetID],
 tblTargets[DisplayName],
 ""
)</f>
        <v>Furnace - Titanium Parts</v>
      </c>
      <c r="C556" s="26" t="str">
        <f t="shared" si="1"/>
        <v>BLOCKED</v>
      </c>
      <c r="D556" s="26" t="b">
        <f>IFERROR(__xludf.DUMMYFUNCTION("LET(
 id,A556,
 IF(
  F556=""CHARACTER"",
  LET(
   base,REGEXREPLACE(id,""@\d+$"",""""),
   required,VALUE(REGEXEXTRACT(id,""@(\d+)$"")),
   current,XLOOKUP(
    base,
    tblPlayer[PlayerStateID],
    tblPlayer[Value],
    0
   ),
   current&gt;=required
 "&amp;" ),
  IF(
   T556=""AUTO"",
   L556=0,
   COUNTIFS(
    tblChecklist[TargetID],id,
    tblChecklist[PlayerCompleted],TRUE
   )&gt;0
  )
 )
)"),FALSE)</f>
        <v>0</v>
      </c>
      <c r="E556" s="26" t="str">
        <f t="array" ref="E556">_xlfn.XLOOKUP(
 A556,
 tblTargets[TargetID],
 tblTargets[TargetType],
 ""
)</f>
        <v>TECH</v>
      </c>
      <c r="F556" s="26" t="str">
        <f t="array" ref="F556">_xlfn.XLOOKUP(
 A556,
 tblTargets[TargetID],
 tblTargets[StateType],
 ""
)</f>
        <v/>
      </c>
      <c r="G556" s="26">
        <f>LET(
 id,A556,
 depCount,COUNTIF(tblDependencies[TargetID],id),
 objCount,COUNTIF(tblQuestObjectives[QuestTargetID],id),
 depCount+objCount
)</f>
        <v>2</v>
      </c>
      <c r="H556" s="26">
        <f t="shared" si="2"/>
        <v>2</v>
      </c>
      <c r="I556" s="26">
        <f>IFERROR(__xludf.DUMMYFUNCTION("LET(
 id,A556,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6" s="26">
        <f t="shared" si="3"/>
        <v>0</v>
      </c>
      <c r="K556" s="26" t="b">
        <f t="shared" si="4"/>
        <v>0</v>
      </c>
      <c r="L556" s="26">
        <f t="shared" si="5"/>
        <v>2</v>
      </c>
      <c r="M556" s="26" t="str">
        <f>IFERROR(__xludf.DUMMYFUNCTION("LET(
 id,A556,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L556=0,
  """",
  IFERROR(INDEX(incomplete,1),"""")"&amp;"
 )
)"),"quest.once_upon_a_forest_chapter_11.finished")</f>
        <v>quest.once_upon_a_forest_chapter_11.finished</v>
      </c>
      <c r="N556" s="26" t="str">
        <f t="array" ref="N556">IF(
 M556="",
 "",
 _xlfn.XLOOKUP(
  M556,
  tblTargets[TargetID],
  tblTargets[DisplayName],
  M556
 )
)</f>
        <v>Once Upon a Forest Chapter 11 Finished</v>
      </c>
      <c r="O556" s="26" t="str">
        <f>IFERROR(__xludf.DUMMYFUNCTION("SWITCH(
 E556,
 ""BUILDING"",XLOOKUP(A556,tblBuildings[BuildingID],tblBuildings[costtext],""""),
 ""TECH"",XLOOKUP(A556,tblTechnologies[TechnologyID],tblTechnologies[costtext],""""),
 ""QUEST"",XLOOKUP(
  REGEXREPLACE(A556,""\.[^.]+$"",""""),
  tblQuests["&amp;"QuestID],
  tblQuests[Costtext],
  """"
 ),
 ""CITADEL"",XLOOKUP(A556,tblCitadel[CitadelID],tblCitadel[costtext],""""),
 ""COLLECTION"",XLOOKUP(A556,tblCollections[CollectionID],tblCollections[costtext],""""),
 ""CRAFTIFACT"",XLOOKUP(A556,tblCraftifacts[C"&amp;"raftifactID],tblCraftifacts[costtext],""""),
 """"
)"),"20 blueprint,500 coin,5 mechanism,10 reagent,3 ruby,10 titanium")</f>
        <v>20 blueprint,500 coin,5 mechanism,10 reagent,3 ruby,10 titanium</v>
      </c>
      <c r="P556" s="26" t="str">
        <f t="shared" si="6"/>
        <v>BLOCKED</v>
      </c>
      <c r="Q556" s="26" t="str">
        <f t="shared" si="7"/>
        <v>BLOCKED</v>
      </c>
      <c r="R556" s="26" t="str">
        <f t="array" ref="R556">IFERROR(
 _xlfn.XLOOKUP(
  A556,
  tblChecklist[TargetID],
  tblChecklist[PlayerSort],
  ""
 ),
 ""
)</f>
        <v/>
      </c>
      <c r="S556" s="26" t="str">
        <f>IFERROR(__xludf.DUMMYFUNCTION("LET(
 id,A556,
 successorIDs,
  IFERROR(
   UNIQUE(
    FILTER(
     {
      Dependencies!$A$2:$A$1000;
      QuestObjectives!$A$2:$A$1000
     },
     {
      Dependencies!$B$2:$B$1000;
      QuestObjectives!$E$2:$E$1000
     }=id
    )
   ),
   """"
  )"&amp;",
 names,
  MAP(
   successorIDs,
   LAMBDA(s,
    IF(
     s="""",
     """",
     XLOOKUP(
      s,
      $A$2:$A$1000,
      $B$2:$B$1000,
      s
     )
    )
   )
  ),
 IF(
  successorIDs="""",
  """",
  TEXTJOIN("", "",TRUE,names)
 )
)"),"Airship - Titanium Longerons, Tailor - Armor For A Hero Lvl 4")</f>
        <v>Airship - Titanium Longerons, Tailor - Armor For A Hero Lvl 4</v>
      </c>
      <c r="T556" s="26" t="str">
        <f t="array" ref="T556">_xlfn.XLOOKUP(
 A556,
 tblTargets[TargetID],
 tblTargets[CompletionMethod],
 ""
)</f>
        <v>PLAYER</v>
      </c>
      <c r="U556" s="84" t="b">
        <f>COUNTIF(tblCost[TargetID],A556)&gt;0</f>
        <v>1</v>
      </c>
      <c r="V556" s="85">
        <f t="array" ref="V556">IF(
 U556=FALSE,
 "",
 _xlfn.XLOOKUP(
  A556,
  tblCost[TargetID],
  tblCost[FundingPercent],
  ""
 )
)</f>
        <v>0</v>
      </c>
      <c r="W556" s="26">
        <f t="array" ref="W556">IF(
 U556=FALSE,
 "",
 _xlfn.XLOOKUP(
  A556,
  tblCost[TargetID],
  tblCost[RemainingRequirements],
  ""
 )
)</f>
        <v>6</v>
      </c>
      <c r="X556" s="45" t="b">
        <f t="array" ref="X556">IF(
 U556=FALSE,
 "N/A",
 _xlfn.XLOOKUP(
  A557,
  tblCost[TargetID],
  tblCost[TargetFunded],
  FALSE
 )
)</f>
        <v>0</v>
      </c>
      <c r="Y556" s="26" t="str">
        <f>IFERROR(__xludf.DUMMYFUNCTION("IFERROR(
 TEXTJOIN(
  "", "",
  TRUE,
  FILTER(
   'cost checklist'!$E$2:$E1000&amp;"": ""&amp;'cost checklist'!$G$2:$G1000,
   'cost checklist'!$B$2:$B1000=A556,
   'cost checklist'!$J$2:$J1000=FALSE
  )
 ),
 """"
)"),"blueprint: 20, coin: 500, mechanism: 5, reagent: 10, ruby: 3, titanium: 10")</f>
        <v>blueprint: 20, coin: 500, mechanism: 5, reagent: 10, ruby: 3, titanium: 10</v>
      </c>
      <c r="Z556" s="26" t="b">
        <f>IFERROR(__xludf.DUMMYFUNCTION("IF(
 AND(
  E556=""QUEST"",
  RIGHT(A556,9)="".accepted"",
  D556=TRUE
 ),
 XLOOKUP(
  REGEXREPLACE(A556,""\.accepted$"","""")&amp;"".finished"",
  $A$2:$A1000,
  $D$2:$D1000,
  TRUE
 )=FALSE,
 FALSE
)"),FALSE)</f>
        <v>0</v>
      </c>
      <c r="AA556" s="26" t="str">
        <f>IFERROR(__xludf.DUMMYFUNCTION("LET(
 id,A556,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7" ht="14.25" customHeight="1">
      <c r="A557" s="26" t="s">
        <v>1795</v>
      </c>
      <c r="B557" s="26" t="str">
        <f t="array" ref="B557">_xlfn.XLOOKUP(
 A557,
 tblTargets[TargetID],
 tblTargets[DisplayName],
 ""
)</f>
        <v>Garden - Sprinkler</v>
      </c>
      <c r="C557" s="26" t="str">
        <f t="shared" si="1"/>
        <v>BLOCKED</v>
      </c>
      <c r="D557" s="26" t="b">
        <f>IFERROR(__xludf.DUMMYFUNCTION("LET(
 id,A557,
 IF(
  F557=""CHARACTER"",
  LET(
   base,REGEXREPLACE(id,""@\d+$"",""""),
   required,VALUE(REGEXEXTRACT(id,""@(\d+)$"")),
   current,XLOOKUP(
    base,
    tblPlayer[PlayerStateID],
    tblPlayer[Value],
    0
   ),
   current&gt;=required
 "&amp;" ),
  IF(
   T557=""AUTO"",
   L557=0,
   COUNTIFS(
    tblChecklist[TargetID],id,
    tblChecklist[PlayerCompleted],TRUE
   )&gt;0
  )
 )
)"),FALSE)</f>
        <v>0</v>
      </c>
      <c r="E557" s="26" t="str">
        <f t="array" ref="E557">_xlfn.XLOOKUP(
 A557,
 tblTargets[TargetID],
 tblTargets[TargetType],
 ""
)</f>
        <v>TECH</v>
      </c>
      <c r="F557" s="26" t="str">
        <f t="array" ref="F557">_xlfn.XLOOKUP(
 A557,
 tblTargets[TargetID],
 tblTargets[StateType],
 ""
)</f>
        <v/>
      </c>
      <c r="G557" s="26">
        <f>LET(
 id,A557,
 depCount,COUNTIF(tblDependencies[TargetID],id),
 objCount,COUNTIF(tblQuestObjectives[QuestTargetID],id),
 depCount+objCount
)</f>
        <v>1</v>
      </c>
      <c r="H557" s="26">
        <f t="shared" si="2"/>
        <v>1</v>
      </c>
      <c r="I557" s="26">
        <f>IFERROR(__xludf.DUMMYFUNCTION("LET(
 id,A557,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7" s="26">
        <f t="shared" si="3"/>
        <v>0</v>
      </c>
      <c r="K557" s="26" t="b">
        <f t="shared" si="4"/>
        <v>0</v>
      </c>
      <c r="L557" s="26">
        <f t="shared" si="5"/>
        <v>1</v>
      </c>
      <c r="M557" s="26" t="str">
        <f>IFERROR(__xludf.DUMMYFUNCTION("LET(
 id,A557,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L557=0,
  """",
  IFERROR(INDEX(incomplete,1),"""")"&amp;"
 )
)"),"building.garden.maxed")</f>
        <v>building.garden.maxed</v>
      </c>
      <c r="N557" s="26" t="str">
        <f t="array" ref="N557">IF(
 M557="",
 "",
 _xlfn.XLOOKUP(
  M557,
  tblTargets[TargetID],
  tblTargets[DisplayName],
  M557
 )
)</f>
        <v>Garden maxed</v>
      </c>
      <c r="O557" s="26" t="str">
        <f>IFERROR(__xludf.DUMMYFUNCTION("SWITCH(
 E557,
 ""BUILDING"",XLOOKUP(A557,tblBuildings[BuildingID],tblBuildings[costtext],""""),
 ""TECH"",XLOOKUP(A557,tblTechnologies[TechnologyID],tblTechnologies[costtext],""""),
 ""QUEST"",XLOOKUP(
  REGEXREPLACE(A557,""\.[^.]+$"",""""),
  tblQuests["&amp;"QuestID],
  tblQuests[Costtext],
  """"
 ),
 ""CITADEL"",XLOOKUP(A557,tblCitadel[CitadelID],tblCitadel[costtext],""""),
 ""COLLECTION"",XLOOKUP(A557,tblCollections[CollectionID],tblCollections[costtext],""""),
 ""CRAFTIFACT"",XLOOKUP(A557,tblCraftifacts[C"&amp;"raftifactID],tblCraftifacts[costtext],""""),
 """"
)"),"30 blueprint,1500 coin,50 miron,6 ruby")</f>
        <v>30 blueprint,1500 coin,50 miron,6 ruby</v>
      </c>
      <c r="P557" s="26" t="str">
        <f t="shared" si="6"/>
        <v>BLOCKED</v>
      </c>
      <c r="Q557" s="26" t="str">
        <f t="shared" si="7"/>
        <v>BLOCKED</v>
      </c>
      <c r="R557" s="26" t="str">
        <f t="array" ref="R557">IFERROR(
 _xlfn.XLOOKUP(
  A557,
  tblChecklist[TargetID],
  tblChecklist[PlayerSort],
  ""
 ),
 ""
)</f>
        <v/>
      </c>
      <c r="S557" s="26" t="str">
        <f>IFERROR(__xludf.DUMMYFUNCTION("LET(
 id,A557,
 successorIDs,
  IFERROR(
   UNIQUE(
    FILTER(
     {
      Dependencies!$A$2:$A$1000;
      QuestObjectives!$A$2:$A$1000
     },
     {
      Dependencies!$B$2:$B$1000;
      QuestObjectives!$E$2:$E$1000
     }=id
    )
   ),
   """"
  )"&amp;",
 names,
  MAP(
   successorIDs,
   LAMBDA(s,
    IF(
     s="""",
     """",
     XLOOKUP(
      s,
      $A$2:$A$1000,
      $B$2:$B$1000,
      s
     )
    )
   )
  ),
 IF(
  successorIDs="""",
  """",
  TEXTJOIN("", "",TRUE,names)
 )
)"),"")</f>
        <v/>
      </c>
      <c r="T557" s="26" t="str">
        <f t="array" ref="T557">_xlfn.XLOOKUP(
 A557,
 tblTargets[TargetID],
 tblTargets[CompletionMethod],
 ""
)</f>
        <v>PLAYER</v>
      </c>
      <c r="U557" s="84" t="b">
        <f>COUNTIF(tblCost[TargetID],A557)&gt;0</f>
        <v>1</v>
      </c>
      <c r="V557" s="85">
        <f t="array" ref="V557">IF(
 U557=FALSE,
 "",
 _xlfn.XLOOKUP(
  A557,
  tblCost[TargetID],
  tblCost[FundingPercent],
  ""
 )
)</f>
        <v>0</v>
      </c>
      <c r="W557" s="26">
        <f t="array" ref="W557">IF(
 U557=FALSE,
 "",
 _xlfn.XLOOKUP(
  A557,
  tblCost[TargetID],
  tblCost[RemainingRequirements],
  ""
 )
)</f>
        <v>4</v>
      </c>
      <c r="X557" s="45" t="b">
        <f t="array" ref="X557">IF(
 U557=FALSE,
 "N/A",
 _xlfn.XLOOKUP(
  A558,
  tblCost[TargetID],
  tblCost[TargetFunded],
  FALSE
 )
)</f>
        <v>0</v>
      </c>
      <c r="Y557" s="26" t="str">
        <f>IFERROR(__xludf.DUMMYFUNCTION("IFERROR(
 TEXTJOIN(
  "", "",
  TRUE,
  FILTER(
   'cost checklist'!$E$2:$E1000&amp;"": ""&amp;'cost checklist'!$G$2:$G1000,
   'cost checklist'!$B$2:$B1000=A557,
   'cost checklist'!$J$2:$J1000=FALSE
  )
 ),
 """"
)"),"blueprint: 30, coin: 1500, miron: 50, ruby: 6")</f>
        <v>blueprint: 30, coin: 1500, miron: 50, ruby: 6</v>
      </c>
      <c r="Z557" s="26" t="b">
        <f>IFERROR(__xludf.DUMMYFUNCTION("IF(
 AND(
  E557=""QUEST"",
  RIGHT(A557,9)="".accepted"",
  D557=TRUE
 ),
 XLOOKUP(
  REGEXREPLACE(A557,""\.accepted$"","""")&amp;"".finished"",
  $A$2:$A1000,
  $D$2:$D1000,
  TRUE
 )=FALSE,
 FALSE
)"),FALSE)</f>
        <v>0</v>
      </c>
      <c r="AA557" s="26" t="str">
        <f>IFERROR(__xludf.DUMMYFUNCTION("LET(
 id,A557,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8" ht="14.25" customHeight="1">
      <c r="A558" s="26" t="s">
        <v>1798</v>
      </c>
      <c r="B558" s="26" t="str">
        <f t="array" ref="B558">_xlfn.XLOOKUP(
 A558,
 tblTargets[TargetID],
 tblTargets[DisplayName],
 ""
)</f>
        <v>Laboratory - Digitization</v>
      </c>
      <c r="C558" s="26" t="str">
        <f t="shared" si="1"/>
        <v>BLOCKED</v>
      </c>
      <c r="D558" s="26" t="b">
        <f>IFERROR(__xludf.DUMMYFUNCTION("LET(
 id,A558,
 IF(
  F558=""CHARACTER"",
  LET(
   base,REGEXREPLACE(id,""@\d+$"",""""),
   required,VALUE(REGEXEXTRACT(id,""@(\d+)$"")),
   current,XLOOKUP(
    base,
    tblPlayer[PlayerStateID],
    tblPlayer[Value],
    0
   ),
   current&gt;=required
 "&amp;" ),
  IF(
   T558=""AUTO"",
   L558=0,
   COUNTIFS(
    tblChecklist[TargetID],id,
    tblChecklist[PlayerCompleted],TRUE
   )&gt;0
  )
 )
)"),FALSE)</f>
        <v>0</v>
      </c>
      <c r="E558" s="26" t="str">
        <f t="array" ref="E558">_xlfn.XLOOKUP(
 A558,
 tblTargets[TargetID],
 tblTargets[TargetType],
 ""
)</f>
        <v>TECH</v>
      </c>
      <c r="F558" s="26" t="str">
        <f t="array" ref="F558">_xlfn.XLOOKUP(
 A558,
 tblTargets[TargetID],
 tblTargets[StateType],
 ""
)</f>
        <v/>
      </c>
      <c r="G558" s="26">
        <f>LET(
 id,A558,
 depCount,COUNTIF(tblDependencies[TargetID],id),
 objCount,COUNTIF(tblQuestObjectives[QuestTargetID],id),
 depCount+objCount
)</f>
        <v>3</v>
      </c>
      <c r="H558" s="26">
        <f t="shared" si="2"/>
        <v>3</v>
      </c>
      <c r="I558" s="26">
        <f>IFERROR(__xludf.DUMMYFUNCTION("LET(
 id,A558,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8" s="26">
        <f t="shared" si="3"/>
        <v>0</v>
      </c>
      <c r="K558" s="26" t="b">
        <f t="shared" si="4"/>
        <v>0</v>
      </c>
      <c r="L558" s="26">
        <f t="shared" si="5"/>
        <v>3</v>
      </c>
      <c r="M558" s="26" t="str">
        <f>IFERROR(__xludf.DUMMYFUNCTION("LET(
 id,A558,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L558=0,
  """",
  IFERROR(INDEX(incomplete,1),"""")"&amp;"
 )
)"),"building.laboratory_data_center.maxed")</f>
        <v>building.laboratory_data_center.maxed</v>
      </c>
      <c r="N558" s="26" t="str">
        <f t="array" ref="N558">IF(
 M558="",
 "",
 _xlfn.XLOOKUP(
  M558,
  tblTargets[TargetID],
  tblTargets[DisplayName],
  M558
 )
)</f>
        <v>Laboratory: Data Center maxed</v>
      </c>
      <c r="O558" s="26" t="str">
        <f>IFERROR(__xludf.DUMMYFUNCTION("SWITCH(
 E558,
 ""BUILDING"",XLOOKUP(A558,tblBuildings[BuildingID],tblBuildings[costtext],""""),
 ""TECH"",XLOOKUP(A558,tblTechnologies[TechnologyID],tblTechnologies[costtext],""""),
 ""QUEST"",XLOOKUP(
  REGEXREPLACE(A558,""\.[^.]+$"",""""),
  tblQuests["&amp;"QuestID],
  tblQuests[Costtext],
  """"
 ),
 ""CITADEL"",XLOOKUP(A558,tblCitadel[CitadelID],tblCitadel[costtext],""""),
 ""COLLECTION"",XLOOKUP(A558,tblCollections[CollectionID],tblCollections[costtext],""""),
 ""CRAFTIFACT"",XLOOKUP(A558,tblCraftifacts[C"&amp;"raftifactID],tblCraftifacts[costtext],""""),
 """"
)"),"30 blueprint,100 chemicals,1000 coin,20 floppy,30 mechanism,20 microchip,40 paper,20 quartz,5 ruby")</f>
        <v>30 blueprint,100 chemicals,1000 coin,20 floppy,30 mechanism,20 microchip,40 paper,20 quartz,5 ruby</v>
      </c>
      <c r="P558" s="26" t="str">
        <f t="shared" si="6"/>
        <v>BLOCKED</v>
      </c>
      <c r="Q558" s="26" t="str">
        <f t="shared" si="7"/>
        <v>BLOCKED</v>
      </c>
      <c r="R558" s="26" t="str">
        <f t="array" ref="R558">IFERROR(
 _xlfn.XLOOKUP(
  A558,
  tblChecklist[TargetID],
  tblChecklist[PlayerSort],
  ""
 ),
 ""
)</f>
        <v/>
      </c>
      <c r="S558" s="26" t="str">
        <f>IFERROR(__xludf.DUMMYFUNCTION("LET(
 id,A558,
 successorIDs,
  IFERROR(
   UNIQUE(
    FILTER(
     {
      Dependencies!$A$2:$A$1000;
      QuestObjectives!$A$2:$A$1000
     },
     {
      Dependencies!$B$2:$B$1000;
      QuestObjectives!$E$2:$E$1000
     }=id
    )
   ),
   """"
  )"&amp;",
 names,
  MAP(
   successorIDs,
   LAMBDA(s,
    IF(
     s="""",
     """",
     XLOOKUP(
      s,
      $A$2:$A$1000,
      $B$2:$B$1000,
      s
     )
    )
   )
  ),
 IF(
  successorIDs="""",
  """",
  TEXTJOIN("", "",TRUE,names)
 )
)"),"Ahead of Time Chapter 5 Finished")</f>
        <v>Ahead of Time Chapter 5 Finished</v>
      </c>
      <c r="T558" s="26" t="str">
        <f t="array" ref="T558">_xlfn.XLOOKUP(
 A558,
 tblTargets[TargetID],
 tblTargets[CompletionMethod],
 ""
)</f>
        <v>PLAYER</v>
      </c>
      <c r="U558" s="84" t="b">
        <f>COUNTIF(tblCost[TargetID],A558)&gt;0</f>
        <v>1</v>
      </c>
      <c r="V558" s="85">
        <f t="array" ref="V558">IF(
 U558=FALSE,
 "",
 _xlfn.XLOOKUP(
  A558,
  tblCost[TargetID],
  tblCost[FundingPercent],
  ""
 )
)</f>
        <v>0</v>
      </c>
      <c r="W558" s="26">
        <f t="array" ref="W558">IF(
 U558=FALSE,
 "",
 _xlfn.XLOOKUP(
  A558,
  tblCost[TargetID],
  tblCost[RemainingRequirements],
  ""
 )
)</f>
        <v>9</v>
      </c>
      <c r="X558" s="45" t="b">
        <f t="array" ref="X558">IF(
 U558=FALSE,
 "N/A",
 _xlfn.XLOOKUP(
  A559,
  tblCost[TargetID],
  tblCost[TargetFunded],
  FALSE
 )
)</f>
        <v>0</v>
      </c>
      <c r="Y558" s="26" t="str">
        <f>IFERROR(__xludf.DUMMYFUNCTION("IFERROR(
 TEXTJOIN(
  "", "",
  TRUE,
  FILTER(
   'cost checklist'!$E$2:$E1000&amp;"": ""&amp;'cost checklist'!$G$2:$G1000,
   'cost checklist'!$B$2:$B1000=A558,
   'cost checklist'!$J$2:$J1000=FALSE
  )
 ),
 """"
)"),"blueprint: 30, chemicals: 100, coin: 1000, floppy: 20, mechanism: 30, microchip: 20, paper: 40, quartz: 20, ruby: 5")</f>
        <v>blueprint: 30, chemicals: 100, coin: 1000, floppy: 20, mechanism: 30, microchip: 20, paper: 40, quartz: 20, ruby: 5</v>
      </c>
      <c r="Z558" s="26" t="b">
        <f>IFERROR(__xludf.DUMMYFUNCTION("IF(
 AND(
  E558=""QUEST"",
  RIGHT(A558,9)="".accepted"",
  D558=TRUE
 ),
 XLOOKUP(
  REGEXREPLACE(A558,""\.accepted$"","""")&amp;"".finished"",
  $A$2:$A1000,
  $D$2:$D1000,
  TRUE
 )=FALSE,
 FALSE
)"),FALSE)</f>
        <v>0</v>
      </c>
      <c r="AA558" s="26" t="str">
        <f>IFERROR(__xludf.DUMMYFUNCTION("LET(
 id,A558,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59" ht="14.25" customHeight="1">
      <c r="A559" s="26" t="s">
        <v>1800</v>
      </c>
      <c r="B559" s="26" t="str">
        <f t="array" ref="B559">_xlfn.XLOOKUP(
 A559,
 tblTargets[TargetID],
 tblTargets[DisplayName],
 ""
)</f>
        <v>Laboratory - Experiments</v>
      </c>
      <c r="C559" s="26" t="str">
        <f t="shared" si="1"/>
        <v>BLOCKED</v>
      </c>
      <c r="D559" s="26" t="b">
        <f>IFERROR(__xludf.DUMMYFUNCTION("LET(
 id,A559,
 IF(
  F559=""CHARACTER"",
  LET(
   base,REGEXREPLACE(id,""@\d+$"",""""),
   required,VALUE(REGEXEXTRACT(id,""@(\d+)$"")),
   current,XLOOKUP(
    base,
    tblPlayer[PlayerStateID],
    tblPlayer[Value],
    0
   ),
   current&gt;=required
 "&amp;" ),
  IF(
   T559=""AUTO"",
   L559=0,
   COUNTIFS(
    tblChecklist[TargetID],id,
    tblChecklist[PlayerCompleted],TRUE
   )&gt;0
  )
 )
)"),FALSE)</f>
        <v>0</v>
      </c>
      <c r="E559" s="26" t="str">
        <f t="array" ref="E559">_xlfn.XLOOKUP(
 A559,
 tblTargets[TargetID],
 tblTargets[TargetType],
 ""
)</f>
        <v>TECH</v>
      </c>
      <c r="F559" s="26" t="str">
        <f t="array" ref="F559">_xlfn.XLOOKUP(
 A559,
 tblTargets[TargetID],
 tblTargets[StateType],
 ""
)</f>
        <v/>
      </c>
      <c r="G559" s="26">
        <f>LET(
 id,A559,
 depCount,COUNTIF(tblDependencies[TargetID],id),
 objCount,COUNTIF(tblQuestObjectives[QuestTargetID],id),
 depCount+objCount
)</f>
        <v>3</v>
      </c>
      <c r="H559" s="26">
        <f t="shared" si="2"/>
        <v>3</v>
      </c>
      <c r="I559" s="26">
        <f>IFERROR(__xludf.DUMMYFUNCTION("LET(
 id,A559,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59" s="26">
        <f t="shared" si="3"/>
        <v>0</v>
      </c>
      <c r="K559" s="26" t="b">
        <f t="shared" si="4"/>
        <v>0</v>
      </c>
      <c r="L559" s="26">
        <f t="shared" si="5"/>
        <v>3</v>
      </c>
      <c r="M559" s="26" t="str">
        <f>IFERROR(__xludf.DUMMYFUNCTION("LET(
 id,A559,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L559=0,
  """",
  IFERROR(INDEX(incomplete,1),"""")"&amp;"
 )
)"),"tech.laboratory.research_and_development")</f>
        <v>tech.laboratory.research_and_development</v>
      </c>
      <c r="N559" s="26" t="str">
        <f t="array" ref="N559">IF(
 M559="",
 "",
 _xlfn.XLOOKUP(
  M559,
  tblTargets[TargetID],
  tblTargets[DisplayName],
  M559
 )
)</f>
        <v>Laboratory - Research And Development</v>
      </c>
      <c r="O559" s="26" t="str">
        <f>IFERROR(__xludf.DUMMYFUNCTION("SWITCH(
 E559,
 ""BUILDING"",XLOOKUP(A559,tblBuildings[BuildingID],tblBuildings[costtext],""""),
 ""TECH"",XLOOKUP(A559,tblTechnologies[TechnologyID],tblTechnologies[costtext],""""),
 ""QUEST"",XLOOKUP(
  REGEXREPLACE(A559,""\.[^.]+$"",""""),
  tblQuests["&amp;"QuestID],
  tblQuests[Costtext],
  """"
 ),
 ""CITADEL"",XLOOKUP(A559,tblCitadel[CitadelID],tblCitadel[costtext],""""),
 ""COLLECTION"",XLOOKUP(A559,tblCollections[CollectionID],tblCollections[costtext],""""),
 ""CRAFTIFACT"",XLOOKUP(A559,tblCraftifacts[C"&amp;"raftifactID],tblCraftifacts[costtext],""""),
 """"
)"),"40 blueprint,1000 coin,2 diamond,30 floppy,20 mercury,30 microchip,5 ruby,20 tparts,10 violetcrystal")</f>
        <v>40 blueprint,1000 coin,2 diamond,30 floppy,20 mercury,30 microchip,5 ruby,20 tparts,10 violetcrystal</v>
      </c>
      <c r="P559" s="26" t="str">
        <f t="shared" si="6"/>
        <v>BLOCKED</v>
      </c>
      <c r="Q559" s="26" t="str">
        <f t="shared" si="7"/>
        <v>BLOCKED</v>
      </c>
      <c r="R559" s="26" t="str">
        <f t="array" ref="R559">IFERROR(
 _xlfn.XLOOKUP(
  A559,
  tblChecklist[TargetID],
  tblChecklist[PlayerSort],
  ""
 ),
 ""
)</f>
        <v/>
      </c>
      <c r="S559" s="26" t="str">
        <f>IFERROR(__xludf.DUMMYFUNCTION("LET(
 id,A559,
 successorIDs,
  IFERROR(
   UNIQUE(
    FILTER(
     {
      Dependencies!$A$2:$A$1000;
      QuestObjectives!$A$2:$A$1000
     },
     {
      Dependencies!$B$2:$B$1000;
      QuestObjectives!$E$2:$E$1000
     }=id
    )
   ),
   """"
  )"&amp;",
 names,
  MAP(
   successorIDs,
   LAMBDA(s,
    IF(
     s="""",
     """",
     XLOOKUP(
      s,
      $A$2:$A$1000,
      $B$2:$B$1000,
      s
     )
    )
   )
  ),
 IF(
  successorIDs="""",
  """",
  TEXTJOIN("", "",TRUE,names)
 )
)"),"Ahead of Time Chapter 5 Finished")</f>
        <v>Ahead of Time Chapter 5 Finished</v>
      </c>
      <c r="T559" s="26" t="str">
        <f t="array" ref="T559">_xlfn.XLOOKUP(
 A559,
 tblTargets[TargetID],
 tblTargets[CompletionMethod],
 ""
)</f>
        <v>PLAYER</v>
      </c>
      <c r="U559" s="84" t="b">
        <f>COUNTIF(tblCost[TargetID],A559)&gt;0</f>
        <v>1</v>
      </c>
      <c r="V559" s="85">
        <f t="array" ref="V559">IF(
 U559=FALSE,
 "",
 _xlfn.XLOOKUP(
  A559,
  tblCost[TargetID],
  tblCost[FundingPercent],
  ""
 )
)</f>
        <v>0</v>
      </c>
      <c r="W559" s="26">
        <f t="array" ref="W559">IF(
 U559=FALSE,
 "",
 _xlfn.XLOOKUP(
  A559,
  tblCost[TargetID],
  tblCost[RemainingRequirements],
  ""
 )
)</f>
        <v>9</v>
      </c>
      <c r="X559" s="45" t="b">
        <f t="array" ref="X559">IF(
 U559=FALSE,
 "N/A",
 _xlfn.XLOOKUP(
  A560,
  tblCost[TargetID],
  tblCost[TargetFunded],
  FALSE
 )
)</f>
        <v>0</v>
      </c>
      <c r="Y559" s="26" t="str">
        <f>IFERROR(__xludf.DUMMYFUNCTION("IFERROR(
 TEXTJOIN(
  "", "",
  TRUE,
  FILTER(
   'cost checklist'!$E$2:$E1000&amp;"": ""&amp;'cost checklist'!$G$2:$G1000,
   'cost checklist'!$B$2:$B1000=A559,
   'cost checklist'!$J$2:$J1000=FALSE
  )
 ),
 """"
)"),"blueprint: 40, coin: 1000, diamond: 2, floppy: 30, mercury: 20, microchip: 30, ruby: 5, tparts: 20, violetcrystal: 10")</f>
        <v>blueprint: 40, coin: 1000, diamond: 2, floppy: 30, mercury: 20, microchip: 30, ruby: 5, tparts: 20, violetcrystal: 10</v>
      </c>
      <c r="Z559" s="26" t="b">
        <f>IFERROR(__xludf.DUMMYFUNCTION("IF(
 AND(
  E559=""QUEST"",
  RIGHT(A559,9)="".accepted"",
  D559=TRUE
 ),
 XLOOKUP(
  REGEXREPLACE(A559,""\.accepted$"","""")&amp;"".finished"",
  $A$2:$A1000,
  $D$2:$D1000,
  TRUE
 )=FALSE,
 FALSE
)"),FALSE)</f>
        <v>0</v>
      </c>
      <c r="AA559" s="26" t="str">
        <f>IFERROR(__xludf.DUMMYFUNCTION("LET(
 id,A559,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0" ht="14.25" customHeight="1">
      <c r="A560" s="26" t="s">
        <v>1802</v>
      </c>
      <c r="B560" s="26" t="str">
        <f t="array" ref="B560">_xlfn.XLOOKUP(
 A560,
 tblTargets[TargetID],
 tblTargets[DisplayName],
 ""
)</f>
        <v>Laboratory - Research And Development</v>
      </c>
      <c r="C560" s="26" t="str">
        <f t="shared" si="1"/>
        <v>BLOCKED</v>
      </c>
      <c r="D560" s="26" t="b">
        <f>IFERROR(__xludf.DUMMYFUNCTION("LET(
 id,A560,
 IF(
  F560=""CHARACTER"",
  LET(
   base,REGEXREPLACE(id,""@\d+$"",""""),
   required,VALUE(REGEXEXTRACT(id,""@(\d+)$"")),
   current,XLOOKUP(
    base,
    tblPlayer[PlayerStateID],
    tblPlayer[Value],
    0
   ),
   current&gt;=required
 "&amp;" ),
  IF(
   T560=""AUTO"",
   L560=0,
   COUNTIFS(
    tblChecklist[TargetID],id,
    tblChecklist[PlayerCompleted],TRUE
   )&gt;0
  )
 )
)"),FALSE)</f>
        <v>0</v>
      </c>
      <c r="E560" s="26" t="str">
        <f t="array" ref="E560">_xlfn.XLOOKUP(
 A560,
 tblTargets[TargetID],
 tblTargets[TargetType],
 ""
)</f>
        <v>TECH</v>
      </c>
      <c r="F560" s="26" t="str">
        <f t="array" ref="F560">_xlfn.XLOOKUP(
 A560,
 tblTargets[TargetID],
 tblTargets[StateType],
 ""
)</f>
        <v/>
      </c>
      <c r="G560" s="26">
        <f>LET(
 id,A560,
 depCount,COUNTIF(tblDependencies[TargetID],id),
 objCount,COUNTIF(tblQuestObjectives[QuestTargetID],id),
 depCount+objCount
)</f>
        <v>3</v>
      </c>
      <c r="H560" s="26">
        <f t="shared" si="2"/>
        <v>3</v>
      </c>
      <c r="I560" s="26">
        <f>IFERROR(__xludf.DUMMYFUNCTION("LET(
 id,A560,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0" s="26">
        <f t="shared" si="3"/>
        <v>0</v>
      </c>
      <c r="K560" s="26" t="b">
        <f t="shared" si="4"/>
        <v>0</v>
      </c>
      <c r="L560" s="26">
        <f t="shared" si="5"/>
        <v>3</v>
      </c>
      <c r="M560" s="26" t="str">
        <f>IFERROR(__xludf.DUMMYFUNCTION("LET(
 id,A560,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L560=0,
  """",
  IFERROR(INDEX(incomplete,1),"""")"&amp;"
 )
)"),"building.laboratory_data_center.maxed")</f>
        <v>building.laboratory_data_center.maxed</v>
      </c>
      <c r="N560" s="26" t="str">
        <f t="array" ref="N560">IF(
 M560="",
 "",
 _xlfn.XLOOKUP(
  M560,
  tblTargets[TargetID],
  tblTargets[DisplayName],
  M560
 )
)</f>
        <v>Laboratory: Data Center maxed</v>
      </c>
      <c r="O560" s="26" t="str">
        <f>IFERROR(__xludf.DUMMYFUNCTION("SWITCH(
 E560,
 ""BUILDING"",XLOOKUP(A560,tblBuildings[BuildingID],tblBuildings[costtext],""""),
 ""TECH"",XLOOKUP(A560,tblTechnologies[TechnologyID],tblTechnologies[costtext],""""),
 ""QUEST"",XLOOKUP(
  REGEXREPLACE(A560,""\.[^.]+$"",""""),
  tblQuests["&amp;"QuestID],
  tblQuests[Costtext],
  """"
 ),
 ""CITADEL"",XLOOKUP(A560,tblCitadel[CitadelID],tblCitadel[costtext],""""),
 ""COLLECTION"",XLOOKUP(A560,tblCollections[CollectionID],tblCollections[costtext],""""),
 ""CRAFTIFACT"",XLOOKUP(A560,tblCraftifacts[C"&amp;"raftifactID],tblCraftifacts[costtext],""""),
 """"
)"),"20 amazake,30 blueprint,20 catalyst,1000 coin,10 enzyme,20 floppy,20 microchip,20 reagent,5 ruby")</f>
        <v>20 amazake,30 blueprint,20 catalyst,1000 coin,10 enzyme,20 floppy,20 microchip,20 reagent,5 ruby</v>
      </c>
      <c r="P560" s="26" t="str">
        <f t="shared" si="6"/>
        <v>BLOCKED</v>
      </c>
      <c r="Q560" s="26" t="str">
        <f t="shared" si="7"/>
        <v>BLOCKED</v>
      </c>
      <c r="R560" s="26" t="str">
        <f t="array" ref="R560">IFERROR(
 _xlfn.XLOOKUP(
  A560,
  tblChecklist[TargetID],
  tblChecklist[PlayerSort],
  ""
 ),
 ""
)</f>
        <v/>
      </c>
      <c r="S560" s="26" t="str">
        <f>IFERROR(__xludf.DUMMYFUNCTION("LET(
 id,A560,
 successorIDs,
  IFERROR(
   UNIQUE(
    FILTER(
     {
      Dependencies!$A$2:$A$1000;
      QuestObjectives!$A$2:$A$1000
     },
     {
      Dependencies!$B$2:$B$1000;
      QuestObjectives!$E$2:$E$1000
     }=id
    )
   ),
   """"
  )"&amp;",
 names,
  MAP(
   successorIDs,
   LAMBDA(s,
    IF(
     s="""",
     """",
     XLOOKUP(
      s,
      $A$2:$A$1000,
      $B$2:$B$1000,
      s
     )
    )
   )
  ),
 IF(
  successorIDs="""",
  """",
  TEXTJOIN("", "",TRUE,names)
 )
)"),"Laboratory - Experiments, Ahead of Time Chapter 5 Finished")</f>
        <v>Laboratory - Experiments, Ahead of Time Chapter 5 Finished</v>
      </c>
      <c r="T560" s="26" t="str">
        <f t="array" ref="T560">_xlfn.XLOOKUP(
 A560,
 tblTargets[TargetID],
 tblTargets[CompletionMethod],
 ""
)</f>
        <v>PLAYER</v>
      </c>
      <c r="U560" s="84" t="b">
        <f>COUNTIF(tblCost[TargetID],A560)&gt;0</f>
        <v>1</v>
      </c>
      <c r="V560" s="85">
        <f t="array" ref="V560">IF(
 U560=FALSE,
 "",
 _xlfn.XLOOKUP(
  A560,
  tblCost[TargetID],
  tblCost[FundingPercent],
  ""
 )
)</f>
        <v>0</v>
      </c>
      <c r="W560" s="26">
        <f t="array" ref="W560">IF(
 U560=FALSE,
 "",
 _xlfn.XLOOKUP(
  A560,
  tblCost[TargetID],
  tblCost[RemainingRequirements],
  ""
 )
)</f>
        <v>9</v>
      </c>
      <c r="X560" s="45" t="b">
        <f t="array" ref="X560">IF(
 U560=FALSE,
 "N/A",
 _xlfn.XLOOKUP(
  A561,
  tblCost[TargetID],
  tblCost[TargetFunded],
  FALSE
 )
)</f>
        <v>0</v>
      </c>
      <c r="Y560" s="26" t="str">
        <f>IFERROR(__xludf.DUMMYFUNCTION("IFERROR(
 TEXTJOIN(
  "", "",
  TRUE,
  FILTER(
   'cost checklist'!$E$2:$E1000&amp;"": ""&amp;'cost checklist'!$G$2:$G1000,
   'cost checklist'!$B$2:$B1000=A560,
   'cost checklist'!$J$2:$J1000=FALSE
  )
 ),
 """"
)"),"amazake: 20, blueprint: 30, catalyst: 20, coin: 1000, enzyme: 10, floppy: 20, microchip: 20, reagent: 20, ruby: 5")</f>
        <v>amazake: 20, blueprint: 30, catalyst: 20, coin: 1000, enzyme: 10, floppy: 20, microchip: 20, reagent: 20, ruby: 5</v>
      </c>
      <c r="Z560" s="26" t="b">
        <f>IFERROR(__xludf.DUMMYFUNCTION("IF(
 AND(
  E560=""QUEST"",
  RIGHT(A560,9)="".accepted"",
  D560=TRUE
 ),
 XLOOKUP(
  REGEXREPLACE(A560,""\.accepted$"","""")&amp;"".finished"",
  $A$2:$A1000,
  $D$2:$D1000,
  TRUE
 )=FALSE,
 FALSE
)"),FALSE)</f>
        <v>0</v>
      </c>
      <c r="AA560" s="26" t="str">
        <f>IFERROR(__xludf.DUMMYFUNCTION("LET(
 id,A560,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1" ht="14.25" customHeight="1">
      <c r="A561" s="26" t="s">
        <v>1805</v>
      </c>
      <c r="B561" s="26" t="str">
        <f t="array" ref="B561">_xlfn.XLOOKUP(
 A561,
 tblTargets[TargetID],
 tblTargets[DisplayName],
 ""
)</f>
        <v>Outpost - Arsenal Lvl 1</v>
      </c>
      <c r="C561" s="26" t="str">
        <f t="shared" si="1"/>
        <v>BLOCKED</v>
      </c>
      <c r="D561" s="26" t="b">
        <f>IFERROR(__xludf.DUMMYFUNCTION("LET(
 id,A561,
 IF(
  F561=""CHARACTER"",
  LET(
   base,REGEXREPLACE(id,""@\d+$"",""""),
   required,VALUE(REGEXEXTRACT(id,""@(\d+)$"")),
   current,XLOOKUP(
    base,
    tblPlayer[PlayerStateID],
    tblPlayer[Value],
    0
   ),
   current&gt;=required
 "&amp;" ),
  IF(
   T561=""AUTO"",
   L561=0,
   COUNTIFS(
    tblChecklist[TargetID],id,
    tblChecklist[PlayerCompleted],TRUE
   )&gt;0
  )
 )
)"),FALSE)</f>
        <v>0</v>
      </c>
      <c r="E561" s="26" t="str">
        <f t="array" ref="E561">_xlfn.XLOOKUP(
 A561,
 tblTargets[TargetID],
 tblTargets[TargetType],
 ""
)</f>
        <v>TECH</v>
      </c>
      <c r="F561" s="26" t="str">
        <f t="array" ref="F561">_xlfn.XLOOKUP(
 A561,
 tblTargets[TargetID],
 tblTargets[StateType],
 ""
)</f>
        <v/>
      </c>
      <c r="G561" s="26">
        <f>LET(
 id,A561,
 depCount,COUNTIF(tblDependencies[TargetID],id),
 objCount,COUNTIF(tblQuestObjectives[QuestTargetID],id),
 depCount+objCount
)</f>
        <v>1</v>
      </c>
      <c r="H561" s="26">
        <f t="shared" si="2"/>
        <v>1</v>
      </c>
      <c r="I561" s="26">
        <f>IFERROR(__xludf.DUMMYFUNCTION("LET(
 id,A561,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1" s="26">
        <f t="shared" si="3"/>
        <v>0</v>
      </c>
      <c r="K561" s="26" t="b">
        <f t="shared" si="4"/>
        <v>0</v>
      </c>
      <c r="L561" s="26">
        <f t="shared" si="5"/>
        <v>1</v>
      </c>
      <c r="M561" s="26" t="str">
        <f>IFERROR(__xludf.DUMMYFUNCTION("LET(
 id,A561,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L561=0,
  """",
  IFERROR(INDEX(incomplete,1),"""")"&amp;"
 )
)"),"building.outpost.maxed")</f>
        <v>building.outpost.maxed</v>
      </c>
      <c r="N561" s="26" t="str">
        <f t="array" ref="N561">IF(
 M561="",
 "",
 _xlfn.XLOOKUP(
  M561,
  tblTargets[TargetID],
  tblTargets[DisplayName],
  M561
 )
)</f>
        <v>Outpost maxed</v>
      </c>
      <c r="O561" s="26" t="str">
        <f>IFERROR(__xludf.DUMMYFUNCTION("SWITCH(
 E561,
 ""BUILDING"",XLOOKUP(A561,tblBuildings[BuildingID],tblBuildings[costtext],""""),
 ""TECH"",XLOOKUP(A561,tblTechnologies[TechnologyID],tblTechnologies[costtext],""""),
 ""QUEST"",XLOOKUP(
  REGEXREPLACE(A561,""\.[^.]+$"",""""),
  tblQuests["&amp;"QuestID],
  tblQuests[Costtext],
  """"
 ),
 ""CITADEL"",XLOOKUP(A561,tblCitadel[CitadelID],tblCitadel[costtext],""""),
 ""COLLECTION"",XLOOKUP(A561,tblCollections[CollectionID],tblCollections[costtext],""""),
 ""CRAFTIFACT"",XLOOKUP(A561,tblCraftifacts[C"&amp;"raftifactID],tblCraftifacts[costtext],""""),
 """"
)"),"40 blueprint,1000 coin,400 plank,3 ruby,200 steel")</f>
        <v>40 blueprint,1000 coin,400 plank,3 ruby,200 steel</v>
      </c>
      <c r="P561" s="26" t="str">
        <f t="shared" si="6"/>
        <v>BLOCKED</v>
      </c>
      <c r="Q561" s="26" t="str">
        <f t="shared" si="7"/>
        <v>BLOCKED</v>
      </c>
      <c r="R561" s="26" t="str">
        <f t="array" ref="R561">IFERROR(
 _xlfn.XLOOKUP(
  A561,
  tblChecklist[TargetID],
  tblChecklist[PlayerSort],
  ""
 ),
 ""
)</f>
        <v/>
      </c>
      <c r="S561" s="26" t="str">
        <f>IFERROR(__xludf.DUMMYFUNCTION("LET(
 id,A561,
 successorIDs,
  IFERROR(
   UNIQUE(
    FILTER(
     {
      Dependencies!$A$2:$A$1000;
      QuestObjectives!$A$2:$A$1000
     },
     {
      Dependencies!$B$2:$B$1000;
      QuestObjectives!$E$2:$E$1000
     }=id
    )
   ),
   """"
  )"&amp;",
 names,
  MAP(
   successorIDs,
   LAMBDA(s,
    IF(
     s="""",
     """",
     XLOOKUP(
      s,
      $A$2:$A$1000,
      $B$2:$B$1000,
      s
     )
    )
   )
  ),
 IF(
  successorIDs="""",
  """",
  TEXTJOIN("", "",TRUE,names)
 )
)"),"Outpost - Arsenal Lvl 2")</f>
        <v>Outpost - Arsenal Lvl 2</v>
      </c>
      <c r="T561" s="26" t="str">
        <f t="array" ref="T561">_xlfn.XLOOKUP(
 A561,
 tblTargets[TargetID],
 tblTargets[CompletionMethod],
 ""
)</f>
        <v>PLAYER</v>
      </c>
      <c r="U561" s="84" t="b">
        <f>COUNTIF(tblCost[TargetID],A561)&gt;0</f>
        <v>1</v>
      </c>
      <c r="V561" s="85">
        <f t="array" ref="V561">IF(
 U561=FALSE,
 "",
 _xlfn.XLOOKUP(
  A561,
  tblCost[TargetID],
  tblCost[FundingPercent],
  ""
 )
)</f>
        <v>0</v>
      </c>
      <c r="W561" s="26">
        <f t="array" ref="W561">IF(
 U561=FALSE,
 "",
 _xlfn.XLOOKUP(
  A561,
  tblCost[TargetID],
  tblCost[RemainingRequirements],
  ""
 )
)</f>
        <v>5</v>
      </c>
      <c r="X561" s="45" t="b">
        <f t="array" ref="X561">IF(
 U561=FALSE,
 "N/A",
 _xlfn.XLOOKUP(
  A562,
  tblCost[TargetID],
  tblCost[TargetFunded],
  FALSE
 )
)</f>
        <v>0</v>
      </c>
      <c r="Y561" s="26" t="str">
        <f>IFERROR(__xludf.DUMMYFUNCTION("IFERROR(
 TEXTJOIN(
  "", "",
  TRUE,
  FILTER(
   'cost checklist'!$E$2:$E1000&amp;"": ""&amp;'cost checklist'!$G$2:$G1000,
   'cost checklist'!$B$2:$B1000=A561,
   'cost checklist'!$J$2:$J1000=FALSE
  )
 ),
 """"
)"),"blueprint: 40, coin: 1000, plank: 400, ruby: 3, steel: 200")</f>
        <v>blueprint: 40, coin: 1000, plank: 400, ruby: 3, steel: 200</v>
      </c>
      <c r="Z561" s="26" t="b">
        <f>IFERROR(__xludf.DUMMYFUNCTION("IF(
 AND(
  E561=""QUEST"",
  RIGHT(A561,9)="".accepted"",
  D561=TRUE
 ),
 XLOOKUP(
  REGEXREPLACE(A561,""\.accepted$"","""")&amp;"".finished"",
  $A$2:$A1000,
  $D$2:$D1000,
  TRUE
 )=FALSE,
 FALSE
)"),FALSE)</f>
        <v>0</v>
      </c>
      <c r="AA561" s="26" t="str">
        <f>IFERROR(__xludf.DUMMYFUNCTION("LET(
 id,A561,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2" ht="14.25" customHeight="1">
      <c r="A562" s="26" t="s">
        <v>1807</v>
      </c>
      <c r="B562" s="26" t="str">
        <f t="array" ref="B562">_xlfn.XLOOKUP(
 A562,
 tblTargets[TargetID],
 tblTargets[DisplayName],
 ""
)</f>
        <v>Outpost - Arsenal Lvl 2</v>
      </c>
      <c r="C562" s="26" t="str">
        <f t="shared" si="1"/>
        <v>BLOCKED</v>
      </c>
      <c r="D562" s="26" t="b">
        <f>IFERROR(__xludf.DUMMYFUNCTION("LET(
 id,A562,
 IF(
  F562=""CHARACTER"",
  LET(
   base,REGEXREPLACE(id,""@\d+$"",""""),
   required,VALUE(REGEXEXTRACT(id,""@(\d+)$"")),
   current,XLOOKUP(
    base,
    tblPlayer[PlayerStateID],
    tblPlayer[Value],
    0
   ),
   current&gt;=required
 "&amp;" ),
  IF(
   T562=""AUTO"",
   L562=0,
   COUNTIFS(
    tblChecklist[TargetID],id,
    tblChecklist[PlayerCompleted],TRUE
   )&gt;0
  )
 )
)"),FALSE)</f>
        <v>0</v>
      </c>
      <c r="E562" s="26" t="str">
        <f t="array" ref="E562">_xlfn.XLOOKUP(
 A562,
 tblTargets[TargetID],
 tblTargets[TargetType],
 ""
)</f>
        <v>TECH</v>
      </c>
      <c r="F562" s="26" t="str">
        <f t="array" ref="F562">_xlfn.XLOOKUP(
 A562,
 tblTargets[TargetID],
 tblTargets[StateType],
 ""
)</f>
        <v/>
      </c>
      <c r="G562" s="26">
        <f>LET(
 id,A562,
 depCount,COUNTIF(tblDependencies[TargetID],id),
 objCount,COUNTIF(tblQuestObjectives[QuestTargetID],id),
 depCount+objCount
)</f>
        <v>2</v>
      </c>
      <c r="H562" s="26">
        <f t="shared" si="2"/>
        <v>2</v>
      </c>
      <c r="I562" s="26">
        <f>IFERROR(__xludf.DUMMYFUNCTION("LET(
 id,A562,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2" s="26">
        <f t="shared" si="3"/>
        <v>0</v>
      </c>
      <c r="K562" s="26" t="b">
        <f t="shared" si="4"/>
        <v>0</v>
      </c>
      <c r="L562" s="26">
        <f t="shared" si="5"/>
        <v>2</v>
      </c>
      <c r="M562" s="26" t="str">
        <f>IFERROR(__xludf.DUMMYFUNCTION("LET(
 id,A562,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L562=0,
  """",
  IFERROR(INDEX(incomplete,1),"""")"&amp;"
 )
)"),"tech.outpost.arsenal_lvl_1")</f>
        <v>tech.outpost.arsenal_lvl_1</v>
      </c>
      <c r="N562" s="26" t="str">
        <f t="array" ref="N562">IF(
 M562="",
 "",
 _xlfn.XLOOKUP(
  M562,
  tblTargets[TargetID],
  tblTargets[DisplayName],
  M562
 )
)</f>
        <v>Outpost - Arsenal Lvl 1</v>
      </c>
      <c r="O562" s="26" t="str">
        <f>IFERROR(__xludf.DUMMYFUNCTION("SWITCH(
 E562,
 ""BUILDING"",XLOOKUP(A562,tblBuildings[BuildingID],tblBuildings[costtext],""""),
 ""TECH"",XLOOKUP(A562,tblTechnologies[TechnologyID],tblTechnologies[costtext],""""),
 ""QUEST"",XLOOKUP(
  REGEXREPLACE(A562,""\.[^.]+$"",""""),
  tblQuests["&amp;"QuestID],
  tblQuests[Costtext],
  """"
 ),
 ""CITADEL"",XLOOKUP(A562,tblCitadel[CitadelID],tblCitadel[costtext],""""),
 ""COLLECTION"",XLOOKUP(A562,tblCollections[CollectionID],tblCollections[costtext],""""),
 ""CRAFTIFACT"",XLOOKUP(A562,tblCraftifacts[C"&amp;"raftifactID],tblCraftifacts[costtext],""""),
 """"
)"),"60 blueprint,1500 coin,600 plank,5 ruby,300 steel")</f>
        <v>60 blueprint,1500 coin,600 plank,5 ruby,300 steel</v>
      </c>
      <c r="P562" s="26" t="str">
        <f t="shared" si="6"/>
        <v>BLOCKED</v>
      </c>
      <c r="Q562" s="26" t="str">
        <f t="shared" si="7"/>
        <v>BLOCKED</v>
      </c>
      <c r="R562" s="26" t="str">
        <f t="array" ref="R562">IFERROR(
 _xlfn.XLOOKUP(
  A562,
  tblChecklist[TargetID],
  tblChecklist[PlayerSort],
  ""
 ),
 ""
)</f>
        <v/>
      </c>
      <c r="S562" s="26" t="str">
        <f>IFERROR(__xludf.DUMMYFUNCTION("LET(
 id,A562,
 successorIDs,
  IFERROR(
   UNIQUE(
    FILTER(
     {
      Dependencies!$A$2:$A$1000;
      QuestObjectives!$A$2:$A$1000
     },
     {
      Dependencies!$B$2:$B$1000;
      QuestObjectives!$E$2:$E$1000
     }=id
    )
   ),
   """"
  )"&amp;",
 names,
  MAP(
   successorIDs,
   LAMBDA(s,
    IF(
     s="""",
     """",
     XLOOKUP(
      s,
      $A$2:$A$1000,
      $B$2:$B$1000,
      s
     )
    )
   )
  ),
 IF(
  successorIDs="""",
  """",
  TEXTJOIN("", "",TRUE,names)
 )
)"),"")</f>
        <v/>
      </c>
      <c r="T562" s="26" t="str">
        <f t="array" ref="T562">_xlfn.XLOOKUP(
 A562,
 tblTargets[TargetID],
 tblTargets[CompletionMethod],
 ""
)</f>
        <v>PLAYER</v>
      </c>
      <c r="U562" s="84" t="b">
        <f>COUNTIF(tblCost[TargetID],A562)&gt;0</f>
        <v>1</v>
      </c>
      <c r="V562" s="85">
        <f t="array" ref="V562">IF(
 U562=FALSE,
 "",
 _xlfn.XLOOKUP(
  A562,
  tblCost[TargetID],
  tblCost[FundingPercent],
  ""
 )
)</f>
        <v>0</v>
      </c>
      <c r="W562" s="26">
        <f t="array" ref="W562">IF(
 U562=FALSE,
 "",
 _xlfn.XLOOKUP(
  A562,
  tblCost[TargetID],
  tblCost[RemainingRequirements],
  ""
 )
)</f>
        <v>5</v>
      </c>
      <c r="X562" s="45" t="b">
        <f t="array" ref="X562">IF(
 U562=FALSE,
 "N/A",
 _xlfn.XLOOKUP(
  A563,
  tblCost[TargetID],
  tblCost[TargetFunded],
  FALSE
 )
)</f>
        <v>0</v>
      </c>
      <c r="Y562" s="26" t="str">
        <f>IFERROR(__xludf.DUMMYFUNCTION("IFERROR(
 TEXTJOIN(
  "", "",
  TRUE,
  FILTER(
   'cost checklist'!$E$2:$E1000&amp;"": ""&amp;'cost checklist'!$G$2:$G1000,
   'cost checklist'!$B$2:$B1000=A562,
   'cost checklist'!$J$2:$J1000=FALSE
  )
 ),
 """"
)"),"blueprint: 60, coin: 1500, plank: 600, ruby: 5, steel: 300")</f>
        <v>blueprint: 60, coin: 1500, plank: 600, ruby: 5, steel: 300</v>
      </c>
      <c r="Z562" s="26" t="b">
        <f>IFERROR(__xludf.DUMMYFUNCTION("IF(
 AND(
  E562=""QUEST"",
  RIGHT(A562,9)="".accepted"",
  D562=TRUE
 ),
 XLOOKUP(
  REGEXREPLACE(A562,""\.accepted$"","""")&amp;"".finished"",
  $A$2:$A1000,
  $D$2:$D1000,
  TRUE
 )=FALSE,
 FALSE
)"),FALSE)</f>
        <v>0</v>
      </c>
      <c r="AA562" s="26" t="str">
        <f>IFERROR(__xludf.DUMMYFUNCTION("LET(
 id,A562,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3" ht="14.25" customHeight="1">
      <c r="A563" s="26" t="s">
        <v>1809</v>
      </c>
      <c r="B563" s="26" t="str">
        <f t="array" ref="B563">_xlfn.XLOOKUP(
 A563,
 tblTargets[TargetID],
 tblTargets[DisplayName],
 ""
)</f>
        <v>Outpost - Futures Contracts</v>
      </c>
      <c r="C563" s="26" t="str">
        <f t="shared" si="1"/>
        <v>BLOCKED</v>
      </c>
      <c r="D563" s="26" t="b">
        <f>IFERROR(__xludf.DUMMYFUNCTION("LET(
 id,A563,
 IF(
  F563=""CHARACTER"",
  LET(
   base,REGEXREPLACE(id,""@\d+$"",""""),
   required,VALUE(REGEXEXTRACT(id,""@(\d+)$"")),
   current,XLOOKUP(
    base,
    tblPlayer[PlayerStateID],
    tblPlayer[Value],
    0
   ),
   current&gt;=required
 "&amp;" ),
  IF(
   T563=""AUTO"",
   L563=0,
   COUNTIFS(
    tblChecklist[TargetID],id,
    tblChecklist[PlayerCompleted],TRUE
   )&gt;0
  )
 )
)"),FALSE)</f>
        <v>0</v>
      </c>
      <c r="E563" s="26" t="str">
        <f t="array" ref="E563">_xlfn.XLOOKUP(
 A563,
 tblTargets[TargetID],
 tblTargets[TargetType],
 ""
)</f>
        <v>TECH</v>
      </c>
      <c r="F563" s="26" t="str">
        <f t="array" ref="F563">_xlfn.XLOOKUP(
 A563,
 tblTargets[TargetID],
 tblTargets[StateType],
 ""
)</f>
        <v/>
      </c>
      <c r="G563" s="26">
        <f>LET(
 id,A563,
 depCount,COUNTIF(tblDependencies[TargetID],id),
 objCount,COUNTIF(tblQuestObjectives[QuestTargetID],id),
 depCount+objCount
)</f>
        <v>2</v>
      </c>
      <c r="H563" s="26">
        <f t="shared" si="2"/>
        <v>2</v>
      </c>
      <c r="I563" s="26">
        <f>IFERROR(__xludf.DUMMYFUNCTION("LET(
 id,A563,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3" s="26">
        <f t="shared" si="3"/>
        <v>0</v>
      </c>
      <c r="K563" s="26" t="b">
        <f t="shared" si="4"/>
        <v>0</v>
      </c>
      <c r="L563" s="26">
        <f t="shared" si="5"/>
        <v>2</v>
      </c>
      <c r="M563" s="26" t="str">
        <f>IFERROR(__xludf.DUMMYFUNCTION("LET(
 id,A563,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L563=0,
  """",
  IFERROR(INDEX(incomplete,1),"""")"&amp;"
 )
)"),"tech.outpost.optional_contracts")</f>
        <v>tech.outpost.optional_contracts</v>
      </c>
      <c r="N563" s="26" t="str">
        <f t="array" ref="N563">IF(
 M563="",
 "",
 _xlfn.XLOOKUP(
  M563,
  tblTargets[TargetID],
  tblTargets[DisplayName],
  M563
 )
)</f>
        <v>Outpost - Optional Contracts</v>
      </c>
      <c r="O563" s="26" t="str">
        <f>IFERROR(__xludf.DUMMYFUNCTION("SWITCH(
 E563,
 ""BUILDING"",XLOOKUP(A563,tblBuildings[BuildingID],tblBuildings[costtext],""""),
 ""TECH"",XLOOKUP(A563,tblTechnologies[TechnologyID],tblTechnologies[costtext],""""),
 ""QUEST"",XLOOKUP(
  REGEXREPLACE(A563,""\.[^.]+$"",""""),
  tblQuests["&amp;"QuestID],
  tblQuests[Costtext],
  """"
 ),
 ""CITADEL"",XLOOKUP(A563,tblCitadel[CitadelID],tblCitadel[costtext],""""),
 ""COLLECTION"",XLOOKUP(A563,tblCollections[CollectionID],tblCollections[costtext],""""),
 ""CRAFTIFACT"",XLOOKUP(A563,tblCraftifacts[C"&amp;"raftifactID],tblCraftifacts[costtext],""""),
 """"
)"),"40 blueprint,1000 coin,30 paper,50 rice,5 ruby,10 tuna")</f>
        <v>40 blueprint,1000 coin,30 paper,50 rice,5 ruby,10 tuna</v>
      </c>
      <c r="P563" s="26" t="str">
        <f t="shared" si="6"/>
        <v>BLOCKED</v>
      </c>
      <c r="Q563" s="26" t="str">
        <f t="shared" si="7"/>
        <v>BLOCKED</v>
      </c>
      <c r="R563" s="26" t="str">
        <f t="array" ref="R563">IFERROR(
 _xlfn.XLOOKUP(
  A563,
  tblChecklist[TargetID],
  tblChecklist[PlayerSort],
  ""
 ),
 ""
)</f>
        <v/>
      </c>
      <c r="S563" s="26" t="str">
        <f>IFERROR(__xludf.DUMMYFUNCTION("LET(
 id,A563,
 successorIDs,
  IFERROR(
   UNIQUE(
    FILTER(
     {
      Dependencies!$A$2:$A$1000;
      QuestObjectives!$A$2:$A$1000
     },
     {
      Dependencies!$B$2:$B$1000;
      QuestObjectives!$E$2:$E$1000
     }=id
    )
   ),
   """"
  )"&amp;",
 names,
  MAP(
   successorIDs,
   LAMBDA(s,
    IF(
     s="""",
     """",
     XLOOKUP(
      s,
      $A$2:$A$1000,
      $B$2:$B$1000,
      s
     )
    )
   )
  ),
 IF(
  successorIDs="""",
  """",
  TEXTJOIN("", "",TRUE,names)
 )
)"),"")</f>
        <v/>
      </c>
      <c r="T563" s="26" t="str">
        <f t="array" ref="T563">_xlfn.XLOOKUP(
 A563,
 tblTargets[TargetID],
 tblTargets[CompletionMethod],
 ""
)</f>
        <v>PLAYER</v>
      </c>
      <c r="U563" s="84" t="b">
        <f>COUNTIF(tblCost[TargetID],A563)&gt;0</f>
        <v>1</v>
      </c>
      <c r="V563" s="85">
        <f t="array" ref="V563">IF(
 U563=FALSE,
 "",
 _xlfn.XLOOKUP(
  A563,
  tblCost[TargetID],
  tblCost[FundingPercent],
  ""
 )
)</f>
        <v>0</v>
      </c>
      <c r="W563" s="26">
        <f t="array" ref="W563">IF(
 U563=FALSE,
 "",
 _xlfn.XLOOKUP(
  A563,
  tblCost[TargetID],
  tblCost[RemainingRequirements],
  ""
 )
)</f>
        <v>6</v>
      </c>
      <c r="X563" s="45" t="b">
        <f t="array" ref="X563">IF(
 U563=FALSE,
 "N/A",
 _xlfn.XLOOKUP(
  A564,
  tblCost[TargetID],
  tblCost[TargetFunded],
  FALSE
 )
)</f>
        <v>0</v>
      </c>
      <c r="Y563" s="26" t="str">
        <f>IFERROR(__xludf.DUMMYFUNCTION("IFERROR(
 TEXTJOIN(
  "", "",
  TRUE,
  FILTER(
   'cost checklist'!$E$2:$E1000&amp;"": ""&amp;'cost checklist'!$G$2:$G1000,
   'cost checklist'!$B$2:$B1000=A563,
   'cost checklist'!$J$2:$J1000=FALSE
  )
 ),
 """"
)"),"blueprint: 40, coin: 1000, paper: 30, rice: 50, ruby: 5, tuna: 10")</f>
        <v>blueprint: 40, coin: 1000, paper: 30, rice: 50, ruby: 5, tuna: 10</v>
      </c>
      <c r="Z563" s="26" t="b">
        <f>IFERROR(__xludf.DUMMYFUNCTION("IF(
 AND(
  E563=""QUEST"",
  RIGHT(A563,9)="".accepted"",
  D563=TRUE
 ),
 XLOOKUP(
  REGEXREPLACE(A563,""\.accepted$"","""")&amp;"".finished"",
  $A$2:$A1000,
  $D$2:$D1000,
  TRUE
 )=FALSE,
 FALSE
)"),FALSE)</f>
        <v>0</v>
      </c>
      <c r="AA563" s="26" t="str">
        <f>IFERROR(__xludf.DUMMYFUNCTION("LET(
 id,A563,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4" ht="14.25" customHeight="1">
      <c r="A564" s="26" t="s">
        <v>1812</v>
      </c>
      <c r="B564" s="26" t="str">
        <f t="array" ref="B564">_xlfn.XLOOKUP(
 A564,
 tblTargets[TargetID],
 tblTargets[DisplayName],
 ""
)</f>
        <v>Outpost - Optional Contracts</v>
      </c>
      <c r="C564" s="26" t="str">
        <f t="shared" si="1"/>
        <v>BLOCKED</v>
      </c>
      <c r="D564" s="26" t="b">
        <f>IFERROR(__xludf.DUMMYFUNCTION("LET(
 id,A564,
 IF(
  F564=""CHARACTER"",
  LET(
   base,REGEXREPLACE(id,""@\d+$"",""""),
   required,VALUE(REGEXEXTRACT(id,""@(\d+)$"")),
   current,XLOOKUP(
    base,
    tblPlayer[PlayerStateID],
    tblPlayer[Value],
    0
   ),
   current&gt;=required
 "&amp;" ),
  IF(
   T564=""AUTO"",
   L564=0,
   COUNTIFS(
    tblChecklist[TargetID],id,
    tblChecklist[PlayerCompleted],TRUE
   )&gt;0
  )
 )
)"),FALSE)</f>
        <v>0</v>
      </c>
      <c r="E564" s="26" t="str">
        <f t="array" ref="E564">_xlfn.XLOOKUP(
 A564,
 tblTargets[TargetID],
 tblTargets[TargetType],
 ""
)</f>
        <v>TECH</v>
      </c>
      <c r="F564" s="26" t="str">
        <f t="array" ref="F564">_xlfn.XLOOKUP(
 A564,
 tblTargets[TargetID],
 tblTargets[StateType],
 ""
)</f>
        <v/>
      </c>
      <c r="G564" s="26">
        <f>LET(
 id,A564,
 depCount,COUNTIF(tblDependencies[TargetID],id),
 objCount,COUNTIF(tblQuestObjectives[QuestTargetID],id),
 depCount+objCount
)</f>
        <v>1</v>
      </c>
      <c r="H564" s="26">
        <f t="shared" si="2"/>
        <v>1</v>
      </c>
      <c r="I564" s="26">
        <f>IFERROR(__xludf.DUMMYFUNCTION("LET(
 id,A564,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4" s="26">
        <f t="shared" si="3"/>
        <v>0</v>
      </c>
      <c r="K564" s="26" t="b">
        <f t="shared" si="4"/>
        <v>0</v>
      </c>
      <c r="L564" s="26">
        <f t="shared" si="5"/>
        <v>1</v>
      </c>
      <c r="M564" s="26" t="str">
        <f>IFERROR(__xludf.DUMMYFUNCTION("LET(
 id,A564,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L564=0,
  """",
  IFERROR(INDEX(incomplete,1),"""")"&amp;"
 )
)"),"building.outpost.maxed")</f>
        <v>building.outpost.maxed</v>
      </c>
      <c r="N564" s="26" t="str">
        <f t="array" ref="N564">IF(
 M564="",
 "",
 _xlfn.XLOOKUP(
  M564,
  tblTargets[TargetID],
  tblTargets[DisplayName],
  M564
 )
)</f>
        <v>Outpost maxed</v>
      </c>
      <c r="O564" s="26" t="str">
        <f>IFERROR(__xludf.DUMMYFUNCTION("SWITCH(
 E564,
 ""BUILDING"",XLOOKUP(A564,tblBuildings[BuildingID],tblBuildings[costtext],""""),
 ""TECH"",XLOOKUP(A564,tblTechnologies[TechnologyID],tblTechnologies[costtext],""""),
 ""QUEST"",XLOOKUP(
  REGEXREPLACE(A564,""\.[^.]+$"",""""),
  tblQuests["&amp;"QuestID],
  tblQuests[Costtext],
  """"
 ),
 ""CITADEL"",XLOOKUP(A564,tblCitadel[CitadelID],tblCitadel[costtext],""""),
 ""COLLECTION"",XLOOKUP(A564,tblCollections[CollectionID],tblCollections[costtext],""""),
 ""CRAFTIFACT"",XLOOKUP(A564,tblCraftifacts[C"&amp;"raftifactID],tblCraftifacts[costtext],""""),
 """"
)"),"1000 coin,25 oil,40 page,20 paper,3 ruby")</f>
        <v>1000 coin,25 oil,40 page,20 paper,3 ruby</v>
      </c>
      <c r="P564" s="26" t="str">
        <f t="shared" si="6"/>
        <v>BLOCKED</v>
      </c>
      <c r="Q564" s="26" t="str">
        <f t="shared" si="7"/>
        <v>BLOCKED</v>
      </c>
      <c r="R564" s="26" t="str">
        <f t="array" ref="R564">IFERROR(
 _xlfn.XLOOKUP(
  A564,
  tblChecklist[TargetID],
  tblChecklist[PlayerSort],
  ""
 ),
 ""
)</f>
        <v/>
      </c>
      <c r="S564" s="26" t="str">
        <f>IFERROR(__xludf.DUMMYFUNCTION("LET(
 id,A564,
 successorIDs,
  IFERROR(
   UNIQUE(
    FILTER(
     {
      Dependencies!$A$2:$A$1000;
      QuestObjectives!$A$2:$A$1000
     },
     {
      Dependencies!$B$2:$B$1000;
      QuestObjectives!$E$2:$E$1000
     }=id
    )
   ),
   """"
  )"&amp;",
 names,
  MAP(
   successorIDs,
   LAMBDA(s,
    IF(
     s="""",
     """",
     XLOOKUP(
      s,
      $A$2:$A$1000,
      $B$2:$B$1000,
      s
     )
    )
   )
  ),
 IF(
  successorIDs="""",
  """",
  TEXTJOIN("", "",TRUE,names)
 )
)"),"Outpost - Futures Contracts")</f>
        <v>Outpost - Futures Contracts</v>
      </c>
      <c r="T564" s="26" t="str">
        <f t="array" ref="T564">_xlfn.XLOOKUP(
 A564,
 tblTargets[TargetID],
 tblTargets[CompletionMethod],
 ""
)</f>
        <v>PLAYER</v>
      </c>
      <c r="U564" s="84" t="b">
        <f>COUNTIF(tblCost[TargetID],A564)&gt;0</f>
        <v>1</v>
      </c>
      <c r="V564" s="85">
        <f t="array" ref="V564">IF(
 U564=FALSE,
 "",
 _xlfn.XLOOKUP(
  A564,
  tblCost[TargetID],
  tblCost[FundingPercent],
  ""
 )
)</f>
        <v>0</v>
      </c>
      <c r="W564" s="26">
        <f t="array" ref="W564">IF(
 U564=FALSE,
 "",
 _xlfn.XLOOKUP(
  A564,
  tblCost[TargetID],
  tblCost[RemainingRequirements],
  ""
 )
)</f>
        <v>5</v>
      </c>
      <c r="X564" s="45" t="b">
        <f t="array" ref="X564">IF(
 U564=FALSE,
 "N/A",
 _xlfn.XLOOKUP(
  A565,
  tblCost[TargetID],
  tblCost[TargetFunded],
  FALSE
 )
)</f>
        <v>0</v>
      </c>
      <c r="Y564" s="26" t="str">
        <f>IFERROR(__xludf.DUMMYFUNCTION("IFERROR(
 TEXTJOIN(
  "", "",
  TRUE,
  FILTER(
   'cost checklist'!$E$2:$E1000&amp;"": ""&amp;'cost checklist'!$G$2:$G1000,
   'cost checklist'!$B$2:$B1000=A564,
   'cost checklist'!$J$2:$J1000=FALSE
  )
 ),
 """"
)"),"coin: 1000, oil: 25, page: 40, paper: 20, ruby: 3")</f>
        <v>coin: 1000, oil: 25, page: 40, paper: 20, ruby: 3</v>
      </c>
      <c r="Z564" s="26" t="b">
        <f>IFERROR(__xludf.DUMMYFUNCTION("IF(
 AND(
  E564=""QUEST"",
  RIGHT(A564,9)="".accepted"",
  D564=TRUE
 ),
 XLOOKUP(
  REGEXREPLACE(A564,""\.accepted$"","""")&amp;"".finished"",
  $A$2:$A1000,
  $D$2:$D1000,
  TRUE
 )=FALSE,
 FALSE
)"),FALSE)</f>
        <v>0</v>
      </c>
      <c r="AA564" s="26" t="str">
        <f>IFERROR(__xludf.DUMMYFUNCTION("LET(
 id,A564,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5" ht="14.25" customHeight="1">
      <c r="A565" s="26" t="s">
        <v>1814</v>
      </c>
      <c r="B565" s="26" t="str">
        <f t="array" ref="B565">_xlfn.XLOOKUP(
 A565,
 tblTargets[TargetID],
 tblTargets[DisplayName],
 ""
)</f>
        <v>Outpost - Sayonara Tax</v>
      </c>
      <c r="C565" s="26" t="str">
        <f t="shared" si="1"/>
        <v>BLOCKED</v>
      </c>
      <c r="D565" s="26" t="b">
        <f>IFERROR(__xludf.DUMMYFUNCTION("LET(
 id,A565,
 IF(
  F565=""CHARACTER"",
  LET(
   base,REGEXREPLACE(id,""@\d+$"",""""),
   required,VALUE(REGEXEXTRACT(id,""@(\d+)$"")),
   current,XLOOKUP(
    base,
    tblPlayer[PlayerStateID],
    tblPlayer[Value],
    0
   ),
   current&gt;=required
 "&amp;" ),
  IF(
   T565=""AUTO"",
   L565=0,
   COUNTIFS(
    tblChecklist[TargetID],id,
    tblChecklist[PlayerCompleted],TRUE
   )&gt;0
  )
 )
)"),FALSE)</f>
        <v>0</v>
      </c>
      <c r="E565" s="26" t="str">
        <f t="array" ref="E565">_xlfn.XLOOKUP(
 A565,
 tblTargets[TargetID],
 tblTargets[TargetType],
 ""
)</f>
        <v>TECH</v>
      </c>
      <c r="F565" s="26" t="str">
        <f t="array" ref="F565">_xlfn.XLOOKUP(
 A565,
 tblTargets[TargetID],
 tblTargets[StateType],
 ""
)</f>
        <v/>
      </c>
      <c r="G565" s="26">
        <f>LET(
 id,A565,
 depCount,COUNTIF(tblDependencies[TargetID],id),
 objCount,COUNTIF(tblQuestObjectives[QuestTargetID],id),
 depCount+objCount
)</f>
        <v>1</v>
      </c>
      <c r="H565" s="26">
        <f t="shared" si="2"/>
        <v>1</v>
      </c>
      <c r="I565" s="26">
        <f>IFERROR(__xludf.DUMMYFUNCTION("LET(
 id,A565,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5" s="26">
        <f t="shared" si="3"/>
        <v>0</v>
      </c>
      <c r="K565" s="26" t="b">
        <f t="shared" si="4"/>
        <v>0</v>
      </c>
      <c r="L565" s="26">
        <f t="shared" si="5"/>
        <v>1</v>
      </c>
      <c r="M565" s="26" t="str">
        <f>IFERROR(__xludf.DUMMYFUNCTION("LET(
 id,A565,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L565=0,
  """",
  IFERROR(INDEX(incomplete,1),"""")"&amp;"
 )
)"),"building.outpost.maxed")</f>
        <v>building.outpost.maxed</v>
      </c>
      <c r="N565" s="26" t="str">
        <f t="array" ref="N565">IF(
 M565="",
 "",
 _xlfn.XLOOKUP(
  M565,
  tblTargets[TargetID],
  tblTargets[DisplayName],
  M565
 )
)</f>
        <v>Outpost maxed</v>
      </c>
      <c r="O565" s="26" t="str">
        <f>IFERROR(__xludf.DUMMYFUNCTION("SWITCH(
 E565,
 ""BUILDING"",XLOOKUP(A565,tblBuildings[BuildingID],tblBuildings[costtext],""""),
 ""TECH"",XLOOKUP(A565,tblTechnologies[TechnologyID],tblTechnologies[costtext],""""),
 ""QUEST"",XLOOKUP(
  REGEXREPLACE(A565,""\.[^.]+$"",""""),
  tblQuests["&amp;"QuestID],
  tblQuests[Costtext],
  """"
 ),
 ""CITADEL"",XLOOKUP(A565,tblCitadel[CitadelID],tblCitadel[costtext],""""),
 ""COLLECTION"",XLOOKUP(A565,tblCollections[CollectionID],tblCollections[costtext],""""),
 ""CRAFTIFACT"",XLOOKUP(A565,tblCraftifacts[C"&amp;"raftifactID],tblCraftifacts[costtext],""""),
 """"
)"),"30 blueprint,400 coin,20 paper,2 ruby")</f>
        <v>30 blueprint,400 coin,20 paper,2 ruby</v>
      </c>
      <c r="P565" s="26" t="str">
        <f t="shared" si="6"/>
        <v>BLOCKED</v>
      </c>
      <c r="Q565" s="26" t="str">
        <f t="shared" si="7"/>
        <v>BLOCKED</v>
      </c>
      <c r="R565" s="26" t="str">
        <f t="array" ref="R565">IFERROR(
 _xlfn.XLOOKUP(
  A565,
  tblChecklist[TargetID],
  tblChecklist[PlayerSort],
  ""
 ),
 ""
)</f>
        <v/>
      </c>
      <c r="S565" s="26" t="str">
        <f>IFERROR(__xludf.DUMMYFUNCTION("LET(
 id,A565,
 successorIDs,
  IFERROR(
   UNIQUE(
    FILTER(
     {
      Dependencies!$A$2:$A$1000;
      QuestObjectives!$A$2:$A$1000
     },
     {
      Dependencies!$B$2:$B$1000;
      QuestObjectives!$E$2:$E$1000
     }=id
    )
   ),
   """"
  )"&amp;",
 names,
  MAP(
   successorIDs,
   LAMBDA(s,
    IF(
     s="""",
     """",
     XLOOKUP(
      s,
      $A$2:$A$1000,
      $B$2:$B$1000,
      s
     )
    )
   )
  ),
 IF(
  successorIDs="""",
  """",
  TEXTJOIN("", "",TRUE,names)
 )
)"),"")</f>
        <v/>
      </c>
      <c r="T565" s="26" t="str">
        <f t="array" ref="T565">_xlfn.XLOOKUP(
 A565,
 tblTargets[TargetID],
 tblTargets[CompletionMethod],
 ""
)</f>
        <v>PLAYER</v>
      </c>
      <c r="U565" s="84" t="b">
        <f>COUNTIF(tblCost[TargetID],A565)&gt;0</f>
        <v>1</v>
      </c>
      <c r="V565" s="85">
        <f t="array" ref="V565">IF(
 U565=FALSE,
 "",
 _xlfn.XLOOKUP(
  A565,
  tblCost[TargetID],
  tblCost[FundingPercent],
  ""
 )
)</f>
        <v>0</v>
      </c>
      <c r="W565" s="26">
        <f t="array" ref="W565">IF(
 U565=FALSE,
 "",
 _xlfn.XLOOKUP(
  A565,
  tblCost[TargetID],
  tblCost[RemainingRequirements],
  ""
 )
)</f>
        <v>4</v>
      </c>
      <c r="X565" s="45" t="b">
        <f t="array" ref="X565">IF(
 U565=FALSE,
 "N/A",
 _xlfn.XLOOKUP(
  A566,
  tblCost[TargetID],
  tblCost[TargetFunded],
  FALSE
 )
)</f>
        <v>0</v>
      </c>
      <c r="Y565" s="26" t="str">
        <f>IFERROR(__xludf.DUMMYFUNCTION("IFERROR(
 TEXTJOIN(
  "", "",
  TRUE,
  FILTER(
   'cost checklist'!$E$2:$E1000&amp;"": ""&amp;'cost checklist'!$G$2:$G1000,
   'cost checklist'!$B$2:$B1000=A565,
   'cost checklist'!$J$2:$J1000=FALSE
  )
 ),
 """"
)"),"blueprint: 30, coin: 400, paper: 20, ruby: 2")</f>
        <v>blueprint: 30, coin: 400, paper: 20, ruby: 2</v>
      </c>
      <c r="Z565" s="26" t="b">
        <f>IFERROR(__xludf.DUMMYFUNCTION("IF(
 AND(
  E565=""QUEST"",
  RIGHT(A565,9)="".accepted"",
  D565=TRUE
 ),
 XLOOKUP(
  REGEXREPLACE(A565,""\.accepted$"","""")&amp;"".finished"",
  $A$2:$A1000,
  $D$2:$D1000,
  TRUE
 )=FALSE,
 FALSE
)"),FALSE)</f>
        <v>0</v>
      </c>
      <c r="AA565" s="26" t="str">
        <f>IFERROR(__xludf.DUMMYFUNCTION("LET(
 id,A565,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6" ht="14.25" customHeight="1">
      <c r="A566" s="26" t="s">
        <v>1816</v>
      </c>
      <c r="B566" s="26" t="str">
        <f t="array" ref="B566">_xlfn.XLOOKUP(
 A566,
 tblTargets[TargetID],
 tblTargets[DisplayName],
 ""
)</f>
        <v>Outpost - Tax Return On Floppy Disk</v>
      </c>
      <c r="C566" s="26" t="str">
        <f t="shared" si="1"/>
        <v>BLOCKED</v>
      </c>
      <c r="D566" s="26" t="b">
        <f>IFERROR(__xludf.DUMMYFUNCTION("LET(
 id,A566,
 IF(
  F566=""CHARACTER"",
  LET(
   base,REGEXREPLACE(id,""@\d+$"",""""),
   required,VALUE(REGEXEXTRACT(id,""@(\d+)$"")),
   current,XLOOKUP(
    base,
    tblPlayer[PlayerStateID],
    tblPlayer[Value],
    0
   ),
   current&gt;=required
 "&amp;" ),
  IF(
   T566=""AUTO"",
   L566=0,
   COUNTIFS(
    tblChecklist[TargetID],id,
    tblChecklist[PlayerCompleted],TRUE
   )&gt;0
  )
 )
)"),FALSE)</f>
        <v>0</v>
      </c>
      <c r="E566" s="26" t="str">
        <f t="array" ref="E566">_xlfn.XLOOKUP(
 A566,
 tblTargets[TargetID],
 tblTargets[TargetType],
 ""
)</f>
        <v>TECH</v>
      </c>
      <c r="F566" s="26" t="str">
        <f t="array" ref="F566">_xlfn.XLOOKUP(
 A566,
 tblTargets[TargetID],
 tblTargets[StateType],
 ""
)</f>
        <v/>
      </c>
      <c r="G566" s="26">
        <f>LET(
 id,A566,
 depCount,COUNTIF(tblDependencies[TargetID],id),
 objCount,COUNTIF(tblQuestObjectives[QuestTargetID],id),
 depCount+objCount
)</f>
        <v>3</v>
      </c>
      <c r="H566" s="26">
        <f t="shared" si="2"/>
        <v>3</v>
      </c>
      <c r="I566" s="26">
        <f>IFERROR(__xludf.DUMMYFUNCTION("LET(
 id,A566,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6" s="26">
        <f t="shared" si="3"/>
        <v>0</v>
      </c>
      <c r="K566" s="26" t="b">
        <f t="shared" si="4"/>
        <v>0</v>
      </c>
      <c r="L566" s="26">
        <f t="shared" si="5"/>
        <v>3</v>
      </c>
      <c r="M566" s="26" t="str">
        <f>IFERROR(__xludf.DUMMYFUNCTION("LET(
 id,A566,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L566=0,
  """",
  IFERROR(INDEX(incomplete,1),"""")"&amp;"
 )
)"),"quest.ahead_of_time_chapter_4.finished")</f>
        <v>quest.ahead_of_time_chapter_4.finished</v>
      </c>
      <c r="N566" s="26" t="str">
        <f t="array" ref="N566">IF(
 M566="",
 "",
 _xlfn.XLOOKUP(
  M566,
  tblTargets[TargetID],
  tblTargets[DisplayName],
  M566
 )
)</f>
        <v>Ahead of Time Chapter 4 Finished</v>
      </c>
      <c r="O566" s="26" t="str">
        <f>IFERROR(__xludf.DUMMYFUNCTION("SWITCH(
 E566,
 ""BUILDING"",XLOOKUP(A566,tblBuildings[BuildingID],tblBuildings[costtext],""""),
 ""TECH"",XLOOKUP(A566,tblTechnologies[TechnologyID],tblTechnologies[costtext],""""),
 ""QUEST"",XLOOKUP(
  REGEXREPLACE(A566,""\.[^.]+$"",""""),
  tblQuests["&amp;"QuestID],
  tblQuests[Costtext],
  """"
 ),
 ""CITADEL"",XLOOKUP(A566,tblCitadel[CitadelID],tblCitadel[costtext],""""),
 ""COLLECTION"",XLOOKUP(A566,tblCollections[CollectionID],tblCollections[costtext],""""),
 ""CRAFTIFACT"",XLOOKUP(A566,tblCraftifacts[C"&amp;"raftifactID],tblCraftifacts[costtext],""""),
 """"
)"),"30 blueprint,400 coin,40 floppy,30 microchip,3 ruby,200 steel")</f>
        <v>30 blueprint,400 coin,40 floppy,30 microchip,3 ruby,200 steel</v>
      </c>
      <c r="P566" s="26" t="str">
        <f t="shared" si="6"/>
        <v>BLOCKED</v>
      </c>
      <c r="Q566" s="26" t="str">
        <f t="shared" si="7"/>
        <v>BLOCKED</v>
      </c>
      <c r="R566" s="26" t="str">
        <f t="array" ref="R566">IFERROR(
 _xlfn.XLOOKUP(
  A566,
  tblChecklist[TargetID],
  tblChecklist[PlayerSort],
  ""
 ),
 ""
)</f>
        <v/>
      </c>
      <c r="S566" s="26" t="str">
        <f>IFERROR(__xludf.DUMMYFUNCTION("LET(
 id,A566,
 successorIDs,
  IFERROR(
   UNIQUE(
    FILTER(
     {
      Dependencies!$A$2:$A$1000;
      QuestObjectives!$A$2:$A$1000
     },
     {
      Dependencies!$B$2:$B$1000;
      QuestObjectives!$E$2:$E$1000
     }=id
    )
   ),
   """"
  )"&amp;",
 names,
  MAP(
   successorIDs,
   LAMBDA(s,
    IF(
     s="""",
     """",
     XLOOKUP(
      s,
      $A$2:$A$1000,
      $B$2:$B$1000,
      s
     )
    )
   )
  ),
 IF(
  successorIDs="""",
  """",
  TEXTJOIN("", "",TRUE,names)
 )
)"),"")</f>
        <v/>
      </c>
      <c r="T566" s="26" t="str">
        <f t="array" ref="T566">_xlfn.XLOOKUP(
 A566,
 tblTargets[TargetID],
 tblTargets[CompletionMethod],
 ""
)</f>
        <v>PLAYER</v>
      </c>
      <c r="U566" s="84" t="b">
        <f>COUNTIF(tblCost[TargetID],A566)&gt;0</f>
        <v>1</v>
      </c>
      <c r="V566" s="85">
        <f t="array" ref="V566">IF(
 U566=FALSE,
 "",
 _xlfn.XLOOKUP(
  A566,
  tblCost[TargetID],
  tblCost[FundingPercent],
  ""
 )
)</f>
        <v>0</v>
      </c>
      <c r="W566" s="26">
        <f t="array" ref="W566">IF(
 U566=FALSE,
 "",
 _xlfn.XLOOKUP(
  A566,
  tblCost[TargetID],
  tblCost[RemainingRequirements],
  ""
 )
)</f>
        <v>6</v>
      </c>
      <c r="X566" s="45" t="b">
        <f t="array" ref="X566">IF(
 U566=FALSE,
 "N/A",
 _xlfn.XLOOKUP(
  A567,
  tblCost[TargetID],
  tblCost[TargetFunded],
  FALSE
 )
)</f>
        <v>0</v>
      </c>
      <c r="Y566" s="26" t="str">
        <f>IFERROR(__xludf.DUMMYFUNCTION("IFERROR(
 TEXTJOIN(
  "", "",
  TRUE,
  FILTER(
   'cost checklist'!$E$2:$E1000&amp;"": ""&amp;'cost checklist'!$G$2:$G1000,
   'cost checklist'!$B$2:$B1000=A566,
   'cost checklist'!$J$2:$J1000=FALSE
  )
 ),
 """"
)"),"blueprint: 30, coin: 400, floppy: 40, microchip: 30, ruby: 3, steel: 200")</f>
        <v>blueprint: 30, coin: 400, floppy: 40, microchip: 30, ruby: 3, steel: 200</v>
      </c>
      <c r="Z566" s="26" t="b">
        <f>IFERROR(__xludf.DUMMYFUNCTION("IF(
 AND(
  E566=""QUEST"",
  RIGHT(A566,9)="".accepted"",
  D566=TRUE
 ),
 XLOOKUP(
  REGEXREPLACE(A566,""\.accepted$"","""")&amp;"".finished"",
  $A$2:$A1000,
  $D$2:$D1000,
  TRUE
 )=FALSE,
 FALSE
)"),FALSE)</f>
        <v>0</v>
      </c>
      <c r="AA566" s="26" t="str">
        <f>IFERROR(__xludf.DUMMYFUNCTION("LET(
 id,A566,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7" ht="14.25" customHeight="1">
      <c r="A567" s="26" t="s">
        <v>1818</v>
      </c>
      <c r="B567" s="26" t="str">
        <f t="array" ref="B567">_xlfn.XLOOKUP(
 A567,
 tblTargets[TargetID],
 tblTargets[DisplayName],
 ""
)</f>
        <v>Rock Garden - Rake</v>
      </c>
      <c r="C567" s="26" t="str">
        <f t="shared" si="1"/>
        <v>BLOCKED</v>
      </c>
      <c r="D567" s="26" t="b">
        <f>IFERROR(__xludf.DUMMYFUNCTION("LET(
 id,A567,
 IF(
  F567=""CHARACTER"",
  LET(
   base,REGEXREPLACE(id,""@\d+$"",""""),
   required,VALUE(REGEXEXTRACT(id,""@(\d+)$"")),
   current,XLOOKUP(
    base,
    tblPlayer[PlayerStateID],
    tblPlayer[Value],
    0
   ),
   current&gt;=required
 "&amp;" ),
  IF(
   T567=""AUTO"",
   L567=0,
   COUNTIFS(
    tblChecklist[TargetID],id,
    tblChecklist[PlayerCompleted],TRUE
   )&gt;0
  )
 )
)"),FALSE)</f>
        <v>0</v>
      </c>
      <c r="E567" s="26" t="str">
        <f t="array" ref="E567">_xlfn.XLOOKUP(
 A567,
 tblTargets[TargetID],
 tblTargets[TargetType],
 ""
)</f>
        <v>TECH</v>
      </c>
      <c r="F567" s="26" t="str">
        <f t="array" ref="F567">_xlfn.XLOOKUP(
 A567,
 tblTargets[TargetID],
 tblTargets[StateType],
 ""
)</f>
        <v/>
      </c>
      <c r="G567" s="26">
        <f>LET(
 id,A567,
 depCount,COUNTIF(tblDependencies[TargetID],id),
 objCount,COUNTIF(tblQuestObjectives[QuestTargetID],id),
 depCount+objCount
)</f>
        <v>1</v>
      </c>
      <c r="H567" s="26">
        <f t="shared" si="2"/>
        <v>1</v>
      </c>
      <c r="I567" s="26">
        <f>IFERROR(__xludf.DUMMYFUNCTION("LET(
 id,A567,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7" s="26">
        <f t="shared" si="3"/>
        <v>0</v>
      </c>
      <c r="K567" s="26" t="b">
        <f t="shared" si="4"/>
        <v>0</v>
      </c>
      <c r="L567" s="26">
        <f t="shared" si="5"/>
        <v>1</v>
      </c>
      <c r="M567" s="26" t="str">
        <f>IFERROR(__xludf.DUMMYFUNCTION("LET(
 id,A567,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L567=0,
  """",
  IFERROR(INDEX(incomplete,1),"""")"&amp;"
 )
)"),"building.rock_garden.maxed")</f>
        <v>building.rock_garden.maxed</v>
      </c>
      <c r="N567" s="26" t="str">
        <f t="array" ref="N567">IF(
 M567="",
 "",
 _xlfn.XLOOKUP(
  M567,
  tblTargets[TargetID],
  tblTargets[DisplayName],
  M567
 )
)</f>
        <v>Rock Garden maxed</v>
      </c>
      <c r="O567" s="26" t="str">
        <f>IFERROR(__xludf.DUMMYFUNCTION("SWITCH(
 E567,
 ""BUILDING"",XLOOKUP(A567,tblBuildings[BuildingID],tblBuildings[costtext],""""),
 ""TECH"",XLOOKUP(A567,tblTechnologies[TechnologyID],tblTechnologies[costtext],""""),
 ""QUEST"",XLOOKUP(
  REGEXREPLACE(A567,""\.[^.]+$"",""""),
  tblQuests["&amp;"QuestID],
  tblQuests[Costtext],
  """"
 ),
 ""CITADEL"",XLOOKUP(A567,tblCitadel[CitadelID],tblCitadel[costtext],""""),
 ""COLLECTION"",XLOOKUP(A567,tblCollections[CollectionID],tblCollections[costtext],""""),
 ""CRAFTIFACT"",XLOOKUP(A567,tblCraftifacts[C"&amp;"raftifactID],tblCraftifacts[costtext],""""),
 """"
)"),"30 blueprint,1500 coin,50 miron,6 ruby")</f>
        <v>30 blueprint,1500 coin,50 miron,6 ruby</v>
      </c>
      <c r="P567" s="26" t="str">
        <f t="shared" si="6"/>
        <v>BLOCKED</v>
      </c>
      <c r="Q567" s="26" t="str">
        <f t="shared" si="7"/>
        <v>BLOCKED</v>
      </c>
      <c r="R567" s="26" t="str">
        <f t="array" ref="R567">IFERROR(
 _xlfn.XLOOKUP(
  A567,
  tblChecklist[TargetID],
  tblChecklist[PlayerSort],
  ""
 ),
 ""
)</f>
        <v/>
      </c>
      <c r="S567" s="26" t="str">
        <f>IFERROR(__xludf.DUMMYFUNCTION("LET(
 id,A567,
 successorIDs,
  IFERROR(
   UNIQUE(
    FILTER(
     {
      Dependencies!$A$2:$A$1000;
      QuestObjectives!$A$2:$A$1000
     },
     {
      Dependencies!$B$2:$B$1000;
      QuestObjectives!$E$2:$E$1000
     }=id
    )
   ),
   """"
  )"&amp;",
 names,
  MAP(
   successorIDs,
   LAMBDA(s,
    IF(
     s="""",
     """",
     XLOOKUP(
      s,
      $A$2:$A$1000,
      $B$2:$B$1000,
      s
     )
    )
   )
  ),
 IF(
  successorIDs="""",
  """",
  TEXTJOIN("", "",TRUE,names)
 )
)"),"")</f>
        <v/>
      </c>
      <c r="T567" s="26" t="str">
        <f t="array" ref="T567">_xlfn.XLOOKUP(
 A567,
 tblTargets[TargetID],
 tblTargets[CompletionMethod],
 ""
)</f>
        <v>PLAYER</v>
      </c>
      <c r="U567" s="84" t="b">
        <f>COUNTIF(tblCost[TargetID],A567)&gt;0</f>
        <v>1</v>
      </c>
      <c r="V567" s="85">
        <f t="array" ref="V567">IF(
 U567=FALSE,
 "",
 _xlfn.XLOOKUP(
  A567,
  tblCost[TargetID],
  tblCost[FundingPercent],
  ""
 )
)</f>
        <v>0</v>
      </c>
      <c r="W567" s="26">
        <f t="array" ref="W567">IF(
 U567=FALSE,
 "",
 _xlfn.XLOOKUP(
  A567,
  tblCost[TargetID],
  tblCost[RemainingRequirements],
  ""
 )
)</f>
        <v>4</v>
      </c>
      <c r="X567" s="45" t="b">
        <f t="array" ref="X567">IF(
 U567=FALSE,
 "N/A",
 _xlfn.XLOOKUP(
  A568,
  tblCost[TargetID],
  tblCost[TargetFunded],
  FALSE
 )
)</f>
        <v>0</v>
      </c>
      <c r="Y567" s="26" t="str">
        <f>IFERROR(__xludf.DUMMYFUNCTION("IFERROR(
 TEXTJOIN(
  "", "",
  TRUE,
  FILTER(
   'cost checklist'!$E$2:$E1000&amp;"": ""&amp;'cost checklist'!$G$2:$G1000,
   'cost checklist'!$B$2:$B1000=A567,
   'cost checklist'!$J$2:$J1000=FALSE
  )
 ),
 """"
)"),"blueprint: 30, coin: 1500, miron: 50, ruby: 6")</f>
        <v>blueprint: 30, coin: 1500, miron: 50, ruby: 6</v>
      </c>
      <c r="Z567" s="26" t="b">
        <f>IFERROR(__xludf.DUMMYFUNCTION("IF(
 AND(
  E567=""QUEST"",
  RIGHT(A567,9)="".accepted"",
  D567=TRUE
 ),
 XLOOKUP(
  REGEXREPLACE(A567,""\.accepted$"","""")&amp;"".finished"",
  $A$2:$A1000,
  $D$2:$D1000,
  TRUE
 )=FALSE,
 FALSE
)"),FALSE)</f>
        <v>0</v>
      </c>
      <c r="AA567" s="26" t="str">
        <f>IFERROR(__xludf.DUMMYFUNCTION("LET(
 id,A567,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8" ht="14.25" customHeight="1">
      <c r="A568" s="26" t="s">
        <v>1821</v>
      </c>
      <c r="B568" s="26" t="str">
        <f t="array" ref="B568">_xlfn.XLOOKUP(
 A568,
 tblTargets[TargetID],
 tblTargets[DisplayName],
 ""
)</f>
        <v>Shop - Glass Recycling</v>
      </c>
      <c r="C568" s="26" t="str">
        <f t="shared" si="1"/>
        <v>BLOCKED</v>
      </c>
      <c r="D568" s="26" t="b">
        <f>IFERROR(__xludf.DUMMYFUNCTION("LET(
 id,A568,
 IF(
  F568=""CHARACTER"",
  LET(
   base,REGEXREPLACE(id,""@\d+$"",""""),
   required,VALUE(REGEXEXTRACT(id,""@(\d+)$"")),
   current,XLOOKUP(
    base,
    tblPlayer[PlayerStateID],
    tblPlayer[Value],
    0
   ),
   current&gt;=required
 "&amp;" ),
  IF(
   T568=""AUTO"",
   L568=0,
   COUNTIFS(
    tblChecklist[TargetID],id,
    tblChecklist[PlayerCompleted],TRUE
   )&gt;0
  )
 )
)"),FALSE)</f>
        <v>0</v>
      </c>
      <c r="E568" s="26" t="str">
        <f t="array" ref="E568">_xlfn.XLOOKUP(
 A568,
 tblTargets[TargetID],
 tblTargets[TargetType],
 ""
)</f>
        <v>TECH</v>
      </c>
      <c r="F568" s="26" t="str">
        <f t="array" ref="F568">_xlfn.XLOOKUP(
 A568,
 tblTargets[TargetID],
 tblTargets[StateType],
 ""
)</f>
        <v/>
      </c>
      <c r="G568" s="26">
        <f>LET(
 id,A568,
 depCount,COUNTIF(tblDependencies[TargetID],id),
 objCount,COUNTIF(tblQuestObjectives[QuestTargetID],id),
 depCount+objCount
)</f>
        <v>1</v>
      </c>
      <c r="H568" s="26">
        <f t="shared" si="2"/>
        <v>1</v>
      </c>
      <c r="I568" s="26">
        <f>IFERROR(__xludf.DUMMYFUNCTION("LET(
 id,A568,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8" s="26">
        <f t="shared" si="3"/>
        <v>0</v>
      </c>
      <c r="K568" s="26" t="b">
        <f t="shared" si="4"/>
        <v>0</v>
      </c>
      <c r="L568" s="26">
        <f t="shared" si="5"/>
        <v>1</v>
      </c>
      <c r="M568" s="26" t="str">
        <f>IFERROR(__xludf.DUMMYFUNCTION("LET(
 id,A568,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L568=0,
  """",
  IFERROR(INDEX(incomplete,1),"""")"&amp;"
 )
)"),"building.shop.maxed")</f>
        <v>building.shop.maxed</v>
      </c>
      <c r="N568" s="26" t="str">
        <f t="array" ref="N568">IF(
 M568="",
 "",
 _xlfn.XLOOKUP(
  M568,
  tblTargets[TargetID],
  tblTargets[DisplayName],
  M568
 )
)</f>
        <v>shop maxed</v>
      </c>
      <c r="O568" s="26" t="str">
        <f>IFERROR(__xludf.DUMMYFUNCTION("SWITCH(
 E568,
 ""BUILDING"",XLOOKUP(A568,tblBuildings[BuildingID],tblBuildings[costtext],""""),
 ""TECH"",XLOOKUP(A568,tblTechnologies[TechnologyID],tblTechnologies[costtext],""""),
 ""QUEST"",XLOOKUP(
  REGEXREPLACE(A568,""\.[^.]+$"",""""),
  tblQuests["&amp;"QuestID],
  tblQuests[Costtext],
  """"
 ),
 ""CITADEL"",XLOOKUP(A568,tblCitadel[CitadelID],tblCitadel[costtext],""""),
 ""COLLECTION"",XLOOKUP(A568,tblCollections[CollectionID],tblCollections[costtext],""""),
 ""CRAFTIFACT"",XLOOKUP(A568,tblCraftifacts[C"&amp;"raftifactID],tblCraftifacts[costtext],""""),
 """"
)"),"20 blueprint,40 chemicals,500 coin,25 glass,100 plank,5 ruby")</f>
        <v>20 blueprint,40 chemicals,500 coin,25 glass,100 plank,5 ruby</v>
      </c>
      <c r="P568" s="26" t="str">
        <f t="shared" si="6"/>
        <v>BLOCKED</v>
      </c>
      <c r="Q568" s="26" t="str">
        <f t="shared" si="7"/>
        <v>BLOCKED</v>
      </c>
      <c r="R568" s="26" t="str">
        <f t="array" ref="R568">IFERROR(
 _xlfn.XLOOKUP(
  A568,
  tblChecklist[TargetID],
  tblChecklist[PlayerSort],
  ""
 ),
 ""
)</f>
        <v/>
      </c>
      <c r="S568" s="26" t="str">
        <f>IFERROR(__xludf.DUMMYFUNCTION("LET(
 id,A568,
 successorIDs,
  IFERROR(
   UNIQUE(
    FILTER(
     {
      Dependencies!$A$2:$A$1000;
      QuestObjectives!$A$2:$A$1000
     },
     {
      Dependencies!$B$2:$B$1000;
      QuestObjectives!$E$2:$E$1000
     }=id
    )
   ),
   """"
  )"&amp;",
 names,
  MAP(
   successorIDs,
   LAMBDA(s,
    IF(
     s="""",
     """",
     XLOOKUP(
      s,
      $A$2:$A$1000,
      $B$2:$B$1000,
      s
     )
    )
   )
  ),
 IF(
  successorIDs="""",
  """",
  TEXTJOIN("", "",TRUE,names)
 )
)"),"")</f>
        <v/>
      </c>
      <c r="T568" s="26" t="str">
        <f t="array" ref="T568">_xlfn.XLOOKUP(
 A568,
 tblTargets[TargetID],
 tblTargets[CompletionMethod],
 ""
)</f>
        <v>PLAYER</v>
      </c>
      <c r="U568" s="84" t="b">
        <f>COUNTIF(tblCost[TargetID],A568)&gt;0</f>
        <v>1</v>
      </c>
      <c r="V568" s="85">
        <f t="array" ref="V568">IF(
 U568=FALSE,
 "",
 _xlfn.XLOOKUP(
  A568,
  tblCost[TargetID],
  tblCost[FundingPercent],
  ""
 )
)</f>
        <v>0</v>
      </c>
      <c r="W568" s="26">
        <f t="array" ref="W568">IF(
 U568=FALSE,
 "",
 _xlfn.XLOOKUP(
  A568,
  tblCost[TargetID],
  tblCost[RemainingRequirements],
  ""
 )
)</f>
        <v>6</v>
      </c>
      <c r="X568" s="45" t="b">
        <f t="array" ref="X568">IF(
 U568=FALSE,
 "N/A",
 _xlfn.XLOOKUP(
  A569,
  tblCost[TargetID],
  tblCost[TargetFunded],
  FALSE
 )
)</f>
        <v>0</v>
      </c>
      <c r="Y568" s="26" t="str">
        <f>IFERROR(__xludf.DUMMYFUNCTION("IFERROR(
 TEXTJOIN(
  "", "",
  TRUE,
  FILTER(
   'cost checklist'!$E$2:$E1000&amp;"": ""&amp;'cost checklist'!$G$2:$G1000,
   'cost checklist'!$B$2:$B1000=A568,
   'cost checklist'!$J$2:$J1000=FALSE
  )
 ),
 """"
)"),"blueprint: 20, chemicals: 40, coin: 500, glass: 25, plank: 100, ruby: 5")</f>
        <v>blueprint: 20, chemicals: 40, coin: 500, glass: 25, plank: 100, ruby: 5</v>
      </c>
      <c r="Z568" s="26" t="b">
        <f>IFERROR(__xludf.DUMMYFUNCTION("IF(
 AND(
  E568=""QUEST"",
  RIGHT(A568,9)="".accepted"",
  D568=TRUE
 ),
 XLOOKUP(
  REGEXREPLACE(A568,""\.accepted$"","""")&amp;"".finished"",
  $A$2:$A1000,
  $D$2:$D1000,
  TRUE
 )=FALSE,
 FALSE
)"),FALSE)</f>
        <v>0</v>
      </c>
      <c r="AA568" s="26" t="str">
        <f>IFERROR(__xludf.DUMMYFUNCTION("LET(
 id,A568,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69" ht="14.25" customHeight="1">
      <c r="A569" s="26" t="s">
        <v>1823</v>
      </c>
      <c r="B569" s="26" t="str">
        <f t="array" ref="B569">_xlfn.XLOOKUP(
 A569,
 tblTargets[TargetID],
 tblTargets[DisplayName],
 ""
)</f>
        <v>Shop - Pre Orders</v>
      </c>
      <c r="C569" s="26" t="str">
        <f t="shared" si="1"/>
        <v>BLOCKED</v>
      </c>
      <c r="D569" s="26" t="b">
        <f>IFERROR(__xludf.DUMMYFUNCTION("LET(
 id,A569,
 IF(
  F569=""CHARACTER"",
  LET(
   base,REGEXREPLACE(id,""@\d+$"",""""),
   required,VALUE(REGEXEXTRACT(id,""@(\d+)$"")),
   current,XLOOKUP(
    base,
    tblPlayer[PlayerStateID],
    tblPlayer[Value],
    0
   ),
   current&gt;=required
 "&amp;" ),
  IF(
   T569=""AUTO"",
   L569=0,
   COUNTIFS(
    tblChecklist[TargetID],id,
    tblChecklist[PlayerCompleted],TRUE
   )&gt;0
  )
 )
)"),FALSE)</f>
        <v>0</v>
      </c>
      <c r="E569" s="26" t="str">
        <f t="array" ref="E569">_xlfn.XLOOKUP(
 A569,
 tblTargets[TargetID],
 tblTargets[TargetType],
 ""
)</f>
        <v>TECH</v>
      </c>
      <c r="F569" s="26" t="str">
        <f t="array" ref="F569">_xlfn.XLOOKUP(
 A569,
 tblTargets[TargetID],
 tblTargets[StateType],
 ""
)</f>
        <v/>
      </c>
      <c r="G569" s="26">
        <f>LET(
 id,A569,
 depCount,COUNTIF(tblDependencies[TargetID],id),
 objCount,COUNTIF(tblQuestObjectives[QuestTargetID],id),
 depCount+objCount
)</f>
        <v>1</v>
      </c>
      <c r="H569" s="26">
        <f t="shared" si="2"/>
        <v>1</v>
      </c>
      <c r="I569" s="26">
        <f>IFERROR(__xludf.DUMMYFUNCTION("LET(
 id,A569,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69" s="26">
        <f t="shared" si="3"/>
        <v>0</v>
      </c>
      <c r="K569" s="26" t="b">
        <f t="shared" si="4"/>
        <v>0</v>
      </c>
      <c r="L569" s="26">
        <f t="shared" si="5"/>
        <v>1</v>
      </c>
      <c r="M569" s="26" t="str">
        <f>IFERROR(__xludf.DUMMYFUNCTION("LET(
 id,A569,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L569=0,
  """",
  IFERROR(INDEX(incomplete,1),"""")"&amp;"
 )
)"),"building.shop.maxed")</f>
        <v>building.shop.maxed</v>
      </c>
      <c r="N569" s="26" t="str">
        <f t="array" ref="N569">IF(
 M569="",
 "",
 _xlfn.XLOOKUP(
  M569,
  tblTargets[TargetID],
  tblTargets[DisplayName],
  M569
 )
)</f>
        <v>shop maxed</v>
      </c>
      <c r="O569" s="26" t="str">
        <f>IFERROR(__xludf.DUMMYFUNCTION("SWITCH(
 E569,
 ""BUILDING"",XLOOKUP(A569,tblBuildings[BuildingID],tblBuildings[costtext],""""),
 ""TECH"",XLOOKUP(A569,tblTechnologies[TechnologyID],tblTechnologies[costtext],""""),
 ""QUEST"",XLOOKUP(
  REGEXREPLACE(A569,""\.[^.]+$"",""""),
  tblQuests["&amp;"QuestID],
  tblQuests[Costtext],
  """"
 ),
 ""CITADEL"",XLOOKUP(A569,tblCitadel[CitadelID],tblCitadel[costtext],""""),
 ""COLLECTION"",XLOOKUP(A569,tblCollections[CollectionID],tblCollections[costtext],""""),
 ""CRAFTIFACT"",XLOOKUP(A569,tblCraftifacts[C"&amp;"raftifactID],tblCraftifacts[costtext],""""),
 """"
)"),"20 beans,30 blueprint,300 coin,30 paper,1 ruby")</f>
        <v>20 beans,30 blueprint,300 coin,30 paper,1 ruby</v>
      </c>
      <c r="P569" s="26" t="str">
        <f t="shared" si="6"/>
        <v>BLOCKED</v>
      </c>
      <c r="Q569" s="26" t="str">
        <f t="shared" si="7"/>
        <v>BLOCKED</v>
      </c>
      <c r="R569" s="26">
        <f t="array" ref="R569">IFERROR(
 _xlfn.XLOOKUP(
  A569,
  tblChecklist[TargetID],
  tblChecklist[PlayerSort],
  ""
 ),
 ""
)</f>
        <v>800</v>
      </c>
      <c r="S569" s="26" t="str">
        <f>IFERROR(__xludf.DUMMYFUNCTION("LET(
 id,A569,
 successorIDs,
  IFERROR(
   UNIQUE(
    FILTER(
     {
      Dependencies!$A$2:$A$1000;
      QuestObjectives!$A$2:$A$1000
     },
     {
      Dependencies!$B$2:$B$1000;
      QuestObjectives!$E$2:$E$1000
     }=id
    )
   ),
   """"
  )"&amp;",
 names,
  MAP(
   successorIDs,
   LAMBDA(s,
    IF(
     s="""",
     """",
     XLOOKUP(
      s,
      $A$2:$A$1000,
      $B$2:$B$1000,
      s
     )
    )
   )
  ),
 IF(
  successorIDs="""",
  """",
  TEXTJOIN("", "",TRUE,names)
 )
)"),"")</f>
        <v/>
      </c>
      <c r="T569" s="26" t="str">
        <f t="array" ref="T569">_xlfn.XLOOKUP(
 A569,
 tblTargets[TargetID],
 tblTargets[CompletionMethod],
 ""
)</f>
        <v>PLAYER</v>
      </c>
      <c r="U569" s="84" t="b">
        <f>COUNTIF(tblCost[TargetID],A569)&gt;0</f>
        <v>1</v>
      </c>
      <c r="V569" s="85">
        <f t="array" ref="V569">IF(
 U569=FALSE,
 "",
 _xlfn.XLOOKUP(
  A569,
  tblCost[TargetID],
  tblCost[FundingPercent],
  ""
 )
)</f>
        <v>0</v>
      </c>
      <c r="W569" s="26">
        <f t="array" ref="W569">IF(
 U569=FALSE,
 "",
 _xlfn.XLOOKUP(
  A569,
  tblCost[TargetID],
  tblCost[RemainingRequirements],
  ""
 )
)</f>
        <v>5</v>
      </c>
      <c r="X569" s="45" t="b">
        <f t="array" ref="X569">IF(
 U569=FALSE,
 "N/A",
 _xlfn.XLOOKUP(
  A570,
  tblCost[TargetID],
  tblCost[TargetFunded],
  FALSE
 )
)</f>
        <v>0</v>
      </c>
      <c r="Y569" s="26" t="str">
        <f>IFERROR(__xludf.DUMMYFUNCTION("IFERROR(
 TEXTJOIN(
  "", "",
  TRUE,
  FILTER(
   'cost checklist'!$E$2:$E1000&amp;"": ""&amp;'cost checklist'!$G$2:$G1000,
   'cost checklist'!$B$2:$B1000=A569,
   'cost checklist'!$J$2:$J1000=FALSE
  )
 ),
 """"
)"),"beans: 20, blueprint: 30, coin: 300, paper: 30, ruby: 1")</f>
        <v>beans: 20, blueprint: 30, coin: 300, paper: 30, ruby: 1</v>
      </c>
      <c r="Z569" s="26" t="b">
        <f>IFERROR(__xludf.DUMMYFUNCTION("IF(
 AND(
  E569=""QUEST"",
  RIGHT(A569,9)="".accepted"",
  D569=TRUE
 ),
 XLOOKUP(
  REGEXREPLACE(A569,""\.accepted$"","""")&amp;"".finished"",
  $A$2:$A1000,
  $D$2:$D1000,
  TRUE
 )=FALSE,
 FALSE
)"),FALSE)</f>
        <v>0</v>
      </c>
      <c r="AA569" s="26" t="str">
        <f>IFERROR(__xludf.DUMMYFUNCTION("LET(
 id,A569,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0" ht="14.25" customHeight="1">
      <c r="A570" s="26" t="s">
        <v>1825</v>
      </c>
      <c r="B570" s="26" t="str">
        <f t="array" ref="B570">_xlfn.XLOOKUP(
 A570,
 tblTargets[TargetID],
 tblTargets[DisplayName],
 ""
)</f>
        <v>Smithy - Gears</v>
      </c>
      <c r="C570" s="26" t="str">
        <f t="shared" si="1"/>
        <v>BLOCKED</v>
      </c>
      <c r="D570" s="26" t="b">
        <f>IFERROR(__xludf.DUMMYFUNCTION("LET(
 id,A570,
 IF(
  F570=""CHARACTER"",
  LET(
   base,REGEXREPLACE(id,""@\d+$"",""""),
   required,VALUE(REGEXEXTRACT(id,""@(\d+)$"")),
   current,XLOOKUP(
    base,
    tblPlayer[PlayerStateID],
    tblPlayer[Value],
    0
   ),
   current&gt;=required
 "&amp;" ),
  IF(
   T570=""AUTO"",
   L570=0,
   COUNTIFS(
    tblChecklist[TargetID],id,
    tblChecklist[PlayerCompleted],TRUE
   )&gt;0
  )
 )
)"),FALSE)</f>
        <v>0</v>
      </c>
      <c r="E570" s="26" t="str">
        <f t="array" ref="E570">_xlfn.XLOOKUP(
 A570,
 tblTargets[TargetID],
 tblTargets[TargetType],
 ""
)</f>
        <v>TECH</v>
      </c>
      <c r="F570" s="26" t="str">
        <f t="array" ref="F570">_xlfn.XLOOKUP(
 A570,
 tblTargets[TargetID],
 tblTargets[StateType],
 ""
)</f>
        <v/>
      </c>
      <c r="G570" s="26">
        <f>LET(
 id,A570,
 depCount,COUNTIF(tblDependencies[TargetID],id),
 objCount,COUNTIF(tblQuestObjectives[QuestTargetID],id),
 depCount+objCount
)</f>
        <v>1</v>
      </c>
      <c r="H570" s="26">
        <f t="shared" si="2"/>
        <v>1</v>
      </c>
      <c r="I570" s="26">
        <f>IFERROR(__xludf.DUMMYFUNCTION("LET(
 id,A570,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0" s="26">
        <f t="shared" si="3"/>
        <v>0</v>
      </c>
      <c r="K570" s="26" t="b">
        <f t="shared" si="4"/>
        <v>0</v>
      </c>
      <c r="L570" s="26">
        <f t="shared" si="5"/>
        <v>1</v>
      </c>
      <c r="M570" s="26" t="str">
        <f>IFERROR(__xludf.DUMMYFUNCTION("LET(
 id,A570,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L570=0,
  """",
  IFERROR(INDEX(incomplete,1),"""")"&amp;"
 )
)"),"building.smithy.maxed")</f>
        <v>building.smithy.maxed</v>
      </c>
      <c r="N570" s="26" t="str">
        <f t="array" ref="N570">IF(
 M570="",
 "",
 _xlfn.XLOOKUP(
  M570,
  tblTargets[TargetID],
  tblTargets[DisplayName],
  M570
 )
)</f>
        <v>smithy maxed</v>
      </c>
      <c r="O570" s="26" t="str">
        <f>IFERROR(__xludf.DUMMYFUNCTION("SWITCH(
 E570,
 ""BUILDING"",XLOOKUP(A570,tblBuildings[BuildingID],tblBuildings[costtext],""""),
 ""TECH"",XLOOKUP(A570,tblTechnologies[TechnologyID],tblTechnologies[costtext],""""),
 ""QUEST"",XLOOKUP(
  REGEXREPLACE(A570,""\.[^.]+$"",""""),
  tblQuests["&amp;"QuestID],
  tblQuests[Costtext],
  """"
 ),
 ""CITADEL"",XLOOKUP(A570,tblCitadel[CitadelID],tblCitadel[costtext],""""),
 ""COLLECTION"",XLOOKUP(A570,tblCollections[CollectionID],tblCollections[costtext],""""),
 ""CRAFTIFACT"",XLOOKUP(A570,tblCraftifacts[C"&amp;"raftifactID],tblCraftifacts[costtext],""""),
 """"
)"),"30 blueprint,1000 coin,30 gears,20 miron,5 ruby")</f>
        <v>30 blueprint,1000 coin,30 gears,20 miron,5 ruby</v>
      </c>
      <c r="P570" s="26" t="str">
        <f t="shared" si="6"/>
        <v>BLOCKED</v>
      </c>
      <c r="Q570" s="26" t="str">
        <f t="shared" si="7"/>
        <v>BLOCKED</v>
      </c>
      <c r="R570" s="26" t="str">
        <f t="array" ref="R570">IFERROR(
 _xlfn.XLOOKUP(
  A570,
  tblChecklist[TargetID],
  tblChecklist[PlayerSort],
  ""
 ),
 ""
)</f>
        <v/>
      </c>
      <c r="S570" s="26" t="str">
        <f>IFERROR(__xludf.DUMMYFUNCTION("LET(
 id,A570,
 successorIDs,
  IFERROR(
   UNIQUE(
    FILTER(
     {
      Dependencies!$A$2:$A$1000;
      QuestObjectives!$A$2:$A$1000
     },
     {
      Dependencies!$B$2:$B$1000;
      QuestObjectives!$E$2:$E$1000
     }=id
    )
   ),
   """"
  )"&amp;",
 names,
  MAP(
   successorIDs,
   LAMBDA(s,
    IF(
     s="""",
     """",
     XLOOKUP(
      s,
      $A$2:$A$1000,
      $B$2:$B$1000,
      s
     )
    )
   )
  ),
 IF(
  successorIDs="""",
  """",
  TEXTJOIN("", "",TRUE,names)
 )
)"),"")</f>
        <v/>
      </c>
      <c r="T570" s="26" t="str">
        <f t="array" ref="T570">_xlfn.XLOOKUP(
 A570,
 tblTargets[TargetID],
 tblTargets[CompletionMethod],
 ""
)</f>
        <v>PLAYER</v>
      </c>
      <c r="U570" s="84" t="b">
        <f>COUNTIF(tblCost[TargetID],A570)&gt;0</f>
        <v>1</v>
      </c>
      <c r="V570" s="85">
        <f t="array" ref="V570">IF(
 U570=FALSE,
 "",
 _xlfn.XLOOKUP(
  A570,
  tblCost[TargetID],
  tblCost[FundingPercent],
  ""
 )
)</f>
        <v>0</v>
      </c>
      <c r="W570" s="26">
        <f t="array" ref="W570">IF(
 U570=FALSE,
 "",
 _xlfn.XLOOKUP(
  A570,
  tblCost[TargetID],
  tblCost[RemainingRequirements],
  ""
 )
)</f>
        <v>5</v>
      </c>
      <c r="X570" s="45" t="b">
        <f t="array" ref="X570">IF(
 U570=FALSE,
 "N/A",
 _xlfn.XLOOKUP(
  A571,
  tblCost[TargetID],
  tblCost[TargetFunded],
  FALSE
 )
)</f>
        <v>0</v>
      </c>
      <c r="Y570" s="26" t="str">
        <f>IFERROR(__xludf.DUMMYFUNCTION("IFERROR(
 TEXTJOIN(
  "", "",
  TRUE,
  FILTER(
   'cost checklist'!$E$2:$E1000&amp;"": ""&amp;'cost checklist'!$G$2:$G1000,
   'cost checklist'!$B$2:$B1000=A570,
   'cost checklist'!$J$2:$J1000=FALSE
  )
 ),
 """"
)"),"blueprint: 30, coin: 1000, gears: 30, miron: 20, ruby: 5")</f>
        <v>blueprint: 30, coin: 1000, gears: 30, miron: 20, ruby: 5</v>
      </c>
      <c r="Z570" s="26" t="b">
        <f>IFERROR(__xludf.DUMMYFUNCTION("IF(
 AND(
  E570=""QUEST"",
  RIGHT(A570,9)="".accepted"",
  D570=TRUE
 ),
 XLOOKUP(
  REGEXREPLACE(A570,""\.accepted$"","""")&amp;"".finished"",
  $A$2:$A1000,
  $D$2:$D1000,
  TRUE
 )=FALSE,
 FALSE
)"),FALSE)</f>
        <v>0</v>
      </c>
      <c r="AA570" s="26" t="str">
        <f>IFERROR(__xludf.DUMMYFUNCTION("LET(
 id,A570,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1" ht="14.25" customHeight="1">
      <c r="A571" s="26" t="s">
        <v>1827</v>
      </c>
      <c r="B571" s="26" t="str">
        <f t="array" ref="B571">_xlfn.XLOOKUP(
 A571,
 tblTargets[TargetID],
 tblTargets[DisplayName],
 ""
)</f>
        <v>Smithy - Sword For A Hero Lvl 1</v>
      </c>
      <c r="C571" s="26" t="str">
        <f t="shared" si="1"/>
        <v>BLOCKED</v>
      </c>
      <c r="D571" s="26" t="b">
        <f>IFERROR(__xludf.DUMMYFUNCTION("LET(
 id,A571,
 IF(
  F571=""CHARACTER"",
  LET(
   base,REGEXREPLACE(id,""@\d+$"",""""),
   required,VALUE(REGEXEXTRACT(id,""@(\d+)$"")),
   current,XLOOKUP(
    base,
    tblPlayer[PlayerStateID],
    tblPlayer[Value],
    0
   ),
   current&gt;=required
 "&amp;" ),
  IF(
   T571=""AUTO"",
   L571=0,
   COUNTIFS(
    tblChecklist[TargetID],id,
    tblChecklist[PlayerCompleted],TRUE
   )&gt;0
  )
 )
)"),FALSE)</f>
        <v>0</v>
      </c>
      <c r="E571" s="26" t="str">
        <f t="array" ref="E571">_xlfn.XLOOKUP(
 A571,
 tblTargets[TargetID],
 tblTargets[TargetType],
 ""
)</f>
        <v>TECH</v>
      </c>
      <c r="F571" s="26" t="str">
        <f t="array" ref="F571">_xlfn.XLOOKUP(
 A571,
 tblTargets[TargetID],
 tblTargets[StateType],
 ""
)</f>
        <v/>
      </c>
      <c r="G571" s="26">
        <f>LET(
 id,A571,
 depCount,COUNTIF(tblDependencies[TargetID],id),
 objCount,COUNTIF(tblQuestObjectives[QuestTargetID],id),
 depCount+objCount
)</f>
        <v>1</v>
      </c>
      <c r="H571" s="26">
        <f t="shared" si="2"/>
        <v>1</v>
      </c>
      <c r="I571" s="26">
        <f>IFERROR(__xludf.DUMMYFUNCTION("LET(
 id,A571,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1" s="26">
        <f t="shared" si="3"/>
        <v>0</v>
      </c>
      <c r="K571" s="26" t="b">
        <f t="shared" si="4"/>
        <v>0</v>
      </c>
      <c r="L571" s="26">
        <f t="shared" si="5"/>
        <v>1</v>
      </c>
      <c r="M571" s="26" t="str">
        <f>IFERROR(__xludf.DUMMYFUNCTION("LET(
 id,A571,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L571=0,
  """",
  IFERROR(INDEX(incomplete,1),"""")"&amp;"
 )
)"),"building.smithy.maxed")</f>
        <v>building.smithy.maxed</v>
      </c>
      <c r="N571" s="26" t="str">
        <f t="array" ref="N571">IF(
 M571="",
 "",
 _xlfn.XLOOKUP(
  M571,
  tblTargets[TargetID],
  tblTargets[DisplayName],
  M571
 )
)</f>
        <v>smithy maxed</v>
      </c>
      <c r="O571" s="26" t="str">
        <f>IFERROR(__xludf.DUMMYFUNCTION("SWITCH(
 E571,
 ""BUILDING"",XLOOKUP(A571,tblBuildings[BuildingID],tblBuildings[costtext],""""),
 ""TECH"",XLOOKUP(A571,tblTechnologies[TechnologyID],tblTechnologies[costtext],""""),
 ""QUEST"",XLOOKUP(
  REGEXREPLACE(A571,""\.[^.]+$"",""""),
  tblQuests["&amp;"QuestID],
  tblQuests[Costtext],
  """"
 ),
 ""CITADEL"",XLOOKUP(A571,tblCitadel[CitadelID],tblCitadel[costtext],""""),
 ""COLLECTION"",XLOOKUP(A571,tblCollections[CollectionID],tblCollections[costtext],""""),
 ""CRAFTIFACT"",XLOOKUP(A571,tblCraftifacts[C"&amp;"raftifactID],tblCraftifacts[costtext],""""),
 """"
)"),"50 charcoal,300 coin,40 miron,20 page,2 ruby,50 steel")</f>
        <v>50 charcoal,300 coin,40 miron,20 page,2 ruby,50 steel</v>
      </c>
      <c r="P571" s="26" t="str">
        <f t="shared" si="6"/>
        <v>BLOCKED</v>
      </c>
      <c r="Q571" s="26" t="str">
        <f t="shared" si="7"/>
        <v>BLOCKED</v>
      </c>
      <c r="R571" s="26" t="str">
        <f t="array" ref="R571">IFERROR(
 _xlfn.XLOOKUP(
  A571,
  tblChecklist[TargetID],
  tblChecklist[PlayerSort],
  ""
 ),
 ""
)</f>
        <v/>
      </c>
      <c r="S571" s="26" t="str">
        <f>IFERROR(__xludf.DUMMYFUNCTION("LET(
 id,A571,
 successorIDs,
  IFERROR(
   UNIQUE(
    FILTER(
     {
      Dependencies!$A$2:$A$1000;
      QuestObjectives!$A$2:$A$1000
     },
     {
      Dependencies!$B$2:$B$1000;
      QuestObjectives!$E$2:$E$1000
     }=id
    )
   ),
   """"
  )"&amp;",
 names,
  MAP(
   successorIDs,
   LAMBDA(s,
    IF(
     s="""",
     """",
     XLOOKUP(
      s,
      $A$2:$A$1000,
      $B$2:$B$1000,
      s
     )
    )
   )
  ),
 IF(
  successorIDs="""",
  """",
  TEXTJOIN("", "",TRUE,names)
 )
)"),"Smithy - Sword For A Hero Lvl 2, Smithy - Weapon Grease")</f>
        <v>Smithy - Sword For A Hero Lvl 2, Smithy - Weapon Grease</v>
      </c>
      <c r="T571" s="26" t="str">
        <f t="array" ref="T571">_xlfn.XLOOKUP(
 A571,
 tblTargets[TargetID],
 tblTargets[CompletionMethod],
 ""
)</f>
        <v>PLAYER</v>
      </c>
      <c r="U571" s="84" t="b">
        <f>COUNTIF(tblCost[TargetID],A571)&gt;0</f>
        <v>1</v>
      </c>
      <c r="V571" s="85">
        <f t="array" ref="V571">IF(
 U571=FALSE,
 "",
 _xlfn.XLOOKUP(
  A571,
  tblCost[TargetID],
  tblCost[FundingPercent],
  ""
 )
)</f>
        <v>0</v>
      </c>
      <c r="W571" s="26">
        <f t="array" ref="W571">IF(
 U571=FALSE,
 "",
 _xlfn.XLOOKUP(
  A571,
  tblCost[TargetID],
  tblCost[RemainingRequirements],
  ""
 )
)</f>
        <v>6</v>
      </c>
      <c r="X571" s="45" t="b">
        <f t="array" ref="X571">IF(
 U571=FALSE,
 "N/A",
 _xlfn.XLOOKUP(
  A572,
  tblCost[TargetID],
  tblCost[TargetFunded],
  FALSE
 )
)</f>
        <v>0</v>
      </c>
      <c r="Y571" s="26" t="str">
        <f>IFERROR(__xludf.DUMMYFUNCTION("IFERROR(
 TEXTJOIN(
  "", "",
  TRUE,
  FILTER(
   'cost checklist'!$E$2:$E1000&amp;"": ""&amp;'cost checklist'!$G$2:$G1000,
   'cost checklist'!$B$2:$B1000=A571,
   'cost checklist'!$J$2:$J1000=FALSE
  )
 ),
 """"
)"),"charcoal: 50, coin: 300, miron: 40, page: 20, ruby: 2, steel: 50")</f>
        <v>charcoal: 50, coin: 300, miron: 40, page: 20, ruby: 2, steel: 50</v>
      </c>
      <c r="Z571" s="26" t="b">
        <f>IFERROR(__xludf.DUMMYFUNCTION("IF(
 AND(
  E571=""QUEST"",
  RIGHT(A571,9)="".accepted"",
  D571=TRUE
 ),
 XLOOKUP(
  REGEXREPLACE(A571,""\.accepted$"","""")&amp;"".finished"",
  $A$2:$A1000,
  $D$2:$D1000,
  TRUE
 )=FALSE,
 FALSE
)"),FALSE)</f>
        <v>0</v>
      </c>
      <c r="AA571" s="26" t="str">
        <f>IFERROR(__xludf.DUMMYFUNCTION("LET(
 id,A571,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2" ht="14.25" customHeight="1">
      <c r="A572" s="26" t="s">
        <v>1829</v>
      </c>
      <c r="B572" s="26" t="str">
        <f t="array" ref="B572">_xlfn.XLOOKUP(
 A572,
 tblTargets[TargetID],
 tblTargets[DisplayName],
 ""
)</f>
        <v>Smithy - Sword For A Hero Lvl 2</v>
      </c>
      <c r="C572" s="26" t="str">
        <f t="shared" si="1"/>
        <v>BLOCKED</v>
      </c>
      <c r="D572" s="26" t="b">
        <f>IFERROR(__xludf.DUMMYFUNCTION("LET(
 id,A572,
 IF(
  F572=""CHARACTER"",
  LET(
   base,REGEXREPLACE(id,""@\d+$"",""""),
   required,VALUE(REGEXEXTRACT(id,""@(\d+)$"")),
   current,XLOOKUP(
    base,
    tblPlayer[PlayerStateID],
    tblPlayer[Value],
    0
   ),
   current&gt;=required
 "&amp;" ),
  IF(
   T572=""AUTO"",
   L572=0,
   COUNTIFS(
    tblChecklist[TargetID],id,
    tblChecklist[PlayerCompleted],TRUE
   )&gt;0
  )
 )
)"),FALSE)</f>
        <v>0</v>
      </c>
      <c r="E572" s="26" t="str">
        <f t="array" ref="E572">_xlfn.XLOOKUP(
 A572,
 tblTargets[TargetID],
 tblTargets[TargetType],
 ""
)</f>
        <v>TECH</v>
      </c>
      <c r="F572" s="26" t="str">
        <f t="array" ref="F572">_xlfn.XLOOKUP(
 A572,
 tblTargets[TargetID],
 tblTargets[StateType],
 ""
)</f>
        <v/>
      </c>
      <c r="G572" s="26">
        <f>LET(
 id,A572,
 depCount,COUNTIF(tblDependencies[TargetID],id),
 objCount,COUNTIF(tblQuestObjectives[QuestTargetID],id),
 depCount+objCount
)</f>
        <v>2</v>
      </c>
      <c r="H572" s="26">
        <f t="shared" si="2"/>
        <v>2</v>
      </c>
      <c r="I572" s="26">
        <f>IFERROR(__xludf.DUMMYFUNCTION("LET(
 id,A572,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2" s="26">
        <f t="shared" si="3"/>
        <v>0</v>
      </c>
      <c r="K572" s="26" t="b">
        <f t="shared" si="4"/>
        <v>0</v>
      </c>
      <c r="L572" s="26">
        <f t="shared" si="5"/>
        <v>2</v>
      </c>
      <c r="M572" s="26" t="str">
        <f>IFERROR(__xludf.DUMMYFUNCTION("LET(
 id,A572,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L572=0,
  """",
  IFERROR(INDEX(incomplete,1),"""")"&amp;"
 )
)"),"tech.smithy.sword_for_a_hero_lvl_1")</f>
        <v>tech.smithy.sword_for_a_hero_lvl_1</v>
      </c>
      <c r="N572" s="26" t="str">
        <f t="array" ref="N572">IF(
 M572="",
 "",
 _xlfn.XLOOKUP(
  M572,
  tblTargets[TargetID],
  tblTargets[DisplayName],
  M572
 )
)</f>
        <v>Smithy - Sword For A Hero Lvl 1</v>
      </c>
      <c r="O572" s="26" t="str">
        <f>IFERROR(__xludf.DUMMYFUNCTION("SWITCH(
 E572,
 ""BUILDING"",XLOOKUP(A572,tblBuildings[BuildingID],tblBuildings[costtext],""""),
 ""TECH"",XLOOKUP(A572,tblTechnologies[TechnologyID],tblTechnologies[costtext],""""),
 ""QUEST"",XLOOKUP(
  REGEXREPLACE(A572,""\.[^.]+$"",""""),
  tblQuests["&amp;"QuestID],
  tblQuests[Costtext],
  """"
 ),
 ""CITADEL"",XLOOKUP(A572,tblCitadel[CitadelID],tblCitadel[costtext],""""),
 ""COLLECTION"",XLOOKUP(A572,tblCollections[CollectionID],tblCollections[costtext],""""),
 ""CRAFTIFACT"",XLOOKUP(A572,tblCraftifacts[C"&amp;"raftifactID],tblCraftifacts[costtext],""""),
 """"
)"),"15 blueprint,100 charcoal,500 coin,40 msteel,3 ruby,100 steel")</f>
        <v>15 blueprint,100 charcoal,500 coin,40 msteel,3 ruby,100 steel</v>
      </c>
      <c r="P572" s="26" t="str">
        <f t="shared" si="6"/>
        <v>BLOCKED</v>
      </c>
      <c r="Q572" s="26" t="str">
        <f t="shared" si="7"/>
        <v>BLOCKED</v>
      </c>
      <c r="R572" s="26" t="str">
        <f t="array" ref="R572">IFERROR(
 _xlfn.XLOOKUP(
  A572,
  tblChecklist[TargetID],
  tblChecklist[PlayerSort],
  ""
 ),
 ""
)</f>
        <v/>
      </c>
      <c r="S572" s="26" t="str">
        <f>IFERROR(__xludf.DUMMYFUNCTION("LET(
 id,A572,
 successorIDs,
  IFERROR(
   UNIQUE(
    FILTER(
     {
      Dependencies!$A$2:$A$1000;
      QuestObjectives!$A$2:$A$1000
     },
     {
      Dependencies!$B$2:$B$1000;
      QuestObjectives!$E$2:$E$1000
     }=id
    )
   ),
   """"
  )"&amp;",
 names,
  MAP(
   successorIDs,
   LAMBDA(s,
    IF(
     s="""",
     """",
     XLOOKUP(
      s,
      $A$2:$A$1000,
      $B$2:$B$1000,
      s
     )
    )
   )
  ),
 IF(
  successorIDs="""",
  """",
  TEXTJOIN("", "",TRUE,names)
 )
)"),"Smithy - Sword For A Hero Lvl 3")</f>
        <v>Smithy - Sword For A Hero Lvl 3</v>
      </c>
      <c r="T572" s="26" t="str">
        <f t="array" ref="T572">_xlfn.XLOOKUP(
 A572,
 tblTargets[TargetID],
 tblTargets[CompletionMethod],
 ""
)</f>
        <v>PLAYER</v>
      </c>
      <c r="U572" s="84" t="b">
        <f>COUNTIF(tblCost[TargetID],A572)&gt;0</f>
        <v>1</v>
      </c>
      <c r="V572" s="85">
        <f t="array" ref="V572">IF(
 U572=FALSE,
 "",
 _xlfn.XLOOKUP(
  A572,
  tblCost[TargetID],
  tblCost[FundingPercent],
  ""
 )
)</f>
        <v>0</v>
      </c>
      <c r="W572" s="26">
        <f t="array" ref="W572">IF(
 U572=FALSE,
 "",
 _xlfn.XLOOKUP(
  A572,
  tblCost[TargetID],
  tblCost[RemainingRequirements],
  ""
 )
)</f>
        <v>6</v>
      </c>
      <c r="X572" s="45" t="b">
        <f t="array" ref="X572">IF(
 U572=FALSE,
 "N/A",
 _xlfn.XLOOKUP(
  A573,
  tblCost[TargetID],
  tblCost[TargetFunded],
  FALSE
 )
)</f>
        <v>0</v>
      </c>
      <c r="Y572" s="26" t="str">
        <f>IFERROR(__xludf.DUMMYFUNCTION("IFERROR(
 TEXTJOIN(
  "", "",
  TRUE,
  FILTER(
   'cost checklist'!$E$2:$E1000&amp;"": ""&amp;'cost checklist'!$G$2:$G1000,
   'cost checklist'!$B$2:$B1000=A572,
   'cost checklist'!$J$2:$J1000=FALSE
  )
 ),
 """"
)"),"blueprint: 15, charcoal: 100, coin: 500, msteel: 40, ruby: 3, steel: 100")</f>
        <v>blueprint: 15, charcoal: 100, coin: 500, msteel: 40, ruby: 3, steel: 100</v>
      </c>
      <c r="Z572" s="26" t="b">
        <f>IFERROR(__xludf.DUMMYFUNCTION("IF(
 AND(
  E572=""QUEST"",
  RIGHT(A572,9)="".accepted"",
  D572=TRUE
 ),
 XLOOKUP(
  REGEXREPLACE(A572,""\.accepted$"","""")&amp;"".finished"",
  $A$2:$A1000,
  $D$2:$D1000,
  TRUE
 )=FALSE,
 FALSE
)"),FALSE)</f>
        <v>0</v>
      </c>
      <c r="AA572" s="26" t="str">
        <f>IFERROR(__xludf.DUMMYFUNCTION("LET(
 id,A572,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3" ht="14.25" customHeight="1">
      <c r="A573" s="26" t="s">
        <v>1832</v>
      </c>
      <c r="B573" s="26" t="str">
        <f t="array" ref="B573">_xlfn.XLOOKUP(
 A573,
 tblTargets[TargetID],
 tblTargets[DisplayName],
 ""
)</f>
        <v>Smithy - Sword For A Hero Lvl 3</v>
      </c>
      <c r="C573" s="26" t="str">
        <f t="shared" si="1"/>
        <v>BLOCKED</v>
      </c>
      <c r="D573" s="26" t="b">
        <f>IFERROR(__xludf.DUMMYFUNCTION("LET(
 id,A573,
 IF(
  F573=""CHARACTER"",
  LET(
   base,REGEXREPLACE(id,""@\d+$"",""""),
   required,VALUE(REGEXEXTRACT(id,""@(\d+)$"")),
   current,XLOOKUP(
    base,
    tblPlayer[PlayerStateID],
    tblPlayer[Value],
    0
   ),
   current&gt;=required
 "&amp;" ),
  IF(
   T573=""AUTO"",
   L573=0,
   COUNTIFS(
    tblChecklist[TargetID],id,
    tblChecklist[PlayerCompleted],TRUE
   )&gt;0
  )
 )
)"),FALSE)</f>
        <v>0</v>
      </c>
      <c r="E573" s="26" t="str">
        <f t="array" ref="E573">_xlfn.XLOOKUP(
 A573,
 tblTargets[TargetID],
 tblTargets[TargetType],
 ""
)</f>
        <v>TECH</v>
      </c>
      <c r="F573" s="26" t="str">
        <f t="array" ref="F573">_xlfn.XLOOKUP(
 A573,
 tblTargets[TargetID],
 tblTargets[StateType],
 ""
)</f>
        <v/>
      </c>
      <c r="G573" s="26">
        <f>LET(
 id,A573,
 depCount,COUNTIF(tblDependencies[TargetID],id),
 objCount,COUNTIF(tblQuestObjectives[QuestTargetID],id),
 depCount+objCount
)</f>
        <v>2</v>
      </c>
      <c r="H573" s="26">
        <f t="shared" si="2"/>
        <v>2</v>
      </c>
      <c r="I573" s="26">
        <f>IFERROR(__xludf.DUMMYFUNCTION("LET(
 id,A573,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3" s="26">
        <f t="shared" si="3"/>
        <v>0</v>
      </c>
      <c r="K573" s="26" t="b">
        <f t="shared" si="4"/>
        <v>0</v>
      </c>
      <c r="L573" s="26">
        <f t="shared" si="5"/>
        <v>2</v>
      </c>
      <c r="M573" s="26" t="str">
        <f>IFERROR(__xludf.DUMMYFUNCTION("LET(
 id,A573,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L573=0,
  """",
  IFERROR(INDEX(incomplete,1),"""")"&amp;"
 )
)"),"tech.smithy.sword_for_a_hero_lvl_2")</f>
        <v>tech.smithy.sword_for_a_hero_lvl_2</v>
      </c>
      <c r="N573" s="26" t="str">
        <f t="array" ref="N573">IF(
 M573="",
 "",
 _xlfn.XLOOKUP(
  M573,
  tblTargets[TargetID],
  tblTargets[DisplayName],
  M573
 )
)</f>
        <v>Smithy - Sword For A Hero Lvl 2</v>
      </c>
      <c r="O573" s="26" t="str">
        <f>IFERROR(__xludf.DUMMYFUNCTION("SWITCH(
 E573,
 ""BUILDING"",XLOOKUP(A573,tblBuildings[BuildingID],tblBuildings[costtext],""""),
 ""TECH"",XLOOKUP(A573,tblTechnologies[TechnologyID],tblTechnologies[costtext],""""),
 ""QUEST"",XLOOKUP(
  REGEXREPLACE(A573,""\.[^.]+$"",""""),
  tblQuests["&amp;"QuestID],
  tblQuests[Costtext],
  """"
 ),
 ""CITADEL"",XLOOKUP(A573,tblCitadel[CitadelID],tblCitadel[costtext],""""),
 ""COLLECTION"",XLOOKUP(A573,tblCollections[CollectionID],tblCollections[costtext],""""),
 ""CRAFTIFACT"",XLOOKUP(A573,tblCraftifacts[C"&amp;"raftifactID],tblCraftifacts[costtext],""""),
 """"
)"),"20 blueprint,200 charcoal,1000 coin,60 msteel,5 ruby,200 steel")</f>
        <v>20 blueprint,200 charcoal,1000 coin,60 msteel,5 ruby,200 steel</v>
      </c>
      <c r="P573" s="26" t="str">
        <f t="shared" si="6"/>
        <v>BLOCKED</v>
      </c>
      <c r="Q573" s="26" t="str">
        <f t="shared" si="7"/>
        <v>BLOCKED</v>
      </c>
      <c r="R573" s="26" t="str">
        <f t="array" ref="R573">IFERROR(
 _xlfn.XLOOKUP(
  A573,
  tblChecklist[TargetID],
  tblChecklist[PlayerSort],
  ""
 ),
 ""
)</f>
        <v/>
      </c>
      <c r="S573" s="26" t="str">
        <f>IFERROR(__xludf.DUMMYFUNCTION("LET(
 id,A573,
 successorIDs,
  IFERROR(
   UNIQUE(
    FILTER(
     {
      Dependencies!$A$2:$A$1000;
      QuestObjectives!$A$2:$A$1000
     },
     {
      Dependencies!$B$2:$B$1000;
      QuestObjectives!$E$2:$E$1000
     }=id
    )
   ),
   """"
  )"&amp;",
 names,
  MAP(
   successorIDs,
   LAMBDA(s,
    IF(
     s="""",
     """",
     XLOOKUP(
      s,
      $A$2:$A$1000,
      $B$2:$B$1000,
      s
     )
    )
   )
  ),
 IF(
  successorIDs="""",
  """",
  TEXTJOIN("", "",TRUE,names)
 )
)"),"Smithy - Sword For A Hero Lvl 4")</f>
        <v>Smithy - Sword For A Hero Lvl 4</v>
      </c>
      <c r="T573" s="26" t="str">
        <f t="array" ref="T573">_xlfn.XLOOKUP(
 A573,
 tblTargets[TargetID],
 tblTargets[CompletionMethod],
 ""
)</f>
        <v>PLAYER</v>
      </c>
      <c r="U573" s="84" t="b">
        <f>COUNTIF(tblCost[TargetID],A573)&gt;0</f>
        <v>1</v>
      </c>
      <c r="V573" s="85">
        <f t="array" ref="V573">IF(
 U573=FALSE,
 "",
 _xlfn.XLOOKUP(
  A573,
  tblCost[TargetID],
  tblCost[FundingPercent],
  ""
 )
)</f>
        <v>0</v>
      </c>
      <c r="W573" s="26">
        <f t="array" ref="W573">IF(
 U573=FALSE,
 "",
 _xlfn.XLOOKUP(
  A573,
  tblCost[TargetID],
  tblCost[RemainingRequirements],
  ""
 )
)</f>
        <v>6</v>
      </c>
      <c r="X573" s="45" t="b">
        <f t="array" ref="X573">IF(
 U573=FALSE,
 "N/A",
 _xlfn.XLOOKUP(
  A574,
  tblCost[TargetID],
  tblCost[TargetFunded],
  FALSE
 )
)</f>
        <v>0</v>
      </c>
      <c r="Y573" s="26" t="str">
        <f>IFERROR(__xludf.DUMMYFUNCTION("IFERROR(
 TEXTJOIN(
  "", "",
  TRUE,
  FILTER(
   'cost checklist'!$E$2:$E1000&amp;"": ""&amp;'cost checklist'!$G$2:$G1000,
   'cost checklist'!$B$2:$B1000=A573,
   'cost checklist'!$J$2:$J1000=FALSE
  )
 ),
 """"
)"),"blueprint: 20, charcoal: 200, coin: 1000, msteel: 60, ruby: 5, steel: 200")</f>
        <v>blueprint: 20, charcoal: 200, coin: 1000, msteel: 60, ruby: 5, steel: 200</v>
      </c>
      <c r="Z573" s="26" t="b">
        <f>IFERROR(__xludf.DUMMYFUNCTION("IF(
 AND(
  E573=""QUEST"",
  RIGHT(A573,9)="".accepted"",
  D573=TRUE
 ),
 XLOOKUP(
  REGEXREPLACE(A573,""\.accepted$"","""")&amp;"".finished"",
  $A$2:$A1000,
  $D$2:$D1000,
  TRUE
 )=FALSE,
 FALSE
)"),FALSE)</f>
        <v>0</v>
      </c>
      <c r="AA573" s="26" t="str">
        <f>IFERROR(__xludf.DUMMYFUNCTION("LET(
 id,A573,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4" ht="14.25" customHeight="1">
      <c r="A574" s="26" t="s">
        <v>1834</v>
      </c>
      <c r="B574" s="26" t="str">
        <f t="array" ref="B574">_xlfn.XLOOKUP(
 A574,
 tblTargets[TargetID],
 tblTargets[DisplayName],
 ""
)</f>
        <v>Smithy - Sword For A Hero Lvl 4</v>
      </c>
      <c r="C574" s="26" t="str">
        <f t="shared" si="1"/>
        <v>BLOCKED</v>
      </c>
      <c r="D574" s="26" t="b">
        <f>IFERROR(__xludf.DUMMYFUNCTION("LET(
 id,A574,
 IF(
  F574=""CHARACTER"",
  LET(
   base,REGEXREPLACE(id,""@\d+$"",""""),
   required,VALUE(REGEXEXTRACT(id,""@(\d+)$"")),
   current,XLOOKUP(
    base,
    tblPlayer[PlayerStateID],
    tblPlayer[Value],
    0
   ),
   current&gt;=required
 "&amp;" ),
  IF(
   T574=""AUTO"",
   L574=0,
   COUNTIFS(
    tblChecklist[TargetID],id,
    tblChecklist[PlayerCompleted],TRUE
   )&gt;0
  )
 )
)"),FALSE)</f>
        <v>0</v>
      </c>
      <c r="E574" s="26" t="str">
        <f t="array" ref="E574">_xlfn.XLOOKUP(
 A574,
 tblTargets[TargetID],
 tblTargets[TargetType],
 ""
)</f>
        <v>TECH</v>
      </c>
      <c r="F574" s="26" t="str">
        <f t="array" ref="F574">_xlfn.XLOOKUP(
 A574,
 tblTargets[TargetID],
 tblTargets[StateType],
 ""
)</f>
        <v/>
      </c>
      <c r="G574" s="26">
        <f>LET(
 id,A574,
 depCount,COUNTIF(tblDependencies[TargetID],id),
 objCount,COUNTIF(tblQuestObjectives[QuestTargetID],id),
 depCount+objCount
)</f>
        <v>2</v>
      </c>
      <c r="H574" s="26">
        <f t="shared" si="2"/>
        <v>2</v>
      </c>
      <c r="I574" s="26">
        <f>IFERROR(__xludf.DUMMYFUNCTION("LET(
 id,A574,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4" s="26">
        <f t="shared" si="3"/>
        <v>0</v>
      </c>
      <c r="K574" s="26" t="b">
        <f t="shared" si="4"/>
        <v>0</v>
      </c>
      <c r="L574" s="26">
        <f t="shared" si="5"/>
        <v>2</v>
      </c>
      <c r="M574" s="26" t="str">
        <f>IFERROR(__xludf.DUMMYFUNCTION("LET(
 id,A574,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L574=0,
  """",
  IFERROR(INDEX(incomplete,1),"""")"&amp;"
 )
)"),"tech.smithy.sword_for_a_hero_lvl_3")</f>
        <v>tech.smithy.sword_for_a_hero_lvl_3</v>
      </c>
      <c r="N574" s="26" t="str">
        <f t="array" ref="N574">IF(
 M574="",
 "",
 _xlfn.XLOOKUP(
  M574,
  tblTargets[TargetID],
  tblTargets[DisplayName],
  M574
 )
)</f>
        <v>Smithy - Sword For A Hero Lvl 3</v>
      </c>
      <c r="O574" s="26" t="str">
        <f>IFERROR(__xludf.DUMMYFUNCTION("SWITCH(
 E574,
 ""BUILDING"",XLOOKUP(A574,tblBuildings[BuildingID],tblBuildings[costtext],""""),
 ""TECH"",XLOOKUP(A574,tblTechnologies[TechnologyID],tblTechnologies[costtext],""""),
 ""QUEST"",XLOOKUP(
  REGEXREPLACE(A574,""\.[^.]+$"",""""),
  tblQuests["&amp;"QuestID],
  tblQuests[Costtext],
  """"
 ),
 ""CITADEL"",XLOOKUP(A574,tblCitadel[CitadelID],tblCitadel[costtext],""""),
 ""COLLECTION"",XLOOKUP(A574,tblCollections[CollectionID],tblCollections[costtext],""""),
 ""CRAFTIFACT"",XLOOKUP(A574,tblCraftifacts[C"&amp;"raftifactID],tblCraftifacts[costtext],""""),
 """"
)"),"40 blueprint,1000 coin,20 gears,20 mechanism,5 ruby,3 sword3")</f>
        <v>40 blueprint,1000 coin,20 gears,20 mechanism,5 ruby,3 sword3</v>
      </c>
      <c r="P574" s="26" t="str">
        <f t="shared" si="6"/>
        <v>BLOCKED</v>
      </c>
      <c r="Q574" s="26" t="str">
        <f t="shared" si="7"/>
        <v>BLOCKED</v>
      </c>
      <c r="R574" s="26" t="str">
        <f t="array" ref="R574">IFERROR(
 _xlfn.XLOOKUP(
  A574,
  tblChecklist[TargetID],
  tblChecklist[PlayerSort],
  ""
 ),
 ""
)</f>
        <v/>
      </c>
      <c r="S574" s="26" t="str">
        <f>IFERROR(__xludf.DUMMYFUNCTION("LET(
 id,A574,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1 Accepted, Craft Sword for a Hero Lvl 4, Smithy - Sword For A Hero Lvl 4+, Dragon teeth Finished")</f>
        <v>The Ordinary Days of an Adventurer Chapter 1 Accepted, Craft Sword for a Hero Lvl 4, Smithy - Sword For A Hero Lvl 4+, Dragon teeth Finished</v>
      </c>
      <c r="T574" s="26" t="str">
        <f t="array" ref="T574">_xlfn.XLOOKUP(
 A574,
 tblTargets[TargetID],
 tblTargets[CompletionMethod],
 ""
)</f>
        <v>PLAYER</v>
      </c>
      <c r="U574" s="84" t="b">
        <f>COUNTIF(tblCost[TargetID],A574)&gt;0</f>
        <v>1</v>
      </c>
      <c r="V574" s="85">
        <f t="array" ref="V574">IF(
 U574=FALSE,
 "",
 _xlfn.XLOOKUP(
  A574,
  tblCost[TargetID],
  tblCost[FundingPercent],
  ""
 )
)</f>
        <v>0</v>
      </c>
      <c r="W574" s="26">
        <f t="array" ref="W574">IF(
 U574=FALSE,
 "",
 _xlfn.XLOOKUP(
  A574,
  tblCost[TargetID],
  tblCost[RemainingRequirements],
  ""
 )
)</f>
        <v>6</v>
      </c>
      <c r="X574" s="45" t="b">
        <f t="array" ref="X574">IF(
 U574=FALSE,
 "N/A",
 _xlfn.XLOOKUP(
  A575,
  tblCost[TargetID],
  tblCost[TargetFunded],
  FALSE
 )
)</f>
        <v>0</v>
      </c>
      <c r="Y574" s="26" t="str">
        <f>IFERROR(__xludf.DUMMYFUNCTION("IFERROR(
 TEXTJOIN(
  "", "",
  TRUE,
  FILTER(
   'cost checklist'!$E$2:$E1000&amp;"": ""&amp;'cost checklist'!$G$2:$G1000,
   'cost checklist'!$B$2:$B1000=A574,
   'cost checklist'!$J$2:$J1000=FALSE
  )
 ),
 """"
)"),"blueprint: 40, coin: 1000, gears: 20, mechanism: 20, ruby: 5, sword3: 3")</f>
        <v>blueprint: 40, coin: 1000, gears: 20, mechanism: 20, ruby: 5, sword3: 3</v>
      </c>
      <c r="Z574" s="26" t="b">
        <f>IFERROR(__xludf.DUMMYFUNCTION("IF(
 AND(
  E574=""QUEST"",
  RIGHT(A574,9)="".accepted"",
  D574=TRUE
 ),
 XLOOKUP(
  REGEXREPLACE(A574,""\.accepted$"","""")&amp;"".finished"",
  $A$2:$A1000,
  $D$2:$D1000,
  TRUE
 )=FALSE,
 FALSE
)"),FALSE)</f>
        <v>0</v>
      </c>
      <c r="AA574" s="26" t="str">
        <f>IFERROR(__xludf.DUMMYFUNCTION("LET(
 id,A574,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1")</f>
        <v>The Ordinary Days of an Adventurer Chapter 1</v>
      </c>
    </row>
    <row r="575" ht="14.25" customHeight="1">
      <c r="A575" s="26" t="s">
        <v>1836</v>
      </c>
      <c r="B575" s="26" t="str">
        <f t="array" ref="B575">_xlfn.XLOOKUP(
 A575,
 tblTargets[TargetID],
 tblTargets[DisplayName],
 ""
)</f>
        <v>Smithy - Sword For A Hero Lvl 4+</v>
      </c>
      <c r="C575" s="26" t="str">
        <f t="shared" si="1"/>
        <v>BLOCKED</v>
      </c>
      <c r="D575" s="26" t="b">
        <f>IFERROR(__xludf.DUMMYFUNCTION("LET(
 id,A575,
 IF(
  F575=""CHARACTER"",
  LET(
   base,REGEXREPLACE(id,""@\d+$"",""""),
   required,VALUE(REGEXEXTRACT(id,""@(\d+)$"")),
   current,XLOOKUP(
    base,
    tblPlayer[PlayerStateID],
    tblPlayer[Value],
    0
   ),
   current&gt;=required
 "&amp;" ),
  IF(
   T575=""AUTO"",
   L575=0,
   COUNTIFS(
    tblChecklist[TargetID],id,
    tblChecklist[PlayerCompleted],TRUE
   )&gt;0
  )
 )
)"),FALSE)</f>
        <v>0</v>
      </c>
      <c r="E575" s="26" t="str">
        <f t="array" ref="E575">_xlfn.XLOOKUP(
 A575,
 tblTargets[TargetID],
 tblTargets[TargetType],
 ""
)</f>
        <v>TECH</v>
      </c>
      <c r="F575" s="26" t="str">
        <f t="array" ref="F575">_xlfn.XLOOKUP(
 A575,
 tblTargets[TargetID],
 tblTargets[StateType],
 ""
)</f>
        <v/>
      </c>
      <c r="G575" s="26">
        <f>LET(
 id,A575,
 depCount,COUNTIF(tblDependencies[TargetID],id),
 objCount,COUNTIF(tblQuestObjectives[QuestTargetID],id),
 depCount+objCount
)</f>
        <v>4</v>
      </c>
      <c r="H575" s="26">
        <f t="shared" si="2"/>
        <v>4</v>
      </c>
      <c r="I575" s="26">
        <f>IFERROR(__xludf.DUMMYFUNCTION("LET(
 id,A575,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5" s="26">
        <f t="shared" si="3"/>
        <v>0</v>
      </c>
      <c r="K575" s="26" t="b">
        <f t="shared" si="4"/>
        <v>0</v>
      </c>
      <c r="L575" s="26">
        <f t="shared" si="5"/>
        <v>4</v>
      </c>
      <c r="M575" s="26" t="str">
        <f>IFERROR(__xludf.DUMMYFUNCTION("LET(
 id,A575,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L575=0,
  """",
  IFERROR(INDEX(incomplete,1),"""")"&amp;"
 )
)"),"tech.smithy.sword_for_a_hero_lvl_4")</f>
        <v>tech.smithy.sword_for_a_hero_lvl_4</v>
      </c>
      <c r="N575" s="26" t="str">
        <f t="array" ref="N575">IF(
 M575="",
 "",
 _xlfn.XLOOKUP(
  M575,
  tblTargets[TargetID],
  tblTargets[DisplayName],
  M575
 )
)</f>
        <v>Smithy - Sword For A Hero Lvl 4</v>
      </c>
      <c r="O575" s="26" t="str">
        <f>IFERROR(__xludf.DUMMYFUNCTION("SWITCH(
 E575,
 ""BUILDING"",XLOOKUP(A575,tblBuildings[BuildingID],tblBuildings[costtext],""""),
 ""TECH"",XLOOKUP(A575,tblTechnologies[TechnologyID],tblTechnologies[costtext],""""),
 ""QUEST"",XLOOKUP(
  REGEXREPLACE(A575,""\.[^.]+$"",""""),
  tblQuests["&amp;"QuestID],
  tblQuests[Costtext],
  """"
 ),
 ""CITADEL"",XLOOKUP(A575,tblCitadel[CitadelID],tblCitadel[costtext],""""),
 ""COLLECTION"",XLOOKUP(A575,tblCollections[CollectionID],tblCollections[costtext],""""),
 ""CRAFTIFACT"",XLOOKUP(A575,tblCraftifacts[C"&amp;"raftifactID],tblCraftifacts[costtext],""""),
 """"
)"),"20 bamboo,25 bluecrystal,1000 coin,10 grimoire,10 mercury,10 quartz,1 reddiamond,5 ruby,1 sword4")</f>
        <v>20 bamboo,25 bluecrystal,1000 coin,10 grimoire,10 mercury,10 quartz,1 reddiamond,5 ruby,1 sword4</v>
      </c>
      <c r="P575" s="26" t="str">
        <f t="shared" si="6"/>
        <v>BLOCKED</v>
      </c>
      <c r="Q575" s="26" t="str">
        <f t="shared" si="7"/>
        <v>BLOCKED</v>
      </c>
      <c r="R575" s="26" t="str">
        <f t="array" ref="R575">IFERROR(
 _xlfn.XLOOKUP(
  A575,
  tblChecklist[TargetID],
  tblChecklist[PlayerSort],
  ""
 ),
 ""
)</f>
        <v/>
      </c>
      <c r="S575" s="26" t="str">
        <f>IFERROR(__xludf.DUMMYFUNCTION("LET(
 id,A575,
 successorIDs,
  IFERROR(
   UNIQUE(
    FILTER(
     {
      Dependencies!$A$2:$A$1000;
      QuestObjectives!$A$2:$A$1000
     },
     {
      Dependencies!$B$2:$B$1000;
      QuestObjectives!$E$2:$E$1000
     }=id
    )
   ),
   """"
  )"&amp;",
 names,
  MAP(
   successorIDs,
   LAMBDA(s,
    IF(
     s="""",
     """",
     XLOOKUP(
      s,
      $A$2:$A$1000,
      $B$2:$B$1000,
      s
     )
    )
   )
  ),
 IF(
  successorIDs="""",
  """",
  TEXTJOIN("", "",TRUE,names)
 )
)"),"Craft sword 4+")</f>
        <v>Craft sword 4+</v>
      </c>
      <c r="T575" s="26" t="str">
        <f t="array" ref="T575">_xlfn.XLOOKUP(
 A575,
 tblTargets[TargetID],
 tblTargets[CompletionMethod],
 ""
)</f>
        <v>PLAYER</v>
      </c>
      <c r="U575" s="84" t="b">
        <f>COUNTIF(tblCost[TargetID],A575)&gt;0</f>
        <v>1</v>
      </c>
      <c r="V575" s="85">
        <f t="array" ref="V575">IF(
 U575=FALSE,
 "",
 _xlfn.XLOOKUP(
  A575,
  tblCost[TargetID],
  tblCost[FundingPercent],
  ""
 )
)</f>
        <v>0</v>
      </c>
      <c r="W575" s="26">
        <f t="array" ref="W575">IF(
 U575=FALSE,
 "",
 _xlfn.XLOOKUP(
  A575,
  tblCost[TargetID],
  tblCost[RemainingRequirements],
  ""
 )
)</f>
        <v>9</v>
      </c>
      <c r="X575" s="45" t="b">
        <f t="array" ref="X575">IF(
 U575=FALSE,
 "N/A",
 _xlfn.XLOOKUP(
  A576,
  tblCost[TargetID],
  tblCost[TargetFunded],
  FALSE
 )
)</f>
        <v>0</v>
      </c>
      <c r="Y575" s="26" t="str">
        <f>IFERROR(__xludf.DUMMYFUNCTION("IFERROR(
 TEXTJOIN(
  "", "",
  TRUE,
  FILTER(
   'cost checklist'!$E$2:$E1000&amp;"": ""&amp;'cost checklist'!$G$2:$G1000,
   'cost checklist'!$B$2:$B1000=A575,
   'cost checklist'!$J$2:$J1000=FALSE
  )
 ),
 """"
)"),"bamboo: 20, bluecrystal: 25, coin: 1000, grimoire: 10, mercury: 10, quartz: 10, reddiamond: 1, ruby: 5, sword4: 1")</f>
        <v>bamboo: 20, bluecrystal: 25, coin: 1000, grimoire: 10, mercury: 10, quartz: 10, reddiamond: 1, ruby: 5, sword4: 1</v>
      </c>
      <c r="Z575" s="26" t="b">
        <f>IFERROR(__xludf.DUMMYFUNCTION("IF(
 AND(
  E575=""QUEST"",
  RIGHT(A575,9)="".accepted"",
  D575=TRUE
 ),
 XLOOKUP(
  REGEXREPLACE(A575,""\.accepted$"","""")&amp;"".finished"",
  $A$2:$A1000,
  $D$2:$D1000,
  TRUE
 )=FALSE,
 FALSE
)"),FALSE)</f>
        <v>0</v>
      </c>
      <c r="AA575" s="26" t="str">
        <f>IFERROR(__xludf.DUMMYFUNCTION("LET(
 id,A575,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6" ht="14.25" customHeight="1">
      <c r="A576" s="26" t="s">
        <v>1838</v>
      </c>
      <c r="B576" s="26" t="str">
        <f t="array" ref="B576">_xlfn.XLOOKUP(
 A576,
 tblTargets[TargetID],
 tblTargets[DisplayName],
 ""
)</f>
        <v>Smithy - Throwing Knife</v>
      </c>
      <c r="C576" s="26" t="str">
        <f t="shared" si="1"/>
        <v>BLOCKED</v>
      </c>
      <c r="D576" s="26" t="b">
        <f>IFERROR(__xludf.DUMMYFUNCTION("LET(
 id,A576,
 IF(
  F576=""CHARACTER"",
  LET(
   base,REGEXREPLACE(id,""@\d+$"",""""),
   required,VALUE(REGEXEXTRACT(id,""@(\d+)$"")),
   current,XLOOKUP(
    base,
    tblPlayer[PlayerStateID],
    tblPlayer[Value],
    0
   ),
   current&gt;=required
 "&amp;" ),
  IF(
   T576=""AUTO"",
   L576=0,
   COUNTIFS(
    tblChecklist[TargetID],id,
    tblChecklist[PlayerCompleted],TRUE
   )&gt;0
  )
 )
)"),FALSE)</f>
        <v>0</v>
      </c>
      <c r="E576" s="26" t="str">
        <f t="array" ref="E576">_xlfn.XLOOKUP(
 A576,
 tblTargets[TargetID],
 tblTargets[TargetType],
 ""
)</f>
        <v>TECH</v>
      </c>
      <c r="F576" s="26" t="str">
        <f t="array" ref="F576">_xlfn.XLOOKUP(
 A576,
 tblTargets[TargetID],
 tblTargets[StateType],
 ""
)</f>
        <v/>
      </c>
      <c r="G576" s="26">
        <f>LET(
 id,A576,
 depCount,COUNTIF(tblDependencies[TargetID],id),
 objCount,COUNTIF(tblQuestObjectives[QuestTargetID],id),
 depCount+objCount
)</f>
        <v>1</v>
      </c>
      <c r="H576" s="26">
        <f t="shared" si="2"/>
        <v>1</v>
      </c>
      <c r="I576" s="26">
        <f>IFERROR(__xludf.DUMMYFUNCTION("LET(
 id,A576,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6" s="26">
        <f t="shared" si="3"/>
        <v>0</v>
      </c>
      <c r="K576" s="26" t="b">
        <f t="shared" si="4"/>
        <v>0</v>
      </c>
      <c r="L576" s="26">
        <f t="shared" si="5"/>
        <v>1</v>
      </c>
      <c r="M576" s="26" t="str">
        <f>IFERROR(__xludf.DUMMYFUNCTION("LET(
 id,A576,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L576=0,
  """",
  IFERROR(INDEX(incomplete,1),"""")"&amp;"
 )
)"),"building.smithy.maxed")</f>
        <v>building.smithy.maxed</v>
      </c>
      <c r="N576" s="26" t="str">
        <f t="array" ref="N576">IF(
 M576="",
 "",
 _xlfn.XLOOKUP(
  M576,
  tblTargets[TargetID],
  tblTargets[DisplayName],
  M576
 )
)</f>
        <v>smithy maxed</v>
      </c>
      <c r="O576" s="26" t="str">
        <f>IFERROR(__xludf.DUMMYFUNCTION("SWITCH(
 E576,
 ""BUILDING"",XLOOKUP(A576,tblBuildings[BuildingID],tblBuildings[costtext],""""),
 ""TECH"",XLOOKUP(A576,tblTechnologies[TechnologyID],tblTechnologies[costtext],""""),
 ""QUEST"",XLOOKUP(
  REGEXREPLACE(A576,""\.[^.]+$"",""""),
  tblQuests["&amp;"QuestID],
  tblQuests[Costtext],
  """"
 ),
 ""CITADEL"",XLOOKUP(A576,tblCitadel[CitadelID],tblCitadel[costtext],""""),
 ""COLLECTION"",XLOOKUP(A576,tblCollections[CollectionID],tblCollections[costtext],""""),
 ""CRAFTIFACT"",XLOOKUP(A576,tblCraftifacts[C"&amp;"raftifactID],tblCraftifacts[costtext],""""),
 """"
)"),"300 coin,30 miron,15 page,2 ruby")</f>
        <v>300 coin,30 miron,15 page,2 ruby</v>
      </c>
      <c r="P576" s="26" t="str">
        <f t="shared" si="6"/>
        <v>BLOCKED</v>
      </c>
      <c r="Q576" s="26" t="str">
        <f t="shared" si="7"/>
        <v>BLOCKED</v>
      </c>
      <c r="R576" s="26" t="str">
        <f t="array" ref="R576">IFERROR(
 _xlfn.XLOOKUP(
  A576,
  tblChecklist[TargetID],
  tblChecklist[PlayerSort],
  ""
 ),
 ""
)</f>
        <v/>
      </c>
      <c r="S576" s="26" t="str">
        <f>IFERROR(__xludf.DUMMYFUNCTION("LET(
 id,A576,
 successorIDs,
  IFERROR(
   UNIQUE(
    FILTER(
     {
      Dependencies!$A$2:$A$1000;
      QuestObjectives!$A$2:$A$1000
     },
     {
      Dependencies!$B$2:$B$1000;
      QuestObjectives!$E$2:$E$1000
     }=id
    )
   ),
   """"
  )"&amp;",
 names,
  MAP(
   successorIDs,
   LAMBDA(s,
    IF(
     s="""",
     """",
     XLOOKUP(
      s,
      $A$2:$A$1000,
      $B$2:$B$1000,
      s
     )
    )
   )
  ),
 IF(
  successorIDs="""",
  """",
  TEXTJOIN("", "",TRUE,names)
 )
)"),"Green Potion Finished")</f>
        <v>Green Potion Finished</v>
      </c>
      <c r="T576" s="26" t="str">
        <f t="array" ref="T576">_xlfn.XLOOKUP(
 A576,
 tblTargets[TargetID],
 tblTargets[CompletionMethod],
 ""
)</f>
        <v>PLAYER</v>
      </c>
      <c r="U576" s="84" t="b">
        <f>COUNTIF(tblCost[TargetID],A576)&gt;0</f>
        <v>1</v>
      </c>
      <c r="V576" s="85">
        <f t="array" ref="V576">IF(
 U576=FALSE,
 "",
 _xlfn.XLOOKUP(
  A576,
  tblCost[TargetID],
  tblCost[FundingPercent],
  ""
 )
)</f>
        <v>0</v>
      </c>
      <c r="W576" s="26">
        <f t="array" ref="W576">IF(
 U576=FALSE,
 "",
 _xlfn.XLOOKUP(
  A576,
  tblCost[TargetID],
  tblCost[RemainingRequirements],
  ""
 )
)</f>
        <v>4</v>
      </c>
      <c r="X576" s="45" t="b">
        <f t="array" ref="X576">IF(
 U576=FALSE,
 "N/A",
 _xlfn.XLOOKUP(
  A577,
  tblCost[TargetID],
  tblCost[TargetFunded],
  FALSE
 )
)</f>
        <v>0</v>
      </c>
      <c r="Y576" s="26" t="str">
        <f>IFERROR(__xludf.DUMMYFUNCTION("IFERROR(
 TEXTJOIN(
  "", "",
  TRUE,
  FILTER(
   'cost checklist'!$E$2:$E1000&amp;"": ""&amp;'cost checklist'!$G$2:$G1000,
   'cost checklist'!$B$2:$B1000=A576,
   'cost checklist'!$J$2:$J1000=FALSE
  )
 ),
 """"
)"),"coin: 300, miron: 30, page: 15, ruby: 2")</f>
        <v>coin: 300, miron: 30, page: 15, ruby: 2</v>
      </c>
      <c r="Z576" s="26" t="b">
        <f>IFERROR(__xludf.DUMMYFUNCTION("IF(
 AND(
  E576=""QUEST"",
  RIGHT(A576,9)="".accepted"",
  D576=TRUE
 ),
 XLOOKUP(
  REGEXREPLACE(A576,""\.accepted$"","""")&amp;"".finished"",
  $A$2:$A1000,
  $D$2:$D1000,
  TRUE
 )=FALSE,
 FALSE
)"),FALSE)</f>
        <v>0</v>
      </c>
      <c r="AA576" s="26" t="str">
        <f>IFERROR(__xludf.DUMMYFUNCTION("LET(
 id,A576,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7" ht="14.25" customHeight="1">
      <c r="A577" s="26" t="s">
        <v>1841</v>
      </c>
      <c r="B577" s="26" t="str">
        <f t="array" ref="B577">_xlfn.XLOOKUP(
 A577,
 tblTargets[TargetID],
 tblTargets[DisplayName],
 ""
)</f>
        <v>Smithy - Treasure</v>
      </c>
      <c r="C577" s="26" t="str">
        <f t="shared" si="1"/>
        <v>BLOCKED</v>
      </c>
      <c r="D577" s="26" t="b">
        <f>IFERROR(__xludf.DUMMYFUNCTION("LET(
 id,A577,
 IF(
  F577=""CHARACTER"",
  LET(
   base,REGEXREPLACE(id,""@\d+$"",""""),
   required,VALUE(REGEXEXTRACT(id,""@(\d+)$"")),
   current,XLOOKUP(
    base,
    tblPlayer[PlayerStateID],
    tblPlayer[Value],
    0
   ),
   current&gt;=required
 "&amp;" ),
  IF(
   T577=""AUTO"",
   L577=0,
   COUNTIFS(
    tblChecklist[TargetID],id,
    tblChecklist[PlayerCompleted],TRUE
   )&gt;0
  )
 )
)"),FALSE)</f>
        <v>0</v>
      </c>
      <c r="E577" s="26" t="str">
        <f t="array" ref="E577">_xlfn.XLOOKUP(
 A577,
 tblTargets[TargetID],
 tblTargets[TargetType],
 ""
)</f>
        <v>TECH</v>
      </c>
      <c r="F577" s="26" t="str">
        <f t="array" ref="F577">_xlfn.XLOOKUP(
 A577,
 tblTargets[TargetID],
 tblTargets[StateType],
 ""
)</f>
        <v/>
      </c>
      <c r="G577" s="26">
        <f>LET(
 id,A577,
 depCount,COUNTIF(tblDependencies[TargetID],id),
 objCount,COUNTIF(tblQuestObjectives[QuestTargetID],id),
 depCount+objCount
)</f>
        <v>2</v>
      </c>
      <c r="H577" s="26">
        <f t="shared" si="2"/>
        <v>2</v>
      </c>
      <c r="I577" s="26">
        <f>IFERROR(__xludf.DUMMYFUNCTION("LET(
 id,A577,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7" s="26">
        <f t="shared" si="3"/>
        <v>0</v>
      </c>
      <c r="K577" s="26" t="b">
        <f t="shared" si="4"/>
        <v>0</v>
      </c>
      <c r="L577" s="26">
        <f t="shared" si="5"/>
        <v>2</v>
      </c>
      <c r="M577" s="26" t="str">
        <f>IFERROR(__xludf.DUMMYFUNCTION("LET(
 id,A577,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L577=0,
  """",
  IFERROR(INDEX(incomplete,1),"""")"&amp;"
 )
)"),"quest.the_ordinary_days_of_an_adventurer_chapter_3.finished")</f>
        <v>quest.the_ordinary_days_of_an_adventurer_chapter_3.finished</v>
      </c>
      <c r="N577" s="26" t="str">
        <f t="array" ref="N577">IF(
 M577="",
 "",
 _xlfn.XLOOKUP(
  M577,
  tblTargets[TargetID],
  tblTargets[DisplayName],
  M577
 )
)</f>
        <v>The Ordinary Days of an Adventurer Chapter 3 Finished</v>
      </c>
      <c r="O577" s="26" t="str">
        <f>IFERROR(__xludf.DUMMYFUNCTION("SWITCH(
 E577,
 ""BUILDING"",XLOOKUP(A577,tblBuildings[BuildingID],tblBuildings[costtext],""""),
 ""TECH"",XLOOKUP(A577,tblTechnologies[TechnologyID],tblTechnologies[costtext],""""),
 ""QUEST"",XLOOKUP(
  REGEXREPLACE(A577,""\.[^.]+$"",""""),
  tblQuests["&amp;"QuestID],
  tblQuests[Costtext],
  """"
 ),
 ""CITADEL"",XLOOKUP(A577,tblCitadel[CitadelID],tblCitadel[costtext],""""),
 ""COLLECTION"",XLOOKUP(A577,tblCollections[CollectionID],tblCollections[costtext],""""),
 ""CRAFTIFACT"",XLOOKUP(A577,tblCraftifacts[C"&amp;"raftifactID],tblCraftifacts[costtext],""""),
 """"
)"),"30 bluecrystal,500 coin,20 greencrystal,10 grimoire,10 ingot,10 mercury,20 redcrystal,3 ruby,15 violetcrystal")</f>
        <v>30 bluecrystal,500 coin,20 greencrystal,10 grimoire,10 ingot,10 mercury,20 redcrystal,3 ruby,15 violetcrystal</v>
      </c>
      <c r="P577" s="26" t="str">
        <f t="shared" si="6"/>
        <v>BLOCKED</v>
      </c>
      <c r="Q577" s="26" t="str">
        <f t="shared" si="7"/>
        <v>BLOCKED</v>
      </c>
      <c r="R577" s="26" t="str">
        <f t="array" ref="R577">IFERROR(
 _xlfn.XLOOKUP(
  A577,
  tblChecklist[TargetID],
  tblChecklist[PlayerSort],
  ""
 ),
 ""
)</f>
        <v/>
      </c>
      <c r="S577" s="26" t="str">
        <f>IFERROR(__xludf.DUMMYFUNCTION("LET(
 id,A577,
 successorIDs,
  IFERROR(
   UNIQUE(
    FILTER(
     {
      Dependencies!$A$2:$A$1000;
      QuestObjectives!$A$2:$A$1000
     },
     {
      Dependencies!$B$2:$B$1000;
      QuestObjectives!$E$2:$E$1000
     }=id
    )
   ),
   """"
  )"&amp;",
 names,
  MAP(
   successorIDs,
   LAMBDA(s,
    IF(
     s="""",
     """",
     XLOOKUP(
      s,
      $A$2:$A$1000,
      $B$2:$B$1000,
      s
     )
    )
   )
  ),
 IF(
  successorIDs="""",
  """",
  TEXTJOIN("", "",TRUE,names)
 )
)"),"")</f>
        <v/>
      </c>
      <c r="T577" s="26" t="str">
        <f t="array" ref="T577">_xlfn.XLOOKUP(
 A577,
 tblTargets[TargetID],
 tblTargets[CompletionMethod],
 ""
)</f>
        <v>PLAYER</v>
      </c>
      <c r="U577" s="84" t="b">
        <f>COUNTIF(tblCost[TargetID],A577)&gt;0</f>
        <v>1</v>
      </c>
      <c r="V577" s="85">
        <f t="array" ref="V577">IF(
 U577=FALSE,
 "",
 _xlfn.XLOOKUP(
  A577,
  tblCost[TargetID],
  tblCost[FundingPercent],
  ""
 )
)</f>
        <v>0</v>
      </c>
      <c r="W577" s="26">
        <f t="array" ref="W577">IF(
 U577=FALSE,
 "",
 _xlfn.XLOOKUP(
  A577,
  tblCost[TargetID],
  tblCost[RemainingRequirements],
  ""
 )
)</f>
        <v>9</v>
      </c>
      <c r="X577" s="45" t="b">
        <f t="array" ref="X577">IF(
 U577=FALSE,
 "N/A",
 _xlfn.XLOOKUP(
  A578,
  tblCost[TargetID],
  tblCost[TargetFunded],
  FALSE
 )
)</f>
        <v>0</v>
      </c>
      <c r="Y577" s="26" t="str">
        <f>IFERROR(__xludf.DUMMYFUNCTION("IFERROR(
 TEXTJOIN(
  "", "",
  TRUE,
  FILTER(
   'cost checklist'!$E$2:$E1000&amp;"": ""&amp;'cost checklist'!$G$2:$G1000,
   'cost checklist'!$B$2:$B1000=A577,
   'cost checklist'!$J$2:$J1000=FALSE
  )
 ),
 """"
)"),"bluecrystal: 30, coin: 500, greencrystal: 20, grimoire: 10, ingot: 10, mercury: 10, redcrystal: 20, ruby: 3, violetcrystal: 15")</f>
        <v>bluecrystal: 30, coin: 500, greencrystal: 20, grimoire: 10, ingot: 10, mercury: 10, redcrystal: 20, ruby: 3, violetcrystal: 15</v>
      </c>
      <c r="Z577" s="26" t="b">
        <f>IFERROR(__xludf.DUMMYFUNCTION("IF(
 AND(
  E577=""QUEST"",
  RIGHT(A577,9)="".accepted"",
  D577=TRUE
 ),
 XLOOKUP(
  REGEXREPLACE(A577,""\.accepted$"","""")&amp;"".finished"",
  $A$2:$A1000,
  $D$2:$D1000,
  TRUE
 )=FALSE,
 FALSE
)"),FALSE)</f>
        <v>0</v>
      </c>
      <c r="AA577" s="26" t="str">
        <f>IFERROR(__xludf.DUMMYFUNCTION("LET(
 id,A577,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8" ht="14.25" customHeight="1">
      <c r="A578" s="26" t="s">
        <v>1843</v>
      </c>
      <c r="B578" s="26" t="str">
        <f t="array" ref="B578">_xlfn.XLOOKUP(
 A578,
 tblTargets[TargetID],
 tblTargets[DisplayName],
 ""
)</f>
        <v>Smithy - Weapon Grease</v>
      </c>
      <c r="C578" s="26" t="str">
        <f t="shared" si="1"/>
        <v>BLOCKED</v>
      </c>
      <c r="D578" s="26" t="b">
        <f>IFERROR(__xludf.DUMMYFUNCTION("LET(
 id,A578,
 IF(
  F578=""CHARACTER"",
  LET(
   base,REGEXREPLACE(id,""@\d+$"",""""),
   required,VALUE(REGEXEXTRACT(id,""@(\d+)$"")),
   current,XLOOKUP(
    base,
    tblPlayer[PlayerStateID],
    tblPlayer[Value],
    0
   ),
   current&gt;=required
 "&amp;" ),
  IF(
   T578=""AUTO"",
   L578=0,
   COUNTIFS(
    tblChecklist[TargetID],id,
    tblChecklist[PlayerCompleted],TRUE
   )&gt;0
  )
 )
)"),FALSE)</f>
        <v>0</v>
      </c>
      <c r="E578" s="26" t="str">
        <f t="array" ref="E578">_xlfn.XLOOKUP(
 A578,
 tblTargets[TargetID],
 tblTargets[TargetType],
 ""
)</f>
        <v>TECH</v>
      </c>
      <c r="F578" s="26" t="str">
        <f t="array" ref="F578">_xlfn.XLOOKUP(
 A578,
 tblTargets[TargetID],
 tblTargets[StateType],
 ""
)</f>
        <v/>
      </c>
      <c r="G578" s="26">
        <f>LET(
 id,A578,
 depCount,COUNTIF(tblDependencies[TargetID],id),
 objCount,COUNTIF(tblQuestObjectives[QuestTargetID],id),
 depCount+objCount
)</f>
        <v>2</v>
      </c>
      <c r="H578" s="26">
        <f t="shared" si="2"/>
        <v>2</v>
      </c>
      <c r="I578" s="26">
        <f>IFERROR(__xludf.DUMMYFUNCTION("LET(
 id,A578,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8" s="26">
        <f t="shared" si="3"/>
        <v>0</v>
      </c>
      <c r="K578" s="26" t="b">
        <f t="shared" si="4"/>
        <v>0</v>
      </c>
      <c r="L578" s="26">
        <f t="shared" si="5"/>
        <v>2</v>
      </c>
      <c r="M578" s="26" t="str">
        <f>IFERROR(__xludf.DUMMYFUNCTION("LET(
 id,A578,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L578=0,
  """",
  IFERROR(INDEX(incomplete,1),"""")"&amp;"
 )
)"),"tech.smithy.sword_for_a_hero_lvl_1")</f>
        <v>tech.smithy.sword_for_a_hero_lvl_1</v>
      </c>
      <c r="N578" s="26" t="str">
        <f t="array" ref="N578">IF(
 M578="",
 "",
 _xlfn.XLOOKUP(
  M578,
  tblTargets[TargetID],
  tblTargets[DisplayName],
  M578
 )
)</f>
        <v>Smithy - Sword For A Hero Lvl 1</v>
      </c>
      <c r="O578" s="26" t="str">
        <f>IFERROR(__xludf.DUMMYFUNCTION("SWITCH(
 E578,
 ""BUILDING"",XLOOKUP(A578,tblBuildings[BuildingID],tblBuildings[costtext],""""),
 ""TECH"",XLOOKUP(A578,tblTechnologies[TechnologyID],tblTechnologies[costtext],""""),
 ""QUEST"",XLOOKUP(
  REGEXREPLACE(A578,""\.[^.]+$"",""""),
  tblQuests["&amp;"QuestID],
  tblQuests[Costtext],
  """"
 ),
 ""CITADEL"",XLOOKUP(A578,tblCitadel[CitadelID],tblCitadel[costtext],""""),
 ""COLLECTION"",XLOOKUP(A578,tblCollections[CollectionID],tblCollections[costtext],""""),
 ""CRAFTIFACT"",XLOOKUP(A578,tblCraftifacts[C"&amp;"raftifactID],tblCraftifacts[costtext],""""),
 """"
)"),"15 blueprint,500 coin,10 oil,15 reagent,2 ruby")</f>
        <v>15 blueprint,500 coin,10 oil,15 reagent,2 ruby</v>
      </c>
      <c r="P578" s="26" t="str">
        <f t="shared" si="6"/>
        <v>BLOCKED</v>
      </c>
      <c r="Q578" s="26" t="str">
        <f t="shared" si="7"/>
        <v>BLOCKED</v>
      </c>
      <c r="R578" s="26" t="str">
        <f t="array" ref="R578">IFERROR(
 _xlfn.XLOOKUP(
  A578,
  tblChecklist[TargetID],
  tblChecklist[PlayerSort],
  ""
 ),
 ""
)</f>
        <v/>
      </c>
      <c r="S578" s="26" t="str">
        <f>IFERROR(__xludf.DUMMYFUNCTION("LET(
 id,A578,
 successorIDs,
  IFERROR(
   UNIQUE(
    FILTER(
     {
      Dependencies!$A$2:$A$1000;
      QuestObjectives!$A$2:$A$1000
     },
     {
      Dependencies!$B$2:$B$1000;
      QuestObjectives!$E$2:$E$1000
     }=id
    )
   ),
   """"
  )"&amp;",
 names,
  MAP(
   successorIDs,
   LAMBDA(s,
    IF(
     s="""",
     """",
     XLOOKUP(
      s,
      $A$2:$A$1000,
      $B$2:$B$1000,
      s
     )
    )
   )
  ),
 IF(
  successorIDs="""",
  """",
  TEXTJOIN("", "",TRUE,names)
 )
)"),"")</f>
        <v/>
      </c>
      <c r="T578" s="26" t="str">
        <f t="array" ref="T578">_xlfn.XLOOKUP(
 A578,
 tblTargets[TargetID],
 tblTargets[CompletionMethod],
 ""
)</f>
        <v>PLAYER</v>
      </c>
      <c r="U578" s="84" t="b">
        <f>COUNTIF(tblCost[TargetID],A578)&gt;0</f>
        <v>1</v>
      </c>
      <c r="V578" s="85">
        <f t="array" ref="V578">IF(
 U578=FALSE,
 "",
 _xlfn.XLOOKUP(
  A578,
  tblCost[TargetID],
  tblCost[FundingPercent],
  ""
 )
)</f>
        <v>0</v>
      </c>
      <c r="W578" s="26">
        <f t="array" ref="W578">IF(
 U578=FALSE,
 "",
 _xlfn.XLOOKUP(
  A578,
  tblCost[TargetID],
  tblCost[RemainingRequirements],
  ""
 )
)</f>
        <v>5</v>
      </c>
      <c r="X578" s="45" t="b">
        <f t="array" ref="X578">IF(
 U578=FALSE,
 "N/A",
 _xlfn.XLOOKUP(
  A579,
  tblCost[TargetID],
  tblCost[TargetFunded],
  FALSE
 )
)</f>
        <v>0</v>
      </c>
      <c r="Y578" s="26" t="str">
        <f>IFERROR(__xludf.DUMMYFUNCTION("IFERROR(
 TEXTJOIN(
  "", "",
  TRUE,
  FILTER(
   'cost checklist'!$E$2:$E1000&amp;"": ""&amp;'cost checklist'!$G$2:$G1000,
   'cost checklist'!$B$2:$B1000=A578,
   'cost checklist'!$J$2:$J1000=FALSE
  )
 ),
 """"
)"),"blueprint: 15, coin: 500, oil: 10, reagent: 15, ruby: 2")</f>
        <v>blueprint: 15, coin: 500, oil: 10, reagent: 15, ruby: 2</v>
      </c>
      <c r="Z578" s="26" t="b">
        <f>IFERROR(__xludf.DUMMYFUNCTION("IF(
 AND(
  E578=""QUEST"",
  RIGHT(A578,9)="".accepted"",
  D578=TRUE
 ),
 XLOOKUP(
  REGEXREPLACE(A578,""\.accepted$"","""")&amp;"".finished"",
  $A$2:$A1000,
  $D$2:$D1000,
  TRUE
 )=FALSE,
 FALSE
)"),FALSE)</f>
        <v>0</v>
      </c>
      <c r="AA578" s="26" t="str">
        <f>IFERROR(__xludf.DUMMYFUNCTION("LET(
 id,A578,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79" ht="14.25" customHeight="1">
      <c r="A579" s="26" t="s">
        <v>1845</v>
      </c>
      <c r="B579" s="26" t="str">
        <f t="array" ref="B579">_xlfn.XLOOKUP(
 A579,
 tblTargets[TargetID],
 tblTargets[DisplayName],
 ""
)</f>
        <v>Tailor - Ariadnes Thread</v>
      </c>
      <c r="C579" s="26" t="str">
        <f t="shared" si="1"/>
        <v>BLOCKED</v>
      </c>
      <c r="D579" s="26" t="b">
        <f>IFERROR(__xludf.DUMMYFUNCTION("LET(
 id,A579,
 IF(
  F579=""CHARACTER"",
  LET(
   base,REGEXREPLACE(id,""@\d+$"",""""),
   required,VALUE(REGEXEXTRACT(id,""@(\d+)$"")),
   current,XLOOKUP(
    base,
    tblPlayer[PlayerStateID],
    tblPlayer[Value],
    0
   ),
   current&gt;=required
 "&amp;" ),
  IF(
   T579=""AUTO"",
   L579=0,
   COUNTIFS(
    tblChecklist[TargetID],id,
    tblChecklist[PlayerCompleted],TRUE
   )&gt;0
  )
 )
)"),FALSE)</f>
        <v>0</v>
      </c>
      <c r="E579" s="26" t="str">
        <f t="array" ref="E579">_xlfn.XLOOKUP(
 A579,
 tblTargets[TargetID],
 tblTargets[TargetType],
 ""
)</f>
        <v>TECH</v>
      </c>
      <c r="F579" s="26" t="str">
        <f t="array" ref="F579">_xlfn.XLOOKUP(
 A579,
 tblTargets[TargetID],
 tblTargets[StateType],
 ""
)</f>
        <v/>
      </c>
      <c r="G579" s="26">
        <f>LET(
 id,A579,
 depCount,COUNTIF(tblDependencies[TargetID],id),
 objCount,COUNTIF(tblQuestObjectives[QuestTargetID],id),
 depCount+objCount
)</f>
        <v>2</v>
      </c>
      <c r="H579" s="26">
        <f t="shared" si="2"/>
        <v>2</v>
      </c>
      <c r="I579" s="26">
        <f>IFERROR(__xludf.DUMMYFUNCTION("LET(
 id,A579,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79" s="26">
        <f t="shared" si="3"/>
        <v>0</v>
      </c>
      <c r="K579" s="26" t="b">
        <f t="shared" si="4"/>
        <v>0</v>
      </c>
      <c r="L579" s="26">
        <f t="shared" si="5"/>
        <v>2</v>
      </c>
      <c r="M579" s="26" t="str">
        <f>IFERROR(__xludf.DUMMYFUNCTION("LET(
 id,A579,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L579=0,
  """",
  IFERROR(INDEX(incomplete,1),"""")"&amp;"
 )
)"),"building.tailor@2")</f>
        <v>building.tailor@2</v>
      </c>
      <c r="N579" s="26" t="str">
        <f t="array" ref="N579">IF(
 M579="",
 "",
 _xlfn.XLOOKUP(
  M579,
  tblTargets[TargetID],
  tblTargets[DisplayName],
  M579
 )
)</f>
        <v>Tailor Lv 2</v>
      </c>
      <c r="O579" s="26" t="str">
        <f>IFERROR(__xludf.DUMMYFUNCTION("SWITCH(
 E579,
 ""BUILDING"",XLOOKUP(A579,tblBuildings[BuildingID],tblBuildings[costtext],""""),
 ""TECH"",XLOOKUP(A579,tblTechnologies[TechnologyID],tblTechnologies[costtext],""""),
 ""QUEST"",XLOOKUP(
  REGEXREPLACE(A579,""\.[^.]+$"",""""),
  tblQuests["&amp;"QuestID],
  tblQuests[Costtext],
  """"
 ),
 ""CITADEL"",XLOOKUP(A579,tblCitadel[CitadelID],tblCitadel[costtext],""""),
 ""COLLECTION"",XLOOKUP(A579,tblCollections[CollectionID],tblCollections[costtext],""""),
 ""CRAFTIFACT"",XLOOKUP(A579,tblCraftifacts[C"&amp;"raftifactID],tblCraftifacts[costtext],""""),
 """"
)"),"300 coin,20 elixir,10 page,1 ring1,2 ruby,10 thread")</f>
        <v>300 coin,20 elixir,10 page,1 ring1,2 ruby,10 thread</v>
      </c>
      <c r="P579" s="26" t="str">
        <f t="shared" si="6"/>
        <v>BLOCKED</v>
      </c>
      <c r="Q579" s="26" t="str">
        <f t="shared" si="7"/>
        <v>BLOCKED</v>
      </c>
      <c r="R579" s="26" t="str">
        <f t="array" ref="R579">IFERROR(
 _xlfn.XLOOKUP(
  A579,
  tblChecklist[TargetID],
  tblChecklist[PlayerSort],
  ""
 ),
 ""
)</f>
        <v/>
      </c>
      <c r="S579" s="26" t="str">
        <f>IFERROR(__xludf.DUMMYFUNCTION("LET(
 id,A579,
 successorIDs,
  IFERROR(
   UNIQUE(
    FILTER(
     {
      Dependencies!$A$2:$A$1000;
      QuestObjectives!$A$2:$A$1000
     },
     {
      Dependencies!$B$2:$B$1000;
      QuestObjectives!$E$2:$E$1000
     }=id
    )
   ),
   """"
  )"&amp;",
 names,
  MAP(
   successorIDs,
   LAMBDA(s,
    IF(
     s="""",
     """",
     XLOOKUP(
      s,
      $A$2:$A$1000,
      $B$2:$B$1000,
      s
     )
    )
   )
  ),
 IF(
  successorIDs="""",
  """",
  TEXTJOIN("", "",TRUE,names)
 )
)"),"")</f>
        <v/>
      </c>
      <c r="T579" s="26" t="str">
        <f t="array" ref="T579">_xlfn.XLOOKUP(
 A579,
 tblTargets[TargetID],
 tblTargets[CompletionMethod],
 ""
)</f>
        <v>PLAYER</v>
      </c>
      <c r="U579" s="84" t="b">
        <f>COUNTIF(tblCost[TargetID],A579)&gt;0</f>
        <v>1</v>
      </c>
      <c r="V579" s="85">
        <f t="array" ref="V579">IF(
 U579=FALSE,
 "",
 _xlfn.XLOOKUP(
  A579,
  tblCost[TargetID],
  tblCost[FundingPercent],
  ""
 )
)</f>
        <v>0</v>
      </c>
      <c r="W579" s="26">
        <f t="array" ref="W579">IF(
 U579=FALSE,
 "",
 _xlfn.XLOOKUP(
  A579,
  tblCost[TargetID],
  tblCost[RemainingRequirements],
  ""
 )
)</f>
        <v>6</v>
      </c>
      <c r="X579" s="45" t="b">
        <f t="array" ref="X579">IF(
 U579=FALSE,
 "N/A",
 _xlfn.XLOOKUP(
  A580,
  tblCost[TargetID],
  tblCost[TargetFunded],
  FALSE
 )
)</f>
        <v>0</v>
      </c>
      <c r="Y579" s="26" t="str">
        <f>IFERROR(__xludf.DUMMYFUNCTION("IFERROR(
 TEXTJOIN(
  "", "",
  TRUE,
  FILTER(
   'cost checklist'!$E$2:$E1000&amp;"": ""&amp;'cost checklist'!$G$2:$G1000,
   'cost checklist'!$B$2:$B1000=A579,
   'cost checklist'!$J$2:$J1000=FALSE
  )
 ),
 """"
)"),"coin: 300, elixir: 20, page: 10, ring1: 1, ruby: 2, thread: 10")</f>
        <v>coin: 300, elixir: 20, page: 10, ring1: 1, ruby: 2, thread: 10</v>
      </c>
      <c r="Z579" s="26" t="b">
        <f>IFERROR(__xludf.DUMMYFUNCTION("IF(
 AND(
  E579=""QUEST"",
  RIGHT(A579,9)="".accepted"",
  D579=TRUE
 ),
 XLOOKUP(
  REGEXREPLACE(A579,""\.accepted$"","""")&amp;"".finished"",
  $A$2:$A1000,
  $D$2:$D1000,
  TRUE
 )=FALSE,
 FALSE
)"),FALSE)</f>
        <v>0</v>
      </c>
      <c r="AA579" s="26" t="str">
        <f>IFERROR(__xludf.DUMMYFUNCTION("LET(
 id,A579,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0" ht="14.25" customHeight="1">
      <c r="A580" s="26" t="s">
        <v>1847</v>
      </c>
      <c r="B580" s="26" t="str">
        <f t="array" ref="B580">_xlfn.XLOOKUP(
 A580,
 tblTargets[TargetID],
 tblTargets[DisplayName],
 ""
)</f>
        <v>Tailor - Armor For A Hero Lvl 1</v>
      </c>
      <c r="C580" s="26" t="str">
        <f t="shared" si="1"/>
        <v>BLOCKED</v>
      </c>
      <c r="D580" s="26" t="b">
        <f>IFERROR(__xludf.DUMMYFUNCTION("LET(
 id,A580,
 IF(
  F580=""CHARACTER"",
  LET(
   base,REGEXREPLACE(id,""@\d+$"",""""),
   required,VALUE(REGEXEXTRACT(id,""@(\d+)$"")),
   current,XLOOKUP(
    base,
    tblPlayer[PlayerStateID],
    tblPlayer[Value],
    0
   ),
   current&gt;=required
 "&amp;" ),
  IF(
   T580=""AUTO"",
   L580=0,
   COUNTIFS(
    tblChecklist[TargetID],id,
    tblChecklist[PlayerCompleted],TRUE
   )&gt;0
  )
 )
)"),FALSE)</f>
        <v>0</v>
      </c>
      <c r="E580" s="26" t="str">
        <f t="array" ref="E580">_xlfn.XLOOKUP(
 A580,
 tblTargets[TargetID],
 tblTargets[TargetType],
 ""
)</f>
        <v>TECH</v>
      </c>
      <c r="F580" s="26" t="str">
        <f t="array" ref="F580">_xlfn.XLOOKUP(
 A580,
 tblTargets[TargetID],
 tblTargets[StateType],
 ""
)</f>
        <v/>
      </c>
      <c r="G580" s="26">
        <f>LET(
 id,A580,
 depCount,COUNTIF(tblDependencies[TargetID],id),
 objCount,COUNTIF(tblQuestObjectives[QuestTargetID],id),
 depCount+objCount
)</f>
        <v>2</v>
      </c>
      <c r="H580" s="26">
        <f t="shared" si="2"/>
        <v>2</v>
      </c>
      <c r="I580" s="26">
        <f>IFERROR(__xludf.DUMMYFUNCTION("LET(
 id,A580,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0" s="26">
        <f t="shared" si="3"/>
        <v>0</v>
      </c>
      <c r="K580" s="26" t="b">
        <f t="shared" si="4"/>
        <v>0</v>
      </c>
      <c r="L580" s="26">
        <f t="shared" si="5"/>
        <v>2</v>
      </c>
      <c r="M580" s="26" t="str">
        <f>IFERROR(__xludf.DUMMYFUNCTION("LET(
 id,A580,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L580=0,
  """",
  IFERROR(INDEX(incomplete,1),"""")"&amp;"
 )
)"),"building.tailor@2")</f>
        <v>building.tailor@2</v>
      </c>
      <c r="N580" s="26" t="str">
        <f t="array" ref="N580">IF(
 M580="",
 "",
 _xlfn.XLOOKUP(
  M580,
  tblTargets[TargetID],
  tblTargets[DisplayName],
  M580
 )
)</f>
        <v>Tailor Lv 2</v>
      </c>
      <c r="O580" s="26" t="str">
        <f>IFERROR(__xludf.DUMMYFUNCTION("SWITCH(
 E580,
 ""BUILDING"",XLOOKUP(A580,tblBuildings[BuildingID],tblBuildings[costtext],""""),
 ""TECH"",XLOOKUP(A580,tblTechnologies[TechnologyID],tblTechnologies[costtext],""""),
 ""QUEST"",XLOOKUP(
  REGEXREPLACE(A580,""\.[^.]+$"",""""),
  tblQuests["&amp;"QuestID],
  tblQuests[Costtext],
  """"
 ),
 ""CITADEL"",XLOOKUP(A580,tblCitadel[CitadelID],tblCitadel[costtext],""""),
 ""COLLECTION"",XLOOKUP(A580,tblCollections[CollectionID],tblCollections[costtext],""""),
 ""CRAFTIFACT"",XLOOKUP(A580,tblCraftifacts[C"&amp;"raftifactID],tblCraftifacts[costtext],""""),
 """"
)"),"500 coin,50 miron,30 page,3 ruby,10 silk,5 thread")</f>
        <v>500 coin,50 miron,30 page,3 ruby,10 silk,5 thread</v>
      </c>
      <c r="P580" s="26" t="str">
        <f t="shared" si="6"/>
        <v>BLOCKED</v>
      </c>
      <c r="Q580" s="26" t="str">
        <f t="shared" si="7"/>
        <v>BLOCKED</v>
      </c>
      <c r="R580" s="26" t="str">
        <f t="array" ref="R580">IFERROR(
 _xlfn.XLOOKUP(
  A580,
  tblChecklist[TargetID],
  tblChecklist[PlayerSort],
  ""
 ),
 ""
)</f>
        <v/>
      </c>
      <c r="S580" s="26" t="str">
        <f>IFERROR(__xludf.DUMMYFUNCTION("LET(
 id,A580,
 successorIDs,
  IFERROR(
   UNIQUE(
    FILTER(
     {
      Dependencies!$A$2:$A$1000;
      QuestObjectives!$A$2:$A$1000
     },
     {
      Dependencies!$B$2:$B$1000;
      QuestObjectives!$E$2:$E$1000
     }=id
    )
   ),
   """"
  )"&amp;",
 names,
  MAP(
   successorIDs,
   LAMBDA(s,
    IF(
     s="""",
     """",
     XLOOKUP(
      s,
      $A$2:$A$1000,
      $B$2:$B$1000,
      s
     )
    )
   )
  ),
 IF(
  successorIDs="""",
  """",
  TEXTJOIN("", "",TRUE,names)
 )
)"),"Tailor - Armor For A Hero Lvl 2, Tailor - Strong Rivets")</f>
        <v>Tailor - Armor For A Hero Lvl 2, Tailor - Strong Rivets</v>
      </c>
      <c r="T580" s="26" t="str">
        <f t="array" ref="T580">_xlfn.XLOOKUP(
 A580,
 tblTargets[TargetID],
 tblTargets[CompletionMethod],
 ""
)</f>
        <v>PLAYER</v>
      </c>
      <c r="U580" s="84" t="b">
        <f>COUNTIF(tblCost[TargetID],A580)&gt;0</f>
        <v>1</v>
      </c>
      <c r="V580" s="85">
        <f t="array" ref="V580">IF(
 U580=FALSE,
 "",
 _xlfn.XLOOKUP(
  A580,
  tblCost[TargetID],
  tblCost[FundingPercent],
  ""
 )
)</f>
        <v>0</v>
      </c>
      <c r="W580" s="26">
        <f t="array" ref="W580">IF(
 U580=FALSE,
 "",
 _xlfn.XLOOKUP(
  A580,
  tblCost[TargetID],
  tblCost[RemainingRequirements],
  ""
 )
)</f>
        <v>6</v>
      </c>
      <c r="X580" s="45" t="b">
        <f t="array" ref="X580">IF(
 U580=FALSE,
 "N/A",
 _xlfn.XLOOKUP(
  A581,
  tblCost[TargetID],
  tblCost[TargetFunded],
  FALSE
 )
)</f>
        <v>0</v>
      </c>
      <c r="Y580" s="26" t="str">
        <f>IFERROR(__xludf.DUMMYFUNCTION("IFERROR(
 TEXTJOIN(
  "", "",
  TRUE,
  FILTER(
   'cost checklist'!$E$2:$E1000&amp;"": ""&amp;'cost checklist'!$G$2:$G1000,
   'cost checklist'!$B$2:$B1000=A580,
   'cost checklist'!$J$2:$J1000=FALSE
  )
 ),
 """"
)"),"coin: 500, miron: 50, page: 30, ruby: 3, silk: 10, thread: 5")</f>
        <v>coin: 500, miron: 50, page: 30, ruby: 3, silk: 10, thread: 5</v>
      </c>
      <c r="Z580" s="26" t="b">
        <f>IFERROR(__xludf.DUMMYFUNCTION("IF(
 AND(
  E580=""QUEST"",
  RIGHT(A580,9)="".accepted"",
  D580=TRUE
 ),
 XLOOKUP(
  REGEXREPLACE(A580,""\.accepted$"","""")&amp;"".finished"",
  $A$2:$A1000,
  $D$2:$D1000,
  TRUE
 )=FALSE,
 FALSE
)"),FALSE)</f>
        <v>0</v>
      </c>
      <c r="AA580" s="26" t="str">
        <f>IFERROR(__xludf.DUMMYFUNCTION("LET(
 id,A580,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1" ht="14.25" customHeight="1">
      <c r="A581" s="26" t="s">
        <v>1850</v>
      </c>
      <c r="B581" s="26" t="str">
        <f t="array" ref="B581">_xlfn.XLOOKUP(
 A581,
 tblTargets[TargetID],
 tblTargets[DisplayName],
 ""
)</f>
        <v>Tailor - Armor For A Hero Lvl 2</v>
      </c>
      <c r="C581" s="26" t="str">
        <f t="shared" si="1"/>
        <v>BLOCKED</v>
      </c>
      <c r="D581" s="26" t="b">
        <f>IFERROR(__xludf.DUMMYFUNCTION("LET(
 id,A581,
 IF(
  F581=""CHARACTER"",
  LET(
   base,REGEXREPLACE(id,""@\d+$"",""""),
   required,VALUE(REGEXEXTRACT(id,""@(\d+)$"")),
   current,XLOOKUP(
    base,
    tblPlayer[PlayerStateID],
    tblPlayer[Value],
    0
   ),
   current&gt;=required
 "&amp;" ),
  IF(
   T581=""AUTO"",
   L581=0,
   COUNTIFS(
    tblChecklist[TargetID],id,
    tblChecklist[PlayerCompleted],TRUE
   )&gt;0
  )
 )
)"),FALSE)</f>
        <v>0</v>
      </c>
      <c r="E581" s="26" t="str">
        <f t="array" ref="E581">_xlfn.XLOOKUP(
 A581,
 tblTargets[TargetID],
 tblTargets[TargetType],
 ""
)</f>
        <v>TECH</v>
      </c>
      <c r="F581" s="26" t="str">
        <f t="array" ref="F581">_xlfn.XLOOKUP(
 A581,
 tblTargets[TargetID],
 tblTargets[StateType],
 ""
)</f>
        <v/>
      </c>
      <c r="G581" s="26">
        <f>LET(
 id,A581,
 depCount,COUNTIF(tblDependencies[TargetID],id),
 objCount,COUNTIF(tblQuestObjectives[QuestTargetID],id),
 depCount+objCount
)</f>
        <v>2</v>
      </c>
      <c r="H581" s="26">
        <f t="shared" si="2"/>
        <v>2</v>
      </c>
      <c r="I581" s="26">
        <f>IFERROR(__xludf.DUMMYFUNCTION("LET(
 id,A581,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1" s="26">
        <f t="shared" si="3"/>
        <v>0</v>
      </c>
      <c r="K581" s="26" t="b">
        <f t="shared" si="4"/>
        <v>0</v>
      </c>
      <c r="L581" s="26">
        <f t="shared" si="5"/>
        <v>2</v>
      </c>
      <c r="M581" s="26" t="str">
        <f>IFERROR(__xludf.DUMMYFUNCTION("LET(
 id,A581,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L581=0,
  """",
  IFERROR(INDEX(incomplete,1),"""")"&amp;"
 )
)"),"tech.tailor.armor_for_a_hero_lvl_1")</f>
        <v>tech.tailor.armor_for_a_hero_lvl_1</v>
      </c>
      <c r="N581" s="26" t="str">
        <f t="array" ref="N581">IF(
 M581="",
 "",
 _xlfn.XLOOKUP(
  M581,
  tblTargets[TargetID],
  tblTargets[DisplayName],
  M581
 )
)</f>
        <v>Tailor - Armor For A Hero Lvl 1</v>
      </c>
      <c r="O581" s="26" t="str">
        <f>IFERROR(__xludf.DUMMYFUNCTION("SWITCH(
 E581,
 ""BUILDING"",XLOOKUP(A581,tblBuildings[BuildingID],tblBuildings[costtext],""""),
 ""TECH"",XLOOKUP(A581,tblTechnologies[TechnologyID],tblTechnologies[costtext],""""),
 ""QUEST"",XLOOKUP(
  REGEXREPLACE(A581,""\.[^.]+$"",""""),
  tblQuests["&amp;"QuestID],
  tblQuests[Costtext],
  """"
 ),
 ""CITADEL"",XLOOKUP(A581,tblCitadel[CitadelID],tblCitadel[costtext],""""),
 ""COLLECTION"",XLOOKUP(A581,tblCollections[CollectionID],tblCollections[costtext],""""),
 ""CRAFTIFACT"",XLOOKUP(A581,tblCraftifacts[C"&amp;"raftifactID],tblCraftifacts[costtext],""""),
 """"
)"),"20 blueprint,1000 coin,50 msteel,5 ruby,20 silk,10 thread")</f>
        <v>20 blueprint,1000 coin,50 msteel,5 ruby,20 silk,10 thread</v>
      </c>
      <c r="P581" s="26" t="str">
        <f t="shared" si="6"/>
        <v>BLOCKED</v>
      </c>
      <c r="Q581" s="26" t="str">
        <f t="shared" si="7"/>
        <v>BLOCKED</v>
      </c>
      <c r="R581" s="26" t="str">
        <f t="array" ref="R581">IFERROR(
 _xlfn.XLOOKUP(
  A581,
  tblChecklist[TargetID],
  tblChecklist[PlayerSort],
  ""
 ),
 ""
)</f>
        <v/>
      </c>
      <c r="S581" s="26" t="str">
        <f>IFERROR(__xludf.DUMMYFUNCTION("LET(
 id,A581,
 successorIDs,
  IFERROR(
   UNIQUE(
    FILTER(
     {
      Dependencies!$A$2:$A$1000;
      QuestObjectives!$A$2:$A$1000
     },
     {
      Dependencies!$B$2:$B$1000;
      QuestObjectives!$E$2:$E$1000
     }=id
    )
   ),
   """"
  )"&amp;",
 names,
  MAP(
   successorIDs,
   LAMBDA(s,
    IF(
     s="""",
     """",
     XLOOKUP(
      s,
      $A$2:$A$1000,
      $B$2:$B$1000,
      s
     )
    )
   )
  ),
 IF(
  successorIDs="""",
  """",
  TEXTJOIN("", "",TRUE,names)
 )
)"),"Tailor - Armor For A Hero Lvl 3")</f>
        <v>Tailor - Armor For A Hero Lvl 3</v>
      </c>
      <c r="T581" s="26" t="str">
        <f t="array" ref="T581">_xlfn.XLOOKUP(
 A581,
 tblTargets[TargetID],
 tblTargets[CompletionMethod],
 ""
)</f>
        <v>PLAYER</v>
      </c>
      <c r="U581" s="84" t="b">
        <f>COUNTIF(tblCost[TargetID],A581)&gt;0</f>
        <v>1</v>
      </c>
      <c r="V581" s="85">
        <f t="array" ref="V581">IF(
 U581=FALSE,
 "",
 _xlfn.XLOOKUP(
  A581,
  tblCost[TargetID],
  tblCost[FundingPercent],
  ""
 )
)</f>
        <v>0</v>
      </c>
      <c r="W581" s="26">
        <f t="array" ref="W581">IF(
 U581=FALSE,
 "",
 _xlfn.XLOOKUP(
  A581,
  tblCost[TargetID],
  tblCost[RemainingRequirements],
  ""
 )
)</f>
        <v>6</v>
      </c>
      <c r="X581" s="45" t="b">
        <f t="array" ref="X581">IF(
 U581=FALSE,
 "N/A",
 _xlfn.XLOOKUP(
  A582,
  tblCost[TargetID],
  tblCost[TargetFunded],
  FALSE
 )
)</f>
        <v>0</v>
      </c>
      <c r="Y581" s="26" t="str">
        <f>IFERROR(__xludf.DUMMYFUNCTION("IFERROR(
 TEXTJOIN(
  "", "",
  TRUE,
  FILTER(
   'cost checklist'!$E$2:$E1000&amp;"": ""&amp;'cost checklist'!$G$2:$G1000,
   'cost checklist'!$B$2:$B1000=A581,
   'cost checklist'!$J$2:$J1000=FALSE
  )
 ),
 """"
)"),"blueprint: 20, coin: 1000, msteel: 50, ruby: 5, silk: 20, thread: 10")</f>
        <v>blueprint: 20, coin: 1000, msteel: 50, ruby: 5, silk: 20, thread: 10</v>
      </c>
      <c r="Z581" s="26" t="b">
        <f>IFERROR(__xludf.DUMMYFUNCTION("IF(
 AND(
  E581=""QUEST"",
  RIGHT(A581,9)="".accepted"",
  D581=TRUE
 ),
 XLOOKUP(
  REGEXREPLACE(A581,""\.accepted$"","""")&amp;"".finished"",
  $A$2:$A1000,
  $D$2:$D1000,
  TRUE
 )=FALSE,
 FALSE
)"),FALSE)</f>
        <v>0</v>
      </c>
      <c r="AA581" s="26" t="str">
        <f>IFERROR(__xludf.DUMMYFUNCTION("LET(
 id,A581,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2" ht="14.25" customHeight="1">
      <c r="A582" s="26" t="s">
        <v>1852</v>
      </c>
      <c r="B582" s="26" t="str">
        <f t="array" ref="B582">_xlfn.XLOOKUP(
 A582,
 tblTargets[TargetID],
 tblTargets[DisplayName],
 ""
)</f>
        <v>Tailor - Armor For A Hero Lvl 3</v>
      </c>
      <c r="C582" s="26" t="str">
        <f t="shared" si="1"/>
        <v>BLOCKED</v>
      </c>
      <c r="D582" s="26" t="b">
        <f>IFERROR(__xludf.DUMMYFUNCTION("LET(
 id,A582,
 IF(
  F582=""CHARACTER"",
  LET(
   base,REGEXREPLACE(id,""@\d+$"",""""),
   required,VALUE(REGEXEXTRACT(id,""@(\d+)$"")),
   current,XLOOKUP(
    base,
    tblPlayer[PlayerStateID],
    tblPlayer[Value],
    0
   ),
   current&gt;=required
 "&amp;" ),
  IF(
   T582=""AUTO"",
   L582=0,
   COUNTIFS(
    tblChecklist[TargetID],id,
    tblChecklist[PlayerCompleted],TRUE
   )&gt;0
  )
 )
)"),FALSE)</f>
        <v>0</v>
      </c>
      <c r="E582" s="26" t="str">
        <f t="array" ref="E582">_xlfn.XLOOKUP(
 A582,
 tblTargets[TargetID],
 tblTargets[TargetType],
 ""
)</f>
        <v>TECH</v>
      </c>
      <c r="F582" s="26" t="str">
        <f t="array" ref="F582">_xlfn.XLOOKUP(
 A582,
 tblTargets[TargetID],
 tblTargets[StateType],
 ""
)</f>
        <v/>
      </c>
      <c r="G582" s="26">
        <f>LET(
 id,A582,
 depCount,COUNTIF(tblDependencies[TargetID],id),
 objCount,COUNTIF(tblQuestObjectives[QuestTargetID],id),
 depCount+objCount
)</f>
        <v>2</v>
      </c>
      <c r="H582" s="26">
        <f t="shared" si="2"/>
        <v>2</v>
      </c>
      <c r="I582" s="26">
        <f>IFERROR(__xludf.DUMMYFUNCTION("LET(
 id,A582,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2" s="26">
        <f t="shared" si="3"/>
        <v>0</v>
      </c>
      <c r="K582" s="26" t="b">
        <f t="shared" si="4"/>
        <v>0</v>
      </c>
      <c r="L582" s="26">
        <f t="shared" si="5"/>
        <v>2</v>
      </c>
      <c r="M582" s="26" t="str">
        <f>IFERROR(__xludf.DUMMYFUNCTION("LET(
 id,A582,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L582=0,
  """",
  IFERROR(INDEX(incomplete,1),"""")"&amp;"
 )
)"),"tech.tailor.armor_for_a_hero_lvl_2")</f>
        <v>tech.tailor.armor_for_a_hero_lvl_2</v>
      </c>
      <c r="N582" s="26" t="str">
        <f t="array" ref="N582">IF(
 M582="",
 "",
 _xlfn.XLOOKUP(
  M582,
  tblTargets[TargetID],
  tblTargets[DisplayName],
  M582
 )
)</f>
        <v>Tailor - Armor For A Hero Lvl 2</v>
      </c>
      <c r="O582" s="26" t="str">
        <f>IFERROR(__xludf.DUMMYFUNCTION("SWITCH(
 E582,
 ""BUILDING"",XLOOKUP(A582,tblBuildings[BuildingID],tblBuildings[costtext],""""),
 ""TECH"",XLOOKUP(A582,tblTechnologies[TechnologyID],tblTechnologies[costtext],""""),
 ""QUEST"",XLOOKUP(
  REGEXREPLACE(A582,""\.[^.]+$"",""""),
  tblQuests["&amp;"QuestID],
  tblQuests[Costtext],
  """"
 ),
 ""CITADEL"",XLOOKUP(A582,tblCitadel[CitadelID],tblCitadel[costtext],""""),
 ""COLLECTION"",XLOOKUP(A582,tblCollections[CollectionID],tblCollections[costtext],""""),
 ""CRAFTIFACT"",XLOOKUP(A582,tblCraftifacts[C"&amp;"raftifactID],tblCraftifacts[costtext],""""),
 """"
)"),"30 blueprint,1500 coin,75 msteel,7 ruby,30 silk,15 thread")</f>
        <v>30 blueprint,1500 coin,75 msteel,7 ruby,30 silk,15 thread</v>
      </c>
      <c r="P582" s="26" t="str">
        <f t="shared" si="6"/>
        <v>BLOCKED</v>
      </c>
      <c r="Q582" s="26" t="str">
        <f t="shared" si="7"/>
        <v>BLOCKED</v>
      </c>
      <c r="R582" s="26" t="str">
        <f t="array" ref="R582">IFERROR(
 _xlfn.XLOOKUP(
  A582,
  tblChecklist[TargetID],
  tblChecklist[PlayerSort],
  ""
 ),
 ""
)</f>
        <v/>
      </c>
      <c r="S582" s="26" t="str">
        <f>IFERROR(__xludf.DUMMYFUNCTION("LET(
 id,A582,
 successorIDs,
  IFERROR(
   UNIQUE(
    FILTER(
     {
      Dependencies!$A$2:$A$1000;
      QuestObjectives!$A$2:$A$1000
     },
     {
      Dependencies!$B$2:$B$1000;
      QuestObjectives!$E$2:$E$1000
     }=id
    )
   ),
   """"
  )"&amp;",
 names,
  MAP(
   successorIDs,
   LAMBDA(s,
    IF(
     s="""",
     """",
     XLOOKUP(
      s,
      $A$2:$A$1000,
      $B$2:$B$1000,
      s
     )
    )
   )
  ),
 IF(
  successorIDs="""",
  """",
  TEXTJOIN("", "",TRUE,names)
 )
)"),"")</f>
        <v/>
      </c>
      <c r="T582" s="26" t="str">
        <f t="array" ref="T582">_xlfn.XLOOKUP(
 A582,
 tblTargets[TargetID],
 tblTargets[CompletionMethod],
 ""
)</f>
        <v>PLAYER</v>
      </c>
      <c r="U582" s="84" t="b">
        <f>COUNTIF(tblCost[TargetID],A582)&gt;0</f>
        <v>1</v>
      </c>
      <c r="V582" s="85">
        <f t="array" ref="V582">IF(
 U582=FALSE,
 "",
 _xlfn.XLOOKUP(
  A582,
  tblCost[TargetID],
  tblCost[FundingPercent],
  ""
 )
)</f>
        <v>0</v>
      </c>
      <c r="W582" s="26">
        <f t="array" ref="W582">IF(
 U582=FALSE,
 "",
 _xlfn.XLOOKUP(
  A582,
  tblCost[TargetID],
  tblCost[RemainingRequirements],
  ""
 )
)</f>
        <v>6</v>
      </c>
      <c r="X582" s="45" t="b">
        <f t="array" ref="X582">IF(
 U582=FALSE,
 "N/A",
 _xlfn.XLOOKUP(
  A583,
  tblCost[TargetID],
  tblCost[TargetFunded],
  FALSE
 )
)</f>
        <v>0</v>
      </c>
      <c r="Y582" s="26" t="str">
        <f>IFERROR(__xludf.DUMMYFUNCTION("IFERROR(
 TEXTJOIN(
  "", "",
  TRUE,
  FILTER(
   'cost checklist'!$E$2:$E1000&amp;"": ""&amp;'cost checklist'!$G$2:$G1000,
   'cost checklist'!$B$2:$B1000=A582,
   'cost checklist'!$J$2:$J1000=FALSE
  )
 ),
 """"
)"),"blueprint: 30, coin: 1500, msteel: 75, ruby: 7, silk: 30, thread: 15")</f>
        <v>blueprint: 30, coin: 1500, msteel: 75, ruby: 7, silk: 30, thread: 15</v>
      </c>
      <c r="Z582" s="26" t="b">
        <f>IFERROR(__xludf.DUMMYFUNCTION("IF(
 AND(
  E582=""QUEST"",
  RIGHT(A582,9)="".accepted"",
  D582=TRUE
 ),
 XLOOKUP(
  REGEXREPLACE(A582,""\.accepted$"","""")&amp;"".finished"",
  $A$2:$A1000,
  $D$2:$D1000,
  TRUE
 )=FALSE,
 FALSE
)"),FALSE)</f>
        <v>0</v>
      </c>
      <c r="AA582" s="26" t="str">
        <f>IFERROR(__xludf.DUMMYFUNCTION("LET(
 id,A582,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3" ht="14.25" customHeight="1">
      <c r="A583" s="26" t="s">
        <v>1854</v>
      </c>
      <c r="B583" s="26" t="str">
        <f t="array" ref="B583">_xlfn.XLOOKUP(
 A583,
 tblTargets[TargetID],
 tblTargets[DisplayName],
 ""
)</f>
        <v>Tailor - Armor For A Hero Lvl 4</v>
      </c>
      <c r="C583" s="26" t="str">
        <f t="shared" si="1"/>
        <v>BLOCKED</v>
      </c>
      <c r="D583" s="26" t="b">
        <f>IFERROR(__xludf.DUMMYFUNCTION("LET(
 id,A583,
 IF(
  F583=""CHARACTER"",
  LET(
   base,REGEXREPLACE(id,""@\d+$"",""""),
   required,VALUE(REGEXEXTRACT(id,""@(\d+)$"")),
   current,XLOOKUP(
    base,
    tblPlayer[PlayerStateID],
    tblPlayer[Value],
    0
   ),
   current&gt;=required
 "&amp;" ),
  IF(
   T583=""AUTO"",
   L583=0,
   COUNTIFS(
    tblChecklist[TargetID],id,
    tblChecklist[PlayerCompleted],TRUE
   )&gt;0
  )
 )
)"),FALSE)</f>
        <v>0</v>
      </c>
      <c r="E583" s="26" t="str">
        <f t="array" ref="E583">_xlfn.XLOOKUP(
 A583,
 tblTargets[TargetID],
 tblTargets[TargetType],
 ""
)</f>
        <v>TECH</v>
      </c>
      <c r="F583" s="26" t="str">
        <f t="array" ref="F583">_xlfn.XLOOKUP(
 A583,
 tblTargets[TargetID],
 tblTargets[StateType],
 ""
)</f>
        <v/>
      </c>
      <c r="G583" s="26">
        <f>LET(
 id,A583,
 depCount,COUNTIF(tblDependencies[TargetID],id),
 objCount,COUNTIF(tblQuestObjectives[QuestTargetID],id),
 depCount+objCount
)</f>
        <v>4</v>
      </c>
      <c r="H583" s="26">
        <f t="shared" si="2"/>
        <v>4</v>
      </c>
      <c r="I583" s="26">
        <f>IFERROR(__xludf.DUMMYFUNCTION("LET(
 id,A583,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3" s="26">
        <f t="shared" si="3"/>
        <v>0</v>
      </c>
      <c r="K583" s="26" t="b">
        <f t="shared" si="4"/>
        <v>0</v>
      </c>
      <c r="L583" s="26">
        <f t="shared" si="5"/>
        <v>4</v>
      </c>
      <c r="M583" s="26" t="str">
        <f>IFERROR(__xludf.DUMMYFUNCTION("LET(
 id,A583,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L583=0,
  """",
  IFERROR(INDEX(incomplete,1),"""")"&amp;"
 )
)"),"tech.tailor.salamander_velour")</f>
        <v>tech.tailor.salamander_velour</v>
      </c>
      <c r="N583" s="26" t="str">
        <f t="array" ref="N583">IF(
 M583="",
 "",
 _xlfn.XLOOKUP(
  M583,
  tblTargets[TargetID],
  tblTargets[DisplayName],
  M583
 )
)</f>
        <v>Tailor - Salamander Velour</v>
      </c>
      <c r="O583" s="26" t="str">
        <f>IFERROR(__xludf.DUMMYFUNCTION("SWITCH(
 E583,
 ""BUILDING"",XLOOKUP(A583,tblBuildings[BuildingID],tblBuildings[costtext],""""),
 ""TECH"",XLOOKUP(A583,tblTechnologies[TechnologyID],tblTechnologies[costtext],""""),
 ""QUEST"",XLOOKUP(
  REGEXREPLACE(A583,""\.[^.]+$"",""""),
  tblQuests["&amp;"QuestID],
  tblQuests[Costtext],
  """"
 ),
 ""CITADEL"",XLOOKUP(A583,tblCitadel[CitadelID],tblCitadel[costtext],""""),
 ""COLLECTION"",XLOOKUP(A583,tblCollections[CollectionID],tblCollections[costtext],""""),
 ""CRAFTIFACT"",XLOOKUP(A583,tblCraftifacts[C"&amp;"raftifactID],tblCraftifacts[costtext],""""),
 """"
)"),"30 blueprint,500 coin,20 grimoire,5 mechanism,3 ruby,20 tparts,6 velour")</f>
        <v>30 blueprint,500 coin,20 grimoire,5 mechanism,3 ruby,20 tparts,6 velour</v>
      </c>
      <c r="P583" s="26" t="str">
        <f t="shared" si="6"/>
        <v>BLOCKED</v>
      </c>
      <c r="Q583" s="26" t="str">
        <f t="shared" si="7"/>
        <v>BLOCKED</v>
      </c>
      <c r="R583" s="26" t="str">
        <f t="array" ref="R583">IFERROR(
 _xlfn.XLOOKUP(
  A583,
  tblChecklist[TargetID],
  tblChecklist[PlayerSort],
  ""
 ),
 ""
)</f>
        <v/>
      </c>
      <c r="S583" s="26" t="str">
        <f>IFERROR(__xludf.DUMMYFUNCTION("LET(
 id,A583,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1 Accepted, Craft Armor 4, Tailor - Armor For A Hero Lvl 4+, Once Upon a Forest Chapter 9 Finished")</f>
        <v>The Ordinary Days of an Adventurer Chapter 1 Accepted, Craft Armor 4, Tailor - Armor For A Hero Lvl 4+, Once Upon a Forest Chapter 9 Finished</v>
      </c>
      <c r="T583" s="26" t="str">
        <f t="array" ref="T583">_xlfn.XLOOKUP(
 A583,
 tblTargets[TargetID],
 tblTargets[CompletionMethod],
 ""
)</f>
        <v>PLAYER</v>
      </c>
      <c r="U583" s="84" t="b">
        <f>COUNTIF(tblCost[TargetID],A583)&gt;0</f>
        <v>1</v>
      </c>
      <c r="V583" s="85">
        <f t="array" ref="V583">IF(
 U583=FALSE,
 "",
 _xlfn.XLOOKUP(
  A583,
  tblCost[TargetID],
  tblCost[FundingPercent],
  ""
 )
)</f>
        <v>0</v>
      </c>
      <c r="W583" s="26">
        <f t="array" ref="W583">IF(
 U583=FALSE,
 "",
 _xlfn.XLOOKUP(
  A583,
  tblCost[TargetID],
  tblCost[RemainingRequirements],
  ""
 )
)</f>
        <v>7</v>
      </c>
      <c r="X583" s="45" t="b">
        <f t="array" ref="X583">IF(
 U583=FALSE,
 "N/A",
 _xlfn.XLOOKUP(
  A584,
  tblCost[TargetID],
  tblCost[TargetFunded],
  FALSE
 )
)</f>
        <v>0</v>
      </c>
      <c r="Y583" s="26" t="str">
        <f>IFERROR(__xludf.DUMMYFUNCTION("IFERROR(
 TEXTJOIN(
  "", "",
  TRUE,
  FILTER(
   'cost checklist'!$E$2:$E1000&amp;"": ""&amp;'cost checklist'!$G$2:$G1000,
   'cost checklist'!$B$2:$B1000=A583,
   'cost checklist'!$J$2:$J1000=FALSE
  )
 ),
 """"
)"),"blueprint: 30, coin: 500, grimoire: 20, mechanism: 5, ruby: 3, tparts: 20, velour: 6")</f>
        <v>blueprint: 30, coin: 500, grimoire: 20, mechanism: 5, ruby: 3, tparts: 20, velour: 6</v>
      </c>
      <c r="Z583" s="26" t="b">
        <f>IFERROR(__xludf.DUMMYFUNCTION("IF(
 AND(
  E583=""QUEST"",
  RIGHT(A583,9)="".accepted"",
  D583=TRUE
 ),
 XLOOKUP(
  REGEXREPLACE(A583,""\.accepted$"","""")&amp;"".finished"",
  $A$2:$A1000,
  $D$2:$D1000,
  TRUE
 )=FALSE,
 FALSE
)"),FALSE)</f>
        <v>0</v>
      </c>
      <c r="AA583" s="26" t="str">
        <f>IFERROR(__xludf.DUMMYFUNCTION("LET(
 id,A583,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1")</f>
        <v>The Ordinary Days of an Adventurer Chapter 1</v>
      </c>
    </row>
    <row r="584" ht="14.25" customHeight="1">
      <c r="A584" s="26" t="s">
        <v>1856</v>
      </c>
      <c r="B584" s="26" t="str">
        <f t="array" ref="B584">_xlfn.XLOOKUP(
 A584,
 tblTargets[TargetID],
 tblTargets[DisplayName],
 ""
)</f>
        <v>Tailor - Armor For A Hero Lvl 4+</v>
      </c>
      <c r="C584" s="26" t="str">
        <f t="shared" si="1"/>
        <v>BLOCKED</v>
      </c>
      <c r="D584" s="26" t="b">
        <f>IFERROR(__xludf.DUMMYFUNCTION("LET(
 id,A584,
 IF(
  F584=""CHARACTER"",
  LET(
   base,REGEXREPLACE(id,""@\d+$"",""""),
   required,VALUE(REGEXEXTRACT(id,""@(\d+)$"")),
   current,XLOOKUP(
    base,
    tblPlayer[PlayerStateID],
    tblPlayer[Value],
    0
   ),
   current&gt;=required
 "&amp;" ),
  IF(
   T584=""AUTO"",
   L584=0,
   COUNTIFS(
    tblChecklist[TargetID],id,
    tblChecklist[PlayerCompleted],TRUE
   )&gt;0
  )
 )
)"),FALSE)</f>
        <v>0</v>
      </c>
      <c r="E584" s="26" t="str">
        <f t="array" ref="E584">_xlfn.XLOOKUP(
 A584,
 tblTargets[TargetID],
 tblTargets[TargetType],
 ""
)</f>
        <v>TECH</v>
      </c>
      <c r="F584" s="26" t="str">
        <f t="array" ref="F584">_xlfn.XLOOKUP(
 A584,
 tblTargets[TargetID],
 tblTargets[StateType],
 ""
)</f>
        <v/>
      </c>
      <c r="G584" s="26">
        <f>LET(
 id,A584,
 depCount,COUNTIF(tblDependencies[TargetID],id),
 objCount,COUNTIF(tblQuestObjectives[QuestTargetID],id),
 depCount+objCount
)</f>
        <v>3</v>
      </c>
      <c r="H584" s="26">
        <f t="shared" si="2"/>
        <v>3</v>
      </c>
      <c r="I584" s="26">
        <f>IFERROR(__xludf.DUMMYFUNCTION("LET(
 id,A584,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4" s="26">
        <f t="shared" si="3"/>
        <v>0</v>
      </c>
      <c r="K584" s="26" t="b">
        <f t="shared" si="4"/>
        <v>0</v>
      </c>
      <c r="L584" s="26">
        <f t="shared" si="5"/>
        <v>3</v>
      </c>
      <c r="M584" s="26" t="str">
        <f>IFERROR(__xludf.DUMMYFUNCTION("LET(
 id,A584,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L584=0,
  """",
  IFERROR(INDEX(incomplete,1),"""")"&amp;"
 )
)"),"tech.tailor.armor_for_a_hero_lvl_4")</f>
        <v>tech.tailor.armor_for_a_hero_lvl_4</v>
      </c>
      <c r="N584" s="26" t="str">
        <f t="array" ref="N584">IF(
 M584="",
 "",
 _xlfn.XLOOKUP(
  M584,
  tblTargets[TargetID],
  tblTargets[DisplayName],
  M584
 )
)</f>
        <v>Tailor - Armor For A Hero Lvl 4</v>
      </c>
      <c r="O584" s="26" t="str">
        <f>IFERROR(__xludf.DUMMYFUNCTION("SWITCH(
 E584,
 ""BUILDING"",XLOOKUP(A584,tblBuildings[BuildingID],tblBuildings[costtext],""""),
 ""TECH"",XLOOKUP(A584,tblTechnologies[TechnologyID],tblTechnologies[costtext],""""),
 ""QUEST"",XLOOKUP(
  REGEXREPLACE(A584,""\.[^.]+$"",""""),
  tblQuests["&amp;"QuestID],
  tblQuests[Costtext],
  """"
 ),
 ""CITADEL"",XLOOKUP(A584,tblCitadel[CitadelID],tblCitadel[costtext],""""),
 ""COLLECTION"",XLOOKUP(A584,tblCollections[CollectionID],tblCollections[costtext],""""),
 ""CRAFTIFACT"",XLOOKUP(A584,tblCraftifacts[C"&amp;"raftifactID],tblCraftifacts[costtext],""""),
 """"
)"),"1 armor4,20 blueprint,1000 coin,10 grimoire,10 quartz,25 redcrystal,1 reddiamond,5 ruby,20 tparts")</f>
        <v>1 armor4,20 blueprint,1000 coin,10 grimoire,10 quartz,25 redcrystal,1 reddiamond,5 ruby,20 tparts</v>
      </c>
      <c r="P584" s="26" t="str">
        <f t="shared" si="6"/>
        <v>BLOCKED</v>
      </c>
      <c r="Q584" s="26" t="str">
        <f t="shared" si="7"/>
        <v>BLOCKED</v>
      </c>
      <c r="R584" s="26" t="str">
        <f t="array" ref="R584">IFERROR(
 _xlfn.XLOOKUP(
  A584,
  tblChecklist[TargetID],
  tblChecklist[PlayerSort],
  ""
 ),
 ""
)</f>
        <v/>
      </c>
      <c r="S584" s="26" t="str">
        <f>IFERROR(__xludf.DUMMYFUNCTION("LET(
 id,A584,
 successorIDs,
  IFERROR(
   UNIQUE(
    FILTER(
     {
      Dependencies!$A$2:$A$1000;
      QuestObjectives!$A$2:$A$1000
     },
     {
      Dependencies!$B$2:$B$1000;
      QuestObjectives!$E$2:$E$1000
     }=id
    )
   ),
   """"
  )"&amp;",
 names,
  MAP(
   successorIDs,
   LAMBDA(s,
    IF(
     s="""",
     """",
     XLOOKUP(
      s,
      $A$2:$A$1000,
      $B$2:$B$1000,
      s
     )
    )
   )
  ),
 IF(
  successorIDs="""",
  """",
  TEXTJOIN("", "",TRUE,names)
 )
)"),"Craft Armor 4+")</f>
        <v>Craft Armor 4+</v>
      </c>
      <c r="T584" s="26" t="str">
        <f t="array" ref="T584">_xlfn.XLOOKUP(
 A584,
 tblTargets[TargetID],
 tblTargets[CompletionMethod],
 ""
)</f>
        <v>PLAYER</v>
      </c>
      <c r="U584" s="84" t="b">
        <f>COUNTIF(tblCost[TargetID],A584)&gt;0</f>
        <v>1</v>
      </c>
      <c r="V584" s="85">
        <f t="array" ref="V584">IF(
 U584=FALSE,
 "",
 _xlfn.XLOOKUP(
  A584,
  tblCost[TargetID],
  tblCost[FundingPercent],
  ""
 )
)</f>
        <v>0</v>
      </c>
      <c r="W584" s="26">
        <f t="array" ref="W584">IF(
 U584=FALSE,
 "",
 _xlfn.XLOOKUP(
  A584,
  tblCost[TargetID],
  tblCost[RemainingRequirements],
  ""
 )
)</f>
        <v>10</v>
      </c>
      <c r="X584" s="45" t="b">
        <f t="array" ref="X584">IF(
 U584=FALSE,
 "N/A",
 _xlfn.XLOOKUP(
  A585,
  tblCost[TargetID],
  tblCost[TargetFunded],
  FALSE
 )
)</f>
        <v>0</v>
      </c>
      <c r="Y584" s="26" t="str">
        <f>IFERROR(__xludf.DUMMYFUNCTION("IFERROR(
 TEXTJOIN(
  "", "",
  TRUE,
  FILTER(
   'cost checklist'!$E$2:$E1000&amp;"": ""&amp;'cost checklist'!$G$2:$G1000,
   'cost checklist'!$B$2:$B1000=A584,
   'cost checklist'!$J$2:$J1000=FALSE
  )
 ),
 """"
)"),"apy: 1, armor4: 1, blueprint: 20, coin: 1000, grimoire: 10, quartz: 10, redcrystal: 25, reddiamond: 1, ruby: 5, tparts: 20")</f>
        <v>apy: 1, armor4: 1, blueprint: 20, coin: 1000, grimoire: 10, quartz: 10, redcrystal: 25, reddiamond: 1, ruby: 5, tparts: 20</v>
      </c>
      <c r="Z584" s="26" t="b">
        <f>IFERROR(__xludf.DUMMYFUNCTION("IF(
 AND(
  E584=""QUEST"",
  RIGHT(A584,9)="".accepted"",
  D584=TRUE
 ),
 XLOOKUP(
  REGEXREPLACE(A584,""\.accepted$"","""")&amp;"".finished"",
  $A$2:$A1000,
  $D$2:$D1000,
  TRUE
 )=FALSE,
 FALSE
)"),FALSE)</f>
        <v>0</v>
      </c>
      <c r="AA584" s="26" t="str">
        <f>IFERROR(__xludf.DUMMYFUNCTION("LET(
 id,A584,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5" ht="14.25" customHeight="1">
      <c r="A585" s="26" t="s">
        <v>1858</v>
      </c>
      <c r="B585" s="26" t="str">
        <f t="array" ref="B585">_xlfn.XLOOKUP(
 A585,
 tblTargets[TargetID],
 tblTargets[DisplayName],
 ""
)</f>
        <v>Tailor - Bedroll</v>
      </c>
      <c r="C585" s="26" t="str">
        <f t="shared" si="1"/>
        <v>BLOCKED</v>
      </c>
      <c r="D585" s="26" t="b">
        <f>IFERROR(__xludf.DUMMYFUNCTION("LET(
 id,A585,
 IF(
  F585=""CHARACTER"",
  LET(
   base,REGEXREPLACE(id,""@\d+$"",""""),
   required,VALUE(REGEXEXTRACT(id,""@(\d+)$"")),
   current,XLOOKUP(
    base,
    tblPlayer[PlayerStateID],
    tblPlayer[Value],
    0
   ),
   current&gt;=required
 "&amp;" ),
  IF(
   T585=""AUTO"",
   L585=0,
   COUNTIFS(
    tblChecklist[TargetID],id,
    tblChecklist[PlayerCompleted],TRUE
   )&gt;0
  )
 )
)"),FALSE)</f>
        <v>0</v>
      </c>
      <c r="E585" s="26" t="str">
        <f t="array" ref="E585">_xlfn.XLOOKUP(
 A585,
 tblTargets[TargetID],
 tblTargets[TargetType],
 ""
)</f>
        <v>TECH</v>
      </c>
      <c r="F585" s="26" t="str">
        <f t="array" ref="F585">_xlfn.XLOOKUP(
 A585,
 tblTargets[TargetID],
 tblTargets[StateType],
 ""
)</f>
        <v/>
      </c>
      <c r="G585" s="26">
        <f>LET(
 id,A585,
 depCount,COUNTIF(tblDependencies[TargetID],id),
 objCount,COUNTIF(tblQuestObjectives[QuestTargetID],id),
 depCount+objCount
)</f>
        <v>2</v>
      </c>
      <c r="H585" s="26">
        <f t="shared" si="2"/>
        <v>2</v>
      </c>
      <c r="I585" s="26">
        <f>IFERROR(__xludf.DUMMYFUNCTION("LET(
 id,A585,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5" s="26">
        <f t="shared" si="3"/>
        <v>0</v>
      </c>
      <c r="K585" s="26" t="b">
        <f t="shared" si="4"/>
        <v>0</v>
      </c>
      <c r="L585" s="26">
        <f t="shared" si="5"/>
        <v>2</v>
      </c>
      <c r="M585" s="26" t="str">
        <f>IFERROR(__xludf.DUMMYFUNCTION("LET(
 id,A585,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L585=0,
  """",
  IFERROR(INDEX(incomplete,1),"""")"&amp;"
 )
)"),"quest.once_upon_a_forest_chapter_5.finished")</f>
        <v>quest.once_upon_a_forest_chapter_5.finished</v>
      </c>
      <c r="N585" s="26" t="str">
        <f t="array" ref="N585">IF(
 M585="",
 "",
 _xlfn.XLOOKUP(
  M585,
  tblTargets[TargetID],
  tblTargets[DisplayName],
  M585
 )
)</f>
        <v>Once Upon a Forest Chapter 5 Finished</v>
      </c>
      <c r="O585" s="26" t="str">
        <f>IFERROR(__xludf.DUMMYFUNCTION("SWITCH(
 E585,
 ""BUILDING"",XLOOKUP(A585,tblBuildings[BuildingID],tblBuildings[costtext],""""),
 ""TECH"",XLOOKUP(A585,tblTechnologies[TechnologyID],tblTechnologies[costtext],""""),
 ""QUEST"",XLOOKUP(
  REGEXREPLACE(A585,""\.[^.]+$"",""""),
  tblQuests["&amp;"QuestID],
  tblQuests[Costtext],
  """"
 ),
 ""CITADEL"",XLOOKUP(A585,tblCitadel[CitadelID],tblCitadel[costtext],""""),
 ""COLLECTION"",XLOOKUP(A585,tblCollections[CollectionID],tblCollections[costtext],""""),
 ""CRAFTIFACT"",XLOOKUP(A585,tblCraftifacts[C"&amp;"raftifactID],tblCraftifacts[costtext],""""),
 """"
)"),"10 blueprint,300 coin,5 reagent,2 ruby,15 silk,20 thread")</f>
        <v>10 blueprint,300 coin,5 reagent,2 ruby,15 silk,20 thread</v>
      </c>
      <c r="P585" s="26" t="str">
        <f t="shared" si="6"/>
        <v>BLOCKED</v>
      </c>
      <c r="Q585" s="26" t="str">
        <f t="shared" si="7"/>
        <v>BLOCKED</v>
      </c>
      <c r="R585" s="26" t="str">
        <f t="array" ref="R585">IFERROR(
 _xlfn.XLOOKUP(
  A585,
  tblChecklist[TargetID],
  tblChecklist[PlayerSort],
  ""
 ),
 ""
)</f>
        <v/>
      </c>
      <c r="S585" s="26" t="str">
        <f>IFERROR(__xludf.DUMMYFUNCTION("LET(
 id,A585,
 successorIDs,
  IFERROR(
   UNIQUE(
    FILTER(
     {
      Dependencies!$A$2:$A$1000;
      QuestObjectives!$A$2:$A$1000
     },
     {
      Dependencies!$B$2:$B$1000;
      QuestObjectives!$E$2:$E$1000
     }=id
    )
   ),
   """"
  )"&amp;",
 names,
  MAP(
   successorIDs,
   LAMBDA(s,
    IF(
     s="""",
     """",
     XLOOKUP(
      s,
      $A$2:$A$1000,
      $B$2:$B$1000,
      s
     )
    )
   )
  ),
 IF(
  successorIDs="""",
  """",
  TEXTJOIN("", "",TRUE,names)
 )
)"),"")</f>
        <v/>
      </c>
      <c r="T585" s="26" t="str">
        <f t="array" ref="T585">_xlfn.XLOOKUP(
 A585,
 tblTargets[TargetID],
 tblTargets[CompletionMethod],
 ""
)</f>
        <v>PLAYER</v>
      </c>
      <c r="U585" s="84" t="b">
        <f>COUNTIF(tblCost[TargetID],A585)&gt;0</f>
        <v>1</v>
      </c>
      <c r="V585" s="85">
        <f t="array" ref="V585">IF(
 U585=FALSE,
 "",
 _xlfn.XLOOKUP(
  A585,
  tblCost[TargetID],
  tblCost[FundingPercent],
  ""
 )
)</f>
        <v>0</v>
      </c>
      <c r="W585" s="26">
        <f t="array" ref="W585">IF(
 U585=FALSE,
 "",
 _xlfn.XLOOKUP(
  A585,
  tblCost[TargetID],
  tblCost[RemainingRequirements],
  ""
 )
)</f>
        <v>6</v>
      </c>
      <c r="X585" s="45" t="b">
        <f t="array" ref="X585">IF(
 U585=FALSE,
 "N/A",
 _xlfn.XLOOKUP(
  A586,
  tblCost[TargetID],
  tblCost[TargetFunded],
  FALSE
 )
)</f>
        <v>0</v>
      </c>
      <c r="Y585" s="26" t="str">
        <f>IFERROR(__xludf.DUMMYFUNCTION("IFERROR(
 TEXTJOIN(
  "", "",
  TRUE,
  FILTER(
   'cost checklist'!$E$2:$E1000&amp;"": ""&amp;'cost checklist'!$G$2:$G1000,
   'cost checklist'!$B$2:$B1000=A585,
   'cost checklist'!$J$2:$J1000=FALSE
  )
 ),
 """"
)"),"blueprint: 10, coin: 300, reagent: 5, ruby: 2, silk: 15, thread: 20")</f>
        <v>blueprint: 10, coin: 300, reagent: 5, ruby: 2, silk: 15, thread: 20</v>
      </c>
      <c r="Z585" s="26" t="b">
        <f>IFERROR(__xludf.DUMMYFUNCTION("IF(
 AND(
  E585=""QUEST"",
  RIGHT(A585,9)="".accepted"",
  D585=TRUE
 ),
 XLOOKUP(
  REGEXREPLACE(A585,""\.accepted$"","""")&amp;"".finished"",
  $A$2:$A1000,
  $D$2:$D1000,
  TRUE
 )=FALSE,
 FALSE
)"),FALSE)</f>
        <v>0</v>
      </c>
      <c r="AA585" s="26" t="str">
        <f>IFERROR(__xludf.DUMMYFUNCTION("LET(
 id,A585,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6" ht="14.25" customHeight="1">
      <c r="A586" s="26" t="s">
        <v>1861</v>
      </c>
      <c r="B586" s="26" t="str">
        <f t="array" ref="B586">_xlfn.XLOOKUP(
 A586,
 tblTargets[TargetID],
 tblTargets[DisplayName],
 ""
)</f>
        <v>Tailor - Colored Threads</v>
      </c>
      <c r="C586" s="26" t="str">
        <f t="shared" si="1"/>
        <v>BLOCKED</v>
      </c>
      <c r="D586" s="26" t="b">
        <f>IFERROR(__xludf.DUMMYFUNCTION("LET(
 id,A586,
 IF(
  F586=""CHARACTER"",
  LET(
   base,REGEXREPLACE(id,""@\d+$"",""""),
   required,VALUE(REGEXEXTRACT(id,""@(\d+)$"")),
   current,XLOOKUP(
    base,
    tblPlayer[PlayerStateID],
    tblPlayer[Value],
    0
   ),
   current&gt;=required
 "&amp;" ),
  IF(
   T586=""AUTO"",
   L586=0,
   COUNTIFS(
    tblChecklist[TargetID],id,
    tblChecklist[PlayerCompleted],TRUE
   )&gt;0
  )
 )
)"),FALSE)</f>
        <v>0</v>
      </c>
      <c r="E586" s="26" t="str">
        <f t="array" ref="E586">_xlfn.XLOOKUP(
 A586,
 tblTargets[TargetID],
 tblTargets[TargetType],
 ""
)</f>
        <v>TECH</v>
      </c>
      <c r="F586" s="26" t="str">
        <f t="array" ref="F586">_xlfn.XLOOKUP(
 A586,
 tblTargets[TargetID],
 tblTargets[StateType],
 ""
)</f>
        <v/>
      </c>
      <c r="G586" s="26">
        <f>LET(
 id,A586,
 depCount,COUNTIF(tblDependencies[TargetID],id),
 objCount,COUNTIF(tblQuestObjectives[QuestTargetID],id),
 depCount+objCount
)</f>
        <v>2</v>
      </c>
      <c r="H586" s="26">
        <f t="shared" si="2"/>
        <v>2</v>
      </c>
      <c r="I586" s="26">
        <f>IFERROR(__xludf.DUMMYFUNCTION("LET(
 id,A586,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6" s="26">
        <f t="shared" si="3"/>
        <v>0</v>
      </c>
      <c r="K586" s="26" t="b">
        <f t="shared" si="4"/>
        <v>0</v>
      </c>
      <c r="L586" s="26">
        <f t="shared" si="5"/>
        <v>2</v>
      </c>
      <c r="M586" s="26" t="str">
        <f>IFERROR(__xludf.DUMMYFUNCTION("LET(
 id,A586,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L586=0,
  """",
  IFERROR(INDEX(incomplete,1),"""")"&amp;"
 )
)"),"building.tailor@2")</f>
        <v>building.tailor@2</v>
      </c>
      <c r="N586" s="26" t="str">
        <f t="array" ref="N586">IF(
 M586="",
 "",
 _xlfn.XLOOKUP(
  M586,
  tblTargets[TargetID],
  tblTargets[DisplayName],
  M586
 )
)</f>
        <v>Tailor Lv 2</v>
      </c>
      <c r="O586" s="26" t="str">
        <f>IFERROR(__xludf.DUMMYFUNCTION("SWITCH(
 E586,
 ""BUILDING"",XLOOKUP(A586,tblBuildings[BuildingID],tblBuildings[costtext],""""),
 ""TECH"",XLOOKUP(A586,tblTechnologies[TechnologyID],tblTechnologies[costtext],""""),
 ""QUEST"",XLOOKUP(
  REGEXREPLACE(A586,""\.[^.]+$"",""""),
  tblQuests["&amp;"QuestID],
  tblQuests[Costtext],
  """"
 ),
 ""CITADEL"",XLOOKUP(A586,tblCitadel[CitadelID],tblCitadel[costtext],""""),
 ""COLLECTION"",XLOOKUP(A586,tblCollections[CollectionID],tblCollections[costtext],""""),
 ""CRAFTIFACT"",XLOOKUP(A586,tblCraftifacts[C"&amp;"raftifactID],tblCraftifacts[costtext],""""),
 """"
)"),"10 cinnabar,300 coin,5 grimoire,10 herbs,10 reagent,2 ruby,10 thread")</f>
        <v>10 cinnabar,300 coin,5 grimoire,10 herbs,10 reagent,2 ruby,10 thread</v>
      </c>
      <c r="P586" s="26" t="str">
        <f t="shared" si="6"/>
        <v>BLOCKED</v>
      </c>
      <c r="Q586" s="26" t="str">
        <f t="shared" si="7"/>
        <v>BLOCKED</v>
      </c>
      <c r="R586" s="26" t="str">
        <f t="array" ref="R586">IFERROR(
 _xlfn.XLOOKUP(
  A586,
  tblChecklist[TargetID],
  tblChecklist[PlayerSort],
  ""
 ),
 ""
)</f>
        <v/>
      </c>
      <c r="S586" s="26" t="str">
        <f>IFERROR(__xludf.DUMMYFUNCTION("LET(
 id,A586,
 successorIDs,
  IFERROR(
   UNIQUE(
    FILTER(
     {
      Dependencies!$A$2:$A$1000;
      QuestObjectives!$A$2:$A$1000
     },
     {
      Dependencies!$B$2:$B$1000;
      QuestObjectives!$E$2:$E$1000
     }=id
    )
   ),
   """"
  )"&amp;",
 names,
  MAP(
   successorIDs,
   LAMBDA(s,
    IF(
     s="""",
     """",
     XLOOKUP(
      s,
      $A$2:$A$1000,
      $B$2:$B$1000,
      s
     )
    )
   )
  ),
 IF(
  successorIDs="""",
  """",
  TEXTJOIN("", "",TRUE,names)
 )
)"),"")</f>
        <v/>
      </c>
      <c r="T586" s="26" t="str">
        <f t="array" ref="T586">_xlfn.XLOOKUP(
 A586,
 tblTargets[TargetID],
 tblTargets[CompletionMethod],
 ""
)</f>
        <v>PLAYER</v>
      </c>
      <c r="U586" s="84" t="b">
        <f>COUNTIF(tblCost[TargetID],A586)&gt;0</f>
        <v>1</v>
      </c>
      <c r="V586" s="85">
        <f t="array" ref="V586">IF(
 U586=FALSE,
 "",
 _xlfn.XLOOKUP(
  A586,
  tblCost[TargetID],
  tblCost[FundingPercent],
  ""
 )
)</f>
        <v>0</v>
      </c>
      <c r="W586" s="26">
        <f t="array" ref="W586">IF(
 U586=FALSE,
 "",
 _xlfn.XLOOKUP(
  A586,
  tblCost[TargetID],
  tblCost[RemainingRequirements],
  ""
 )
)</f>
        <v>7</v>
      </c>
      <c r="X586" s="45" t="b">
        <f t="array" ref="X586">IF(
 U586=FALSE,
 "N/A",
 _xlfn.XLOOKUP(
  A587,
  tblCost[TargetID],
  tblCost[TargetFunded],
  FALSE
 )
)</f>
        <v>0</v>
      </c>
      <c r="Y586" s="26" t="str">
        <f>IFERROR(__xludf.DUMMYFUNCTION("IFERROR(
 TEXTJOIN(
  "", "",
  TRUE,
  FILTER(
   'cost checklist'!$E$2:$E1000&amp;"": ""&amp;'cost checklist'!$G$2:$G1000,
   'cost checklist'!$B$2:$B1000=A586,
   'cost checklist'!$J$2:$J1000=FALSE
  )
 ),
 """"
)"),"cinnabar: 10, coin: 300, grimoire: 5, herbs: 10, reagent: 10, ruby: 2, thread: 10")</f>
        <v>cinnabar: 10, coin: 300, grimoire: 5, herbs: 10, reagent: 10, ruby: 2, thread: 10</v>
      </c>
      <c r="Z586" s="26" t="b">
        <f>IFERROR(__xludf.DUMMYFUNCTION("IF(
 AND(
  E586=""QUEST"",
  RIGHT(A586,9)="".accepted"",
  D586=TRUE
 ),
 XLOOKUP(
  REGEXREPLACE(A586,""\.accepted$"","""")&amp;"".finished"",
  $A$2:$A1000,
  $D$2:$D1000,
  TRUE
 )=FALSE,
 FALSE
)"),FALSE)</f>
        <v>0</v>
      </c>
      <c r="AA586" s="26" t="str">
        <f>IFERROR(__xludf.DUMMYFUNCTION("LET(
 id,A586,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7" ht="14.25" customHeight="1">
      <c r="A587" s="26" t="s">
        <v>1863</v>
      </c>
      <c r="B587" s="26" t="str">
        <f t="array" ref="B587">_xlfn.XLOOKUP(
 A587,
 tblTargets[TargetID],
 tblTargets[DisplayName],
 ""
)</f>
        <v>Tailor - Salamander Velour</v>
      </c>
      <c r="C587" s="26" t="str">
        <f t="shared" si="1"/>
        <v>BLOCKED</v>
      </c>
      <c r="D587" s="26" t="b">
        <f>IFERROR(__xludf.DUMMYFUNCTION("LET(
 id,A587,
 IF(
  F587=""CHARACTER"",
  LET(
   base,REGEXREPLACE(id,""@\d+$"",""""),
   required,VALUE(REGEXEXTRACT(id,""@(\d+)$"")),
   current,XLOOKUP(
    base,
    tblPlayer[PlayerStateID],
    tblPlayer[Value],
    0
   ),
   current&gt;=required
 "&amp;" ),
  IF(
   T587=""AUTO"",
   L587=0,
   COUNTIFS(
    tblChecklist[TargetID],id,
    tblChecklist[PlayerCompleted],TRUE
   )&gt;0
  )
 )
)"),FALSE)</f>
        <v>0</v>
      </c>
      <c r="E587" s="26" t="str">
        <f t="array" ref="E587">_xlfn.XLOOKUP(
 A587,
 tblTargets[TargetID],
 tblTargets[TargetType],
 ""
)</f>
        <v>TECH</v>
      </c>
      <c r="F587" s="26" t="str">
        <f t="array" ref="F587">_xlfn.XLOOKUP(
 A587,
 tblTargets[TargetID],
 tblTargets[StateType],
 ""
)</f>
        <v/>
      </c>
      <c r="G587" s="26">
        <f>LET(
 id,A587,
 depCount,COUNTIF(tblDependencies[TargetID],id),
 objCount,COUNTIF(tblQuestObjectives[QuestTargetID],id),
 depCount+objCount
)</f>
        <v>2</v>
      </c>
      <c r="H587" s="26">
        <f t="shared" si="2"/>
        <v>2</v>
      </c>
      <c r="I587" s="26">
        <f>IFERROR(__xludf.DUMMYFUNCTION("LET(
 id,A587,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7" s="26">
        <f t="shared" si="3"/>
        <v>0</v>
      </c>
      <c r="K587" s="26" t="b">
        <f t="shared" si="4"/>
        <v>0</v>
      </c>
      <c r="L587" s="26">
        <f t="shared" si="5"/>
        <v>2</v>
      </c>
      <c r="M587" s="26" t="str">
        <f>IFERROR(__xludf.DUMMYFUNCTION("LET(
 id,A587,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L587=0,
  """",
  IFERROR(INDEX(incomplete,1),"""")"&amp;"
 )
)"),"quest.once_upon_a_forest_chapter_10.finished")</f>
        <v>quest.once_upon_a_forest_chapter_10.finished</v>
      </c>
      <c r="N587" s="26" t="str">
        <f t="array" ref="N587">IF(
 M587="",
 "",
 _xlfn.XLOOKUP(
  M587,
  tblTargets[TargetID],
  tblTargets[DisplayName],
  M587
 )
)</f>
        <v>Once Upon a Forest Chapter 10 Finished</v>
      </c>
      <c r="O587" s="26" t="str">
        <f>IFERROR(__xludf.DUMMYFUNCTION("SWITCH(
 E587,
 ""BUILDING"",XLOOKUP(A587,tblBuildings[BuildingID],tblBuildings[costtext],""""),
 ""TECH"",XLOOKUP(A587,tblTechnologies[TechnologyID],tblTechnologies[costtext],""""),
 ""QUEST"",XLOOKUP(
  REGEXREPLACE(A587,""\.[^.]+$"",""""),
  tblQuests["&amp;"QuestID],
  tblQuests[Costtext],
  """"
 ),
 ""CITADEL"",XLOOKUP(A587,tblCitadel[CitadelID],tblCitadel[costtext],""""),
 ""COLLECTION"",XLOOKUP(A587,tblCollections[CollectionID],tblCollections[costtext],""""),
 ""CRAFTIFACT"",XLOOKUP(A587,tblCraftifacts[C"&amp;"raftifactID],tblCraftifacts[costtext],""""),
 """"
)"),"400 coin,10 ginkgo,15 grimoire,6 hide,15 mercury,3 ruby")</f>
        <v>400 coin,10 ginkgo,15 grimoire,6 hide,15 mercury,3 ruby</v>
      </c>
      <c r="P587" s="26" t="str">
        <f t="shared" si="6"/>
        <v>BLOCKED</v>
      </c>
      <c r="Q587" s="26" t="str">
        <f t="shared" si="7"/>
        <v>BLOCKED</v>
      </c>
      <c r="R587" s="26" t="str">
        <f t="array" ref="R587">IFERROR(
 _xlfn.XLOOKUP(
  A587,
  tblChecklist[TargetID],
  tblChecklist[PlayerSort],
  ""
 ),
 ""
)</f>
        <v/>
      </c>
      <c r="S587" s="26" t="str">
        <f>IFERROR(__xludf.DUMMYFUNCTION("LET(
 id,A587,
 successorIDs,
  IFERROR(
   UNIQUE(
    FILTER(
     {
      Dependencies!$A$2:$A$1000;
      QuestObjectives!$A$2:$A$1000
     },
     {
      Dependencies!$B$2:$B$1000;
      QuestObjectives!$E$2:$E$1000
     }=id
    )
   ),
   """"
  )"&amp;",
 names,
  MAP(
   successorIDs,
   LAMBDA(s,
    IF(
     s="""",
     """",
     XLOOKUP(
      s,
      $A$2:$A$1000,
      $B$2:$B$1000,
      s
     )
    )
   )
  ),
 IF(
  successorIDs="""",
  """",
  TEXTJOIN("", "",TRUE,names)
 )
)"),"Tailor - Armor For A Hero Lvl 4")</f>
        <v>Tailor - Armor For A Hero Lvl 4</v>
      </c>
      <c r="T587" s="26" t="str">
        <f t="array" ref="T587">_xlfn.XLOOKUP(
 A587,
 tblTargets[TargetID],
 tblTargets[CompletionMethod],
 ""
)</f>
        <v>PLAYER</v>
      </c>
      <c r="U587" s="84" t="b">
        <f>COUNTIF(tblCost[TargetID],A587)&gt;0</f>
        <v>1</v>
      </c>
      <c r="V587" s="85">
        <f t="array" ref="V587">IF(
 U587=FALSE,
 "",
 _xlfn.XLOOKUP(
  A587,
  tblCost[TargetID],
  tblCost[FundingPercent],
  ""
 )
)</f>
        <v>0</v>
      </c>
      <c r="W587" s="26">
        <f t="array" ref="W587">IF(
 U587=FALSE,
 "",
 _xlfn.XLOOKUP(
  A587,
  tblCost[TargetID],
  tblCost[RemainingRequirements],
  ""
 )
)</f>
        <v>6</v>
      </c>
      <c r="X587" s="45" t="b">
        <f t="array" ref="X587">IF(
 U587=FALSE,
 "N/A",
 _xlfn.XLOOKUP(
  A588,
  tblCost[TargetID],
  tblCost[TargetFunded],
  FALSE
 )
)</f>
        <v>0</v>
      </c>
      <c r="Y587" s="26" t="str">
        <f>IFERROR(__xludf.DUMMYFUNCTION("IFERROR(
 TEXTJOIN(
  "", "",
  TRUE,
  FILTER(
   'cost checklist'!$E$2:$E1000&amp;"": ""&amp;'cost checklist'!$G$2:$G1000,
   'cost checklist'!$B$2:$B1000=A587,
   'cost checklist'!$J$2:$J1000=FALSE
  )
 ),
 """"
)"),"coin: 400, ginkgo: 10, grimoire: 15, hide: 6, mercury: 15, ruby: 3")</f>
        <v>coin: 400, ginkgo: 10, grimoire: 15, hide: 6, mercury: 15, ruby: 3</v>
      </c>
      <c r="Z587" s="26" t="b">
        <f>IFERROR(__xludf.DUMMYFUNCTION("IF(
 AND(
  E587=""QUEST"",
  RIGHT(A587,9)="".accepted"",
  D587=TRUE
 ),
 XLOOKUP(
  REGEXREPLACE(A587,""\.accepted$"","""")&amp;"".finished"",
  $A$2:$A1000,
  $D$2:$D1000,
  TRUE
 )=FALSE,
 FALSE
)"),FALSE)</f>
        <v>0</v>
      </c>
      <c r="AA587" s="26" t="str">
        <f>IFERROR(__xludf.DUMMYFUNCTION("LET(
 id,A587,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8" ht="14.25" customHeight="1">
      <c r="A588" s="26" t="s">
        <v>1865</v>
      </c>
      <c r="B588" s="26" t="str">
        <f t="array" ref="B588">_xlfn.XLOOKUP(
 A588,
 tblTargets[TargetID],
 tblTargets[DisplayName],
 ""
)</f>
        <v>Tailor - Strong Rivets</v>
      </c>
      <c r="C588" s="26" t="str">
        <f t="shared" si="1"/>
        <v>BLOCKED</v>
      </c>
      <c r="D588" s="26" t="b">
        <f>IFERROR(__xludf.DUMMYFUNCTION("LET(
 id,A588,
 IF(
  F588=""CHARACTER"",
  LET(
   base,REGEXREPLACE(id,""@\d+$"",""""),
   required,VALUE(REGEXEXTRACT(id,""@(\d+)$"")),
   current,XLOOKUP(
    base,
    tblPlayer[PlayerStateID],
    tblPlayer[Value],
    0
   ),
   current&gt;=required
 "&amp;" ),
  IF(
   T588=""AUTO"",
   L588=0,
   COUNTIFS(
    tblChecklist[TargetID],id,
    tblChecklist[PlayerCompleted],TRUE
   )&gt;0
  )
 )
)"),FALSE)</f>
        <v>0</v>
      </c>
      <c r="E588" s="26" t="str">
        <f t="array" ref="E588">_xlfn.XLOOKUP(
 A588,
 tblTargets[TargetID],
 tblTargets[TargetType],
 ""
)</f>
        <v>TECH</v>
      </c>
      <c r="F588" s="26" t="str">
        <f t="array" ref="F588">_xlfn.XLOOKUP(
 A588,
 tblTargets[TargetID],
 tblTargets[StateType],
 ""
)</f>
        <v/>
      </c>
      <c r="G588" s="26">
        <f>LET(
 id,A588,
 depCount,COUNTIF(tblDependencies[TargetID],id),
 objCount,COUNTIF(tblQuestObjectives[QuestTargetID],id),
 depCount+objCount
)</f>
        <v>2</v>
      </c>
      <c r="H588" s="26">
        <f t="shared" si="2"/>
        <v>2</v>
      </c>
      <c r="I588" s="26">
        <f>IFERROR(__xludf.DUMMYFUNCTION("LET(
 id,A588,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8" s="26">
        <f t="shared" si="3"/>
        <v>0</v>
      </c>
      <c r="K588" s="26" t="b">
        <f t="shared" si="4"/>
        <v>0</v>
      </c>
      <c r="L588" s="26">
        <f t="shared" si="5"/>
        <v>2</v>
      </c>
      <c r="M588" s="26" t="str">
        <f>IFERROR(__xludf.DUMMYFUNCTION("LET(
 id,A588,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L588=0,
  """",
  IFERROR(INDEX(incomplete,1),"""")"&amp;"
 )
)"),"tech.tailor.armor_for_a_hero_lvl_1")</f>
        <v>tech.tailor.armor_for_a_hero_lvl_1</v>
      </c>
      <c r="N588" s="26" t="str">
        <f t="array" ref="N588">IF(
 M588="",
 "",
 _xlfn.XLOOKUP(
  M588,
  tblTargets[TargetID],
  tblTargets[DisplayName],
  M588
 )
)</f>
        <v>Tailor - Armor For A Hero Lvl 1</v>
      </c>
      <c r="O588" s="26" t="str">
        <f>IFERROR(__xludf.DUMMYFUNCTION("SWITCH(
 E588,
 ""BUILDING"",XLOOKUP(A588,tblBuildings[BuildingID],tblBuildings[costtext],""""),
 ""TECH"",XLOOKUP(A588,tblTechnologies[TechnologyID],tblTechnologies[costtext],""""),
 ""QUEST"",XLOOKUP(
  REGEXREPLACE(A588,""\.[^.]+$"",""""),
  tblQuests["&amp;"QuestID],
  tblQuests[Costtext],
  """"
 ),
 ""CITADEL"",XLOOKUP(A588,tblCitadel[CitadelID],tblCitadel[costtext],""""),
 ""COLLECTION"",XLOOKUP(A588,tblCollections[CollectionID],tblCollections[costtext],""""),
 ""CRAFTIFACT"",XLOOKUP(A588,tblCraftifacts[C"&amp;"raftifactID],tblCraftifacts[costtext],""""),
 """"
)"),"20 blueprint,500 coin,30 miron,2 ruby,10 thread")</f>
        <v>20 blueprint,500 coin,30 miron,2 ruby,10 thread</v>
      </c>
      <c r="P588" s="26" t="str">
        <f t="shared" si="6"/>
        <v>BLOCKED</v>
      </c>
      <c r="Q588" s="26" t="str">
        <f t="shared" si="7"/>
        <v>BLOCKED</v>
      </c>
      <c r="R588" s="26" t="str">
        <f t="array" ref="R588">IFERROR(
 _xlfn.XLOOKUP(
  A588,
  tblChecklist[TargetID],
  tblChecklist[PlayerSort],
  ""
 ),
 ""
)</f>
        <v/>
      </c>
      <c r="S588" s="26" t="str">
        <f>IFERROR(__xludf.DUMMYFUNCTION("LET(
 id,A588,
 successorIDs,
  IFERROR(
   UNIQUE(
    FILTER(
     {
      Dependencies!$A$2:$A$1000;
      QuestObjectives!$A$2:$A$1000
     },
     {
      Dependencies!$B$2:$B$1000;
      QuestObjectives!$E$2:$E$1000
     }=id
    )
   ),
   """"
  )"&amp;",
 names,
  MAP(
   successorIDs,
   LAMBDA(s,
    IF(
     s="""",
     """",
     XLOOKUP(
      s,
      $A$2:$A$1000,
      $B$2:$B$1000,
      s
     )
    )
   )
  ),
 IF(
  successorIDs="""",
  """",
  TEXTJOIN("", "",TRUE,names)
 )
)"),"")</f>
        <v/>
      </c>
      <c r="T588" s="26" t="str">
        <f t="array" ref="T588">_xlfn.XLOOKUP(
 A588,
 tblTargets[TargetID],
 tblTargets[CompletionMethod],
 ""
)</f>
        <v>PLAYER</v>
      </c>
      <c r="U588" s="84" t="b">
        <f>COUNTIF(tblCost[TargetID],A588)&gt;0</f>
        <v>1</v>
      </c>
      <c r="V588" s="85">
        <f t="array" ref="V588">IF(
 U588=FALSE,
 "",
 _xlfn.XLOOKUP(
  A588,
  tblCost[TargetID],
  tblCost[FundingPercent],
  ""
 )
)</f>
        <v>0</v>
      </c>
      <c r="W588" s="26">
        <f t="array" ref="W588">IF(
 U588=FALSE,
 "",
 _xlfn.XLOOKUP(
  A588,
  tblCost[TargetID],
  tblCost[RemainingRequirements],
  ""
 )
)</f>
        <v>5</v>
      </c>
      <c r="X588" s="45" t="b">
        <f t="array" ref="X588">IF(
 U588=FALSE,
 "N/A",
 _xlfn.XLOOKUP(
  A589,
  tblCost[TargetID],
  tblCost[TargetFunded],
  FALSE
 )
)</f>
        <v>0</v>
      </c>
      <c r="Y588" s="26" t="str">
        <f>IFERROR(__xludf.DUMMYFUNCTION("IFERROR(
 TEXTJOIN(
  "", "",
  TRUE,
  FILTER(
   'cost checklist'!$E$2:$E1000&amp;"": ""&amp;'cost checklist'!$G$2:$G1000,
   'cost checklist'!$B$2:$B1000=A588,
   'cost checklist'!$J$2:$J1000=FALSE
  )
 ),
 """"
)"),"blueprint: 20, coin: 500, miron: 30, ruby: 2, thread: 10")</f>
        <v>blueprint: 20, coin: 500, miron: 30, ruby: 2, thread: 10</v>
      </c>
      <c r="Z588" s="26" t="b">
        <f>IFERROR(__xludf.DUMMYFUNCTION("IF(
 AND(
  E588=""QUEST"",
  RIGHT(A588,9)="".accepted"",
  D588=TRUE
 ),
 XLOOKUP(
  REGEXREPLACE(A588,""\.accepted$"","""")&amp;"".finished"",
  $A$2:$A1000,
  $D$2:$D1000,
  TRUE
 )=FALSE,
 FALSE
)"),FALSE)</f>
        <v>0</v>
      </c>
      <c r="AA588" s="26" t="str">
        <f>IFERROR(__xludf.DUMMYFUNCTION("LET(
 id,A588,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89" ht="14.25" customHeight="1">
      <c r="A589" s="26" t="s">
        <v>1867</v>
      </c>
      <c r="B589" s="26" t="str">
        <f t="array" ref="B589">_xlfn.XLOOKUP(
 A589,
 tblTargets[TargetID],
 tblTargets[DisplayName],
 ""
)</f>
        <v>Tailor - Strong Stitch</v>
      </c>
      <c r="C589" s="26" t="str">
        <f t="shared" si="1"/>
        <v>BLOCKED</v>
      </c>
      <c r="D589" s="26" t="b">
        <f>IFERROR(__xludf.DUMMYFUNCTION("LET(
 id,A589,
 IF(
  F589=""CHARACTER"",
  LET(
   base,REGEXREPLACE(id,""@\d+$"",""""),
   required,VALUE(REGEXEXTRACT(id,""@(\d+)$"")),
   current,XLOOKUP(
    base,
    tblPlayer[PlayerStateID],
    tblPlayer[Value],
    0
   ),
   current&gt;=required
 "&amp;" ),
  IF(
   T589=""AUTO"",
   L589=0,
   COUNTIFS(
    tblChecklist[TargetID],id,
    tblChecklist[PlayerCompleted],TRUE
   )&gt;0
  )
 )
)"),FALSE)</f>
        <v>0</v>
      </c>
      <c r="E589" s="26" t="str">
        <f t="array" ref="E589">_xlfn.XLOOKUP(
 A589,
 tblTargets[TargetID],
 tblTargets[TargetType],
 ""
)</f>
        <v>TECH</v>
      </c>
      <c r="F589" s="26" t="str">
        <f t="array" ref="F589">_xlfn.XLOOKUP(
 A589,
 tblTargets[TargetID],
 tblTargets[StateType],
 ""
)</f>
        <v/>
      </c>
      <c r="G589" s="26">
        <f>LET(
 id,A589,
 depCount,COUNTIF(tblDependencies[TargetID],id),
 objCount,COUNTIF(tblQuestObjectives[QuestTargetID],id),
 depCount+objCount
)</f>
        <v>2</v>
      </c>
      <c r="H589" s="26">
        <f t="shared" si="2"/>
        <v>2</v>
      </c>
      <c r="I589" s="26">
        <f>IFERROR(__xludf.DUMMYFUNCTION("LET(
 id,A589,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89" s="26">
        <f t="shared" si="3"/>
        <v>0</v>
      </c>
      <c r="K589" s="26" t="b">
        <f t="shared" si="4"/>
        <v>0</v>
      </c>
      <c r="L589" s="26">
        <f t="shared" si="5"/>
        <v>2</v>
      </c>
      <c r="M589" s="26" t="str">
        <f>IFERROR(__xludf.DUMMYFUNCTION("LET(
 id,A589,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L589=0,
  """",
  IFERROR(INDEX(incomplete,1),"""")"&amp;"
 )
)"),"building.tailor@2")</f>
        <v>building.tailor@2</v>
      </c>
      <c r="N589" s="26" t="str">
        <f t="array" ref="N589">IF(
 M589="",
 "",
 _xlfn.XLOOKUP(
  M589,
  tblTargets[TargetID],
  tblTargets[DisplayName],
  M589
 )
)</f>
        <v>Tailor Lv 2</v>
      </c>
      <c r="O589" s="26" t="str">
        <f>IFERROR(__xludf.DUMMYFUNCTION("SWITCH(
 E589,
 ""BUILDING"",XLOOKUP(A589,tblBuildings[BuildingID],tblBuildings[costtext],""""),
 ""TECH"",XLOOKUP(A589,tblTechnologies[TechnologyID],tblTechnologies[costtext],""""),
 ""QUEST"",XLOOKUP(
  REGEXREPLACE(A589,""\.[^.]+$"",""""),
  tblQuests["&amp;"QuestID],
  tblQuests[Costtext],
  """"
 ),
 ""CITADEL"",XLOOKUP(A589,tblCitadel[CitadelID],tblCitadel[costtext],""""),
 ""COLLECTION"",XLOOKUP(A589,tblCollections[CollectionID],tblCollections[costtext],""""),
 ""CRAFTIFACT"",XLOOKUP(A589,tblCraftifacts[C"&amp;"raftifactID],tblCraftifacts[costtext],""""),
 """"
)"),"10 blueprint,300 coin,1 ruby,10 silk,10 thread")</f>
        <v>10 blueprint,300 coin,1 ruby,10 silk,10 thread</v>
      </c>
      <c r="P589" s="26" t="str">
        <f t="shared" si="6"/>
        <v>BLOCKED</v>
      </c>
      <c r="Q589" s="26" t="str">
        <f t="shared" si="7"/>
        <v>BLOCKED</v>
      </c>
      <c r="R589" s="26">
        <f t="array" ref="R589">IFERROR(
 _xlfn.XLOOKUP(
  A589,
  tblChecklist[TargetID],
  tblChecklist[PlayerSort],
  ""
 ),
 ""
)</f>
        <v>999</v>
      </c>
      <c r="S589" s="26" t="str">
        <f>IFERROR(__xludf.DUMMYFUNCTION("LET(
 id,A589,
 successorIDs,
  IFERROR(
   UNIQUE(
    FILTER(
     {
      Dependencies!$A$2:$A$1000;
      QuestObjectives!$A$2:$A$1000
     },
     {
      Dependencies!$B$2:$B$1000;
      QuestObjectives!$E$2:$E$1000
     }=id
    )
   ),
   """"
  )"&amp;",
 names,
  MAP(
   successorIDs,
   LAMBDA(s,
    IF(
     s="""",
     """",
     XLOOKUP(
      s,
      $A$2:$A$1000,
      $B$2:$B$1000,
      s
     )
    )
   )
  ),
 IF(
  successorIDs="""",
  """",
  TEXTJOIN("", "",TRUE,names)
 )
)"),"")</f>
        <v/>
      </c>
      <c r="T589" s="26" t="str">
        <f t="array" ref="T589">_xlfn.XLOOKUP(
 A589,
 tblTargets[TargetID],
 tblTargets[CompletionMethod],
 ""
)</f>
        <v>PLAYER</v>
      </c>
      <c r="U589" s="84" t="b">
        <f>COUNTIF(tblCost[TargetID],A589)&gt;0</f>
        <v>1</v>
      </c>
      <c r="V589" s="85">
        <f t="array" ref="V589">IF(
 U589=FALSE,
 "",
 _xlfn.XLOOKUP(
  A589,
  tblCost[TargetID],
  tblCost[FundingPercent],
  ""
 )
)</f>
        <v>0</v>
      </c>
      <c r="W589" s="26">
        <f t="array" ref="W589">IF(
 U589=FALSE,
 "",
 _xlfn.XLOOKUP(
  A589,
  tblCost[TargetID],
  tblCost[RemainingRequirements],
  ""
 )
)</f>
        <v>5</v>
      </c>
      <c r="X589" s="45" t="b">
        <f t="array" ref="X589">IF(
 U589=FALSE,
 "N/A",
 _xlfn.XLOOKUP(
  A590,
  tblCost[TargetID],
  tblCost[TargetFunded],
  FALSE
 )
)</f>
        <v>0</v>
      </c>
      <c r="Y589" s="26" t="str">
        <f>IFERROR(__xludf.DUMMYFUNCTION("IFERROR(
 TEXTJOIN(
  "", "",
  TRUE,
  FILTER(
   'cost checklist'!$E$2:$E1000&amp;"": ""&amp;'cost checklist'!$G$2:$G1000,
   'cost checklist'!$B$2:$B1000=A589,
   'cost checklist'!$J$2:$J1000=FALSE
  )
 ),
 """"
)"),"blueprint: 10, coin: 300, ruby: 1, silk: 10, thread: 10")</f>
        <v>blueprint: 10, coin: 300, ruby: 1, silk: 10, thread: 10</v>
      </c>
      <c r="Z589" s="26" t="b">
        <f>IFERROR(__xludf.DUMMYFUNCTION("IF(
 AND(
  E589=""QUEST"",
  RIGHT(A589,9)="".accepted"",
  D589=TRUE
 ),
 XLOOKUP(
  REGEXREPLACE(A589,""\.accepted$"","""")&amp;"".finished"",
  $A$2:$A1000,
  $D$2:$D1000,
  TRUE
 )=FALSE,
 FALSE
)"),FALSE)</f>
        <v>0</v>
      </c>
      <c r="AA589" s="26" t="str">
        <f>IFERROR(__xludf.DUMMYFUNCTION("LET(
 id,A589,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0" ht="14.25" customHeight="1">
      <c r="A590" s="26" t="s">
        <v>1870</v>
      </c>
      <c r="B590" s="26" t="str">
        <f t="array" ref="B590">_xlfn.XLOOKUP(
 A590,
 tblTargets[TargetID],
 tblTargets[DisplayName],
 ""
)</f>
        <v>Train - Automatic Lubricator</v>
      </c>
      <c r="C590" s="26" t="str">
        <f t="shared" si="1"/>
        <v>BLOCKED</v>
      </c>
      <c r="D590" s="26" t="b">
        <f>IFERROR(__xludf.DUMMYFUNCTION("LET(
 id,A590,
 IF(
  F590=""CHARACTER"",
  LET(
   base,REGEXREPLACE(id,""@\d+$"",""""),
   required,VALUE(REGEXEXTRACT(id,""@(\d+)$"")),
   current,XLOOKUP(
    base,
    tblPlayer[PlayerStateID],
    tblPlayer[Value],
    0
   ),
   current&gt;=required
 "&amp;" ),
  IF(
   T590=""AUTO"",
   L590=0,
   COUNTIFS(
    tblChecklist[TargetID],id,
    tblChecklist[PlayerCompleted],TRUE
   )&gt;0
  )
 )
)"),FALSE)</f>
        <v>0</v>
      </c>
      <c r="E590" s="26" t="str">
        <f t="array" ref="E590">_xlfn.XLOOKUP(
 A590,
 tblTargets[TargetID],
 tblTargets[TargetType],
 ""
)</f>
        <v>TECH</v>
      </c>
      <c r="F590" s="26" t="str">
        <f t="array" ref="F590">_xlfn.XLOOKUP(
 A590,
 tblTargets[TargetID],
 tblTargets[StateType],
 ""
)</f>
        <v/>
      </c>
      <c r="G590" s="26">
        <f>LET(
 id,A590,
 depCount,COUNTIF(tblDependencies[TargetID],id),
 objCount,COUNTIF(tblQuestObjectives[QuestTargetID],id),
 depCount+objCount
)</f>
        <v>2</v>
      </c>
      <c r="H590" s="26">
        <f t="shared" si="2"/>
        <v>2</v>
      </c>
      <c r="I590" s="26">
        <f>IFERROR(__xludf.DUMMYFUNCTION("LET(
 id,A590,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0" s="26">
        <f t="shared" si="3"/>
        <v>0</v>
      </c>
      <c r="K590" s="26" t="b">
        <f t="shared" si="4"/>
        <v>0</v>
      </c>
      <c r="L590" s="26">
        <f t="shared" si="5"/>
        <v>2</v>
      </c>
      <c r="M590" s="26" t="str">
        <f>IFERROR(__xludf.DUMMYFUNCTION("LET(
 id,A590,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L590=0,
  """",
  IFERROR(INDEX(incomplete,1),"""")"&amp;"
 )
)"),"building.train@1")</f>
        <v>building.train@1</v>
      </c>
      <c r="N590" s="26" t="str">
        <f t="array" ref="N590">IF(
 M590="",
 "",
 _xlfn.XLOOKUP(
  M590,
  tblTargets[TargetID],
  tblTargets[DisplayName],
  M590
 )
)</f>
        <v>Train Lv 1</v>
      </c>
      <c r="O590" s="26" t="str">
        <f>IFERROR(__xludf.DUMMYFUNCTION("SWITCH(
 E590,
 ""BUILDING"",XLOOKUP(A590,tblBuildings[BuildingID],tblBuildings[costtext],""""),
 ""TECH"",XLOOKUP(A590,tblTechnologies[TechnologyID],tblTechnologies[costtext],""""),
 ""QUEST"",XLOOKUP(
  REGEXREPLACE(A590,""\.[^.]+$"",""""),
  tblQuests["&amp;"QuestID],
  tblQuests[Costtext],
  """"
 ),
 ""CITADEL"",XLOOKUP(A590,tblCitadel[CitadelID],tblCitadel[costtext],""""),
 ""COLLECTION"",XLOOKUP(A590,tblCollections[CollectionID],tblCollections[costtext],""""),
 ""CRAFTIFACT"",XLOOKUP(A590,tblCraftifacts[C"&amp;"raftifactID],tblCraftifacts[costtext],""""),
 """"
)"),"30 blueprint,1500 coin,30 mechanism,50 oil,4 ruby")</f>
        <v>30 blueprint,1500 coin,30 mechanism,50 oil,4 ruby</v>
      </c>
      <c r="P590" s="26" t="str">
        <f t="shared" si="6"/>
        <v>BLOCKED</v>
      </c>
      <c r="Q590" s="26" t="str">
        <f t="shared" si="7"/>
        <v>BLOCKED</v>
      </c>
      <c r="R590" s="26" t="str">
        <f t="array" ref="R590">IFERROR(
 _xlfn.XLOOKUP(
  A590,
  tblChecklist[TargetID],
  tblChecklist[PlayerSort],
  ""
 ),
 ""
)</f>
        <v/>
      </c>
      <c r="S590" s="26" t="str">
        <f>IFERROR(__xludf.DUMMYFUNCTION("LET(
 id,A590,
 successorIDs,
  IFERROR(
   UNIQUE(
    FILTER(
     {
      Dependencies!$A$2:$A$1000;
      QuestObjectives!$A$2:$A$1000
     },
     {
      Dependencies!$B$2:$B$1000;
      QuestObjectives!$E$2:$E$1000
     }=id
    )
   ),
   """"
  )"&amp;",
 names,
  MAP(
   successorIDs,
   LAMBDA(s,
    IF(
     s="""",
     """",
     XLOOKUP(
      s,
      $A$2:$A$1000,
      $B$2:$B$1000,
      s
     )
    )
   )
  ),
 IF(
  successorIDs="""",
  """",
  TEXTJOIN("", "",TRUE,names)
 )
)"),"")</f>
        <v/>
      </c>
      <c r="T590" s="26" t="str">
        <f t="array" ref="T590">_xlfn.XLOOKUP(
 A590,
 tblTargets[TargetID],
 tblTargets[CompletionMethod],
 ""
)</f>
        <v>PLAYER</v>
      </c>
      <c r="U590" s="84" t="b">
        <f>COUNTIF(tblCost[TargetID],A590)&gt;0</f>
        <v>1</v>
      </c>
      <c r="V590" s="85">
        <f t="array" ref="V590">IF(
 U590=FALSE,
 "",
 _xlfn.XLOOKUP(
  A590,
  tblCost[TargetID],
  tblCost[FundingPercent],
  ""
 )
)</f>
        <v>0</v>
      </c>
      <c r="W590" s="26">
        <f t="array" ref="W590">IF(
 U590=FALSE,
 "",
 _xlfn.XLOOKUP(
  A590,
  tblCost[TargetID],
  tblCost[RemainingRequirements],
  ""
 )
)</f>
        <v>5</v>
      </c>
      <c r="X590" s="45" t="b">
        <f t="array" ref="X590">IF(
 U590=FALSE,
 "N/A",
 _xlfn.XLOOKUP(
  A591,
  tblCost[TargetID],
  tblCost[TargetFunded],
  FALSE
 )
)</f>
        <v>0</v>
      </c>
      <c r="Y590" s="26" t="str">
        <f>IFERROR(__xludf.DUMMYFUNCTION("IFERROR(
 TEXTJOIN(
  "", "",
  TRUE,
  FILTER(
   'cost checklist'!$E$2:$E1000&amp;"": ""&amp;'cost checklist'!$G$2:$G1000,
   'cost checklist'!$B$2:$B1000=A590,
   'cost checklist'!$J$2:$J1000=FALSE
  )
 ),
 """"
)"),"blueprint: 30, coin: 1500, mechanism: 30, oil: 50, ruby: 4")</f>
        <v>blueprint: 30, coin: 1500, mechanism: 30, oil: 50, ruby: 4</v>
      </c>
      <c r="Z590" s="26" t="b">
        <f>IFERROR(__xludf.DUMMYFUNCTION("IF(
 AND(
  E590=""QUEST"",
  RIGHT(A590,9)="".accepted"",
  D590=TRUE
 ),
 XLOOKUP(
  REGEXREPLACE(A590,""\.accepted$"","""")&amp;"".finished"",
  $A$2:$A1000,
  $D$2:$D1000,
  TRUE
 )=FALSE,
 FALSE
)"),FALSE)</f>
        <v>0</v>
      </c>
      <c r="AA590" s="26" t="str">
        <f>IFERROR(__xludf.DUMMYFUNCTION("LET(
 id,A590,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1" ht="14.25" customHeight="1">
      <c r="A591" s="26" t="s">
        <v>1872</v>
      </c>
      <c r="B591" s="26" t="str">
        <f t="array" ref="B591">_xlfn.XLOOKUP(
 A591,
 tblTargets[TargetID],
 tblTargets[DisplayName],
 ""
)</f>
        <v>Train - Compound Engine</v>
      </c>
      <c r="C591" s="26" t="str">
        <f t="shared" si="1"/>
        <v>BLOCKED</v>
      </c>
      <c r="D591" s="26" t="b">
        <f>IFERROR(__xludf.DUMMYFUNCTION("LET(
 id,A591,
 IF(
  F591=""CHARACTER"",
  LET(
   base,REGEXREPLACE(id,""@\d+$"",""""),
   required,VALUE(REGEXEXTRACT(id,""@(\d+)$"")),
   current,XLOOKUP(
    base,
    tblPlayer[PlayerStateID],
    tblPlayer[Value],
    0
   ),
   current&gt;=required
 "&amp;" ),
  IF(
   T591=""AUTO"",
   L591=0,
   COUNTIFS(
    tblChecklist[TargetID],id,
    tblChecklist[PlayerCompleted],TRUE
   )&gt;0
  )
 )
)"),FALSE)</f>
        <v>0</v>
      </c>
      <c r="E591" s="26" t="str">
        <f t="array" ref="E591">_xlfn.XLOOKUP(
 A591,
 tblTargets[TargetID],
 tblTargets[TargetType],
 ""
)</f>
        <v>TECH</v>
      </c>
      <c r="F591" s="26" t="str">
        <f t="array" ref="F591">_xlfn.XLOOKUP(
 A591,
 tblTargets[TargetID],
 tblTargets[StateType],
 ""
)</f>
        <v/>
      </c>
      <c r="G591" s="26">
        <f>LET(
 id,A591,
 depCount,COUNTIF(tblDependencies[TargetID],id),
 objCount,COUNTIF(tblQuestObjectives[QuestTargetID],id),
 depCount+objCount
)</f>
        <v>2</v>
      </c>
      <c r="H591" s="26">
        <f t="shared" si="2"/>
        <v>2</v>
      </c>
      <c r="I591" s="26">
        <f>IFERROR(__xludf.DUMMYFUNCTION("LET(
 id,A591,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1" s="26">
        <f t="shared" si="3"/>
        <v>0</v>
      </c>
      <c r="K591" s="26" t="b">
        <f t="shared" si="4"/>
        <v>0</v>
      </c>
      <c r="L591" s="26">
        <f t="shared" si="5"/>
        <v>2</v>
      </c>
      <c r="M591" s="26" t="str">
        <f>IFERROR(__xludf.DUMMYFUNCTION("LET(
 id,A591,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L591=0,
  """",
  IFERROR(INDEX(incomplete,1),"""")"&amp;"
 )
)"),"building.train@1")</f>
        <v>building.train@1</v>
      </c>
      <c r="N591" s="26" t="str">
        <f t="array" ref="N591">IF(
 M591="",
 "",
 _xlfn.XLOOKUP(
  M591,
  tblTargets[TargetID],
  tblTargets[DisplayName],
  M591
 )
)</f>
        <v>Train Lv 1</v>
      </c>
      <c r="O591" s="26" t="str">
        <f>IFERROR(__xludf.DUMMYFUNCTION("SWITCH(
 E591,
 ""BUILDING"",XLOOKUP(A591,tblBuildings[BuildingID],tblBuildings[costtext],""""),
 ""TECH"",XLOOKUP(A591,tblTechnologies[TechnologyID],tblTechnologies[costtext],""""),
 ""QUEST"",XLOOKUP(
  REGEXREPLACE(A591,""\.[^.]+$"",""""),
  tblQuests["&amp;"QuestID],
  tblQuests[Costtext],
  """"
 ),
 ""CITADEL"",XLOOKUP(A591,tblCitadel[CitadelID],tblCitadel[costtext],""""),
 ""COLLECTION"",XLOOKUP(A591,tblCollections[CollectionID],tblCollections[costtext],""""),
 ""CRAFTIFACT"",XLOOKUP(A591,tblCraftifacts[C"&amp;"raftifactID],tblCraftifacts[costtext],""""),
 """"
)"),"30 blueprint,1500 coin,50 gears,30 mechanism,4 ruby")</f>
        <v>30 blueprint,1500 coin,50 gears,30 mechanism,4 ruby</v>
      </c>
      <c r="P591" s="26" t="str">
        <f t="shared" si="6"/>
        <v>BLOCKED</v>
      </c>
      <c r="Q591" s="26" t="str">
        <f t="shared" si="7"/>
        <v>BLOCKED</v>
      </c>
      <c r="R591" s="26" t="str">
        <f t="array" ref="R591">IFERROR(
 _xlfn.XLOOKUP(
  A591,
  tblChecklist[TargetID],
  tblChecklist[PlayerSort],
  ""
 ),
 ""
)</f>
        <v/>
      </c>
      <c r="S591" s="26" t="str">
        <f>IFERROR(__xludf.DUMMYFUNCTION("LET(
 id,A591,
 successorIDs,
  IFERROR(
   UNIQUE(
    FILTER(
     {
      Dependencies!$A$2:$A$1000;
      QuestObjectives!$A$2:$A$1000
     },
     {
      Dependencies!$B$2:$B$1000;
      QuestObjectives!$E$2:$E$1000
     }=id
    )
   ),
   """"
  )"&amp;",
 names,
  MAP(
   successorIDs,
   LAMBDA(s,
    IF(
     s="""",
     """",
     XLOOKUP(
      s,
      $A$2:$A$1000,
      $B$2:$B$1000,
      s
     )
    )
   )
  ),
 IF(
  successorIDs="""",
  """",
  TEXTJOIN("", "",TRUE,names)
 )
)"),"")</f>
        <v/>
      </c>
      <c r="T591" s="26" t="str">
        <f t="array" ref="T591">_xlfn.XLOOKUP(
 A591,
 tblTargets[TargetID],
 tblTargets[CompletionMethod],
 ""
)</f>
        <v>PLAYER</v>
      </c>
      <c r="U591" s="84" t="b">
        <f>COUNTIF(tblCost[TargetID],A591)&gt;0</f>
        <v>1</v>
      </c>
      <c r="V591" s="85">
        <f t="array" ref="V591">IF(
 U591=FALSE,
 "",
 _xlfn.XLOOKUP(
  A591,
  tblCost[TargetID],
  tblCost[FundingPercent],
  ""
 )
)</f>
        <v>0</v>
      </c>
      <c r="W591" s="26">
        <f t="array" ref="W591">IF(
 U591=FALSE,
 "",
 _xlfn.XLOOKUP(
  A591,
  tblCost[TargetID],
  tblCost[RemainingRequirements],
  ""
 )
)</f>
        <v>5</v>
      </c>
      <c r="X591" s="45" t="b">
        <f t="array" ref="X591">IF(
 U591=FALSE,
 "N/A",
 _xlfn.XLOOKUP(
  A592,
  tblCost[TargetID],
  tblCost[TargetFunded],
  FALSE
 )
)</f>
        <v>0</v>
      </c>
      <c r="Y591" s="26" t="str">
        <f>IFERROR(__xludf.DUMMYFUNCTION("IFERROR(
 TEXTJOIN(
  "", "",
  TRUE,
  FILTER(
   'cost checklist'!$E$2:$E1000&amp;"": ""&amp;'cost checklist'!$G$2:$G1000,
   'cost checklist'!$B$2:$B1000=A591,
   'cost checklist'!$J$2:$J1000=FALSE
  )
 ),
 """"
)"),"blueprint: 30, coin: 1500, gears: 50, mechanism: 30, ruby: 4")</f>
        <v>blueprint: 30, coin: 1500, gears: 50, mechanism: 30, ruby: 4</v>
      </c>
      <c r="Z591" s="26" t="b">
        <f>IFERROR(__xludf.DUMMYFUNCTION("IF(
 AND(
  E591=""QUEST"",
  RIGHT(A591,9)="".accepted"",
  D591=TRUE
 ),
 XLOOKUP(
  REGEXREPLACE(A591,""\.accepted$"","""")&amp;"".finished"",
  $A$2:$A1000,
  $D$2:$D1000,
  TRUE
 )=FALSE,
 FALSE
)"),FALSE)</f>
        <v>0</v>
      </c>
      <c r="AA591" s="26" t="str">
        <f>IFERROR(__xludf.DUMMYFUNCTION("LET(
 id,A591,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2" ht="14.25" customHeight="1">
      <c r="A592" s="26" t="s">
        <v>1874</v>
      </c>
      <c r="B592" s="26" t="str">
        <f t="array" ref="B592">_xlfn.XLOOKUP(
 A592,
 tblTargets[TargetID],
 tblTargets[DisplayName],
 ""
)</f>
        <v>Train - Onboard Computer</v>
      </c>
      <c r="C592" s="26" t="str">
        <f t="shared" si="1"/>
        <v>BLOCKED</v>
      </c>
      <c r="D592" s="26" t="b">
        <f>IFERROR(__xludf.DUMMYFUNCTION("LET(
 id,A592,
 IF(
  F592=""CHARACTER"",
  LET(
   base,REGEXREPLACE(id,""@\d+$"",""""),
   required,VALUE(REGEXEXTRACT(id,""@(\d+)$"")),
   current,XLOOKUP(
    base,
    tblPlayer[PlayerStateID],
    tblPlayer[Value],
    0
   ),
   current&gt;=required
 "&amp;" ),
  IF(
   T592=""AUTO"",
   L592=0,
   COUNTIFS(
    tblChecklist[TargetID],id,
    tblChecklist[PlayerCompleted],TRUE
   )&gt;0
  )
 )
)"),FALSE)</f>
        <v>0</v>
      </c>
      <c r="E592" s="26" t="str">
        <f t="array" ref="E592">_xlfn.XLOOKUP(
 A592,
 tblTargets[TargetID],
 tblTargets[TargetType],
 ""
)</f>
        <v>TECH</v>
      </c>
      <c r="F592" s="26" t="str">
        <f t="array" ref="F592">_xlfn.XLOOKUP(
 A592,
 tblTargets[TargetID],
 tblTargets[StateType],
 ""
)</f>
        <v/>
      </c>
      <c r="G592" s="26">
        <f>LET(
 id,A592,
 depCount,COUNTIF(tblDependencies[TargetID],id),
 objCount,COUNTIF(tblQuestObjectives[QuestTargetID],id),
 depCount+objCount
)</f>
        <v>2</v>
      </c>
      <c r="H592" s="26">
        <f t="shared" si="2"/>
        <v>2</v>
      </c>
      <c r="I592" s="26">
        <f>IFERROR(__xludf.DUMMYFUNCTION("LET(
 id,A592,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2" s="26">
        <f t="shared" si="3"/>
        <v>0</v>
      </c>
      <c r="K592" s="26" t="b">
        <f t="shared" si="4"/>
        <v>0</v>
      </c>
      <c r="L592" s="26">
        <f t="shared" si="5"/>
        <v>2</v>
      </c>
      <c r="M592" s="26" t="str">
        <f>IFERROR(__xludf.DUMMYFUNCTION("LET(
 id,A592,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L592=0,
  """",
  IFERROR(INDEX(incomplete,1),"""")"&amp;"
 )
)"),"quest.ahead_of_time_chapter_5.finished")</f>
        <v>quest.ahead_of_time_chapter_5.finished</v>
      </c>
      <c r="N592" s="26" t="str">
        <f t="array" ref="N592">IF(
 M592="",
 "",
 _xlfn.XLOOKUP(
  M592,
  tblTargets[TargetID],
  tblTargets[DisplayName],
  M592
 )
)</f>
        <v>Ahead of Time Chapter 5 Finished</v>
      </c>
      <c r="O592" s="26" t="str">
        <f>IFERROR(__xludf.DUMMYFUNCTION("SWITCH(
 E592,
 ""BUILDING"",XLOOKUP(A592,tblBuildings[BuildingID],tblBuildings[costtext],""""),
 ""TECH"",XLOOKUP(A592,tblTechnologies[TechnologyID],tblTechnologies[costtext],""""),
 ""QUEST"",XLOOKUP(
  REGEXREPLACE(A592,""\.[^.]+$"",""""),
  tblQuests["&amp;"QuestID],
  tblQuests[Costtext],
  """"
 ),
 ""CITADEL"",XLOOKUP(A592,tblCitadel[CitadelID],tblCitadel[costtext],""""),
 ""COLLECTION"",XLOOKUP(A592,tblCollections[CollectionID],tblCollections[costtext],""""),
 ""CRAFTIFACT"",XLOOKUP(A592,tblCraftifacts[C"&amp;"raftifactID],tblCraftifacts[costtext],""""),
 """"
)"),"20 apy,40 blueprint,1500 coin,40 floppy,30 mechanism,20 mercury,40 microchip,5 ruby,200 steel")</f>
        <v>20 apy,40 blueprint,1500 coin,40 floppy,30 mechanism,20 mercury,40 microchip,5 ruby,200 steel</v>
      </c>
      <c r="P592" s="26" t="str">
        <f t="shared" si="6"/>
        <v>BLOCKED</v>
      </c>
      <c r="Q592" s="26" t="str">
        <f t="shared" si="7"/>
        <v>BLOCKED</v>
      </c>
      <c r="R592" s="26" t="str">
        <f t="array" ref="R592">IFERROR(
 _xlfn.XLOOKUP(
  A592,
  tblChecklist[TargetID],
  tblChecklist[PlayerSort],
  ""
 ),
 ""
)</f>
        <v/>
      </c>
      <c r="S592" s="26" t="str">
        <f>IFERROR(__xludf.DUMMYFUNCTION("LET(
 id,A592,
 successorIDs,
  IFERROR(
   UNIQUE(
    FILTER(
     {
      Dependencies!$A$2:$A$1000;
      QuestObjectives!$A$2:$A$1000
     },
     {
      Dependencies!$B$2:$B$1000;
      QuestObjectives!$E$2:$E$1000
     }=id
    )
   ),
   """"
  )"&amp;",
 names,
  MAP(
   successorIDs,
   LAMBDA(s,
    IF(
     s="""",
     """",
     XLOOKUP(
      s,
      $A$2:$A$1000,
      $B$2:$B$1000,
      s
     )
    )
   )
  ),
 IF(
  successorIDs="""",
  """",
  TEXTJOIN("", "",TRUE,names)
 )
)"),"")</f>
        <v/>
      </c>
      <c r="T592" s="26" t="str">
        <f t="array" ref="T592">_xlfn.XLOOKUP(
 A592,
 tblTargets[TargetID],
 tblTargets[CompletionMethod],
 ""
)</f>
        <v>PLAYER</v>
      </c>
      <c r="U592" s="84" t="b">
        <f>COUNTIF(tblCost[TargetID],A592)&gt;0</f>
        <v>1</v>
      </c>
      <c r="V592" s="85">
        <f t="array" ref="V592">IF(
 U592=FALSE,
 "",
 _xlfn.XLOOKUP(
  A592,
  tblCost[TargetID],
  tblCost[FundingPercent],
  ""
 )
)</f>
        <v>0</v>
      </c>
      <c r="W592" s="26">
        <f t="array" ref="W592">IF(
 U592=FALSE,
 "",
 _xlfn.XLOOKUP(
  A592,
  tblCost[TargetID],
  tblCost[RemainingRequirements],
  ""
 )
)</f>
        <v>9</v>
      </c>
      <c r="X592" s="45" t="b">
        <f t="array" ref="X592">IF(
 U592=FALSE,
 "N/A",
 _xlfn.XLOOKUP(
  A593,
  tblCost[TargetID],
  tblCost[TargetFunded],
  FALSE
 )
)</f>
        <v>0</v>
      </c>
      <c r="Y592" s="26" t="str">
        <f>IFERROR(__xludf.DUMMYFUNCTION("IFERROR(
 TEXTJOIN(
  "", "",
  TRUE,
  FILTER(
   'cost checklist'!$E$2:$E1000&amp;"": ""&amp;'cost checklist'!$G$2:$G1000,
   'cost checklist'!$B$2:$B1000=A592,
   'cost checklist'!$J$2:$J1000=FALSE
  )
 ),
 """"
)"),"apy: 20, blueprint: 40, coin: 1500, floppy: 40, mechanism: 30, mercury: 20, microchip: 40, ruby: 5, steel: 200")</f>
        <v>apy: 20, blueprint: 40, coin: 1500, floppy: 40, mechanism: 30, mercury: 20, microchip: 40, ruby: 5, steel: 200</v>
      </c>
      <c r="Z592" s="26" t="b">
        <f>IFERROR(__xludf.DUMMYFUNCTION("IF(
 AND(
  E592=""QUEST"",
  RIGHT(A592,9)="".accepted"",
  D592=TRUE
 ),
 XLOOKUP(
  REGEXREPLACE(A592,""\.accepted$"","""")&amp;"".finished"",
  $A$2:$A1000,
  $D$2:$D1000,
  TRUE
 )=FALSE,
 FALSE
)"),FALSE)</f>
        <v>0</v>
      </c>
      <c r="AA592" s="26" t="str">
        <f>IFERROR(__xludf.DUMMYFUNCTION("LET(
 id,A592,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3" ht="14.25" customHeight="1">
      <c r="A593" s="26" t="s">
        <v>1877</v>
      </c>
      <c r="B593" s="26" t="str">
        <f t="array" ref="B593">_xlfn.XLOOKUP(
 A593,
 tblTargets[TargetID],
 tblTargets[DisplayName],
 ""
)</f>
        <v>Train - Superheater</v>
      </c>
      <c r="C593" s="26" t="str">
        <f t="shared" si="1"/>
        <v>BLOCKED</v>
      </c>
      <c r="D593" s="26" t="b">
        <f>IFERROR(__xludf.DUMMYFUNCTION("LET(
 id,A593,
 IF(
  F593=""CHARACTER"",
  LET(
   base,REGEXREPLACE(id,""@\d+$"",""""),
   required,VALUE(REGEXEXTRACT(id,""@(\d+)$"")),
   current,XLOOKUP(
    base,
    tblPlayer[PlayerStateID],
    tblPlayer[Value],
    0
   ),
   current&gt;=required
 "&amp;" ),
  IF(
   T593=""AUTO"",
   L593=0,
   COUNTIFS(
    tblChecklist[TargetID],id,
    tblChecklist[PlayerCompleted],TRUE
   )&gt;0
  )
 )
)"),FALSE)</f>
        <v>0</v>
      </c>
      <c r="E593" s="26" t="str">
        <f t="array" ref="E593">_xlfn.XLOOKUP(
 A593,
 tblTargets[TargetID],
 tblTargets[TargetType],
 ""
)</f>
        <v>TECH</v>
      </c>
      <c r="F593" s="26" t="str">
        <f t="array" ref="F593">_xlfn.XLOOKUP(
 A593,
 tblTargets[TargetID],
 tblTargets[StateType],
 ""
)</f>
        <v/>
      </c>
      <c r="G593" s="26">
        <f>LET(
 id,A593,
 depCount,COUNTIF(tblDependencies[TargetID],id),
 objCount,COUNTIF(tblQuestObjectives[QuestTargetID],id),
 depCount+objCount
)</f>
        <v>2</v>
      </c>
      <c r="H593" s="26">
        <f t="shared" si="2"/>
        <v>2</v>
      </c>
      <c r="I593" s="26">
        <f>IFERROR(__xludf.DUMMYFUNCTION("LET(
 id,A593,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3" s="26">
        <f t="shared" si="3"/>
        <v>0</v>
      </c>
      <c r="K593" s="26" t="b">
        <f t="shared" si="4"/>
        <v>0</v>
      </c>
      <c r="L593" s="26">
        <f t="shared" si="5"/>
        <v>2</v>
      </c>
      <c r="M593" s="26" t="str">
        <f>IFERROR(__xludf.DUMMYFUNCTION("LET(
 id,A593,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L593=0,
  """",
  IFERROR(INDEX(incomplete,1),"""")"&amp;"
 )
)"),"building.train@1")</f>
        <v>building.train@1</v>
      </c>
      <c r="N593" s="26" t="str">
        <f t="array" ref="N593">IF(
 M593="",
 "",
 _xlfn.XLOOKUP(
  M593,
  tblTargets[TargetID],
  tblTargets[DisplayName],
  M593
 )
)</f>
        <v>Train Lv 1</v>
      </c>
      <c r="O593" s="26" t="str">
        <f>IFERROR(__xludf.DUMMYFUNCTION("SWITCH(
 E593,
 ""BUILDING"",XLOOKUP(A593,tblBuildings[BuildingID],tblBuildings[costtext],""""),
 ""TECH"",XLOOKUP(A593,tblTechnologies[TechnologyID],tblTechnologies[costtext],""""),
 ""QUEST"",XLOOKUP(
  REGEXREPLACE(A593,""\.[^.]+$"",""""),
  tblQuests["&amp;"QuestID],
  tblQuests[Costtext],
  """"
 ),
 ""CITADEL"",XLOOKUP(A593,tblCitadel[CitadelID],tblCitadel[costtext],""""),
 ""COLLECTION"",XLOOKUP(A593,tblCollections[CollectionID],tblCollections[costtext],""""),
 ""CRAFTIFACT"",XLOOKUP(A593,tblCraftifacts[C"&amp;"raftifactID],tblCraftifacts[costtext],""""),
 """"
)"),"30 blueprint,30 catalyst,1500 coin,30 mechanism,4 ruby,500 steel")</f>
        <v>30 blueprint,30 catalyst,1500 coin,30 mechanism,4 ruby,500 steel</v>
      </c>
      <c r="P593" s="26" t="str">
        <f t="shared" si="6"/>
        <v>BLOCKED</v>
      </c>
      <c r="Q593" s="26" t="str">
        <f t="shared" si="7"/>
        <v>BLOCKED</v>
      </c>
      <c r="R593" s="26" t="str">
        <f t="array" ref="R593">IFERROR(
 _xlfn.XLOOKUP(
  A593,
  tblChecklist[TargetID],
  tblChecklist[PlayerSort],
  ""
 ),
 ""
)</f>
        <v/>
      </c>
      <c r="S593" s="26" t="str">
        <f>IFERROR(__xludf.DUMMYFUNCTION("LET(
 id,A593,
 successorIDs,
  IFERROR(
   UNIQUE(
    FILTER(
     {
      Dependencies!$A$2:$A$1000;
      QuestObjectives!$A$2:$A$1000
     },
     {
      Dependencies!$B$2:$B$1000;
      QuestObjectives!$E$2:$E$1000
     }=id
    )
   ),
   """"
  )"&amp;",
 names,
  MAP(
   successorIDs,
   LAMBDA(s,
    IF(
     s="""",
     """",
     XLOOKUP(
      s,
      $A$2:$A$1000,
      $B$2:$B$1000,
      s
     )
    )
   )
  ),
 IF(
  successorIDs="""",
  """",
  TEXTJOIN("", "",TRUE,names)
 )
)"),"")</f>
        <v/>
      </c>
      <c r="T593" s="26" t="str">
        <f t="array" ref="T593">_xlfn.XLOOKUP(
 A593,
 tblTargets[TargetID],
 tblTargets[CompletionMethod],
 ""
)</f>
        <v>PLAYER</v>
      </c>
      <c r="U593" s="84" t="b">
        <f>COUNTIF(tblCost[TargetID],A593)&gt;0</f>
        <v>1</v>
      </c>
      <c r="V593" s="85">
        <f t="array" ref="V593">IF(
 U593=FALSE,
 "",
 _xlfn.XLOOKUP(
  A593,
  tblCost[TargetID],
  tblCost[FundingPercent],
  ""
 )
)</f>
        <v>0</v>
      </c>
      <c r="W593" s="26">
        <f t="array" ref="W593">IF(
 U593=FALSE,
 "",
 _xlfn.XLOOKUP(
  A593,
  tblCost[TargetID],
  tblCost[RemainingRequirements],
  ""
 )
)</f>
        <v>6</v>
      </c>
      <c r="X593" s="45" t="b">
        <f t="array" ref="X593">IF(
 U593=FALSE,
 "N/A",
 _xlfn.XLOOKUP(
  A594,
  tblCost[TargetID],
  tblCost[TargetFunded],
  FALSE
 )
)</f>
        <v>0</v>
      </c>
      <c r="Y593" s="26" t="str">
        <f>IFERROR(__xludf.DUMMYFUNCTION("IFERROR(
 TEXTJOIN(
  "", "",
  TRUE,
  FILTER(
   'cost checklist'!$E$2:$E1000&amp;"": ""&amp;'cost checklist'!$G$2:$G1000,
   'cost checklist'!$B$2:$B1000=A593,
   'cost checklist'!$J$2:$J1000=FALSE
  )
 ),
 """"
)"),"blueprint: 30, catalyst: 30, coin: 1500, mechanism: 30, ruby: 4, steel: 500")</f>
        <v>blueprint: 30, catalyst: 30, coin: 1500, mechanism: 30, ruby: 4, steel: 500</v>
      </c>
      <c r="Z593" s="26" t="b">
        <f>IFERROR(__xludf.DUMMYFUNCTION("IF(
 AND(
  E593=""QUEST"",
  RIGHT(A593,9)="".accepted"",
  D593=TRUE
 ),
 XLOOKUP(
  REGEXREPLACE(A593,""\.accepted$"","""")&amp;"".finished"",
  $A$2:$A1000,
  $D$2:$D1000,
  TRUE
 )=FALSE,
 FALSE
)"),FALSE)</f>
        <v>0</v>
      </c>
      <c r="AA593" s="26" t="str">
        <f>IFERROR(__xludf.DUMMYFUNCTION("LET(
 id,A593,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4" ht="14.25" customHeight="1">
      <c r="A594" s="26" t="s">
        <v>1879</v>
      </c>
      <c r="B594" s="26" t="str">
        <f t="array" ref="B594">_xlfn.XLOOKUP(
 A594,
 tblTargets[TargetID],
 tblTargets[DisplayName],
 ""
)</f>
        <v>Train - Titanium Components</v>
      </c>
      <c r="C594" s="26" t="str">
        <f t="shared" si="1"/>
        <v>BLOCKED</v>
      </c>
      <c r="D594" s="26" t="b">
        <f>IFERROR(__xludf.DUMMYFUNCTION("LET(
 id,A594,
 IF(
  F594=""CHARACTER"",
  LET(
   base,REGEXREPLACE(id,""@\d+$"",""""),
   required,VALUE(REGEXEXTRACT(id,""@(\d+)$"")),
   current,XLOOKUP(
    base,
    tblPlayer[PlayerStateID],
    tblPlayer[Value],
    0
   ),
   current&gt;=required
 "&amp;" ),
  IF(
   T594=""AUTO"",
   L594=0,
   COUNTIFS(
    tblChecklist[TargetID],id,
    tblChecklist[PlayerCompleted],TRUE
   )&gt;0
  )
 )
)"),FALSE)</f>
        <v>0</v>
      </c>
      <c r="E594" s="26" t="str">
        <f t="array" ref="E594">_xlfn.XLOOKUP(
 A594,
 tblTargets[TargetID],
 tblTargets[TargetType],
 ""
)</f>
        <v>TECH</v>
      </c>
      <c r="F594" s="26" t="str">
        <f t="array" ref="F594">_xlfn.XLOOKUP(
 A594,
 tblTargets[TargetID],
 tblTargets[StateType],
 ""
)</f>
        <v/>
      </c>
      <c r="G594" s="26">
        <f>LET(
 id,A594,
 depCount,COUNTIF(tblDependencies[TargetID],id),
 objCount,COUNTIF(tblQuestObjectives[QuestTargetID],id),
 depCount+objCount
)</f>
        <v>2</v>
      </c>
      <c r="H594" s="26">
        <f t="shared" si="2"/>
        <v>2</v>
      </c>
      <c r="I594" s="26">
        <f>IFERROR(__xludf.DUMMYFUNCTION("LET(
 id,A594,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4" s="26">
        <f t="shared" si="3"/>
        <v>0</v>
      </c>
      <c r="K594" s="26" t="b">
        <f t="shared" si="4"/>
        <v>0</v>
      </c>
      <c r="L594" s="26">
        <f t="shared" si="5"/>
        <v>2</v>
      </c>
      <c r="M594" s="26" t="str">
        <f>IFERROR(__xludf.DUMMYFUNCTION("LET(
 id,A594,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L594=0,
  """",
  IFERROR(INDEX(incomplete,1),"""")"&amp;"
 )
)"),"quest.once_upon_a_forest_chapter_11.finished")</f>
        <v>quest.once_upon_a_forest_chapter_11.finished</v>
      </c>
      <c r="N594" s="26" t="str">
        <f t="array" ref="N594">IF(
 M594="",
 "",
 _xlfn.XLOOKUP(
  M594,
  tblTargets[TargetID],
  tblTargets[DisplayName],
  M594
 )
)</f>
        <v>Once Upon a Forest Chapter 11 Finished</v>
      </c>
      <c r="O594" s="26" t="str">
        <f>IFERROR(__xludf.DUMMYFUNCTION("SWITCH(
 E594,
 ""BUILDING"",XLOOKUP(A594,tblBuildings[BuildingID],tblBuildings[costtext],""""),
 ""TECH"",XLOOKUP(A594,tblTechnologies[TechnologyID],tblTechnologies[costtext],""""),
 ""QUEST"",XLOOKUP(
  REGEXREPLACE(A594,""\.[^.]+$"",""""),
  tblQuests["&amp;"QuestID],
  tblQuests[Costtext],
  """"
 ),
 ""CITADEL"",XLOOKUP(A594,tblCitadel[CitadelID],tblCitadel[costtext],""""),
 ""COLLECTION"",XLOOKUP(A594,tblCollections[CollectionID],tblCollections[costtext],""""),
 ""CRAFTIFACT"",XLOOKUP(A594,tblCraftifacts[C"&amp;"raftifactID],tblCraftifacts[costtext],""""),
 """"
)"),"10 apy,30 blueprint,1500 coin,20 reagent,5 ruby,30 tparts")</f>
        <v>10 apy,30 blueprint,1500 coin,20 reagent,5 ruby,30 tparts</v>
      </c>
      <c r="P594" s="26" t="str">
        <f t="shared" si="6"/>
        <v>BLOCKED</v>
      </c>
      <c r="Q594" s="26" t="str">
        <f t="shared" si="7"/>
        <v>BLOCKED</v>
      </c>
      <c r="R594" s="26" t="str">
        <f t="array" ref="R594">IFERROR(
 _xlfn.XLOOKUP(
  A594,
  tblChecklist[TargetID],
  tblChecklist[PlayerSort],
  ""
 ),
 ""
)</f>
        <v/>
      </c>
      <c r="S594" s="26" t="str">
        <f>IFERROR(__xludf.DUMMYFUNCTION("LET(
 id,A594,
 successorIDs,
  IFERROR(
   UNIQUE(
    FILTER(
     {
      Dependencies!$A$2:$A$1000;
      QuestObjectives!$A$2:$A$1000
     },
     {
      Dependencies!$B$2:$B$1000;
      QuestObjectives!$E$2:$E$1000
     }=id
    )
   ),
   """"
  )"&amp;",
 names,
  MAP(
   successorIDs,
   LAMBDA(s,
    IF(
     s="""",
     """",
     XLOOKUP(
      s,
      $A$2:$A$1000,
      $B$2:$B$1000,
      s
     )
    )
   )
  ),
 IF(
  successorIDs="""",
  """",
  TEXTJOIN("", "",TRUE,names)
 )
)"),"")</f>
        <v/>
      </c>
      <c r="T594" s="26" t="str">
        <f t="array" ref="T594">_xlfn.XLOOKUP(
 A594,
 tblTargets[TargetID],
 tblTargets[CompletionMethod],
 ""
)</f>
        <v>PLAYER</v>
      </c>
      <c r="U594" s="84" t="b">
        <f>COUNTIF(tblCost[TargetID],A594)&gt;0</f>
        <v>1</v>
      </c>
      <c r="V594" s="85">
        <f t="array" ref="V594">IF(
 U594=FALSE,
 "",
 _xlfn.XLOOKUP(
  A594,
  tblCost[TargetID],
  tblCost[FundingPercent],
  ""
 )
)</f>
        <v>0</v>
      </c>
      <c r="W594" s="26">
        <f t="array" ref="W594">IF(
 U594=FALSE,
 "",
 _xlfn.XLOOKUP(
  A594,
  tblCost[TargetID],
  tblCost[RemainingRequirements],
  ""
 )
)</f>
        <v>6</v>
      </c>
      <c r="X594" s="45" t="b">
        <f t="array" ref="X594">IF(
 U594=FALSE,
 "N/A",
 _xlfn.XLOOKUP(
  A595,
  tblCost[TargetID],
  tblCost[TargetFunded],
  FALSE
 )
)</f>
        <v>0</v>
      </c>
      <c r="Y594" s="26" t="str">
        <f>IFERROR(__xludf.DUMMYFUNCTION("IFERROR(
 TEXTJOIN(
  "", "",
  TRUE,
  FILTER(
   'cost checklist'!$E$2:$E1000&amp;"": ""&amp;'cost checklist'!$G$2:$G1000,
   'cost checklist'!$B$2:$B1000=A594,
   'cost checklist'!$J$2:$J1000=FALSE
  )
 ),
 """"
)"),"apy: 10, blueprint: 30, coin: 1500, reagent: 20, ruby: 5, tparts: 30")</f>
        <v>apy: 10, blueprint: 30, coin: 1500, reagent: 20, ruby: 5, tparts: 30</v>
      </c>
      <c r="Z594" s="26" t="b">
        <f>IFERROR(__xludf.DUMMYFUNCTION("IF(
 AND(
  E594=""QUEST"",
  RIGHT(A594,9)="".accepted"",
  D594=TRUE
 ),
 XLOOKUP(
  REGEXREPLACE(A594,""\.accepted$"","""")&amp;"".finished"",
  $A$2:$A1000,
  $D$2:$D1000,
  TRUE
 )=FALSE,
 FALSE
)"),FALSE)</f>
        <v>0</v>
      </c>
      <c r="AA594" s="26" t="str">
        <f>IFERROR(__xludf.DUMMYFUNCTION("LET(
 id,A594,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5" ht="14.25" customHeight="1">
      <c r="A595" s="26" t="s">
        <v>1881</v>
      </c>
      <c r="B595" s="26" t="str">
        <f t="array" ref="B595">_xlfn.XLOOKUP(
 A595,
 tblTargets[TargetID],
 tblTargets[DisplayName],
 ""
)</f>
        <v>Warehouse - Stackable Racks Lvl 1</v>
      </c>
      <c r="C595" s="26" t="str">
        <f t="shared" si="1"/>
        <v>BLOCKED</v>
      </c>
      <c r="D595" s="26" t="b">
        <f>IFERROR(__xludf.DUMMYFUNCTION("LET(
 id,A595,
 IF(
  F595=""CHARACTER"",
  LET(
   base,REGEXREPLACE(id,""@\d+$"",""""),
   required,VALUE(REGEXEXTRACT(id,""@(\d+)$"")),
   current,XLOOKUP(
    base,
    tblPlayer[PlayerStateID],
    tblPlayer[Value],
    0
   ),
   current&gt;=required
 "&amp;" ),
  IF(
   T595=""AUTO"",
   L595=0,
   COUNTIFS(
    tblChecklist[TargetID],id,
    tblChecklist[PlayerCompleted],TRUE
   )&gt;0
  )
 )
)"),FALSE)</f>
        <v>0</v>
      </c>
      <c r="E595" s="26" t="str">
        <f t="array" ref="E595">_xlfn.XLOOKUP(
 A595,
 tblTargets[TargetID],
 tblTargets[TargetType],
 ""
)</f>
        <v>TECH</v>
      </c>
      <c r="F595" s="26" t="str">
        <f t="array" ref="F595">_xlfn.XLOOKUP(
 A595,
 tblTargets[TargetID],
 tblTargets[StateType],
 ""
)</f>
        <v/>
      </c>
      <c r="G595" s="26">
        <f>LET(
 id,A595,
 depCount,COUNTIF(tblDependencies[TargetID],id),
 objCount,COUNTIF(tblQuestObjectives[QuestTargetID],id),
 depCount+objCount
)</f>
        <v>1</v>
      </c>
      <c r="H595" s="26">
        <f t="shared" si="2"/>
        <v>1</v>
      </c>
      <c r="I595" s="26">
        <f>IFERROR(__xludf.DUMMYFUNCTION("LET(
 id,A595,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5" s="26">
        <f t="shared" si="3"/>
        <v>0</v>
      </c>
      <c r="K595" s="26" t="b">
        <f t="shared" si="4"/>
        <v>0</v>
      </c>
      <c r="L595" s="26">
        <f t="shared" si="5"/>
        <v>1</v>
      </c>
      <c r="M595" s="26" t="str">
        <f>IFERROR(__xludf.DUMMYFUNCTION("LET(
 id,A595,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L595=0,
  """",
  IFERROR(INDEX(incomplete,1),"""")"&amp;"
 )
)"),"building.warehouse.maxed")</f>
        <v>building.warehouse.maxed</v>
      </c>
      <c r="N595" s="26" t="str">
        <f t="array" ref="N595">IF(
 M595="",
 "",
 _xlfn.XLOOKUP(
  M595,
  tblTargets[TargetID],
  tblTargets[DisplayName],
  M595
 )
)</f>
        <v>warehouse maxed</v>
      </c>
      <c r="O595" s="26" t="str">
        <f>IFERROR(__xludf.DUMMYFUNCTION("SWITCH(
 E595,
 ""BUILDING"",XLOOKUP(A595,tblBuildings[BuildingID],tblBuildings[costtext],""""),
 ""TECH"",XLOOKUP(A595,tblTechnologies[TechnologyID],tblTechnologies[costtext],""""),
 ""QUEST"",XLOOKUP(
  REGEXREPLACE(A595,""\.[^.]+$"",""""),
  tblQuests["&amp;"QuestID],
  tblQuests[Costtext],
  """"
 ),
 ""CITADEL"",XLOOKUP(A595,tblCitadel[CitadelID],tblCitadel[costtext],""""),
 ""COLLECTION"",XLOOKUP(A595,tblCollections[CollectionID],tblCollections[costtext],""""),
 ""CRAFTIFACT"",XLOOKUP(A595,tblCraftifacts[C"&amp;"raftifactID],tblCraftifacts[costtext],""""),
 """"
)"),"30 blueprint,300 coin,200 plank,1 ruby,50 steel")</f>
        <v>30 blueprint,300 coin,200 plank,1 ruby,50 steel</v>
      </c>
      <c r="P595" s="26" t="str">
        <f t="shared" si="6"/>
        <v>BLOCKED</v>
      </c>
      <c r="Q595" s="26" t="str">
        <f t="shared" si="7"/>
        <v>BLOCKED</v>
      </c>
      <c r="R595" s="26" t="str">
        <f t="array" ref="R595">IFERROR(
 _xlfn.XLOOKUP(
  A595,
  tblChecklist[TargetID],
  tblChecklist[PlayerSort],
  ""
 ),
 ""
)</f>
        <v/>
      </c>
      <c r="S595" s="26" t="str">
        <f>IFERROR(__xludf.DUMMYFUNCTION("LET(
 id,A595,
 successorIDs,
  IFERROR(
   UNIQUE(
    FILTER(
     {
      Dependencies!$A$2:$A$1000;
      QuestObjectives!$A$2:$A$1000
     },
     {
      Dependencies!$B$2:$B$1000;
      QuestObjectives!$E$2:$E$1000
     }=id
    )
   ),
   """"
  )"&amp;",
 names,
  MAP(
   successorIDs,
   LAMBDA(s,
    IF(
     s="""",
     """",
     XLOOKUP(
      s,
      $A$2:$A$1000,
      $B$2:$B$1000,
      s
     )
    )
   )
  ),
 IF(
  successorIDs="""",
  """",
  TEXTJOIN("", "",TRUE,names)
 )
)"),"Warehouse - Stackable Racks Lvl 2")</f>
        <v>Warehouse - Stackable Racks Lvl 2</v>
      </c>
      <c r="T595" s="26" t="str">
        <f t="array" ref="T595">_xlfn.XLOOKUP(
 A595,
 tblTargets[TargetID],
 tblTargets[CompletionMethod],
 ""
)</f>
        <v>PLAYER</v>
      </c>
      <c r="U595" s="84" t="b">
        <f>COUNTIF(tblCost[TargetID],A595)&gt;0</f>
        <v>1</v>
      </c>
      <c r="V595" s="85">
        <f t="array" ref="V595">IF(
 U595=FALSE,
 "",
 _xlfn.XLOOKUP(
  A595,
  tblCost[TargetID],
  tblCost[FundingPercent],
  ""
 )
)</f>
        <v>0</v>
      </c>
      <c r="W595" s="26">
        <f t="array" ref="W595">IF(
 U595=FALSE,
 "",
 _xlfn.XLOOKUP(
  A595,
  tblCost[TargetID],
  tblCost[RemainingRequirements],
  ""
 )
)</f>
        <v>5</v>
      </c>
      <c r="X595" s="45" t="b">
        <f t="array" ref="X595">IF(
 U595=FALSE,
 "N/A",
 _xlfn.XLOOKUP(
  A596,
  tblCost[TargetID],
  tblCost[TargetFunded],
  FALSE
 )
)</f>
        <v>0</v>
      </c>
      <c r="Y595" s="26" t="str">
        <f>IFERROR(__xludf.DUMMYFUNCTION("IFERROR(
 TEXTJOIN(
  "", "",
  TRUE,
  FILTER(
   'cost checklist'!$E$2:$E1000&amp;"": ""&amp;'cost checklist'!$G$2:$G1000,
   'cost checklist'!$B$2:$B1000=A595,
   'cost checklist'!$J$2:$J1000=FALSE
  )
 ),
 """"
)"),"blueprint: 30, coin: 300, plank: 200, ruby: 1, steel: 50")</f>
        <v>blueprint: 30, coin: 300, plank: 200, ruby: 1, steel: 50</v>
      </c>
      <c r="Z595" s="26" t="b">
        <f>IFERROR(__xludf.DUMMYFUNCTION("IF(
 AND(
  E595=""QUEST"",
  RIGHT(A595,9)="".accepted"",
  D595=TRUE
 ),
 XLOOKUP(
  REGEXREPLACE(A595,""\.accepted$"","""")&amp;"".finished"",
  $A$2:$A1000,
  $D$2:$D1000,
  TRUE
 )=FALSE,
 FALSE
)"),FALSE)</f>
        <v>0</v>
      </c>
      <c r="AA595" s="26" t="str">
        <f>IFERROR(__xludf.DUMMYFUNCTION("LET(
 id,A595,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6" ht="14.25" customHeight="1">
      <c r="A596" s="26" t="s">
        <v>1883</v>
      </c>
      <c r="B596" s="26" t="str">
        <f t="array" ref="B596">_xlfn.XLOOKUP(
 A596,
 tblTargets[TargetID],
 tblTargets[DisplayName],
 ""
)</f>
        <v>Warehouse - Stackable Racks Lvl 2</v>
      </c>
      <c r="C596" s="26" t="str">
        <f t="shared" si="1"/>
        <v>BLOCKED</v>
      </c>
      <c r="D596" s="26" t="b">
        <f>IFERROR(__xludf.DUMMYFUNCTION("LET(
 id,A596,
 IF(
  F596=""CHARACTER"",
  LET(
   base,REGEXREPLACE(id,""@\d+$"",""""),
   required,VALUE(REGEXEXTRACT(id,""@(\d+)$"")),
   current,XLOOKUP(
    base,
    tblPlayer[PlayerStateID],
    tblPlayer[Value],
    0
   ),
   current&gt;=required
 "&amp;" ),
  IF(
   T596=""AUTO"",
   L596=0,
   COUNTIFS(
    tblChecklist[TargetID],id,
    tblChecklist[PlayerCompleted],TRUE
   )&gt;0
  )
 )
)"),FALSE)</f>
        <v>0</v>
      </c>
      <c r="E596" s="26" t="str">
        <f t="array" ref="E596">_xlfn.XLOOKUP(
 A596,
 tblTargets[TargetID],
 tblTargets[TargetType],
 ""
)</f>
        <v>TECH</v>
      </c>
      <c r="F596" s="26" t="str">
        <f t="array" ref="F596">_xlfn.XLOOKUP(
 A596,
 tblTargets[TargetID],
 tblTargets[StateType],
 ""
)</f>
        <v/>
      </c>
      <c r="G596" s="26">
        <f>LET(
 id,A596,
 depCount,COUNTIF(tblDependencies[TargetID],id),
 objCount,COUNTIF(tblQuestObjectives[QuestTargetID],id),
 depCount+objCount
)</f>
        <v>2</v>
      </c>
      <c r="H596" s="26">
        <f t="shared" si="2"/>
        <v>2</v>
      </c>
      <c r="I596" s="26">
        <f>IFERROR(__xludf.DUMMYFUNCTION("LET(
 id,A596,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6" s="26">
        <f t="shared" si="3"/>
        <v>0</v>
      </c>
      <c r="K596" s="26" t="b">
        <f t="shared" si="4"/>
        <v>0</v>
      </c>
      <c r="L596" s="26">
        <f t="shared" si="5"/>
        <v>2</v>
      </c>
      <c r="M596" s="26" t="str">
        <f>IFERROR(__xludf.DUMMYFUNCTION("LET(
 id,A596,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L596=0,
  """",
  IFERROR(INDEX(incomplete,1),"""")"&amp;"
 )
)"),"tech.warehouse.stackable_racks_lvl_1")</f>
        <v>tech.warehouse.stackable_racks_lvl_1</v>
      </c>
      <c r="N596" s="26" t="str">
        <f t="array" ref="N596">IF(
 M596="",
 "",
 _xlfn.XLOOKUP(
  M596,
  tblTargets[TargetID],
  tblTargets[DisplayName],
  M596
 )
)</f>
        <v>Warehouse - Stackable Racks Lvl 1</v>
      </c>
      <c r="O596" s="26" t="str">
        <f>IFERROR(__xludf.DUMMYFUNCTION("SWITCH(
 E596,
 ""BUILDING"",XLOOKUP(A596,tblBuildings[BuildingID],tblBuildings[costtext],""""),
 ""TECH"",XLOOKUP(A596,tblTechnologies[TechnologyID],tblTechnologies[costtext],""""),
 ""QUEST"",XLOOKUP(
  REGEXREPLACE(A596,""\.[^.]+$"",""""),
  tblQuests["&amp;"QuestID],
  tblQuests[Costtext],
  """"
 ),
 ""CITADEL"",XLOOKUP(A596,tblCitadel[CitadelID],tblCitadel[costtext],""""),
 ""COLLECTION"",XLOOKUP(A596,tblCollections[CollectionID],tblCollections[costtext],""""),
 ""CRAFTIFACT"",XLOOKUP(A596,tblCraftifacts[C"&amp;"raftifactID],tblCraftifacts[costtext],""""),
 """"
)"),"30 blueprint,400 coin,300 plank,2 ruby,60 steel")</f>
        <v>30 blueprint,400 coin,300 plank,2 ruby,60 steel</v>
      </c>
      <c r="P596" s="26" t="str">
        <f t="shared" si="6"/>
        <v>BLOCKED</v>
      </c>
      <c r="Q596" s="26" t="str">
        <f t="shared" si="7"/>
        <v>BLOCKED</v>
      </c>
      <c r="R596" s="26" t="str">
        <f t="array" ref="R596">IFERROR(
 _xlfn.XLOOKUP(
  A596,
  tblChecklist[TargetID],
  tblChecklist[PlayerSort],
  ""
 ),
 ""
)</f>
        <v/>
      </c>
      <c r="S596" s="26" t="str">
        <f>IFERROR(__xludf.DUMMYFUNCTION("LET(
 id,A596,
 successorIDs,
  IFERROR(
   UNIQUE(
    FILTER(
     {
      Dependencies!$A$2:$A$1000;
      QuestObjectives!$A$2:$A$1000
     },
     {
      Dependencies!$B$2:$B$1000;
      QuestObjectives!$E$2:$E$1000
     }=id
    )
   ),
   """"
  )"&amp;",
 names,
  MAP(
   successorIDs,
   LAMBDA(s,
    IF(
     s="""",
     """",
     XLOOKUP(
      s,
      $A$2:$A$1000,
      $B$2:$B$1000,
      s
     )
    )
   )
  ),
 IF(
  successorIDs="""",
  """",
  TEXTJOIN("", "",TRUE,names)
 )
)"),"Warehouse - Stackable Racks Lvl 3")</f>
        <v>Warehouse - Stackable Racks Lvl 3</v>
      </c>
      <c r="T596" s="26" t="str">
        <f t="array" ref="T596">_xlfn.XLOOKUP(
 A596,
 tblTargets[TargetID],
 tblTargets[CompletionMethod],
 ""
)</f>
        <v>PLAYER</v>
      </c>
      <c r="U596" s="84" t="b">
        <f>COUNTIF(tblCost[TargetID],A596)&gt;0</f>
        <v>1</v>
      </c>
      <c r="V596" s="85">
        <f t="array" ref="V596">IF(
 U596=FALSE,
 "",
 _xlfn.XLOOKUP(
  A596,
  tblCost[TargetID],
  tblCost[FundingPercent],
  ""
 )
)</f>
        <v>0</v>
      </c>
      <c r="W596" s="26">
        <f t="array" ref="W596">IF(
 U596=FALSE,
 "",
 _xlfn.XLOOKUP(
  A596,
  tblCost[TargetID],
  tblCost[RemainingRequirements],
  ""
 )
)</f>
        <v>5</v>
      </c>
      <c r="X596" s="45" t="b">
        <f t="array" ref="X596">IF(
 U596=FALSE,
 "N/A",
 _xlfn.XLOOKUP(
  A597,
  tblCost[TargetID],
  tblCost[TargetFunded],
  FALSE
 )
)</f>
        <v>0</v>
      </c>
      <c r="Y596" s="26" t="str">
        <f>IFERROR(__xludf.DUMMYFUNCTION("IFERROR(
 TEXTJOIN(
  "", "",
  TRUE,
  FILTER(
   'cost checklist'!$E$2:$E1000&amp;"": ""&amp;'cost checklist'!$G$2:$G1000,
   'cost checklist'!$B$2:$B1000=A596,
   'cost checklist'!$J$2:$J1000=FALSE
  )
 ),
 """"
)"),"blueprint: 30, coin: 400, plank: 300, ruby: 2, steel: 60")</f>
        <v>blueprint: 30, coin: 400, plank: 300, ruby: 2, steel: 60</v>
      </c>
      <c r="Z596" s="26" t="b">
        <f>IFERROR(__xludf.DUMMYFUNCTION("IF(
 AND(
  E596=""QUEST"",
  RIGHT(A596,9)="".accepted"",
  D596=TRUE
 ),
 XLOOKUP(
  REGEXREPLACE(A596,""\.accepted$"","""")&amp;"".finished"",
  $A$2:$A1000,
  $D$2:$D1000,
  TRUE
 )=FALSE,
 FALSE
)"),FALSE)</f>
        <v>0</v>
      </c>
      <c r="AA596" s="26" t="str">
        <f>IFERROR(__xludf.DUMMYFUNCTION("LET(
 id,A596,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7" ht="14.25" customHeight="1">
      <c r="A597" s="26" t="s">
        <v>1885</v>
      </c>
      <c r="B597" s="26" t="str">
        <f t="array" ref="B597">_xlfn.XLOOKUP(
 A597,
 tblTargets[TargetID],
 tblTargets[DisplayName],
 ""
)</f>
        <v>Warehouse - Stackable Racks Lvl 3</v>
      </c>
      <c r="C597" s="26" t="str">
        <f t="shared" si="1"/>
        <v>BLOCKED</v>
      </c>
      <c r="D597" s="26" t="b">
        <f>IFERROR(__xludf.DUMMYFUNCTION("LET(
 id,A597,
 IF(
  F597=""CHARACTER"",
  LET(
   base,REGEXREPLACE(id,""@\d+$"",""""),
   required,VALUE(REGEXEXTRACT(id,""@(\d+)$"")),
   current,XLOOKUP(
    base,
    tblPlayer[PlayerStateID],
    tblPlayer[Value],
    0
   ),
   current&gt;=required
 "&amp;" ),
  IF(
   T597=""AUTO"",
   L597=0,
   COUNTIFS(
    tblChecklist[TargetID],id,
    tblChecklist[PlayerCompleted],TRUE
   )&gt;0
  )
 )
)"),FALSE)</f>
        <v>0</v>
      </c>
      <c r="E597" s="26" t="str">
        <f t="array" ref="E597">_xlfn.XLOOKUP(
 A597,
 tblTargets[TargetID],
 tblTargets[TargetType],
 ""
)</f>
        <v>TECH</v>
      </c>
      <c r="F597" s="26" t="str">
        <f t="array" ref="F597">_xlfn.XLOOKUP(
 A597,
 tblTargets[TargetID],
 tblTargets[StateType],
 ""
)</f>
        <v/>
      </c>
      <c r="G597" s="26">
        <f>LET(
 id,A597,
 depCount,COUNTIF(tblDependencies[TargetID],id),
 objCount,COUNTIF(tblQuestObjectives[QuestTargetID],id),
 depCount+objCount
)</f>
        <v>2</v>
      </c>
      <c r="H597" s="26">
        <f t="shared" si="2"/>
        <v>2</v>
      </c>
      <c r="I597" s="26">
        <f>IFERROR(__xludf.DUMMYFUNCTION("LET(
 id,A597,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7" s="26">
        <f t="shared" si="3"/>
        <v>0</v>
      </c>
      <c r="K597" s="26" t="b">
        <f t="shared" si="4"/>
        <v>0</v>
      </c>
      <c r="L597" s="26">
        <f t="shared" si="5"/>
        <v>2</v>
      </c>
      <c r="M597" s="26" t="str">
        <f>IFERROR(__xludf.DUMMYFUNCTION("LET(
 id,A597,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L597=0,
  """",
  IFERROR(INDEX(incomplete,1),"""")"&amp;"
 )
)"),"tech.warehouse.stackable_racks_lvl_2")</f>
        <v>tech.warehouse.stackable_racks_lvl_2</v>
      </c>
      <c r="N597" s="26" t="str">
        <f t="array" ref="N597">IF(
 M597="",
 "",
 _xlfn.XLOOKUP(
  M597,
  tblTargets[TargetID],
  tblTargets[DisplayName],
  M597
 )
)</f>
        <v>Warehouse - Stackable Racks Lvl 2</v>
      </c>
      <c r="O597" s="26" t="str">
        <f>IFERROR(__xludf.DUMMYFUNCTION("SWITCH(
 E597,
 ""BUILDING"",XLOOKUP(A597,tblBuildings[BuildingID],tblBuildings[costtext],""""),
 ""TECH"",XLOOKUP(A597,tblTechnologies[TechnologyID],tblTechnologies[costtext],""""),
 ""QUEST"",XLOOKUP(
  REGEXREPLACE(A597,""\.[^.]+$"",""""),
  tblQuests["&amp;"QuestID],
  tblQuests[Costtext],
  """"
 ),
 ""CITADEL"",XLOOKUP(A597,tblCitadel[CitadelID],tblCitadel[costtext],""""),
 ""COLLECTION"",XLOOKUP(A597,tblCollections[CollectionID],tblCollections[costtext],""""),
 ""CRAFTIFACT"",XLOOKUP(A597,tblCraftifacts[C"&amp;"raftifactID],tblCraftifacts[costtext],""""),
 """"
)"),"30 blueprint,500 coin,400 plank,3 ruby,70 steel")</f>
        <v>30 blueprint,500 coin,400 plank,3 ruby,70 steel</v>
      </c>
      <c r="P597" s="26" t="str">
        <f t="shared" si="6"/>
        <v>BLOCKED</v>
      </c>
      <c r="Q597" s="26" t="str">
        <f t="shared" si="7"/>
        <v>BLOCKED</v>
      </c>
      <c r="R597" s="26" t="str">
        <f t="array" ref="R597">IFERROR(
 _xlfn.XLOOKUP(
  A597,
  tblChecklist[TargetID],
  tblChecklist[PlayerSort],
  ""
 ),
 ""
)</f>
        <v/>
      </c>
      <c r="S597" s="26" t="str">
        <f>IFERROR(__xludf.DUMMYFUNCTION("LET(
 id,A597,
 successorIDs,
  IFERROR(
   UNIQUE(
    FILTER(
     {
      Dependencies!$A$2:$A$1000;
      QuestObjectives!$A$2:$A$1000
     },
     {
      Dependencies!$B$2:$B$1000;
      QuestObjectives!$E$2:$E$1000
     }=id
    )
   ),
   """"
  )"&amp;",
 names,
  MAP(
   successorIDs,
   LAMBDA(s,
    IF(
     s="""",
     """",
     XLOOKUP(
      s,
      $A$2:$A$1000,
      $B$2:$B$1000,
      s
     )
    )
   )
  ),
 IF(
  successorIDs="""",
  """",
  TEXTJOIN("", "",TRUE,names)
 )
)"),"")</f>
        <v/>
      </c>
      <c r="T597" s="26" t="str">
        <f t="array" ref="T597">_xlfn.XLOOKUP(
 A597,
 tblTargets[TargetID],
 tblTargets[CompletionMethod],
 ""
)</f>
        <v>PLAYER</v>
      </c>
      <c r="U597" s="84" t="b">
        <f>COUNTIF(tblCost[TargetID],A597)&gt;0</f>
        <v>1</v>
      </c>
      <c r="V597" s="85">
        <f t="array" ref="V597">IF(
 U597=FALSE,
 "",
 _xlfn.XLOOKUP(
  A597,
  tblCost[TargetID],
  tblCost[FundingPercent],
  ""
 )
)</f>
        <v>0</v>
      </c>
      <c r="W597" s="26">
        <f t="array" ref="W597">IF(
 U597=FALSE,
 "",
 _xlfn.XLOOKUP(
  A597,
  tblCost[TargetID],
  tblCost[RemainingRequirements],
  ""
 )
)</f>
        <v>5</v>
      </c>
      <c r="X597" s="45" t="b">
        <f t="array" ref="X597">IF(
 U597=FALSE,
 "N/A",
 _xlfn.XLOOKUP(
  A598,
  tblCost[TargetID],
  tblCost[TargetFunded],
  FALSE
 )
)</f>
        <v>0</v>
      </c>
      <c r="Y597" s="26" t="str">
        <f>IFERROR(__xludf.DUMMYFUNCTION("IFERROR(
 TEXTJOIN(
  "", "",
  TRUE,
  FILTER(
   'cost checklist'!$E$2:$E1000&amp;"": ""&amp;'cost checklist'!$G$2:$G1000,
   'cost checklist'!$B$2:$B1000=A597,
   'cost checklist'!$J$2:$J1000=FALSE
  )
 ),
 """"
)"),"blueprint: 30, coin: 500, plank: 400, ruby: 3, steel: 70")</f>
        <v>blueprint: 30, coin: 500, plank: 400, ruby: 3, steel: 70</v>
      </c>
      <c r="Z597" s="26" t="b">
        <f>IFERROR(__xludf.DUMMYFUNCTION("IF(
 AND(
  E597=""QUEST"",
  RIGHT(A597,9)="".accepted"",
  D597=TRUE
 ),
 XLOOKUP(
  REGEXREPLACE(A597,""\.accepted$"","""")&amp;"".finished"",
  $A$2:$A1000,
  $D$2:$D1000,
  TRUE
 )=FALSE,
 FALSE
)"),FALSE)</f>
        <v>0</v>
      </c>
      <c r="AA597" s="26" t="str">
        <f>IFERROR(__xludf.DUMMYFUNCTION("LET(
 id,A597,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8" ht="14.25" customHeight="1">
      <c r="A598" s="26" t="s">
        <v>1888</v>
      </c>
      <c r="B598" s="26" t="str">
        <f t="array" ref="B598">_xlfn.XLOOKUP(
 A598,
 tblTargets[TargetID],
 tblTargets[DisplayName],
 ""
)</f>
        <v>Windmill -  Bone Meal</v>
      </c>
      <c r="C598" s="26" t="str">
        <f t="shared" si="1"/>
        <v>BLOCKED</v>
      </c>
      <c r="D598" s="26" t="b">
        <f>IFERROR(__xludf.DUMMYFUNCTION("LET(
 id,A598,
 IF(
  F598=""CHARACTER"",
  LET(
   base,REGEXREPLACE(id,""@\d+$"",""""),
   required,VALUE(REGEXEXTRACT(id,""@(\d+)$"")),
   current,XLOOKUP(
    base,
    tblPlayer[PlayerStateID],
    tblPlayer[Value],
    0
   ),
   current&gt;=required
 "&amp;" ),
  IF(
   T598=""AUTO"",
   L598=0,
   COUNTIFS(
    tblChecklist[TargetID],id,
    tblChecklist[PlayerCompleted],TRUE
   )&gt;0
  )
 )
)"),FALSE)</f>
        <v>0</v>
      </c>
      <c r="E598" s="26" t="str">
        <f t="array" ref="E598">_xlfn.XLOOKUP(
 A598,
 tblTargets[TargetID],
 tblTargets[TargetType],
 ""
)</f>
        <v>TECH</v>
      </c>
      <c r="F598" s="26" t="str">
        <f t="array" ref="F598">_xlfn.XLOOKUP(
 A598,
 tblTargets[TargetID],
 tblTargets[StateType],
 ""
)</f>
        <v/>
      </c>
      <c r="G598" s="26">
        <f>LET(
 id,A598,
 depCount,COUNTIF(tblDependencies[TargetID],id),
 objCount,COUNTIF(tblQuestObjectives[QuestTargetID],id),
 depCount+objCount
)</f>
        <v>1</v>
      </c>
      <c r="H598" s="26">
        <f t="shared" si="2"/>
        <v>1</v>
      </c>
      <c r="I598" s="26">
        <f>IFERROR(__xludf.DUMMYFUNCTION("LET(
 id,A598,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8" s="26">
        <f t="shared" si="3"/>
        <v>0</v>
      </c>
      <c r="K598" s="26" t="b">
        <f t="shared" si="4"/>
        <v>0</v>
      </c>
      <c r="L598" s="26">
        <f t="shared" si="5"/>
        <v>1</v>
      </c>
      <c r="M598" s="26" t="str">
        <f>IFERROR(__xludf.DUMMYFUNCTION("LET(
 id,A598,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L598=0,
  """",
  IFERROR(INDEX(incomplete,1),"""")"&amp;"
 )
)"),"building.windmill.maxed")</f>
        <v>building.windmill.maxed</v>
      </c>
      <c r="N598" s="26" t="str">
        <f t="array" ref="N598">IF(
 M598="",
 "",
 _xlfn.XLOOKUP(
  M598,
  tblTargets[TargetID],
  tblTargets[DisplayName],
  M598
 )
)</f>
        <v>windmill maxed</v>
      </c>
      <c r="O598" s="26" t="str">
        <f>IFERROR(__xludf.DUMMYFUNCTION("SWITCH(
 E598,
 ""BUILDING"",XLOOKUP(A598,tblBuildings[BuildingID],tblBuildings[costtext],""""),
 ""TECH"",XLOOKUP(A598,tblTechnologies[TechnologyID],tblTechnologies[costtext],""""),
 ""QUEST"",XLOOKUP(
  REGEXREPLACE(A598,""\.[^.]+$"",""""),
  tblQuests["&amp;"QuestID],
  tblQuests[Costtext],
  """"
 ),
 ""CITADEL"",XLOOKUP(A598,tblCitadel[CitadelID],tblCitadel[costtext],""""),
 ""COLLECTION"",XLOOKUP(A598,tblCollections[CollectionID],tblCollections[costtext],""""),
 ""CRAFTIFACT"",XLOOKUP(A598,tblCraftifacts[C"&amp;"raftifactID],tblCraftifacts[costtext],""""),
 """"
)"),"5 Ruby, 400 coin, 100 stone, 20 miron, 40 bone, 20 elixir, 15 page")</f>
        <v>5 Ruby, 400 coin, 100 stone, 20 miron, 40 bone, 20 elixir, 15 page</v>
      </c>
      <c r="P598" s="26" t="str">
        <f t="shared" si="6"/>
        <v>BLOCKED</v>
      </c>
      <c r="Q598" s="26" t="str">
        <f t="shared" si="7"/>
        <v>BLOCKED</v>
      </c>
      <c r="R598" s="26" t="str">
        <f t="array" ref="R598">IFERROR(
 _xlfn.XLOOKUP(
  A598,
  tblChecklist[TargetID],
  tblChecklist[PlayerSort],
  ""
 ),
 ""
)</f>
        <v/>
      </c>
      <c r="S598" s="26" t="str">
        <f>IFERROR(__xludf.DUMMYFUNCTION("LET(
 id,A598,
 successorIDs,
  IFERROR(
   UNIQUE(
    FILTER(
     {
      Dependencies!$A$2:$A$1000;
      QuestObjectives!$A$2:$A$1000
     },
     {
      Dependencies!$B$2:$B$1000;
      QuestObjectives!$E$2:$E$1000
     }=id
    )
   ),
   """"
  )"&amp;",
 names,
  MAP(
   successorIDs,
   LAMBDA(s,
    IF(
     s="""",
     """",
     XLOOKUP(
      s,
      $A$2:$A$1000,
      $B$2:$B$1000,
      s
     )
    )
   )
  ),
 IF(
  successorIDs="""",
  """",
  TEXTJOIN("", "",TRUE,names)
 )
)"),"")</f>
        <v/>
      </c>
      <c r="T598" s="26" t="str">
        <f t="array" ref="T598">_xlfn.XLOOKUP(
 A598,
 tblTargets[TargetID],
 tblTargets[CompletionMethod],
 ""
)</f>
        <v>PLAYER</v>
      </c>
      <c r="U598" s="84" t="b">
        <f>COUNTIF(tblCost[TargetID],A598)&gt;0</f>
        <v>1</v>
      </c>
      <c r="V598" s="85">
        <f t="array" ref="V598">IF(
 U598=FALSE,
 "",
 _xlfn.XLOOKUP(
  A598,
  tblCost[TargetID],
  tblCost[FundingPercent],
  ""
 )
)</f>
        <v>0</v>
      </c>
      <c r="W598" s="26">
        <f t="array" ref="W598">IF(
 U598=FALSE,
 "",
 _xlfn.XLOOKUP(
  A598,
  tblCost[TargetID],
  tblCost[RemainingRequirements],
  ""
 )
)</f>
        <v>7</v>
      </c>
      <c r="X598" s="45" t="b">
        <f t="array" ref="X598">IF(
 U598=FALSE,
 "N/A",
 _xlfn.XLOOKUP(
  A599,
  tblCost[TargetID],
  tblCost[TargetFunded],
  FALSE
 )
)</f>
        <v>0</v>
      </c>
      <c r="Y598" s="26" t="str">
        <f>IFERROR(__xludf.DUMMYFUNCTION("IFERROR(
 TEXTJOIN(
  "", "",
  TRUE,
  FILTER(
   'cost checklist'!$E$2:$E1000&amp;"": ""&amp;'cost checklist'!$G$2:$G1000,
   'cost checklist'!$B$2:$B1000=A598,
   'cost checklist'!$J$2:$J1000=FALSE
  )
 ),
 """"
)"),"ancient_page: 15, bone: 40, coin: 400, elixir_of_insight: 20, meteroic_iron: 20, ruby: 2, stone: 100")</f>
        <v>ancient_page: 15, bone: 40, coin: 400, elixir_of_insight: 20, meteroic_iron: 20, ruby: 2, stone: 100</v>
      </c>
      <c r="Z598" s="26" t="b">
        <f>IFERROR(__xludf.DUMMYFUNCTION("IF(
 AND(
  E598=""QUEST"",
  RIGHT(A598,9)="".accepted"",
  D598=TRUE
 ),
 XLOOKUP(
  REGEXREPLACE(A598,""\.accepted$"","""")&amp;"".finished"",
  $A$2:$A1000,
  $D$2:$D1000,
  TRUE
 )=FALSE,
 FALSE
)"),FALSE)</f>
        <v>0</v>
      </c>
      <c r="AA598" s="26" t="str">
        <f>IFERROR(__xludf.DUMMYFUNCTION("LET(
 id,A598,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599" ht="14.25" customHeight="1">
      <c r="A599" s="26" t="s">
        <v>1891</v>
      </c>
      <c r="B599" s="26" t="str">
        <f t="array" ref="B599">_xlfn.XLOOKUP(
 A599,
 tblTargets[TargetID],
 tblTargets[DisplayName],
 ""
)</f>
        <v>Workshop - Conveyor Lvl 1</v>
      </c>
      <c r="C599" s="26" t="str">
        <f t="shared" si="1"/>
        <v>BLOCKED</v>
      </c>
      <c r="D599" s="26" t="b">
        <f>IFERROR(__xludf.DUMMYFUNCTION("LET(
 id,A599,
 IF(
  F599=""CHARACTER"",
  LET(
   base,REGEXREPLACE(id,""@\d+$"",""""),
   required,VALUE(REGEXEXTRACT(id,""@(\d+)$"")),
   current,XLOOKUP(
    base,
    tblPlayer[PlayerStateID],
    tblPlayer[Value],
    0
   ),
   current&gt;=required
 "&amp;" ),
  IF(
   T599=""AUTO"",
   L599=0,
   COUNTIFS(
    tblChecklist[TargetID],id,
    tblChecklist[PlayerCompleted],TRUE
   )&gt;0
  )
 )
)"),FALSE)</f>
        <v>0</v>
      </c>
      <c r="E599" s="26" t="str">
        <f t="array" ref="E599">_xlfn.XLOOKUP(
 A599,
 tblTargets[TargetID],
 tblTargets[TargetType],
 ""
)</f>
        <v>TECH</v>
      </c>
      <c r="F599" s="26" t="str">
        <f t="array" ref="F599">_xlfn.XLOOKUP(
 A599,
 tblTargets[TargetID],
 tblTargets[StateType],
 ""
)</f>
        <v/>
      </c>
      <c r="G599" s="26">
        <f>LET(
 id,A599,
 depCount,COUNTIF(tblDependencies[TargetID],id),
 objCount,COUNTIF(tblQuestObjectives[QuestTargetID],id),
 depCount+objCount
)</f>
        <v>1</v>
      </c>
      <c r="H599" s="26">
        <f t="shared" si="2"/>
        <v>1</v>
      </c>
      <c r="I599" s="26">
        <f>IFERROR(__xludf.DUMMYFUNCTION("LET(
 id,A599,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599" s="26">
        <f t="shared" si="3"/>
        <v>0</v>
      </c>
      <c r="K599" s="26" t="b">
        <f t="shared" si="4"/>
        <v>0</v>
      </c>
      <c r="L599" s="26">
        <f t="shared" si="5"/>
        <v>1</v>
      </c>
      <c r="M599" s="26" t="str">
        <f>IFERROR(__xludf.DUMMYFUNCTION("LET(
 id,A599,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L599=0,
  """",
  IFERROR(INDEX(incomplete,1),"""")"&amp;"
 )
)"),"building.workshop.maxed")</f>
        <v>building.workshop.maxed</v>
      </c>
      <c r="N599" s="26" t="str">
        <f t="array" ref="N599">IF(
 M599="",
 "",
 _xlfn.XLOOKUP(
  M599,
  tblTargets[TargetID],
  tblTargets[DisplayName],
  M599
 )
)</f>
        <v>workshop maxed</v>
      </c>
      <c r="O599" s="26" t="str">
        <f>IFERROR(__xludf.DUMMYFUNCTION("SWITCH(
 E599,
 ""BUILDING"",XLOOKUP(A599,tblBuildings[BuildingID],tblBuildings[costtext],""""),
 ""TECH"",XLOOKUP(A599,tblTechnologies[TechnologyID],tblTechnologies[costtext],""""),
 ""QUEST"",XLOOKUP(
  REGEXREPLACE(A599,""\.[^.]+$"",""""),
  tblQuests["&amp;"QuestID],
  tblQuests[Costtext],
  """"
 ),
 ""CITADEL"",XLOOKUP(A599,tblCitadel[CitadelID],tblCitadel[costtext],""""),
 ""COLLECTION"",XLOOKUP(A599,tblCollections[CollectionID],tblCollections[costtext],""""),
 ""CRAFTIFACT"",XLOOKUP(A599,tblCraftifacts[C"&amp;"raftifactID],tblCraftifacts[costtext],""""),
 """"
)"),"20 blueprint,1000 coin,50 elixir,10 mechanism,20 msteel,3 ruby")</f>
        <v>20 blueprint,1000 coin,50 elixir,10 mechanism,20 msteel,3 ruby</v>
      </c>
      <c r="P599" s="26" t="str">
        <f t="shared" si="6"/>
        <v>BLOCKED</v>
      </c>
      <c r="Q599" s="26" t="str">
        <f t="shared" si="7"/>
        <v>BLOCKED</v>
      </c>
      <c r="R599" s="26">
        <f t="array" ref="R599">IFERROR(
 _xlfn.XLOOKUP(
  A599,
  tblChecklist[TargetID],
  tblChecklist[PlayerSort],
  ""
 ),
 ""
)</f>
        <v>40</v>
      </c>
      <c r="S599" s="26" t="str">
        <f>IFERROR(__xludf.DUMMYFUNCTION("LET(
 id,A599,
 successorIDs,
  IFERROR(
   UNIQUE(
    FILTER(
     {
      Dependencies!$A$2:$A$1000;
      QuestObjectives!$A$2:$A$1000
     },
     {
      Dependencies!$B$2:$B$1000;
      QuestObjectives!$E$2:$E$1000
     }=id
    )
   ),
   """"
  )"&amp;",
 names,
  MAP(
   successorIDs,
   LAMBDA(s,
    IF(
     s="""",
     """",
     XLOOKUP(
      s,
      $A$2:$A$1000,
      $B$2:$B$1000,
      s
     )
    )
   )
  ),
 IF(
  successorIDs="""",
  """",
  TEXTJOIN("", "",TRUE,names)
 )
)"),"Workshop - Conveyor Lvl 2")</f>
        <v>Workshop - Conveyor Lvl 2</v>
      </c>
      <c r="T599" s="26" t="str">
        <f t="array" ref="T599">_xlfn.XLOOKUP(
 A599,
 tblTargets[TargetID],
 tblTargets[CompletionMethod],
 ""
)</f>
        <v>PLAYER</v>
      </c>
      <c r="U599" s="84" t="b">
        <f>COUNTIF(tblCost[TargetID],A599)&gt;0</f>
        <v>1</v>
      </c>
      <c r="V599" s="85">
        <f t="array" ref="V599">IF(
 U599=FALSE,
 "",
 _xlfn.XLOOKUP(
  A599,
  tblCost[TargetID],
  tblCost[FundingPercent],
  ""
 )
)</f>
        <v>0</v>
      </c>
      <c r="W599" s="26">
        <f t="array" ref="W599">IF(
 U599=FALSE,
 "",
 _xlfn.XLOOKUP(
  A599,
  tblCost[TargetID],
  tblCost[RemainingRequirements],
  ""
 )
)</f>
        <v>6</v>
      </c>
      <c r="X599" s="45" t="b">
        <f t="array" ref="X599">IF(
 U599=FALSE,
 "N/A",
 _xlfn.XLOOKUP(
  A600,
  tblCost[TargetID],
  tblCost[TargetFunded],
  FALSE
 )
)</f>
        <v>0</v>
      </c>
      <c r="Y599" s="26" t="str">
        <f>IFERROR(__xludf.DUMMYFUNCTION("IFERROR(
 TEXTJOIN(
  "", "",
  TRUE,
  FILTER(
   'cost checklist'!$E$2:$E1000&amp;"": ""&amp;'cost checklist'!$G$2:$G1000,
   'cost checklist'!$B$2:$B1000=A599,
   'cost checklist'!$J$2:$J1000=FALSE
  )
 ),
 """"
)"),"blueprint: 20, coin: 1000, elixir: 50, mechanism: 10, msteel: 20, ruby: 3")</f>
        <v>blueprint: 20, coin: 1000, elixir: 50, mechanism: 10, msteel: 20, ruby: 3</v>
      </c>
      <c r="Z599" s="26" t="b">
        <f>IFERROR(__xludf.DUMMYFUNCTION("IF(
 AND(
  E599=""QUEST"",
  RIGHT(A599,9)="".accepted"",
  D599=TRUE
 ),
 XLOOKUP(
  REGEXREPLACE(A599,""\.accepted$"","""")&amp;"".finished"",
  $A$2:$A1000,
  $D$2:$D1000,
  TRUE
 )=FALSE,
 FALSE
)"),FALSE)</f>
        <v>0</v>
      </c>
      <c r="AA599" s="26" t="str">
        <f>IFERROR(__xludf.DUMMYFUNCTION("LET(
 id,A599,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0" ht="14.25" customHeight="1">
      <c r="A600" s="26" t="s">
        <v>1893</v>
      </c>
      <c r="B600" s="26" t="str">
        <f t="array" ref="B600">_xlfn.XLOOKUP(
 A600,
 tblTargets[TargetID],
 tblTargets[DisplayName],
 ""
)</f>
        <v>Workshop - Conveyor Lvl 2</v>
      </c>
      <c r="C600" s="26" t="str">
        <f t="shared" si="1"/>
        <v>BLOCKED</v>
      </c>
      <c r="D600" s="26" t="b">
        <f>IFERROR(__xludf.DUMMYFUNCTION("LET(
 id,A600,
 IF(
  F600=""CHARACTER"",
  LET(
   base,REGEXREPLACE(id,""@\d+$"",""""),
   required,VALUE(REGEXEXTRACT(id,""@(\d+)$"")),
   current,XLOOKUP(
    base,
    tblPlayer[PlayerStateID],
    tblPlayer[Value],
    0
   ),
   current&gt;=required
 "&amp;" ),
  IF(
   T600=""AUTO"",
   L600=0,
   COUNTIFS(
    tblChecklist[TargetID],id,
    tblChecklist[PlayerCompleted],TRUE
   )&gt;0
  )
 )
)"),FALSE)</f>
        <v>0</v>
      </c>
      <c r="E600" s="26" t="str">
        <f t="array" ref="E600">_xlfn.XLOOKUP(
 A600,
 tblTargets[TargetID],
 tblTargets[TargetType],
 ""
)</f>
        <v>TECH</v>
      </c>
      <c r="F600" s="26" t="str">
        <f t="array" ref="F600">_xlfn.XLOOKUP(
 A600,
 tblTargets[TargetID],
 tblTargets[StateType],
 ""
)</f>
        <v/>
      </c>
      <c r="G600" s="26">
        <f>LET(
 id,A600,
 depCount,COUNTIF(tblDependencies[TargetID],id),
 objCount,COUNTIF(tblQuestObjectives[QuestTargetID],id),
 depCount+objCount
)</f>
        <v>1</v>
      </c>
      <c r="H600" s="26">
        <f t="shared" si="2"/>
        <v>1</v>
      </c>
      <c r="I600" s="26">
        <f>IFERROR(__xludf.DUMMYFUNCTION("LET(
 id,A600,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0" s="26">
        <f t="shared" si="3"/>
        <v>0</v>
      </c>
      <c r="K600" s="26" t="b">
        <f t="shared" si="4"/>
        <v>0</v>
      </c>
      <c r="L600" s="26">
        <f t="shared" si="5"/>
        <v>1</v>
      </c>
      <c r="M600" s="26" t="str">
        <f>IFERROR(__xludf.DUMMYFUNCTION("LET(
 id,A600,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L600=0,
  """",
  IFERROR(INDEX(incomplete,1),"""")"&amp;"
 )
)"),"tech.workshop.conveyor_lvl_1")</f>
        <v>tech.workshop.conveyor_lvl_1</v>
      </c>
      <c r="N600" s="26" t="str">
        <f t="array" ref="N600">IF(
 M600="",
 "",
 _xlfn.XLOOKUP(
  M600,
  tblTargets[TargetID],
  tblTargets[DisplayName],
  M600
 )
)</f>
        <v>Workshop - Conveyor Lvl 1</v>
      </c>
      <c r="O600" s="26" t="str">
        <f>IFERROR(__xludf.DUMMYFUNCTION("SWITCH(
 E600,
 ""BUILDING"",XLOOKUP(A600,tblBuildings[BuildingID],tblBuildings[costtext],""""),
 ""TECH"",XLOOKUP(A600,tblTechnologies[TechnologyID],tblTechnologies[costtext],""""),
 ""QUEST"",XLOOKUP(
  REGEXREPLACE(A600,""\.[^.]+$"",""""),
  tblQuests["&amp;"QuestID],
  tblQuests[Costtext],
  """"
 ),
 ""CITADEL"",XLOOKUP(A600,tblCitadel[CitadelID],tblCitadel[costtext],""""),
 ""COLLECTION"",XLOOKUP(A600,tblCollections[CollectionID],tblCollections[costtext],""""),
 ""CRAFTIFACT"",XLOOKUP(A600,tblCraftifacts[C"&amp;"raftifactID],tblCraftifacts[costtext],""""),
 """"
)"),"30 blueprint,1500 coin,75 elixir,15 mechanism,30 msteel,5 ruby")</f>
        <v>30 blueprint,1500 coin,75 elixir,15 mechanism,30 msteel,5 ruby</v>
      </c>
      <c r="P600" s="26" t="str">
        <f t="shared" si="6"/>
        <v>BLOCKED</v>
      </c>
      <c r="Q600" s="26" t="str">
        <f t="shared" si="7"/>
        <v>BLOCKED</v>
      </c>
      <c r="R600" s="26" t="str">
        <f t="array" ref="R600">IFERROR(
 _xlfn.XLOOKUP(
  A600,
  tblChecklist[TargetID],
  tblChecklist[PlayerSort],
  ""
 ),
 ""
)</f>
        <v/>
      </c>
      <c r="S600" s="26" t="str">
        <f>IFERROR(__xludf.DUMMYFUNCTION("LET(
 id,A600,
 successorIDs,
  IFERROR(
   UNIQUE(
    FILTER(
     {
      Dependencies!$A$2:$A$1000;
      QuestObjectives!$A$2:$A$1000
     },
     {
      Dependencies!$B$2:$B$1000;
      QuestObjectives!$E$2:$E$1000
     }=id
    )
   ),
   """"
  )"&amp;",
 names,
  MAP(
   successorIDs,
   LAMBDA(s,
    IF(
     s="""",
     """",
     XLOOKUP(
      s,
      $A$2:$A$1000,
      $B$2:$B$1000,
      s
     )
    )
   )
  ),
 IF(
  successorIDs="""",
  """",
  TEXTJOIN("", "",TRUE,names)
 )
)"),"")</f>
        <v/>
      </c>
      <c r="T600" s="26" t="str">
        <f t="array" ref="T600">_xlfn.XLOOKUP(
 A600,
 tblTargets[TargetID],
 tblTargets[CompletionMethod],
 ""
)</f>
        <v>PLAYER</v>
      </c>
      <c r="U600" s="84" t="b">
        <f>COUNTIF(tblCost[TargetID],A600)&gt;0</f>
        <v>1</v>
      </c>
      <c r="V600" s="85">
        <f t="array" ref="V600">IF(
 U600=FALSE,
 "",
 _xlfn.XLOOKUP(
  A600,
  tblCost[TargetID],
  tblCost[FundingPercent],
  ""
 )
)</f>
        <v>0</v>
      </c>
      <c r="W600" s="26">
        <f t="array" ref="W600">IF(
 U600=FALSE,
 "",
 _xlfn.XLOOKUP(
  A600,
  tblCost[TargetID],
  tblCost[RemainingRequirements],
  ""
 )
)</f>
        <v>6</v>
      </c>
      <c r="X600" s="45" t="b">
        <f t="array" ref="X600">IF(
 U600=FALSE,
 "N/A",
 _xlfn.XLOOKUP(
  A601,
  tblCost[TargetID],
  tblCost[TargetFunded],
  FALSE
 )
)</f>
        <v>0</v>
      </c>
      <c r="Y600" s="26" t="str">
        <f>IFERROR(__xludf.DUMMYFUNCTION("IFERROR(
 TEXTJOIN(
  "", "",
  TRUE,
  FILTER(
   'cost checklist'!$E$2:$E1000&amp;"": ""&amp;'cost checklist'!$G$2:$G1000,
   'cost checklist'!$B$2:$B1000=A600,
   'cost checklist'!$J$2:$J1000=FALSE
  )
 ),
 """"
)"),"blueprint: 30, coin: 1500, elixir: 75, mechanism: 15, msteel: 30, ruby: 5")</f>
        <v>blueprint: 30, coin: 1500, elixir: 75, mechanism: 15, msteel: 30, ruby: 5</v>
      </c>
      <c r="Z600" s="26" t="b">
        <f>IFERROR(__xludf.DUMMYFUNCTION("IF(
 AND(
  E600=""QUEST"",
  RIGHT(A600,9)="".accepted"",
  D600=TRUE
 ),
 XLOOKUP(
  REGEXREPLACE(A600,""\.accepted$"","""")&amp;"".finished"",
  $A$2:$A1000,
  $D$2:$D1000,
  TRUE
 )=FALSE,
 FALSE
)"),FALSE)</f>
        <v>0</v>
      </c>
      <c r="AA600" s="26" t="str">
        <f>IFERROR(__xludf.DUMMYFUNCTION("LET(
 id,A600,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1" ht="14.25" customHeight="1">
      <c r="A601" s="26" t="s">
        <v>1895</v>
      </c>
      <c r="B601" s="26" t="str">
        <f t="array" ref="B601">_xlfn.XLOOKUP(
 A601,
 tblTargets[TargetID],
 tblTargets[DisplayName],
 ""
)</f>
        <v>Workshop - Explosive Mechanical Spider</v>
      </c>
      <c r="C601" s="26" t="str">
        <f t="shared" si="1"/>
        <v>BLOCKED</v>
      </c>
      <c r="D601" s="26" t="b">
        <f>IFERROR(__xludf.DUMMYFUNCTION("LET(
 id,A601,
 IF(
  F601=""CHARACTER"",
  LET(
   base,REGEXREPLACE(id,""@\d+$"",""""),
   required,VALUE(REGEXEXTRACT(id,""@(\d+)$"")),
   current,XLOOKUP(
    base,
    tblPlayer[PlayerStateID],
    tblPlayer[Value],
    0
   ),
   current&gt;=required
 "&amp;" ),
  IF(
   T601=""AUTO"",
   L601=0,
   COUNTIFS(
    tblChecklist[TargetID],id,
    tblChecklist[PlayerCompleted],TRUE
   )&gt;0
  )
 )
)"),FALSE)</f>
        <v>0</v>
      </c>
      <c r="E601" s="26" t="str">
        <f t="array" ref="E601">_xlfn.XLOOKUP(
 A601,
 tblTargets[TargetID],
 tblTargets[TargetType],
 ""
)</f>
        <v>TECH</v>
      </c>
      <c r="F601" s="26" t="str">
        <f t="array" ref="F601">_xlfn.XLOOKUP(
 A601,
 tblTargets[TargetID],
 tblTargets[StateType],
 ""
)</f>
        <v/>
      </c>
      <c r="G601" s="26">
        <f>LET(
 id,A601,
 depCount,COUNTIF(tblDependencies[TargetID],id),
 objCount,COUNTIF(tblQuestObjectives[QuestTargetID],id),
 depCount+objCount
)</f>
        <v>2</v>
      </c>
      <c r="H601" s="26">
        <f t="shared" si="2"/>
        <v>2</v>
      </c>
      <c r="I601" s="26">
        <f>IFERROR(__xludf.DUMMYFUNCTION("LET(
 id,A601,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1" s="26">
        <f t="shared" si="3"/>
        <v>0</v>
      </c>
      <c r="K601" s="26" t="b">
        <f t="shared" si="4"/>
        <v>0</v>
      </c>
      <c r="L601" s="26">
        <f t="shared" si="5"/>
        <v>2</v>
      </c>
      <c r="M601" s="26" t="str">
        <f>IFERROR(__xludf.DUMMYFUNCTION("LET(
 id,A601,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L601=0,
  """",
  IFERROR(INDEX(incomplete,1),"""")"&amp;"
 )
)"),"tech.workshop.mechanical_spider")</f>
        <v>tech.workshop.mechanical_spider</v>
      </c>
      <c r="N601" s="26" t="str">
        <f t="array" ref="N601">IF(
 M601="",
 "",
 _xlfn.XLOOKUP(
  M601,
  tblTargets[TargetID],
  tblTargets[DisplayName],
  M601
 )
)</f>
        <v>Workshop - Mechanical Spider</v>
      </c>
      <c r="O601" s="26" t="str">
        <f>IFERROR(__xludf.DUMMYFUNCTION("SWITCH(
 E601,
 ""BUILDING"",XLOOKUP(A601,tblBuildings[BuildingID],tblBuildings[costtext],""""),
 ""TECH"",XLOOKUP(A601,tblTechnologies[TechnologyID],tblTechnologies[costtext],""""),
 ""QUEST"",XLOOKUP(
  REGEXREPLACE(A601,""\.[^.]+$"",""""),
  tblQuests["&amp;"QuestID],
  tblQuests[Costtext],
  """"
 ),
 ""CITADEL"",XLOOKUP(A601,tblCitadel[CitadelID],tblCitadel[costtext],""""),
 ""COLLECTION"",XLOOKUP(A601,tblCollections[CollectionID],tblCollections[costtext],""""),
 ""CRAFTIFACT"",XLOOKUP(A601,tblCraftifacts[C"&amp;"raftifactID],tblCraftifacts[costtext],""""),
 """"
)"),"15 blueprint,400 coin,20 greek,10 mechanism,3 mspider,2 ruby")</f>
        <v>15 blueprint,400 coin,20 greek,10 mechanism,3 mspider,2 ruby</v>
      </c>
      <c r="P601" s="26" t="str">
        <f t="shared" si="6"/>
        <v>BLOCKED</v>
      </c>
      <c r="Q601" s="26" t="str">
        <f t="shared" si="7"/>
        <v>BLOCKED</v>
      </c>
      <c r="R601" s="26" t="str">
        <f t="array" ref="R601">IFERROR(
 _xlfn.XLOOKUP(
  A601,
  tblChecklist[TargetID],
  tblChecklist[PlayerSort],
  ""
 ),
 ""
)</f>
        <v/>
      </c>
      <c r="S601" s="26" t="str">
        <f>IFERROR(__xludf.DUMMYFUNCTION("LET(
 id,A601,
 successorIDs,
  IFERROR(
   UNIQUE(
    FILTER(
     {
      Dependencies!$A$2:$A$1000;
      QuestObjectives!$A$2:$A$1000
     },
     {
      Dependencies!$B$2:$B$1000;
      QuestObjectives!$E$2:$E$1000
     }=id
    )
   ),
   """"
  )"&amp;",
 names,
  MAP(
   successorIDs,
   LAMBDA(s,
    IF(
     s="""",
     """",
     XLOOKUP(
      s,
      $A$2:$A$1000,
      $B$2:$B$1000,
      s
     )
    )
   )
  ),
 IF(
  successorIDs="""",
  """",
  TEXTJOIN("", "",TRUE,names)
 )
)"),"")</f>
        <v/>
      </c>
      <c r="T601" s="26" t="str">
        <f t="array" ref="T601">_xlfn.XLOOKUP(
 A601,
 tblTargets[TargetID],
 tblTargets[CompletionMethod],
 ""
)</f>
        <v>PLAYER</v>
      </c>
      <c r="U601" s="84" t="b">
        <f>COUNTIF(tblCost[TargetID],A601)&gt;0</f>
        <v>1</v>
      </c>
      <c r="V601" s="85">
        <f t="array" ref="V601">IF(
 U601=FALSE,
 "",
 _xlfn.XLOOKUP(
  A601,
  tblCost[TargetID],
  tblCost[FundingPercent],
  ""
 )
)</f>
        <v>0</v>
      </c>
      <c r="W601" s="26">
        <f t="array" ref="W601">IF(
 U601=FALSE,
 "",
 _xlfn.XLOOKUP(
  A601,
  tblCost[TargetID],
  tblCost[RemainingRequirements],
  ""
 )
)</f>
        <v>6</v>
      </c>
      <c r="X601" s="45" t="b">
        <f t="array" ref="X601">IF(
 U601=FALSE,
 "N/A",
 _xlfn.XLOOKUP(
  A602,
  tblCost[TargetID],
  tblCost[TargetFunded],
  FALSE
 )
)</f>
        <v>0</v>
      </c>
      <c r="Y601" s="26" t="str">
        <f>IFERROR(__xludf.DUMMYFUNCTION("IFERROR(
 TEXTJOIN(
  "", "",
  TRUE,
  FILTER(
   'cost checklist'!$E$2:$E1000&amp;"": ""&amp;'cost checklist'!$G$2:$G1000,
   'cost checklist'!$B$2:$B1000=A601,
   'cost checklist'!$J$2:$J1000=FALSE
  )
 ),
 """"
)"),"blueprint: 15, coin: 400, greek: 20, mechanism: 10, mspider: 3, ruby: 2")</f>
        <v>blueprint: 15, coin: 400, greek: 20, mechanism: 10, mspider: 3, ruby: 2</v>
      </c>
      <c r="Z601" s="26" t="b">
        <f>IFERROR(__xludf.DUMMYFUNCTION("IF(
 AND(
  E601=""QUEST"",
  RIGHT(A601,9)="".accepted"",
  D601=TRUE
 ),
 XLOOKUP(
  REGEXREPLACE(A601,""\.accepted$"","""")&amp;"".finished"",
  $A$2:$A1000,
  $D$2:$D1000,
  TRUE
 )=FALSE,
 FALSE
)"),FALSE)</f>
        <v>0</v>
      </c>
      <c r="AA601" s="26" t="str">
        <f>IFERROR(__xludf.DUMMYFUNCTION("LET(
 id,A601,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2" ht="14.25" customHeight="1">
      <c r="A602" s="26" t="s">
        <v>1898</v>
      </c>
      <c r="B602" s="26" t="str">
        <f t="array" ref="B602">_xlfn.XLOOKUP(
 A602,
 tblTargets[TargetID],
 tblTargets[DisplayName],
 ""
)</f>
        <v>Workshop - Mechanical Spider</v>
      </c>
      <c r="C602" s="26" t="str">
        <f t="shared" si="1"/>
        <v>BLOCKED</v>
      </c>
      <c r="D602" s="26" t="b">
        <f>IFERROR(__xludf.DUMMYFUNCTION("LET(
 id,A602,
 IF(
  F602=""CHARACTER"",
  LET(
   base,REGEXREPLACE(id,""@\d+$"",""""),
   required,VALUE(REGEXEXTRACT(id,""@(\d+)$"")),
   current,XLOOKUP(
    base,
    tblPlayer[PlayerStateID],
    tblPlayer[Value],
    0
   ),
   current&gt;=required
 "&amp;" ),
  IF(
   T602=""AUTO"",
   L602=0,
   COUNTIFS(
    tblChecklist[TargetID],id,
    tblChecklist[PlayerCompleted],TRUE
   )&gt;0
  )
 )
)"),FALSE)</f>
        <v>0</v>
      </c>
      <c r="E602" s="26" t="str">
        <f t="array" ref="E602">_xlfn.XLOOKUP(
 A602,
 tblTargets[TargetID],
 tblTargets[TargetType],
 ""
)</f>
        <v>TECH</v>
      </c>
      <c r="F602" s="26" t="str">
        <f t="array" ref="F602">_xlfn.XLOOKUP(
 A602,
 tblTargets[TargetID],
 tblTargets[StateType],
 ""
)</f>
        <v/>
      </c>
      <c r="G602" s="26">
        <f>LET(
 id,A602,
 depCount,COUNTIF(tblDependencies[TargetID],id),
 objCount,COUNTIF(tblQuestObjectives[QuestTargetID],id),
 depCount+objCount
)</f>
        <v>2</v>
      </c>
      <c r="H602" s="26">
        <f t="shared" si="2"/>
        <v>2</v>
      </c>
      <c r="I602" s="26">
        <f>IFERROR(__xludf.DUMMYFUNCTION("LET(
 id,A602,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2" s="26">
        <f t="shared" si="3"/>
        <v>0</v>
      </c>
      <c r="K602" s="26" t="b">
        <f t="shared" si="4"/>
        <v>0</v>
      </c>
      <c r="L602" s="26">
        <f t="shared" si="5"/>
        <v>2</v>
      </c>
      <c r="M602" s="26" t="str">
        <f>IFERROR(__xludf.DUMMYFUNCTION("LET(
 id,A602,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L602=0,
  """",
  IFERROR(INDEX(incomplete,1),"""")"&amp;"
 )
)"),"tech.workshop.mechanism")</f>
        <v>tech.workshop.mechanism</v>
      </c>
      <c r="N602" s="26" t="str">
        <f t="array" ref="N602">IF(
 M602="",
 "",
 _xlfn.XLOOKUP(
  M602,
  tblTargets[TargetID],
  tblTargets[DisplayName],
  M602
 )
)</f>
        <v>Workshop - Mechanism</v>
      </c>
      <c r="O602" s="26" t="str">
        <f>IFERROR(__xludf.DUMMYFUNCTION("SWITCH(
 E602,
 ""BUILDING"",XLOOKUP(A602,tblBuildings[BuildingID],tblBuildings[costtext],""""),
 ""TECH"",XLOOKUP(A602,tblTechnologies[TechnologyID],tblTechnologies[costtext],""""),
 ""QUEST"",XLOOKUP(
  REGEXREPLACE(A602,""\.[^.]+$"",""""),
  tblQuests["&amp;"QuestID],
  tblQuests[Costtext],
  """"
 ),
 ""CITADEL"",XLOOKUP(A602,tblCitadel[CitadelID],tblCitadel[costtext],""""),
 ""COLLECTION"",XLOOKUP(A602,tblCollections[CollectionID],tblCollections[costtext],""""),
 ""CRAFTIFACT"",XLOOKUP(A602,tblCraftifacts[C"&amp;"raftifactID],tblCraftifacts[costtext],""""),
 """"
)"),"30 blueprint,1000 coin,15 mechanism,20 msteel,5 ruby")</f>
        <v>30 blueprint,1000 coin,15 mechanism,20 msteel,5 ruby</v>
      </c>
      <c r="P602" s="26" t="str">
        <f t="shared" si="6"/>
        <v>BLOCKED</v>
      </c>
      <c r="Q602" s="26" t="str">
        <f t="shared" si="7"/>
        <v>BLOCKED</v>
      </c>
      <c r="R602" s="26" t="str">
        <f t="array" ref="R602">IFERROR(
 _xlfn.XLOOKUP(
  A602,
  tblChecklist[TargetID],
  tblChecklist[PlayerSort],
  ""
 ),
 ""
)</f>
        <v/>
      </c>
      <c r="S602" s="26" t="str">
        <f>IFERROR(__xludf.DUMMYFUNCTION("LET(
 id,A602,
 successorIDs,
  IFERROR(
   UNIQUE(
    FILTER(
     {
      Dependencies!$A$2:$A$1000;
      QuestObjectives!$A$2:$A$1000
     },
     {
      Dependencies!$B$2:$B$1000;
      QuestObjectives!$E$2:$E$1000
     }=id
    )
   ),
   """"
  )"&amp;",
 names,
  MAP(
   successorIDs,
   LAMBDA(s,
    IF(
     s="""",
     """",
     XLOOKUP(
      s,
      $A$2:$A$1000,
      $B$2:$B$1000,
      s
     )
    )
   )
  ),
 IF(
  successorIDs="""",
  """",
  TEXTJOIN("", "",TRUE,names)
 )
)"),"Workshop - Explosive Mechanical Spider")</f>
        <v>Workshop - Explosive Mechanical Spider</v>
      </c>
      <c r="T602" s="26" t="str">
        <f t="array" ref="T602">_xlfn.XLOOKUP(
 A602,
 tblTargets[TargetID],
 tblTargets[CompletionMethod],
 ""
)</f>
        <v>PLAYER</v>
      </c>
      <c r="U602" s="84" t="b">
        <f>COUNTIF(tblCost[TargetID],A602)&gt;0</f>
        <v>1</v>
      </c>
      <c r="V602" s="85">
        <f t="array" ref="V602">IF(
 U602=FALSE,
 "",
 _xlfn.XLOOKUP(
  A602,
  tblCost[TargetID],
  tblCost[FundingPercent],
  ""
 )
)</f>
        <v>0</v>
      </c>
      <c r="W602" s="26">
        <f t="array" ref="W602">IF(
 U602=FALSE,
 "",
 _xlfn.XLOOKUP(
  A602,
  tblCost[TargetID],
  tblCost[RemainingRequirements],
  ""
 )
)</f>
        <v>5</v>
      </c>
      <c r="X602" s="45" t="b">
        <f t="array" ref="X602">IF(
 U602=FALSE,
 "N/A",
 _xlfn.XLOOKUP(
  A603,
  tblCost[TargetID],
  tblCost[TargetFunded],
  FALSE
 )
)</f>
        <v>0</v>
      </c>
      <c r="Y602" s="26" t="str">
        <f>IFERROR(__xludf.DUMMYFUNCTION("IFERROR(
 TEXTJOIN(
  "", "",
  TRUE,
  FILTER(
   'cost checklist'!$E$2:$E1000&amp;"": ""&amp;'cost checklist'!$G$2:$G1000,
   'cost checklist'!$B$2:$B1000=A602,
   'cost checklist'!$J$2:$J1000=FALSE
  )
 ),
 """"
)"),"blueprint: 30, coin: 1000, mechanism: 15, msteel: 20, ruby: 5")</f>
        <v>blueprint: 30, coin: 1000, mechanism: 15, msteel: 20, ruby: 5</v>
      </c>
      <c r="Z602" s="26" t="b">
        <f>IFERROR(__xludf.DUMMYFUNCTION("IF(
 AND(
  E602=""QUEST"",
  RIGHT(A602,9)="".accepted"",
  D602=TRUE
 ),
 XLOOKUP(
  REGEXREPLACE(A602,""\.accepted$"","""")&amp;"".finished"",
  $A$2:$A1000,
  $D$2:$D1000,
  TRUE
 )=FALSE,
 FALSE
)"),FALSE)</f>
        <v>0</v>
      </c>
      <c r="AA602" s="26" t="str">
        <f>IFERROR(__xludf.DUMMYFUNCTION("LET(
 id,A602,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3" ht="14.25" customHeight="1">
      <c r="A603" s="26" t="s">
        <v>1900</v>
      </c>
      <c r="B603" s="26" t="str">
        <f t="array" ref="B603">_xlfn.XLOOKUP(
 A603,
 tblTargets[TargetID],
 tblTargets[DisplayName],
 ""
)</f>
        <v>Workshop - Mechanism</v>
      </c>
      <c r="C603" s="26" t="str">
        <f t="shared" si="1"/>
        <v>BLOCKED</v>
      </c>
      <c r="D603" s="26" t="b">
        <f>IFERROR(__xludf.DUMMYFUNCTION("LET(
 id,A603,
 IF(
  F603=""CHARACTER"",
  LET(
   base,REGEXREPLACE(id,""@\d+$"",""""),
   required,VALUE(REGEXEXTRACT(id,""@(\d+)$"")),
   current,XLOOKUP(
    base,
    tblPlayer[PlayerStateID],
    tblPlayer[Value],
    0
   ),
   current&gt;=required
 "&amp;" ),
  IF(
   T603=""AUTO"",
   L603=0,
   COUNTIFS(
    tblChecklist[TargetID],id,
    tblChecklist[PlayerCompleted],TRUE
   )&gt;0
  )
 )
)"),FALSE)</f>
        <v>0</v>
      </c>
      <c r="E603" s="26" t="str">
        <f t="array" ref="E603">_xlfn.XLOOKUP(
 A603,
 tblTargets[TargetID],
 tblTargets[TargetType],
 ""
)</f>
        <v>TECH</v>
      </c>
      <c r="F603" s="26" t="str">
        <f t="array" ref="F603">_xlfn.XLOOKUP(
 A603,
 tblTargets[TargetID],
 tblTargets[StateType],
 ""
)</f>
        <v/>
      </c>
      <c r="G603" s="26">
        <f>LET(
 id,A603,
 depCount,COUNTIF(tblDependencies[TargetID],id),
 objCount,COUNTIF(tblQuestObjectives[QuestTargetID],id),
 depCount+objCount
)</f>
        <v>1</v>
      </c>
      <c r="H603" s="26">
        <f t="shared" si="2"/>
        <v>1</v>
      </c>
      <c r="I603" s="26">
        <f>IFERROR(__xludf.DUMMYFUNCTION("LET(
 id,A603,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3" s="26">
        <f t="shared" si="3"/>
        <v>0</v>
      </c>
      <c r="K603" s="26" t="b">
        <f t="shared" si="4"/>
        <v>0</v>
      </c>
      <c r="L603" s="26">
        <f t="shared" si="5"/>
        <v>1</v>
      </c>
      <c r="M603" s="26" t="str">
        <f>IFERROR(__xludf.DUMMYFUNCTION("LET(
 id,A603,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L603=0,
  """",
  IFERROR(INDEX(incomplete,1),"""")"&amp;"
 )
)"),"building.workshop.maxed")</f>
        <v>building.workshop.maxed</v>
      </c>
      <c r="N603" s="26" t="str">
        <f t="array" ref="N603">IF(
 M603="",
 "",
 _xlfn.XLOOKUP(
  M603,
  tblTargets[TargetID],
  tblTargets[DisplayName],
  M603
 )
)</f>
        <v>workshop maxed</v>
      </c>
      <c r="O603" s="26" t="str">
        <f>IFERROR(__xludf.DUMMYFUNCTION("SWITCH(
 E603,
 ""BUILDING"",XLOOKUP(A603,tblBuildings[BuildingID],tblBuildings[costtext],""""),
 ""TECH"",XLOOKUP(A603,tblTechnologies[TechnologyID],tblTechnologies[costtext],""""),
 ""QUEST"",XLOOKUP(
  REGEXREPLACE(A603,""\.[^.]+$"",""""),
  tblQuests["&amp;"QuestID],
  tblQuests[Costtext],
  """"
 ),
 ""CITADEL"",XLOOKUP(A603,tblCitadel[CitadelID],tblCitadel[costtext],""""),
 ""COLLECTION"",XLOOKUP(A603,tblCollections[CollectionID],tblCollections[costtext],""""),
 ""CRAFTIFACT"",XLOOKUP(A603,tblCraftifacts[C"&amp;"raftifactID],tblCraftifacts[costtext],""""),
 """"
)"),"30 blueprint,700 coin,30 gears,10 msteel,3 ruby")</f>
        <v>30 blueprint,700 coin,30 gears,10 msteel,3 ruby</v>
      </c>
      <c r="P603" s="26" t="str">
        <f t="shared" si="6"/>
        <v>BLOCKED</v>
      </c>
      <c r="Q603" s="26" t="str">
        <f t="shared" si="7"/>
        <v>BLOCKED</v>
      </c>
      <c r="R603" s="26" t="str">
        <f t="array" ref="R603">IFERROR(
 _xlfn.XLOOKUP(
  A603,
  tblChecklist[TargetID],
  tblChecklist[PlayerSort],
  ""
 ),
 ""
)</f>
        <v/>
      </c>
      <c r="S603" s="26" t="str">
        <f>IFERROR(__xludf.DUMMYFUNCTION("LET(
 id,A603,
 successorIDs,
  IFERROR(
   UNIQUE(
    FILTER(
     {
      Dependencies!$A$2:$A$1000;
      QuestObjectives!$A$2:$A$1000
     },
     {
      Dependencies!$B$2:$B$1000;
      QuestObjectives!$E$2:$E$1000
     }=id
    )
   ),
   """"
  )"&amp;",
 names,
  MAP(
   successorIDs,
   LAMBDA(s,
    IF(
     s="""",
     """",
     XLOOKUP(
      s,
      $A$2:$A$1000,
      $B$2:$B$1000,
      s
     )
    )
   )
  ),
 IF(
  successorIDs="""",
  """",
  TEXTJOIN("", "",TRUE,names)
 )
)"),"Field - Seed Drill, Workshop - Mechanical Spider, Workshop - Steamobile")</f>
        <v>Field - Seed Drill, Workshop - Mechanical Spider, Workshop - Steamobile</v>
      </c>
      <c r="T603" s="26" t="str">
        <f t="array" ref="T603">_xlfn.XLOOKUP(
 A603,
 tblTargets[TargetID],
 tblTargets[CompletionMethod],
 ""
)</f>
        <v>PLAYER</v>
      </c>
      <c r="U603" s="84" t="b">
        <f>COUNTIF(tblCost[TargetID],A603)&gt;0</f>
        <v>1</v>
      </c>
      <c r="V603" s="85">
        <f t="array" ref="V603">IF(
 U603=FALSE,
 "",
 _xlfn.XLOOKUP(
  A603,
  tblCost[TargetID],
  tblCost[FundingPercent],
  ""
 )
)</f>
        <v>0</v>
      </c>
      <c r="W603" s="26">
        <f t="array" ref="W603">IF(
 U603=FALSE,
 "",
 _xlfn.XLOOKUP(
  A603,
  tblCost[TargetID],
  tblCost[RemainingRequirements],
  ""
 )
)</f>
        <v>5</v>
      </c>
      <c r="X603" s="45" t="b">
        <f t="array" ref="X603">IF(
 U603=FALSE,
 "N/A",
 _xlfn.XLOOKUP(
  A604,
  tblCost[TargetID],
  tblCost[TargetFunded],
  FALSE
 )
)</f>
        <v>0</v>
      </c>
      <c r="Y603" s="26" t="str">
        <f>IFERROR(__xludf.DUMMYFUNCTION("IFERROR(
 TEXTJOIN(
  "", "",
  TRUE,
  FILTER(
   'cost checklist'!$E$2:$E1000&amp;"": ""&amp;'cost checklist'!$G$2:$G1000,
   'cost checklist'!$B$2:$B1000=A603,
   'cost checklist'!$J$2:$J1000=FALSE
  )
 ),
 """"
)"),"blueprint: 30, coin: 700, gears: 30, msteel: 10, ruby: 3")</f>
        <v>blueprint: 30, coin: 700, gears: 30, msteel: 10, ruby: 3</v>
      </c>
      <c r="Z603" s="26" t="b">
        <f>IFERROR(__xludf.DUMMYFUNCTION("IF(
 AND(
  E603=""QUEST"",
  RIGHT(A603,9)="".accepted"",
  D603=TRUE
 ),
 XLOOKUP(
  REGEXREPLACE(A603,""\.accepted$"","""")&amp;"".finished"",
  $A$2:$A1000,
  $D$2:$D1000,
  TRUE
 )=FALSE,
 FALSE
)"),FALSE)</f>
        <v>0</v>
      </c>
      <c r="AA603" s="26" t="str">
        <f>IFERROR(__xludf.DUMMYFUNCTION("LET(
 id,A603,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4" ht="14.25" customHeight="1">
      <c r="A604" s="26" t="s">
        <v>1902</v>
      </c>
      <c r="B604" s="26" t="str">
        <f t="array" ref="B604">_xlfn.XLOOKUP(
 A604,
 tblTargets[TargetID],
 tblTargets[DisplayName],
 ""
)</f>
        <v>Workshop - Shield For A Hero Lvl 1</v>
      </c>
      <c r="C604" s="26" t="str">
        <f t="shared" si="1"/>
        <v>BLOCKED</v>
      </c>
      <c r="D604" s="26" t="b">
        <f>IFERROR(__xludf.DUMMYFUNCTION("LET(
 id,A604,
 IF(
  F604=""CHARACTER"",
  LET(
   base,REGEXREPLACE(id,""@\d+$"",""""),
   required,VALUE(REGEXEXTRACT(id,""@(\d+)$"")),
   current,XLOOKUP(
    base,
    tblPlayer[PlayerStateID],
    tblPlayer[Value],
    0
   ),
   current&gt;=required
 "&amp;" ),
  IF(
   T604=""AUTO"",
   L604=0,
   COUNTIFS(
    tblChecklist[TargetID],id,
    tblChecklist[PlayerCompleted],TRUE
   )&gt;0
  )
 )
)"),FALSE)</f>
        <v>0</v>
      </c>
      <c r="E604" s="26" t="str">
        <f t="array" ref="E604">_xlfn.XLOOKUP(
 A604,
 tblTargets[TargetID],
 tblTargets[TargetType],
 ""
)</f>
        <v>TECH</v>
      </c>
      <c r="F604" s="26" t="str">
        <f t="array" ref="F604">_xlfn.XLOOKUP(
 A604,
 tblTargets[TargetID],
 tblTargets[StateType],
 ""
)</f>
        <v/>
      </c>
      <c r="G604" s="26">
        <f>LET(
 id,A604,
 depCount,COUNTIF(tblDependencies[TargetID],id),
 objCount,COUNTIF(tblQuestObjectives[QuestTargetID],id),
 depCount+objCount
)</f>
        <v>1</v>
      </c>
      <c r="H604" s="26">
        <f t="shared" si="2"/>
        <v>1</v>
      </c>
      <c r="I604" s="26">
        <f>IFERROR(__xludf.DUMMYFUNCTION("LET(
 id,A604,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4" s="26">
        <f t="shared" si="3"/>
        <v>0</v>
      </c>
      <c r="K604" s="26" t="b">
        <f t="shared" si="4"/>
        <v>0</v>
      </c>
      <c r="L604" s="26">
        <f t="shared" si="5"/>
        <v>1</v>
      </c>
      <c r="M604" s="26" t="str">
        <f>IFERROR(__xludf.DUMMYFUNCTION("LET(
 id,A604,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L604=0,
  """",
  IFERROR(INDEX(incomplete,1),"""")"&amp;"
 )
)"),"building.workshop.maxed")</f>
        <v>building.workshop.maxed</v>
      </c>
      <c r="N604" s="26" t="str">
        <f t="array" ref="N604">IF(
 M604="",
 "",
 _xlfn.XLOOKUP(
  M604,
  tblTargets[TargetID],
  tblTargets[DisplayName],
  M604
 )
)</f>
        <v>workshop maxed</v>
      </c>
      <c r="O604" s="26" t="str">
        <f>IFERROR(__xludf.DUMMYFUNCTION("SWITCH(
 E604,
 ""BUILDING"",XLOOKUP(A604,tblBuildings[BuildingID],tblBuildings[costtext],""""),
 ""TECH"",XLOOKUP(A604,tblTechnologies[TechnologyID],tblTechnologies[costtext],""""),
 ""QUEST"",XLOOKUP(
  REGEXREPLACE(A604,""\.[^.]+$"",""""),
  tblQuests["&amp;"QuestID],
  tblQuests[Costtext],
  """"
 ),
 ""CITADEL"",XLOOKUP(A604,tblCitadel[CitadelID],tblCitadel[costtext],""""),
 ""COLLECTION"",XLOOKUP(A604,tblCollections[CollectionID],tblCollections[costtext],""""),
 ""CRAFTIFACT"",XLOOKUP(A604,tblCraftifacts[C"&amp;"raftifactID],tblCraftifacts[costtext],""""),
 """"
)"),"50 beam,300 coin,40 miron,20 page,2 ruby")</f>
        <v>50 beam,300 coin,40 miron,20 page,2 ruby</v>
      </c>
      <c r="P604" s="26" t="str">
        <f t="shared" si="6"/>
        <v>BLOCKED</v>
      </c>
      <c r="Q604" s="26" t="str">
        <f t="shared" si="7"/>
        <v>BLOCKED</v>
      </c>
      <c r="R604" s="26" t="str">
        <f t="array" ref="R604">IFERROR(
 _xlfn.XLOOKUP(
  A604,
  tblChecklist[TargetID],
  tblChecklist[PlayerSort],
  ""
 ),
 ""
)</f>
        <v/>
      </c>
      <c r="S604" s="26" t="str">
        <f>IFERROR(__xludf.DUMMYFUNCTION("LET(
 id,A604,
 successorIDs,
  IFERROR(
   UNIQUE(
    FILTER(
     {
      Dependencies!$A$2:$A$1000;
      QuestObjectives!$A$2:$A$1000
     },
     {
      Dependencies!$B$2:$B$1000;
      QuestObjectives!$E$2:$E$1000
     }=id
    )
   ),
   """"
  )"&amp;",
 names,
  MAP(
   successorIDs,
   LAMBDA(s,
    IF(
     s="""",
     """",
     XLOOKUP(
      s,
      $A$2:$A$1000,
      $B$2:$B$1000,
      s
     )
    )
   )
  ),
 IF(
  successorIDs="""",
  """",
  TEXTJOIN("", "",TRUE,names)
 )
)"),"Workshop - Shield For A Hero Lvl 2, Workshop - Strong Glue")</f>
        <v>Workshop - Shield For A Hero Lvl 2, Workshop - Strong Glue</v>
      </c>
      <c r="T604" s="26" t="str">
        <f t="array" ref="T604">_xlfn.XLOOKUP(
 A604,
 tblTargets[TargetID],
 tblTargets[CompletionMethod],
 ""
)</f>
        <v>PLAYER</v>
      </c>
      <c r="U604" s="84" t="b">
        <f>COUNTIF(tblCost[TargetID],A604)&gt;0</f>
        <v>1</v>
      </c>
      <c r="V604" s="85">
        <f t="array" ref="V604">IF(
 U604=FALSE,
 "",
 _xlfn.XLOOKUP(
  A604,
  tblCost[TargetID],
  tblCost[FundingPercent],
  ""
 )
)</f>
        <v>0</v>
      </c>
      <c r="W604" s="26">
        <f t="array" ref="W604">IF(
 U604=FALSE,
 "",
 _xlfn.XLOOKUP(
  A604,
  tblCost[TargetID],
  tblCost[RemainingRequirements],
  ""
 )
)</f>
        <v>5</v>
      </c>
      <c r="X604" s="45" t="b">
        <f t="array" ref="X604">IF(
 U604=FALSE,
 "N/A",
 _xlfn.XLOOKUP(
  A605,
  tblCost[TargetID],
  tblCost[TargetFunded],
  FALSE
 )
)</f>
        <v>0</v>
      </c>
      <c r="Y604" s="26" t="str">
        <f>IFERROR(__xludf.DUMMYFUNCTION("IFERROR(
 TEXTJOIN(
  "", "",
  TRUE,
  FILTER(
   'cost checklist'!$E$2:$E1000&amp;"": ""&amp;'cost checklist'!$G$2:$G1000,
   'cost checklist'!$B$2:$B1000=A604,
   'cost checklist'!$J$2:$J1000=FALSE
  )
 ),
 """"
)"),"beam: 50, coin: 300, miron: 40, page: 20, ruby: 2")</f>
        <v>beam: 50, coin: 300, miron: 40, page: 20, ruby: 2</v>
      </c>
      <c r="Z604" s="26" t="b">
        <f>IFERROR(__xludf.DUMMYFUNCTION("IF(
 AND(
  E604=""QUEST"",
  RIGHT(A604,9)="".accepted"",
  D604=TRUE
 ),
 XLOOKUP(
  REGEXREPLACE(A604,""\.accepted$"","""")&amp;"".finished"",
  $A$2:$A1000,
  $D$2:$D1000,
  TRUE
 )=FALSE,
 FALSE
)"),FALSE)</f>
        <v>0</v>
      </c>
      <c r="AA604" s="26" t="str">
        <f>IFERROR(__xludf.DUMMYFUNCTION("LET(
 id,A604,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5" ht="14.25" customHeight="1">
      <c r="A605" s="26" t="s">
        <v>1904</v>
      </c>
      <c r="B605" s="26" t="str">
        <f t="array" ref="B605">_xlfn.XLOOKUP(
 A605,
 tblTargets[TargetID],
 tblTargets[DisplayName],
 ""
)</f>
        <v>Workshop - Shield For A Hero Lvl 2</v>
      </c>
      <c r="C605" s="26" t="str">
        <f t="shared" si="1"/>
        <v>BLOCKED</v>
      </c>
      <c r="D605" s="26" t="b">
        <f>IFERROR(__xludf.DUMMYFUNCTION("LET(
 id,A605,
 IF(
  F605=""CHARACTER"",
  LET(
   base,REGEXREPLACE(id,""@\d+$"",""""),
   required,VALUE(REGEXEXTRACT(id,""@(\d+)$"")),
   current,XLOOKUP(
    base,
    tblPlayer[PlayerStateID],
    tblPlayer[Value],
    0
   ),
   current&gt;=required
 "&amp;" ),
  IF(
   T605=""AUTO"",
   L605=0,
   COUNTIFS(
    tblChecklist[TargetID],id,
    tblChecklist[PlayerCompleted],TRUE
   )&gt;0
  )
 )
)"),FALSE)</f>
        <v>0</v>
      </c>
      <c r="E605" s="26" t="str">
        <f t="array" ref="E605">_xlfn.XLOOKUP(
 A605,
 tblTargets[TargetID],
 tblTargets[TargetType],
 ""
)</f>
        <v>TECH</v>
      </c>
      <c r="F605" s="26" t="str">
        <f t="array" ref="F605">_xlfn.XLOOKUP(
 A605,
 tblTargets[TargetID],
 tblTargets[StateType],
 ""
)</f>
        <v/>
      </c>
      <c r="G605" s="26">
        <f>LET(
 id,A605,
 depCount,COUNTIF(tblDependencies[TargetID],id),
 objCount,COUNTIF(tblQuestObjectives[QuestTargetID],id),
 depCount+objCount
)</f>
        <v>2</v>
      </c>
      <c r="H605" s="26">
        <f t="shared" si="2"/>
        <v>2</v>
      </c>
      <c r="I605" s="26">
        <f>IFERROR(__xludf.DUMMYFUNCTION("LET(
 id,A605,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5" s="26">
        <f t="shared" si="3"/>
        <v>0</v>
      </c>
      <c r="K605" s="26" t="b">
        <f t="shared" si="4"/>
        <v>0</v>
      </c>
      <c r="L605" s="26">
        <f t="shared" si="5"/>
        <v>2</v>
      </c>
      <c r="M605" s="26" t="str">
        <f>IFERROR(__xludf.DUMMYFUNCTION("LET(
 id,A605,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L605=0,
  """",
  IFERROR(INDEX(incomplete,1),"""")"&amp;"
 )
)"),"tech.workshop.shield_for_a_hero_lvl_1")</f>
        <v>tech.workshop.shield_for_a_hero_lvl_1</v>
      </c>
      <c r="N605" s="26" t="str">
        <f t="array" ref="N605">IF(
 M605="",
 "",
 _xlfn.XLOOKUP(
  M605,
  tblTargets[TargetID],
  tblTargets[DisplayName],
  M605
 )
)</f>
        <v>Workshop - Shield For A Hero Lvl 1</v>
      </c>
      <c r="O605" s="26" t="str">
        <f>IFERROR(__xludf.DUMMYFUNCTION("SWITCH(
 E605,
 ""BUILDING"",XLOOKUP(A605,tblBuildings[BuildingID],tblBuildings[costtext],""""),
 ""TECH"",XLOOKUP(A605,tblTechnologies[TechnologyID],tblTechnologies[costtext],""""),
 ""QUEST"",XLOOKUP(
  REGEXREPLACE(A605,""\.[^.]+$"",""""),
  tblQuests["&amp;"QuestID],
  tblQuests[Costtext],
  """"
 ),
 ""CITADEL"",XLOOKUP(A605,tblCitadel[CitadelID],tblCitadel[costtext],""""),
 ""COLLECTION"",XLOOKUP(A605,tblCollections[CollectionID],tblCollections[costtext],""""),
 ""CRAFTIFACT"",XLOOKUP(A605,tblCraftifacts[C"&amp;"raftifactID],tblCraftifacts[costtext],""""),
 """"
)"),"15 blueprint,500 coin,40 msteel,100 plank,3 ruby")</f>
        <v>15 blueprint,500 coin,40 msteel,100 plank,3 ruby</v>
      </c>
      <c r="P605" s="26" t="str">
        <f t="shared" si="6"/>
        <v>BLOCKED</v>
      </c>
      <c r="Q605" s="26" t="str">
        <f t="shared" si="7"/>
        <v>BLOCKED</v>
      </c>
      <c r="R605" s="26" t="str">
        <f t="array" ref="R605">IFERROR(
 _xlfn.XLOOKUP(
  A605,
  tblChecklist[TargetID],
  tblChecklist[PlayerSort],
  ""
 ),
 ""
)</f>
        <v/>
      </c>
      <c r="S605" s="26" t="str">
        <f>IFERROR(__xludf.DUMMYFUNCTION("LET(
 id,A605,
 successorIDs,
  IFERROR(
   UNIQUE(
    FILTER(
     {
      Dependencies!$A$2:$A$1000;
      QuestObjectives!$A$2:$A$1000
     },
     {
      Dependencies!$B$2:$B$1000;
      QuestObjectives!$E$2:$E$1000
     }=id
    )
   ),
   """"
  )"&amp;",
 names,
  MAP(
   successorIDs,
   LAMBDA(s,
    IF(
     s="""",
     """",
     XLOOKUP(
      s,
      $A$2:$A$1000,
      $B$2:$B$1000,
      s
     )
    )
   )
  ),
 IF(
  successorIDs="""",
  """",
  TEXTJOIN("", "",TRUE,names)
 )
)"),"Workshop - Shield For A Hero Lvl 3")</f>
        <v>Workshop - Shield For A Hero Lvl 3</v>
      </c>
      <c r="T605" s="26" t="str">
        <f t="array" ref="T605">_xlfn.XLOOKUP(
 A605,
 tblTargets[TargetID],
 tblTargets[CompletionMethod],
 ""
)</f>
        <v>PLAYER</v>
      </c>
      <c r="U605" s="84" t="b">
        <f>COUNTIF(tblCost[TargetID],A605)&gt;0</f>
        <v>1</v>
      </c>
      <c r="V605" s="85">
        <f t="array" ref="V605">IF(
 U605=FALSE,
 "",
 _xlfn.XLOOKUP(
  A605,
  tblCost[TargetID],
  tblCost[FundingPercent],
  ""
 )
)</f>
        <v>0</v>
      </c>
      <c r="W605" s="26">
        <f t="array" ref="W605">IF(
 U605=FALSE,
 "",
 _xlfn.XLOOKUP(
  A605,
  tblCost[TargetID],
  tblCost[RemainingRequirements],
  ""
 )
)</f>
        <v>5</v>
      </c>
      <c r="X605" s="45" t="b">
        <f t="array" ref="X605">IF(
 U605=FALSE,
 "N/A",
 _xlfn.XLOOKUP(
  A606,
  tblCost[TargetID],
  tblCost[TargetFunded],
  FALSE
 )
)</f>
        <v>0</v>
      </c>
      <c r="Y605" s="26" t="str">
        <f>IFERROR(__xludf.DUMMYFUNCTION("IFERROR(
 TEXTJOIN(
  "", "",
  TRUE,
  FILTER(
   'cost checklist'!$E$2:$E1000&amp;"": ""&amp;'cost checklist'!$G$2:$G1000,
   'cost checklist'!$B$2:$B1000=A605,
   'cost checklist'!$J$2:$J1000=FALSE
  )
 ),
 """"
)"),"blueprint: 15, coin: 500, msteel: 40, plank: 100, ruby: 3")</f>
        <v>blueprint: 15, coin: 500, msteel: 40, plank: 100, ruby: 3</v>
      </c>
      <c r="Z605" s="26" t="b">
        <f>IFERROR(__xludf.DUMMYFUNCTION("IF(
 AND(
  E605=""QUEST"",
  RIGHT(A605,9)="".accepted"",
  D605=TRUE
 ),
 XLOOKUP(
  REGEXREPLACE(A605,""\.accepted$"","""")&amp;"".finished"",
  $A$2:$A1000,
  $D$2:$D1000,
  TRUE
 )=FALSE,
 FALSE
)"),FALSE)</f>
        <v>0</v>
      </c>
      <c r="AA605" s="26" t="str">
        <f>IFERROR(__xludf.DUMMYFUNCTION("LET(
 id,A605,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6" ht="14.25" customHeight="1">
      <c r="A606" s="26" t="s">
        <v>1906</v>
      </c>
      <c r="B606" s="26" t="str">
        <f t="array" ref="B606">_xlfn.XLOOKUP(
 A606,
 tblTargets[TargetID],
 tblTargets[DisplayName],
 ""
)</f>
        <v>Workshop - Shield For A Hero Lvl 3</v>
      </c>
      <c r="C606" s="26" t="str">
        <f t="shared" si="1"/>
        <v>BLOCKED</v>
      </c>
      <c r="D606" s="26" t="b">
        <f>IFERROR(__xludf.DUMMYFUNCTION("LET(
 id,A606,
 IF(
  F606=""CHARACTER"",
  LET(
   base,REGEXREPLACE(id,""@\d+$"",""""),
   required,VALUE(REGEXEXTRACT(id,""@(\d+)$"")),
   current,XLOOKUP(
    base,
    tblPlayer[PlayerStateID],
    tblPlayer[Value],
    0
   ),
   current&gt;=required
 "&amp;" ),
  IF(
   T606=""AUTO"",
   L606=0,
   COUNTIFS(
    tblChecklist[TargetID],id,
    tblChecklist[PlayerCompleted],TRUE
   )&gt;0
  )
 )
)"),FALSE)</f>
        <v>0</v>
      </c>
      <c r="E606" s="26" t="str">
        <f t="array" ref="E606">_xlfn.XLOOKUP(
 A606,
 tblTargets[TargetID],
 tblTargets[TargetType],
 ""
)</f>
        <v>TECH</v>
      </c>
      <c r="F606" s="26" t="str">
        <f t="array" ref="F606">_xlfn.XLOOKUP(
 A606,
 tblTargets[TargetID],
 tblTargets[StateType],
 ""
)</f>
        <v/>
      </c>
      <c r="G606" s="26">
        <f>LET(
 id,A606,
 depCount,COUNTIF(tblDependencies[TargetID],id),
 objCount,COUNTIF(tblQuestObjectives[QuestTargetID],id),
 depCount+objCount
)</f>
        <v>2</v>
      </c>
      <c r="H606" s="26">
        <f t="shared" si="2"/>
        <v>2</v>
      </c>
      <c r="I606" s="26">
        <f>IFERROR(__xludf.DUMMYFUNCTION("LET(
 id,A606,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6" s="26">
        <f t="shared" si="3"/>
        <v>0</v>
      </c>
      <c r="K606" s="26" t="b">
        <f t="shared" si="4"/>
        <v>0</v>
      </c>
      <c r="L606" s="26">
        <f t="shared" si="5"/>
        <v>2</v>
      </c>
      <c r="M606" s="26" t="str">
        <f>IFERROR(__xludf.DUMMYFUNCTION("LET(
 id,A606,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L606=0,
  """",
  IFERROR(INDEX(incomplete,1),"""")"&amp;"
 )
)"),"tech.workshop.shield_for_a_hero_lvl_2")</f>
        <v>tech.workshop.shield_for_a_hero_lvl_2</v>
      </c>
      <c r="N606" s="26" t="str">
        <f t="array" ref="N606">IF(
 M606="",
 "",
 _xlfn.XLOOKUP(
  M606,
  tblTargets[TargetID],
  tblTargets[DisplayName],
  M606
 )
)</f>
        <v>Workshop - Shield For A Hero Lvl 2</v>
      </c>
      <c r="O606" s="26" t="str">
        <f>IFERROR(__xludf.DUMMYFUNCTION("SWITCH(
 E606,
 ""BUILDING"",XLOOKUP(A606,tblBuildings[BuildingID],tblBuildings[costtext],""""),
 ""TECH"",XLOOKUP(A606,tblTechnologies[TechnologyID],tblTechnologies[costtext],""""),
 ""QUEST"",XLOOKUP(
  REGEXREPLACE(A606,""\.[^.]+$"",""""),
  tblQuests["&amp;"QuestID],
  tblQuests[Costtext],
  """"
 ),
 ""CITADEL"",XLOOKUP(A606,tblCitadel[CitadelID],tblCitadel[costtext],""""),
 ""COLLECTION"",XLOOKUP(A606,tblCollections[CollectionID],tblCollections[costtext],""""),
 ""CRAFTIFACT"",XLOOKUP(A606,tblCraftifacts[C"&amp;"raftifactID],tblCraftifacts[costtext],""""),
 """"
)"),"20 blueprint,1000 coin,60 msteel,200 plank,5 ruby")</f>
        <v>20 blueprint,1000 coin,60 msteel,200 plank,5 ruby</v>
      </c>
      <c r="P606" s="26" t="str">
        <f t="shared" si="6"/>
        <v>BLOCKED</v>
      </c>
      <c r="Q606" s="26" t="str">
        <f t="shared" si="7"/>
        <v>BLOCKED</v>
      </c>
      <c r="R606" s="26" t="str">
        <f t="array" ref="R606">IFERROR(
 _xlfn.XLOOKUP(
  A606,
  tblChecklist[TargetID],
  tblChecklist[PlayerSort],
  ""
 ),
 ""
)</f>
        <v/>
      </c>
      <c r="S606" s="26" t="str">
        <f>IFERROR(__xludf.DUMMYFUNCTION("LET(
 id,A606,
 successorIDs,
  IFERROR(
   UNIQUE(
    FILTER(
     {
      Dependencies!$A$2:$A$1000;
      QuestObjectives!$A$2:$A$1000
     },
     {
      Dependencies!$B$2:$B$1000;
      QuestObjectives!$E$2:$E$1000
     }=id
    )
   ),
   """"
  )"&amp;",
 names,
  MAP(
   successorIDs,
   LAMBDA(s,
    IF(
     s="""",
     """",
     XLOOKUP(
      s,
      $A$2:$A$1000,
      $B$2:$B$1000,
      s
     )
    )
   )
  ),
 IF(
  successorIDs="""",
  """",
  TEXTJOIN("", "",TRUE,names)
 )
)"),"Workshop - Shield For A Hero Lvl 4")</f>
        <v>Workshop - Shield For A Hero Lvl 4</v>
      </c>
      <c r="T606" s="26" t="str">
        <f t="array" ref="T606">_xlfn.XLOOKUP(
 A606,
 tblTargets[TargetID],
 tblTargets[CompletionMethod],
 ""
)</f>
        <v>PLAYER</v>
      </c>
      <c r="U606" s="84" t="b">
        <f>COUNTIF(tblCost[TargetID],A606)&gt;0</f>
        <v>1</v>
      </c>
      <c r="V606" s="85">
        <f t="array" ref="V606">IF(
 U606=FALSE,
 "",
 _xlfn.XLOOKUP(
  A606,
  tblCost[TargetID],
  tblCost[FundingPercent],
  ""
 )
)</f>
        <v>0</v>
      </c>
      <c r="W606" s="26">
        <f t="array" ref="W606">IF(
 U606=FALSE,
 "",
 _xlfn.XLOOKUP(
  A606,
  tblCost[TargetID],
  tblCost[RemainingRequirements],
  ""
 )
)</f>
        <v>5</v>
      </c>
      <c r="X606" s="45" t="b">
        <f t="array" ref="X606">IF(
 U606=FALSE,
 "N/A",
 _xlfn.XLOOKUP(
  A607,
  tblCost[TargetID],
  tblCost[TargetFunded],
  FALSE
 )
)</f>
        <v>0</v>
      </c>
      <c r="Y606" s="26" t="str">
        <f>IFERROR(__xludf.DUMMYFUNCTION("IFERROR(
 TEXTJOIN(
  "", "",
  TRUE,
  FILTER(
   'cost checklist'!$E$2:$E1000&amp;"": ""&amp;'cost checklist'!$G$2:$G1000,
   'cost checklist'!$B$2:$B1000=A606,
   'cost checklist'!$J$2:$J1000=FALSE
  )
 ),
 """"
)"),"blueprint: 20, coin: 1000, msteel: 60, plank: 200, ruby: 5")</f>
        <v>blueprint: 20, coin: 1000, msteel: 60, plank: 200, ruby: 5</v>
      </c>
      <c r="Z606" s="26" t="b">
        <f>IFERROR(__xludf.DUMMYFUNCTION("IF(
 AND(
  E606=""QUEST"",
  RIGHT(A606,9)="".accepted"",
  D606=TRUE
 ),
 XLOOKUP(
  REGEXREPLACE(A606,""\.accepted$"","""")&amp;"".finished"",
  $A$2:$A1000,
  $D$2:$D1000,
  TRUE
 )=FALSE,
 FALSE
)"),FALSE)</f>
        <v>0</v>
      </c>
      <c r="AA606" s="26" t="str">
        <f>IFERROR(__xludf.DUMMYFUNCTION("LET(
 id,A606,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7" ht="14.25" customHeight="1">
      <c r="A607" s="26" t="s">
        <v>1909</v>
      </c>
      <c r="B607" s="26" t="str">
        <f t="array" ref="B607">_xlfn.XLOOKUP(
 A607,
 tblTargets[TargetID],
 tblTargets[DisplayName],
 ""
)</f>
        <v>Workshop - Shield For A Hero Lvl 4</v>
      </c>
      <c r="C607" s="26" t="str">
        <f t="shared" si="1"/>
        <v>BLOCKED</v>
      </c>
      <c r="D607" s="26" t="b">
        <f>IFERROR(__xludf.DUMMYFUNCTION("LET(
 id,A607,
 IF(
  F607=""CHARACTER"",
  LET(
   base,REGEXREPLACE(id,""@\d+$"",""""),
   required,VALUE(REGEXEXTRACT(id,""@(\d+)$"")),
   current,XLOOKUP(
    base,
    tblPlayer[PlayerStateID],
    tblPlayer[Value],
    0
   ),
   current&gt;=required
 "&amp;" ),
  IF(
   T607=""AUTO"",
   L607=0,
   COUNTIFS(
    tblChecklist[TargetID],id,
    tblChecklist[PlayerCompleted],TRUE
   )&gt;0
  )
 )
)"),FALSE)</f>
        <v>0</v>
      </c>
      <c r="E607" s="26" t="str">
        <f t="array" ref="E607">_xlfn.XLOOKUP(
 A607,
 tblTargets[TargetID],
 tblTargets[TargetType],
 ""
)</f>
        <v>TECH</v>
      </c>
      <c r="F607" s="26" t="str">
        <f t="array" ref="F607">_xlfn.XLOOKUP(
 A607,
 tblTargets[TargetID],
 tblTargets[StateType],
 ""
)</f>
        <v/>
      </c>
      <c r="G607" s="26">
        <f>LET(
 id,A607,
 depCount,COUNTIF(tblDependencies[TargetID],id),
 objCount,COUNTIF(tblQuestObjectives[QuestTargetID],id),
 depCount+objCount
)</f>
        <v>3</v>
      </c>
      <c r="H607" s="26">
        <f t="shared" si="2"/>
        <v>3</v>
      </c>
      <c r="I607" s="26">
        <f>IFERROR(__xludf.DUMMYFUNCTION("LET(
 id,A607,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7" s="26">
        <f t="shared" si="3"/>
        <v>0</v>
      </c>
      <c r="K607" s="26" t="b">
        <f t="shared" si="4"/>
        <v>0</v>
      </c>
      <c r="L607" s="26">
        <f t="shared" si="5"/>
        <v>3</v>
      </c>
      <c r="M607" s="26" t="str">
        <f>IFERROR(__xludf.DUMMYFUNCTION("LET(
 id,A607,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L607=0,
  """",
  IFERROR(INDEX(incomplete,1),"""")"&amp;"
 )
)"),"tech.workshop.shield_for_a_hero_lvl_3")</f>
        <v>tech.workshop.shield_for_a_hero_lvl_3</v>
      </c>
      <c r="N607" s="26" t="str">
        <f t="array" ref="N607">IF(
 M607="",
 "",
 _xlfn.XLOOKUP(
  M607,
  tblTargets[TargetID],
  tblTargets[DisplayName],
  M607
 )
)</f>
        <v>Workshop - Shield For A Hero Lvl 3</v>
      </c>
      <c r="O607" s="26" t="str">
        <f>IFERROR(__xludf.DUMMYFUNCTION("SWITCH(
 E607,
 ""BUILDING"",XLOOKUP(A607,tblBuildings[BuildingID],tblBuildings[costtext],""""),
 ""TECH"",XLOOKUP(A607,tblTechnologies[TechnologyID],tblTechnologies[costtext],""""),
 ""QUEST"",XLOOKUP(
  REGEXREPLACE(A607,""\.[^.]+$"",""""),
  tblQuests["&amp;"QuestID],
  tblQuests[Costtext],
  """"
 ),
 ""CITADEL"",XLOOKUP(A607,tblCitadel[CitadelID],tblCitadel[costtext],""""),
 ""COLLECTION"",XLOOKUP(A607,tblCollections[CollectionID],tblCollections[costtext],""""),
 ""CRAFTIFACT"",XLOOKUP(A607,tblCraftifacts[C"&amp;"raftifactID],tblCraftifacts[costtext],""""),
 """"
)"),"25 blueprint,10 catalyst,30 chemicals,1000 coin,15 mechanism,5 ruby,3 shield3")</f>
        <v>25 blueprint,10 catalyst,30 chemicals,1000 coin,15 mechanism,5 ruby,3 shield3</v>
      </c>
      <c r="P607" s="26" t="str">
        <f t="shared" si="6"/>
        <v>BLOCKED</v>
      </c>
      <c r="Q607" s="26" t="str">
        <f t="shared" si="7"/>
        <v>BLOCKED</v>
      </c>
      <c r="R607" s="26" t="str">
        <f t="array" ref="R607">IFERROR(
 _xlfn.XLOOKUP(
  A607,
  tblChecklist[TargetID],
  tblChecklist[PlayerSort],
  ""
 ),
 ""
)</f>
        <v/>
      </c>
      <c r="S607" s="26" t="str">
        <f>IFERROR(__xludf.DUMMYFUNCTION("LET(
 id,A607,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1 Accepted, Workshop - Shield For A Hero Lvl 4+")</f>
        <v>The Ordinary Days of an Adventurer Chapter 1 Accepted, Workshop - Shield For A Hero Lvl 4+</v>
      </c>
      <c r="T607" s="26" t="str">
        <f t="array" ref="T607">_xlfn.XLOOKUP(
 A607,
 tblTargets[TargetID],
 tblTargets[CompletionMethod],
 ""
)</f>
        <v>PLAYER</v>
      </c>
      <c r="U607" s="84" t="b">
        <f>COUNTIF(tblCost[TargetID],A607)&gt;0</f>
        <v>1</v>
      </c>
      <c r="V607" s="85">
        <f t="array" ref="V607">IF(
 U607=FALSE,
 "",
 _xlfn.XLOOKUP(
  A607,
  tblCost[TargetID],
  tblCost[FundingPercent],
  ""
 )
)</f>
        <v>0</v>
      </c>
      <c r="W607" s="26">
        <f t="array" ref="W607">IF(
 U607=FALSE,
 "",
 _xlfn.XLOOKUP(
  A607,
  tblCost[TargetID],
  tblCost[RemainingRequirements],
  ""
 )
)</f>
        <v>7</v>
      </c>
      <c r="X607" s="45" t="b">
        <f t="array" ref="X607">IF(
 U607=FALSE,
 "N/A",
 _xlfn.XLOOKUP(
  A608,
  tblCost[TargetID],
  tblCost[TargetFunded],
  FALSE
 )
)</f>
        <v>0</v>
      </c>
      <c r="Y607" s="26" t="str">
        <f>IFERROR(__xludf.DUMMYFUNCTION("IFERROR(
 TEXTJOIN(
  "", "",
  TRUE,
  FILTER(
   'cost checklist'!$E$2:$E1000&amp;"": ""&amp;'cost checklist'!$G$2:$G1000,
   'cost checklist'!$B$2:$B1000=A607,
   'cost checklist'!$J$2:$J1000=FALSE
  )
 ),
 """"
)"),"blueprint: 25, catalyst: 10, chemicals: 30, coin: 1000, mechanism: 15, ruby: 5, shield3: 3")</f>
        <v>blueprint: 25, catalyst: 10, chemicals: 30, coin: 1000, mechanism: 15, ruby: 5, shield3: 3</v>
      </c>
      <c r="Z607" s="26" t="b">
        <f>IFERROR(__xludf.DUMMYFUNCTION("IF(
 AND(
  E607=""QUEST"",
  RIGHT(A607,9)="".accepted"",
  D607=TRUE
 ),
 XLOOKUP(
  REGEXREPLACE(A607,""\.accepted$"","""")&amp;"".finished"",
  $A$2:$A1000,
  $D$2:$D1000,
  TRUE
 )=FALSE,
 FALSE
)"),FALSE)</f>
        <v>0</v>
      </c>
      <c r="AA607" s="26" t="str">
        <f>IFERROR(__xludf.DUMMYFUNCTION("LET(
 id,A607,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1")</f>
        <v>The Ordinary Days of an Adventurer Chapter 1</v>
      </c>
    </row>
    <row r="608" ht="14.25" customHeight="1">
      <c r="A608" s="26" t="s">
        <v>1911</v>
      </c>
      <c r="B608" s="26" t="str">
        <f t="array" ref="B608">_xlfn.XLOOKUP(
 A608,
 tblTargets[TargetID],
 tblTargets[DisplayName],
 ""
)</f>
        <v>Workshop - Shield For A Hero Lvl 4+</v>
      </c>
      <c r="C608" s="26" t="str">
        <f t="shared" si="1"/>
        <v>BLOCKED</v>
      </c>
      <c r="D608" s="26" t="b">
        <f>IFERROR(__xludf.DUMMYFUNCTION("LET(
 id,A608,
 IF(
  F608=""CHARACTER"",
  LET(
   base,REGEXREPLACE(id,""@\d+$"",""""),
   required,VALUE(REGEXEXTRACT(id,""@(\d+)$"")),
   current,XLOOKUP(
    base,
    tblPlayer[PlayerStateID],
    tblPlayer[Value],
    0
   ),
   current&gt;=required
 "&amp;" ),
  IF(
   T608=""AUTO"",
   L608=0,
   COUNTIFS(
    tblChecklist[TargetID],id,
    tblChecklist[PlayerCompleted],TRUE
   )&gt;0
  )
 )
)"),FALSE)</f>
        <v>0</v>
      </c>
      <c r="E608" s="26" t="str">
        <f t="array" ref="E608">_xlfn.XLOOKUP(
 A608,
 tblTargets[TargetID],
 tblTargets[TargetType],
 ""
)</f>
        <v>TECH</v>
      </c>
      <c r="F608" s="26" t="str">
        <f t="array" ref="F608">_xlfn.XLOOKUP(
 A608,
 tblTargets[TargetID],
 tblTargets[StateType],
 ""
)</f>
        <v/>
      </c>
      <c r="G608" s="26">
        <f>LET(
 id,A608,
 depCount,COUNTIF(tblDependencies[TargetID],id),
 objCount,COUNTIF(tblQuestObjectives[QuestTargetID],id),
 depCount+objCount
)</f>
        <v>3</v>
      </c>
      <c r="H608" s="26">
        <f t="shared" si="2"/>
        <v>3</v>
      </c>
      <c r="I608" s="26">
        <f>IFERROR(__xludf.DUMMYFUNCTION("LET(
 id,A608,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8" s="26">
        <f t="shared" si="3"/>
        <v>0</v>
      </c>
      <c r="K608" s="26" t="b">
        <f t="shared" si="4"/>
        <v>0</v>
      </c>
      <c r="L608" s="26">
        <f t="shared" si="5"/>
        <v>3</v>
      </c>
      <c r="M608" s="26" t="str">
        <f>IFERROR(__xludf.DUMMYFUNCTION("LET(
 id,A608,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L608=0,
  """",
  IFERROR(INDEX(incomplete,1),"""")"&amp;"
 )
)"),"tech.workshop.shield_for_a_hero_lvl_4")</f>
        <v>tech.workshop.shield_for_a_hero_lvl_4</v>
      </c>
      <c r="N608" s="26" t="str">
        <f t="array" ref="N608">IF(
 M608="",
 "",
 _xlfn.XLOOKUP(
  M608,
  tblTargets[TargetID],
  tblTargets[DisplayName],
  M608
 )
)</f>
        <v>Workshop - Shield For A Hero Lvl 4</v>
      </c>
      <c r="O608" s="26" t="str">
        <f>IFERROR(__xludf.DUMMYFUNCTION("SWITCH(
 E608,
 ""BUILDING"",XLOOKUP(A608,tblBuildings[BuildingID],tblBuildings[costtext],""""),
 ""TECH"",XLOOKUP(A608,tblTechnologies[TechnologyID],tblTechnologies[costtext],""""),
 ""QUEST"",XLOOKUP(
  REGEXREPLACE(A608,""\.[^.]+$"",""""),
  tblQuests["&amp;"QuestID],
  tblQuests[Costtext],
  """"
 ),
 ""CITADEL"",XLOOKUP(A608,tblCitadel[CitadelID],tblCitadel[costtext],""""),
 ""COLLECTION"",XLOOKUP(A608,tblCollections[CollectionID],tblCollections[costtext],""""),
 ""CRAFTIFACT"",XLOOKUP(A608,tblCraftifacts[C"&amp;"raftifactID],tblCraftifacts[costtext],""""),
 """"
)"),"20 apy,20 catalyst,1000 coin,25 greencrystal,10 grimoire,10 quartz,1 reddiamond,5 ruby,1 shield4")</f>
        <v>20 apy,20 catalyst,1000 coin,25 greencrystal,10 grimoire,10 quartz,1 reddiamond,5 ruby,1 shield4</v>
      </c>
      <c r="P608" s="26" t="str">
        <f t="shared" si="6"/>
        <v>BLOCKED</v>
      </c>
      <c r="Q608" s="26" t="str">
        <f t="shared" si="7"/>
        <v>BLOCKED</v>
      </c>
      <c r="R608" s="26" t="str">
        <f t="array" ref="R608">IFERROR(
 _xlfn.XLOOKUP(
  A608,
  tblChecklist[TargetID],
  tblChecklist[PlayerSort],
  ""
 ),
 ""
)</f>
        <v/>
      </c>
      <c r="S608" s="26" t="str">
        <f>IFERROR(__xludf.DUMMYFUNCTION("LET(
 id,A608,
 successorIDs,
  IFERROR(
   UNIQUE(
    FILTER(
     {
      Dependencies!$A$2:$A$1000;
      QuestObjectives!$A$2:$A$1000
     },
     {
      Dependencies!$B$2:$B$1000;
      QuestObjectives!$E$2:$E$1000
     }=id
    )
   ),
   """"
  )"&amp;",
 names,
  MAP(
   successorIDs,
   LAMBDA(s,
    IF(
     s="""",
     """",
     XLOOKUP(
      s,
      $A$2:$A$1000,
      $B$2:$B$1000,
      s
     )
    )
   )
  ),
 IF(
  successorIDs="""",
  """",
  TEXTJOIN("", "",TRUE,names)
 )
)"),"Craft Shield 4+")</f>
        <v>Craft Shield 4+</v>
      </c>
      <c r="T608" s="26" t="str">
        <f t="array" ref="T608">_xlfn.XLOOKUP(
 A608,
 tblTargets[TargetID],
 tblTargets[CompletionMethod],
 ""
)</f>
        <v>PLAYER</v>
      </c>
      <c r="U608" s="84" t="b">
        <f>COUNTIF(tblCost[TargetID],A608)&gt;0</f>
        <v>1</v>
      </c>
      <c r="V608" s="85">
        <f t="array" ref="V608">IF(
 U608=FALSE,
 "",
 _xlfn.XLOOKUP(
  A608,
  tblCost[TargetID],
  tblCost[FundingPercent],
  ""
 )
)</f>
        <v>0</v>
      </c>
      <c r="W608" s="26">
        <f t="array" ref="W608">IF(
 U608=FALSE,
 "",
 _xlfn.XLOOKUP(
  A608,
  tblCost[TargetID],
  tblCost[RemainingRequirements],
  ""
 )
)</f>
        <v>9</v>
      </c>
      <c r="X608" s="45" t="b">
        <f t="array" ref="X608">IF(
 U608=FALSE,
 "N/A",
 _xlfn.XLOOKUP(
  A609,
  tblCost[TargetID],
  tblCost[TargetFunded],
  FALSE
 )
)</f>
        <v>0</v>
      </c>
      <c r="Y608" s="26" t="str">
        <f>IFERROR(__xludf.DUMMYFUNCTION("IFERROR(
 TEXTJOIN(
  "", "",
  TRUE,
  FILTER(
   'cost checklist'!$E$2:$E1000&amp;"": ""&amp;'cost checklist'!$G$2:$G1000,
   'cost checklist'!$B$2:$B1000=A608,
   'cost checklist'!$J$2:$J1000=FALSE
  )
 ),
 """"
)"),"apy: 20, catalyst: 20, coin: 1000, greencrystal: 25, grimoire: 10, quartz: 10, reddiamond: 1, ruby: 5, shield4: 1")</f>
        <v>apy: 20, catalyst: 20, coin: 1000, greencrystal: 25, grimoire: 10, quartz: 10, reddiamond: 1, ruby: 5, shield4: 1</v>
      </c>
      <c r="Z608" s="26" t="b">
        <f>IFERROR(__xludf.DUMMYFUNCTION("IF(
 AND(
  E608=""QUEST"",
  RIGHT(A608,9)="".accepted"",
  D608=TRUE
 ),
 XLOOKUP(
  REGEXREPLACE(A608,""\.accepted$"","""")&amp;"".finished"",
  $A$2:$A1000,
  $D$2:$D1000,
  TRUE
 )=FALSE,
 FALSE
)"),FALSE)</f>
        <v>0</v>
      </c>
      <c r="AA608" s="26" t="str">
        <f>IFERROR(__xludf.DUMMYFUNCTION("LET(
 id,A608,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09" ht="14.25" customHeight="1">
      <c r="A609" s="26" t="s">
        <v>1913</v>
      </c>
      <c r="B609" s="26" t="str">
        <f t="array" ref="B609">_xlfn.XLOOKUP(
 A609,
 tblTargets[TargetID],
 tblTargets[DisplayName],
 ""
)</f>
        <v>Workshop - Steamobile</v>
      </c>
      <c r="C609" s="26" t="str">
        <f t="shared" si="1"/>
        <v>BLOCKED</v>
      </c>
      <c r="D609" s="26" t="b">
        <f>IFERROR(__xludf.DUMMYFUNCTION("LET(
 id,A609,
 IF(
  F609=""CHARACTER"",
  LET(
   base,REGEXREPLACE(id,""@\d+$"",""""),
   required,VALUE(REGEXEXTRACT(id,""@(\d+)$"")),
   current,XLOOKUP(
    base,
    tblPlayer[PlayerStateID],
    tblPlayer[Value],
    0
   ),
   current&gt;=required
 "&amp;" ),
  IF(
   T609=""AUTO"",
   L609=0,
   COUNTIFS(
    tblChecklist[TargetID],id,
    tblChecklist[PlayerCompleted],TRUE
   )&gt;0
  )
 )
)"),FALSE)</f>
        <v>0</v>
      </c>
      <c r="E609" s="26" t="str">
        <f t="array" ref="E609">_xlfn.XLOOKUP(
 A609,
 tblTargets[TargetID],
 tblTargets[TargetType],
 ""
)</f>
        <v>TECH</v>
      </c>
      <c r="F609" s="26" t="str">
        <f t="array" ref="F609">_xlfn.XLOOKUP(
 A609,
 tblTargets[TargetID],
 tblTargets[StateType],
 ""
)</f>
        <v/>
      </c>
      <c r="G609" s="26">
        <f>LET(
 id,A609,
 depCount,COUNTIF(tblDependencies[TargetID],id),
 objCount,COUNTIF(tblQuestObjectives[QuestTargetID],id),
 depCount+objCount
)</f>
        <v>2</v>
      </c>
      <c r="H609" s="26">
        <f t="shared" si="2"/>
        <v>2</v>
      </c>
      <c r="I609" s="26">
        <f>IFERROR(__xludf.DUMMYFUNCTION("LET(
 id,A609,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09" s="26">
        <f t="shared" si="3"/>
        <v>0</v>
      </c>
      <c r="K609" s="26" t="b">
        <f t="shared" si="4"/>
        <v>0</v>
      </c>
      <c r="L609" s="26">
        <f t="shared" si="5"/>
        <v>2</v>
      </c>
      <c r="M609" s="26" t="str">
        <f>IFERROR(__xludf.DUMMYFUNCTION("LET(
 id,A609,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L609=0,
  """",
  IFERROR(INDEX(incomplete,1),"""")"&amp;"
 )
)"),"tech.workshop.mechanism")</f>
        <v>tech.workshop.mechanism</v>
      </c>
      <c r="N609" s="26" t="str">
        <f t="array" ref="N609">IF(
 M609="",
 "",
 _xlfn.XLOOKUP(
  M609,
  tblTargets[TargetID],
  tblTargets[DisplayName],
  M609
 )
)</f>
        <v>Workshop - Mechanism</v>
      </c>
      <c r="O609" s="26" t="str">
        <f>IFERROR(__xludf.DUMMYFUNCTION("SWITCH(
 E609,
 ""BUILDING"",XLOOKUP(A609,tblBuildings[BuildingID],tblBuildings[costtext],""""),
 ""TECH"",XLOOKUP(A609,tblTechnologies[TechnologyID],tblTechnologies[costtext],""""),
 ""QUEST"",XLOOKUP(
  REGEXREPLACE(A609,""\.[^.]+$"",""""),
  tblQuests["&amp;"QuestID],
  tblQuests[Costtext],
  """"
 ),
 ""CITADEL"",XLOOKUP(A609,tblCitadel[CitadelID],tblCitadel[costtext],""""),
 ""COLLECTION"",XLOOKUP(A609,tblCollections[CollectionID],tblCollections[costtext],""""),
 ""CRAFTIFACT"",XLOOKUP(A609,tblCraftifacts[C"&amp;"raftifactID],tblCraftifacts[costtext],""""),
 """"
)"),"30 blueprint,1500 coin,15 mechanism,30 msteel,7 ruby")</f>
        <v>30 blueprint,1500 coin,15 mechanism,30 msteel,7 ruby</v>
      </c>
      <c r="P609" s="26" t="str">
        <f t="shared" si="6"/>
        <v>BLOCKED</v>
      </c>
      <c r="Q609" s="26" t="str">
        <f t="shared" si="7"/>
        <v>BLOCKED</v>
      </c>
      <c r="R609" s="26" t="str">
        <f t="array" ref="R609">IFERROR(
 _xlfn.XLOOKUP(
  A609,
  tblChecklist[TargetID],
  tblChecklist[PlayerSort],
  ""
 ),
 ""
)</f>
        <v/>
      </c>
      <c r="S609" s="26" t="str">
        <f>IFERROR(__xludf.DUMMYFUNCTION("LET(
 id,A609,
 successorIDs,
  IFERROR(
   UNIQUE(
    FILTER(
     {
      Dependencies!$A$2:$A$1000;
      QuestObjectives!$A$2:$A$1000
     },
     {
      Dependencies!$B$2:$B$1000;
      QuestObjectives!$E$2:$E$1000
     }=id
    )
   ),
   """"
  )"&amp;",
 names,
  MAP(
   successorIDs,
   LAMBDA(s,
    IF(
     s="""",
     """",
     XLOOKUP(
      s,
      $A$2:$A$1000,
      $B$2:$B$1000,
      s
     )
    )
   )
  ),
 IF(
  successorIDs="""",
  """",
  TEXTJOIN("", "",TRUE,names)
 )
)"),"Field - Combine Harvester")</f>
        <v>Field - Combine Harvester</v>
      </c>
      <c r="T609" s="26" t="str">
        <f t="array" ref="T609">_xlfn.XLOOKUP(
 A609,
 tblTargets[TargetID],
 tblTargets[CompletionMethod],
 ""
)</f>
        <v>PLAYER</v>
      </c>
      <c r="U609" s="84" t="b">
        <f>COUNTIF(tblCost[TargetID],A609)&gt;0</f>
        <v>1</v>
      </c>
      <c r="V609" s="85">
        <f t="array" ref="V609">IF(
 U609=FALSE,
 "",
 _xlfn.XLOOKUP(
  A609,
  tblCost[TargetID],
  tblCost[FundingPercent],
  ""
 )
)</f>
        <v>0</v>
      </c>
      <c r="W609" s="26">
        <f t="array" ref="W609">IF(
 U609=FALSE,
 "",
 _xlfn.XLOOKUP(
  A609,
  tblCost[TargetID],
  tblCost[RemainingRequirements],
  ""
 )
)</f>
        <v>5</v>
      </c>
      <c r="X609" s="45" t="b">
        <f t="array" ref="X609">IF(
 U609=FALSE,
 "N/A",
 _xlfn.XLOOKUP(
  A610,
  tblCost[TargetID],
  tblCost[TargetFunded],
  FALSE
 )
)</f>
        <v>0</v>
      </c>
      <c r="Y609" s="26" t="str">
        <f>IFERROR(__xludf.DUMMYFUNCTION("IFERROR(
 TEXTJOIN(
  "", "",
  TRUE,
  FILTER(
   'cost checklist'!$E$2:$E1000&amp;"": ""&amp;'cost checklist'!$G$2:$G1000,
   'cost checklist'!$B$2:$B1000=A609,
   'cost checklist'!$J$2:$J1000=FALSE
  )
 ),
 """"
)"),"blueprint: 30, coin: 1500, mechanism: 15, msteel: 30, ruby: 7")</f>
        <v>blueprint: 30, coin: 1500, mechanism: 15, msteel: 30, ruby: 7</v>
      </c>
      <c r="Z609" s="26" t="b">
        <f>IFERROR(__xludf.DUMMYFUNCTION("IF(
 AND(
  E609=""QUEST"",
  RIGHT(A609,9)="".accepted"",
  D609=TRUE
 ),
 XLOOKUP(
  REGEXREPLACE(A609,""\.accepted$"","""")&amp;"".finished"",
  $A$2:$A1000,
  $D$2:$D1000,
  TRUE
 )=FALSE,
 FALSE
)"),FALSE)</f>
        <v>0</v>
      </c>
      <c r="AA609" s="26" t="str">
        <f>IFERROR(__xludf.DUMMYFUNCTION("LET(
 id,A609,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0" ht="14.25" customHeight="1">
      <c r="A610" s="26" t="s">
        <v>1915</v>
      </c>
      <c r="B610" s="26" t="str">
        <f t="array" ref="B610">_xlfn.XLOOKUP(
 A610,
 tblTargets[TargetID],
 tblTargets[DisplayName],
 ""
)</f>
        <v>Workshop - Strong Glue</v>
      </c>
      <c r="C610" s="26" t="str">
        <f t="shared" si="1"/>
        <v>BLOCKED</v>
      </c>
      <c r="D610" s="26" t="b">
        <f>IFERROR(__xludf.DUMMYFUNCTION("LET(
 id,A610,
 IF(
  F610=""CHARACTER"",
  LET(
   base,REGEXREPLACE(id,""@\d+$"",""""),
   required,VALUE(REGEXEXTRACT(id,""@(\d+)$"")),
   current,XLOOKUP(
    base,
    tblPlayer[PlayerStateID],
    tblPlayer[Value],
    0
   ),
   current&gt;=required
 "&amp;" ),
  IF(
   T610=""AUTO"",
   L610=0,
   COUNTIFS(
    tblChecklist[TargetID],id,
    tblChecklist[PlayerCompleted],TRUE
   )&gt;0
  )
 )
)"),FALSE)</f>
        <v>0</v>
      </c>
      <c r="E610" s="26" t="str">
        <f t="array" ref="E610">_xlfn.XLOOKUP(
 A610,
 tblTargets[TargetID],
 tblTargets[TargetType],
 ""
)</f>
        <v>TECH</v>
      </c>
      <c r="F610" s="26" t="str">
        <f t="array" ref="F610">_xlfn.XLOOKUP(
 A610,
 tblTargets[TargetID],
 tblTargets[StateType],
 ""
)</f>
        <v/>
      </c>
      <c r="G610" s="26">
        <f>LET(
 id,A610,
 depCount,COUNTIF(tblDependencies[TargetID],id),
 objCount,COUNTIF(tblQuestObjectives[QuestTargetID],id),
 depCount+objCount
)</f>
        <v>2</v>
      </c>
      <c r="H610" s="26">
        <f t="shared" si="2"/>
        <v>2</v>
      </c>
      <c r="I610" s="26">
        <f>IFERROR(__xludf.DUMMYFUNCTION("LET(
 id,A610,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0" s="26">
        <f t="shared" si="3"/>
        <v>0</v>
      </c>
      <c r="K610" s="26" t="b">
        <f t="shared" si="4"/>
        <v>0</v>
      </c>
      <c r="L610" s="26">
        <f t="shared" si="5"/>
        <v>2</v>
      </c>
      <c r="M610" s="26" t="str">
        <f>IFERROR(__xludf.DUMMYFUNCTION("LET(
 id,A610,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L610=0,
  """",
  IFERROR(INDEX(incomplete,1),"""")"&amp;"
 )
)"),"tech.workshop.shield_for_a_hero_lvl_1")</f>
        <v>tech.workshop.shield_for_a_hero_lvl_1</v>
      </c>
      <c r="N610" s="26" t="str">
        <f t="array" ref="N610">IF(
 M610="",
 "",
 _xlfn.XLOOKUP(
  M610,
  tblTargets[TargetID],
  tblTargets[DisplayName],
  M610
 )
)</f>
        <v>Workshop - Shield For A Hero Lvl 1</v>
      </c>
      <c r="O610" s="26" t="str">
        <f>IFERROR(__xludf.DUMMYFUNCTION("SWITCH(
 E610,
 ""BUILDING"",XLOOKUP(A610,tblBuildings[BuildingID],tblBuildings[costtext],""""),
 ""TECH"",XLOOKUP(A610,tblTechnologies[TechnologyID],tblTechnologies[costtext],""""),
 ""QUEST"",XLOOKUP(
  REGEXREPLACE(A610,""\.[^.]+$"",""""),
  tblQuests["&amp;"QuestID],
  tblQuests[Costtext],
  """"
 ),
 ""CITADEL"",XLOOKUP(A610,tblCitadel[CitadelID],tblCitadel[costtext],""""),
 ""COLLECTION"",XLOOKUP(A610,tblCollections[CollectionID],tblCollections[costtext],""""),
 ""CRAFTIFACT"",XLOOKUP(A610,tblCraftifacts[C"&amp;"raftifactID],tblCraftifacts[costtext],""""),
 """"
)"),"15 blueprint,500 coin,10 honey,15 reagent,2 ruby")</f>
        <v>15 blueprint,500 coin,10 honey,15 reagent,2 ruby</v>
      </c>
      <c r="P610" s="26" t="str">
        <f t="shared" si="6"/>
        <v>BLOCKED</v>
      </c>
      <c r="Q610" s="26" t="str">
        <f t="shared" si="7"/>
        <v>BLOCKED</v>
      </c>
      <c r="R610" s="26" t="str">
        <f t="array" ref="R610">IFERROR(
 _xlfn.XLOOKUP(
  A610,
  tblChecklist[TargetID],
  tblChecklist[PlayerSort],
  ""
 ),
 ""
)</f>
        <v/>
      </c>
      <c r="S610" s="26" t="str">
        <f>IFERROR(__xludf.DUMMYFUNCTION("LET(
 id,A610,
 successorIDs,
  IFERROR(
   UNIQUE(
    FILTER(
     {
      Dependencies!$A$2:$A$1000;
      QuestObjectives!$A$2:$A$1000
     },
     {
      Dependencies!$B$2:$B$1000;
      QuestObjectives!$E$2:$E$1000
     }=id
    )
   ),
   """"
  )"&amp;",
 names,
  MAP(
   successorIDs,
   LAMBDA(s,
    IF(
     s="""",
     """",
     XLOOKUP(
      s,
      $A$2:$A$1000,
      $B$2:$B$1000,
      s
     )
    )
   )
  ),
 IF(
  successorIDs="""",
  """",
  TEXTJOIN("", "",TRUE,names)
 )
)"),"")</f>
        <v/>
      </c>
      <c r="T610" s="26" t="str">
        <f t="array" ref="T610">_xlfn.XLOOKUP(
 A610,
 tblTargets[TargetID],
 tblTargets[CompletionMethod],
 ""
)</f>
        <v>PLAYER</v>
      </c>
      <c r="U610" s="84" t="b">
        <f>COUNTIF(tblCost[TargetID],A610)&gt;0</f>
        <v>1</v>
      </c>
      <c r="V610" s="85">
        <f t="array" ref="V610">IF(
 U610=FALSE,
 "",
 _xlfn.XLOOKUP(
  A610,
  tblCost[TargetID],
  tblCost[FundingPercent],
  ""
 )
)</f>
        <v>0</v>
      </c>
      <c r="W610" s="26">
        <f t="array" ref="W610">IF(
 U610=FALSE,
 "",
 _xlfn.XLOOKUP(
  A610,
  tblCost[TargetID],
  tblCost[RemainingRequirements],
  ""
 )
)</f>
        <v>5</v>
      </c>
      <c r="X610" s="45" t="b">
        <f t="array" ref="X610">IF(
 U610=FALSE,
 "N/A",
 _xlfn.XLOOKUP(
  A611,
  tblCost[TargetID],
  tblCost[TargetFunded],
  FALSE
 )
)</f>
        <v>0</v>
      </c>
      <c r="Y610" s="26" t="str">
        <f>IFERROR(__xludf.DUMMYFUNCTION("IFERROR(
 TEXTJOIN(
  "", "",
  TRUE,
  FILTER(
   'cost checklist'!$E$2:$E1000&amp;"": ""&amp;'cost checklist'!$G$2:$G1000,
   'cost checklist'!$B$2:$B1000=A610,
   'cost checklist'!$J$2:$J1000=FALSE
  )
 ),
 """"
)"),"blueprint: 15, coin: 500, honey: 10, reagent: 15, ruby: 2")</f>
        <v>blueprint: 15, coin: 500, honey: 10, reagent: 15, ruby: 2</v>
      </c>
      <c r="Z610" s="26" t="b">
        <f>IFERROR(__xludf.DUMMYFUNCTION("IF(
 AND(
  E610=""QUEST"",
  RIGHT(A610,9)="".accepted"",
  D610=TRUE
 ),
 XLOOKUP(
  REGEXREPLACE(A610,""\.accepted$"","""")&amp;"".finished"",
  $A$2:$A1000,
  $D$2:$D1000,
  TRUE
 )=FALSE,
 FALSE
)"),FALSE)</f>
        <v>0</v>
      </c>
      <c r="AA610" s="26" t="str">
        <f>IFERROR(__xludf.DUMMYFUNCTION("LET(
 id,A610,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1" ht="14.25" customHeight="1">
      <c r="A611" s="26" t="s">
        <v>1918</v>
      </c>
      <c r="B611" s="26" t="str">
        <f t="array" ref="B611">_xlfn.XLOOKUP(
 A611,
 tblTargets[TargetID],
 tblTargets[DisplayName],
 ""
)</f>
        <v>Workshop - Throwing Net</v>
      </c>
      <c r="C611" s="26" t="str">
        <f t="shared" si="1"/>
        <v>BLOCKED</v>
      </c>
      <c r="D611" s="26" t="b">
        <f>IFERROR(__xludf.DUMMYFUNCTION("LET(
 id,A611,
 IF(
  F611=""CHARACTER"",
  LET(
   base,REGEXREPLACE(id,""@\d+$"",""""),
   required,VALUE(REGEXEXTRACT(id,""@(\d+)$"")),
   current,XLOOKUP(
    base,
    tblPlayer[PlayerStateID],
    tblPlayer[Value],
    0
   ),
   current&gt;=required
 "&amp;" ),
  IF(
   T611=""AUTO"",
   L611=0,
   COUNTIFS(
    tblChecklist[TargetID],id,
    tblChecklist[PlayerCompleted],TRUE
   )&gt;0
  )
 )
)"),FALSE)</f>
        <v>0</v>
      </c>
      <c r="E611" s="26" t="str">
        <f t="array" ref="E611">_xlfn.XLOOKUP(
 A611,
 tblTargets[TargetID],
 tblTargets[TargetType],
 ""
)</f>
        <v>TECH</v>
      </c>
      <c r="F611" s="26" t="str">
        <f t="array" ref="F611">_xlfn.XLOOKUP(
 A611,
 tblTargets[TargetID],
 tblTargets[StateType],
 ""
)</f>
        <v/>
      </c>
      <c r="G611" s="26">
        <f>LET(
 id,A611,
 depCount,COUNTIF(tblDependencies[TargetID],id),
 objCount,COUNTIF(tblQuestObjectives[QuestTargetID],id),
 depCount+objCount
)</f>
        <v>1</v>
      </c>
      <c r="H611" s="26">
        <f t="shared" si="2"/>
        <v>1</v>
      </c>
      <c r="I611" s="26">
        <f>IFERROR(__xludf.DUMMYFUNCTION("LET(
 id,A611,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1" s="26">
        <f t="shared" si="3"/>
        <v>0</v>
      </c>
      <c r="K611" s="26" t="b">
        <f t="shared" si="4"/>
        <v>0</v>
      </c>
      <c r="L611" s="26">
        <f t="shared" si="5"/>
        <v>1</v>
      </c>
      <c r="M611" s="26" t="str">
        <f>IFERROR(__xludf.DUMMYFUNCTION("LET(
 id,A611,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L611=0,
  """",
  IFERROR(INDEX(incomplete,1),"""")"&amp;"
 )
)"),"building.workshop.maxed")</f>
        <v>building.workshop.maxed</v>
      </c>
      <c r="N611" s="26" t="str">
        <f t="array" ref="N611">IF(
 M611="",
 "",
 _xlfn.XLOOKUP(
  M611,
  tblTargets[TargetID],
  tblTargets[DisplayName],
  M611
 )
)</f>
        <v>workshop maxed</v>
      </c>
      <c r="O611" s="26" t="str">
        <f>IFERROR(__xludf.DUMMYFUNCTION("SWITCH(
 E611,
 ""BUILDING"",XLOOKUP(A611,tblBuildings[BuildingID],tblBuildings[costtext],""""),
 ""TECH"",XLOOKUP(A611,tblTechnologies[TechnologyID],tblTechnologies[costtext],""""),
 ""QUEST"",XLOOKUP(
  REGEXREPLACE(A611,""\.[^.]+$"",""""),
  tblQuests["&amp;"QuestID],
  tblQuests[Costtext],
  """"
 ),
 ""CITADEL"",XLOOKUP(A611,tblCitadel[CitadelID],tblCitadel[costtext],""""),
 ""COLLECTION"",XLOOKUP(A611,tblCollections[CollectionID],tblCollections[costtext],""""),
 ""CRAFTIFACT"",XLOOKUP(A611,tblCraftifacts[C"&amp;"raftifactID],tblCraftifacts[costtext],""""),
 """"
)"),"40 beam,300 coin,10 page,2 ruby,10 stone,10 thread")</f>
        <v>40 beam,300 coin,10 page,2 ruby,10 stone,10 thread</v>
      </c>
      <c r="P611" s="26" t="str">
        <f t="shared" si="6"/>
        <v>BLOCKED</v>
      </c>
      <c r="Q611" s="26" t="str">
        <f t="shared" si="7"/>
        <v>BLOCKED</v>
      </c>
      <c r="R611" s="26" t="str">
        <f t="array" ref="R611">IFERROR(
 _xlfn.XLOOKUP(
  A611,
  tblChecklist[TargetID],
  tblChecklist[PlayerSort],
  ""
 ),
 ""
)</f>
        <v/>
      </c>
      <c r="S611" s="26" t="str">
        <f>IFERROR(__xludf.DUMMYFUNCTION("LET(
 id,A611,
 successorIDs,
  IFERROR(
   UNIQUE(
    FILTER(
     {
      Dependencies!$A$2:$A$1000;
      QuestObjectives!$A$2:$A$1000
     },
     {
      Dependencies!$B$2:$B$1000;
      QuestObjectives!$E$2:$E$1000
     }=id
    )
   ),
   """"
  )"&amp;",
 names,
  MAP(
   successorIDs,
   LAMBDA(s,
    IF(
     s="""",
     """",
     XLOOKUP(
      s,
      $A$2:$A$1000,
      $B$2:$B$1000,
      s
     )
    )
   )
  ),
 IF(
  successorIDs="""",
  """",
  TEXTJOIN("", "",TRUE,names)
 )
)"),"")</f>
        <v/>
      </c>
      <c r="T611" s="26" t="str">
        <f t="array" ref="T611">_xlfn.XLOOKUP(
 A611,
 tblTargets[TargetID],
 tblTargets[CompletionMethod],
 ""
)</f>
        <v>PLAYER</v>
      </c>
      <c r="U611" s="84" t="b">
        <f>COUNTIF(tblCost[TargetID],A611)&gt;0</f>
        <v>1</v>
      </c>
      <c r="V611" s="85">
        <f t="array" ref="V611">IF(
 U611=FALSE,
 "",
 _xlfn.XLOOKUP(
  A611,
  tblCost[TargetID],
  tblCost[FundingPercent],
  ""
 )
)</f>
        <v>0</v>
      </c>
      <c r="W611" s="26">
        <f t="array" ref="W611">IF(
 U611=FALSE,
 "",
 _xlfn.XLOOKUP(
  A611,
  tblCost[TargetID],
  tblCost[RemainingRequirements],
  ""
 )
)</f>
        <v>6</v>
      </c>
      <c r="X611" s="45" t="b">
        <f t="array" ref="X611">IF(
 U611=FALSE,
 "N/A",
 _xlfn.XLOOKUP(
  A612,
  tblCost[TargetID],
  tblCost[TargetFunded],
  FALSE
 )
)</f>
        <v>0</v>
      </c>
      <c r="Y611" s="26" t="str">
        <f>IFERROR(__xludf.DUMMYFUNCTION("IFERROR(
 TEXTJOIN(
  "", "",
  TRUE,
  FILTER(
   'cost checklist'!$E$2:$E1000&amp;"": ""&amp;'cost checklist'!$G$2:$G1000,
   'cost checklist'!$B$2:$B1000=A611,
   'cost checklist'!$J$2:$J1000=FALSE
  )
 ),
 """"
)"),"beam: 40, coin: 300, page: 10, ruby: 2, stone: 10, thread: 10")</f>
        <v>beam: 40, coin: 300, page: 10, ruby: 2, stone: 10, thread: 10</v>
      </c>
      <c r="Z611" s="26" t="b">
        <f>IFERROR(__xludf.DUMMYFUNCTION("IF(
 AND(
  E611=""QUEST"",
  RIGHT(A611,9)="".accepted"",
  D611=TRUE
 ),
 XLOOKUP(
  REGEXREPLACE(A611,""\.accepted$"","""")&amp;"".finished"",
  $A$2:$A1000,
  $D$2:$D1000,
  TRUE
 )=FALSE,
 FALSE
)"),FALSE)</f>
        <v>0</v>
      </c>
      <c r="AA611" s="26" t="str">
        <f>IFERROR(__xludf.DUMMYFUNCTION("LET(
 id,A611,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2" ht="14.25" customHeight="1">
      <c r="A612" s="26" t="s">
        <v>1920</v>
      </c>
      <c r="B612" s="26" t="str">
        <f t="array" ref="B612">_xlfn.XLOOKUP(
 A612,
 tblTargets[TargetID],
 tblTargets[DisplayName],
 ""
)</f>
        <v>Workshop - Zen Fountain</v>
      </c>
      <c r="C612" s="26" t="str">
        <f t="shared" si="1"/>
        <v>BLOCKED</v>
      </c>
      <c r="D612" s="26" t="b">
        <f>IFERROR(__xludf.DUMMYFUNCTION("LET(
 id,A612,
 IF(
  F612=""CHARACTER"",
  LET(
   base,REGEXREPLACE(id,""@\d+$"",""""),
   required,VALUE(REGEXEXTRACT(id,""@(\d+)$"")),
   current,XLOOKUP(
    base,
    tblPlayer[PlayerStateID],
    tblPlayer[Value],
    0
   ),
   current&gt;=required
 "&amp;" ),
  IF(
   T612=""AUTO"",
   L612=0,
   COUNTIFS(
    tblChecklist[TargetID],id,
    tblChecklist[PlayerCompleted],TRUE
   )&gt;0
  )
 )
)"),FALSE)</f>
        <v>0</v>
      </c>
      <c r="E612" s="26" t="str">
        <f t="array" ref="E612">_xlfn.XLOOKUP(
 A612,
 tblTargets[TargetID],
 tblTargets[TargetType],
 ""
)</f>
        <v>TECH</v>
      </c>
      <c r="F612" s="26" t="str">
        <f t="array" ref="F612">_xlfn.XLOOKUP(
 A612,
 tblTargets[TargetID],
 tblTargets[StateType],
 ""
)</f>
        <v/>
      </c>
      <c r="G612" s="26">
        <f>LET(
 id,A612,
 depCount,COUNTIF(tblDependencies[TargetID],id),
 objCount,COUNTIF(tblQuestObjectives[QuestTargetID],id),
 depCount+objCount
)</f>
        <v>2</v>
      </c>
      <c r="H612" s="26">
        <f t="shared" si="2"/>
        <v>2</v>
      </c>
      <c r="I612" s="26">
        <f>IFERROR(__xludf.DUMMYFUNCTION("LET(
 id,A612,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2" s="26">
        <f t="shared" si="3"/>
        <v>0</v>
      </c>
      <c r="K612" s="26" t="b">
        <f t="shared" si="4"/>
        <v>0</v>
      </c>
      <c r="L612" s="26">
        <f t="shared" si="5"/>
        <v>2</v>
      </c>
      <c r="M612" s="26" t="str">
        <f>IFERROR(__xludf.DUMMYFUNCTION("LET(
 id,A612,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L612=0,
  """",
  IFERROR(INDEX(incomplete,1),"""")"&amp;"
 )
)"),"quest.the_ordinary_days_of_an_adventurer_chapter_2.finished")</f>
        <v>quest.the_ordinary_days_of_an_adventurer_chapter_2.finished</v>
      </c>
      <c r="N612" s="26" t="str">
        <f t="array" ref="N612">IF(
 M612="",
 "",
 _xlfn.XLOOKUP(
  M612,
  tblTargets[TargetID],
  tblTargets[DisplayName],
  M612
 )
)</f>
        <v>The Ordinary Days of an Adventurer Chapter 2 Finished</v>
      </c>
      <c r="O612" s="26" t="str">
        <f>IFERROR(__xludf.DUMMYFUNCTION("SWITCH(
 E612,
 ""BUILDING"",XLOOKUP(A612,tblBuildings[BuildingID],tblBuildings[costtext],""""),
 ""TECH"",XLOOKUP(A612,tblTechnologies[TechnologyID],tblTechnologies[costtext],""""),
 ""QUEST"",XLOOKUP(
  REGEXREPLACE(A612,""\.[^.]+$"",""""),
  tblQuests["&amp;"QuestID],
  tblQuests[Costtext],
  """"
 ),
 ""CITADEL"",XLOOKUP(A612,tblCitadel[CitadelID],tblCitadel[costtext],""""),
 ""COLLECTION"",XLOOKUP(A612,tblCollections[CollectionID],tblCollections[costtext],""""),
 ""CRAFTIFACT"",XLOOKUP(A612,tblCraftifacts[C"&amp;"raftifactID],tblCraftifacts[costtext],""""),
 """"
)"),"30 bamboo,1000 coin,10 grimoire,5 ruby,100 stone,20 thread")</f>
        <v>30 bamboo,1000 coin,10 grimoire,5 ruby,100 stone,20 thread</v>
      </c>
      <c r="P612" s="26" t="str">
        <f t="shared" si="6"/>
        <v>BLOCKED</v>
      </c>
      <c r="Q612" s="26" t="str">
        <f t="shared" si="7"/>
        <v>BLOCKED</v>
      </c>
      <c r="R612" s="26" t="str">
        <f t="array" ref="R612">IFERROR(
 _xlfn.XLOOKUP(
  A612,
  tblChecklist[TargetID],
  tblChecklist[PlayerSort],
  ""
 ),
 ""
)</f>
        <v/>
      </c>
      <c r="S612" s="26" t="str">
        <f>IFERROR(__xludf.DUMMYFUNCTION("LET(
 id,A612,
 successorIDs,
  IFERROR(
   UNIQUE(
    FILTER(
     {
      Dependencies!$A$2:$A$1000;
      QuestObjectives!$A$2:$A$1000
     },
     {
      Dependencies!$B$2:$B$1000;
      QuestObjectives!$E$2:$E$1000
     }=id
    )
   ),
   """"
  )"&amp;",
 names,
  MAP(
   successorIDs,
   LAMBDA(s,
    IF(
     s="""",
     """",
     XLOOKUP(
      s,
      $A$2:$A$1000,
      $B$2:$B$1000,
      s
     )
    )
   )
  ),
 IF(
  successorIDs="""",
  """",
  TEXTJOIN("", "",TRUE,names)
 )
)"),"")</f>
        <v/>
      </c>
      <c r="T612" s="26" t="str">
        <f t="array" ref="T612">_xlfn.XLOOKUP(
 A612,
 tblTargets[TargetID],
 tblTargets[CompletionMethod],
 ""
)</f>
        <v>PLAYER</v>
      </c>
      <c r="U612" s="84" t="b">
        <f>COUNTIF(tblCost[TargetID],A612)&gt;0</f>
        <v>1</v>
      </c>
      <c r="V612" s="85">
        <f t="array" ref="V612">IF(
 U612=FALSE,
 "",
 _xlfn.XLOOKUP(
  A612,
  tblCost[TargetID],
  tblCost[FundingPercent],
  ""
 )
)</f>
        <v>0</v>
      </c>
      <c r="W612" s="26">
        <f t="array" ref="W612">IF(
 U612=FALSE,
 "",
 _xlfn.XLOOKUP(
  A612,
  tblCost[TargetID],
  tblCost[RemainingRequirements],
  ""
 )
)</f>
        <v>6</v>
      </c>
      <c r="X612" s="45" t="b">
        <f t="array" ref="X612">IF(
 U612=FALSE,
 "N/A",
 _xlfn.XLOOKUP(
  A613,
  tblCost[TargetID],
  tblCost[TargetFunded],
  FALSE
 )
)</f>
        <v>0</v>
      </c>
      <c r="Y612" s="26" t="str">
        <f>IFERROR(__xludf.DUMMYFUNCTION("IFERROR(
 TEXTJOIN(
  "", "",
  TRUE,
  FILTER(
   'cost checklist'!$E$2:$E1000&amp;"": ""&amp;'cost checklist'!$G$2:$G1000,
   'cost checklist'!$B$2:$B1000=A612,
   'cost checklist'!$J$2:$J1000=FALSE
  )
 ),
 """"
)"),"bamboo: 30, coin: 1000, grimoire: 10, ruby: 5, stone: 100, thread: 20")</f>
        <v>bamboo: 30, coin: 1000, grimoire: 10, ruby: 5, stone: 100, thread: 20</v>
      </c>
      <c r="Z612" s="26" t="b">
        <f>IFERROR(__xludf.DUMMYFUNCTION("IF(
 AND(
  E612=""QUEST"",
  RIGHT(A612,9)="".accepted"",
  D612=TRUE
 ),
 XLOOKUP(
  REGEXREPLACE(A612,""\.accepted$"","""")&amp;"".finished"",
  $A$2:$A1000,
  $D$2:$D1000,
  TRUE
 )=FALSE,
 FALSE
)"),FALSE)</f>
        <v>0</v>
      </c>
      <c r="AA612" s="26" t="str">
        <f>IFERROR(__xludf.DUMMYFUNCTION("LET(
 id,A612,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3" ht="14.25" customHeight="1">
      <c r="A613" s="26" t="s">
        <v>1711</v>
      </c>
      <c r="B613" s="26" t="str">
        <f t="array" ref="B613">_xlfn.XLOOKUP(
 A613,
 tblTargets[TargetID],
 tblTargets[DisplayName],
 ""
)</f>
        <v>Complete Dungeon 5C second </v>
      </c>
      <c r="C613" s="26" t="str">
        <f t="shared" si="1"/>
        <v>BLOCKED</v>
      </c>
      <c r="D613" s="26" t="b">
        <f>IFERROR(__xludf.DUMMYFUNCTION("LET(
 id,A613,
 IF(
  F613=""CHARACTER"",
  LET(
   base,REGEXREPLACE(id,""@\d+$"",""""),
   required,VALUE(REGEXEXTRACT(id,""@(\d+)$"")),
   current,XLOOKUP(
    base,
    tblPlayer[PlayerStateID],
    tblPlayer[Value],
    0
   ),
   current&gt;=required
 "&amp;" ),
  IF(
   T613=""AUTO"",
   L613=0,
   COUNTIFS(
    tblChecklist[TargetID],id,
    tblChecklist[PlayerCompleted],TRUE
   )&gt;0
  )
 )
)"),FALSE)</f>
        <v>0</v>
      </c>
      <c r="E613" s="26" t="str">
        <f t="array" ref="E613">_xlfn.XLOOKUP(
 A613,
 tblTargets[TargetID],
 tblTargets[TargetType],
 ""
)</f>
        <v>STATE</v>
      </c>
      <c r="F613" s="26" t="str">
        <f t="array" ref="F613">_xlfn.XLOOKUP(
 A613,
 tblTargets[TargetID],
 tblTargets[StateType],
 ""
)</f>
        <v>COMPLETE</v>
      </c>
      <c r="G613" s="26">
        <f>LET(
 id,A613,
 depCount,COUNTIF(tblDependencies[TargetID],id),
 objCount,COUNTIF(tblQuestObjectives[QuestTargetID],id),
 depCount+objCount
)</f>
        <v>1</v>
      </c>
      <c r="H613" s="26">
        <f t="shared" si="2"/>
        <v>1</v>
      </c>
      <c r="I613" s="26">
        <f>IFERROR(__xludf.DUMMYFUNCTION("LET(
 id,A613,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3" s="26">
        <f t="shared" si="3"/>
        <v>0</v>
      </c>
      <c r="K613" s="26" t="b">
        <f t="shared" si="4"/>
        <v>0</v>
      </c>
      <c r="L613" s="26">
        <f t="shared" si="5"/>
        <v>1</v>
      </c>
      <c r="M613" s="26" t="str">
        <f>IFERROR(__xludf.DUMMYFUNCTION("LET(
 id,A613,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L613=0,
  """",
  IFERROR(INDEX(incomplete,1),"""")"&amp;"
 )
)"),"quest.undead_revenge.accepted")</f>
        <v>quest.undead_revenge.accepted</v>
      </c>
      <c r="N613" s="26" t="str">
        <f t="array" ref="N613">IF(
 M613="",
 "",
 _xlfn.XLOOKUP(
  M613,
  tblTargets[TargetID],
  tblTargets[DisplayName],
  M613
 )
)</f>
        <v>Undead Revenge Accepted</v>
      </c>
      <c r="O613" s="26" t="str">
        <f>IFERROR(__xludf.DUMMYFUNCTION("SWITCH(
 E613,
 ""BUILDING"",XLOOKUP(A613,tblBuildings[BuildingID],tblBuildings[costtext],""""),
 ""TECH"",XLOOKUP(A613,tblTechnologies[TechnologyID],tblTechnologies[costtext],""""),
 ""QUEST"",XLOOKUP(
  REGEXREPLACE(A613,""\.[^.]+$"",""""),
  tblQuests["&amp;"QuestID],
  tblQuests[Costtext],
  """"
 ),
 ""CITADEL"",XLOOKUP(A613,tblCitadel[CitadelID],tblCitadel[costtext],""""),
 ""COLLECTION"",XLOOKUP(A613,tblCollections[CollectionID],tblCollections[costtext],""""),
 ""CRAFTIFACT"",XLOOKUP(A613,tblCraftifacts[C"&amp;"raftifactID],tblCraftifacts[costtext],""""),
 """"
)"),"")</f>
        <v/>
      </c>
      <c r="P613" s="26" t="str">
        <f t="shared" si="6"/>
        <v>BLOCKED</v>
      </c>
      <c r="Q613" s="26" t="str">
        <f t="shared" si="7"/>
        <v>BLOCKED</v>
      </c>
      <c r="R613" s="26" t="str">
        <f t="array" ref="R613">IFERROR(
 _xlfn.XLOOKUP(
  A613,
  tblChecklist[TargetID],
  tblChecklist[PlayerSort],
  ""
 ),
 ""
)</f>
        <v/>
      </c>
      <c r="S613" s="26" t="str">
        <f>IFERROR(__xludf.DUMMYFUNCTION("LET(
 id,A613,
 successorIDs,
  IFERROR(
   UNIQUE(
    FILTER(
     {
      Dependencies!$A$2:$A$1000;
      QuestObjectives!$A$2:$A$1000
     },
     {
      Dependencies!$B$2:$B$1000;
      QuestObjectives!$E$2:$E$1000
     }=id
    )
   ),
   """"
  )"&amp;",
 names,
  MAP(
   successorIDs,
   LAMBDA(s,
    IF(
     s="""",
     """",
     XLOOKUP(
      s,
      $A$2:$A$1000,
      $B$2:$B$1000,
      s
     )
    )
   )
  ),
 IF(
  successorIDs="""",
  """",
  TEXTJOIN("", "",TRUE,names)
 )
)"),"Undead Revenge Finished")</f>
        <v>Undead Revenge Finished</v>
      </c>
      <c r="T613" s="26" t="str">
        <f t="array" ref="T613">_xlfn.XLOOKUP(
 A613,
 tblTargets[TargetID],
 tblTargets[CompletionMethod],
 ""
)</f>
        <v>PLAYER</v>
      </c>
      <c r="U613" s="84" t="b">
        <f>COUNTIF(tblCost[TargetID],A613)&gt;0</f>
        <v>0</v>
      </c>
      <c r="V613" s="85" t="str">
        <f t="array" ref="V613">IF(
 U613=FALSE,
 "",
 _xlfn.XLOOKUP(
  A613,
  tblCost[TargetID],
  tblCost[FundingPercent],
  ""
 )
)</f>
        <v/>
      </c>
      <c r="W613" s="26" t="str">
        <f t="array" ref="W613">IF(
 U613=FALSE,
 "",
 _xlfn.XLOOKUP(
  A613,
  tblCost[TargetID],
  tblCost[RemainingRequirements],
  ""
 )
)</f>
        <v/>
      </c>
      <c r="X613" s="45" t="str">
        <f t="array" ref="X613">IF(
 U613=FALSE,
 "N/A",
 _xlfn.XLOOKUP(
  A614,
  tblCost[TargetID],
  tblCost[TargetFunded],
  FALSE
 )
)</f>
        <v>N/A</v>
      </c>
      <c r="Y613" s="26" t="str">
        <f>IFERROR(__xludf.DUMMYFUNCTION("IFERROR(
 TEXTJOIN(
  "", "",
  TRUE,
  FILTER(
   'cost checklist'!$E$2:$E1000&amp;"": ""&amp;'cost checklist'!$G$2:$G1000,
   'cost checklist'!$B$2:$B1000=A613,
   'cost checklist'!$J$2:$J1000=FALSE
  )
 ),
 """"
)"),"")</f>
        <v/>
      </c>
      <c r="Z613" s="26" t="b">
        <f>IFERROR(__xludf.DUMMYFUNCTION("IF(
 AND(
  E613=""QUEST"",
  RIGHT(A613,9)="".accepted"",
  D613=TRUE
 ),
 XLOOKUP(
  REGEXREPLACE(A613,""\.accepted$"","""")&amp;"".finished"",
  $A$2:$A1000,
  $D$2:$D1000,
  TRUE
 )=FALSE,
 FALSE
)"),FALSE)</f>
        <v>0</v>
      </c>
      <c r="AA613" s="26" t="str">
        <f>IFERROR(__xludf.DUMMYFUNCTION("LET(
 id,A613,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4" ht="14.25" customHeight="1">
      <c r="A614" s="26" t="s">
        <v>2004</v>
      </c>
      <c r="B614" s="26" t="str">
        <f t="array" ref="B614">_xlfn.XLOOKUP(
 A614,
 tblTargets[TargetID],
 tblTargets[DisplayName],
 ""
)</f>
        <v>Obtain Pirate hat</v>
      </c>
      <c r="C614" s="26" t="str">
        <f t="shared" si="1"/>
        <v>BLOCKED</v>
      </c>
      <c r="D614" s="26" t="b">
        <f>IFERROR(__xludf.DUMMYFUNCTION("LET(
 id,A614,
 IF(
  F614=""CHARACTER"",
  LET(
   base,REGEXREPLACE(id,""@\d+$"",""""),
   required,VALUE(REGEXEXTRACT(id,""@(\d+)$"")),
   current,XLOOKUP(
    base,
    tblPlayer[PlayerStateID],
    tblPlayer[Value],
    0
   ),
   current&gt;=required
 "&amp;" ),
  IF(
   T614=""AUTO"",
   L614=0,
   COUNTIFS(
    tblChecklist[TargetID],id,
    tblChecklist[PlayerCompleted],TRUE
   )&gt;0
  )
 )
)"),FALSE)</f>
        <v>0</v>
      </c>
      <c r="E614" s="26" t="str">
        <f t="array" ref="E614">_xlfn.XLOOKUP(
 A614,
 tblTargets[TargetID],
 tblTargets[TargetType],
 ""
)</f>
        <v>STATE</v>
      </c>
      <c r="F614" s="26" t="str">
        <f t="array" ref="F614">_xlfn.XLOOKUP(
 A614,
 tblTargets[TargetID],
 tblTargets[StateType],
 ""
)</f>
        <v>OBTAIN</v>
      </c>
      <c r="G614" s="26">
        <f>LET(
 id,A614,
 depCount,COUNTIF(tblDependencies[TargetID],id),
 objCount,COUNTIF(tblQuestObjectives[QuestTargetID],id),
 depCount+objCount
)</f>
        <v>1</v>
      </c>
      <c r="H614" s="26">
        <f t="shared" si="2"/>
        <v>1</v>
      </c>
      <c r="I614" s="26">
        <f>IFERROR(__xludf.DUMMYFUNCTION("LET(
 id,A614,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4" s="26">
        <f t="shared" si="3"/>
        <v>0</v>
      </c>
      <c r="K614" s="26" t="b">
        <f t="shared" si="4"/>
        <v>0</v>
      </c>
      <c r="L614" s="26">
        <f t="shared" si="5"/>
        <v>1</v>
      </c>
      <c r="M614" s="26" t="str">
        <f>IFERROR(__xludf.DUMMYFUNCTION("LET(
 id,A614,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L614=0,
  """",
  IFERROR(INDEX(incomplete,1),"""")"&amp;"
 )
)"),"state.obtain_smugglers_map_100_beans")</f>
        <v>state.obtain_smugglers_map_100_beans</v>
      </c>
      <c r="N614" s="26" t="str">
        <f t="array" ref="N614">IF(
 M614="",
 "",
 _xlfn.XLOOKUP(
  M614,
  tblTargets[TargetID],
  tblTargets[DisplayName],
  M614
 )
)</f>
        <v>Purchase Smuggler's map for 100 coffee beans</v>
      </c>
      <c r="O614" s="26" t="str">
        <f>IFERROR(__xludf.DUMMYFUNCTION("SWITCH(
 E614,
 ""BUILDING"",XLOOKUP(A614,tblBuildings[BuildingID],tblBuildings[costtext],""""),
 ""TECH"",XLOOKUP(A614,tblTechnologies[TechnologyID],tblTechnologies[costtext],""""),
 ""QUEST"",XLOOKUP(
  REGEXREPLACE(A614,""\.[^.]+$"",""""),
  tblQuests["&amp;"QuestID],
  tblQuests[Costtext],
  """"
 ),
 ""CITADEL"",XLOOKUP(A614,tblCitadel[CitadelID],tblCitadel[costtext],""""),
 ""COLLECTION"",XLOOKUP(A614,tblCollections[CollectionID],tblCollections[costtext],""""),
 ""CRAFTIFACT"",XLOOKUP(A614,tblCraftifacts[C"&amp;"raftifactID],tblCraftifacts[costtext],""""),
 """"
)"),"")</f>
        <v/>
      </c>
      <c r="P614" s="26" t="str">
        <f t="shared" si="6"/>
        <v>BLOCKED</v>
      </c>
      <c r="Q614" s="26" t="str">
        <f t="shared" si="7"/>
        <v>BLOCKED</v>
      </c>
      <c r="R614" s="26" t="str">
        <f t="array" ref="R614">IFERROR(
 _xlfn.XLOOKUP(
  A614,
  tblChecklist[TargetID],
  tblChecklist[PlayerSort],
  ""
 ),
 ""
)</f>
        <v/>
      </c>
      <c r="S614" s="26" t="str">
        <f>IFERROR(__xludf.DUMMYFUNCTION("LET(
 id,A614,
 successorIDs,
  IFERROR(
   UNIQUE(
    FILTER(
     {
      Dependencies!$A$2:$A$1000;
      QuestObjectives!$A$2:$A$1000
     },
     {
      Dependencies!$B$2:$B$1000;
      QuestObjectives!$E$2:$E$1000
     }=id
    )
   ),
   """"
  )"&amp;",
 names,
  MAP(
   successorIDs,
   LAMBDA(s,
    IF(
     s="""",
     """",
     XLOOKUP(
      s,
      $A$2:$A$1000,
      $B$2:$B$1000,
      s
     )
    )
   )
  ),
 IF(
  successorIDs="""",
  """",
  TEXTJOIN("", "",TRUE,names)
 )
)"),"Shogun's Katana Chapter 3 Finished")</f>
        <v>Shogun's Katana Chapter 3 Finished</v>
      </c>
      <c r="T614" s="26" t="str">
        <f t="array" ref="T614">_xlfn.XLOOKUP(
 A614,
 tblTargets[TargetID],
 tblTargets[CompletionMethod],
 ""
)</f>
        <v>PLAYER</v>
      </c>
      <c r="U614" s="84" t="b">
        <f>COUNTIF(tblCost[TargetID],A614)&gt;0</f>
        <v>0</v>
      </c>
      <c r="V614" s="85" t="str">
        <f t="array" ref="V614">IF(
 U614=FALSE,
 "",
 _xlfn.XLOOKUP(
  A614,
  tblCost[TargetID],
  tblCost[FundingPercent],
  ""
 )
)</f>
        <v/>
      </c>
      <c r="W614" s="26" t="str">
        <f t="array" ref="W614">IF(
 U614=FALSE,
 "",
 _xlfn.XLOOKUP(
  A614,
  tblCost[TargetID],
  tblCost[RemainingRequirements],
  ""
 )
)</f>
        <v/>
      </c>
      <c r="X614" s="45" t="str">
        <f t="array" ref="X614">IF(
 U614=FALSE,
 "N/A",
 _xlfn.XLOOKUP(
  A615,
  tblCost[TargetID],
  tblCost[TargetFunded],
  FALSE
 )
)</f>
        <v>N/A</v>
      </c>
      <c r="Y614" s="26" t="str">
        <f>IFERROR(__xludf.DUMMYFUNCTION("IFERROR(
 TEXTJOIN(
  "", "",
  TRUE,
  FILTER(
   'cost checklist'!$E$2:$E1000&amp;"": ""&amp;'cost checklist'!$G$2:$G1000,
   'cost checklist'!$B$2:$B1000=A614,
   'cost checklist'!$J$2:$J1000=FALSE
  )
 ),
 """"
)"),"")</f>
        <v/>
      </c>
      <c r="Z614" s="26" t="b">
        <f>IFERROR(__xludf.DUMMYFUNCTION("IF(
 AND(
  E614=""QUEST"",
  RIGHT(A614,9)="".accepted"",
  D614=TRUE
 ),
 XLOOKUP(
  REGEXREPLACE(A614,""\.accepted$"","""")&amp;"".finished"",
  $A$2:$A1000,
  $D$2:$D1000,
  TRUE
 )=FALSE,
 FALSE
)"),FALSE)</f>
        <v>0</v>
      </c>
      <c r="AA614" s="26" t="str">
        <f>IFERROR(__xludf.DUMMYFUNCTION("LET(
 id,A614,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5" ht="14.25" customHeight="1">
      <c r="A615" s="26" t="s">
        <v>1992</v>
      </c>
      <c r="B615" s="26" t="str">
        <f t="array" ref="B615">_xlfn.XLOOKUP(
 A615,
 tblTargets[TargetID],
 tblTargets[DisplayName],
 ""
)</f>
        <v>Obtain Black Pearl</v>
      </c>
      <c r="C615" s="26" t="str">
        <f t="shared" si="1"/>
        <v>BLOCKED</v>
      </c>
      <c r="D615" s="26" t="b">
        <f>IFERROR(__xludf.DUMMYFUNCTION("LET(
 id,A615,
 IF(
  F615=""CHARACTER"",
  LET(
   base,REGEXREPLACE(id,""@\d+$"",""""),
   required,VALUE(REGEXEXTRACT(id,""@(\d+)$"")),
   current,XLOOKUP(
    base,
    tblPlayer[PlayerStateID],
    tblPlayer[Value],
    0
   ),
   current&gt;=required
 "&amp;" ),
  IF(
   T615=""AUTO"",
   L615=0,
   COUNTIFS(
    tblChecklist[TargetID],id,
    tblChecklist[PlayerCompleted],TRUE
   )&gt;0
  )
 )
)"),FALSE)</f>
        <v>0</v>
      </c>
      <c r="E615" s="26" t="str">
        <f t="array" ref="E615">_xlfn.XLOOKUP(
 A615,
 tblTargets[TargetID],
 tblTargets[TargetType],
 ""
)</f>
        <v>STATE</v>
      </c>
      <c r="F615" s="26" t="str">
        <f t="array" ref="F615">_xlfn.XLOOKUP(
 A615,
 tblTargets[TargetID],
 tblTargets[StateType],
 ""
)</f>
        <v>OBTAIN</v>
      </c>
      <c r="G615" s="26">
        <f>LET(
 id,A615,
 depCount,COUNTIF(tblDependencies[TargetID],id),
 objCount,COUNTIF(tblQuestObjectives[QuestTargetID],id),
 depCount+objCount
)</f>
        <v>1</v>
      </c>
      <c r="H615" s="26">
        <f t="shared" si="2"/>
        <v>1</v>
      </c>
      <c r="I615" s="26">
        <f>IFERROR(__xludf.DUMMYFUNCTION("LET(
 id,A615,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5" s="26">
        <f t="shared" si="3"/>
        <v>0</v>
      </c>
      <c r="K615" s="26" t="b">
        <f t="shared" si="4"/>
        <v>0</v>
      </c>
      <c r="L615" s="26">
        <f t="shared" si="5"/>
        <v>1</v>
      </c>
      <c r="M615" s="26" t="str">
        <f>IFERROR(__xludf.DUMMYFUNCTION("LET(
 id,A615,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L615=0,
  """",
  IFERROR(INDEX(incomplete,1),"""")"&amp;"
 )
)"),"state.obtain_smugglers_map_15_pearl")</f>
        <v>state.obtain_smugglers_map_15_pearl</v>
      </c>
      <c r="N615" s="26" t="str">
        <f t="array" ref="N615">IF(
 M615="",
 "",
 _xlfn.XLOOKUP(
  M615,
  tblTargets[TargetID],
  tblTargets[DisplayName],
  M615
 )
)</f>
        <v>Purchase Smuggler's map for 15 pearl</v>
      </c>
      <c r="O615" s="26" t="str">
        <f>IFERROR(__xludf.DUMMYFUNCTION("SWITCH(
 E615,
 ""BUILDING"",XLOOKUP(A615,tblBuildings[BuildingID],tblBuildings[costtext],""""),
 ""TECH"",XLOOKUP(A615,tblTechnologies[TechnologyID],tblTechnologies[costtext],""""),
 ""QUEST"",XLOOKUP(
  REGEXREPLACE(A615,""\.[^.]+$"",""""),
  tblQuests["&amp;"QuestID],
  tblQuests[Costtext],
  """"
 ),
 ""CITADEL"",XLOOKUP(A615,tblCitadel[CitadelID],tblCitadel[costtext],""""),
 ""COLLECTION"",XLOOKUP(A615,tblCollections[CollectionID],tblCollections[costtext],""""),
 ""CRAFTIFACT"",XLOOKUP(A615,tblCraftifacts[C"&amp;"raftifactID],tblCraftifacts[costtext],""""),
 """"
)"),"")</f>
        <v/>
      </c>
      <c r="P615" s="26" t="str">
        <f t="shared" si="6"/>
        <v>BLOCKED</v>
      </c>
      <c r="Q615" s="26" t="str">
        <f t="shared" si="7"/>
        <v>BLOCKED</v>
      </c>
      <c r="R615" s="26" t="str">
        <f t="array" ref="R615">IFERROR(
 _xlfn.XLOOKUP(
  A615,
  tblChecklist[TargetID],
  tblChecklist[PlayerSort],
  ""
 ),
 ""
)</f>
        <v/>
      </c>
      <c r="S615" s="26" t="str">
        <f>IFERROR(__xludf.DUMMYFUNCTION("LET(
 id,A615,
 successorIDs,
  IFERROR(
   UNIQUE(
    FILTER(
     {
      Dependencies!$A$2:$A$1000;
      QuestObjectives!$A$2:$A$1000
     },
     {
      Dependencies!$B$2:$B$1000;
      QuestObjectives!$E$2:$E$1000
     }=id
    )
   ),
   """"
  )"&amp;",
 names,
  MAP(
   successorIDs,
   LAMBDA(s,
    IF(
     s="""",
     """",
     XLOOKUP(
      s,
      $A$2:$A$1000,
      $B$2:$B$1000,
      s
     )
    )
   )
  ),
 IF(
  successorIDs="""",
  """",
  TEXTJOIN("", "",TRUE,names)
 )
)"),"Shogun's Katana Chapter 5 Finished")</f>
        <v>Shogun's Katana Chapter 5 Finished</v>
      </c>
      <c r="T615" s="26" t="str">
        <f t="array" ref="T615">_xlfn.XLOOKUP(
 A615,
 tblTargets[TargetID],
 tblTargets[CompletionMethod],
 ""
)</f>
        <v>PLAYER</v>
      </c>
      <c r="U615" s="84" t="b">
        <f>COUNTIF(tblCost[TargetID],A615)&gt;0</f>
        <v>0</v>
      </c>
      <c r="V615" s="85" t="str">
        <f t="array" ref="V615">IF(
 U615=FALSE,
 "",
 _xlfn.XLOOKUP(
  A615,
  tblCost[TargetID],
  tblCost[FundingPercent],
  ""
 )
)</f>
        <v/>
      </c>
      <c r="W615" s="26" t="str">
        <f t="array" ref="W615">IF(
 U615=FALSE,
 "",
 _xlfn.XLOOKUP(
  A615,
  tblCost[TargetID],
  tblCost[RemainingRequirements],
  ""
 )
)</f>
        <v/>
      </c>
      <c r="X615" s="45" t="str">
        <f t="array" ref="X615">IF(
 U615=FALSE,
 "N/A",
 _xlfn.XLOOKUP(
  A616,
  tblCost[TargetID],
  tblCost[TargetFunded],
  FALSE
 )
)</f>
        <v>N/A</v>
      </c>
      <c r="Y615" s="26" t="str">
        <f>IFERROR(__xludf.DUMMYFUNCTION("IFERROR(
 TEXTJOIN(
  "", "",
  TRUE,
  FILTER(
   'cost checklist'!$E$2:$E1000&amp;"": ""&amp;'cost checklist'!$G$2:$G1000,
   'cost checklist'!$B$2:$B1000=A615,
   'cost checklist'!$J$2:$J1000=FALSE
  )
 ),
 """"
)"),"")</f>
        <v/>
      </c>
      <c r="Z615" s="26" t="b">
        <f>IFERROR(__xludf.DUMMYFUNCTION("IF(
 AND(
  E615=""QUEST"",
  RIGHT(A615,9)="".accepted"",
  D615=TRUE
 ),
 XLOOKUP(
  REGEXREPLACE(A615,""\.accepted$"","""")&amp;"".finished"",
  $A$2:$A1000,
  $D$2:$D1000,
  TRUE
 )=FALSE,
 FALSE
)"),FALSE)</f>
        <v>0</v>
      </c>
      <c r="AA615" s="26" t="str">
        <f>IFERROR(__xludf.DUMMYFUNCTION("LET(
 id,A615,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6" ht="14.25" customHeight="1">
      <c r="A616" s="26" t="s">
        <v>2017</v>
      </c>
      <c r="B616" s="26" t="str">
        <f t="array" ref="B616">_xlfn.XLOOKUP(
 A616,
 tblTargets[TargetID],
 tblTargets[DisplayName],
 ""
)</f>
        <v>Obtain Shogun's Mortar</v>
      </c>
      <c r="C616" s="26" t="str">
        <f t="shared" si="1"/>
        <v>BLOCKED</v>
      </c>
      <c r="D616" s="26" t="b">
        <f>IFERROR(__xludf.DUMMYFUNCTION("LET(
 id,A616,
 IF(
  F616=""CHARACTER"",
  LET(
   base,REGEXREPLACE(id,""@\d+$"",""""),
   required,VALUE(REGEXEXTRACT(id,""@(\d+)$"")),
   current,XLOOKUP(
    base,
    tblPlayer[PlayerStateID],
    tblPlayer[Value],
    0
   ),
   current&gt;=required
 "&amp;" ),
  IF(
   T616=""AUTO"",
   L616=0,
   COUNTIFS(
    tblChecklist[TargetID],id,
    tblChecklist[PlayerCompleted],TRUE
   )&gt;0
  )
 )
)"),FALSE)</f>
        <v>0</v>
      </c>
      <c r="E616" s="26" t="str">
        <f t="array" ref="E616">_xlfn.XLOOKUP(
 A616,
 tblTargets[TargetID],
 tblTargets[TargetType],
 ""
)</f>
        <v>STATE</v>
      </c>
      <c r="F616" s="26" t="str">
        <f t="array" ref="F616">_xlfn.XLOOKUP(
 A616,
 tblTargets[TargetID],
 tblTargets[StateType],
 ""
)</f>
        <v>OBTAIN</v>
      </c>
      <c r="G616" s="26">
        <f>LET(
 id,A616,
 depCount,COUNTIF(tblDependencies[TargetID],id),
 objCount,COUNTIF(tblQuestObjectives[QuestTargetID],id),
 depCount+objCount
)</f>
        <v>1</v>
      </c>
      <c r="H616" s="26">
        <f t="shared" si="2"/>
        <v>1</v>
      </c>
      <c r="I616" s="26">
        <f>IFERROR(__xludf.DUMMYFUNCTION("LET(
 id,A616,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6" s="26">
        <f t="shared" si="3"/>
        <v>0</v>
      </c>
      <c r="K616" s="26" t="b">
        <f t="shared" si="4"/>
        <v>0</v>
      </c>
      <c r="L616" s="26">
        <f t="shared" si="5"/>
        <v>1</v>
      </c>
      <c r="M616" s="26" t="str">
        <f>IFERROR(__xludf.DUMMYFUNCTION("LET(
 id,A616,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L616=0,
  """",
  IFERROR(INDEX(incomplete,1),"""")"&amp;"
 )
)"),"state.obtain_map4")</f>
        <v>state.obtain_map4</v>
      </c>
      <c r="N616" s="26" t="str">
        <f t="array" ref="N616">IF(
 M616="",
 "",
 _xlfn.XLOOKUP(
  M616,
  tblTargets[TargetID],
  tblTargets[DisplayName],
  M616
 )
)</f>
        <v>Craft level 4 map</v>
      </c>
      <c r="O616" s="26" t="str">
        <f>IFERROR(__xludf.DUMMYFUNCTION("SWITCH(
 E616,
 ""BUILDING"",XLOOKUP(A616,tblBuildings[BuildingID],tblBuildings[costtext],""""),
 ""TECH"",XLOOKUP(A616,tblTechnologies[TechnologyID],tblTechnologies[costtext],""""),
 ""QUEST"",XLOOKUP(
  REGEXREPLACE(A616,""\.[^.]+$"",""""),
  tblQuests["&amp;"QuestID],
  tblQuests[Costtext],
  """"
 ),
 ""CITADEL"",XLOOKUP(A616,tblCitadel[CitadelID],tblCitadel[costtext],""""),
 ""COLLECTION"",XLOOKUP(A616,tblCollections[CollectionID],tblCollections[costtext],""""),
 ""CRAFTIFACT"",XLOOKUP(A616,tblCraftifacts[C"&amp;"raftifactID],tblCraftifacts[costtext],""""),
 """"
)"),"")</f>
        <v/>
      </c>
      <c r="P616" s="26" t="str">
        <f t="shared" si="6"/>
        <v>BLOCKED</v>
      </c>
      <c r="Q616" s="26" t="str">
        <f t="shared" si="7"/>
        <v>BLOCKED</v>
      </c>
      <c r="R616" s="26" t="str">
        <f t="array" ref="R616">IFERROR(
 _xlfn.XLOOKUP(
  A616,
  tblChecklist[TargetID],
  tblChecklist[PlayerSort],
  ""
 ),
 ""
)</f>
        <v/>
      </c>
      <c r="S616" s="26" t="str">
        <f>IFERROR(__xludf.DUMMYFUNCTION("LET(
 id,A616,
 successorIDs,
  IFERROR(
   UNIQUE(
    FILTER(
     {
      Dependencies!$A$2:$A$1000;
      QuestObjectives!$A$2:$A$1000
     },
     {
      Dependencies!$B$2:$B$1000;
      QuestObjectives!$E$2:$E$1000
     }=id
    )
   ),
   """"
  )"&amp;",
 names,
  MAP(
   successorIDs,
   LAMBDA(s,
    IF(
     s="""",
     """",
     XLOOKUP(
      s,
      $A$2:$A$1000,
      $B$2:$B$1000,
      s
     )
    )
   )
  ),
 IF(
  successorIDs="""",
  """",
  TEXTJOIN("", "",TRUE,names)
 )
)"),"Shogun's Katana Chapter 6 Finished")</f>
        <v>Shogun's Katana Chapter 6 Finished</v>
      </c>
      <c r="T616" s="26" t="str">
        <f t="array" ref="T616">_xlfn.XLOOKUP(
 A616,
 tblTargets[TargetID],
 tblTargets[CompletionMethod],
 ""
)</f>
        <v>PLAYER</v>
      </c>
      <c r="U616" s="84" t="b">
        <f>COUNTIF(tblCost[TargetID],A616)&gt;0</f>
        <v>0</v>
      </c>
      <c r="V616" s="85" t="str">
        <f t="array" ref="V616">IF(
 U616=FALSE,
 "",
 _xlfn.XLOOKUP(
  A616,
  tblCost[TargetID],
  tblCost[FundingPercent],
  ""
 )
)</f>
        <v/>
      </c>
      <c r="W616" s="26" t="str">
        <f t="array" ref="W616">IF(
 U616=FALSE,
 "",
 _xlfn.XLOOKUP(
  A616,
  tblCost[TargetID],
  tblCost[RemainingRequirements],
  ""
 )
)</f>
        <v/>
      </c>
      <c r="X616" s="45" t="str">
        <f t="array" ref="X616">IF(
 U616=FALSE,
 "N/A",
 _xlfn.XLOOKUP(
  A617,
  tblCost[TargetID],
  tblCost[TargetFunded],
  FALSE
 )
)</f>
        <v>N/A</v>
      </c>
      <c r="Y616" s="26" t="str">
        <f>IFERROR(__xludf.DUMMYFUNCTION("IFERROR(
 TEXTJOIN(
  "", "",
  TRUE,
  FILTER(
   'cost checklist'!$E$2:$E1000&amp;"": ""&amp;'cost checklist'!$G$2:$G1000,
   'cost checklist'!$B$2:$B1000=A616,
   'cost checklist'!$J$2:$J1000=FALSE
  )
 ),
 """"
)"),"")</f>
        <v/>
      </c>
      <c r="Z616" s="26" t="b">
        <f>IFERROR(__xludf.DUMMYFUNCTION("IF(
 AND(
  E616=""QUEST"",
  RIGHT(A616,9)="".accepted"",
  D616=TRUE
 ),
 XLOOKUP(
  REGEXREPLACE(A616,""\.accepted$"","""")&amp;"".finished"",
  $A$2:$A1000,
  $D$2:$D1000,
  TRUE
 )=FALSE,
 FALSE
)"),FALSE)</f>
        <v>0</v>
      </c>
      <c r="AA616" s="26" t="str">
        <f>IFERROR(__xludf.DUMMYFUNCTION("LET(
 id,A616,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7" ht="14.25" customHeight="1">
      <c r="A617" s="26" t="s">
        <v>1676</v>
      </c>
      <c r="B617" s="26" t="str">
        <f t="array" ref="B617">_xlfn.XLOOKUP(
 A617,
 tblTargets[TargetID],
 tblTargets[DisplayName],
 ""
)</f>
        <v>Complete Dungeon 1A</v>
      </c>
      <c r="C617" s="26" t="str">
        <f t="shared" si="1"/>
        <v>BLOCKED</v>
      </c>
      <c r="D617" s="26" t="b">
        <f>IFERROR(__xludf.DUMMYFUNCTION("LET(
 id,A617,
 IF(
  F617=""CHARACTER"",
  LET(
   base,REGEXREPLACE(id,""@\d+$"",""""),
   required,VALUE(REGEXEXTRACT(id,""@(\d+)$"")),
   current,XLOOKUP(
    base,
    tblPlayer[PlayerStateID],
    tblPlayer[Value],
    0
   ),
   current&gt;=required
 "&amp;" ),
  IF(
   T617=""AUTO"",
   L617=0,
   COUNTIFS(
    tblChecklist[TargetID],id,
    tblChecklist[PlayerCompleted],TRUE
   )&gt;0
  )
 )
)"),FALSE)</f>
        <v>0</v>
      </c>
      <c r="E617" s="26" t="str">
        <f t="array" ref="E617">_xlfn.XLOOKUP(
 A617,
 tblTargets[TargetID],
 tblTargets[TargetType],
 ""
)</f>
        <v>STATE</v>
      </c>
      <c r="F617" s="26" t="str">
        <f t="array" ref="F617">_xlfn.XLOOKUP(
 A617,
 tblTargets[TargetID],
 tblTargets[StateType],
 ""
)</f>
        <v>COMPLETE</v>
      </c>
      <c r="G617" s="26">
        <f>LET(
 id,A617,
 depCount,COUNTIF(tblDependencies[TargetID],id),
 objCount,COUNTIF(tblQuestObjectives[QuestTargetID],id),
 depCount+objCount
)</f>
        <v>1</v>
      </c>
      <c r="H617" s="26">
        <f t="shared" si="2"/>
        <v>1</v>
      </c>
      <c r="I617" s="26">
        <f>IFERROR(__xludf.DUMMYFUNCTION("LET(
 id,A617,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7" s="26">
        <f t="shared" si="3"/>
        <v>0</v>
      </c>
      <c r="K617" s="26" t="b">
        <f t="shared" si="4"/>
        <v>0</v>
      </c>
      <c r="L617" s="26">
        <f t="shared" si="5"/>
        <v>1</v>
      </c>
      <c r="M617" s="26" t="str">
        <f>IFERROR(__xludf.DUMMYFUNCTION("LET(
 id,A617,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L617=0,
  """",
  IFERROR(INDEX(incomplete,1),"""")"&amp;"
 )
)"),"building.dungeon@1")</f>
        <v>building.dungeon@1</v>
      </c>
      <c r="N617" s="26" t="str">
        <f t="array" ref="N617">IF(
 M617="",
 "",
 _xlfn.XLOOKUP(
  M617,
  tblTargets[TargetID],
  tblTargets[DisplayName],
  M617
 )
)</f>
        <v>Dungeon Lv 1</v>
      </c>
      <c r="O617" s="26" t="str">
        <f>IFERROR(__xludf.DUMMYFUNCTION("SWITCH(
 E617,
 ""BUILDING"",XLOOKUP(A617,tblBuildings[BuildingID],tblBuildings[costtext],""""),
 ""TECH"",XLOOKUP(A617,tblTechnologies[TechnologyID],tblTechnologies[costtext],""""),
 ""QUEST"",XLOOKUP(
  REGEXREPLACE(A617,""\.[^.]+$"",""""),
  tblQuests["&amp;"QuestID],
  tblQuests[Costtext],
  """"
 ),
 ""CITADEL"",XLOOKUP(A617,tblCitadel[CitadelID],tblCitadel[costtext],""""),
 ""COLLECTION"",XLOOKUP(A617,tblCollections[CollectionID],tblCollections[costtext],""""),
 ""CRAFTIFACT"",XLOOKUP(A617,tblCraftifacts[C"&amp;"raftifactID],tblCraftifacts[costtext],""""),
 """"
)"),"")</f>
        <v/>
      </c>
      <c r="P617" s="26" t="str">
        <f t="shared" si="6"/>
        <v>BLOCKED</v>
      </c>
      <c r="Q617" s="26" t="str">
        <f t="shared" si="7"/>
        <v>BLOCKED</v>
      </c>
      <c r="R617" s="26" t="str">
        <f t="array" ref="R617">IFERROR(
 _xlfn.XLOOKUP(
  A617,
  tblChecklist[TargetID],
  tblChecklist[PlayerSort],
  ""
 ),
 ""
)</f>
        <v/>
      </c>
      <c r="S617" s="26" t="str">
        <f>IFERROR(__xludf.DUMMYFUNCTION("LET(
 id,A617,
 successorIDs,
  IFERROR(
   UNIQUE(
    FILTER(
     {
      Dependencies!$A$2:$A$1000;
      QuestObjectives!$A$2:$A$1000
     },
     {
      Dependencies!$B$2:$B$1000;
      QuestObjectives!$E$2:$E$1000
     }=id
    )
   ),
   """"
  )"&amp;",
 names,
  MAP(
   successorIDs,
   LAMBDA(s,
    IF(
     s="""",
     """",
     XLOOKUP(
      s,
      $A$2:$A$1000,
      $B$2:$B$1000,
      s
     )
    )
   )
  ),
 IF(
  successorIDs="""",
  """",
  TEXTJOIN("", "",TRUE,names)
 )
)"),"Quest for Knowledge Chapter 1 Finished")</f>
        <v>Quest for Knowledge Chapter 1 Finished</v>
      </c>
      <c r="T617" s="26" t="str">
        <f t="array" ref="T617">_xlfn.XLOOKUP(
 A617,
 tblTargets[TargetID],
 tblTargets[CompletionMethod],
 ""
)</f>
        <v>PLAYER</v>
      </c>
      <c r="U617" s="84" t="b">
        <f>COUNTIF(tblCost[TargetID],A617)&gt;0</f>
        <v>0</v>
      </c>
      <c r="V617" s="85" t="str">
        <f t="array" ref="V617">IF(
 U617=FALSE,
 "",
 _xlfn.XLOOKUP(
  A617,
  tblCost[TargetID],
  tblCost[FundingPercent],
  ""
 )
)</f>
        <v/>
      </c>
      <c r="W617" s="26" t="str">
        <f t="array" ref="W617">IF(
 U617=FALSE,
 "",
 _xlfn.XLOOKUP(
  A617,
  tblCost[TargetID],
  tblCost[RemainingRequirements],
  ""
 )
)</f>
        <v/>
      </c>
      <c r="X617" s="45" t="str">
        <f t="array" ref="X617">IF(
 U617=FALSE,
 "N/A",
 _xlfn.XLOOKUP(
  A618,
  tblCost[TargetID],
  tblCost[TargetFunded],
  FALSE
 )
)</f>
        <v>N/A</v>
      </c>
      <c r="Y617" s="26" t="str">
        <f>IFERROR(__xludf.DUMMYFUNCTION("IFERROR(
 TEXTJOIN(
  "", "",
  TRUE,
  FILTER(
   'cost checklist'!$E$2:$E1000&amp;"": ""&amp;'cost checklist'!$G$2:$G1000,
   'cost checklist'!$B$2:$B1000=A617,
   'cost checklist'!$J$2:$J1000=FALSE
  )
 ),
 """"
)"),"")</f>
        <v/>
      </c>
      <c r="Z617" s="26" t="b">
        <f>IFERROR(__xludf.DUMMYFUNCTION("IF(
 AND(
  E617=""QUEST"",
  RIGHT(A617,9)="".accepted"",
  D617=TRUE
 ),
 XLOOKUP(
  REGEXREPLACE(A617,""\.accepted$"","""")&amp;"".finished"",
  $A$2:$A1000,
  $D$2:$D1000,
  TRUE
 )=FALSE,
 FALSE
)"),FALSE)</f>
        <v>0</v>
      </c>
      <c r="AA617" s="26" t="str">
        <f>IFERROR(__xludf.DUMMYFUNCTION("LET(
 id,A617,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8" ht="14.25" customHeight="1">
      <c r="A618" s="26" t="s">
        <v>1689</v>
      </c>
      <c r="B618" s="26" t="str">
        <f t="array" ref="B618">_xlfn.XLOOKUP(
 A618,
 tblTargets[TargetID],
 tblTargets[DisplayName],
 ""
)</f>
        <v>Complete Dungeon 6D</v>
      </c>
      <c r="C618" s="26" t="str">
        <f t="shared" si="1"/>
        <v>BLOCKED</v>
      </c>
      <c r="D618" s="26" t="b">
        <f>IFERROR(__xludf.DUMMYFUNCTION("LET(
 id,A618,
 IF(
  F618=""CHARACTER"",
  LET(
   base,REGEXREPLACE(id,""@\d+$"",""""),
   required,VALUE(REGEXEXTRACT(id,""@(\d+)$"")),
   current,XLOOKUP(
    base,
    tblPlayer[PlayerStateID],
    tblPlayer[Value],
    0
   ),
   current&gt;=required
 "&amp;" ),
  IF(
   T618=""AUTO"",
   L618=0,
   COUNTIFS(
    tblChecklist[TargetID],id,
    tblChecklist[PlayerCompleted],TRUE
   )&gt;0
  )
 )
)"),FALSE)</f>
        <v>0</v>
      </c>
      <c r="E618" s="26" t="str">
        <f t="array" ref="E618">_xlfn.XLOOKUP(
 A618,
 tblTargets[TargetID],
 tblTargets[TargetType],
 ""
)</f>
        <v>STATE</v>
      </c>
      <c r="F618" s="26" t="str">
        <f t="array" ref="F618">_xlfn.XLOOKUP(
 A618,
 tblTargets[TargetID],
 tblTargets[StateType],
 ""
)</f>
        <v>COMPLETE</v>
      </c>
      <c r="G618" s="26">
        <f>LET(
 id,A618,
 depCount,COUNTIF(tblDependencies[TargetID],id),
 objCount,COUNTIF(tblQuestObjectives[QuestTargetID],id),
 depCount+objCount
)</f>
        <v>1</v>
      </c>
      <c r="H618" s="26">
        <f t="shared" si="2"/>
        <v>1</v>
      </c>
      <c r="I618" s="26">
        <f>IFERROR(__xludf.DUMMYFUNCTION("LET(
 id,A618,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8" s="26">
        <f t="shared" si="3"/>
        <v>0</v>
      </c>
      <c r="K618" s="26" t="b">
        <f t="shared" si="4"/>
        <v>0</v>
      </c>
      <c r="L618" s="26">
        <f t="shared" si="5"/>
        <v>1</v>
      </c>
      <c r="M618" s="26" t="str">
        <f>IFERROR(__xludf.DUMMYFUNCTION("LET(
 id,A618,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L618=0,
  """",
  IFERROR(INDEX(incomplete,1),"""")"&amp;"
 )
)"),"quest.ahead_of_time_chapter_3.accepted")</f>
        <v>quest.ahead_of_time_chapter_3.accepted</v>
      </c>
      <c r="N618" s="26" t="str">
        <f t="array" ref="N618">IF(
 M618="",
 "",
 _xlfn.XLOOKUP(
  M618,
  tblTargets[TargetID],
  tblTargets[DisplayName],
  M618
 )
)</f>
        <v>Ahead of Time Chapter 3 Accepted</v>
      </c>
      <c r="O618" s="26" t="str">
        <f>IFERROR(__xludf.DUMMYFUNCTION("SWITCH(
 E618,
 ""BUILDING"",XLOOKUP(A618,tblBuildings[BuildingID],tblBuildings[costtext],""""),
 ""TECH"",XLOOKUP(A618,tblTechnologies[TechnologyID],tblTechnologies[costtext],""""),
 ""QUEST"",XLOOKUP(
  REGEXREPLACE(A618,""\.[^.]+$"",""""),
  tblQuests["&amp;"QuestID],
  tblQuests[Costtext],
  """"
 ),
 ""CITADEL"",XLOOKUP(A618,tblCitadel[CitadelID],tblCitadel[costtext],""""),
 ""COLLECTION"",XLOOKUP(A618,tblCollections[CollectionID],tblCollections[costtext],""""),
 ""CRAFTIFACT"",XLOOKUP(A618,tblCraftifacts[C"&amp;"raftifactID],tblCraftifacts[costtext],""""),
 """"
)"),"")</f>
        <v/>
      </c>
      <c r="P618" s="26" t="str">
        <f t="shared" si="6"/>
        <v>BLOCKED</v>
      </c>
      <c r="Q618" s="26" t="str">
        <f t="shared" si="7"/>
        <v>BLOCKED</v>
      </c>
      <c r="R618" s="26" t="str">
        <f t="array" ref="R618">IFERROR(
 _xlfn.XLOOKUP(
  A618,
  tblChecklist[TargetID],
  tblChecklist[PlayerSort],
  ""
 ),
 ""
)</f>
        <v/>
      </c>
      <c r="S618" s="26" t="str">
        <f>IFERROR(__xludf.DUMMYFUNCTION("LET(
 id,A618,
 successorIDs,
  IFERROR(
   UNIQUE(
    FILTER(
     {
      Dependencies!$A$2:$A$1000;
      QuestObjectives!$A$2:$A$1000
     },
     {
      Dependencies!$B$2:$B$1000;
      QuestObjectives!$E$2:$E$1000
     }=id
    )
   ),
   """"
  )"&amp;",
 names,
  MAP(
   successorIDs,
   LAMBDA(s,
    IF(
     s="""",
     """",
     XLOOKUP(
      s,
      $A$2:$A$1000,
      $B$2:$B$1000,
      s
     )
    )
   )
  ),
 IF(
  successorIDs="""",
  """",
  TEXTJOIN("", "",TRUE,names)
 )
)"),"Ahead of Time Chapter 3 Finished")</f>
        <v>Ahead of Time Chapter 3 Finished</v>
      </c>
      <c r="T618" s="26" t="str">
        <f t="array" ref="T618">_xlfn.XLOOKUP(
 A618,
 tblTargets[TargetID],
 tblTargets[CompletionMethod],
 ""
)</f>
        <v>PLAYER</v>
      </c>
      <c r="U618" s="84" t="b">
        <f>COUNTIF(tblCost[TargetID],A618)&gt;0</f>
        <v>0</v>
      </c>
      <c r="V618" s="85" t="str">
        <f t="array" ref="V618">IF(
 U618=FALSE,
 "",
 _xlfn.XLOOKUP(
  A618,
  tblCost[TargetID],
  tblCost[FundingPercent],
  ""
 )
)</f>
        <v/>
      </c>
      <c r="W618" s="26" t="str">
        <f t="array" ref="W618">IF(
 U618=FALSE,
 "",
 _xlfn.XLOOKUP(
  A618,
  tblCost[TargetID],
  tblCost[RemainingRequirements],
  ""
 )
)</f>
        <v/>
      </c>
      <c r="X618" s="45" t="str">
        <f t="array" ref="X618">IF(
 U618=FALSE,
 "N/A",
 _xlfn.XLOOKUP(
  A619,
  tblCost[TargetID],
  tblCost[TargetFunded],
  FALSE
 )
)</f>
        <v>N/A</v>
      </c>
      <c r="Y618" s="26" t="str">
        <f>IFERROR(__xludf.DUMMYFUNCTION("IFERROR(
 TEXTJOIN(
  "", "",
  TRUE,
  FILTER(
   'cost checklist'!$E$2:$E1000&amp;"": ""&amp;'cost checklist'!$G$2:$G1000,
   'cost checklist'!$B$2:$B1000=A618,
   'cost checklist'!$J$2:$J1000=FALSE
  )
 ),
 """"
)"),"")</f>
        <v/>
      </c>
      <c r="Z618" s="26" t="b">
        <f>IFERROR(__xludf.DUMMYFUNCTION("IF(
 AND(
  E618=""QUEST"",
  RIGHT(A618,9)="".accepted"",
  D618=TRUE
 ),
 XLOOKUP(
  REGEXREPLACE(A618,""\.accepted$"","""")&amp;"".finished"",
  $A$2:$A1000,
  $D$2:$D1000,
  TRUE
 )=FALSE,
 FALSE
)"),FALSE)</f>
        <v>0</v>
      </c>
      <c r="AA618" s="26" t="str">
        <f>IFERROR(__xludf.DUMMYFUNCTION("LET(
 id,A618,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f>
        <v/>
      </c>
    </row>
    <row r="619" ht="14.25" customHeight="1">
      <c r="A619" s="26" t="s">
        <v>1933</v>
      </c>
      <c r="B619" s="26" t="str">
        <f t="array" ref="B619">_xlfn.XLOOKUP(
 A619,
 tblTargets[TargetID],
 tblTargets[DisplayName],
 ""
)</f>
        <v>Meet Dark Lady@6B second time</v>
      </c>
      <c r="C619" s="26" t="str">
        <f t="shared" si="1"/>
        <v>BLOCKED</v>
      </c>
      <c r="D619" s="26" t="b">
        <f>IFERROR(__xludf.DUMMYFUNCTION("LET(
 id,A619,
 IF(
  F619=""CHARACTER"",
  LET(
   base,REGEXREPLACE(id,""@\d+$"",""""),
   required,VALUE(REGEXEXTRACT(id,""@(\d+)$"")),
   current,XLOOKUP(
    base,
    tblPlayer[PlayerStateID],
    tblPlayer[Value],
    0
   ),
   current&gt;=required
 "&amp;" ),
  IF(
   T619=""AUTO"",
   L619=0,
   COUNTIFS(
    tblChecklist[TargetID],id,
    tblChecklist[PlayerCompleted],TRUE
   )&gt;0
  )
 )
)"),FALSE)</f>
        <v>0</v>
      </c>
      <c r="E619" s="26" t="str">
        <f t="array" ref="E619">_xlfn.XLOOKUP(
 A619,
 tblTargets[TargetID],
 tblTargets[TargetType],
 ""
)</f>
        <v>STATE</v>
      </c>
      <c r="F619" s="26" t="str">
        <f t="array" ref="F619">_xlfn.XLOOKUP(
 A619,
 tblTargets[TargetID],
 tblTargets[StateType],
 ""
)</f>
        <v>MEET</v>
      </c>
      <c r="G619" s="26">
        <f>LET(
 id,A619,
 depCount,COUNTIF(tblDependencies[TargetID],id),
 objCount,COUNTIF(tblQuestObjectives[QuestTargetID],id),
 depCount+objCount
)</f>
        <v>1</v>
      </c>
      <c r="H619" s="26">
        <f t="shared" si="2"/>
        <v>1</v>
      </c>
      <c r="I619" s="26">
        <f>IFERROR(__xludf.DUMMYFUNCTION("LET(
 id,A619,
 depPreds,
  IFERROR(
   FILTER(
    tblDependencies[DependencyID],
    tblDependencies[TargetID]=id
   ),
   """"
  ),
 objPreds,
  IFERROR(
   FILTER(
    tblQuestObjectives[ObjectiveID],
    tblQuestObjectives[QuestTargetID]=id
   ),
 "&amp;"  """"
  ),
 preds,
  UNIQUE(
   VSTACK(
    depPreds,
    objPreds
   )
  ),
 IFERROR(
  SUM(
   N(
    XLOOKUP(
     preds,
     $A$2:$A1000,
     $D$2:$D1000,
     FALSE
    )
   )
  ),
  0
 )
)"),0.0)</f>
        <v>0</v>
      </c>
      <c r="J619" s="26">
        <f t="shared" si="3"/>
        <v>0</v>
      </c>
      <c r="K619" s="26" t="b">
        <f t="shared" si="4"/>
        <v>0</v>
      </c>
      <c r="L619" s="26">
        <f t="shared" si="5"/>
        <v>1</v>
      </c>
      <c r="M619" s="26" t="str">
        <f>IFERROR(__xludf.DUMMYFUNCTION("LET(
 id,A619,
 depPreds,
  IFERROR(
   FILTER(
    tblDependencies[DependencyID],
    tblDependencies[TargetID]=id
   ),
   """"
  ),
 objPreds,
  IFERROR(
   FILTER(
    tblQuestObjectives[ObjectiveID],
    tblQuestObjectives[QuestTargetID]=id
   ),
 "&amp;"  """"
  ),
 preds,
  UNIQUE(
   VSTACK(
    depPreds,
    objPreds
   )
  ),
 incomplete,
  FILTER(
   preds,
   XLOOKUP(
    preds,
    $A$2:$A1000,
    $D$2:$D1000,
    FALSE
   )=FALSE
  ),
 IF(
  L619=0,
  """",
  IFERROR(INDEX(incomplete,1),"""")"&amp;"
 )
)"),"quest.the_ordinary_days_of_an_adventurer_chapter_7.finished")</f>
        <v>quest.the_ordinary_days_of_an_adventurer_chapter_7.finished</v>
      </c>
      <c r="N619" s="26" t="str">
        <f t="array" ref="N619">IF(
 M619="",
 "",
 _xlfn.XLOOKUP(
  M619,
  tblTargets[TargetID],
  tblTargets[DisplayName],
  M619
 )
)</f>
        <v>The Ordinary Days of an Adventurer Chapter 7 Finished</v>
      </c>
      <c r="O619" s="26" t="str">
        <f>IFERROR(__xludf.DUMMYFUNCTION("SWITCH(
 E619,
 ""BUILDING"",XLOOKUP(A619,tblBuildings[BuildingID],tblBuildings[costtext],""""),
 ""TECH"",XLOOKUP(A619,tblTechnologies[TechnologyID],tblTechnologies[costtext],""""),
 ""QUEST"",XLOOKUP(
  REGEXREPLACE(A619,""\.[^.]+$"",""""),
  tblQuests["&amp;"QuestID],
  tblQuests[Costtext],
  """"
 ),
 ""CITADEL"",XLOOKUP(A619,tblCitadel[CitadelID],tblCitadel[costtext],""""),
 ""COLLECTION"",XLOOKUP(A619,tblCollections[CollectionID],tblCollections[costtext],""""),
 ""CRAFTIFACT"",XLOOKUP(A619,tblCraftifacts[C"&amp;"raftifactID],tblCraftifacts[costtext],""""),
 """"
)"),"")</f>
        <v/>
      </c>
      <c r="P619" s="26" t="str">
        <f t="shared" si="6"/>
        <v>BLOCKED</v>
      </c>
      <c r="Q619" s="26" t="str">
        <f t="shared" si="7"/>
        <v>BLOCKED</v>
      </c>
      <c r="R619" s="26" t="str">
        <f t="array" ref="R619">IFERROR(
 _xlfn.XLOOKUP(
  A619,
  tblChecklist[TargetID],
  tblChecklist[PlayerSort],
  ""
 ),
 ""
)</f>
        <v/>
      </c>
      <c r="S619" s="26" t="str">
        <f>IFERROR(__xludf.DUMMYFUNCTION("LET(
 id,A619,
 successorIDs,
  IFERROR(
   UNIQUE(
    FILTER(
     {
      Dependencies!$A$2:$A$1000;
      QuestObjectives!$A$2:$A$1000
     },
     {
      Dependencies!$B$2:$B$1000;
      QuestObjectives!$E$2:$E$1000
     }=id
    )
   ),
   """"
  )"&amp;",
 names,
  MAP(
   successorIDs,
   LAMBDA(s,
    IF(
     s="""",
     """",
     XLOOKUP(
      s,
      $A$2:$A$1000,
      $B$2:$B$1000,
      s
     )
    )
   )
  ),
 IF(
  successorIDs="""",
  """",
  TEXTJOIN("", "",TRUE,names)
 )
)"),"The Ordinary Days of an Adventurer Chapter 8 Accepted")</f>
        <v>The Ordinary Days of an Adventurer Chapter 8 Accepted</v>
      </c>
      <c r="T619" s="26" t="str">
        <f t="array" ref="T619">_xlfn.XLOOKUP(
 A619,
 tblTargets[TargetID],
 tblTargets[CompletionMethod],
 ""
)</f>
        <v>PLAYER</v>
      </c>
      <c r="U619" s="84" t="b">
        <f>COUNTIF(tblCost[TargetID],A619)&gt;0</f>
        <v>0</v>
      </c>
      <c r="V619" s="85" t="str">
        <f t="array" ref="V619">IF(
 U619=FALSE,
 "",
 _xlfn.XLOOKUP(
  A619,
  tblCost[TargetID],
  tblCost[FundingPercent],
  ""
 )
)</f>
        <v/>
      </c>
      <c r="W619" s="26" t="str">
        <f t="array" ref="W619">IF(
 U619=FALSE,
 "",
 _xlfn.XLOOKUP(
  A619,
  tblCost[TargetID],
  tblCost[RemainingRequirements],
  ""
 )
)</f>
        <v/>
      </c>
      <c r="X619" s="45" t="str">
        <f t="array" ref="X619">IF(
 U619=FALSE,
 "N/A",
 _xlfn.XLOOKUP(
  A620,
  tblCost[TargetID],
  tblCost[TargetFunded],
  FALSE
 )
)</f>
        <v>N/A</v>
      </c>
      <c r="Y619" s="26" t="str">
        <f>IFERROR(__xludf.DUMMYFUNCTION("IFERROR(
 TEXTJOIN(
  "", "",
  TRUE,
  FILTER(
   'cost checklist'!$E$2:$E1000&amp;"": ""&amp;'cost checklist'!$G$2:$G1000,
   'cost checklist'!$B$2:$B1000=A619,
   'cost checklist'!$J$2:$J1000=FALSE
  )
 ),
 """"
)"),"")</f>
        <v/>
      </c>
      <c r="Z619" s="26" t="b">
        <f>IFERROR(__xludf.DUMMYFUNCTION("IF(
 AND(
  E619=""QUEST"",
  RIGHT(A619,9)="".accepted"",
  D619=TRUE
 ),
 XLOOKUP(
  REGEXREPLACE(A619,""\.accepted$"","""")&amp;"".finished"",
  $A$2:$A1000,
  $D$2:$D1000,
  TRUE
 )=FALSE,
 FALSE
)"),FALSE)</f>
        <v>0</v>
      </c>
      <c r="AA619" s="26" t="str">
        <f>IFERROR(__xludf.DUMMYFUNCTION("LET(
 id,A619,
 successorIDs,
  IFERROR(
   UNIQUE(
    FILTER(
     {
      Dependencies!$A$2:$A$1000;
      QuestObjectives!$A$2:$A$1000
     },
     {
      Dependencies!$B$2:$B$1000;
      QuestObjectives!$E$2:$E$1000
     }=id,
     RIGHT(
      {
 "&amp;"      Dependencies!$A$2:$A$1000;
       QuestObjectives!$A$2:$A$1000
      },
      9
     )="".accepted""
    )
   ),
   """"
  ),
 isCompleted,
  MAP(
   successorIDs,
   LAMBDA(s,
    IF(
     s="""",
     TRUE,
     XLOOKUP(
      s,
      $A$2:$A$10"&amp;"00,
      $D$2:$D$1000,
      FALSE
     )
    )
   )
  ),
 pendingIDs,
  IFERROR(
   FILTER(
    successorIDs,
    isCompleted=FALSE
   ),
   """"
  ),
 names,
  MAP(
   pendingIDs,
   LAMBDA(p,
    IF(
     p="""",
     """",
     SUBSTITUTE(
      XL"&amp;"OOKUP(
       p,
       $A$2:$A$1000,
       $B$2:$B$1000,
       p
      ),
      "" Accepted"",
      """"
     )
    )
   )
  ),
 IF(
  pendingIDs="""",
  """",
  TEXTJOIN("", "",TRUE,names)
 )
)"),"The Ordinary Days of an Adventurer Chapter 8")</f>
        <v>The Ordinary Days of an Adventurer Chapter 8</v>
      </c>
    </row>
    <row r="620" ht="14.25" customHeight="1">
      <c r="P620" s="6"/>
      <c r="V620" s="136"/>
      <c r="X620" s="34"/>
    </row>
    <row r="621" ht="14.25" customHeight="1">
      <c r="P621" s="6"/>
      <c r="V621" s="136"/>
      <c r="X621" s="34"/>
    </row>
    <row r="622" ht="14.25" customHeight="1">
      <c r="P622" s="6"/>
      <c r="V622" s="136"/>
      <c r="X622" s="34"/>
    </row>
    <row r="623" ht="14.25" customHeight="1">
      <c r="P623" s="6"/>
      <c r="V623" s="136"/>
      <c r="X623" s="34"/>
    </row>
    <row r="624" ht="14.25" customHeight="1">
      <c r="P624" s="6"/>
      <c r="V624" s="136"/>
      <c r="X624" s="34"/>
    </row>
    <row r="625" ht="14.25" customHeight="1">
      <c r="P625" s="6"/>
      <c r="V625" s="136"/>
      <c r="X625" s="34"/>
    </row>
    <row r="626" ht="14.25" customHeight="1">
      <c r="P626" s="6"/>
      <c r="V626" s="136"/>
      <c r="X626" s="34"/>
    </row>
    <row r="627" ht="14.25" customHeight="1">
      <c r="P627" s="6"/>
      <c r="V627" s="136"/>
      <c r="X627" s="34"/>
    </row>
    <row r="628" ht="14.25" customHeight="1">
      <c r="P628" s="6"/>
      <c r="V628" s="136"/>
      <c r="X628" s="34"/>
    </row>
    <row r="629" ht="14.25" customHeight="1">
      <c r="P629" s="6"/>
      <c r="V629" s="136"/>
      <c r="X629" s="34"/>
    </row>
    <row r="630" ht="14.25" customHeight="1">
      <c r="P630" s="6"/>
      <c r="V630" s="136"/>
      <c r="X630" s="34"/>
    </row>
    <row r="631" ht="14.25" customHeight="1">
      <c r="P631" s="6"/>
      <c r="V631" s="136"/>
      <c r="X631" s="34"/>
    </row>
    <row r="632" ht="14.25" customHeight="1">
      <c r="P632" s="6"/>
      <c r="V632" s="136"/>
      <c r="X632" s="34"/>
    </row>
    <row r="633" ht="14.25" customHeight="1">
      <c r="P633" s="6"/>
      <c r="V633" s="136"/>
      <c r="X633" s="34"/>
    </row>
    <row r="634" ht="14.25" customHeight="1">
      <c r="P634" s="6"/>
      <c r="V634" s="136"/>
      <c r="X634" s="34"/>
    </row>
    <row r="635" ht="14.25" customHeight="1">
      <c r="P635" s="6"/>
      <c r="V635" s="136"/>
      <c r="X635" s="34"/>
    </row>
    <row r="636" ht="14.25" customHeight="1">
      <c r="P636" s="6"/>
      <c r="V636" s="136"/>
      <c r="X636" s="34"/>
    </row>
    <row r="637" ht="14.25" customHeight="1">
      <c r="P637" s="6"/>
      <c r="V637" s="136"/>
      <c r="X637" s="34"/>
    </row>
    <row r="638" ht="14.25" customHeight="1">
      <c r="P638" s="6"/>
      <c r="V638" s="136"/>
      <c r="X638" s="34"/>
    </row>
    <row r="639" ht="14.25" customHeight="1">
      <c r="P639" s="6"/>
      <c r="V639" s="136"/>
      <c r="X639" s="34"/>
    </row>
    <row r="640" ht="14.25" customHeight="1">
      <c r="P640" s="6"/>
      <c r="V640" s="136"/>
      <c r="X640" s="34"/>
    </row>
    <row r="641" ht="14.25" customHeight="1">
      <c r="P641" s="6"/>
      <c r="V641" s="136"/>
      <c r="X641" s="34"/>
    </row>
    <row r="642" ht="14.25" customHeight="1">
      <c r="P642" s="6"/>
      <c r="V642" s="136"/>
      <c r="X642" s="34"/>
    </row>
    <row r="643" ht="14.25" customHeight="1">
      <c r="P643" s="6"/>
      <c r="V643" s="136"/>
      <c r="X643" s="34"/>
    </row>
    <row r="644" ht="14.25" customHeight="1">
      <c r="P644" s="6"/>
      <c r="V644" s="136"/>
      <c r="X644" s="34"/>
    </row>
    <row r="645" ht="14.25" customHeight="1">
      <c r="P645" s="6"/>
      <c r="V645" s="136"/>
      <c r="X645" s="34"/>
    </row>
    <row r="646" ht="14.25" customHeight="1">
      <c r="P646" s="6"/>
      <c r="V646" s="136"/>
      <c r="X646" s="34"/>
    </row>
    <row r="647" ht="14.25" customHeight="1">
      <c r="P647" s="6"/>
      <c r="V647" s="136"/>
      <c r="X647" s="34"/>
    </row>
    <row r="648" ht="14.25" customHeight="1">
      <c r="P648" s="6"/>
      <c r="V648" s="136"/>
      <c r="X648" s="34"/>
    </row>
    <row r="649" ht="14.25" customHeight="1">
      <c r="P649" s="6"/>
      <c r="V649" s="136"/>
      <c r="X649" s="34"/>
    </row>
    <row r="650" ht="14.25" customHeight="1">
      <c r="P650" s="6"/>
      <c r="V650" s="136"/>
      <c r="X650" s="34"/>
    </row>
    <row r="651" ht="14.25" customHeight="1">
      <c r="P651" s="6"/>
      <c r="V651" s="136"/>
      <c r="X651" s="34"/>
    </row>
    <row r="652" ht="14.25" customHeight="1">
      <c r="P652" s="6"/>
      <c r="V652" s="136"/>
      <c r="X652" s="34"/>
    </row>
    <row r="653" ht="14.25" customHeight="1">
      <c r="P653" s="6"/>
      <c r="V653" s="136"/>
      <c r="X653" s="34"/>
    </row>
    <row r="654" ht="14.25" customHeight="1">
      <c r="P654" s="6"/>
      <c r="V654" s="136"/>
      <c r="X654" s="34"/>
    </row>
    <row r="655" ht="14.25" customHeight="1">
      <c r="P655" s="6"/>
      <c r="V655" s="136"/>
      <c r="X655" s="34"/>
    </row>
    <row r="656" ht="14.25" customHeight="1">
      <c r="P656" s="6"/>
      <c r="V656" s="136"/>
      <c r="X656" s="34"/>
    </row>
    <row r="657" ht="14.25" customHeight="1">
      <c r="P657" s="6"/>
      <c r="V657" s="136"/>
      <c r="X657" s="34"/>
    </row>
    <row r="658" ht="14.25" customHeight="1">
      <c r="P658" s="6"/>
      <c r="V658" s="136"/>
      <c r="X658" s="34"/>
    </row>
    <row r="659" ht="14.25" customHeight="1">
      <c r="P659" s="6"/>
      <c r="V659" s="136"/>
      <c r="X659" s="34"/>
    </row>
    <row r="660" ht="14.25" customHeight="1">
      <c r="P660" s="6"/>
      <c r="V660" s="136"/>
      <c r="X660" s="34"/>
    </row>
    <row r="661" ht="14.25" customHeight="1">
      <c r="P661" s="6"/>
      <c r="V661" s="136"/>
      <c r="X661" s="34"/>
    </row>
    <row r="662" ht="14.25" customHeight="1">
      <c r="P662" s="6"/>
      <c r="V662" s="136"/>
      <c r="X662" s="34"/>
    </row>
    <row r="663" ht="14.25" customHeight="1">
      <c r="P663" s="6"/>
      <c r="V663" s="136"/>
      <c r="X663" s="34"/>
    </row>
    <row r="664" ht="14.25" customHeight="1">
      <c r="P664" s="6"/>
      <c r="V664" s="136"/>
      <c r="X664" s="34"/>
    </row>
    <row r="665" ht="14.25" customHeight="1">
      <c r="P665" s="6"/>
      <c r="V665" s="136"/>
      <c r="X665" s="34"/>
    </row>
    <row r="666" ht="14.25" customHeight="1">
      <c r="P666" s="6"/>
      <c r="V666" s="136"/>
      <c r="X666" s="34"/>
    </row>
    <row r="667" ht="14.25" customHeight="1">
      <c r="P667" s="6"/>
      <c r="V667" s="136"/>
      <c r="X667" s="34"/>
    </row>
    <row r="668" ht="14.25" customHeight="1">
      <c r="P668" s="6"/>
      <c r="V668" s="136"/>
      <c r="X668" s="34"/>
    </row>
    <row r="669" ht="14.25" customHeight="1">
      <c r="P669" s="6"/>
      <c r="V669" s="136"/>
      <c r="X669" s="34"/>
    </row>
    <row r="670" ht="14.25" customHeight="1">
      <c r="P670" s="6"/>
      <c r="V670" s="136"/>
      <c r="X670" s="34"/>
    </row>
    <row r="671" ht="14.25" customHeight="1">
      <c r="P671" s="6"/>
      <c r="V671" s="136"/>
      <c r="X671" s="34"/>
    </row>
    <row r="672" ht="14.25" customHeight="1">
      <c r="P672" s="6"/>
      <c r="V672" s="136"/>
      <c r="X672" s="34"/>
    </row>
    <row r="673" ht="14.25" customHeight="1">
      <c r="P673" s="6"/>
      <c r="V673" s="136"/>
      <c r="X673" s="34"/>
    </row>
    <row r="674" ht="14.25" customHeight="1">
      <c r="P674" s="6"/>
      <c r="V674" s="136"/>
      <c r="X674" s="34"/>
    </row>
    <row r="675" ht="14.25" customHeight="1">
      <c r="P675" s="6"/>
      <c r="V675" s="136"/>
      <c r="X675" s="34"/>
    </row>
    <row r="676" ht="14.25" customHeight="1">
      <c r="P676" s="6"/>
      <c r="V676" s="136"/>
      <c r="X676" s="34"/>
    </row>
    <row r="677" ht="14.25" customHeight="1">
      <c r="P677" s="6"/>
      <c r="V677" s="136"/>
      <c r="X677" s="34"/>
    </row>
    <row r="678" ht="14.25" customHeight="1">
      <c r="P678" s="6"/>
      <c r="V678" s="136"/>
      <c r="X678" s="34"/>
    </row>
    <row r="679" ht="14.25" customHeight="1">
      <c r="P679" s="6"/>
      <c r="V679" s="136"/>
      <c r="X679" s="34"/>
    </row>
    <row r="680" ht="14.25" customHeight="1">
      <c r="P680" s="6"/>
      <c r="V680" s="136"/>
      <c r="X680" s="34"/>
    </row>
    <row r="681" ht="14.25" customHeight="1">
      <c r="P681" s="6"/>
      <c r="V681" s="136"/>
      <c r="X681" s="34"/>
    </row>
    <row r="682" ht="14.25" customHeight="1">
      <c r="P682" s="6"/>
      <c r="V682" s="136"/>
      <c r="X682" s="34"/>
    </row>
    <row r="683" ht="14.25" customHeight="1">
      <c r="P683" s="6"/>
      <c r="V683" s="136"/>
      <c r="X683" s="34"/>
    </row>
    <row r="684" ht="14.25" customHeight="1">
      <c r="P684" s="6"/>
      <c r="V684" s="136"/>
      <c r="X684" s="34"/>
    </row>
    <row r="685" ht="14.25" customHeight="1">
      <c r="P685" s="6"/>
      <c r="V685" s="136"/>
      <c r="X685" s="34"/>
    </row>
    <row r="686" ht="14.25" customHeight="1">
      <c r="P686" s="6"/>
      <c r="V686" s="136"/>
      <c r="X686" s="34"/>
    </row>
    <row r="687" ht="14.25" customHeight="1">
      <c r="P687" s="6"/>
      <c r="V687" s="136"/>
      <c r="X687" s="34"/>
    </row>
    <row r="688" ht="14.25" customHeight="1">
      <c r="P688" s="6"/>
      <c r="V688" s="136"/>
      <c r="X688" s="34"/>
    </row>
    <row r="689" ht="14.25" customHeight="1">
      <c r="P689" s="6"/>
      <c r="V689" s="136"/>
      <c r="X689" s="34"/>
    </row>
    <row r="690" ht="14.25" customHeight="1">
      <c r="P690" s="6"/>
      <c r="V690" s="136"/>
      <c r="X690" s="34"/>
    </row>
    <row r="691" ht="14.25" customHeight="1">
      <c r="P691" s="6"/>
      <c r="V691" s="136"/>
      <c r="X691" s="34"/>
    </row>
    <row r="692" ht="14.25" customHeight="1">
      <c r="P692" s="6"/>
      <c r="V692" s="136"/>
      <c r="X692" s="34"/>
    </row>
    <row r="693" ht="14.25" customHeight="1">
      <c r="P693" s="6"/>
      <c r="V693" s="136"/>
      <c r="X693" s="34"/>
    </row>
    <row r="694" ht="14.25" customHeight="1">
      <c r="P694" s="6"/>
      <c r="V694" s="136"/>
      <c r="X694" s="34"/>
    </row>
    <row r="695" ht="14.25" customHeight="1">
      <c r="P695" s="6"/>
      <c r="V695" s="136"/>
      <c r="X695" s="34"/>
    </row>
    <row r="696" ht="14.25" customHeight="1">
      <c r="P696" s="6"/>
      <c r="V696" s="136"/>
      <c r="X696" s="34"/>
    </row>
    <row r="697" ht="14.25" customHeight="1">
      <c r="P697" s="6"/>
      <c r="V697" s="136"/>
      <c r="X697" s="34"/>
    </row>
    <row r="698" ht="14.25" customHeight="1">
      <c r="P698" s="6"/>
      <c r="V698" s="136"/>
      <c r="X698" s="34"/>
    </row>
    <row r="699" ht="14.25" customHeight="1">
      <c r="P699" s="6"/>
      <c r="V699" s="136"/>
      <c r="X699" s="34"/>
    </row>
    <row r="700" ht="14.25" customHeight="1">
      <c r="P700" s="6"/>
      <c r="V700" s="136"/>
      <c r="X700" s="34"/>
    </row>
    <row r="701" ht="14.25" customHeight="1">
      <c r="P701" s="6"/>
      <c r="V701" s="136"/>
      <c r="X701" s="34"/>
    </row>
    <row r="702" ht="14.25" customHeight="1">
      <c r="P702" s="6"/>
      <c r="V702" s="136"/>
      <c r="X702" s="34"/>
    </row>
    <row r="703" ht="14.25" customHeight="1">
      <c r="P703" s="6"/>
      <c r="V703" s="136"/>
      <c r="X703" s="34"/>
    </row>
    <row r="704" ht="14.25" customHeight="1">
      <c r="P704" s="6"/>
      <c r="V704" s="136"/>
      <c r="X704" s="34"/>
    </row>
    <row r="705" ht="14.25" customHeight="1">
      <c r="P705" s="6"/>
      <c r="V705" s="136"/>
      <c r="X705" s="34"/>
    </row>
    <row r="706" ht="14.25" customHeight="1">
      <c r="P706" s="6"/>
      <c r="V706" s="136"/>
      <c r="X706" s="34"/>
    </row>
    <row r="707" ht="14.25" customHeight="1">
      <c r="P707" s="6"/>
      <c r="V707" s="136"/>
      <c r="X707" s="34"/>
    </row>
    <row r="708" ht="14.25" customHeight="1">
      <c r="P708" s="6"/>
      <c r="V708" s="136"/>
      <c r="X708" s="34"/>
    </row>
    <row r="709" ht="14.25" customHeight="1">
      <c r="P709" s="6"/>
      <c r="V709" s="136"/>
      <c r="X709" s="34"/>
    </row>
    <row r="710" ht="14.25" customHeight="1">
      <c r="P710" s="6"/>
      <c r="V710" s="136"/>
      <c r="X710" s="34"/>
    </row>
    <row r="711" ht="14.25" customHeight="1">
      <c r="P711" s="6"/>
      <c r="V711" s="136"/>
      <c r="X711" s="34"/>
    </row>
    <row r="712" ht="14.25" customHeight="1">
      <c r="P712" s="6"/>
      <c r="V712" s="136"/>
      <c r="X712" s="34"/>
    </row>
    <row r="713" ht="14.25" customHeight="1">
      <c r="P713" s="6"/>
      <c r="V713" s="136"/>
      <c r="X713" s="34"/>
    </row>
    <row r="714" ht="14.25" customHeight="1">
      <c r="P714" s="6"/>
      <c r="V714" s="136"/>
      <c r="X714" s="34"/>
    </row>
    <row r="715" ht="14.25" customHeight="1">
      <c r="P715" s="6"/>
      <c r="V715" s="136"/>
      <c r="X715" s="34"/>
    </row>
    <row r="716" ht="14.25" customHeight="1">
      <c r="P716" s="6"/>
      <c r="V716" s="136"/>
      <c r="X716" s="34"/>
    </row>
    <row r="717" ht="14.25" customHeight="1">
      <c r="P717" s="6"/>
      <c r="V717" s="136"/>
      <c r="X717" s="34"/>
    </row>
    <row r="718" ht="14.25" customHeight="1">
      <c r="P718" s="6"/>
      <c r="V718" s="136"/>
      <c r="X718" s="34"/>
    </row>
    <row r="719" ht="14.25" customHeight="1">
      <c r="P719" s="6"/>
      <c r="V719" s="136"/>
      <c r="X719" s="34"/>
    </row>
    <row r="720" ht="14.25" customHeight="1">
      <c r="P720" s="6"/>
      <c r="V720" s="136"/>
      <c r="X720" s="34"/>
    </row>
    <row r="721" ht="14.25" customHeight="1">
      <c r="P721" s="6"/>
      <c r="V721" s="136"/>
      <c r="X721" s="34"/>
    </row>
    <row r="722" ht="14.25" customHeight="1">
      <c r="P722" s="6"/>
      <c r="V722" s="136"/>
      <c r="X722" s="34"/>
    </row>
    <row r="723" ht="14.25" customHeight="1">
      <c r="P723" s="6"/>
      <c r="V723" s="136"/>
      <c r="X723" s="34"/>
    </row>
    <row r="724" ht="14.25" customHeight="1">
      <c r="P724" s="6"/>
      <c r="V724" s="136"/>
      <c r="X724" s="34"/>
    </row>
    <row r="725" ht="14.25" customHeight="1">
      <c r="P725" s="6"/>
      <c r="V725" s="136"/>
      <c r="X725" s="34"/>
    </row>
    <row r="726" ht="14.25" customHeight="1">
      <c r="P726" s="6"/>
      <c r="V726" s="136"/>
      <c r="X726" s="34"/>
    </row>
    <row r="727" ht="14.25" customHeight="1">
      <c r="P727" s="6"/>
      <c r="V727" s="136"/>
      <c r="X727" s="34"/>
    </row>
    <row r="728" ht="14.25" customHeight="1">
      <c r="P728" s="6"/>
      <c r="V728" s="136"/>
      <c r="X728" s="34"/>
    </row>
    <row r="729" ht="14.25" customHeight="1">
      <c r="P729" s="6"/>
      <c r="V729" s="136"/>
      <c r="X729" s="34"/>
    </row>
    <row r="730" ht="14.25" customHeight="1">
      <c r="P730" s="6"/>
      <c r="V730" s="136"/>
      <c r="X730" s="34"/>
    </row>
    <row r="731" ht="14.25" customHeight="1">
      <c r="P731" s="6"/>
      <c r="V731" s="136"/>
      <c r="X731" s="34"/>
    </row>
    <row r="732" ht="14.25" customHeight="1">
      <c r="P732" s="6"/>
      <c r="V732" s="136"/>
      <c r="X732" s="34"/>
    </row>
    <row r="733" ht="14.25" customHeight="1">
      <c r="P733" s="6"/>
      <c r="V733" s="136"/>
      <c r="X733" s="34"/>
    </row>
    <row r="734" ht="14.25" customHeight="1">
      <c r="P734" s="6"/>
      <c r="V734" s="136"/>
      <c r="X734" s="34"/>
    </row>
    <row r="735" ht="14.25" customHeight="1">
      <c r="P735" s="6"/>
      <c r="V735" s="136"/>
      <c r="X735" s="34"/>
    </row>
    <row r="736" ht="14.25" customHeight="1">
      <c r="P736" s="6"/>
      <c r="V736" s="136"/>
      <c r="X736" s="34"/>
    </row>
    <row r="737" ht="14.25" customHeight="1">
      <c r="P737" s="6"/>
      <c r="V737" s="136"/>
      <c r="X737" s="34"/>
    </row>
    <row r="738" ht="14.25" customHeight="1">
      <c r="P738" s="6"/>
      <c r="V738" s="136"/>
      <c r="X738" s="34"/>
    </row>
    <row r="739" ht="14.25" customHeight="1">
      <c r="P739" s="6"/>
      <c r="V739" s="136"/>
      <c r="X739" s="34"/>
    </row>
    <row r="740" ht="14.25" customHeight="1">
      <c r="P740" s="6"/>
      <c r="V740" s="136"/>
      <c r="X740" s="34"/>
    </row>
    <row r="741" ht="14.25" customHeight="1">
      <c r="P741" s="6"/>
      <c r="V741" s="136"/>
      <c r="X741" s="34"/>
    </row>
    <row r="742" ht="14.25" customHeight="1">
      <c r="P742" s="6"/>
      <c r="V742" s="136"/>
      <c r="X742" s="34"/>
    </row>
    <row r="743" ht="14.25" customHeight="1">
      <c r="P743" s="6"/>
      <c r="V743" s="136"/>
      <c r="X743" s="34"/>
    </row>
    <row r="744" ht="14.25" customHeight="1">
      <c r="P744" s="6"/>
      <c r="V744" s="136"/>
      <c r="X744" s="34"/>
    </row>
    <row r="745" ht="14.25" customHeight="1">
      <c r="P745" s="6"/>
      <c r="V745" s="136"/>
      <c r="X745" s="34"/>
    </row>
    <row r="746" ht="14.25" customHeight="1">
      <c r="P746" s="6"/>
      <c r="V746" s="136"/>
      <c r="X746" s="34"/>
    </row>
    <row r="747" ht="14.25" customHeight="1">
      <c r="P747" s="6"/>
      <c r="V747" s="136"/>
      <c r="X747" s="34"/>
    </row>
    <row r="748" ht="14.25" customHeight="1">
      <c r="P748" s="6"/>
      <c r="V748" s="136"/>
      <c r="X748" s="34"/>
    </row>
    <row r="749" ht="14.25" customHeight="1">
      <c r="P749" s="6"/>
      <c r="V749" s="136"/>
      <c r="X749" s="34"/>
    </row>
    <row r="750" ht="14.25" customHeight="1">
      <c r="P750" s="6"/>
      <c r="V750" s="136"/>
      <c r="X750" s="34"/>
    </row>
    <row r="751" ht="14.25" customHeight="1">
      <c r="P751" s="6"/>
      <c r="V751" s="136"/>
      <c r="X751" s="34"/>
    </row>
    <row r="752" ht="14.25" customHeight="1">
      <c r="P752" s="6"/>
      <c r="V752" s="136"/>
      <c r="X752" s="34"/>
    </row>
    <row r="753" ht="14.25" customHeight="1">
      <c r="P753" s="6"/>
      <c r="V753" s="136"/>
      <c r="X753" s="34"/>
    </row>
    <row r="754" ht="14.25" customHeight="1">
      <c r="P754" s="6"/>
      <c r="V754" s="136"/>
      <c r="X754" s="34"/>
    </row>
    <row r="755" ht="14.25" customHeight="1">
      <c r="P755" s="6"/>
      <c r="V755" s="136"/>
      <c r="X755" s="34"/>
    </row>
    <row r="756" ht="14.25" customHeight="1">
      <c r="P756" s="6"/>
      <c r="V756" s="136"/>
      <c r="X756" s="34"/>
    </row>
    <row r="757" ht="14.25" customHeight="1">
      <c r="P757" s="6"/>
      <c r="V757" s="136"/>
      <c r="X757" s="34"/>
    </row>
    <row r="758" ht="14.25" customHeight="1">
      <c r="P758" s="6"/>
      <c r="V758" s="136"/>
      <c r="X758" s="34"/>
    </row>
    <row r="759" ht="14.25" customHeight="1">
      <c r="P759" s="6"/>
      <c r="V759" s="136"/>
      <c r="X759" s="34"/>
    </row>
    <row r="760" ht="14.25" customHeight="1">
      <c r="P760" s="6"/>
      <c r="V760" s="136"/>
      <c r="X760" s="34"/>
    </row>
    <row r="761" ht="14.25" customHeight="1">
      <c r="P761" s="6"/>
      <c r="V761" s="136"/>
      <c r="X761" s="34"/>
    </row>
    <row r="762" ht="14.25" customHeight="1">
      <c r="P762" s="6"/>
      <c r="V762" s="136"/>
      <c r="X762" s="34"/>
    </row>
    <row r="763" ht="14.25" customHeight="1">
      <c r="P763" s="6"/>
      <c r="V763" s="136"/>
      <c r="X763" s="34"/>
    </row>
    <row r="764" ht="14.25" customHeight="1">
      <c r="P764" s="6"/>
      <c r="V764" s="136"/>
      <c r="X764" s="34"/>
    </row>
    <row r="765" ht="14.25" customHeight="1">
      <c r="P765" s="6"/>
      <c r="V765" s="136"/>
      <c r="X765" s="34"/>
    </row>
    <row r="766" ht="14.25" customHeight="1">
      <c r="P766" s="6"/>
      <c r="V766" s="136"/>
      <c r="X766" s="34"/>
    </row>
    <row r="767" ht="14.25" customHeight="1">
      <c r="P767" s="6"/>
      <c r="V767" s="136"/>
      <c r="X767" s="34"/>
    </row>
    <row r="768" ht="14.25" customHeight="1">
      <c r="P768" s="6"/>
      <c r="V768" s="136"/>
      <c r="X768" s="34"/>
    </row>
    <row r="769" ht="14.25" customHeight="1">
      <c r="P769" s="6"/>
      <c r="V769" s="136"/>
      <c r="X769" s="34"/>
    </row>
    <row r="770" ht="14.25" customHeight="1">
      <c r="P770" s="6"/>
      <c r="V770" s="136"/>
      <c r="X770" s="34"/>
    </row>
    <row r="771" ht="14.25" customHeight="1">
      <c r="P771" s="6"/>
      <c r="V771" s="136"/>
      <c r="X771" s="34"/>
    </row>
    <row r="772" ht="14.25" customHeight="1">
      <c r="P772" s="6"/>
      <c r="V772" s="136"/>
      <c r="X772" s="34"/>
    </row>
    <row r="773" ht="14.25" customHeight="1">
      <c r="P773" s="6"/>
      <c r="V773" s="136"/>
      <c r="X773" s="34"/>
    </row>
    <row r="774" ht="14.25" customHeight="1">
      <c r="P774" s="6"/>
      <c r="V774" s="136"/>
      <c r="X774" s="34"/>
    </row>
    <row r="775" ht="14.25" customHeight="1">
      <c r="P775" s="6"/>
      <c r="V775" s="136"/>
      <c r="X775" s="34"/>
    </row>
    <row r="776" ht="14.25" customHeight="1">
      <c r="P776" s="6"/>
      <c r="V776" s="136"/>
      <c r="X776" s="34"/>
    </row>
    <row r="777" ht="14.25" customHeight="1">
      <c r="P777" s="6"/>
      <c r="V777" s="136"/>
      <c r="X777" s="34"/>
    </row>
    <row r="778" ht="14.25" customHeight="1">
      <c r="P778" s="6"/>
      <c r="V778" s="136"/>
      <c r="X778" s="34"/>
    </row>
    <row r="779" ht="14.25" customHeight="1">
      <c r="P779" s="6"/>
      <c r="V779" s="136"/>
      <c r="X779" s="34"/>
    </row>
    <row r="780" ht="14.25" customHeight="1">
      <c r="P780" s="6"/>
      <c r="V780" s="136"/>
      <c r="X780" s="34"/>
    </row>
    <row r="781" ht="14.25" customHeight="1">
      <c r="P781" s="6"/>
      <c r="V781" s="136"/>
      <c r="X781" s="34"/>
    </row>
    <row r="782" ht="14.25" customHeight="1">
      <c r="P782" s="6"/>
      <c r="V782" s="136"/>
      <c r="X782" s="34"/>
    </row>
    <row r="783" ht="14.25" customHeight="1">
      <c r="P783" s="6"/>
      <c r="V783" s="136"/>
      <c r="X783" s="34"/>
    </row>
    <row r="784" ht="14.25" customHeight="1">
      <c r="P784" s="6"/>
      <c r="V784" s="136"/>
      <c r="X784" s="34"/>
    </row>
    <row r="785" ht="14.25" customHeight="1">
      <c r="P785" s="6"/>
      <c r="V785" s="136"/>
      <c r="X785" s="34"/>
    </row>
    <row r="786" ht="14.25" customHeight="1">
      <c r="P786" s="6"/>
      <c r="V786" s="136"/>
      <c r="X786" s="34"/>
    </row>
    <row r="787" ht="14.25" customHeight="1">
      <c r="P787" s="6"/>
      <c r="V787" s="136"/>
      <c r="X787" s="34"/>
    </row>
    <row r="788" ht="14.25" customHeight="1">
      <c r="P788" s="6"/>
      <c r="V788" s="136"/>
      <c r="X788" s="34"/>
    </row>
    <row r="789" ht="14.25" customHeight="1">
      <c r="P789" s="6"/>
      <c r="V789" s="136"/>
      <c r="X789" s="34"/>
    </row>
    <row r="790" ht="14.25" customHeight="1">
      <c r="P790" s="6"/>
      <c r="V790" s="136"/>
      <c r="X790" s="34"/>
    </row>
    <row r="791" ht="14.25" customHeight="1">
      <c r="P791" s="6"/>
      <c r="V791" s="136"/>
      <c r="X791" s="34"/>
    </row>
    <row r="792" ht="14.25" customHeight="1">
      <c r="P792" s="6"/>
      <c r="V792" s="136"/>
      <c r="X792" s="34"/>
    </row>
    <row r="793" ht="14.25" customHeight="1">
      <c r="P793" s="6"/>
      <c r="V793" s="136"/>
      <c r="X793" s="34"/>
    </row>
    <row r="794" ht="14.25" customHeight="1">
      <c r="P794" s="6"/>
      <c r="V794" s="136"/>
      <c r="X794" s="34"/>
    </row>
    <row r="795" ht="14.25" customHeight="1">
      <c r="P795" s="6"/>
      <c r="V795" s="136"/>
      <c r="X795" s="34"/>
    </row>
    <row r="796" ht="14.25" customHeight="1">
      <c r="P796" s="6"/>
      <c r="V796" s="136"/>
      <c r="X796" s="34"/>
    </row>
    <row r="797" ht="14.25" customHeight="1">
      <c r="P797" s="6"/>
      <c r="V797" s="136"/>
      <c r="X797" s="34"/>
    </row>
    <row r="798" ht="14.25" customHeight="1">
      <c r="P798" s="6"/>
      <c r="V798" s="136"/>
      <c r="X798" s="34"/>
    </row>
    <row r="799" ht="14.25" customHeight="1">
      <c r="P799" s="6"/>
      <c r="V799" s="136"/>
      <c r="X799" s="34"/>
    </row>
    <row r="800" ht="14.25" customHeight="1">
      <c r="P800" s="6"/>
      <c r="V800" s="136"/>
      <c r="X800" s="34"/>
    </row>
    <row r="801" ht="14.25" customHeight="1">
      <c r="P801" s="6"/>
      <c r="V801" s="136"/>
      <c r="X801" s="34"/>
    </row>
    <row r="802" ht="14.25" customHeight="1">
      <c r="P802" s="6"/>
      <c r="V802" s="136"/>
      <c r="X802" s="34"/>
    </row>
    <row r="803" ht="14.25" customHeight="1">
      <c r="P803" s="6"/>
      <c r="V803" s="136"/>
      <c r="X803" s="34"/>
    </row>
    <row r="804" ht="14.25" customHeight="1">
      <c r="P804" s="6"/>
      <c r="V804" s="136"/>
      <c r="X804" s="34"/>
    </row>
    <row r="805" ht="14.25" customHeight="1">
      <c r="P805" s="6"/>
      <c r="V805" s="136"/>
      <c r="X805" s="34"/>
    </row>
    <row r="806" ht="14.25" customHeight="1">
      <c r="P806" s="6"/>
      <c r="V806" s="136"/>
      <c r="X806" s="34"/>
    </row>
    <row r="807" ht="14.25" customHeight="1">
      <c r="P807" s="6"/>
      <c r="V807" s="136"/>
      <c r="X807" s="34"/>
    </row>
    <row r="808" ht="14.25" customHeight="1">
      <c r="P808" s="6"/>
      <c r="V808" s="136"/>
      <c r="X808" s="34"/>
    </row>
    <row r="809" ht="14.25" customHeight="1">
      <c r="P809" s="6"/>
      <c r="V809" s="136"/>
      <c r="X809" s="34"/>
    </row>
    <row r="810" ht="14.25" customHeight="1">
      <c r="P810" s="6"/>
      <c r="V810" s="136"/>
      <c r="X810" s="34"/>
    </row>
    <row r="811" ht="14.25" customHeight="1">
      <c r="P811" s="6"/>
      <c r="V811" s="136"/>
      <c r="X811" s="34"/>
    </row>
    <row r="812" ht="14.25" customHeight="1">
      <c r="P812" s="6"/>
      <c r="V812" s="136"/>
      <c r="X812" s="34"/>
    </row>
    <row r="813" ht="14.25" customHeight="1">
      <c r="P813" s="6"/>
      <c r="V813" s="136"/>
      <c r="X813" s="34"/>
    </row>
    <row r="814" ht="14.25" customHeight="1">
      <c r="P814" s="6"/>
      <c r="V814" s="136"/>
      <c r="X814" s="34"/>
    </row>
    <row r="815" ht="14.25" customHeight="1">
      <c r="P815" s="6"/>
      <c r="V815" s="136"/>
      <c r="X815" s="34"/>
    </row>
    <row r="816" ht="14.25" customHeight="1">
      <c r="P816" s="6"/>
      <c r="V816" s="136"/>
      <c r="X816" s="34"/>
    </row>
    <row r="817" ht="14.25" customHeight="1">
      <c r="P817" s="6"/>
      <c r="V817" s="136"/>
      <c r="X817" s="34"/>
    </row>
    <row r="818" ht="14.25" customHeight="1">
      <c r="P818" s="6"/>
      <c r="V818" s="136"/>
      <c r="X818" s="34"/>
    </row>
    <row r="819" ht="14.25" customHeight="1">
      <c r="P819" s="6"/>
      <c r="V819" s="136"/>
      <c r="X819" s="34"/>
    </row>
    <row r="820" ht="14.25" customHeight="1">
      <c r="P820" s="6"/>
      <c r="V820" s="136"/>
      <c r="X820" s="34"/>
    </row>
    <row r="821" ht="14.25" customHeight="1">
      <c r="P821" s="6"/>
      <c r="V821" s="136"/>
      <c r="X821" s="34"/>
    </row>
    <row r="822" ht="14.25" customHeight="1">
      <c r="P822" s="6"/>
      <c r="V822" s="136"/>
      <c r="X822" s="34"/>
    </row>
    <row r="823" ht="14.25" customHeight="1">
      <c r="P823" s="6"/>
      <c r="V823" s="136"/>
      <c r="X823" s="34"/>
    </row>
    <row r="824" ht="14.25" customHeight="1">
      <c r="P824" s="6"/>
      <c r="V824" s="136"/>
      <c r="X824" s="34"/>
    </row>
    <row r="825" ht="14.25" customHeight="1">
      <c r="P825" s="6"/>
      <c r="V825" s="136"/>
      <c r="X825" s="34"/>
    </row>
    <row r="826" ht="14.25" customHeight="1">
      <c r="P826" s="6"/>
      <c r="V826" s="136"/>
      <c r="X826" s="34"/>
    </row>
    <row r="827" ht="14.25" customHeight="1">
      <c r="P827" s="6"/>
      <c r="V827" s="136"/>
      <c r="X827" s="34"/>
    </row>
    <row r="828" ht="14.25" customHeight="1">
      <c r="P828" s="6"/>
      <c r="V828" s="136"/>
      <c r="X828" s="34"/>
    </row>
    <row r="829" ht="14.25" customHeight="1">
      <c r="P829" s="6"/>
      <c r="V829" s="136"/>
      <c r="X829" s="34"/>
    </row>
    <row r="830" ht="14.25" customHeight="1">
      <c r="P830" s="6"/>
      <c r="V830" s="136"/>
      <c r="X830" s="34"/>
    </row>
    <row r="831" ht="14.25" customHeight="1">
      <c r="P831" s="6"/>
      <c r="V831" s="136"/>
      <c r="X831" s="34"/>
    </row>
    <row r="832" ht="14.25" customHeight="1">
      <c r="P832" s="6"/>
      <c r="V832" s="136"/>
      <c r="X832" s="34"/>
    </row>
    <row r="833" ht="14.25" customHeight="1">
      <c r="P833" s="6"/>
      <c r="V833" s="136"/>
      <c r="X833" s="34"/>
    </row>
    <row r="834" ht="14.25" customHeight="1">
      <c r="P834" s="6"/>
      <c r="V834" s="136"/>
      <c r="X834" s="34"/>
    </row>
    <row r="835" ht="14.25" customHeight="1">
      <c r="P835" s="6"/>
      <c r="V835" s="136"/>
      <c r="X835" s="34"/>
    </row>
    <row r="836" ht="14.25" customHeight="1">
      <c r="P836" s="6"/>
      <c r="V836" s="136"/>
      <c r="X836" s="34"/>
    </row>
    <row r="837" ht="14.25" customHeight="1">
      <c r="P837" s="6"/>
      <c r="V837" s="136"/>
      <c r="X837" s="34"/>
    </row>
    <row r="838" ht="14.25" customHeight="1">
      <c r="P838" s="6"/>
      <c r="V838" s="136"/>
      <c r="X838" s="34"/>
    </row>
    <row r="839" ht="14.25" customHeight="1">
      <c r="P839" s="6"/>
      <c r="V839" s="136"/>
      <c r="X839" s="34"/>
    </row>
    <row r="840" ht="14.25" customHeight="1">
      <c r="P840" s="6"/>
      <c r="V840" s="136"/>
      <c r="X840" s="34"/>
    </row>
    <row r="841" ht="14.25" customHeight="1">
      <c r="P841" s="6"/>
      <c r="V841" s="136"/>
      <c r="X841" s="34"/>
    </row>
    <row r="842" ht="14.25" customHeight="1">
      <c r="P842" s="6"/>
      <c r="V842" s="136"/>
      <c r="X842" s="34"/>
    </row>
    <row r="843" ht="14.25" customHeight="1">
      <c r="P843" s="6"/>
      <c r="V843" s="136"/>
      <c r="X843" s="34"/>
    </row>
    <row r="844" ht="14.25" customHeight="1">
      <c r="P844" s="6"/>
      <c r="V844" s="136"/>
      <c r="X844" s="34"/>
    </row>
    <row r="845" ht="14.25" customHeight="1">
      <c r="P845" s="6"/>
      <c r="V845" s="136"/>
      <c r="X845" s="34"/>
    </row>
    <row r="846" ht="14.25" customHeight="1">
      <c r="P846" s="6"/>
      <c r="V846" s="136"/>
      <c r="X846" s="34"/>
    </row>
    <row r="847" ht="14.25" customHeight="1">
      <c r="P847" s="6"/>
      <c r="V847" s="136"/>
      <c r="X847" s="34"/>
    </row>
    <row r="848" ht="14.25" customHeight="1">
      <c r="P848" s="6"/>
      <c r="V848" s="136"/>
      <c r="X848" s="34"/>
    </row>
    <row r="849" ht="14.25" customHeight="1">
      <c r="P849" s="6"/>
      <c r="V849" s="136"/>
      <c r="X849" s="34"/>
    </row>
    <row r="850" ht="14.25" customHeight="1">
      <c r="P850" s="6"/>
      <c r="V850" s="136"/>
      <c r="X850" s="34"/>
    </row>
    <row r="851" ht="14.25" customHeight="1">
      <c r="P851" s="6"/>
      <c r="V851" s="136"/>
      <c r="X851" s="34"/>
    </row>
    <row r="852" ht="14.25" customHeight="1">
      <c r="P852" s="6"/>
      <c r="V852" s="136"/>
      <c r="X852" s="34"/>
    </row>
    <row r="853" ht="14.25" customHeight="1">
      <c r="P853" s="6"/>
      <c r="V853" s="136"/>
      <c r="X853" s="34"/>
    </row>
    <row r="854" ht="14.25" customHeight="1">
      <c r="P854" s="6"/>
      <c r="V854" s="136"/>
      <c r="X854" s="34"/>
    </row>
    <row r="855" ht="14.25" customHeight="1">
      <c r="P855" s="6"/>
      <c r="V855" s="136"/>
      <c r="X855" s="34"/>
    </row>
    <row r="856" ht="14.25" customHeight="1">
      <c r="P856" s="6"/>
      <c r="V856" s="136"/>
      <c r="X856" s="34"/>
    </row>
    <row r="857" ht="14.25" customHeight="1">
      <c r="P857" s="6"/>
      <c r="V857" s="136"/>
      <c r="X857" s="34"/>
    </row>
    <row r="858" ht="14.25" customHeight="1">
      <c r="P858" s="6"/>
      <c r="V858" s="136"/>
      <c r="X858" s="34"/>
    </row>
    <row r="859" ht="14.25" customHeight="1">
      <c r="P859" s="6"/>
      <c r="V859" s="136"/>
      <c r="X859" s="34"/>
    </row>
    <row r="860" ht="14.25" customHeight="1">
      <c r="P860" s="6"/>
      <c r="V860" s="136"/>
      <c r="X860" s="34"/>
    </row>
    <row r="861" ht="14.25" customHeight="1">
      <c r="P861" s="6"/>
      <c r="V861" s="136"/>
      <c r="X861" s="34"/>
    </row>
    <row r="862" ht="14.25" customHeight="1">
      <c r="P862" s="6"/>
      <c r="V862" s="136"/>
      <c r="X862" s="34"/>
    </row>
    <row r="863" ht="14.25" customHeight="1">
      <c r="P863" s="6"/>
      <c r="V863" s="136"/>
      <c r="X863" s="34"/>
    </row>
    <row r="864" ht="14.25" customHeight="1">
      <c r="P864" s="6"/>
      <c r="V864" s="136"/>
      <c r="X864" s="34"/>
    </row>
    <row r="865" ht="14.25" customHeight="1">
      <c r="P865" s="6"/>
      <c r="V865" s="136"/>
      <c r="X865" s="34"/>
    </row>
    <row r="866" ht="14.25" customHeight="1">
      <c r="P866" s="6"/>
      <c r="V866" s="136"/>
      <c r="X866" s="34"/>
    </row>
    <row r="867" ht="14.25" customHeight="1">
      <c r="P867" s="6"/>
      <c r="V867" s="136"/>
      <c r="X867" s="34"/>
    </row>
    <row r="868" ht="14.25" customHeight="1">
      <c r="P868" s="6"/>
      <c r="V868" s="136"/>
      <c r="X868" s="34"/>
    </row>
    <row r="869" ht="14.25" customHeight="1">
      <c r="P869" s="6"/>
      <c r="V869" s="136"/>
      <c r="X869" s="34"/>
    </row>
    <row r="870" ht="14.25" customHeight="1">
      <c r="P870" s="6"/>
      <c r="V870" s="136"/>
      <c r="X870" s="34"/>
    </row>
    <row r="871" ht="14.25" customHeight="1">
      <c r="P871" s="6"/>
      <c r="V871" s="136"/>
      <c r="X871" s="34"/>
    </row>
    <row r="872" ht="14.25" customHeight="1">
      <c r="P872" s="6"/>
      <c r="V872" s="136"/>
      <c r="X872" s="34"/>
    </row>
    <row r="873" ht="14.25" customHeight="1">
      <c r="P873" s="6"/>
      <c r="V873" s="136"/>
      <c r="X873" s="34"/>
    </row>
    <row r="874" ht="14.25" customHeight="1">
      <c r="P874" s="6"/>
      <c r="V874" s="136"/>
      <c r="X874" s="34"/>
    </row>
    <row r="875" ht="14.25" customHeight="1">
      <c r="P875" s="6"/>
      <c r="V875" s="136"/>
      <c r="X875" s="34"/>
    </row>
    <row r="876" ht="14.25" customHeight="1">
      <c r="P876" s="6"/>
      <c r="V876" s="136"/>
      <c r="X876" s="34"/>
    </row>
    <row r="877" ht="14.25" customHeight="1">
      <c r="P877" s="6"/>
      <c r="V877" s="136"/>
      <c r="X877" s="34"/>
    </row>
    <row r="878" ht="14.25" customHeight="1">
      <c r="P878" s="6"/>
      <c r="V878" s="136"/>
      <c r="X878" s="34"/>
    </row>
    <row r="879" ht="14.25" customHeight="1">
      <c r="P879" s="6"/>
      <c r="V879" s="136"/>
      <c r="X879" s="34"/>
    </row>
    <row r="880" ht="14.25" customHeight="1">
      <c r="P880" s="6"/>
      <c r="V880" s="136"/>
      <c r="X880" s="34"/>
    </row>
    <row r="881" ht="14.25" customHeight="1">
      <c r="P881" s="6"/>
      <c r="V881" s="136"/>
      <c r="X881" s="34"/>
    </row>
    <row r="882" ht="14.25" customHeight="1">
      <c r="P882" s="6"/>
      <c r="V882" s="136"/>
      <c r="X882" s="34"/>
    </row>
    <row r="883" ht="14.25" customHeight="1">
      <c r="P883" s="6"/>
      <c r="V883" s="136"/>
      <c r="X883" s="34"/>
    </row>
    <row r="884" ht="14.25" customHeight="1">
      <c r="P884" s="6"/>
      <c r="V884" s="136"/>
      <c r="X884" s="34"/>
    </row>
    <row r="885" ht="14.25" customHeight="1">
      <c r="P885" s="6"/>
      <c r="V885" s="136"/>
      <c r="X885" s="34"/>
    </row>
    <row r="886" ht="14.25" customHeight="1">
      <c r="P886" s="6"/>
      <c r="V886" s="136"/>
      <c r="X886" s="34"/>
    </row>
    <row r="887" ht="14.25" customHeight="1">
      <c r="P887" s="6"/>
      <c r="V887" s="136"/>
      <c r="X887" s="34"/>
    </row>
    <row r="888" ht="14.25" customHeight="1">
      <c r="P888" s="6"/>
      <c r="V888" s="136"/>
      <c r="X888" s="34"/>
    </row>
    <row r="889" ht="14.25" customHeight="1">
      <c r="P889" s="6"/>
      <c r="V889" s="136"/>
      <c r="X889" s="34"/>
    </row>
    <row r="890" ht="14.25" customHeight="1">
      <c r="P890" s="6"/>
      <c r="V890" s="136"/>
      <c r="X890" s="34"/>
    </row>
    <row r="891" ht="14.25" customHeight="1">
      <c r="P891" s="6"/>
      <c r="V891" s="136"/>
      <c r="X891" s="34"/>
    </row>
    <row r="892" ht="14.25" customHeight="1">
      <c r="P892" s="6"/>
      <c r="V892" s="136"/>
      <c r="X892" s="34"/>
    </row>
    <row r="893" ht="14.25" customHeight="1">
      <c r="P893" s="6"/>
      <c r="V893" s="136"/>
      <c r="X893" s="34"/>
    </row>
    <row r="894" ht="14.25" customHeight="1">
      <c r="P894" s="6"/>
      <c r="V894" s="136"/>
      <c r="X894" s="34"/>
    </row>
    <row r="895" ht="14.25" customHeight="1">
      <c r="P895" s="6"/>
      <c r="V895" s="136"/>
      <c r="X895" s="34"/>
    </row>
    <row r="896" ht="14.25" customHeight="1">
      <c r="P896" s="6"/>
      <c r="V896" s="136"/>
      <c r="X896" s="34"/>
    </row>
    <row r="897" ht="14.25" customHeight="1">
      <c r="P897" s="6"/>
      <c r="V897" s="136"/>
      <c r="X897" s="34"/>
    </row>
    <row r="898" ht="14.25" customHeight="1">
      <c r="P898" s="6"/>
      <c r="V898" s="136"/>
      <c r="X898" s="34"/>
    </row>
    <row r="899" ht="14.25" customHeight="1">
      <c r="P899" s="6"/>
      <c r="V899" s="136"/>
      <c r="X899" s="34"/>
    </row>
    <row r="900" ht="14.25" customHeight="1">
      <c r="P900" s="6"/>
      <c r="V900" s="136"/>
      <c r="X900" s="34"/>
    </row>
    <row r="901" ht="14.25" customHeight="1">
      <c r="P901" s="6"/>
      <c r="V901" s="136"/>
      <c r="X901" s="34"/>
    </row>
    <row r="902" ht="14.25" customHeight="1">
      <c r="P902" s="6"/>
      <c r="V902" s="136"/>
      <c r="X902" s="34"/>
    </row>
    <row r="903" ht="14.25" customHeight="1">
      <c r="P903" s="6"/>
      <c r="V903" s="136"/>
      <c r="X903" s="34"/>
    </row>
    <row r="904" ht="14.25" customHeight="1">
      <c r="P904" s="6"/>
      <c r="V904" s="136"/>
      <c r="X904" s="34"/>
    </row>
    <row r="905" ht="14.25" customHeight="1">
      <c r="P905" s="6"/>
      <c r="V905" s="136"/>
      <c r="X905" s="34"/>
    </row>
    <row r="906" ht="14.25" customHeight="1">
      <c r="P906" s="6"/>
      <c r="V906" s="136"/>
      <c r="X906" s="34"/>
    </row>
    <row r="907" ht="14.25" customHeight="1">
      <c r="P907" s="6"/>
      <c r="V907" s="136"/>
      <c r="X907" s="34"/>
    </row>
    <row r="908" ht="14.25" customHeight="1">
      <c r="P908" s="6"/>
      <c r="V908" s="136"/>
      <c r="X908" s="34"/>
    </row>
    <row r="909" ht="14.25" customHeight="1">
      <c r="P909" s="6"/>
      <c r="V909" s="136"/>
      <c r="X909" s="34"/>
    </row>
    <row r="910" ht="14.25" customHeight="1">
      <c r="P910" s="6"/>
      <c r="V910" s="136"/>
      <c r="X910" s="34"/>
    </row>
    <row r="911" ht="14.25" customHeight="1">
      <c r="P911" s="6"/>
      <c r="V911" s="136"/>
      <c r="X911" s="34"/>
    </row>
    <row r="912" ht="14.25" customHeight="1">
      <c r="P912" s="6"/>
      <c r="V912" s="136"/>
      <c r="X912" s="34"/>
    </row>
    <row r="913" ht="14.25" customHeight="1">
      <c r="P913" s="6"/>
      <c r="V913" s="136"/>
      <c r="X913" s="34"/>
    </row>
    <row r="914" ht="14.25" customHeight="1">
      <c r="P914" s="6"/>
      <c r="V914" s="136"/>
      <c r="X914" s="34"/>
    </row>
    <row r="915" ht="14.25" customHeight="1">
      <c r="P915" s="6"/>
      <c r="V915" s="136"/>
      <c r="X915" s="34"/>
    </row>
    <row r="916" ht="14.25" customHeight="1">
      <c r="P916" s="6"/>
      <c r="V916" s="136"/>
      <c r="X916" s="34"/>
    </row>
    <row r="917" ht="14.25" customHeight="1">
      <c r="P917" s="6"/>
      <c r="V917" s="136"/>
      <c r="X917" s="34"/>
    </row>
    <row r="918" ht="14.25" customHeight="1">
      <c r="P918" s="6"/>
      <c r="V918" s="136"/>
      <c r="X918" s="34"/>
    </row>
    <row r="919" ht="14.25" customHeight="1">
      <c r="P919" s="6"/>
      <c r="V919" s="136"/>
      <c r="X919" s="34"/>
    </row>
    <row r="920" ht="14.25" customHeight="1">
      <c r="P920" s="6"/>
      <c r="V920" s="136"/>
      <c r="X920" s="34"/>
    </row>
    <row r="921" ht="14.25" customHeight="1">
      <c r="P921" s="6"/>
      <c r="V921" s="136"/>
      <c r="X921" s="34"/>
    </row>
    <row r="922" ht="14.25" customHeight="1">
      <c r="P922" s="6"/>
      <c r="V922" s="136"/>
      <c r="X922" s="34"/>
    </row>
    <row r="923" ht="14.25" customHeight="1">
      <c r="P923" s="6"/>
      <c r="V923" s="136"/>
      <c r="X923" s="34"/>
    </row>
    <row r="924" ht="14.25" customHeight="1">
      <c r="P924" s="6"/>
      <c r="V924" s="136"/>
      <c r="X924" s="34"/>
    </row>
    <row r="925" ht="14.25" customHeight="1">
      <c r="P925" s="6"/>
      <c r="V925" s="136"/>
      <c r="X925" s="34"/>
    </row>
    <row r="926" ht="14.25" customHeight="1">
      <c r="P926" s="6"/>
      <c r="V926" s="136"/>
      <c r="X926" s="34"/>
    </row>
    <row r="927" ht="14.25" customHeight="1">
      <c r="P927" s="6"/>
      <c r="V927" s="136"/>
      <c r="X927" s="34"/>
    </row>
    <row r="928" ht="14.25" customHeight="1">
      <c r="P928" s="6"/>
      <c r="V928" s="136"/>
      <c r="X928" s="34"/>
    </row>
    <row r="929" ht="14.25" customHeight="1">
      <c r="P929" s="6"/>
      <c r="V929" s="136"/>
      <c r="X929" s="34"/>
    </row>
    <row r="930" ht="14.25" customHeight="1">
      <c r="P930" s="6"/>
      <c r="V930" s="136"/>
      <c r="X930" s="34"/>
    </row>
    <row r="931" ht="14.25" customHeight="1">
      <c r="P931" s="6"/>
      <c r="V931" s="136"/>
      <c r="X931" s="34"/>
    </row>
    <row r="932" ht="14.25" customHeight="1">
      <c r="P932" s="6"/>
      <c r="V932" s="136"/>
      <c r="X932" s="34"/>
    </row>
    <row r="933" ht="14.25" customHeight="1">
      <c r="P933" s="6"/>
      <c r="V933" s="136"/>
      <c r="X933" s="34"/>
    </row>
    <row r="934" ht="14.25" customHeight="1">
      <c r="P934" s="6"/>
      <c r="V934" s="136"/>
      <c r="X934" s="34"/>
    </row>
    <row r="935" ht="14.25" customHeight="1">
      <c r="P935" s="6"/>
      <c r="V935" s="136"/>
      <c r="X935" s="34"/>
    </row>
    <row r="936" ht="14.25" customHeight="1">
      <c r="P936" s="6"/>
      <c r="V936" s="136"/>
      <c r="X936" s="34"/>
    </row>
    <row r="937" ht="14.25" customHeight="1">
      <c r="P937" s="6"/>
      <c r="V937" s="136"/>
      <c r="X937" s="34"/>
    </row>
    <row r="938" ht="14.25" customHeight="1">
      <c r="P938" s="6"/>
      <c r="V938" s="136"/>
      <c r="X938" s="34"/>
    </row>
    <row r="939" ht="14.25" customHeight="1">
      <c r="P939" s="6"/>
      <c r="V939" s="136"/>
      <c r="X939" s="34"/>
    </row>
    <row r="940" ht="14.25" customHeight="1">
      <c r="P940" s="6"/>
      <c r="V940" s="136"/>
      <c r="X940" s="34"/>
    </row>
    <row r="941" ht="14.25" customHeight="1">
      <c r="P941" s="6"/>
      <c r="V941" s="136"/>
      <c r="X941" s="34"/>
    </row>
    <row r="942" ht="14.25" customHeight="1">
      <c r="P942" s="6"/>
      <c r="V942" s="136"/>
      <c r="X942" s="34"/>
    </row>
    <row r="943" ht="14.25" customHeight="1">
      <c r="P943" s="6"/>
      <c r="V943" s="136"/>
      <c r="X943" s="34"/>
    </row>
    <row r="944" ht="14.25" customHeight="1">
      <c r="P944" s="6"/>
      <c r="V944" s="136"/>
      <c r="X944" s="34"/>
    </row>
    <row r="945" ht="14.25" customHeight="1">
      <c r="P945" s="6"/>
      <c r="V945" s="136"/>
      <c r="X945" s="34"/>
    </row>
    <row r="946" ht="14.25" customHeight="1">
      <c r="P946" s="6"/>
      <c r="V946" s="136"/>
      <c r="X946" s="34"/>
    </row>
    <row r="947" ht="14.25" customHeight="1">
      <c r="P947" s="6"/>
      <c r="V947" s="136"/>
      <c r="X947" s="34"/>
    </row>
    <row r="948" ht="14.25" customHeight="1">
      <c r="P948" s="6"/>
      <c r="V948" s="136"/>
      <c r="X948" s="34"/>
    </row>
    <row r="949" ht="14.25" customHeight="1">
      <c r="P949" s="6"/>
      <c r="V949" s="136"/>
      <c r="X949" s="34"/>
    </row>
    <row r="950" ht="14.25" customHeight="1">
      <c r="P950" s="6"/>
      <c r="V950" s="136"/>
      <c r="X950" s="34"/>
    </row>
    <row r="951" ht="14.25" customHeight="1">
      <c r="P951" s="6"/>
      <c r="V951" s="136"/>
      <c r="X951" s="34"/>
    </row>
    <row r="952" ht="14.25" customHeight="1">
      <c r="P952" s="6"/>
      <c r="V952" s="136"/>
      <c r="X952" s="34"/>
    </row>
    <row r="953" ht="14.25" customHeight="1">
      <c r="P953" s="6"/>
      <c r="V953" s="136"/>
      <c r="X953" s="34"/>
    </row>
    <row r="954" ht="14.25" customHeight="1">
      <c r="P954" s="6"/>
      <c r="V954" s="136"/>
      <c r="X954" s="34"/>
    </row>
    <row r="955" ht="14.25" customHeight="1">
      <c r="P955" s="6"/>
      <c r="V955" s="136"/>
      <c r="X955" s="34"/>
    </row>
    <row r="956" ht="14.25" customHeight="1">
      <c r="P956" s="6"/>
      <c r="V956" s="136"/>
      <c r="X956" s="34"/>
    </row>
    <row r="957" ht="14.25" customHeight="1">
      <c r="P957" s="6"/>
      <c r="V957" s="136"/>
      <c r="X957" s="34"/>
    </row>
    <row r="958" ht="14.25" customHeight="1">
      <c r="P958" s="6"/>
      <c r="V958" s="136"/>
      <c r="X958" s="34"/>
    </row>
    <row r="959" ht="14.25" customHeight="1">
      <c r="P959" s="6"/>
      <c r="V959" s="136"/>
      <c r="X959" s="34"/>
    </row>
    <row r="960" ht="14.25" customHeight="1">
      <c r="P960" s="6"/>
      <c r="V960" s="136"/>
      <c r="X960" s="34"/>
    </row>
    <row r="961" ht="14.25" customHeight="1">
      <c r="P961" s="6"/>
      <c r="V961" s="136"/>
      <c r="X961" s="34"/>
    </row>
    <row r="962" ht="14.25" customHeight="1">
      <c r="P962" s="6"/>
      <c r="V962" s="136"/>
      <c r="X962" s="34"/>
    </row>
    <row r="963" ht="14.25" customHeight="1">
      <c r="P963" s="6"/>
      <c r="V963" s="136"/>
      <c r="X963" s="34"/>
    </row>
    <row r="964" ht="14.25" customHeight="1">
      <c r="P964" s="6"/>
      <c r="V964" s="136"/>
      <c r="X964" s="34"/>
    </row>
    <row r="965" ht="14.25" customHeight="1">
      <c r="P965" s="6"/>
      <c r="V965" s="136"/>
      <c r="X965" s="34"/>
    </row>
    <row r="966" ht="14.25" customHeight="1">
      <c r="P966" s="6"/>
      <c r="V966" s="136"/>
      <c r="X966" s="34"/>
    </row>
    <row r="967" ht="14.25" customHeight="1">
      <c r="P967" s="6"/>
      <c r="V967" s="136"/>
      <c r="X967" s="34"/>
    </row>
    <row r="968" ht="14.25" customHeight="1">
      <c r="P968" s="6"/>
      <c r="V968" s="136"/>
      <c r="X968" s="34"/>
    </row>
    <row r="969" ht="14.25" customHeight="1">
      <c r="P969" s="6"/>
      <c r="V969" s="136"/>
      <c r="X969" s="34"/>
    </row>
    <row r="970" ht="14.25" customHeight="1">
      <c r="P970" s="6"/>
      <c r="V970" s="136"/>
      <c r="X970" s="34"/>
    </row>
    <row r="971" ht="14.25" customHeight="1">
      <c r="P971" s="6"/>
      <c r="V971" s="136"/>
      <c r="X971" s="34"/>
    </row>
    <row r="972" ht="14.25" customHeight="1">
      <c r="P972" s="6"/>
      <c r="V972" s="136"/>
      <c r="X972" s="34"/>
    </row>
    <row r="973" ht="14.25" customHeight="1">
      <c r="P973" s="6"/>
      <c r="V973" s="136"/>
      <c r="X973" s="34"/>
    </row>
    <row r="974" ht="14.25" customHeight="1">
      <c r="P974" s="6"/>
      <c r="V974" s="136"/>
      <c r="X974" s="34"/>
    </row>
    <row r="975" ht="14.25" customHeight="1">
      <c r="P975" s="6"/>
      <c r="V975" s="136"/>
      <c r="X975" s="34"/>
    </row>
    <row r="976" ht="14.25" customHeight="1">
      <c r="P976" s="6"/>
      <c r="V976" s="136"/>
      <c r="X976" s="34"/>
    </row>
    <row r="977" ht="14.25" customHeight="1">
      <c r="P977" s="6"/>
      <c r="V977" s="136"/>
      <c r="X977" s="34"/>
    </row>
    <row r="978" ht="14.25" customHeight="1">
      <c r="P978" s="6"/>
      <c r="V978" s="136"/>
      <c r="X978" s="34"/>
    </row>
    <row r="979" ht="14.25" customHeight="1">
      <c r="P979" s="6"/>
      <c r="V979" s="136"/>
      <c r="X979" s="34"/>
    </row>
    <row r="980" ht="14.25" customHeight="1">
      <c r="P980" s="6"/>
      <c r="V980" s="136"/>
      <c r="X980" s="34"/>
    </row>
    <row r="981" ht="14.25" customHeight="1">
      <c r="P981" s="6"/>
      <c r="V981" s="136"/>
      <c r="X981" s="34"/>
    </row>
    <row r="982" ht="14.25" customHeight="1">
      <c r="P982" s="6"/>
      <c r="V982" s="136"/>
      <c r="X982" s="34"/>
    </row>
    <row r="983" ht="14.25" customHeight="1">
      <c r="P983" s="6"/>
      <c r="V983" s="136"/>
      <c r="X983" s="34"/>
    </row>
    <row r="984" ht="14.25" customHeight="1">
      <c r="P984" s="6"/>
      <c r="V984" s="136"/>
      <c r="X984" s="34"/>
    </row>
    <row r="985" ht="14.25" customHeight="1">
      <c r="P985" s="6"/>
      <c r="V985" s="136"/>
      <c r="X985" s="34"/>
    </row>
    <row r="986" ht="14.25" customHeight="1">
      <c r="P986" s="6"/>
      <c r="V986" s="136"/>
      <c r="X986" s="34"/>
    </row>
    <row r="987" ht="14.25" customHeight="1">
      <c r="P987" s="6"/>
      <c r="V987" s="136"/>
      <c r="X987" s="34"/>
    </row>
    <row r="988" ht="14.25" customHeight="1">
      <c r="P988" s="6"/>
      <c r="V988" s="136"/>
      <c r="X988" s="34"/>
    </row>
    <row r="989" ht="14.25" customHeight="1">
      <c r="P989" s="6"/>
      <c r="V989" s="136"/>
      <c r="X989" s="34"/>
    </row>
    <row r="990" ht="14.25" customHeight="1">
      <c r="P990" s="6"/>
      <c r="V990" s="136"/>
      <c r="X990" s="34"/>
    </row>
    <row r="991" ht="14.25" customHeight="1">
      <c r="P991" s="6"/>
      <c r="V991" s="136"/>
      <c r="X991" s="34"/>
    </row>
    <row r="992" ht="14.25" customHeight="1">
      <c r="P992" s="6"/>
      <c r="V992" s="136"/>
      <c r="X992" s="34"/>
    </row>
    <row r="993" ht="14.25" customHeight="1">
      <c r="P993" s="6"/>
      <c r="V993" s="136"/>
      <c r="X993" s="34"/>
    </row>
    <row r="994" ht="14.25" customHeight="1">
      <c r="P994" s="6"/>
      <c r="V994" s="136"/>
      <c r="X994" s="34"/>
    </row>
    <row r="995" ht="14.25" customHeight="1">
      <c r="P995" s="6"/>
      <c r="V995" s="136"/>
      <c r="X995" s="34"/>
    </row>
    <row r="996" ht="14.25" customHeight="1">
      <c r="P996" s="6"/>
      <c r="V996" s="136"/>
      <c r="X996" s="34"/>
    </row>
    <row r="997" ht="14.25" customHeight="1">
      <c r="P997" s="6"/>
      <c r="V997" s="136"/>
      <c r="X997" s="34"/>
    </row>
    <row r="998" ht="14.25" customHeight="1">
      <c r="P998" s="6"/>
      <c r="V998" s="136"/>
      <c r="X998" s="34"/>
    </row>
    <row r="999" ht="14.25" customHeight="1">
      <c r="P999" s="6"/>
      <c r="V999" s="136"/>
      <c r="X999" s="34"/>
    </row>
    <row r="1000" ht="14.25" customHeight="1">
      <c r="P1000" s="6"/>
      <c r="V1000" s="136"/>
      <c r="X1000" s="34"/>
    </row>
  </sheetData>
  <customSheetViews>
    <customSheetView guid="{EBD2E191-3530-4704-AAF0-5726131331D3}" filter="1" showAutoFilter="1">
      <autoFilter ref="$A$1:$AA$619">
        <filterColumn colId="4">
          <filters>
            <filter val="CITADEL"/>
          </filters>
        </filterColumn>
      </autoFilter>
    </customSheetView>
  </customSheetView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1.25"/>
    <col customWidth="1" min="2" max="2" width="49.88"/>
    <col customWidth="1" min="3" max="3" width="36.25"/>
    <col customWidth="1" min="4" max="4" width="12.63"/>
    <col customWidth="1" min="5" max="5" width="13.25"/>
    <col customWidth="1" min="6" max="6" width="14.13"/>
    <col customWidth="1" min="7" max="7" width="14.25"/>
    <col customWidth="1" min="8" max="8" width="20.0"/>
    <col customWidth="1" min="9" max="9" width="21.13"/>
    <col customWidth="1" min="10" max="10" width="25.75"/>
    <col customWidth="1" min="11" max="11" width="25.13"/>
    <col customWidth="1" min="12" max="12" width="15.13"/>
    <col customWidth="1" min="13" max="13" width="16.88"/>
  </cols>
  <sheetData>
    <row r="1" ht="14.25" customHeight="1">
      <c r="A1" s="12" t="s">
        <v>99</v>
      </c>
      <c r="B1" s="12" t="s">
        <v>38</v>
      </c>
      <c r="C1" s="12" t="s">
        <v>39</v>
      </c>
      <c r="D1" s="12" t="s">
        <v>41</v>
      </c>
      <c r="E1" s="12" t="s">
        <v>101</v>
      </c>
      <c r="F1" s="31" t="s">
        <v>102</v>
      </c>
      <c r="G1" s="12" t="s">
        <v>104</v>
      </c>
      <c r="H1" s="12" t="s">
        <v>107</v>
      </c>
      <c r="I1" s="12" t="s">
        <v>2168</v>
      </c>
      <c r="J1" s="12" t="s">
        <v>2169</v>
      </c>
      <c r="K1" s="12" t="s">
        <v>1967</v>
      </c>
      <c r="L1" s="12" t="s">
        <v>45</v>
      </c>
      <c r="M1" s="86" t="s">
        <v>1966</v>
      </c>
    </row>
    <row r="2" ht="14.25" customHeight="1">
      <c r="A2" s="49" t="s">
        <v>144</v>
      </c>
      <c r="B2" s="49" t="str">
        <f>IFERROR(__xludf.DUMMYFUNCTION("REGEXEXTRACT(A2,""^cost\.(.*)\.[^.]+\.[^.]+$"")"),"building.airship@1")</f>
        <v>building.airship@1</v>
      </c>
      <c r="C2" s="49" t="str">
        <f t="array" ref="C2">_xlfn.XLOOKUP(
 B2,
 tblTargets[TargetID],
 tblTargets[DisplayName],
 ""
)</f>
        <v>Airship Lv 1</v>
      </c>
      <c r="D2" s="49" t="str">
        <f t="array" ref="D2">_xlfn.XLOOKUP(
 B2,
 tblTargets[TargetID],
 tblTargets[TargetType],
 ""
)</f>
        <v>BUILDING</v>
      </c>
      <c r="E2" s="49" t="s">
        <v>6</v>
      </c>
      <c r="F2" s="87">
        <f>IFERROR(__xludf.DUMMYFUNCTION("VALUE(REGEXEXTRACT(A2,""([^.]+)$""))"),1.0)</f>
        <v>1</v>
      </c>
      <c r="G2" s="49">
        <v>10.0</v>
      </c>
      <c r="H2" s="26" t="b">
        <f>COUNTIFS(
 tblCostChecklist[RequirementID],A2,
 tblCostChecklist[PlayerPaid],TRUE
)&gt;0</f>
        <v>0</v>
      </c>
      <c r="I2" s="49">
        <f t="shared" ref="I2:I2011" si="1">COUNTIF($B$2:$B2011,B2)</f>
        <v>8</v>
      </c>
      <c r="J2" s="49">
        <f t="shared" ref="J2:J2011" si="2">COUNTIFS(
 $B$2:$B2011,B2,
 $H$2:$H2011,TRUE
)</f>
        <v>0</v>
      </c>
      <c r="K2" s="49">
        <f t="shared" ref="K2:K2011" si="3">I2-J2</f>
        <v>8</v>
      </c>
      <c r="L2" s="49" t="b">
        <f t="shared" ref="L2:L2011" si="4">K2=0</f>
        <v>0</v>
      </c>
      <c r="M2" s="88">
        <f t="shared" ref="M2:M2011" si="5">IF(
 I2=0,
 0,
 J2/I2
)</f>
        <v>0</v>
      </c>
    </row>
    <row r="3" ht="14.25" customHeight="1">
      <c r="A3" s="49" t="s">
        <v>117</v>
      </c>
      <c r="B3" s="49" t="str">
        <f>IFERROR(__xludf.DUMMYFUNCTION("REGEXEXTRACT(A3,""^cost\.(.*)\.[^.]+\.[^.]+$"")"),"building.airship@1")</f>
        <v>building.airship@1</v>
      </c>
      <c r="C3" s="49" t="str">
        <f t="array" ref="C3">_xlfn.XLOOKUP(
 B3,
 tblTargets[TargetID],
 tblTargets[DisplayName],
 ""
)</f>
        <v>Airship Lv 1</v>
      </c>
      <c r="D3" s="49" t="str">
        <f t="array" ref="D3">_xlfn.XLOOKUP(
 B3,
 tblTargets[TargetID],
 tblTargets[TargetType],
 ""
)</f>
        <v>BUILDING</v>
      </c>
      <c r="E3" s="49" t="s">
        <v>119</v>
      </c>
      <c r="F3" s="87">
        <f>IFERROR(__xludf.DUMMYFUNCTION("VALUE(REGEXEXTRACT(A3,""([^.]+)$""))"),1.0)</f>
        <v>1</v>
      </c>
      <c r="G3" s="49">
        <v>2000.0</v>
      </c>
      <c r="H3" s="26" t="b">
        <f>COUNTIFS(
 tblCostChecklist[RequirementID],A3,
 tblCostChecklist[PlayerPaid],TRUE
)&gt;0</f>
        <v>0</v>
      </c>
      <c r="I3" s="49">
        <f t="shared" si="1"/>
        <v>8</v>
      </c>
      <c r="J3" s="49">
        <f t="shared" si="2"/>
        <v>0</v>
      </c>
      <c r="K3" s="49">
        <f t="shared" si="3"/>
        <v>8</v>
      </c>
      <c r="L3" s="49" t="b">
        <f t="shared" si="4"/>
        <v>0</v>
      </c>
      <c r="M3" s="88">
        <f t="shared" si="5"/>
        <v>0</v>
      </c>
    </row>
    <row r="4" ht="14.25" customHeight="1">
      <c r="A4" s="49" t="s">
        <v>150</v>
      </c>
      <c r="B4" s="49" t="str">
        <f>IFERROR(__xludf.DUMMYFUNCTION("REGEXEXTRACT(A4,""^cost\.(.*)\.[^.]+\.[^.]+$"")"),"building.airship@1")</f>
        <v>building.airship@1</v>
      </c>
      <c r="C4" s="49" t="str">
        <f t="array" ref="C4">_xlfn.XLOOKUP(
 B4,
 tblTargets[TargetID],
 tblTargets[DisplayName],
 ""
)</f>
        <v>Airship Lv 1</v>
      </c>
      <c r="D4" s="49" t="str">
        <f t="array" ref="D4">_xlfn.XLOOKUP(
 B4,
 tblTargets[TargetID],
 tblTargets[TargetType],
 ""
)</f>
        <v>BUILDING</v>
      </c>
      <c r="E4" s="49" t="s">
        <v>152</v>
      </c>
      <c r="F4" s="87">
        <f>IFERROR(__xludf.DUMMYFUNCTION("VALUE(REGEXEXTRACT(A4,""([^.]+)$""))"),1.0)</f>
        <v>1</v>
      </c>
      <c r="G4" s="49">
        <v>120.0</v>
      </c>
      <c r="H4" s="26" t="b">
        <f>COUNTIFS(
 tblCostChecklist[RequirementID],A4,
 tblCostChecklist[PlayerPaid],TRUE
)&gt;0</f>
        <v>0</v>
      </c>
      <c r="I4" s="49">
        <f t="shared" si="1"/>
        <v>8</v>
      </c>
      <c r="J4" s="49">
        <f t="shared" si="2"/>
        <v>0</v>
      </c>
      <c r="K4" s="49">
        <f t="shared" si="3"/>
        <v>8</v>
      </c>
      <c r="L4" s="49" t="b">
        <f t="shared" si="4"/>
        <v>0</v>
      </c>
      <c r="M4" s="88">
        <f t="shared" si="5"/>
        <v>0</v>
      </c>
    </row>
    <row r="5" ht="14.25" customHeight="1">
      <c r="A5" s="49" t="s">
        <v>155</v>
      </c>
      <c r="B5" s="49" t="str">
        <f>IFERROR(__xludf.DUMMYFUNCTION("REGEXEXTRACT(A5,""^cost\.(.*)\.[^.]+\.[^.]+$"")"),"building.airship@1")</f>
        <v>building.airship@1</v>
      </c>
      <c r="C5" s="49" t="str">
        <f t="array" ref="C5">_xlfn.XLOOKUP(
 B5,
 tblTargets[TargetID],
 tblTargets[DisplayName],
 ""
)</f>
        <v>Airship Lv 1</v>
      </c>
      <c r="D5" s="49" t="str">
        <f t="array" ref="D5">_xlfn.XLOOKUP(
 B5,
 tblTargets[TargetID],
 tblTargets[TargetType],
 ""
)</f>
        <v>BUILDING</v>
      </c>
      <c r="E5" s="49" t="s">
        <v>158</v>
      </c>
      <c r="F5" s="87">
        <f>IFERROR(__xludf.DUMMYFUNCTION("VALUE(REGEXEXTRACT(A5,""([^.]+)$""))"),1.0)</f>
        <v>1</v>
      </c>
      <c r="G5" s="49">
        <v>20.0</v>
      </c>
      <c r="H5" s="26" t="b">
        <f>COUNTIFS(
 tblCostChecklist[RequirementID],A5,
 tblCostChecklist[PlayerPaid],TRUE
)&gt;0</f>
        <v>0</v>
      </c>
      <c r="I5" s="49">
        <f t="shared" si="1"/>
        <v>8</v>
      </c>
      <c r="J5" s="49">
        <f t="shared" si="2"/>
        <v>0</v>
      </c>
      <c r="K5" s="49">
        <f t="shared" si="3"/>
        <v>8</v>
      </c>
      <c r="L5" s="49" t="b">
        <f t="shared" si="4"/>
        <v>0</v>
      </c>
      <c r="M5" s="88">
        <f t="shared" si="5"/>
        <v>0</v>
      </c>
    </row>
    <row r="6" ht="14.25" customHeight="1">
      <c r="A6" s="49" t="s">
        <v>108</v>
      </c>
      <c r="B6" s="49" t="str">
        <f>IFERROR(__xludf.DUMMYFUNCTION("REGEXEXTRACT(A6,""^cost\.(.*)\.[^.]+\.[^.]+$"")"),"building.airship@1")</f>
        <v>building.airship@1</v>
      </c>
      <c r="C6" s="49" t="str">
        <f t="array" ref="C6">_xlfn.XLOOKUP(
 B6,
 tblTargets[TargetID],
 tblTargets[DisplayName],
 ""
)</f>
        <v>Airship Lv 1</v>
      </c>
      <c r="D6" s="49" t="str">
        <f t="array" ref="D6">_xlfn.XLOOKUP(
 B6,
 tblTargets[TargetID],
 tblTargets[TargetType],
 ""
)</f>
        <v>BUILDING</v>
      </c>
      <c r="E6" s="49" t="s">
        <v>113</v>
      </c>
      <c r="F6" s="87">
        <f>IFERROR(__xludf.DUMMYFUNCTION("VALUE(REGEXEXTRACT(A6,""([^.]+)$""))"),1.0)</f>
        <v>1</v>
      </c>
      <c r="G6" s="49">
        <v>200.0</v>
      </c>
      <c r="H6" s="26" t="b">
        <f>COUNTIFS(
 tblCostChecklist[RequirementID],A6,
 tblCostChecklist[PlayerPaid],TRUE
)&gt;0</f>
        <v>0</v>
      </c>
      <c r="I6" s="49">
        <f t="shared" si="1"/>
        <v>8</v>
      </c>
      <c r="J6" s="49">
        <f t="shared" si="2"/>
        <v>0</v>
      </c>
      <c r="K6" s="49">
        <f t="shared" si="3"/>
        <v>8</v>
      </c>
      <c r="L6" s="49" t="b">
        <f t="shared" si="4"/>
        <v>0</v>
      </c>
      <c r="M6" s="88">
        <f t="shared" si="5"/>
        <v>0</v>
      </c>
    </row>
    <row r="7" ht="14.25" customHeight="1">
      <c r="A7" s="49" t="s">
        <v>136</v>
      </c>
      <c r="B7" s="49" t="str">
        <f>IFERROR(__xludf.DUMMYFUNCTION("REGEXEXTRACT(A7,""^cost\.(.*)\.[^.]+\.[^.]+$"")"),"building.airship@1")</f>
        <v>building.airship@1</v>
      </c>
      <c r="C7" s="49" t="str">
        <f t="array" ref="C7">_xlfn.XLOOKUP(
 B7,
 tblTargets[TargetID],
 tblTargets[DisplayName],
 ""
)</f>
        <v>Airship Lv 1</v>
      </c>
      <c r="D7" s="49" t="str">
        <f t="array" ref="D7">_xlfn.XLOOKUP(
 B7,
 tblTargets[TargetID],
 tblTargets[TargetType],
 ""
)</f>
        <v>BUILDING</v>
      </c>
      <c r="E7" s="49" t="s">
        <v>140</v>
      </c>
      <c r="F7" s="87">
        <f>IFERROR(__xludf.DUMMYFUNCTION("VALUE(REGEXEXTRACT(A7,""([^.]+)$""))"),1.0)</f>
        <v>1</v>
      </c>
      <c r="G7" s="49">
        <v>20.0</v>
      </c>
      <c r="H7" s="26" t="b">
        <f>COUNTIFS(
 tblCostChecklist[RequirementID],A7,
 tblCostChecklist[PlayerPaid],TRUE
)&gt;0</f>
        <v>0</v>
      </c>
      <c r="I7" s="49">
        <f t="shared" si="1"/>
        <v>8</v>
      </c>
      <c r="J7" s="49">
        <f t="shared" si="2"/>
        <v>0</v>
      </c>
      <c r="K7" s="49">
        <f t="shared" si="3"/>
        <v>8</v>
      </c>
      <c r="L7" s="49" t="b">
        <f t="shared" si="4"/>
        <v>0</v>
      </c>
      <c r="M7" s="88">
        <f t="shared" si="5"/>
        <v>0</v>
      </c>
    </row>
    <row r="8" ht="14.25" customHeight="1">
      <c r="A8" s="49" t="s">
        <v>123</v>
      </c>
      <c r="B8" s="49" t="str">
        <f>IFERROR(__xludf.DUMMYFUNCTION("REGEXEXTRACT(A8,""^cost\.(.*)\.[^.]+\.[^.]+$"")"),"building.airship@1")</f>
        <v>building.airship@1</v>
      </c>
      <c r="C8" s="49" t="str">
        <f t="array" ref="C8">_xlfn.XLOOKUP(
 B8,
 tblTargets[TargetID],
 tblTargets[DisplayName],
 ""
)</f>
        <v>Airship Lv 1</v>
      </c>
      <c r="D8" s="49" t="str">
        <f t="array" ref="D8">_xlfn.XLOOKUP(
 B8,
 tblTargets[TargetID],
 tblTargets[TargetType],
 ""
)</f>
        <v>BUILDING</v>
      </c>
      <c r="E8" s="49" t="s">
        <v>126</v>
      </c>
      <c r="F8" s="87">
        <f>IFERROR(__xludf.DUMMYFUNCTION("VALUE(REGEXEXTRACT(A8,""([^.]+)$""))"),1.0)</f>
        <v>1</v>
      </c>
      <c r="G8" s="49">
        <v>50.0</v>
      </c>
      <c r="H8" s="26" t="b">
        <f>COUNTIFS(
 tblCostChecklist[RequirementID],A8,
 tblCostChecklist[PlayerPaid],TRUE
)&gt;0</f>
        <v>0</v>
      </c>
      <c r="I8" s="49">
        <f t="shared" si="1"/>
        <v>8</v>
      </c>
      <c r="J8" s="49">
        <f t="shared" si="2"/>
        <v>0</v>
      </c>
      <c r="K8" s="49">
        <f t="shared" si="3"/>
        <v>8</v>
      </c>
      <c r="L8" s="49" t="b">
        <f t="shared" si="4"/>
        <v>0</v>
      </c>
      <c r="M8" s="88">
        <f t="shared" si="5"/>
        <v>0</v>
      </c>
    </row>
    <row r="9" ht="14.25" customHeight="1">
      <c r="A9" s="49" t="s">
        <v>130</v>
      </c>
      <c r="B9" s="49" t="str">
        <f>IFERROR(__xludf.DUMMYFUNCTION("REGEXEXTRACT(A9,""^cost\.(.*)\.[^.]+\.[^.]+$"")"),"building.airship@1")</f>
        <v>building.airship@1</v>
      </c>
      <c r="C9" s="49" t="str">
        <f t="array" ref="C9">_xlfn.XLOOKUP(
 B9,
 tblTargets[TargetID],
 tblTargets[DisplayName],
 ""
)</f>
        <v>Airship Lv 1</v>
      </c>
      <c r="D9" s="49" t="str">
        <f t="array" ref="D9">_xlfn.XLOOKUP(
 B9,
 tblTargets[TargetID],
 tblTargets[TargetType],
 ""
)</f>
        <v>BUILDING</v>
      </c>
      <c r="E9" s="49" t="s">
        <v>132</v>
      </c>
      <c r="F9" s="87">
        <f>IFERROR(__xludf.DUMMYFUNCTION("VALUE(REGEXEXTRACT(A9,""([^.]+)$""))"),1.0)</f>
        <v>1</v>
      </c>
      <c r="G9" s="49">
        <v>40.0</v>
      </c>
      <c r="H9" s="26" t="b">
        <f>COUNTIFS(
 tblCostChecklist[RequirementID],A9,
 tblCostChecklist[PlayerPaid],TRUE
)&gt;0</f>
        <v>0</v>
      </c>
      <c r="I9" s="49">
        <f t="shared" si="1"/>
        <v>8</v>
      </c>
      <c r="J9" s="49">
        <f t="shared" si="2"/>
        <v>0</v>
      </c>
      <c r="K9" s="49">
        <f t="shared" si="3"/>
        <v>8</v>
      </c>
      <c r="L9" s="49" t="b">
        <f t="shared" si="4"/>
        <v>0</v>
      </c>
      <c r="M9" s="88">
        <f t="shared" si="5"/>
        <v>0</v>
      </c>
    </row>
    <row r="10" ht="14.25" customHeight="1">
      <c r="A10" s="49" t="s">
        <v>194</v>
      </c>
      <c r="B10" s="49" t="str">
        <f>IFERROR(__xludf.DUMMYFUNCTION("REGEXEXTRACT(A10,""^cost\.(.*)\.[^.]+\.[^.]+$"")"),"building.airship@2")</f>
        <v>building.airship@2</v>
      </c>
      <c r="C10" s="49" t="str">
        <f t="array" ref="C10">_xlfn.XLOOKUP(
 B10,
 tblTargets[TargetID],
 tblTargets[DisplayName],
 ""
)</f>
        <v>Airship Lv 2</v>
      </c>
      <c r="D10" s="49" t="str">
        <f t="array" ref="D10">_xlfn.XLOOKUP(
 B10,
 tblTargets[TargetID],
 tblTargets[TargetType],
 ""
)</f>
        <v>BUILDING</v>
      </c>
      <c r="E10" s="49" t="s">
        <v>6</v>
      </c>
      <c r="F10" s="87">
        <f>IFERROR(__xludf.DUMMYFUNCTION("VALUE(REGEXEXTRACT(A10,""([^.]+)$""))"),1.0)</f>
        <v>1</v>
      </c>
      <c r="G10" s="49">
        <v>12.0</v>
      </c>
      <c r="H10" s="26" t="b">
        <f>COUNTIFS(
 tblCostChecklist[RequirementID],A10,
 tblCostChecklist[PlayerPaid],TRUE
)&gt;0</f>
        <v>0</v>
      </c>
      <c r="I10" s="49">
        <f t="shared" si="1"/>
        <v>7</v>
      </c>
      <c r="J10" s="49">
        <f t="shared" si="2"/>
        <v>0</v>
      </c>
      <c r="K10" s="49">
        <f t="shared" si="3"/>
        <v>7</v>
      </c>
      <c r="L10" s="49" t="b">
        <f t="shared" si="4"/>
        <v>0</v>
      </c>
      <c r="M10" s="88">
        <f t="shared" si="5"/>
        <v>0</v>
      </c>
    </row>
    <row r="11" ht="14.25" customHeight="1">
      <c r="A11" s="49" t="s">
        <v>162</v>
      </c>
      <c r="B11" s="49" t="str">
        <f>IFERROR(__xludf.DUMMYFUNCTION("REGEXEXTRACT(A11,""^cost\.(.*)\.[^.]+\.[^.]+$"")"),"building.airship@2")</f>
        <v>building.airship@2</v>
      </c>
      <c r="C11" s="49" t="str">
        <f t="array" ref="C11">_xlfn.XLOOKUP(
 B11,
 tblTargets[TargetID],
 tblTargets[DisplayName],
 ""
)</f>
        <v>Airship Lv 2</v>
      </c>
      <c r="D11" s="49" t="str">
        <f t="array" ref="D11">_xlfn.XLOOKUP(
 B11,
 tblTargets[TargetID],
 tblTargets[TargetType],
 ""
)</f>
        <v>BUILDING</v>
      </c>
      <c r="E11" s="49" t="s">
        <v>119</v>
      </c>
      <c r="F11" s="87">
        <f>IFERROR(__xludf.DUMMYFUNCTION("VALUE(REGEXEXTRACT(A11,""([^.]+)$""))"),1.0)</f>
        <v>1</v>
      </c>
      <c r="G11" s="49">
        <v>3000.0</v>
      </c>
      <c r="H11" s="26" t="b">
        <f>COUNTIFS(
 tblCostChecklist[RequirementID],A11,
 tblCostChecklist[PlayerPaid],TRUE
)&gt;0</f>
        <v>0</v>
      </c>
      <c r="I11" s="49">
        <f t="shared" si="1"/>
        <v>7</v>
      </c>
      <c r="J11" s="49">
        <f t="shared" si="2"/>
        <v>0</v>
      </c>
      <c r="K11" s="49">
        <f t="shared" si="3"/>
        <v>7</v>
      </c>
      <c r="L11" s="49" t="b">
        <f t="shared" si="4"/>
        <v>0</v>
      </c>
      <c r="M11" s="88">
        <f t="shared" si="5"/>
        <v>0</v>
      </c>
    </row>
    <row r="12" ht="14.25" customHeight="1">
      <c r="A12" s="49" t="s">
        <v>185</v>
      </c>
      <c r="B12" s="49" t="str">
        <f>IFERROR(__xludf.DUMMYFUNCTION("REGEXEXTRACT(A12,""^cost\.(.*)\.[^.]+\.[^.]+$"")"),"building.airship@2")</f>
        <v>building.airship@2</v>
      </c>
      <c r="C12" s="49" t="str">
        <f t="array" ref="C12">_xlfn.XLOOKUP(
 B12,
 tblTargets[TargetID],
 tblTargets[DisplayName],
 ""
)</f>
        <v>Airship Lv 2</v>
      </c>
      <c r="D12" s="49" t="str">
        <f t="array" ref="D12">_xlfn.XLOOKUP(
 B12,
 tblTargets[TargetID],
 tblTargets[TargetType],
 ""
)</f>
        <v>BUILDING</v>
      </c>
      <c r="E12" s="49" t="s">
        <v>187</v>
      </c>
      <c r="F12" s="87">
        <f>IFERROR(__xludf.DUMMYFUNCTION("VALUE(REGEXEXTRACT(A12,""([^.]+)$""))"),1.0)</f>
        <v>1</v>
      </c>
      <c r="G12" s="49">
        <v>60.0</v>
      </c>
      <c r="H12" s="26" t="b">
        <f>COUNTIFS(
 tblCostChecklist[RequirementID],A12,
 tblCostChecklist[PlayerPaid],TRUE
)&gt;0</f>
        <v>0</v>
      </c>
      <c r="I12" s="49">
        <f t="shared" si="1"/>
        <v>7</v>
      </c>
      <c r="J12" s="49">
        <f t="shared" si="2"/>
        <v>0</v>
      </c>
      <c r="K12" s="49">
        <f t="shared" si="3"/>
        <v>7</v>
      </c>
      <c r="L12" s="49" t="b">
        <f t="shared" si="4"/>
        <v>0</v>
      </c>
      <c r="M12" s="88">
        <f t="shared" si="5"/>
        <v>0</v>
      </c>
    </row>
    <row r="13" ht="14.25" customHeight="1">
      <c r="A13" s="49" t="s">
        <v>202</v>
      </c>
      <c r="B13" s="49" t="str">
        <f>IFERROR(__xludf.DUMMYFUNCTION("REGEXEXTRACT(A13,""^cost\.(.*)\.[^.]+\.[^.]+$"")"),"building.airship@2")</f>
        <v>building.airship@2</v>
      </c>
      <c r="C13" s="49" t="str">
        <f t="array" ref="C13">_xlfn.XLOOKUP(
 B13,
 tblTargets[TargetID],
 tblTargets[DisplayName],
 ""
)</f>
        <v>Airship Lv 2</v>
      </c>
      <c r="D13" s="49" t="str">
        <f t="array" ref="D13">_xlfn.XLOOKUP(
 B13,
 tblTargets[TargetID],
 tblTargets[TargetType],
 ""
)</f>
        <v>BUILDING</v>
      </c>
      <c r="E13" s="49" t="s">
        <v>152</v>
      </c>
      <c r="F13" s="87">
        <f>IFERROR(__xludf.DUMMYFUNCTION("VALUE(REGEXEXTRACT(A13,""([^.]+)$""))"),1.0)</f>
        <v>1</v>
      </c>
      <c r="G13" s="49">
        <v>100.0</v>
      </c>
      <c r="H13" s="26" t="b">
        <f>COUNTIFS(
 tblCostChecklist[RequirementID],A13,
 tblCostChecklist[PlayerPaid],TRUE
)&gt;0</f>
        <v>0</v>
      </c>
      <c r="I13" s="49">
        <f t="shared" si="1"/>
        <v>7</v>
      </c>
      <c r="J13" s="49">
        <f t="shared" si="2"/>
        <v>0</v>
      </c>
      <c r="K13" s="49">
        <f t="shared" si="3"/>
        <v>7</v>
      </c>
      <c r="L13" s="49" t="b">
        <f t="shared" si="4"/>
        <v>0</v>
      </c>
      <c r="M13" s="88">
        <f t="shared" si="5"/>
        <v>0</v>
      </c>
    </row>
    <row r="14" ht="14.25" customHeight="1">
      <c r="A14" s="49" t="s">
        <v>175</v>
      </c>
      <c r="B14" s="49" t="str">
        <f>IFERROR(__xludf.DUMMYFUNCTION("REGEXEXTRACT(A14,""^cost\.(.*)\.[^.]+\.[^.]+$"")"),"building.airship@2")</f>
        <v>building.airship@2</v>
      </c>
      <c r="C14" s="49" t="str">
        <f t="array" ref="C14">_xlfn.XLOOKUP(
 B14,
 tblTargets[TargetID],
 tblTargets[DisplayName],
 ""
)</f>
        <v>Airship Lv 2</v>
      </c>
      <c r="D14" s="49" t="str">
        <f t="array" ref="D14">_xlfn.XLOOKUP(
 B14,
 tblTargets[TargetID],
 tblTargets[TargetType],
 ""
)</f>
        <v>BUILDING</v>
      </c>
      <c r="E14" s="49" t="s">
        <v>179</v>
      </c>
      <c r="F14" s="87">
        <f>IFERROR(__xludf.DUMMYFUNCTION("VALUE(REGEXEXTRACT(A14,""([^.]+)$""))"),1.0)</f>
        <v>1</v>
      </c>
      <c r="G14" s="49">
        <v>20.0</v>
      </c>
      <c r="H14" s="26" t="b">
        <f>COUNTIFS(
 tblCostChecklist[RequirementID],A14,
 tblCostChecklist[PlayerPaid],TRUE
)&gt;0</f>
        <v>0</v>
      </c>
      <c r="I14" s="49">
        <f t="shared" si="1"/>
        <v>7</v>
      </c>
      <c r="J14" s="49">
        <f t="shared" si="2"/>
        <v>0</v>
      </c>
      <c r="K14" s="49">
        <f t="shared" si="3"/>
        <v>7</v>
      </c>
      <c r="L14" s="49" t="b">
        <f t="shared" si="4"/>
        <v>0</v>
      </c>
      <c r="M14" s="88">
        <f t="shared" si="5"/>
        <v>0</v>
      </c>
    </row>
    <row r="15" ht="14.25" customHeight="1">
      <c r="A15" s="49" t="s">
        <v>168</v>
      </c>
      <c r="B15" s="49" t="str">
        <f>IFERROR(__xludf.DUMMYFUNCTION("REGEXEXTRACT(A15,""^cost\.(.*)\.[^.]+\.[^.]+$"")"),"building.airship@2")</f>
        <v>building.airship@2</v>
      </c>
      <c r="C15" s="49" t="str">
        <f t="array" ref="C15">_xlfn.XLOOKUP(
 B15,
 tblTargets[TargetID],
 tblTargets[DisplayName],
 ""
)</f>
        <v>Airship Lv 2</v>
      </c>
      <c r="D15" s="49" t="str">
        <f t="array" ref="D15">_xlfn.XLOOKUP(
 B15,
 tblTargets[TargetID],
 tblTargets[TargetType],
 ""
)</f>
        <v>BUILDING</v>
      </c>
      <c r="E15" s="49" t="s">
        <v>171</v>
      </c>
      <c r="F15" s="87">
        <f>IFERROR(__xludf.DUMMYFUNCTION("VALUE(REGEXEXTRACT(A15,""([^.]+)$""))"),1.0)</f>
        <v>1</v>
      </c>
      <c r="G15" s="49">
        <v>50.0</v>
      </c>
      <c r="H15" s="26" t="b">
        <f>COUNTIFS(
 tblCostChecklist[RequirementID],A15,
 tblCostChecklist[PlayerPaid],TRUE
)&gt;0</f>
        <v>0</v>
      </c>
      <c r="I15" s="49">
        <f t="shared" si="1"/>
        <v>7</v>
      </c>
      <c r="J15" s="49">
        <f t="shared" si="2"/>
        <v>0</v>
      </c>
      <c r="K15" s="49">
        <f t="shared" si="3"/>
        <v>7</v>
      </c>
      <c r="L15" s="49" t="b">
        <f t="shared" si="4"/>
        <v>0</v>
      </c>
      <c r="M15" s="88">
        <f t="shared" si="5"/>
        <v>0</v>
      </c>
    </row>
    <row r="16" ht="14.25" customHeight="1">
      <c r="A16" s="49" t="s">
        <v>211</v>
      </c>
      <c r="B16" s="49" t="str">
        <f>IFERROR(__xludf.DUMMYFUNCTION("REGEXEXTRACT(A16,""^cost\.(.*)\.[^.]+\.[^.]+$"")"),"building.airship@2")</f>
        <v>building.airship@2</v>
      </c>
      <c r="C16" s="49" t="str">
        <f t="array" ref="C16">_xlfn.XLOOKUP(
 B16,
 tblTargets[TargetID],
 tblTargets[DisplayName],
 ""
)</f>
        <v>Airship Lv 2</v>
      </c>
      <c r="D16" s="49" t="str">
        <f t="array" ref="D16">_xlfn.XLOOKUP(
 B16,
 tblTargets[TargetID],
 tblTargets[TargetType],
 ""
)</f>
        <v>BUILDING</v>
      </c>
      <c r="E16" s="49" t="s">
        <v>158</v>
      </c>
      <c r="F16" s="87">
        <f>IFERROR(__xludf.DUMMYFUNCTION("VALUE(REGEXEXTRACT(A16,""([^.]+)$""))"),1.0)</f>
        <v>1</v>
      </c>
      <c r="G16" s="49">
        <v>10.0</v>
      </c>
      <c r="H16" s="26" t="b">
        <f>COUNTIFS(
 tblCostChecklist[RequirementID],A16,
 tblCostChecklist[PlayerPaid],TRUE
)&gt;0</f>
        <v>0</v>
      </c>
      <c r="I16" s="49">
        <f t="shared" si="1"/>
        <v>7</v>
      </c>
      <c r="J16" s="49">
        <f t="shared" si="2"/>
        <v>0</v>
      </c>
      <c r="K16" s="49">
        <f t="shared" si="3"/>
        <v>7</v>
      </c>
      <c r="L16" s="49" t="b">
        <f t="shared" si="4"/>
        <v>0</v>
      </c>
      <c r="M16" s="88">
        <f t="shared" si="5"/>
        <v>0</v>
      </c>
    </row>
    <row r="17" ht="14.25" customHeight="1">
      <c r="A17" s="49" t="s">
        <v>224</v>
      </c>
      <c r="B17" s="49" t="str">
        <f>IFERROR(__xludf.DUMMYFUNCTION("REGEXEXTRACT(A17,""^cost\.(.*)\.[^.]+\.[^.]+$"")"),"building.alchemists_hut@1")</f>
        <v>building.alchemists_hut@1</v>
      </c>
      <c r="C17" s="49" t="str">
        <f t="array" ref="C17">_xlfn.XLOOKUP(
 B17,
 tblTargets[TargetID],
 tblTargets[DisplayName],
 ""
)</f>
        <v>Alchemist's Hut Lv 1</v>
      </c>
      <c r="D17" s="49" t="str">
        <f t="array" ref="D17">_xlfn.XLOOKUP(
 B17,
 tblTargets[TargetID],
 tblTargets[TargetType],
 ""
)</f>
        <v>BUILDING</v>
      </c>
      <c r="E17" s="49" t="s">
        <v>6</v>
      </c>
      <c r="F17" s="87">
        <f>IFERROR(__xludf.DUMMYFUNCTION("VALUE(REGEXEXTRACT(A17,""([^.]+)$""))"),1.0)</f>
        <v>1</v>
      </c>
      <c r="G17" s="49">
        <v>1.0</v>
      </c>
      <c r="H17" s="26" t="b">
        <f>COUNTIFS(
 tblCostChecklist[RequirementID],A17,
 tblCostChecklist[PlayerPaid],TRUE
)&gt;0</f>
        <v>0</v>
      </c>
      <c r="I17" s="49">
        <f t="shared" si="1"/>
        <v>4</v>
      </c>
      <c r="J17" s="49">
        <f t="shared" si="2"/>
        <v>0</v>
      </c>
      <c r="K17" s="49">
        <f t="shared" si="3"/>
        <v>4</v>
      </c>
      <c r="L17" s="49" t="b">
        <f t="shared" si="4"/>
        <v>0</v>
      </c>
      <c r="M17" s="88">
        <f t="shared" si="5"/>
        <v>0</v>
      </c>
    </row>
    <row r="18" ht="14.25" customHeight="1">
      <c r="A18" s="49" t="s">
        <v>218</v>
      </c>
      <c r="B18" s="49" t="str">
        <f>IFERROR(__xludf.DUMMYFUNCTION("REGEXEXTRACT(A18,""^cost\.(.*)\.[^.]+\.[^.]+$"")"),"building.alchemists_hut@1")</f>
        <v>building.alchemists_hut@1</v>
      </c>
      <c r="C18" s="49" t="str">
        <f t="array" ref="C18">_xlfn.XLOOKUP(
 B18,
 tblTargets[TargetID],
 tblTargets[DisplayName],
 ""
)</f>
        <v>Alchemist's Hut Lv 1</v>
      </c>
      <c r="D18" s="49" t="str">
        <f t="array" ref="D18">_xlfn.XLOOKUP(
 B18,
 tblTargets[TargetID],
 tblTargets[TargetType],
 ""
)</f>
        <v>BUILDING</v>
      </c>
      <c r="E18" s="49" t="s">
        <v>119</v>
      </c>
      <c r="F18" s="87">
        <f>IFERROR(__xludf.DUMMYFUNCTION("VALUE(REGEXEXTRACT(A18,""([^.]+)$""))"),1.0)</f>
        <v>1</v>
      </c>
      <c r="G18" s="49">
        <v>140.0</v>
      </c>
      <c r="H18" s="26" t="b">
        <f>COUNTIFS(
 tblCostChecklist[RequirementID],A18,
 tblCostChecklist[PlayerPaid],TRUE
)&gt;0</f>
        <v>0</v>
      </c>
      <c r="I18" s="49">
        <f t="shared" si="1"/>
        <v>4</v>
      </c>
      <c r="J18" s="49">
        <f t="shared" si="2"/>
        <v>0</v>
      </c>
      <c r="K18" s="49">
        <f t="shared" si="3"/>
        <v>4</v>
      </c>
      <c r="L18" s="49" t="b">
        <f t="shared" si="4"/>
        <v>0</v>
      </c>
      <c r="M18" s="88">
        <f t="shared" si="5"/>
        <v>0</v>
      </c>
    </row>
    <row r="19" ht="14.25" customHeight="1">
      <c r="A19" s="49" t="s">
        <v>241</v>
      </c>
      <c r="B19" s="49" t="str">
        <f>IFERROR(__xludf.DUMMYFUNCTION("REGEXEXTRACT(A19,""^cost\.(.*)\.[^.]+\.[^.]+$"")"),"building.alchemists_hut@1")</f>
        <v>building.alchemists_hut@1</v>
      </c>
      <c r="C19" s="49" t="str">
        <f t="array" ref="C19">_xlfn.XLOOKUP(
 B19,
 tblTargets[TargetID],
 tblTargets[DisplayName],
 ""
)</f>
        <v>Alchemist's Hut Lv 1</v>
      </c>
      <c r="D19" s="49" t="str">
        <f t="array" ref="D19">_xlfn.XLOOKUP(
 B19,
 tblTargets[TargetID],
 tblTargets[TargetType],
 ""
)</f>
        <v>BUILDING</v>
      </c>
      <c r="E19" s="49" t="s">
        <v>244</v>
      </c>
      <c r="F19" s="87">
        <f>IFERROR(__xludf.DUMMYFUNCTION("VALUE(REGEXEXTRACT(A19,""([^.]+)$""))"),1.0)</f>
        <v>1</v>
      </c>
      <c r="G19" s="49">
        <v>70.0</v>
      </c>
      <c r="H19" s="26" t="b">
        <f>COUNTIFS(
 tblCostChecklist[RequirementID],A19,
 tblCostChecklist[PlayerPaid],TRUE
)&gt;0</f>
        <v>0</v>
      </c>
      <c r="I19" s="49">
        <f t="shared" si="1"/>
        <v>4</v>
      </c>
      <c r="J19" s="49">
        <f t="shared" si="2"/>
        <v>0</v>
      </c>
      <c r="K19" s="49">
        <f t="shared" si="3"/>
        <v>4</v>
      </c>
      <c r="L19" s="49" t="b">
        <f t="shared" si="4"/>
        <v>0</v>
      </c>
      <c r="M19" s="88">
        <f t="shared" si="5"/>
        <v>0</v>
      </c>
    </row>
    <row r="20" ht="14.25" customHeight="1">
      <c r="A20" s="49" t="s">
        <v>233</v>
      </c>
      <c r="B20" s="49" t="str">
        <f>IFERROR(__xludf.DUMMYFUNCTION("REGEXEXTRACT(A20,""^cost\.(.*)\.[^.]+\.[^.]+$"")"),"building.alchemists_hut@1")</f>
        <v>building.alchemists_hut@1</v>
      </c>
      <c r="C20" s="49" t="str">
        <f t="array" ref="C20">_xlfn.XLOOKUP(
 B20,
 tblTargets[TargetID],
 tblTargets[DisplayName],
 ""
)</f>
        <v>Alchemist's Hut Lv 1</v>
      </c>
      <c r="D20" s="49" t="str">
        <f t="array" ref="D20">_xlfn.XLOOKUP(
 B20,
 tblTargets[TargetID],
 tblTargets[TargetType],
 ""
)</f>
        <v>BUILDING</v>
      </c>
      <c r="E20" s="49" t="s">
        <v>237</v>
      </c>
      <c r="F20" s="87">
        <f>IFERROR(__xludf.DUMMYFUNCTION("VALUE(REGEXEXTRACT(A20,""([^.]+)$""))"),1.0)</f>
        <v>1</v>
      </c>
      <c r="G20" s="49">
        <v>70.0</v>
      </c>
      <c r="H20" s="26" t="b">
        <f>COUNTIFS(
 tblCostChecklist[RequirementID],A20,
 tblCostChecklist[PlayerPaid],TRUE
)&gt;0</f>
        <v>0</v>
      </c>
      <c r="I20" s="49">
        <f t="shared" si="1"/>
        <v>4</v>
      </c>
      <c r="J20" s="49">
        <f t="shared" si="2"/>
        <v>0</v>
      </c>
      <c r="K20" s="49">
        <f t="shared" si="3"/>
        <v>4</v>
      </c>
      <c r="L20" s="49" t="b">
        <f t="shared" si="4"/>
        <v>0</v>
      </c>
      <c r="M20" s="88">
        <f t="shared" si="5"/>
        <v>0</v>
      </c>
    </row>
    <row r="21" ht="14.25" customHeight="1">
      <c r="A21" s="49" t="s">
        <v>259</v>
      </c>
      <c r="B21" s="49" t="str">
        <f>IFERROR(__xludf.DUMMYFUNCTION("REGEXEXTRACT(A21,""^cost\.(.*)\.[^.]+\.[^.]+$"")"),"building.alchemists_hut@2")</f>
        <v>building.alchemists_hut@2</v>
      </c>
      <c r="C21" s="49" t="str">
        <f t="array" ref="C21">_xlfn.XLOOKUP(
 B21,
 tblTargets[TargetID],
 tblTargets[DisplayName],
 ""
)</f>
        <v>Alchemist's Hut Lv 2</v>
      </c>
      <c r="D21" s="49" t="str">
        <f t="array" ref="D21">_xlfn.XLOOKUP(
 B21,
 tblTargets[TargetID],
 tblTargets[TargetType],
 ""
)</f>
        <v>BUILDING</v>
      </c>
      <c r="E21" s="49" t="s">
        <v>6</v>
      </c>
      <c r="F21" s="87">
        <f>IFERROR(__xludf.DUMMYFUNCTION("VALUE(REGEXEXTRACT(A21,""([^.]+)$""))"),1.0)</f>
        <v>1</v>
      </c>
      <c r="G21" s="49">
        <v>2.0</v>
      </c>
      <c r="H21" s="26" t="b">
        <f>COUNTIFS(
 tblCostChecklist[RequirementID],A21,
 tblCostChecklist[PlayerPaid],TRUE
)&gt;0</f>
        <v>0</v>
      </c>
      <c r="I21" s="49">
        <f t="shared" si="1"/>
        <v>5</v>
      </c>
      <c r="J21" s="49">
        <f t="shared" si="2"/>
        <v>0</v>
      </c>
      <c r="K21" s="49">
        <f t="shared" si="3"/>
        <v>5</v>
      </c>
      <c r="L21" s="49" t="b">
        <f t="shared" si="4"/>
        <v>0</v>
      </c>
      <c r="M21" s="88">
        <f t="shared" si="5"/>
        <v>0</v>
      </c>
    </row>
    <row r="22" ht="14.25" customHeight="1">
      <c r="A22" s="49" t="s">
        <v>254</v>
      </c>
      <c r="B22" s="49" t="str">
        <f>IFERROR(__xludf.DUMMYFUNCTION("REGEXEXTRACT(A22,""^cost\.(.*)\.[^.]+\.[^.]+$"")"),"building.alchemists_hut@2")</f>
        <v>building.alchemists_hut@2</v>
      </c>
      <c r="C22" s="49" t="str">
        <f t="array" ref="C22">_xlfn.XLOOKUP(
 B22,
 tblTargets[TargetID],
 tblTargets[DisplayName],
 ""
)</f>
        <v>Alchemist's Hut Lv 2</v>
      </c>
      <c r="D22" s="49" t="str">
        <f t="array" ref="D22">_xlfn.XLOOKUP(
 B22,
 tblTargets[TargetID],
 tblTargets[TargetType],
 ""
)</f>
        <v>BUILDING</v>
      </c>
      <c r="E22" s="49" t="s">
        <v>119</v>
      </c>
      <c r="F22" s="87">
        <f>IFERROR(__xludf.DUMMYFUNCTION("VALUE(REGEXEXTRACT(A22,""([^.]+)$""))"),1.0)</f>
        <v>1</v>
      </c>
      <c r="G22" s="49">
        <v>200.0</v>
      </c>
      <c r="H22" s="26" t="b">
        <f>COUNTIFS(
 tblCostChecklist[RequirementID],A22,
 tblCostChecklist[PlayerPaid],TRUE
)&gt;0</f>
        <v>0</v>
      </c>
      <c r="I22" s="49">
        <f t="shared" si="1"/>
        <v>5</v>
      </c>
      <c r="J22" s="49">
        <f t="shared" si="2"/>
        <v>0</v>
      </c>
      <c r="K22" s="49">
        <f t="shared" si="3"/>
        <v>5</v>
      </c>
      <c r="L22" s="49" t="b">
        <f t="shared" si="4"/>
        <v>0</v>
      </c>
      <c r="M22" s="88">
        <f t="shared" si="5"/>
        <v>0</v>
      </c>
    </row>
    <row r="23" ht="14.25" customHeight="1">
      <c r="A23" s="49" t="s">
        <v>268</v>
      </c>
      <c r="B23" s="49" t="str">
        <f>IFERROR(__xludf.DUMMYFUNCTION("REGEXEXTRACT(A23,""^cost\.(.*)\.[^.]+\.[^.]+$"")"),"building.alchemists_hut@2")</f>
        <v>building.alchemists_hut@2</v>
      </c>
      <c r="C23" s="49" t="str">
        <f t="array" ref="C23">_xlfn.XLOOKUP(
 B23,
 tblTargets[TargetID],
 tblTargets[DisplayName],
 ""
)</f>
        <v>Alchemist's Hut Lv 2</v>
      </c>
      <c r="D23" s="49" t="str">
        <f t="array" ref="D23">_xlfn.XLOOKUP(
 B23,
 tblTargets[TargetID],
 tblTargets[TargetType],
 ""
)</f>
        <v>BUILDING</v>
      </c>
      <c r="E23" s="49" t="s">
        <v>244</v>
      </c>
      <c r="F23" s="87">
        <f>IFERROR(__xludf.DUMMYFUNCTION("VALUE(REGEXEXTRACT(A23,""([^.]+)$""))"),1.0)</f>
        <v>1</v>
      </c>
      <c r="G23" s="49">
        <v>100.0</v>
      </c>
      <c r="H23" s="26" t="b">
        <f>COUNTIFS(
 tblCostChecklist[RequirementID],A23,
 tblCostChecklist[PlayerPaid],TRUE
)&gt;0</f>
        <v>0</v>
      </c>
      <c r="I23" s="49">
        <f t="shared" si="1"/>
        <v>5</v>
      </c>
      <c r="J23" s="49">
        <f t="shared" si="2"/>
        <v>0</v>
      </c>
      <c r="K23" s="49">
        <f t="shared" si="3"/>
        <v>5</v>
      </c>
      <c r="L23" s="49" t="b">
        <f t="shared" si="4"/>
        <v>0</v>
      </c>
      <c r="M23" s="88">
        <f t="shared" si="5"/>
        <v>0</v>
      </c>
    </row>
    <row r="24" ht="14.25" customHeight="1">
      <c r="A24" s="49" t="s">
        <v>263</v>
      </c>
      <c r="B24" s="49" t="str">
        <f>IFERROR(__xludf.DUMMYFUNCTION("REGEXEXTRACT(A24,""^cost\.(.*)\.[^.]+\.[^.]+$"")"),"building.alchemists_hut@2")</f>
        <v>building.alchemists_hut@2</v>
      </c>
      <c r="C24" s="49" t="str">
        <f t="array" ref="C24">_xlfn.XLOOKUP(
 B24,
 tblTargets[TargetID],
 tblTargets[DisplayName],
 ""
)</f>
        <v>Alchemist's Hut Lv 2</v>
      </c>
      <c r="D24" s="49" t="str">
        <f t="array" ref="D24">_xlfn.XLOOKUP(
 B24,
 tblTargets[TargetID],
 tblTargets[TargetType],
 ""
)</f>
        <v>BUILDING</v>
      </c>
      <c r="E24" s="49" t="s">
        <v>237</v>
      </c>
      <c r="F24" s="87">
        <f>IFERROR(__xludf.DUMMYFUNCTION("VALUE(REGEXEXTRACT(A24,""([^.]+)$""))"),1.0)</f>
        <v>1</v>
      </c>
      <c r="G24" s="49">
        <v>100.0</v>
      </c>
      <c r="H24" s="26" t="b">
        <f>COUNTIFS(
 tblCostChecklist[RequirementID],A24,
 tblCostChecklist[PlayerPaid],TRUE
)&gt;0</f>
        <v>0</v>
      </c>
      <c r="I24" s="49">
        <f t="shared" si="1"/>
        <v>5</v>
      </c>
      <c r="J24" s="49">
        <f t="shared" si="2"/>
        <v>0</v>
      </c>
      <c r="K24" s="49">
        <f t="shared" si="3"/>
        <v>5</v>
      </c>
      <c r="L24" s="49" t="b">
        <f t="shared" si="4"/>
        <v>0</v>
      </c>
      <c r="M24" s="88">
        <f t="shared" si="5"/>
        <v>0</v>
      </c>
    </row>
    <row r="25" ht="14.25" customHeight="1">
      <c r="A25" s="49" t="s">
        <v>248</v>
      </c>
      <c r="B25" s="49" t="str">
        <f>IFERROR(__xludf.DUMMYFUNCTION("REGEXEXTRACT(A25,""^cost\.(.*)\.[^.]+\.[^.]+$"")"),"building.alchemists_hut@2")</f>
        <v>building.alchemists_hut@2</v>
      </c>
      <c r="C25" s="49" t="str">
        <f t="array" ref="C25">_xlfn.XLOOKUP(
 B25,
 tblTargets[TargetID],
 tblTargets[DisplayName],
 ""
)</f>
        <v>Alchemist's Hut Lv 2</v>
      </c>
      <c r="D25" s="49" t="str">
        <f t="array" ref="D25">_xlfn.XLOOKUP(
 B25,
 tblTargets[TargetID],
 tblTargets[TargetType],
 ""
)</f>
        <v>BUILDING</v>
      </c>
      <c r="E25" s="49" t="s">
        <v>113</v>
      </c>
      <c r="F25" s="87">
        <f>IFERROR(__xludf.DUMMYFUNCTION("VALUE(REGEXEXTRACT(A25,""([^.]+)$""))"),1.0)</f>
        <v>1</v>
      </c>
      <c r="G25" s="49">
        <v>20.0</v>
      </c>
      <c r="H25" s="26" t="b">
        <f>COUNTIFS(
 tblCostChecklist[RequirementID],A25,
 tblCostChecklist[PlayerPaid],TRUE
)&gt;0</f>
        <v>0</v>
      </c>
      <c r="I25" s="49">
        <f t="shared" si="1"/>
        <v>5</v>
      </c>
      <c r="J25" s="49">
        <f t="shared" si="2"/>
        <v>0</v>
      </c>
      <c r="K25" s="49">
        <f t="shared" si="3"/>
        <v>5</v>
      </c>
      <c r="L25" s="49" t="b">
        <f t="shared" si="4"/>
        <v>0</v>
      </c>
      <c r="M25" s="88">
        <f t="shared" si="5"/>
        <v>0</v>
      </c>
    </row>
    <row r="26" ht="14.25" customHeight="1">
      <c r="A26" s="49" t="s">
        <v>298</v>
      </c>
      <c r="B26" s="49" t="str">
        <f>IFERROR(__xludf.DUMMYFUNCTION("REGEXEXTRACT(A26,""^cost\.(.*)\.[^.]+\.[^.]+$"")"),"building.alchemists_hut@3")</f>
        <v>building.alchemists_hut@3</v>
      </c>
      <c r="C26" s="49" t="str">
        <f t="array" ref="C26">_xlfn.XLOOKUP(
 B26,
 tblTargets[TargetID],
 tblTargets[DisplayName],
 ""
)</f>
        <v>Alchemist's Hut Lv 3</v>
      </c>
      <c r="D26" s="49" t="str">
        <f t="array" ref="D26">_xlfn.XLOOKUP(
 B26,
 tblTargets[TargetID],
 tblTargets[TargetType],
 ""
)</f>
        <v>BUILDING</v>
      </c>
      <c r="E26" s="49" t="s">
        <v>6</v>
      </c>
      <c r="F26" s="87">
        <f>IFERROR(__xludf.DUMMYFUNCTION("VALUE(REGEXEXTRACT(A26,""([^.]+)$""))"),1.0)</f>
        <v>1</v>
      </c>
      <c r="G26" s="49">
        <v>3.0</v>
      </c>
      <c r="H26" s="26" t="b">
        <f>COUNTIFS(
 tblCostChecklist[RequirementID],A26,
 tblCostChecklist[PlayerPaid],TRUE
)&gt;0</f>
        <v>0</v>
      </c>
      <c r="I26" s="49">
        <f t="shared" si="1"/>
        <v>6</v>
      </c>
      <c r="J26" s="49">
        <f t="shared" si="2"/>
        <v>0</v>
      </c>
      <c r="K26" s="49">
        <f t="shared" si="3"/>
        <v>6</v>
      </c>
      <c r="L26" s="49" t="b">
        <f t="shared" si="4"/>
        <v>0</v>
      </c>
      <c r="M26" s="88">
        <f t="shared" si="5"/>
        <v>0</v>
      </c>
    </row>
    <row r="27" ht="14.25" customHeight="1">
      <c r="A27" s="49" t="s">
        <v>293</v>
      </c>
      <c r="B27" s="49" t="str">
        <f>IFERROR(__xludf.DUMMYFUNCTION("REGEXEXTRACT(A27,""^cost\.(.*)\.[^.]+\.[^.]+$"")"),"building.alchemists_hut@3")</f>
        <v>building.alchemists_hut@3</v>
      </c>
      <c r="C27" s="49" t="str">
        <f t="array" ref="C27">_xlfn.XLOOKUP(
 B27,
 tblTargets[TargetID],
 tblTargets[DisplayName],
 ""
)</f>
        <v>Alchemist's Hut Lv 3</v>
      </c>
      <c r="D27" s="49" t="str">
        <f t="array" ref="D27">_xlfn.XLOOKUP(
 B27,
 tblTargets[TargetID],
 tblTargets[TargetType],
 ""
)</f>
        <v>BUILDING</v>
      </c>
      <c r="E27" s="49" t="s">
        <v>119</v>
      </c>
      <c r="F27" s="87">
        <f>IFERROR(__xludf.DUMMYFUNCTION("VALUE(REGEXEXTRACT(A27,""([^.]+)$""))"),1.0)</f>
        <v>1</v>
      </c>
      <c r="G27" s="49">
        <v>300.0</v>
      </c>
      <c r="H27" s="26" t="b">
        <f>COUNTIFS(
 tblCostChecklist[RequirementID],A27,
 tblCostChecklist[PlayerPaid],TRUE
)&gt;0</f>
        <v>0</v>
      </c>
      <c r="I27" s="49">
        <f t="shared" si="1"/>
        <v>6</v>
      </c>
      <c r="J27" s="49">
        <f t="shared" si="2"/>
        <v>0</v>
      </c>
      <c r="K27" s="49">
        <f t="shared" si="3"/>
        <v>6</v>
      </c>
      <c r="L27" s="49" t="b">
        <f t="shared" si="4"/>
        <v>0</v>
      </c>
      <c r="M27" s="88">
        <f t="shared" si="5"/>
        <v>0</v>
      </c>
    </row>
    <row r="28" ht="14.25" customHeight="1">
      <c r="A28" s="49" t="s">
        <v>274</v>
      </c>
      <c r="B28" s="49" t="str">
        <f>IFERROR(__xludf.DUMMYFUNCTION("REGEXEXTRACT(A28,""^cost\.(.*)\.[^.]+\.[^.]+$"")"),"building.alchemists_hut@3")</f>
        <v>building.alchemists_hut@3</v>
      </c>
      <c r="C28" s="49" t="str">
        <f t="array" ref="C28">_xlfn.XLOOKUP(
 B28,
 tblTargets[TargetID],
 tblTargets[DisplayName],
 ""
)</f>
        <v>Alchemist's Hut Lv 3</v>
      </c>
      <c r="D28" s="49" t="str">
        <f t="array" ref="D28">_xlfn.XLOOKUP(
 B28,
 tblTargets[TargetID],
 tblTargets[TargetType],
 ""
)</f>
        <v>BUILDING</v>
      </c>
      <c r="E28" s="49" t="s">
        <v>278</v>
      </c>
      <c r="F28" s="87">
        <f>IFERROR(__xludf.DUMMYFUNCTION("VALUE(REGEXEXTRACT(A28,""([^.]+)$""))"),1.0)</f>
        <v>1</v>
      </c>
      <c r="G28" s="49">
        <v>300.0</v>
      </c>
      <c r="H28" s="26" t="b">
        <f>COUNTIFS(
 tblCostChecklist[RequirementID],A28,
 tblCostChecklist[PlayerPaid],TRUE
)&gt;0</f>
        <v>0</v>
      </c>
      <c r="I28" s="49">
        <f t="shared" si="1"/>
        <v>6</v>
      </c>
      <c r="J28" s="49">
        <f t="shared" si="2"/>
        <v>0</v>
      </c>
      <c r="K28" s="49">
        <f t="shared" si="3"/>
        <v>6</v>
      </c>
      <c r="L28" s="49" t="b">
        <f t="shared" si="4"/>
        <v>0</v>
      </c>
      <c r="M28" s="88">
        <f t="shared" si="5"/>
        <v>0</v>
      </c>
    </row>
    <row r="29" ht="14.25" customHeight="1">
      <c r="A29" s="49" t="s">
        <v>301</v>
      </c>
      <c r="B29" s="49" t="str">
        <f>IFERROR(__xludf.DUMMYFUNCTION("REGEXEXTRACT(A29,""^cost\.(.*)\.[^.]+\.[^.]+$"")"),"building.alchemists_hut@3")</f>
        <v>building.alchemists_hut@3</v>
      </c>
      <c r="C29" s="49" t="str">
        <f t="array" ref="C29">_xlfn.XLOOKUP(
 B29,
 tblTargets[TargetID],
 tblTargets[DisplayName],
 ""
)</f>
        <v>Alchemist's Hut Lv 3</v>
      </c>
      <c r="D29" s="49" t="str">
        <f t="array" ref="D29">_xlfn.XLOOKUP(
 B29,
 tblTargets[TargetID],
 tblTargets[TargetType],
 ""
)</f>
        <v>BUILDING</v>
      </c>
      <c r="E29" s="49" t="s">
        <v>237</v>
      </c>
      <c r="F29" s="87">
        <f>IFERROR(__xludf.DUMMYFUNCTION("VALUE(REGEXEXTRACT(A29,""([^.]+)$""))"),1.0)</f>
        <v>1</v>
      </c>
      <c r="G29" s="49">
        <v>150.0</v>
      </c>
      <c r="H29" s="26" t="b">
        <f>COUNTIFS(
 tblCostChecklist[RequirementID],A29,
 tblCostChecklist[PlayerPaid],TRUE
)&gt;0</f>
        <v>0</v>
      </c>
      <c r="I29" s="49">
        <f t="shared" si="1"/>
        <v>6</v>
      </c>
      <c r="J29" s="49">
        <f t="shared" si="2"/>
        <v>0</v>
      </c>
      <c r="K29" s="49">
        <f t="shared" si="3"/>
        <v>6</v>
      </c>
      <c r="L29" s="49" t="b">
        <f t="shared" si="4"/>
        <v>0</v>
      </c>
      <c r="M29" s="88">
        <f t="shared" si="5"/>
        <v>0</v>
      </c>
    </row>
    <row r="30" ht="14.25" customHeight="1">
      <c r="A30" s="49" t="s">
        <v>288</v>
      </c>
      <c r="B30" s="49" t="str">
        <f>IFERROR(__xludf.DUMMYFUNCTION("REGEXEXTRACT(A30,""^cost\.(.*)\.[^.]+\.[^.]+$"")"),"building.alchemists_hut@3")</f>
        <v>building.alchemists_hut@3</v>
      </c>
      <c r="C30" s="49" t="str">
        <f t="array" ref="C30">_xlfn.XLOOKUP(
 B30,
 tblTargets[TargetID],
 tblTargets[DisplayName],
 ""
)</f>
        <v>Alchemist's Hut Lv 3</v>
      </c>
      <c r="D30" s="49" t="str">
        <f t="array" ref="D30">_xlfn.XLOOKUP(
 B30,
 tblTargets[TargetID],
 tblTargets[TargetType],
 ""
)</f>
        <v>BUILDING</v>
      </c>
      <c r="E30" s="49" t="s">
        <v>113</v>
      </c>
      <c r="F30" s="87">
        <f>IFERROR(__xludf.DUMMYFUNCTION("VALUE(REGEXEXTRACT(A30,""([^.]+)$""))"),1.0)</f>
        <v>1</v>
      </c>
      <c r="G30" s="49">
        <v>40.0</v>
      </c>
      <c r="H30" s="26" t="b">
        <f>COUNTIFS(
 tblCostChecklist[RequirementID],A30,
 tblCostChecklist[PlayerPaid],TRUE
)&gt;0</f>
        <v>0</v>
      </c>
      <c r="I30" s="49">
        <f t="shared" si="1"/>
        <v>6</v>
      </c>
      <c r="J30" s="49">
        <f t="shared" si="2"/>
        <v>0</v>
      </c>
      <c r="K30" s="49">
        <f t="shared" si="3"/>
        <v>6</v>
      </c>
      <c r="L30" s="49" t="b">
        <f t="shared" si="4"/>
        <v>0</v>
      </c>
      <c r="M30" s="88">
        <f t="shared" si="5"/>
        <v>0</v>
      </c>
    </row>
    <row r="31" ht="14.25" customHeight="1">
      <c r="A31" s="49" t="s">
        <v>281</v>
      </c>
      <c r="B31" s="49" t="str">
        <f>IFERROR(__xludf.DUMMYFUNCTION("REGEXEXTRACT(A31,""^cost\.(.*)\.[^.]+\.[^.]+$"")"),"building.alchemists_hut@3")</f>
        <v>building.alchemists_hut@3</v>
      </c>
      <c r="C31" s="49" t="str">
        <f t="array" ref="C31">_xlfn.XLOOKUP(
 B31,
 tblTargets[TargetID],
 tblTargets[DisplayName],
 ""
)</f>
        <v>Alchemist's Hut Lv 3</v>
      </c>
      <c r="D31" s="49" t="str">
        <f t="array" ref="D31">_xlfn.XLOOKUP(
 B31,
 tblTargets[TargetID],
 tblTargets[TargetType],
 ""
)</f>
        <v>BUILDING</v>
      </c>
      <c r="E31" s="49" t="s">
        <v>283</v>
      </c>
      <c r="F31" s="87">
        <f>IFERROR(__xludf.DUMMYFUNCTION("VALUE(REGEXEXTRACT(A31,""([^.]+)$""))"),1.0)</f>
        <v>1</v>
      </c>
      <c r="G31" s="49">
        <v>40.0</v>
      </c>
      <c r="H31" s="26" t="b">
        <f>COUNTIFS(
 tblCostChecklist[RequirementID],A31,
 tblCostChecklist[PlayerPaid],TRUE
)&gt;0</f>
        <v>0</v>
      </c>
      <c r="I31" s="49">
        <f t="shared" si="1"/>
        <v>6</v>
      </c>
      <c r="J31" s="49">
        <f t="shared" si="2"/>
        <v>0</v>
      </c>
      <c r="K31" s="49">
        <f t="shared" si="3"/>
        <v>6</v>
      </c>
      <c r="L31" s="49" t="b">
        <f t="shared" si="4"/>
        <v>0</v>
      </c>
      <c r="M31" s="88">
        <f t="shared" si="5"/>
        <v>0</v>
      </c>
    </row>
    <row r="32" ht="14.25" customHeight="1">
      <c r="A32" s="49" t="s">
        <v>320</v>
      </c>
      <c r="B32" s="49" t="str">
        <f>IFERROR(__xludf.DUMMYFUNCTION("REGEXEXTRACT(A32,""^cost\.(.*)\.[^.]+\.[^.]+$"")"),"building.alchemists_hut@4")</f>
        <v>building.alchemists_hut@4</v>
      </c>
      <c r="C32" s="49" t="str">
        <f t="array" ref="C32">_xlfn.XLOOKUP(
 B32,
 tblTargets[TargetID],
 tblTargets[DisplayName],
 ""
)</f>
        <v>Alchemist's Hut Lv 4</v>
      </c>
      <c r="D32" s="49" t="str">
        <f t="array" ref="D32">_xlfn.XLOOKUP(
 B32,
 tblTargets[TargetID],
 tblTargets[TargetType],
 ""
)</f>
        <v>BUILDING</v>
      </c>
      <c r="E32" s="49" t="s">
        <v>6</v>
      </c>
      <c r="F32" s="87">
        <f>IFERROR(__xludf.DUMMYFUNCTION("VALUE(REGEXEXTRACT(A32,""([^.]+)$""))"),1.0)</f>
        <v>1</v>
      </c>
      <c r="G32" s="49">
        <v>4.0</v>
      </c>
      <c r="H32" s="26" t="b">
        <f>COUNTIFS(
 tblCostChecklist[RequirementID],A32,
 tblCostChecklist[PlayerPaid],TRUE
)&gt;0</f>
        <v>0</v>
      </c>
      <c r="I32" s="49">
        <f t="shared" si="1"/>
        <v>5</v>
      </c>
      <c r="J32" s="49">
        <f t="shared" si="2"/>
        <v>0</v>
      </c>
      <c r="K32" s="49">
        <f t="shared" si="3"/>
        <v>5</v>
      </c>
      <c r="L32" s="49" t="b">
        <f t="shared" si="4"/>
        <v>0</v>
      </c>
      <c r="M32" s="88">
        <f t="shared" si="5"/>
        <v>0</v>
      </c>
    </row>
    <row r="33" ht="14.25" customHeight="1">
      <c r="A33" s="49" t="s">
        <v>312</v>
      </c>
      <c r="B33" s="49" t="str">
        <f>IFERROR(__xludf.DUMMYFUNCTION("REGEXEXTRACT(A33,""^cost\.(.*)\.[^.]+\.[^.]+$"")"),"building.alchemists_hut@4")</f>
        <v>building.alchemists_hut@4</v>
      </c>
      <c r="C33" s="49" t="str">
        <f t="array" ref="C33">_xlfn.XLOOKUP(
 B33,
 tblTargets[TargetID],
 tblTargets[DisplayName],
 ""
)</f>
        <v>Alchemist's Hut Lv 4</v>
      </c>
      <c r="D33" s="49" t="str">
        <f t="array" ref="D33">_xlfn.XLOOKUP(
 B33,
 tblTargets[TargetID],
 tblTargets[TargetType],
 ""
)</f>
        <v>BUILDING</v>
      </c>
      <c r="E33" s="49" t="s">
        <v>119</v>
      </c>
      <c r="F33" s="87">
        <f>IFERROR(__xludf.DUMMYFUNCTION("VALUE(REGEXEXTRACT(A33,""([^.]+)$""))"),1.0)</f>
        <v>1</v>
      </c>
      <c r="G33" s="49">
        <v>400.0</v>
      </c>
      <c r="H33" s="26" t="b">
        <f>COUNTIFS(
 tblCostChecklist[RequirementID],A33,
 tblCostChecklist[PlayerPaid],TRUE
)&gt;0</f>
        <v>0</v>
      </c>
      <c r="I33" s="49">
        <f t="shared" si="1"/>
        <v>5</v>
      </c>
      <c r="J33" s="49">
        <f t="shared" si="2"/>
        <v>0</v>
      </c>
      <c r="K33" s="49">
        <f t="shared" si="3"/>
        <v>5</v>
      </c>
      <c r="L33" s="49" t="b">
        <f t="shared" si="4"/>
        <v>0</v>
      </c>
      <c r="M33" s="88">
        <f t="shared" si="5"/>
        <v>0</v>
      </c>
    </row>
    <row r="34" ht="14.25" customHeight="1">
      <c r="A34" s="49" t="s">
        <v>307</v>
      </c>
      <c r="B34" s="49" t="str">
        <f>IFERROR(__xludf.DUMMYFUNCTION("REGEXEXTRACT(A34,""^cost\.(.*)\.[^.]+\.[^.]+$"")"),"building.alchemists_hut@4")</f>
        <v>building.alchemists_hut@4</v>
      </c>
      <c r="C34" s="49" t="str">
        <f t="array" ref="C34">_xlfn.XLOOKUP(
 B34,
 tblTargets[TargetID],
 tblTargets[DisplayName],
 ""
)</f>
        <v>Alchemist's Hut Lv 4</v>
      </c>
      <c r="D34" s="49" t="str">
        <f t="array" ref="D34">_xlfn.XLOOKUP(
 B34,
 tblTargets[TargetID],
 tblTargets[TargetType],
 ""
)</f>
        <v>BUILDING</v>
      </c>
      <c r="E34" s="49" t="s">
        <v>278</v>
      </c>
      <c r="F34" s="87">
        <f>IFERROR(__xludf.DUMMYFUNCTION("VALUE(REGEXEXTRACT(A34,""([^.]+)$""))"),1.0)</f>
        <v>1</v>
      </c>
      <c r="G34" s="49">
        <v>400.0</v>
      </c>
      <c r="H34" s="26" t="b">
        <f>COUNTIFS(
 tblCostChecklist[RequirementID],A34,
 tblCostChecklist[PlayerPaid],TRUE
)&gt;0</f>
        <v>0</v>
      </c>
      <c r="I34" s="49">
        <f t="shared" si="1"/>
        <v>5</v>
      </c>
      <c r="J34" s="49">
        <f t="shared" si="2"/>
        <v>0</v>
      </c>
      <c r="K34" s="49">
        <f t="shared" si="3"/>
        <v>5</v>
      </c>
      <c r="L34" s="49" t="b">
        <f t="shared" si="4"/>
        <v>0</v>
      </c>
      <c r="M34" s="88">
        <f t="shared" si="5"/>
        <v>0</v>
      </c>
    </row>
    <row r="35" ht="14.25" customHeight="1">
      <c r="A35" s="49" t="s">
        <v>321</v>
      </c>
      <c r="B35" s="49" t="str">
        <f>IFERROR(__xludf.DUMMYFUNCTION("REGEXEXTRACT(A35,""^cost\.(.*)\.[^.]+\.[^.]+$"")"),"building.alchemists_hut@4")</f>
        <v>building.alchemists_hut@4</v>
      </c>
      <c r="C35" s="49" t="str">
        <f t="array" ref="C35">_xlfn.XLOOKUP(
 B35,
 tblTargets[TargetID],
 tblTargets[DisplayName],
 ""
)</f>
        <v>Alchemist's Hut Lv 4</v>
      </c>
      <c r="D35" s="49" t="str">
        <f t="array" ref="D35">_xlfn.XLOOKUP(
 B35,
 tblTargets[TargetID],
 tblTargets[TargetType],
 ""
)</f>
        <v>BUILDING</v>
      </c>
      <c r="E35" s="49" t="s">
        <v>237</v>
      </c>
      <c r="F35" s="87">
        <f>IFERROR(__xludf.DUMMYFUNCTION("VALUE(REGEXEXTRACT(A35,""([^.]+)$""))"),1.0)</f>
        <v>1</v>
      </c>
      <c r="G35" s="49">
        <v>200.0</v>
      </c>
      <c r="H35" s="26" t="b">
        <f>COUNTIFS(
 tblCostChecklist[RequirementID],A35,
 tblCostChecklist[PlayerPaid],TRUE
)&gt;0</f>
        <v>0</v>
      </c>
      <c r="I35" s="49">
        <f t="shared" si="1"/>
        <v>5</v>
      </c>
      <c r="J35" s="49">
        <f t="shared" si="2"/>
        <v>0</v>
      </c>
      <c r="K35" s="49">
        <f t="shared" si="3"/>
        <v>5</v>
      </c>
      <c r="L35" s="49" t="b">
        <f t="shared" si="4"/>
        <v>0</v>
      </c>
      <c r="M35" s="88">
        <f t="shared" si="5"/>
        <v>0</v>
      </c>
    </row>
    <row r="36" ht="14.25" customHeight="1">
      <c r="A36" s="49" t="s">
        <v>316</v>
      </c>
      <c r="B36" s="49" t="str">
        <f>IFERROR(__xludf.DUMMYFUNCTION("REGEXEXTRACT(A36,""^cost\.(.*)\.[^.]+\.[^.]+$"")"),"building.alchemists_hut@4")</f>
        <v>building.alchemists_hut@4</v>
      </c>
      <c r="C36" s="49" t="str">
        <f t="array" ref="C36">_xlfn.XLOOKUP(
 B36,
 tblTargets[TargetID],
 tblTargets[DisplayName],
 ""
)</f>
        <v>Alchemist's Hut Lv 4</v>
      </c>
      <c r="D36" s="49" t="str">
        <f t="array" ref="D36">_xlfn.XLOOKUP(
 B36,
 tblTargets[TargetID],
 tblTargets[TargetType],
 ""
)</f>
        <v>BUILDING</v>
      </c>
      <c r="E36" s="49" t="s">
        <v>318</v>
      </c>
      <c r="F36" s="87">
        <f>IFERROR(__xludf.DUMMYFUNCTION("VALUE(REGEXEXTRACT(A36,""([^.]+)$""))"),1.0)</f>
        <v>1</v>
      </c>
      <c r="G36" s="49">
        <v>40.0</v>
      </c>
      <c r="H36" s="26" t="b">
        <f>COUNTIFS(
 tblCostChecklist[RequirementID],A36,
 tblCostChecklist[PlayerPaid],TRUE
)&gt;0</f>
        <v>0</v>
      </c>
      <c r="I36" s="49">
        <f t="shared" si="1"/>
        <v>5</v>
      </c>
      <c r="J36" s="49">
        <f t="shared" si="2"/>
        <v>0</v>
      </c>
      <c r="K36" s="49">
        <f t="shared" si="3"/>
        <v>5</v>
      </c>
      <c r="L36" s="49" t="b">
        <f t="shared" si="4"/>
        <v>0</v>
      </c>
      <c r="M36" s="88">
        <f t="shared" si="5"/>
        <v>0</v>
      </c>
    </row>
    <row r="37" ht="14.25" customHeight="1">
      <c r="A37" s="49" t="s">
        <v>335</v>
      </c>
      <c r="B37" s="49" t="str">
        <f>IFERROR(__xludf.DUMMYFUNCTION("REGEXEXTRACT(A37,""^cost\.(.*)\.[^.]+\.[^.]+$"")"),"building.alchemists_hut@5")</f>
        <v>building.alchemists_hut@5</v>
      </c>
      <c r="C37" s="49" t="str">
        <f t="array" ref="C37">_xlfn.XLOOKUP(
 B37,
 tblTargets[TargetID],
 tblTargets[DisplayName],
 ""
)</f>
        <v>Alchemist's Hut Lv 5</v>
      </c>
      <c r="D37" s="49" t="str">
        <f t="array" ref="D37">_xlfn.XLOOKUP(
 B37,
 tblTargets[TargetID],
 tblTargets[TargetType],
 ""
)</f>
        <v>BUILDING</v>
      </c>
      <c r="E37" s="49" t="s">
        <v>6</v>
      </c>
      <c r="F37" s="87">
        <f>IFERROR(__xludf.DUMMYFUNCTION("VALUE(REGEXEXTRACT(A37,""([^.]+)$""))"),1.0)</f>
        <v>1</v>
      </c>
      <c r="G37" s="49">
        <v>5.0</v>
      </c>
      <c r="H37" s="26" t="b">
        <f>COUNTIFS(
 tblCostChecklist[RequirementID],A37,
 tblCostChecklist[PlayerPaid],TRUE
)&gt;0</f>
        <v>0</v>
      </c>
      <c r="I37" s="49">
        <f t="shared" si="1"/>
        <v>5</v>
      </c>
      <c r="J37" s="49">
        <f t="shared" si="2"/>
        <v>0</v>
      </c>
      <c r="K37" s="49">
        <f t="shared" si="3"/>
        <v>5</v>
      </c>
      <c r="L37" s="49" t="b">
        <f t="shared" si="4"/>
        <v>0</v>
      </c>
      <c r="M37" s="88">
        <f t="shared" si="5"/>
        <v>0</v>
      </c>
    </row>
    <row r="38" ht="14.25" customHeight="1">
      <c r="A38" s="49" t="s">
        <v>327</v>
      </c>
      <c r="B38" s="49" t="str">
        <f>IFERROR(__xludf.DUMMYFUNCTION("REGEXEXTRACT(A38,""^cost\.(.*)\.[^.]+\.[^.]+$"")"),"building.alchemists_hut@5")</f>
        <v>building.alchemists_hut@5</v>
      </c>
      <c r="C38" s="49" t="str">
        <f t="array" ref="C38">_xlfn.XLOOKUP(
 B38,
 tblTargets[TargetID],
 tblTargets[DisplayName],
 ""
)</f>
        <v>Alchemist's Hut Lv 5</v>
      </c>
      <c r="D38" s="49" t="str">
        <f t="array" ref="D38">_xlfn.XLOOKUP(
 B38,
 tblTargets[TargetID],
 tblTargets[TargetType],
 ""
)</f>
        <v>BUILDING</v>
      </c>
      <c r="E38" s="49" t="s">
        <v>119</v>
      </c>
      <c r="F38" s="87">
        <f>IFERROR(__xludf.DUMMYFUNCTION("VALUE(REGEXEXTRACT(A38,""([^.]+)$""))"),1.0)</f>
        <v>1</v>
      </c>
      <c r="G38" s="49">
        <v>500.0</v>
      </c>
      <c r="H38" s="26" t="b">
        <f>COUNTIFS(
 tblCostChecklist[RequirementID],A38,
 tblCostChecklist[PlayerPaid],TRUE
)&gt;0</f>
        <v>0</v>
      </c>
      <c r="I38" s="49">
        <f t="shared" si="1"/>
        <v>5</v>
      </c>
      <c r="J38" s="49">
        <f t="shared" si="2"/>
        <v>0</v>
      </c>
      <c r="K38" s="49">
        <f t="shared" si="3"/>
        <v>5</v>
      </c>
      <c r="L38" s="49" t="b">
        <f t="shared" si="4"/>
        <v>0</v>
      </c>
      <c r="M38" s="88">
        <f t="shared" si="5"/>
        <v>0</v>
      </c>
    </row>
    <row r="39" ht="14.25" customHeight="1">
      <c r="A39" s="49" t="s">
        <v>324</v>
      </c>
      <c r="B39" s="49" t="str">
        <f>IFERROR(__xludf.DUMMYFUNCTION("REGEXEXTRACT(A39,""^cost\.(.*)\.[^.]+\.[^.]+$"")"),"building.alchemists_hut@5")</f>
        <v>building.alchemists_hut@5</v>
      </c>
      <c r="C39" s="49" t="str">
        <f t="array" ref="C39">_xlfn.XLOOKUP(
 B39,
 tblTargets[TargetID],
 tblTargets[DisplayName],
 ""
)</f>
        <v>Alchemist's Hut Lv 5</v>
      </c>
      <c r="D39" s="49" t="str">
        <f t="array" ref="D39">_xlfn.XLOOKUP(
 B39,
 tblTargets[TargetID],
 tblTargets[TargetType],
 ""
)</f>
        <v>BUILDING</v>
      </c>
      <c r="E39" s="49" t="s">
        <v>278</v>
      </c>
      <c r="F39" s="87">
        <f>IFERROR(__xludf.DUMMYFUNCTION("VALUE(REGEXEXTRACT(A39,""([^.]+)$""))"),1.0)</f>
        <v>1</v>
      </c>
      <c r="G39" s="49">
        <v>440.0</v>
      </c>
      <c r="H39" s="26" t="b">
        <f>COUNTIFS(
 tblCostChecklist[RequirementID],A39,
 tblCostChecklist[PlayerPaid],TRUE
)&gt;0</f>
        <v>0</v>
      </c>
      <c r="I39" s="49">
        <f t="shared" si="1"/>
        <v>5</v>
      </c>
      <c r="J39" s="49">
        <f t="shared" si="2"/>
        <v>0</v>
      </c>
      <c r="K39" s="49">
        <f t="shared" si="3"/>
        <v>5</v>
      </c>
      <c r="L39" s="49" t="b">
        <f t="shared" si="4"/>
        <v>0</v>
      </c>
      <c r="M39" s="88">
        <f t="shared" si="5"/>
        <v>0</v>
      </c>
    </row>
    <row r="40" ht="14.25" customHeight="1">
      <c r="A40" s="49" t="s">
        <v>341</v>
      </c>
      <c r="B40" s="49" t="str">
        <f>IFERROR(__xludf.DUMMYFUNCTION("REGEXEXTRACT(A40,""^cost\.(.*)\.[^.]+\.[^.]+$"")"),"building.alchemists_hut@5")</f>
        <v>building.alchemists_hut@5</v>
      </c>
      <c r="C40" s="49" t="str">
        <f t="array" ref="C40">_xlfn.XLOOKUP(
 B40,
 tblTargets[TargetID],
 tblTargets[DisplayName],
 ""
)</f>
        <v>Alchemist's Hut Lv 5</v>
      </c>
      <c r="D40" s="49" t="str">
        <f t="array" ref="D40">_xlfn.XLOOKUP(
 B40,
 tblTargets[TargetID],
 tblTargets[TargetType],
 ""
)</f>
        <v>BUILDING</v>
      </c>
      <c r="E40" s="49" t="s">
        <v>237</v>
      </c>
      <c r="F40" s="87">
        <f>IFERROR(__xludf.DUMMYFUNCTION("VALUE(REGEXEXTRACT(A40,""([^.]+)$""))"),1.0)</f>
        <v>1</v>
      </c>
      <c r="G40" s="49">
        <v>220.0</v>
      </c>
      <c r="H40" s="26" t="b">
        <f>COUNTIFS(
 tblCostChecklist[RequirementID],A40,
 tblCostChecklist[PlayerPaid],TRUE
)&gt;0</f>
        <v>0</v>
      </c>
      <c r="I40" s="49">
        <f t="shared" si="1"/>
        <v>5</v>
      </c>
      <c r="J40" s="49">
        <f t="shared" si="2"/>
        <v>0</v>
      </c>
      <c r="K40" s="49">
        <f t="shared" si="3"/>
        <v>5</v>
      </c>
      <c r="L40" s="49" t="b">
        <f t="shared" si="4"/>
        <v>0</v>
      </c>
      <c r="M40" s="88">
        <f t="shared" si="5"/>
        <v>0</v>
      </c>
    </row>
    <row r="41" ht="14.25" customHeight="1">
      <c r="A41" s="49" t="s">
        <v>332</v>
      </c>
      <c r="B41" s="49" t="str">
        <f>IFERROR(__xludf.DUMMYFUNCTION("REGEXEXTRACT(A41,""^cost\.(.*)\.[^.]+\.[^.]+$"")"),"building.alchemists_hut@5")</f>
        <v>building.alchemists_hut@5</v>
      </c>
      <c r="C41" s="49" t="str">
        <f t="array" ref="C41">_xlfn.XLOOKUP(
 B41,
 tblTargets[TargetID],
 tblTargets[DisplayName],
 ""
)</f>
        <v>Alchemist's Hut Lv 5</v>
      </c>
      <c r="D41" s="49" t="str">
        <f t="array" ref="D41">_xlfn.XLOOKUP(
 B41,
 tblTargets[TargetID],
 tblTargets[TargetType],
 ""
)</f>
        <v>BUILDING</v>
      </c>
      <c r="E41" s="49" t="s">
        <v>318</v>
      </c>
      <c r="F41" s="87">
        <f>IFERROR(__xludf.DUMMYFUNCTION("VALUE(REGEXEXTRACT(A41,""([^.]+)$""))"),1.0)</f>
        <v>1</v>
      </c>
      <c r="G41" s="49">
        <v>80.0</v>
      </c>
      <c r="H41" s="26" t="b">
        <f>COUNTIFS(
 tblCostChecklist[RequirementID],A41,
 tblCostChecklist[PlayerPaid],TRUE
)&gt;0</f>
        <v>0</v>
      </c>
      <c r="I41" s="49">
        <f t="shared" si="1"/>
        <v>5</v>
      </c>
      <c r="J41" s="49">
        <f t="shared" si="2"/>
        <v>0</v>
      </c>
      <c r="K41" s="49">
        <f t="shared" si="3"/>
        <v>5</v>
      </c>
      <c r="L41" s="49" t="b">
        <f t="shared" si="4"/>
        <v>0</v>
      </c>
      <c r="M41" s="88">
        <f t="shared" si="5"/>
        <v>0</v>
      </c>
    </row>
    <row r="42" ht="14.25" customHeight="1">
      <c r="A42" s="49" t="s">
        <v>361</v>
      </c>
      <c r="B42" s="49" t="str">
        <f>IFERROR(__xludf.DUMMYFUNCTION("REGEXEXTRACT(A42,""^cost\.(.*)\.[^.]+\.[^.]+$"")"),"building.alchemists_hut@6")</f>
        <v>building.alchemists_hut@6</v>
      </c>
      <c r="C42" s="49" t="str">
        <f t="array" ref="C42">_xlfn.XLOOKUP(
 B42,
 tblTargets[TargetID],
 tblTargets[DisplayName],
 ""
)</f>
        <v>Alchemist's Hut Lv 6</v>
      </c>
      <c r="D42" s="49" t="str">
        <f t="array" ref="D42">_xlfn.XLOOKUP(
 B42,
 tblTargets[TargetID],
 tblTargets[TargetType],
 ""
)</f>
        <v>BUILDING</v>
      </c>
      <c r="E42" s="49" t="s">
        <v>6</v>
      </c>
      <c r="F42" s="87">
        <f>IFERROR(__xludf.DUMMYFUNCTION("VALUE(REGEXEXTRACT(A42,""([^.]+)$""))"),1.0)</f>
        <v>1</v>
      </c>
      <c r="G42" s="49">
        <v>6.0</v>
      </c>
      <c r="H42" s="26" t="b">
        <f>COUNTIFS(
 tblCostChecklist[RequirementID],A42,
 tblCostChecklist[PlayerPaid],TRUE
)&gt;0</f>
        <v>0</v>
      </c>
      <c r="I42" s="49">
        <f t="shared" si="1"/>
        <v>6</v>
      </c>
      <c r="J42" s="49">
        <f t="shared" si="2"/>
        <v>0</v>
      </c>
      <c r="K42" s="49">
        <f t="shared" si="3"/>
        <v>6</v>
      </c>
      <c r="L42" s="49" t="b">
        <f t="shared" si="4"/>
        <v>0</v>
      </c>
      <c r="M42" s="88">
        <f t="shared" si="5"/>
        <v>0</v>
      </c>
    </row>
    <row r="43" ht="14.25" customHeight="1">
      <c r="A43" s="49" t="s">
        <v>355</v>
      </c>
      <c r="B43" s="49" t="str">
        <f>IFERROR(__xludf.DUMMYFUNCTION("REGEXEXTRACT(A43,""^cost\.(.*)\.[^.]+\.[^.]+$"")"),"building.alchemists_hut@6")</f>
        <v>building.alchemists_hut@6</v>
      </c>
      <c r="C43" s="49" t="str">
        <f t="array" ref="C43">_xlfn.XLOOKUP(
 B43,
 tblTargets[TargetID],
 tblTargets[DisplayName],
 ""
)</f>
        <v>Alchemist's Hut Lv 6</v>
      </c>
      <c r="D43" s="49" t="str">
        <f t="array" ref="D43">_xlfn.XLOOKUP(
 B43,
 tblTargets[TargetID],
 tblTargets[TargetType],
 ""
)</f>
        <v>BUILDING</v>
      </c>
      <c r="E43" s="49" t="s">
        <v>119</v>
      </c>
      <c r="F43" s="87">
        <f>IFERROR(__xludf.DUMMYFUNCTION("VALUE(REGEXEXTRACT(A43,""([^.]+)$""))"),1.0)</f>
        <v>1</v>
      </c>
      <c r="G43" s="49">
        <v>1000.0</v>
      </c>
      <c r="H43" s="26" t="b">
        <f>COUNTIFS(
 tblCostChecklist[RequirementID],A43,
 tblCostChecklist[PlayerPaid],TRUE
)&gt;0</f>
        <v>0</v>
      </c>
      <c r="I43" s="49">
        <f t="shared" si="1"/>
        <v>6</v>
      </c>
      <c r="J43" s="49">
        <f t="shared" si="2"/>
        <v>0</v>
      </c>
      <c r="K43" s="49">
        <f t="shared" si="3"/>
        <v>6</v>
      </c>
      <c r="L43" s="49" t="b">
        <f t="shared" si="4"/>
        <v>0</v>
      </c>
      <c r="M43" s="88">
        <f t="shared" si="5"/>
        <v>0</v>
      </c>
    </row>
    <row r="44" ht="14.25" customHeight="1">
      <c r="A44" s="49" t="s">
        <v>346</v>
      </c>
      <c r="B44" s="49" t="str">
        <f>IFERROR(__xludf.DUMMYFUNCTION("REGEXEXTRACT(A44,""^cost\.(.*)\.[^.]+\.[^.]+$"")"),"building.alchemists_hut@6")</f>
        <v>building.alchemists_hut@6</v>
      </c>
      <c r="C44" s="49" t="str">
        <f t="array" ref="C44">_xlfn.XLOOKUP(
 B44,
 tblTargets[TargetID],
 tblTargets[DisplayName],
 ""
)</f>
        <v>Alchemist's Hut Lv 6</v>
      </c>
      <c r="D44" s="49" t="str">
        <f t="array" ref="D44">_xlfn.XLOOKUP(
 B44,
 tblTargets[TargetID],
 tblTargets[TargetType],
 ""
)</f>
        <v>BUILDING</v>
      </c>
      <c r="E44" s="49" t="s">
        <v>278</v>
      </c>
      <c r="F44" s="87">
        <f>IFERROR(__xludf.DUMMYFUNCTION("VALUE(REGEXEXTRACT(A44,""([^.]+)$""))"),1.0)</f>
        <v>1</v>
      </c>
      <c r="G44" s="49">
        <v>800.0</v>
      </c>
      <c r="H44" s="26" t="b">
        <f>COUNTIFS(
 tblCostChecklist[RequirementID],A44,
 tblCostChecklist[PlayerPaid],TRUE
)&gt;0</f>
        <v>0</v>
      </c>
      <c r="I44" s="49">
        <f t="shared" si="1"/>
        <v>6</v>
      </c>
      <c r="J44" s="49">
        <f t="shared" si="2"/>
        <v>0</v>
      </c>
      <c r="K44" s="49">
        <f t="shared" si="3"/>
        <v>6</v>
      </c>
      <c r="L44" s="49" t="b">
        <f t="shared" si="4"/>
        <v>0</v>
      </c>
      <c r="M44" s="88">
        <f t="shared" si="5"/>
        <v>0</v>
      </c>
    </row>
    <row r="45" ht="14.25" customHeight="1">
      <c r="A45" s="49" t="s">
        <v>363</v>
      </c>
      <c r="B45" s="49" t="str">
        <f>IFERROR(__xludf.DUMMYFUNCTION("REGEXEXTRACT(A45,""^cost\.(.*)\.[^.]+\.[^.]+$"")"),"building.alchemists_hut@6")</f>
        <v>building.alchemists_hut@6</v>
      </c>
      <c r="C45" s="49" t="str">
        <f t="array" ref="C45">_xlfn.XLOOKUP(
 B45,
 tblTargets[TargetID],
 tblTargets[DisplayName],
 ""
)</f>
        <v>Alchemist's Hut Lv 6</v>
      </c>
      <c r="D45" s="49" t="str">
        <f t="array" ref="D45">_xlfn.XLOOKUP(
 B45,
 tblTargets[TargetID],
 tblTargets[TargetType],
 ""
)</f>
        <v>BUILDING</v>
      </c>
      <c r="E45" s="49" t="s">
        <v>237</v>
      </c>
      <c r="F45" s="87">
        <f>IFERROR(__xludf.DUMMYFUNCTION("VALUE(REGEXEXTRACT(A45,""([^.]+)$""))"),1.0)</f>
        <v>1</v>
      </c>
      <c r="G45" s="49">
        <v>400.0</v>
      </c>
      <c r="H45" s="26" t="b">
        <f>COUNTIFS(
 tblCostChecklist[RequirementID],A45,
 tblCostChecklist[PlayerPaid],TRUE
)&gt;0</f>
        <v>0</v>
      </c>
      <c r="I45" s="49">
        <f t="shared" si="1"/>
        <v>6</v>
      </c>
      <c r="J45" s="49">
        <f t="shared" si="2"/>
        <v>0</v>
      </c>
      <c r="K45" s="49">
        <f t="shared" si="3"/>
        <v>6</v>
      </c>
      <c r="L45" s="49" t="b">
        <f t="shared" si="4"/>
        <v>0</v>
      </c>
      <c r="M45" s="88">
        <f t="shared" si="5"/>
        <v>0</v>
      </c>
    </row>
    <row r="46" ht="14.25" customHeight="1">
      <c r="A46" s="49" t="s">
        <v>350</v>
      </c>
      <c r="B46" s="49" t="str">
        <f>IFERROR(__xludf.DUMMYFUNCTION("REGEXEXTRACT(A46,""^cost\.(.*)\.[^.]+\.[^.]+$"")"),"building.alchemists_hut@6")</f>
        <v>building.alchemists_hut@6</v>
      </c>
      <c r="C46" s="49" t="str">
        <f t="array" ref="C46">_xlfn.XLOOKUP(
 B46,
 tblTargets[TargetID],
 tblTargets[DisplayName],
 ""
)</f>
        <v>Alchemist's Hut Lv 6</v>
      </c>
      <c r="D46" s="49" t="str">
        <f t="array" ref="D46">_xlfn.XLOOKUP(
 B46,
 tblTargets[TargetID],
 tblTargets[TargetType],
 ""
)</f>
        <v>BUILDING</v>
      </c>
      <c r="E46" s="49" t="s">
        <v>113</v>
      </c>
      <c r="F46" s="87">
        <f>IFERROR(__xludf.DUMMYFUNCTION("VALUE(REGEXEXTRACT(A46,""([^.]+)$""))"),1.0)</f>
        <v>1</v>
      </c>
      <c r="G46" s="49">
        <v>200.0</v>
      </c>
      <c r="H46" s="26" t="b">
        <f>COUNTIFS(
 tblCostChecklist[RequirementID],A46,
 tblCostChecklist[PlayerPaid],TRUE
)&gt;0</f>
        <v>0</v>
      </c>
      <c r="I46" s="49">
        <f t="shared" si="1"/>
        <v>6</v>
      </c>
      <c r="J46" s="49">
        <f t="shared" si="2"/>
        <v>0</v>
      </c>
      <c r="K46" s="49">
        <f t="shared" si="3"/>
        <v>6</v>
      </c>
      <c r="L46" s="49" t="b">
        <f t="shared" si="4"/>
        <v>0</v>
      </c>
      <c r="M46" s="88">
        <f t="shared" si="5"/>
        <v>0</v>
      </c>
    </row>
    <row r="47" ht="14.25" customHeight="1">
      <c r="A47" s="49" t="s">
        <v>358</v>
      </c>
      <c r="B47" s="49" t="str">
        <f>IFERROR(__xludf.DUMMYFUNCTION("REGEXEXTRACT(A47,""^cost\.(.*)\.[^.]+\.[^.]+$"")"),"building.alchemists_hut@6")</f>
        <v>building.alchemists_hut@6</v>
      </c>
      <c r="C47" s="49" t="str">
        <f t="array" ref="C47">_xlfn.XLOOKUP(
 B47,
 tblTargets[TargetID],
 tblTargets[DisplayName],
 ""
)</f>
        <v>Alchemist's Hut Lv 6</v>
      </c>
      <c r="D47" s="49" t="str">
        <f t="array" ref="D47">_xlfn.XLOOKUP(
 B47,
 tblTargets[TargetID],
 tblTargets[TargetType],
 ""
)</f>
        <v>BUILDING</v>
      </c>
      <c r="E47" s="49" t="s">
        <v>360</v>
      </c>
      <c r="F47" s="87">
        <f>IFERROR(__xludf.DUMMYFUNCTION("VALUE(REGEXEXTRACT(A47,""([^.]+)$""))"),1.0)</f>
        <v>1</v>
      </c>
      <c r="G47" s="49">
        <v>50.0</v>
      </c>
      <c r="H47" s="26" t="b">
        <f>COUNTIFS(
 tblCostChecklist[RequirementID],A47,
 tblCostChecklist[PlayerPaid],TRUE
)&gt;0</f>
        <v>0</v>
      </c>
      <c r="I47" s="49">
        <f t="shared" si="1"/>
        <v>6</v>
      </c>
      <c r="J47" s="49">
        <f t="shared" si="2"/>
        <v>0</v>
      </c>
      <c r="K47" s="49">
        <f t="shared" si="3"/>
        <v>6</v>
      </c>
      <c r="L47" s="49" t="b">
        <f t="shared" si="4"/>
        <v>0</v>
      </c>
      <c r="M47" s="88">
        <f t="shared" si="5"/>
        <v>0</v>
      </c>
    </row>
    <row r="48" ht="14.25" customHeight="1">
      <c r="A48" s="49" t="s">
        <v>373</v>
      </c>
      <c r="B48" s="49" t="str">
        <f>IFERROR(__xludf.DUMMYFUNCTION("REGEXEXTRACT(A48,""^cost\.(.*)\.[^.]+\.[^.]+$"")"),"building.bonsai@1")</f>
        <v>building.bonsai@1</v>
      </c>
      <c r="C48" s="49" t="str">
        <f t="array" ref="C48">_xlfn.XLOOKUP(
 B48,
 tblTargets[TargetID],
 tblTargets[DisplayName],
 ""
)</f>
        <v>Bonsai Lv 1</v>
      </c>
      <c r="D48" s="49" t="str">
        <f t="array" ref="D48">_xlfn.XLOOKUP(
 B48,
 tblTargets[TargetID],
 tblTargets[TargetType],
 ""
)</f>
        <v>BUILDING</v>
      </c>
      <c r="E48" s="49" t="s">
        <v>6</v>
      </c>
      <c r="F48" s="87">
        <f>IFERROR(__xludf.DUMMYFUNCTION("VALUE(REGEXEXTRACT(A48,""([^.]+)$""))"),1.0)</f>
        <v>1</v>
      </c>
      <c r="G48" s="49">
        <v>3.0</v>
      </c>
      <c r="H48" s="26" t="b">
        <f>COUNTIFS(
 tblCostChecklist[RequirementID],A48,
 tblCostChecklist[PlayerPaid],TRUE
)&gt;0</f>
        <v>0</v>
      </c>
      <c r="I48" s="49">
        <f t="shared" si="1"/>
        <v>4</v>
      </c>
      <c r="J48" s="49">
        <f t="shared" si="2"/>
        <v>0</v>
      </c>
      <c r="K48" s="49">
        <f t="shared" si="3"/>
        <v>4</v>
      </c>
      <c r="L48" s="49" t="b">
        <f t="shared" si="4"/>
        <v>0</v>
      </c>
      <c r="M48" s="88">
        <f t="shared" si="5"/>
        <v>0</v>
      </c>
    </row>
    <row r="49" ht="14.25" customHeight="1">
      <c r="A49" s="49" t="s">
        <v>369</v>
      </c>
      <c r="B49" s="49" t="str">
        <f>IFERROR(__xludf.DUMMYFUNCTION("REGEXEXTRACT(A49,""^cost\.(.*)\.[^.]+\.[^.]+$"")"),"building.bonsai@1")</f>
        <v>building.bonsai@1</v>
      </c>
      <c r="C49" s="49" t="str">
        <f t="array" ref="C49">_xlfn.XLOOKUP(
 B49,
 tblTargets[TargetID],
 tblTargets[DisplayName],
 ""
)</f>
        <v>Bonsai Lv 1</v>
      </c>
      <c r="D49" s="49" t="str">
        <f t="array" ref="D49">_xlfn.XLOOKUP(
 B49,
 tblTargets[TargetID],
 tblTargets[TargetType],
 ""
)</f>
        <v>BUILDING</v>
      </c>
      <c r="E49" s="49" t="s">
        <v>119</v>
      </c>
      <c r="F49" s="87">
        <f>IFERROR(__xludf.DUMMYFUNCTION("VALUE(REGEXEXTRACT(A49,""([^.]+)$""))"),1.0)</f>
        <v>1</v>
      </c>
      <c r="G49" s="49">
        <v>500.0</v>
      </c>
      <c r="H49" s="26" t="b">
        <f>COUNTIFS(
 tblCostChecklist[RequirementID],A49,
 tblCostChecklist[PlayerPaid],TRUE
)&gt;0</f>
        <v>0</v>
      </c>
      <c r="I49" s="49">
        <f t="shared" si="1"/>
        <v>4</v>
      </c>
      <c r="J49" s="49">
        <f t="shared" si="2"/>
        <v>0</v>
      </c>
      <c r="K49" s="49">
        <f t="shared" si="3"/>
        <v>4</v>
      </c>
      <c r="L49" s="49" t="b">
        <f t="shared" si="4"/>
        <v>0</v>
      </c>
      <c r="M49" s="88">
        <f t="shared" si="5"/>
        <v>0</v>
      </c>
    </row>
    <row r="50" ht="14.25" customHeight="1">
      <c r="A50" s="49" t="s">
        <v>371</v>
      </c>
      <c r="B50" s="49" t="str">
        <f>IFERROR(__xludf.DUMMYFUNCTION("REGEXEXTRACT(A50,""^cost\.(.*)\.[^.]+\.[^.]+$"")"),"building.bonsai@1")</f>
        <v>building.bonsai@1</v>
      </c>
      <c r="C50" s="49" t="str">
        <f t="array" ref="C50">_xlfn.XLOOKUP(
 B50,
 tblTargets[TargetID],
 tblTargets[DisplayName],
 ""
)</f>
        <v>Bonsai Lv 1</v>
      </c>
      <c r="D50" s="49" t="str">
        <f t="array" ref="D50">_xlfn.XLOOKUP(
 B50,
 tblTargets[TargetID],
 tblTargets[TargetType],
 ""
)</f>
        <v>BUILDING</v>
      </c>
      <c r="E50" s="49" t="s">
        <v>187</v>
      </c>
      <c r="F50" s="87">
        <f>IFERROR(__xludf.DUMMYFUNCTION("VALUE(REGEXEXTRACT(A50,""([^.]+)$""))"),1.0)</f>
        <v>1</v>
      </c>
      <c r="G50" s="49">
        <v>500.0</v>
      </c>
      <c r="H50" s="26" t="b">
        <f>COUNTIFS(
 tblCostChecklist[RequirementID],A50,
 tblCostChecklist[PlayerPaid],TRUE
)&gt;0</f>
        <v>0</v>
      </c>
      <c r="I50" s="49">
        <f t="shared" si="1"/>
        <v>4</v>
      </c>
      <c r="J50" s="49">
        <f t="shared" si="2"/>
        <v>0</v>
      </c>
      <c r="K50" s="49">
        <f t="shared" si="3"/>
        <v>4</v>
      </c>
      <c r="L50" s="49" t="b">
        <f t="shared" si="4"/>
        <v>0</v>
      </c>
      <c r="M50" s="88">
        <f t="shared" si="5"/>
        <v>0</v>
      </c>
    </row>
    <row r="51" ht="14.25" customHeight="1">
      <c r="A51" s="49" t="s">
        <v>365</v>
      </c>
      <c r="B51" s="49" t="str">
        <f>IFERROR(__xludf.DUMMYFUNCTION("REGEXEXTRACT(A51,""^cost\.(.*)\.[^.]+\.[^.]+$"")"),"building.bonsai@1")</f>
        <v>building.bonsai@1</v>
      </c>
      <c r="C51" s="49" t="str">
        <f t="array" ref="C51">_xlfn.XLOOKUP(
 B51,
 tblTargets[TargetID],
 tblTargets[DisplayName],
 ""
)</f>
        <v>Bonsai Lv 1</v>
      </c>
      <c r="D51" s="49" t="str">
        <f t="array" ref="D51">_xlfn.XLOOKUP(
 B51,
 tblTargets[TargetID],
 tblTargets[TargetType],
 ""
)</f>
        <v>BUILDING</v>
      </c>
      <c r="E51" s="49" t="s">
        <v>367</v>
      </c>
      <c r="F51" s="87">
        <f>IFERROR(__xludf.DUMMYFUNCTION("VALUE(REGEXEXTRACT(A51,""([^.]+)$""))"),1.0)</f>
        <v>1</v>
      </c>
      <c r="G51" s="49">
        <v>120.0</v>
      </c>
      <c r="H51" s="26" t="b">
        <f>COUNTIFS(
 tblCostChecklist[RequirementID],A51,
 tblCostChecklist[PlayerPaid],TRUE
)&gt;0</f>
        <v>0</v>
      </c>
      <c r="I51" s="49">
        <f t="shared" si="1"/>
        <v>4</v>
      </c>
      <c r="J51" s="49">
        <f t="shared" si="2"/>
        <v>0</v>
      </c>
      <c r="K51" s="49">
        <f t="shared" si="3"/>
        <v>4</v>
      </c>
      <c r="L51" s="49" t="b">
        <f t="shared" si="4"/>
        <v>0</v>
      </c>
      <c r="M51" s="88">
        <f t="shared" si="5"/>
        <v>0</v>
      </c>
    </row>
    <row r="52" ht="14.25" customHeight="1">
      <c r="A52" s="49" t="s">
        <v>382</v>
      </c>
      <c r="B52" s="49" t="str">
        <f>IFERROR(__xludf.DUMMYFUNCTION("REGEXEXTRACT(A52,""^cost\.(.*)\.[^.]+\.[^.]+$"")"),"building.bonsai@2")</f>
        <v>building.bonsai@2</v>
      </c>
      <c r="C52" s="49" t="str">
        <f t="array" ref="C52">_xlfn.XLOOKUP(
 B52,
 tblTargets[TargetID],
 tblTargets[DisplayName],
 ""
)</f>
        <v>Bonsai Lv 2</v>
      </c>
      <c r="D52" s="49" t="str">
        <f t="array" ref="D52">_xlfn.XLOOKUP(
 B52,
 tblTargets[TargetID],
 tblTargets[TargetType],
 ""
)</f>
        <v>BUILDING</v>
      </c>
      <c r="E52" s="49" t="s">
        <v>6</v>
      </c>
      <c r="F52" s="87">
        <f>IFERROR(__xludf.DUMMYFUNCTION("VALUE(REGEXEXTRACT(A52,""([^.]+)$""))"),1.0)</f>
        <v>1</v>
      </c>
      <c r="G52" s="49">
        <v>5.0</v>
      </c>
      <c r="H52" s="26" t="b">
        <f>COUNTIFS(
 tblCostChecklist[RequirementID],A52,
 tblCostChecklist[PlayerPaid],TRUE
)&gt;0</f>
        <v>0</v>
      </c>
      <c r="I52" s="49">
        <f t="shared" si="1"/>
        <v>5</v>
      </c>
      <c r="J52" s="49">
        <f t="shared" si="2"/>
        <v>0</v>
      </c>
      <c r="K52" s="49">
        <f t="shared" si="3"/>
        <v>5</v>
      </c>
      <c r="L52" s="49" t="b">
        <f t="shared" si="4"/>
        <v>0</v>
      </c>
      <c r="M52" s="88">
        <f t="shared" si="5"/>
        <v>0</v>
      </c>
    </row>
    <row r="53" ht="14.25" customHeight="1">
      <c r="A53" s="49" t="s">
        <v>379</v>
      </c>
      <c r="B53" s="49" t="str">
        <f>IFERROR(__xludf.DUMMYFUNCTION("REGEXEXTRACT(A53,""^cost\.(.*)\.[^.]+\.[^.]+$"")"),"building.bonsai@2")</f>
        <v>building.bonsai@2</v>
      </c>
      <c r="C53" s="49" t="str">
        <f t="array" ref="C53">_xlfn.XLOOKUP(
 B53,
 tblTargets[TargetID],
 tblTargets[DisplayName],
 ""
)</f>
        <v>Bonsai Lv 2</v>
      </c>
      <c r="D53" s="49" t="str">
        <f t="array" ref="D53">_xlfn.XLOOKUP(
 B53,
 tblTargets[TargetID],
 tblTargets[TargetType],
 ""
)</f>
        <v>BUILDING</v>
      </c>
      <c r="E53" s="49" t="s">
        <v>119</v>
      </c>
      <c r="F53" s="87">
        <f>IFERROR(__xludf.DUMMYFUNCTION("VALUE(REGEXEXTRACT(A53,""([^.]+)$""))"),1.0)</f>
        <v>1</v>
      </c>
      <c r="G53" s="49">
        <v>800.0</v>
      </c>
      <c r="H53" s="26" t="b">
        <f>COUNTIFS(
 tblCostChecklist[RequirementID],A53,
 tblCostChecklist[PlayerPaid],TRUE
)&gt;0</f>
        <v>0</v>
      </c>
      <c r="I53" s="49">
        <f t="shared" si="1"/>
        <v>5</v>
      </c>
      <c r="J53" s="49">
        <f t="shared" si="2"/>
        <v>0</v>
      </c>
      <c r="K53" s="49">
        <f t="shared" si="3"/>
        <v>5</v>
      </c>
      <c r="L53" s="49" t="b">
        <f t="shared" si="4"/>
        <v>0</v>
      </c>
      <c r="M53" s="88">
        <f t="shared" si="5"/>
        <v>0</v>
      </c>
    </row>
    <row r="54" ht="14.25" customHeight="1">
      <c r="A54" s="49" t="s">
        <v>380</v>
      </c>
      <c r="B54" s="49" t="str">
        <f>IFERROR(__xludf.DUMMYFUNCTION("REGEXEXTRACT(A54,""^cost\.(.*)\.[^.]+\.[^.]+$"")"),"building.bonsai@2")</f>
        <v>building.bonsai@2</v>
      </c>
      <c r="C54" s="49" t="str">
        <f t="array" ref="C54">_xlfn.XLOOKUP(
 B54,
 tblTargets[TargetID],
 tblTargets[DisplayName],
 ""
)</f>
        <v>Bonsai Lv 2</v>
      </c>
      <c r="D54" s="49" t="str">
        <f t="array" ref="D54">_xlfn.XLOOKUP(
 B54,
 tblTargets[TargetID],
 tblTargets[TargetType],
 ""
)</f>
        <v>BUILDING</v>
      </c>
      <c r="E54" s="49" t="s">
        <v>187</v>
      </c>
      <c r="F54" s="87">
        <f>IFERROR(__xludf.DUMMYFUNCTION("VALUE(REGEXEXTRACT(A54,""([^.]+)$""))"),1.0)</f>
        <v>1</v>
      </c>
      <c r="G54" s="49">
        <v>600.0</v>
      </c>
      <c r="H54" s="26" t="b">
        <f>COUNTIFS(
 tblCostChecklist[RequirementID],A54,
 tblCostChecklist[PlayerPaid],TRUE
)&gt;0</f>
        <v>0</v>
      </c>
      <c r="I54" s="49">
        <f t="shared" si="1"/>
        <v>5</v>
      </c>
      <c r="J54" s="49">
        <f t="shared" si="2"/>
        <v>0</v>
      </c>
      <c r="K54" s="49">
        <f t="shared" si="3"/>
        <v>5</v>
      </c>
      <c r="L54" s="49" t="b">
        <f t="shared" si="4"/>
        <v>0</v>
      </c>
      <c r="M54" s="88">
        <f t="shared" si="5"/>
        <v>0</v>
      </c>
    </row>
    <row r="55" ht="14.25" customHeight="1">
      <c r="A55" s="49" t="s">
        <v>375</v>
      </c>
      <c r="B55" s="49" t="str">
        <f>IFERROR(__xludf.DUMMYFUNCTION("REGEXEXTRACT(A55,""^cost\.(.*)\.[^.]+\.[^.]+$"")"),"building.bonsai@2")</f>
        <v>building.bonsai@2</v>
      </c>
      <c r="C55" s="49" t="str">
        <f t="array" ref="C55">_xlfn.XLOOKUP(
 B55,
 tblTargets[TargetID],
 tblTargets[DisplayName],
 ""
)</f>
        <v>Bonsai Lv 2</v>
      </c>
      <c r="D55" s="49" t="str">
        <f t="array" ref="D55">_xlfn.XLOOKUP(
 B55,
 tblTargets[TargetID],
 tblTargets[TargetType],
 ""
)</f>
        <v>BUILDING</v>
      </c>
      <c r="E55" s="49" t="s">
        <v>367</v>
      </c>
      <c r="F55" s="87">
        <f>IFERROR(__xludf.DUMMYFUNCTION("VALUE(REGEXEXTRACT(A55,""([^.]+)$""))"),1.0)</f>
        <v>1</v>
      </c>
      <c r="G55" s="49">
        <v>240.0</v>
      </c>
      <c r="H55" s="26" t="b">
        <f>COUNTIFS(
 tblCostChecklist[RequirementID],A55,
 tblCostChecklist[PlayerPaid],TRUE
)&gt;0</f>
        <v>0</v>
      </c>
      <c r="I55" s="49">
        <f t="shared" si="1"/>
        <v>5</v>
      </c>
      <c r="J55" s="49">
        <f t="shared" si="2"/>
        <v>0</v>
      </c>
      <c r="K55" s="49">
        <f t="shared" si="3"/>
        <v>5</v>
      </c>
      <c r="L55" s="49" t="b">
        <f t="shared" si="4"/>
        <v>0</v>
      </c>
      <c r="M55" s="88">
        <f t="shared" si="5"/>
        <v>0</v>
      </c>
    </row>
    <row r="56" ht="14.25" customHeight="1">
      <c r="A56" s="49" t="s">
        <v>377</v>
      </c>
      <c r="B56" s="49" t="str">
        <f>IFERROR(__xludf.DUMMYFUNCTION("REGEXEXTRACT(A56,""^cost\.(.*)\.[^.]+\.[^.]+$"")"),"building.bonsai@2")</f>
        <v>building.bonsai@2</v>
      </c>
      <c r="C56" s="49" t="str">
        <f t="array" ref="C56">_xlfn.XLOOKUP(
 B56,
 tblTargets[TargetID],
 tblTargets[DisplayName],
 ""
)</f>
        <v>Bonsai Lv 2</v>
      </c>
      <c r="D56" s="49" t="str">
        <f t="array" ref="D56">_xlfn.XLOOKUP(
 B56,
 tblTargets[TargetID],
 tblTargets[TargetType],
 ""
)</f>
        <v>BUILDING</v>
      </c>
      <c r="E56" s="49" t="s">
        <v>113</v>
      </c>
      <c r="F56" s="87">
        <f>IFERROR(__xludf.DUMMYFUNCTION("VALUE(REGEXEXTRACT(A56,""([^.]+)$""))"),1.0)</f>
        <v>1</v>
      </c>
      <c r="G56" s="49">
        <v>150.0</v>
      </c>
      <c r="H56" s="26" t="b">
        <f>COUNTIFS(
 tblCostChecklist[RequirementID],A56,
 tblCostChecklist[PlayerPaid],TRUE
)&gt;0</f>
        <v>0</v>
      </c>
      <c r="I56" s="49">
        <f t="shared" si="1"/>
        <v>5</v>
      </c>
      <c r="J56" s="49">
        <f t="shared" si="2"/>
        <v>0</v>
      </c>
      <c r="K56" s="49">
        <f t="shared" si="3"/>
        <v>5</v>
      </c>
      <c r="L56" s="49" t="b">
        <f t="shared" si="4"/>
        <v>0</v>
      </c>
      <c r="M56" s="88">
        <f t="shared" si="5"/>
        <v>0</v>
      </c>
    </row>
    <row r="57" ht="14.25" customHeight="1">
      <c r="A57" s="49" t="s">
        <v>389</v>
      </c>
      <c r="B57" s="49" t="str">
        <f>IFERROR(__xludf.DUMMYFUNCTION("REGEXEXTRACT(A57,""^cost\.(.*)\.[^.]+\.[^.]+$"")"),"building.bridge@1")</f>
        <v>building.bridge@1</v>
      </c>
      <c r="C57" s="49" t="str">
        <f t="array" ref="C57">_xlfn.XLOOKUP(
 B57,
 tblTargets[TargetID],
 tblTargets[DisplayName],
 ""
)</f>
        <v>Bridge Lv 1</v>
      </c>
      <c r="D57" s="49" t="str">
        <f t="array" ref="D57">_xlfn.XLOOKUP(
 B57,
 tblTargets[TargetID],
 tblTargets[TargetType],
 ""
)</f>
        <v>BUILDING</v>
      </c>
      <c r="E57" s="49" t="s">
        <v>6</v>
      </c>
      <c r="F57" s="87">
        <f>IFERROR(__xludf.DUMMYFUNCTION("VALUE(REGEXEXTRACT(A57,""([^.]+)$""))"),1.0)</f>
        <v>1</v>
      </c>
      <c r="G57" s="49">
        <v>4.0</v>
      </c>
      <c r="H57" s="26" t="b">
        <f>COUNTIFS(
 tblCostChecklist[RequirementID],A57,
 tblCostChecklist[PlayerPaid],TRUE
)&gt;0</f>
        <v>0</v>
      </c>
      <c r="I57" s="49">
        <f t="shared" si="1"/>
        <v>6</v>
      </c>
      <c r="J57" s="49">
        <f t="shared" si="2"/>
        <v>0</v>
      </c>
      <c r="K57" s="49">
        <f t="shared" si="3"/>
        <v>6</v>
      </c>
      <c r="L57" s="49" t="b">
        <f t="shared" si="4"/>
        <v>0</v>
      </c>
      <c r="M57" s="88">
        <f t="shared" si="5"/>
        <v>0</v>
      </c>
    </row>
    <row r="58" ht="14.25" customHeight="1">
      <c r="A58" s="49" t="s">
        <v>386</v>
      </c>
      <c r="B58" s="49" t="str">
        <f>IFERROR(__xludf.DUMMYFUNCTION("REGEXEXTRACT(A58,""^cost\.(.*)\.[^.]+\.[^.]+$"")"),"building.bridge@1")</f>
        <v>building.bridge@1</v>
      </c>
      <c r="C58" s="49" t="str">
        <f t="array" ref="C58">_xlfn.XLOOKUP(
 B58,
 tblTargets[TargetID],
 tblTargets[DisplayName],
 ""
)</f>
        <v>Bridge Lv 1</v>
      </c>
      <c r="D58" s="49" t="str">
        <f t="array" ref="D58">_xlfn.XLOOKUP(
 B58,
 tblTargets[TargetID],
 tblTargets[TargetType],
 ""
)</f>
        <v>BUILDING</v>
      </c>
      <c r="E58" s="49" t="s">
        <v>119</v>
      </c>
      <c r="F58" s="87">
        <f>IFERROR(__xludf.DUMMYFUNCTION("VALUE(REGEXEXTRACT(A58,""([^.]+)$""))"),1.0)</f>
        <v>1</v>
      </c>
      <c r="G58" s="49">
        <v>1000.0</v>
      </c>
      <c r="H58" s="26" t="b">
        <f>COUNTIFS(
 tblCostChecklist[RequirementID],A58,
 tblCostChecklist[PlayerPaid],TRUE
)&gt;0</f>
        <v>0</v>
      </c>
      <c r="I58" s="49">
        <f t="shared" si="1"/>
        <v>6</v>
      </c>
      <c r="J58" s="49">
        <f t="shared" si="2"/>
        <v>0</v>
      </c>
      <c r="K58" s="49">
        <f t="shared" si="3"/>
        <v>6</v>
      </c>
      <c r="L58" s="49" t="b">
        <f t="shared" si="4"/>
        <v>0</v>
      </c>
      <c r="M58" s="88">
        <f t="shared" si="5"/>
        <v>0</v>
      </c>
    </row>
    <row r="59" ht="14.25" customHeight="1">
      <c r="A59" s="49" t="s">
        <v>384</v>
      </c>
      <c r="B59" s="49" t="str">
        <f>IFERROR(__xludf.DUMMYFUNCTION("REGEXEXTRACT(A59,""^cost\.(.*)\.[^.]+\.[^.]+$"")"),"building.bridge@1")</f>
        <v>building.bridge@1</v>
      </c>
      <c r="C59" s="49" t="str">
        <f t="array" ref="C59">_xlfn.XLOOKUP(
 B59,
 tblTargets[TargetID],
 tblTargets[DisplayName],
 ""
)</f>
        <v>Bridge Lv 1</v>
      </c>
      <c r="D59" s="49" t="str">
        <f t="array" ref="D59">_xlfn.XLOOKUP(
 B59,
 tblTargets[TargetID],
 tblTargets[TargetType],
 ""
)</f>
        <v>BUILDING</v>
      </c>
      <c r="E59" s="49" t="s">
        <v>278</v>
      </c>
      <c r="F59" s="87">
        <f>IFERROR(__xludf.DUMMYFUNCTION("VALUE(REGEXEXTRACT(A59,""([^.]+)$""))"),1.0)</f>
        <v>1</v>
      </c>
      <c r="G59" s="49">
        <v>400.0</v>
      </c>
      <c r="H59" s="26" t="b">
        <f>COUNTIFS(
 tblCostChecklist[RequirementID],A59,
 tblCostChecklist[PlayerPaid],TRUE
)&gt;0</f>
        <v>0</v>
      </c>
      <c r="I59" s="49">
        <f t="shared" si="1"/>
        <v>6</v>
      </c>
      <c r="J59" s="49">
        <f t="shared" si="2"/>
        <v>0</v>
      </c>
      <c r="K59" s="49">
        <f t="shared" si="3"/>
        <v>6</v>
      </c>
      <c r="L59" s="49" t="b">
        <f t="shared" si="4"/>
        <v>0</v>
      </c>
      <c r="M59" s="88">
        <f t="shared" si="5"/>
        <v>0</v>
      </c>
    </row>
    <row r="60" ht="14.25" customHeight="1">
      <c r="A60" s="49" t="s">
        <v>387</v>
      </c>
      <c r="B60" s="49" t="str">
        <f>IFERROR(__xludf.DUMMYFUNCTION("REGEXEXTRACT(A60,""^cost\.(.*)\.[^.]+\.[^.]+$"")"),"building.bridge@1")</f>
        <v>building.bridge@1</v>
      </c>
      <c r="C60" s="49" t="str">
        <f t="array" ref="C60">_xlfn.XLOOKUP(
 B60,
 tblTargets[TargetID],
 tblTargets[DisplayName],
 ""
)</f>
        <v>Bridge Lv 1</v>
      </c>
      <c r="D60" s="49" t="str">
        <f t="array" ref="D60">_xlfn.XLOOKUP(
 B60,
 tblTargets[TargetID],
 tblTargets[TargetType],
 ""
)</f>
        <v>BUILDING</v>
      </c>
      <c r="E60" s="49" t="s">
        <v>187</v>
      </c>
      <c r="F60" s="87">
        <f>IFERROR(__xludf.DUMMYFUNCTION("VALUE(REGEXEXTRACT(A60,""([^.]+)$""))"),1.0)</f>
        <v>1</v>
      </c>
      <c r="G60" s="49">
        <v>1000.0</v>
      </c>
      <c r="H60" s="26" t="b">
        <f>COUNTIFS(
 tblCostChecklist[RequirementID],A60,
 tblCostChecklist[PlayerPaid],TRUE
)&gt;0</f>
        <v>0</v>
      </c>
      <c r="I60" s="49">
        <f t="shared" si="1"/>
        <v>6</v>
      </c>
      <c r="J60" s="49">
        <f t="shared" si="2"/>
        <v>0</v>
      </c>
      <c r="K60" s="49">
        <f t="shared" si="3"/>
        <v>6</v>
      </c>
      <c r="L60" s="49" t="b">
        <f t="shared" si="4"/>
        <v>0</v>
      </c>
      <c r="M60" s="88">
        <f t="shared" si="5"/>
        <v>0</v>
      </c>
    </row>
    <row r="61" ht="14.25" customHeight="1">
      <c r="A61" s="49" t="s">
        <v>394</v>
      </c>
      <c r="B61" s="49" t="str">
        <f>IFERROR(__xludf.DUMMYFUNCTION("REGEXEXTRACT(A61,""^cost\.(.*)\.[^.]+\.[^.]+$"")"),"building.bridge@1")</f>
        <v>building.bridge@1</v>
      </c>
      <c r="C61" s="49" t="str">
        <f t="array" ref="C61">_xlfn.XLOOKUP(
 B61,
 tblTargets[TargetID],
 tblTargets[DisplayName],
 ""
)</f>
        <v>Bridge Lv 1</v>
      </c>
      <c r="D61" s="49" t="str">
        <f t="array" ref="D61">_xlfn.XLOOKUP(
 B61,
 tblTargets[TargetID],
 tblTargets[TargetType],
 ""
)</f>
        <v>BUILDING</v>
      </c>
      <c r="E61" s="49" t="s">
        <v>237</v>
      </c>
      <c r="F61" s="87">
        <f>IFERROR(__xludf.DUMMYFUNCTION("VALUE(REGEXEXTRACT(A61,""([^.]+)$""))"),1.0)</f>
        <v>1</v>
      </c>
      <c r="G61" s="49">
        <v>400.0</v>
      </c>
      <c r="H61" s="26" t="b">
        <f>COUNTIFS(
 tblCostChecklist[RequirementID],A61,
 tblCostChecklist[PlayerPaid],TRUE
)&gt;0</f>
        <v>0</v>
      </c>
      <c r="I61" s="49">
        <f t="shared" si="1"/>
        <v>6</v>
      </c>
      <c r="J61" s="49">
        <f t="shared" si="2"/>
        <v>0</v>
      </c>
      <c r="K61" s="49">
        <f t="shared" si="3"/>
        <v>6</v>
      </c>
      <c r="L61" s="49" t="b">
        <f t="shared" si="4"/>
        <v>0</v>
      </c>
      <c r="M61" s="88">
        <f t="shared" si="5"/>
        <v>0</v>
      </c>
    </row>
    <row r="62" ht="14.25" customHeight="1">
      <c r="A62" s="49" t="s">
        <v>391</v>
      </c>
      <c r="B62" s="49" t="str">
        <f>IFERROR(__xludf.DUMMYFUNCTION("REGEXEXTRACT(A62,""^cost\.(.*)\.[^.]+\.[^.]+$"")"),"building.bridge@1")</f>
        <v>building.bridge@1</v>
      </c>
      <c r="C62" s="49" t="str">
        <f t="array" ref="C62">_xlfn.XLOOKUP(
 B62,
 tblTargets[TargetID],
 tblTargets[DisplayName],
 ""
)</f>
        <v>Bridge Lv 1</v>
      </c>
      <c r="D62" s="49" t="str">
        <f t="array" ref="D62">_xlfn.XLOOKUP(
 B62,
 tblTargets[TargetID],
 tblTargets[TargetType],
 ""
)</f>
        <v>BUILDING</v>
      </c>
      <c r="E62" s="49" t="s">
        <v>392</v>
      </c>
      <c r="F62" s="87">
        <f>IFERROR(__xludf.DUMMYFUNCTION("VALUE(REGEXEXTRACT(A62,""([^.]+)$""))"),1.0)</f>
        <v>1</v>
      </c>
      <c r="G62" s="49">
        <v>100.0</v>
      </c>
      <c r="H62" s="26" t="b">
        <f>COUNTIFS(
 tblCostChecklist[RequirementID],A62,
 tblCostChecklist[PlayerPaid],TRUE
)&gt;0</f>
        <v>0</v>
      </c>
      <c r="I62" s="49">
        <f t="shared" si="1"/>
        <v>6</v>
      </c>
      <c r="J62" s="49">
        <f t="shared" si="2"/>
        <v>0</v>
      </c>
      <c r="K62" s="49">
        <f t="shared" si="3"/>
        <v>6</v>
      </c>
      <c r="L62" s="49" t="b">
        <f t="shared" si="4"/>
        <v>0</v>
      </c>
      <c r="M62" s="88">
        <f t="shared" si="5"/>
        <v>0</v>
      </c>
    </row>
    <row r="63" ht="14.25" customHeight="1">
      <c r="A63" s="49" t="s">
        <v>400</v>
      </c>
      <c r="B63" s="49" t="str">
        <f>IFERROR(__xludf.DUMMYFUNCTION("REGEXEXTRACT(A63,""^cost\.(.*)\.[^.]+\.[^.]+$"")"),"building.caravan@1")</f>
        <v>building.caravan@1</v>
      </c>
      <c r="C63" s="49" t="str">
        <f t="array" ref="C63">_xlfn.XLOOKUP(
 B63,
 tblTargets[TargetID],
 tblTargets[DisplayName],
 ""
)</f>
        <v>Caravan Lv 1</v>
      </c>
      <c r="D63" s="49" t="str">
        <f t="array" ref="D63">_xlfn.XLOOKUP(
 B63,
 tblTargets[TargetID],
 tblTargets[TargetType],
 ""
)</f>
        <v>BUILDING</v>
      </c>
      <c r="E63" s="49" t="s">
        <v>6</v>
      </c>
      <c r="F63" s="87">
        <f>IFERROR(__xludf.DUMMYFUNCTION("VALUE(REGEXEXTRACT(A63,""([^.]+)$""))"),1.0)</f>
        <v>1</v>
      </c>
      <c r="G63" s="49">
        <v>5.0</v>
      </c>
      <c r="H63" s="26" t="b">
        <f>COUNTIFS(
 tblCostChecklist[RequirementID],A63,
 tblCostChecklist[PlayerPaid],TRUE
)&gt;0</f>
        <v>0</v>
      </c>
      <c r="I63" s="49">
        <f t="shared" si="1"/>
        <v>6</v>
      </c>
      <c r="J63" s="49">
        <f t="shared" si="2"/>
        <v>0</v>
      </c>
      <c r="K63" s="49">
        <f t="shared" si="3"/>
        <v>6</v>
      </c>
      <c r="L63" s="49" t="b">
        <f t="shared" si="4"/>
        <v>0</v>
      </c>
      <c r="M63" s="88">
        <f t="shared" si="5"/>
        <v>0</v>
      </c>
    </row>
    <row r="64" ht="14.25" customHeight="1">
      <c r="A64" s="49" t="s">
        <v>397</v>
      </c>
      <c r="B64" s="49" t="str">
        <f>IFERROR(__xludf.DUMMYFUNCTION("REGEXEXTRACT(A64,""^cost\.(.*)\.[^.]+\.[^.]+$"")"),"building.caravan@1")</f>
        <v>building.caravan@1</v>
      </c>
      <c r="C64" s="49" t="str">
        <f t="array" ref="C64">_xlfn.XLOOKUP(
 B64,
 tblTargets[TargetID],
 tblTargets[DisplayName],
 ""
)</f>
        <v>Caravan Lv 1</v>
      </c>
      <c r="D64" s="49" t="str">
        <f t="array" ref="D64">_xlfn.XLOOKUP(
 B64,
 tblTargets[TargetID],
 tblTargets[TargetType],
 ""
)</f>
        <v>BUILDING</v>
      </c>
      <c r="E64" s="49" t="s">
        <v>119</v>
      </c>
      <c r="F64" s="87">
        <f>IFERROR(__xludf.DUMMYFUNCTION("VALUE(REGEXEXTRACT(A64,""([^.]+)$""))"),1.0)</f>
        <v>1</v>
      </c>
      <c r="G64" s="49">
        <v>1000.0</v>
      </c>
      <c r="H64" s="26" t="b">
        <f>COUNTIFS(
 tblCostChecklist[RequirementID],A64,
 tblCostChecklist[PlayerPaid],TRUE
)&gt;0</f>
        <v>0</v>
      </c>
      <c r="I64" s="49">
        <f t="shared" si="1"/>
        <v>6</v>
      </c>
      <c r="J64" s="49">
        <f t="shared" si="2"/>
        <v>0</v>
      </c>
      <c r="K64" s="49">
        <f t="shared" si="3"/>
        <v>6</v>
      </c>
      <c r="L64" s="49" t="b">
        <f t="shared" si="4"/>
        <v>0</v>
      </c>
      <c r="M64" s="88">
        <f t="shared" si="5"/>
        <v>0</v>
      </c>
    </row>
    <row r="65" ht="14.25" customHeight="1">
      <c r="A65" s="49" t="s">
        <v>398</v>
      </c>
      <c r="B65" s="49" t="str">
        <f>IFERROR(__xludf.DUMMYFUNCTION("REGEXEXTRACT(A65,""^cost\.(.*)\.[^.]+\.[^.]+$"")"),"building.caravan@1")</f>
        <v>building.caravan@1</v>
      </c>
      <c r="C65" s="49" t="str">
        <f t="array" ref="C65">_xlfn.XLOOKUP(
 B65,
 tblTargets[TargetID],
 tblTargets[DisplayName],
 ""
)</f>
        <v>Caravan Lv 1</v>
      </c>
      <c r="D65" s="49" t="str">
        <f t="array" ref="D65">_xlfn.XLOOKUP(
 B65,
 tblTargets[TargetID],
 tblTargets[TargetType],
 ""
)</f>
        <v>BUILDING</v>
      </c>
      <c r="E65" s="49" t="s">
        <v>187</v>
      </c>
      <c r="F65" s="87">
        <f>IFERROR(__xludf.DUMMYFUNCTION("VALUE(REGEXEXTRACT(A65,""([^.]+)$""))"),1.0)</f>
        <v>1</v>
      </c>
      <c r="G65" s="49">
        <v>400.0</v>
      </c>
      <c r="H65" s="26" t="b">
        <f>COUNTIFS(
 tblCostChecklist[RequirementID],A65,
 tblCostChecklist[PlayerPaid],TRUE
)&gt;0</f>
        <v>0</v>
      </c>
      <c r="I65" s="49">
        <f t="shared" si="1"/>
        <v>6</v>
      </c>
      <c r="J65" s="49">
        <f t="shared" si="2"/>
        <v>0</v>
      </c>
      <c r="K65" s="49">
        <f t="shared" si="3"/>
        <v>6</v>
      </c>
      <c r="L65" s="49" t="b">
        <f t="shared" si="4"/>
        <v>0</v>
      </c>
      <c r="M65" s="88">
        <f t="shared" si="5"/>
        <v>0</v>
      </c>
    </row>
    <row r="66" ht="14.25" customHeight="1">
      <c r="A66" s="49" t="s">
        <v>401</v>
      </c>
      <c r="B66" s="49" t="str">
        <f>IFERROR(__xludf.DUMMYFUNCTION("REGEXEXTRACT(A66,""^cost\.(.*)\.[^.]+\.[^.]+$"")"),"building.caravan@1")</f>
        <v>building.caravan@1</v>
      </c>
      <c r="C66" s="49" t="str">
        <f t="array" ref="C66">_xlfn.XLOOKUP(
 B66,
 tblTargets[TargetID],
 tblTargets[DisplayName],
 ""
)</f>
        <v>Caravan Lv 1</v>
      </c>
      <c r="D66" s="49" t="str">
        <f t="array" ref="D66">_xlfn.XLOOKUP(
 B66,
 tblTargets[TargetID],
 tblTargets[TargetType],
 ""
)</f>
        <v>BUILDING</v>
      </c>
      <c r="E66" s="49" t="s">
        <v>237</v>
      </c>
      <c r="F66" s="87">
        <f>IFERROR(__xludf.DUMMYFUNCTION("VALUE(REGEXEXTRACT(A66,""([^.]+)$""))"),1.0)</f>
        <v>1</v>
      </c>
      <c r="G66" s="49">
        <v>200.0</v>
      </c>
      <c r="H66" s="26" t="b">
        <f>COUNTIFS(
 tblCostChecklist[RequirementID],A66,
 tblCostChecklist[PlayerPaid],TRUE
)&gt;0</f>
        <v>0</v>
      </c>
      <c r="I66" s="49">
        <f t="shared" si="1"/>
        <v>6</v>
      </c>
      <c r="J66" s="49">
        <f t="shared" si="2"/>
        <v>0</v>
      </c>
      <c r="K66" s="49">
        <f t="shared" si="3"/>
        <v>6</v>
      </c>
      <c r="L66" s="49" t="b">
        <f t="shared" si="4"/>
        <v>0</v>
      </c>
      <c r="M66" s="88">
        <f t="shared" si="5"/>
        <v>0</v>
      </c>
    </row>
    <row r="67" ht="14.25" customHeight="1">
      <c r="A67" s="49" t="s">
        <v>395</v>
      </c>
      <c r="B67" s="49" t="str">
        <f>IFERROR(__xludf.DUMMYFUNCTION("REGEXEXTRACT(A67,""^cost\.(.*)\.[^.]+\.[^.]+$"")"),"building.caravan@1")</f>
        <v>building.caravan@1</v>
      </c>
      <c r="C67" s="49" t="str">
        <f t="array" ref="C67">_xlfn.XLOOKUP(
 B67,
 tblTargets[TargetID],
 tblTargets[DisplayName],
 ""
)</f>
        <v>Caravan Lv 1</v>
      </c>
      <c r="D67" s="49" t="str">
        <f t="array" ref="D67">_xlfn.XLOOKUP(
 B67,
 tblTargets[TargetID],
 tblTargets[TargetType],
 ""
)</f>
        <v>BUILDING</v>
      </c>
      <c r="E67" s="49" t="s">
        <v>367</v>
      </c>
      <c r="F67" s="87">
        <f>IFERROR(__xludf.DUMMYFUNCTION("VALUE(REGEXEXTRACT(A67,""([^.]+)$""))"),1.0)</f>
        <v>1</v>
      </c>
      <c r="G67" s="49">
        <v>50.0</v>
      </c>
      <c r="H67" s="26" t="b">
        <f>COUNTIFS(
 tblCostChecklist[RequirementID],A67,
 tblCostChecklist[PlayerPaid],TRUE
)&gt;0</f>
        <v>0</v>
      </c>
      <c r="I67" s="49">
        <f t="shared" si="1"/>
        <v>6</v>
      </c>
      <c r="J67" s="49">
        <f t="shared" si="2"/>
        <v>0</v>
      </c>
      <c r="K67" s="49">
        <f t="shared" si="3"/>
        <v>6</v>
      </c>
      <c r="L67" s="49" t="b">
        <f t="shared" si="4"/>
        <v>0</v>
      </c>
      <c r="M67" s="88">
        <f t="shared" si="5"/>
        <v>0</v>
      </c>
    </row>
    <row r="68" ht="14.25" customHeight="1">
      <c r="A68" s="49" t="s">
        <v>403</v>
      </c>
      <c r="B68" s="49" t="str">
        <f>IFERROR(__xludf.DUMMYFUNCTION("REGEXEXTRACT(A68,""^cost\.(.*)\.[^.]+\.[^.]+$"")"),"building.caravan@1")</f>
        <v>building.caravan@1</v>
      </c>
      <c r="C68" s="49" t="str">
        <f t="array" ref="C68">_xlfn.XLOOKUP(
 B68,
 tblTargets[TargetID],
 tblTargets[DisplayName],
 ""
)</f>
        <v>Caravan Lv 1</v>
      </c>
      <c r="D68" s="49" t="str">
        <f t="array" ref="D68">_xlfn.XLOOKUP(
 B68,
 tblTargets[TargetID],
 tblTargets[TargetType],
 ""
)</f>
        <v>BUILDING</v>
      </c>
      <c r="E68" s="49" t="s">
        <v>405</v>
      </c>
      <c r="F68" s="87">
        <f>IFERROR(__xludf.DUMMYFUNCTION("VALUE(REGEXEXTRACT(A68,""([^.]+)$""))"),1.0)</f>
        <v>1</v>
      </c>
      <c r="G68" s="49">
        <v>10.0</v>
      </c>
      <c r="H68" s="26" t="b">
        <f>COUNTIFS(
 tblCostChecklist[RequirementID],A68,
 tblCostChecklist[PlayerPaid],TRUE
)&gt;0</f>
        <v>0</v>
      </c>
      <c r="I68" s="49">
        <f t="shared" si="1"/>
        <v>6</v>
      </c>
      <c r="J68" s="49">
        <f t="shared" si="2"/>
        <v>0</v>
      </c>
      <c r="K68" s="49">
        <f t="shared" si="3"/>
        <v>6</v>
      </c>
      <c r="L68" s="49" t="b">
        <f t="shared" si="4"/>
        <v>0</v>
      </c>
      <c r="M68" s="88">
        <f t="shared" si="5"/>
        <v>0</v>
      </c>
    </row>
    <row r="69" ht="14.25" customHeight="1">
      <c r="A69" s="49" t="s">
        <v>416</v>
      </c>
      <c r="B69" s="49" t="str">
        <f>IFERROR(__xludf.DUMMYFUNCTION("REGEXEXTRACT(A69,""^cost\.(.*)\.[^.]+\.[^.]+$"")"),"building.caravan@2")</f>
        <v>building.caravan@2</v>
      </c>
      <c r="C69" s="49" t="str">
        <f t="array" ref="C69">_xlfn.XLOOKUP(
 B69,
 tblTargets[TargetID],
 tblTargets[DisplayName],
 ""
)</f>
        <v>Caravan Lv 2</v>
      </c>
      <c r="D69" s="49" t="str">
        <f t="array" ref="D69">_xlfn.XLOOKUP(
 B69,
 tblTargets[TargetID],
 tblTargets[TargetType],
 ""
)</f>
        <v>BUILDING</v>
      </c>
      <c r="E69" s="49" t="s">
        <v>6</v>
      </c>
      <c r="F69" s="87">
        <f>IFERROR(__xludf.DUMMYFUNCTION("VALUE(REGEXEXTRACT(A69,""([^.]+)$""))"),1.0)</f>
        <v>1</v>
      </c>
      <c r="G69" s="49">
        <v>7.0</v>
      </c>
      <c r="H69" s="26" t="b">
        <f>COUNTIFS(
 tblCostChecklist[RequirementID],A69,
 tblCostChecklist[PlayerPaid],TRUE
)&gt;0</f>
        <v>0</v>
      </c>
      <c r="I69" s="49">
        <f t="shared" si="1"/>
        <v>6</v>
      </c>
      <c r="J69" s="49">
        <f t="shared" si="2"/>
        <v>0</v>
      </c>
      <c r="K69" s="49">
        <f t="shared" si="3"/>
        <v>6</v>
      </c>
      <c r="L69" s="49" t="b">
        <f t="shared" si="4"/>
        <v>0</v>
      </c>
      <c r="M69" s="88">
        <f t="shared" si="5"/>
        <v>0</v>
      </c>
    </row>
    <row r="70" ht="14.25" customHeight="1">
      <c r="A70" s="49" t="s">
        <v>407</v>
      </c>
      <c r="B70" s="49" t="str">
        <f>IFERROR(__xludf.DUMMYFUNCTION("REGEXEXTRACT(A70,""^cost\.(.*)\.[^.]+\.[^.]+$"")"),"building.caravan@2")</f>
        <v>building.caravan@2</v>
      </c>
      <c r="C70" s="49" t="str">
        <f t="array" ref="C70">_xlfn.XLOOKUP(
 B70,
 tblTargets[TargetID],
 tblTargets[DisplayName],
 ""
)</f>
        <v>Caravan Lv 2</v>
      </c>
      <c r="D70" s="49" t="str">
        <f t="array" ref="D70">_xlfn.XLOOKUP(
 B70,
 tblTargets[TargetID],
 tblTargets[TargetType],
 ""
)</f>
        <v>BUILDING</v>
      </c>
      <c r="E70" s="49" t="s">
        <v>119</v>
      </c>
      <c r="F70" s="87">
        <f>IFERROR(__xludf.DUMMYFUNCTION("VALUE(REGEXEXTRACT(A70,""([^.]+)$""))"),1.0)</f>
        <v>1</v>
      </c>
      <c r="G70" s="49">
        <v>1200.0</v>
      </c>
      <c r="H70" s="26" t="b">
        <f>COUNTIFS(
 tblCostChecklist[RequirementID],A70,
 tblCostChecklist[PlayerPaid],TRUE
)&gt;0</f>
        <v>0</v>
      </c>
      <c r="I70" s="49">
        <f t="shared" si="1"/>
        <v>6</v>
      </c>
      <c r="J70" s="49">
        <f t="shared" si="2"/>
        <v>0</v>
      </c>
      <c r="K70" s="49">
        <f t="shared" si="3"/>
        <v>6</v>
      </c>
      <c r="L70" s="49" t="b">
        <f t="shared" si="4"/>
        <v>0</v>
      </c>
      <c r="M70" s="88">
        <f t="shared" si="5"/>
        <v>0</v>
      </c>
    </row>
    <row r="71" ht="14.25" customHeight="1">
      <c r="A71" s="49" t="s">
        <v>413</v>
      </c>
      <c r="B71" s="49" t="str">
        <f>IFERROR(__xludf.DUMMYFUNCTION("REGEXEXTRACT(A71,""^cost\.(.*)\.[^.]+\.[^.]+$"")"),"building.caravan@2")</f>
        <v>building.caravan@2</v>
      </c>
      <c r="C71" s="49" t="str">
        <f t="array" ref="C71">_xlfn.XLOOKUP(
 B71,
 tblTargets[TargetID],
 tblTargets[DisplayName],
 ""
)</f>
        <v>Caravan Lv 2</v>
      </c>
      <c r="D71" s="49" t="str">
        <f t="array" ref="D71">_xlfn.XLOOKUP(
 B71,
 tblTargets[TargetID],
 tblTargets[TargetType],
 ""
)</f>
        <v>BUILDING</v>
      </c>
      <c r="E71" s="49" t="s">
        <v>187</v>
      </c>
      <c r="F71" s="87">
        <f>IFERROR(__xludf.DUMMYFUNCTION("VALUE(REGEXEXTRACT(A71,""([^.]+)$""))"),1.0)</f>
        <v>1</v>
      </c>
      <c r="G71" s="49">
        <v>600.0</v>
      </c>
      <c r="H71" s="26" t="b">
        <f>COUNTIFS(
 tblCostChecklist[RequirementID],A71,
 tblCostChecklist[PlayerPaid],TRUE
)&gt;0</f>
        <v>0</v>
      </c>
      <c r="I71" s="49">
        <f t="shared" si="1"/>
        <v>6</v>
      </c>
      <c r="J71" s="49">
        <f t="shared" si="2"/>
        <v>0</v>
      </c>
      <c r="K71" s="49">
        <f t="shared" si="3"/>
        <v>6</v>
      </c>
      <c r="L71" s="49" t="b">
        <f t="shared" si="4"/>
        <v>0</v>
      </c>
      <c r="M71" s="88">
        <f t="shared" si="5"/>
        <v>0</v>
      </c>
    </row>
    <row r="72" ht="14.25" customHeight="1">
      <c r="A72" s="49" t="s">
        <v>417</v>
      </c>
      <c r="B72" s="49" t="str">
        <f>IFERROR(__xludf.DUMMYFUNCTION("REGEXEXTRACT(A72,""^cost\.(.*)\.[^.]+\.[^.]+$"")"),"building.caravan@2")</f>
        <v>building.caravan@2</v>
      </c>
      <c r="C72" s="49" t="str">
        <f t="array" ref="C72">_xlfn.XLOOKUP(
 B72,
 tblTargets[TargetID],
 tblTargets[DisplayName],
 ""
)</f>
        <v>Caravan Lv 2</v>
      </c>
      <c r="D72" s="49" t="str">
        <f t="array" ref="D72">_xlfn.XLOOKUP(
 B72,
 tblTargets[TargetID],
 tblTargets[TargetType],
 ""
)</f>
        <v>BUILDING</v>
      </c>
      <c r="E72" s="49" t="s">
        <v>237</v>
      </c>
      <c r="F72" s="87">
        <f>IFERROR(__xludf.DUMMYFUNCTION("VALUE(REGEXEXTRACT(A72,""([^.]+)$""))"),1.0)</f>
        <v>1</v>
      </c>
      <c r="G72" s="49">
        <v>300.0</v>
      </c>
      <c r="H72" s="26" t="b">
        <f>COUNTIFS(
 tblCostChecklist[RequirementID],A72,
 tblCostChecklist[PlayerPaid],TRUE
)&gt;0</f>
        <v>0</v>
      </c>
      <c r="I72" s="49">
        <f t="shared" si="1"/>
        <v>6</v>
      </c>
      <c r="J72" s="49">
        <f t="shared" si="2"/>
        <v>0</v>
      </c>
      <c r="K72" s="49">
        <f t="shared" si="3"/>
        <v>6</v>
      </c>
      <c r="L72" s="49" t="b">
        <f t="shared" si="4"/>
        <v>0</v>
      </c>
      <c r="M72" s="88">
        <f t="shared" si="5"/>
        <v>0</v>
      </c>
    </row>
    <row r="73" ht="14.25" customHeight="1">
      <c r="A73" s="49" t="s">
        <v>411</v>
      </c>
      <c r="B73" s="49" t="str">
        <f>IFERROR(__xludf.DUMMYFUNCTION("REGEXEXTRACT(A73,""^cost\.(.*)\.[^.]+\.[^.]+$"")"),"building.caravan@2")</f>
        <v>building.caravan@2</v>
      </c>
      <c r="C73" s="49" t="str">
        <f t="array" ref="C73">_xlfn.XLOOKUP(
 B73,
 tblTargets[TargetID],
 tblTargets[DisplayName],
 ""
)</f>
        <v>Caravan Lv 2</v>
      </c>
      <c r="D73" s="49" t="str">
        <f t="array" ref="D73">_xlfn.XLOOKUP(
 B73,
 tblTargets[TargetID],
 tblTargets[TargetType],
 ""
)</f>
        <v>BUILDING</v>
      </c>
      <c r="E73" s="49" t="s">
        <v>412</v>
      </c>
      <c r="F73" s="87">
        <f>IFERROR(__xludf.DUMMYFUNCTION("VALUE(REGEXEXTRACT(A73,""([^.]+)$""))"),1.0)</f>
        <v>1</v>
      </c>
      <c r="G73" s="49">
        <v>50.0</v>
      </c>
      <c r="H73" s="26" t="b">
        <f>COUNTIFS(
 tblCostChecklist[RequirementID],A73,
 tblCostChecklist[PlayerPaid],TRUE
)&gt;0</f>
        <v>0</v>
      </c>
      <c r="I73" s="49">
        <f t="shared" si="1"/>
        <v>6</v>
      </c>
      <c r="J73" s="49">
        <f t="shared" si="2"/>
        <v>0</v>
      </c>
      <c r="K73" s="49">
        <f t="shared" si="3"/>
        <v>6</v>
      </c>
      <c r="L73" s="49" t="b">
        <f t="shared" si="4"/>
        <v>0</v>
      </c>
      <c r="M73" s="88">
        <f t="shared" si="5"/>
        <v>0</v>
      </c>
    </row>
    <row r="74" ht="14.25" customHeight="1">
      <c r="A74" s="49" t="s">
        <v>409</v>
      </c>
      <c r="B74" s="49" t="str">
        <f>IFERROR(__xludf.DUMMYFUNCTION("REGEXEXTRACT(A74,""^cost\.(.*)\.[^.]+\.[^.]+$"")"),"building.caravan@2")</f>
        <v>building.caravan@2</v>
      </c>
      <c r="C74" s="49" t="str">
        <f t="array" ref="C74">_xlfn.XLOOKUP(
 B74,
 tblTargets[TargetID],
 tblTargets[DisplayName],
 ""
)</f>
        <v>Caravan Lv 2</v>
      </c>
      <c r="D74" s="49" t="str">
        <f t="array" ref="D74">_xlfn.XLOOKUP(
 B74,
 tblTargets[TargetID],
 tblTargets[TargetType],
 ""
)</f>
        <v>BUILDING</v>
      </c>
      <c r="E74" s="49" t="s">
        <v>171</v>
      </c>
      <c r="F74" s="87">
        <f>IFERROR(__xludf.DUMMYFUNCTION("VALUE(REGEXEXTRACT(A74,""([^.]+)$""))"),1.0)</f>
        <v>1</v>
      </c>
      <c r="G74" s="49">
        <v>50.0</v>
      </c>
      <c r="H74" s="26" t="b">
        <f>COUNTIFS(
 tblCostChecklist[RequirementID],A74,
 tblCostChecklist[PlayerPaid],TRUE
)&gt;0</f>
        <v>0</v>
      </c>
      <c r="I74" s="49">
        <f t="shared" si="1"/>
        <v>6</v>
      </c>
      <c r="J74" s="49">
        <f t="shared" si="2"/>
        <v>0</v>
      </c>
      <c r="K74" s="49">
        <f t="shared" si="3"/>
        <v>6</v>
      </c>
      <c r="L74" s="49" t="b">
        <f t="shared" si="4"/>
        <v>0</v>
      </c>
      <c r="M74" s="88">
        <f t="shared" si="5"/>
        <v>0</v>
      </c>
    </row>
    <row r="75" ht="14.25" customHeight="1">
      <c r="A75" s="49" t="s">
        <v>430</v>
      </c>
      <c r="B75" s="49" t="str">
        <f>IFERROR(__xludf.DUMMYFUNCTION("REGEXEXTRACT(A75,""^cost\.(.*)\.[^.]+\.[^.]+$"")"),"building.caravan@3")</f>
        <v>building.caravan@3</v>
      </c>
      <c r="C75" s="49" t="str">
        <f t="array" ref="C75">_xlfn.XLOOKUP(
 B75,
 tblTargets[TargetID],
 tblTargets[DisplayName],
 ""
)</f>
        <v>Caravan Lv 3</v>
      </c>
      <c r="D75" s="49" t="str">
        <f t="array" ref="D75">_xlfn.XLOOKUP(
 B75,
 tblTargets[TargetID],
 tblTargets[TargetType],
 ""
)</f>
        <v>BUILDING</v>
      </c>
      <c r="E75" s="49" t="s">
        <v>6</v>
      </c>
      <c r="F75" s="87">
        <f>IFERROR(__xludf.DUMMYFUNCTION("VALUE(REGEXEXTRACT(A75,""([^.]+)$""))"),1.0)</f>
        <v>1</v>
      </c>
      <c r="G75" s="49">
        <v>9.0</v>
      </c>
      <c r="H75" s="26" t="b">
        <f>COUNTIFS(
 tblCostChecklist[RequirementID],A75,
 tblCostChecklist[PlayerPaid],TRUE
)&gt;0</f>
        <v>0</v>
      </c>
      <c r="I75" s="49">
        <f t="shared" si="1"/>
        <v>6</v>
      </c>
      <c r="J75" s="49">
        <f t="shared" si="2"/>
        <v>0</v>
      </c>
      <c r="K75" s="49">
        <f t="shared" si="3"/>
        <v>6</v>
      </c>
      <c r="L75" s="49" t="b">
        <f t="shared" si="4"/>
        <v>0</v>
      </c>
      <c r="M75" s="88">
        <f t="shared" si="5"/>
        <v>0</v>
      </c>
    </row>
    <row r="76" ht="14.25" customHeight="1">
      <c r="A76" s="49" t="s">
        <v>419</v>
      </c>
      <c r="B76" s="49" t="str">
        <f>IFERROR(__xludf.DUMMYFUNCTION("REGEXEXTRACT(A76,""^cost\.(.*)\.[^.]+\.[^.]+$"")"),"building.caravan@3")</f>
        <v>building.caravan@3</v>
      </c>
      <c r="C76" s="49" t="str">
        <f t="array" ref="C76">_xlfn.XLOOKUP(
 B76,
 tblTargets[TargetID],
 tblTargets[DisplayName],
 ""
)</f>
        <v>Caravan Lv 3</v>
      </c>
      <c r="D76" s="49" t="str">
        <f t="array" ref="D76">_xlfn.XLOOKUP(
 B76,
 tblTargets[TargetID],
 tblTargets[TargetType],
 ""
)</f>
        <v>BUILDING</v>
      </c>
      <c r="E76" s="49" t="s">
        <v>119</v>
      </c>
      <c r="F76" s="87">
        <f>IFERROR(__xludf.DUMMYFUNCTION("VALUE(REGEXEXTRACT(A76,""([^.]+)$""))"),1.0)</f>
        <v>1</v>
      </c>
      <c r="G76" s="49">
        <v>1500.0</v>
      </c>
      <c r="H76" s="26" t="b">
        <f>COUNTIFS(
 tblCostChecklist[RequirementID],A76,
 tblCostChecklist[PlayerPaid],TRUE
)&gt;0</f>
        <v>0</v>
      </c>
      <c r="I76" s="49">
        <f t="shared" si="1"/>
        <v>6</v>
      </c>
      <c r="J76" s="49">
        <f t="shared" si="2"/>
        <v>0</v>
      </c>
      <c r="K76" s="49">
        <f t="shared" si="3"/>
        <v>6</v>
      </c>
      <c r="L76" s="49" t="b">
        <f t="shared" si="4"/>
        <v>0</v>
      </c>
      <c r="M76" s="88">
        <f t="shared" si="5"/>
        <v>0</v>
      </c>
    </row>
    <row r="77" ht="14.25" customHeight="1">
      <c r="A77" s="49" t="s">
        <v>428</v>
      </c>
      <c r="B77" s="49" t="str">
        <f>IFERROR(__xludf.DUMMYFUNCTION("REGEXEXTRACT(A77,""^cost\.(.*)\.[^.]+\.[^.]+$"")"),"building.caravan@3")</f>
        <v>building.caravan@3</v>
      </c>
      <c r="C77" s="49" t="str">
        <f t="array" ref="C77">_xlfn.XLOOKUP(
 B77,
 tblTargets[TargetID],
 tblTargets[DisplayName],
 ""
)</f>
        <v>Caravan Lv 3</v>
      </c>
      <c r="D77" s="49" t="str">
        <f t="array" ref="D77">_xlfn.XLOOKUP(
 B77,
 tblTargets[TargetID],
 tblTargets[TargetType],
 ""
)</f>
        <v>BUILDING</v>
      </c>
      <c r="E77" s="49" t="s">
        <v>187</v>
      </c>
      <c r="F77" s="87">
        <f>IFERROR(__xludf.DUMMYFUNCTION("VALUE(REGEXEXTRACT(A77,""([^.]+)$""))"),1.0)</f>
        <v>1</v>
      </c>
      <c r="G77" s="49">
        <v>800.0</v>
      </c>
      <c r="H77" s="26" t="b">
        <f>COUNTIFS(
 tblCostChecklist[RequirementID],A77,
 tblCostChecklist[PlayerPaid],TRUE
)&gt;0</f>
        <v>0</v>
      </c>
      <c r="I77" s="49">
        <f t="shared" si="1"/>
        <v>6</v>
      </c>
      <c r="J77" s="49">
        <f t="shared" si="2"/>
        <v>0</v>
      </c>
      <c r="K77" s="49">
        <f t="shared" si="3"/>
        <v>6</v>
      </c>
      <c r="L77" s="49" t="b">
        <f t="shared" si="4"/>
        <v>0</v>
      </c>
      <c r="M77" s="88">
        <f t="shared" si="5"/>
        <v>0</v>
      </c>
    </row>
    <row r="78" ht="14.25" customHeight="1">
      <c r="A78" s="49" t="s">
        <v>432</v>
      </c>
      <c r="B78" s="49" t="str">
        <f>IFERROR(__xludf.DUMMYFUNCTION("REGEXEXTRACT(A78,""^cost\.(.*)\.[^.]+\.[^.]+$"")"),"building.caravan@3")</f>
        <v>building.caravan@3</v>
      </c>
      <c r="C78" s="49" t="str">
        <f t="array" ref="C78">_xlfn.XLOOKUP(
 B78,
 tblTargets[TargetID],
 tblTargets[DisplayName],
 ""
)</f>
        <v>Caravan Lv 3</v>
      </c>
      <c r="D78" s="49" t="str">
        <f t="array" ref="D78">_xlfn.XLOOKUP(
 B78,
 tblTargets[TargetID],
 tblTargets[TargetType],
 ""
)</f>
        <v>BUILDING</v>
      </c>
      <c r="E78" s="49" t="s">
        <v>237</v>
      </c>
      <c r="F78" s="87">
        <f>IFERROR(__xludf.DUMMYFUNCTION("VALUE(REGEXEXTRACT(A78,""([^.]+)$""))"),1.0)</f>
        <v>1</v>
      </c>
      <c r="G78" s="49">
        <v>400.0</v>
      </c>
      <c r="H78" s="26" t="b">
        <f>COUNTIFS(
 tblCostChecklist[RequirementID],A78,
 tblCostChecklist[PlayerPaid],TRUE
)&gt;0</f>
        <v>0</v>
      </c>
      <c r="I78" s="49">
        <f t="shared" si="1"/>
        <v>6</v>
      </c>
      <c r="J78" s="49">
        <f t="shared" si="2"/>
        <v>0</v>
      </c>
      <c r="K78" s="49">
        <f t="shared" si="3"/>
        <v>6</v>
      </c>
      <c r="L78" s="49" t="b">
        <f t="shared" si="4"/>
        <v>0</v>
      </c>
      <c r="M78" s="88">
        <f t="shared" si="5"/>
        <v>0</v>
      </c>
    </row>
    <row r="79" ht="14.25" customHeight="1">
      <c r="A79" s="49" t="s">
        <v>422</v>
      </c>
      <c r="B79" s="49" t="str">
        <f>IFERROR(__xludf.DUMMYFUNCTION("REGEXEXTRACT(A79,""^cost\.(.*)\.[^.]+\.[^.]+$"")"),"building.caravan@3")</f>
        <v>building.caravan@3</v>
      </c>
      <c r="C79" s="49" t="str">
        <f t="array" ref="C79">_xlfn.XLOOKUP(
 B79,
 tblTargets[TargetID],
 tblTargets[DisplayName],
 ""
)</f>
        <v>Caravan Lv 3</v>
      </c>
      <c r="D79" s="49" t="str">
        <f t="array" ref="D79">_xlfn.XLOOKUP(
 B79,
 tblTargets[TargetID],
 tblTargets[TargetType],
 ""
)</f>
        <v>BUILDING</v>
      </c>
      <c r="E79" s="49" t="s">
        <v>423</v>
      </c>
      <c r="F79" s="87">
        <f>IFERROR(__xludf.DUMMYFUNCTION("VALUE(REGEXEXTRACT(A79,""([^.]+)$""))"),1.0)</f>
        <v>1</v>
      </c>
      <c r="G79" s="49">
        <v>20.0</v>
      </c>
      <c r="H79" s="26" t="b">
        <f>COUNTIFS(
 tblCostChecklist[RequirementID],A79,
 tblCostChecklist[PlayerPaid],TRUE
)&gt;0</f>
        <v>0</v>
      </c>
      <c r="I79" s="49">
        <f t="shared" si="1"/>
        <v>6</v>
      </c>
      <c r="J79" s="49">
        <f t="shared" si="2"/>
        <v>0</v>
      </c>
      <c r="K79" s="49">
        <f t="shared" si="3"/>
        <v>6</v>
      </c>
      <c r="L79" s="49" t="b">
        <f t="shared" si="4"/>
        <v>0</v>
      </c>
      <c r="M79" s="88">
        <f t="shared" si="5"/>
        <v>0</v>
      </c>
    </row>
    <row r="80" ht="14.25" customHeight="1">
      <c r="A80" s="49" t="s">
        <v>425</v>
      </c>
      <c r="B80" s="49" t="str">
        <f>IFERROR(__xludf.DUMMYFUNCTION("REGEXEXTRACT(A80,""^cost\.(.*)\.[^.]+\.[^.]+$"")"),"building.caravan@3")</f>
        <v>building.caravan@3</v>
      </c>
      <c r="C80" s="49" t="str">
        <f t="array" ref="C80">_xlfn.XLOOKUP(
 B80,
 tblTargets[TargetID],
 tblTargets[DisplayName],
 ""
)</f>
        <v>Caravan Lv 3</v>
      </c>
      <c r="D80" s="49" t="str">
        <f t="array" ref="D80">_xlfn.XLOOKUP(
 B80,
 tblTargets[TargetID],
 tblTargets[TargetType],
 ""
)</f>
        <v>BUILDING</v>
      </c>
      <c r="E80" s="49" t="s">
        <v>426</v>
      </c>
      <c r="F80" s="87">
        <f>IFERROR(__xludf.DUMMYFUNCTION("VALUE(REGEXEXTRACT(A80,""([^.]+)$""))"),1.0)</f>
        <v>1</v>
      </c>
      <c r="G80" s="49">
        <v>10.0</v>
      </c>
      <c r="H80" s="26" t="b">
        <f>COUNTIFS(
 tblCostChecklist[RequirementID],A80,
 tblCostChecklist[PlayerPaid],TRUE
)&gt;0</f>
        <v>0</v>
      </c>
      <c r="I80" s="49">
        <f t="shared" si="1"/>
        <v>6</v>
      </c>
      <c r="J80" s="49">
        <f t="shared" si="2"/>
        <v>0</v>
      </c>
      <c r="K80" s="49">
        <f t="shared" si="3"/>
        <v>6</v>
      </c>
      <c r="L80" s="49" t="b">
        <f t="shared" si="4"/>
        <v>0</v>
      </c>
      <c r="M80" s="88">
        <f t="shared" si="5"/>
        <v>0</v>
      </c>
    </row>
    <row r="81" ht="14.25" customHeight="1">
      <c r="A81" s="49" t="s">
        <v>437</v>
      </c>
      <c r="B81" s="49" t="str">
        <f>IFERROR(__xludf.DUMMYFUNCTION("REGEXEXTRACT(A81,""^cost\.(.*)\.[^.]+\.[^.]+$"")"),"building.caravan@4")</f>
        <v>building.caravan@4</v>
      </c>
      <c r="C81" s="49" t="str">
        <f t="array" ref="C81">_xlfn.XLOOKUP(
 B81,
 tblTargets[TargetID],
 tblTargets[DisplayName],
 ""
)</f>
        <v>Caravan Lv 4</v>
      </c>
      <c r="D81" s="49" t="str">
        <f t="array" ref="D81">_xlfn.XLOOKUP(
 B81,
 tblTargets[TargetID],
 tblTargets[TargetType],
 ""
)</f>
        <v>BUILDING</v>
      </c>
      <c r="E81" s="49" t="s">
        <v>6</v>
      </c>
      <c r="F81" s="87">
        <f>IFERROR(__xludf.DUMMYFUNCTION("VALUE(REGEXEXTRACT(A81,""([^.]+)$""))"),1.0)</f>
        <v>1</v>
      </c>
      <c r="G81" s="49">
        <v>12.0</v>
      </c>
      <c r="H81" s="26" t="b">
        <f>COUNTIFS(
 tblCostChecklist[RequirementID],A81,
 tblCostChecklist[PlayerPaid],TRUE
)&gt;0</f>
        <v>0</v>
      </c>
      <c r="I81" s="49">
        <f t="shared" si="1"/>
        <v>6</v>
      </c>
      <c r="J81" s="49">
        <f t="shared" si="2"/>
        <v>0</v>
      </c>
      <c r="K81" s="49">
        <f t="shared" si="3"/>
        <v>6</v>
      </c>
      <c r="L81" s="49" t="b">
        <f t="shared" si="4"/>
        <v>0</v>
      </c>
      <c r="M81" s="88">
        <f t="shared" si="5"/>
        <v>0</v>
      </c>
    </row>
    <row r="82" ht="14.25" customHeight="1">
      <c r="A82" s="49" t="s">
        <v>434</v>
      </c>
      <c r="B82" s="49" t="str">
        <f>IFERROR(__xludf.DUMMYFUNCTION("REGEXEXTRACT(A82,""^cost\.(.*)\.[^.]+\.[^.]+$"")"),"building.caravan@4")</f>
        <v>building.caravan@4</v>
      </c>
      <c r="C82" s="49" t="str">
        <f t="array" ref="C82">_xlfn.XLOOKUP(
 B82,
 tblTargets[TargetID],
 tblTargets[DisplayName],
 ""
)</f>
        <v>Caravan Lv 4</v>
      </c>
      <c r="D82" s="49" t="str">
        <f t="array" ref="D82">_xlfn.XLOOKUP(
 B82,
 tblTargets[TargetID],
 tblTargets[TargetType],
 ""
)</f>
        <v>BUILDING</v>
      </c>
      <c r="E82" s="49" t="s">
        <v>119</v>
      </c>
      <c r="F82" s="87">
        <f>IFERROR(__xludf.DUMMYFUNCTION("VALUE(REGEXEXTRACT(A82,""([^.]+)$""))"),1.0)</f>
        <v>1</v>
      </c>
      <c r="G82" s="49">
        <v>2000.0</v>
      </c>
      <c r="H82" s="26" t="b">
        <f>COUNTIFS(
 tblCostChecklist[RequirementID],A82,
 tblCostChecklist[PlayerPaid],TRUE
)&gt;0</f>
        <v>0</v>
      </c>
      <c r="I82" s="49">
        <f t="shared" si="1"/>
        <v>6</v>
      </c>
      <c r="J82" s="49">
        <f t="shared" si="2"/>
        <v>0</v>
      </c>
      <c r="K82" s="49">
        <f t="shared" si="3"/>
        <v>6</v>
      </c>
      <c r="L82" s="49" t="b">
        <f t="shared" si="4"/>
        <v>0</v>
      </c>
      <c r="M82" s="88">
        <f t="shared" si="5"/>
        <v>0</v>
      </c>
    </row>
    <row r="83" ht="14.25" customHeight="1">
      <c r="A83" s="49" t="s">
        <v>436</v>
      </c>
      <c r="B83" s="49" t="str">
        <f>IFERROR(__xludf.DUMMYFUNCTION("REGEXEXTRACT(A83,""^cost\.(.*)\.[^.]+\.[^.]+$"")"),"building.caravan@4")</f>
        <v>building.caravan@4</v>
      </c>
      <c r="C83" s="49" t="str">
        <f t="array" ref="C83">_xlfn.XLOOKUP(
 B83,
 tblTargets[TargetID],
 tblTargets[DisplayName],
 ""
)</f>
        <v>Caravan Lv 4</v>
      </c>
      <c r="D83" s="49" t="str">
        <f t="array" ref="D83">_xlfn.XLOOKUP(
 B83,
 tblTargets[TargetID],
 tblTargets[TargetType],
 ""
)</f>
        <v>BUILDING</v>
      </c>
      <c r="E83" s="49" t="s">
        <v>187</v>
      </c>
      <c r="F83" s="87">
        <f>IFERROR(__xludf.DUMMYFUNCTION("VALUE(REGEXEXTRACT(A83,""([^.]+)$""))"),1.0)</f>
        <v>1</v>
      </c>
      <c r="G83" s="49">
        <v>1000.0</v>
      </c>
      <c r="H83" s="26" t="b">
        <f>COUNTIFS(
 tblCostChecklist[RequirementID],A83,
 tblCostChecklist[PlayerPaid],TRUE
)&gt;0</f>
        <v>0</v>
      </c>
      <c r="I83" s="49">
        <f t="shared" si="1"/>
        <v>6</v>
      </c>
      <c r="J83" s="49">
        <f t="shared" si="2"/>
        <v>0</v>
      </c>
      <c r="K83" s="49">
        <f t="shared" si="3"/>
        <v>6</v>
      </c>
      <c r="L83" s="49" t="b">
        <f t="shared" si="4"/>
        <v>0</v>
      </c>
      <c r="M83" s="88">
        <f t="shared" si="5"/>
        <v>0</v>
      </c>
    </row>
    <row r="84" ht="14.25" customHeight="1">
      <c r="A84" s="49" t="s">
        <v>444</v>
      </c>
      <c r="B84" s="49" t="str">
        <f>IFERROR(__xludf.DUMMYFUNCTION("REGEXEXTRACT(A84,""^cost\.(.*)\.[^.]+\.[^.]+$"")"),"building.caravan@4")</f>
        <v>building.caravan@4</v>
      </c>
      <c r="C84" s="49" t="str">
        <f t="array" ref="C84">_xlfn.XLOOKUP(
 B84,
 tblTargets[TargetID],
 tblTargets[DisplayName],
 ""
)</f>
        <v>Caravan Lv 4</v>
      </c>
      <c r="D84" s="49" t="str">
        <f t="array" ref="D84">_xlfn.XLOOKUP(
 B84,
 tblTargets[TargetID],
 tblTargets[TargetType],
 ""
)</f>
        <v>BUILDING</v>
      </c>
      <c r="E84" s="49" t="s">
        <v>237</v>
      </c>
      <c r="F84" s="87">
        <f>IFERROR(__xludf.DUMMYFUNCTION("VALUE(REGEXEXTRACT(A84,""([^.]+)$""))"),1.0)</f>
        <v>1</v>
      </c>
      <c r="G84" s="49">
        <v>500.0</v>
      </c>
      <c r="H84" s="26" t="b">
        <f>COUNTIFS(
 tblCostChecklist[RequirementID],A84,
 tblCostChecklist[PlayerPaid],TRUE
)&gt;0</f>
        <v>0</v>
      </c>
      <c r="I84" s="49">
        <f t="shared" si="1"/>
        <v>6</v>
      </c>
      <c r="J84" s="49">
        <f t="shared" si="2"/>
        <v>0</v>
      </c>
      <c r="K84" s="49">
        <f t="shared" si="3"/>
        <v>6</v>
      </c>
      <c r="L84" s="49" t="b">
        <f t="shared" si="4"/>
        <v>0</v>
      </c>
      <c r="M84" s="88">
        <f t="shared" si="5"/>
        <v>0</v>
      </c>
    </row>
    <row r="85" ht="14.25" customHeight="1">
      <c r="A85" s="49" t="s">
        <v>439</v>
      </c>
      <c r="B85" s="49" t="str">
        <f>IFERROR(__xludf.DUMMYFUNCTION("REGEXEXTRACT(A85,""^cost\.(.*)\.[^.]+\.[^.]+$"")"),"building.caravan@4")</f>
        <v>building.caravan@4</v>
      </c>
      <c r="C85" s="49" t="str">
        <f t="array" ref="C85">_xlfn.XLOOKUP(
 B85,
 tblTargets[TargetID],
 tblTargets[DisplayName],
 ""
)</f>
        <v>Caravan Lv 4</v>
      </c>
      <c r="D85" s="49" t="str">
        <f t="array" ref="D85">_xlfn.XLOOKUP(
 B85,
 tblTargets[TargetID],
 tblTargets[TargetType],
 ""
)</f>
        <v>BUILDING</v>
      </c>
      <c r="E85" s="49" t="s">
        <v>152</v>
      </c>
      <c r="F85" s="87">
        <f>IFERROR(__xludf.DUMMYFUNCTION("VALUE(REGEXEXTRACT(A85,""([^.]+)$""))"),1.0)</f>
        <v>1</v>
      </c>
      <c r="G85" s="49">
        <v>30.0</v>
      </c>
      <c r="H85" s="26" t="b">
        <f>COUNTIFS(
 tblCostChecklist[RequirementID],A85,
 tblCostChecklist[PlayerPaid],TRUE
)&gt;0</f>
        <v>0</v>
      </c>
      <c r="I85" s="49">
        <f t="shared" si="1"/>
        <v>6</v>
      </c>
      <c r="J85" s="49">
        <f t="shared" si="2"/>
        <v>0</v>
      </c>
      <c r="K85" s="49">
        <f t="shared" si="3"/>
        <v>6</v>
      </c>
      <c r="L85" s="49" t="b">
        <f t="shared" si="4"/>
        <v>0</v>
      </c>
      <c r="M85" s="88">
        <f t="shared" si="5"/>
        <v>0</v>
      </c>
    </row>
    <row r="86" ht="14.25" customHeight="1">
      <c r="A86" s="49" t="s">
        <v>441</v>
      </c>
      <c r="B86" s="49" t="str">
        <f>IFERROR(__xludf.DUMMYFUNCTION("REGEXEXTRACT(A86,""^cost\.(.*)\.[^.]+\.[^.]+$"")"),"building.caravan@4")</f>
        <v>building.caravan@4</v>
      </c>
      <c r="C86" s="49" t="str">
        <f t="array" ref="C86">_xlfn.XLOOKUP(
 B86,
 tblTargets[TargetID],
 tblTargets[DisplayName],
 ""
)</f>
        <v>Caravan Lv 4</v>
      </c>
      <c r="D86" s="49" t="str">
        <f t="array" ref="D86">_xlfn.XLOOKUP(
 B86,
 tblTargets[TargetID],
 tblTargets[TargetType],
 ""
)</f>
        <v>BUILDING</v>
      </c>
      <c r="E86" s="49" t="s">
        <v>443</v>
      </c>
      <c r="F86" s="87">
        <f>IFERROR(__xludf.DUMMYFUNCTION("VALUE(REGEXEXTRACT(A86,""([^.]+)$""))"),1.0)</f>
        <v>1</v>
      </c>
      <c r="G86" s="49">
        <v>5.0</v>
      </c>
      <c r="H86" s="26" t="b">
        <f>COUNTIFS(
 tblCostChecklist[RequirementID],A86,
 tblCostChecklist[PlayerPaid],TRUE
)&gt;0</f>
        <v>0</v>
      </c>
      <c r="I86" s="49">
        <f t="shared" si="1"/>
        <v>6</v>
      </c>
      <c r="J86" s="49">
        <f t="shared" si="2"/>
        <v>0</v>
      </c>
      <c r="K86" s="49">
        <f t="shared" si="3"/>
        <v>6</v>
      </c>
      <c r="L86" s="49" t="b">
        <f t="shared" si="4"/>
        <v>0</v>
      </c>
      <c r="M86" s="88">
        <f t="shared" si="5"/>
        <v>0</v>
      </c>
    </row>
    <row r="87" ht="14.25" customHeight="1">
      <c r="A87" s="49" t="s">
        <v>454</v>
      </c>
      <c r="B87" s="49" t="str">
        <f>IFERROR(__xludf.DUMMYFUNCTION("REGEXEXTRACT(A87,""^cost\.(.*)\.[^.]+\.[^.]+$"")"),"building.chicken@1")</f>
        <v>building.chicken@1</v>
      </c>
      <c r="C87" s="49" t="str">
        <f t="array" ref="C87">_xlfn.XLOOKUP(
 B87,
 tblTargets[TargetID],
 tblTargets[DisplayName],
 ""
)</f>
        <v>Chicken Lv 1</v>
      </c>
      <c r="D87" s="49" t="str">
        <f t="array" ref="D87">_xlfn.XLOOKUP(
 B87,
 tblTargets[TargetID],
 tblTargets[TargetType],
 ""
)</f>
        <v>BUILDING</v>
      </c>
      <c r="E87" s="49" t="s">
        <v>6</v>
      </c>
      <c r="F87" s="87">
        <f>IFERROR(__xludf.DUMMYFUNCTION("VALUE(REGEXEXTRACT(A87,""([^.]+)$""))"),1.0)</f>
        <v>1</v>
      </c>
      <c r="G87" s="49">
        <v>2.0</v>
      </c>
      <c r="H87" s="26" t="b">
        <f>COUNTIFS(
 tblCostChecklist[RequirementID],A87,
 tblCostChecklist[PlayerPaid],TRUE
)&gt;0</f>
        <v>0</v>
      </c>
      <c r="I87" s="49">
        <f t="shared" si="1"/>
        <v>7</v>
      </c>
      <c r="J87" s="49">
        <f t="shared" si="2"/>
        <v>0</v>
      </c>
      <c r="K87" s="49">
        <f t="shared" si="3"/>
        <v>7</v>
      </c>
      <c r="L87" s="49" t="b">
        <f t="shared" si="4"/>
        <v>0</v>
      </c>
      <c r="M87" s="88">
        <f t="shared" si="5"/>
        <v>0</v>
      </c>
    </row>
    <row r="88" ht="14.25" customHeight="1">
      <c r="A88" s="49" t="s">
        <v>448</v>
      </c>
      <c r="B88" s="49" t="str">
        <f>IFERROR(__xludf.DUMMYFUNCTION("REGEXEXTRACT(A88,""^cost\.(.*)\.[^.]+\.[^.]+$"")"),"building.chicken@1")</f>
        <v>building.chicken@1</v>
      </c>
      <c r="C88" s="49" t="str">
        <f t="array" ref="C88">_xlfn.XLOOKUP(
 B88,
 tblTargets[TargetID],
 tblTargets[DisplayName],
 ""
)</f>
        <v>Chicken Lv 1</v>
      </c>
      <c r="D88" s="49" t="str">
        <f t="array" ref="D88">_xlfn.XLOOKUP(
 B88,
 tblTargets[TargetID],
 tblTargets[TargetType],
 ""
)</f>
        <v>BUILDING</v>
      </c>
      <c r="E88" s="49" t="s">
        <v>119</v>
      </c>
      <c r="F88" s="87">
        <f>IFERROR(__xludf.DUMMYFUNCTION("VALUE(REGEXEXTRACT(A88,""([^.]+)$""))"),1.0)</f>
        <v>1</v>
      </c>
      <c r="G88" s="49">
        <v>400.0</v>
      </c>
      <c r="H88" s="26" t="b">
        <f>COUNTIFS(
 tblCostChecklist[RequirementID],A88,
 tblCostChecklist[PlayerPaid],TRUE
)&gt;0</f>
        <v>0</v>
      </c>
      <c r="I88" s="49">
        <f t="shared" si="1"/>
        <v>7</v>
      </c>
      <c r="J88" s="49">
        <f t="shared" si="2"/>
        <v>0</v>
      </c>
      <c r="K88" s="49">
        <f t="shared" si="3"/>
        <v>7</v>
      </c>
      <c r="L88" s="49" t="b">
        <f t="shared" si="4"/>
        <v>0</v>
      </c>
      <c r="M88" s="88">
        <f t="shared" si="5"/>
        <v>0</v>
      </c>
    </row>
    <row r="89" ht="14.25" customHeight="1">
      <c r="A89" s="49" t="s">
        <v>446</v>
      </c>
      <c r="B89" s="49" t="str">
        <f>IFERROR(__xludf.DUMMYFUNCTION("REGEXEXTRACT(A89,""^cost\.(.*)\.[^.]+\.[^.]+$"")"),"building.chicken@1")</f>
        <v>building.chicken@1</v>
      </c>
      <c r="C89" s="49" t="str">
        <f t="array" ref="C89">_xlfn.XLOOKUP(
 B89,
 tblTargets[TargetID],
 tblTargets[DisplayName],
 ""
)</f>
        <v>Chicken Lv 1</v>
      </c>
      <c r="D89" s="49" t="str">
        <f t="array" ref="D89">_xlfn.XLOOKUP(
 B89,
 tblTargets[TargetID],
 tblTargets[TargetType],
 ""
)</f>
        <v>BUILDING</v>
      </c>
      <c r="E89" s="49" t="s">
        <v>278</v>
      </c>
      <c r="F89" s="87">
        <f>IFERROR(__xludf.DUMMYFUNCTION("VALUE(REGEXEXTRACT(A89,""([^.]+)$""))"),1.0)</f>
        <v>1</v>
      </c>
      <c r="G89" s="49">
        <v>400.0</v>
      </c>
      <c r="H89" s="26" t="b">
        <f>COUNTIFS(
 tblCostChecklist[RequirementID],A89,
 tblCostChecklist[PlayerPaid],TRUE
)&gt;0</f>
        <v>0</v>
      </c>
      <c r="I89" s="49">
        <f t="shared" si="1"/>
        <v>7</v>
      </c>
      <c r="J89" s="49">
        <f t="shared" si="2"/>
        <v>0</v>
      </c>
      <c r="K89" s="49">
        <f t="shared" si="3"/>
        <v>7</v>
      </c>
      <c r="L89" s="49" t="b">
        <f t="shared" si="4"/>
        <v>0</v>
      </c>
      <c r="M89" s="88">
        <f t="shared" si="5"/>
        <v>0</v>
      </c>
    </row>
    <row r="90" ht="14.25" customHeight="1">
      <c r="A90" s="49" t="s">
        <v>456</v>
      </c>
      <c r="B90" s="49" t="str">
        <f>IFERROR(__xludf.DUMMYFUNCTION("REGEXEXTRACT(A90,""^cost\.(.*)\.[^.]+\.[^.]+$"")"),"building.chicken@1")</f>
        <v>building.chicken@1</v>
      </c>
      <c r="C90" s="49" t="str">
        <f t="array" ref="C90">_xlfn.XLOOKUP(
 B90,
 tblTargets[TargetID],
 tblTargets[DisplayName],
 ""
)</f>
        <v>Chicken Lv 1</v>
      </c>
      <c r="D90" s="49" t="str">
        <f t="array" ref="D90">_xlfn.XLOOKUP(
 B90,
 tblTargets[TargetID],
 tblTargets[TargetType],
 ""
)</f>
        <v>BUILDING</v>
      </c>
      <c r="E90" s="49" t="s">
        <v>237</v>
      </c>
      <c r="F90" s="87">
        <f>IFERROR(__xludf.DUMMYFUNCTION("VALUE(REGEXEXTRACT(A90,""([^.]+)$""))"),1.0)</f>
        <v>1</v>
      </c>
      <c r="G90" s="49">
        <v>200.0</v>
      </c>
      <c r="H90" s="26" t="b">
        <f>COUNTIFS(
 tblCostChecklist[RequirementID],A90,
 tblCostChecklist[PlayerPaid],TRUE
)&gt;0</f>
        <v>0</v>
      </c>
      <c r="I90" s="49">
        <f t="shared" si="1"/>
        <v>7</v>
      </c>
      <c r="J90" s="49">
        <f t="shared" si="2"/>
        <v>0</v>
      </c>
      <c r="K90" s="49">
        <f t="shared" si="3"/>
        <v>7</v>
      </c>
      <c r="L90" s="49" t="b">
        <f t="shared" si="4"/>
        <v>0</v>
      </c>
      <c r="M90" s="88">
        <f t="shared" si="5"/>
        <v>0</v>
      </c>
    </row>
    <row r="91" ht="14.25" customHeight="1">
      <c r="A91" s="49" t="s">
        <v>459</v>
      </c>
      <c r="B91" s="49" t="str">
        <f>IFERROR(__xludf.DUMMYFUNCTION("REGEXEXTRACT(A91,""^cost\.(.*)\.[^.]+\.[^.]+$"")"),"building.chicken@1")</f>
        <v>building.chicken@1</v>
      </c>
      <c r="C91" s="49" t="str">
        <f t="array" ref="C91">_xlfn.XLOOKUP(
 B91,
 tblTargets[TargetID],
 tblTargets[DisplayName],
 ""
)</f>
        <v>Chicken Lv 1</v>
      </c>
      <c r="D91" s="49" t="str">
        <f t="array" ref="D91">_xlfn.XLOOKUP(
 B91,
 tblTargets[TargetID],
 tblTargets[TargetType],
 ""
)</f>
        <v>BUILDING</v>
      </c>
      <c r="E91" s="49" t="s">
        <v>461</v>
      </c>
      <c r="F91" s="87">
        <f>IFERROR(__xludf.DUMMYFUNCTION("VALUE(REGEXEXTRACT(A91,""([^.]+)$""))"),1.0)</f>
        <v>1</v>
      </c>
      <c r="G91" s="49">
        <v>20.0</v>
      </c>
      <c r="H91" s="26" t="b">
        <f>COUNTIFS(
 tblCostChecklist[RequirementID],A91,
 tblCostChecklist[PlayerPaid],TRUE
)&gt;0</f>
        <v>0</v>
      </c>
      <c r="I91" s="49">
        <f t="shared" si="1"/>
        <v>7</v>
      </c>
      <c r="J91" s="49">
        <f t="shared" si="2"/>
        <v>0</v>
      </c>
      <c r="K91" s="49">
        <f t="shared" si="3"/>
        <v>7</v>
      </c>
      <c r="L91" s="49" t="b">
        <f t="shared" si="4"/>
        <v>0</v>
      </c>
      <c r="M91" s="88">
        <f t="shared" si="5"/>
        <v>0</v>
      </c>
    </row>
    <row r="92" ht="14.25" customHeight="1">
      <c r="A92" s="49" t="s">
        <v>458</v>
      </c>
      <c r="B92" s="49" t="str">
        <f>IFERROR(__xludf.DUMMYFUNCTION("REGEXEXTRACT(A92,""^cost\.(.*)\.[^.]+\.[^.]+$"")"),"building.chicken@1")</f>
        <v>building.chicken@1</v>
      </c>
      <c r="C92" s="49" t="str">
        <f t="array" ref="C92">_xlfn.XLOOKUP(
 B92,
 tblTargets[TargetID],
 tblTargets[DisplayName],
 ""
)</f>
        <v>Chicken Lv 1</v>
      </c>
      <c r="D92" s="49" t="str">
        <f t="array" ref="D92">_xlfn.XLOOKUP(
 B92,
 tblTargets[TargetID],
 tblTargets[TargetType],
 ""
)</f>
        <v>BUILDING</v>
      </c>
      <c r="E92" s="49" t="s">
        <v>158</v>
      </c>
      <c r="F92" s="87">
        <f>IFERROR(__xludf.DUMMYFUNCTION("VALUE(REGEXEXTRACT(A92,""([^.]+)$""))"),1.0)</f>
        <v>1</v>
      </c>
      <c r="G92" s="49">
        <v>10.0</v>
      </c>
      <c r="H92" s="26" t="b">
        <f>COUNTIFS(
 tblCostChecklist[RequirementID],A92,
 tblCostChecklist[PlayerPaid],TRUE
)&gt;0</f>
        <v>0</v>
      </c>
      <c r="I92" s="49">
        <f t="shared" si="1"/>
        <v>7</v>
      </c>
      <c r="J92" s="49">
        <f t="shared" si="2"/>
        <v>0</v>
      </c>
      <c r="K92" s="49">
        <f t="shared" si="3"/>
        <v>7</v>
      </c>
      <c r="L92" s="49" t="b">
        <f t="shared" si="4"/>
        <v>0</v>
      </c>
      <c r="M92" s="88">
        <f t="shared" si="5"/>
        <v>0</v>
      </c>
    </row>
    <row r="93" ht="14.25" customHeight="1">
      <c r="A93" s="49" t="s">
        <v>450</v>
      </c>
      <c r="B93" s="49" t="str">
        <f>IFERROR(__xludf.DUMMYFUNCTION("REGEXEXTRACT(A93,""^cost\.(.*)\.[^.]+\.[^.]+$"")"),"building.chicken@1")</f>
        <v>building.chicken@1</v>
      </c>
      <c r="C93" s="49" t="str">
        <f t="array" ref="C93">_xlfn.XLOOKUP(
 B93,
 tblTargets[TargetID],
 tblTargets[DisplayName],
 ""
)</f>
        <v>Chicken Lv 1</v>
      </c>
      <c r="D93" s="49" t="str">
        <f t="array" ref="D93">_xlfn.XLOOKUP(
 B93,
 tblTargets[TargetID],
 tblTargets[TargetType],
 ""
)</f>
        <v>BUILDING</v>
      </c>
      <c r="E93" s="49" t="s">
        <v>452</v>
      </c>
      <c r="F93" s="87">
        <f>IFERROR(__xludf.DUMMYFUNCTION("VALUE(REGEXEXTRACT(A93,""([^.]+)$""))"),1.0)</f>
        <v>1</v>
      </c>
      <c r="G93" s="49">
        <v>1.0</v>
      </c>
      <c r="H93" s="26" t="b">
        <f>COUNTIFS(
 tblCostChecklist[RequirementID],A93,
 tblCostChecklist[PlayerPaid],TRUE
)&gt;0</f>
        <v>0</v>
      </c>
      <c r="I93" s="49">
        <f t="shared" si="1"/>
        <v>7</v>
      </c>
      <c r="J93" s="49">
        <f t="shared" si="2"/>
        <v>0</v>
      </c>
      <c r="K93" s="49">
        <f t="shared" si="3"/>
        <v>7</v>
      </c>
      <c r="L93" s="49" t="b">
        <f t="shared" si="4"/>
        <v>0</v>
      </c>
      <c r="M93" s="88">
        <f t="shared" si="5"/>
        <v>0</v>
      </c>
    </row>
    <row r="94" ht="14.25" customHeight="1">
      <c r="A94" s="49" t="s">
        <v>477</v>
      </c>
      <c r="B94" s="49" t="str">
        <f>IFERROR(__xludf.DUMMYFUNCTION("REGEXEXTRACT(A94,""^cost\.(.*)\.[^.]+\.[^.]+$"")"),"building.chicken@2")</f>
        <v>building.chicken@2</v>
      </c>
      <c r="C94" s="49" t="str">
        <f t="array" ref="C94">_xlfn.XLOOKUP(
 B94,
 tblTargets[TargetID],
 tblTargets[DisplayName],
 ""
)</f>
        <v>Chicken Lv 2</v>
      </c>
      <c r="D94" s="49" t="str">
        <f t="array" ref="D94">_xlfn.XLOOKUP(
 B94,
 tblTargets[TargetID],
 tblTargets[TargetType],
 ""
)</f>
        <v>BUILDING</v>
      </c>
      <c r="E94" s="49" t="s">
        <v>6</v>
      </c>
      <c r="F94" s="87">
        <f>IFERROR(__xludf.DUMMYFUNCTION("VALUE(REGEXEXTRACT(A94,""([^.]+)$""))"),1.0)</f>
        <v>1</v>
      </c>
      <c r="G94" s="49">
        <v>3.0</v>
      </c>
      <c r="H94" s="26" t="b">
        <f>COUNTIFS(
 tblCostChecklist[RequirementID],A94,
 tblCostChecklist[PlayerPaid],TRUE
)&gt;0</f>
        <v>0</v>
      </c>
      <c r="I94" s="49">
        <f t="shared" si="1"/>
        <v>7</v>
      </c>
      <c r="J94" s="49">
        <f t="shared" si="2"/>
        <v>0</v>
      </c>
      <c r="K94" s="49">
        <f t="shared" si="3"/>
        <v>7</v>
      </c>
      <c r="L94" s="49" t="b">
        <f t="shared" si="4"/>
        <v>0</v>
      </c>
      <c r="M94" s="88">
        <f t="shared" si="5"/>
        <v>0</v>
      </c>
    </row>
    <row r="95" ht="14.25" customHeight="1">
      <c r="A95" s="49" t="s">
        <v>474</v>
      </c>
      <c r="B95" s="49" t="str">
        <f>IFERROR(__xludf.DUMMYFUNCTION("REGEXEXTRACT(A95,""^cost\.(.*)\.[^.]+\.[^.]+$"")"),"building.chicken@2")</f>
        <v>building.chicken@2</v>
      </c>
      <c r="C95" s="49" t="str">
        <f t="array" ref="C95">_xlfn.XLOOKUP(
 B95,
 tblTargets[TargetID],
 tblTargets[DisplayName],
 ""
)</f>
        <v>Chicken Lv 2</v>
      </c>
      <c r="D95" s="49" t="str">
        <f t="array" ref="D95">_xlfn.XLOOKUP(
 B95,
 tblTargets[TargetID],
 tblTargets[TargetType],
 ""
)</f>
        <v>BUILDING</v>
      </c>
      <c r="E95" s="49" t="s">
        <v>119</v>
      </c>
      <c r="F95" s="87">
        <f>IFERROR(__xludf.DUMMYFUNCTION("VALUE(REGEXEXTRACT(A95,""([^.]+)$""))"),1.0)</f>
        <v>1</v>
      </c>
      <c r="G95" s="49">
        <v>600.0</v>
      </c>
      <c r="H95" s="26" t="b">
        <f>COUNTIFS(
 tblCostChecklist[RequirementID],A95,
 tblCostChecklist[PlayerPaid],TRUE
)&gt;0</f>
        <v>0</v>
      </c>
      <c r="I95" s="49">
        <f t="shared" si="1"/>
        <v>7</v>
      </c>
      <c r="J95" s="49">
        <f t="shared" si="2"/>
        <v>0</v>
      </c>
      <c r="K95" s="49">
        <f t="shared" si="3"/>
        <v>7</v>
      </c>
      <c r="L95" s="49" t="b">
        <f t="shared" si="4"/>
        <v>0</v>
      </c>
      <c r="M95" s="88">
        <f t="shared" si="5"/>
        <v>0</v>
      </c>
    </row>
    <row r="96" ht="14.25" customHeight="1">
      <c r="A96" s="49" t="s">
        <v>462</v>
      </c>
      <c r="B96" s="49" t="str">
        <f>IFERROR(__xludf.DUMMYFUNCTION("REGEXEXTRACT(A96,""^cost\.(.*)\.[^.]+\.[^.]+$"")"),"building.chicken@2")</f>
        <v>building.chicken@2</v>
      </c>
      <c r="C96" s="49" t="str">
        <f t="array" ref="C96">_xlfn.XLOOKUP(
 B96,
 tblTargets[TargetID],
 tblTargets[DisplayName],
 ""
)</f>
        <v>Chicken Lv 2</v>
      </c>
      <c r="D96" s="49" t="str">
        <f t="array" ref="D96">_xlfn.XLOOKUP(
 B96,
 tblTargets[TargetID],
 tblTargets[TargetType],
 ""
)</f>
        <v>BUILDING</v>
      </c>
      <c r="E96" s="49" t="s">
        <v>278</v>
      </c>
      <c r="F96" s="87">
        <f>IFERROR(__xludf.DUMMYFUNCTION("VALUE(REGEXEXTRACT(A96,""([^.]+)$""))"),1.0)</f>
        <v>1</v>
      </c>
      <c r="G96" s="49">
        <v>600.0</v>
      </c>
      <c r="H96" s="26" t="b">
        <f>COUNTIFS(
 tblCostChecklist[RequirementID],A96,
 tblCostChecklist[PlayerPaid],TRUE
)&gt;0</f>
        <v>0</v>
      </c>
      <c r="I96" s="49">
        <f t="shared" si="1"/>
        <v>7</v>
      </c>
      <c r="J96" s="49">
        <f t="shared" si="2"/>
        <v>0</v>
      </c>
      <c r="K96" s="49">
        <f t="shared" si="3"/>
        <v>7</v>
      </c>
      <c r="L96" s="49" t="b">
        <f t="shared" si="4"/>
        <v>0</v>
      </c>
      <c r="M96" s="88">
        <f t="shared" si="5"/>
        <v>0</v>
      </c>
    </row>
    <row r="97" ht="14.25" customHeight="1">
      <c r="A97" s="49" t="s">
        <v>479</v>
      </c>
      <c r="B97" s="49" t="str">
        <f>IFERROR(__xludf.DUMMYFUNCTION("REGEXEXTRACT(A97,""^cost\.(.*)\.[^.]+\.[^.]+$"")"),"building.chicken@2")</f>
        <v>building.chicken@2</v>
      </c>
      <c r="C97" s="49" t="str">
        <f t="array" ref="C97">_xlfn.XLOOKUP(
 B97,
 tblTargets[TargetID],
 tblTargets[DisplayName],
 ""
)</f>
        <v>Chicken Lv 2</v>
      </c>
      <c r="D97" s="49" t="str">
        <f t="array" ref="D97">_xlfn.XLOOKUP(
 B97,
 tblTargets[TargetID],
 tblTargets[TargetType],
 ""
)</f>
        <v>BUILDING</v>
      </c>
      <c r="E97" s="49" t="s">
        <v>237</v>
      </c>
      <c r="F97" s="87">
        <f>IFERROR(__xludf.DUMMYFUNCTION("VALUE(REGEXEXTRACT(A97,""([^.]+)$""))"),1.0)</f>
        <v>1</v>
      </c>
      <c r="G97" s="49">
        <v>300.0</v>
      </c>
      <c r="H97" s="26" t="b">
        <f>COUNTIFS(
 tblCostChecklist[RequirementID],A97,
 tblCostChecklist[PlayerPaid],TRUE
)&gt;0</f>
        <v>0</v>
      </c>
      <c r="I97" s="49">
        <f t="shared" si="1"/>
        <v>7</v>
      </c>
      <c r="J97" s="49">
        <f t="shared" si="2"/>
        <v>0</v>
      </c>
      <c r="K97" s="49">
        <f t="shared" si="3"/>
        <v>7</v>
      </c>
      <c r="L97" s="49" t="b">
        <f t="shared" si="4"/>
        <v>0</v>
      </c>
      <c r="M97" s="88">
        <f t="shared" si="5"/>
        <v>0</v>
      </c>
    </row>
    <row r="98" ht="14.25" customHeight="1">
      <c r="A98" s="49" t="s">
        <v>484</v>
      </c>
      <c r="B98" s="49" t="str">
        <f>IFERROR(__xludf.DUMMYFUNCTION("REGEXEXTRACT(A98,""^cost\.(.*)\.[^.]+\.[^.]+$"")"),"building.chicken@2")</f>
        <v>building.chicken@2</v>
      </c>
      <c r="C98" s="49" t="str">
        <f t="array" ref="C98">_xlfn.XLOOKUP(
 B98,
 tblTargets[TargetID],
 tblTargets[DisplayName],
 ""
)</f>
        <v>Chicken Lv 2</v>
      </c>
      <c r="D98" s="49" t="str">
        <f t="array" ref="D98">_xlfn.XLOOKUP(
 B98,
 tblTargets[TargetID],
 tblTargets[TargetType],
 ""
)</f>
        <v>BUILDING</v>
      </c>
      <c r="E98" s="49" t="s">
        <v>461</v>
      </c>
      <c r="F98" s="87">
        <f>IFERROR(__xludf.DUMMYFUNCTION("VALUE(REGEXEXTRACT(A98,""([^.]+)$""))"),1.0)</f>
        <v>1</v>
      </c>
      <c r="G98" s="49">
        <v>20.0</v>
      </c>
      <c r="H98" s="26" t="b">
        <f>COUNTIFS(
 tblCostChecklist[RequirementID],A98,
 tblCostChecklist[PlayerPaid],TRUE
)&gt;0</f>
        <v>0</v>
      </c>
      <c r="I98" s="49">
        <f t="shared" si="1"/>
        <v>7</v>
      </c>
      <c r="J98" s="49">
        <f t="shared" si="2"/>
        <v>0</v>
      </c>
      <c r="K98" s="49">
        <f t="shared" si="3"/>
        <v>7</v>
      </c>
      <c r="L98" s="49" t="b">
        <f t="shared" si="4"/>
        <v>0</v>
      </c>
      <c r="M98" s="88">
        <f t="shared" si="5"/>
        <v>0</v>
      </c>
    </row>
    <row r="99" ht="14.25" customHeight="1">
      <c r="A99" s="49" t="s">
        <v>481</v>
      </c>
      <c r="B99" s="49" t="str">
        <f>IFERROR(__xludf.DUMMYFUNCTION("REGEXEXTRACT(A99,""^cost\.(.*)\.[^.]+\.[^.]+$"")"),"building.chicken@2")</f>
        <v>building.chicken@2</v>
      </c>
      <c r="C99" s="49" t="str">
        <f t="array" ref="C99">_xlfn.XLOOKUP(
 B99,
 tblTargets[TargetID],
 tblTargets[DisplayName],
 ""
)</f>
        <v>Chicken Lv 2</v>
      </c>
      <c r="D99" s="49" t="str">
        <f t="array" ref="D99">_xlfn.XLOOKUP(
 B99,
 tblTargets[TargetID],
 tblTargets[TargetType],
 ""
)</f>
        <v>BUILDING</v>
      </c>
      <c r="E99" s="49" t="s">
        <v>158</v>
      </c>
      <c r="F99" s="87">
        <f>IFERROR(__xludf.DUMMYFUNCTION("VALUE(REGEXEXTRACT(A99,""([^.]+)$""))"),1.0)</f>
        <v>1</v>
      </c>
      <c r="G99" s="49">
        <v>10.0</v>
      </c>
      <c r="H99" s="26" t="b">
        <f>COUNTIFS(
 tblCostChecklist[RequirementID],A99,
 tblCostChecklist[PlayerPaid],TRUE
)&gt;0</f>
        <v>0</v>
      </c>
      <c r="I99" s="49">
        <f t="shared" si="1"/>
        <v>7</v>
      </c>
      <c r="J99" s="49">
        <f t="shared" si="2"/>
        <v>0</v>
      </c>
      <c r="K99" s="49">
        <f t="shared" si="3"/>
        <v>7</v>
      </c>
      <c r="L99" s="49" t="b">
        <f t="shared" si="4"/>
        <v>0</v>
      </c>
      <c r="M99" s="88">
        <f t="shared" si="5"/>
        <v>0</v>
      </c>
    </row>
    <row r="100" ht="14.25" customHeight="1">
      <c r="A100" s="49" t="s">
        <v>476</v>
      </c>
      <c r="B100" s="49" t="str">
        <f>IFERROR(__xludf.DUMMYFUNCTION("REGEXEXTRACT(A100,""^cost\.(.*)\.[^.]+\.[^.]+$"")"),"building.chicken@2")</f>
        <v>building.chicken@2</v>
      </c>
      <c r="C100" s="49" t="str">
        <f t="array" ref="C100">_xlfn.XLOOKUP(
 B100,
 tblTargets[TargetID],
 tblTargets[DisplayName],
 ""
)</f>
        <v>Chicken Lv 2</v>
      </c>
      <c r="D100" s="49" t="str">
        <f t="array" ref="D100">_xlfn.XLOOKUP(
 B100,
 tblTargets[TargetID],
 tblTargets[TargetType],
 ""
)</f>
        <v>BUILDING</v>
      </c>
      <c r="E100" s="49" t="s">
        <v>452</v>
      </c>
      <c r="F100" s="87">
        <f>IFERROR(__xludf.DUMMYFUNCTION("VALUE(REGEXEXTRACT(A100,""([^.]+)$""))"),1.0)</f>
        <v>1</v>
      </c>
      <c r="G100" s="49">
        <v>1.0</v>
      </c>
      <c r="H100" s="26" t="b">
        <f>COUNTIFS(
 tblCostChecklist[RequirementID],A100,
 tblCostChecklist[PlayerPaid],TRUE
)&gt;0</f>
        <v>0</v>
      </c>
      <c r="I100" s="49">
        <f t="shared" si="1"/>
        <v>7</v>
      </c>
      <c r="J100" s="49">
        <f t="shared" si="2"/>
        <v>0</v>
      </c>
      <c r="K100" s="49">
        <f t="shared" si="3"/>
        <v>7</v>
      </c>
      <c r="L100" s="49" t="b">
        <f t="shared" si="4"/>
        <v>0</v>
      </c>
      <c r="M100" s="88">
        <f t="shared" si="5"/>
        <v>0</v>
      </c>
    </row>
    <row r="101" ht="14.25" customHeight="1">
      <c r="A101" s="49" t="s">
        <v>510</v>
      </c>
      <c r="B101" s="49" t="str">
        <f>IFERROR(__xludf.DUMMYFUNCTION("REGEXEXTRACT(A101,""^cost\.(.*)\.[^.]+\.[^.]+$"")"),"building.dairy@1")</f>
        <v>building.dairy@1</v>
      </c>
      <c r="C101" s="49" t="str">
        <f t="array" ref="C101">_xlfn.XLOOKUP(
 B101,
 tblTargets[TargetID],
 tblTargets[DisplayName],
 ""
)</f>
        <v>Dairy Lv 1</v>
      </c>
      <c r="D101" s="49" t="str">
        <f t="array" ref="D101">_xlfn.XLOOKUP(
 B101,
 tblTargets[TargetID],
 tblTargets[TargetType],
 ""
)</f>
        <v>BUILDING</v>
      </c>
      <c r="E101" s="49" t="s">
        <v>6</v>
      </c>
      <c r="F101" s="87">
        <f>IFERROR(__xludf.DUMMYFUNCTION("VALUE(REGEXEXTRACT(A101,""([^.]+)$""))"),1.0)</f>
        <v>1</v>
      </c>
      <c r="G101" s="49">
        <v>5.0</v>
      </c>
      <c r="H101" s="26" t="b">
        <f>COUNTIFS(
 tblCostChecklist[RequirementID],A101,
 tblCostChecklist[PlayerPaid],TRUE
)&gt;0</f>
        <v>0</v>
      </c>
      <c r="I101" s="49">
        <f t="shared" si="1"/>
        <v>9</v>
      </c>
      <c r="J101" s="49">
        <f t="shared" si="2"/>
        <v>0</v>
      </c>
      <c r="K101" s="49">
        <f t="shared" si="3"/>
        <v>9</v>
      </c>
      <c r="L101" s="49" t="b">
        <f t="shared" si="4"/>
        <v>0</v>
      </c>
      <c r="M101" s="88">
        <f t="shared" si="5"/>
        <v>0</v>
      </c>
    </row>
    <row r="102" ht="14.25" customHeight="1">
      <c r="A102" s="49" t="s">
        <v>501</v>
      </c>
      <c r="B102" s="49" t="str">
        <f>IFERROR(__xludf.DUMMYFUNCTION("REGEXEXTRACT(A102,""^cost\.(.*)\.[^.]+\.[^.]+$"")"),"building.dairy@1")</f>
        <v>building.dairy@1</v>
      </c>
      <c r="C102" s="49" t="str">
        <f t="array" ref="C102">_xlfn.XLOOKUP(
 B102,
 tblTargets[TargetID],
 tblTargets[DisplayName],
 ""
)</f>
        <v>Dairy Lv 1</v>
      </c>
      <c r="D102" s="49" t="str">
        <f t="array" ref="D102">_xlfn.XLOOKUP(
 B102,
 tblTargets[TargetID],
 tblTargets[TargetType],
 ""
)</f>
        <v>BUILDING</v>
      </c>
      <c r="E102" s="49" t="s">
        <v>119</v>
      </c>
      <c r="F102" s="87">
        <f>IFERROR(__xludf.DUMMYFUNCTION("VALUE(REGEXEXTRACT(A102,""([^.]+)$""))"),1.0)</f>
        <v>1</v>
      </c>
      <c r="G102" s="49">
        <v>1000.0</v>
      </c>
      <c r="H102" s="26" t="b">
        <f>COUNTIFS(
 tblCostChecklist[RequirementID],A102,
 tblCostChecklist[PlayerPaid],TRUE
)&gt;0</f>
        <v>0</v>
      </c>
      <c r="I102" s="49">
        <f t="shared" si="1"/>
        <v>9</v>
      </c>
      <c r="J102" s="49">
        <f t="shared" si="2"/>
        <v>0</v>
      </c>
      <c r="K102" s="49">
        <f t="shared" si="3"/>
        <v>9</v>
      </c>
      <c r="L102" s="49" t="b">
        <f t="shared" si="4"/>
        <v>0</v>
      </c>
      <c r="M102" s="88">
        <f t="shared" si="5"/>
        <v>0</v>
      </c>
    </row>
    <row r="103" ht="14.25" customHeight="1">
      <c r="A103" s="49" t="s">
        <v>499</v>
      </c>
      <c r="B103" s="49" t="str">
        <f>IFERROR(__xludf.DUMMYFUNCTION("REGEXEXTRACT(A103,""^cost\.(.*)\.[^.]+\.[^.]+$"")"),"building.dairy@1")</f>
        <v>building.dairy@1</v>
      </c>
      <c r="C103" s="49" t="str">
        <f t="array" ref="C103">_xlfn.XLOOKUP(
 B103,
 tblTargets[TargetID],
 tblTargets[DisplayName],
 ""
)</f>
        <v>Dairy Lv 1</v>
      </c>
      <c r="D103" s="49" t="str">
        <f t="array" ref="D103">_xlfn.XLOOKUP(
 B103,
 tblTargets[TargetID],
 tblTargets[TargetType],
 ""
)</f>
        <v>BUILDING</v>
      </c>
      <c r="E103" s="49" t="s">
        <v>278</v>
      </c>
      <c r="F103" s="87">
        <f>IFERROR(__xludf.DUMMYFUNCTION("VALUE(REGEXEXTRACT(A103,""([^.]+)$""))"),1.0)</f>
        <v>1</v>
      </c>
      <c r="G103" s="49">
        <v>700.0</v>
      </c>
      <c r="H103" s="26" t="b">
        <f>COUNTIFS(
 tblCostChecklist[RequirementID],A103,
 tblCostChecklist[PlayerPaid],TRUE
)&gt;0</f>
        <v>0</v>
      </c>
      <c r="I103" s="49">
        <f t="shared" si="1"/>
        <v>9</v>
      </c>
      <c r="J103" s="49">
        <f t="shared" si="2"/>
        <v>0</v>
      </c>
      <c r="K103" s="49">
        <f t="shared" si="3"/>
        <v>9</v>
      </c>
      <c r="L103" s="49" t="b">
        <f t="shared" si="4"/>
        <v>0</v>
      </c>
      <c r="M103" s="88">
        <f t="shared" si="5"/>
        <v>0</v>
      </c>
    </row>
    <row r="104" ht="14.25" customHeight="1">
      <c r="A104" s="49" t="s">
        <v>512</v>
      </c>
      <c r="B104" s="49" t="str">
        <f>IFERROR(__xludf.DUMMYFUNCTION("REGEXEXTRACT(A104,""^cost\.(.*)\.[^.]+\.[^.]+$"")"),"building.dairy@1")</f>
        <v>building.dairy@1</v>
      </c>
      <c r="C104" s="49" t="str">
        <f t="array" ref="C104">_xlfn.XLOOKUP(
 B104,
 tblTargets[TargetID],
 tblTargets[DisplayName],
 ""
)</f>
        <v>Dairy Lv 1</v>
      </c>
      <c r="D104" s="49" t="str">
        <f t="array" ref="D104">_xlfn.XLOOKUP(
 B104,
 tblTargets[TargetID],
 tblTargets[TargetType],
 ""
)</f>
        <v>BUILDING</v>
      </c>
      <c r="E104" s="49" t="s">
        <v>237</v>
      </c>
      <c r="F104" s="87">
        <f>IFERROR(__xludf.DUMMYFUNCTION("VALUE(REGEXEXTRACT(A104,""([^.]+)$""))"),1.0)</f>
        <v>1</v>
      </c>
      <c r="G104" s="49">
        <v>300.0</v>
      </c>
      <c r="H104" s="26" t="b">
        <f>COUNTIFS(
 tblCostChecklist[RequirementID],A104,
 tblCostChecklist[PlayerPaid],TRUE
)&gt;0</f>
        <v>0</v>
      </c>
      <c r="I104" s="49">
        <f t="shared" si="1"/>
        <v>9</v>
      </c>
      <c r="J104" s="49">
        <f t="shared" si="2"/>
        <v>0</v>
      </c>
      <c r="K104" s="49">
        <f t="shared" si="3"/>
        <v>9</v>
      </c>
      <c r="L104" s="49" t="b">
        <f t="shared" si="4"/>
        <v>0</v>
      </c>
      <c r="M104" s="88">
        <f t="shared" si="5"/>
        <v>0</v>
      </c>
    </row>
    <row r="105" ht="14.25" customHeight="1">
      <c r="A105" s="49" t="s">
        <v>514</v>
      </c>
      <c r="B105" s="49" t="str">
        <f>IFERROR(__xludf.DUMMYFUNCTION("REGEXEXTRACT(A105,""^cost\.(.*)\.[^.]+\.[^.]+$"")"),"building.dairy@1")</f>
        <v>building.dairy@1</v>
      </c>
      <c r="C105" s="49" t="str">
        <f t="array" ref="C105">_xlfn.XLOOKUP(
 B105,
 tblTargets[TargetID],
 tblTargets[DisplayName],
 ""
)</f>
        <v>Dairy Lv 1</v>
      </c>
      <c r="D105" s="49" t="str">
        <f t="array" ref="D105">_xlfn.XLOOKUP(
 B105,
 tblTargets[TargetID],
 tblTargets[TargetType],
 ""
)</f>
        <v>BUILDING</v>
      </c>
      <c r="E105" s="49" t="s">
        <v>158</v>
      </c>
      <c r="F105" s="87">
        <f>IFERROR(__xludf.DUMMYFUNCTION("VALUE(REGEXEXTRACT(A105,""([^.]+)$""))"),1.0)</f>
        <v>1</v>
      </c>
      <c r="G105" s="49">
        <v>20.0</v>
      </c>
      <c r="H105" s="26" t="b">
        <f>COUNTIFS(
 tblCostChecklist[RequirementID],A105,
 tblCostChecklist[PlayerPaid],TRUE
)&gt;0</f>
        <v>0</v>
      </c>
      <c r="I105" s="49">
        <f t="shared" si="1"/>
        <v>9</v>
      </c>
      <c r="J105" s="49">
        <f t="shared" si="2"/>
        <v>0</v>
      </c>
      <c r="K105" s="49">
        <f t="shared" si="3"/>
        <v>9</v>
      </c>
      <c r="L105" s="49" t="b">
        <f t="shared" si="4"/>
        <v>0</v>
      </c>
      <c r="M105" s="88">
        <f t="shared" si="5"/>
        <v>0</v>
      </c>
    </row>
    <row r="106" ht="14.25" customHeight="1">
      <c r="A106" s="49" t="s">
        <v>503</v>
      </c>
      <c r="B106" s="49" t="str">
        <f>IFERROR(__xludf.DUMMYFUNCTION("REGEXEXTRACT(A106,""^cost\.(.*)\.[^.]+\.[^.]+$"")"),"building.dairy@1")</f>
        <v>building.dairy@1</v>
      </c>
      <c r="C106" s="49" t="str">
        <f t="array" ref="C106">_xlfn.XLOOKUP(
 B106,
 tblTargets[TargetID],
 tblTargets[DisplayName],
 ""
)</f>
        <v>Dairy Lv 1</v>
      </c>
      <c r="D106" s="49" t="str">
        <f t="array" ref="D106">_xlfn.XLOOKUP(
 B106,
 tblTargets[TargetID],
 tblTargets[TargetType],
 ""
)</f>
        <v>BUILDING</v>
      </c>
      <c r="E106" s="49" t="s">
        <v>360</v>
      </c>
      <c r="F106" s="87">
        <f>IFERROR(__xludf.DUMMYFUNCTION("VALUE(REGEXEXTRACT(A106,""([^.]+)$""))"),1.0)</f>
        <v>1</v>
      </c>
      <c r="G106" s="49">
        <v>40.0</v>
      </c>
      <c r="H106" s="26" t="b">
        <f>COUNTIFS(
 tblCostChecklist[RequirementID],A106,
 tblCostChecklist[PlayerPaid],TRUE
)&gt;0</f>
        <v>0</v>
      </c>
      <c r="I106" s="49">
        <f t="shared" si="1"/>
        <v>9</v>
      </c>
      <c r="J106" s="49">
        <f t="shared" si="2"/>
        <v>0</v>
      </c>
      <c r="K106" s="49">
        <f t="shared" si="3"/>
        <v>9</v>
      </c>
      <c r="L106" s="49" t="b">
        <f t="shared" si="4"/>
        <v>0</v>
      </c>
      <c r="M106" s="88">
        <f t="shared" si="5"/>
        <v>0</v>
      </c>
    </row>
    <row r="107" ht="14.25" customHeight="1">
      <c r="A107" s="49" t="s">
        <v>517</v>
      </c>
      <c r="B107" s="49" t="str">
        <f>IFERROR(__xludf.DUMMYFUNCTION("REGEXEXTRACT(A107,""^cost\.(.*)\.[^.]+\.[^.]+$"")"),"building.dairy@1")</f>
        <v>building.dairy@1</v>
      </c>
      <c r="C107" s="49" t="str">
        <f t="array" ref="C107">_xlfn.XLOOKUP(
 B107,
 tblTargets[TargetID],
 tblTargets[DisplayName],
 ""
)</f>
        <v>Dairy Lv 1</v>
      </c>
      <c r="D107" s="49" t="str">
        <f t="array" ref="D107">_xlfn.XLOOKUP(
 B107,
 tblTargets[TargetID],
 tblTargets[TargetType],
 ""
)</f>
        <v>BUILDING</v>
      </c>
      <c r="E107" s="49" t="s">
        <v>461</v>
      </c>
      <c r="F107" s="87">
        <f>IFERROR(__xludf.DUMMYFUNCTION("VALUE(REGEXEXTRACT(A107,""([^.]+)$""))"),1.0)</f>
        <v>1</v>
      </c>
      <c r="G107" s="49">
        <v>100.0</v>
      </c>
      <c r="H107" s="26" t="b">
        <f>COUNTIFS(
 tblCostChecklist[RequirementID],A107,
 tblCostChecklist[PlayerPaid],TRUE
)&gt;0</f>
        <v>0</v>
      </c>
      <c r="I107" s="49">
        <f t="shared" si="1"/>
        <v>9</v>
      </c>
      <c r="J107" s="49">
        <f t="shared" si="2"/>
        <v>0</v>
      </c>
      <c r="K107" s="49">
        <f t="shared" si="3"/>
        <v>9</v>
      </c>
      <c r="L107" s="49" t="b">
        <f t="shared" si="4"/>
        <v>0</v>
      </c>
      <c r="M107" s="88">
        <f t="shared" si="5"/>
        <v>0</v>
      </c>
    </row>
    <row r="108" ht="14.25" customHeight="1">
      <c r="A108" s="49" t="s">
        <v>507</v>
      </c>
      <c r="B108" s="49" t="str">
        <f>IFERROR(__xludf.DUMMYFUNCTION("REGEXEXTRACT(A108,""^cost\.(.*)\.[^.]+\.[^.]+$"")"),"building.dairy@1")</f>
        <v>building.dairy@1</v>
      </c>
      <c r="C108" s="49" t="str">
        <f t="array" ref="C108">_xlfn.XLOOKUP(
 B108,
 tblTargets[TargetID],
 tblTargets[DisplayName],
 ""
)</f>
        <v>Dairy Lv 1</v>
      </c>
      <c r="D108" s="49" t="str">
        <f t="array" ref="D108">_xlfn.XLOOKUP(
 B108,
 tblTargets[TargetID],
 tblTargets[TargetType],
 ""
)</f>
        <v>BUILDING</v>
      </c>
      <c r="E108" s="49" t="s">
        <v>508</v>
      </c>
      <c r="F108" s="87">
        <f>IFERROR(__xludf.DUMMYFUNCTION("VALUE(REGEXEXTRACT(A108,""([^.]+)$""))"),1.0)</f>
        <v>1</v>
      </c>
      <c r="G108" s="49">
        <v>20.0</v>
      </c>
      <c r="H108" s="26" t="b">
        <f>COUNTIFS(
 tblCostChecklist[RequirementID],A108,
 tblCostChecklist[PlayerPaid],TRUE
)&gt;0</f>
        <v>0</v>
      </c>
      <c r="I108" s="49">
        <f t="shared" si="1"/>
        <v>9</v>
      </c>
      <c r="J108" s="49">
        <f t="shared" si="2"/>
        <v>0</v>
      </c>
      <c r="K108" s="49">
        <f t="shared" si="3"/>
        <v>9</v>
      </c>
      <c r="L108" s="49" t="b">
        <f t="shared" si="4"/>
        <v>0</v>
      </c>
      <c r="M108" s="88">
        <f t="shared" si="5"/>
        <v>0</v>
      </c>
    </row>
    <row r="109" ht="14.25" customHeight="1">
      <c r="A109" s="49" t="s">
        <v>504</v>
      </c>
      <c r="B109" s="49" t="str">
        <f>IFERROR(__xludf.DUMMYFUNCTION("REGEXEXTRACT(A109,""^cost\.(.*)\.[^.]+\.[^.]+$"")"),"building.dairy@1")</f>
        <v>building.dairy@1</v>
      </c>
      <c r="C109" s="49" t="str">
        <f t="array" ref="C109">_xlfn.XLOOKUP(
 B109,
 tblTargets[TargetID],
 tblTargets[DisplayName],
 ""
)</f>
        <v>Dairy Lv 1</v>
      </c>
      <c r="D109" s="49" t="str">
        <f t="array" ref="D109">_xlfn.XLOOKUP(
 B109,
 tblTargets[TargetID],
 tblTargets[TargetType],
 ""
)</f>
        <v>BUILDING</v>
      </c>
      <c r="E109" s="49" t="s">
        <v>506</v>
      </c>
      <c r="F109" s="87">
        <f>IFERROR(__xludf.DUMMYFUNCTION("VALUE(REGEXEXTRACT(A109,""([^.]+)$""))"),1.0)</f>
        <v>1</v>
      </c>
      <c r="G109" s="49">
        <v>1.0</v>
      </c>
      <c r="H109" s="26" t="b">
        <f>COUNTIFS(
 tblCostChecklist[RequirementID],A109,
 tblCostChecklist[PlayerPaid],TRUE
)&gt;0</f>
        <v>0</v>
      </c>
      <c r="I109" s="49">
        <f t="shared" si="1"/>
        <v>9</v>
      </c>
      <c r="J109" s="49">
        <f t="shared" si="2"/>
        <v>0</v>
      </c>
      <c r="K109" s="49">
        <f t="shared" si="3"/>
        <v>9</v>
      </c>
      <c r="L109" s="49" t="b">
        <f t="shared" si="4"/>
        <v>0</v>
      </c>
      <c r="M109" s="88">
        <f t="shared" si="5"/>
        <v>0</v>
      </c>
    </row>
    <row r="110" ht="14.25" customHeight="1">
      <c r="A110" s="49" t="s">
        <v>534</v>
      </c>
      <c r="B110" s="49" t="str">
        <f>IFERROR(__xludf.DUMMYFUNCTION("REGEXEXTRACT(A110,""^cost\.(.*)\.[^.]+\.[^.]+$"")"),"building.dairy@2")</f>
        <v>building.dairy@2</v>
      </c>
      <c r="C110" s="49" t="str">
        <f t="array" ref="C110">_xlfn.XLOOKUP(
 B110,
 tblTargets[TargetID],
 tblTargets[DisplayName],
 ""
)</f>
        <v>Dairy Lv 2</v>
      </c>
      <c r="D110" s="49" t="str">
        <f t="array" ref="D110">_xlfn.XLOOKUP(
 B110,
 tblTargets[TargetID],
 tblTargets[TargetType],
 ""
)</f>
        <v>BUILDING</v>
      </c>
      <c r="E110" s="49" t="s">
        <v>6</v>
      </c>
      <c r="F110" s="87">
        <f>IFERROR(__xludf.DUMMYFUNCTION("VALUE(REGEXEXTRACT(A110,""([^.]+)$""))"),1.0)</f>
        <v>1</v>
      </c>
      <c r="G110" s="49">
        <v>5.0</v>
      </c>
      <c r="H110" s="26" t="b">
        <f>COUNTIFS(
 tblCostChecklist[RequirementID],A110,
 tblCostChecklist[PlayerPaid],TRUE
)&gt;0</f>
        <v>0</v>
      </c>
      <c r="I110" s="49">
        <f t="shared" si="1"/>
        <v>9</v>
      </c>
      <c r="J110" s="49">
        <f t="shared" si="2"/>
        <v>0</v>
      </c>
      <c r="K110" s="49">
        <f t="shared" si="3"/>
        <v>9</v>
      </c>
      <c r="L110" s="49" t="b">
        <f t="shared" si="4"/>
        <v>0</v>
      </c>
      <c r="M110" s="88">
        <f t="shared" si="5"/>
        <v>0</v>
      </c>
    </row>
    <row r="111" ht="14.25" customHeight="1">
      <c r="A111" s="49" t="s">
        <v>524</v>
      </c>
      <c r="B111" s="49" t="str">
        <f>IFERROR(__xludf.DUMMYFUNCTION("REGEXEXTRACT(A111,""^cost\.(.*)\.[^.]+\.[^.]+$"")"),"building.dairy@2")</f>
        <v>building.dairy@2</v>
      </c>
      <c r="C111" s="49" t="str">
        <f t="array" ref="C111">_xlfn.XLOOKUP(
 B111,
 tblTargets[TargetID],
 tblTargets[DisplayName],
 ""
)</f>
        <v>Dairy Lv 2</v>
      </c>
      <c r="D111" s="49" t="str">
        <f t="array" ref="D111">_xlfn.XLOOKUP(
 B111,
 tblTargets[TargetID],
 tblTargets[TargetType],
 ""
)</f>
        <v>BUILDING</v>
      </c>
      <c r="E111" s="49" t="s">
        <v>119</v>
      </c>
      <c r="F111" s="87">
        <f>IFERROR(__xludf.DUMMYFUNCTION("VALUE(REGEXEXTRACT(A111,""([^.]+)$""))"),1.0)</f>
        <v>1</v>
      </c>
      <c r="G111" s="49">
        <v>1000.0</v>
      </c>
      <c r="H111" s="26" t="b">
        <f>COUNTIFS(
 tblCostChecklist[RequirementID],A111,
 tblCostChecklist[PlayerPaid],TRUE
)&gt;0</f>
        <v>0</v>
      </c>
      <c r="I111" s="49">
        <f t="shared" si="1"/>
        <v>9</v>
      </c>
      <c r="J111" s="49">
        <f t="shared" si="2"/>
        <v>0</v>
      </c>
      <c r="K111" s="49">
        <f t="shared" si="3"/>
        <v>9</v>
      </c>
      <c r="L111" s="49" t="b">
        <f t="shared" si="4"/>
        <v>0</v>
      </c>
      <c r="M111" s="88">
        <f t="shared" si="5"/>
        <v>0</v>
      </c>
    </row>
    <row r="112" ht="14.25" customHeight="1">
      <c r="A112" s="49" t="s">
        <v>522</v>
      </c>
      <c r="B112" s="49" t="str">
        <f>IFERROR(__xludf.DUMMYFUNCTION("REGEXEXTRACT(A112,""^cost\.(.*)\.[^.]+\.[^.]+$"")"),"building.dairy@2")</f>
        <v>building.dairy@2</v>
      </c>
      <c r="C112" s="49" t="str">
        <f t="array" ref="C112">_xlfn.XLOOKUP(
 B112,
 tblTargets[TargetID],
 tblTargets[DisplayName],
 ""
)</f>
        <v>Dairy Lv 2</v>
      </c>
      <c r="D112" s="49" t="str">
        <f t="array" ref="D112">_xlfn.XLOOKUP(
 B112,
 tblTargets[TargetID],
 tblTargets[TargetType],
 ""
)</f>
        <v>BUILDING</v>
      </c>
      <c r="E112" s="49" t="s">
        <v>278</v>
      </c>
      <c r="F112" s="87">
        <f>IFERROR(__xludf.DUMMYFUNCTION("VALUE(REGEXEXTRACT(A112,""([^.]+)$""))"),1.0)</f>
        <v>1</v>
      </c>
      <c r="G112" s="49">
        <v>900.0</v>
      </c>
      <c r="H112" s="26" t="b">
        <f>COUNTIFS(
 tblCostChecklist[RequirementID],A112,
 tblCostChecklist[PlayerPaid],TRUE
)&gt;0</f>
        <v>0</v>
      </c>
      <c r="I112" s="49">
        <f t="shared" si="1"/>
        <v>9</v>
      </c>
      <c r="J112" s="49">
        <f t="shared" si="2"/>
        <v>0</v>
      </c>
      <c r="K112" s="49">
        <f t="shared" si="3"/>
        <v>9</v>
      </c>
      <c r="L112" s="49" t="b">
        <f t="shared" si="4"/>
        <v>0</v>
      </c>
      <c r="M112" s="88">
        <f t="shared" si="5"/>
        <v>0</v>
      </c>
    </row>
    <row r="113" ht="14.25" customHeight="1">
      <c r="A113" s="49" t="s">
        <v>536</v>
      </c>
      <c r="B113" s="49" t="str">
        <f>IFERROR(__xludf.DUMMYFUNCTION("REGEXEXTRACT(A113,""^cost\.(.*)\.[^.]+\.[^.]+$"")"),"building.dairy@2")</f>
        <v>building.dairy@2</v>
      </c>
      <c r="C113" s="49" t="str">
        <f t="array" ref="C113">_xlfn.XLOOKUP(
 B113,
 tblTargets[TargetID],
 tblTargets[DisplayName],
 ""
)</f>
        <v>Dairy Lv 2</v>
      </c>
      <c r="D113" s="49" t="str">
        <f t="array" ref="D113">_xlfn.XLOOKUP(
 B113,
 tblTargets[TargetID],
 tblTargets[TargetType],
 ""
)</f>
        <v>BUILDING</v>
      </c>
      <c r="E113" s="49" t="s">
        <v>237</v>
      </c>
      <c r="F113" s="87">
        <f>IFERROR(__xludf.DUMMYFUNCTION("VALUE(REGEXEXTRACT(A113,""([^.]+)$""))"),1.0)</f>
        <v>1</v>
      </c>
      <c r="G113" s="49">
        <v>500.0</v>
      </c>
      <c r="H113" s="26" t="b">
        <f>COUNTIFS(
 tblCostChecklist[RequirementID],A113,
 tblCostChecklist[PlayerPaid],TRUE
)&gt;0</f>
        <v>0</v>
      </c>
      <c r="I113" s="49">
        <f t="shared" si="1"/>
        <v>9</v>
      </c>
      <c r="J113" s="49">
        <f t="shared" si="2"/>
        <v>0</v>
      </c>
      <c r="K113" s="49">
        <f t="shared" si="3"/>
        <v>9</v>
      </c>
      <c r="L113" s="49" t="b">
        <f t="shared" si="4"/>
        <v>0</v>
      </c>
      <c r="M113" s="88">
        <f t="shared" si="5"/>
        <v>0</v>
      </c>
    </row>
    <row r="114" ht="14.25" customHeight="1">
      <c r="A114" s="49" t="s">
        <v>538</v>
      </c>
      <c r="B114" s="49" t="str">
        <f>IFERROR(__xludf.DUMMYFUNCTION("REGEXEXTRACT(A114,""^cost\.(.*)\.[^.]+\.[^.]+$"")"),"building.dairy@2")</f>
        <v>building.dairy@2</v>
      </c>
      <c r="C114" s="49" t="str">
        <f t="array" ref="C114">_xlfn.XLOOKUP(
 B114,
 tblTargets[TargetID],
 tblTargets[DisplayName],
 ""
)</f>
        <v>Dairy Lv 2</v>
      </c>
      <c r="D114" s="49" t="str">
        <f t="array" ref="D114">_xlfn.XLOOKUP(
 B114,
 tblTargets[TargetID],
 tblTargets[TargetType],
 ""
)</f>
        <v>BUILDING</v>
      </c>
      <c r="E114" s="49" t="s">
        <v>158</v>
      </c>
      <c r="F114" s="87">
        <f>IFERROR(__xludf.DUMMYFUNCTION("VALUE(REGEXEXTRACT(A114,""([^.]+)$""))"),1.0)</f>
        <v>1</v>
      </c>
      <c r="G114" s="49">
        <v>30.0</v>
      </c>
      <c r="H114" s="26" t="b">
        <f>COUNTIFS(
 tblCostChecklist[RequirementID],A114,
 tblCostChecklist[PlayerPaid],TRUE
)&gt;0</f>
        <v>0</v>
      </c>
      <c r="I114" s="49">
        <f t="shared" si="1"/>
        <v>9</v>
      </c>
      <c r="J114" s="49">
        <f t="shared" si="2"/>
        <v>0</v>
      </c>
      <c r="K114" s="49">
        <f t="shared" si="3"/>
        <v>9</v>
      </c>
      <c r="L114" s="49" t="b">
        <f t="shared" si="4"/>
        <v>0</v>
      </c>
      <c r="M114" s="88">
        <f t="shared" si="5"/>
        <v>0</v>
      </c>
    </row>
    <row r="115" ht="14.25" customHeight="1">
      <c r="A115" s="49" t="s">
        <v>519</v>
      </c>
      <c r="B115" s="49" t="str">
        <f>IFERROR(__xludf.DUMMYFUNCTION("REGEXEXTRACT(A115,""^cost\.(.*)\.[^.]+\.[^.]+$"")"),"building.dairy@2")</f>
        <v>building.dairy@2</v>
      </c>
      <c r="C115" s="49" t="str">
        <f t="array" ref="C115">_xlfn.XLOOKUP(
 B115,
 tblTargets[TargetID],
 tblTargets[DisplayName],
 ""
)</f>
        <v>Dairy Lv 2</v>
      </c>
      <c r="D115" s="49" t="str">
        <f t="array" ref="D115">_xlfn.XLOOKUP(
 B115,
 tblTargets[TargetID],
 tblTargets[TargetType],
 ""
)</f>
        <v>BUILDING</v>
      </c>
      <c r="E115" s="49" t="s">
        <v>520</v>
      </c>
      <c r="F115" s="87">
        <f>IFERROR(__xludf.DUMMYFUNCTION("VALUE(REGEXEXTRACT(A115,""([^.]+)$""))"),1.0)</f>
        <v>1</v>
      </c>
      <c r="G115" s="49">
        <v>20.0</v>
      </c>
      <c r="H115" s="26" t="b">
        <f>COUNTIFS(
 tblCostChecklist[RequirementID],A115,
 tblCostChecklist[PlayerPaid],TRUE
)&gt;0</f>
        <v>0</v>
      </c>
      <c r="I115" s="49">
        <f t="shared" si="1"/>
        <v>9</v>
      </c>
      <c r="J115" s="49">
        <f t="shared" si="2"/>
        <v>0</v>
      </c>
      <c r="K115" s="49">
        <f t="shared" si="3"/>
        <v>9</v>
      </c>
      <c r="L115" s="49" t="b">
        <f t="shared" si="4"/>
        <v>0</v>
      </c>
      <c r="M115" s="88">
        <f t="shared" si="5"/>
        <v>0</v>
      </c>
    </row>
    <row r="116" ht="14.25" customHeight="1">
      <c r="A116" s="49" t="s">
        <v>531</v>
      </c>
      <c r="B116" s="49" t="str">
        <f>IFERROR(__xludf.DUMMYFUNCTION("REGEXEXTRACT(A116,""^cost\.(.*)\.[^.]+\.[^.]+$"")"),"building.dairy@2")</f>
        <v>building.dairy@2</v>
      </c>
      <c r="C116" s="49" t="str">
        <f t="array" ref="C116">_xlfn.XLOOKUP(
 B116,
 tblTargets[TargetID],
 tblTargets[DisplayName],
 ""
)</f>
        <v>Dairy Lv 2</v>
      </c>
      <c r="D116" s="49" t="str">
        <f t="array" ref="D116">_xlfn.XLOOKUP(
 B116,
 tblTargets[TargetID],
 tblTargets[TargetType],
 ""
)</f>
        <v>BUILDING</v>
      </c>
      <c r="E116" s="49" t="s">
        <v>533</v>
      </c>
      <c r="F116" s="87">
        <f>IFERROR(__xludf.DUMMYFUNCTION("VALUE(REGEXEXTRACT(A116,""([^.]+)$""))"),1.0)</f>
        <v>1</v>
      </c>
      <c r="G116" s="49">
        <v>20.0</v>
      </c>
      <c r="H116" s="26" t="b">
        <f>COUNTIFS(
 tblCostChecklist[RequirementID],A116,
 tblCostChecklist[PlayerPaid],TRUE
)&gt;0</f>
        <v>0</v>
      </c>
      <c r="I116" s="49">
        <f t="shared" si="1"/>
        <v>9</v>
      </c>
      <c r="J116" s="49">
        <f t="shared" si="2"/>
        <v>0</v>
      </c>
      <c r="K116" s="49">
        <f t="shared" si="3"/>
        <v>9</v>
      </c>
      <c r="L116" s="49" t="b">
        <f t="shared" si="4"/>
        <v>0</v>
      </c>
      <c r="M116" s="88">
        <f t="shared" si="5"/>
        <v>0</v>
      </c>
    </row>
    <row r="117" ht="14.25" customHeight="1">
      <c r="A117" s="49" t="s">
        <v>526</v>
      </c>
      <c r="B117" s="49" t="str">
        <f>IFERROR(__xludf.DUMMYFUNCTION("REGEXEXTRACT(A117,""^cost\.(.*)\.[^.]+\.[^.]+$"")"),"building.dairy@2")</f>
        <v>building.dairy@2</v>
      </c>
      <c r="C117" s="49" t="str">
        <f t="array" ref="C117">_xlfn.XLOOKUP(
 B117,
 tblTargets[TargetID],
 tblTargets[DisplayName],
 ""
)</f>
        <v>Dairy Lv 2</v>
      </c>
      <c r="D117" s="49" t="str">
        <f t="array" ref="D117">_xlfn.XLOOKUP(
 B117,
 tblTargets[TargetID],
 tblTargets[TargetType],
 ""
)</f>
        <v>BUILDING</v>
      </c>
      <c r="E117" s="49" t="s">
        <v>527</v>
      </c>
      <c r="F117" s="87">
        <f>IFERROR(__xludf.DUMMYFUNCTION("VALUE(REGEXEXTRACT(A117,""([^.]+)$""))"),1.0)</f>
        <v>1</v>
      </c>
      <c r="G117" s="49">
        <v>10.0</v>
      </c>
      <c r="H117" s="26" t="b">
        <f>COUNTIFS(
 tblCostChecklist[RequirementID],A117,
 tblCostChecklist[PlayerPaid],TRUE
)&gt;0</f>
        <v>0</v>
      </c>
      <c r="I117" s="49">
        <f t="shared" si="1"/>
        <v>9</v>
      </c>
      <c r="J117" s="49">
        <f t="shared" si="2"/>
        <v>0</v>
      </c>
      <c r="K117" s="49">
        <f t="shared" si="3"/>
        <v>9</v>
      </c>
      <c r="L117" s="49" t="b">
        <f t="shared" si="4"/>
        <v>0</v>
      </c>
      <c r="M117" s="88">
        <f t="shared" si="5"/>
        <v>0</v>
      </c>
    </row>
    <row r="118" ht="14.25" customHeight="1">
      <c r="A118" s="49" t="s">
        <v>529</v>
      </c>
      <c r="B118" s="49" t="str">
        <f>IFERROR(__xludf.DUMMYFUNCTION("REGEXEXTRACT(A118,""^cost\.(.*)\.[^.]+\.[^.]+$"")"),"building.dairy@2")</f>
        <v>building.dairy@2</v>
      </c>
      <c r="C118" s="49" t="str">
        <f t="array" ref="C118">_xlfn.XLOOKUP(
 B118,
 tblTargets[TargetID],
 tblTargets[DisplayName],
 ""
)</f>
        <v>Dairy Lv 2</v>
      </c>
      <c r="D118" s="49" t="str">
        <f t="array" ref="D118">_xlfn.XLOOKUP(
 B118,
 tblTargets[TargetID],
 tblTargets[TargetType],
 ""
)</f>
        <v>BUILDING</v>
      </c>
      <c r="E118" s="49" t="s">
        <v>530</v>
      </c>
      <c r="F118" s="87">
        <f>IFERROR(__xludf.DUMMYFUNCTION("VALUE(REGEXEXTRACT(A118,""([^.]+)$""))"),1.0)</f>
        <v>1</v>
      </c>
      <c r="G118" s="49">
        <v>5.0</v>
      </c>
      <c r="H118" s="26" t="b">
        <f>COUNTIFS(
 tblCostChecklist[RequirementID],A118,
 tblCostChecklist[PlayerPaid],TRUE
)&gt;0</f>
        <v>0</v>
      </c>
      <c r="I118" s="49">
        <f t="shared" si="1"/>
        <v>9</v>
      </c>
      <c r="J118" s="49">
        <f t="shared" si="2"/>
        <v>0</v>
      </c>
      <c r="K118" s="49">
        <f t="shared" si="3"/>
        <v>9</v>
      </c>
      <c r="L118" s="49" t="b">
        <f t="shared" si="4"/>
        <v>0</v>
      </c>
      <c r="M118" s="88">
        <f t="shared" si="5"/>
        <v>0</v>
      </c>
    </row>
    <row r="119" ht="14.25" customHeight="1">
      <c r="A119" s="49" t="s">
        <v>543</v>
      </c>
      <c r="B119" s="49" t="str">
        <f>IFERROR(__xludf.DUMMYFUNCTION("REGEXEXTRACT(A119,""^cost\.(.*)\.[^.]+\.[^.]+$"")"),"building.dungeon@1")</f>
        <v>building.dungeon@1</v>
      </c>
      <c r="C119" s="49" t="str">
        <f t="array" ref="C119">_xlfn.XLOOKUP(
 B119,
 tblTargets[TargetID],
 tblTargets[DisplayName],
 ""
)</f>
        <v>Dungeon Lv 1</v>
      </c>
      <c r="D119" s="49" t="str">
        <f t="array" ref="D119">_xlfn.XLOOKUP(
 B119,
 tblTargets[TargetID],
 tblTargets[TargetType],
 ""
)</f>
        <v>BUILDING</v>
      </c>
      <c r="E119" s="49" t="s">
        <v>6</v>
      </c>
      <c r="F119" s="87">
        <f>IFERROR(__xludf.DUMMYFUNCTION("VALUE(REGEXEXTRACT(A119,""([^.]+)$""))"),1.0)</f>
        <v>1</v>
      </c>
      <c r="G119" s="49">
        <v>1.0</v>
      </c>
      <c r="H119" s="26" t="b">
        <f>COUNTIFS(
 tblCostChecklist[RequirementID],A119,
 tblCostChecklist[PlayerPaid],TRUE
)&gt;0</f>
        <v>0</v>
      </c>
      <c r="I119" s="49">
        <f t="shared" si="1"/>
        <v>6</v>
      </c>
      <c r="J119" s="49">
        <f t="shared" si="2"/>
        <v>0</v>
      </c>
      <c r="K119" s="49">
        <f t="shared" si="3"/>
        <v>6</v>
      </c>
      <c r="L119" s="49" t="b">
        <f t="shared" si="4"/>
        <v>0</v>
      </c>
      <c r="M119" s="88">
        <f t="shared" si="5"/>
        <v>0</v>
      </c>
    </row>
    <row r="120" ht="14.25" customHeight="1">
      <c r="A120" s="49" t="s">
        <v>539</v>
      </c>
      <c r="B120" s="49" t="str">
        <f>IFERROR(__xludf.DUMMYFUNCTION("REGEXEXTRACT(A120,""^cost\.(.*)\.[^.]+\.[^.]+$"")"),"building.dungeon@1")</f>
        <v>building.dungeon@1</v>
      </c>
      <c r="C120" s="49" t="str">
        <f t="array" ref="C120">_xlfn.XLOOKUP(
 B120,
 tblTargets[TargetID],
 tblTargets[DisplayName],
 ""
)</f>
        <v>Dungeon Lv 1</v>
      </c>
      <c r="D120" s="49" t="str">
        <f t="array" ref="D120">_xlfn.XLOOKUP(
 B120,
 tblTargets[TargetID],
 tblTargets[TargetType],
 ""
)</f>
        <v>BUILDING</v>
      </c>
      <c r="E120" s="49" t="s">
        <v>119</v>
      </c>
      <c r="F120" s="87">
        <f>IFERROR(__xludf.DUMMYFUNCTION("VALUE(REGEXEXTRACT(A120,""([^.]+)$""))"),1.0)</f>
        <v>1</v>
      </c>
      <c r="G120" s="49">
        <v>300.0</v>
      </c>
      <c r="H120" s="26" t="b">
        <f>COUNTIFS(
 tblCostChecklist[RequirementID],A120,
 tblCostChecklist[PlayerPaid],TRUE
)&gt;0</f>
        <v>0</v>
      </c>
      <c r="I120" s="49">
        <f t="shared" si="1"/>
        <v>6</v>
      </c>
      <c r="J120" s="49">
        <f t="shared" si="2"/>
        <v>0</v>
      </c>
      <c r="K120" s="49">
        <f t="shared" si="3"/>
        <v>6</v>
      </c>
      <c r="L120" s="49" t="b">
        <f t="shared" si="4"/>
        <v>0</v>
      </c>
      <c r="M120" s="88">
        <f t="shared" si="5"/>
        <v>0</v>
      </c>
    </row>
    <row r="121" ht="14.25" customHeight="1">
      <c r="A121" s="49" t="s">
        <v>548</v>
      </c>
      <c r="B121" s="49" t="str">
        <f>IFERROR(__xludf.DUMMYFUNCTION("REGEXEXTRACT(A121,""^cost\.(.*)\.[^.]+\.[^.]+$"")"),"building.dungeon@1")</f>
        <v>building.dungeon@1</v>
      </c>
      <c r="C121" s="49" t="str">
        <f t="array" ref="C121">_xlfn.XLOOKUP(
 B121,
 tblTargets[TargetID],
 tblTargets[DisplayName],
 ""
)</f>
        <v>Dungeon Lv 1</v>
      </c>
      <c r="D121" s="49" t="str">
        <f t="array" ref="D121">_xlfn.XLOOKUP(
 B121,
 tblTargets[TargetID],
 tblTargets[TargetType],
 ""
)</f>
        <v>BUILDING</v>
      </c>
      <c r="E121" s="49" t="s">
        <v>244</v>
      </c>
      <c r="F121" s="87">
        <f>IFERROR(__xludf.DUMMYFUNCTION("VALUE(REGEXEXTRACT(A121,""([^.]+)$""))"),1.0)</f>
        <v>1</v>
      </c>
      <c r="G121" s="49">
        <v>200.0</v>
      </c>
      <c r="H121" s="26" t="b">
        <f>COUNTIFS(
 tblCostChecklist[RequirementID],A121,
 tblCostChecklist[PlayerPaid],TRUE
)&gt;0</f>
        <v>0</v>
      </c>
      <c r="I121" s="49">
        <f t="shared" si="1"/>
        <v>6</v>
      </c>
      <c r="J121" s="49">
        <f t="shared" si="2"/>
        <v>0</v>
      </c>
      <c r="K121" s="49">
        <f t="shared" si="3"/>
        <v>6</v>
      </c>
      <c r="L121" s="49" t="b">
        <f t="shared" si="4"/>
        <v>0</v>
      </c>
      <c r="M121" s="88">
        <f t="shared" si="5"/>
        <v>0</v>
      </c>
    </row>
    <row r="122" ht="14.25" customHeight="1">
      <c r="A122" s="49" t="s">
        <v>547</v>
      </c>
      <c r="B122" s="49" t="str">
        <f>IFERROR(__xludf.DUMMYFUNCTION("REGEXEXTRACT(A122,""^cost\.(.*)\.[^.]+\.[^.]+$"")"),"building.dungeon@1")</f>
        <v>building.dungeon@1</v>
      </c>
      <c r="C122" s="49" t="str">
        <f t="array" ref="C122">_xlfn.XLOOKUP(
 B122,
 tblTargets[TargetID],
 tblTargets[DisplayName],
 ""
)</f>
        <v>Dungeon Lv 1</v>
      </c>
      <c r="D122" s="49" t="str">
        <f t="array" ref="D122">_xlfn.XLOOKUP(
 B122,
 tblTargets[TargetID],
 tblTargets[TargetType],
 ""
)</f>
        <v>BUILDING</v>
      </c>
      <c r="E122" s="49" t="s">
        <v>237</v>
      </c>
      <c r="F122" s="87">
        <f>IFERROR(__xludf.DUMMYFUNCTION("VALUE(REGEXEXTRACT(A122,""([^.]+)$""))"),1.0)</f>
        <v>1</v>
      </c>
      <c r="G122" s="49">
        <v>50.0</v>
      </c>
      <c r="H122" s="26" t="b">
        <f>COUNTIFS(
 tblCostChecklist[RequirementID],A122,
 tblCostChecklist[PlayerPaid],TRUE
)&gt;0</f>
        <v>0</v>
      </c>
      <c r="I122" s="49">
        <f t="shared" si="1"/>
        <v>6</v>
      </c>
      <c r="J122" s="49">
        <f t="shared" si="2"/>
        <v>0</v>
      </c>
      <c r="K122" s="49">
        <f t="shared" si="3"/>
        <v>6</v>
      </c>
      <c r="L122" s="49" t="b">
        <f t="shared" si="4"/>
        <v>0</v>
      </c>
      <c r="M122" s="88">
        <f t="shared" si="5"/>
        <v>0</v>
      </c>
    </row>
    <row r="123" ht="14.25" customHeight="1">
      <c r="A123" s="49" t="s">
        <v>545</v>
      </c>
      <c r="B123" s="49" t="str">
        <f>IFERROR(__xludf.DUMMYFUNCTION("REGEXEXTRACT(A123,""^cost\.(.*)\.[^.]+\.[^.]+$"")"),"building.dungeon@1")</f>
        <v>building.dungeon@1</v>
      </c>
      <c r="C123" s="49" t="str">
        <f t="array" ref="C123">_xlfn.XLOOKUP(
 B123,
 tblTargets[TargetID],
 tblTargets[DisplayName],
 ""
)</f>
        <v>Dungeon Lv 1</v>
      </c>
      <c r="D123" s="49" t="str">
        <f t="array" ref="D123">_xlfn.XLOOKUP(
 B123,
 tblTargets[TargetID],
 tblTargets[TargetType],
 ""
)</f>
        <v>BUILDING</v>
      </c>
      <c r="E123" s="49" t="s">
        <v>392</v>
      </c>
      <c r="F123" s="87">
        <f>IFERROR(__xludf.DUMMYFUNCTION("VALUE(REGEXEXTRACT(A123,""([^.]+)$""))"),1.0)</f>
        <v>1</v>
      </c>
      <c r="G123" s="49">
        <v>100.0</v>
      </c>
      <c r="H123" s="26" t="b">
        <f>COUNTIFS(
 tblCostChecklist[RequirementID],A123,
 tblCostChecklist[PlayerPaid],TRUE
)&gt;0</f>
        <v>0</v>
      </c>
      <c r="I123" s="49">
        <f t="shared" si="1"/>
        <v>6</v>
      </c>
      <c r="J123" s="49">
        <f t="shared" si="2"/>
        <v>0</v>
      </c>
      <c r="K123" s="49">
        <f t="shared" si="3"/>
        <v>6</v>
      </c>
      <c r="L123" s="49" t="b">
        <f t="shared" si="4"/>
        <v>0</v>
      </c>
      <c r="M123" s="88">
        <f t="shared" si="5"/>
        <v>0</v>
      </c>
    </row>
    <row r="124" ht="14.25" customHeight="1">
      <c r="A124" s="49" t="s">
        <v>541</v>
      </c>
      <c r="B124" s="49" t="str">
        <f>IFERROR(__xludf.DUMMYFUNCTION("REGEXEXTRACT(A124,""^cost\.(.*)\.[^.]+\.[^.]+$"")"),"building.dungeon@1")</f>
        <v>building.dungeon@1</v>
      </c>
      <c r="C124" s="49" t="str">
        <f t="array" ref="C124">_xlfn.XLOOKUP(
 B124,
 tblTargets[TargetID],
 tblTargets[DisplayName],
 ""
)</f>
        <v>Dungeon Lv 1</v>
      </c>
      <c r="D124" s="49" t="str">
        <f t="array" ref="D124">_xlfn.XLOOKUP(
 B124,
 tblTargets[TargetID],
 tblTargets[TargetType],
 ""
)</f>
        <v>BUILDING</v>
      </c>
      <c r="E124" s="49" t="s">
        <v>171</v>
      </c>
      <c r="F124" s="87">
        <f>IFERROR(__xludf.DUMMYFUNCTION("VALUE(REGEXEXTRACT(A124,""([^.]+)$""))"),1.0)</f>
        <v>1</v>
      </c>
      <c r="G124" s="49">
        <v>30.0</v>
      </c>
      <c r="H124" s="26" t="b">
        <f>COUNTIFS(
 tblCostChecklist[RequirementID],A124,
 tblCostChecklist[PlayerPaid],TRUE
)&gt;0</f>
        <v>0</v>
      </c>
      <c r="I124" s="49">
        <f t="shared" si="1"/>
        <v>6</v>
      </c>
      <c r="J124" s="49">
        <f t="shared" si="2"/>
        <v>0</v>
      </c>
      <c r="K124" s="49">
        <f t="shared" si="3"/>
        <v>6</v>
      </c>
      <c r="L124" s="49" t="b">
        <f t="shared" si="4"/>
        <v>0</v>
      </c>
      <c r="M124" s="88">
        <f t="shared" si="5"/>
        <v>0</v>
      </c>
    </row>
    <row r="125" ht="14.25" customHeight="1">
      <c r="A125" s="49" t="s">
        <v>562</v>
      </c>
      <c r="B125" s="49" t="str">
        <f>IFERROR(__xludf.DUMMYFUNCTION("REGEXEXTRACT(A125,""^cost\.(.*)\.[^.]+\.[^.]+$"")"),"building.dungeon@2")</f>
        <v>building.dungeon@2</v>
      </c>
      <c r="C125" s="49" t="str">
        <f t="array" ref="C125">_xlfn.XLOOKUP(
 B125,
 tblTargets[TargetID],
 tblTargets[DisplayName],
 ""
)</f>
        <v>Dungeon Lv 2</v>
      </c>
      <c r="D125" s="49" t="str">
        <f t="array" ref="D125">_xlfn.XLOOKUP(
 B125,
 tblTargets[TargetID],
 tblTargets[TargetType],
 ""
)</f>
        <v>BUILDING</v>
      </c>
      <c r="E125" s="49" t="s">
        <v>6</v>
      </c>
      <c r="F125" s="87">
        <f>IFERROR(__xludf.DUMMYFUNCTION("VALUE(REGEXEXTRACT(A125,""([^.]+)$""))"),1.0)</f>
        <v>1</v>
      </c>
      <c r="G125" s="49">
        <v>2.0</v>
      </c>
      <c r="H125" s="26" t="b">
        <f>COUNTIFS(
 tblCostChecklist[RequirementID],A125,
 tblCostChecklist[PlayerPaid],TRUE
)&gt;0</f>
        <v>0</v>
      </c>
      <c r="I125" s="49">
        <f t="shared" si="1"/>
        <v>7</v>
      </c>
      <c r="J125" s="49">
        <f t="shared" si="2"/>
        <v>0</v>
      </c>
      <c r="K125" s="49">
        <f t="shared" si="3"/>
        <v>7</v>
      </c>
      <c r="L125" s="49" t="b">
        <f t="shared" si="4"/>
        <v>0</v>
      </c>
      <c r="M125" s="88">
        <f t="shared" si="5"/>
        <v>0</v>
      </c>
    </row>
    <row r="126" ht="14.25" customHeight="1">
      <c r="A126" s="49" t="s">
        <v>555</v>
      </c>
      <c r="B126" s="49" t="str">
        <f>IFERROR(__xludf.DUMMYFUNCTION("REGEXEXTRACT(A126,""^cost\.(.*)\.[^.]+\.[^.]+$"")"),"building.dungeon@2")</f>
        <v>building.dungeon@2</v>
      </c>
      <c r="C126" s="49" t="str">
        <f t="array" ref="C126">_xlfn.XLOOKUP(
 B126,
 tblTargets[TargetID],
 tblTargets[DisplayName],
 ""
)</f>
        <v>Dungeon Lv 2</v>
      </c>
      <c r="D126" s="49" t="str">
        <f t="array" ref="D126">_xlfn.XLOOKUP(
 B126,
 tblTargets[TargetID],
 tblTargets[TargetType],
 ""
)</f>
        <v>BUILDING</v>
      </c>
      <c r="E126" s="49" t="s">
        <v>119</v>
      </c>
      <c r="F126" s="87">
        <f>IFERROR(__xludf.DUMMYFUNCTION("VALUE(REGEXEXTRACT(A126,""([^.]+)$""))"),1.0)</f>
        <v>1</v>
      </c>
      <c r="G126" s="49">
        <v>500.0</v>
      </c>
      <c r="H126" s="26" t="b">
        <f>COUNTIFS(
 tblCostChecklist[RequirementID],A126,
 tblCostChecklist[PlayerPaid],TRUE
)&gt;0</f>
        <v>0</v>
      </c>
      <c r="I126" s="49">
        <f t="shared" si="1"/>
        <v>7</v>
      </c>
      <c r="J126" s="49">
        <f t="shared" si="2"/>
        <v>0</v>
      </c>
      <c r="K126" s="49">
        <f t="shared" si="3"/>
        <v>7</v>
      </c>
      <c r="L126" s="49" t="b">
        <f t="shared" si="4"/>
        <v>0</v>
      </c>
      <c r="M126" s="88">
        <f t="shared" si="5"/>
        <v>0</v>
      </c>
    </row>
    <row r="127" ht="14.25" customHeight="1">
      <c r="A127" s="49" t="s">
        <v>550</v>
      </c>
      <c r="B127" s="49" t="str">
        <f>IFERROR(__xludf.DUMMYFUNCTION("REGEXEXTRACT(A127,""^cost\.(.*)\.[^.]+\.[^.]+$"")"),"building.dungeon@2")</f>
        <v>building.dungeon@2</v>
      </c>
      <c r="C127" s="49" t="str">
        <f t="array" ref="C127">_xlfn.XLOOKUP(
 B127,
 tblTargets[TargetID],
 tblTargets[DisplayName],
 ""
)</f>
        <v>Dungeon Lv 2</v>
      </c>
      <c r="D127" s="49" t="str">
        <f t="array" ref="D127">_xlfn.XLOOKUP(
 B127,
 tblTargets[TargetID],
 tblTargets[TargetType],
 ""
)</f>
        <v>BUILDING</v>
      </c>
      <c r="E127" s="49" t="s">
        <v>278</v>
      </c>
      <c r="F127" s="87">
        <f>IFERROR(__xludf.DUMMYFUNCTION("VALUE(REGEXEXTRACT(A127,""([^.]+)$""))"),1.0)</f>
        <v>1</v>
      </c>
      <c r="G127" s="49">
        <v>500.0</v>
      </c>
      <c r="H127" s="26" t="b">
        <f>COUNTIFS(
 tblCostChecklist[RequirementID],A127,
 tblCostChecklist[PlayerPaid],TRUE
)&gt;0</f>
        <v>0</v>
      </c>
      <c r="I127" s="49">
        <f t="shared" si="1"/>
        <v>7</v>
      </c>
      <c r="J127" s="49">
        <f t="shared" si="2"/>
        <v>0</v>
      </c>
      <c r="K127" s="49">
        <f t="shared" si="3"/>
        <v>7</v>
      </c>
      <c r="L127" s="49" t="b">
        <f t="shared" si="4"/>
        <v>0</v>
      </c>
      <c r="M127" s="88">
        <f t="shared" si="5"/>
        <v>0</v>
      </c>
    </row>
    <row r="128" ht="14.25" customHeight="1">
      <c r="A128" s="49" t="s">
        <v>564</v>
      </c>
      <c r="B128" s="49" t="str">
        <f>IFERROR(__xludf.DUMMYFUNCTION("REGEXEXTRACT(A128,""^cost\.(.*)\.[^.]+\.[^.]+$"")"),"building.dungeon@2")</f>
        <v>building.dungeon@2</v>
      </c>
      <c r="C128" s="49" t="str">
        <f t="array" ref="C128">_xlfn.XLOOKUP(
 B128,
 tblTargets[TargetID],
 tblTargets[DisplayName],
 ""
)</f>
        <v>Dungeon Lv 2</v>
      </c>
      <c r="D128" s="49" t="str">
        <f t="array" ref="D128">_xlfn.XLOOKUP(
 B128,
 tblTargets[TargetID],
 tblTargets[TargetType],
 ""
)</f>
        <v>BUILDING</v>
      </c>
      <c r="E128" s="49" t="s">
        <v>392</v>
      </c>
      <c r="F128" s="87">
        <f>IFERROR(__xludf.DUMMYFUNCTION("VALUE(REGEXEXTRACT(A128,""([^.]+)$""))"),1.0)</f>
        <v>1</v>
      </c>
      <c r="G128" s="49">
        <v>400.0</v>
      </c>
      <c r="H128" s="26" t="b">
        <f>COUNTIFS(
 tblCostChecklist[RequirementID],A128,
 tblCostChecklist[PlayerPaid],TRUE
)&gt;0</f>
        <v>0</v>
      </c>
      <c r="I128" s="49">
        <f t="shared" si="1"/>
        <v>7</v>
      </c>
      <c r="J128" s="49">
        <f t="shared" si="2"/>
        <v>0</v>
      </c>
      <c r="K128" s="49">
        <f t="shared" si="3"/>
        <v>7</v>
      </c>
      <c r="L128" s="49" t="b">
        <f t="shared" si="4"/>
        <v>0</v>
      </c>
      <c r="M128" s="88">
        <f t="shared" si="5"/>
        <v>0</v>
      </c>
    </row>
    <row r="129" ht="14.25" customHeight="1">
      <c r="A129" s="49" t="s">
        <v>559</v>
      </c>
      <c r="B129" s="49" t="str">
        <f>IFERROR(__xludf.DUMMYFUNCTION("REGEXEXTRACT(A129,""^cost\.(.*)\.[^.]+\.[^.]+$"")"),"building.dungeon@2")</f>
        <v>building.dungeon@2</v>
      </c>
      <c r="C129" s="49" t="str">
        <f t="array" ref="C129">_xlfn.XLOOKUP(
 B129,
 tblTargets[TargetID],
 tblTargets[DisplayName],
 ""
)</f>
        <v>Dungeon Lv 2</v>
      </c>
      <c r="D129" s="49" t="str">
        <f t="array" ref="D129">_xlfn.XLOOKUP(
 B129,
 tblTargets[TargetID],
 tblTargets[TargetType],
 ""
)</f>
        <v>BUILDING</v>
      </c>
      <c r="E129" s="49" t="s">
        <v>561</v>
      </c>
      <c r="F129" s="87">
        <f>IFERROR(__xludf.DUMMYFUNCTION("VALUE(REGEXEXTRACT(A129,""([^.]+)$""))"),1.0)</f>
        <v>1</v>
      </c>
      <c r="G129" s="49">
        <v>100.0</v>
      </c>
      <c r="H129" s="26" t="b">
        <f>COUNTIFS(
 tblCostChecklist[RequirementID],A129,
 tblCostChecklist[PlayerPaid],TRUE
)&gt;0</f>
        <v>0</v>
      </c>
      <c r="I129" s="49">
        <f t="shared" si="1"/>
        <v>7</v>
      </c>
      <c r="J129" s="49">
        <f t="shared" si="2"/>
        <v>0</v>
      </c>
      <c r="K129" s="49">
        <f t="shared" si="3"/>
        <v>7</v>
      </c>
      <c r="L129" s="49" t="b">
        <f t="shared" si="4"/>
        <v>0</v>
      </c>
      <c r="M129" s="88">
        <f t="shared" si="5"/>
        <v>0</v>
      </c>
    </row>
    <row r="130" ht="14.25" customHeight="1">
      <c r="A130" s="49" t="s">
        <v>552</v>
      </c>
      <c r="B130" s="49" t="str">
        <f>IFERROR(__xludf.DUMMYFUNCTION("REGEXEXTRACT(A130,""^cost\.(.*)\.[^.]+\.[^.]+$"")"),"building.dungeon@2")</f>
        <v>building.dungeon@2</v>
      </c>
      <c r="C130" s="49" t="str">
        <f t="array" ref="C130">_xlfn.XLOOKUP(
 B130,
 tblTargets[TargetID],
 tblTargets[DisplayName],
 ""
)</f>
        <v>Dungeon Lv 2</v>
      </c>
      <c r="D130" s="49" t="str">
        <f t="array" ref="D130">_xlfn.XLOOKUP(
 B130,
 tblTargets[TargetID],
 tblTargets[TargetType],
 ""
)</f>
        <v>BUILDING</v>
      </c>
      <c r="E130" s="49" t="s">
        <v>554</v>
      </c>
      <c r="F130" s="87">
        <f>IFERROR(__xludf.DUMMYFUNCTION("VALUE(REGEXEXTRACT(A130,""([^.]+)$""))"),1.0)</f>
        <v>1</v>
      </c>
      <c r="G130" s="49">
        <v>5.0</v>
      </c>
      <c r="H130" s="26" t="b">
        <f>COUNTIFS(
 tblCostChecklist[RequirementID],A130,
 tblCostChecklist[PlayerPaid],TRUE
)&gt;0</f>
        <v>0</v>
      </c>
      <c r="I130" s="49">
        <f t="shared" si="1"/>
        <v>7</v>
      </c>
      <c r="J130" s="49">
        <f t="shared" si="2"/>
        <v>0</v>
      </c>
      <c r="K130" s="49">
        <f t="shared" si="3"/>
        <v>7</v>
      </c>
      <c r="L130" s="49" t="b">
        <f t="shared" si="4"/>
        <v>0</v>
      </c>
      <c r="M130" s="88">
        <f t="shared" si="5"/>
        <v>0</v>
      </c>
    </row>
    <row r="131" ht="14.25" customHeight="1">
      <c r="A131" s="49" t="s">
        <v>557</v>
      </c>
      <c r="B131" s="49" t="str">
        <f>IFERROR(__xludf.DUMMYFUNCTION("REGEXEXTRACT(A131,""^cost\.(.*)\.[^.]+\.[^.]+$"")"),"building.dungeon@2")</f>
        <v>building.dungeon@2</v>
      </c>
      <c r="C131" s="49" t="str">
        <f t="array" ref="C131">_xlfn.XLOOKUP(
 B131,
 tblTargets[TargetID],
 tblTargets[DisplayName],
 ""
)</f>
        <v>Dungeon Lv 2</v>
      </c>
      <c r="D131" s="49" t="str">
        <f t="array" ref="D131">_xlfn.XLOOKUP(
 B131,
 tblTargets[TargetID],
 tblTargets[TargetType],
 ""
)</f>
        <v>BUILDING</v>
      </c>
      <c r="E131" s="49" t="s">
        <v>132</v>
      </c>
      <c r="F131" s="87">
        <f>IFERROR(__xludf.DUMMYFUNCTION("VALUE(REGEXEXTRACT(A131,""([^.]+)$""))"),1.0)</f>
        <v>1</v>
      </c>
      <c r="G131" s="49">
        <v>15.0</v>
      </c>
      <c r="H131" s="26" t="b">
        <f>COUNTIFS(
 tblCostChecklist[RequirementID],A131,
 tblCostChecklist[PlayerPaid],TRUE
)&gt;0</f>
        <v>0</v>
      </c>
      <c r="I131" s="49">
        <f t="shared" si="1"/>
        <v>7</v>
      </c>
      <c r="J131" s="49">
        <f t="shared" si="2"/>
        <v>0</v>
      </c>
      <c r="K131" s="49">
        <f t="shared" si="3"/>
        <v>7</v>
      </c>
      <c r="L131" s="49" t="b">
        <f t="shared" si="4"/>
        <v>0</v>
      </c>
      <c r="M131" s="88">
        <f t="shared" si="5"/>
        <v>0</v>
      </c>
    </row>
    <row r="132" ht="14.25" customHeight="1">
      <c r="A132" s="49" t="s">
        <v>577</v>
      </c>
      <c r="B132" s="49" t="str">
        <f>IFERROR(__xludf.DUMMYFUNCTION("REGEXEXTRACT(A132,""^cost\.(.*)\.[^.]+\.[^.]+$"")"),"building.dungeon@3")</f>
        <v>building.dungeon@3</v>
      </c>
      <c r="C132" s="49" t="str">
        <f t="array" ref="C132">_xlfn.XLOOKUP(
 B132,
 tblTargets[TargetID],
 tblTargets[DisplayName],
 ""
)</f>
        <v>Dungeon Lv 3</v>
      </c>
      <c r="D132" s="49" t="str">
        <f t="array" ref="D132">_xlfn.XLOOKUP(
 B132,
 tblTargets[TargetID],
 tblTargets[TargetType],
 ""
)</f>
        <v>BUILDING</v>
      </c>
      <c r="E132" s="49" t="s">
        <v>6</v>
      </c>
      <c r="F132" s="87">
        <f>IFERROR(__xludf.DUMMYFUNCTION("VALUE(REGEXEXTRACT(A132,""([^.]+)$""))"),1.0)</f>
        <v>1</v>
      </c>
      <c r="G132" s="49">
        <v>3.0</v>
      </c>
      <c r="H132" s="26" t="b">
        <f>COUNTIFS(
 tblCostChecklist[RequirementID],A132,
 tblCostChecklist[PlayerPaid],TRUE
)&gt;0</f>
        <v>0</v>
      </c>
      <c r="I132" s="49">
        <f t="shared" si="1"/>
        <v>7</v>
      </c>
      <c r="J132" s="49">
        <f t="shared" si="2"/>
        <v>0</v>
      </c>
      <c r="K132" s="49">
        <f t="shared" si="3"/>
        <v>7</v>
      </c>
      <c r="L132" s="49" t="b">
        <f t="shared" si="4"/>
        <v>0</v>
      </c>
      <c r="M132" s="88">
        <f t="shared" si="5"/>
        <v>0</v>
      </c>
    </row>
    <row r="133" ht="14.25" customHeight="1">
      <c r="A133" s="49" t="s">
        <v>568</v>
      </c>
      <c r="B133" s="49" t="str">
        <f>IFERROR(__xludf.DUMMYFUNCTION("REGEXEXTRACT(A133,""^cost\.(.*)\.[^.]+\.[^.]+$"")"),"building.dungeon@3")</f>
        <v>building.dungeon@3</v>
      </c>
      <c r="C133" s="49" t="str">
        <f t="array" ref="C133">_xlfn.XLOOKUP(
 B133,
 tblTargets[TargetID],
 tblTargets[DisplayName],
 ""
)</f>
        <v>Dungeon Lv 3</v>
      </c>
      <c r="D133" s="49" t="str">
        <f t="array" ref="D133">_xlfn.XLOOKUP(
 B133,
 tblTargets[TargetID],
 tblTargets[TargetType],
 ""
)</f>
        <v>BUILDING</v>
      </c>
      <c r="E133" s="49" t="s">
        <v>119</v>
      </c>
      <c r="F133" s="87">
        <f>IFERROR(__xludf.DUMMYFUNCTION("VALUE(REGEXEXTRACT(A133,""([^.]+)$""))"),1.0)</f>
        <v>1</v>
      </c>
      <c r="G133" s="49">
        <v>1000.0</v>
      </c>
      <c r="H133" s="26" t="b">
        <f>COUNTIFS(
 tblCostChecklist[RequirementID],A133,
 tblCostChecklist[PlayerPaid],TRUE
)&gt;0</f>
        <v>0</v>
      </c>
      <c r="I133" s="49">
        <f t="shared" si="1"/>
        <v>7</v>
      </c>
      <c r="J133" s="49">
        <f t="shared" si="2"/>
        <v>0</v>
      </c>
      <c r="K133" s="49">
        <f t="shared" si="3"/>
        <v>7</v>
      </c>
      <c r="L133" s="49" t="b">
        <f t="shared" si="4"/>
        <v>0</v>
      </c>
      <c r="M133" s="88">
        <f t="shared" si="5"/>
        <v>0</v>
      </c>
    </row>
    <row r="134" ht="14.25" customHeight="1">
      <c r="A134" s="49" t="s">
        <v>566</v>
      </c>
      <c r="B134" s="49" t="str">
        <f>IFERROR(__xludf.DUMMYFUNCTION("REGEXEXTRACT(A134,""^cost\.(.*)\.[^.]+\.[^.]+$"")"),"building.dungeon@3")</f>
        <v>building.dungeon@3</v>
      </c>
      <c r="C134" s="49" t="str">
        <f t="array" ref="C134">_xlfn.XLOOKUP(
 B134,
 tblTargets[TargetID],
 tblTargets[DisplayName],
 ""
)</f>
        <v>Dungeon Lv 3</v>
      </c>
      <c r="D134" s="49" t="str">
        <f t="array" ref="D134">_xlfn.XLOOKUP(
 B134,
 tblTargets[TargetID],
 tblTargets[TargetType],
 ""
)</f>
        <v>BUILDING</v>
      </c>
      <c r="E134" s="49" t="s">
        <v>278</v>
      </c>
      <c r="F134" s="87">
        <f>IFERROR(__xludf.DUMMYFUNCTION("VALUE(REGEXEXTRACT(A134,""([^.]+)$""))"),1.0)</f>
        <v>1</v>
      </c>
      <c r="G134" s="49">
        <v>500.0</v>
      </c>
      <c r="H134" s="26" t="b">
        <f>COUNTIFS(
 tblCostChecklist[RequirementID],A134,
 tblCostChecklist[PlayerPaid],TRUE
)&gt;0</f>
        <v>0</v>
      </c>
      <c r="I134" s="49">
        <f t="shared" si="1"/>
        <v>7</v>
      </c>
      <c r="J134" s="49">
        <f t="shared" si="2"/>
        <v>0</v>
      </c>
      <c r="K134" s="49">
        <f t="shared" si="3"/>
        <v>7</v>
      </c>
      <c r="L134" s="49" t="b">
        <f t="shared" si="4"/>
        <v>0</v>
      </c>
      <c r="M134" s="88">
        <f t="shared" si="5"/>
        <v>0</v>
      </c>
    </row>
    <row r="135" ht="14.25" customHeight="1">
      <c r="A135" s="49" t="s">
        <v>579</v>
      </c>
      <c r="B135" s="49" t="str">
        <f>IFERROR(__xludf.DUMMYFUNCTION("REGEXEXTRACT(A135,""^cost\.(.*)\.[^.]+\.[^.]+$"")"),"building.dungeon@3")</f>
        <v>building.dungeon@3</v>
      </c>
      <c r="C135" s="49" t="str">
        <f t="array" ref="C135">_xlfn.XLOOKUP(
 B135,
 tblTargets[TargetID],
 tblTargets[DisplayName],
 ""
)</f>
        <v>Dungeon Lv 3</v>
      </c>
      <c r="D135" s="49" t="str">
        <f t="array" ref="D135">_xlfn.XLOOKUP(
 B135,
 tblTargets[TargetID],
 tblTargets[TargetType],
 ""
)</f>
        <v>BUILDING</v>
      </c>
      <c r="E135" s="49" t="s">
        <v>392</v>
      </c>
      <c r="F135" s="87">
        <f>IFERROR(__xludf.DUMMYFUNCTION("VALUE(REGEXEXTRACT(A135,""([^.]+)$""))"),1.0)</f>
        <v>1</v>
      </c>
      <c r="G135" s="49">
        <v>400.0</v>
      </c>
      <c r="H135" s="26" t="b">
        <f>COUNTIFS(
 tblCostChecklist[RequirementID],A135,
 tblCostChecklist[PlayerPaid],TRUE
)&gt;0</f>
        <v>0</v>
      </c>
      <c r="I135" s="49">
        <f t="shared" si="1"/>
        <v>7</v>
      </c>
      <c r="J135" s="49">
        <f t="shared" si="2"/>
        <v>0</v>
      </c>
      <c r="K135" s="49">
        <f t="shared" si="3"/>
        <v>7</v>
      </c>
      <c r="L135" s="49" t="b">
        <f t="shared" si="4"/>
        <v>0</v>
      </c>
      <c r="M135" s="88">
        <f t="shared" si="5"/>
        <v>0</v>
      </c>
    </row>
    <row r="136" ht="14.25" customHeight="1">
      <c r="A136" s="49" t="s">
        <v>570</v>
      </c>
      <c r="B136" s="49" t="str">
        <f>IFERROR(__xludf.DUMMYFUNCTION("REGEXEXTRACT(A136,""^cost\.(.*)\.[^.]+\.[^.]+$"")"),"building.dungeon@3")</f>
        <v>building.dungeon@3</v>
      </c>
      <c r="C136" s="49" t="str">
        <f t="array" ref="C136">_xlfn.XLOOKUP(
 B136,
 tblTargets[TargetID],
 tblTargets[DisplayName],
 ""
)</f>
        <v>Dungeon Lv 3</v>
      </c>
      <c r="D136" s="49" t="str">
        <f t="array" ref="D136">_xlfn.XLOOKUP(
 B136,
 tblTargets[TargetID],
 tblTargets[TargetType],
 ""
)</f>
        <v>BUILDING</v>
      </c>
      <c r="E136" s="49" t="s">
        <v>571</v>
      </c>
      <c r="F136" s="87">
        <f>IFERROR(__xludf.DUMMYFUNCTION("VALUE(REGEXEXTRACT(A136,""([^.]+)$""))"),1.0)</f>
        <v>1</v>
      </c>
      <c r="G136" s="49">
        <v>50.0</v>
      </c>
      <c r="H136" s="26" t="b">
        <f>COUNTIFS(
 tblCostChecklist[RequirementID],A136,
 tblCostChecklist[PlayerPaid],TRUE
)&gt;0</f>
        <v>0</v>
      </c>
      <c r="I136" s="49">
        <f t="shared" si="1"/>
        <v>7</v>
      </c>
      <c r="J136" s="49">
        <f t="shared" si="2"/>
        <v>0</v>
      </c>
      <c r="K136" s="49">
        <f t="shared" si="3"/>
        <v>7</v>
      </c>
      <c r="L136" s="49" t="b">
        <f t="shared" si="4"/>
        <v>0</v>
      </c>
      <c r="M136" s="88">
        <f t="shared" si="5"/>
        <v>0</v>
      </c>
    </row>
    <row r="137" ht="14.25" customHeight="1">
      <c r="A137" s="49" t="s">
        <v>574</v>
      </c>
      <c r="B137" s="49" t="str">
        <f>IFERROR(__xludf.DUMMYFUNCTION("REGEXEXTRACT(A137,""^cost\.(.*)\.[^.]+\.[^.]+$"")"),"building.dungeon@3")</f>
        <v>building.dungeon@3</v>
      </c>
      <c r="C137" s="49" t="str">
        <f t="array" ref="C137">_xlfn.XLOOKUP(
 B137,
 tblTargets[TargetID],
 tblTargets[DisplayName],
 ""
)</f>
        <v>Dungeon Lv 3</v>
      </c>
      <c r="D137" s="49" t="str">
        <f t="array" ref="D137">_xlfn.XLOOKUP(
 B137,
 tblTargets[TargetID],
 tblTargets[TargetType],
 ""
)</f>
        <v>BUILDING</v>
      </c>
      <c r="E137" s="49" t="s">
        <v>576</v>
      </c>
      <c r="F137" s="87">
        <f>IFERROR(__xludf.DUMMYFUNCTION("VALUE(REGEXEXTRACT(A137,""([^.]+)$""))"),1.0)</f>
        <v>1</v>
      </c>
      <c r="G137" s="49">
        <v>3.0</v>
      </c>
      <c r="H137" s="26" t="b">
        <f>COUNTIFS(
 tblCostChecklist[RequirementID],A137,
 tblCostChecklist[PlayerPaid],TRUE
)&gt;0</f>
        <v>0</v>
      </c>
      <c r="I137" s="49">
        <f t="shared" si="1"/>
        <v>7</v>
      </c>
      <c r="J137" s="49">
        <f t="shared" si="2"/>
        <v>0</v>
      </c>
      <c r="K137" s="49">
        <f t="shared" si="3"/>
        <v>7</v>
      </c>
      <c r="L137" s="49" t="b">
        <f t="shared" si="4"/>
        <v>0</v>
      </c>
      <c r="M137" s="88">
        <f t="shared" si="5"/>
        <v>0</v>
      </c>
    </row>
    <row r="138" ht="14.25" customHeight="1">
      <c r="A138" s="49" t="s">
        <v>573</v>
      </c>
      <c r="B138" s="49" t="str">
        <f>IFERROR(__xludf.DUMMYFUNCTION("REGEXEXTRACT(A138,""^cost\.(.*)\.[^.]+\.[^.]+$"")"),"building.dungeon@3")</f>
        <v>building.dungeon@3</v>
      </c>
      <c r="C138" s="49" t="str">
        <f t="array" ref="C138">_xlfn.XLOOKUP(
 B138,
 tblTargets[TargetID],
 tblTargets[DisplayName],
 ""
)</f>
        <v>Dungeon Lv 3</v>
      </c>
      <c r="D138" s="49" t="str">
        <f t="array" ref="D138">_xlfn.XLOOKUP(
 B138,
 tblTargets[TargetID],
 tblTargets[TargetType],
 ""
)</f>
        <v>BUILDING</v>
      </c>
      <c r="E138" s="49" t="s">
        <v>132</v>
      </c>
      <c r="F138" s="87">
        <f>IFERROR(__xludf.DUMMYFUNCTION("VALUE(REGEXEXTRACT(A138,""([^.]+)$""))"),1.0)</f>
        <v>1</v>
      </c>
      <c r="G138" s="49">
        <v>15.0</v>
      </c>
      <c r="H138" s="26" t="b">
        <f>COUNTIFS(
 tblCostChecklist[RequirementID],A138,
 tblCostChecklist[PlayerPaid],TRUE
)&gt;0</f>
        <v>0</v>
      </c>
      <c r="I138" s="49">
        <f t="shared" si="1"/>
        <v>7</v>
      </c>
      <c r="J138" s="49">
        <f t="shared" si="2"/>
        <v>0</v>
      </c>
      <c r="K138" s="49">
        <f t="shared" si="3"/>
        <v>7</v>
      </c>
      <c r="L138" s="49" t="b">
        <f t="shared" si="4"/>
        <v>0</v>
      </c>
      <c r="M138" s="88">
        <f t="shared" si="5"/>
        <v>0</v>
      </c>
    </row>
    <row r="139" ht="14.25" customHeight="1">
      <c r="A139" s="49" t="s">
        <v>595</v>
      </c>
      <c r="B139" s="49" t="str">
        <f>IFERROR(__xludf.DUMMYFUNCTION("REGEXEXTRACT(A139,""^cost\.(.*)\.[^.]+\.[^.]+$"")"),"building.dungeon@4")</f>
        <v>building.dungeon@4</v>
      </c>
      <c r="C139" s="49" t="str">
        <f t="array" ref="C139">_xlfn.XLOOKUP(
 B139,
 tblTargets[TargetID],
 tblTargets[DisplayName],
 ""
)</f>
        <v>Dungeon Lv 4</v>
      </c>
      <c r="D139" s="49" t="str">
        <f t="array" ref="D139">_xlfn.XLOOKUP(
 B139,
 tblTargets[TargetID],
 tblTargets[TargetType],
 ""
)</f>
        <v>BUILDING</v>
      </c>
      <c r="E139" s="49" t="s">
        <v>6</v>
      </c>
      <c r="F139" s="87">
        <f>IFERROR(__xludf.DUMMYFUNCTION("VALUE(REGEXEXTRACT(A139,""([^.]+)$""))"),1.0)</f>
        <v>1</v>
      </c>
      <c r="G139" s="49">
        <v>5.0</v>
      </c>
      <c r="H139" s="26" t="b">
        <f>COUNTIFS(
 tblCostChecklist[RequirementID],A139,
 tblCostChecklist[PlayerPaid],TRUE
)&gt;0</f>
        <v>0</v>
      </c>
      <c r="I139" s="49">
        <f t="shared" si="1"/>
        <v>7</v>
      </c>
      <c r="J139" s="49">
        <f t="shared" si="2"/>
        <v>0</v>
      </c>
      <c r="K139" s="49">
        <f t="shared" si="3"/>
        <v>7</v>
      </c>
      <c r="L139" s="49" t="b">
        <f t="shared" si="4"/>
        <v>0</v>
      </c>
      <c r="M139" s="88">
        <f t="shared" si="5"/>
        <v>0</v>
      </c>
    </row>
    <row r="140" ht="14.25" customHeight="1">
      <c r="A140" s="49" t="s">
        <v>585</v>
      </c>
      <c r="B140" s="49" t="str">
        <f>IFERROR(__xludf.DUMMYFUNCTION("REGEXEXTRACT(A140,""^cost\.(.*)\.[^.]+\.[^.]+$"")"),"building.dungeon@4")</f>
        <v>building.dungeon@4</v>
      </c>
      <c r="C140" s="49" t="str">
        <f t="array" ref="C140">_xlfn.XLOOKUP(
 B140,
 tblTargets[TargetID],
 tblTargets[DisplayName],
 ""
)</f>
        <v>Dungeon Lv 4</v>
      </c>
      <c r="D140" s="49" t="str">
        <f t="array" ref="D140">_xlfn.XLOOKUP(
 B140,
 tblTargets[TargetID],
 tblTargets[TargetType],
 ""
)</f>
        <v>BUILDING</v>
      </c>
      <c r="E140" s="49" t="s">
        <v>119</v>
      </c>
      <c r="F140" s="87">
        <f>IFERROR(__xludf.DUMMYFUNCTION("VALUE(REGEXEXTRACT(A140,""([^.]+)$""))"),1.0)</f>
        <v>1</v>
      </c>
      <c r="G140" s="49">
        <v>1500.0</v>
      </c>
      <c r="H140" s="26" t="b">
        <f>COUNTIFS(
 tblCostChecklist[RequirementID],A140,
 tblCostChecklist[PlayerPaid],TRUE
)&gt;0</f>
        <v>0</v>
      </c>
      <c r="I140" s="49">
        <f t="shared" si="1"/>
        <v>7</v>
      </c>
      <c r="J140" s="49">
        <f t="shared" si="2"/>
        <v>0</v>
      </c>
      <c r="K140" s="49">
        <f t="shared" si="3"/>
        <v>7</v>
      </c>
      <c r="L140" s="49" t="b">
        <f t="shared" si="4"/>
        <v>0</v>
      </c>
      <c r="M140" s="88">
        <f t="shared" si="5"/>
        <v>0</v>
      </c>
    </row>
    <row r="141" ht="14.25" customHeight="1">
      <c r="A141" s="49" t="s">
        <v>580</v>
      </c>
      <c r="B141" s="49" t="str">
        <f>IFERROR(__xludf.DUMMYFUNCTION("REGEXEXTRACT(A141,""^cost\.(.*)\.[^.]+\.[^.]+$"")"),"building.dungeon@4")</f>
        <v>building.dungeon@4</v>
      </c>
      <c r="C141" s="49" t="str">
        <f t="array" ref="C141">_xlfn.XLOOKUP(
 B141,
 tblTargets[TargetID],
 tblTargets[DisplayName],
 ""
)</f>
        <v>Dungeon Lv 4</v>
      </c>
      <c r="D141" s="49" t="str">
        <f t="array" ref="D141">_xlfn.XLOOKUP(
 B141,
 tblTargets[TargetID],
 tblTargets[TargetType],
 ""
)</f>
        <v>BUILDING</v>
      </c>
      <c r="E141" s="49" t="s">
        <v>278</v>
      </c>
      <c r="F141" s="87">
        <f>IFERROR(__xludf.DUMMYFUNCTION("VALUE(REGEXEXTRACT(A141,""([^.]+)$""))"),1.0)</f>
        <v>1</v>
      </c>
      <c r="G141" s="49">
        <v>750.0</v>
      </c>
      <c r="H141" s="26" t="b">
        <f>COUNTIFS(
 tblCostChecklist[RequirementID],A141,
 tblCostChecklist[PlayerPaid],TRUE
)&gt;0</f>
        <v>0</v>
      </c>
      <c r="I141" s="49">
        <f t="shared" si="1"/>
        <v>7</v>
      </c>
      <c r="J141" s="49">
        <f t="shared" si="2"/>
        <v>0</v>
      </c>
      <c r="K141" s="49">
        <f t="shared" si="3"/>
        <v>7</v>
      </c>
      <c r="L141" s="49" t="b">
        <f t="shared" si="4"/>
        <v>0</v>
      </c>
      <c r="M141" s="88">
        <f t="shared" si="5"/>
        <v>0</v>
      </c>
    </row>
    <row r="142" ht="14.25" customHeight="1">
      <c r="A142" s="49" t="s">
        <v>587</v>
      </c>
      <c r="B142" s="49" t="str">
        <f>IFERROR(__xludf.DUMMYFUNCTION("REGEXEXTRACT(A142,""^cost\.(.*)\.[^.]+\.[^.]+$"")"),"building.dungeon@4")</f>
        <v>building.dungeon@4</v>
      </c>
      <c r="C142" s="49" t="str">
        <f t="array" ref="C142">_xlfn.XLOOKUP(
 B142,
 tblTargets[TargetID],
 tblTargets[DisplayName],
 ""
)</f>
        <v>Dungeon Lv 4</v>
      </c>
      <c r="D142" s="49" t="str">
        <f t="array" ref="D142">_xlfn.XLOOKUP(
 B142,
 tblTargets[TargetID],
 tblTargets[TargetType],
 ""
)</f>
        <v>BUILDING</v>
      </c>
      <c r="E142" s="49" t="s">
        <v>588</v>
      </c>
      <c r="F142" s="87">
        <f>IFERROR(__xludf.DUMMYFUNCTION("VALUE(REGEXEXTRACT(A142,""([^.]+)$""))"),1.0)</f>
        <v>1</v>
      </c>
      <c r="G142" s="49">
        <v>30.0</v>
      </c>
      <c r="H142" s="26" t="b">
        <f>COUNTIFS(
 tblCostChecklist[RequirementID],A142,
 tblCostChecklist[PlayerPaid],TRUE
)&gt;0</f>
        <v>0</v>
      </c>
      <c r="I142" s="49">
        <f t="shared" si="1"/>
        <v>7</v>
      </c>
      <c r="J142" s="49">
        <f t="shared" si="2"/>
        <v>0</v>
      </c>
      <c r="K142" s="49">
        <f t="shared" si="3"/>
        <v>7</v>
      </c>
      <c r="L142" s="49" t="b">
        <f t="shared" si="4"/>
        <v>0</v>
      </c>
      <c r="M142" s="88">
        <f t="shared" si="5"/>
        <v>0</v>
      </c>
    </row>
    <row r="143" ht="14.25" customHeight="1">
      <c r="A143" s="49" t="s">
        <v>582</v>
      </c>
      <c r="B143" s="49" t="str">
        <f>IFERROR(__xludf.DUMMYFUNCTION("REGEXEXTRACT(A143,""^cost\.(.*)\.[^.]+\.[^.]+$"")"),"building.dungeon@4")</f>
        <v>building.dungeon@4</v>
      </c>
      <c r="C143" s="49" t="str">
        <f t="array" ref="C143">_xlfn.XLOOKUP(
 B143,
 tblTargets[TargetID],
 tblTargets[DisplayName],
 ""
)</f>
        <v>Dungeon Lv 4</v>
      </c>
      <c r="D143" s="49" t="str">
        <f t="array" ref="D143">_xlfn.XLOOKUP(
 B143,
 tblTargets[TargetID],
 tblTargets[TargetType],
 ""
)</f>
        <v>BUILDING</v>
      </c>
      <c r="E143" s="49" t="s">
        <v>583</v>
      </c>
      <c r="F143" s="87">
        <f>IFERROR(__xludf.DUMMYFUNCTION("VALUE(REGEXEXTRACT(A143,""([^.]+)$""))"),1.0)</f>
        <v>1</v>
      </c>
      <c r="G143" s="49">
        <v>5.0</v>
      </c>
      <c r="H143" s="26" t="b">
        <f>COUNTIFS(
 tblCostChecklist[RequirementID],A143,
 tblCostChecklist[PlayerPaid],TRUE
)&gt;0</f>
        <v>0</v>
      </c>
      <c r="I143" s="49">
        <f t="shared" si="1"/>
        <v>7</v>
      </c>
      <c r="J143" s="49">
        <f t="shared" si="2"/>
        <v>0</v>
      </c>
      <c r="K143" s="49">
        <f t="shared" si="3"/>
        <v>7</v>
      </c>
      <c r="L143" s="49" t="b">
        <f t="shared" si="4"/>
        <v>0</v>
      </c>
      <c r="M143" s="88">
        <f t="shared" si="5"/>
        <v>0</v>
      </c>
    </row>
    <row r="144" ht="14.25" customHeight="1">
      <c r="A144" s="49" t="s">
        <v>592</v>
      </c>
      <c r="B144" s="49" t="str">
        <f>IFERROR(__xludf.DUMMYFUNCTION("REGEXEXTRACT(A144,""^cost\.(.*)\.[^.]+\.[^.]+$"")"),"building.dungeon@4")</f>
        <v>building.dungeon@4</v>
      </c>
      <c r="C144" s="49" t="str">
        <f t="array" ref="C144">_xlfn.XLOOKUP(
 B144,
 tblTargets[TargetID],
 tblTargets[DisplayName],
 ""
)</f>
        <v>Dungeon Lv 4</v>
      </c>
      <c r="D144" s="49" t="str">
        <f t="array" ref="D144">_xlfn.XLOOKUP(
 B144,
 tblTargets[TargetID],
 tblTargets[TargetType],
 ""
)</f>
        <v>BUILDING</v>
      </c>
      <c r="E144" s="49" t="s">
        <v>593</v>
      </c>
      <c r="F144" s="87">
        <f>IFERROR(__xludf.DUMMYFUNCTION("VALUE(REGEXEXTRACT(A144,""([^.]+)$""))"),1.0)</f>
        <v>1</v>
      </c>
      <c r="G144" s="49">
        <v>20.0</v>
      </c>
      <c r="H144" s="26" t="b">
        <f>COUNTIFS(
 tblCostChecklist[RequirementID],A144,
 tblCostChecklist[PlayerPaid],TRUE
)&gt;0</f>
        <v>0</v>
      </c>
      <c r="I144" s="49">
        <f t="shared" si="1"/>
        <v>7</v>
      </c>
      <c r="J144" s="49">
        <f t="shared" si="2"/>
        <v>0</v>
      </c>
      <c r="K144" s="49">
        <f t="shared" si="3"/>
        <v>7</v>
      </c>
      <c r="L144" s="49" t="b">
        <f t="shared" si="4"/>
        <v>0</v>
      </c>
      <c r="M144" s="88">
        <f t="shared" si="5"/>
        <v>0</v>
      </c>
    </row>
    <row r="145" ht="14.25" customHeight="1">
      <c r="A145" s="49" t="s">
        <v>590</v>
      </c>
      <c r="B145" s="49" t="str">
        <f>IFERROR(__xludf.DUMMYFUNCTION("REGEXEXTRACT(A145,""^cost\.(.*)\.[^.]+\.[^.]+$"")"),"building.dungeon@4")</f>
        <v>building.dungeon@4</v>
      </c>
      <c r="C145" s="49" t="str">
        <f t="array" ref="C145">_xlfn.XLOOKUP(
 B145,
 tblTargets[TargetID],
 tblTargets[DisplayName],
 ""
)</f>
        <v>Dungeon Lv 4</v>
      </c>
      <c r="D145" s="49" t="str">
        <f t="array" ref="D145">_xlfn.XLOOKUP(
 B145,
 tblTargets[TargetID],
 tblTargets[TargetType],
 ""
)</f>
        <v>BUILDING</v>
      </c>
      <c r="E145" s="49" t="s">
        <v>132</v>
      </c>
      <c r="F145" s="87">
        <f>IFERROR(__xludf.DUMMYFUNCTION("VALUE(REGEXEXTRACT(A145,""([^.]+)$""))"),1.0)</f>
        <v>1</v>
      </c>
      <c r="G145" s="49">
        <v>20.0</v>
      </c>
      <c r="H145" s="26" t="b">
        <f>COUNTIFS(
 tblCostChecklist[RequirementID],A145,
 tblCostChecklist[PlayerPaid],TRUE
)&gt;0</f>
        <v>0</v>
      </c>
      <c r="I145" s="49">
        <f t="shared" si="1"/>
        <v>7</v>
      </c>
      <c r="J145" s="49">
        <f t="shared" si="2"/>
        <v>0</v>
      </c>
      <c r="K145" s="49">
        <f t="shared" si="3"/>
        <v>7</v>
      </c>
      <c r="L145" s="49" t="b">
        <f t="shared" si="4"/>
        <v>0</v>
      </c>
      <c r="M145" s="88">
        <f t="shared" si="5"/>
        <v>0</v>
      </c>
    </row>
    <row r="146" ht="14.25" customHeight="1">
      <c r="A146" s="49" t="s">
        <v>606</v>
      </c>
      <c r="B146" s="49" t="str">
        <f>IFERROR(__xludf.DUMMYFUNCTION("REGEXEXTRACT(A146,""^cost\.(.*)\.[^.]+\.[^.]+$"")"),"building.dungeon@5")</f>
        <v>building.dungeon@5</v>
      </c>
      <c r="C146" s="49" t="str">
        <f t="array" ref="C146">_xlfn.XLOOKUP(
 B146,
 tblTargets[TargetID],
 tblTargets[DisplayName],
 ""
)</f>
        <v>Dungeon Lv 5</v>
      </c>
      <c r="D146" s="49" t="str">
        <f t="array" ref="D146">_xlfn.XLOOKUP(
 B146,
 tblTargets[TargetID],
 tblTargets[TargetType],
 ""
)</f>
        <v>BUILDING</v>
      </c>
      <c r="E146" s="49" t="s">
        <v>6</v>
      </c>
      <c r="F146" s="87">
        <f>IFERROR(__xludf.DUMMYFUNCTION("VALUE(REGEXEXTRACT(A146,""([^.]+)$""))"),1.0)</f>
        <v>1</v>
      </c>
      <c r="G146" s="49">
        <v>7.0</v>
      </c>
      <c r="H146" s="26" t="b">
        <f>COUNTIFS(
 tblCostChecklist[RequirementID],A146,
 tblCostChecklist[PlayerPaid],TRUE
)&gt;0</f>
        <v>0</v>
      </c>
      <c r="I146" s="49">
        <f t="shared" si="1"/>
        <v>6</v>
      </c>
      <c r="J146" s="49">
        <f t="shared" si="2"/>
        <v>0</v>
      </c>
      <c r="K146" s="49">
        <f t="shared" si="3"/>
        <v>6</v>
      </c>
      <c r="L146" s="49" t="b">
        <f t="shared" si="4"/>
        <v>0</v>
      </c>
      <c r="M146" s="88">
        <f t="shared" si="5"/>
        <v>0</v>
      </c>
    </row>
    <row r="147" ht="14.25" customHeight="1">
      <c r="A147" s="49" t="s">
        <v>599</v>
      </c>
      <c r="B147" s="49" t="str">
        <f>IFERROR(__xludf.DUMMYFUNCTION("REGEXEXTRACT(A147,""^cost\.(.*)\.[^.]+\.[^.]+$"")"),"building.dungeon@5")</f>
        <v>building.dungeon@5</v>
      </c>
      <c r="C147" s="49" t="str">
        <f t="array" ref="C147">_xlfn.XLOOKUP(
 B147,
 tblTargets[TargetID],
 tblTargets[DisplayName],
 ""
)</f>
        <v>Dungeon Lv 5</v>
      </c>
      <c r="D147" s="49" t="str">
        <f t="array" ref="D147">_xlfn.XLOOKUP(
 B147,
 tblTargets[TargetID],
 tblTargets[TargetType],
 ""
)</f>
        <v>BUILDING</v>
      </c>
      <c r="E147" s="49" t="s">
        <v>119</v>
      </c>
      <c r="F147" s="87">
        <f>IFERROR(__xludf.DUMMYFUNCTION("VALUE(REGEXEXTRACT(A147,""([^.]+)$""))"),1.0)</f>
        <v>1</v>
      </c>
      <c r="G147" s="49">
        <v>2000.0</v>
      </c>
      <c r="H147" s="26" t="b">
        <f>COUNTIFS(
 tblCostChecklist[RequirementID],A147,
 tblCostChecklist[PlayerPaid],TRUE
)&gt;0</f>
        <v>0</v>
      </c>
      <c r="I147" s="49">
        <f t="shared" si="1"/>
        <v>6</v>
      </c>
      <c r="J147" s="49">
        <f t="shared" si="2"/>
        <v>0</v>
      </c>
      <c r="K147" s="49">
        <f t="shared" si="3"/>
        <v>6</v>
      </c>
      <c r="L147" s="49" t="b">
        <f t="shared" si="4"/>
        <v>0</v>
      </c>
      <c r="M147" s="88">
        <f t="shared" si="5"/>
        <v>0</v>
      </c>
    </row>
    <row r="148" ht="14.25" customHeight="1">
      <c r="A148" s="49" t="s">
        <v>597</v>
      </c>
      <c r="B148" s="49" t="str">
        <f>IFERROR(__xludf.DUMMYFUNCTION("REGEXEXTRACT(A148,""^cost\.(.*)\.[^.]+\.[^.]+$"")"),"building.dungeon@5")</f>
        <v>building.dungeon@5</v>
      </c>
      <c r="C148" s="49" t="str">
        <f t="array" ref="C148">_xlfn.XLOOKUP(
 B148,
 tblTargets[TargetID],
 tblTargets[DisplayName],
 ""
)</f>
        <v>Dungeon Lv 5</v>
      </c>
      <c r="D148" s="49" t="str">
        <f t="array" ref="D148">_xlfn.XLOOKUP(
 B148,
 tblTargets[TargetID],
 tblTargets[TargetType],
 ""
)</f>
        <v>BUILDING</v>
      </c>
      <c r="E148" s="49" t="s">
        <v>278</v>
      </c>
      <c r="F148" s="87">
        <f>IFERROR(__xludf.DUMMYFUNCTION("VALUE(REGEXEXTRACT(A148,""([^.]+)$""))"),1.0)</f>
        <v>1</v>
      </c>
      <c r="G148" s="49">
        <v>1000.0</v>
      </c>
      <c r="H148" s="26" t="b">
        <f>COUNTIFS(
 tblCostChecklist[RequirementID],A148,
 tblCostChecklist[PlayerPaid],TRUE
)&gt;0</f>
        <v>0</v>
      </c>
      <c r="I148" s="49">
        <f t="shared" si="1"/>
        <v>6</v>
      </c>
      <c r="J148" s="49">
        <f t="shared" si="2"/>
        <v>0</v>
      </c>
      <c r="K148" s="49">
        <f t="shared" si="3"/>
        <v>6</v>
      </c>
      <c r="L148" s="49" t="b">
        <f t="shared" si="4"/>
        <v>0</v>
      </c>
      <c r="M148" s="88">
        <f t="shared" si="5"/>
        <v>0</v>
      </c>
    </row>
    <row r="149" ht="14.25" customHeight="1">
      <c r="A149" s="49" t="s">
        <v>601</v>
      </c>
      <c r="B149" s="49" t="str">
        <f>IFERROR(__xludf.DUMMYFUNCTION("REGEXEXTRACT(A149,""^cost\.(.*)\.[^.]+\.[^.]+$"")"),"building.dungeon@5")</f>
        <v>building.dungeon@5</v>
      </c>
      <c r="C149" s="49" t="str">
        <f t="array" ref="C149">_xlfn.XLOOKUP(
 B149,
 tblTargets[TargetID],
 tblTargets[DisplayName],
 ""
)</f>
        <v>Dungeon Lv 5</v>
      </c>
      <c r="D149" s="49" t="str">
        <f t="array" ref="D149">_xlfn.XLOOKUP(
 B149,
 tblTargets[TargetID],
 tblTargets[TargetType],
 ""
)</f>
        <v>BUILDING</v>
      </c>
      <c r="E149" s="49" t="s">
        <v>602</v>
      </c>
      <c r="F149" s="87">
        <f>IFERROR(__xludf.DUMMYFUNCTION("VALUE(REGEXEXTRACT(A149,""([^.]+)$""))"),1.0)</f>
        <v>1</v>
      </c>
      <c r="G149" s="49">
        <v>10.0</v>
      </c>
      <c r="H149" s="26" t="b">
        <f>COUNTIFS(
 tblCostChecklist[RequirementID],A149,
 tblCostChecklist[PlayerPaid],TRUE
)&gt;0</f>
        <v>0</v>
      </c>
      <c r="I149" s="49">
        <f t="shared" si="1"/>
        <v>6</v>
      </c>
      <c r="J149" s="49">
        <f t="shared" si="2"/>
        <v>0</v>
      </c>
      <c r="K149" s="49">
        <f t="shared" si="3"/>
        <v>6</v>
      </c>
      <c r="L149" s="49" t="b">
        <f t="shared" si="4"/>
        <v>0</v>
      </c>
      <c r="M149" s="88">
        <f t="shared" si="5"/>
        <v>0</v>
      </c>
    </row>
    <row r="150" ht="14.25" customHeight="1">
      <c r="A150" s="49" t="s">
        <v>608</v>
      </c>
      <c r="B150" s="49" t="str">
        <f>IFERROR(__xludf.DUMMYFUNCTION("REGEXEXTRACT(A150,""^cost\.(.*)\.[^.]+\.[^.]+$"")"),"building.dungeon@5")</f>
        <v>building.dungeon@5</v>
      </c>
      <c r="C150" s="49" t="str">
        <f t="array" ref="C150">_xlfn.XLOOKUP(
 B150,
 tblTargets[TargetID],
 tblTargets[DisplayName],
 ""
)</f>
        <v>Dungeon Lv 5</v>
      </c>
      <c r="D150" s="49" t="str">
        <f t="array" ref="D150">_xlfn.XLOOKUP(
 B150,
 tblTargets[TargetID],
 tblTargets[TargetType],
 ""
)</f>
        <v>BUILDING</v>
      </c>
      <c r="E150" s="49" t="s">
        <v>609</v>
      </c>
      <c r="F150" s="87">
        <f>IFERROR(__xludf.DUMMYFUNCTION("VALUE(REGEXEXTRACT(A150,""([^.]+)$""))"),1.0)</f>
        <v>1</v>
      </c>
      <c r="G150" s="49">
        <v>10.0</v>
      </c>
      <c r="H150" s="26" t="b">
        <f>COUNTIFS(
 tblCostChecklist[RequirementID],A150,
 tblCostChecklist[PlayerPaid],TRUE
)&gt;0</f>
        <v>0</v>
      </c>
      <c r="I150" s="49">
        <f t="shared" si="1"/>
        <v>6</v>
      </c>
      <c r="J150" s="49">
        <f t="shared" si="2"/>
        <v>0</v>
      </c>
      <c r="K150" s="49">
        <f t="shared" si="3"/>
        <v>6</v>
      </c>
      <c r="L150" s="49" t="b">
        <f t="shared" si="4"/>
        <v>0</v>
      </c>
      <c r="M150" s="88">
        <f t="shared" si="5"/>
        <v>0</v>
      </c>
    </row>
    <row r="151" ht="14.25" customHeight="1">
      <c r="A151" s="49" t="s">
        <v>604</v>
      </c>
      <c r="B151" s="49" t="str">
        <f>IFERROR(__xludf.DUMMYFUNCTION("REGEXEXTRACT(A151,""^cost\.(.*)\.[^.]+\.[^.]+$"")"),"building.dungeon@5")</f>
        <v>building.dungeon@5</v>
      </c>
      <c r="C151" s="49" t="str">
        <f t="array" ref="C151">_xlfn.XLOOKUP(
 B151,
 tblTargets[TargetID],
 tblTargets[DisplayName],
 ""
)</f>
        <v>Dungeon Lv 5</v>
      </c>
      <c r="D151" s="49" t="str">
        <f t="array" ref="D151">_xlfn.XLOOKUP(
 B151,
 tblTargets[TargetID],
 tblTargets[TargetType],
 ""
)</f>
        <v>BUILDING</v>
      </c>
      <c r="E151" s="49" t="s">
        <v>132</v>
      </c>
      <c r="F151" s="87">
        <f>IFERROR(__xludf.DUMMYFUNCTION("VALUE(REGEXEXTRACT(A151,""([^.]+)$""))"),1.0)</f>
        <v>1</v>
      </c>
      <c r="G151" s="49">
        <v>25.0</v>
      </c>
      <c r="H151" s="26" t="b">
        <f>COUNTIFS(
 tblCostChecklist[RequirementID],A151,
 tblCostChecklist[PlayerPaid],TRUE
)&gt;0</f>
        <v>0</v>
      </c>
      <c r="I151" s="49">
        <f t="shared" si="1"/>
        <v>6</v>
      </c>
      <c r="J151" s="49">
        <f t="shared" si="2"/>
        <v>0</v>
      </c>
      <c r="K151" s="49">
        <f t="shared" si="3"/>
        <v>6</v>
      </c>
      <c r="L151" s="49" t="b">
        <f t="shared" si="4"/>
        <v>0</v>
      </c>
      <c r="M151" s="88">
        <f t="shared" si="5"/>
        <v>0</v>
      </c>
    </row>
    <row r="152" ht="14.25" customHeight="1">
      <c r="A152" s="49" t="s">
        <v>2293</v>
      </c>
      <c r="B152" s="49" t="str">
        <f>IFERROR(__xludf.DUMMYFUNCTION("REGEXEXTRACT(A152,""^cost\.(.*)\.[^.]+\.[^.]+$"")"),"citadel.tunnel")</f>
        <v>citadel.tunnel</v>
      </c>
      <c r="C152" s="49" t="str">
        <f t="array" ref="C152">_xlfn.XLOOKUP(
 B152,
 tblTargets[TargetID],
 tblTargets[DisplayName],
 ""
)</f>
        <v>Tunnel</v>
      </c>
      <c r="D152" s="49" t="str">
        <f t="array" ref="D152">_xlfn.XLOOKUP(
 B152,
 tblTargets[TargetID],
 tblTargets[TargetType],
 ""
)</f>
        <v>CITADEL</v>
      </c>
      <c r="E152" s="49" t="s">
        <v>6</v>
      </c>
      <c r="F152" s="87">
        <f>IFERROR(__xludf.DUMMYFUNCTION("VALUE(REGEXEXTRACT(A152,""([^.]+)$""))"),1.0)</f>
        <v>1</v>
      </c>
      <c r="G152" s="49">
        <v>5.0</v>
      </c>
      <c r="H152" s="26" t="b">
        <f>COUNTIFS(
 tblCostChecklist[RequirementID],A152,
 tblCostChecklist[PlayerPaid],TRUE
)&gt;0</f>
        <v>0</v>
      </c>
      <c r="I152" s="49">
        <f t="shared" si="1"/>
        <v>9</v>
      </c>
      <c r="J152" s="49">
        <f t="shared" si="2"/>
        <v>0</v>
      </c>
      <c r="K152" s="49">
        <f t="shared" si="3"/>
        <v>9</v>
      </c>
      <c r="L152" s="49" t="b">
        <f t="shared" si="4"/>
        <v>0</v>
      </c>
      <c r="M152" s="88">
        <f t="shared" si="5"/>
        <v>0</v>
      </c>
    </row>
    <row r="153" ht="14.25" customHeight="1">
      <c r="A153" s="49" t="s">
        <v>2289</v>
      </c>
      <c r="B153" s="49" t="str">
        <f>IFERROR(__xludf.DUMMYFUNCTION("REGEXEXTRACT(A153,""^cost\.(.*)\.[^.]+\.[^.]+$"")"),"citadel.tunnel")</f>
        <v>citadel.tunnel</v>
      </c>
      <c r="C153" s="49" t="str">
        <f t="array" ref="C153">_xlfn.XLOOKUP(
 B153,
 tblTargets[TargetID],
 tblTargets[DisplayName],
 ""
)</f>
        <v>Tunnel</v>
      </c>
      <c r="D153" s="49" t="str">
        <f t="array" ref="D153">_xlfn.XLOOKUP(
 B153,
 tblTargets[TargetID],
 tblTargets[TargetType],
 ""
)</f>
        <v>CITADEL</v>
      </c>
      <c r="E153" s="49" t="s">
        <v>119</v>
      </c>
      <c r="F153" s="87">
        <f>IFERROR(__xludf.DUMMYFUNCTION("VALUE(REGEXEXTRACT(A153,""([^.]+)$""))"),1.0)</f>
        <v>1</v>
      </c>
      <c r="G153" s="49">
        <v>1000.0</v>
      </c>
      <c r="H153" s="26" t="b">
        <f>COUNTIFS(
 tblCostChecklist[RequirementID],A153,
 tblCostChecklist[PlayerPaid],TRUE
)&gt;0</f>
        <v>0</v>
      </c>
      <c r="I153" s="49">
        <f t="shared" si="1"/>
        <v>9</v>
      </c>
      <c r="J153" s="49">
        <f t="shared" si="2"/>
        <v>0</v>
      </c>
      <c r="K153" s="49">
        <f t="shared" si="3"/>
        <v>9</v>
      </c>
      <c r="L153" s="49" t="b">
        <f t="shared" si="4"/>
        <v>0</v>
      </c>
      <c r="M153" s="88">
        <f t="shared" si="5"/>
        <v>0</v>
      </c>
    </row>
    <row r="154" ht="14.25" customHeight="1">
      <c r="A154" s="49" t="s">
        <v>2287</v>
      </c>
      <c r="B154" s="49" t="str">
        <f>IFERROR(__xludf.DUMMYFUNCTION("REGEXEXTRACT(A154,""^cost\.(.*)\.[^.]+\.[^.]+$"")"),"citadel.tunnel")</f>
        <v>citadel.tunnel</v>
      </c>
      <c r="C154" s="49" t="str">
        <f t="array" ref="C154">_xlfn.XLOOKUP(
 B154,
 tblTargets[TargetID],
 tblTargets[DisplayName],
 ""
)</f>
        <v>Tunnel</v>
      </c>
      <c r="D154" s="49" t="str">
        <f t="array" ref="D154">_xlfn.XLOOKUP(
 B154,
 tblTargets[TargetID],
 tblTargets[TargetType],
 ""
)</f>
        <v>CITADEL</v>
      </c>
      <c r="E154" s="49" t="s">
        <v>278</v>
      </c>
      <c r="F154" s="87">
        <f>IFERROR(__xludf.DUMMYFUNCTION("VALUE(REGEXEXTRACT(A154,""([^.]+)$""))"),1.0)</f>
        <v>1</v>
      </c>
      <c r="G154" s="49">
        <v>8000.0</v>
      </c>
      <c r="H154" s="26" t="b">
        <f>COUNTIFS(
 tblCostChecklist[RequirementID],A154,
 tblCostChecklist[PlayerPaid],TRUE
)&gt;0</f>
        <v>0</v>
      </c>
      <c r="I154" s="49">
        <f t="shared" si="1"/>
        <v>9</v>
      </c>
      <c r="J154" s="49">
        <f t="shared" si="2"/>
        <v>0</v>
      </c>
      <c r="K154" s="49">
        <f t="shared" si="3"/>
        <v>9</v>
      </c>
      <c r="L154" s="49" t="b">
        <f t="shared" si="4"/>
        <v>0</v>
      </c>
      <c r="M154" s="88">
        <f t="shared" si="5"/>
        <v>0</v>
      </c>
    </row>
    <row r="155" ht="14.25" customHeight="1">
      <c r="A155" s="49" t="s">
        <v>2295</v>
      </c>
      <c r="B155" s="49" t="str">
        <f>IFERROR(__xludf.DUMMYFUNCTION("REGEXEXTRACT(A155,""^cost\.(.*)\.[^.]+\.[^.]+$"")"),"citadel.tunnel")</f>
        <v>citadel.tunnel</v>
      </c>
      <c r="C155" s="49" t="str">
        <f t="array" ref="C155">_xlfn.XLOOKUP(
 B155,
 tblTargets[TargetID],
 tblTargets[DisplayName],
 ""
)</f>
        <v>Tunnel</v>
      </c>
      <c r="D155" s="49" t="str">
        <f t="array" ref="D155">_xlfn.XLOOKUP(
 B155,
 tblTargets[TargetID],
 tblTargets[TargetType],
 ""
)</f>
        <v>CITADEL</v>
      </c>
      <c r="E155" s="49" t="s">
        <v>237</v>
      </c>
      <c r="F155" s="87">
        <f>IFERROR(__xludf.DUMMYFUNCTION("VALUE(REGEXEXTRACT(A155,""([^.]+)$""))"),1.0)</f>
        <v>1</v>
      </c>
      <c r="G155" s="49">
        <v>500.0</v>
      </c>
      <c r="H155" s="26" t="b">
        <f>COUNTIFS(
 tblCostChecklist[RequirementID],A155,
 tblCostChecklist[PlayerPaid],TRUE
)&gt;0</f>
        <v>0</v>
      </c>
      <c r="I155" s="49">
        <f t="shared" si="1"/>
        <v>9</v>
      </c>
      <c r="J155" s="49">
        <f t="shared" si="2"/>
        <v>0</v>
      </c>
      <c r="K155" s="49">
        <f t="shared" si="3"/>
        <v>9</v>
      </c>
      <c r="L155" s="49" t="b">
        <f t="shared" si="4"/>
        <v>0</v>
      </c>
      <c r="M155" s="88">
        <f t="shared" si="5"/>
        <v>0</v>
      </c>
    </row>
    <row r="156" ht="14.25" customHeight="1">
      <c r="A156" s="49" t="s">
        <v>2294</v>
      </c>
      <c r="B156" s="49" t="str">
        <f>IFERROR(__xludf.DUMMYFUNCTION("REGEXEXTRACT(A156,""^cost\.(.*)\.[^.]+\.[^.]+$"")"),"citadel.tunnel")</f>
        <v>citadel.tunnel</v>
      </c>
      <c r="C156" s="49" t="str">
        <f t="array" ref="C156">_xlfn.XLOOKUP(
 B156,
 tblTargets[TargetID],
 tblTargets[DisplayName],
 ""
)</f>
        <v>Tunnel</v>
      </c>
      <c r="D156" s="49" t="str">
        <f t="array" ref="D156">_xlfn.XLOOKUP(
 B156,
 tblTargets[TargetID],
 tblTargets[TargetType],
 ""
)</f>
        <v>CITADEL</v>
      </c>
      <c r="E156" s="49" t="s">
        <v>392</v>
      </c>
      <c r="F156" s="87">
        <f>IFERROR(__xludf.DUMMYFUNCTION("VALUE(REGEXEXTRACT(A156,""([^.]+)$""))"),1.0)</f>
        <v>1</v>
      </c>
      <c r="G156" s="49">
        <v>1000.0</v>
      </c>
      <c r="H156" s="26" t="b">
        <f>COUNTIFS(
 tblCostChecklist[RequirementID],A156,
 tblCostChecklist[PlayerPaid],TRUE
)&gt;0</f>
        <v>0</v>
      </c>
      <c r="I156" s="49">
        <f t="shared" si="1"/>
        <v>9</v>
      </c>
      <c r="J156" s="49">
        <f t="shared" si="2"/>
        <v>0</v>
      </c>
      <c r="K156" s="49">
        <f t="shared" si="3"/>
        <v>9</v>
      </c>
      <c r="L156" s="49" t="b">
        <f t="shared" si="4"/>
        <v>0</v>
      </c>
      <c r="M156" s="88">
        <f t="shared" si="5"/>
        <v>0</v>
      </c>
    </row>
    <row r="157" ht="14.25" customHeight="1">
      <c r="A157" s="49" t="s">
        <v>2290</v>
      </c>
      <c r="B157" s="49" t="str">
        <f>IFERROR(__xludf.DUMMYFUNCTION("REGEXEXTRACT(A157,""^cost\.(.*)\.[^.]+\.[^.]+$"")"),"citadel.tunnel")</f>
        <v>citadel.tunnel</v>
      </c>
      <c r="C157" s="49" t="str">
        <f t="array" ref="C157">_xlfn.XLOOKUP(
 B157,
 tblTargets[TargetID],
 tblTargets[DisplayName],
 ""
)</f>
        <v>Tunnel</v>
      </c>
      <c r="D157" s="49" t="str">
        <f t="array" ref="D157">_xlfn.XLOOKUP(
 B157,
 tblTargets[TargetID],
 tblTargets[TargetType],
 ""
)</f>
        <v>CITADEL</v>
      </c>
      <c r="E157" s="49" t="s">
        <v>1078</v>
      </c>
      <c r="F157" s="87">
        <f>IFERROR(__xludf.DUMMYFUNCTION("VALUE(REGEXEXTRACT(A157,""([^.]+)$""))"),1.0)</f>
        <v>1</v>
      </c>
      <c r="G157" s="49">
        <v>40.0</v>
      </c>
      <c r="H157" s="26" t="b">
        <f>COUNTIFS(
 tblCostChecklist[RequirementID],A157,
 tblCostChecklist[PlayerPaid],TRUE
)&gt;0</f>
        <v>0</v>
      </c>
      <c r="I157" s="49">
        <f t="shared" si="1"/>
        <v>9</v>
      </c>
      <c r="J157" s="49">
        <f t="shared" si="2"/>
        <v>0</v>
      </c>
      <c r="K157" s="49">
        <f t="shared" si="3"/>
        <v>9</v>
      </c>
      <c r="L157" s="49" t="b">
        <f t="shared" si="4"/>
        <v>0</v>
      </c>
      <c r="M157" s="88">
        <f t="shared" si="5"/>
        <v>0</v>
      </c>
    </row>
    <row r="158" ht="14.25" customHeight="1">
      <c r="A158" s="49" t="s">
        <v>2292</v>
      </c>
      <c r="B158" s="49" t="str">
        <f>IFERROR(__xludf.DUMMYFUNCTION("REGEXEXTRACT(A158,""^cost\.(.*)\.[^.]+\.[^.]+$"")"),"citadel.tunnel")</f>
        <v>citadel.tunnel</v>
      </c>
      <c r="C158" s="49" t="str">
        <f t="array" ref="C158">_xlfn.XLOOKUP(
 B158,
 tblTargets[TargetID],
 tblTargets[DisplayName],
 ""
)</f>
        <v>Tunnel</v>
      </c>
      <c r="D158" s="49" t="str">
        <f t="array" ref="D158">_xlfn.XLOOKUP(
 B158,
 tblTargets[TargetID],
 tblTargets[TargetType],
 ""
)</f>
        <v>CITADEL</v>
      </c>
      <c r="E158" s="49" t="s">
        <v>561</v>
      </c>
      <c r="F158" s="87">
        <f>IFERROR(__xludf.DUMMYFUNCTION("VALUE(REGEXEXTRACT(A158,""([^.]+)$""))"),1.0)</f>
        <v>1</v>
      </c>
      <c r="G158" s="49">
        <v>100.0</v>
      </c>
      <c r="H158" s="26" t="b">
        <f>COUNTIFS(
 tblCostChecklist[RequirementID],A158,
 tblCostChecklist[PlayerPaid],TRUE
)&gt;0</f>
        <v>0</v>
      </c>
      <c r="I158" s="49">
        <f t="shared" si="1"/>
        <v>9</v>
      </c>
      <c r="J158" s="49">
        <f t="shared" si="2"/>
        <v>0</v>
      </c>
      <c r="K158" s="49">
        <f t="shared" si="3"/>
        <v>9</v>
      </c>
      <c r="L158" s="49" t="b">
        <f t="shared" si="4"/>
        <v>0</v>
      </c>
      <c r="M158" s="88">
        <f t="shared" si="5"/>
        <v>0</v>
      </c>
    </row>
    <row r="159" ht="14.25" customHeight="1">
      <c r="A159" s="49" t="s">
        <v>2291</v>
      </c>
      <c r="B159" s="49" t="str">
        <f>IFERROR(__xludf.DUMMYFUNCTION("REGEXEXTRACT(A159,""^cost\.(.*)\.[^.]+\.[^.]+$"")"),"citadel.tunnel")</f>
        <v>citadel.tunnel</v>
      </c>
      <c r="C159" s="49" t="str">
        <f t="array" ref="C159">_xlfn.XLOOKUP(
 B159,
 tblTargets[TargetID],
 tblTargets[DisplayName],
 ""
)</f>
        <v>Tunnel</v>
      </c>
      <c r="D159" s="49" t="str">
        <f t="array" ref="D159">_xlfn.XLOOKUP(
 B159,
 tblTargets[TargetID],
 tblTargets[TargetType],
 ""
)</f>
        <v>CITADEL</v>
      </c>
      <c r="E159" s="49" t="s">
        <v>1537</v>
      </c>
      <c r="F159" s="87">
        <f>IFERROR(__xludf.DUMMYFUNCTION("VALUE(REGEXEXTRACT(A159,""([^.]+)$""))"),1.0)</f>
        <v>1</v>
      </c>
      <c r="G159" s="49">
        <v>100.0</v>
      </c>
      <c r="H159" s="26" t="b">
        <f>COUNTIFS(
 tblCostChecklist[RequirementID],A159,
 tblCostChecklist[PlayerPaid],TRUE
)&gt;0</f>
        <v>0</v>
      </c>
      <c r="I159" s="49">
        <f t="shared" si="1"/>
        <v>9</v>
      </c>
      <c r="J159" s="49">
        <f t="shared" si="2"/>
        <v>0</v>
      </c>
      <c r="K159" s="49">
        <f t="shared" si="3"/>
        <v>9</v>
      </c>
      <c r="L159" s="49" t="b">
        <f t="shared" si="4"/>
        <v>0</v>
      </c>
      <c r="M159" s="88">
        <f t="shared" si="5"/>
        <v>0</v>
      </c>
    </row>
    <row r="160" ht="14.25" customHeight="1">
      <c r="A160" s="49" t="s">
        <v>2288</v>
      </c>
      <c r="B160" s="49" t="str">
        <f>IFERROR(__xludf.DUMMYFUNCTION("REGEXEXTRACT(A160,""^cost\.(.*)\.[^.]+\.[^.]+$"")"),"citadel.tunnel")</f>
        <v>citadel.tunnel</v>
      </c>
      <c r="C160" s="49" t="str">
        <f t="array" ref="C160">_xlfn.XLOOKUP(
 B160,
 tblTargets[TargetID],
 tblTargets[DisplayName],
 ""
)</f>
        <v>Tunnel</v>
      </c>
      <c r="D160" s="49" t="str">
        <f t="array" ref="D160">_xlfn.XLOOKUP(
 B160,
 tblTargets[TargetID],
 tblTargets[TargetType],
 ""
)</f>
        <v>CITADEL</v>
      </c>
      <c r="E160" s="49" t="s">
        <v>1055</v>
      </c>
      <c r="F160" s="87">
        <f>IFERROR(__xludf.DUMMYFUNCTION("VALUE(REGEXEXTRACT(A160,""([^.]+)$""))"),1.0)</f>
        <v>1</v>
      </c>
      <c r="G160" s="49">
        <v>100.0</v>
      </c>
      <c r="H160" s="26" t="b">
        <f>COUNTIFS(
 tblCostChecklist[RequirementID],A160,
 tblCostChecklist[PlayerPaid],TRUE
)&gt;0</f>
        <v>0</v>
      </c>
      <c r="I160" s="49">
        <f t="shared" si="1"/>
        <v>9</v>
      </c>
      <c r="J160" s="49">
        <f t="shared" si="2"/>
        <v>0</v>
      </c>
      <c r="K160" s="49">
        <f t="shared" si="3"/>
        <v>9</v>
      </c>
      <c r="L160" s="49" t="b">
        <f t="shared" si="4"/>
        <v>0</v>
      </c>
      <c r="M160" s="88">
        <f t="shared" si="5"/>
        <v>0</v>
      </c>
    </row>
    <row r="161" ht="14.25" customHeight="1">
      <c r="A161" s="49" t="s">
        <v>617</v>
      </c>
      <c r="B161" s="49" t="str">
        <f>IFERROR(__xludf.DUMMYFUNCTION("REGEXEXTRACT(A161,""^cost\.(.*)\.[^.]+\.[^.]+$"")"),"building.fermentory@1")</f>
        <v>building.fermentory@1</v>
      </c>
      <c r="C161" s="49" t="str">
        <f t="array" ref="C161">_xlfn.XLOOKUP(
 B161,
 tblTargets[TargetID],
 tblTargets[DisplayName],
 ""
)</f>
        <v>Fermentory Lv 1</v>
      </c>
      <c r="D161" s="49" t="str">
        <f t="array" ref="D161">_xlfn.XLOOKUP(
 B161,
 tblTargets[TargetID],
 tblTargets[TargetType],
 ""
)</f>
        <v>BUILDING</v>
      </c>
      <c r="E161" s="49" t="s">
        <v>6</v>
      </c>
      <c r="F161" s="87">
        <f>IFERROR(__xludf.DUMMYFUNCTION("VALUE(REGEXEXTRACT(A161,""([^.]+)$""))"),1.0)</f>
        <v>1</v>
      </c>
      <c r="G161" s="49">
        <v>5.0</v>
      </c>
      <c r="H161" s="26" t="b">
        <f>COUNTIFS(
 tblCostChecklist[RequirementID],A161,
 tblCostChecklist[PlayerPaid],TRUE
)&gt;0</f>
        <v>0</v>
      </c>
      <c r="I161" s="49">
        <f t="shared" si="1"/>
        <v>7</v>
      </c>
      <c r="J161" s="49">
        <f t="shared" si="2"/>
        <v>0</v>
      </c>
      <c r="K161" s="49">
        <f t="shared" si="3"/>
        <v>7</v>
      </c>
      <c r="L161" s="49" t="b">
        <f t="shared" si="4"/>
        <v>0</v>
      </c>
      <c r="M161" s="88">
        <f t="shared" si="5"/>
        <v>0</v>
      </c>
    </row>
    <row r="162" ht="14.25" customHeight="1">
      <c r="A162" s="49" t="s">
        <v>613</v>
      </c>
      <c r="B162" s="49" t="str">
        <f>IFERROR(__xludf.DUMMYFUNCTION("REGEXEXTRACT(A162,""^cost\.(.*)\.[^.]+\.[^.]+$"")"),"building.fermentory@1")</f>
        <v>building.fermentory@1</v>
      </c>
      <c r="C162" s="49" t="str">
        <f t="array" ref="C162">_xlfn.XLOOKUP(
 B162,
 tblTargets[TargetID],
 tblTargets[DisplayName],
 ""
)</f>
        <v>Fermentory Lv 1</v>
      </c>
      <c r="D162" s="49" t="str">
        <f t="array" ref="D162">_xlfn.XLOOKUP(
 B162,
 tblTargets[TargetID],
 tblTargets[TargetType],
 ""
)</f>
        <v>BUILDING</v>
      </c>
      <c r="E162" s="49" t="s">
        <v>119</v>
      </c>
      <c r="F162" s="87">
        <f>IFERROR(__xludf.DUMMYFUNCTION("VALUE(REGEXEXTRACT(A162,""([^.]+)$""))"),1.0)</f>
        <v>1</v>
      </c>
      <c r="G162" s="49">
        <v>1000.0</v>
      </c>
      <c r="H162" s="26" t="b">
        <f>COUNTIFS(
 tblCostChecklist[RequirementID],A162,
 tblCostChecklist[PlayerPaid],TRUE
)&gt;0</f>
        <v>0</v>
      </c>
      <c r="I162" s="49">
        <f t="shared" si="1"/>
        <v>7</v>
      </c>
      <c r="J162" s="49">
        <f t="shared" si="2"/>
        <v>0</v>
      </c>
      <c r="K162" s="49">
        <f t="shared" si="3"/>
        <v>7</v>
      </c>
      <c r="L162" s="49" t="b">
        <f t="shared" si="4"/>
        <v>0</v>
      </c>
      <c r="M162" s="88">
        <f t="shared" si="5"/>
        <v>0</v>
      </c>
    </row>
    <row r="163" ht="14.25" customHeight="1">
      <c r="A163" s="49" t="s">
        <v>611</v>
      </c>
      <c r="B163" s="49" t="str">
        <f>IFERROR(__xludf.DUMMYFUNCTION("REGEXEXTRACT(A163,""^cost\.(.*)\.[^.]+\.[^.]+$"")"),"building.fermentory@1")</f>
        <v>building.fermentory@1</v>
      </c>
      <c r="C163" s="49" t="str">
        <f t="array" ref="C163">_xlfn.XLOOKUP(
 B163,
 tblTargets[TargetID],
 tblTargets[DisplayName],
 ""
)</f>
        <v>Fermentory Lv 1</v>
      </c>
      <c r="D163" s="49" t="str">
        <f t="array" ref="D163">_xlfn.XLOOKUP(
 B163,
 tblTargets[TargetID],
 tblTargets[TargetType],
 ""
)</f>
        <v>BUILDING</v>
      </c>
      <c r="E163" s="49" t="s">
        <v>278</v>
      </c>
      <c r="F163" s="87">
        <f>IFERROR(__xludf.DUMMYFUNCTION("VALUE(REGEXEXTRACT(A163,""([^.]+)$""))"),1.0)</f>
        <v>1</v>
      </c>
      <c r="G163" s="49">
        <v>700.0</v>
      </c>
      <c r="H163" s="26" t="b">
        <f>COUNTIFS(
 tblCostChecklist[RequirementID],A163,
 tblCostChecklist[PlayerPaid],TRUE
)&gt;0</f>
        <v>0</v>
      </c>
      <c r="I163" s="49">
        <f t="shared" si="1"/>
        <v>7</v>
      </c>
      <c r="J163" s="49">
        <f t="shared" si="2"/>
        <v>0</v>
      </c>
      <c r="K163" s="49">
        <f t="shared" si="3"/>
        <v>7</v>
      </c>
      <c r="L163" s="49" t="b">
        <f t="shared" si="4"/>
        <v>0</v>
      </c>
      <c r="M163" s="88">
        <f t="shared" si="5"/>
        <v>0</v>
      </c>
    </row>
    <row r="164" ht="14.25" customHeight="1">
      <c r="A164" s="49" t="s">
        <v>634</v>
      </c>
      <c r="B164" s="49" t="str">
        <f>IFERROR(__xludf.DUMMYFUNCTION("REGEXEXTRACT(A164,""^cost\.(.*)\.[^.]+\.[^.]+$"")"),"building.fermentory@1")</f>
        <v>building.fermentory@1</v>
      </c>
      <c r="C164" s="49" t="str">
        <f t="array" ref="C164">_xlfn.XLOOKUP(
 B164,
 tblTargets[TargetID],
 tblTargets[DisplayName],
 ""
)</f>
        <v>Fermentory Lv 1</v>
      </c>
      <c r="D164" s="49" t="str">
        <f t="array" ref="D164">_xlfn.XLOOKUP(
 B164,
 tblTargets[TargetID],
 tblTargets[TargetType],
 ""
)</f>
        <v>BUILDING</v>
      </c>
      <c r="E164" s="49" t="s">
        <v>237</v>
      </c>
      <c r="F164" s="87">
        <f>IFERROR(__xludf.DUMMYFUNCTION("VALUE(REGEXEXTRACT(A164,""([^.]+)$""))"),1.0)</f>
        <v>1</v>
      </c>
      <c r="G164" s="49">
        <v>700.0</v>
      </c>
      <c r="H164" s="26" t="b">
        <f>COUNTIFS(
 tblCostChecklist[RequirementID],A164,
 tblCostChecklist[PlayerPaid],TRUE
)&gt;0</f>
        <v>0</v>
      </c>
      <c r="I164" s="49">
        <f t="shared" si="1"/>
        <v>7</v>
      </c>
      <c r="J164" s="49">
        <f t="shared" si="2"/>
        <v>0</v>
      </c>
      <c r="K164" s="49">
        <f t="shared" si="3"/>
        <v>7</v>
      </c>
      <c r="L164" s="49" t="b">
        <f t="shared" si="4"/>
        <v>0</v>
      </c>
      <c r="M164" s="88">
        <f t="shared" si="5"/>
        <v>0</v>
      </c>
    </row>
    <row r="165" ht="14.25" customHeight="1">
      <c r="A165" s="49" t="s">
        <v>630</v>
      </c>
      <c r="B165" s="49" t="str">
        <f>IFERROR(__xludf.DUMMYFUNCTION("REGEXEXTRACT(A165,""^cost\.(.*)\.[^.]+\.[^.]+$"")"),"building.fermentory@1")</f>
        <v>building.fermentory@1</v>
      </c>
      <c r="C165" s="49" t="str">
        <f t="array" ref="C165">_xlfn.XLOOKUP(
 B165,
 tblTargets[TargetID],
 tblTargets[DisplayName],
 ""
)</f>
        <v>Fermentory Lv 1</v>
      </c>
      <c r="D165" s="49" t="str">
        <f t="array" ref="D165">_xlfn.XLOOKUP(
 B165,
 tblTargets[TargetID],
 tblTargets[TargetType],
 ""
)</f>
        <v>BUILDING</v>
      </c>
      <c r="E165" s="49" t="s">
        <v>392</v>
      </c>
      <c r="F165" s="87">
        <f>IFERROR(__xludf.DUMMYFUNCTION("VALUE(REGEXEXTRACT(A165,""([^.]+)$""))"),1.0)</f>
        <v>1</v>
      </c>
      <c r="G165" s="49">
        <v>300.0</v>
      </c>
      <c r="H165" s="26" t="b">
        <f>COUNTIFS(
 tblCostChecklist[RequirementID],A165,
 tblCostChecklist[PlayerPaid],TRUE
)&gt;0</f>
        <v>0</v>
      </c>
      <c r="I165" s="49">
        <f t="shared" si="1"/>
        <v>7</v>
      </c>
      <c r="J165" s="49">
        <f t="shared" si="2"/>
        <v>0</v>
      </c>
      <c r="K165" s="49">
        <f t="shared" si="3"/>
        <v>7</v>
      </c>
      <c r="L165" s="49" t="b">
        <f t="shared" si="4"/>
        <v>0</v>
      </c>
      <c r="M165" s="88">
        <f t="shared" si="5"/>
        <v>0</v>
      </c>
    </row>
    <row r="166" ht="14.25" customHeight="1">
      <c r="A166" s="49" t="s">
        <v>625</v>
      </c>
      <c r="B166" s="49" t="str">
        <f>IFERROR(__xludf.DUMMYFUNCTION("REGEXEXTRACT(A166,""^cost\.(.*)\.[^.]+\.[^.]+$"")"),"building.fermentory@1")</f>
        <v>building.fermentory@1</v>
      </c>
      <c r="C166" s="49" t="str">
        <f t="array" ref="C166">_xlfn.XLOOKUP(
 B166,
 tblTargets[TargetID],
 tblTargets[DisplayName],
 ""
)</f>
        <v>Fermentory Lv 1</v>
      </c>
      <c r="D166" s="49" t="str">
        <f t="array" ref="D166">_xlfn.XLOOKUP(
 B166,
 tblTargets[TargetID],
 tblTargets[TargetType],
 ""
)</f>
        <v>BUILDING</v>
      </c>
      <c r="E166" s="49" t="s">
        <v>629</v>
      </c>
      <c r="F166" s="87">
        <f>IFERROR(__xludf.DUMMYFUNCTION("VALUE(REGEXEXTRACT(A166,""([^.]+)$""))"),1.0)</f>
        <v>1</v>
      </c>
      <c r="G166" s="49">
        <v>50.0</v>
      </c>
      <c r="H166" s="26" t="b">
        <f>COUNTIFS(
 tblCostChecklist[RequirementID],A166,
 tblCostChecklist[PlayerPaid],TRUE
)&gt;0</f>
        <v>0</v>
      </c>
      <c r="I166" s="49">
        <f t="shared" si="1"/>
        <v>7</v>
      </c>
      <c r="J166" s="49">
        <f t="shared" si="2"/>
        <v>0</v>
      </c>
      <c r="K166" s="49">
        <f t="shared" si="3"/>
        <v>7</v>
      </c>
      <c r="L166" s="49" t="b">
        <f t="shared" si="4"/>
        <v>0</v>
      </c>
      <c r="M166" s="88">
        <f t="shared" si="5"/>
        <v>0</v>
      </c>
    </row>
    <row r="167" ht="14.25" customHeight="1">
      <c r="A167" s="49" t="s">
        <v>615</v>
      </c>
      <c r="B167" s="49" t="str">
        <f>IFERROR(__xludf.DUMMYFUNCTION("REGEXEXTRACT(A167,""^cost\.(.*)\.[^.]+\.[^.]+$"")"),"building.fermentory@1")</f>
        <v>building.fermentory@1</v>
      </c>
      <c r="C167" s="49" t="str">
        <f t="array" ref="C167">_xlfn.XLOOKUP(
 B167,
 tblTargets[TargetID],
 tblTargets[DisplayName],
 ""
)</f>
        <v>Fermentory Lv 1</v>
      </c>
      <c r="D167" s="49" t="str">
        <f t="array" ref="D167">_xlfn.XLOOKUP(
 B167,
 tblTargets[TargetID],
 tblTargets[TargetType],
 ""
)</f>
        <v>BUILDING</v>
      </c>
      <c r="E167" s="49" t="s">
        <v>132</v>
      </c>
      <c r="F167" s="87">
        <f>IFERROR(__xludf.DUMMYFUNCTION("VALUE(REGEXEXTRACT(A167,""([^.]+)$""))"),1.0)</f>
        <v>1</v>
      </c>
      <c r="G167" s="49">
        <v>30.0</v>
      </c>
      <c r="H167" s="26" t="b">
        <f>COUNTIFS(
 tblCostChecklist[RequirementID],A167,
 tblCostChecklist[PlayerPaid],TRUE
)&gt;0</f>
        <v>0</v>
      </c>
      <c r="I167" s="49">
        <f t="shared" si="1"/>
        <v>7</v>
      </c>
      <c r="J167" s="49">
        <f t="shared" si="2"/>
        <v>0</v>
      </c>
      <c r="K167" s="49">
        <f t="shared" si="3"/>
        <v>7</v>
      </c>
      <c r="L167" s="49" t="b">
        <f t="shared" si="4"/>
        <v>0</v>
      </c>
      <c r="M167" s="88">
        <f t="shared" si="5"/>
        <v>0</v>
      </c>
    </row>
    <row r="168" ht="14.25" customHeight="1">
      <c r="A168" s="49" t="s">
        <v>656</v>
      </c>
      <c r="B168" s="49" t="str">
        <f>IFERROR(__xludf.DUMMYFUNCTION("REGEXEXTRACT(A168,""^cost\.(.*)\.[^.]+\.[^.]+$"")"),"building.fermentory@2")</f>
        <v>building.fermentory@2</v>
      </c>
      <c r="C168" s="49" t="str">
        <f t="array" ref="C168">_xlfn.XLOOKUP(
 B168,
 tblTargets[TargetID],
 tblTargets[DisplayName],
 ""
)</f>
        <v>Fermentory Lv 2</v>
      </c>
      <c r="D168" s="49" t="str">
        <f t="array" ref="D168">_xlfn.XLOOKUP(
 B168,
 tblTargets[TargetID],
 tblTargets[TargetType],
 ""
)</f>
        <v>BUILDING</v>
      </c>
      <c r="E168" s="49" t="s">
        <v>6</v>
      </c>
      <c r="F168" s="87">
        <f>IFERROR(__xludf.DUMMYFUNCTION("VALUE(REGEXEXTRACT(A168,""([^.]+)$""))"),1.0)</f>
        <v>1</v>
      </c>
      <c r="G168" s="49">
        <v>5.0</v>
      </c>
      <c r="H168" s="26" t="b">
        <f>COUNTIFS(
 tblCostChecklist[RequirementID],A168,
 tblCostChecklist[PlayerPaid],TRUE
)&gt;0</f>
        <v>0</v>
      </c>
      <c r="I168" s="49">
        <f t="shared" si="1"/>
        <v>8</v>
      </c>
      <c r="J168" s="49">
        <f t="shared" si="2"/>
        <v>0</v>
      </c>
      <c r="K168" s="49">
        <f t="shared" si="3"/>
        <v>8</v>
      </c>
      <c r="L168" s="49" t="b">
        <f t="shared" si="4"/>
        <v>0</v>
      </c>
      <c r="M168" s="88">
        <f t="shared" si="5"/>
        <v>0</v>
      </c>
    </row>
    <row r="169" ht="14.25" customHeight="1">
      <c r="A169" s="49" t="s">
        <v>651</v>
      </c>
      <c r="B169" s="49" t="str">
        <f>IFERROR(__xludf.DUMMYFUNCTION("REGEXEXTRACT(A169,""^cost\.(.*)\.[^.]+\.[^.]+$"")"),"building.fermentory@2")</f>
        <v>building.fermentory@2</v>
      </c>
      <c r="C169" s="49" t="str">
        <f t="array" ref="C169">_xlfn.XLOOKUP(
 B169,
 tblTargets[TargetID],
 tblTargets[DisplayName],
 ""
)</f>
        <v>Fermentory Lv 2</v>
      </c>
      <c r="D169" s="49" t="str">
        <f t="array" ref="D169">_xlfn.XLOOKUP(
 B169,
 tblTargets[TargetID],
 tblTargets[TargetType],
 ""
)</f>
        <v>BUILDING</v>
      </c>
      <c r="E169" s="49" t="s">
        <v>119</v>
      </c>
      <c r="F169" s="87">
        <f>IFERROR(__xludf.DUMMYFUNCTION("VALUE(REGEXEXTRACT(A169,""([^.]+)$""))"),1.0)</f>
        <v>1</v>
      </c>
      <c r="G169" s="49">
        <v>1000.0</v>
      </c>
      <c r="H169" s="26" t="b">
        <f>COUNTIFS(
 tblCostChecklist[RequirementID],A169,
 tblCostChecklist[PlayerPaid],TRUE
)&gt;0</f>
        <v>0</v>
      </c>
      <c r="I169" s="49">
        <f t="shared" si="1"/>
        <v>8</v>
      </c>
      <c r="J169" s="49">
        <f t="shared" si="2"/>
        <v>0</v>
      </c>
      <c r="K169" s="49">
        <f t="shared" si="3"/>
        <v>8</v>
      </c>
      <c r="L169" s="49" t="b">
        <f t="shared" si="4"/>
        <v>0</v>
      </c>
      <c r="M169" s="88">
        <f t="shared" si="5"/>
        <v>0</v>
      </c>
    </row>
    <row r="170" ht="14.25" customHeight="1">
      <c r="A170" s="49" t="s">
        <v>639</v>
      </c>
      <c r="B170" s="49" t="str">
        <f>IFERROR(__xludf.DUMMYFUNCTION("REGEXEXTRACT(A170,""^cost\.(.*)\.[^.]+\.[^.]+$"")"),"building.fermentory@2")</f>
        <v>building.fermentory@2</v>
      </c>
      <c r="C170" s="49" t="str">
        <f t="array" ref="C170">_xlfn.XLOOKUP(
 B170,
 tblTargets[TargetID],
 tblTargets[DisplayName],
 ""
)</f>
        <v>Fermentory Lv 2</v>
      </c>
      <c r="D170" s="49" t="str">
        <f t="array" ref="D170">_xlfn.XLOOKUP(
 B170,
 tblTargets[TargetID],
 tblTargets[TargetType],
 ""
)</f>
        <v>BUILDING</v>
      </c>
      <c r="E170" s="49" t="s">
        <v>278</v>
      </c>
      <c r="F170" s="87">
        <f>IFERROR(__xludf.DUMMYFUNCTION("VALUE(REGEXEXTRACT(A170,""([^.]+)$""))"),1.0)</f>
        <v>1</v>
      </c>
      <c r="G170" s="49">
        <v>900.0</v>
      </c>
      <c r="H170" s="26" t="b">
        <f>COUNTIFS(
 tblCostChecklist[RequirementID],A170,
 tblCostChecklist[PlayerPaid],TRUE
)&gt;0</f>
        <v>0</v>
      </c>
      <c r="I170" s="49">
        <f t="shared" si="1"/>
        <v>8</v>
      </c>
      <c r="J170" s="49">
        <f t="shared" si="2"/>
        <v>0</v>
      </c>
      <c r="K170" s="49">
        <f t="shared" si="3"/>
        <v>8</v>
      </c>
      <c r="L170" s="49" t="b">
        <f t="shared" si="4"/>
        <v>0</v>
      </c>
      <c r="M170" s="88">
        <f t="shared" si="5"/>
        <v>0</v>
      </c>
    </row>
    <row r="171" ht="14.25" customHeight="1">
      <c r="A171" s="49" t="s">
        <v>664</v>
      </c>
      <c r="B171" s="49" t="str">
        <f>IFERROR(__xludf.DUMMYFUNCTION("REGEXEXTRACT(A171,""^cost\.(.*)\.[^.]+\.[^.]+$"")"),"building.fermentory@2")</f>
        <v>building.fermentory@2</v>
      </c>
      <c r="C171" s="49" t="str">
        <f t="array" ref="C171">_xlfn.XLOOKUP(
 B171,
 tblTargets[TargetID],
 tblTargets[DisplayName],
 ""
)</f>
        <v>Fermentory Lv 2</v>
      </c>
      <c r="D171" s="49" t="str">
        <f t="array" ref="D171">_xlfn.XLOOKUP(
 B171,
 tblTargets[TargetID],
 tblTargets[TargetType],
 ""
)</f>
        <v>BUILDING</v>
      </c>
      <c r="E171" s="49" t="s">
        <v>237</v>
      </c>
      <c r="F171" s="87">
        <f>IFERROR(__xludf.DUMMYFUNCTION("VALUE(REGEXEXTRACT(A171,""([^.]+)$""))"),1.0)</f>
        <v>1</v>
      </c>
      <c r="G171" s="49">
        <v>500.0</v>
      </c>
      <c r="H171" s="26" t="b">
        <f>COUNTIFS(
 tblCostChecklist[RequirementID],A171,
 tblCostChecklist[PlayerPaid],TRUE
)&gt;0</f>
        <v>0</v>
      </c>
      <c r="I171" s="49">
        <f t="shared" si="1"/>
        <v>8</v>
      </c>
      <c r="J171" s="49">
        <f t="shared" si="2"/>
        <v>0</v>
      </c>
      <c r="K171" s="49">
        <f t="shared" si="3"/>
        <v>8</v>
      </c>
      <c r="L171" s="49" t="b">
        <f t="shared" si="4"/>
        <v>0</v>
      </c>
      <c r="M171" s="88">
        <f t="shared" si="5"/>
        <v>0</v>
      </c>
    </row>
    <row r="172" ht="14.25" customHeight="1">
      <c r="A172" s="49" t="s">
        <v>646</v>
      </c>
      <c r="B172" s="49" t="str">
        <f>IFERROR(__xludf.DUMMYFUNCTION("REGEXEXTRACT(A172,""^cost\.(.*)\.[^.]+\.[^.]+$"")"),"building.fermentory@2")</f>
        <v>building.fermentory@2</v>
      </c>
      <c r="C172" s="49" t="str">
        <f t="array" ref="C172">_xlfn.XLOOKUP(
 B172,
 tblTargets[TargetID],
 tblTargets[DisplayName],
 ""
)</f>
        <v>Fermentory Lv 2</v>
      </c>
      <c r="D172" s="49" t="str">
        <f t="array" ref="D172">_xlfn.XLOOKUP(
 B172,
 tblTargets[TargetID],
 tblTargets[TargetType],
 ""
)</f>
        <v>BUILDING</v>
      </c>
      <c r="E172" s="49" t="s">
        <v>113</v>
      </c>
      <c r="F172" s="87">
        <f>IFERROR(__xludf.DUMMYFUNCTION("VALUE(REGEXEXTRACT(A172,""([^.]+)$""))"),1.0)</f>
        <v>1</v>
      </c>
      <c r="G172" s="49">
        <v>100.0</v>
      </c>
      <c r="H172" s="26" t="b">
        <f>COUNTIFS(
 tblCostChecklist[RequirementID],A172,
 tblCostChecklist[PlayerPaid],TRUE
)&gt;0</f>
        <v>0</v>
      </c>
      <c r="I172" s="49">
        <f t="shared" si="1"/>
        <v>8</v>
      </c>
      <c r="J172" s="49">
        <f t="shared" si="2"/>
        <v>0</v>
      </c>
      <c r="K172" s="49">
        <f t="shared" si="3"/>
        <v>8</v>
      </c>
      <c r="L172" s="49" t="b">
        <f t="shared" si="4"/>
        <v>0</v>
      </c>
      <c r="M172" s="88">
        <f t="shared" si="5"/>
        <v>0</v>
      </c>
    </row>
    <row r="173" ht="14.25" customHeight="1">
      <c r="A173" s="49" t="s">
        <v>653</v>
      </c>
      <c r="B173" s="49" t="str">
        <f>IFERROR(__xludf.DUMMYFUNCTION("REGEXEXTRACT(A173,""^cost\.(.*)\.[^.]+\.[^.]+$"")"),"building.fermentory@2")</f>
        <v>building.fermentory@2</v>
      </c>
      <c r="C173" s="49" t="str">
        <f t="array" ref="C173">_xlfn.XLOOKUP(
 B173,
 tblTargets[TargetID],
 tblTargets[DisplayName],
 ""
)</f>
        <v>Fermentory Lv 2</v>
      </c>
      <c r="D173" s="49" t="str">
        <f t="array" ref="D173">_xlfn.XLOOKUP(
 B173,
 tblTargets[TargetID],
 tblTargets[TargetType],
 ""
)</f>
        <v>BUILDING</v>
      </c>
      <c r="E173" s="49" t="s">
        <v>140</v>
      </c>
      <c r="F173" s="87">
        <f>IFERROR(__xludf.DUMMYFUNCTION("VALUE(REGEXEXTRACT(A173,""([^.]+)$""))"),1.0)</f>
        <v>1</v>
      </c>
      <c r="G173" s="49">
        <v>30.0</v>
      </c>
      <c r="H173" s="26" t="b">
        <f>COUNTIFS(
 tblCostChecklist[RequirementID],A173,
 tblCostChecklist[PlayerPaid],TRUE
)&gt;0</f>
        <v>0</v>
      </c>
      <c r="I173" s="49">
        <f t="shared" si="1"/>
        <v>8</v>
      </c>
      <c r="J173" s="49">
        <f t="shared" si="2"/>
        <v>0</v>
      </c>
      <c r="K173" s="49">
        <f t="shared" si="3"/>
        <v>8</v>
      </c>
      <c r="L173" s="49" t="b">
        <f t="shared" si="4"/>
        <v>0</v>
      </c>
      <c r="M173" s="88">
        <f t="shared" si="5"/>
        <v>0</v>
      </c>
    </row>
    <row r="174" ht="14.25" customHeight="1">
      <c r="A174" s="49" t="s">
        <v>642</v>
      </c>
      <c r="B174" s="49" t="str">
        <f>IFERROR(__xludf.DUMMYFUNCTION("REGEXEXTRACT(A174,""^cost\.(.*)\.[^.]+\.[^.]+$"")"),"building.fermentory@2")</f>
        <v>building.fermentory@2</v>
      </c>
      <c r="C174" s="49" t="str">
        <f t="array" ref="C174">_xlfn.XLOOKUP(
 B174,
 tblTargets[TargetID],
 tblTargets[DisplayName],
 ""
)</f>
        <v>Fermentory Lv 2</v>
      </c>
      <c r="D174" s="49" t="str">
        <f t="array" ref="D174">_xlfn.XLOOKUP(
 B174,
 tblTargets[TargetID],
 tblTargets[TargetType],
 ""
)</f>
        <v>BUILDING</v>
      </c>
      <c r="E174" s="49" t="s">
        <v>283</v>
      </c>
      <c r="F174" s="87">
        <f>IFERROR(__xludf.DUMMYFUNCTION("VALUE(REGEXEXTRACT(A174,""([^.]+)$""))"),1.0)</f>
        <v>1</v>
      </c>
      <c r="G174" s="49">
        <v>200.0</v>
      </c>
      <c r="H174" s="26" t="b">
        <f>COUNTIFS(
 tblCostChecklist[RequirementID],A174,
 tblCostChecklist[PlayerPaid],TRUE
)&gt;0</f>
        <v>0</v>
      </c>
      <c r="I174" s="49">
        <f t="shared" si="1"/>
        <v>8</v>
      </c>
      <c r="J174" s="49">
        <f t="shared" si="2"/>
        <v>0</v>
      </c>
      <c r="K174" s="49">
        <f t="shared" si="3"/>
        <v>8</v>
      </c>
      <c r="L174" s="49" t="b">
        <f t="shared" si="4"/>
        <v>0</v>
      </c>
      <c r="M174" s="88">
        <f t="shared" si="5"/>
        <v>0</v>
      </c>
    </row>
    <row r="175" ht="14.25" customHeight="1">
      <c r="A175" s="49" t="s">
        <v>661</v>
      </c>
      <c r="B175" s="49" t="str">
        <f>IFERROR(__xludf.DUMMYFUNCTION("REGEXEXTRACT(A175,""^cost\.(.*)\.[^.]+\.[^.]+$"")"),"building.fermentory@2")</f>
        <v>building.fermentory@2</v>
      </c>
      <c r="C175" s="49" t="str">
        <f t="array" ref="C175">_xlfn.XLOOKUP(
 B175,
 tblTargets[TargetID],
 tblTargets[DisplayName],
 ""
)</f>
        <v>Fermentory Lv 2</v>
      </c>
      <c r="D175" s="49" t="str">
        <f t="array" ref="D175">_xlfn.XLOOKUP(
 B175,
 tblTargets[TargetID],
 tblTargets[TargetType],
 ""
)</f>
        <v>BUILDING</v>
      </c>
      <c r="E175" s="49" t="s">
        <v>629</v>
      </c>
      <c r="F175" s="87">
        <f>IFERROR(__xludf.DUMMYFUNCTION("VALUE(REGEXEXTRACT(A175,""([^.]+)$""))"),1.0)</f>
        <v>1</v>
      </c>
      <c r="G175" s="49">
        <v>50.0</v>
      </c>
      <c r="H175" s="26" t="b">
        <f>COUNTIFS(
 tblCostChecklist[RequirementID],A175,
 tblCostChecklist[PlayerPaid],TRUE
)&gt;0</f>
        <v>0</v>
      </c>
      <c r="I175" s="49">
        <f t="shared" si="1"/>
        <v>8</v>
      </c>
      <c r="J175" s="49">
        <f t="shared" si="2"/>
        <v>0</v>
      </c>
      <c r="K175" s="49">
        <f t="shared" si="3"/>
        <v>8</v>
      </c>
      <c r="L175" s="49" t="b">
        <f t="shared" si="4"/>
        <v>0</v>
      </c>
      <c r="M175" s="88">
        <f t="shared" si="5"/>
        <v>0</v>
      </c>
    </row>
    <row r="176" ht="14.25" customHeight="1">
      <c r="A176" s="49" t="s">
        <v>678</v>
      </c>
      <c r="B176" s="49" t="str">
        <f>IFERROR(__xludf.DUMMYFUNCTION("REGEXEXTRACT(A176,""^cost\.(.*)\.[^.]+\.[^.]+$"")"),"building.fermentory@3")</f>
        <v>building.fermentory@3</v>
      </c>
      <c r="C176" s="49" t="str">
        <f t="array" ref="C176">_xlfn.XLOOKUP(
 B176,
 tblTargets[TargetID],
 tblTargets[DisplayName],
 ""
)</f>
        <v>Fermentory Lv 3</v>
      </c>
      <c r="D176" s="49" t="str">
        <f t="array" ref="D176">_xlfn.XLOOKUP(
 B176,
 tblTargets[TargetID],
 tblTargets[TargetType],
 ""
)</f>
        <v>BUILDING</v>
      </c>
      <c r="E176" s="49" t="s">
        <v>6</v>
      </c>
      <c r="F176" s="87">
        <f>IFERROR(__xludf.DUMMYFUNCTION("VALUE(REGEXEXTRACT(A176,""([^.]+)$""))"),1.0)</f>
        <v>1</v>
      </c>
      <c r="G176" s="49">
        <v>7.0</v>
      </c>
      <c r="H176" s="26" t="b">
        <f>COUNTIFS(
 tblCostChecklist[RequirementID],A176,
 tblCostChecklist[PlayerPaid],TRUE
)&gt;0</f>
        <v>0</v>
      </c>
      <c r="I176" s="49">
        <f t="shared" si="1"/>
        <v>7</v>
      </c>
      <c r="J176" s="49">
        <f t="shared" si="2"/>
        <v>0</v>
      </c>
      <c r="K176" s="49">
        <f t="shared" si="3"/>
        <v>7</v>
      </c>
      <c r="L176" s="49" t="b">
        <f t="shared" si="4"/>
        <v>0</v>
      </c>
      <c r="M176" s="88">
        <f t="shared" si="5"/>
        <v>0</v>
      </c>
    </row>
    <row r="177" ht="14.25" customHeight="1">
      <c r="A177" s="49" t="s">
        <v>671</v>
      </c>
      <c r="B177" s="49" t="str">
        <f>IFERROR(__xludf.DUMMYFUNCTION("REGEXEXTRACT(A177,""^cost\.(.*)\.[^.]+\.[^.]+$"")"),"building.fermentory@3")</f>
        <v>building.fermentory@3</v>
      </c>
      <c r="C177" s="49" t="str">
        <f t="array" ref="C177">_xlfn.XLOOKUP(
 B177,
 tblTargets[TargetID],
 tblTargets[DisplayName],
 ""
)</f>
        <v>Fermentory Lv 3</v>
      </c>
      <c r="D177" s="49" t="str">
        <f t="array" ref="D177">_xlfn.XLOOKUP(
 B177,
 tblTargets[TargetID],
 tblTargets[TargetType],
 ""
)</f>
        <v>BUILDING</v>
      </c>
      <c r="E177" s="49" t="s">
        <v>119</v>
      </c>
      <c r="F177" s="87">
        <f>IFERROR(__xludf.DUMMYFUNCTION("VALUE(REGEXEXTRACT(A177,""([^.]+)$""))"),1.0)</f>
        <v>1</v>
      </c>
      <c r="G177" s="49">
        <v>1000.0</v>
      </c>
      <c r="H177" s="26" t="b">
        <f>COUNTIFS(
 tblCostChecklist[RequirementID],A177,
 tblCostChecklist[PlayerPaid],TRUE
)&gt;0</f>
        <v>0</v>
      </c>
      <c r="I177" s="49">
        <f t="shared" si="1"/>
        <v>7</v>
      </c>
      <c r="J177" s="49">
        <f t="shared" si="2"/>
        <v>0</v>
      </c>
      <c r="K177" s="49">
        <f t="shared" si="3"/>
        <v>7</v>
      </c>
      <c r="L177" s="49" t="b">
        <f t="shared" si="4"/>
        <v>0</v>
      </c>
      <c r="M177" s="88">
        <f t="shared" si="5"/>
        <v>0</v>
      </c>
    </row>
    <row r="178" ht="14.25" customHeight="1">
      <c r="A178" s="49" t="s">
        <v>675</v>
      </c>
      <c r="B178" s="49" t="str">
        <f>IFERROR(__xludf.DUMMYFUNCTION("REGEXEXTRACT(A178,""^cost\.(.*)\.[^.]+\.[^.]+$"")"),"building.fermentory@3")</f>
        <v>building.fermentory@3</v>
      </c>
      <c r="C178" s="49" t="str">
        <f t="array" ref="C178">_xlfn.XLOOKUP(
 B178,
 tblTargets[TargetID],
 tblTargets[DisplayName],
 ""
)</f>
        <v>Fermentory Lv 3</v>
      </c>
      <c r="D178" s="49" t="str">
        <f t="array" ref="D178">_xlfn.XLOOKUP(
 B178,
 tblTargets[TargetID],
 tblTargets[TargetType],
 ""
)</f>
        <v>BUILDING</v>
      </c>
      <c r="E178" s="49" t="s">
        <v>187</v>
      </c>
      <c r="F178" s="87">
        <f>IFERROR(__xludf.DUMMYFUNCTION("VALUE(REGEXEXTRACT(A178,""([^.]+)$""))"),1.0)</f>
        <v>1</v>
      </c>
      <c r="G178" s="49">
        <v>700.0</v>
      </c>
      <c r="H178" s="26" t="b">
        <f>COUNTIFS(
 tblCostChecklist[RequirementID],A178,
 tblCostChecklist[PlayerPaid],TRUE
)&gt;0</f>
        <v>0</v>
      </c>
      <c r="I178" s="49">
        <f t="shared" si="1"/>
        <v>7</v>
      </c>
      <c r="J178" s="49">
        <f t="shared" si="2"/>
        <v>0</v>
      </c>
      <c r="K178" s="49">
        <f t="shared" si="3"/>
        <v>7</v>
      </c>
      <c r="L178" s="49" t="b">
        <f t="shared" si="4"/>
        <v>0</v>
      </c>
      <c r="M178" s="88">
        <f t="shared" si="5"/>
        <v>0</v>
      </c>
    </row>
    <row r="179" ht="14.25" customHeight="1">
      <c r="A179" s="49" t="s">
        <v>689</v>
      </c>
      <c r="B179" s="49" t="str">
        <f>IFERROR(__xludf.DUMMYFUNCTION("REGEXEXTRACT(A179,""^cost\.(.*)\.[^.]+\.[^.]+$"")"),"building.fermentory@3")</f>
        <v>building.fermentory@3</v>
      </c>
      <c r="C179" s="49" t="str">
        <f t="array" ref="C179">_xlfn.XLOOKUP(
 B179,
 tblTargets[TargetID],
 tblTargets[DisplayName],
 ""
)</f>
        <v>Fermentory Lv 3</v>
      </c>
      <c r="D179" s="49" t="str">
        <f t="array" ref="D179">_xlfn.XLOOKUP(
 B179,
 tblTargets[TargetID],
 tblTargets[TargetType],
 ""
)</f>
        <v>BUILDING</v>
      </c>
      <c r="E179" s="49" t="s">
        <v>237</v>
      </c>
      <c r="F179" s="87">
        <f>IFERROR(__xludf.DUMMYFUNCTION("VALUE(REGEXEXTRACT(A179,""([^.]+)$""))"),1.0)</f>
        <v>1</v>
      </c>
      <c r="G179" s="49">
        <v>500.0</v>
      </c>
      <c r="H179" s="26" t="b">
        <f>COUNTIFS(
 tblCostChecklist[RequirementID],A179,
 tblCostChecklist[PlayerPaid],TRUE
)&gt;0</f>
        <v>0</v>
      </c>
      <c r="I179" s="49">
        <f t="shared" si="1"/>
        <v>7</v>
      </c>
      <c r="J179" s="49">
        <f t="shared" si="2"/>
        <v>0</v>
      </c>
      <c r="K179" s="49">
        <f t="shared" si="3"/>
        <v>7</v>
      </c>
      <c r="L179" s="49" t="b">
        <f t="shared" si="4"/>
        <v>0</v>
      </c>
      <c r="M179" s="88">
        <f t="shared" si="5"/>
        <v>0</v>
      </c>
    </row>
    <row r="180" ht="14.25" customHeight="1">
      <c r="A180" s="49" t="s">
        <v>686</v>
      </c>
      <c r="B180" s="49" t="str">
        <f>IFERROR(__xludf.DUMMYFUNCTION("REGEXEXTRACT(A180,""^cost\.(.*)\.[^.]+\.[^.]+$"")"),"building.fermentory@3")</f>
        <v>building.fermentory@3</v>
      </c>
      <c r="C180" s="49" t="str">
        <f t="array" ref="C180">_xlfn.XLOOKUP(
 B180,
 tblTargets[TargetID],
 tblTargets[DisplayName],
 ""
)</f>
        <v>Fermentory Lv 3</v>
      </c>
      <c r="D180" s="49" t="str">
        <f t="array" ref="D180">_xlfn.XLOOKUP(
 B180,
 tblTargets[TargetID],
 tblTargets[TargetType],
 ""
)</f>
        <v>BUILDING</v>
      </c>
      <c r="E180" s="49" t="s">
        <v>392</v>
      </c>
      <c r="F180" s="87">
        <f>IFERROR(__xludf.DUMMYFUNCTION("VALUE(REGEXEXTRACT(A180,""([^.]+)$""))"),1.0)</f>
        <v>1</v>
      </c>
      <c r="G180" s="49">
        <v>200.0</v>
      </c>
      <c r="H180" s="26" t="b">
        <f>COUNTIFS(
 tblCostChecklist[RequirementID],A180,
 tblCostChecklist[PlayerPaid],TRUE
)&gt;0</f>
        <v>0</v>
      </c>
      <c r="I180" s="49">
        <f t="shared" si="1"/>
        <v>7</v>
      </c>
      <c r="J180" s="49">
        <f t="shared" si="2"/>
        <v>0</v>
      </c>
      <c r="K180" s="49">
        <f t="shared" si="3"/>
        <v>7</v>
      </c>
      <c r="L180" s="49" t="b">
        <f t="shared" si="4"/>
        <v>0</v>
      </c>
      <c r="M180" s="88">
        <f t="shared" si="5"/>
        <v>0</v>
      </c>
    </row>
    <row r="181" ht="14.25" customHeight="1">
      <c r="A181" s="49" t="s">
        <v>668</v>
      </c>
      <c r="B181" s="49" t="str">
        <f>IFERROR(__xludf.DUMMYFUNCTION("REGEXEXTRACT(A181,""^cost\.(.*)\.[^.]+\.[^.]+$"")"),"building.fermentory@3")</f>
        <v>building.fermentory@3</v>
      </c>
      <c r="C181" s="49" t="str">
        <f t="array" ref="C181">_xlfn.XLOOKUP(
 B181,
 tblTargets[TargetID],
 tblTargets[DisplayName],
 ""
)</f>
        <v>Fermentory Lv 3</v>
      </c>
      <c r="D181" s="49" t="str">
        <f t="array" ref="D181">_xlfn.XLOOKUP(
 B181,
 tblTargets[TargetID],
 tblTargets[TargetType],
 ""
)</f>
        <v>BUILDING</v>
      </c>
      <c r="E181" s="49" t="s">
        <v>283</v>
      </c>
      <c r="F181" s="87">
        <f>IFERROR(__xludf.DUMMYFUNCTION("VALUE(REGEXEXTRACT(A181,""([^.]+)$""))"),1.0)</f>
        <v>1</v>
      </c>
      <c r="G181" s="49">
        <v>200.0</v>
      </c>
      <c r="H181" s="26" t="b">
        <f>COUNTIFS(
 tblCostChecklist[RequirementID],A181,
 tblCostChecklist[PlayerPaid],TRUE
)&gt;0</f>
        <v>0</v>
      </c>
      <c r="I181" s="49">
        <f t="shared" si="1"/>
        <v>7</v>
      </c>
      <c r="J181" s="49">
        <f t="shared" si="2"/>
        <v>0</v>
      </c>
      <c r="K181" s="49">
        <f t="shared" si="3"/>
        <v>7</v>
      </c>
      <c r="L181" s="49" t="b">
        <f t="shared" si="4"/>
        <v>0</v>
      </c>
      <c r="M181" s="88">
        <f t="shared" si="5"/>
        <v>0</v>
      </c>
    </row>
    <row r="182" ht="14.25" customHeight="1">
      <c r="A182" s="49" t="s">
        <v>683</v>
      </c>
      <c r="B182" s="49" t="str">
        <f>IFERROR(__xludf.DUMMYFUNCTION("REGEXEXTRACT(A182,""^cost\.(.*)\.[^.]+\.[^.]+$"")"),"building.fermentory@3")</f>
        <v>building.fermentory@3</v>
      </c>
      <c r="C182" s="49" t="str">
        <f t="array" ref="C182">_xlfn.XLOOKUP(
 B182,
 tblTargets[TargetID],
 tblTargets[DisplayName],
 ""
)</f>
        <v>Fermentory Lv 3</v>
      </c>
      <c r="D182" s="49" t="str">
        <f t="array" ref="D182">_xlfn.XLOOKUP(
 B182,
 tblTargets[TargetID],
 tblTargets[TargetType],
 ""
)</f>
        <v>BUILDING</v>
      </c>
      <c r="E182" s="49" t="s">
        <v>629</v>
      </c>
      <c r="F182" s="87">
        <f>IFERROR(__xludf.DUMMYFUNCTION("VALUE(REGEXEXTRACT(A182,""([^.]+)$""))"),1.0)</f>
        <v>1</v>
      </c>
      <c r="G182" s="49">
        <v>50.0</v>
      </c>
      <c r="H182" s="26" t="b">
        <f>COUNTIFS(
 tblCostChecklist[RequirementID],A182,
 tblCostChecklist[PlayerPaid],TRUE
)&gt;0</f>
        <v>0</v>
      </c>
      <c r="I182" s="49">
        <f t="shared" si="1"/>
        <v>7</v>
      </c>
      <c r="J182" s="49">
        <f t="shared" si="2"/>
        <v>0</v>
      </c>
      <c r="K182" s="49">
        <f t="shared" si="3"/>
        <v>7</v>
      </c>
      <c r="L182" s="49" t="b">
        <f t="shared" si="4"/>
        <v>0</v>
      </c>
      <c r="M182" s="88">
        <f t="shared" si="5"/>
        <v>0</v>
      </c>
    </row>
    <row r="183" ht="14.25" customHeight="1">
      <c r="A183" s="49" t="s">
        <v>704</v>
      </c>
      <c r="B183" s="49" t="str">
        <f>IFERROR(__xludf.DUMMYFUNCTION("REGEXEXTRACT(A183,""^cost\.(.*)\.[^.]+\.[^.]+$"")"),"building.fermentory@4")</f>
        <v>building.fermentory@4</v>
      </c>
      <c r="C183" s="49" t="str">
        <f t="array" ref="C183">_xlfn.XLOOKUP(
 B183,
 tblTargets[TargetID],
 tblTargets[DisplayName],
 ""
)</f>
        <v>Fermentory Lv 4</v>
      </c>
      <c r="D183" s="49" t="str">
        <f t="array" ref="D183">_xlfn.XLOOKUP(
 B183,
 tblTargets[TargetID],
 tblTargets[TargetType],
 ""
)</f>
        <v>BUILDING</v>
      </c>
      <c r="E183" s="49" t="s">
        <v>6</v>
      </c>
      <c r="F183" s="87">
        <f>IFERROR(__xludf.DUMMYFUNCTION("VALUE(REGEXEXTRACT(A183,""([^.]+)$""))"),1.0)</f>
        <v>1</v>
      </c>
      <c r="G183" s="49">
        <v>8.0</v>
      </c>
      <c r="H183" s="26" t="b">
        <f>COUNTIFS(
 tblCostChecklist[RequirementID],A183,
 tblCostChecklist[PlayerPaid],TRUE
)&gt;0</f>
        <v>0</v>
      </c>
      <c r="I183" s="49">
        <f t="shared" si="1"/>
        <v>9</v>
      </c>
      <c r="J183" s="49">
        <f t="shared" si="2"/>
        <v>0</v>
      </c>
      <c r="K183" s="49">
        <f t="shared" si="3"/>
        <v>9</v>
      </c>
      <c r="L183" s="49" t="b">
        <f t="shared" si="4"/>
        <v>0</v>
      </c>
      <c r="M183" s="88">
        <f t="shared" si="5"/>
        <v>0</v>
      </c>
    </row>
    <row r="184" ht="14.25" customHeight="1">
      <c r="A184" s="49" t="s">
        <v>693</v>
      </c>
      <c r="B184" s="49" t="str">
        <f>IFERROR(__xludf.DUMMYFUNCTION("REGEXEXTRACT(A184,""^cost\.(.*)\.[^.]+\.[^.]+$"")"),"building.fermentory@4")</f>
        <v>building.fermentory@4</v>
      </c>
      <c r="C184" s="49" t="str">
        <f t="array" ref="C184">_xlfn.XLOOKUP(
 B184,
 tblTargets[TargetID],
 tblTargets[DisplayName],
 ""
)</f>
        <v>Fermentory Lv 4</v>
      </c>
      <c r="D184" s="49" t="str">
        <f t="array" ref="D184">_xlfn.XLOOKUP(
 B184,
 tblTargets[TargetID],
 tblTargets[TargetType],
 ""
)</f>
        <v>BUILDING</v>
      </c>
      <c r="E184" s="49" t="s">
        <v>119</v>
      </c>
      <c r="F184" s="87">
        <f>IFERROR(__xludf.DUMMYFUNCTION("VALUE(REGEXEXTRACT(A184,""([^.]+)$""))"),1.0)</f>
        <v>1</v>
      </c>
      <c r="G184" s="49">
        <v>1000.0</v>
      </c>
      <c r="H184" s="26" t="b">
        <f>COUNTIFS(
 tblCostChecklist[RequirementID],A184,
 tblCostChecklist[PlayerPaid],TRUE
)&gt;0</f>
        <v>0</v>
      </c>
      <c r="I184" s="49">
        <f t="shared" si="1"/>
        <v>9</v>
      </c>
      <c r="J184" s="49">
        <f t="shared" si="2"/>
        <v>0</v>
      </c>
      <c r="K184" s="49">
        <f t="shared" si="3"/>
        <v>9</v>
      </c>
      <c r="L184" s="49" t="b">
        <f t="shared" si="4"/>
        <v>0</v>
      </c>
      <c r="M184" s="88">
        <f t="shared" si="5"/>
        <v>0</v>
      </c>
    </row>
    <row r="185" ht="14.25" customHeight="1">
      <c r="A185" s="49" t="s">
        <v>696</v>
      </c>
      <c r="B185" s="49" t="str">
        <f>IFERROR(__xludf.DUMMYFUNCTION("REGEXEXTRACT(A185,""^cost\.(.*)\.[^.]+\.[^.]+$"")"),"building.fermentory@4")</f>
        <v>building.fermentory@4</v>
      </c>
      <c r="C185" s="49" t="str">
        <f t="array" ref="C185">_xlfn.XLOOKUP(
 B185,
 tblTargets[TargetID],
 tblTargets[DisplayName],
 ""
)</f>
        <v>Fermentory Lv 4</v>
      </c>
      <c r="D185" s="49" t="str">
        <f t="array" ref="D185">_xlfn.XLOOKUP(
 B185,
 tblTargets[TargetID],
 tblTargets[TargetType],
 ""
)</f>
        <v>BUILDING</v>
      </c>
      <c r="E185" s="49" t="s">
        <v>187</v>
      </c>
      <c r="F185" s="87">
        <f>IFERROR(__xludf.DUMMYFUNCTION("VALUE(REGEXEXTRACT(A185,""([^.]+)$""))"),1.0)</f>
        <v>1</v>
      </c>
      <c r="G185" s="49">
        <v>900.0</v>
      </c>
      <c r="H185" s="26" t="b">
        <f>COUNTIFS(
 tblCostChecklist[RequirementID],A185,
 tblCostChecklist[PlayerPaid],TRUE
)&gt;0</f>
        <v>0</v>
      </c>
      <c r="I185" s="49">
        <f t="shared" si="1"/>
        <v>9</v>
      </c>
      <c r="J185" s="49">
        <f t="shared" si="2"/>
        <v>0</v>
      </c>
      <c r="K185" s="49">
        <f t="shared" si="3"/>
        <v>9</v>
      </c>
      <c r="L185" s="49" t="b">
        <f t="shared" si="4"/>
        <v>0</v>
      </c>
      <c r="M185" s="88">
        <f t="shared" si="5"/>
        <v>0</v>
      </c>
    </row>
    <row r="186" ht="14.25" customHeight="1">
      <c r="A186" s="49" t="s">
        <v>723</v>
      </c>
      <c r="B186" s="49" t="str">
        <f>IFERROR(__xludf.DUMMYFUNCTION("REGEXEXTRACT(A186,""^cost\.(.*)\.[^.]+\.[^.]+$"")"),"building.fermentory@4")</f>
        <v>building.fermentory@4</v>
      </c>
      <c r="C186" s="49" t="str">
        <f t="array" ref="C186">_xlfn.XLOOKUP(
 B186,
 tblTargets[TargetID],
 tblTargets[DisplayName],
 ""
)</f>
        <v>Fermentory Lv 4</v>
      </c>
      <c r="D186" s="49" t="str">
        <f t="array" ref="D186">_xlfn.XLOOKUP(
 B186,
 tblTargets[TargetID],
 tblTargets[TargetType],
 ""
)</f>
        <v>BUILDING</v>
      </c>
      <c r="E186" s="49" t="s">
        <v>237</v>
      </c>
      <c r="F186" s="87">
        <f>IFERROR(__xludf.DUMMYFUNCTION("VALUE(REGEXEXTRACT(A186,""([^.]+)$""))"),1.0)</f>
        <v>1</v>
      </c>
      <c r="G186" s="49">
        <v>500.0</v>
      </c>
      <c r="H186" s="26" t="b">
        <f>COUNTIFS(
 tblCostChecklist[RequirementID],A186,
 tblCostChecklist[PlayerPaid],TRUE
)&gt;0</f>
        <v>0</v>
      </c>
      <c r="I186" s="49">
        <f t="shared" si="1"/>
        <v>9</v>
      </c>
      <c r="J186" s="49">
        <f t="shared" si="2"/>
        <v>0</v>
      </c>
      <c r="K186" s="49">
        <f t="shared" si="3"/>
        <v>9</v>
      </c>
      <c r="L186" s="49" t="b">
        <f t="shared" si="4"/>
        <v>0</v>
      </c>
      <c r="M186" s="88">
        <f t="shared" si="5"/>
        <v>0</v>
      </c>
    </row>
    <row r="187" ht="14.25" customHeight="1">
      <c r="A187" s="49" t="s">
        <v>718</v>
      </c>
      <c r="B187" s="49" t="str">
        <f>IFERROR(__xludf.DUMMYFUNCTION("REGEXEXTRACT(A187,""^cost\.(.*)\.[^.]+\.[^.]+$"")"),"building.fermentory@4")</f>
        <v>building.fermentory@4</v>
      </c>
      <c r="C187" s="49" t="str">
        <f t="array" ref="C187">_xlfn.XLOOKUP(
 B187,
 tblTargets[TargetID],
 tblTargets[DisplayName],
 ""
)</f>
        <v>Fermentory Lv 4</v>
      </c>
      <c r="D187" s="49" t="str">
        <f t="array" ref="D187">_xlfn.XLOOKUP(
 B187,
 tblTargets[TargetID],
 tblTargets[TargetType],
 ""
)</f>
        <v>BUILDING</v>
      </c>
      <c r="E187" s="49" t="s">
        <v>392</v>
      </c>
      <c r="F187" s="87">
        <f>IFERROR(__xludf.DUMMYFUNCTION("VALUE(REGEXEXTRACT(A187,""([^.]+)$""))"),1.0)</f>
        <v>1</v>
      </c>
      <c r="G187" s="49">
        <v>300.0</v>
      </c>
      <c r="H187" s="26" t="b">
        <f>COUNTIFS(
 tblCostChecklist[RequirementID],A187,
 tblCostChecklist[PlayerPaid],TRUE
)&gt;0</f>
        <v>0</v>
      </c>
      <c r="I187" s="49">
        <f t="shared" si="1"/>
        <v>9</v>
      </c>
      <c r="J187" s="49">
        <f t="shared" si="2"/>
        <v>0</v>
      </c>
      <c r="K187" s="49">
        <f t="shared" si="3"/>
        <v>9</v>
      </c>
      <c r="L187" s="49" t="b">
        <f t="shared" si="4"/>
        <v>0</v>
      </c>
      <c r="M187" s="88">
        <f t="shared" si="5"/>
        <v>0</v>
      </c>
    </row>
    <row r="188" ht="14.25" customHeight="1">
      <c r="A188" s="49" t="s">
        <v>700</v>
      </c>
      <c r="B188" s="49" t="str">
        <f>IFERROR(__xludf.DUMMYFUNCTION("REGEXEXTRACT(A188,""^cost\.(.*)\.[^.]+\.[^.]+$"")"),"building.fermentory@4")</f>
        <v>building.fermentory@4</v>
      </c>
      <c r="C188" s="49" t="str">
        <f t="array" ref="C188">_xlfn.XLOOKUP(
 B188,
 tblTargets[TargetID],
 tblTargets[DisplayName],
 ""
)</f>
        <v>Fermentory Lv 4</v>
      </c>
      <c r="D188" s="49" t="str">
        <f t="array" ref="D188">_xlfn.XLOOKUP(
 B188,
 tblTargets[TargetID],
 tblTargets[TargetType],
 ""
)</f>
        <v>BUILDING</v>
      </c>
      <c r="E188" s="49" t="s">
        <v>701</v>
      </c>
      <c r="F188" s="87">
        <f>IFERROR(__xludf.DUMMYFUNCTION("VALUE(REGEXEXTRACT(A188,""([^.]+)$""))"),1.0)</f>
        <v>1</v>
      </c>
      <c r="G188" s="49">
        <v>50.0</v>
      </c>
      <c r="H188" s="26" t="b">
        <f>COUNTIFS(
 tblCostChecklist[RequirementID],A188,
 tblCostChecklist[PlayerPaid],TRUE
)&gt;0</f>
        <v>0</v>
      </c>
      <c r="I188" s="49">
        <f t="shared" si="1"/>
        <v>9</v>
      </c>
      <c r="J188" s="49">
        <f t="shared" si="2"/>
        <v>0</v>
      </c>
      <c r="K188" s="49">
        <f t="shared" si="3"/>
        <v>9</v>
      </c>
      <c r="L188" s="49" t="b">
        <f t="shared" si="4"/>
        <v>0</v>
      </c>
      <c r="M188" s="88">
        <f t="shared" si="5"/>
        <v>0</v>
      </c>
    </row>
    <row r="189" ht="14.25" customHeight="1">
      <c r="A189" s="49" t="s">
        <v>730</v>
      </c>
      <c r="B189" s="49" t="str">
        <f>IFERROR(__xludf.DUMMYFUNCTION("REGEXEXTRACT(A189,""^cost\.(.*)\.[^.]+\.[^.]+$"")"),"building.fermentory@4")</f>
        <v>building.fermentory@4</v>
      </c>
      <c r="C189" s="49" t="str">
        <f t="array" ref="C189">_xlfn.XLOOKUP(
 B189,
 tblTargets[TargetID],
 tblTargets[DisplayName],
 ""
)</f>
        <v>Fermentory Lv 4</v>
      </c>
      <c r="D189" s="49" t="str">
        <f t="array" ref="D189">_xlfn.XLOOKUP(
 B189,
 tblTargets[TargetID],
 tblTargets[TargetType],
 ""
)</f>
        <v>BUILDING</v>
      </c>
      <c r="E189" s="49" t="s">
        <v>461</v>
      </c>
      <c r="F189" s="87">
        <f>IFERROR(__xludf.DUMMYFUNCTION("VALUE(REGEXEXTRACT(A189,""([^.]+)$""))"),1.0)</f>
        <v>1</v>
      </c>
      <c r="G189" s="49">
        <v>50.0</v>
      </c>
      <c r="H189" s="26" t="b">
        <f>COUNTIFS(
 tblCostChecklist[RequirementID],A189,
 tblCostChecklist[PlayerPaid],TRUE
)&gt;0</f>
        <v>0</v>
      </c>
      <c r="I189" s="49">
        <f t="shared" si="1"/>
        <v>9</v>
      </c>
      <c r="J189" s="49">
        <f t="shared" si="2"/>
        <v>0</v>
      </c>
      <c r="K189" s="49">
        <f t="shared" si="3"/>
        <v>9</v>
      </c>
      <c r="L189" s="49" t="b">
        <f t="shared" si="4"/>
        <v>0</v>
      </c>
      <c r="M189" s="88">
        <f t="shared" si="5"/>
        <v>0</v>
      </c>
    </row>
    <row r="190" ht="14.25" customHeight="1">
      <c r="A190" s="49" t="s">
        <v>715</v>
      </c>
      <c r="B190" s="49" t="str">
        <f>IFERROR(__xludf.DUMMYFUNCTION("REGEXEXTRACT(A190,""^cost\.(.*)\.[^.]+\.[^.]+$"")"),"building.fermentory@4")</f>
        <v>building.fermentory@4</v>
      </c>
      <c r="C190" s="49" t="str">
        <f t="array" ref="C190">_xlfn.XLOOKUP(
 B190,
 tblTargets[TargetID],
 tblTargets[DisplayName],
 ""
)</f>
        <v>Fermentory Lv 4</v>
      </c>
      <c r="D190" s="49" t="str">
        <f t="array" ref="D190">_xlfn.XLOOKUP(
 B190,
 tblTargets[TargetID],
 tblTargets[TargetType],
 ""
)</f>
        <v>BUILDING</v>
      </c>
      <c r="E190" s="49" t="s">
        <v>629</v>
      </c>
      <c r="F190" s="87">
        <f>IFERROR(__xludf.DUMMYFUNCTION("VALUE(REGEXEXTRACT(A190,""([^.]+)$""))"),1.0)</f>
        <v>1</v>
      </c>
      <c r="G190" s="49">
        <v>50.0</v>
      </c>
      <c r="H190" s="26" t="b">
        <f>COUNTIFS(
 tblCostChecklist[RequirementID],A190,
 tblCostChecklist[PlayerPaid],TRUE
)&gt;0</f>
        <v>0</v>
      </c>
      <c r="I190" s="49">
        <f t="shared" si="1"/>
        <v>9</v>
      </c>
      <c r="J190" s="49">
        <f t="shared" si="2"/>
        <v>0</v>
      </c>
      <c r="K190" s="49">
        <f t="shared" si="3"/>
        <v>9</v>
      </c>
      <c r="L190" s="49" t="b">
        <f t="shared" si="4"/>
        <v>0</v>
      </c>
      <c r="M190" s="88">
        <f t="shared" si="5"/>
        <v>0</v>
      </c>
    </row>
    <row r="191" ht="14.25" customHeight="1">
      <c r="A191" s="49" t="s">
        <v>709</v>
      </c>
      <c r="B191" s="49" t="str">
        <f>IFERROR(__xludf.DUMMYFUNCTION("REGEXEXTRACT(A191,""^cost\.(.*)\.[^.]+\.[^.]+$"")"),"building.fermentory@4")</f>
        <v>building.fermentory@4</v>
      </c>
      <c r="C191" s="49" t="str">
        <f t="array" ref="C191">_xlfn.XLOOKUP(
 B191,
 tblTargets[TargetID],
 tblTargets[DisplayName],
 ""
)</f>
        <v>Fermentory Lv 4</v>
      </c>
      <c r="D191" s="49" t="str">
        <f t="array" ref="D191">_xlfn.XLOOKUP(
 B191,
 tblTargets[TargetID],
 tblTargets[TargetType],
 ""
)</f>
        <v>BUILDING</v>
      </c>
      <c r="E191" s="49" t="s">
        <v>711</v>
      </c>
      <c r="F191" s="87">
        <f>IFERROR(__xludf.DUMMYFUNCTION("VALUE(REGEXEXTRACT(A191,""([^.]+)$""))"),1.0)</f>
        <v>1</v>
      </c>
      <c r="G191" s="49">
        <v>10.0</v>
      </c>
      <c r="H191" s="26" t="b">
        <f>COUNTIFS(
 tblCostChecklist[RequirementID],A191,
 tblCostChecklist[PlayerPaid],TRUE
)&gt;0</f>
        <v>0</v>
      </c>
      <c r="I191" s="49">
        <f t="shared" si="1"/>
        <v>9</v>
      </c>
      <c r="J191" s="49">
        <f t="shared" si="2"/>
        <v>0</v>
      </c>
      <c r="K191" s="49">
        <f t="shared" si="3"/>
        <v>9</v>
      </c>
      <c r="L191" s="49" t="b">
        <f t="shared" si="4"/>
        <v>0</v>
      </c>
      <c r="M191" s="88">
        <f t="shared" si="5"/>
        <v>0</v>
      </c>
    </row>
    <row r="192" ht="14.25" customHeight="1">
      <c r="A192" s="49" t="s">
        <v>749</v>
      </c>
      <c r="B192" s="49" t="str">
        <f>IFERROR(__xludf.DUMMYFUNCTION("REGEXEXTRACT(A192,""^cost\.(.*)\.[^.]+\.[^.]+$"")"),"building.fermentory@5")</f>
        <v>building.fermentory@5</v>
      </c>
      <c r="C192" s="49" t="str">
        <f t="array" ref="C192">_xlfn.XLOOKUP(
 B192,
 tblTargets[TargetID],
 tblTargets[DisplayName],
 ""
)</f>
        <v>Fermentory Lv 5</v>
      </c>
      <c r="D192" s="49" t="str">
        <f t="array" ref="D192">_xlfn.XLOOKUP(
 B192,
 tblTargets[TargetID],
 tblTargets[TargetType],
 ""
)</f>
        <v>BUILDING</v>
      </c>
      <c r="E192" s="49" t="s">
        <v>6</v>
      </c>
      <c r="F192" s="87">
        <f>IFERROR(__xludf.DUMMYFUNCTION("VALUE(REGEXEXTRACT(A192,""([^.]+)$""))"),1.0)</f>
        <v>1</v>
      </c>
      <c r="G192" s="49">
        <v>9.0</v>
      </c>
      <c r="H192" s="26" t="b">
        <f>COUNTIFS(
 tblCostChecklist[RequirementID],A192,
 tblCostChecklist[PlayerPaid],TRUE
)&gt;0</f>
        <v>0</v>
      </c>
      <c r="I192" s="49">
        <f t="shared" si="1"/>
        <v>8</v>
      </c>
      <c r="J192" s="49">
        <f t="shared" si="2"/>
        <v>0</v>
      </c>
      <c r="K192" s="49">
        <f t="shared" si="3"/>
        <v>8</v>
      </c>
      <c r="L192" s="49" t="b">
        <f t="shared" si="4"/>
        <v>0</v>
      </c>
      <c r="M192" s="88">
        <f t="shared" si="5"/>
        <v>0</v>
      </c>
    </row>
    <row r="193" ht="14.25" customHeight="1">
      <c r="A193" s="49" t="s">
        <v>733</v>
      </c>
      <c r="B193" s="49" t="str">
        <f>IFERROR(__xludf.DUMMYFUNCTION("REGEXEXTRACT(A193,""^cost\.(.*)\.[^.]+\.[^.]+$"")"),"building.fermentory@5")</f>
        <v>building.fermentory@5</v>
      </c>
      <c r="C193" s="49" t="str">
        <f t="array" ref="C193">_xlfn.XLOOKUP(
 B193,
 tblTargets[TargetID],
 tblTargets[DisplayName],
 ""
)</f>
        <v>Fermentory Lv 5</v>
      </c>
      <c r="D193" s="49" t="str">
        <f t="array" ref="D193">_xlfn.XLOOKUP(
 B193,
 tblTargets[TargetID],
 tblTargets[TargetType],
 ""
)</f>
        <v>BUILDING</v>
      </c>
      <c r="E193" s="49" t="s">
        <v>119</v>
      </c>
      <c r="F193" s="87">
        <f>IFERROR(__xludf.DUMMYFUNCTION("VALUE(REGEXEXTRACT(A193,""([^.]+)$""))"),1.0)</f>
        <v>1</v>
      </c>
      <c r="G193" s="49">
        <v>1000.0</v>
      </c>
      <c r="H193" s="26" t="b">
        <f>COUNTIFS(
 tblCostChecklist[RequirementID],A193,
 tblCostChecklist[PlayerPaid],TRUE
)&gt;0</f>
        <v>0</v>
      </c>
      <c r="I193" s="49">
        <f t="shared" si="1"/>
        <v>8</v>
      </c>
      <c r="J193" s="49">
        <f t="shared" si="2"/>
        <v>0</v>
      </c>
      <c r="K193" s="49">
        <f t="shared" si="3"/>
        <v>8</v>
      </c>
      <c r="L193" s="49" t="b">
        <f t="shared" si="4"/>
        <v>0</v>
      </c>
      <c r="M193" s="88">
        <f t="shared" si="5"/>
        <v>0</v>
      </c>
    </row>
    <row r="194" ht="14.25" customHeight="1">
      <c r="A194" s="49" t="s">
        <v>746</v>
      </c>
      <c r="B194" s="49" t="str">
        <f>IFERROR(__xludf.DUMMYFUNCTION("REGEXEXTRACT(A194,""^cost\.(.*)\.[^.]+\.[^.]+$"")"),"building.fermentory@5")</f>
        <v>building.fermentory@5</v>
      </c>
      <c r="C194" s="49" t="str">
        <f t="array" ref="C194">_xlfn.XLOOKUP(
 B194,
 tblTargets[TargetID],
 tblTargets[DisplayName],
 ""
)</f>
        <v>Fermentory Lv 5</v>
      </c>
      <c r="D194" s="49" t="str">
        <f t="array" ref="D194">_xlfn.XLOOKUP(
 B194,
 tblTargets[TargetID],
 tblTargets[TargetType],
 ""
)</f>
        <v>BUILDING</v>
      </c>
      <c r="E194" s="49" t="s">
        <v>187</v>
      </c>
      <c r="F194" s="87">
        <f>IFERROR(__xludf.DUMMYFUNCTION("VALUE(REGEXEXTRACT(A194,""([^.]+)$""))"),1.0)</f>
        <v>1</v>
      </c>
      <c r="G194" s="49">
        <v>900.0</v>
      </c>
      <c r="H194" s="26" t="b">
        <f>COUNTIFS(
 tblCostChecklist[RequirementID],A194,
 tblCostChecklist[PlayerPaid],TRUE
)&gt;0</f>
        <v>0</v>
      </c>
      <c r="I194" s="49">
        <f t="shared" si="1"/>
        <v>8</v>
      </c>
      <c r="J194" s="49">
        <f t="shared" si="2"/>
        <v>0</v>
      </c>
      <c r="K194" s="49">
        <f t="shared" si="3"/>
        <v>8</v>
      </c>
      <c r="L194" s="49" t="b">
        <f t="shared" si="4"/>
        <v>0</v>
      </c>
      <c r="M194" s="88">
        <f t="shared" si="5"/>
        <v>0</v>
      </c>
    </row>
    <row r="195" ht="14.25" customHeight="1">
      <c r="A195" s="49" t="s">
        <v>756</v>
      </c>
      <c r="B195" s="49" t="str">
        <f>IFERROR(__xludf.DUMMYFUNCTION("REGEXEXTRACT(A195,""^cost\.(.*)\.[^.]+\.[^.]+$"")"),"building.fermentory@5")</f>
        <v>building.fermentory@5</v>
      </c>
      <c r="C195" s="49" t="str">
        <f t="array" ref="C195">_xlfn.XLOOKUP(
 B195,
 tblTargets[TargetID],
 tblTargets[DisplayName],
 ""
)</f>
        <v>Fermentory Lv 5</v>
      </c>
      <c r="D195" s="49" t="str">
        <f t="array" ref="D195">_xlfn.XLOOKUP(
 B195,
 tblTargets[TargetID],
 tblTargets[TargetType],
 ""
)</f>
        <v>BUILDING</v>
      </c>
      <c r="E195" s="49" t="s">
        <v>237</v>
      </c>
      <c r="F195" s="87">
        <f>IFERROR(__xludf.DUMMYFUNCTION("VALUE(REGEXEXTRACT(A195,""([^.]+)$""))"),1.0)</f>
        <v>1</v>
      </c>
      <c r="G195" s="49">
        <v>800.0</v>
      </c>
      <c r="H195" s="26" t="b">
        <f>COUNTIFS(
 tblCostChecklist[RequirementID],A195,
 tblCostChecklist[PlayerPaid],TRUE
)&gt;0</f>
        <v>0</v>
      </c>
      <c r="I195" s="49">
        <f t="shared" si="1"/>
        <v>8</v>
      </c>
      <c r="J195" s="49">
        <f t="shared" si="2"/>
        <v>0</v>
      </c>
      <c r="K195" s="49">
        <f t="shared" si="3"/>
        <v>8</v>
      </c>
      <c r="L195" s="49" t="b">
        <f t="shared" si="4"/>
        <v>0</v>
      </c>
      <c r="M195" s="88">
        <f t="shared" si="5"/>
        <v>0</v>
      </c>
    </row>
    <row r="196" ht="14.25" customHeight="1">
      <c r="A196" s="49" t="s">
        <v>760</v>
      </c>
      <c r="B196" s="49" t="str">
        <f>IFERROR(__xludf.DUMMYFUNCTION("REGEXEXTRACT(A196,""^cost\.(.*)\.[^.]+\.[^.]+$"")"),"building.fermentory@5")</f>
        <v>building.fermentory@5</v>
      </c>
      <c r="C196" s="49" t="str">
        <f t="array" ref="C196">_xlfn.XLOOKUP(
 B196,
 tblTargets[TargetID],
 tblTargets[DisplayName],
 ""
)</f>
        <v>Fermentory Lv 5</v>
      </c>
      <c r="D196" s="49" t="str">
        <f t="array" ref="D196">_xlfn.XLOOKUP(
 B196,
 tblTargets[TargetID],
 tblTargets[TargetType],
 ""
)</f>
        <v>BUILDING</v>
      </c>
      <c r="E196" s="49" t="s">
        <v>158</v>
      </c>
      <c r="F196" s="87">
        <f>IFERROR(__xludf.DUMMYFUNCTION("VALUE(REGEXEXTRACT(A196,""([^.]+)$""))"),1.0)</f>
        <v>1</v>
      </c>
      <c r="G196" s="49">
        <v>20.0</v>
      </c>
      <c r="H196" s="26" t="b">
        <f>COUNTIFS(
 tblCostChecklist[RequirementID],A196,
 tblCostChecklist[PlayerPaid],TRUE
)&gt;0</f>
        <v>0</v>
      </c>
      <c r="I196" s="49">
        <f t="shared" si="1"/>
        <v>8</v>
      </c>
      <c r="J196" s="49">
        <f t="shared" si="2"/>
        <v>0</v>
      </c>
      <c r="K196" s="49">
        <f t="shared" si="3"/>
        <v>8</v>
      </c>
      <c r="L196" s="49" t="b">
        <f t="shared" si="4"/>
        <v>0</v>
      </c>
      <c r="M196" s="88">
        <f t="shared" si="5"/>
        <v>0</v>
      </c>
    </row>
    <row r="197" ht="14.25" customHeight="1">
      <c r="A197" s="49" t="s">
        <v>753</v>
      </c>
      <c r="B197" s="49" t="str">
        <f>IFERROR(__xludf.DUMMYFUNCTION("REGEXEXTRACT(A197,""^cost\.(.*)\.[^.]+\.[^.]+$"")"),"building.fermentory@5")</f>
        <v>building.fermentory@5</v>
      </c>
      <c r="C197" s="49" t="str">
        <f t="array" ref="C197">_xlfn.XLOOKUP(
 B197,
 tblTargets[TargetID],
 tblTargets[DisplayName],
 ""
)</f>
        <v>Fermentory Lv 5</v>
      </c>
      <c r="D197" s="49" t="str">
        <f t="array" ref="D197">_xlfn.XLOOKUP(
 B197,
 tblTargets[TargetID],
 tblTargets[TargetType],
 ""
)</f>
        <v>BUILDING</v>
      </c>
      <c r="E197" s="49" t="s">
        <v>629</v>
      </c>
      <c r="F197" s="87">
        <f>IFERROR(__xludf.DUMMYFUNCTION("VALUE(REGEXEXTRACT(A197,""([^.]+)$""))"),1.0)</f>
        <v>1</v>
      </c>
      <c r="G197" s="49">
        <v>100.0</v>
      </c>
      <c r="H197" s="26" t="b">
        <f>COUNTIFS(
 tblCostChecklist[RequirementID],A197,
 tblCostChecklist[PlayerPaid],TRUE
)&gt;0</f>
        <v>0</v>
      </c>
      <c r="I197" s="49">
        <f t="shared" si="1"/>
        <v>8</v>
      </c>
      <c r="J197" s="49">
        <f t="shared" si="2"/>
        <v>0</v>
      </c>
      <c r="K197" s="49">
        <f t="shared" si="3"/>
        <v>8</v>
      </c>
      <c r="L197" s="49" t="b">
        <f t="shared" si="4"/>
        <v>0</v>
      </c>
      <c r="M197" s="88">
        <f t="shared" si="5"/>
        <v>0</v>
      </c>
    </row>
    <row r="198" ht="14.25" customHeight="1">
      <c r="A198" s="49" t="s">
        <v>741</v>
      </c>
      <c r="B198" s="49" t="str">
        <f>IFERROR(__xludf.DUMMYFUNCTION("REGEXEXTRACT(A198,""^cost\.(.*)\.[^.]+\.[^.]+$"")"),"building.fermentory@5")</f>
        <v>building.fermentory@5</v>
      </c>
      <c r="C198" s="49" t="str">
        <f t="array" ref="C198">_xlfn.XLOOKUP(
 B198,
 tblTargets[TargetID],
 tblTargets[DisplayName],
 ""
)</f>
        <v>Fermentory Lv 5</v>
      </c>
      <c r="D198" s="49" t="str">
        <f t="array" ref="D198">_xlfn.XLOOKUP(
 B198,
 tblTargets[TargetID],
 tblTargets[TargetType],
 ""
)</f>
        <v>BUILDING</v>
      </c>
      <c r="E198" s="49" t="s">
        <v>743</v>
      </c>
      <c r="F198" s="87">
        <f>IFERROR(__xludf.DUMMYFUNCTION("VALUE(REGEXEXTRACT(A198,""([^.]+)$""))"),1.0)</f>
        <v>1</v>
      </c>
      <c r="G198" s="49">
        <v>24.0</v>
      </c>
      <c r="H198" s="26" t="b">
        <f>COUNTIFS(
 tblCostChecklist[RequirementID],A198,
 tblCostChecklist[PlayerPaid],TRUE
)&gt;0</f>
        <v>0</v>
      </c>
      <c r="I198" s="49">
        <f t="shared" si="1"/>
        <v>8</v>
      </c>
      <c r="J198" s="49">
        <f t="shared" si="2"/>
        <v>0</v>
      </c>
      <c r="K198" s="49">
        <f t="shared" si="3"/>
        <v>8</v>
      </c>
      <c r="L198" s="49" t="b">
        <f t="shared" si="4"/>
        <v>0</v>
      </c>
      <c r="M198" s="88">
        <f t="shared" si="5"/>
        <v>0</v>
      </c>
    </row>
    <row r="199" ht="14.25" customHeight="1">
      <c r="A199" s="49" t="s">
        <v>738</v>
      </c>
      <c r="B199" s="49" t="str">
        <f>IFERROR(__xludf.DUMMYFUNCTION("REGEXEXTRACT(A199,""^cost\.(.*)\.[^.]+\.[^.]+$"")"),"building.fermentory@5")</f>
        <v>building.fermentory@5</v>
      </c>
      <c r="C199" s="49" t="str">
        <f t="array" ref="C199">_xlfn.XLOOKUP(
 B199,
 tblTargets[TargetID],
 tblTargets[DisplayName],
 ""
)</f>
        <v>Fermentory Lv 5</v>
      </c>
      <c r="D199" s="49" t="str">
        <f t="array" ref="D199">_xlfn.XLOOKUP(
 B199,
 tblTargets[TargetID],
 tblTargets[TargetType],
 ""
)</f>
        <v>BUILDING</v>
      </c>
      <c r="E199" s="49" t="s">
        <v>530</v>
      </c>
      <c r="F199" s="87">
        <f>IFERROR(__xludf.DUMMYFUNCTION("VALUE(REGEXEXTRACT(A199,""([^.]+)$""))"),1.0)</f>
        <v>1</v>
      </c>
      <c r="G199" s="49">
        <v>10.0</v>
      </c>
      <c r="H199" s="26" t="b">
        <f>COUNTIFS(
 tblCostChecklist[RequirementID],A199,
 tblCostChecklist[PlayerPaid],TRUE
)&gt;0</f>
        <v>0</v>
      </c>
      <c r="I199" s="49">
        <f t="shared" si="1"/>
        <v>8</v>
      </c>
      <c r="J199" s="49">
        <f t="shared" si="2"/>
        <v>0</v>
      </c>
      <c r="K199" s="49">
        <f t="shared" si="3"/>
        <v>8</v>
      </c>
      <c r="L199" s="49" t="b">
        <f t="shared" si="4"/>
        <v>0</v>
      </c>
      <c r="M199" s="88">
        <f t="shared" si="5"/>
        <v>0</v>
      </c>
    </row>
    <row r="200" ht="14.25" customHeight="1">
      <c r="A200" s="49" t="s">
        <v>792</v>
      </c>
      <c r="B200" s="49" t="str">
        <f>IFERROR(__xludf.DUMMYFUNCTION("REGEXEXTRACT(A200,""^cost\.(.*)\.[^.]+\.[^.]+$"")"),"building.fermentory@6")</f>
        <v>building.fermentory@6</v>
      </c>
      <c r="C200" s="49" t="str">
        <f t="array" ref="C200">_xlfn.XLOOKUP(
 B200,
 tblTargets[TargetID],
 tblTargets[DisplayName],
 ""
)</f>
        <v>Fermentory Lv 6</v>
      </c>
      <c r="D200" s="49" t="str">
        <f t="array" ref="D200">_xlfn.XLOOKUP(
 B200,
 tblTargets[TargetID],
 tblTargets[TargetType],
 ""
)</f>
        <v>BUILDING</v>
      </c>
      <c r="E200" s="49" t="s">
        <v>6</v>
      </c>
      <c r="F200" s="87">
        <f>IFERROR(__xludf.DUMMYFUNCTION("VALUE(REGEXEXTRACT(A200,""([^.]+)$""))"),1.0)</f>
        <v>1</v>
      </c>
      <c r="G200" s="49">
        <v>10.0</v>
      </c>
      <c r="H200" s="26" t="b">
        <f>COUNTIFS(
 tblCostChecklist[RequirementID],A200,
 tblCostChecklist[PlayerPaid],TRUE
)&gt;0</f>
        <v>0</v>
      </c>
      <c r="I200" s="49">
        <f t="shared" si="1"/>
        <v>9</v>
      </c>
      <c r="J200" s="49">
        <f t="shared" si="2"/>
        <v>0</v>
      </c>
      <c r="K200" s="49">
        <f t="shared" si="3"/>
        <v>9</v>
      </c>
      <c r="L200" s="49" t="b">
        <f t="shared" si="4"/>
        <v>0</v>
      </c>
      <c r="M200" s="88">
        <f t="shared" si="5"/>
        <v>0</v>
      </c>
    </row>
    <row r="201" ht="14.25" customHeight="1">
      <c r="A201" s="49" t="s">
        <v>764</v>
      </c>
      <c r="B201" s="49" t="str">
        <f>IFERROR(__xludf.DUMMYFUNCTION("REGEXEXTRACT(A201,""^cost\.(.*)\.[^.]+\.[^.]+$"")"),"building.fermentory@6")</f>
        <v>building.fermentory@6</v>
      </c>
      <c r="C201" s="49" t="str">
        <f t="array" ref="C201">_xlfn.XLOOKUP(
 B201,
 tblTargets[TargetID],
 tblTargets[DisplayName],
 ""
)</f>
        <v>Fermentory Lv 6</v>
      </c>
      <c r="D201" s="49" t="str">
        <f t="array" ref="D201">_xlfn.XLOOKUP(
 B201,
 tblTargets[TargetID],
 tblTargets[TargetType],
 ""
)</f>
        <v>BUILDING</v>
      </c>
      <c r="E201" s="49" t="s">
        <v>119</v>
      </c>
      <c r="F201" s="87">
        <f>IFERROR(__xludf.DUMMYFUNCTION("VALUE(REGEXEXTRACT(A201,""([^.]+)$""))"),1.0)</f>
        <v>1</v>
      </c>
      <c r="G201" s="49">
        <v>1000.0</v>
      </c>
      <c r="H201" s="26" t="b">
        <f>COUNTIFS(
 tblCostChecklist[RequirementID],A201,
 tblCostChecklist[PlayerPaid],TRUE
)&gt;0</f>
        <v>0</v>
      </c>
      <c r="I201" s="49">
        <f t="shared" si="1"/>
        <v>9</v>
      </c>
      <c r="J201" s="49">
        <f t="shared" si="2"/>
        <v>0</v>
      </c>
      <c r="K201" s="49">
        <f t="shared" si="3"/>
        <v>9</v>
      </c>
      <c r="L201" s="49" t="b">
        <f t="shared" si="4"/>
        <v>0</v>
      </c>
      <c r="M201" s="88">
        <f t="shared" si="5"/>
        <v>0</v>
      </c>
    </row>
    <row r="202" ht="14.25" customHeight="1">
      <c r="A202" s="49" t="s">
        <v>787</v>
      </c>
      <c r="B202" s="49" t="str">
        <f>IFERROR(__xludf.DUMMYFUNCTION("REGEXEXTRACT(A202,""^cost\.(.*)\.[^.]+\.[^.]+$"")"),"building.fermentory@6")</f>
        <v>building.fermentory@6</v>
      </c>
      <c r="C202" s="49" t="str">
        <f t="array" ref="C202">_xlfn.XLOOKUP(
 B202,
 tblTargets[TargetID],
 tblTargets[DisplayName],
 ""
)</f>
        <v>Fermentory Lv 6</v>
      </c>
      <c r="D202" s="49" t="str">
        <f t="array" ref="D202">_xlfn.XLOOKUP(
 B202,
 tblTargets[TargetID],
 tblTargets[TargetType],
 ""
)</f>
        <v>BUILDING</v>
      </c>
      <c r="E202" s="49" t="s">
        <v>187</v>
      </c>
      <c r="F202" s="87">
        <f>IFERROR(__xludf.DUMMYFUNCTION("VALUE(REGEXEXTRACT(A202,""([^.]+)$""))"),1.0)</f>
        <v>1</v>
      </c>
      <c r="G202" s="49">
        <v>900.0</v>
      </c>
      <c r="H202" s="26" t="b">
        <f>COUNTIFS(
 tblCostChecklist[RequirementID],A202,
 tblCostChecklist[PlayerPaid],TRUE
)&gt;0</f>
        <v>0</v>
      </c>
      <c r="I202" s="49">
        <f t="shared" si="1"/>
        <v>9</v>
      </c>
      <c r="J202" s="49">
        <f t="shared" si="2"/>
        <v>0</v>
      </c>
      <c r="K202" s="49">
        <f t="shared" si="3"/>
        <v>9</v>
      </c>
      <c r="L202" s="49" t="b">
        <f t="shared" si="4"/>
        <v>0</v>
      </c>
      <c r="M202" s="88">
        <f t="shared" si="5"/>
        <v>0</v>
      </c>
    </row>
    <row r="203" ht="14.25" customHeight="1">
      <c r="A203" s="49" t="s">
        <v>794</v>
      </c>
      <c r="B203" s="49" t="str">
        <f>IFERROR(__xludf.DUMMYFUNCTION("REGEXEXTRACT(A203,""^cost\.(.*)\.[^.]+\.[^.]+$"")"),"building.fermentory@6")</f>
        <v>building.fermentory@6</v>
      </c>
      <c r="C203" s="49" t="str">
        <f t="array" ref="C203">_xlfn.XLOOKUP(
 B203,
 tblTargets[TargetID],
 tblTargets[DisplayName],
 ""
)</f>
        <v>Fermentory Lv 6</v>
      </c>
      <c r="D203" s="49" t="str">
        <f t="array" ref="D203">_xlfn.XLOOKUP(
 B203,
 tblTargets[TargetID],
 tblTargets[TargetType],
 ""
)</f>
        <v>BUILDING</v>
      </c>
      <c r="E203" s="49" t="s">
        <v>237</v>
      </c>
      <c r="F203" s="87">
        <f>IFERROR(__xludf.DUMMYFUNCTION("VALUE(REGEXEXTRACT(A203,""([^.]+)$""))"),1.0)</f>
        <v>1</v>
      </c>
      <c r="G203" s="49">
        <v>500.0</v>
      </c>
      <c r="H203" s="26" t="b">
        <f>COUNTIFS(
 tblCostChecklist[RequirementID],A203,
 tblCostChecklist[PlayerPaid],TRUE
)&gt;0</f>
        <v>0</v>
      </c>
      <c r="I203" s="49">
        <f t="shared" si="1"/>
        <v>9</v>
      </c>
      <c r="J203" s="49">
        <f t="shared" si="2"/>
        <v>0</v>
      </c>
      <c r="K203" s="49">
        <f t="shared" si="3"/>
        <v>9</v>
      </c>
      <c r="L203" s="49" t="b">
        <f t="shared" si="4"/>
        <v>0</v>
      </c>
      <c r="M203" s="88">
        <f t="shared" si="5"/>
        <v>0</v>
      </c>
    </row>
    <row r="204" ht="14.25" customHeight="1">
      <c r="A204" s="49" t="s">
        <v>783</v>
      </c>
      <c r="B204" s="49" t="str">
        <f>IFERROR(__xludf.DUMMYFUNCTION("REGEXEXTRACT(A204,""^cost\.(.*)\.[^.]+\.[^.]+$"")"),"building.fermentory@6")</f>
        <v>building.fermentory@6</v>
      </c>
      <c r="C204" s="49" t="str">
        <f t="array" ref="C204">_xlfn.XLOOKUP(
 B204,
 tblTargets[TargetID],
 tblTargets[DisplayName],
 ""
)</f>
        <v>Fermentory Lv 6</v>
      </c>
      <c r="D204" s="49" t="str">
        <f t="array" ref="D204">_xlfn.XLOOKUP(
 B204,
 tblTargets[TargetID],
 tblTargets[TargetType],
 ""
)</f>
        <v>BUILDING</v>
      </c>
      <c r="E204" s="49" t="s">
        <v>423</v>
      </c>
      <c r="F204" s="87">
        <f>IFERROR(__xludf.DUMMYFUNCTION("VALUE(REGEXEXTRACT(A204,""([^.]+)$""))"),1.0)</f>
        <v>1</v>
      </c>
      <c r="G204" s="49">
        <v>40.0</v>
      </c>
      <c r="H204" s="26" t="b">
        <f>COUNTIFS(
 tblCostChecklist[RequirementID],A204,
 tblCostChecklist[PlayerPaid],TRUE
)&gt;0</f>
        <v>0</v>
      </c>
      <c r="I204" s="49">
        <f t="shared" si="1"/>
        <v>9</v>
      </c>
      <c r="J204" s="49">
        <f t="shared" si="2"/>
        <v>0</v>
      </c>
      <c r="K204" s="49">
        <f t="shared" si="3"/>
        <v>9</v>
      </c>
      <c r="L204" s="49" t="b">
        <f t="shared" si="4"/>
        <v>0</v>
      </c>
      <c r="M204" s="88">
        <f t="shared" si="5"/>
        <v>0</v>
      </c>
    </row>
    <row r="205" ht="14.25" customHeight="1">
      <c r="A205" s="49" t="s">
        <v>771</v>
      </c>
      <c r="B205" s="49" t="str">
        <f>IFERROR(__xludf.DUMMYFUNCTION("REGEXEXTRACT(A205,""^cost\.(.*)\.[^.]+\.[^.]+$"")"),"building.fermentory@6")</f>
        <v>building.fermentory@6</v>
      </c>
      <c r="C205" s="49" t="str">
        <f t="array" ref="C205">_xlfn.XLOOKUP(
 B205,
 tblTargets[TargetID],
 tblTargets[DisplayName],
 ""
)</f>
        <v>Fermentory Lv 6</v>
      </c>
      <c r="D205" s="49" t="str">
        <f t="array" ref="D205">_xlfn.XLOOKUP(
 B205,
 tblTargets[TargetID],
 tblTargets[TargetType],
 ""
)</f>
        <v>BUILDING</v>
      </c>
      <c r="E205" s="49" t="s">
        <v>360</v>
      </c>
      <c r="F205" s="87">
        <f>IFERROR(__xludf.DUMMYFUNCTION("VALUE(REGEXEXTRACT(A205,""([^.]+)$""))"),1.0)</f>
        <v>1</v>
      </c>
      <c r="G205" s="49">
        <v>30.0</v>
      </c>
      <c r="H205" s="26" t="b">
        <f>COUNTIFS(
 tblCostChecklist[RequirementID],A205,
 tblCostChecklist[PlayerPaid],TRUE
)&gt;0</f>
        <v>0</v>
      </c>
      <c r="I205" s="49">
        <f t="shared" si="1"/>
        <v>9</v>
      </c>
      <c r="J205" s="49">
        <f t="shared" si="2"/>
        <v>0</v>
      </c>
      <c r="K205" s="49">
        <f t="shared" si="3"/>
        <v>9</v>
      </c>
      <c r="L205" s="49" t="b">
        <f t="shared" si="4"/>
        <v>0</v>
      </c>
      <c r="M205" s="88">
        <f t="shared" si="5"/>
        <v>0</v>
      </c>
    </row>
    <row r="206" ht="14.25" customHeight="1">
      <c r="A206" s="49" t="s">
        <v>779</v>
      </c>
      <c r="B206" s="49" t="str">
        <f>IFERROR(__xludf.DUMMYFUNCTION("REGEXEXTRACT(A206,""^cost\.(.*)\.[^.]+\.[^.]+$"")"),"building.fermentory@6")</f>
        <v>building.fermentory@6</v>
      </c>
      <c r="C206" s="49" t="str">
        <f t="array" ref="C206">_xlfn.XLOOKUP(
 B206,
 tblTargets[TargetID],
 tblTargets[DisplayName],
 ""
)</f>
        <v>Fermentory Lv 6</v>
      </c>
      <c r="D206" s="49" t="str">
        <f t="array" ref="D206">_xlfn.XLOOKUP(
 B206,
 tblTargets[TargetID],
 tblTargets[TargetType],
 ""
)</f>
        <v>BUILDING</v>
      </c>
      <c r="E206" s="49" t="s">
        <v>743</v>
      </c>
      <c r="F206" s="87">
        <f>IFERROR(__xludf.DUMMYFUNCTION("VALUE(REGEXEXTRACT(A206,""([^.]+)$""))"),1.0)</f>
        <v>1</v>
      </c>
      <c r="G206" s="49">
        <v>24.0</v>
      </c>
      <c r="H206" s="26" t="b">
        <f>COUNTIFS(
 tblCostChecklist[RequirementID],A206,
 tblCostChecklist[PlayerPaid],TRUE
)&gt;0</f>
        <v>0</v>
      </c>
      <c r="I206" s="49">
        <f t="shared" si="1"/>
        <v>9</v>
      </c>
      <c r="J206" s="49">
        <f t="shared" si="2"/>
        <v>0</v>
      </c>
      <c r="K206" s="49">
        <f t="shared" si="3"/>
        <v>9</v>
      </c>
      <c r="L206" s="49" t="b">
        <f t="shared" si="4"/>
        <v>0</v>
      </c>
      <c r="M206" s="88">
        <f t="shared" si="5"/>
        <v>0</v>
      </c>
    </row>
    <row r="207" ht="14.25" customHeight="1">
      <c r="A207" s="49" t="s">
        <v>768</v>
      </c>
      <c r="B207" s="49" t="str">
        <f>IFERROR(__xludf.DUMMYFUNCTION("REGEXEXTRACT(A207,""^cost\.(.*)\.[^.]+\.[^.]+$"")"),"building.fermentory@6")</f>
        <v>building.fermentory@6</v>
      </c>
      <c r="C207" s="49" t="str">
        <f t="array" ref="C207">_xlfn.XLOOKUP(
 B207,
 tblTargets[TargetID],
 tblTargets[DisplayName],
 ""
)</f>
        <v>Fermentory Lv 6</v>
      </c>
      <c r="D207" s="49" t="str">
        <f t="array" ref="D207">_xlfn.XLOOKUP(
 B207,
 tblTargets[TargetID],
 tblTargets[TargetType],
 ""
)</f>
        <v>BUILDING</v>
      </c>
      <c r="E207" s="49" t="s">
        <v>527</v>
      </c>
      <c r="F207" s="87">
        <f>IFERROR(__xludf.DUMMYFUNCTION("VALUE(REGEXEXTRACT(A207,""([^.]+)$""))"),1.0)</f>
        <v>1</v>
      </c>
      <c r="G207" s="49">
        <v>10.0</v>
      </c>
      <c r="H207" s="26" t="b">
        <f>COUNTIFS(
 tblCostChecklist[RequirementID],A207,
 tblCostChecklist[PlayerPaid],TRUE
)&gt;0</f>
        <v>0</v>
      </c>
      <c r="I207" s="49">
        <f t="shared" si="1"/>
        <v>9</v>
      </c>
      <c r="J207" s="49">
        <f t="shared" si="2"/>
        <v>0</v>
      </c>
      <c r="K207" s="49">
        <f t="shared" si="3"/>
        <v>9</v>
      </c>
      <c r="L207" s="49" t="b">
        <f t="shared" si="4"/>
        <v>0</v>
      </c>
      <c r="M207" s="88">
        <f t="shared" si="5"/>
        <v>0</v>
      </c>
    </row>
    <row r="208" ht="14.25" customHeight="1">
      <c r="A208" s="49" t="s">
        <v>775</v>
      </c>
      <c r="B208" s="49" t="str">
        <f>IFERROR(__xludf.DUMMYFUNCTION("REGEXEXTRACT(A208,""^cost\.(.*)\.[^.]+\.[^.]+$"")"),"building.fermentory@6")</f>
        <v>building.fermentory@6</v>
      </c>
      <c r="C208" s="49" t="str">
        <f t="array" ref="C208">_xlfn.XLOOKUP(
 B208,
 tblTargets[TargetID],
 tblTargets[DisplayName],
 ""
)</f>
        <v>Fermentory Lv 6</v>
      </c>
      <c r="D208" s="49" t="str">
        <f t="array" ref="D208">_xlfn.XLOOKUP(
 B208,
 tblTargets[TargetID],
 tblTargets[TargetType],
 ""
)</f>
        <v>BUILDING</v>
      </c>
      <c r="E208" s="49" t="s">
        <v>530</v>
      </c>
      <c r="F208" s="87">
        <f>IFERROR(__xludf.DUMMYFUNCTION("VALUE(REGEXEXTRACT(A208,""([^.]+)$""))"),1.0)</f>
        <v>1</v>
      </c>
      <c r="G208" s="49">
        <v>10.0</v>
      </c>
      <c r="H208" s="26" t="b">
        <f>COUNTIFS(
 tblCostChecklist[RequirementID],A208,
 tblCostChecklist[PlayerPaid],TRUE
)&gt;0</f>
        <v>0</v>
      </c>
      <c r="I208" s="49">
        <f t="shared" si="1"/>
        <v>9</v>
      </c>
      <c r="J208" s="49">
        <f t="shared" si="2"/>
        <v>0</v>
      </c>
      <c r="K208" s="49">
        <f t="shared" si="3"/>
        <v>9</v>
      </c>
      <c r="L208" s="49" t="b">
        <f t="shared" si="4"/>
        <v>0</v>
      </c>
      <c r="M208" s="88">
        <f t="shared" si="5"/>
        <v>0</v>
      </c>
    </row>
    <row r="209" ht="14.25" customHeight="1">
      <c r="A209" s="49" t="s">
        <v>805</v>
      </c>
      <c r="B209" s="49" t="str">
        <f>IFERROR(__xludf.DUMMYFUNCTION("REGEXEXTRACT(A209,""^cost\.(.*)\.[^.]+\.[^.]+$"")"),"building.field@1")</f>
        <v>building.field@1</v>
      </c>
      <c r="C209" s="49" t="str">
        <f t="array" ref="C209">_xlfn.XLOOKUP(
 B209,
 tblTargets[TargetID],
 tblTargets[DisplayName],
 ""
)</f>
        <v>Field Lv 1</v>
      </c>
      <c r="D209" s="49" t="str">
        <f t="array" ref="D209">_xlfn.XLOOKUP(
 B209,
 tblTargets[TargetID],
 tblTargets[TargetType],
 ""
)</f>
        <v>BUILDING</v>
      </c>
      <c r="E209" s="49" t="s">
        <v>6</v>
      </c>
      <c r="F209" s="87">
        <f>IFERROR(__xludf.DUMMYFUNCTION("VALUE(REGEXEXTRACT(A209,""([^.]+)$""))"),1.0)</f>
        <v>1</v>
      </c>
      <c r="G209" s="49">
        <v>1.0</v>
      </c>
      <c r="H209" s="26" t="b">
        <f>COUNTIFS(
 tblCostChecklist[RequirementID],A209,
 tblCostChecklist[PlayerPaid],TRUE
)&gt;0</f>
        <v>0</v>
      </c>
      <c r="I209" s="49">
        <f t="shared" si="1"/>
        <v>4</v>
      </c>
      <c r="J209" s="49">
        <f t="shared" si="2"/>
        <v>0</v>
      </c>
      <c r="K209" s="49">
        <f t="shared" si="3"/>
        <v>4</v>
      </c>
      <c r="L209" s="49" t="b">
        <f t="shared" si="4"/>
        <v>0</v>
      </c>
      <c r="M209" s="88">
        <f t="shared" si="5"/>
        <v>0</v>
      </c>
    </row>
    <row r="210" ht="14.25" customHeight="1">
      <c r="A210" s="49" t="s">
        <v>801</v>
      </c>
      <c r="B210" s="49" t="str">
        <f>IFERROR(__xludf.DUMMYFUNCTION("REGEXEXTRACT(A210,""^cost\.(.*)\.[^.]+\.[^.]+$"")"),"building.field@1")</f>
        <v>building.field@1</v>
      </c>
      <c r="C210" s="49" t="str">
        <f t="array" ref="C210">_xlfn.XLOOKUP(
 B210,
 tblTargets[TargetID],
 tblTargets[DisplayName],
 ""
)</f>
        <v>Field Lv 1</v>
      </c>
      <c r="D210" s="49" t="str">
        <f t="array" ref="D210">_xlfn.XLOOKUP(
 B210,
 tblTargets[TargetID],
 tblTargets[TargetType],
 ""
)</f>
        <v>BUILDING</v>
      </c>
      <c r="E210" s="49" t="s">
        <v>119</v>
      </c>
      <c r="F210" s="87">
        <f>IFERROR(__xludf.DUMMYFUNCTION("VALUE(REGEXEXTRACT(A210,""([^.]+)$""))"),1.0)</f>
        <v>1</v>
      </c>
      <c r="G210" s="49">
        <v>200.0</v>
      </c>
      <c r="H210" s="26" t="b">
        <f>COUNTIFS(
 tblCostChecklist[RequirementID],A210,
 tblCostChecklist[PlayerPaid],TRUE
)&gt;0</f>
        <v>0</v>
      </c>
      <c r="I210" s="49">
        <f t="shared" si="1"/>
        <v>4</v>
      </c>
      <c r="J210" s="49">
        <f t="shared" si="2"/>
        <v>0</v>
      </c>
      <c r="K210" s="49">
        <f t="shared" si="3"/>
        <v>4</v>
      </c>
      <c r="L210" s="49" t="b">
        <f t="shared" si="4"/>
        <v>0</v>
      </c>
      <c r="M210" s="88">
        <f t="shared" si="5"/>
        <v>0</v>
      </c>
    </row>
    <row r="211" ht="14.25" customHeight="1">
      <c r="A211" s="49" t="s">
        <v>809</v>
      </c>
      <c r="B211" s="49" t="str">
        <f>IFERROR(__xludf.DUMMYFUNCTION("REGEXEXTRACT(A211,""^cost\.(.*)\.[^.]+\.[^.]+$"")"),"building.field@1")</f>
        <v>building.field@1</v>
      </c>
      <c r="C211" s="49" t="str">
        <f t="array" ref="C211">_xlfn.XLOOKUP(
 B211,
 tblTargets[TargetID],
 tblTargets[DisplayName],
 ""
)</f>
        <v>Field Lv 1</v>
      </c>
      <c r="D211" s="49" t="str">
        <f t="array" ref="D211">_xlfn.XLOOKUP(
 B211,
 tblTargets[TargetID],
 tblTargets[TargetType],
 ""
)</f>
        <v>BUILDING</v>
      </c>
      <c r="E211" s="49" t="s">
        <v>244</v>
      </c>
      <c r="F211" s="87">
        <f>IFERROR(__xludf.DUMMYFUNCTION("VALUE(REGEXEXTRACT(A211,""([^.]+)$""))"),1.0)</f>
        <v>1</v>
      </c>
      <c r="G211" s="49">
        <v>100.0</v>
      </c>
      <c r="H211" s="26" t="b">
        <f>COUNTIFS(
 tblCostChecklist[RequirementID],A211,
 tblCostChecklist[PlayerPaid],TRUE
)&gt;0</f>
        <v>0</v>
      </c>
      <c r="I211" s="49">
        <f t="shared" si="1"/>
        <v>4</v>
      </c>
      <c r="J211" s="49">
        <f t="shared" si="2"/>
        <v>0</v>
      </c>
      <c r="K211" s="49">
        <f t="shared" si="3"/>
        <v>4</v>
      </c>
      <c r="L211" s="49" t="b">
        <f t="shared" si="4"/>
        <v>0</v>
      </c>
      <c r="M211" s="88">
        <f t="shared" si="5"/>
        <v>0</v>
      </c>
    </row>
    <row r="212" ht="14.25" customHeight="1">
      <c r="A212" s="49" t="s">
        <v>797</v>
      </c>
      <c r="B212" s="49" t="str">
        <f>IFERROR(__xludf.DUMMYFUNCTION("REGEXEXTRACT(A212,""^cost\.(.*)\.[^.]+\.[^.]+$"")"),"building.field@1")</f>
        <v>building.field@1</v>
      </c>
      <c r="C212" s="49" t="str">
        <f t="array" ref="C212">_xlfn.XLOOKUP(
 B212,
 tblTargets[TargetID],
 tblTargets[DisplayName],
 ""
)</f>
        <v>Field Lv 1</v>
      </c>
      <c r="D212" s="49" t="str">
        <f t="array" ref="D212">_xlfn.XLOOKUP(
 B212,
 tblTargets[TargetID],
 tblTargets[TargetType],
 ""
)</f>
        <v>BUILDING</v>
      </c>
      <c r="E212" s="49" t="s">
        <v>113</v>
      </c>
      <c r="F212" s="87">
        <f>IFERROR(__xludf.DUMMYFUNCTION("VALUE(REGEXEXTRACT(A212,""([^.]+)$""))"),1.0)</f>
        <v>1</v>
      </c>
      <c r="G212" s="49">
        <v>20.0</v>
      </c>
      <c r="H212" s="26" t="b">
        <f>COUNTIFS(
 tblCostChecklist[RequirementID],A212,
 tblCostChecklist[PlayerPaid],TRUE
)&gt;0</f>
        <v>0</v>
      </c>
      <c r="I212" s="49">
        <f t="shared" si="1"/>
        <v>4</v>
      </c>
      <c r="J212" s="49">
        <f t="shared" si="2"/>
        <v>0</v>
      </c>
      <c r="K212" s="49">
        <f t="shared" si="3"/>
        <v>4</v>
      </c>
      <c r="L212" s="49" t="b">
        <f t="shared" si="4"/>
        <v>0</v>
      </c>
      <c r="M212" s="88">
        <f t="shared" si="5"/>
        <v>0</v>
      </c>
    </row>
    <row r="213" ht="14.25" customHeight="1">
      <c r="A213" s="49" t="s">
        <v>820</v>
      </c>
      <c r="B213" s="49" t="str">
        <f>IFERROR(__xludf.DUMMYFUNCTION("REGEXEXTRACT(A213,""^cost\.(.*)\.[^.]+\.[^.]+$"")"),"building.field@2")</f>
        <v>building.field@2</v>
      </c>
      <c r="C213" s="49" t="str">
        <f t="array" ref="C213">_xlfn.XLOOKUP(
 B213,
 tblTargets[TargetID],
 tblTargets[DisplayName],
 ""
)</f>
        <v>Field Lv 2</v>
      </c>
      <c r="D213" s="49" t="str">
        <f t="array" ref="D213">_xlfn.XLOOKUP(
 B213,
 tblTargets[TargetID],
 tblTargets[TargetType],
 ""
)</f>
        <v>BUILDING</v>
      </c>
      <c r="E213" s="49" t="s">
        <v>6</v>
      </c>
      <c r="F213" s="87">
        <f>IFERROR(__xludf.DUMMYFUNCTION("VALUE(REGEXEXTRACT(A213,""([^.]+)$""))"),1.0)</f>
        <v>1</v>
      </c>
      <c r="G213" s="49">
        <v>3.0</v>
      </c>
      <c r="H213" s="26" t="b">
        <f>COUNTIFS(
 tblCostChecklist[RequirementID],A213,
 tblCostChecklist[PlayerPaid],TRUE
)&gt;0</f>
        <v>0</v>
      </c>
      <c r="I213" s="49">
        <f t="shared" si="1"/>
        <v>5</v>
      </c>
      <c r="J213" s="49">
        <f t="shared" si="2"/>
        <v>0</v>
      </c>
      <c r="K213" s="49">
        <f t="shared" si="3"/>
        <v>5</v>
      </c>
      <c r="L213" s="49" t="b">
        <f t="shared" si="4"/>
        <v>0</v>
      </c>
      <c r="M213" s="88">
        <f t="shared" si="5"/>
        <v>0</v>
      </c>
    </row>
    <row r="214" ht="14.25" customHeight="1">
      <c r="A214" s="49" t="s">
        <v>817</v>
      </c>
      <c r="B214" s="49" t="str">
        <f>IFERROR(__xludf.DUMMYFUNCTION("REGEXEXTRACT(A214,""^cost\.(.*)\.[^.]+\.[^.]+$"")"),"building.field@2")</f>
        <v>building.field@2</v>
      </c>
      <c r="C214" s="49" t="str">
        <f t="array" ref="C214">_xlfn.XLOOKUP(
 B214,
 tblTargets[TargetID],
 tblTargets[DisplayName],
 ""
)</f>
        <v>Field Lv 2</v>
      </c>
      <c r="D214" s="49" t="str">
        <f t="array" ref="D214">_xlfn.XLOOKUP(
 B214,
 tblTargets[TargetID],
 tblTargets[TargetType],
 ""
)</f>
        <v>BUILDING</v>
      </c>
      <c r="E214" s="49" t="s">
        <v>119</v>
      </c>
      <c r="F214" s="87">
        <f>IFERROR(__xludf.DUMMYFUNCTION("VALUE(REGEXEXTRACT(A214,""([^.]+)$""))"),1.0)</f>
        <v>1</v>
      </c>
      <c r="G214" s="49">
        <v>300.0</v>
      </c>
      <c r="H214" s="26" t="b">
        <f>COUNTIFS(
 tblCostChecklist[RequirementID],A214,
 tblCostChecklist[PlayerPaid],TRUE
)&gt;0</f>
        <v>0</v>
      </c>
      <c r="I214" s="49">
        <f t="shared" si="1"/>
        <v>5</v>
      </c>
      <c r="J214" s="49">
        <f t="shared" si="2"/>
        <v>0</v>
      </c>
      <c r="K214" s="49">
        <f t="shared" si="3"/>
        <v>5</v>
      </c>
      <c r="L214" s="49" t="b">
        <f t="shared" si="4"/>
        <v>0</v>
      </c>
      <c r="M214" s="88">
        <f t="shared" si="5"/>
        <v>0</v>
      </c>
    </row>
    <row r="215" ht="14.25" customHeight="1">
      <c r="A215" s="49" t="s">
        <v>828</v>
      </c>
      <c r="B215" s="49" t="str">
        <f>IFERROR(__xludf.DUMMYFUNCTION("REGEXEXTRACT(A215,""^cost\.(.*)\.[^.]+\.[^.]+$"")"),"building.field@2")</f>
        <v>building.field@2</v>
      </c>
      <c r="C215" s="49" t="str">
        <f t="array" ref="C215">_xlfn.XLOOKUP(
 B215,
 tblTargets[TargetID],
 tblTargets[DisplayName],
 ""
)</f>
        <v>Field Lv 2</v>
      </c>
      <c r="D215" s="49" t="str">
        <f t="array" ref="D215">_xlfn.XLOOKUP(
 B215,
 tblTargets[TargetID],
 tblTargets[TargetType],
 ""
)</f>
        <v>BUILDING</v>
      </c>
      <c r="E215" s="49" t="s">
        <v>244</v>
      </c>
      <c r="F215" s="87">
        <f>IFERROR(__xludf.DUMMYFUNCTION("VALUE(REGEXEXTRACT(A215,""([^.]+)$""))"),1.0)</f>
        <v>1</v>
      </c>
      <c r="G215" s="49">
        <v>100.0</v>
      </c>
      <c r="H215" s="26" t="b">
        <f>COUNTIFS(
 tblCostChecklist[RequirementID],A215,
 tblCostChecklist[PlayerPaid],TRUE
)&gt;0</f>
        <v>0</v>
      </c>
      <c r="I215" s="49">
        <f t="shared" si="1"/>
        <v>5</v>
      </c>
      <c r="J215" s="49">
        <f t="shared" si="2"/>
        <v>0</v>
      </c>
      <c r="K215" s="49">
        <f t="shared" si="3"/>
        <v>5</v>
      </c>
      <c r="L215" s="49" t="b">
        <f t="shared" si="4"/>
        <v>0</v>
      </c>
      <c r="M215" s="88">
        <f t="shared" si="5"/>
        <v>0</v>
      </c>
    </row>
    <row r="216" ht="14.25" customHeight="1">
      <c r="A216" s="49" t="s">
        <v>813</v>
      </c>
      <c r="B216" s="49" t="str">
        <f>IFERROR(__xludf.DUMMYFUNCTION("REGEXEXTRACT(A216,""^cost\.(.*)\.[^.]+\.[^.]+$"")"),"building.field@2")</f>
        <v>building.field@2</v>
      </c>
      <c r="C216" s="49" t="str">
        <f t="array" ref="C216">_xlfn.XLOOKUP(
 B216,
 tblTargets[TargetID],
 tblTargets[DisplayName],
 ""
)</f>
        <v>Field Lv 2</v>
      </c>
      <c r="D216" s="49" t="str">
        <f t="array" ref="D216">_xlfn.XLOOKUP(
 B216,
 tblTargets[TargetID],
 tblTargets[TargetType],
 ""
)</f>
        <v>BUILDING</v>
      </c>
      <c r="E216" s="49" t="s">
        <v>113</v>
      </c>
      <c r="F216" s="87">
        <f>IFERROR(__xludf.DUMMYFUNCTION("VALUE(REGEXEXTRACT(A216,""([^.]+)$""))"),1.0)</f>
        <v>1</v>
      </c>
      <c r="G216" s="49">
        <v>50.0</v>
      </c>
      <c r="H216" s="26" t="b">
        <f>COUNTIFS(
 tblCostChecklist[RequirementID],A216,
 tblCostChecklist[PlayerPaid],TRUE
)&gt;0</f>
        <v>0</v>
      </c>
      <c r="I216" s="49">
        <f t="shared" si="1"/>
        <v>5</v>
      </c>
      <c r="J216" s="49">
        <f t="shared" si="2"/>
        <v>0</v>
      </c>
      <c r="K216" s="49">
        <f t="shared" si="3"/>
        <v>5</v>
      </c>
      <c r="L216" s="49" t="b">
        <f t="shared" si="4"/>
        <v>0</v>
      </c>
      <c r="M216" s="88">
        <f t="shared" si="5"/>
        <v>0</v>
      </c>
    </row>
    <row r="217" ht="14.25" customHeight="1">
      <c r="A217" s="49" t="s">
        <v>824</v>
      </c>
      <c r="B217" s="49" t="str">
        <f>IFERROR(__xludf.DUMMYFUNCTION("REGEXEXTRACT(A217,""^cost\.(.*)\.[^.]+\.[^.]+$"")"),"building.field@2")</f>
        <v>building.field@2</v>
      </c>
      <c r="C217" s="49" t="str">
        <f t="array" ref="C217">_xlfn.XLOOKUP(
 B217,
 tblTargets[TargetID],
 tblTargets[DisplayName],
 ""
)</f>
        <v>Field Lv 2</v>
      </c>
      <c r="D217" s="49" t="str">
        <f t="array" ref="D217">_xlfn.XLOOKUP(
 B217,
 tblTargets[TargetID],
 tblTargets[TargetType],
 ""
)</f>
        <v>BUILDING</v>
      </c>
      <c r="E217" s="49" t="s">
        <v>392</v>
      </c>
      <c r="F217" s="87">
        <f>IFERROR(__xludf.DUMMYFUNCTION("VALUE(REGEXEXTRACT(A217,""([^.]+)$""))"),1.0)</f>
        <v>1</v>
      </c>
      <c r="G217" s="49">
        <v>20.0</v>
      </c>
      <c r="H217" s="26" t="b">
        <f>COUNTIFS(
 tblCostChecklist[RequirementID],A217,
 tblCostChecklist[PlayerPaid],TRUE
)&gt;0</f>
        <v>0</v>
      </c>
      <c r="I217" s="49">
        <f t="shared" si="1"/>
        <v>5</v>
      </c>
      <c r="J217" s="49">
        <f t="shared" si="2"/>
        <v>0</v>
      </c>
      <c r="K217" s="49">
        <f t="shared" si="3"/>
        <v>5</v>
      </c>
      <c r="L217" s="49" t="b">
        <f t="shared" si="4"/>
        <v>0</v>
      </c>
      <c r="M217" s="88">
        <f t="shared" si="5"/>
        <v>0</v>
      </c>
    </row>
    <row r="218" ht="14.25" customHeight="1">
      <c r="A218" s="49" t="s">
        <v>839</v>
      </c>
      <c r="B218" s="49" t="str">
        <f>IFERROR(__xludf.DUMMYFUNCTION("REGEXEXTRACT(A218,""^cost\.(.*)\.[^.]+\.[^.]+$"")"),"building.food_stall@1")</f>
        <v>building.food_stall@1</v>
      </c>
      <c r="C218" s="49" t="str">
        <f t="array" ref="C218">_xlfn.XLOOKUP(
 B218,
 tblTargets[TargetID],
 tblTargets[DisplayName],
 ""
)</f>
        <v>Food Stall Lv 1</v>
      </c>
      <c r="D218" s="49" t="str">
        <f t="array" ref="D218">_xlfn.XLOOKUP(
 B218,
 tblTargets[TargetID],
 tblTargets[TargetType],
 ""
)</f>
        <v>BUILDING</v>
      </c>
      <c r="E218" s="49" t="s">
        <v>6</v>
      </c>
      <c r="F218" s="87">
        <f>IFERROR(__xludf.DUMMYFUNCTION("VALUE(REGEXEXTRACT(A218,""([^.]+)$""))"),1.0)</f>
        <v>1</v>
      </c>
      <c r="G218" s="49">
        <v>1.0</v>
      </c>
      <c r="H218" s="26" t="b">
        <f>COUNTIFS(
 tblCostChecklist[RequirementID],A218,
 tblCostChecklist[PlayerPaid],TRUE
)&gt;0</f>
        <v>0</v>
      </c>
      <c r="I218" s="49">
        <f t="shared" si="1"/>
        <v>5</v>
      </c>
      <c r="J218" s="49">
        <f t="shared" si="2"/>
        <v>0</v>
      </c>
      <c r="K218" s="49">
        <f t="shared" si="3"/>
        <v>5</v>
      </c>
      <c r="L218" s="49" t="b">
        <f t="shared" si="4"/>
        <v>0</v>
      </c>
      <c r="M218" s="88">
        <f t="shared" si="5"/>
        <v>0</v>
      </c>
    </row>
    <row r="219" ht="14.25" customHeight="1">
      <c r="A219" s="49" t="s">
        <v>832</v>
      </c>
      <c r="B219" s="49" t="str">
        <f>IFERROR(__xludf.DUMMYFUNCTION("REGEXEXTRACT(A219,""^cost\.(.*)\.[^.]+\.[^.]+$"")"),"building.food_stall@1")</f>
        <v>building.food_stall@1</v>
      </c>
      <c r="C219" s="49" t="str">
        <f t="array" ref="C219">_xlfn.XLOOKUP(
 B219,
 tblTargets[TargetID],
 tblTargets[DisplayName],
 ""
)</f>
        <v>Food Stall Lv 1</v>
      </c>
      <c r="D219" s="49" t="str">
        <f t="array" ref="D219">_xlfn.XLOOKUP(
 B219,
 tblTargets[TargetID],
 tblTargets[TargetType],
 ""
)</f>
        <v>BUILDING</v>
      </c>
      <c r="E219" s="49" t="s">
        <v>119</v>
      </c>
      <c r="F219" s="87">
        <f>IFERROR(__xludf.DUMMYFUNCTION("VALUE(REGEXEXTRACT(A219,""([^.]+)$""))"),1.0)</f>
        <v>1</v>
      </c>
      <c r="G219" s="49">
        <v>300.0</v>
      </c>
      <c r="H219" s="26" t="b">
        <f>COUNTIFS(
 tblCostChecklist[RequirementID],A219,
 tblCostChecklist[PlayerPaid],TRUE
)&gt;0</f>
        <v>0</v>
      </c>
      <c r="I219" s="49">
        <f t="shared" si="1"/>
        <v>5</v>
      </c>
      <c r="J219" s="49">
        <f t="shared" si="2"/>
        <v>0</v>
      </c>
      <c r="K219" s="49">
        <f t="shared" si="3"/>
        <v>5</v>
      </c>
      <c r="L219" s="49" t="b">
        <f t="shared" si="4"/>
        <v>0</v>
      </c>
      <c r="M219" s="88">
        <f t="shared" si="5"/>
        <v>0</v>
      </c>
    </row>
    <row r="220" ht="14.25" customHeight="1">
      <c r="A220" s="49" t="s">
        <v>847</v>
      </c>
      <c r="B220" s="49" t="str">
        <f>IFERROR(__xludf.DUMMYFUNCTION("REGEXEXTRACT(A220,""^cost\.(.*)\.[^.]+\.[^.]+$"")"),"building.food_stall@1")</f>
        <v>building.food_stall@1</v>
      </c>
      <c r="C220" s="49" t="str">
        <f t="array" ref="C220">_xlfn.XLOOKUP(
 B220,
 tblTargets[TargetID],
 tblTargets[DisplayName],
 ""
)</f>
        <v>Food Stall Lv 1</v>
      </c>
      <c r="D220" s="49" t="str">
        <f t="array" ref="D220">_xlfn.XLOOKUP(
 B220,
 tblTargets[TargetID],
 tblTargets[TargetType],
 ""
)</f>
        <v>BUILDING</v>
      </c>
      <c r="E220" s="49" t="s">
        <v>244</v>
      </c>
      <c r="F220" s="87">
        <f>IFERROR(__xludf.DUMMYFUNCTION("VALUE(REGEXEXTRACT(A220,""([^.]+)$""))"),1.0)</f>
        <v>1</v>
      </c>
      <c r="G220" s="49">
        <v>150.0</v>
      </c>
      <c r="H220" s="26" t="b">
        <f>COUNTIFS(
 tblCostChecklist[RequirementID],A220,
 tblCostChecklist[PlayerPaid],TRUE
)&gt;0</f>
        <v>0</v>
      </c>
      <c r="I220" s="49">
        <f t="shared" si="1"/>
        <v>5</v>
      </c>
      <c r="J220" s="49">
        <f t="shared" si="2"/>
        <v>0</v>
      </c>
      <c r="K220" s="49">
        <f t="shared" si="3"/>
        <v>5</v>
      </c>
      <c r="L220" s="49" t="b">
        <f t="shared" si="4"/>
        <v>0</v>
      </c>
      <c r="M220" s="88">
        <f t="shared" si="5"/>
        <v>0</v>
      </c>
    </row>
    <row r="221" ht="14.25" customHeight="1">
      <c r="A221" s="49" t="s">
        <v>843</v>
      </c>
      <c r="B221" s="49" t="str">
        <f>IFERROR(__xludf.DUMMYFUNCTION("REGEXEXTRACT(A221,""^cost\.(.*)\.[^.]+\.[^.]+$"")"),"building.food_stall@1")</f>
        <v>building.food_stall@1</v>
      </c>
      <c r="C221" s="49" t="str">
        <f t="array" ref="C221">_xlfn.XLOOKUP(
 B221,
 tblTargets[TargetID],
 tblTargets[DisplayName],
 ""
)</f>
        <v>Food Stall Lv 1</v>
      </c>
      <c r="D221" s="49" t="str">
        <f t="array" ref="D221">_xlfn.XLOOKUP(
 B221,
 tblTargets[TargetID],
 tblTargets[TargetType],
 ""
)</f>
        <v>BUILDING</v>
      </c>
      <c r="E221" s="49" t="s">
        <v>237</v>
      </c>
      <c r="F221" s="87">
        <f>IFERROR(__xludf.DUMMYFUNCTION("VALUE(REGEXEXTRACT(A221,""([^.]+)$""))"),1.0)</f>
        <v>1</v>
      </c>
      <c r="G221" s="49">
        <v>150.0</v>
      </c>
      <c r="H221" s="26" t="b">
        <f>COUNTIFS(
 tblCostChecklist[RequirementID],A221,
 tblCostChecklist[PlayerPaid],TRUE
)&gt;0</f>
        <v>0</v>
      </c>
      <c r="I221" s="49">
        <f t="shared" si="1"/>
        <v>5</v>
      </c>
      <c r="J221" s="49">
        <f t="shared" si="2"/>
        <v>0</v>
      </c>
      <c r="K221" s="49">
        <f t="shared" si="3"/>
        <v>5</v>
      </c>
      <c r="L221" s="49" t="b">
        <f t="shared" si="4"/>
        <v>0</v>
      </c>
      <c r="M221" s="88">
        <f t="shared" si="5"/>
        <v>0</v>
      </c>
    </row>
    <row r="222" ht="14.25" customHeight="1">
      <c r="A222" s="49" t="s">
        <v>836</v>
      </c>
      <c r="B222" s="49" t="str">
        <f>IFERROR(__xludf.DUMMYFUNCTION("REGEXEXTRACT(A222,""^cost\.(.*)\.[^.]+\.[^.]+$"")"),"building.food_stall@1")</f>
        <v>building.food_stall@1</v>
      </c>
      <c r="C222" s="49" t="str">
        <f t="array" ref="C222">_xlfn.XLOOKUP(
 B222,
 tblTargets[TargetID],
 tblTargets[DisplayName],
 ""
)</f>
        <v>Food Stall Lv 1</v>
      </c>
      <c r="D222" s="49" t="str">
        <f t="array" ref="D222">_xlfn.XLOOKUP(
 B222,
 tblTargets[TargetID],
 tblTargets[TargetType],
 ""
)</f>
        <v>BUILDING</v>
      </c>
      <c r="E222" s="49" t="s">
        <v>701</v>
      </c>
      <c r="F222" s="87">
        <f>IFERROR(__xludf.DUMMYFUNCTION("VALUE(REGEXEXTRACT(A222,""([^.]+)$""))"),1.0)</f>
        <v>1</v>
      </c>
      <c r="G222" s="49">
        <v>20.0</v>
      </c>
      <c r="H222" s="26" t="b">
        <f>COUNTIFS(
 tblCostChecklist[RequirementID],A222,
 tblCostChecklist[PlayerPaid],TRUE
)&gt;0</f>
        <v>0</v>
      </c>
      <c r="I222" s="49">
        <f t="shared" si="1"/>
        <v>5</v>
      </c>
      <c r="J222" s="49">
        <f t="shared" si="2"/>
        <v>0</v>
      </c>
      <c r="K222" s="49">
        <f t="shared" si="3"/>
        <v>5</v>
      </c>
      <c r="L222" s="49" t="b">
        <f t="shared" si="4"/>
        <v>0</v>
      </c>
      <c r="M222" s="88">
        <f t="shared" si="5"/>
        <v>0</v>
      </c>
    </row>
    <row r="223" ht="14.25" customHeight="1">
      <c r="A223" s="49" t="s">
        <v>859</v>
      </c>
      <c r="B223" s="49" t="str">
        <f>IFERROR(__xludf.DUMMYFUNCTION("REGEXEXTRACT(A223,""^cost\.(.*)\.[^.]+\.[^.]+$"")"),"building.food_stall@2")</f>
        <v>building.food_stall@2</v>
      </c>
      <c r="C223" s="49" t="str">
        <f t="array" ref="C223">_xlfn.XLOOKUP(
 B223,
 tblTargets[TargetID],
 tblTargets[DisplayName],
 ""
)</f>
        <v>Food Stall Lv 2</v>
      </c>
      <c r="D223" s="49" t="str">
        <f t="array" ref="D223">_xlfn.XLOOKUP(
 B223,
 tblTargets[TargetID],
 tblTargets[TargetType],
 ""
)</f>
        <v>BUILDING</v>
      </c>
      <c r="E223" s="49" t="s">
        <v>6</v>
      </c>
      <c r="F223" s="87">
        <f>IFERROR(__xludf.DUMMYFUNCTION("VALUE(REGEXEXTRACT(A223,""([^.]+)$""))"),1.0)</f>
        <v>1</v>
      </c>
      <c r="G223" s="49">
        <v>3.0</v>
      </c>
      <c r="H223" s="26" t="b">
        <f>COUNTIFS(
 tblCostChecklist[RequirementID],A223,
 tblCostChecklist[PlayerPaid],TRUE
)&gt;0</f>
        <v>0</v>
      </c>
      <c r="I223" s="49">
        <f t="shared" si="1"/>
        <v>5</v>
      </c>
      <c r="J223" s="49">
        <f t="shared" si="2"/>
        <v>0</v>
      </c>
      <c r="K223" s="49">
        <f t="shared" si="3"/>
        <v>5</v>
      </c>
      <c r="L223" s="49" t="b">
        <f t="shared" si="4"/>
        <v>0</v>
      </c>
      <c r="M223" s="88">
        <f t="shared" si="5"/>
        <v>0</v>
      </c>
    </row>
    <row r="224" ht="14.25" customHeight="1">
      <c r="A224" s="49" t="s">
        <v>851</v>
      </c>
      <c r="B224" s="49" t="str">
        <f>IFERROR(__xludf.DUMMYFUNCTION("REGEXEXTRACT(A224,""^cost\.(.*)\.[^.]+\.[^.]+$"")"),"building.food_stall@2")</f>
        <v>building.food_stall@2</v>
      </c>
      <c r="C224" s="49" t="str">
        <f t="array" ref="C224">_xlfn.XLOOKUP(
 B224,
 tblTargets[TargetID],
 tblTargets[DisplayName],
 ""
)</f>
        <v>Food Stall Lv 2</v>
      </c>
      <c r="D224" s="49" t="str">
        <f t="array" ref="D224">_xlfn.XLOOKUP(
 B224,
 tblTargets[TargetID],
 tblTargets[TargetType],
 ""
)</f>
        <v>BUILDING</v>
      </c>
      <c r="E224" s="49" t="s">
        <v>119</v>
      </c>
      <c r="F224" s="87">
        <f>IFERROR(__xludf.DUMMYFUNCTION("VALUE(REGEXEXTRACT(A224,""([^.]+)$""))"),1.0)</f>
        <v>1</v>
      </c>
      <c r="G224" s="49">
        <v>500.0</v>
      </c>
      <c r="H224" s="26" t="b">
        <f>COUNTIFS(
 tblCostChecklist[RequirementID],A224,
 tblCostChecklist[PlayerPaid],TRUE
)&gt;0</f>
        <v>0</v>
      </c>
      <c r="I224" s="49">
        <f t="shared" si="1"/>
        <v>5</v>
      </c>
      <c r="J224" s="49">
        <f t="shared" si="2"/>
        <v>0</v>
      </c>
      <c r="K224" s="49">
        <f t="shared" si="3"/>
        <v>5</v>
      </c>
      <c r="L224" s="49" t="b">
        <f t="shared" si="4"/>
        <v>0</v>
      </c>
      <c r="M224" s="88">
        <f t="shared" si="5"/>
        <v>0</v>
      </c>
    </row>
    <row r="225" ht="14.25" customHeight="1">
      <c r="A225" s="49" t="s">
        <v>856</v>
      </c>
      <c r="B225" s="49" t="str">
        <f>IFERROR(__xludf.DUMMYFUNCTION("REGEXEXTRACT(A225,""^cost\.(.*)\.[^.]+\.[^.]+$"")"),"building.food_stall@2")</f>
        <v>building.food_stall@2</v>
      </c>
      <c r="C225" s="49" t="str">
        <f t="array" ref="C225">_xlfn.XLOOKUP(
 B225,
 tblTargets[TargetID],
 tblTargets[DisplayName],
 ""
)</f>
        <v>Food Stall Lv 2</v>
      </c>
      <c r="D225" s="49" t="str">
        <f t="array" ref="D225">_xlfn.XLOOKUP(
 B225,
 tblTargets[TargetID],
 tblTargets[TargetType],
 ""
)</f>
        <v>BUILDING</v>
      </c>
      <c r="E225" s="49" t="s">
        <v>187</v>
      </c>
      <c r="F225" s="87">
        <f>IFERROR(__xludf.DUMMYFUNCTION("VALUE(REGEXEXTRACT(A225,""([^.]+)$""))"),1.0)</f>
        <v>1</v>
      </c>
      <c r="G225" s="49">
        <v>500.0</v>
      </c>
      <c r="H225" s="26" t="b">
        <f>COUNTIFS(
 tblCostChecklist[RequirementID],A225,
 tblCostChecklist[PlayerPaid],TRUE
)&gt;0</f>
        <v>0</v>
      </c>
      <c r="I225" s="49">
        <f t="shared" si="1"/>
        <v>5</v>
      </c>
      <c r="J225" s="49">
        <f t="shared" si="2"/>
        <v>0</v>
      </c>
      <c r="K225" s="49">
        <f t="shared" si="3"/>
        <v>5</v>
      </c>
      <c r="L225" s="49" t="b">
        <f t="shared" si="4"/>
        <v>0</v>
      </c>
      <c r="M225" s="88">
        <f t="shared" si="5"/>
        <v>0</v>
      </c>
    </row>
    <row r="226" ht="14.25" customHeight="1">
      <c r="A226" s="49" t="s">
        <v>869</v>
      </c>
      <c r="B226" s="49" t="str">
        <f>IFERROR(__xludf.DUMMYFUNCTION("REGEXEXTRACT(A226,""^cost\.(.*)\.[^.]+\.[^.]+$"")"),"building.food_stall@2")</f>
        <v>building.food_stall@2</v>
      </c>
      <c r="C226" s="49" t="str">
        <f t="array" ref="C226">_xlfn.XLOOKUP(
 B226,
 tblTargets[TargetID],
 tblTargets[DisplayName],
 ""
)</f>
        <v>Food Stall Lv 2</v>
      </c>
      <c r="D226" s="49" t="str">
        <f t="array" ref="D226">_xlfn.XLOOKUP(
 B226,
 tblTargets[TargetID],
 tblTargets[TargetType],
 ""
)</f>
        <v>BUILDING</v>
      </c>
      <c r="E226" s="49" t="s">
        <v>237</v>
      </c>
      <c r="F226" s="87">
        <f>IFERROR(__xludf.DUMMYFUNCTION("VALUE(REGEXEXTRACT(A226,""([^.]+)$""))"),1.0)</f>
        <v>1</v>
      </c>
      <c r="G226" s="49">
        <v>300.0</v>
      </c>
      <c r="H226" s="26" t="b">
        <f>COUNTIFS(
 tblCostChecklist[RequirementID],A226,
 tblCostChecklist[PlayerPaid],TRUE
)&gt;0</f>
        <v>0</v>
      </c>
      <c r="I226" s="49">
        <f t="shared" si="1"/>
        <v>5</v>
      </c>
      <c r="J226" s="49">
        <f t="shared" si="2"/>
        <v>0</v>
      </c>
      <c r="K226" s="49">
        <f t="shared" si="3"/>
        <v>5</v>
      </c>
      <c r="L226" s="49" t="b">
        <f t="shared" si="4"/>
        <v>0</v>
      </c>
      <c r="M226" s="88">
        <f t="shared" si="5"/>
        <v>0</v>
      </c>
    </row>
    <row r="227" ht="14.25" customHeight="1">
      <c r="A227" s="49" t="s">
        <v>863</v>
      </c>
      <c r="B227" s="49" t="str">
        <f>IFERROR(__xludf.DUMMYFUNCTION("REGEXEXTRACT(A227,""^cost\.(.*)\.[^.]+\.[^.]+$"")"),"building.food_stall@2")</f>
        <v>building.food_stall@2</v>
      </c>
      <c r="C227" s="49" t="str">
        <f t="array" ref="C227">_xlfn.XLOOKUP(
 B227,
 tblTargets[TargetID],
 tblTargets[DisplayName],
 ""
)</f>
        <v>Food Stall Lv 2</v>
      </c>
      <c r="D227" s="49" t="str">
        <f t="array" ref="D227">_xlfn.XLOOKUP(
 B227,
 tblTargets[TargetID],
 tblTargets[TargetType],
 ""
)</f>
        <v>BUILDING</v>
      </c>
      <c r="E227" s="49" t="s">
        <v>443</v>
      </c>
      <c r="F227" s="87">
        <f>IFERROR(__xludf.DUMMYFUNCTION("VALUE(REGEXEXTRACT(A227,""([^.]+)$""))"),1.0)</f>
        <v>1</v>
      </c>
      <c r="G227" s="49">
        <v>5.0</v>
      </c>
      <c r="H227" s="26" t="b">
        <f>COUNTIFS(
 tblCostChecklist[RequirementID],A227,
 tblCostChecklist[PlayerPaid],TRUE
)&gt;0</f>
        <v>0</v>
      </c>
      <c r="I227" s="49">
        <f t="shared" si="1"/>
        <v>5</v>
      </c>
      <c r="J227" s="49">
        <f t="shared" si="2"/>
        <v>0</v>
      </c>
      <c r="K227" s="49">
        <f t="shared" si="3"/>
        <v>5</v>
      </c>
      <c r="L227" s="49" t="b">
        <f t="shared" si="4"/>
        <v>0</v>
      </c>
      <c r="M227" s="88">
        <f t="shared" si="5"/>
        <v>0</v>
      </c>
    </row>
    <row r="228" ht="14.25" customHeight="1">
      <c r="A228" s="49" t="s">
        <v>884</v>
      </c>
      <c r="B228" s="49" t="str">
        <f>IFERROR(__xludf.DUMMYFUNCTION("REGEXEXTRACT(A228,""^cost\.(.*)\.[^.]+\.[^.]+$"")"),"building.food_stall@3")</f>
        <v>building.food_stall@3</v>
      </c>
      <c r="C228" s="49" t="str">
        <f t="array" ref="C228">_xlfn.XLOOKUP(
 B228,
 tblTargets[TargetID],
 tblTargets[DisplayName],
 ""
)</f>
        <v>Food Stall Lv 3</v>
      </c>
      <c r="D228" s="49" t="str">
        <f t="array" ref="D228">_xlfn.XLOOKUP(
 B228,
 tblTargets[TargetID],
 tblTargets[TargetType],
 ""
)</f>
        <v>BUILDING</v>
      </c>
      <c r="E228" s="49" t="s">
        <v>6</v>
      </c>
      <c r="F228" s="87">
        <f>IFERROR(__xludf.DUMMYFUNCTION("VALUE(REGEXEXTRACT(A228,""([^.]+)$""))"),1.0)</f>
        <v>1</v>
      </c>
      <c r="G228" s="49">
        <v>5.0</v>
      </c>
      <c r="H228" s="26" t="b">
        <f>COUNTIFS(
 tblCostChecklist[RequirementID],A228,
 tblCostChecklist[PlayerPaid],TRUE
)&gt;0</f>
        <v>0</v>
      </c>
      <c r="I228" s="49">
        <f t="shared" si="1"/>
        <v>5</v>
      </c>
      <c r="J228" s="49">
        <f t="shared" si="2"/>
        <v>0</v>
      </c>
      <c r="K228" s="49">
        <f t="shared" si="3"/>
        <v>5</v>
      </c>
      <c r="L228" s="49" t="b">
        <f t="shared" si="4"/>
        <v>0</v>
      </c>
      <c r="M228" s="88">
        <f t="shared" si="5"/>
        <v>0</v>
      </c>
    </row>
    <row r="229" ht="14.25" customHeight="1">
      <c r="A229" s="49" t="s">
        <v>874</v>
      </c>
      <c r="B229" s="49" t="str">
        <f>IFERROR(__xludf.DUMMYFUNCTION("REGEXEXTRACT(A229,""^cost\.(.*)\.[^.]+\.[^.]+$"")"),"building.food_stall@3")</f>
        <v>building.food_stall@3</v>
      </c>
      <c r="C229" s="49" t="str">
        <f t="array" ref="C229">_xlfn.XLOOKUP(
 B229,
 tblTargets[TargetID],
 tblTargets[DisplayName],
 ""
)</f>
        <v>Food Stall Lv 3</v>
      </c>
      <c r="D229" s="49" t="str">
        <f t="array" ref="D229">_xlfn.XLOOKUP(
 B229,
 tblTargets[TargetID],
 tblTargets[TargetType],
 ""
)</f>
        <v>BUILDING</v>
      </c>
      <c r="E229" s="49" t="s">
        <v>119</v>
      </c>
      <c r="F229" s="87">
        <f>IFERROR(__xludf.DUMMYFUNCTION("VALUE(REGEXEXTRACT(A229,""([^.]+)$""))"),1.0)</f>
        <v>1</v>
      </c>
      <c r="G229" s="49">
        <v>800.0</v>
      </c>
      <c r="H229" s="26" t="b">
        <f>COUNTIFS(
 tblCostChecklist[RequirementID],A229,
 tblCostChecklist[PlayerPaid],TRUE
)&gt;0</f>
        <v>0</v>
      </c>
      <c r="I229" s="49">
        <f t="shared" si="1"/>
        <v>5</v>
      </c>
      <c r="J229" s="49">
        <f t="shared" si="2"/>
        <v>0</v>
      </c>
      <c r="K229" s="49">
        <f t="shared" si="3"/>
        <v>5</v>
      </c>
      <c r="L229" s="49" t="b">
        <f t="shared" si="4"/>
        <v>0</v>
      </c>
      <c r="M229" s="88">
        <f t="shared" si="5"/>
        <v>0</v>
      </c>
    </row>
    <row r="230" ht="14.25" customHeight="1">
      <c r="A230" s="49" t="s">
        <v>880</v>
      </c>
      <c r="B230" s="49" t="str">
        <f>IFERROR(__xludf.DUMMYFUNCTION("REGEXEXTRACT(A230,""^cost\.(.*)\.[^.]+\.[^.]+$"")"),"building.food_stall@3")</f>
        <v>building.food_stall@3</v>
      </c>
      <c r="C230" s="49" t="str">
        <f t="array" ref="C230">_xlfn.XLOOKUP(
 B230,
 tblTargets[TargetID],
 tblTargets[DisplayName],
 ""
)</f>
        <v>Food Stall Lv 3</v>
      </c>
      <c r="D230" s="49" t="str">
        <f t="array" ref="D230">_xlfn.XLOOKUP(
 B230,
 tblTargets[TargetID],
 tblTargets[TargetType],
 ""
)</f>
        <v>BUILDING</v>
      </c>
      <c r="E230" s="49" t="s">
        <v>187</v>
      </c>
      <c r="F230" s="87">
        <f>IFERROR(__xludf.DUMMYFUNCTION("VALUE(REGEXEXTRACT(A230,""([^.]+)$""))"),1.0)</f>
        <v>1</v>
      </c>
      <c r="G230" s="49">
        <v>600.0</v>
      </c>
      <c r="H230" s="26" t="b">
        <f>COUNTIFS(
 tblCostChecklist[RequirementID],A230,
 tblCostChecklist[PlayerPaid],TRUE
)&gt;0</f>
        <v>0</v>
      </c>
      <c r="I230" s="49">
        <f t="shared" si="1"/>
        <v>5</v>
      </c>
      <c r="J230" s="49">
        <f t="shared" si="2"/>
        <v>0</v>
      </c>
      <c r="K230" s="49">
        <f t="shared" si="3"/>
        <v>5</v>
      </c>
      <c r="L230" s="49" t="b">
        <f t="shared" si="4"/>
        <v>0</v>
      </c>
      <c r="M230" s="88">
        <f t="shared" si="5"/>
        <v>0</v>
      </c>
    </row>
    <row r="231" ht="14.25" customHeight="1">
      <c r="A231" s="49" t="s">
        <v>871</v>
      </c>
      <c r="B231" s="49" t="str">
        <f>IFERROR(__xludf.DUMMYFUNCTION("REGEXEXTRACT(A231,""^cost\.(.*)\.[^.]+\.[^.]+$"")"),"building.food_stall@3")</f>
        <v>building.food_stall@3</v>
      </c>
      <c r="C231" s="49" t="str">
        <f t="array" ref="C231">_xlfn.XLOOKUP(
 B231,
 tblTargets[TargetID],
 tblTargets[DisplayName],
 ""
)</f>
        <v>Food Stall Lv 3</v>
      </c>
      <c r="D231" s="49" t="str">
        <f t="array" ref="D231">_xlfn.XLOOKUP(
 B231,
 tblTargets[TargetID],
 tblTargets[TargetType],
 ""
)</f>
        <v>BUILDING</v>
      </c>
      <c r="E231" s="49" t="s">
        <v>367</v>
      </c>
      <c r="F231" s="87">
        <f>IFERROR(__xludf.DUMMYFUNCTION("VALUE(REGEXEXTRACT(A231,""([^.]+)$""))"),1.0)</f>
        <v>1</v>
      </c>
      <c r="G231" s="49">
        <v>50.0</v>
      </c>
      <c r="H231" s="26" t="b">
        <f>COUNTIFS(
 tblCostChecklist[RequirementID],A231,
 tblCostChecklist[PlayerPaid],TRUE
)&gt;0</f>
        <v>0</v>
      </c>
      <c r="I231" s="49">
        <f t="shared" si="1"/>
        <v>5</v>
      </c>
      <c r="J231" s="49">
        <f t="shared" si="2"/>
        <v>0</v>
      </c>
      <c r="K231" s="49">
        <f t="shared" si="3"/>
        <v>5</v>
      </c>
      <c r="L231" s="49" t="b">
        <f t="shared" si="4"/>
        <v>0</v>
      </c>
      <c r="M231" s="88">
        <f t="shared" si="5"/>
        <v>0</v>
      </c>
    </row>
    <row r="232" ht="14.25" customHeight="1">
      <c r="A232" s="49" t="s">
        <v>890</v>
      </c>
      <c r="B232" s="49" t="str">
        <f>IFERROR(__xludf.DUMMYFUNCTION("REGEXEXTRACT(A232,""^cost\.(.*)\.[^.]+\.[^.]+$"")"),"building.food_stall@3")</f>
        <v>building.food_stall@3</v>
      </c>
      <c r="C232" s="49" t="str">
        <f t="array" ref="C232">_xlfn.XLOOKUP(
 B232,
 tblTargets[TargetID],
 tblTargets[DisplayName],
 ""
)</f>
        <v>Food Stall Lv 3</v>
      </c>
      <c r="D232" s="49" t="str">
        <f t="array" ref="D232">_xlfn.XLOOKUP(
 B232,
 tblTargets[TargetID],
 tblTargets[TargetType],
 ""
)</f>
        <v>BUILDING</v>
      </c>
      <c r="E232" s="49" t="s">
        <v>443</v>
      </c>
      <c r="F232" s="87">
        <f>IFERROR(__xludf.DUMMYFUNCTION("VALUE(REGEXEXTRACT(A232,""([^.]+)$""))"),1.0)</f>
        <v>1</v>
      </c>
      <c r="G232" s="49">
        <v>3.0</v>
      </c>
      <c r="H232" s="26" t="b">
        <f>COUNTIFS(
 tblCostChecklist[RequirementID],A232,
 tblCostChecklist[PlayerPaid],TRUE
)&gt;0</f>
        <v>0</v>
      </c>
      <c r="I232" s="49">
        <f t="shared" si="1"/>
        <v>5</v>
      </c>
      <c r="J232" s="49">
        <f t="shared" si="2"/>
        <v>0</v>
      </c>
      <c r="K232" s="49">
        <f t="shared" si="3"/>
        <v>5</v>
      </c>
      <c r="L232" s="49" t="b">
        <f t="shared" si="4"/>
        <v>0</v>
      </c>
      <c r="M232" s="88">
        <f t="shared" si="5"/>
        <v>0</v>
      </c>
    </row>
    <row r="233" ht="14.25" customHeight="1">
      <c r="A233" s="49" t="s">
        <v>899</v>
      </c>
      <c r="B233" s="49" t="str">
        <f>IFERROR(__xludf.DUMMYFUNCTION("REGEXEXTRACT(A233,""^cost\.(.*)\.[^.]+\.[^.]+$"")"),"building.furnace@1")</f>
        <v>building.furnace@1</v>
      </c>
      <c r="C233" s="49" t="str">
        <f t="array" ref="C233">_xlfn.XLOOKUP(
 B233,
 tblTargets[TargetID],
 tblTargets[DisplayName],
 ""
)</f>
        <v>Furnace Lv 1</v>
      </c>
      <c r="D233" s="49" t="str">
        <f t="array" ref="D233">_xlfn.XLOOKUP(
 B233,
 tblTargets[TargetID],
 tblTargets[TargetType],
 ""
)</f>
        <v>BUILDING</v>
      </c>
      <c r="E233" s="49" t="s">
        <v>6</v>
      </c>
      <c r="F233" s="87">
        <f>IFERROR(__xludf.DUMMYFUNCTION("VALUE(REGEXEXTRACT(A233,""([^.]+)$""))"),1.0)</f>
        <v>1</v>
      </c>
      <c r="G233" s="49">
        <v>1.0</v>
      </c>
      <c r="H233" s="26" t="b">
        <f>COUNTIFS(
 tblCostChecklist[RequirementID],A233,
 tblCostChecklist[PlayerPaid],TRUE
)&gt;0</f>
        <v>0</v>
      </c>
      <c r="I233" s="49">
        <f t="shared" si="1"/>
        <v>4</v>
      </c>
      <c r="J233" s="49">
        <f t="shared" si="2"/>
        <v>0</v>
      </c>
      <c r="K233" s="49">
        <f t="shared" si="3"/>
        <v>4</v>
      </c>
      <c r="L233" s="49" t="b">
        <f t="shared" si="4"/>
        <v>0</v>
      </c>
      <c r="M233" s="88">
        <f t="shared" si="5"/>
        <v>0</v>
      </c>
    </row>
    <row r="234" ht="14.25" customHeight="1">
      <c r="A234" s="49" t="s">
        <v>894</v>
      </c>
      <c r="B234" s="49" t="str">
        <f>IFERROR(__xludf.DUMMYFUNCTION("REGEXEXTRACT(A234,""^cost\.(.*)\.[^.]+\.[^.]+$"")"),"building.furnace@1")</f>
        <v>building.furnace@1</v>
      </c>
      <c r="C234" s="49" t="str">
        <f t="array" ref="C234">_xlfn.XLOOKUP(
 B234,
 tblTargets[TargetID],
 tblTargets[DisplayName],
 ""
)</f>
        <v>Furnace Lv 1</v>
      </c>
      <c r="D234" s="49" t="str">
        <f t="array" ref="D234">_xlfn.XLOOKUP(
 B234,
 tblTargets[TargetID],
 tblTargets[TargetType],
 ""
)</f>
        <v>BUILDING</v>
      </c>
      <c r="E234" s="49" t="s">
        <v>119</v>
      </c>
      <c r="F234" s="87">
        <f>IFERROR(__xludf.DUMMYFUNCTION("VALUE(REGEXEXTRACT(A234,""([^.]+)$""))"),1.0)</f>
        <v>1</v>
      </c>
      <c r="G234" s="49">
        <v>200.0</v>
      </c>
      <c r="H234" s="26" t="b">
        <f>COUNTIFS(
 tblCostChecklist[RequirementID],A234,
 tblCostChecklist[PlayerPaid],TRUE
)&gt;0</f>
        <v>0</v>
      </c>
      <c r="I234" s="49">
        <f t="shared" si="1"/>
        <v>4</v>
      </c>
      <c r="J234" s="49">
        <f t="shared" si="2"/>
        <v>0</v>
      </c>
      <c r="K234" s="49">
        <f t="shared" si="3"/>
        <v>4</v>
      </c>
      <c r="L234" s="49" t="b">
        <f t="shared" si="4"/>
        <v>0</v>
      </c>
      <c r="M234" s="88">
        <f t="shared" si="5"/>
        <v>0</v>
      </c>
    </row>
    <row r="235" ht="14.25" customHeight="1">
      <c r="A235" s="49" t="s">
        <v>908</v>
      </c>
      <c r="B235" s="49" t="str">
        <f>IFERROR(__xludf.DUMMYFUNCTION("REGEXEXTRACT(A235,""^cost\.(.*)\.[^.]+\.[^.]+$"")"),"building.furnace@1")</f>
        <v>building.furnace@1</v>
      </c>
      <c r="C235" s="49" t="str">
        <f t="array" ref="C235">_xlfn.XLOOKUP(
 B235,
 tblTargets[TargetID],
 tblTargets[DisplayName],
 ""
)</f>
        <v>Furnace Lv 1</v>
      </c>
      <c r="D235" s="49" t="str">
        <f t="array" ref="D235">_xlfn.XLOOKUP(
 B235,
 tblTargets[TargetID],
 tblTargets[TargetType],
 ""
)</f>
        <v>BUILDING</v>
      </c>
      <c r="E235" s="49" t="s">
        <v>244</v>
      </c>
      <c r="F235" s="87">
        <f>IFERROR(__xludf.DUMMYFUNCTION("VALUE(REGEXEXTRACT(A235,""([^.]+)$""))"),1.0)</f>
        <v>1</v>
      </c>
      <c r="G235" s="49">
        <v>100.0</v>
      </c>
      <c r="H235" s="26" t="b">
        <f>COUNTIFS(
 tblCostChecklist[RequirementID],A235,
 tblCostChecklist[PlayerPaid],TRUE
)&gt;0</f>
        <v>0</v>
      </c>
      <c r="I235" s="49">
        <f t="shared" si="1"/>
        <v>4</v>
      </c>
      <c r="J235" s="49">
        <f t="shared" si="2"/>
        <v>0</v>
      </c>
      <c r="K235" s="49">
        <f t="shared" si="3"/>
        <v>4</v>
      </c>
      <c r="L235" s="49" t="b">
        <f t="shared" si="4"/>
        <v>0</v>
      </c>
      <c r="M235" s="88">
        <f t="shared" si="5"/>
        <v>0</v>
      </c>
    </row>
    <row r="236" ht="14.25" customHeight="1">
      <c r="A236" s="49" t="s">
        <v>904</v>
      </c>
      <c r="B236" s="49" t="str">
        <f>IFERROR(__xludf.DUMMYFUNCTION("REGEXEXTRACT(A236,""^cost\.(.*)\.[^.]+\.[^.]+$"")"),"building.furnace@1")</f>
        <v>building.furnace@1</v>
      </c>
      <c r="C236" s="49" t="str">
        <f t="array" ref="C236">_xlfn.XLOOKUP(
 B236,
 tblTargets[TargetID],
 tblTargets[DisplayName],
 ""
)</f>
        <v>Furnace Lv 1</v>
      </c>
      <c r="D236" s="49" t="str">
        <f t="array" ref="D236">_xlfn.XLOOKUP(
 B236,
 tblTargets[TargetID],
 tblTargets[TargetType],
 ""
)</f>
        <v>BUILDING</v>
      </c>
      <c r="E236" s="49" t="s">
        <v>237</v>
      </c>
      <c r="F236" s="87">
        <f>IFERROR(__xludf.DUMMYFUNCTION("VALUE(REGEXEXTRACT(A236,""([^.]+)$""))"),1.0)</f>
        <v>1</v>
      </c>
      <c r="G236" s="49">
        <v>100.0</v>
      </c>
      <c r="H236" s="26" t="b">
        <f>COUNTIFS(
 tblCostChecklist[RequirementID],A236,
 tblCostChecklist[PlayerPaid],TRUE
)&gt;0</f>
        <v>0</v>
      </c>
      <c r="I236" s="49">
        <f t="shared" si="1"/>
        <v>4</v>
      </c>
      <c r="J236" s="49">
        <f t="shared" si="2"/>
        <v>0</v>
      </c>
      <c r="K236" s="49">
        <f t="shared" si="3"/>
        <v>4</v>
      </c>
      <c r="L236" s="49" t="b">
        <f t="shared" si="4"/>
        <v>0</v>
      </c>
      <c r="M236" s="88">
        <f t="shared" si="5"/>
        <v>0</v>
      </c>
    </row>
    <row r="237" ht="14.25" customHeight="1">
      <c r="A237" s="49" t="s">
        <v>926</v>
      </c>
      <c r="B237" s="49" t="str">
        <f>IFERROR(__xludf.DUMMYFUNCTION("REGEXEXTRACT(A237,""^cost\.(.*)\.[^.]+\.[^.]+$"")"),"building.furnace@2")</f>
        <v>building.furnace@2</v>
      </c>
      <c r="C237" s="49" t="str">
        <f t="array" ref="C237">_xlfn.XLOOKUP(
 B237,
 tblTargets[TargetID],
 tblTargets[DisplayName],
 ""
)</f>
        <v>Furnace Lv 2</v>
      </c>
      <c r="D237" s="49" t="str">
        <f t="array" ref="D237">_xlfn.XLOOKUP(
 B237,
 tblTargets[TargetID],
 tblTargets[TargetType],
 ""
)</f>
        <v>BUILDING</v>
      </c>
      <c r="E237" s="49" t="s">
        <v>6</v>
      </c>
      <c r="F237" s="87">
        <f>IFERROR(__xludf.DUMMYFUNCTION("VALUE(REGEXEXTRACT(A237,""([^.]+)$""))"),1.0)</f>
        <v>1</v>
      </c>
      <c r="G237" s="49">
        <v>3.0</v>
      </c>
      <c r="H237" s="26" t="b">
        <f>COUNTIFS(
 tblCostChecklist[RequirementID],A237,
 tblCostChecklist[PlayerPaid],TRUE
)&gt;0</f>
        <v>0</v>
      </c>
      <c r="I237" s="49">
        <f t="shared" si="1"/>
        <v>5</v>
      </c>
      <c r="J237" s="49">
        <f t="shared" si="2"/>
        <v>0</v>
      </c>
      <c r="K237" s="49">
        <f t="shared" si="3"/>
        <v>5</v>
      </c>
      <c r="L237" s="49" t="b">
        <f t="shared" si="4"/>
        <v>0</v>
      </c>
      <c r="M237" s="88">
        <f t="shared" si="5"/>
        <v>0</v>
      </c>
    </row>
    <row r="238" ht="14.25" customHeight="1">
      <c r="A238" s="49" t="s">
        <v>918</v>
      </c>
      <c r="B238" s="49" t="str">
        <f>IFERROR(__xludf.DUMMYFUNCTION("REGEXEXTRACT(A238,""^cost\.(.*)\.[^.]+\.[^.]+$"")"),"building.furnace@2")</f>
        <v>building.furnace@2</v>
      </c>
      <c r="C238" s="49" t="str">
        <f t="array" ref="C238">_xlfn.XLOOKUP(
 B238,
 tblTargets[TargetID],
 tblTargets[DisplayName],
 ""
)</f>
        <v>Furnace Lv 2</v>
      </c>
      <c r="D238" s="49" t="str">
        <f t="array" ref="D238">_xlfn.XLOOKUP(
 B238,
 tblTargets[TargetID],
 tblTargets[TargetType],
 ""
)</f>
        <v>BUILDING</v>
      </c>
      <c r="E238" s="49" t="s">
        <v>119</v>
      </c>
      <c r="F238" s="87">
        <f>IFERROR(__xludf.DUMMYFUNCTION("VALUE(REGEXEXTRACT(A238,""([^.]+)$""))"),1.0)</f>
        <v>1</v>
      </c>
      <c r="G238" s="49">
        <v>500.0</v>
      </c>
      <c r="H238" s="26" t="b">
        <f>COUNTIFS(
 tblCostChecklist[RequirementID],A238,
 tblCostChecklist[PlayerPaid],TRUE
)&gt;0</f>
        <v>0</v>
      </c>
      <c r="I238" s="49">
        <f t="shared" si="1"/>
        <v>5</v>
      </c>
      <c r="J238" s="49">
        <f t="shared" si="2"/>
        <v>0</v>
      </c>
      <c r="K238" s="49">
        <f t="shared" si="3"/>
        <v>5</v>
      </c>
      <c r="L238" s="49" t="b">
        <f t="shared" si="4"/>
        <v>0</v>
      </c>
      <c r="M238" s="88">
        <f t="shared" si="5"/>
        <v>0</v>
      </c>
    </row>
    <row r="239" ht="14.25" customHeight="1">
      <c r="A239" s="49" t="s">
        <v>912</v>
      </c>
      <c r="B239" s="49" t="str">
        <f>IFERROR(__xludf.DUMMYFUNCTION("REGEXEXTRACT(A239,""^cost\.(.*)\.[^.]+\.[^.]+$"")"),"building.furnace@2")</f>
        <v>building.furnace@2</v>
      </c>
      <c r="C239" s="49" t="str">
        <f t="array" ref="C239">_xlfn.XLOOKUP(
 B239,
 tblTargets[TargetID],
 tblTargets[DisplayName],
 ""
)</f>
        <v>Furnace Lv 2</v>
      </c>
      <c r="D239" s="49" t="str">
        <f t="array" ref="D239">_xlfn.XLOOKUP(
 B239,
 tblTargets[TargetID],
 tblTargets[TargetType],
 ""
)</f>
        <v>BUILDING</v>
      </c>
      <c r="E239" s="49" t="s">
        <v>278</v>
      </c>
      <c r="F239" s="87">
        <f>IFERROR(__xludf.DUMMYFUNCTION("VALUE(REGEXEXTRACT(A239,""([^.]+)$""))"),1.0)</f>
        <v>1</v>
      </c>
      <c r="G239" s="49">
        <v>400.0</v>
      </c>
      <c r="H239" s="26" t="b">
        <f>COUNTIFS(
 tblCostChecklist[RequirementID],A239,
 tblCostChecklist[PlayerPaid],TRUE
)&gt;0</f>
        <v>0</v>
      </c>
      <c r="I239" s="49">
        <f t="shared" si="1"/>
        <v>5</v>
      </c>
      <c r="J239" s="49">
        <f t="shared" si="2"/>
        <v>0</v>
      </c>
      <c r="K239" s="49">
        <f t="shared" si="3"/>
        <v>5</v>
      </c>
      <c r="L239" s="49" t="b">
        <f t="shared" si="4"/>
        <v>0</v>
      </c>
      <c r="M239" s="88">
        <f t="shared" si="5"/>
        <v>0</v>
      </c>
    </row>
    <row r="240" ht="14.25" customHeight="1">
      <c r="A240" s="49" t="s">
        <v>936</v>
      </c>
      <c r="B240" s="49" t="str">
        <f>IFERROR(__xludf.DUMMYFUNCTION("REGEXEXTRACT(A240,""^cost\.(.*)\.[^.]+\.[^.]+$"")"),"building.furnace@2")</f>
        <v>building.furnace@2</v>
      </c>
      <c r="C240" s="49" t="str">
        <f t="array" ref="C240">_xlfn.XLOOKUP(
 B240,
 tblTargets[TargetID],
 tblTargets[DisplayName],
 ""
)</f>
        <v>Furnace Lv 2</v>
      </c>
      <c r="D240" s="49" t="str">
        <f t="array" ref="D240">_xlfn.XLOOKUP(
 B240,
 tblTargets[TargetID],
 tblTargets[TargetType],
 ""
)</f>
        <v>BUILDING</v>
      </c>
      <c r="E240" s="49" t="s">
        <v>237</v>
      </c>
      <c r="F240" s="87">
        <f>IFERROR(__xludf.DUMMYFUNCTION("VALUE(REGEXEXTRACT(A240,""([^.]+)$""))"),1.0)</f>
        <v>1</v>
      </c>
      <c r="G240" s="49">
        <v>200.0</v>
      </c>
      <c r="H240" s="26" t="b">
        <f>COUNTIFS(
 tblCostChecklist[RequirementID],A240,
 tblCostChecklist[PlayerPaid],TRUE
)&gt;0</f>
        <v>0</v>
      </c>
      <c r="I240" s="49">
        <f t="shared" si="1"/>
        <v>5</v>
      </c>
      <c r="J240" s="49">
        <f t="shared" si="2"/>
        <v>0</v>
      </c>
      <c r="K240" s="49">
        <f t="shared" si="3"/>
        <v>5</v>
      </c>
      <c r="L240" s="49" t="b">
        <f t="shared" si="4"/>
        <v>0</v>
      </c>
      <c r="M240" s="88">
        <f t="shared" si="5"/>
        <v>0</v>
      </c>
    </row>
    <row r="241" ht="14.25" customHeight="1">
      <c r="A241" s="49" t="s">
        <v>929</v>
      </c>
      <c r="B241" s="49" t="str">
        <f>IFERROR(__xludf.DUMMYFUNCTION("REGEXEXTRACT(A241,""^cost\.(.*)\.[^.]+\.[^.]+$"")"),"building.furnace@2")</f>
        <v>building.furnace@2</v>
      </c>
      <c r="C241" s="49" t="str">
        <f t="array" ref="C241">_xlfn.XLOOKUP(
 B241,
 tblTargets[TargetID],
 tblTargets[DisplayName],
 ""
)</f>
        <v>Furnace Lv 2</v>
      </c>
      <c r="D241" s="49" t="str">
        <f t="array" ref="D241">_xlfn.XLOOKUP(
 B241,
 tblTargets[TargetID],
 tblTargets[TargetType],
 ""
)</f>
        <v>BUILDING</v>
      </c>
      <c r="E241" s="49" t="s">
        <v>392</v>
      </c>
      <c r="F241" s="87">
        <f>IFERROR(__xludf.DUMMYFUNCTION("VALUE(REGEXEXTRACT(A241,""([^.]+)$""))"),1.0)</f>
        <v>1</v>
      </c>
      <c r="G241" s="49">
        <v>20.0</v>
      </c>
      <c r="H241" s="26" t="b">
        <f>COUNTIFS(
 tblCostChecklist[RequirementID],A241,
 tblCostChecklist[PlayerPaid],TRUE
)&gt;0</f>
        <v>0</v>
      </c>
      <c r="I241" s="49">
        <f t="shared" si="1"/>
        <v>5</v>
      </c>
      <c r="J241" s="49">
        <f t="shared" si="2"/>
        <v>0</v>
      </c>
      <c r="K241" s="49">
        <f t="shared" si="3"/>
        <v>5</v>
      </c>
      <c r="L241" s="49" t="b">
        <f t="shared" si="4"/>
        <v>0</v>
      </c>
      <c r="M241" s="88">
        <f t="shared" si="5"/>
        <v>0</v>
      </c>
    </row>
    <row r="242" ht="14.25" customHeight="1">
      <c r="A242" s="49" t="s">
        <v>951</v>
      </c>
      <c r="B242" s="49" t="str">
        <f>IFERROR(__xludf.DUMMYFUNCTION("REGEXEXTRACT(A242,""^cost\.(.*)\.[^.]+\.[^.]+$"")"),"building.furnace@3")</f>
        <v>building.furnace@3</v>
      </c>
      <c r="C242" s="49" t="str">
        <f t="array" ref="C242">_xlfn.XLOOKUP(
 B242,
 tblTargets[TargetID],
 tblTargets[DisplayName],
 ""
)</f>
        <v>Furnace Lv 3</v>
      </c>
      <c r="D242" s="49" t="str">
        <f t="array" ref="D242">_xlfn.XLOOKUP(
 B242,
 tblTargets[TargetID],
 tblTargets[TargetType],
 ""
)</f>
        <v>BUILDING</v>
      </c>
      <c r="E242" s="49" t="s">
        <v>6</v>
      </c>
      <c r="F242" s="87">
        <f>IFERROR(__xludf.DUMMYFUNCTION("VALUE(REGEXEXTRACT(A242,""([^.]+)$""))"),1.0)</f>
        <v>1</v>
      </c>
      <c r="G242" s="49">
        <v>5.0</v>
      </c>
      <c r="H242" s="26" t="b">
        <f>COUNTIFS(
 tblCostChecklist[RequirementID],A242,
 tblCostChecklist[PlayerPaid],TRUE
)&gt;0</f>
        <v>0</v>
      </c>
      <c r="I242" s="49">
        <f t="shared" si="1"/>
        <v>5</v>
      </c>
      <c r="J242" s="49">
        <f t="shared" si="2"/>
        <v>0</v>
      </c>
      <c r="K242" s="49">
        <f t="shared" si="3"/>
        <v>5</v>
      </c>
      <c r="L242" s="49" t="b">
        <f t="shared" si="4"/>
        <v>0</v>
      </c>
      <c r="M242" s="88">
        <f t="shared" si="5"/>
        <v>0</v>
      </c>
    </row>
    <row r="243" ht="14.25" customHeight="1">
      <c r="A243" s="49" t="s">
        <v>940</v>
      </c>
      <c r="B243" s="49" t="str">
        <f>IFERROR(__xludf.DUMMYFUNCTION("REGEXEXTRACT(A243,""^cost\.(.*)\.[^.]+\.[^.]+$"")"),"building.furnace@3")</f>
        <v>building.furnace@3</v>
      </c>
      <c r="C243" s="49" t="str">
        <f t="array" ref="C243">_xlfn.XLOOKUP(
 B243,
 tblTargets[TargetID],
 tblTargets[DisplayName],
 ""
)</f>
        <v>Furnace Lv 3</v>
      </c>
      <c r="D243" s="49" t="str">
        <f t="array" ref="D243">_xlfn.XLOOKUP(
 B243,
 tblTargets[TargetID],
 tblTargets[TargetType],
 ""
)</f>
        <v>BUILDING</v>
      </c>
      <c r="E243" s="49" t="s">
        <v>119</v>
      </c>
      <c r="F243" s="87">
        <f>IFERROR(__xludf.DUMMYFUNCTION("VALUE(REGEXEXTRACT(A243,""([^.]+)$""))"),1.0)</f>
        <v>1</v>
      </c>
      <c r="G243" s="49">
        <v>800.0</v>
      </c>
      <c r="H243" s="26" t="b">
        <f>COUNTIFS(
 tblCostChecklist[RequirementID],A243,
 tblCostChecklist[PlayerPaid],TRUE
)&gt;0</f>
        <v>0</v>
      </c>
      <c r="I243" s="49">
        <f t="shared" si="1"/>
        <v>5</v>
      </c>
      <c r="J243" s="49">
        <f t="shared" si="2"/>
        <v>0</v>
      </c>
      <c r="K243" s="49">
        <f t="shared" si="3"/>
        <v>5</v>
      </c>
      <c r="L243" s="49" t="b">
        <f t="shared" si="4"/>
        <v>0</v>
      </c>
      <c r="M243" s="88">
        <f t="shared" si="5"/>
        <v>0</v>
      </c>
    </row>
    <row r="244" ht="14.25" customHeight="1">
      <c r="A244" s="49" t="s">
        <v>946</v>
      </c>
      <c r="B244" s="49" t="str">
        <f>IFERROR(__xludf.DUMMYFUNCTION("REGEXEXTRACT(A244,""^cost\.(.*)\.[^.]+\.[^.]+$"")"),"building.furnace@3")</f>
        <v>building.furnace@3</v>
      </c>
      <c r="C244" s="49" t="str">
        <f t="array" ref="C244">_xlfn.XLOOKUP(
 B244,
 tblTargets[TargetID],
 tblTargets[DisplayName],
 ""
)</f>
        <v>Furnace Lv 3</v>
      </c>
      <c r="D244" s="49" t="str">
        <f t="array" ref="D244">_xlfn.XLOOKUP(
 B244,
 tblTargets[TargetID],
 tblTargets[TargetType],
 ""
)</f>
        <v>BUILDING</v>
      </c>
      <c r="E244" s="49" t="s">
        <v>187</v>
      </c>
      <c r="F244" s="87">
        <f>IFERROR(__xludf.DUMMYFUNCTION("VALUE(REGEXEXTRACT(A244,""([^.]+)$""))"),1.0)</f>
        <v>1</v>
      </c>
      <c r="G244" s="49">
        <v>600.0</v>
      </c>
      <c r="H244" s="26" t="b">
        <f>COUNTIFS(
 tblCostChecklist[RequirementID],A244,
 tblCostChecklist[PlayerPaid],TRUE
)&gt;0</f>
        <v>0</v>
      </c>
      <c r="I244" s="49">
        <f t="shared" si="1"/>
        <v>5</v>
      </c>
      <c r="J244" s="49">
        <f t="shared" si="2"/>
        <v>0</v>
      </c>
      <c r="K244" s="49">
        <f t="shared" si="3"/>
        <v>5</v>
      </c>
      <c r="L244" s="49" t="b">
        <f t="shared" si="4"/>
        <v>0</v>
      </c>
      <c r="M244" s="88">
        <f t="shared" si="5"/>
        <v>0</v>
      </c>
    </row>
    <row r="245" ht="14.25" customHeight="1">
      <c r="A245" s="49" t="s">
        <v>961</v>
      </c>
      <c r="B245" s="49" t="str">
        <f>IFERROR(__xludf.DUMMYFUNCTION("REGEXEXTRACT(A245,""^cost\.(.*)\.[^.]+\.[^.]+$"")"),"building.furnace@3")</f>
        <v>building.furnace@3</v>
      </c>
      <c r="C245" s="49" t="str">
        <f t="array" ref="C245">_xlfn.XLOOKUP(
 B245,
 tblTargets[TargetID],
 tblTargets[DisplayName],
 ""
)</f>
        <v>Furnace Lv 3</v>
      </c>
      <c r="D245" s="49" t="str">
        <f t="array" ref="D245">_xlfn.XLOOKUP(
 B245,
 tblTargets[TargetID],
 tblTargets[TargetType],
 ""
)</f>
        <v>BUILDING</v>
      </c>
      <c r="E245" s="49" t="s">
        <v>237</v>
      </c>
      <c r="F245" s="87">
        <f>IFERROR(__xludf.DUMMYFUNCTION("VALUE(REGEXEXTRACT(A245,""([^.]+)$""))"),1.0)</f>
        <v>1</v>
      </c>
      <c r="G245" s="49">
        <v>300.0</v>
      </c>
      <c r="H245" s="26" t="b">
        <f>COUNTIFS(
 tblCostChecklist[RequirementID],A245,
 tblCostChecklist[PlayerPaid],TRUE
)&gt;0</f>
        <v>0</v>
      </c>
      <c r="I245" s="49">
        <f t="shared" si="1"/>
        <v>5</v>
      </c>
      <c r="J245" s="49">
        <f t="shared" si="2"/>
        <v>0</v>
      </c>
      <c r="K245" s="49">
        <f t="shared" si="3"/>
        <v>5</v>
      </c>
      <c r="L245" s="49" t="b">
        <f t="shared" si="4"/>
        <v>0</v>
      </c>
      <c r="M245" s="88">
        <f t="shared" si="5"/>
        <v>0</v>
      </c>
    </row>
    <row r="246" ht="14.25" customHeight="1">
      <c r="A246" s="49" t="s">
        <v>956</v>
      </c>
      <c r="B246" s="49" t="str">
        <f>IFERROR(__xludf.DUMMYFUNCTION("REGEXEXTRACT(A246,""^cost\.(.*)\.[^.]+\.[^.]+$"")"),"building.furnace@3")</f>
        <v>building.furnace@3</v>
      </c>
      <c r="C246" s="49" t="str">
        <f t="array" ref="C246">_xlfn.XLOOKUP(
 B246,
 tblTargets[TargetID],
 tblTargets[DisplayName],
 ""
)</f>
        <v>Furnace Lv 3</v>
      </c>
      <c r="D246" s="49" t="str">
        <f t="array" ref="D246">_xlfn.XLOOKUP(
 B246,
 tblTargets[TargetID],
 tblTargets[TargetType],
 ""
)</f>
        <v>BUILDING</v>
      </c>
      <c r="E246" s="49" t="s">
        <v>392</v>
      </c>
      <c r="F246" s="87">
        <f>IFERROR(__xludf.DUMMYFUNCTION("VALUE(REGEXEXTRACT(A246,""([^.]+)$""))"),1.0)</f>
        <v>1</v>
      </c>
      <c r="G246" s="49">
        <v>50.0</v>
      </c>
      <c r="H246" s="26" t="b">
        <f>COUNTIFS(
 tblCostChecklist[RequirementID],A246,
 tblCostChecklist[PlayerPaid],TRUE
)&gt;0</f>
        <v>0</v>
      </c>
      <c r="I246" s="49">
        <f t="shared" si="1"/>
        <v>5</v>
      </c>
      <c r="J246" s="49">
        <f t="shared" si="2"/>
        <v>0</v>
      </c>
      <c r="K246" s="49">
        <f t="shared" si="3"/>
        <v>5</v>
      </c>
      <c r="L246" s="49" t="b">
        <f t="shared" si="4"/>
        <v>0</v>
      </c>
      <c r="M246" s="88">
        <f t="shared" si="5"/>
        <v>0</v>
      </c>
    </row>
    <row r="247" ht="14.25" customHeight="1">
      <c r="A247" s="49" t="s">
        <v>969</v>
      </c>
      <c r="B247" s="49" t="str">
        <f>IFERROR(__xludf.DUMMYFUNCTION("REGEXEXTRACT(A247,""^cost\.(.*)\.[^.]+\.[^.]+$"")"),"building.garden@1")</f>
        <v>building.garden@1</v>
      </c>
      <c r="C247" s="49" t="str">
        <f t="array" ref="C247">_xlfn.XLOOKUP(
 B247,
 tblTargets[TargetID],
 tblTargets[DisplayName],
 ""
)</f>
        <v>Garden Lv 1</v>
      </c>
      <c r="D247" s="49" t="str">
        <f t="array" ref="D247">_xlfn.XLOOKUP(
 B247,
 tblTargets[TargetID],
 tblTargets[TargetType],
 ""
)</f>
        <v>BUILDING</v>
      </c>
      <c r="E247" s="49" t="s">
        <v>6</v>
      </c>
      <c r="F247" s="87">
        <f>IFERROR(__xludf.DUMMYFUNCTION("VALUE(REGEXEXTRACT(A247,""([^.]+)$""))"),1.0)</f>
        <v>1</v>
      </c>
      <c r="G247" s="49">
        <v>1.0</v>
      </c>
      <c r="H247" s="26" t="b">
        <f>COUNTIFS(
 tblCostChecklist[RequirementID],A247,
 tblCostChecklist[PlayerPaid],TRUE
)&gt;0</f>
        <v>0</v>
      </c>
      <c r="I247" s="49">
        <f t="shared" si="1"/>
        <v>4</v>
      </c>
      <c r="J247" s="49">
        <f t="shared" si="2"/>
        <v>0</v>
      </c>
      <c r="K247" s="49">
        <f t="shared" si="3"/>
        <v>4</v>
      </c>
      <c r="L247" s="49" t="b">
        <f t="shared" si="4"/>
        <v>0</v>
      </c>
      <c r="M247" s="88">
        <f t="shared" si="5"/>
        <v>0</v>
      </c>
    </row>
    <row r="248" ht="14.25" customHeight="1">
      <c r="A248" s="49" t="s">
        <v>965</v>
      </c>
      <c r="B248" s="49" t="str">
        <f>IFERROR(__xludf.DUMMYFUNCTION("REGEXEXTRACT(A248,""^cost\.(.*)\.[^.]+\.[^.]+$"")"),"building.garden@1")</f>
        <v>building.garden@1</v>
      </c>
      <c r="C248" s="49" t="str">
        <f t="array" ref="C248">_xlfn.XLOOKUP(
 B248,
 tblTargets[TargetID],
 tblTargets[DisplayName],
 ""
)</f>
        <v>Garden Lv 1</v>
      </c>
      <c r="D248" s="49" t="str">
        <f t="array" ref="D248">_xlfn.XLOOKUP(
 B248,
 tblTargets[TargetID],
 tblTargets[TargetType],
 ""
)</f>
        <v>BUILDING</v>
      </c>
      <c r="E248" s="49" t="s">
        <v>119</v>
      </c>
      <c r="F248" s="87">
        <f>IFERROR(__xludf.DUMMYFUNCTION("VALUE(REGEXEXTRACT(A248,""([^.]+)$""))"),1.0)</f>
        <v>1</v>
      </c>
      <c r="G248" s="49">
        <v>400.0</v>
      </c>
      <c r="H248" s="26" t="b">
        <f>COUNTIFS(
 tblCostChecklist[RequirementID],A248,
 tblCostChecklist[PlayerPaid],TRUE
)&gt;0</f>
        <v>0</v>
      </c>
      <c r="I248" s="49">
        <f t="shared" si="1"/>
        <v>4</v>
      </c>
      <c r="J248" s="49">
        <f t="shared" si="2"/>
        <v>0</v>
      </c>
      <c r="K248" s="49">
        <f t="shared" si="3"/>
        <v>4</v>
      </c>
      <c r="L248" s="49" t="b">
        <f t="shared" si="4"/>
        <v>0</v>
      </c>
      <c r="M248" s="88">
        <f t="shared" si="5"/>
        <v>0</v>
      </c>
    </row>
    <row r="249" ht="14.25" customHeight="1">
      <c r="A249" s="49" t="s">
        <v>978</v>
      </c>
      <c r="B249" s="49" t="str">
        <f>IFERROR(__xludf.DUMMYFUNCTION("REGEXEXTRACT(A249,""^cost\.(.*)\.[^.]+\.[^.]+$"")"),"building.garden@1")</f>
        <v>building.garden@1</v>
      </c>
      <c r="C249" s="49" t="str">
        <f t="array" ref="C249">_xlfn.XLOOKUP(
 B249,
 tblTargets[TargetID],
 tblTargets[DisplayName],
 ""
)</f>
        <v>Garden Lv 1</v>
      </c>
      <c r="D249" s="49" t="str">
        <f t="array" ref="D249">_xlfn.XLOOKUP(
 B249,
 tblTargets[TargetID],
 tblTargets[TargetType],
 ""
)</f>
        <v>BUILDING</v>
      </c>
      <c r="E249" s="49" t="s">
        <v>244</v>
      </c>
      <c r="F249" s="87">
        <f>IFERROR(__xludf.DUMMYFUNCTION("VALUE(REGEXEXTRACT(A249,""([^.]+)$""))"),1.0)</f>
        <v>1</v>
      </c>
      <c r="G249" s="49">
        <v>200.0</v>
      </c>
      <c r="H249" s="26" t="b">
        <f>COUNTIFS(
 tblCostChecklist[RequirementID],A249,
 tblCostChecklist[PlayerPaid],TRUE
)&gt;0</f>
        <v>0</v>
      </c>
      <c r="I249" s="49">
        <f t="shared" si="1"/>
        <v>4</v>
      </c>
      <c r="J249" s="49">
        <f t="shared" si="2"/>
        <v>0</v>
      </c>
      <c r="K249" s="49">
        <f t="shared" si="3"/>
        <v>4</v>
      </c>
      <c r="L249" s="49" t="b">
        <f t="shared" si="4"/>
        <v>0</v>
      </c>
      <c r="M249" s="88">
        <f t="shared" si="5"/>
        <v>0</v>
      </c>
    </row>
    <row r="250" ht="14.25" customHeight="1">
      <c r="A250" s="49" t="s">
        <v>973</v>
      </c>
      <c r="B250" s="49" t="str">
        <f>IFERROR(__xludf.DUMMYFUNCTION("REGEXEXTRACT(A250,""^cost\.(.*)\.[^.]+\.[^.]+$"")"),"building.garden@1")</f>
        <v>building.garden@1</v>
      </c>
      <c r="C250" s="49" t="str">
        <f t="array" ref="C250">_xlfn.XLOOKUP(
 B250,
 tblTargets[TargetID],
 tblTargets[DisplayName],
 ""
)</f>
        <v>Garden Lv 1</v>
      </c>
      <c r="D250" s="49" t="str">
        <f t="array" ref="D250">_xlfn.XLOOKUP(
 B250,
 tblTargets[TargetID],
 tblTargets[TargetType],
 ""
)</f>
        <v>BUILDING</v>
      </c>
      <c r="E250" s="49" t="s">
        <v>237</v>
      </c>
      <c r="F250" s="87">
        <f>IFERROR(__xludf.DUMMYFUNCTION("VALUE(REGEXEXTRACT(A250,""([^.]+)$""))"),1.0)</f>
        <v>1</v>
      </c>
      <c r="G250" s="49">
        <v>100.0</v>
      </c>
      <c r="H250" s="26" t="b">
        <f>COUNTIFS(
 tblCostChecklist[RequirementID],A250,
 tblCostChecklist[PlayerPaid],TRUE
)&gt;0</f>
        <v>0</v>
      </c>
      <c r="I250" s="49">
        <f t="shared" si="1"/>
        <v>4</v>
      </c>
      <c r="J250" s="49">
        <f t="shared" si="2"/>
        <v>0</v>
      </c>
      <c r="K250" s="49">
        <f t="shared" si="3"/>
        <v>4</v>
      </c>
      <c r="L250" s="49" t="b">
        <f t="shared" si="4"/>
        <v>0</v>
      </c>
      <c r="M250" s="88">
        <f t="shared" si="5"/>
        <v>0</v>
      </c>
    </row>
    <row r="251" ht="14.25" customHeight="1">
      <c r="A251" s="49" t="s">
        <v>989</v>
      </c>
      <c r="B251" s="49" t="str">
        <f>IFERROR(__xludf.DUMMYFUNCTION("REGEXEXTRACT(A251,""^cost\.(.*)\.[^.]+\.[^.]+$"")"),"building.garden@2")</f>
        <v>building.garden@2</v>
      </c>
      <c r="C251" s="49" t="str">
        <f t="array" ref="C251">_xlfn.XLOOKUP(
 B251,
 tblTargets[TargetID],
 tblTargets[DisplayName],
 ""
)</f>
        <v>Garden Lv 2</v>
      </c>
      <c r="D251" s="49" t="str">
        <f t="array" ref="D251">_xlfn.XLOOKUP(
 B251,
 tblTargets[TargetID],
 tblTargets[TargetType],
 ""
)</f>
        <v>BUILDING</v>
      </c>
      <c r="E251" s="49" t="s">
        <v>6</v>
      </c>
      <c r="F251" s="87">
        <f>IFERROR(__xludf.DUMMYFUNCTION("VALUE(REGEXEXTRACT(A251,""([^.]+)$""))"),1.0)</f>
        <v>1</v>
      </c>
      <c r="G251" s="49">
        <v>2.0</v>
      </c>
      <c r="H251" s="26" t="b">
        <f>COUNTIFS(
 tblCostChecklist[RequirementID],A251,
 tblCostChecklist[PlayerPaid],TRUE
)&gt;0</f>
        <v>0</v>
      </c>
      <c r="I251" s="49">
        <f t="shared" si="1"/>
        <v>4</v>
      </c>
      <c r="J251" s="49">
        <f t="shared" si="2"/>
        <v>0</v>
      </c>
      <c r="K251" s="49">
        <f t="shared" si="3"/>
        <v>4</v>
      </c>
      <c r="L251" s="49" t="b">
        <f t="shared" si="4"/>
        <v>0</v>
      </c>
      <c r="M251" s="88">
        <f t="shared" si="5"/>
        <v>0</v>
      </c>
    </row>
    <row r="252" ht="14.25" customHeight="1">
      <c r="A252" s="49" t="s">
        <v>984</v>
      </c>
      <c r="B252" s="49" t="str">
        <f>IFERROR(__xludf.DUMMYFUNCTION("REGEXEXTRACT(A252,""^cost\.(.*)\.[^.]+\.[^.]+$"")"),"building.garden@2")</f>
        <v>building.garden@2</v>
      </c>
      <c r="C252" s="49" t="str">
        <f t="array" ref="C252">_xlfn.XLOOKUP(
 B252,
 tblTargets[TargetID],
 tblTargets[DisplayName],
 ""
)</f>
        <v>Garden Lv 2</v>
      </c>
      <c r="D252" s="49" t="str">
        <f t="array" ref="D252">_xlfn.XLOOKUP(
 B252,
 tblTargets[TargetID],
 tblTargets[TargetType],
 ""
)</f>
        <v>BUILDING</v>
      </c>
      <c r="E252" s="49" t="s">
        <v>119</v>
      </c>
      <c r="F252" s="87">
        <f>IFERROR(__xludf.DUMMYFUNCTION("VALUE(REGEXEXTRACT(A252,""([^.]+)$""))"),1.0)</f>
        <v>1</v>
      </c>
      <c r="G252" s="49">
        <v>600.0</v>
      </c>
      <c r="H252" s="26" t="b">
        <f>COUNTIFS(
 tblCostChecklist[RequirementID],A252,
 tblCostChecklist[PlayerPaid],TRUE
)&gt;0</f>
        <v>0</v>
      </c>
      <c r="I252" s="49">
        <f t="shared" si="1"/>
        <v>4</v>
      </c>
      <c r="J252" s="49">
        <f t="shared" si="2"/>
        <v>0</v>
      </c>
      <c r="K252" s="49">
        <f t="shared" si="3"/>
        <v>4</v>
      </c>
      <c r="L252" s="49" t="b">
        <f t="shared" si="4"/>
        <v>0</v>
      </c>
      <c r="M252" s="88">
        <f t="shared" si="5"/>
        <v>0</v>
      </c>
    </row>
    <row r="253" ht="14.25" customHeight="1">
      <c r="A253" s="49" t="s">
        <v>1000</v>
      </c>
      <c r="B253" s="49" t="str">
        <f>IFERROR(__xludf.DUMMYFUNCTION("REGEXEXTRACT(A253,""^cost\.(.*)\.[^.]+\.[^.]+$"")"),"building.garden@2")</f>
        <v>building.garden@2</v>
      </c>
      <c r="C253" s="49" t="str">
        <f t="array" ref="C253">_xlfn.XLOOKUP(
 B253,
 tblTargets[TargetID],
 tblTargets[DisplayName],
 ""
)</f>
        <v>Garden Lv 2</v>
      </c>
      <c r="D253" s="49" t="str">
        <f t="array" ref="D253">_xlfn.XLOOKUP(
 B253,
 tblTargets[TargetID],
 tblTargets[TargetType],
 ""
)</f>
        <v>BUILDING</v>
      </c>
      <c r="E253" s="49" t="s">
        <v>244</v>
      </c>
      <c r="F253" s="87">
        <f>IFERROR(__xludf.DUMMYFUNCTION("VALUE(REGEXEXTRACT(A253,""([^.]+)$""))"),1.0)</f>
        <v>1</v>
      </c>
      <c r="G253" s="49">
        <v>300.0</v>
      </c>
      <c r="H253" s="26" t="b">
        <f>COUNTIFS(
 tblCostChecklist[RequirementID],A253,
 tblCostChecklist[PlayerPaid],TRUE
)&gt;0</f>
        <v>0</v>
      </c>
      <c r="I253" s="49">
        <f t="shared" si="1"/>
        <v>4</v>
      </c>
      <c r="J253" s="49">
        <f t="shared" si="2"/>
        <v>0</v>
      </c>
      <c r="K253" s="49">
        <f t="shared" si="3"/>
        <v>4</v>
      </c>
      <c r="L253" s="49" t="b">
        <f t="shared" si="4"/>
        <v>0</v>
      </c>
      <c r="M253" s="88">
        <f t="shared" si="5"/>
        <v>0</v>
      </c>
    </row>
    <row r="254" ht="14.25" customHeight="1">
      <c r="A254" s="49" t="s">
        <v>994</v>
      </c>
      <c r="B254" s="49" t="str">
        <f>IFERROR(__xludf.DUMMYFUNCTION("REGEXEXTRACT(A254,""^cost\.(.*)\.[^.]+\.[^.]+$"")"),"building.garden@2")</f>
        <v>building.garden@2</v>
      </c>
      <c r="C254" s="49" t="str">
        <f t="array" ref="C254">_xlfn.XLOOKUP(
 B254,
 tblTargets[TargetID],
 tblTargets[DisplayName],
 ""
)</f>
        <v>Garden Lv 2</v>
      </c>
      <c r="D254" s="49" t="str">
        <f t="array" ref="D254">_xlfn.XLOOKUP(
 B254,
 tblTargets[TargetID],
 tblTargets[TargetType],
 ""
)</f>
        <v>BUILDING</v>
      </c>
      <c r="E254" s="49" t="s">
        <v>237</v>
      </c>
      <c r="F254" s="87">
        <f>IFERROR(__xludf.DUMMYFUNCTION("VALUE(REGEXEXTRACT(A254,""([^.]+)$""))"),1.0)</f>
        <v>1</v>
      </c>
      <c r="G254" s="49">
        <v>150.0</v>
      </c>
      <c r="H254" s="26" t="b">
        <f>COUNTIFS(
 tblCostChecklist[RequirementID],A254,
 tblCostChecklist[PlayerPaid],TRUE
)&gt;0</f>
        <v>0</v>
      </c>
      <c r="I254" s="49">
        <f t="shared" si="1"/>
        <v>4</v>
      </c>
      <c r="J254" s="49">
        <f t="shared" si="2"/>
        <v>0</v>
      </c>
      <c r="K254" s="49">
        <f t="shared" si="3"/>
        <v>4</v>
      </c>
      <c r="L254" s="49" t="b">
        <f t="shared" si="4"/>
        <v>0</v>
      </c>
      <c r="M254" s="88">
        <f t="shared" si="5"/>
        <v>0</v>
      </c>
    </row>
    <row r="255" ht="14.25" customHeight="1">
      <c r="A255" s="49" t="s">
        <v>1015</v>
      </c>
      <c r="B255" s="49" t="str">
        <f>IFERROR(__xludf.DUMMYFUNCTION("REGEXEXTRACT(A255,""^cost\.(.*)\.[^.]+\.[^.]+$"")"),"building.garden@3")</f>
        <v>building.garden@3</v>
      </c>
      <c r="C255" s="49" t="str">
        <f t="array" ref="C255">_xlfn.XLOOKUP(
 B255,
 tblTargets[TargetID],
 tblTargets[DisplayName],
 ""
)</f>
        <v>Garden Lv 3</v>
      </c>
      <c r="D255" s="49" t="str">
        <f t="array" ref="D255">_xlfn.XLOOKUP(
 B255,
 tblTargets[TargetID],
 tblTargets[TargetType],
 ""
)</f>
        <v>BUILDING</v>
      </c>
      <c r="E255" s="49" t="s">
        <v>6</v>
      </c>
      <c r="F255" s="87">
        <f>IFERROR(__xludf.DUMMYFUNCTION("VALUE(REGEXEXTRACT(A255,""([^.]+)$""))"),1.0)</f>
        <v>1</v>
      </c>
      <c r="G255" s="49">
        <v>4.0</v>
      </c>
      <c r="H255" s="26" t="b">
        <f>COUNTIFS(
 tblCostChecklist[RequirementID],A255,
 tblCostChecklist[PlayerPaid],TRUE
)&gt;0</f>
        <v>0</v>
      </c>
      <c r="I255" s="49">
        <f t="shared" si="1"/>
        <v>4</v>
      </c>
      <c r="J255" s="49">
        <f t="shared" si="2"/>
        <v>0</v>
      </c>
      <c r="K255" s="49">
        <f t="shared" si="3"/>
        <v>4</v>
      </c>
      <c r="L255" s="49" t="b">
        <f t="shared" si="4"/>
        <v>0</v>
      </c>
      <c r="M255" s="88">
        <f t="shared" si="5"/>
        <v>0</v>
      </c>
    </row>
    <row r="256" ht="14.25" customHeight="1">
      <c r="A256" s="49" t="s">
        <v>1010</v>
      </c>
      <c r="B256" s="49" t="str">
        <f>IFERROR(__xludf.DUMMYFUNCTION("REGEXEXTRACT(A256,""^cost\.(.*)\.[^.]+\.[^.]+$"")"),"building.garden@3")</f>
        <v>building.garden@3</v>
      </c>
      <c r="C256" s="49" t="str">
        <f t="array" ref="C256">_xlfn.XLOOKUP(
 B256,
 tblTargets[TargetID],
 tblTargets[DisplayName],
 ""
)</f>
        <v>Garden Lv 3</v>
      </c>
      <c r="D256" s="49" t="str">
        <f t="array" ref="D256">_xlfn.XLOOKUP(
 B256,
 tblTargets[TargetID],
 tblTargets[TargetType],
 ""
)</f>
        <v>BUILDING</v>
      </c>
      <c r="E256" s="49" t="s">
        <v>119</v>
      </c>
      <c r="F256" s="87">
        <f>IFERROR(__xludf.DUMMYFUNCTION("VALUE(REGEXEXTRACT(A256,""([^.]+)$""))"),1.0)</f>
        <v>1</v>
      </c>
      <c r="G256" s="49">
        <v>1000.0</v>
      </c>
      <c r="H256" s="26" t="b">
        <f>COUNTIFS(
 tblCostChecklist[RequirementID],A256,
 tblCostChecklist[PlayerPaid],TRUE
)&gt;0</f>
        <v>0</v>
      </c>
      <c r="I256" s="49">
        <f t="shared" si="1"/>
        <v>4</v>
      </c>
      <c r="J256" s="49">
        <f t="shared" si="2"/>
        <v>0</v>
      </c>
      <c r="K256" s="49">
        <f t="shared" si="3"/>
        <v>4</v>
      </c>
      <c r="L256" s="49" t="b">
        <f t="shared" si="4"/>
        <v>0</v>
      </c>
      <c r="M256" s="88">
        <f t="shared" si="5"/>
        <v>0</v>
      </c>
    </row>
    <row r="257" ht="14.25" customHeight="1">
      <c r="A257" s="49" t="s">
        <v>1005</v>
      </c>
      <c r="B257" s="49" t="str">
        <f>IFERROR(__xludf.DUMMYFUNCTION("REGEXEXTRACT(A257,""^cost\.(.*)\.[^.]+\.[^.]+$"")"),"building.garden@3")</f>
        <v>building.garden@3</v>
      </c>
      <c r="C257" s="49" t="str">
        <f t="array" ref="C257">_xlfn.XLOOKUP(
 B257,
 tblTargets[TargetID],
 tblTargets[DisplayName],
 ""
)</f>
        <v>Garden Lv 3</v>
      </c>
      <c r="D257" s="49" t="str">
        <f t="array" ref="D257">_xlfn.XLOOKUP(
 B257,
 tblTargets[TargetID],
 tblTargets[TargetType],
 ""
)</f>
        <v>BUILDING</v>
      </c>
      <c r="E257" s="49" t="s">
        <v>278</v>
      </c>
      <c r="F257" s="87">
        <f>IFERROR(__xludf.DUMMYFUNCTION("VALUE(REGEXEXTRACT(A257,""([^.]+)$""))"),1.0)</f>
        <v>1</v>
      </c>
      <c r="G257" s="49">
        <v>800.0</v>
      </c>
      <c r="H257" s="26" t="b">
        <f>COUNTIFS(
 tblCostChecklist[RequirementID],A257,
 tblCostChecklist[PlayerPaid],TRUE
)&gt;0</f>
        <v>0</v>
      </c>
      <c r="I257" s="49">
        <f t="shared" si="1"/>
        <v>4</v>
      </c>
      <c r="J257" s="49">
        <f t="shared" si="2"/>
        <v>0</v>
      </c>
      <c r="K257" s="49">
        <f t="shared" si="3"/>
        <v>4</v>
      </c>
      <c r="L257" s="49" t="b">
        <f t="shared" si="4"/>
        <v>0</v>
      </c>
      <c r="M257" s="88">
        <f t="shared" si="5"/>
        <v>0</v>
      </c>
    </row>
    <row r="258" ht="14.25" customHeight="1">
      <c r="A258" s="49" t="s">
        <v>1020</v>
      </c>
      <c r="B258" s="49" t="str">
        <f>IFERROR(__xludf.DUMMYFUNCTION("REGEXEXTRACT(A258,""^cost\.(.*)\.[^.]+\.[^.]+$"")"),"building.garden@3")</f>
        <v>building.garden@3</v>
      </c>
      <c r="C258" s="49" t="str">
        <f t="array" ref="C258">_xlfn.XLOOKUP(
 B258,
 tblTargets[TargetID],
 tblTargets[DisplayName],
 ""
)</f>
        <v>Garden Lv 3</v>
      </c>
      <c r="D258" s="49" t="str">
        <f t="array" ref="D258">_xlfn.XLOOKUP(
 B258,
 tblTargets[TargetID],
 tblTargets[TargetType],
 ""
)</f>
        <v>BUILDING</v>
      </c>
      <c r="E258" s="49" t="s">
        <v>237</v>
      </c>
      <c r="F258" s="87">
        <f>IFERROR(__xludf.DUMMYFUNCTION("VALUE(REGEXEXTRACT(A258,""([^.]+)$""))"),1.0)</f>
        <v>1</v>
      </c>
      <c r="G258" s="49">
        <v>200.0</v>
      </c>
      <c r="H258" s="26" t="b">
        <f>COUNTIFS(
 tblCostChecklist[RequirementID],A258,
 tblCostChecklist[PlayerPaid],TRUE
)&gt;0</f>
        <v>0</v>
      </c>
      <c r="I258" s="49">
        <f t="shared" si="1"/>
        <v>4</v>
      </c>
      <c r="J258" s="49">
        <f t="shared" si="2"/>
        <v>0</v>
      </c>
      <c r="K258" s="49">
        <f t="shared" si="3"/>
        <v>4</v>
      </c>
      <c r="L258" s="49" t="b">
        <f t="shared" si="4"/>
        <v>0</v>
      </c>
      <c r="M258" s="88">
        <f t="shared" si="5"/>
        <v>0</v>
      </c>
    </row>
    <row r="259" ht="14.25" customHeight="1">
      <c r="A259" s="49" t="s">
        <v>1030</v>
      </c>
      <c r="B259" s="49" t="str">
        <f>IFERROR(__xludf.DUMMYFUNCTION("REGEXEXTRACT(A259,""^cost\.(.*)\.[^.]+\.[^.]+$"")"),"building.gong@1")</f>
        <v>building.gong@1</v>
      </c>
      <c r="C259" s="49" t="str">
        <f t="array" ref="C259">_xlfn.XLOOKUP(
 B259,
 tblTargets[TargetID],
 tblTargets[DisplayName],
 ""
)</f>
        <v>Gong Lv 1</v>
      </c>
      <c r="D259" s="49" t="str">
        <f t="array" ref="D259">_xlfn.XLOOKUP(
 B259,
 tblTargets[TargetID],
 tblTargets[TargetType],
 ""
)</f>
        <v>BUILDING</v>
      </c>
      <c r="E259" s="49" t="s">
        <v>6</v>
      </c>
      <c r="F259" s="87">
        <f>IFERROR(__xludf.DUMMYFUNCTION("VALUE(REGEXEXTRACT(A259,""([^.]+)$""))"),1.0)</f>
        <v>1</v>
      </c>
      <c r="G259" s="49">
        <v>3.0</v>
      </c>
      <c r="H259" s="26" t="b">
        <f>COUNTIFS(
 tblCostChecklist[RequirementID],A259,
 tblCostChecklist[PlayerPaid],TRUE
)&gt;0</f>
        <v>0</v>
      </c>
      <c r="I259" s="49">
        <f t="shared" si="1"/>
        <v>5</v>
      </c>
      <c r="J259" s="49">
        <f t="shared" si="2"/>
        <v>0</v>
      </c>
      <c r="K259" s="49">
        <f t="shared" si="3"/>
        <v>5</v>
      </c>
      <c r="L259" s="49" t="b">
        <f t="shared" si="4"/>
        <v>0</v>
      </c>
      <c r="M259" s="88">
        <f t="shared" si="5"/>
        <v>0</v>
      </c>
    </row>
    <row r="260" ht="14.25" customHeight="1">
      <c r="A260" s="49" t="s">
        <v>1025</v>
      </c>
      <c r="B260" s="49" t="str">
        <f>IFERROR(__xludf.DUMMYFUNCTION("REGEXEXTRACT(A260,""^cost\.(.*)\.[^.]+\.[^.]+$"")"),"building.gong@1")</f>
        <v>building.gong@1</v>
      </c>
      <c r="C260" s="49" t="str">
        <f t="array" ref="C260">_xlfn.XLOOKUP(
 B260,
 tblTargets[TargetID],
 tblTargets[DisplayName],
 ""
)</f>
        <v>Gong Lv 1</v>
      </c>
      <c r="D260" s="49" t="str">
        <f t="array" ref="D260">_xlfn.XLOOKUP(
 B260,
 tblTargets[TargetID],
 tblTargets[TargetType],
 ""
)</f>
        <v>BUILDING</v>
      </c>
      <c r="E260" s="49" t="s">
        <v>119</v>
      </c>
      <c r="F260" s="87">
        <f>IFERROR(__xludf.DUMMYFUNCTION("VALUE(REGEXEXTRACT(A260,""([^.]+)$""))"),1.0)</f>
        <v>1</v>
      </c>
      <c r="G260" s="49">
        <v>200.0</v>
      </c>
      <c r="H260" s="26" t="b">
        <f>COUNTIFS(
 tblCostChecklist[RequirementID],A260,
 tblCostChecklist[PlayerPaid],TRUE
)&gt;0</f>
        <v>0</v>
      </c>
      <c r="I260" s="49">
        <f t="shared" si="1"/>
        <v>5</v>
      </c>
      <c r="J260" s="49">
        <f t="shared" si="2"/>
        <v>0</v>
      </c>
      <c r="K260" s="49">
        <f t="shared" si="3"/>
        <v>5</v>
      </c>
      <c r="L260" s="49" t="b">
        <f t="shared" si="4"/>
        <v>0</v>
      </c>
      <c r="M260" s="88">
        <f t="shared" si="5"/>
        <v>0</v>
      </c>
    </row>
    <row r="261" ht="14.25" customHeight="1">
      <c r="A261" s="49" t="s">
        <v>1047</v>
      </c>
      <c r="B261" s="49" t="str">
        <f>IFERROR(__xludf.DUMMYFUNCTION("REGEXEXTRACT(A261,""^cost\.(.*)\.[^.]+\.[^.]+$"")"),"building.gong@1")</f>
        <v>building.gong@1</v>
      </c>
      <c r="C261" s="49" t="str">
        <f t="array" ref="C261">_xlfn.XLOOKUP(
 B261,
 tblTargets[TargetID],
 tblTargets[DisplayName],
 ""
)</f>
        <v>Gong Lv 1</v>
      </c>
      <c r="D261" s="49" t="str">
        <f t="array" ref="D261">_xlfn.XLOOKUP(
 B261,
 tblTargets[TargetID],
 tblTargets[TargetType],
 ""
)</f>
        <v>BUILDING</v>
      </c>
      <c r="E261" s="49" t="s">
        <v>244</v>
      </c>
      <c r="F261" s="87">
        <f>IFERROR(__xludf.DUMMYFUNCTION("VALUE(REGEXEXTRACT(A261,""([^.]+)$""))"),1.0)</f>
        <v>1</v>
      </c>
      <c r="G261" s="49">
        <v>100.0</v>
      </c>
      <c r="H261" s="26" t="b">
        <f>COUNTIFS(
 tblCostChecklist[RequirementID],A261,
 tblCostChecklist[PlayerPaid],TRUE
)&gt;0</f>
        <v>0</v>
      </c>
      <c r="I261" s="49">
        <f t="shared" si="1"/>
        <v>5</v>
      </c>
      <c r="J261" s="49">
        <f t="shared" si="2"/>
        <v>0</v>
      </c>
      <c r="K261" s="49">
        <f t="shared" si="3"/>
        <v>5</v>
      </c>
      <c r="L261" s="49" t="b">
        <f t="shared" si="4"/>
        <v>0</v>
      </c>
      <c r="M261" s="88">
        <f t="shared" si="5"/>
        <v>0</v>
      </c>
    </row>
    <row r="262" ht="14.25" customHeight="1">
      <c r="A262" s="49" t="s">
        <v>1041</v>
      </c>
      <c r="B262" s="49" t="str">
        <f>IFERROR(__xludf.DUMMYFUNCTION("REGEXEXTRACT(A262,""^cost\.(.*)\.[^.]+\.[^.]+$"")"),"building.gong@1")</f>
        <v>building.gong@1</v>
      </c>
      <c r="C262" s="49" t="str">
        <f t="array" ref="C262">_xlfn.XLOOKUP(
 B262,
 tblTargets[TargetID],
 tblTargets[DisplayName],
 ""
)</f>
        <v>Gong Lv 1</v>
      </c>
      <c r="D262" s="49" t="str">
        <f t="array" ref="D262">_xlfn.XLOOKUP(
 B262,
 tblTargets[TargetID],
 tblTargets[TargetType],
 ""
)</f>
        <v>BUILDING</v>
      </c>
      <c r="E262" s="49" t="s">
        <v>237</v>
      </c>
      <c r="F262" s="87">
        <f>IFERROR(__xludf.DUMMYFUNCTION("VALUE(REGEXEXTRACT(A262,""([^.]+)$""))"),1.0)</f>
        <v>1</v>
      </c>
      <c r="G262" s="49">
        <v>50.0</v>
      </c>
      <c r="H262" s="26" t="b">
        <f>COUNTIFS(
 tblCostChecklist[RequirementID],A262,
 tblCostChecklist[PlayerPaid],TRUE
)&gt;0</f>
        <v>0</v>
      </c>
      <c r="I262" s="49">
        <f t="shared" si="1"/>
        <v>5</v>
      </c>
      <c r="J262" s="49">
        <f t="shared" si="2"/>
        <v>0</v>
      </c>
      <c r="K262" s="49">
        <f t="shared" si="3"/>
        <v>5</v>
      </c>
      <c r="L262" s="49" t="b">
        <f t="shared" si="4"/>
        <v>0</v>
      </c>
      <c r="M262" s="88">
        <f t="shared" si="5"/>
        <v>0</v>
      </c>
    </row>
    <row r="263" ht="14.25" customHeight="1">
      <c r="A263" s="49" t="s">
        <v>1035</v>
      </c>
      <c r="B263" s="49" t="str">
        <f>IFERROR(__xludf.DUMMYFUNCTION("REGEXEXTRACT(A263,""^cost\.(.*)\.[^.]+\.[^.]+$"")"),"building.gong@1")</f>
        <v>building.gong@1</v>
      </c>
      <c r="C263" s="49" t="str">
        <f t="array" ref="C263">_xlfn.XLOOKUP(
 B263,
 tblTargets[TargetID],
 tblTargets[DisplayName],
 ""
)</f>
        <v>Gong Lv 1</v>
      </c>
      <c r="D263" s="49" t="str">
        <f t="array" ref="D263">_xlfn.XLOOKUP(
 B263,
 tblTargets[TargetID],
 tblTargets[TargetType],
 ""
)</f>
        <v>BUILDING</v>
      </c>
      <c r="E263" s="49" t="s">
        <v>392</v>
      </c>
      <c r="F263" s="87">
        <f>IFERROR(__xludf.DUMMYFUNCTION("VALUE(REGEXEXTRACT(A263,""([^.]+)$""))"),1.0)</f>
        <v>1</v>
      </c>
      <c r="G263" s="49">
        <v>50.0</v>
      </c>
      <c r="H263" s="26" t="b">
        <f>COUNTIFS(
 tblCostChecklist[RequirementID],A263,
 tblCostChecklist[PlayerPaid],TRUE
)&gt;0</f>
        <v>0</v>
      </c>
      <c r="I263" s="49">
        <f t="shared" si="1"/>
        <v>5</v>
      </c>
      <c r="J263" s="49">
        <f t="shared" si="2"/>
        <v>0</v>
      </c>
      <c r="K263" s="49">
        <f t="shared" si="3"/>
        <v>5</v>
      </c>
      <c r="L263" s="49" t="b">
        <f t="shared" si="4"/>
        <v>0</v>
      </c>
      <c r="M263" s="88">
        <f t="shared" si="5"/>
        <v>0</v>
      </c>
    </row>
    <row r="264" ht="14.25" customHeight="1">
      <c r="A264" s="49" t="s">
        <v>1112</v>
      </c>
      <c r="B264" s="49" t="str">
        <f>IFERROR(__xludf.DUMMYFUNCTION("REGEXEXTRACT(A264,""^cost\.(.*)\.[^.]+\.[^.]+$"")"),"building.guild@2")</f>
        <v>building.guild@2</v>
      </c>
      <c r="C264" s="49" t="str">
        <f t="array" ref="C264">_xlfn.XLOOKUP(
 B264,
 tblTargets[TargetID],
 tblTargets[DisplayName],
 ""
)</f>
        <v>Guild Lv 2</v>
      </c>
      <c r="D264" s="49" t="str">
        <f t="array" ref="D264">_xlfn.XLOOKUP(
 B264,
 tblTargets[TargetID],
 tblTargets[TargetType],
 ""
)</f>
        <v>BUILDING</v>
      </c>
      <c r="E264" s="49" t="s">
        <v>6</v>
      </c>
      <c r="F264" s="87">
        <f>IFERROR(__xludf.DUMMYFUNCTION("VALUE(REGEXEXTRACT(A264,""([^.]+)$""))"),1.0)</f>
        <v>1</v>
      </c>
      <c r="G264" s="49">
        <v>1.0</v>
      </c>
      <c r="H264" s="26" t="b">
        <f>COUNTIFS(
 tblCostChecklist[RequirementID],A264,
 tblCostChecklist[PlayerPaid],TRUE
)&gt;0</f>
        <v>0</v>
      </c>
      <c r="I264" s="49">
        <f t="shared" si="1"/>
        <v>4</v>
      </c>
      <c r="J264" s="49">
        <f t="shared" si="2"/>
        <v>0</v>
      </c>
      <c r="K264" s="49">
        <f t="shared" si="3"/>
        <v>4</v>
      </c>
      <c r="L264" s="49" t="b">
        <f t="shared" si="4"/>
        <v>0</v>
      </c>
      <c r="M264" s="88">
        <f t="shared" si="5"/>
        <v>0</v>
      </c>
    </row>
    <row r="265" ht="14.25" customHeight="1">
      <c r="A265" s="49" t="s">
        <v>1105</v>
      </c>
      <c r="B265" s="49" t="str">
        <f>IFERROR(__xludf.DUMMYFUNCTION("REGEXEXTRACT(A265,""^cost\.(.*)\.[^.]+\.[^.]+$"")"),"building.guild@2")</f>
        <v>building.guild@2</v>
      </c>
      <c r="C265" s="49" t="str">
        <f t="array" ref="C265">_xlfn.XLOOKUP(
 B265,
 tblTargets[TargetID],
 tblTargets[DisplayName],
 ""
)</f>
        <v>Guild Lv 2</v>
      </c>
      <c r="D265" s="49" t="str">
        <f t="array" ref="D265">_xlfn.XLOOKUP(
 B265,
 tblTargets[TargetID],
 tblTargets[TargetType],
 ""
)</f>
        <v>BUILDING</v>
      </c>
      <c r="E265" s="49" t="s">
        <v>119</v>
      </c>
      <c r="F265" s="87">
        <f>IFERROR(__xludf.DUMMYFUNCTION("VALUE(REGEXEXTRACT(A265,""([^.]+)$""))"),1.0)</f>
        <v>1</v>
      </c>
      <c r="G265" s="49">
        <v>50.0</v>
      </c>
      <c r="H265" s="26" t="b">
        <f>COUNTIFS(
 tblCostChecklist[RequirementID],A265,
 tblCostChecklist[PlayerPaid],TRUE
)&gt;0</f>
        <v>0</v>
      </c>
      <c r="I265" s="49">
        <f t="shared" si="1"/>
        <v>4</v>
      </c>
      <c r="J265" s="49">
        <f t="shared" si="2"/>
        <v>0</v>
      </c>
      <c r="K265" s="49">
        <f t="shared" si="3"/>
        <v>4</v>
      </c>
      <c r="L265" s="49" t="b">
        <f t="shared" si="4"/>
        <v>0</v>
      </c>
      <c r="M265" s="88">
        <f t="shared" si="5"/>
        <v>0</v>
      </c>
    </row>
    <row r="266" ht="14.25" customHeight="1">
      <c r="A266" s="49" t="s">
        <v>1125</v>
      </c>
      <c r="B266" s="49" t="str">
        <f>IFERROR(__xludf.DUMMYFUNCTION("REGEXEXTRACT(A266,""^cost\.(.*)\.[^.]+\.[^.]+$"")"),"building.guild@2")</f>
        <v>building.guild@2</v>
      </c>
      <c r="C266" s="49" t="str">
        <f t="array" ref="C266">_xlfn.XLOOKUP(
 B266,
 tblTargets[TargetID],
 tblTargets[DisplayName],
 ""
)</f>
        <v>Guild Lv 2</v>
      </c>
      <c r="D266" s="49" t="str">
        <f t="array" ref="D266">_xlfn.XLOOKUP(
 B266,
 tblTargets[TargetID],
 tblTargets[TargetType],
 ""
)</f>
        <v>BUILDING</v>
      </c>
      <c r="E266" s="49" t="s">
        <v>244</v>
      </c>
      <c r="F266" s="87">
        <f>IFERROR(__xludf.DUMMYFUNCTION("VALUE(REGEXEXTRACT(A266,""([^.]+)$""))"),1.0)</f>
        <v>1</v>
      </c>
      <c r="G266" s="49">
        <v>50.0</v>
      </c>
      <c r="H266" s="26" t="b">
        <f>COUNTIFS(
 tblCostChecklist[RequirementID],A266,
 tblCostChecklist[PlayerPaid],TRUE
)&gt;0</f>
        <v>0</v>
      </c>
      <c r="I266" s="49">
        <f t="shared" si="1"/>
        <v>4</v>
      </c>
      <c r="J266" s="49">
        <f t="shared" si="2"/>
        <v>0</v>
      </c>
      <c r="K266" s="49">
        <f t="shared" si="3"/>
        <v>4</v>
      </c>
      <c r="L266" s="49" t="b">
        <f t="shared" si="4"/>
        <v>0</v>
      </c>
      <c r="M266" s="88">
        <f t="shared" si="5"/>
        <v>0</v>
      </c>
    </row>
    <row r="267" ht="14.25" customHeight="1">
      <c r="A267" s="49" t="s">
        <v>1120</v>
      </c>
      <c r="B267" s="49" t="str">
        <f>IFERROR(__xludf.DUMMYFUNCTION("REGEXEXTRACT(A267,""^cost\.(.*)\.[^.]+\.[^.]+$"")"),"building.guild@2")</f>
        <v>building.guild@2</v>
      </c>
      <c r="C267" s="49" t="str">
        <f t="array" ref="C267">_xlfn.XLOOKUP(
 B267,
 tblTargets[TargetID],
 tblTargets[DisplayName],
 ""
)</f>
        <v>Guild Lv 2</v>
      </c>
      <c r="D267" s="49" t="str">
        <f t="array" ref="D267">_xlfn.XLOOKUP(
 B267,
 tblTargets[TargetID],
 tblTargets[TargetType],
 ""
)</f>
        <v>BUILDING</v>
      </c>
      <c r="E267" s="49" t="s">
        <v>237</v>
      </c>
      <c r="F267" s="87">
        <f>IFERROR(__xludf.DUMMYFUNCTION("VALUE(REGEXEXTRACT(A267,""([^.]+)$""))"),1.0)</f>
        <v>1</v>
      </c>
      <c r="G267" s="49">
        <v>50.0</v>
      </c>
      <c r="H267" s="26" t="b">
        <f>COUNTIFS(
 tblCostChecklist[RequirementID],A267,
 tblCostChecklist[PlayerPaid],TRUE
)&gt;0</f>
        <v>0</v>
      </c>
      <c r="I267" s="49">
        <f t="shared" si="1"/>
        <v>4</v>
      </c>
      <c r="J267" s="49">
        <f t="shared" si="2"/>
        <v>0</v>
      </c>
      <c r="K267" s="49">
        <f t="shared" si="3"/>
        <v>4</v>
      </c>
      <c r="L267" s="49" t="b">
        <f t="shared" si="4"/>
        <v>0</v>
      </c>
      <c r="M267" s="88">
        <f t="shared" si="5"/>
        <v>0</v>
      </c>
    </row>
    <row r="268" ht="14.25" customHeight="1">
      <c r="A268" s="49" t="s">
        <v>1146</v>
      </c>
      <c r="B268" s="49" t="str">
        <f>IFERROR(__xludf.DUMMYFUNCTION("REGEXEXTRACT(A268,""^cost\.(.*)\.[^.]+\.[^.]+$"")"),"building.guild@3")</f>
        <v>building.guild@3</v>
      </c>
      <c r="C268" s="49" t="str">
        <f t="array" ref="C268">_xlfn.XLOOKUP(
 B268,
 tblTargets[TargetID],
 tblTargets[DisplayName],
 ""
)</f>
        <v>Guild Lv 3</v>
      </c>
      <c r="D268" s="49" t="str">
        <f t="array" ref="D268">_xlfn.XLOOKUP(
 B268,
 tblTargets[TargetID],
 tblTargets[TargetType],
 ""
)</f>
        <v>BUILDING</v>
      </c>
      <c r="E268" s="49" t="s">
        <v>6</v>
      </c>
      <c r="F268" s="87">
        <f>IFERROR(__xludf.DUMMYFUNCTION("VALUE(REGEXEXTRACT(A268,""([^.]+)$""))"),1.0)</f>
        <v>1</v>
      </c>
      <c r="G268" s="49">
        <v>2.0</v>
      </c>
      <c r="H268" s="26" t="b">
        <f>COUNTIFS(
 tblCostChecklist[RequirementID],A268,
 tblCostChecklist[PlayerPaid],TRUE
)&gt;0</f>
        <v>0</v>
      </c>
      <c r="I268" s="49">
        <f t="shared" si="1"/>
        <v>4</v>
      </c>
      <c r="J268" s="49">
        <f t="shared" si="2"/>
        <v>0</v>
      </c>
      <c r="K268" s="49">
        <f t="shared" si="3"/>
        <v>4</v>
      </c>
      <c r="L268" s="49" t="b">
        <f t="shared" si="4"/>
        <v>0</v>
      </c>
      <c r="M268" s="88">
        <f t="shared" si="5"/>
        <v>0</v>
      </c>
    </row>
    <row r="269" ht="14.25" customHeight="1">
      <c r="A269" s="49" t="s">
        <v>1140</v>
      </c>
      <c r="B269" s="49" t="str">
        <f>IFERROR(__xludf.DUMMYFUNCTION("REGEXEXTRACT(A269,""^cost\.(.*)\.[^.]+\.[^.]+$"")"),"building.guild@3")</f>
        <v>building.guild@3</v>
      </c>
      <c r="C269" s="49" t="str">
        <f t="array" ref="C269">_xlfn.XLOOKUP(
 B269,
 tblTargets[TargetID],
 tblTargets[DisplayName],
 ""
)</f>
        <v>Guild Lv 3</v>
      </c>
      <c r="D269" s="49" t="str">
        <f t="array" ref="D269">_xlfn.XLOOKUP(
 B269,
 tblTargets[TargetID],
 tblTargets[TargetType],
 ""
)</f>
        <v>BUILDING</v>
      </c>
      <c r="E269" s="49" t="s">
        <v>119</v>
      </c>
      <c r="F269" s="87">
        <f>IFERROR(__xludf.DUMMYFUNCTION("VALUE(REGEXEXTRACT(A269,""([^.]+)$""))"),1.0)</f>
        <v>1</v>
      </c>
      <c r="G269" s="49">
        <v>150.0</v>
      </c>
      <c r="H269" s="26" t="b">
        <f>COUNTIFS(
 tblCostChecklist[RequirementID],A269,
 tblCostChecklist[PlayerPaid],TRUE
)&gt;0</f>
        <v>0</v>
      </c>
      <c r="I269" s="49">
        <f t="shared" si="1"/>
        <v>4</v>
      </c>
      <c r="J269" s="49">
        <f t="shared" si="2"/>
        <v>0</v>
      </c>
      <c r="K269" s="49">
        <f t="shared" si="3"/>
        <v>4</v>
      </c>
      <c r="L269" s="49" t="b">
        <f t="shared" si="4"/>
        <v>0</v>
      </c>
      <c r="M269" s="88">
        <f t="shared" si="5"/>
        <v>0</v>
      </c>
    </row>
    <row r="270" ht="14.25" customHeight="1">
      <c r="A270" s="49" t="s">
        <v>1133</v>
      </c>
      <c r="B270" s="49" t="str">
        <f>IFERROR(__xludf.DUMMYFUNCTION("REGEXEXTRACT(A270,""^cost\.(.*)\.[^.]+\.[^.]+$"")"),"building.guild@3")</f>
        <v>building.guild@3</v>
      </c>
      <c r="C270" s="49" t="str">
        <f t="array" ref="C270">_xlfn.XLOOKUP(
 B270,
 tblTargets[TargetID],
 tblTargets[DisplayName],
 ""
)</f>
        <v>Guild Lv 3</v>
      </c>
      <c r="D270" s="49" t="str">
        <f t="array" ref="D270">_xlfn.XLOOKUP(
 B270,
 tblTargets[TargetID],
 tblTargets[TargetType],
 ""
)</f>
        <v>BUILDING</v>
      </c>
      <c r="E270" s="49" t="s">
        <v>278</v>
      </c>
      <c r="F270" s="87">
        <f>IFERROR(__xludf.DUMMYFUNCTION("VALUE(REGEXEXTRACT(A270,""([^.]+)$""))"),1.0)</f>
        <v>1</v>
      </c>
      <c r="G270" s="49">
        <v>300.0</v>
      </c>
      <c r="H270" s="26" t="b">
        <f>COUNTIFS(
 tblCostChecklist[RequirementID],A270,
 tblCostChecklist[PlayerPaid],TRUE
)&gt;0</f>
        <v>0</v>
      </c>
      <c r="I270" s="49">
        <f t="shared" si="1"/>
        <v>4</v>
      </c>
      <c r="J270" s="49">
        <f t="shared" si="2"/>
        <v>0</v>
      </c>
      <c r="K270" s="49">
        <f t="shared" si="3"/>
        <v>4</v>
      </c>
      <c r="L270" s="49" t="b">
        <f t="shared" si="4"/>
        <v>0</v>
      </c>
      <c r="M270" s="88">
        <f t="shared" si="5"/>
        <v>0</v>
      </c>
    </row>
    <row r="271" ht="14.25" customHeight="1">
      <c r="A271" s="49" t="s">
        <v>1152</v>
      </c>
      <c r="B271" s="49" t="str">
        <f>IFERROR(__xludf.DUMMYFUNCTION("REGEXEXTRACT(A271,""^cost\.(.*)\.[^.]+\.[^.]+$"")"),"building.guild@3")</f>
        <v>building.guild@3</v>
      </c>
      <c r="C271" s="49" t="str">
        <f t="array" ref="C271">_xlfn.XLOOKUP(
 B271,
 tblTargets[TargetID],
 tblTargets[DisplayName],
 ""
)</f>
        <v>Guild Lv 3</v>
      </c>
      <c r="D271" s="49" t="str">
        <f t="array" ref="D271">_xlfn.XLOOKUP(
 B271,
 tblTargets[TargetID],
 tblTargets[TargetType],
 ""
)</f>
        <v>BUILDING</v>
      </c>
      <c r="E271" s="49" t="s">
        <v>237</v>
      </c>
      <c r="F271" s="87">
        <f>IFERROR(__xludf.DUMMYFUNCTION("VALUE(REGEXEXTRACT(A271,""([^.]+)$""))"),1.0)</f>
        <v>1</v>
      </c>
      <c r="G271" s="49">
        <v>150.0</v>
      </c>
      <c r="H271" s="26" t="b">
        <f>COUNTIFS(
 tblCostChecklist[RequirementID],A271,
 tblCostChecklist[PlayerPaid],TRUE
)&gt;0</f>
        <v>0</v>
      </c>
      <c r="I271" s="49">
        <f t="shared" si="1"/>
        <v>4</v>
      </c>
      <c r="J271" s="49">
        <f t="shared" si="2"/>
        <v>0</v>
      </c>
      <c r="K271" s="49">
        <f t="shared" si="3"/>
        <v>4</v>
      </c>
      <c r="L271" s="49" t="b">
        <f t="shared" si="4"/>
        <v>0</v>
      </c>
      <c r="M271" s="88">
        <f t="shared" si="5"/>
        <v>0</v>
      </c>
    </row>
    <row r="272" ht="14.25" customHeight="1">
      <c r="A272" s="49" t="s">
        <v>1171</v>
      </c>
      <c r="B272" s="49" t="str">
        <f>IFERROR(__xludf.DUMMYFUNCTION("REGEXEXTRACT(A272,""^cost\.(.*)\.[^.]+\.[^.]+$"")"),"building.guild@4")</f>
        <v>building.guild@4</v>
      </c>
      <c r="C272" s="49" t="str">
        <f t="array" ref="C272">_xlfn.XLOOKUP(
 B272,
 tblTargets[TargetID],
 tblTargets[DisplayName],
 ""
)</f>
        <v>Guild Lv 4</v>
      </c>
      <c r="D272" s="49" t="str">
        <f t="array" ref="D272">_xlfn.XLOOKUP(
 B272,
 tblTargets[TargetID],
 tblTargets[TargetType],
 ""
)</f>
        <v>BUILDING</v>
      </c>
      <c r="E272" s="49" t="s">
        <v>6</v>
      </c>
      <c r="F272" s="87">
        <f>IFERROR(__xludf.DUMMYFUNCTION("VALUE(REGEXEXTRACT(A272,""([^.]+)$""))"),1.0)</f>
        <v>1</v>
      </c>
      <c r="G272" s="49">
        <v>4.0</v>
      </c>
      <c r="H272" s="26" t="b">
        <f>COUNTIFS(
 tblCostChecklist[RequirementID],A272,
 tblCostChecklist[PlayerPaid],TRUE
)&gt;0</f>
        <v>0</v>
      </c>
      <c r="I272" s="49">
        <f t="shared" si="1"/>
        <v>5</v>
      </c>
      <c r="J272" s="49">
        <f t="shared" si="2"/>
        <v>0</v>
      </c>
      <c r="K272" s="49">
        <f t="shared" si="3"/>
        <v>5</v>
      </c>
      <c r="L272" s="49" t="b">
        <f t="shared" si="4"/>
        <v>0</v>
      </c>
      <c r="M272" s="88">
        <f t="shared" si="5"/>
        <v>0</v>
      </c>
    </row>
    <row r="273" ht="14.25" customHeight="1">
      <c r="A273" s="49" t="s">
        <v>1163</v>
      </c>
      <c r="B273" s="49" t="str">
        <f>IFERROR(__xludf.DUMMYFUNCTION("REGEXEXTRACT(A273,""^cost\.(.*)\.[^.]+\.[^.]+$"")"),"building.guild@4")</f>
        <v>building.guild@4</v>
      </c>
      <c r="C273" s="49" t="str">
        <f t="array" ref="C273">_xlfn.XLOOKUP(
 B273,
 tblTargets[TargetID],
 tblTargets[DisplayName],
 ""
)</f>
        <v>Guild Lv 4</v>
      </c>
      <c r="D273" s="49" t="str">
        <f t="array" ref="D273">_xlfn.XLOOKUP(
 B273,
 tblTargets[TargetID],
 tblTargets[TargetType],
 ""
)</f>
        <v>BUILDING</v>
      </c>
      <c r="E273" s="49" t="s">
        <v>119</v>
      </c>
      <c r="F273" s="87">
        <f>IFERROR(__xludf.DUMMYFUNCTION("VALUE(REGEXEXTRACT(A273,""([^.]+)$""))"),1.0)</f>
        <v>1</v>
      </c>
      <c r="G273" s="49">
        <v>250.0</v>
      </c>
      <c r="H273" s="26" t="b">
        <f>COUNTIFS(
 tblCostChecklist[RequirementID],A273,
 tblCostChecklist[PlayerPaid],TRUE
)&gt;0</f>
        <v>0</v>
      </c>
      <c r="I273" s="49">
        <f t="shared" si="1"/>
        <v>5</v>
      </c>
      <c r="J273" s="49">
        <f t="shared" si="2"/>
        <v>0</v>
      </c>
      <c r="K273" s="49">
        <f t="shared" si="3"/>
        <v>5</v>
      </c>
      <c r="L273" s="49" t="b">
        <f t="shared" si="4"/>
        <v>0</v>
      </c>
      <c r="M273" s="88">
        <f t="shared" si="5"/>
        <v>0</v>
      </c>
    </row>
    <row r="274" ht="14.25" customHeight="1">
      <c r="A274" s="49" t="s">
        <v>1158</v>
      </c>
      <c r="B274" s="49" t="str">
        <f>IFERROR(__xludf.DUMMYFUNCTION("REGEXEXTRACT(A274,""^cost\.(.*)\.[^.]+\.[^.]+$"")"),"building.guild@4")</f>
        <v>building.guild@4</v>
      </c>
      <c r="C274" s="49" t="str">
        <f t="array" ref="C274">_xlfn.XLOOKUP(
 B274,
 tblTargets[TargetID],
 tblTargets[DisplayName],
 ""
)</f>
        <v>Guild Lv 4</v>
      </c>
      <c r="D274" s="49" t="str">
        <f t="array" ref="D274">_xlfn.XLOOKUP(
 B274,
 tblTargets[TargetID],
 tblTargets[TargetType],
 ""
)</f>
        <v>BUILDING</v>
      </c>
      <c r="E274" s="49" t="s">
        <v>278</v>
      </c>
      <c r="F274" s="87">
        <f>IFERROR(__xludf.DUMMYFUNCTION("VALUE(REGEXEXTRACT(A274,""([^.]+)$""))"),1.0)</f>
        <v>1</v>
      </c>
      <c r="G274" s="49">
        <v>500.0</v>
      </c>
      <c r="H274" s="26" t="b">
        <f>COUNTIFS(
 tblCostChecklist[RequirementID],A274,
 tblCostChecklist[PlayerPaid],TRUE
)&gt;0</f>
        <v>0</v>
      </c>
      <c r="I274" s="49">
        <f t="shared" si="1"/>
        <v>5</v>
      </c>
      <c r="J274" s="49">
        <f t="shared" si="2"/>
        <v>0</v>
      </c>
      <c r="K274" s="49">
        <f t="shared" si="3"/>
        <v>5</v>
      </c>
      <c r="L274" s="49" t="b">
        <f t="shared" si="4"/>
        <v>0</v>
      </c>
      <c r="M274" s="88">
        <f t="shared" si="5"/>
        <v>0</v>
      </c>
    </row>
    <row r="275" ht="14.25" customHeight="1">
      <c r="A275" s="49" t="s">
        <v>1183</v>
      </c>
      <c r="B275" s="49" t="str">
        <f>IFERROR(__xludf.DUMMYFUNCTION("REGEXEXTRACT(A275,""^cost\.(.*)\.[^.]+\.[^.]+$"")"),"building.guild@4")</f>
        <v>building.guild@4</v>
      </c>
      <c r="C275" s="49" t="str">
        <f t="array" ref="C275">_xlfn.XLOOKUP(
 B275,
 tblTargets[TargetID],
 tblTargets[DisplayName],
 ""
)</f>
        <v>Guild Lv 4</v>
      </c>
      <c r="D275" s="49" t="str">
        <f t="array" ref="D275">_xlfn.XLOOKUP(
 B275,
 tblTargets[TargetID],
 tblTargets[TargetType],
 ""
)</f>
        <v>BUILDING</v>
      </c>
      <c r="E275" s="49" t="s">
        <v>237</v>
      </c>
      <c r="F275" s="87">
        <f>IFERROR(__xludf.DUMMYFUNCTION("VALUE(REGEXEXTRACT(A275,""([^.]+)$""))"),1.0)</f>
        <v>1</v>
      </c>
      <c r="G275" s="49">
        <v>250.0</v>
      </c>
      <c r="H275" s="26" t="b">
        <f>COUNTIFS(
 tblCostChecklist[RequirementID],A275,
 tblCostChecklist[PlayerPaid],TRUE
)&gt;0</f>
        <v>0</v>
      </c>
      <c r="I275" s="49">
        <f t="shared" si="1"/>
        <v>5</v>
      </c>
      <c r="J275" s="49">
        <f t="shared" si="2"/>
        <v>0</v>
      </c>
      <c r="K275" s="49">
        <f t="shared" si="3"/>
        <v>5</v>
      </c>
      <c r="L275" s="49" t="b">
        <f t="shared" si="4"/>
        <v>0</v>
      </c>
      <c r="M275" s="88">
        <f t="shared" si="5"/>
        <v>0</v>
      </c>
    </row>
    <row r="276" ht="14.25" customHeight="1">
      <c r="A276" s="49" t="s">
        <v>1177</v>
      </c>
      <c r="B276" s="49" t="str">
        <f>IFERROR(__xludf.DUMMYFUNCTION("REGEXEXTRACT(A276,""^cost\.(.*)\.[^.]+\.[^.]+$"")"),"building.guild@4")</f>
        <v>building.guild@4</v>
      </c>
      <c r="C276" s="49" t="str">
        <f t="array" ref="C276">_xlfn.XLOOKUP(
 B276,
 tblTargets[TargetID],
 tblTargets[DisplayName],
 ""
)</f>
        <v>Guild Lv 4</v>
      </c>
      <c r="D276" s="49" t="str">
        <f t="array" ref="D276">_xlfn.XLOOKUP(
 B276,
 tblTargets[TargetID],
 tblTargets[TargetType],
 ""
)</f>
        <v>BUILDING</v>
      </c>
      <c r="E276" s="49" t="s">
        <v>392</v>
      </c>
      <c r="F276" s="87">
        <f>IFERROR(__xludf.DUMMYFUNCTION("VALUE(REGEXEXTRACT(A276,""([^.]+)$""))"),1.0)</f>
        <v>1</v>
      </c>
      <c r="G276" s="49">
        <v>40.0</v>
      </c>
      <c r="H276" s="26" t="b">
        <f>COUNTIFS(
 tblCostChecklist[RequirementID],A276,
 tblCostChecklist[PlayerPaid],TRUE
)&gt;0</f>
        <v>0</v>
      </c>
      <c r="I276" s="49">
        <f t="shared" si="1"/>
        <v>5</v>
      </c>
      <c r="J276" s="49">
        <f t="shared" si="2"/>
        <v>0</v>
      </c>
      <c r="K276" s="49">
        <f t="shared" si="3"/>
        <v>5</v>
      </c>
      <c r="L276" s="49" t="b">
        <f t="shared" si="4"/>
        <v>0</v>
      </c>
      <c r="M276" s="88">
        <f t="shared" si="5"/>
        <v>0</v>
      </c>
    </row>
    <row r="277" ht="14.25" customHeight="1">
      <c r="A277" s="49" t="s">
        <v>1202</v>
      </c>
      <c r="B277" s="49" t="str">
        <f>IFERROR(__xludf.DUMMYFUNCTION("REGEXEXTRACT(A277,""^cost\.(.*)\.[^.]+\.[^.]+$"")"),"building.guild@5")</f>
        <v>building.guild@5</v>
      </c>
      <c r="C277" s="49" t="str">
        <f t="array" ref="C277">_xlfn.XLOOKUP(
 B277,
 tblTargets[TargetID],
 tblTargets[DisplayName],
 ""
)</f>
        <v>Guild Lv 5</v>
      </c>
      <c r="D277" s="49" t="str">
        <f t="array" ref="D277">_xlfn.XLOOKUP(
 B277,
 tblTargets[TargetID],
 tblTargets[TargetType],
 ""
)</f>
        <v>BUILDING</v>
      </c>
      <c r="E277" s="49" t="s">
        <v>6</v>
      </c>
      <c r="F277" s="87">
        <f>IFERROR(__xludf.DUMMYFUNCTION("VALUE(REGEXEXTRACT(A277,""([^.]+)$""))"),1.0)</f>
        <v>1</v>
      </c>
      <c r="G277" s="49">
        <v>8.0</v>
      </c>
      <c r="H277" s="26" t="b">
        <f>COUNTIFS(
 tblCostChecklist[RequirementID],A277,
 tblCostChecklist[PlayerPaid],TRUE
)&gt;0</f>
        <v>0</v>
      </c>
      <c r="I277" s="49">
        <f t="shared" si="1"/>
        <v>5</v>
      </c>
      <c r="J277" s="49">
        <f t="shared" si="2"/>
        <v>0</v>
      </c>
      <c r="K277" s="49">
        <f t="shared" si="3"/>
        <v>5</v>
      </c>
      <c r="L277" s="49" t="b">
        <f t="shared" si="4"/>
        <v>0</v>
      </c>
      <c r="M277" s="88">
        <f t="shared" si="5"/>
        <v>0</v>
      </c>
    </row>
    <row r="278" ht="14.25" customHeight="1">
      <c r="A278" s="49" t="s">
        <v>1196</v>
      </c>
      <c r="B278" s="49" t="str">
        <f>IFERROR(__xludf.DUMMYFUNCTION("REGEXEXTRACT(A278,""^cost\.(.*)\.[^.]+\.[^.]+$"")"),"building.guild@5")</f>
        <v>building.guild@5</v>
      </c>
      <c r="C278" s="49" t="str">
        <f t="array" ref="C278">_xlfn.XLOOKUP(
 B278,
 tblTargets[TargetID],
 tblTargets[DisplayName],
 ""
)</f>
        <v>Guild Lv 5</v>
      </c>
      <c r="D278" s="49" t="str">
        <f t="array" ref="D278">_xlfn.XLOOKUP(
 B278,
 tblTargets[TargetID],
 tblTargets[TargetType],
 ""
)</f>
        <v>BUILDING</v>
      </c>
      <c r="E278" s="49" t="s">
        <v>119</v>
      </c>
      <c r="F278" s="87">
        <f>IFERROR(__xludf.DUMMYFUNCTION("VALUE(REGEXEXTRACT(A278,""([^.]+)$""))"),1.0)</f>
        <v>1</v>
      </c>
      <c r="G278" s="49">
        <v>300.0</v>
      </c>
      <c r="H278" s="26" t="b">
        <f>COUNTIFS(
 tblCostChecklist[RequirementID],A278,
 tblCostChecklist[PlayerPaid],TRUE
)&gt;0</f>
        <v>0</v>
      </c>
      <c r="I278" s="49">
        <f t="shared" si="1"/>
        <v>5</v>
      </c>
      <c r="J278" s="49">
        <f t="shared" si="2"/>
        <v>0</v>
      </c>
      <c r="K278" s="49">
        <f t="shared" si="3"/>
        <v>5</v>
      </c>
      <c r="L278" s="49" t="b">
        <f t="shared" si="4"/>
        <v>0</v>
      </c>
      <c r="M278" s="88">
        <f t="shared" si="5"/>
        <v>0</v>
      </c>
    </row>
    <row r="279" ht="14.25" customHeight="1">
      <c r="A279" s="49" t="s">
        <v>1189</v>
      </c>
      <c r="B279" s="49" t="str">
        <f>IFERROR(__xludf.DUMMYFUNCTION("REGEXEXTRACT(A279,""^cost\.(.*)\.[^.]+\.[^.]+$"")"),"building.guild@5")</f>
        <v>building.guild@5</v>
      </c>
      <c r="C279" s="49" t="str">
        <f t="array" ref="C279">_xlfn.XLOOKUP(
 B279,
 tblTargets[TargetID],
 tblTargets[DisplayName],
 ""
)</f>
        <v>Guild Lv 5</v>
      </c>
      <c r="D279" s="49" t="str">
        <f t="array" ref="D279">_xlfn.XLOOKUP(
 B279,
 tblTargets[TargetID],
 tblTargets[TargetType],
 ""
)</f>
        <v>BUILDING</v>
      </c>
      <c r="E279" s="49" t="s">
        <v>278</v>
      </c>
      <c r="F279" s="87">
        <f>IFERROR(__xludf.DUMMYFUNCTION("VALUE(REGEXEXTRACT(A279,""([^.]+)$""))"),1.0)</f>
        <v>1</v>
      </c>
      <c r="G279" s="49">
        <v>600.0</v>
      </c>
      <c r="H279" s="26" t="b">
        <f>COUNTIFS(
 tblCostChecklist[RequirementID],A279,
 tblCostChecklist[PlayerPaid],TRUE
)&gt;0</f>
        <v>0</v>
      </c>
      <c r="I279" s="49">
        <f t="shared" si="1"/>
        <v>5</v>
      </c>
      <c r="J279" s="49">
        <f t="shared" si="2"/>
        <v>0</v>
      </c>
      <c r="K279" s="49">
        <f t="shared" si="3"/>
        <v>5</v>
      </c>
      <c r="L279" s="49" t="b">
        <f t="shared" si="4"/>
        <v>0</v>
      </c>
      <c r="M279" s="88">
        <f t="shared" si="5"/>
        <v>0</v>
      </c>
    </row>
    <row r="280" ht="14.25" customHeight="1">
      <c r="A280" s="49" t="s">
        <v>1218</v>
      </c>
      <c r="B280" s="49" t="str">
        <f>IFERROR(__xludf.DUMMYFUNCTION("REGEXEXTRACT(A280,""^cost\.(.*)\.[^.]+\.[^.]+$"")"),"building.guild@5")</f>
        <v>building.guild@5</v>
      </c>
      <c r="C280" s="49" t="str">
        <f t="array" ref="C280">_xlfn.XLOOKUP(
 B280,
 tblTargets[TargetID],
 tblTargets[DisplayName],
 ""
)</f>
        <v>Guild Lv 5</v>
      </c>
      <c r="D280" s="49" t="str">
        <f t="array" ref="D280">_xlfn.XLOOKUP(
 B280,
 tblTargets[TargetID],
 tblTargets[TargetType],
 ""
)</f>
        <v>BUILDING</v>
      </c>
      <c r="E280" s="49" t="s">
        <v>237</v>
      </c>
      <c r="F280" s="87">
        <f>IFERROR(__xludf.DUMMYFUNCTION("VALUE(REGEXEXTRACT(A280,""([^.]+)$""))"),1.0)</f>
        <v>1</v>
      </c>
      <c r="G280" s="49">
        <v>300.0</v>
      </c>
      <c r="H280" s="26" t="b">
        <f>COUNTIFS(
 tblCostChecklist[RequirementID],A280,
 tblCostChecklist[PlayerPaid],TRUE
)&gt;0</f>
        <v>0</v>
      </c>
      <c r="I280" s="49">
        <f t="shared" si="1"/>
        <v>5</v>
      </c>
      <c r="J280" s="49">
        <f t="shared" si="2"/>
        <v>0</v>
      </c>
      <c r="K280" s="49">
        <f t="shared" si="3"/>
        <v>5</v>
      </c>
      <c r="L280" s="49" t="b">
        <f t="shared" si="4"/>
        <v>0</v>
      </c>
      <c r="M280" s="88">
        <f t="shared" si="5"/>
        <v>0</v>
      </c>
    </row>
    <row r="281" ht="14.25" customHeight="1">
      <c r="A281" s="49" t="s">
        <v>1210</v>
      </c>
      <c r="B281" s="49" t="str">
        <f>IFERROR(__xludf.DUMMYFUNCTION("REGEXEXTRACT(A281,""^cost\.(.*)\.[^.]+\.[^.]+$"")"),"building.guild@5")</f>
        <v>building.guild@5</v>
      </c>
      <c r="C281" s="49" t="str">
        <f t="array" ref="C281">_xlfn.XLOOKUP(
 B281,
 tblTargets[TargetID],
 tblTargets[DisplayName],
 ""
)</f>
        <v>Guild Lv 5</v>
      </c>
      <c r="D281" s="49" t="str">
        <f t="array" ref="D281">_xlfn.XLOOKUP(
 B281,
 tblTargets[TargetID],
 tblTargets[TargetType],
 ""
)</f>
        <v>BUILDING</v>
      </c>
      <c r="E281" s="49" t="s">
        <v>392</v>
      </c>
      <c r="F281" s="87">
        <f>IFERROR(__xludf.DUMMYFUNCTION("VALUE(REGEXEXTRACT(A281,""([^.]+)$""))"),1.0)</f>
        <v>1</v>
      </c>
      <c r="G281" s="49">
        <v>50.0</v>
      </c>
      <c r="H281" s="26" t="b">
        <f>COUNTIFS(
 tblCostChecklist[RequirementID],A281,
 tblCostChecklist[PlayerPaid],TRUE
)&gt;0</f>
        <v>0</v>
      </c>
      <c r="I281" s="49">
        <f t="shared" si="1"/>
        <v>5</v>
      </c>
      <c r="J281" s="49">
        <f t="shared" si="2"/>
        <v>0</v>
      </c>
      <c r="K281" s="49">
        <f t="shared" si="3"/>
        <v>5</v>
      </c>
      <c r="L281" s="49" t="b">
        <f t="shared" si="4"/>
        <v>0</v>
      </c>
      <c r="M281" s="88">
        <f t="shared" si="5"/>
        <v>0</v>
      </c>
    </row>
    <row r="282" ht="14.25" customHeight="1">
      <c r="A282" s="49" t="s">
        <v>1100</v>
      </c>
      <c r="B282" s="49" t="str">
        <f>IFERROR(__xludf.DUMMYFUNCTION("REGEXEXTRACT(A282,""^cost\.(.*)\.[^.]+\.[^.]+$"")"),"building.guild_video_game_arcade@1")</f>
        <v>building.guild_video_game_arcade@1</v>
      </c>
      <c r="C282" s="49" t="str">
        <f t="array" ref="C282">_xlfn.XLOOKUP(
 B282,
 tblTargets[TargetID],
 tblTargets[DisplayName],
 ""
)</f>
        <v>Guild: Video Game Arcade Lv 1</v>
      </c>
      <c r="D282" s="49" t="str">
        <f t="array" ref="D282">_xlfn.XLOOKUP(
 B282,
 tblTargets[TargetID],
 tblTargets[TargetType],
 ""
)</f>
        <v>BUILDING</v>
      </c>
      <c r="E282" s="49" t="s">
        <v>6</v>
      </c>
      <c r="F282" s="87">
        <f>IFERROR(__xludf.DUMMYFUNCTION("VALUE(REGEXEXTRACT(A282,""([^.]+)$""))"),1.0)</f>
        <v>1</v>
      </c>
      <c r="G282" s="49">
        <v>3.0</v>
      </c>
      <c r="H282" s="26" t="b">
        <f>COUNTIFS(
 tblCostChecklist[RequirementID],A282,
 tblCostChecklist[PlayerPaid],TRUE
)&gt;0</f>
        <v>0</v>
      </c>
      <c r="I282" s="49">
        <f t="shared" si="1"/>
        <v>9</v>
      </c>
      <c r="J282" s="49">
        <f t="shared" si="2"/>
        <v>0</v>
      </c>
      <c r="K282" s="49">
        <f t="shared" si="3"/>
        <v>9</v>
      </c>
      <c r="L282" s="49" t="b">
        <f t="shared" si="4"/>
        <v>0</v>
      </c>
      <c r="M282" s="88">
        <f t="shared" si="5"/>
        <v>0</v>
      </c>
    </row>
    <row r="283" ht="14.25" customHeight="1">
      <c r="A283" s="49" t="s">
        <v>1059</v>
      </c>
      <c r="B283" s="49" t="str">
        <f>IFERROR(__xludf.DUMMYFUNCTION("REGEXEXTRACT(A283,""^cost\.(.*)\.[^.]+\.[^.]+$"")"),"building.guild_video_game_arcade@1")</f>
        <v>building.guild_video_game_arcade@1</v>
      </c>
      <c r="C283" s="49" t="str">
        <f t="array" ref="C283">_xlfn.XLOOKUP(
 B283,
 tblTargets[TargetID],
 tblTargets[DisplayName],
 ""
)</f>
        <v>Guild: Video Game Arcade Lv 1</v>
      </c>
      <c r="D283" s="49" t="str">
        <f t="array" ref="D283">_xlfn.XLOOKUP(
 B283,
 tblTargets[TargetID],
 tblTargets[TargetType],
 ""
)</f>
        <v>BUILDING</v>
      </c>
      <c r="E283" s="49" t="s">
        <v>1060</v>
      </c>
      <c r="F283" s="87">
        <f>IFERROR(__xludf.DUMMYFUNCTION("VALUE(REGEXEXTRACT(A283,""([^.]+)$""))"),1.0)</f>
        <v>1</v>
      </c>
      <c r="G283" s="49">
        <v>500.0</v>
      </c>
      <c r="H283" s="26" t="b">
        <f>COUNTIFS(
 tblCostChecklist[RequirementID],A283,
 tblCostChecklist[PlayerPaid],TRUE
)&gt;0</f>
        <v>0</v>
      </c>
      <c r="I283" s="49">
        <f t="shared" si="1"/>
        <v>9</v>
      </c>
      <c r="J283" s="49">
        <f t="shared" si="2"/>
        <v>0</v>
      </c>
      <c r="K283" s="49">
        <f t="shared" si="3"/>
        <v>9</v>
      </c>
      <c r="L283" s="49" t="b">
        <f t="shared" si="4"/>
        <v>0</v>
      </c>
      <c r="M283" s="88">
        <f t="shared" si="5"/>
        <v>0</v>
      </c>
    </row>
    <row r="284" ht="14.25" customHeight="1">
      <c r="A284" s="49" t="s">
        <v>1075</v>
      </c>
      <c r="B284" s="49" t="str">
        <f>IFERROR(__xludf.DUMMYFUNCTION("REGEXEXTRACT(A284,""^cost\.(.*)\.[^.]+\.[^.]+$"")"),"building.guild_video_game_arcade@1")</f>
        <v>building.guild_video_game_arcade@1</v>
      </c>
      <c r="C284" s="49" t="str">
        <f t="array" ref="C284">_xlfn.XLOOKUP(
 B284,
 tblTargets[TargetID],
 tblTargets[DisplayName],
 ""
)</f>
        <v>Guild: Video Game Arcade Lv 1</v>
      </c>
      <c r="D284" s="49" t="str">
        <f t="array" ref="D284">_xlfn.XLOOKUP(
 B284,
 tblTargets[TargetID],
 tblTargets[TargetType],
 ""
)</f>
        <v>BUILDING</v>
      </c>
      <c r="E284" s="49" t="s">
        <v>1078</v>
      </c>
      <c r="F284" s="87">
        <f>IFERROR(__xludf.DUMMYFUNCTION("VALUE(REGEXEXTRACT(A284,""([^.]+)$""))"),1.0)</f>
        <v>1</v>
      </c>
      <c r="G284" s="49">
        <v>10.0</v>
      </c>
      <c r="H284" s="26" t="b">
        <f>COUNTIFS(
 tblCostChecklist[RequirementID],A284,
 tblCostChecklist[PlayerPaid],TRUE
)&gt;0</f>
        <v>0</v>
      </c>
      <c r="I284" s="49">
        <f t="shared" si="1"/>
        <v>9</v>
      </c>
      <c r="J284" s="49">
        <f t="shared" si="2"/>
        <v>0</v>
      </c>
      <c r="K284" s="49">
        <f t="shared" si="3"/>
        <v>9</v>
      </c>
      <c r="L284" s="49" t="b">
        <f t="shared" si="4"/>
        <v>0</v>
      </c>
      <c r="M284" s="88">
        <f t="shared" si="5"/>
        <v>0</v>
      </c>
    </row>
    <row r="285" ht="14.25" customHeight="1">
      <c r="A285" s="49" t="s">
        <v>1063</v>
      </c>
      <c r="B285" s="49" t="str">
        <f>IFERROR(__xludf.DUMMYFUNCTION("REGEXEXTRACT(A285,""^cost\.(.*)\.[^.]+\.[^.]+$"")"),"building.guild_video_game_arcade@1")</f>
        <v>building.guild_video_game_arcade@1</v>
      </c>
      <c r="C285" s="49" t="str">
        <f t="array" ref="C285">_xlfn.XLOOKUP(
 B285,
 tblTargets[TargetID],
 tblTargets[DisplayName],
 ""
)</f>
        <v>Guild: Video Game Arcade Lv 1</v>
      </c>
      <c r="D285" s="49" t="str">
        <f t="array" ref="D285">_xlfn.XLOOKUP(
 B285,
 tblTargets[TargetID],
 tblTargets[TargetType],
 ""
)</f>
        <v>BUILDING</v>
      </c>
      <c r="E285" s="49" t="s">
        <v>1066</v>
      </c>
      <c r="F285" s="87">
        <f>IFERROR(__xludf.DUMMYFUNCTION("VALUE(REGEXEXTRACT(A285,""([^.]+)$""))"),1.0)</f>
        <v>1</v>
      </c>
      <c r="G285" s="49">
        <v>10.0</v>
      </c>
      <c r="H285" s="26" t="b">
        <f>COUNTIFS(
 tblCostChecklist[RequirementID],A285,
 tblCostChecklist[PlayerPaid],TRUE
)&gt;0</f>
        <v>0</v>
      </c>
      <c r="I285" s="49">
        <f t="shared" si="1"/>
        <v>9</v>
      </c>
      <c r="J285" s="49">
        <f t="shared" si="2"/>
        <v>0</v>
      </c>
      <c r="K285" s="49">
        <f t="shared" si="3"/>
        <v>9</v>
      </c>
      <c r="L285" s="49" t="b">
        <f t="shared" si="4"/>
        <v>0</v>
      </c>
      <c r="M285" s="88">
        <f t="shared" si="5"/>
        <v>0</v>
      </c>
    </row>
    <row r="286" ht="14.25" customHeight="1">
      <c r="A286" s="49" t="s">
        <v>1087</v>
      </c>
      <c r="B286" s="49" t="str">
        <f>IFERROR(__xludf.DUMMYFUNCTION("REGEXEXTRACT(A286,""^cost\.(.*)\.[^.]+\.[^.]+$"")"),"building.guild_video_game_arcade@1")</f>
        <v>building.guild_video_game_arcade@1</v>
      </c>
      <c r="C286" s="49" t="str">
        <f t="array" ref="C286">_xlfn.XLOOKUP(
 B286,
 tblTargets[TargetID],
 tblTargets[DisplayName],
 ""
)</f>
        <v>Guild: Video Game Arcade Lv 1</v>
      </c>
      <c r="D286" s="49" t="str">
        <f t="array" ref="D286">_xlfn.XLOOKUP(
 B286,
 tblTargets[TargetID],
 tblTargets[TargetType],
 ""
)</f>
        <v>BUILDING</v>
      </c>
      <c r="E286" s="49" t="s">
        <v>602</v>
      </c>
      <c r="F286" s="87">
        <f>IFERROR(__xludf.DUMMYFUNCTION("VALUE(REGEXEXTRACT(A286,""([^.]+)$""))"),1.0)</f>
        <v>1</v>
      </c>
      <c r="G286" s="49">
        <v>3.0</v>
      </c>
      <c r="H286" s="26" t="b">
        <f>COUNTIFS(
 tblCostChecklist[RequirementID],A286,
 tblCostChecklist[PlayerPaid],TRUE
)&gt;0</f>
        <v>0</v>
      </c>
      <c r="I286" s="49">
        <f t="shared" si="1"/>
        <v>9</v>
      </c>
      <c r="J286" s="49">
        <f t="shared" si="2"/>
        <v>0</v>
      </c>
      <c r="K286" s="49">
        <f t="shared" si="3"/>
        <v>9</v>
      </c>
      <c r="L286" s="49" t="b">
        <f t="shared" si="4"/>
        <v>0</v>
      </c>
      <c r="M286" s="88">
        <f t="shared" si="5"/>
        <v>0</v>
      </c>
    </row>
    <row r="287" ht="14.25" customHeight="1">
      <c r="A287" s="49" t="s">
        <v>1092</v>
      </c>
      <c r="B287" s="49" t="str">
        <f>IFERROR(__xludf.DUMMYFUNCTION("REGEXEXTRACT(A287,""^cost\.(.*)\.[^.]+\.[^.]+$"")"),"building.guild_video_game_arcade@1")</f>
        <v>building.guild_video_game_arcade@1</v>
      </c>
      <c r="C287" s="49" t="str">
        <f t="array" ref="C287">_xlfn.XLOOKUP(
 B287,
 tblTargets[TargetID],
 tblTargets[DisplayName],
 ""
)</f>
        <v>Guild: Video Game Arcade Lv 1</v>
      </c>
      <c r="D287" s="49" t="str">
        <f t="array" ref="D287">_xlfn.XLOOKUP(
 B287,
 tblTargets[TargetID],
 tblTargets[TargetType],
 ""
)</f>
        <v>BUILDING</v>
      </c>
      <c r="E287" s="49" t="s">
        <v>1095</v>
      </c>
      <c r="F287" s="87">
        <f>IFERROR(__xludf.DUMMYFUNCTION("VALUE(REGEXEXTRACT(A287,""([^.]+)$""))"),1.0)</f>
        <v>1</v>
      </c>
      <c r="G287" s="49">
        <v>2.0</v>
      </c>
      <c r="H287" s="26" t="b">
        <f>COUNTIFS(
 tblCostChecklist[RequirementID],A287,
 tblCostChecklist[PlayerPaid],TRUE
)&gt;0</f>
        <v>0</v>
      </c>
      <c r="I287" s="49">
        <f t="shared" si="1"/>
        <v>9</v>
      </c>
      <c r="J287" s="49">
        <f t="shared" si="2"/>
        <v>0</v>
      </c>
      <c r="K287" s="49">
        <f t="shared" si="3"/>
        <v>9</v>
      </c>
      <c r="L287" s="49" t="b">
        <f t="shared" si="4"/>
        <v>0</v>
      </c>
      <c r="M287" s="88">
        <f t="shared" si="5"/>
        <v>0</v>
      </c>
    </row>
    <row r="288" ht="14.25" customHeight="1">
      <c r="A288" s="49" t="s">
        <v>1081</v>
      </c>
      <c r="B288" s="49" t="str">
        <f>IFERROR(__xludf.DUMMYFUNCTION("REGEXEXTRACT(A288,""^cost\.(.*)\.[^.]+\.[^.]+$"")"),"building.guild_video_game_arcade@1")</f>
        <v>building.guild_video_game_arcade@1</v>
      </c>
      <c r="C288" s="49" t="str">
        <f t="array" ref="C288">_xlfn.XLOOKUP(
 B288,
 tblTargets[TargetID],
 tblTargets[DisplayName],
 ""
)</f>
        <v>Guild: Video Game Arcade Lv 1</v>
      </c>
      <c r="D288" s="49" t="str">
        <f t="array" ref="D288">_xlfn.XLOOKUP(
 B288,
 tblTargets[TargetID],
 tblTargets[TargetType],
 ""
)</f>
        <v>BUILDING</v>
      </c>
      <c r="E288" s="49" t="s">
        <v>1083</v>
      </c>
      <c r="F288" s="87">
        <f>IFERROR(__xludf.DUMMYFUNCTION("VALUE(REGEXEXTRACT(A288,""([^.]+)$""))"),1.0)</f>
        <v>1</v>
      </c>
      <c r="G288" s="49">
        <v>40.0</v>
      </c>
      <c r="H288" s="26" t="b">
        <f>COUNTIFS(
 tblCostChecklist[RequirementID],A288,
 tblCostChecklist[PlayerPaid],TRUE
)&gt;0</f>
        <v>0</v>
      </c>
      <c r="I288" s="49">
        <f t="shared" si="1"/>
        <v>9</v>
      </c>
      <c r="J288" s="49">
        <f t="shared" si="2"/>
        <v>0</v>
      </c>
      <c r="K288" s="49">
        <f t="shared" si="3"/>
        <v>9</v>
      </c>
      <c r="L288" s="49" t="b">
        <f t="shared" si="4"/>
        <v>0</v>
      </c>
      <c r="M288" s="88">
        <f t="shared" si="5"/>
        <v>0</v>
      </c>
    </row>
    <row r="289" ht="14.25" customHeight="1">
      <c r="A289" s="49" t="s">
        <v>1069</v>
      </c>
      <c r="B289" s="49" t="str">
        <f>IFERROR(__xludf.DUMMYFUNCTION("REGEXEXTRACT(A289,""^cost\.(.*)\.[^.]+\.[^.]+$"")"),"building.guild_video_game_arcade@1")</f>
        <v>building.guild_video_game_arcade@1</v>
      </c>
      <c r="C289" s="49" t="str">
        <f t="array" ref="C289">_xlfn.XLOOKUP(
 B289,
 tblTargets[TargetID],
 tblTargets[DisplayName],
 ""
)</f>
        <v>Guild: Video Game Arcade Lv 1</v>
      </c>
      <c r="D289" s="49" t="str">
        <f t="array" ref="D289">_xlfn.XLOOKUP(
 B289,
 tblTargets[TargetID],
 tblTargets[TargetType],
 ""
)</f>
        <v>BUILDING</v>
      </c>
      <c r="E289" s="49" t="s">
        <v>1072</v>
      </c>
      <c r="F289" s="87">
        <f>IFERROR(__xludf.DUMMYFUNCTION("VALUE(REGEXEXTRACT(A289,""([^.]+)$""))"),1.0)</f>
        <v>1</v>
      </c>
      <c r="G289" s="49">
        <v>40.0</v>
      </c>
      <c r="H289" s="26" t="b">
        <f>COUNTIFS(
 tblCostChecklist[RequirementID],A289,
 tblCostChecklist[PlayerPaid],TRUE
)&gt;0</f>
        <v>0</v>
      </c>
      <c r="I289" s="49">
        <f t="shared" si="1"/>
        <v>9</v>
      </c>
      <c r="J289" s="49">
        <f t="shared" si="2"/>
        <v>0</v>
      </c>
      <c r="K289" s="49">
        <f t="shared" si="3"/>
        <v>9</v>
      </c>
      <c r="L289" s="49" t="b">
        <f t="shared" si="4"/>
        <v>0</v>
      </c>
      <c r="M289" s="88">
        <f t="shared" si="5"/>
        <v>0</v>
      </c>
    </row>
    <row r="290" ht="14.25" customHeight="1">
      <c r="A290" s="49" t="s">
        <v>1052</v>
      </c>
      <c r="B290" s="49" t="str">
        <f>IFERROR(__xludf.DUMMYFUNCTION("REGEXEXTRACT(A290,""^cost\.(.*)\.[^.]+\.[^.]+$"")"),"building.guild_video_game_arcade@1")</f>
        <v>building.guild_video_game_arcade@1</v>
      </c>
      <c r="C290" s="49" t="str">
        <f t="array" ref="C290">_xlfn.XLOOKUP(
 B290,
 tblTargets[TargetID],
 tblTargets[DisplayName],
 ""
)</f>
        <v>Guild: Video Game Arcade Lv 1</v>
      </c>
      <c r="D290" s="49" t="str">
        <f t="array" ref="D290">_xlfn.XLOOKUP(
 B290,
 tblTargets[TargetID],
 tblTargets[TargetType],
 ""
)</f>
        <v>BUILDING</v>
      </c>
      <c r="E290" s="49" t="s">
        <v>1055</v>
      </c>
      <c r="F290" s="87">
        <f>IFERROR(__xludf.DUMMYFUNCTION("VALUE(REGEXEXTRACT(A290,""([^.]+)$""))"),1.0)</f>
        <v>1</v>
      </c>
      <c r="G290" s="49">
        <v>30.0</v>
      </c>
      <c r="H290" s="26" t="b">
        <f>COUNTIFS(
 tblCostChecklist[RequirementID],A290,
 tblCostChecklist[PlayerPaid],TRUE
)&gt;0</f>
        <v>0</v>
      </c>
      <c r="I290" s="49">
        <f t="shared" si="1"/>
        <v>9</v>
      </c>
      <c r="J290" s="49">
        <f t="shared" si="2"/>
        <v>0</v>
      </c>
      <c r="K290" s="49">
        <f t="shared" si="3"/>
        <v>9</v>
      </c>
      <c r="L290" s="49" t="b">
        <f t="shared" si="4"/>
        <v>0</v>
      </c>
      <c r="M290" s="88">
        <f t="shared" si="5"/>
        <v>0</v>
      </c>
    </row>
    <row r="291" ht="14.25" customHeight="1">
      <c r="A291" s="49" t="s">
        <v>1390</v>
      </c>
      <c r="B291" s="49" t="str">
        <f>IFERROR(__xludf.DUMMYFUNCTION("REGEXEXTRACT(A291,""^cost\.(.*)\.[^.]+\.[^.]+$"")"),"building.laboratory@1")</f>
        <v>building.laboratory@1</v>
      </c>
      <c r="C291" s="49" t="str">
        <f t="array" ref="C291">_xlfn.XLOOKUP(
 B291,
 tblTargets[TargetID],
 tblTargets[DisplayName],
 ""
)</f>
        <v>Laboratory Lv 1</v>
      </c>
      <c r="D291" s="49" t="str">
        <f t="array" ref="D291">_xlfn.XLOOKUP(
 B291,
 tblTargets[TargetID],
 tblTargets[TargetType],
 ""
)</f>
        <v>BUILDING</v>
      </c>
      <c r="E291" s="49" t="s">
        <v>6</v>
      </c>
      <c r="F291" s="87">
        <f>IFERROR(__xludf.DUMMYFUNCTION("VALUE(REGEXEXTRACT(A291,""([^.]+)$""))"),1.0)</f>
        <v>1</v>
      </c>
      <c r="G291" s="49">
        <v>6.0</v>
      </c>
      <c r="H291" s="26" t="b">
        <f>COUNTIFS(
 tblCostChecklist[RequirementID],A291,
 tblCostChecklist[PlayerPaid],TRUE
)&gt;0</f>
        <v>0</v>
      </c>
      <c r="I291" s="49">
        <f t="shared" si="1"/>
        <v>9</v>
      </c>
      <c r="J291" s="49">
        <f t="shared" si="2"/>
        <v>0</v>
      </c>
      <c r="K291" s="49">
        <f t="shared" si="3"/>
        <v>9</v>
      </c>
      <c r="L291" s="49" t="b">
        <f t="shared" si="4"/>
        <v>0</v>
      </c>
      <c r="M291" s="88">
        <f t="shared" si="5"/>
        <v>0</v>
      </c>
    </row>
    <row r="292" ht="14.25" customHeight="1">
      <c r="A292" s="49" t="s">
        <v>1351</v>
      </c>
      <c r="B292" s="49" t="str">
        <f>IFERROR(__xludf.DUMMYFUNCTION("REGEXEXTRACT(A292,""^cost\.(.*)\.[^.]+\.[^.]+$"")"),"building.laboratory@1")</f>
        <v>building.laboratory@1</v>
      </c>
      <c r="C292" s="49" t="str">
        <f t="array" ref="C292">_xlfn.XLOOKUP(
 B292,
 tblTargets[TargetID],
 tblTargets[DisplayName],
 ""
)</f>
        <v>Laboratory Lv 1</v>
      </c>
      <c r="D292" s="49" t="str">
        <f t="array" ref="D292">_xlfn.XLOOKUP(
 B292,
 tblTargets[TargetID],
 tblTargets[TargetType],
 ""
)</f>
        <v>BUILDING</v>
      </c>
      <c r="E292" s="49" t="s">
        <v>119</v>
      </c>
      <c r="F292" s="87">
        <f>IFERROR(__xludf.DUMMYFUNCTION("VALUE(REGEXEXTRACT(A292,""([^.]+)$""))"),1.0)</f>
        <v>1</v>
      </c>
      <c r="G292" s="49">
        <v>1000.0</v>
      </c>
      <c r="H292" s="26" t="b">
        <f>COUNTIFS(
 tblCostChecklist[RequirementID],A292,
 tblCostChecklist[PlayerPaid],TRUE
)&gt;0</f>
        <v>0</v>
      </c>
      <c r="I292" s="49">
        <f t="shared" si="1"/>
        <v>9</v>
      </c>
      <c r="J292" s="49">
        <f t="shared" si="2"/>
        <v>0</v>
      </c>
      <c r="K292" s="49">
        <f t="shared" si="3"/>
        <v>9</v>
      </c>
      <c r="L292" s="49" t="b">
        <f t="shared" si="4"/>
        <v>0</v>
      </c>
      <c r="M292" s="88">
        <f t="shared" si="5"/>
        <v>0</v>
      </c>
    </row>
    <row r="293" ht="14.25" customHeight="1">
      <c r="A293" s="49" t="s">
        <v>1408</v>
      </c>
      <c r="B293" s="49" t="str">
        <f>IFERROR(__xludf.DUMMYFUNCTION("REGEXEXTRACT(A293,""^cost\.(.*)\.[^.]+\.[^.]+$"")"),"building.laboratory@1")</f>
        <v>building.laboratory@1</v>
      </c>
      <c r="C293" s="49" t="str">
        <f t="array" ref="C293">_xlfn.XLOOKUP(
 B293,
 tblTargets[TargetID],
 tblTargets[DisplayName],
 ""
)</f>
        <v>Laboratory Lv 1</v>
      </c>
      <c r="D293" s="49" t="str">
        <f t="array" ref="D293">_xlfn.XLOOKUP(
 B293,
 tblTargets[TargetID],
 tblTargets[TargetType],
 ""
)</f>
        <v>BUILDING</v>
      </c>
      <c r="E293" s="49" t="s">
        <v>237</v>
      </c>
      <c r="F293" s="87">
        <f>IFERROR(__xludf.DUMMYFUNCTION("VALUE(REGEXEXTRACT(A293,""([^.]+)$""))"),1.0)</f>
        <v>1</v>
      </c>
      <c r="G293" s="49">
        <v>500.0</v>
      </c>
      <c r="H293" s="26" t="b">
        <f>COUNTIFS(
 tblCostChecklist[RequirementID],A293,
 tblCostChecklist[PlayerPaid],TRUE
)&gt;0</f>
        <v>0</v>
      </c>
      <c r="I293" s="49">
        <f t="shared" si="1"/>
        <v>9</v>
      </c>
      <c r="J293" s="49">
        <f t="shared" si="2"/>
        <v>0</v>
      </c>
      <c r="K293" s="49">
        <f t="shared" si="3"/>
        <v>9</v>
      </c>
      <c r="L293" s="49" t="b">
        <f t="shared" si="4"/>
        <v>0</v>
      </c>
      <c r="M293" s="88">
        <f t="shared" si="5"/>
        <v>0</v>
      </c>
    </row>
    <row r="294" ht="14.25" customHeight="1">
      <c r="A294" s="49" t="s">
        <v>1399</v>
      </c>
      <c r="B294" s="49" t="str">
        <f>IFERROR(__xludf.DUMMYFUNCTION("REGEXEXTRACT(A294,""^cost\.(.*)\.[^.]+\.[^.]+$"")"),"building.laboratory@1")</f>
        <v>building.laboratory@1</v>
      </c>
      <c r="C294" s="49" t="str">
        <f t="array" ref="C294">_xlfn.XLOOKUP(
 B294,
 tblTargets[TargetID],
 tblTargets[DisplayName],
 ""
)</f>
        <v>Laboratory Lv 1</v>
      </c>
      <c r="D294" s="49" t="str">
        <f t="array" ref="D294">_xlfn.XLOOKUP(
 B294,
 tblTargets[TargetID],
 tblTargets[TargetType],
 ""
)</f>
        <v>BUILDING</v>
      </c>
      <c r="E294" s="49" t="s">
        <v>392</v>
      </c>
      <c r="F294" s="87">
        <f>IFERROR(__xludf.DUMMYFUNCTION("VALUE(REGEXEXTRACT(A294,""([^.]+)$""))"),1.0)</f>
        <v>1</v>
      </c>
      <c r="G294" s="49">
        <v>300.0</v>
      </c>
      <c r="H294" s="26" t="b">
        <f>COUNTIFS(
 tblCostChecklist[RequirementID],A294,
 tblCostChecklist[PlayerPaid],TRUE
)&gt;0</f>
        <v>0</v>
      </c>
      <c r="I294" s="49">
        <f t="shared" si="1"/>
        <v>9</v>
      </c>
      <c r="J294" s="49">
        <f t="shared" si="2"/>
        <v>0</v>
      </c>
      <c r="K294" s="49">
        <f t="shared" si="3"/>
        <v>9</v>
      </c>
      <c r="L294" s="49" t="b">
        <f t="shared" si="4"/>
        <v>0</v>
      </c>
      <c r="M294" s="88">
        <f t="shared" si="5"/>
        <v>0</v>
      </c>
    </row>
    <row r="295" ht="14.25" customHeight="1">
      <c r="A295" s="49" t="s">
        <v>1362</v>
      </c>
      <c r="B295" s="49" t="str">
        <f>IFERROR(__xludf.DUMMYFUNCTION("REGEXEXTRACT(A295,""^cost\.(.*)\.[^.]+\.[^.]+$"")"),"building.laboratory@1")</f>
        <v>building.laboratory@1</v>
      </c>
      <c r="C295" s="49" t="str">
        <f t="array" ref="C295">_xlfn.XLOOKUP(
 B295,
 tblTargets[TargetID],
 tblTargets[DisplayName],
 ""
)</f>
        <v>Laboratory Lv 1</v>
      </c>
      <c r="D295" s="49" t="str">
        <f t="array" ref="D295">_xlfn.XLOOKUP(
 B295,
 tblTargets[TargetID],
 tblTargets[TargetType],
 ""
)</f>
        <v>BUILDING</v>
      </c>
      <c r="E295" s="49" t="s">
        <v>360</v>
      </c>
      <c r="F295" s="87">
        <f>IFERROR(__xludf.DUMMYFUNCTION("VALUE(REGEXEXTRACT(A295,""([^.]+)$""))"),1.0)</f>
        <v>1</v>
      </c>
      <c r="G295" s="49">
        <v>50.0</v>
      </c>
      <c r="H295" s="26" t="b">
        <f>COUNTIFS(
 tblCostChecklist[RequirementID],A295,
 tblCostChecklist[PlayerPaid],TRUE
)&gt;0</f>
        <v>0</v>
      </c>
      <c r="I295" s="49">
        <f t="shared" si="1"/>
        <v>9</v>
      </c>
      <c r="J295" s="49">
        <f t="shared" si="2"/>
        <v>0</v>
      </c>
      <c r="K295" s="49">
        <f t="shared" si="3"/>
        <v>9</v>
      </c>
      <c r="L295" s="49" t="b">
        <f t="shared" si="4"/>
        <v>0</v>
      </c>
      <c r="M295" s="88">
        <f t="shared" si="5"/>
        <v>0</v>
      </c>
    </row>
    <row r="296" ht="14.25" customHeight="1">
      <c r="A296" s="49" t="s">
        <v>1331</v>
      </c>
      <c r="B296" s="49" t="str">
        <f>IFERROR(__xludf.DUMMYFUNCTION("REGEXEXTRACT(A296,""^cost\.(.*)\.[^.]+\.[^.]+$"")"),"building.laboratory@1")</f>
        <v>building.laboratory@1</v>
      </c>
      <c r="C296" s="49" t="str">
        <f t="array" ref="C296">_xlfn.XLOOKUP(
 B296,
 tblTargets[TargetID],
 tblTargets[DisplayName],
 ""
)</f>
        <v>Laboratory Lv 1</v>
      </c>
      <c r="D296" s="49" t="str">
        <f t="array" ref="D296">_xlfn.XLOOKUP(
 B296,
 tblTargets[TargetID],
 tblTargets[TargetType],
 ""
)</f>
        <v>BUILDING</v>
      </c>
      <c r="E296" s="49" t="s">
        <v>113</v>
      </c>
      <c r="F296" s="87">
        <f>IFERROR(__xludf.DUMMYFUNCTION("VALUE(REGEXEXTRACT(A296,""([^.]+)$""))"),1.0)</f>
        <v>1</v>
      </c>
      <c r="G296" s="49">
        <v>100.0</v>
      </c>
      <c r="H296" s="26" t="b">
        <f>COUNTIFS(
 tblCostChecklist[RequirementID],A296,
 tblCostChecklist[PlayerPaid],TRUE
)&gt;0</f>
        <v>0</v>
      </c>
      <c r="I296" s="49">
        <f t="shared" si="1"/>
        <v>9</v>
      </c>
      <c r="J296" s="49">
        <f t="shared" si="2"/>
        <v>0</v>
      </c>
      <c r="K296" s="49">
        <f t="shared" si="3"/>
        <v>9</v>
      </c>
      <c r="L296" s="49" t="b">
        <f t="shared" si="4"/>
        <v>0</v>
      </c>
      <c r="M296" s="88">
        <f t="shared" si="5"/>
        <v>0</v>
      </c>
    </row>
    <row r="297" ht="14.25" customHeight="1">
      <c r="A297" s="49" t="s">
        <v>1381</v>
      </c>
      <c r="B297" s="49" t="str">
        <f>IFERROR(__xludf.DUMMYFUNCTION("REGEXEXTRACT(A297,""^cost\.(.*)\.[^.]+\.[^.]+$"")"),"building.laboratory@1")</f>
        <v>building.laboratory@1</v>
      </c>
      <c r="C297" s="49" t="str">
        <f t="array" ref="C297">_xlfn.XLOOKUP(
 B297,
 tblTargets[TargetID],
 tblTargets[DisplayName],
 ""
)</f>
        <v>Laboratory Lv 1</v>
      </c>
      <c r="D297" s="49" t="str">
        <f t="array" ref="D297">_xlfn.XLOOKUP(
 B297,
 tblTargets[TargetID],
 tblTargets[TargetType],
 ""
)</f>
        <v>BUILDING</v>
      </c>
      <c r="E297" s="49" t="s">
        <v>1078</v>
      </c>
      <c r="F297" s="87">
        <f>IFERROR(__xludf.DUMMYFUNCTION("VALUE(REGEXEXTRACT(A297,""([^.]+)$""))"),1.0)</f>
        <v>1</v>
      </c>
      <c r="G297" s="49">
        <v>30.0</v>
      </c>
      <c r="H297" s="26" t="b">
        <f>COUNTIFS(
 tblCostChecklist[RequirementID],A297,
 tblCostChecklist[PlayerPaid],TRUE
)&gt;0</f>
        <v>0</v>
      </c>
      <c r="I297" s="49">
        <f t="shared" si="1"/>
        <v>9</v>
      </c>
      <c r="J297" s="49">
        <f t="shared" si="2"/>
        <v>0</v>
      </c>
      <c r="K297" s="49">
        <f t="shared" si="3"/>
        <v>9</v>
      </c>
      <c r="L297" s="49" t="b">
        <f t="shared" si="4"/>
        <v>0</v>
      </c>
      <c r="M297" s="88">
        <f t="shared" si="5"/>
        <v>0</v>
      </c>
    </row>
    <row r="298" ht="14.25" customHeight="1">
      <c r="A298" s="49" t="s">
        <v>1322</v>
      </c>
      <c r="B298" s="49" t="str">
        <f>IFERROR(__xludf.DUMMYFUNCTION("REGEXEXTRACT(A298,""^cost\.(.*)\.[^.]+\.[^.]+$"")"),"building.laboratory@1")</f>
        <v>building.laboratory@1</v>
      </c>
      <c r="C298" s="49" t="str">
        <f t="array" ref="C298">_xlfn.XLOOKUP(
 B298,
 tblTargets[TargetID],
 tblTargets[DisplayName],
 ""
)</f>
        <v>Laboratory Lv 1</v>
      </c>
      <c r="D298" s="49" t="str">
        <f t="array" ref="D298">_xlfn.XLOOKUP(
 B298,
 tblTargets[TargetID],
 tblTargets[TargetType],
 ""
)</f>
        <v>BUILDING</v>
      </c>
      <c r="E298" s="49" t="s">
        <v>1055</v>
      </c>
      <c r="F298" s="87">
        <f>IFERROR(__xludf.DUMMYFUNCTION("VALUE(REGEXEXTRACT(A298,""([^.]+)$""))"),1.0)</f>
        <v>1</v>
      </c>
      <c r="G298" s="49">
        <v>40.0</v>
      </c>
      <c r="H298" s="26" t="b">
        <f>COUNTIFS(
 tblCostChecklist[RequirementID],A298,
 tblCostChecklist[PlayerPaid],TRUE
)&gt;0</f>
        <v>0</v>
      </c>
      <c r="I298" s="49">
        <f t="shared" si="1"/>
        <v>9</v>
      </c>
      <c r="J298" s="49">
        <f t="shared" si="2"/>
        <v>0</v>
      </c>
      <c r="K298" s="49">
        <f t="shared" si="3"/>
        <v>9</v>
      </c>
      <c r="L298" s="49" t="b">
        <f t="shared" si="4"/>
        <v>0</v>
      </c>
      <c r="M298" s="88">
        <f t="shared" si="5"/>
        <v>0</v>
      </c>
    </row>
    <row r="299" ht="14.25" customHeight="1">
      <c r="A299" s="49" t="s">
        <v>1371</v>
      </c>
      <c r="B299" s="49" t="str">
        <f>IFERROR(__xludf.DUMMYFUNCTION("REGEXEXTRACT(A299,""^cost\.(.*)\.[^.]+\.[^.]+$"")"),"building.laboratory@1")</f>
        <v>building.laboratory@1</v>
      </c>
      <c r="C299" s="49" t="str">
        <f t="array" ref="C299">_xlfn.XLOOKUP(
 B299,
 tblTargets[TargetID],
 tblTargets[DisplayName],
 ""
)</f>
        <v>Laboratory Lv 1</v>
      </c>
      <c r="D299" s="49" t="str">
        <f t="array" ref="D299">_xlfn.XLOOKUP(
 B299,
 tblTargets[TargetID],
 tblTargets[TargetType],
 ""
)</f>
        <v>BUILDING</v>
      </c>
      <c r="E299" s="49" t="s">
        <v>1375</v>
      </c>
      <c r="F299" s="87">
        <f>IFERROR(__xludf.DUMMYFUNCTION("VALUE(REGEXEXTRACT(A299,""([^.]+)$""))"),1.0)</f>
        <v>1</v>
      </c>
      <c r="G299" s="49">
        <v>2.0</v>
      </c>
      <c r="H299" s="26" t="b">
        <f>COUNTIFS(
 tblCostChecklist[RequirementID],A299,
 tblCostChecklist[PlayerPaid],TRUE
)&gt;0</f>
        <v>0</v>
      </c>
      <c r="I299" s="49">
        <f t="shared" si="1"/>
        <v>9</v>
      </c>
      <c r="J299" s="49">
        <f t="shared" si="2"/>
        <v>0</v>
      </c>
      <c r="K299" s="49">
        <f t="shared" si="3"/>
        <v>9</v>
      </c>
      <c r="L299" s="49" t="b">
        <f t="shared" si="4"/>
        <v>0</v>
      </c>
      <c r="M299" s="88">
        <f t="shared" si="5"/>
        <v>0</v>
      </c>
    </row>
    <row r="300" ht="14.25" customHeight="1">
      <c r="A300" s="49" t="s">
        <v>1461</v>
      </c>
      <c r="B300" s="49" t="str">
        <f>IFERROR(__xludf.DUMMYFUNCTION("REGEXEXTRACT(A300,""^cost\.(.*)\.[^.]+\.[^.]+$"")"),"building.laboratory@2")</f>
        <v>building.laboratory@2</v>
      </c>
      <c r="C300" s="49" t="str">
        <f t="array" ref="C300">_xlfn.XLOOKUP(
 B300,
 tblTargets[TargetID],
 tblTargets[DisplayName],
 ""
)</f>
        <v>Laboratory Lv 2</v>
      </c>
      <c r="D300" s="49" t="str">
        <f t="array" ref="D300">_xlfn.XLOOKUP(
 B300,
 tblTargets[TargetID],
 tblTargets[TargetType],
 ""
)</f>
        <v>BUILDING</v>
      </c>
      <c r="E300" s="49" t="s">
        <v>6</v>
      </c>
      <c r="F300" s="87">
        <f>IFERROR(__xludf.DUMMYFUNCTION("VALUE(REGEXEXTRACT(A300,""([^.]+)$""))"),1.0)</f>
        <v>1</v>
      </c>
      <c r="G300" s="49">
        <v>7.0</v>
      </c>
      <c r="H300" s="26" t="b">
        <f>COUNTIFS(
 tblCostChecklist[RequirementID],A300,
 tblCostChecklist[PlayerPaid],TRUE
)&gt;0</f>
        <v>0</v>
      </c>
      <c r="I300" s="49">
        <f t="shared" si="1"/>
        <v>9</v>
      </c>
      <c r="J300" s="49">
        <f t="shared" si="2"/>
        <v>0</v>
      </c>
      <c r="K300" s="49">
        <f t="shared" si="3"/>
        <v>9</v>
      </c>
      <c r="L300" s="49" t="b">
        <f t="shared" si="4"/>
        <v>0</v>
      </c>
      <c r="M300" s="88">
        <f t="shared" si="5"/>
        <v>0</v>
      </c>
    </row>
    <row r="301" ht="14.25" customHeight="1">
      <c r="A301" s="49" t="s">
        <v>1428</v>
      </c>
      <c r="B301" s="49" t="str">
        <f>IFERROR(__xludf.DUMMYFUNCTION("REGEXEXTRACT(A301,""^cost\.(.*)\.[^.]+\.[^.]+$"")"),"building.laboratory@2")</f>
        <v>building.laboratory@2</v>
      </c>
      <c r="C301" s="49" t="str">
        <f t="array" ref="C301">_xlfn.XLOOKUP(
 B301,
 tblTargets[TargetID],
 tblTargets[DisplayName],
 ""
)</f>
        <v>Laboratory Lv 2</v>
      </c>
      <c r="D301" s="49" t="str">
        <f t="array" ref="D301">_xlfn.XLOOKUP(
 B301,
 tblTargets[TargetID],
 tblTargets[TargetType],
 ""
)</f>
        <v>BUILDING</v>
      </c>
      <c r="E301" s="49" t="s">
        <v>119</v>
      </c>
      <c r="F301" s="87">
        <f>IFERROR(__xludf.DUMMYFUNCTION("VALUE(REGEXEXTRACT(A301,""([^.]+)$""))"),1.0)</f>
        <v>1</v>
      </c>
      <c r="G301" s="49">
        <v>1000.0</v>
      </c>
      <c r="H301" s="26" t="b">
        <f>COUNTIFS(
 tblCostChecklist[RequirementID],A301,
 tblCostChecklist[PlayerPaid],TRUE
)&gt;0</f>
        <v>0</v>
      </c>
      <c r="I301" s="49">
        <f t="shared" si="1"/>
        <v>9</v>
      </c>
      <c r="J301" s="49">
        <f t="shared" si="2"/>
        <v>0</v>
      </c>
      <c r="K301" s="49">
        <f t="shared" si="3"/>
        <v>9</v>
      </c>
      <c r="L301" s="49" t="b">
        <f t="shared" si="4"/>
        <v>0</v>
      </c>
      <c r="M301" s="88">
        <f t="shared" si="5"/>
        <v>0</v>
      </c>
    </row>
    <row r="302" ht="14.25" customHeight="1">
      <c r="A302" s="49" t="s">
        <v>1475</v>
      </c>
      <c r="B302" s="49" t="str">
        <f>IFERROR(__xludf.DUMMYFUNCTION("REGEXEXTRACT(A302,""^cost\.(.*)\.[^.]+\.[^.]+$"")"),"building.laboratory@2")</f>
        <v>building.laboratory@2</v>
      </c>
      <c r="C302" s="49" t="str">
        <f t="array" ref="C302">_xlfn.XLOOKUP(
 B302,
 tblTargets[TargetID],
 tblTargets[DisplayName],
 ""
)</f>
        <v>Laboratory Lv 2</v>
      </c>
      <c r="D302" s="49" t="str">
        <f t="array" ref="D302">_xlfn.XLOOKUP(
 B302,
 tblTargets[TargetID],
 tblTargets[TargetType],
 ""
)</f>
        <v>BUILDING</v>
      </c>
      <c r="E302" s="49" t="s">
        <v>237</v>
      </c>
      <c r="F302" s="87">
        <f>IFERROR(__xludf.DUMMYFUNCTION("VALUE(REGEXEXTRACT(A302,""([^.]+)$""))"),1.0)</f>
        <v>1</v>
      </c>
      <c r="G302" s="49">
        <v>600.0</v>
      </c>
      <c r="H302" s="26" t="b">
        <f>COUNTIFS(
 tblCostChecklist[RequirementID],A302,
 tblCostChecklist[PlayerPaid],TRUE
)&gt;0</f>
        <v>0</v>
      </c>
      <c r="I302" s="49">
        <f t="shared" si="1"/>
        <v>9</v>
      </c>
      <c r="J302" s="49">
        <f t="shared" si="2"/>
        <v>0</v>
      </c>
      <c r="K302" s="49">
        <f t="shared" si="3"/>
        <v>9</v>
      </c>
      <c r="L302" s="49" t="b">
        <f t="shared" si="4"/>
        <v>0</v>
      </c>
      <c r="M302" s="88">
        <f t="shared" si="5"/>
        <v>0</v>
      </c>
    </row>
    <row r="303" ht="14.25" customHeight="1">
      <c r="A303" s="49" t="s">
        <v>1468</v>
      </c>
      <c r="B303" s="49" t="str">
        <f>IFERROR(__xludf.DUMMYFUNCTION("REGEXEXTRACT(A303,""^cost\.(.*)\.[^.]+\.[^.]+$"")"),"building.laboratory@2")</f>
        <v>building.laboratory@2</v>
      </c>
      <c r="C303" s="49" t="str">
        <f t="array" ref="C303">_xlfn.XLOOKUP(
 B303,
 tblTargets[TargetID],
 tblTargets[DisplayName],
 ""
)</f>
        <v>Laboratory Lv 2</v>
      </c>
      <c r="D303" s="49" t="str">
        <f t="array" ref="D303">_xlfn.XLOOKUP(
 B303,
 tblTargets[TargetID],
 tblTargets[TargetType],
 ""
)</f>
        <v>BUILDING</v>
      </c>
      <c r="E303" s="49" t="s">
        <v>392</v>
      </c>
      <c r="F303" s="87">
        <f>IFERROR(__xludf.DUMMYFUNCTION("VALUE(REGEXEXTRACT(A303,""([^.]+)$""))"),1.0)</f>
        <v>1</v>
      </c>
      <c r="G303" s="49">
        <v>400.0</v>
      </c>
      <c r="H303" s="26" t="b">
        <f>COUNTIFS(
 tblCostChecklist[RequirementID],A303,
 tblCostChecklist[PlayerPaid],TRUE
)&gt;0</f>
        <v>0</v>
      </c>
      <c r="I303" s="49">
        <f t="shared" si="1"/>
        <v>9</v>
      </c>
      <c r="J303" s="49">
        <f t="shared" si="2"/>
        <v>0</v>
      </c>
      <c r="K303" s="49">
        <f t="shared" si="3"/>
        <v>9</v>
      </c>
      <c r="L303" s="49" t="b">
        <f t="shared" si="4"/>
        <v>0</v>
      </c>
      <c r="M303" s="88">
        <f t="shared" si="5"/>
        <v>0</v>
      </c>
    </row>
    <row r="304" ht="14.25" customHeight="1">
      <c r="A304" s="49" t="s">
        <v>1437</v>
      </c>
      <c r="B304" s="49" t="str">
        <f>IFERROR(__xludf.DUMMYFUNCTION("REGEXEXTRACT(A304,""^cost\.(.*)\.[^.]+\.[^.]+$"")"),"building.laboratory@2")</f>
        <v>building.laboratory@2</v>
      </c>
      <c r="C304" s="49" t="str">
        <f t="array" ref="C304">_xlfn.XLOOKUP(
 B304,
 tblTargets[TargetID],
 tblTargets[DisplayName],
 ""
)</f>
        <v>Laboratory Lv 2</v>
      </c>
      <c r="D304" s="49" t="str">
        <f t="array" ref="D304">_xlfn.XLOOKUP(
 B304,
 tblTargets[TargetID],
 tblTargets[TargetType],
 ""
)</f>
        <v>BUILDING</v>
      </c>
      <c r="E304" s="49" t="s">
        <v>360</v>
      </c>
      <c r="F304" s="87">
        <f>IFERROR(__xludf.DUMMYFUNCTION("VALUE(REGEXEXTRACT(A304,""([^.]+)$""))"),1.0)</f>
        <v>1</v>
      </c>
      <c r="G304" s="49">
        <v>70.0</v>
      </c>
      <c r="H304" s="26" t="b">
        <f>COUNTIFS(
 tblCostChecklist[RequirementID],A304,
 tblCostChecklist[PlayerPaid],TRUE
)&gt;0</f>
        <v>0</v>
      </c>
      <c r="I304" s="49">
        <f t="shared" si="1"/>
        <v>9</v>
      </c>
      <c r="J304" s="49">
        <f t="shared" si="2"/>
        <v>0</v>
      </c>
      <c r="K304" s="49">
        <f t="shared" si="3"/>
        <v>9</v>
      </c>
      <c r="L304" s="49" t="b">
        <f t="shared" si="4"/>
        <v>0</v>
      </c>
      <c r="M304" s="88">
        <f t="shared" si="5"/>
        <v>0</v>
      </c>
    </row>
    <row r="305" ht="14.25" customHeight="1">
      <c r="A305" s="49" t="s">
        <v>1453</v>
      </c>
      <c r="B305" s="49" t="str">
        <f>IFERROR(__xludf.DUMMYFUNCTION("REGEXEXTRACT(A305,""^cost\.(.*)\.[^.]+\.[^.]+$"")"),"building.laboratory@2")</f>
        <v>building.laboratory@2</v>
      </c>
      <c r="C305" s="49" t="str">
        <f t="array" ref="C305">_xlfn.XLOOKUP(
 B305,
 tblTargets[TargetID],
 tblTargets[DisplayName],
 ""
)</f>
        <v>Laboratory Lv 2</v>
      </c>
      <c r="D305" s="49" t="str">
        <f t="array" ref="D305">_xlfn.XLOOKUP(
 B305,
 tblTargets[TargetID],
 tblTargets[TargetType],
 ""
)</f>
        <v>BUILDING</v>
      </c>
      <c r="E305" s="49" t="s">
        <v>1456</v>
      </c>
      <c r="F305" s="87">
        <f>IFERROR(__xludf.DUMMYFUNCTION("VALUE(REGEXEXTRACT(A305,""([^.]+)$""))"),1.0)</f>
        <v>1</v>
      </c>
      <c r="G305" s="49">
        <v>30.0</v>
      </c>
      <c r="H305" s="26" t="b">
        <f>COUNTIFS(
 tblCostChecklist[RequirementID],A305,
 tblCostChecklist[PlayerPaid],TRUE
)&gt;0</f>
        <v>0</v>
      </c>
      <c r="I305" s="49">
        <f t="shared" si="1"/>
        <v>9</v>
      </c>
      <c r="J305" s="49">
        <f t="shared" si="2"/>
        <v>0</v>
      </c>
      <c r="K305" s="49">
        <f t="shared" si="3"/>
        <v>9</v>
      </c>
      <c r="L305" s="49" t="b">
        <f t="shared" si="4"/>
        <v>0</v>
      </c>
      <c r="M305" s="88">
        <f t="shared" si="5"/>
        <v>0</v>
      </c>
    </row>
    <row r="306" ht="14.25" customHeight="1">
      <c r="A306" s="49" t="s">
        <v>1484</v>
      </c>
      <c r="B306" s="49" t="str">
        <f>IFERROR(__xludf.DUMMYFUNCTION("REGEXEXTRACT(A306,""^cost\.(.*)\.[^.]+\.[^.]+$"")"),"building.laboratory@2")</f>
        <v>building.laboratory@2</v>
      </c>
      <c r="C306" s="49" t="str">
        <f t="array" ref="C306">_xlfn.XLOOKUP(
 B306,
 tblTargets[TargetID],
 tblTargets[DisplayName],
 ""
)</f>
        <v>Laboratory Lv 2</v>
      </c>
      <c r="D306" s="49" t="str">
        <f t="array" ref="D306">_xlfn.XLOOKUP(
 B306,
 tblTargets[TargetID],
 tblTargets[TargetType],
 ""
)</f>
        <v>BUILDING</v>
      </c>
      <c r="E306" s="49" t="s">
        <v>1489</v>
      </c>
      <c r="F306" s="87">
        <f>IFERROR(__xludf.DUMMYFUNCTION("VALUE(REGEXEXTRACT(A306,""([^.]+)$""))"),1.0)</f>
        <v>1</v>
      </c>
      <c r="G306" s="49">
        <v>20.0</v>
      </c>
      <c r="H306" s="26" t="b">
        <f>COUNTIFS(
 tblCostChecklist[RequirementID],A306,
 tblCostChecklist[PlayerPaid],TRUE
)&gt;0</f>
        <v>0</v>
      </c>
      <c r="I306" s="49">
        <f t="shared" si="1"/>
        <v>9</v>
      </c>
      <c r="J306" s="49">
        <f t="shared" si="2"/>
        <v>0</v>
      </c>
      <c r="K306" s="49">
        <f t="shared" si="3"/>
        <v>9</v>
      </c>
      <c r="L306" s="49" t="b">
        <f t="shared" si="4"/>
        <v>0</v>
      </c>
      <c r="M306" s="88">
        <f t="shared" si="5"/>
        <v>0</v>
      </c>
    </row>
    <row r="307" ht="14.25" customHeight="1">
      <c r="A307" s="49" t="s">
        <v>1417</v>
      </c>
      <c r="B307" s="49" t="str">
        <f>IFERROR(__xludf.DUMMYFUNCTION("REGEXEXTRACT(A307,""^cost\.(.*)\.[^.]+\.[^.]+$"")"),"building.laboratory@2")</f>
        <v>building.laboratory@2</v>
      </c>
      <c r="C307" s="49" t="str">
        <f t="array" ref="C307">_xlfn.XLOOKUP(
 B307,
 tblTargets[TargetID],
 tblTargets[DisplayName],
 ""
)</f>
        <v>Laboratory Lv 2</v>
      </c>
      <c r="D307" s="49" t="str">
        <f t="array" ref="D307">_xlfn.XLOOKUP(
 B307,
 tblTargets[TargetID],
 tblTargets[TargetType],
 ""
)</f>
        <v>BUILDING</v>
      </c>
      <c r="E307" s="49" t="s">
        <v>1055</v>
      </c>
      <c r="F307" s="87">
        <f>IFERROR(__xludf.DUMMYFUNCTION("VALUE(REGEXEXTRACT(A307,""([^.]+)$""))"),1.0)</f>
        <v>1</v>
      </c>
      <c r="G307" s="49">
        <v>40.0</v>
      </c>
      <c r="H307" s="26" t="b">
        <f>COUNTIFS(
 tblCostChecklist[RequirementID],A307,
 tblCostChecklist[PlayerPaid],TRUE
)&gt;0</f>
        <v>0</v>
      </c>
      <c r="I307" s="49">
        <f t="shared" si="1"/>
        <v>9</v>
      </c>
      <c r="J307" s="49">
        <f t="shared" si="2"/>
        <v>0</v>
      </c>
      <c r="K307" s="49">
        <f t="shared" si="3"/>
        <v>9</v>
      </c>
      <c r="L307" s="49" t="b">
        <f t="shared" si="4"/>
        <v>0</v>
      </c>
      <c r="M307" s="88">
        <f t="shared" si="5"/>
        <v>0</v>
      </c>
    </row>
    <row r="308" ht="14.25" customHeight="1">
      <c r="A308" s="49" t="s">
        <v>1446</v>
      </c>
      <c r="B308" s="49" t="str">
        <f>IFERROR(__xludf.DUMMYFUNCTION("REGEXEXTRACT(A308,""^cost\.(.*)\.[^.]+\.[^.]+$"")"),"building.laboratory@2")</f>
        <v>building.laboratory@2</v>
      </c>
      <c r="C308" s="49" t="str">
        <f t="array" ref="C308">_xlfn.XLOOKUP(
 B308,
 tblTargets[TargetID],
 tblTargets[DisplayName],
 ""
)</f>
        <v>Laboratory Lv 2</v>
      </c>
      <c r="D308" s="49" t="str">
        <f t="array" ref="D308">_xlfn.XLOOKUP(
 B308,
 tblTargets[TargetID],
 tblTargets[TargetType],
 ""
)</f>
        <v>BUILDING</v>
      </c>
      <c r="E308" s="49" t="s">
        <v>1375</v>
      </c>
      <c r="F308" s="87">
        <f>IFERROR(__xludf.DUMMYFUNCTION("VALUE(REGEXEXTRACT(A308,""([^.]+)$""))"),1.0)</f>
        <v>1</v>
      </c>
      <c r="G308" s="49">
        <v>2.0</v>
      </c>
      <c r="H308" s="26" t="b">
        <f>COUNTIFS(
 tblCostChecklist[RequirementID],A308,
 tblCostChecklist[PlayerPaid],TRUE
)&gt;0</f>
        <v>0</v>
      </c>
      <c r="I308" s="49">
        <f t="shared" si="1"/>
        <v>9</v>
      </c>
      <c r="J308" s="49">
        <f t="shared" si="2"/>
        <v>0</v>
      </c>
      <c r="K308" s="49">
        <f t="shared" si="3"/>
        <v>9</v>
      </c>
      <c r="L308" s="49" t="b">
        <f t="shared" si="4"/>
        <v>0</v>
      </c>
      <c r="M308" s="88">
        <f t="shared" si="5"/>
        <v>0</v>
      </c>
    </row>
    <row r="309" ht="14.25" customHeight="1">
      <c r="A309" s="49" t="s">
        <v>1546</v>
      </c>
      <c r="B309" s="49" t="str">
        <f>IFERROR(__xludf.DUMMYFUNCTION("REGEXEXTRACT(A309,""^cost\.(.*)\.[^.]+\.[^.]+$"")"),"building.laboratory@3")</f>
        <v>building.laboratory@3</v>
      </c>
      <c r="C309" s="49" t="str">
        <f t="array" ref="C309">_xlfn.XLOOKUP(
 B309,
 tblTargets[TargetID],
 tblTargets[DisplayName],
 ""
)</f>
        <v>Laboratory Lv 3</v>
      </c>
      <c r="D309" s="49" t="str">
        <f t="array" ref="D309">_xlfn.XLOOKUP(
 B309,
 tblTargets[TargetID],
 tblTargets[TargetType],
 ""
)</f>
        <v>BUILDING</v>
      </c>
      <c r="E309" s="49" t="s">
        <v>6</v>
      </c>
      <c r="F309" s="87">
        <f>IFERROR(__xludf.DUMMYFUNCTION("VALUE(REGEXEXTRACT(A309,""([^.]+)$""))"),1.0)</f>
        <v>1</v>
      </c>
      <c r="G309" s="49">
        <v>8.0</v>
      </c>
      <c r="H309" s="26" t="b">
        <f>COUNTIFS(
 tblCostChecklist[RequirementID],A309,
 tblCostChecklist[PlayerPaid],TRUE
)&gt;0</f>
        <v>0</v>
      </c>
      <c r="I309" s="49">
        <f t="shared" si="1"/>
        <v>9</v>
      </c>
      <c r="J309" s="49">
        <f t="shared" si="2"/>
        <v>0</v>
      </c>
      <c r="K309" s="49">
        <f t="shared" si="3"/>
        <v>9</v>
      </c>
      <c r="L309" s="49" t="b">
        <f t="shared" si="4"/>
        <v>0</v>
      </c>
      <c r="M309" s="88">
        <f t="shared" si="5"/>
        <v>0</v>
      </c>
    </row>
    <row r="310" ht="14.25" customHeight="1">
      <c r="A310" s="49" t="s">
        <v>1511</v>
      </c>
      <c r="B310" s="49" t="str">
        <f>IFERROR(__xludf.DUMMYFUNCTION("REGEXEXTRACT(A310,""^cost\.(.*)\.[^.]+\.[^.]+$"")"),"building.laboratory@3")</f>
        <v>building.laboratory@3</v>
      </c>
      <c r="C310" s="49" t="str">
        <f t="array" ref="C310">_xlfn.XLOOKUP(
 B310,
 tblTargets[TargetID],
 tblTargets[DisplayName],
 ""
)</f>
        <v>Laboratory Lv 3</v>
      </c>
      <c r="D310" s="49" t="str">
        <f t="array" ref="D310">_xlfn.XLOOKUP(
 B310,
 tblTargets[TargetID],
 tblTargets[TargetType],
 ""
)</f>
        <v>BUILDING</v>
      </c>
      <c r="E310" s="49" t="s">
        <v>119</v>
      </c>
      <c r="F310" s="87">
        <f>IFERROR(__xludf.DUMMYFUNCTION("VALUE(REGEXEXTRACT(A310,""([^.]+)$""))"),1.0)</f>
        <v>1</v>
      </c>
      <c r="G310" s="49">
        <v>1500.0</v>
      </c>
      <c r="H310" s="26" t="b">
        <f>COUNTIFS(
 tblCostChecklist[RequirementID],A310,
 tblCostChecklist[PlayerPaid],TRUE
)&gt;0</f>
        <v>0</v>
      </c>
      <c r="I310" s="49">
        <f t="shared" si="1"/>
        <v>9</v>
      </c>
      <c r="J310" s="49">
        <f t="shared" si="2"/>
        <v>0</v>
      </c>
      <c r="K310" s="49">
        <f t="shared" si="3"/>
        <v>9</v>
      </c>
      <c r="L310" s="49" t="b">
        <f t="shared" si="4"/>
        <v>0</v>
      </c>
      <c r="M310" s="88">
        <f t="shared" si="5"/>
        <v>0</v>
      </c>
    </row>
    <row r="311" ht="14.25" customHeight="1">
      <c r="A311" s="49" t="s">
        <v>1558</v>
      </c>
      <c r="B311" s="49" t="str">
        <f>IFERROR(__xludf.DUMMYFUNCTION("REGEXEXTRACT(A311,""^cost\.(.*)\.[^.]+\.[^.]+$"")"),"building.laboratory@3")</f>
        <v>building.laboratory@3</v>
      </c>
      <c r="C311" s="49" t="str">
        <f t="array" ref="C311">_xlfn.XLOOKUP(
 B311,
 tblTargets[TargetID],
 tblTargets[DisplayName],
 ""
)</f>
        <v>Laboratory Lv 3</v>
      </c>
      <c r="D311" s="49" t="str">
        <f t="array" ref="D311">_xlfn.XLOOKUP(
 B311,
 tblTargets[TargetID],
 tblTargets[TargetType],
 ""
)</f>
        <v>BUILDING</v>
      </c>
      <c r="E311" s="49" t="s">
        <v>237</v>
      </c>
      <c r="F311" s="87">
        <f>IFERROR(__xludf.DUMMYFUNCTION("VALUE(REGEXEXTRACT(A311,""([^.]+)$""))"),1.0)</f>
        <v>1</v>
      </c>
      <c r="G311" s="49">
        <v>600.0</v>
      </c>
      <c r="H311" s="26" t="b">
        <f>COUNTIFS(
 tblCostChecklist[RequirementID],A311,
 tblCostChecklist[PlayerPaid],TRUE
)&gt;0</f>
        <v>0</v>
      </c>
      <c r="I311" s="49">
        <f t="shared" si="1"/>
        <v>9</v>
      </c>
      <c r="J311" s="49">
        <f t="shared" si="2"/>
        <v>0</v>
      </c>
      <c r="K311" s="49">
        <f t="shared" si="3"/>
        <v>9</v>
      </c>
      <c r="L311" s="49" t="b">
        <f t="shared" si="4"/>
        <v>0</v>
      </c>
      <c r="M311" s="88">
        <f t="shared" si="5"/>
        <v>0</v>
      </c>
    </row>
    <row r="312" ht="14.25" customHeight="1">
      <c r="A312" s="49" t="s">
        <v>1553</v>
      </c>
      <c r="B312" s="49" t="str">
        <f>IFERROR(__xludf.DUMMYFUNCTION("REGEXEXTRACT(A312,""^cost\.(.*)\.[^.]+\.[^.]+$"")"),"building.laboratory@3")</f>
        <v>building.laboratory@3</v>
      </c>
      <c r="C312" s="49" t="str">
        <f t="array" ref="C312">_xlfn.XLOOKUP(
 B312,
 tblTargets[TargetID],
 tblTargets[DisplayName],
 ""
)</f>
        <v>Laboratory Lv 3</v>
      </c>
      <c r="D312" s="49" t="str">
        <f t="array" ref="D312">_xlfn.XLOOKUP(
 B312,
 tblTargets[TargetID],
 tblTargets[TargetType],
 ""
)</f>
        <v>BUILDING</v>
      </c>
      <c r="E312" s="49" t="s">
        <v>392</v>
      </c>
      <c r="F312" s="87">
        <f>IFERROR(__xludf.DUMMYFUNCTION("VALUE(REGEXEXTRACT(A312,""([^.]+)$""))"),1.0)</f>
        <v>1</v>
      </c>
      <c r="G312" s="49">
        <v>400.0</v>
      </c>
      <c r="H312" s="26" t="b">
        <f>COUNTIFS(
 tblCostChecklist[RequirementID],A312,
 tblCostChecklist[PlayerPaid],TRUE
)&gt;0</f>
        <v>0</v>
      </c>
      <c r="I312" s="49">
        <f t="shared" si="1"/>
        <v>9</v>
      </c>
      <c r="J312" s="49">
        <f t="shared" si="2"/>
        <v>0</v>
      </c>
      <c r="K312" s="49">
        <f t="shared" si="3"/>
        <v>9</v>
      </c>
      <c r="L312" s="49" t="b">
        <f t="shared" si="4"/>
        <v>0</v>
      </c>
      <c r="M312" s="88">
        <f t="shared" si="5"/>
        <v>0</v>
      </c>
    </row>
    <row r="313" ht="14.25" customHeight="1">
      <c r="A313" s="49" t="s">
        <v>1518</v>
      </c>
      <c r="B313" s="49" t="str">
        <f>IFERROR(__xludf.DUMMYFUNCTION("REGEXEXTRACT(A313,""^cost\.(.*)\.[^.]+\.[^.]+$"")"),"building.laboratory@3")</f>
        <v>building.laboratory@3</v>
      </c>
      <c r="C313" s="49" t="str">
        <f t="array" ref="C313">_xlfn.XLOOKUP(
 B313,
 tblTargets[TargetID],
 tblTargets[DisplayName],
 ""
)</f>
        <v>Laboratory Lv 3</v>
      </c>
      <c r="D313" s="49" t="str">
        <f t="array" ref="D313">_xlfn.XLOOKUP(
 B313,
 tblTargets[TargetID],
 tblTargets[TargetType],
 ""
)</f>
        <v>BUILDING</v>
      </c>
      <c r="E313" s="49" t="s">
        <v>360</v>
      </c>
      <c r="F313" s="87">
        <f>IFERROR(__xludf.DUMMYFUNCTION("VALUE(REGEXEXTRACT(A313,""([^.]+)$""))"),1.0)</f>
        <v>1</v>
      </c>
      <c r="G313" s="49">
        <v>100.0</v>
      </c>
      <c r="H313" s="26" t="b">
        <f>COUNTIFS(
 tblCostChecklist[RequirementID],A313,
 tblCostChecklist[PlayerPaid],TRUE
)&gt;0</f>
        <v>0</v>
      </c>
      <c r="I313" s="49">
        <f t="shared" si="1"/>
        <v>9</v>
      </c>
      <c r="J313" s="49">
        <f t="shared" si="2"/>
        <v>0</v>
      </c>
      <c r="K313" s="49">
        <f t="shared" si="3"/>
        <v>9</v>
      </c>
      <c r="L313" s="49" t="b">
        <f t="shared" si="4"/>
        <v>0</v>
      </c>
      <c r="M313" s="88">
        <f t="shared" si="5"/>
        <v>0</v>
      </c>
    </row>
    <row r="314" ht="14.25" customHeight="1">
      <c r="A314" s="49" t="s">
        <v>1494</v>
      </c>
      <c r="B314" s="49" t="str">
        <f>IFERROR(__xludf.DUMMYFUNCTION("REGEXEXTRACT(A314,""^cost\.(.*)\.[^.]+\.[^.]+$"")"),"building.laboratory@3")</f>
        <v>building.laboratory@3</v>
      </c>
      <c r="C314" s="49" t="str">
        <f t="array" ref="C314">_xlfn.XLOOKUP(
 B314,
 tblTargets[TargetID],
 tblTargets[DisplayName],
 ""
)</f>
        <v>Laboratory Lv 3</v>
      </c>
      <c r="D314" s="49" t="str">
        <f t="array" ref="D314">_xlfn.XLOOKUP(
 B314,
 tblTargets[TargetID],
 tblTargets[TargetType],
 ""
)</f>
        <v>BUILDING</v>
      </c>
      <c r="E314" s="49" t="s">
        <v>1497</v>
      </c>
      <c r="F314" s="87">
        <f>IFERROR(__xludf.DUMMYFUNCTION("VALUE(REGEXEXTRACT(A314,""([^.]+)$""))"),1.0)</f>
        <v>1</v>
      </c>
      <c r="G314" s="49">
        <v>20.0</v>
      </c>
      <c r="H314" s="26" t="b">
        <f>COUNTIFS(
 tblCostChecklist[RequirementID],A314,
 tblCostChecklist[PlayerPaid],TRUE
)&gt;0</f>
        <v>0</v>
      </c>
      <c r="I314" s="49">
        <f t="shared" si="1"/>
        <v>9</v>
      </c>
      <c r="J314" s="49">
        <f t="shared" si="2"/>
        <v>0</v>
      </c>
      <c r="K314" s="49">
        <f t="shared" si="3"/>
        <v>9</v>
      </c>
      <c r="L314" s="49" t="b">
        <f t="shared" si="4"/>
        <v>0</v>
      </c>
      <c r="M314" s="88">
        <f t="shared" si="5"/>
        <v>0</v>
      </c>
    </row>
    <row r="315" ht="14.25" customHeight="1">
      <c r="A315" s="49" t="s">
        <v>1535</v>
      </c>
      <c r="B315" s="49" t="str">
        <f>IFERROR(__xludf.DUMMYFUNCTION("REGEXEXTRACT(A315,""^cost\.(.*)\.[^.]+\.[^.]+$"")"),"building.laboratory@3")</f>
        <v>building.laboratory@3</v>
      </c>
      <c r="C315" s="49" t="str">
        <f t="array" ref="C315">_xlfn.XLOOKUP(
 B315,
 tblTargets[TargetID],
 tblTargets[DisplayName],
 ""
)</f>
        <v>Laboratory Lv 3</v>
      </c>
      <c r="D315" s="49" t="str">
        <f t="array" ref="D315">_xlfn.XLOOKUP(
 B315,
 tblTargets[TargetID],
 tblTargets[TargetType],
 ""
)</f>
        <v>BUILDING</v>
      </c>
      <c r="E315" s="49" t="s">
        <v>1537</v>
      </c>
      <c r="F315" s="87">
        <f>IFERROR(__xludf.DUMMYFUNCTION("VALUE(REGEXEXTRACT(A315,""([^.]+)$""))"),1.0)</f>
        <v>1</v>
      </c>
      <c r="G315" s="49">
        <v>20.0</v>
      </c>
      <c r="H315" s="26" t="b">
        <f>COUNTIFS(
 tblCostChecklist[RequirementID],A315,
 tblCostChecklist[PlayerPaid],TRUE
)&gt;0</f>
        <v>0</v>
      </c>
      <c r="I315" s="49">
        <f t="shared" si="1"/>
        <v>9</v>
      </c>
      <c r="J315" s="49">
        <f t="shared" si="2"/>
        <v>0</v>
      </c>
      <c r="K315" s="49">
        <f t="shared" si="3"/>
        <v>9</v>
      </c>
      <c r="L315" s="49" t="b">
        <f t="shared" si="4"/>
        <v>0</v>
      </c>
      <c r="M315" s="88">
        <f t="shared" si="5"/>
        <v>0</v>
      </c>
    </row>
    <row r="316" ht="14.25" customHeight="1">
      <c r="A316" s="49" t="s">
        <v>1504</v>
      </c>
      <c r="B316" s="49" t="str">
        <f>IFERROR(__xludf.DUMMYFUNCTION("REGEXEXTRACT(A316,""^cost\.(.*)\.[^.]+\.[^.]+$"")"),"building.laboratory@3")</f>
        <v>building.laboratory@3</v>
      </c>
      <c r="C316" s="49" t="str">
        <f t="array" ref="C316">_xlfn.XLOOKUP(
 B316,
 tblTargets[TargetID],
 tblTargets[DisplayName],
 ""
)</f>
        <v>Laboratory Lv 3</v>
      </c>
      <c r="D316" s="49" t="str">
        <f t="array" ref="D316">_xlfn.XLOOKUP(
 B316,
 tblTargets[TargetID],
 tblTargets[TargetType],
 ""
)</f>
        <v>BUILDING</v>
      </c>
      <c r="E316" s="49" t="s">
        <v>1055</v>
      </c>
      <c r="F316" s="87">
        <f>IFERROR(__xludf.DUMMYFUNCTION("VALUE(REGEXEXTRACT(A316,""([^.]+)$""))"),1.0)</f>
        <v>1</v>
      </c>
      <c r="G316" s="49">
        <v>40.0</v>
      </c>
      <c r="H316" s="26" t="b">
        <f>COUNTIFS(
 tblCostChecklist[RequirementID],A316,
 tblCostChecklist[PlayerPaid],TRUE
)&gt;0</f>
        <v>0</v>
      </c>
      <c r="I316" s="49">
        <f t="shared" si="1"/>
        <v>9</v>
      </c>
      <c r="J316" s="49">
        <f t="shared" si="2"/>
        <v>0</v>
      </c>
      <c r="K316" s="49">
        <f t="shared" si="3"/>
        <v>9</v>
      </c>
      <c r="L316" s="49" t="b">
        <f t="shared" si="4"/>
        <v>0</v>
      </c>
      <c r="M316" s="88">
        <f t="shared" si="5"/>
        <v>0</v>
      </c>
    </row>
    <row r="317" ht="14.25" customHeight="1">
      <c r="A317" s="49" t="s">
        <v>1527</v>
      </c>
      <c r="B317" s="49" t="str">
        <f>IFERROR(__xludf.DUMMYFUNCTION("REGEXEXTRACT(A317,""^cost\.(.*)\.[^.]+\.[^.]+$"")"),"building.laboratory@3")</f>
        <v>building.laboratory@3</v>
      </c>
      <c r="C317" s="49" t="str">
        <f t="array" ref="C317">_xlfn.XLOOKUP(
 B317,
 tblTargets[TargetID],
 tblTargets[DisplayName],
 ""
)</f>
        <v>Laboratory Lv 3</v>
      </c>
      <c r="D317" s="49" t="str">
        <f t="array" ref="D317">_xlfn.XLOOKUP(
 B317,
 tblTargets[TargetID],
 tblTargets[TargetType],
 ""
)</f>
        <v>BUILDING</v>
      </c>
      <c r="E317" s="49" t="s">
        <v>1375</v>
      </c>
      <c r="F317" s="87">
        <f>IFERROR(__xludf.DUMMYFUNCTION("VALUE(REGEXEXTRACT(A317,""([^.]+)$""))"),1.0)</f>
        <v>1</v>
      </c>
      <c r="G317" s="49">
        <v>2.0</v>
      </c>
      <c r="H317" s="26" t="b">
        <f>COUNTIFS(
 tblCostChecklist[RequirementID],A317,
 tblCostChecklist[PlayerPaid],TRUE
)&gt;0</f>
        <v>0</v>
      </c>
      <c r="I317" s="49">
        <f t="shared" si="1"/>
        <v>9</v>
      </c>
      <c r="J317" s="49">
        <f t="shared" si="2"/>
        <v>0</v>
      </c>
      <c r="K317" s="49">
        <f t="shared" si="3"/>
        <v>9</v>
      </c>
      <c r="L317" s="49" t="b">
        <f t="shared" si="4"/>
        <v>0</v>
      </c>
      <c r="M317" s="88">
        <f t="shared" si="5"/>
        <v>0</v>
      </c>
    </row>
    <row r="318" ht="14.25" customHeight="1">
      <c r="A318" s="49" t="s">
        <v>1613</v>
      </c>
      <c r="B318" s="49" t="str">
        <f>IFERROR(__xludf.DUMMYFUNCTION("REGEXEXTRACT(A318,""^cost\.(.*)\.[^.]+\.[^.]+$"")"),"building.laboratory@4")</f>
        <v>building.laboratory@4</v>
      </c>
      <c r="C318" s="49" t="str">
        <f t="array" ref="C318">_xlfn.XLOOKUP(
 B318,
 tblTargets[TargetID],
 tblTargets[DisplayName],
 ""
)</f>
        <v>Laboratory Lv 4</v>
      </c>
      <c r="D318" s="49" t="str">
        <f t="array" ref="D318">_xlfn.XLOOKUP(
 B318,
 tblTargets[TargetID],
 tblTargets[TargetType],
 ""
)</f>
        <v>BUILDING</v>
      </c>
      <c r="E318" s="49" t="s">
        <v>6</v>
      </c>
      <c r="F318" s="87">
        <f>IFERROR(__xludf.DUMMYFUNCTION("VALUE(REGEXEXTRACT(A318,""([^.]+)$""))"),1.0)</f>
        <v>1</v>
      </c>
      <c r="G318" s="49">
        <v>9.0</v>
      </c>
      <c r="H318" s="26" t="b">
        <f>COUNTIFS(
 tblCostChecklist[RequirementID],A318,
 tblCostChecklist[PlayerPaid],TRUE
)&gt;0</f>
        <v>0</v>
      </c>
      <c r="I318" s="49">
        <f t="shared" si="1"/>
        <v>9</v>
      </c>
      <c r="J318" s="49">
        <f t="shared" si="2"/>
        <v>0</v>
      </c>
      <c r="K318" s="49">
        <f t="shared" si="3"/>
        <v>9</v>
      </c>
      <c r="L318" s="49" t="b">
        <f t="shared" si="4"/>
        <v>0</v>
      </c>
      <c r="M318" s="88">
        <f t="shared" si="5"/>
        <v>0</v>
      </c>
    </row>
    <row r="319" ht="14.25" customHeight="1">
      <c r="A319" s="49" t="s">
        <v>1574</v>
      </c>
      <c r="B319" s="49" t="str">
        <f>IFERROR(__xludf.DUMMYFUNCTION("REGEXEXTRACT(A319,""^cost\.(.*)\.[^.]+\.[^.]+$"")"),"building.laboratory@4")</f>
        <v>building.laboratory@4</v>
      </c>
      <c r="C319" s="49" t="str">
        <f t="array" ref="C319">_xlfn.XLOOKUP(
 B319,
 tblTargets[TargetID],
 tblTargets[DisplayName],
 ""
)</f>
        <v>Laboratory Lv 4</v>
      </c>
      <c r="D319" s="49" t="str">
        <f t="array" ref="D319">_xlfn.XLOOKUP(
 B319,
 tblTargets[TargetID],
 tblTargets[TargetType],
 ""
)</f>
        <v>BUILDING</v>
      </c>
      <c r="E319" s="49" t="s">
        <v>119</v>
      </c>
      <c r="F319" s="87">
        <f>IFERROR(__xludf.DUMMYFUNCTION("VALUE(REGEXEXTRACT(A319,""([^.]+)$""))"),1.0)</f>
        <v>1</v>
      </c>
      <c r="G319" s="49">
        <v>2000.0</v>
      </c>
      <c r="H319" s="26" t="b">
        <f>COUNTIFS(
 tblCostChecklist[RequirementID],A319,
 tblCostChecklist[PlayerPaid],TRUE
)&gt;0</f>
        <v>0</v>
      </c>
      <c r="I319" s="49">
        <f t="shared" si="1"/>
        <v>9</v>
      </c>
      <c r="J319" s="49">
        <f t="shared" si="2"/>
        <v>0</v>
      </c>
      <c r="K319" s="49">
        <f t="shared" si="3"/>
        <v>9</v>
      </c>
      <c r="L319" s="49" t="b">
        <f t="shared" si="4"/>
        <v>0</v>
      </c>
      <c r="M319" s="88">
        <f t="shared" si="5"/>
        <v>0</v>
      </c>
    </row>
    <row r="320" ht="14.25" customHeight="1">
      <c r="A320" s="49" t="s">
        <v>1627</v>
      </c>
      <c r="B320" s="49" t="str">
        <f>IFERROR(__xludf.DUMMYFUNCTION("REGEXEXTRACT(A320,""^cost\.(.*)\.[^.]+\.[^.]+$"")"),"building.laboratory@4")</f>
        <v>building.laboratory@4</v>
      </c>
      <c r="C320" s="49" t="str">
        <f t="array" ref="C320">_xlfn.XLOOKUP(
 B320,
 tblTargets[TargetID],
 tblTargets[DisplayName],
 ""
)</f>
        <v>Laboratory Lv 4</v>
      </c>
      <c r="D320" s="49" t="str">
        <f t="array" ref="D320">_xlfn.XLOOKUP(
 B320,
 tblTargets[TargetID],
 tblTargets[TargetType],
 ""
)</f>
        <v>BUILDING</v>
      </c>
      <c r="E320" s="49" t="s">
        <v>237</v>
      </c>
      <c r="F320" s="87">
        <f>IFERROR(__xludf.DUMMYFUNCTION("VALUE(REGEXEXTRACT(A320,""([^.]+)$""))"),1.0)</f>
        <v>1</v>
      </c>
      <c r="G320" s="49">
        <v>600.0</v>
      </c>
      <c r="H320" s="26" t="b">
        <f>COUNTIFS(
 tblCostChecklist[RequirementID],A320,
 tblCostChecklist[PlayerPaid],TRUE
)&gt;0</f>
        <v>0</v>
      </c>
      <c r="I320" s="49">
        <f t="shared" si="1"/>
        <v>9</v>
      </c>
      <c r="J320" s="49">
        <f t="shared" si="2"/>
        <v>0</v>
      </c>
      <c r="K320" s="49">
        <f t="shared" si="3"/>
        <v>9</v>
      </c>
      <c r="L320" s="49" t="b">
        <f t="shared" si="4"/>
        <v>0</v>
      </c>
      <c r="M320" s="88">
        <f t="shared" si="5"/>
        <v>0</v>
      </c>
    </row>
    <row r="321" ht="14.25" customHeight="1">
      <c r="A321" s="49" t="s">
        <v>1620</v>
      </c>
      <c r="B321" s="49" t="str">
        <f>IFERROR(__xludf.DUMMYFUNCTION("REGEXEXTRACT(A321,""^cost\.(.*)\.[^.]+\.[^.]+$"")"),"building.laboratory@4")</f>
        <v>building.laboratory@4</v>
      </c>
      <c r="C321" s="49" t="str">
        <f t="array" ref="C321">_xlfn.XLOOKUP(
 B321,
 tblTargets[TargetID],
 tblTargets[DisplayName],
 ""
)</f>
        <v>Laboratory Lv 4</v>
      </c>
      <c r="D321" s="49" t="str">
        <f t="array" ref="D321">_xlfn.XLOOKUP(
 B321,
 tblTargets[TargetID],
 tblTargets[TargetType],
 ""
)</f>
        <v>BUILDING</v>
      </c>
      <c r="E321" s="49" t="s">
        <v>392</v>
      </c>
      <c r="F321" s="87">
        <f>IFERROR(__xludf.DUMMYFUNCTION("VALUE(REGEXEXTRACT(A321,""([^.]+)$""))"),1.0)</f>
        <v>1</v>
      </c>
      <c r="G321" s="49">
        <v>400.0</v>
      </c>
      <c r="H321" s="26" t="b">
        <f>COUNTIFS(
 tblCostChecklist[RequirementID],A321,
 tblCostChecklist[PlayerPaid],TRUE
)&gt;0</f>
        <v>0</v>
      </c>
      <c r="I321" s="49">
        <f t="shared" si="1"/>
        <v>9</v>
      </c>
      <c r="J321" s="49">
        <f t="shared" si="2"/>
        <v>0</v>
      </c>
      <c r="K321" s="49">
        <f t="shared" si="3"/>
        <v>9</v>
      </c>
      <c r="L321" s="49" t="b">
        <f t="shared" si="4"/>
        <v>0</v>
      </c>
      <c r="M321" s="88">
        <f t="shared" si="5"/>
        <v>0</v>
      </c>
    </row>
    <row r="322" ht="14.25" customHeight="1">
      <c r="A322" s="49" t="s">
        <v>1603</v>
      </c>
      <c r="B322" s="49" t="str">
        <f>IFERROR(__xludf.DUMMYFUNCTION("REGEXEXTRACT(A322,""^cost\.(.*)\.[^.]+\.[^.]+$"")"),"building.laboratory@4")</f>
        <v>building.laboratory@4</v>
      </c>
      <c r="C322" s="49" t="str">
        <f t="array" ref="C322">_xlfn.XLOOKUP(
 B322,
 tblTargets[TargetID],
 tblTargets[DisplayName],
 ""
)</f>
        <v>Laboratory Lv 4</v>
      </c>
      <c r="D322" s="49" t="str">
        <f t="array" ref="D322">_xlfn.XLOOKUP(
 B322,
 tblTargets[TargetID],
 tblTargets[TargetType],
 ""
)</f>
        <v>BUILDING</v>
      </c>
      <c r="E322" s="49" t="s">
        <v>1606</v>
      </c>
      <c r="F322" s="87">
        <f>IFERROR(__xludf.DUMMYFUNCTION("VALUE(REGEXEXTRACT(A322,""([^.]+)$""))"),1.0)</f>
        <v>1</v>
      </c>
      <c r="G322" s="49">
        <v>20.0</v>
      </c>
      <c r="H322" s="26" t="b">
        <f>COUNTIFS(
 tblCostChecklist[RequirementID],A322,
 tblCostChecklist[PlayerPaid],TRUE
)&gt;0</f>
        <v>0</v>
      </c>
      <c r="I322" s="49">
        <f t="shared" si="1"/>
        <v>9</v>
      </c>
      <c r="J322" s="49">
        <f t="shared" si="2"/>
        <v>0</v>
      </c>
      <c r="K322" s="49">
        <f t="shared" si="3"/>
        <v>9</v>
      </c>
      <c r="L322" s="49" t="b">
        <f t="shared" si="4"/>
        <v>0</v>
      </c>
      <c r="M322" s="88">
        <f t="shared" si="5"/>
        <v>0</v>
      </c>
    </row>
    <row r="323" ht="14.25" customHeight="1">
      <c r="A323" s="49" t="s">
        <v>1581</v>
      </c>
      <c r="B323" s="49" t="str">
        <f>IFERROR(__xludf.DUMMYFUNCTION("REGEXEXTRACT(A323,""^cost\.(.*)\.[^.]+\.[^.]+$"")"),"building.laboratory@4")</f>
        <v>building.laboratory@4</v>
      </c>
      <c r="C323" s="49" t="str">
        <f t="array" ref="C323">_xlfn.XLOOKUP(
 B323,
 tblTargets[TargetID],
 tblTargets[DisplayName],
 ""
)</f>
        <v>Laboratory Lv 4</v>
      </c>
      <c r="D323" s="49" t="str">
        <f t="array" ref="D323">_xlfn.XLOOKUP(
 B323,
 tblTargets[TargetID],
 tblTargets[TargetType],
 ""
)</f>
        <v>BUILDING</v>
      </c>
      <c r="E323" s="49" t="s">
        <v>1583</v>
      </c>
      <c r="F323" s="87">
        <f>IFERROR(__xludf.DUMMYFUNCTION("VALUE(REGEXEXTRACT(A323,""([^.]+)$""))"),1.0)</f>
        <v>1</v>
      </c>
      <c r="G323" s="49">
        <v>20.0</v>
      </c>
      <c r="H323" s="26" t="b">
        <f>COUNTIFS(
 tblCostChecklist[RequirementID],A323,
 tblCostChecklist[PlayerPaid],TRUE
)&gt;0</f>
        <v>0</v>
      </c>
      <c r="I323" s="49">
        <f t="shared" si="1"/>
        <v>9</v>
      </c>
      <c r="J323" s="49">
        <f t="shared" si="2"/>
        <v>0</v>
      </c>
      <c r="K323" s="49">
        <f t="shared" si="3"/>
        <v>9</v>
      </c>
      <c r="L323" s="49" t="b">
        <f t="shared" si="4"/>
        <v>0</v>
      </c>
      <c r="M323" s="88">
        <f t="shared" si="5"/>
        <v>0</v>
      </c>
    </row>
    <row r="324" ht="14.25" customHeight="1">
      <c r="A324" s="49" t="s">
        <v>1596</v>
      </c>
      <c r="B324" s="49" t="str">
        <f>IFERROR(__xludf.DUMMYFUNCTION("REGEXEXTRACT(A324,""^cost\.(.*)\.[^.]+\.[^.]+$"")"),"building.laboratory@4")</f>
        <v>building.laboratory@4</v>
      </c>
      <c r="C324" s="49" t="str">
        <f t="array" ref="C324">_xlfn.XLOOKUP(
 B324,
 tblTargets[TargetID],
 tblTargets[DisplayName],
 ""
)</f>
        <v>Laboratory Lv 4</v>
      </c>
      <c r="D324" s="49" t="str">
        <f t="array" ref="D324">_xlfn.XLOOKUP(
 B324,
 tblTargets[TargetID],
 tblTargets[TargetType],
 ""
)</f>
        <v>BUILDING</v>
      </c>
      <c r="E324" s="49" t="s">
        <v>1537</v>
      </c>
      <c r="F324" s="87">
        <f>IFERROR(__xludf.DUMMYFUNCTION("VALUE(REGEXEXTRACT(A324,""([^.]+)$""))"),1.0)</f>
        <v>1</v>
      </c>
      <c r="G324" s="49">
        <v>30.0</v>
      </c>
      <c r="H324" s="26" t="b">
        <f>COUNTIFS(
 tblCostChecklist[RequirementID],A324,
 tblCostChecklist[PlayerPaid],TRUE
)&gt;0</f>
        <v>0</v>
      </c>
      <c r="I324" s="49">
        <f t="shared" si="1"/>
        <v>9</v>
      </c>
      <c r="J324" s="49">
        <f t="shared" si="2"/>
        <v>0</v>
      </c>
      <c r="K324" s="49">
        <f t="shared" si="3"/>
        <v>9</v>
      </c>
      <c r="L324" s="49" t="b">
        <f t="shared" si="4"/>
        <v>0</v>
      </c>
      <c r="M324" s="88">
        <f t="shared" si="5"/>
        <v>0</v>
      </c>
    </row>
    <row r="325" ht="14.25" customHeight="1">
      <c r="A325" s="49" t="s">
        <v>1566</v>
      </c>
      <c r="B325" s="49" t="str">
        <f>IFERROR(__xludf.DUMMYFUNCTION("REGEXEXTRACT(A325,""^cost\.(.*)\.[^.]+\.[^.]+$"")"),"building.laboratory@4")</f>
        <v>building.laboratory@4</v>
      </c>
      <c r="C325" s="49" t="str">
        <f t="array" ref="C325">_xlfn.XLOOKUP(
 B325,
 tblTargets[TargetID],
 tblTargets[DisplayName],
 ""
)</f>
        <v>Laboratory Lv 4</v>
      </c>
      <c r="D325" s="49" t="str">
        <f t="array" ref="D325">_xlfn.XLOOKUP(
 B325,
 tblTargets[TargetID],
 tblTargets[TargetType],
 ""
)</f>
        <v>BUILDING</v>
      </c>
      <c r="E325" s="49" t="s">
        <v>1055</v>
      </c>
      <c r="F325" s="87">
        <f>IFERROR(__xludf.DUMMYFUNCTION("VALUE(REGEXEXTRACT(A325,""([^.]+)$""))"),1.0)</f>
        <v>1</v>
      </c>
      <c r="G325" s="49">
        <v>40.0</v>
      </c>
      <c r="H325" s="26" t="b">
        <f>COUNTIFS(
 tblCostChecklist[RequirementID],A325,
 tblCostChecklist[PlayerPaid],TRUE
)&gt;0</f>
        <v>0</v>
      </c>
      <c r="I325" s="49">
        <f t="shared" si="1"/>
        <v>9</v>
      </c>
      <c r="J325" s="49">
        <f t="shared" si="2"/>
        <v>0</v>
      </c>
      <c r="K325" s="49">
        <f t="shared" si="3"/>
        <v>9</v>
      </c>
      <c r="L325" s="49" t="b">
        <f t="shared" si="4"/>
        <v>0</v>
      </c>
      <c r="M325" s="88">
        <f t="shared" si="5"/>
        <v>0</v>
      </c>
    </row>
    <row r="326" ht="14.25" customHeight="1">
      <c r="A326" s="49" t="s">
        <v>1589</v>
      </c>
      <c r="B326" s="49" t="str">
        <f>IFERROR(__xludf.DUMMYFUNCTION("REGEXEXTRACT(A326,""^cost\.(.*)\.[^.]+\.[^.]+$"")"),"building.laboratory@4")</f>
        <v>building.laboratory@4</v>
      </c>
      <c r="C326" s="49" t="str">
        <f t="array" ref="C326">_xlfn.XLOOKUP(
 B326,
 tblTargets[TargetID],
 tblTargets[DisplayName],
 ""
)</f>
        <v>Laboratory Lv 4</v>
      </c>
      <c r="D326" s="49" t="str">
        <f t="array" ref="D326">_xlfn.XLOOKUP(
 B326,
 tblTargets[TargetID],
 tblTargets[TargetType],
 ""
)</f>
        <v>BUILDING</v>
      </c>
      <c r="E326" s="49" t="s">
        <v>1375</v>
      </c>
      <c r="F326" s="87">
        <f>IFERROR(__xludf.DUMMYFUNCTION("VALUE(REGEXEXTRACT(A326,""([^.]+)$""))"),1.0)</f>
        <v>1</v>
      </c>
      <c r="G326" s="49">
        <v>1.0</v>
      </c>
      <c r="H326" s="26" t="b">
        <f>COUNTIFS(
 tblCostChecklist[RequirementID],A326,
 tblCostChecklist[PlayerPaid],TRUE
)&gt;0</f>
        <v>0</v>
      </c>
      <c r="I326" s="49">
        <f t="shared" si="1"/>
        <v>9</v>
      </c>
      <c r="J326" s="49">
        <f t="shared" si="2"/>
        <v>0</v>
      </c>
      <c r="K326" s="49">
        <f t="shared" si="3"/>
        <v>9</v>
      </c>
      <c r="L326" s="49" t="b">
        <f t="shared" si="4"/>
        <v>0</v>
      </c>
      <c r="M326" s="88">
        <f t="shared" si="5"/>
        <v>0</v>
      </c>
    </row>
    <row r="327" ht="14.25" customHeight="1">
      <c r="A327" s="49" t="s">
        <v>1681</v>
      </c>
      <c r="B327" s="49" t="str">
        <f>IFERROR(__xludf.DUMMYFUNCTION("REGEXEXTRACT(A327,""^cost\.(.*)\.[^.]+\.[^.]+$"")"),"building.laboratory@5")</f>
        <v>building.laboratory@5</v>
      </c>
      <c r="C327" s="49" t="str">
        <f t="array" ref="C327">_xlfn.XLOOKUP(
 B327,
 tblTargets[TargetID],
 tblTargets[DisplayName],
 ""
)</f>
        <v>Laboratory Lv 5</v>
      </c>
      <c r="D327" s="49" t="str">
        <f t="array" ref="D327">_xlfn.XLOOKUP(
 B327,
 tblTargets[TargetID],
 tblTargets[TargetType],
 ""
)</f>
        <v>BUILDING</v>
      </c>
      <c r="E327" s="49" t="s">
        <v>6</v>
      </c>
      <c r="F327" s="87">
        <f>IFERROR(__xludf.DUMMYFUNCTION("VALUE(REGEXEXTRACT(A327,""([^.]+)$""))"),1.0)</f>
        <v>1</v>
      </c>
      <c r="G327" s="49">
        <v>10.0</v>
      </c>
      <c r="H327" s="26" t="b">
        <f>COUNTIFS(
 tblCostChecklist[RequirementID],A327,
 tblCostChecklist[PlayerPaid],TRUE
)&gt;0</f>
        <v>0</v>
      </c>
      <c r="I327" s="49">
        <f t="shared" si="1"/>
        <v>9</v>
      </c>
      <c r="J327" s="49">
        <f t="shared" si="2"/>
        <v>0</v>
      </c>
      <c r="K327" s="49">
        <f t="shared" si="3"/>
        <v>9</v>
      </c>
      <c r="L327" s="49" t="b">
        <f t="shared" si="4"/>
        <v>0</v>
      </c>
      <c r="M327" s="88">
        <f t="shared" si="5"/>
        <v>0</v>
      </c>
    </row>
    <row r="328" ht="14.25" customHeight="1">
      <c r="A328" s="49" t="s">
        <v>1643</v>
      </c>
      <c r="B328" s="49" t="str">
        <f>IFERROR(__xludf.DUMMYFUNCTION("REGEXEXTRACT(A328,""^cost\.(.*)\.[^.]+\.[^.]+$"")"),"building.laboratory@5")</f>
        <v>building.laboratory@5</v>
      </c>
      <c r="C328" s="49" t="str">
        <f t="array" ref="C328">_xlfn.XLOOKUP(
 B328,
 tblTargets[TargetID],
 tblTargets[DisplayName],
 ""
)</f>
        <v>Laboratory Lv 5</v>
      </c>
      <c r="D328" s="49" t="str">
        <f t="array" ref="D328">_xlfn.XLOOKUP(
 B328,
 tblTargets[TargetID],
 tblTargets[TargetType],
 ""
)</f>
        <v>BUILDING</v>
      </c>
      <c r="E328" s="49" t="s">
        <v>119</v>
      </c>
      <c r="F328" s="87">
        <f>IFERROR(__xludf.DUMMYFUNCTION("VALUE(REGEXEXTRACT(A328,""([^.]+)$""))"),1.0)</f>
        <v>1</v>
      </c>
      <c r="G328" s="49">
        <v>2000.0</v>
      </c>
      <c r="H328" s="26" t="b">
        <f>COUNTIFS(
 tblCostChecklist[RequirementID],A328,
 tblCostChecklist[PlayerPaid],TRUE
)&gt;0</f>
        <v>0</v>
      </c>
      <c r="I328" s="49">
        <f t="shared" si="1"/>
        <v>9</v>
      </c>
      <c r="J328" s="49">
        <f t="shared" si="2"/>
        <v>0</v>
      </c>
      <c r="K328" s="49">
        <f t="shared" si="3"/>
        <v>9</v>
      </c>
      <c r="L328" s="49" t="b">
        <f t="shared" si="4"/>
        <v>0</v>
      </c>
      <c r="M328" s="88">
        <f t="shared" si="5"/>
        <v>0</v>
      </c>
    </row>
    <row r="329" ht="14.25" customHeight="1">
      <c r="A329" s="49" t="s">
        <v>1696</v>
      </c>
      <c r="B329" s="49" t="str">
        <f>IFERROR(__xludf.DUMMYFUNCTION("REGEXEXTRACT(A329,""^cost\.(.*)\.[^.]+\.[^.]+$"")"),"building.laboratory@5")</f>
        <v>building.laboratory@5</v>
      </c>
      <c r="C329" s="49" t="str">
        <f t="array" ref="C329">_xlfn.XLOOKUP(
 B329,
 tblTargets[TargetID],
 tblTargets[DisplayName],
 ""
)</f>
        <v>Laboratory Lv 5</v>
      </c>
      <c r="D329" s="49" t="str">
        <f t="array" ref="D329">_xlfn.XLOOKUP(
 B329,
 tblTargets[TargetID],
 tblTargets[TargetType],
 ""
)</f>
        <v>BUILDING</v>
      </c>
      <c r="E329" s="49" t="s">
        <v>237</v>
      </c>
      <c r="F329" s="87">
        <f>IFERROR(__xludf.DUMMYFUNCTION("VALUE(REGEXEXTRACT(A329,""([^.]+)$""))"),1.0)</f>
        <v>1</v>
      </c>
      <c r="G329" s="49">
        <v>700.0</v>
      </c>
      <c r="H329" s="26" t="b">
        <f>COUNTIFS(
 tblCostChecklist[RequirementID],A329,
 tblCostChecklist[PlayerPaid],TRUE
)&gt;0</f>
        <v>0</v>
      </c>
      <c r="I329" s="49">
        <f t="shared" si="1"/>
        <v>9</v>
      </c>
      <c r="J329" s="49">
        <f t="shared" si="2"/>
        <v>0</v>
      </c>
      <c r="K329" s="49">
        <f t="shared" si="3"/>
        <v>9</v>
      </c>
      <c r="L329" s="49" t="b">
        <f t="shared" si="4"/>
        <v>0</v>
      </c>
      <c r="M329" s="88">
        <f t="shared" si="5"/>
        <v>0</v>
      </c>
    </row>
    <row r="330" ht="14.25" customHeight="1">
      <c r="A330" s="49" t="s">
        <v>1688</v>
      </c>
      <c r="B330" s="49" t="str">
        <f>IFERROR(__xludf.DUMMYFUNCTION("REGEXEXTRACT(A330,""^cost\.(.*)\.[^.]+\.[^.]+$"")"),"building.laboratory@5")</f>
        <v>building.laboratory@5</v>
      </c>
      <c r="C330" s="49" t="str">
        <f t="array" ref="C330">_xlfn.XLOOKUP(
 B330,
 tblTargets[TargetID],
 tblTargets[DisplayName],
 ""
)</f>
        <v>Laboratory Lv 5</v>
      </c>
      <c r="D330" s="49" t="str">
        <f t="array" ref="D330">_xlfn.XLOOKUP(
 B330,
 tblTargets[TargetID],
 tblTargets[TargetType],
 ""
)</f>
        <v>BUILDING</v>
      </c>
      <c r="E330" s="49" t="s">
        <v>392</v>
      </c>
      <c r="F330" s="87">
        <f>IFERROR(__xludf.DUMMYFUNCTION("VALUE(REGEXEXTRACT(A330,""([^.]+)$""))"),1.0)</f>
        <v>1</v>
      </c>
      <c r="G330" s="49">
        <v>500.0</v>
      </c>
      <c r="H330" s="26" t="b">
        <f>COUNTIFS(
 tblCostChecklist[RequirementID],A330,
 tblCostChecklist[PlayerPaid],TRUE
)&gt;0</f>
        <v>0</v>
      </c>
      <c r="I330" s="49">
        <f t="shared" si="1"/>
        <v>9</v>
      </c>
      <c r="J330" s="49">
        <f t="shared" si="2"/>
        <v>0</v>
      </c>
      <c r="K330" s="49">
        <f t="shared" si="3"/>
        <v>9</v>
      </c>
      <c r="L330" s="49" t="b">
        <f t="shared" si="4"/>
        <v>0</v>
      </c>
      <c r="M330" s="88">
        <f t="shared" si="5"/>
        <v>0</v>
      </c>
    </row>
    <row r="331" ht="14.25" customHeight="1">
      <c r="A331" s="49" t="s">
        <v>1658</v>
      </c>
      <c r="B331" s="49" t="str">
        <f>IFERROR(__xludf.DUMMYFUNCTION("REGEXEXTRACT(A331,""^cost\.(.*)\.[^.]+\.[^.]+$"")"),"building.laboratory@5")</f>
        <v>building.laboratory@5</v>
      </c>
      <c r="C331" s="49" t="str">
        <f t="array" ref="C331">_xlfn.XLOOKUP(
 B331,
 tblTargets[TargetID],
 tblTargets[DisplayName],
 ""
)</f>
        <v>Laboratory Lv 5</v>
      </c>
      <c r="D331" s="49" t="str">
        <f t="array" ref="D331">_xlfn.XLOOKUP(
 B331,
 tblTargets[TargetID],
 tblTargets[TargetType],
 ""
)</f>
        <v>BUILDING</v>
      </c>
      <c r="E331" s="49" t="s">
        <v>1078</v>
      </c>
      <c r="F331" s="87">
        <f>IFERROR(__xludf.DUMMYFUNCTION("VALUE(REGEXEXTRACT(A331,""([^.]+)$""))"),1.0)</f>
        <v>1</v>
      </c>
      <c r="G331" s="49">
        <v>30.0</v>
      </c>
      <c r="H331" s="26" t="b">
        <f>COUNTIFS(
 tblCostChecklist[RequirementID],A331,
 tblCostChecklist[PlayerPaid],TRUE
)&gt;0</f>
        <v>0</v>
      </c>
      <c r="I331" s="49">
        <f t="shared" si="1"/>
        <v>9</v>
      </c>
      <c r="J331" s="49">
        <f t="shared" si="2"/>
        <v>0</v>
      </c>
      <c r="K331" s="49">
        <f t="shared" si="3"/>
        <v>9</v>
      </c>
      <c r="L331" s="49" t="b">
        <f t="shared" si="4"/>
        <v>0</v>
      </c>
      <c r="M331" s="88">
        <f t="shared" si="5"/>
        <v>0</v>
      </c>
    </row>
    <row r="332" ht="14.25" customHeight="1">
      <c r="A332" s="49" t="s">
        <v>1672</v>
      </c>
      <c r="B332" s="49" t="str">
        <f>IFERROR(__xludf.DUMMYFUNCTION("REGEXEXTRACT(A332,""^cost\.(.*)\.[^.]+\.[^.]+$"")"),"building.laboratory@5")</f>
        <v>building.laboratory@5</v>
      </c>
      <c r="C332" s="49" t="str">
        <f t="array" ref="C332">_xlfn.XLOOKUP(
 B332,
 tblTargets[TargetID],
 tblTargets[DisplayName],
 ""
)</f>
        <v>Laboratory Lv 5</v>
      </c>
      <c r="D332" s="49" t="str">
        <f t="array" ref="D332">_xlfn.XLOOKUP(
 B332,
 tblTargets[TargetID],
 tblTargets[TargetType],
 ""
)</f>
        <v>BUILDING</v>
      </c>
      <c r="E332" s="49" t="s">
        <v>1282</v>
      </c>
      <c r="F332" s="87">
        <f>IFERROR(__xludf.DUMMYFUNCTION("VALUE(REGEXEXTRACT(A332,""([^.]+)$""))"),1.0)</f>
        <v>1</v>
      </c>
      <c r="G332" s="49">
        <v>20.0</v>
      </c>
      <c r="H332" s="26" t="b">
        <f>COUNTIFS(
 tblCostChecklist[RequirementID],A332,
 tblCostChecklist[PlayerPaid],TRUE
)&gt;0</f>
        <v>0</v>
      </c>
      <c r="I332" s="49">
        <f t="shared" si="1"/>
        <v>9</v>
      </c>
      <c r="J332" s="49">
        <f t="shared" si="2"/>
        <v>0</v>
      </c>
      <c r="K332" s="49">
        <f t="shared" si="3"/>
        <v>9</v>
      </c>
      <c r="L332" s="49" t="b">
        <f t="shared" si="4"/>
        <v>0</v>
      </c>
      <c r="M332" s="88">
        <f t="shared" si="5"/>
        <v>0</v>
      </c>
    </row>
    <row r="333" ht="14.25" customHeight="1">
      <c r="A333" s="49" t="s">
        <v>1664</v>
      </c>
      <c r="B333" s="49" t="str">
        <f>IFERROR(__xludf.DUMMYFUNCTION("REGEXEXTRACT(A333,""^cost\.(.*)\.[^.]+\.[^.]+$"")"),"building.laboratory@5")</f>
        <v>building.laboratory@5</v>
      </c>
      <c r="C333" s="49" t="str">
        <f t="array" ref="C333">_xlfn.XLOOKUP(
 B333,
 tblTargets[TargetID],
 tblTargets[DisplayName],
 ""
)</f>
        <v>Laboratory Lv 5</v>
      </c>
      <c r="D333" s="49" t="str">
        <f t="array" ref="D333">_xlfn.XLOOKUP(
 B333,
 tblTargets[TargetID],
 tblTargets[TargetType],
 ""
)</f>
        <v>BUILDING</v>
      </c>
      <c r="E333" s="49" t="s">
        <v>1537</v>
      </c>
      <c r="F333" s="87">
        <f>IFERROR(__xludf.DUMMYFUNCTION("VALUE(REGEXEXTRACT(A333,""([^.]+)$""))"),1.0)</f>
        <v>1</v>
      </c>
      <c r="G333" s="49">
        <v>40.0</v>
      </c>
      <c r="H333" s="26" t="b">
        <f>COUNTIFS(
 tblCostChecklist[RequirementID],A333,
 tblCostChecklist[PlayerPaid],TRUE
)&gt;0</f>
        <v>0</v>
      </c>
      <c r="I333" s="49">
        <f t="shared" si="1"/>
        <v>9</v>
      </c>
      <c r="J333" s="49">
        <f t="shared" si="2"/>
        <v>0</v>
      </c>
      <c r="K333" s="49">
        <f t="shared" si="3"/>
        <v>9</v>
      </c>
      <c r="L333" s="49" t="b">
        <f t="shared" si="4"/>
        <v>0</v>
      </c>
      <c r="M333" s="88">
        <f t="shared" si="5"/>
        <v>0</v>
      </c>
    </row>
    <row r="334" ht="14.25" customHeight="1">
      <c r="A334" s="49" t="s">
        <v>1634</v>
      </c>
      <c r="B334" s="49" t="str">
        <f>IFERROR(__xludf.DUMMYFUNCTION("REGEXEXTRACT(A334,""^cost\.(.*)\.[^.]+\.[^.]+$"")"),"building.laboratory@5")</f>
        <v>building.laboratory@5</v>
      </c>
      <c r="C334" s="49" t="str">
        <f t="array" ref="C334">_xlfn.XLOOKUP(
 B334,
 tblTargets[TargetID],
 tblTargets[DisplayName],
 ""
)</f>
        <v>Laboratory Lv 5</v>
      </c>
      <c r="D334" s="49" t="str">
        <f t="array" ref="D334">_xlfn.XLOOKUP(
 B334,
 tblTargets[TargetID],
 tblTargets[TargetType],
 ""
)</f>
        <v>BUILDING</v>
      </c>
      <c r="E334" s="49" t="s">
        <v>1055</v>
      </c>
      <c r="F334" s="87">
        <f>IFERROR(__xludf.DUMMYFUNCTION("VALUE(REGEXEXTRACT(A334,""([^.]+)$""))"),1.0)</f>
        <v>1</v>
      </c>
      <c r="G334" s="49">
        <v>40.0</v>
      </c>
      <c r="H334" s="26" t="b">
        <f>COUNTIFS(
 tblCostChecklist[RequirementID],A334,
 tblCostChecklist[PlayerPaid],TRUE
)&gt;0</f>
        <v>0</v>
      </c>
      <c r="I334" s="49">
        <f t="shared" si="1"/>
        <v>9</v>
      </c>
      <c r="J334" s="49">
        <f t="shared" si="2"/>
        <v>0</v>
      </c>
      <c r="K334" s="49">
        <f t="shared" si="3"/>
        <v>9</v>
      </c>
      <c r="L334" s="49" t="b">
        <f t="shared" si="4"/>
        <v>0</v>
      </c>
      <c r="M334" s="88">
        <f t="shared" si="5"/>
        <v>0</v>
      </c>
    </row>
    <row r="335" ht="14.25" customHeight="1">
      <c r="A335" s="49" t="s">
        <v>1651</v>
      </c>
      <c r="B335" s="49" t="str">
        <f>IFERROR(__xludf.DUMMYFUNCTION("REGEXEXTRACT(A335,""^cost\.(.*)\.[^.]+\.[^.]+$"")"),"building.laboratory@5")</f>
        <v>building.laboratory@5</v>
      </c>
      <c r="C335" s="49" t="str">
        <f t="array" ref="C335">_xlfn.XLOOKUP(
 B335,
 tblTargets[TargetID],
 tblTargets[DisplayName],
 ""
)</f>
        <v>Laboratory Lv 5</v>
      </c>
      <c r="D335" s="49" t="str">
        <f t="array" ref="D335">_xlfn.XLOOKUP(
 B335,
 tblTargets[TargetID],
 tblTargets[TargetType],
 ""
)</f>
        <v>BUILDING</v>
      </c>
      <c r="E335" s="49" t="s">
        <v>1375</v>
      </c>
      <c r="F335" s="87">
        <f>IFERROR(__xludf.DUMMYFUNCTION("VALUE(REGEXEXTRACT(A335,""([^.]+)$""))"),1.0)</f>
        <v>1</v>
      </c>
      <c r="G335" s="49">
        <v>1.0</v>
      </c>
      <c r="H335" s="26" t="b">
        <f>COUNTIFS(
 tblCostChecklist[RequirementID],A335,
 tblCostChecklist[PlayerPaid],TRUE
)&gt;0</f>
        <v>0</v>
      </c>
      <c r="I335" s="49">
        <f t="shared" si="1"/>
        <v>9</v>
      </c>
      <c r="J335" s="49">
        <f t="shared" si="2"/>
        <v>0</v>
      </c>
      <c r="K335" s="49">
        <f t="shared" si="3"/>
        <v>9</v>
      </c>
      <c r="L335" s="49" t="b">
        <f t="shared" si="4"/>
        <v>0</v>
      </c>
      <c r="M335" s="88">
        <f t="shared" si="5"/>
        <v>0</v>
      </c>
    </row>
    <row r="336" ht="14.25" customHeight="1">
      <c r="A336" s="49" t="s">
        <v>1289</v>
      </c>
      <c r="B336" s="49" t="str">
        <f>IFERROR(__xludf.DUMMYFUNCTION("REGEXEXTRACT(A336,""^cost\.(.*)\.[^.]+\.[^.]+$"")"),"building.laboratory_data_center@1")</f>
        <v>building.laboratory_data_center@1</v>
      </c>
      <c r="C336" s="49" t="str">
        <f t="array" ref="C336">_xlfn.XLOOKUP(
 B336,
 tblTargets[TargetID],
 tblTargets[DisplayName],
 ""
)</f>
        <v>Laboratory: Data Center Lv 1</v>
      </c>
      <c r="D336" s="49" t="str">
        <f t="array" ref="D336">_xlfn.XLOOKUP(
 B336,
 tblTargets[TargetID],
 tblTargets[TargetType],
 ""
)</f>
        <v>BUILDING</v>
      </c>
      <c r="E336" s="49" t="s">
        <v>6</v>
      </c>
      <c r="F336" s="87">
        <f>IFERROR(__xludf.DUMMYFUNCTION("VALUE(REGEXEXTRACT(A336,""([^.]+)$""))"),1.0)</f>
        <v>1</v>
      </c>
      <c r="G336" s="49">
        <v>10.0</v>
      </c>
      <c r="H336" s="26" t="b">
        <f>COUNTIFS(
 tblCostChecklist[RequirementID],A336,
 tblCostChecklist[PlayerPaid],TRUE
)&gt;0</f>
        <v>0</v>
      </c>
      <c r="I336" s="49">
        <f t="shared" si="1"/>
        <v>9</v>
      </c>
      <c r="J336" s="49">
        <f t="shared" si="2"/>
        <v>0</v>
      </c>
      <c r="K336" s="49">
        <f t="shared" si="3"/>
        <v>9</v>
      </c>
      <c r="L336" s="49" t="b">
        <f t="shared" si="4"/>
        <v>0</v>
      </c>
      <c r="M336" s="88">
        <f t="shared" si="5"/>
        <v>0</v>
      </c>
    </row>
    <row r="337" ht="14.25" customHeight="1">
      <c r="A337" s="49" t="s">
        <v>1244</v>
      </c>
      <c r="B337" s="49" t="str">
        <f>IFERROR(__xludf.DUMMYFUNCTION("REGEXEXTRACT(A337,""^cost\.(.*)\.[^.]+\.[^.]+$"")"),"building.laboratory_data_center@1")</f>
        <v>building.laboratory_data_center@1</v>
      </c>
      <c r="C337" s="49" t="str">
        <f t="array" ref="C337">_xlfn.XLOOKUP(
 B337,
 tblTargets[TargetID],
 tblTargets[DisplayName],
 ""
)</f>
        <v>Laboratory: Data Center Lv 1</v>
      </c>
      <c r="D337" s="49" t="str">
        <f t="array" ref="D337">_xlfn.XLOOKUP(
 B337,
 tblTargets[TargetID],
 tblTargets[TargetType],
 ""
)</f>
        <v>BUILDING</v>
      </c>
      <c r="E337" s="49" t="s">
        <v>119</v>
      </c>
      <c r="F337" s="87">
        <f>IFERROR(__xludf.DUMMYFUNCTION("VALUE(REGEXEXTRACT(A337,""([^.]+)$""))"),1.0)</f>
        <v>1</v>
      </c>
      <c r="G337" s="49">
        <v>1000.0</v>
      </c>
      <c r="H337" s="26" t="b">
        <f>COUNTIFS(
 tblCostChecklist[RequirementID],A337,
 tblCostChecklist[PlayerPaid],TRUE
)&gt;0</f>
        <v>0</v>
      </c>
      <c r="I337" s="49">
        <f t="shared" si="1"/>
        <v>9</v>
      </c>
      <c r="J337" s="49">
        <f t="shared" si="2"/>
        <v>0</v>
      </c>
      <c r="K337" s="49">
        <f t="shared" si="3"/>
        <v>9</v>
      </c>
      <c r="L337" s="49" t="b">
        <f t="shared" si="4"/>
        <v>0</v>
      </c>
      <c r="M337" s="88">
        <f t="shared" si="5"/>
        <v>0</v>
      </c>
    </row>
    <row r="338" ht="14.25" customHeight="1">
      <c r="A338" s="49" t="s">
        <v>1311</v>
      </c>
      <c r="B338" s="49" t="str">
        <f>IFERROR(__xludf.DUMMYFUNCTION("REGEXEXTRACT(A338,""^cost\.(.*)\.[^.]+\.[^.]+$"")"),"building.laboratory_data_center@1")</f>
        <v>building.laboratory_data_center@1</v>
      </c>
      <c r="C338" s="49" t="str">
        <f t="array" ref="C338">_xlfn.XLOOKUP(
 B338,
 tblTargets[TargetID],
 tblTargets[DisplayName],
 ""
)</f>
        <v>Laboratory: Data Center Lv 1</v>
      </c>
      <c r="D338" s="49" t="str">
        <f t="array" ref="D338">_xlfn.XLOOKUP(
 B338,
 tblTargets[TargetID],
 tblTargets[TargetType],
 ""
)</f>
        <v>BUILDING</v>
      </c>
      <c r="E338" s="49" t="s">
        <v>237</v>
      </c>
      <c r="F338" s="87">
        <f>IFERROR(__xludf.DUMMYFUNCTION("VALUE(REGEXEXTRACT(A338,""([^.]+)$""))"),1.0)</f>
        <v>1</v>
      </c>
      <c r="G338" s="49">
        <v>500.0</v>
      </c>
      <c r="H338" s="26" t="b">
        <f>COUNTIFS(
 tblCostChecklist[RequirementID],A338,
 tblCostChecklist[PlayerPaid],TRUE
)&gt;0</f>
        <v>0</v>
      </c>
      <c r="I338" s="49">
        <f t="shared" si="1"/>
        <v>9</v>
      </c>
      <c r="J338" s="49">
        <f t="shared" si="2"/>
        <v>0</v>
      </c>
      <c r="K338" s="49">
        <f t="shared" si="3"/>
        <v>9</v>
      </c>
      <c r="L338" s="49" t="b">
        <f t="shared" si="4"/>
        <v>0</v>
      </c>
      <c r="M338" s="88">
        <f t="shared" si="5"/>
        <v>0</v>
      </c>
    </row>
    <row r="339" ht="14.25" customHeight="1">
      <c r="A339" s="49" t="s">
        <v>1300</v>
      </c>
      <c r="B339" s="49" t="str">
        <f>IFERROR(__xludf.DUMMYFUNCTION("REGEXEXTRACT(A339,""^cost\.(.*)\.[^.]+\.[^.]+$"")"),"building.laboratory_data_center@1")</f>
        <v>building.laboratory_data_center@1</v>
      </c>
      <c r="C339" s="49" t="str">
        <f t="array" ref="C339">_xlfn.XLOOKUP(
 B339,
 tblTargets[TargetID],
 tblTargets[DisplayName],
 ""
)</f>
        <v>Laboratory: Data Center Lv 1</v>
      </c>
      <c r="D339" s="49" t="str">
        <f t="array" ref="D339">_xlfn.XLOOKUP(
 B339,
 tblTargets[TargetID],
 tblTargets[TargetType],
 ""
)</f>
        <v>BUILDING</v>
      </c>
      <c r="E339" s="49" t="s">
        <v>392</v>
      </c>
      <c r="F339" s="87">
        <f>IFERROR(__xludf.DUMMYFUNCTION("VALUE(REGEXEXTRACT(A339,""([^.]+)$""))"),1.0)</f>
        <v>1</v>
      </c>
      <c r="G339" s="49">
        <v>300.0</v>
      </c>
      <c r="H339" s="26" t="b">
        <f>COUNTIFS(
 tblCostChecklist[RequirementID],A339,
 tblCostChecklist[PlayerPaid],TRUE
)&gt;0</f>
        <v>0</v>
      </c>
      <c r="I339" s="49">
        <f t="shared" si="1"/>
        <v>9</v>
      </c>
      <c r="J339" s="49">
        <f t="shared" si="2"/>
        <v>0</v>
      </c>
      <c r="K339" s="49">
        <f t="shared" si="3"/>
        <v>9</v>
      </c>
      <c r="L339" s="49" t="b">
        <f t="shared" si="4"/>
        <v>0</v>
      </c>
      <c r="M339" s="88">
        <f t="shared" si="5"/>
        <v>0</v>
      </c>
    </row>
    <row r="340" ht="14.25" customHeight="1">
      <c r="A340" s="49" t="s">
        <v>1252</v>
      </c>
      <c r="B340" s="49" t="str">
        <f>IFERROR(__xludf.DUMMYFUNCTION("REGEXEXTRACT(A340,""^cost\.(.*)\.[^.]+\.[^.]+$"")"),"building.laboratory_data_center@1")</f>
        <v>building.laboratory_data_center@1</v>
      </c>
      <c r="C340" s="49" t="str">
        <f t="array" ref="C340">_xlfn.XLOOKUP(
 B340,
 tblTargets[TargetID],
 tblTargets[DisplayName],
 ""
)</f>
        <v>Laboratory: Data Center Lv 1</v>
      </c>
      <c r="D340" s="49" t="str">
        <f t="array" ref="D340">_xlfn.XLOOKUP(
 B340,
 tblTargets[TargetID],
 tblTargets[TargetType],
 ""
)</f>
        <v>BUILDING</v>
      </c>
      <c r="E340" s="49" t="s">
        <v>360</v>
      </c>
      <c r="F340" s="87">
        <f>IFERROR(__xludf.DUMMYFUNCTION("VALUE(REGEXEXTRACT(A340,""([^.]+)$""))"),1.0)</f>
        <v>1</v>
      </c>
      <c r="G340" s="49">
        <v>50.0</v>
      </c>
      <c r="H340" s="26" t="b">
        <f>COUNTIFS(
 tblCostChecklist[RequirementID],A340,
 tblCostChecklist[PlayerPaid],TRUE
)&gt;0</f>
        <v>0</v>
      </c>
      <c r="I340" s="49">
        <f t="shared" si="1"/>
        <v>9</v>
      </c>
      <c r="J340" s="49">
        <f t="shared" si="2"/>
        <v>0</v>
      </c>
      <c r="K340" s="49">
        <f t="shared" si="3"/>
        <v>9</v>
      </c>
      <c r="L340" s="49" t="b">
        <f t="shared" si="4"/>
        <v>0</v>
      </c>
      <c r="M340" s="88">
        <f t="shared" si="5"/>
        <v>0</v>
      </c>
    </row>
    <row r="341" ht="14.25" customHeight="1">
      <c r="A341" s="49" t="s">
        <v>1226</v>
      </c>
      <c r="B341" s="49" t="str">
        <f>IFERROR(__xludf.DUMMYFUNCTION("REGEXEXTRACT(A341,""^cost\.(.*)\.[^.]+\.[^.]+$"")"),"building.laboratory_data_center@1")</f>
        <v>building.laboratory_data_center@1</v>
      </c>
      <c r="C341" s="49" t="str">
        <f t="array" ref="C341">_xlfn.XLOOKUP(
 B341,
 tblTargets[TargetID],
 tblTargets[DisplayName],
 ""
)</f>
        <v>Laboratory: Data Center Lv 1</v>
      </c>
      <c r="D341" s="49" t="str">
        <f t="array" ref="D341">_xlfn.XLOOKUP(
 B341,
 tblTargets[TargetID],
 tblTargets[TargetType],
 ""
)</f>
        <v>BUILDING</v>
      </c>
      <c r="E341" s="49" t="s">
        <v>1230</v>
      </c>
      <c r="F341" s="87">
        <f>IFERROR(__xludf.DUMMYFUNCTION("VALUE(REGEXEXTRACT(A341,""([^.]+)$""))"),1.0)</f>
        <v>1</v>
      </c>
      <c r="G341" s="49">
        <v>20.0</v>
      </c>
      <c r="H341" s="26" t="b">
        <f>COUNTIFS(
 tblCostChecklist[RequirementID],A341,
 tblCostChecklist[PlayerPaid],TRUE
)&gt;0</f>
        <v>0</v>
      </c>
      <c r="I341" s="49">
        <f t="shared" si="1"/>
        <v>9</v>
      </c>
      <c r="J341" s="49">
        <f t="shared" si="2"/>
        <v>0</v>
      </c>
      <c r="K341" s="49">
        <f t="shared" si="3"/>
        <v>9</v>
      </c>
      <c r="L341" s="49" t="b">
        <f t="shared" si="4"/>
        <v>0</v>
      </c>
      <c r="M341" s="88">
        <f t="shared" si="5"/>
        <v>0</v>
      </c>
    </row>
    <row r="342" ht="14.25" customHeight="1">
      <c r="A342" s="49" t="s">
        <v>1279</v>
      </c>
      <c r="B342" s="49" t="str">
        <f>IFERROR(__xludf.DUMMYFUNCTION("REGEXEXTRACT(A342,""^cost\.(.*)\.[^.]+\.[^.]+$"")"),"building.laboratory_data_center@1")</f>
        <v>building.laboratory_data_center@1</v>
      </c>
      <c r="C342" s="49" t="str">
        <f t="array" ref="C342">_xlfn.XLOOKUP(
 B342,
 tblTargets[TargetID],
 tblTargets[DisplayName],
 ""
)</f>
        <v>Laboratory: Data Center Lv 1</v>
      </c>
      <c r="D342" s="49" t="str">
        <f t="array" ref="D342">_xlfn.XLOOKUP(
 B342,
 tblTargets[TargetID],
 tblTargets[TargetType],
 ""
)</f>
        <v>BUILDING</v>
      </c>
      <c r="E342" s="49" t="s">
        <v>1282</v>
      </c>
      <c r="F342" s="87">
        <f>IFERROR(__xludf.DUMMYFUNCTION("VALUE(REGEXEXTRACT(A342,""([^.]+)$""))"),1.0)</f>
        <v>1</v>
      </c>
      <c r="G342" s="49">
        <v>20.0</v>
      </c>
      <c r="H342" s="26" t="b">
        <f>COUNTIFS(
 tblCostChecklist[RequirementID],A342,
 tblCostChecklist[PlayerPaid],TRUE
)&gt;0</f>
        <v>0</v>
      </c>
      <c r="I342" s="49">
        <f t="shared" si="1"/>
        <v>9</v>
      </c>
      <c r="J342" s="49">
        <f t="shared" si="2"/>
        <v>0</v>
      </c>
      <c r="K342" s="49">
        <f t="shared" si="3"/>
        <v>9</v>
      </c>
      <c r="L342" s="49" t="b">
        <f t="shared" si="4"/>
        <v>0</v>
      </c>
      <c r="M342" s="88">
        <f t="shared" si="5"/>
        <v>0</v>
      </c>
    </row>
    <row r="343" ht="14.25" customHeight="1">
      <c r="A343" s="49" t="s">
        <v>1266</v>
      </c>
      <c r="B343" s="49" t="str">
        <f>IFERROR(__xludf.DUMMYFUNCTION("REGEXEXTRACT(A343,""^cost\.(.*)\.[^.]+\.[^.]+$"")"),"building.laboratory_data_center@1")</f>
        <v>building.laboratory_data_center@1</v>
      </c>
      <c r="C343" s="49" t="str">
        <f t="array" ref="C343">_xlfn.XLOOKUP(
 B343,
 tblTargets[TargetID],
 tblTargets[DisplayName],
 ""
)</f>
        <v>Laboratory: Data Center Lv 1</v>
      </c>
      <c r="D343" s="49" t="str">
        <f t="array" ref="D343">_xlfn.XLOOKUP(
 B343,
 tblTargets[TargetID],
 tblTargets[TargetType],
 ""
)</f>
        <v>BUILDING</v>
      </c>
      <c r="E343" s="49" t="s">
        <v>1083</v>
      </c>
      <c r="F343" s="87">
        <f>IFERROR(__xludf.DUMMYFUNCTION("VALUE(REGEXEXTRACT(A343,""([^.]+)$""))"),1.0)</f>
        <v>1</v>
      </c>
      <c r="G343" s="49">
        <v>50.0</v>
      </c>
      <c r="H343" s="26" t="b">
        <f>COUNTIFS(
 tblCostChecklist[RequirementID],A343,
 tblCostChecklist[PlayerPaid],TRUE
)&gt;0</f>
        <v>0</v>
      </c>
      <c r="I343" s="49">
        <f t="shared" si="1"/>
        <v>9</v>
      </c>
      <c r="J343" s="49">
        <f t="shared" si="2"/>
        <v>0</v>
      </c>
      <c r="K343" s="49">
        <f t="shared" si="3"/>
        <v>9</v>
      </c>
      <c r="L343" s="49" t="b">
        <f t="shared" si="4"/>
        <v>0</v>
      </c>
      <c r="M343" s="88">
        <f t="shared" si="5"/>
        <v>0</v>
      </c>
    </row>
    <row r="344" ht="14.25" customHeight="1">
      <c r="A344" s="49" t="s">
        <v>1236</v>
      </c>
      <c r="B344" s="49" t="str">
        <f>IFERROR(__xludf.DUMMYFUNCTION("REGEXEXTRACT(A344,""^cost\.(.*)\.[^.]+\.[^.]+$"")"),"building.laboratory_data_center@1")</f>
        <v>building.laboratory_data_center@1</v>
      </c>
      <c r="C344" s="49" t="str">
        <f t="array" ref="C344">_xlfn.XLOOKUP(
 B344,
 tblTargets[TargetID],
 tblTargets[DisplayName],
 ""
)</f>
        <v>Laboratory: Data Center Lv 1</v>
      </c>
      <c r="D344" s="49" t="str">
        <f t="array" ref="D344">_xlfn.XLOOKUP(
 B344,
 tblTargets[TargetID],
 tblTargets[TargetType],
 ""
)</f>
        <v>BUILDING</v>
      </c>
      <c r="E344" s="49" t="s">
        <v>1055</v>
      </c>
      <c r="F344" s="87">
        <f>IFERROR(__xludf.DUMMYFUNCTION("VALUE(REGEXEXTRACT(A344,""([^.]+)$""))"),1.0)</f>
        <v>1</v>
      </c>
      <c r="G344" s="49">
        <v>50.0</v>
      </c>
      <c r="H344" s="26" t="b">
        <f>COUNTIFS(
 tblCostChecklist[RequirementID],A344,
 tblCostChecklist[PlayerPaid],TRUE
)&gt;0</f>
        <v>0</v>
      </c>
      <c r="I344" s="49">
        <f t="shared" si="1"/>
        <v>9</v>
      </c>
      <c r="J344" s="49">
        <f t="shared" si="2"/>
        <v>0</v>
      </c>
      <c r="K344" s="49">
        <f t="shared" si="3"/>
        <v>9</v>
      </c>
      <c r="L344" s="49" t="b">
        <f t="shared" si="4"/>
        <v>0</v>
      </c>
      <c r="M344" s="88">
        <f t="shared" si="5"/>
        <v>0</v>
      </c>
    </row>
    <row r="345" ht="14.25" customHeight="1">
      <c r="A345" s="49" t="s">
        <v>1714</v>
      </c>
      <c r="B345" s="49" t="str">
        <f>IFERROR(__xludf.DUMMYFUNCTION("REGEXEXTRACT(A345,""^cost\.(.*)\.[^.]+\.[^.]+$"")"),"building.lumber@1")</f>
        <v>building.lumber@1</v>
      </c>
      <c r="C345" s="49" t="str">
        <f t="array" ref="C345">_xlfn.XLOOKUP(
 B345,
 tblTargets[TargetID],
 tblTargets[DisplayName],
 ""
)</f>
        <v>Lumber Lv 1</v>
      </c>
      <c r="D345" s="49" t="str">
        <f t="array" ref="D345">_xlfn.XLOOKUP(
 B345,
 tblTargets[TargetID],
 tblTargets[TargetType],
 ""
)</f>
        <v>BUILDING</v>
      </c>
      <c r="E345" s="49" t="s">
        <v>6</v>
      </c>
      <c r="F345" s="87">
        <f>IFERROR(__xludf.DUMMYFUNCTION("VALUE(REGEXEXTRACT(A345,""([^.]+)$""))"),1.0)</f>
        <v>1</v>
      </c>
      <c r="G345" s="49">
        <v>1.0</v>
      </c>
      <c r="H345" s="26" t="b">
        <f>COUNTIFS(
 tblCostChecklist[RequirementID],A345,
 tblCostChecklist[PlayerPaid],TRUE
)&gt;0</f>
        <v>0</v>
      </c>
      <c r="I345" s="49">
        <f t="shared" si="1"/>
        <v>4</v>
      </c>
      <c r="J345" s="49">
        <f t="shared" si="2"/>
        <v>0</v>
      </c>
      <c r="K345" s="49">
        <f t="shared" si="3"/>
        <v>4</v>
      </c>
      <c r="L345" s="49" t="b">
        <f t="shared" si="4"/>
        <v>0</v>
      </c>
      <c r="M345" s="88">
        <f t="shared" si="5"/>
        <v>0</v>
      </c>
    </row>
    <row r="346" ht="14.25" customHeight="1">
      <c r="A346" s="49" t="s">
        <v>1706</v>
      </c>
      <c r="B346" s="49" t="str">
        <f>IFERROR(__xludf.DUMMYFUNCTION("REGEXEXTRACT(A346,""^cost\.(.*)\.[^.]+\.[^.]+$"")"),"building.lumber@1")</f>
        <v>building.lumber@1</v>
      </c>
      <c r="C346" s="49" t="str">
        <f t="array" ref="C346">_xlfn.XLOOKUP(
 B346,
 tblTargets[TargetID],
 tblTargets[DisplayName],
 ""
)</f>
        <v>Lumber Lv 1</v>
      </c>
      <c r="D346" s="49" t="str">
        <f t="array" ref="D346">_xlfn.XLOOKUP(
 B346,
 tblTargets[TargetID],
 tblTargets[TargetType],
 ""
)</f>
        <v>BUILDING</v>
      </c>
      <c r="E346" s="49" t="s">
        <v>119</v>
      </c>
      <c r="F346" s="87">
        <f>IFERROR(__xludf.DUMMYFUNCTION("VALUE(REGEXEXTRACT(A346,""([^.]+)$""))"),1.0)</f>
        <v>1</v>
      </c>
      <c r="G346" s="49">
        <v>300.0</v>
      </c>
      <c r="H346" s="26" t="b">
        <f>COUNTIFS(
 tblCostChecklist[RequirementID],A346,
 tblCostChecklist[PlayerPaid],TRUE
)&gt;0</f>
        <v>0</v>
      </c>
      <c r="I346" s="49">
        <f t="shared" si="1"/>
        <v>4</v>
      </c>
      <c r="J346" s="49">
        <f t="shared" si="2"/>
        <v>0</v>
      </c>
      <c r="K346" s="49">
        <f t="shared" si="3"/>
        <v>4</v>
      </c>
      <c r="L346" s="49" t="b">
        <f t="shared" si="4"/>
        <v>0</v>
      </c>
      <c r="M346" s="88">
        <f t="shared" si="5"/>
        <v>0</v>
      </c>
    </row>
    <row r="347" ht="14.25" customHeight="1">
      <c r="A347" s="49" t="s">
        <v>1730</v>
      </c>
      <c r="B347" s="49" t="str">
        <f>IFERROR(__xludf.DUMMYFUNCTION("REGEXEXTRACT(A347,""^cost\.(.*)\.[^.]+\.[^.]+$"")"),"building.lumber@1")</f>
        <v>building.lumber@1</v>
      </c>
      <c r="C347" s="49" t="str">
        <f t="array" ref="C347">_xlfn.XLOOKUP(
 B347,
 tblTargets[TargetID],
 tblTargets[DisplayName],
 ""
)</f>
        <v>Lumber Lv 1</v>
      </c>
      <c r="D347" s="49" t="str">
        <f t="array" ref="D347">_xlfn.XLOOKUP(
 B347,
 tblTargets[TargetID],
 tblTargets[TargetType],
 ""
)</f>
        <v>BUILDING</v>
      </c>
      <c r="E347" s="49" t="s">
        <v>244</v>
      </c>
      <c r="F347" s="87">
        <f>IFERROR(__xludf.DUMMYFUNCTION("VALUE(REGEXEXTRACT(A347,""([^.]+)$""))"),1.0)</f>
        <v>1</v>
      </c>
      <c r="G347" s="49">
        <v>150.0</v>
      </c>
      <c r="H347" s="26" t="b">
        <f>COUNTIFS(
 tblCostChecklist[RequirementID],A347,
 tblCostChecklist[PlayerPaid],TRUE
)&gt;0</f>
        <v>0</v>
      </c>
      <c r="I347" s="49">
        <f t="shared" si="1"/>
        <v>4</v>
      </c>
      <c r="J347" s="49">
        <f t="shared" si="2"/>
        <v>0</v>
      </c>
      <c r="K347" s="49">
        <f t="shared" si="3"/>
        <v>4</v>
      </c>
      <c r="L347" s="49" t="b">
        <f t="shared" si="4"/>
        <v>0</v>
      </c>
      <c r="M347" s="88">
        <f t="shared" si="5"/>
        <v>0</v>
      </c>
    </row>
    <row r="348" ht="14.25" customHeight="1">
      <c r="A348" s="49" t="s">
        <v>1723</v>
      </c>
      <c r="B348" s="49" t="str">
        <f>IFERROR(__xludf.DUMMYFUNCTION("REGEXEXTRACT(A348,""^cost\.(.*)\.[^.]+\.[^.]+$"")"),"building.lumber@1")</f>
        <v>building.lumber@1</v>
      </c>
      <c r="C348" s="49" t="str">
        <f t="array" ref="C348">_xlfn.XLOOKUP(
 B348,
 tblTargets[TargetID],
 tblTargets[DisplayName],
 ""
)</f>
        <v>Lumber Lv 1</v>
      </c>
      <c r="D348" s="49" t="str">
        <f t="array" ref="D348">_xlfn.XLOOKUP(
 B348,
 tblTargets[TargetID],
 tblTargets[TargetType],
 ""
)</f>
        <v>BUILDING</v>
      </c>
      <c r="E348" s="49" t="s">
        <v>237</v>
      </c>
      <c r="F348" s="87">
        <f>IFERROR(__xludf.DUMMYFUNCTION("VALUE(REGEXEXTRACT(A348,""([^.]+)$""))"),1.0)</f>
        <v>1</v>
      </c>
      <c r="G348" s="49">
        <v>150.0</v>
      </c>
      <c r="H348" s="26" t="b">
        <f>COUNTIFS(
 tblCostChecklist[RequirementID],A348,
 tblCostChecklist[PlayerPaid],TRUE
)&gt;0</f>
        <v>0</v>
      </c>
      <c r="I348" s="49">
        <f t="shared" si="1"/>
        <v>4</v>
      </c>
      <c r="J348" s="49">
        <f t="shared" si="2"/>
        <v>0</v>
      </c>
      <c r="K348" s="49">
        <f t="shared" si="3"/>
        <v>4</v>
      </c>
      <c r="L348" s="49" t="b">
        <f t="shared" si="4"/>
        <v>0</v>
      </c>
      <c r="M348" s="88">
        <f t="shared" si="5"/>
        <v>0</v>
      </c>
    </row>
    <row r="349" ht="14.25" customHeight="1">
      <c r="A349" s="49" t="s">
        <v>1755</v>
      </c>
      <c r="B349" s="49" t="str">
        <f>IFERROR(__xludf.DUMMYFUNCTION("REGEXEXTRACT(A349,""^cost\.(.*)\.[^.]+\.[^.]+$"")"),"building.lumber@2")</f>
        <v>building.lumber@2</v>
      </c>
      <c r="C349" s="49" t="str">
        <f t="array" ref="C349">_xlfn.XLOOKUP(
 B349,
 tblTargets[TargetID],
 tblTargets[DisplayName],
 ""
)</f>
        <v>Lumber Lv 2</v>
      </c>
      <c r="D349" s="49" t="str">
        <f t="array" ref="D349">_xlfn.XLOOKUP(
 B349,
 tblTargets[TargetID],
 tblTargets[TargetType],
 ""
)</f>
        <v>BUILDING</v>
      </c>
      <c r="E349" s="49" t="s">
        <v>6</v>
      </c>
      <c r="F349" s="87">
        <f>IFERROR(__xludf.DUMMYFUNCTION("VALUE(REGEXEXTRACT(A349,""([^.]+)$""))"),1.0)</f>
        <v>1</v>
      </c>
      <c r="G349" s="49">
        <v>3.0</v>
      </c>
      <c r="H349" s="26" t="b">
        <f>COUNTIFS(
 tblCostChecklist[RequirementID],A349,
 tblCostChecklist[PlayerPaid],TRUE
)&gt;0</f>
        <v>0</v>
      </c>
      <c r="I349" s="49">
        <f t="shared" si="1"/>
        <v>5</v>
      </c>
      <c r="J349" s="49">
        <f t="shared" si="2"/>
        <v>0</v>
      </c>
      <c r="K349" s="49">
        <f t="shared" si="3"/>
        <v>5</v>
      </c>
      <c r="L349" s="49" t="b">
        <f t="shared" si="4"/>
        <v>0</v>
      </c>
      <c r="M349" s="88">
        <f t="shared" si="5"/>
        <v>0</v>
      </c>
    </row>
    <row r="350" ht="14.25" customHeight="1">
      <c r="A350" s="49" t="s">
        <v>1746</v>
      </c>
      <c r="B350" s="49" t="str">
        <f>IFERROR(__xludf.DUMMYFUNCTION("REGEXEXTRACT(A350,""^cost\.(.*)\.[^.]+\.[^.]+$"")"),"building.lumber@2")</f>
        <v>building.lumber@2</v>
      </c>
      <c r="C350" s="49" t="str">
        <f t="array" ref="C350">_xlfn.XLOOKUP(
 B350,
 tblTargets[TargetID],
 tblTargets[DisplayName],
 ""
)</f>
        <v>Lumber Lv 2</v>
      </c>
      <c r="D350" s="49" t="str">
        <f t="array" ref="D350">_xlfn.XLOOKUP(
 B350,
 tblTargets[TargetID],
 tblTargets[TargetType],
 ""
)</f>
        <v>BUILDING</v>
      </c>
      <c r="E350" s="49" t="s">
        <v>119</v>
      </c>
      <c r="F350" s="87">
        <f>IFERROR(__xludf.DUMMYFUNCTION("VALUE(REGEXEXTRACT(A350,""([^.]+)$""))"),1.0)</f>
        <v>1</v>
      </c>
      <c r="G350" s="49">
        <v>500.0</v>
      </c>
      <c r="H350" s="26" t="b">
        <f>COUNTIFS(
 tblCostChecklist[RequirementID],A350,
 tblCostChecklist[PlayerPaid],TRUE
)&gt;0</f>
        <v>0</v>
      </c>
      <c r="I350" s="49">
        <f t="shared" si="1"/>
        <v>5</v>
      </c>
      <c r="J350" s="49">
        <f t="shared" si="2"/>
        <v>0</v>
      </c>
      <c r="K350" s="49">
        <f t="shared" si="3"/>
        <v>5</v>
      </c>
      <c r="L350" s="49" t="b">
        <f t="shared" si="4"/>
        <v>0</v>
      </c>
      <c r="M350" s="88">
        <f t="shared" si="5"/>
        <v>0</v>
      </c>
    </row>
    <row r="351" ht="14.25" customHeight="1">
      <c r="A351" s="49" t="s">
        <v>1739</v>
      </c>
      <c r="B351" s="49" t="str">
        <f>IFERROR(__xludf.DUMMYFUNCTION("REGEXEXTRACT(A351,""^cost\.(.*)\.[^.]+\.[^.]+$"")"),"building.lumber@2")</f>
        <v>building.lumber@2</v>
      </c>
      <c r="C351" s="49" t="str">
        <f t="array" ref="C351">_xlfn.XLOOKUP(
 B351,
 tblTargets[TargetID],
 tblTargets[DisplayName],
 ""
)</f>
        <v>Lumber Lv 2</v>
      </c>
      <c r="D351" s="49" t="str">
        <f t="array" ref="D351">_xlfn.XLOOKUP(
 B351,
 tblTargets[TargetID],
 tblTargets[TargetType],
 ""
)</f>
        <v>BUILDING</v>
      </c>
      <c r="E351" s="49" t="s">
        <v>278</v>
      </c>
      <c r="F351" s="87">
        <f>IFERROR(__xludf.DUMMYFUNCTION("VALUE(REGEXEXTRACT(A351,""([^.]+)$""))"),1.0)</f>
        <v>1</v>
      </c>
      <c r="G351" s="49">
        <v>400.0</v>
      </c>
      <c r="H351" s="26" t="b">
        <f>COUNTIFS(
 tblCostChecklist[RequirementID],A351,
 tblCostChecklist[PlayerPaid],TRUE
)&gt;0</f>
        <v>0</v>
      </c>
      <c r="I351" s="49">
        <f t="shared" si="1"/>
        <v>5</v>
      </c>
      <c r="J351" s="49">
        <f t="shared" si="2"/>
        <v>0</v>
      </c>
      <c r="K351" s="49">
        <f t="shared" si="3"/>
        <v>5</v>
      </c>
      <c r="L351" s="49" t="b">
        <f t="shared" si="4"/>
        <v>0</v>
      </c>
      <c r="M351" s="88">
        <f t="shared" si="5"/>
        <v>0</v>
      </c>
    </row>
    <row r="352" ht="14.25" customHeight="1">
      <c r="A352" s="49" t="s">
        <v>1767</v>
      </c>
      <c r="B352" s="49" t="str">
        <f>IFERROR(__xludf.DUMMYFUNCTION("REGEXEXTRACT(A352,""^cost\.(.*)\.[^.]+\.[^.]+$"")"),"building.lumber@2")</f>
        <v>building.lumber@2</v>
      </c>
      <c r="C352" s="49" t="str">
        <f t="array" ref="C352">_xlfn.XLOOKUP(
 B352,
 tblTargets[TargetID],
 tblTargets[DisplayName],
 ""
)</f>
        <v>Lumber Lv 2</v>
      </c>
      <c r="D352" s="49" t="str">
        <f t="array" ref="D352">_xlfn.XLOOKUP(
 B352,
 tblTargets[TargetID],
 tblTargets[TargetType],
 ""
)</f>
        <v>BUILDING</v>
      </c>
      <c r="E352" s="49" t="s">
        <v>237</v>
      </c>
      <c r="F352" s="87">
        <f>IFERROR(__xludf.DUMMYFUNCTION("VALUE(REGEXEXTRACT(A352,""([^.]+)$""))"),1.0)</f>
        <v>1</v>
      </c>
      <c r="G352" s="49">
        <v>200.0</v>
      </c>
      <c r="H352" s="26" t="b">
        <f>COUNTIFS(
 tblCostChecklist[RequirementID],A352,
 tblCostChecklist[PlayerPaid],TRUE
)&gt;0</f>
        <v>0</v>
      </c>
      <c r="I352" s="49">
        <f t="shared" si="1"/>
        <v>5</v>
      </c>
      <c r="J352" s="49">
        <f t="shared" si="2"/>
        <v>0</v>
      </c>
      <c r="K352" s="49">
        <f t="shared" si="3"/>
        <v>5</v>
      </c>
      <c r="L352" s="49" t="b">
        <f t="shared" si="4"/>
        <v>0</v>
      </c>
      <c r="M352" s="88">
        <f t="shared" si="5"/>
        <v>0</v>
      </c>
    </row>
    <row r="353" ht="14.25" customHeight="1">
      <c r="A353" s="49" t="s">
        <v>1764</v>
      </c>
      <c r="B353" s="49" t="str">
        <f>IFERROR(__xludf.DUMMYFUNCTION("REGEXEXTRACT(A353,""^cost\.(.*)\.[^.]+\.[^.]+$"")"),"building.lumber@2")</f>
        <v>building.lumber@2</v>
      </c>
      <c r="C353" s="49" t="str">
        <f t="array" ref="C353">_xlfn.XLOOKUP(
 B353,
 tblTargets[TargetID],
 tblTargets[DisplayName],
 ""
)</f>
        <v>Lumber Lv 2</v>
      </c>
      <c r="D353" s="49" t="str">
        <f t="array" ref="D353">_xlfn.XLOOKUP(
 B353,
 tblTargets[TargetID],
 tblTargets[TargetType],
 ""
)</f>
        <v>BUILDING</v>
      </c>
      <c r="E353" s="49" t="s">
        <v>392</v>
      </c>
      <c r="F353" s="87">
        <f>IFERROR(__xludf.DUMMYFUNCTION("VALUE(REGEXEXTRACT(A353,""([^.]+)$""))"),1.0)</f>
        <v>1</v>
      </c>
      <c r="G353" s="49">
        <v>20.0</v>
      </c>
      <c r="H353" s="26" t="b">
        <f>COUNTIFS(
 tblCostChecklist[RequirementID],A353,
 tblCostChecklist[PlayerPaid],TRUE
)&gt;0</f>
        <v>0</v>
      </c>
      <c r="I353" s="49">
        <f t="shared" si="1"/>
        <v>5</v>
      </c>
      <c r="J353" s="49">
        <f t="shared" si="2"/>
        <v>0</v>
      </c>
      <c r="K353" s="49">
        <f t="shared" si="3"/>
        <v>5</v>
      </c>
      <c r="L353" s="49" t="b">
        <f t="shared" si="4"/>
        <v>0</v>
      </c>
      <c r="M353" s="88">
        <f t="shared" si="5"/>
        <v>0</v>
      </c>
    </row>
    <row r="354" ht="14.25" customHeight="1">
      <c r="A354" s="49" t="s">
        <v>1788</v>
      </c>
      <c r="B354" s="49" t="str">
        <f>IFERROR(__xludf.DUMMYFUNCTION("REGEXEXTRACT(A354,""^cost\.(.*)\.[^.]+\.[^.]+$"")"),"building.lumber@3")</f>
        <v>building.lumber@3</v>
      </c>
      <c r="C354" s="49" t="str">
        <f t="array" ref="C354">_xlfn.XLOOKUP(
 B354,
 tblTargets[TargetID],
 tblTargets[DisplayName],
 ""
)</f>
        <v>Lumber Lv 3</v>
      </c>
      <c r="D354" s="49" t="str">
        <f t="array" ref="D354">_xlfn.XLOOKUP(
 B354,
 tblTargets[TargetID],
 tblTargets[TargetType],
 ""
)</f>
        <v>BUILDING</v>
      </c>
      <c r="E354" s="49" t="s">
        <v>6</v>
      </c>
      <c r="F354" s="87">
        <f>IFERROR(__xludf.DUMMYFUNCTION("VALUE(REGEXEXTRACT(A354,""([^.]+)$""))"),1.0)</f>
        <v>1</v>
      </c>
      <c r="G354" s="49">
        <v>5.0</v>
      </c>
      <c r="H354" s="26" t="b">
        <f>COUNTIFS(
 tblCostChecklist[RequirementID],A354,
 tblCostChecklist[PlayerPaid],TRUE
)&gt;0</f>
        <v>0</v>
      </c>
      <c r="I354" s="49">
        <f t="shared" si="1"/>
        <v>5</v>
      </c>
      <c r="J354" s="49">
        <f t="shared" si="2"/>
        <v>0</v>
      </c>
      <c r="K354" s="49">
        <f t="shared" si="3"/>
        <v>5</v>
      </c>
      <c r="L354" s="49" t="b">
        <f t="shared" si="4"/>
        <v>0</v>
      </c>
      <c r="M354" s="88">
        <f t="shared" si="5"/>
        <v>0</v>
      </c>
    </row>
    <row r="355" ht="14.25" customHeight="1">
      <c r="A355" s="49" t="s">
        <v>1781</v>
      </c>
      <c r="B355" s="49" t="str">
        <f>IFERROR(__xludf.DUMMYFUNCTION("REGEXEXTRACT(A355,""^cost\.(.*)\.[^.]+\.[^.]+$"")"),"building.lumber@3")</f>
        <v>building.lumber@3</v>
      </c>
      <c r="C355" s="49" t="str">
        <f t="array" ref="C355">_xlfn.XLOOKUP(
 B355,
 tblTargets[TargetID],
 tblTargets[DisplayName],
 ""
)</f>
        <v>Lumber Lv 3</v>
      </c>
      <c r="D355" s="49" t="str">
        <f t="array" ref="D355">_xlfn.XLOOKUP(
 B355,
 tblTargets[TargetID],
 tblTargets[TargetType],
 ""
)</f>
        <v>BUILDING</v>
      </c>
      <c r="E355" s="49" t="s">
        <v>119</v>
      </c>
      <c r="F355" s="87">
        <f>IFERROR(__xludf.DUMMYFUNCTION("VALUE(REGEXEXTRACT(A355,""([^.]+)$""))"),1.0)</f>
        <v>1</v>
      </c>
      <c r="G355" s="49">
        <v>800.0</v>
      </c>
      <c r="H355" s="26" t="b">
        <f>COUNTIFS(
 tblCostChecklist[RequirementID],A355,
 tblCostChecklist[PlayerPaid],TRUE
)&gt;0</f>
        <v>0</v>
      </c>
      <c r="I355" s="49">
        <f t="shared" si="1"/>
        <v>5</v>
      </c>
      <c r="J355" s="49">
        <f t="shared" si="2"/>
        <v>0</v>
      </c>
      <c r="K355" s="49">
        <f t="shared" si="3"/>
        <v>5</v>
      </c>
      <c r="L355" s="49" t="b">
        <f t="shared" si="4"/>
        <v>0</v>
      </c>
      <c r="M355" s="88">
        <f t="shared" si="5"/>
        <v>0</v>
      </c>
    </row>
    <row r="356" ht="14.25" customHeight="1">
      <c r="A356" s="49" t="s">
        <v>1774</v>
      </c>
      <c r="B356" s="49" t="str">
        <f>IFERROR(__xludf.DUMMYFUNCTION("REGEXEXTRACT(A356,""^cost\.(.*)\.[^.]+\.[^.]+$"")"),"building.lumber@3")</f>
        <v>building.lumber@3</v>
      </c>
      <c r="C356" s="49" t="str">
        <f t="array" ref="C356">_xlfn.XLOOKUP(
 B356,
 tblTargets[TargetID],
 tblTargets[DisplayName],
 ""
)</f>
        <v>Lumber Lv 3</v>
      </c>
      <c r="D356" s="49" t="str">
        <f t="array" ref="D356">_xlfn.XLOOKUP(
 B356,
 tblTargets[TargetID],
 tblTargets[TargetType],
 ""
)</f>
        <v>BUILDING</v>
      </c>
      <c r="E356" s="49" t="s">
        <v>278</v>
      </c>
      <c r="F356" s="87">
        <f>IFERROR(__xludf.DUMMYFUNCTION("VALUE(REGEXEXTRACT(A356,""([^.]+)$""))"),1.0)</f>
        <v>1</v>
      </c>
      <c r="G356" s="49">
        <v>600.0</v>
      </c>
      <c r="H356" s="26" t="b">
        <f>COUNTIFS(
 tblCostChecklist[RequirementID],A356,
 tblCostChecklist[PlayerPaid],TRUE
)&gt;0</f>
        <v>0</v>
      </c>
      <c r="I356" s="49">
        <f t="shared" si="1"/>
        <v>5</v>
      </c>
      <c r="J356" s="49">
        <f t="shared" si="2"/>
        <v>0</v>
      </c>
      <c r="K356" s="49">
        <f t="shared" si="3"/>
        <v>5</v>
      </c>
      <c r="L356" s="49" t="b">
        <f t="shared" si="4"/>
        <v>0</v>
      </c>
      <c r="M356" s="88">
        <f t="shared" si="5"/>
        <v>0</v>
      </c>
    </row>
    <row r="357" ht="14.25" customHeight="1">
      <c r="A357" s="49" t="s">
        <v>1804</v>
      </c>
      <c r="B357" s="49" t="str">
        <f>IFERROR(__xludf.DUMMYFUNCTION("REGEXEXTRACT(A357,""^cost\.(.*)\.[^.]+\.[^.]+$"")"),"building.lumber@3")</f>
        <v>building.lumber@3</v>
      </c>
      <c r="C357" s="49" t="str">
        <f t="array" ref="C357">_xlfn.XLOOKUP(
 B357,
 tblTargets[TargetID],
 tblTargets[DisplayName],
 ""
)</f>
        <v>Lumber Lv 3</v>
      </c>
      <c r="D357" s="49" t="str">
        <f t="array" ref="D357">_xlfn.XLOOKUP(
 B357,
 tblTargets[TargetID],
 tblTargets[TargetType],
 ""
)</f>
        <v>BUILDING</v>
      </c>
      <c r="E357" s="49" t="s">
        <v>237</v>
      </c>
      <c r="F357" s="87">
        <f>IFERROR(__xludf.DUMMYFUNCTION("VALUE(REGEXEXTRACT(A357,""([^.]+)$""))"),1.0)</f>
        <v>1</v>
      </c>
      <c r="G357" s="49">
        <v>300.0</v>
      </c>
      <c r="H357" s="26" t="b">
        <f>COUNTIFS(
 tblCostChecklist[RequirementID],A357,
 tblCostChecklist[PlayerPaid],TRUE
)&gt;0</f>
        <v>0</v>
      </c>
      <c r="I357" s="49">
        <f t="shared" si="1"/>
        <v>5</v>
      </c>
      <c r="J357" s="49">
        <f t="shared" si="2"/>
        <v>0</v>
      </c>
      <c r="K357" s="49">
        <f t="shared" si="3"/>
        <v>5</v>
      </c>
      <c r="L357" s="49" t="b">
        <f t="shared" si="4"/>
        <v>0</v>
      </c>
      <c r="M357" s="88">
        <f t="shared" si="5"/>
        <v>0</v>
      </c>
    </row>
    <row r="358" ht="14.25" customHeight="1">
      <c r="A358" s="49" t="s">
        <v>1797</v>
      </c>
      <c r="B358" s="49" t="str">
        <f>IFERROR(__xludf.DUMMYFUNCTION("REGEXEXTRACT(A358,""^cost\.(.*)\.[^.]+\.[^.]+$"")"),"building.lumber@3")</f>
        <v>building.lumber@3</v>
      </c>
      <c r="C358" s="49" t="str">
        <f t="array" ref="C358">_xlfn.XLOOKUP(
 B358,
 tblTargets[TargetID],
 tblTargets[DisplayName],
 ""
)</f>
        <v>Lumber Lv 3</v>
      </c>
      <c r="D358" s="49" t="str">
        <f t="array" ref="D358">_xlfn.XLOOKUP(
 B358,
 tblTargets[TargetID],
 tblTargets[TargetType],
 ""
)</f>
        <v>BUILDING</v>
      </c>
      <c r="E358" s="49" t="s">
        <v>392</v>
      </c>
      <c r="F358" s="87">
        <f>IFERROR(__xludf.DUMMYFUNCTION("VALUE(REGEXEXTRACT(A358,""([^.]+)$""))"),1.0)</f>
        <v>1</v>
      </c>
      <c r="G358" s="49">
        <v>100.0</v>
      </c>
      <c r="H358" s="26" t="b">
        <f>COUNTIFS(
 tblCostChecklist[RequirementID],A358,
 tblCostChecklist[PlayerPaid],TRUE
)&gt;0</f>
        <v>0</v>
      </c>
      <c r="I358" s="49">
        <f t="shared" si="1"/>
        <v>5</v>
      </c>
      <c r="J358" s="49">
        <f t="shared" si="2"/>
        <v>0</v>
      </c>
      <c r="K358" s="49">
        <f t="shared" si="3"/>
        <v>5</v>
      </c>
      <c r="L358" s="49" t="b">
        <f t="shared" si="4"/>
        <v>0</v>
      </c>
      <c r="M358" s="88">
        <f t="shared" si="5"/>
        <v>0</v>
      </c>
    </row>
    <row r="359" ht="14.25" customHeight="1">
      <c r="A359" s="49" t="s">
        <v>1830</v>
      </c>
      <c r="B359" s="49" t="str">
        <f>IFERROR(__xludf.DUMMYFUNCTION("REGEXEXTRACT(A359,""^cost\.(.*)\.[^.]+\.[^.]+$"")"),"building.onsen@1")</f>
        <v>building.onsen@1</v>
      </c>
      <c r="C359" s="49" t="str">
        <f t="array" ref="C359">_xlfn.XLOOKUP(
 B359,
 tblTargets[TargetID],
 tblTargets[DisplayName],
 ""
)</f>
        <v>Onsen Lv 1</v>
      </c>
      <c r="D359" s="49" t="str">
        <f t="array" ref="D359">_xlfn.XLOOKUP(
 B359,
 tblTargets[TargetID],
 tblTargets[TargetType],
 ""
)</f>
        <v>BUILDING</v>
      </c>
      <c r="E359" s="49" t="s">
        <v>6</v>
      </c>
      <c r="F359" s="87">
        <f>IFERROR(__xludf.DUMMYFUNCTION("VALUE(REGEXEXTRACT(A359,""([^.]+)$""))"),1.0)</f>
        <v>1</v>
      </c>
      <c r="G359" s="49">
        <v>3.0</v>
      </c>
      <c r="H359" s="26" t="b">
        <f>COUNTIFS(
 tblCostChecklist[RequirementID],A359,
 tblCostChecklist[PlayerPaid],TRUE
)&gt;0</f>
        <v>0</v>
      </c>
      <c r="I359" s="49">
        <f t="shared" si="1"/>
        <v>4</v>
      </c>
      <c r="J359" s="49">
        <f t="shared" si="2"/>
        <v>0</v>
      </c>
      <c r="K359" s="49">
        <f t="shared" si="3"/>
        <v>4</v>
      </c>
      <c r="L359" s="49" t="b">
        <f t="shared" si="4"/>
        <v>0</v>
      </c>
      <c r="M359" s="88">
        <f t="shared" si="5"/>
        <v>0</v>
      </c>
    </row>
    <row r="360" ht="14.25" customHeight="1">
      <c r="A360" s="49" t="s">
        <v>1811</v>
      </c>
      <c r="B360" s="49" t="str">
        <f>IFERROR(__xludf.DUMMYFUNCTION("REGEXEXTRACT(A360,""^cost\.(.*)\.[^.]+\.[^.]+$"")"),"building.onsen@1")</f>
        <v>building.onsen@1</v>
      </c>
      <c r="C360" s="49" t="str">
        <f t="array" ref="C360">_xlfn.XLOOKUP(
 B360,
 tblTargets[TargetID],
 tblTargets[DisplayName],
 ""
)</f>
        <v>Onsen Lv 1</v>
      </c>
      <c r="D360" s="49" t="str">
        <f t="array" ref="D360">_xlfn.XLOOKUP(
 B360,
 tblTargets[TargetID],
 tblTargets[TargetType],
 ""
)</f>
        <v>BUILDING</v>
      </c>
      <c r="E360" s="49" t="s">
        <v>119</v>
      </c>
      <c r="F360" s="87">
        <f>IFERROR(__xludf.DUMMYFUNCTION("VALUE(REGEXEXTRACT(A360,""([^.]+)$""))"),1.0)</f>
        <v>1</v>
      </c>
      <c r="G360" s="49">
        <v>500.0</v>
      </c>
      <c r="H360" s="26" t="b">
        <f>COUNTIFS(
 tblCostChecklist[RequirementID],A360,
 tblCostChecklist[PlayerPaid],TRUE
)&gt;0</f>
        <v>0</v>
      </c>
      <c r="I360" s="49">
        <f t="shared" si="1"/>
        <v>4</v>
      </c>
      <c r="J360" s="49">
        <f t="shared" si="2"/>
        <v>0</v>
      </c>
      <c r="K360" s="49">
        <f t="shared" si="3"/>
        <v>4</v>
      </c>
      <c r="L360" s="49" t="b">
        <f t="shared" si="4"/>
        <v>0</v>
      </c>
      <c r="M360" s="88">
        <f t="shared" si="5"/>
        <v>0</v>
      </c>
    </row>
    <row r="361" ht="14.25" customHeight="1">
      <c r="A361" s="49" t="s">
        <v>1820</v>
      </c>
      <c r="B361" s="49" t="str">
        <f>IFERROR(__xludf.DUMMYFUNCTION("REGEXEXTRACT(A361,""^cost\.(.*)\.[^.]+\.[^.]+$"")"),"building.onsen@1")</f>
        <v>building.onsen@1</v>
      </c>
      <c r="C361" s="49" t="str">
        <f t="array" ref="C361">_xlfn.XLOOKUP(
 B361,
 tblTargets[TargetID],
 tblTargets[DisplayName],
 ""
)</f>
        <v>Onsen Lv 1</v>
      </c>
      <c r="D361" s="49" t="str">
        <f t="array" ref="D361">_xlfn.XLOOKUP(
 B361,
 tblTargets[TargetID],
 tblTargets[TargetType],
 ""
)</f>
        <v>BUILDING</v>
      </c>
      <c r="E361" s="49" t="s">
        <v>187</v>
      </c>
      <c r="F361" s="87">
        <f>IFERROR(__xludf.DUMMYFUNCTION("VALUE(REGEXEXTRACT(A361,""([^.]+)$""))"),1.0)</f>
        <v>1</v>
      </c>
      <c r="G361" s="49">
        <v>500.0</v>
      </c>
      <c r="H361" s="26" t="b">
        <f>COUNTIFS(
 tblCostChecklist[RequirementID],A361,
 tblCostChecklist[PlayerPaid],TRUE
)&gt;0</f>
        <v>0</v>
      </c>
      <c r="I361" s="49">
        <f t="shared" si="1"/>
        <v>4</v>
      </c>
      <c r="J361" s="49">
        <f t="shared" si="2"/>
        <v>0</v>
      </c>
      <c r="K361" s="49">
        <f t="shared" si="3"/>
        <v>4</v>
      </c>
      <c r="L361" s="49" t="b">
        <f t="shared" si="4"/>
        <v>0</v>
      </c>
      <c r="M361" s="88">
        <f t="shared" si="5"/>
        <v>0</v>
      </c>
    </row>
    <row r="362" ht="14.25" customHeight="1">
      <c r="A362" s="49" t="s">
        <v>1840</v>
      </c>
      <c r="B362" s="49" t="str">
        <f>IFERROR(__xludf.DUMMYFUNCTION("REGEXEXTRACT(A362,""^cost\.(.*)\.[^.]+\.[^.]+$"")"),"building.onsen@1")</f>
        <v>building.onsen@1</v>
      </c>
      <c r="C362" s="49" t="str">
        <f t="array" ref="C362">_xlfn.XLOOKUP(
 B362,
 tblTargets[TargetID],
 tblTargets[DisplayName],
 ""
)</f>
        <v>Onsen Lv 1</v>
      </c>
      <c r="D362" s="49" t="str">
        <f t="array" ref="D362">_xlfn.XLOOKUP(
 B362,
 tblTargets[TargetID],
 tblTargets[TargetType],
 ""
)</f>
        <v>BUILDING</v>
      </c>
      <c r="E362" s="49" t="s">
        <v>237</v>
      </c>
      <c r="F362" s="87">
        <f>IFERROR(__xludf.DUMMYFUNCTION("VALUE(REGEXEXTRACT(A362,""([^.]+)$""))"),1.0)</f>
        <v>1</v>
      </c>
      <c r="G362" s="49">
        <v>400.0</v>
      </c>
      <c r="H362" s="26" t="b">
        <f>COUNTIFS(
 tblCostChecklist[RequirementID],A362,
 tblCostChecklist[PlayerPaid],TRUE
)&gt;0</f>
        <v>0</v>
      </c>
      <c r="I362" s="49">
        <f t="shared" si="1"/>
        <v>4</v>
      </c>
      <c r="J362" s="49">
        <f t="shared" si="2"/>
        <v>0</v>
      </c>
      <c r="K362" s="49">
        <f t="shared" si="3"/>
        <v>4</v>
      </c>
      <c r="L362" s="49" t="b">
        <f t="shared" si="4"/>
        <v>0</v>
      </c>
      <c r="M362" s="88">
        <f t="shared" si="5"/>
        <v>0</v>
      </c>
    </row>
    <row r="363" ht="14.25" customHeight="1">
      <c r="A363" s="49" t="s">
        <v>1869</v>
      </c>
      <c r="B363" s="49" t="str">
        <f>IFERROR(__xludf.DUMMYFUNCTION("REGEXEXTRACT(A363,""^cost\.(.*)\.[^.]+\.[^.]+$"")"),"building.onsen@2")</f>
        <v>building.onsen@2</v>
      </c>
      <c r="C363" s="49" t="str">
        <f t="array" ref="C363">_xlfn.XLOOKUP(
 B363,
 tblTargets[TargetID],
 tblTargets[DisplayName],
 ""
)</f>
        <v>Onsen Lv 2</v>
      </c>
      <c r="D363" s="49" t="str">
        <f t="array" ref="D363">_xlfn.XLOOKUP(
 B363,
 tblTargets[TargetID],
 tblTargets[TargetType],
 ""
)</f>
        <v>BUILDING</v>
      </c>
      <c r="E363" s="49" t="s">
        <v>6</v>
      </c>
      <c r="F363" s="87">
        <f>IFERROR(__xludf.DUMMYFUNCTION("VALUE(REGEXEXTRACT(A363,""([^.]+)$""))"),1.0)</f>
        <v>1</v>
      </c>
      <c r="G363" s="49">
        <v>5.0</v>
      </c>
      <c r="H363" s="26" t="b">
        <f>COUNTIFS(
 tblCostChecklist[RequirementID],A363,
 tblCostChecklist[PlayerPaid],TRUE
)&gt;0</f>
        <v>0</v>
      </c>
      <c r="I363" s="49">
        <f t="shared" si="1"/>
        <v>4</v>
      </c>
      <c r="J363" s="49">
        <f t="shared" si="2"/>
        <v>0</v>
      </c>
      <c r="K363" s="49">
        <f t="shared" si="3"/>
        <v>4</v>
      </c>
      <c r="L363" s="49" t="b">
        <f t="shared" si="4"/>
        <v>0</v>
      </c>
      <c r="M363" s="88">
        <f t="shared" si="5"/>
        <v>0</v>
      </c>
    </row>
    <row r="364" ht="14.25" customHeight="1">
      <c r="A364" s="49" t="s">
        <v>1849</v>
      </c>
      <c r="B364" s="49" t="str">
        <f>IFERROR(__xludf.DUMMYFUNCTION("REGEXEXTRACT(A364,""^cost\.(.*)\.[^.]+\.[^.]+$"")"),"building.onsen@2")</f>
        <v>building.onsen@2</v>
      </c>
      <c r="C364" s="49" t="str">
        <f t="array" ref="C364">_xlfn.XLOOKUP(
 B364,
 tblTargets[TargetID],
 tblTargets[DisplayName],
 ""
)</f>
        <v>Onsen Lv 2</v>
      </c>
      <c r="D364" s="49" t="str">
        <f t="array" ref="D364">_xlfn.XLOOKUP(
 B364,
 tblTargets[TargetID],
 tblTargets[TargetType],
 ""
)</f>
        <v>BUILDING</v>
      </c>
      <c r="E364" s="49" t="s">
        <v>119</v>
      </c>
      <c r="F364" s="87">
        <f>IFERROR(__xludf.DUMMYFUNCTION("VALUE(REGEXEXTRACT(A364,""([^.]+)$""))"),1.0)</f>
        <v>1</v>
      </c>
      <c r="G364" s="49">
        <v>800.0</v>
      </c>
      <c r="H364" s="26" t="b">
        <f>COUNTIFS(
 tblCostChecklist[RequirementID],A364,
 tblCostChecklist[PlayerPaid],TRUE
)&gt;0</f>
        <v>0</v>
      </c>
      <c r="I364" s="49">
        <f t="shared" si="1"/>
        <v>4</v>
      </c>
      <c r="J364" s="49">
        <f t="shared" si="2"/>
        <v>0</v>
      </c>
      <c r="K364" s="49">
        <f t="shared" si="3"/>
        <v>4</v>
      </c>
      <c r="L364" s="49" t="b">
        <f t="shared" si="4"/>
        <v>0</v>
      </c>
      <c r="M364" s="88">
        <f t="shared" si="5"/>
        <v>0</v>
      </c>
    </row>
    <row r="365" ht="14.25" customHeight="1">
      <c r="A365" s="49" t="s">
        <v>1860</v>
      </c>
      <c r="B365" s="49" t="str">
        <f>IFERROR(__xludf.DUMMYFUNCTION("REGEXEXTRACT(A365,""^cost\.(.*)\.[^.]+\.[^.]+$"")"),"building.onsen@2")</f>
        <v>building.onsen@2</v>
      </c>
      <c r="C365" s="49" t="str">
        <f t="array" ref="C365">_xlfn.XLOOKUP(
 B365,
 tblTargets[TargetID],
 tblTargets[DisplayName],
 ""
)</f>
        <v>Onsen Lv 2</v>
      </c>
      <c r="D365" s="49" t="str">
        <f t="array" ref="D365">_xlfn.XLOOKUP(
 B365,
 tblTargets[TargetID],
 tblTargets[TargetType],
 ""
)</f>
        <v>BUILDING</v>
      </c>
      <c r="E365" s="49" t="s">
        <v>187</v>
      </c>
      <c r="F365" s="87">
        <f>IFERROR(__xludf.DUMMYFUNCTION("VALUE(REGEXEXTRACT(A365,""([^.]+)$""))"),1.0)</f>
        <v>1</v>
      </c>
      <c r="G365" s="49">
        <v>600.0</v>
      </c>
      <c r="H365" s="26" t="b">
        <f>COUNTIFS(
 tblCostChecklist[RequirementID],A365,
 tblCostChecklist[PlayerPaid],TRUE
)&gt;0</f>
        <v>0</v>
      </c>
      <c r="I365" s="49">
        <f t="shared" si="1"/>
        <v>4</v>
      </c>
      <c r="J365" s="49">
        <f t="shared" si="2"/>
        <v>0</v>
      </c>
      <c r="K365" s="49">
        <f t="shared" si="3"/>
        <v>4</v>
      </c>
      <c r="L365" s="49" t="b">
        <f t="shared" si="4"/>
        <v>0</v>
      </c>
      <c r="M365" s="88">
        <f t="shared" si="5"/>
        <v>0</v>
      </c>
    </row>
    <row r="366" ht="14.25" customHeight="1">
      <c r="A366" s="49" t="s">
        <v>1876</v>
      </c>
      <c r="B366" s="49" t="str">
        <f>IFERROR(__xludf.DUMMYFUNCTION("REGEXEXTRACT(A366,""^cost\.(.*)\.[^.]+\.[^.]+$"")"),"building.onsen@2")</f>
        <v>building.onsen@2</v>
      </c>
      <c r="C366" s="49" t="str">
        <f t="array" ref="C366">_xlfn.XLOOKUP(
 B366,
 tblTargets[TargetID],
 tblTargets[DisplayName],
 ""
)</f>
        <v>Onsen Lv 2</v>
      </c>
      <c r="D366" s="49" t="str">
        <f t="array" ref="D366">_xlfn.XLOOKUP(
 B366,
 tblTargets[TargetID],
 tblTargets[TargetType],
 ""
)</f>
        <v>BUILDING</v>
      </c>
      <c r="E366" s="49" t="s">
        <v>237</v>
      </c>
      <c r="F366" s="87">
        <f>IFERROR(__xludf.DUMMYFUNCTION("VALUE(REGEXEXTRACT(A366,""([^.]+)$""))"),1.0)</f>
        <v>1</v>
      </c>
      <c r="G366" s="49">
        <v>500.0</v>
      </c>
      <c r="H366" s="26" t="b">
        <f>COUNTIFS(
 tblCostChecklist[RequirementID],A366,
 tblCostChecklist[PlayerPaid],TRUE
)&gt;0</f>
        <v>0</v>
      </c>
      <c r="I366" s="49">
        <f t="shared" si="1"/>
        <v>4</v>
      </c>
      <c r="J366" s="49">
        <f t="shared" si="2"/>
        <v>0</v>
      </c>
      <c r="K366" s="49">
        <f t="shared" si="3"/>
        <v>4</v>
      </c>
      <c r="L366" s="49" t="b">
        <f t="shared" si="4"/>
        <v>0</v>
      </c>
      <c r="M366" s="88">
        <f t="shared" si="5"/>
        <v>0</v>
      </c>
    </row>
    <row r="367" ht="14.25" customHeight="1">
      <c r="A367" s="49" t="s">
        <v>1928</v>
      </c>
      <c r="B367" s="49" t="str">
        <f>IFERROR(__xludf.DUMMYFUNCTION("REGEXEXTRACT(A367,""^cost\.(.*)\.[^.]+\.[^.]+$"")"),"building.outpost@1")</f>
        <v>building.outpost@1</v>
      </c>
      <c r="C367" s="49" t="str">
        <f t="array" ref="C367">_xlfn.XLOOKUP(
 B367,
 tblTargets[TargetID],
 tblTargets[DisplayName],
 ""
)</f>
        <v>Outpost Lv 1</v>
      </c>
      <c r="D367" s="49" t="str">
        <f t="array" ref="D367">_xlfn.XLOOKUP(
 B367,
 tblTargets[TargetID],
 tblTargets[TargetType],
 ""
)</f>
        <v>BUILDING</v>
      </c>
      <c r="E367" s="49" t="s">
        <v>6</v>
      </c>
      <c r="F367" s="87">
        <f>IFERROR(__xludf.DUMMYFUNCTION("VALUE(REGEXEXTRACT(A367,""([^.]+)$""))"),1.0)</f>
        <v>1</v>
      </c>
      <c r="G367" s="49">
        <v>6.0</v>
      </c>
      <c r="H367" s="26" t="b">
        <f>COUNTIFS(
 tblCostChecklist[RequirementID],A367,
 tblCostChecklist[PlayerPaid],TRUE
)&gt;0</f>
        <v>0</v>
      </c>
      <c r="I367" s="49">
        <f t="shared" si="1"/>
        <v>6</v>
      </c>
      <c r="J367" s="49">
        <f t="shared" si="2"/>
        <v>0</v>
      </c>
      <c r="K367" s="49">
        <f t="shared" si="3"/>
        <v>6</v>
      </c>
      <c r="L367" s="49" t="b">
        <f t="shared" si="4"/>
        <v>0</v>
      </c>
      <c r="M367" s="88">
        <f t="shared" si="5"/>
        <v>0</v>
      </c>
    </row>
    <row r="368" ht="14.25" customHeight="1">
      <c r="A368" s="49" t="s">
        <v>1908</v>
      </c>
      <c r="B368" s="49" t="str">
        <f>IFERROR(__xludf.DUMMYFUNCTION("REGEXEXTRACT(A368,""^cost\.(.*)\.[^.]+\.[^.]+$"")"),"building.outpost@1")</f>
        <v>building.outpost@1</v>
      </c>
      <c r="C368" s="49" t="str">
        <f t="array" ref="C368">_xlfn.XLOOKUP(
 B368,
 tblTargets[TargetID],
 tblTargets[DisplayName],
 ""
)</f>
        <v>Outpost Lv 1</v>
      </c>
      <c r="D368" s="49" t="str">
        <f t="array" ref="D368">_xlfn.XLOOKUP(
 B368,
 tblTargets[TargetID],
 tblTargets[TargetType],
 ""
)</f>
        <v>BUILDING</v>
      </c>
      <c r="E368" s="49" t="s">
        <v>119</v>
      </c>
      <c r="F368" s="87">
        <f>IFERROR(__xludf.DUMMYFUNCTION("VALUE(REGEXEXTRACT(A368,""([^.]+)$""))"),1.0)</f>
        <v>1</v>
      </c>
      <c r="G368" s="49">
        <v>1000.0</v>
      </c>
      <c r="H368" s="26" t="b">
        <f>COUNTIFS(
 tblCostChecklist[RequirementID],A368,
 tblCostChecklist[PlayerPaid],TRUE
)&gt;0</f>
        <v>0</v>
      </c>
      <c r="I368" s="49">
        <f t="shared" si="1"/>
        <v>6</v>
      </c>
      <c r="J368" s="49">
        <f t="shared" si="2"/>
        <v>0</v>
      </c>
      <c r="K368" s="49">
        <f t="shared" si="3"/>
        <v>6</v>
      </c>
      <c r="L368" s="49" t="b">
        <f t="shared" si="4"/>
        <v>0</v>
      </c>
      <c r="M368" s="88">
        <f t="shared" si="5"/>
        <v>0</v>
      </c>
    </row>
    <row r="369" ht="14.25" customHeight="1">
      <c r="A369" s="49" t="s">
        <v>1897</v>
      </c>
      <c r="B369" s="49" t="str">
        <f>IFERROR(__xludf.DUMMYFUNCTION("REGEXEXTRACT(A369,""^cost\.(.*)\.[^.]+\.[^.]+$"")"),"building.outpost@1")</f>
        <v>building.outpost@1</v>
      </c>
      <c r="C369" s="49" t="str">
        <f t="array" ref="C369">_xlfn.XLOOKUP(
 B369,
 tblTargets[TargetID],
 tblTargets[DisplayName],
 ""
)</f>
        <v>Outpost Lv 1</v>
      </c>
      <c r="D369" s="49" t="str">
        <f t="array" ref="D369">_xlfn.XLOOKUP(
 B369,
 tblTargets[TargetID],
 tblTargets[TargetType],
 ""
)</f>
        <v>BUILDING</v>
      </c>
      <c r="E369" s="49" t="s">
        <v>278</v>
      </c>
      <c r="F369" s="87">
        <f>IFERROR(__xludf.DUMMYFUNCTION("VALUE(REGEXEXTRACT(A369,""([^.]+)$""))"),1.0)</f>
        <v>1</v>
      </c>
      <c r="G369" s="49">
        <v>1000.0</v>
      </c>
      <c r="H369" s="26" t="b">
        <f>COUNTIFS(
 tblCostChecklist[RequirementID],A369,
 tblCostChecklist[PlayerPaid],TRUE
)&gt;0</f>
        <v>0</v>
      </c>
      <c r="I369" s="49">
        <f t="shared" si="1"/>
        <v>6</v>
      </c>
      <c r="J369" s="49">
        <f t="shared" si="2"/>
        <v>0</v>
      </c>
      <c r="K369" s="49">
        <f t="shared" si="3"/>
        <v>6</v>
      </c>
      <c r="L369" s="49" t="b">
        <f t="shared" si="4"/>
        <v>0</v>
      </c>
      <c r="M369" s="88">
        <f t="shared" si="5"/>
        <v>0</v>
      </c>
    </row>
    <row r="370" ht="14.25" customHeight="1">
      <c r="A370" s="49" t="s">
        <v>1935</v>
      </c>
      <c r="B370" s="49" t="str">
        <f>IFERROR(__xludf.DUMMYFUNCTION("REGEXEXTRACT(A370,""^cost\.(.*)\.[^.]+\.[^.]+$"")"),"building.outpost@1")</f>
        <v>building.outpost@1</v>
      </c>
      <c r="C370" s="49" t="str">
        <f t="array" ref="C370">_xlfn.XLOOKUP(
 B370,
 tblTargets[TargetID],
 tblTargets[DisplayName],
 ""
)</f>
        <v>Outpost Lv 1</v>
      </c>
      <c r="D370" s="49" t="str">
        <f t="array" ref="D370">_xlfn.XLOOKUP(
 B370,
 tblTargets[TargetID],
 tblTargets[TargetType],
 ""
)</f>
        <v>BUILDING</v>
      </c>
      <c r="E370" s="49" t="s">
        <v>237</v>
      </c>
      <c r="F370" s="87">
        <f>IFERROR(__xludf.DUMMYFUNCTION("VALUE(REGEXEXTRACT(A370,""([^.]+)$""))"),1.0)</f>
        <v>1</v>
      </c>
      <c r="G370" s="49">
        <v>1000.0</v>
      </c>
      <c r="H370" s="26" t="b">
        <f>COUNTIFS(
 tblCostChecklist[RequirementID],A370,
 tblCostChecklist[PlayerPaid],TRUE
)&gt;0</f>
        <v>0</v>
      </c>
      <c r="I370" s="49">
        <f t="shared" si="1"/>
        <v>6</v>
      </c>
      <c r="J370" s="49">
        <f t="shared" si="2"/>
        <v>0</v>
      </c>
      <c r="K370" s="49">
        <f t="shared" si="3"/>
        <v>6</v>
      </c>
      <c r="L370" s="49" t="b">
        <f t="shared" si="4"/>
        <v>0</v>
      </c>
      <c r="M370" s="88">
        <f t="shared" si="5"/>
        <v>0</v>
      </c>
    </row>
    <row r="371" ht="14.25" customHeight="1">
      <c r="A371" s="49" t="s">
        <v>1917</v>
      </c>
      <c r="B371" s="49" t="str">
        <f>IFERROR(__xludf.DUMMYFUNCTION("REGEXEXTRACT(A371,""^cost\.(.*)\.[^.]+\.[^.]+$"")"),"building.outpost@1")</f>
        <v>building.outpost@1</v>
      </c>
      <c r="C371" s="49" t="str">
        <f t="array" ref="C371">_xlfn.XLOOKUP(
 B371,
 tblTargets[TargetID],
 tblTargets[DisplayName],
 ""
)</f>
        <v>Outpost Lv 1</v>
      </c>
      <c r="D371" s="49" t="str">
        <f t="array" ref="D371">_xlfn.XLOOKUP(
 B371,
 tblTargets[TargetID],
 tblTargets[TargetType],
 ""
)</f>
        <v>BUILDING</v>
      </c>
      <c r="E371" s="49" t="s">
        <v>1922</v>
      </c>
      <c r="F371" s="87">
        <f>IFERROR(__xludf.DUMMYFUNCTION("VALUE(REGEXEXTRACT(A371,""([^.]+)$""))"),1.0)</f>
        <v>1</v>
      </c>
      <c r="G371" s="49">
        <v>100.0</v>
      </c>
      <c r="H371" s="26" t="b">
        <f>COUNTIFS(
 tblCostChecklist[RequirementID],A371,
 tblCostChecklist[PlayerPaid],TRUE
)&gt;0</f>
        <v>0</v>
      </c>
      <c r="I371" s="49">
        <f t="shared" si="1"/>
        <v>6</v>
      </c>
      <c r="J371" s="49">
        <f t="shared" si="2"/>
        <v>0</v>
      </c>
      <c r="K371" s="49">
        <f t="shared" si="3"/>
        <v>6</v>
      </c>
      <c r="L371" s="49" t="b">
        <f t="shared" si="4"/>
        <v>0</v>
      </c>
      <c r="M371" s="88">
        <f t="shared" si="5"/>
        <v>0</v>
      </c>
    </row>
    <row r="372" ht="14.25" customHeight="1">
      <c r="A372" s="49" t="s">
        <v>1887</v>
      </c>
      <c r="B372" s="49" t="str">
        <f>IFERROR(__xludf.DUMMYFUNCTION("REGEXEXTRACT(A372,""^cost\.(.*)\.[^.]+\.[^.]+$"")"),"building.outpost@1")</f>
        <v>building.outpost@1</v>
      </c>
      <c r="C372" s="49" t="str">
        <f t="array" ref="C372">_xlfn.XLOOKUP(
 B372,
 tblTargets[TargetID],
 tblTargets[DisplayName],
 ""
)</f>
        <v>Outpost Lv 1</v>
      </c>
      <c r="D372" s="49" t="str">
        <f t="array" ref="D372">_xlfn.XLOOKUP(
 B372,
 tblTargets[TargetID],
 tblTargets[TargetType],
 ""
)</f>
        <v>BUILDING</v>
      </c>
      <c r="E372" s="49" t="s">
        <v>1890</v>
      </c>
      <c r="F372" s="87">
        <f>IFERROR(__xludf.DUMMYFUNCTION("VALUE(REGEXEXTRACT(A372,""([^.]+)$""))"),1.0)</f>
        <v>1</v>
      </c>
      <c r="G372" s="49">
        <v>300.0</v>
      </c>
      <c r="H372" s="26" t="b">
        <f>COUNTIFS(
 tblCostChecklist[RequirementID],A372,
 tblCostChecklist[PlayerPaid],TRUE
)&gt;0</f>
        <v>0</v>
      </c>
      <c r="I372" s="49">
        <f t="shared" si="1"/>
        <v>6</v>
      </c>
      <c r="J372" s="49">
        <f t="shared" si="2"/>
        <v>0</v>
      </c>
      <c r="K372" s="49">
        <f t="shared" si="3"/>
        <v>6</v>
      </c>
      <c r="L372" s="49" t="b">
        <f t="shared" si="4"/>
        <v>0</v>
      </c>
      <c r="M372" s="88">
        <f t="shared" si="5"/>
        <v>0</v>
      </c>
    </row>
    <row r="373" ht="14.25" customHeight="1">
      <c r="A373" s="49" t="s">
        <v>1940</v>
      </c>
      <c r="B373" s="49" t="str">
        <f>IFERROR(__xludf.DUMMYFUNCTION("REGEXEXTRACT(A373,""^cost\.(.*)\.[^.]+\.[^.]+$"")"),"building.outpost@2")</f>
        <v>building.outpost@2</v>
      </c>
      <c r="C373" s="49" t="str">
        <f t="array" ref="C373">_xlfn.XLOOKUP(
 B373,
 tblTargets[TargetID],
 tblTargets[DisplayName],
 ""
)</f>
        <v>Outpost Lv 2</v>
      </c>
      <c r="D373" s="49" t="str">
        <f t="array" ref="D373">_xlfn.XLOOKUP(
 B373,
 tblTargets[TargetID],
 tblTargets[TargetType],
 ""
)</f>
        <v>BUILDING</v>
      </c>
      <c r="E373" s="49" t="s">
        <v>6</v>
      </c>
      <c r="F373" s="87">
        <f>IFERROR(__xludf.DUMMYFUNCTION("VALUE(REGEXEXTRACT(A373,""([^.]+)$""))"),1.0)</f>
        <v>1</v>
      </c>
      <c r="G373" s="49">
        <v>8.0</v>
      </c>
      <c r="H373" s="26" t="b">
        <f>COUNTIFS(
 tblCostChecklist[RequirementID],A373,
 tblCostChecklist[PlayerPaid],TRUE
)&gt;0</f>
        <v>0</v>
      </c>
      <c r="I373" s="49">
        <f t="shared" si="1"/>
        <v>6</v>
      </c>
      <c r="J373" s="49">
        <f t="shared" si="2"/>
        <v>0</v>
      </c>
      <c r="K373" s="49">
        <f t="shared" si="3"/>
        <v>6</v>
      </c>
      <c r="L373" s="49" t="b">
        <f t="shared" si="4"/>
        <v>0</v>
      </c>
      <c r="M373" s="88">
        <f t="shared" si="5"/>
        <v>0</v>
      </c>
    </row>
    <row r="374" ht="14.25" customHeight="1">
      <c r="A374" s="49" t="s">
        <v>1937</v>
      </c>
      <c r="B374" s="49" t="str">
        <f>IFERROR(__xludf.DUMMYFUNCTION("REGEXEXTRACT(A374,""^cost\.(.*)\.[^.]+\.[^.]+$"")"),"building.outpost@2")</f>
        <v>building.outpost@2</v>
      </c>
      <c r="C374" s="49" t="str">
        <f t="array" ref="C374">_xlfn.XLOOKUP(
 B374,
 tblTargets[TargetID],
 tblTargets[DisplayName],
 ""
)</f>
        <v>Outpost Lv 2</v>
      </c>
      <c r="D374" s="49" t="str">
        <f t="array" ref="D374">_xlfn.XLOOKUP(
 B374,
 tblTargets[TargetID],
 tblTargets[TargetType],
 ""
)</f>
        <v>BUILDING</v>
      </c>
      <c r="E374" s="49" t="s">
        <v>119</v>
      </c>
      <c r="F374" s="87">
        <f>IFERROR(__xludf.DUMMYFUNCTION("VALUE(REGEXEXTRACT(A374,""([^.]+)$""))"),1.0)</f>
        <v>1</v>
      </c>
      <c r="G374" s="49">
        <v>1500.0</v>
      </c>
      <c r="H374" s="26" t="b">
        <f>COUNTIFS(
 tblCostChecklist[RequirementID],A374,
 tblCostChecklist[PlayerPaid],TRUE
)&gt;0</f>
        <v>0</v>
      </c>
      <c r="I374" s="49">
        <f t="shared" si="1"/>
        <v>6</v>
      </c>
      <c r="J374" s="49">
        <f t="shared" si="2"/>
        <v>0</v>
      </c>
      <c r="K374" s="49">
        <f t="shared" si="3"/>
        <v>6</v>
      </c>
      <c r="L374" s="49" t="b">
        <f t="shared" si="4"/>
        <v>0</v>
      </c>
      <c r="M374" s="88">
        <f t="shared" si="5"/>
        <v>0</v>
      </c>
    </row>
    <row r="375" ht="14.25" customHeight="1">
      <c r="A375" s="49" t="s">
        <v>1936</v>
      </c>
      <c r="B375" s="49" t="str">
        <f>IFERROR(__xludf.DUMMYFUNCTION("REGEXEXTRACT(A375,""^cost\.(.*)\.[^.]+\.[^.]+$"")"),"building.outpost@2")</f>
        <v>building.outpost@2</v>
      </c>
      <c r="C375" s="49" t="str">
        <f t="array" ref="C375">_xlfn.XLOOKUP(
 B375,
 tblTargets[TargetID],
 tblTargets[DisplayName],
 ""
)</f>
        <v>Outpost Lv 2</v>
      </c>
      <c r="D375" s="49" t="str">
        <f t="array" ref="D375">_xlfn.XLOOKUP(
 B375,
 tblTargets[TargetID],
 tblTargets[TargetType],
 ""
)</f>
        <v>BUILDING</v>
      </c>
      <c r="E375" s="49" t="s">
        <v>278</v>
      </c>
      <c r="F375" s="87">
        <f>IFERROR(__xludf.DUMMYFUNCTION("VALUE(REGEXEXTRACT(A375,""([^.]+)$""))"),1.0)</f>
        <v>1</v>
      </c>
      <c r="G375" s="49">
        <v>1500.0</v>
      </c>
      <c r="H375" s="26" t="b">
        <f>COUNTIFS(
 tblCostChecklist[RequirementID],A375,
 tblCostChecklist[PlayerPaid],TRUE
)&gt;0</f>
        <v>0</v>
      </c>
      <c r="I375" s="49">
        <f t="shared" si="1"/>
        <v>6</v>
      </c>
      <c r="J375" s="49">
        <f t="shared" si="2"/>
        <v>0</v>
      </c>
      <c r="K375" s="49">
        <f t="shared" si="3"/>
        <v>6</v>
      </c>
      <c r="L375" s="49" t="b">
        <f t="shared" si="4"/>
        <v>0</v>
      </c>
      <c r="M375" s="88">
        <f t="shared" si="5"/>
        <v>0</v>
      </c>
    </row>
    <row r="376" ht="14.25" customHeight="1">
      <c r="A376" s="49" t="s">
        <v>1942</v>
      </c>
      <c r="B376" s="49" t="str">
        <f>IFERROR(__xludf.DUMMYFUNCTION("REGEXEXTRACT(A376,""^cost\.(.*)\.[^.]+\.[^.]+$"")"),"building.outpost@2")</f>
        <v>building.outpost@2</v>
      </c>
      <c r="C376" s="49" t="str">
        <f t="array" ref="C376">_xlfn.XLOOKUP(
 B376,
 tblTargets[TargetID],
 tblTargets[DisplayName],
 ""
)</f>
        <v>Outpost Lv 2</v>
      </c>
      <c r="D376" s="49" t="str">
        <f t="array" ref="D376">_xlfn.XLOOKUP(
 B376,
 tblTargets[TargetID],
 tblTargets[TargetType],
 ""
)</f>
        <v>BUILDING</v>
      </c>
      <c r="E376" s="49" t="s">
        <v>237</v>
      </c>
      <c r="F376" s="87">
        <f>IFERROR(__xludf.DUMMYFUNCTION("VALUE(REGEXEXTRACT(A376,""([^.]+)$""))"),1.0)</f>
        <v>1</v>
      </c>
      <c r="G376" s="49">
        <v>3000.0</v>
      </c>
      <c r="H376" s="26" t="b">
        <f>COUNTIFS(
 tblCostChecklist[RequirementID],A376,
 tblCostChecklist[PlayerPaid],TRUE
)&gt;0</f>
        <v>0</v>
      </c>
      <c r="I376" s="49">
        <f t="shared" si="1"/>
        <v>6</v>
      </c>
      <c r="J376" s="49">
        <f t="shared" si="2"/>
        <v>0</v>
      </c>
      <c r="K376" s="49">
        <f t="shared" si="3"/>
        <v>6</v>
      </c>
      <c r="L376" s="49" t="b">
        <f t="shared" si="4"/>
        <v>0</v>
      </c>
      <c r="M376" s="88">
        <f t="shared" si="5"/>
        <v>0</v>
      </c>
    </row>
    <row r="377" ht="14.25" customHeight="1">
      <c r="A377" s="49" t="s">
        <v>1941</v>
      </c>
      <c r="B377" s="49" t="str">
        <f>IFERROR(__xludf.DUMMYFUNCTION("REGEXEXTRACT(A377,""^cost\.(.*)\.[^.]+\.[^.]+$"")"),"building.outpost@2")</f>
        <v>building.outpost@2</v>
      </c>
      <c r="C377" s="49" t="str">
        <f t="array" ref="C377">_xlfn.XLOOKUP(
 B377,
 tblTargets[TargetID],
 tblTargets[DisplayName],
 ""
)</f>
        <v>Outpost Lv 2</v>
      </c>
      <c r="D377" s="49" t="str">
        <f t="array" ref="D377">_xlfn.XLOOKUP(
 B377,
 tblTargets[TargetID],
 tblTargets[TargetType],
 ""
)</f>
        <v>BUILDING</v>
      </c>
      <c r="E377" s="49" t="s">
        <v>392</v>
      </c>
      <c r="F377" s="87">
        <f>IFERROR(__xludf.DUMMYFUNCTION("VALUE(REGEXEXTRACT(A377,""([^.]+)$""))"),1.0)</f>
        <v>1</v>
      </c>
      <c r="G377" s="49">
        <v>300.0</v>
      </c>
      <c r="H377" s="26" t="b">
        <f>COUNTIFS(
 tblCostChecklist[RequirementID],A377,
 tblCostChecklist[PlayerPaid],TRUE
)&gt;0</f>
        <v>0</v>
      </c>
      <c r="I377" s="49">
        <f t="shared" si="1"/>
        <v>6</v>
      </c>
      <c r="J377" s="49">
        <f t="shared" si="2"/>
        <v>0</v>
      </c>
      <c r="K377" s="49">
        <f t="shared" si="3"/>
        <v>6</v>
      </c>
      <c r="L377" s="49" t="b">
        <f t="shared" si="4"/>
        <v>0</v>
      </c>
      <c r="M377" s="88">
        <f t="shared" si="5"/>
        <v>0</v>
      </c>
    </row>
    <row r="378" ht="14.25" customHeight="1">
      <c r="A378" s="49" t="s">
        <v>1938</v>
      </c>
      <c r="B378" s="49" t="str">
        <f>IFERROR(__xludf.DUMMYFUNCTION("REGEXEXTRACT(A378,""^cost\.(.*)\.[^.]+\.[^.]+$"")"),"building.outpost@2")</f>
        <v>building.outpost@2</v>
      </c>
      <c r="C378" s="49" t="str">
        <f t="array" ref="C378">_xlfn.XLOOKUP(
 B378,
 tblTargets[TargetID],
 tblTargets[DisplayName],
 ""
)</f>
        <v>Outpost Lv 2</v>
      </c>
      <c r="D378" s="49" t="str">
        <f t="array" ref="D378">_xlfn.XLOOKUP(
 B378,
 tblTargets[TargetID],
 tblTargets[TargetType],
 ""
)</f>
        <v>BUILDING</v>
      </c>
      <c r="E378" s="49" t="s">
        <v>1939</v>
      </c>
      <c r="F378" s="87">
        <f>IFERROR(__xludf.DUMMYFUNCTION("VALUE(REGEXEXTRACT(A378,""([^.]+)$""))"),1.0)</f>
        <v>1</v>
      </c>
      <c r="G378" s="49">
        <v>30.0</v>
      </c>
      <c r="H378" s="26" t="b">
        <f>COUNTIFS(
 tblCostChecklist[RequirementID],A378,
 tblCostChecklist[PlayerPaid],TRUE
)&gt;0</f>
        <v>0</v>
      </c>
      <c r="I378" s="49">
        <f t="shared" si="1"/>
        <v>6</v>
      </c>
      <c r="J378" s="49">
        <f t="shared" si="2"/>
        <v>0</v>
      </c>
      <c r="K378" s="49">
        <f t="shared" si="3"/>
        <v>6</v>
      </c>
      <c r="L378" s="49" t="b">
        <f t="shared" si="4"/>
        <v>0</v>
      </c>
      <c r="M378" s="88">
        <f t="shared" si="5"/>
        <v>0</v>
      </c>
    </row>
    <row r="379" ht="14.25" customHeight="1">
      <c r="A379" s="49" t="s">
        <v>1946</v>
      </c>
      <c r="B379" s="49" t="str">
        <f>IFERROR(__xludf.DUMMYFUNCTION("REGEXEXTRACT(A379,""^cost\.(.*)\.[^.]+\.[^.]+$"")"),"building.outpost@3")</f>
        <v>building.outpost@3</v>
      </c>
      <c r="C379" s="49" t="str">
        <f t="array" ref="C379">_xlfn.XLOOKUP(
 B379,
 tblTargets[TargetID],
 tblTargets[DisplayName],
 ""
)</f>
        <v>Outpost Lv 3</v>
      </c>
      <c r="D379" s="49" t="str">
        <f t="array" ref="D379">_xlfn.XLOOKUP(
 B379,
 tblTargets[TargetID],
 tblTargets[TargetType],
 ""
)</f>
        <v>BUILDING</v>
      </c>
      <c r="E379" s="49" t="s">
        <v>6</v>
      </c>
      <c r="F379" s="87">
        <f>IFERROR(__xludf.DUMMYFUNCTION("VALUE(REGEXEXTRACT(A379,""([^.]+)$""))"),1.0)</f>
        <v>1</v>
      </c>
      <c r="G379" s="49">
        <v>10.0</v>
      </c>
      <c r="H379" s="26" t="b">
        <f>COUNTIFS(
 tblCostChecklist[RequirementID],A379,
 tblCostChecklist[PlayerPaid],TRUE
)&gt;0</f>
        <v>0</v>
      </c>
      <c r="I379" s="49">
        <f t="shared" si="1"/>
        <v>6</v>
      </c>
      <c r="J379" s="49">
        <f t="shared" si="2"/>
        <v>0</v>
      </c>
      <c r="K379" s="49">
        <f t="shared" si="3"/>
        <v>6</v>
      </c>
      <c r="L379" s="49" t="b">
        <f t="shared" si="4"/>
        <v>0</v>
      </c>
      <c r="M379" s="88">
        <f t="shared" si="5"/>
        <v>0</v>
      </c>
    </row>
    <row r="380" ht="14.25" customHeight="1">
      <c r="A380" s="49" t="s">
        <v>1944</v>
      </c>
      <c r="B380" s="49" t="str">
        <f>IFERROR(__xludf.DUMMYFUNCTION("REGEXEXTRACT(A380,""^cost\.(.*)\.[^.]+\.[^.]+$"")"),"building.outpost@3")</f>
        <v>building.outpost@3</v>
      </c>
      <c r="C380" s="49" t="str">
        <f t="array" ref="C380">_xlfn.XLOOKUP(
 B380,
 tblTargets[TargetID],
 tblTargets[DisplayName],
 ""
)</f>
        <v>Outpost Lv 3</v>
      </c>
      <c r="D380" s="49" t="str">
        <f t="array" ref="D380">_xlfn.XLOOKUP(
 B380,
 tblTargets[TargetID],
 tblTargets[TargetType],
 ""
)</f>
        <v>BUILDING</v>
      </c>
      <c r="E380" s="49" t="s">
        <v>119</v>
      </c>
      <c r="F380" s="87">
        <f>IFERROR(__xludf.DUMMYFUNCTION("VALUE(REGEXEXTRACT(A380,""([^.]+)$""))"),1.0)</f>
        <v>1</v>
      </c>
      <c r="G380" s="49">
        <v>2000.0</v>
      </c>
      <c r="H380" s="26" t="b">
        <f>COUNTIFS(
 tblCostChecklist[RequirementID],A380,
 tblCostChecklist[PlayerPaid],TRUE
)&gt;0</f>
        <v>0</v>
      </c>
      <c r="I380" s="49">
        <f t="shared" si="1"/>
        <v>6</v>
      </c>
      <c r="J380" s="49">
        <f t="shared" si="2"/>
        <v>0</v>
      </c>
      <c r="K380" s="49">
        <f t="shared" si="3"/>
        <v>6</v>
      </c>
      <c r="L380" s="49" t="b">
        <f t="shared" si="4"/>
        <v>0</v>
      </c>
      <c r="M380" s="88">
        <f t="shared" si="5"/>
        <v>0</v>
      </c>
    </row>
    <row r="381" ht="14.25" customHeight="1">
      <c r="A381" s="49" t="s">
        <v>1943</v>
      </c>
      <c r="B381" s="49" t="str">
        <f>IFERROR(__xludf.DUMMYFUNCTION("REGEXEXTRACT(A381,""^cost\.(.*)\.[^.]+\.[^.]+$"")"),"building.outpost@3")</f>
        <v>building.outpost@3</v>
      </c>
      <c r="C381" s="49" t="str">
        <f t="array" ref="C381">_xlfn.XLOOKUP(
 B381,
 tblTargets[TargetID],
 tblTargets[DisplayName],
 ""
)</f>
        <v>Outpost Lv 3</v>
      </c>
      <c r="D381" s="49" t="str">
        <f t="array" ref="D381">_xlfn.XLOOKUP(
 B381,
 tblTargets[TargetID],
 tblTargets[TargetType],
 ""
)</f>
        <v>BUILDING</v>
      </c>
      <c r="E381" s="49" t="s">
        <v>278</v>
      </c>
      <c r="F381" s="87">
        <f>IFERROR(__xludf.DUMMYFUNCTION("VALUE(REGEXEXTRACT(A381,""([^.]+)$""))"),1.0)</f>
        <v>1</v>
      </c>
      <c r="G381" s="49">
        <v>2000.0</v>
      </c>
      <c r="H381" s="26" t="b">
        <f>COUNTIFS(
 tblCostChecklist[RequirementID],A381,
 tblCostChecklist[PlayerPaid],TRUE
)&gt;0</f>
        <v>0</v>
      </c>
      <c r="I381" s="49">
        <f t="shared" si="1"/>
        <v>6</v>
      </c>
      <c r="J381" s="49">
        <f t="shared" si="2"/>
        <v>0</v>
      </c>
      <c r="K381" s="49">
        <f t="shared" si="3"/>
        <v>6</v>
      </c>
      <c r="L381" s="49" t="b">
        <f t="shared" si="4"/>
        <v>0</v>
      </c>
      <c r="M381" s="88">
        <f t="shared" si="5"/>
        <v>0</v>
      </c>
    </row>
    <row r="382" ht="14.25" customHeight="1">
      <c r="A382" s="49" t="s">
        <v>1949</v>
      </c>
      <c r="B382" s="49" t="str">
        <f>IFERROR(__xludf.DUMMYFUNCTION("REGEXEXTRACT(A382,""^cost\.(.*)\.[^.]+\.[^.]+$"")"),"building.outpost@3")</f>
        <v>building.outpost@3</v>
      </c>
      <c r="C382" s="49" t="str">
        <f t="array" ref="C382">_xlfn.XLOOKUP(
 B382,
 tblTargets[TargetID],
 tblTargets[DisplayName],
 ""
)</f>
        <v>Outpost Lv 3</v>
      </c>
      <c r="D382" s="49" t="str">
        <f t="array" ref="D382">_xlfn.XLOOKUP(
 B382,
 tblTargets[TargetID],
 tblTargets[TargetType],
 ""
)</f>
        <v>BUILDING</v>
      </c>
      <c r="E382" s="49" t="s">
        <v>237</v>
      </c>
      <c r="F382" s="87">
        <f>IFERROR(__xludf.DUMMYFUNCTION("VALUE(REGEXEXTRACT(A382,""([^.]+)$""))"),1.0)</f>
        <v>1</v>
      </c>
      <c r="G382" s="49">
        <v>5000.0</v>
      </c>
      <c r="H382" s="26" t="b">
        <f>COUNTIFS(
 tblCostChecklist[RequirementID],A382,
 tblCostChecklist[PlayerPaid],TRUE
)&gt;0</f>
        <v>0</v>
      </c>
      <c r="I382" s="49">
        <f t="shared" si="1"/>
        <v>6</v>
      </c>
      <c r="J382" s="49">
        <f t="shared" si="2"/>
        <v>0</v>
      </c>
      <c r="K382" s="49">
        <f t="shared" si="3"/>
        <v>6</v>
      </c>
      <c r="L382" s="49" t="b">
        <f t="shared" si="4"/>
        <v>0</v>
      </c>
      <c r="M382" s="88">
        <f t="shared" si="5"/>
        <v>0</v>
      </c>
    </row>
    <row r="383" ht="14.25" customHeight="1">
      <c r="A383" s="49" t="s">
        <v>1945</v>
      </c>
      <c r="B383" s="49" t="str">
        <f>IFERROR(__xludf.DUMMYFUNCTION("REGEXEXTRACT(A383,""^cost\.(.*)\.[^.]+\.[^.]+$"")"),"building.outpost@3")</f>
        <v>building.outpost@3</v>
      </c>
      <c r="C383" s="49" t="str">
        <f t="array" ref="C383">_xlfn.XLOOKUP(
 B383,
 tblTargets[TargetID],
 tblTargets[DisplayName],
 ""
)</f>
        <v>Outpost Lv 3</v>
      </c>
      <c r="D383" s="49" t="str">
        <f t="array" ref="D383">_xlfn.XLOOKUP(
 B383,
 tblTargets[TargetID],
 tblTargets[TargetType],
 ""
)</f>
        <v>BUILDING</v>
      </c>
      <c r="E383" s="49" t="s">
        <v>588</v>
      </c>
      <c r="F383" s="87">
        <f>IFERROR(__xludf.DUMMYFUNCTION("VALUE(REGEXEXTRACT(A383,""([^.]+)$""))"),1.0)</f>
        <v>1</v>
      </c>
      <c r="G383" s="49">
        <v>20.0</v>
      </c>
      <c r="H383" s="26" t="b">
        <f>COUNTIFS(
 tblCostChecklist[RequirementID],A383,
 tblCostChecklist[PlayerPaid],TRUE
)&gt;0</f>
        <v>0</v>
      </c>
      <c r="I383" s="49">
        <f t="shared" si="1"/>
        <v>6</v>
      </c>
      <c r="J383" s="49">
        <f t="shared" si="2"/>
        <v>0</v>
      </c>
      <c r="K383" s="49">
        <f t="shared" si="3"/>
        <v>6</v>
      </c>
      <c r="L383" s="49" t="b">
        <f t="shared" si="4"/>
        <v>0</v>
      </c>
      <c r="M383" s="88">
        <f t="shared" si="5"/>
        <v>0</v>
      </c>
    </row>
    <row r="384" ht="14.25" customHeight="1">
      <c r="A384" s="49" t="s">
        <v>1947</v>
      </c>
      <c r="B384" s="49" t="str">
        <f>IFERROR(__xludf.DUMMYFUNCTION("REGEXEXTRACT(A384,""^cost\.(.*)\.[^.]+\.[^.]+$"")"),"building.outpost@3")</f>
        <v>building.outpost@3</v>
      </c>
      <c r="C384" s="49" t="str">
        <f t="array" ref="C384">_xlfn.XLOOKUP(
 B384,
 tblTargets[TargetID],
 tblTargets[DisplayName],
 ""
)</f>
        <v>Outpost Lv 3</v>
      </c>
      <c r="D384" s="49" t="str">
        <f t="array" ref="D384">_xlfn.XLOOKUP(
 B384,
 tblTargets[TargetID],
 tblTargets[TargetType],
 ""
)</f>
        <v>BUILDING</v>
      </c>
      <c r="E384" s="49" t="s">
        <v>1948</v>
      </c>
      <c r="F384" s="87">
        <f>IFERROR(__xludf.DUMMYFUNCTION("VALUE(REGEXEXTRACT(A384,""([^.]+)$""))"),1.0)</f>
        <v>1</v>
      </c>
      <c r="G384" s="49">
        <v>20.0</v>
      </c>
      <c r="H384" s="26" t="b">
        <f>COUNTIFS(
 tblCostChecklist[RequirementID],A384,
 tblCostChecklist[PlayerPaid],TRUE
)&gt;0</f>
        <v>0</v>
      </c>
      <c r="I384" s="49">
        <f t="shared" si="1"/>
        <v>6</v>
      </c>
      <c r="J384" s="49">
        <f t="shared" si="2"/>
        <v>0</v>
      </c>
      <c r="K384" s="49">
        <f t="shared" si="3"/>
        <v>6</v>
      </c>
      <c r="L384" s="49" t="b">
        <f t="shared" si="4"/>
        <v>0</v>
      </c>
      <c r="M384" s="88">
        <f t="shared" si="5"/>
        <v>0</v>
      </c>
    </row>
    <row r="385" ht="14.25" customHeight="1">
      <c r="A385" s="49" t="s">
        <v>1971</v>
      </c>
      <c r="B385" s="49" t="str">
        <f>IFERROR(__xludf.DUMMYFUNCTION("REGEXEXTRACT(A385,""^cost\.(.*)\.[^.]+\.[^.]+$"")"),"building.pagoda@1")</f>
        <v>building.pagoda@1</v>
      </c>
      <c r="C385" s="49" t="str">
        <f t="array" ref="C385">_xlfn.XLOOKUP(
 B385,
 tblTargets[TargetID],
 tblTargets[DisplayName],
 ""
)</f>
        <v>Pagoda Lv 1</v>
      </c>
      <c r="D385" s="49" t="str">
        <f t="array" ref="D385">_xlfn.XLOOKUP(
 B385,
 tblTargets[TargetID],
 tblTargets[TargetType],
 ""
)</f>
        <v>BUILDING</v>
      </c>
      <c r="E385" s="49" t="s">
        <v>6</v>
      </c>
      <c r="F385" s="87">
        <f>IFERROR(__xludf.DUMMYFUNCTION("VALUE(REGEXEXTRACT(A385,""([^.]+)$""))"),1.0)</f>
        <v>1</v>
      </c>
      <c r="G385" s="49">
        <v>1.0</v>
      </c>
      <c r="H385" s="26" t="b">
        <f>COUNTIFS(
 tblCostChecklist[RequirementID],A385,
 tblCostChecklist[PlayerPaid],TRUE
)&gt;0</f>
        <v>0</v>
      </c>
      <c r="I385" s="49">
        <f t="shared" si="1"/>
        <v>5</v>
      </c>
      <c r="J385" s="49">
        <f t="shared" si="2"/>
        <v>0</v>
      </c>
      <c r="K385" s="49">
        <f t="shared" si="3"/>
        <v>5</v>
      </c>
      <c r="L385" s="49" t="b">
        <f t="shared" si="4"/>
        <v>0</v>
      </c>
      <c r="M385" s="88">
        <f t="shared" si="5"/>
        <v>0</v>
      </c>
    </row>
    <row r="386" ht="14.25" customHeight="1">
      <c r="A386" s="49" t="s">
        <v>1950</v>
      </c>
      <c r="B386" s="49" t="str">
        <f>IFERROR(__xludf.DUMMYFUNCTION("REGEXEXTRACT(A386,""^cost\.(.*)\.[^.]+\.[^.]+$"")"),"building.pagoda@1")</f>
        <v>building.pagoda@1</v>
      </c>
      <c r="C386" s="49" t="str">
        <f t="array" ref="C386">_xlfn.XLOOKUP(
 B386,
 tblTargets[TargetID],
 tblTargets[DisplayName],
 ""
)</f>
        <v>Pagoda Lv 1</v>
      </c>
      <c r="D386" s="49" t="str">
        <f t="array" ref="D386">_xlfn.XLOOKUP(
 B386,
 tblTargets[TargetID],
 tblTargets[TargetType],
 ""
)</f>
        <v>BUILDING</v>
      </c>
      <c r="E386" s="49" t="s">
        <v>119</v>
      </c>
      <c r="F386" s="87">
        <f>IFERROR(__xludf.DUMMYFUNCTION("VALUE(REGEXEXTRACT(A386,""([^.]+)$""))"),1.0)</f>
        <v>1</v>
      </c>
      <c r="G386" s="49">
        <v>50.0</v>
      </c>
      <c r="H386" s="26" t="b">
        <f>COUNTIFS(
 tblCostChecklist[RequirementID],A386,
 tblCostChecklist[PlayerPaid],TRUE
)&gt;0</f>
        <v>0</v>
      </c>
      <c r="I386" s="49">
        <f t="shared" si="1"/>
        <v>5</v>
      </c>
      <c r="J386" s="49">
        <f t="shared" si="2"/>
        <v>0</v>
      </c>
      <c r="K386" s="49">
        <f t="shared" si="3"/>
        <v>5</v>
      </c>
      <c r="L386" s="49" t="b">
        <f t="shared" si="4"/>
        <v>0</v>
      </c>
      <c r="M386" s="88">
        <f t="shared" si="5"/>
        <v>0</v>
      </c>
    </row>
    <row r="387" ht="14.25" customHeight="1">
      <c r="A387" s="49" t="s">
        <v>1973</v>
      </c>
      <c r="B387" s="49" t="str">
        <f>IFERROR(__xludf.DUMMYFUNCTION("REGEXEXTRACT(A387,""^cost\.(.*)\.[^.]+\.[^.]+$"")"),"building.pagoda@1")</f>
        <v>building.pagoda@1</v>
      </c>
      <c r="C387" s="49" t="str">
        <f t="array" ref="C387">_xlfn.XLOOKUP(
 B387,
 tblTargets[TargetID],
 tblTargets[DisplayName],
 ""
)</f>
        <v>Pagoda Lv 1</v>
      </c>
      <c r="D387" s="49" t="str">
        <f t="array" ref="D387">_xlfn.XLOOKUP(
 B387,
 tblTargets[TargetID],
 tblTargets[TargetType],
 ""
)</f>
        <v>BUILDING</v>
      </c>
      <c r="E387" s="49" t="s">
        <v>244</v>
      </c>
      <c r="F387" s="87">
        <f>IFERROR(__xludf.DUMMYFUNCTION("VALUE(REGEXEXTRACT(A387,""([^.]+)$""))"),1.0)</f>
        <v>1</v>
      </c>
      <c r="G387" s="49">
        <v>50.0</v>
      </c>
      <c r="H387" s="26" t="b">
        <f>COUNTIFS(
 tblCostChecklist[RequirementID],A387,
 tblCostChecklist[PlayerPaid],TRUE
)&gt;0</f>
        <v>0</v>
      </c>
      <c r="I387" s="49">
        <f t="shared" si="1"/>
        <v>5</v>
      </c>
      <c r="J387" s="49">
        <f t="shared" si="2"/>
        <v>0</v>
      </c>
      <c r="K387" s="49">
        <f t="shared" si="3"/>
        <v>5</v>
      </c>
      <c r="L387" s="49" t="b">
        <f t="shared" si="4"/>
        <v>0</v>
      </c>
      <c r="M387" s="88">
        <f t="shared" si="5"/>
        <v>0</v>
      </c>
    </row>
    <row r="388" ht="14.25" customHeight="1">
      <c r="A388" s="49" t="s">
        <v>1972</v>
      </c>
      <c r="B388" s="49" t="str">
        <f>IFERROR(__xludf.DUMMYFUNCTION("REGEXEXTRACT(A388,""^cost\.(.*)\.[^.]+\.[^.]+$"")"),"building.pagoda@1")</f>
        <v>building.pagoda@1</v>
      </c>
      <c r="C388" s="49" t="str">
        <f t="array" ref="C388">_xlfn.XLOOKUP(
 B388,
 tblTargets[TargetID],
 tblTargets[DisplayName],
 ""
)</f>
        <v>Pagoda Lv 1</v>
      </c>
      <c r="D388" s="49" t="str">
        <f t="array" ref="D388">_xlfn.XLOOKUP(
 B388,
 tblTargets[TargetID],
 tblTargets[TargetType],
 ""
)</f>
        <v>BUILDING</v>
      </c>
      <c r="E388" s="49" t="s">
        <v>237</v>
      </c>
      <c r="F388" s="87">
        <f>IFERROR(__xludf.DUMMYFUNCTION("VALUE(REGEXEXTRACT(A388,""([^.]+)$""))"),1.0)</f>
        <v>1</v>
      </c>
      <c r="G388" s="49">
        <v>50.0</v>
      </c>
      <c r="H388" s="26" t="b">
        <f>COUNTIFS(
 tblCostChecklist[RequirementID],A388,
 tblCostChecklist[PlayerPaid],TRUE
)&gt;0</f>
        <v>0</v>
      </c>
      <c r="I388" s="49">
        <f t="shared" si="1"/>
        <v>5</v>
      </c>
      <c r="J388" s="49">
        <f t="shared" si="2"/>
        <v>0</v>
      </c>
      <c r="K388" s="49">
        <f t="shared" si="3"/>
        <v>5</v>
      </c>
      <c r="L388" s="49" t="b">
        <f t="shared" si="4"/>
        <v>0</v>
      </c>
      <c r="M388" s="88">
        <f t="shared" si="5"/>
        <v>0</v>
      </c>
    </row>
    <row r="389" ht="14.25" customHeight="1">
      <c r="A389" s="49" t="s">
        <v>1953</v>
      </c>
      <c r="B389" s="49" t="str">
        <f>IFERROR(__xludf.DUMMYFUNCTION("REGEXEXTRACT(A389,""^cost\.(.*)\.[^.]+\.[^.]+$"")"),"building.pagoda@1")</f>
        <v>building.pagoda@1</v>
      </c>
      <c r="C389" s="49" t="str">
        <f t="array" ref="C389">_xlfn.XLOOKUP(
 B389,
 tblTargets[TargetID],
 tblTargets[DisplayName],
 ""
)</f>
        <v>Pagoda Lv 1</v>
      </c>
      <c r="D389" s="49" t="str">
        <f t="array" ref="D389">_xlfn.XLOOKUP(
 B389,
 tblTargets[TargetID],
 tblTargets[TargetType],
 ""
)</f>
        <v>BUILDING</v>
      </c>
      <c r="E389" s="49" t="s">
        <v>561</v>
      </c>
      <c r="F389" s="87">
        <f>IFERROR(__xludf.DUMMYFUNCTION("VALUE(REGEXEXTRACT(A389,""([^.]+)$""))"),1.0)</f>
        <v>1</v>
      </c>
      <c r="G389" s="49">
        <v>5.0</v>
      </c>
      <c r="H389" s="26" t="b">
        <f>COUNTIFS(
 tblCostChecklist[RequirementID],A389,
 tblCostChecklist[PlayerPaid],TRUE
)&gt;0</f>
        <v>0</v>
      </c>
      <c r="I389" s="49">
        <f t="shared" si="1"/>
        <v>5</v>
      </c>
      <c r="J389" s="49">
        <f t="shared" si="2"/>
        <v>0</v>
      </c>
      <c r="K389" s="49">
        <f t="shared" si="3"/>
        <v>5</v>
      </c>
      <c r="L389" s="49" t="b">
        <f t="shared" si="4"/>
        <v>0</v>
      </c>
      <c r="M389" s="88">
        <f t="shared" si="5"/>
        <v>0</v>
      </c>
    </row>
    <row r="390" ht="14.25" customHeight="1">
      <c r="A390" s="49" t="s">
        <v>1976</v>
      </c>
      <c r="B390" s="49" t="str">
        <f>IFERROR(__xludf.DUMMYFUNCTION("REGEXEXTRACT(A390,""^cost\.(.*)\.[^.]+\.[^.]+$"")"),"building.pagoda@2")</f>
        <v>building.pagoda@2</v>
      </c>
      <c r="C390" s="49" t="str">
        <f t="array" ref="C390">_xlfn.XLOOKUP(
 B390,
 tblTargets[TargetID],
 tblTargets[DisplayName],
 ""
)</f>
        <v>Pagoda Lv 2</v>
      </c>
      <c r="D390" s="49" t="str">
        <f t="array" ref="D390">_xlfn.XLOOKUP(
 B390,
 tblTargets[TargetID],
 tblTargets[TargetType],
 ""
)</f>
        <v>BUILDING</v>
      </c>
      <c r="E390" s="49" t="s">
        <v>6</v>
      </c>
      <c r="F390" s="87">
        <f>IFERROR(__xludf.DUMMYFUNCTION("VALUE(REGEXEXTRACT(A390,""([^.]+)$""))"),1.0)</f>
        <v>1</v>
      </c>
      <c r="G390" s="49">
        <v>2.0</v>
      </c>
      <c r="H390" s="26" t="b">
        <f>COUNTIFS(
 tblCostChecklist[RequirementID],A390,
 tblCostChecklist[PlayerPaid],TRUE
)&gt;0</f>
        <v>0</v>
      </c>
      <c r="I390" s="49">
        <f t="shared" si="1"/>
        <v>5</v>
      </c>
      <c r="J390" s="49">
        <f t="shared" si="2"/>
        <v>0</v>
      </c>
      <c r="K390" s="49">
        <f t="shared" si="3"/>
        <v>5</v>
      </c>
      <c r="L390" s="49" t="b">
        <f t="shared" si="4"/>
        <v>0</v>
      </c>
      <c r="M390" s="88">
        <f t="shared" si="5"/>
        <v>0</v>
      </c>
    </row>
    <row r="391" ht="14.25" customHeight="1">
      <c r="A391" s="49" t="s">
        <v>1975</v>
      </c>
      <c r="B391" s="49" t="str">
        <f>IFERROR(__xludf.DUMMYFUNCTION("REGEXEXTRACT(A391,""^cost\.(.*)\.[^.]+\.[^.]+$"")"),"building.pagoda@2")</f>
        <v>building.pagoda@2</v>
      </c>
      <c r="C391" s="49" t="str">
        <f t="array" ref="C391">_xlfn.XLOOKUP(
 B391,
 tblTargets[TargetID],
 tblTargets[DisplayName],
 ""
)</f>
        <v>Pagoda Lv 2</v>
      </c>
      <c r="D391" s="49" t="str">
        <f t="array" ref="D391">_xlfn.XLOOKUP(
 B391,
 tblTargets[TargetID],
 tblTargets[TargetType],
 ""
)</f>
        <v>BUILDING</v>
      </c>
      <c r="E391" s="49" t="s">
        <v>119</v>
      </c>
      <c r="F391" s="87">
        <f>IFERROR(__xludf.DUMMYFUNCTION("VALUE(REGEXEXTRACT(A391,""([^.]+)$""))"),1.0)</f>
        <v>1</v>
      </c>
      <c r="G391" s="49">
        <v>200.0</v>
      </c>
      <c r="H391" s="26" t="b">
        <f>COUNTIFS(
 tblCostChecklist[RequirementID],A391,
 tblCostChecklist[PlayerPaid],TRUE
)&gt;0</f>
        <v>0</v>
      </c>
      <c r="I391" s="49">
        <f t="shared" si="1"/>
        <v>5</v>
      </c>
      <c r="J391" s="49">
        <f t="shared" si="2"/>
        <v>0</v>
      </c>
      <c r="K391" s="49">
        <f t="shared" si="3"/>
        <v>5</v>
      </c>
      <c r="L391" s="49" t="b">
        <f t="shared" si="4"/>
        <v>0</v>
      </c>
      <c r="M391" s="88">
        <f t="shared" si="5"/>
        <v>0</v>
      </c>
    </row>
    <row r="392" ht="14.25" customHeight="1">
      <c r="A392" s="49" t="s">
        <v>1978</v>
      </c>
      <c r="B392" s="49" t="str">
        <f>IFERROR(__xludf.DUMMYFUNCTION("REGEXEXTRACT(A392,""^cost\.(.*)\.[^.]+\.[^.]+$"")"),"building.pagoda@2")</f>
        <v>building.pagoda@2</v>
      </c>
      <c r="C392" s="49" t="str">
        <f t="array" ref="C392">_xlfn.XLOOKUP(
 B392,
 tblTargets[TargetID],
 tblTargets[DisplayName],
 ""
)</f>
        <v>Pagoda Lv 2</v>
      </c>
      <c r="D392" s="49" t="str">
        <f t="array" ref="D392">_xlfn.XLOOKUP(
 B392,
 tblTargets[TargetID],
 tblTargets[TargetType],
 ""
)</f>
        <v>BUILDING</v>
      </c>
      <c r="E392" s="49" t="s">
        <v>244</v>
      </c>
      <c r="F392" s="87">
        <f>IFERROR(__xludf.DUMMYFUNCTION("VALUE(REGEXEXTRACT(A392,""([^.]+)$""))"),1.0)</f>
        <v>1</v>
      </c>
      <c r="G392" s="49">
        <v>200.0</v>
      </c>
      <c r="H392" s="26" t="b">
        <f>COUNTIFS(
 tblCostChecklist[RequirementID],A392,
 tblCostChecklist[PlayerPaid],TRUE
)&gt;0</f>
        <v>0</v>
      </c>
      <c r="I392" s="49">
        <f t="shared" si="1"/>
        <v>5</v>
      </c>
      <c r="J392" s="49">
        <f t="shared" si="2"/>
        <v>0</v>
      </c>
      <c r="K392" s="49">
        <f t="shared" si="3"/>
        <v>5</v>
      </c>
      <c r="L392" s="49" t="b">
        <f t="shared" si="4"/>
        <v>0</v>
      </c>
      <c r="M392" s="88">
        <f t="shared" si="5"/>
        <v>0</v>
      </c>
    </row>
    <row r="393" ht="14.25" customHeight="1">
      <c r="A393" s="49" t="s">
        <v>1977</v>
      </c>
      <c r="B393" s="49" t="str">
        <f>IFERROR(__xludf.DUMMYFUNCTION("REGEXEXTRACT(A393,""^cost\.(.*)\.[^.]+\.[^.]+$"")"),"building.pagoda@2")</f>
        <v>building.pagoda@2</v>
      </c>
      <c r="C393" s="49" t="str">
        <f t="array" ref="C393">_xlfn.XLOOKUP(
 B393,
 tblTargets[TargetID],
 tblTargets[DisplayName],
 ""
)</f>
        <v>Pagoda Lv 2</v>
      </c>
      <c r="D393" s="49" t="str">
        <f t="array" ref="D393">_xlfn.XLOOKUP(
 B393,
 tblTargets[TargetID],
 tblTargets[TargetType],
 ""
)</f>
        <v>BUILDING</v>
      </c>
      <c r="E393" s="49" t="s">
        <v>237</v>
      </c>
      <c r="F393" s="87">
        <f>IFERROR(__xludf.DUMMYFUNCTION("VALUE(REGEXEXTRACT(A393,""([^.]+)$""))"),1.0)</f>
        <v>1</v>
      </c>
      <c r="G393" s="49">
        <v>200.0</v>
      </c>
      <c r="H393" s="26" t="b">
        <f>COUNTIFS(
 tblCostChecklist[RequirementID],A393,
 tblCostChecklist[PlayerPaid],TRUE
)&gt;0</f>
        <v>0</v>
      </c>
      <c r="I393" s="49">
        <f t="shared" si="1"/>
        <v>5</v>
      </c>
      <c r="J393" s="49">
        <f t="shared" si="2"/>
        <v>0</v>
      </c>
      <c r="K393" s="49">
        <f t="shared" si="3"/>
        <v>5</v>
      </c>
      <c r="L393" s="49" t="b">
        <f t="shared" si="4"/>
        <v>0</v>
      </c>
      <c r="M393" s="88">
        <f t="shared" si="5"/>
        <v>0</v>
      </c>
    </row>
    <row r="394" ht="14.25" customHeight="1">
      <c r="A394" s="49" t="s">
        <v>1974</v>
      </c>
      <c r="B394" s="49" t="str">
        <f>IFERROR(__xludf.DUMMYFUNCTION("REGEXEXTRACT(A394,""^cost\.(.*)\.[^.]+\.[^.]+$"")"),"building.pagoda@2")</f>
        <v>building.pagoda@2</v>
      </c>
      <c r="C394" s="49" t="str">
        <f t="array" ref="C394">_xlfn.XLOOKUP(
 B394,
 tblTargets[TargetID],
 tblTargets[DisplayName],
 ""
)</f>
        <v>Pagoda Lv 2</v>
      </c>
      <c r="D394" s="49" t="str">
        <f t="array" ref="D394">_xlfn.XLOOKUP(
 B394,
 tblTargets[TargetID],
 tblTargets[TargetType],
 ""
)</f>
        <v>BUILDING</v>
      </c>
      <c r="E394" s="49" t="s">
        <v>113</v>
      </c>
      <c r="F394" s="87">
        <f>IFERROR(__xludf.DUMMYFUNCTION("VALUE(REGEXEXTRACT(A394,""([^.]+)$""))"),1.0)</f>
        <v>1</v>
      </c>
      <c r="G394" s="49">
        <v>10.0</v>
      </c>
      <c r="H394" s="26" t="b">
        <f>COUNTIFS(
 tblCostChecklist[RequirementID],A394,
 tblCostChecklist[PlayerPaid],TRUE
)&gt;0</f>
        <v>0</v>
      </c>
      <c r="I394" s="49">
        <f t="shared" si="1"/>
        <v>5</v>
      </c>
      <c r="J394" s="49">
        <f t="shared" si="2"/>
        <v>0</v>
      </c>
      <c r="K394" s="49">
        <f t="shared" si="3"/>
        <v>5</v>
      </c>
      <c r="L394" s="49" t="b">
        <f t="shared" si="4"/>
        <v>0</v>
      </c>
      <c r="M394" s="88">
        <f t="shared" si="5"/>
        <v>0</v>
      </c>
    </row>
    <row r="395" ht="14.25" customHeight="1">
      <c r="A395" s="49" t="s">
        <v>1981</v>
      </c>
      <c r="B395" s="49" t="str">
        <f>IFERROR(__xludf.DUMMYFUNCTION("REGEXEXTRACT(A395,""^cost\.(.*)\.[^.]+\.[^.]+$"")"),"building.pagoda@3")</f>
        <v>building.pagoda@3</v>
      </c>
      <c r="C395" s="49" t="str">
        <f t="array" ref="C395">_xlfn.XLOOKUP(
 B395,
 tblTargets[TargetID],
 tblTargets[DisplayName],
 ""
)</f>
        <v>Pagoda Lv 3</v>
      </c>
      <c r="D395" s="49" t="str">
        <f t="array" ref="D395">_xlfn.XLOOKUP(
 B395,
 tblTargets[TargetID],
 tblTargets[TargetType],
 ""
)</f>
        <v>BUILDING</v>
      </c>
      <c r="E395" s="49" t="s">
        <v>6</v>
      </c>
      <c r="F395" s="87">
        <f>IFERROR(__xludf.DUMMYFUNCTION("VALUE(REGEXEXTRACT(A395,""([^.]+)$""))"),1.0)</f>
        <v>1</v>
      </c>
      <c r="G395" s="49">
        <v>4.0</v>
      </c>
      <c r="H395" s="26" t="b">
        <f>COUNTIFS(
 tblCostChecklist[RequirementID],A395,
 tblCostChecklist[PlayerPaid],TRUE
)&gt;0</f>
        <v>0</v>
      </c>
      <c r="I395" s="49">
        <f t="shared" si="1"/>
        <v>5</v>
      </c>
      <c r="J395" s="49">
        <f t="shared" si="2"/>
        <v>0</v>
      </c>
      <c r="K395" s="49">
        <f t="shared" si="3"/>
        <v>5</v>
      </c>
      <c r="L395" s="49" t="b">
        <f t="shared" si="4"/>
        <v>0</v>
      </c>
      <c r="M395" s="88">
        <f t="shared" si="5"/>
        <v>0</v>
      </c>
    </row>
    <row r="396" ht="14.25" customHeight="1">
      <c r="A396" s="49" t="s">
        <v>1980</v>
      </c>
      <c r="B396" s="49" t="str">
        <f>IFERROR(__xludf.DUMMYFUNCTION("REGEXEXTRACT(A396,""^cost\.(.*)\.[^.]+\.[^.]+$"")"),"building.pagoda@3")</f>
        <v>building.pagoda@3</v>
      </c>
      <c r="C396" s="49" t="str">
        <f t="array" ref="C396">_xlfn.XLOOKUP(
 B396,
 tblTargets[TargetID],
 tblTargets[DisplayName],
 ""
)</f>
        <v>Pagoda Lv 3</v>
      </c>
      <c r="D396" s="49" t="str">
        <f t="array" ref="D396">_xlfn.XLOOKUP(
 B396,
 tblTargets[TargetID],
 tblTargets[TargetType],
 ""
)</f>
        <v>BUILDING</v>
      </c>
      <c r="E396" s="49" t="s">
        <v>119</v>
      </c>
      <c r="F396" s="87">
        <f>IFERROR(__xludf.DUMMYFUNCTION("VALUE(REGEXEXTRACT(A396,""([^.]+)$""))"),1.0)</f>
        <v>1</v>
      </c>
      <c r="G396" s="49">
        <v>300.0</v>
      </c>
      <c r="H396" s="26" t="b">
        <f>COUNTIFS(
 tblCostChecklist[RequirementID],A396,
 tblCostChecklist[PlayerPaid],TRUE
)&gt;0</f>
        <v>0</v>
      </c>
      <c r="I396" s="49">
        <f t="shared" si="1"/>
        <v>5</v>
      </c>
      <c r="J396" s="49">
        <f t="shared" si="2"/>
        <v>0</v>
      </c>
      <c r="K396" s="49">
        <f t="shared" si="3"/>
        <v>5</v>
      </c>
      <c r="L396" s="49" t="b">
        <f t="shared" si="4"/>
        <v>0</v>
      </c>
      <c r="M396" s="88">
        <f t="shared" si="5"/>
        <v>0</v>
      </c>
    </row>
    <row r="397" ht="14.25" customHeight="1">
      <c r="A397" s="49" t="s">
        <v>1979</v>
      </c>
      <c r="B397" s="49" t="str">
        <f>IFERROR(__xludf.DUMMYFUNCTION("REGEXEXTRACT(A397,""^cost\.(.*)\.[^.]+\.[^.]+$"")"),"building.pagoda@3")</f>
        <v>building.pagoda@3</v>
      </c>
      <c r="C397" s="49" t="str">
        <f t="array" ref="C397">_xlfn.XLOOKUP(
 B397,
 tblTargets[TargetID],
 tblTargets[DisplayName],
 ""
)</f>
        <v>Pagoda Lv 3</v>
      </c>
      <c r="D397" s="49" t="str">
        <f t="array" ref="D397">_xlfn.XLOOKUP(
 B397,
 tblTargets[TargetID],
 tblTargets[TargetType],
 ""
)</f>
        <v>BUILDING</v>
      </c>
      <c r="E397" s="49" t="s">
        <v>278</v>
      </c>
      <c r="F397" s="87">
        <f>IFERROR(__xludf.DUMMYFUNCTION("VALUE(REGEXEXTRACT(A397,""([^.]+)$""))"),1.0)</f>
        <v>1</v>
      </c>
      <c r="G397" s="49">
        <v>600.0</v>
      </c>
      <c r="H397" s="26" t="b">
        <f>COUNTIFS(
 tblCostChecklist[RequirementID],A397,
 tblCostChecklist[PlayerPaid],TRUE
)&gt;0</f>
        <v>0</v>
      </c>
      <c r="I397" s="49">
        <f t="shared" si="1"/>
        <v>5</v>
      </c>
      <c r="J397" s="49">
        <f t="shared" si="2"/>
        <v>0</v>
      </c>
      <c r="K397" s="49">
        <f t="shared" si="3"/>
        <v>5</v>
      </c>
      <c r="L397" s="49" t="b">
        <f t="shared" si="4"/>
        <v>0</v>
      </c>
      <c r="M397" s="88">
        <f t="shared" si="5"/>
        <v>0</v>
      </c>
    </row>
    <row r="398" ht="14.25" customHeight="1">
      <c r="A398" s="49" t="s">
        <v>1983</v>
      </c>
      <c r="B398" s="49" t="str">
        <f>IFERROR(__xludf.DUMMYFUNCTION("REGEXEXTRACT(A398,""^cost\.(.*)\.[^.]+\.[^.]+$"")"),"building.pagoda@3")</f>
        <v>building.pagoda@3</v>
      </c>
      <c r="C398" s="49" t="str">
        <f t="array" ref="C398">_xlfn.XLOOKUP(
 B398,
 tblTargets[TargetID],
 tblTargets[DisplayName],
 ""
)</f>
        <v>Pagoda Lv 3</v>
      </c>
      <c r="D398" s="49" t="str">
        <f t="array" ref="D398">_xlfn.XLOOKUP(
 B398,
 tblTargets[TargetID],
 tblTargets[TargetType],
 ""
)</f>
        <v>BUILDING</v>
      </c>
      <c r="E398" s="49" t="s">
        <v>237</v>
      </c>
      <c r="F398" s="87">
        <f>IFERROR(__xludf.DUMMYFUNCTION("VALUE(REGEXEXTRACT(A398,""([^.]+)$""))"),1.0)</f>
        <v>1</v>
      </c>
      <c r="G398" s="49">
        <v>300.0</v>
      </c>
      <c r="H398" s="26" t="b">
        <f>COUNTIFS(
 tblCostChecklist[RequirementID],A398,
 tblCostChecklist[PlayerPaid],TRUE
)&gt;0</f>
        <v>0</v>
      </c>
      <c r="I398" s="49">
        <f t="shared" si="1"/>
        <v>5</v>
      </c>
      <c r="J398" s="49">
        <f t="shared" si="2"/>
        <v>0</v>
      </c>
      <c r="K398" s="49">
        <f t="shared" si="3"/>
        <v>5</v>
      </c>
      <c r="L398" s="49" t="b">
        <f t="shared" si="4"/>
        <v>0</v>
      </c>
      <c r="M398" s="88">
        <f t="shared" si="5"/>
        <v>0</v>
      </c>
    </row>
    <row r="399" ht="14.25" customHeight="1">
      <c r="A399" s="49" t="s">
        <v>1982</v>
      </c>
      <c r="B399" s="49" t="str">
        <f>IFERROR(__xludf.DUMMYFUNCTION("REGEXEXTRACT(A399,""^cost\.(.*)\.[^.]+\.[^.]+$"")"),"building.pagoda@3")</f>
        <v>building.pagoda@3</v>
      </c>
      <c r="C399" s="49" t="str">
        <f t="array" ref="C399">_xlfn.XLOOKUP(
 B399,
 tblTargets[TargetID],
 tblTargets[DisplayName],
 ""
)</f>
        <v>Pagoda Lv 3</v>
      </c>
      <c r="D399" s="49" t="str">
        <f t="array" ref="D399">_xlfn.XLOOKUP(
 B399,
 tblTargets[TargetID],
 tblTargets[TargetType],
 ""
)</f>
        <v>BUILDING</v>
      </c>
      <c r="E399" s="49" t="s">
        <v>392</v>
      </c>
      <c r="F399" s="87">
        <f>IFERROR(__xludf.DUMMYFUNCTION("VALUE(REGEXEXTRACT(A399,""([^.]+)$""))"),1.0)</f>
        <v>1</v>
      </c>
      <c r="G399" s="49">
        <v>50.0</v>
      </c>
      <c r="H399" s="26" t="b">
        <f>COUNTIFS(
 tblCostChecklist[RequirementID],A399,
 tblCostChecklist[PlayerPaid],TRUE
)&gt;0</f>
        <v>0</v>
      </c>
      <c r="I399" s="49">
        <f t="shared" si="1"/>
        <v>5</v>
      </c>
      <c r="J399" s="49">
        <f t="shared" si="2"/>
        <v>0</v>
      </c>
      <c r="K399" s="49">
        <f t="shared" si="3"/>
        <v>5</v>
      </c>
      <c r="L399" s="49" t="b">
        <f t="shared" si="4"/>
        <v>0</v>
      </c>
      <c r="M399" s="88">
        <f t="shared" si="5"/>
        <v>0</v>
      </c>
    </row>
    <row r="400" ht="14.25" customHeight="1">
      <c r="A400" s="49" t="s">
        <v>1987</v>
      </c>
      <c r="B400" s="49" t="str">
        <f>IFERROR(__xludf.DUMMYFUNCTION("REGEXEXTRACT(A400,""^cost\.(.*)\.[^.]+\.[^.]+$"")"),"building.pagoda@4")</f>
        <v>building.pagoda@4</v>
      </c>
      <c r="C400" s="49" t="str">
        <f t="array" ref="C400">_xlfn.XLOOKUP(
 B400,
 tblTargets[TargetID],
 tblTargets[DisplayName],
 ""
)</f>
        <v>Pagoda Lv 4</v>
      </c>
      <c r="D400" s="49" t="str">
        <f t="array" ref="D400">_xlfn.XLOOKUP(
 B400,
 tblTargets[TargetID],
 tblTargets[TargetType],
 ""
)</f>
        <v>BUILDING</v>
      </c>
      <c r="E400" s="49" t="s">
        <v>6</v>
      </c>
      <c r="F400" s="87">
        <f>IFERROR(__xludf.DUMMYFUNCTION("VALUE(REGEXEXTRACT(A400,""([^.]+)$""))"),1.0)</f>
        <v>1</v>
      </c>
      <c r="G400" s="49">
        <v>6.0</v>
      </c>
      <c r="H400" s="26" t="b">
        <f>COUNTIFS(
 tblCostChecklist[RequirementID],A400,
 tblCostChecklist[PlayerPaid],TRUE
)&gt;0</f>
        <v>0</v>
      </c>
      <c r="I400" s="49">
        <f t="shared" si="1"/>
        <v>5</v>
      </c>
      <c r="J400" s="49">
        <f t="shared" si="2"/>
        <v>0</v>
      </c>
      <c r="K400" s="49">
        <f t="shared" si="3"/>
        <v>5</v>
      </c>
      <c r="L400" s="49" t="b">
        <f t="shared" si="4"/>
        <v>0</v>
      </c>
      <c r="M400" s="88">
        <f t="shared" si="5"/>
        <v>0</v>
      </c>
    </row>
    <row r="401" ht="14.25" customHeight="1">
      <c r="A401" s="49" t="s">
        <v>1985</v>
      </c>
      <c r="B401" s="49" t="str">
        <f>IFERROR(__xludf.DUMMYFUNCTION("REGEXEXTRACT(A401,""^cost\.(.*)\.[^.]+\.[^.]+$"")"),"building.pagoda@4")</f>
        <v>building.pagoda@4</v>
      </c>
      <c r="C401" s="49" t="str">
        <f t="array" ref="C401">_xlfn.XLOOKUP(
 B401,
 tblTargets[TargetID],
 tblTargets[DisplayName],
 ""
)</f>
        <v>Pagoda Lv 4</v>
      </c>
      <c r="D401" s="49" t="str">
        <f t="array" ref="D401">_xlfn.XLOOKUP(
 B401,
 tblTargets[TargetID],
 tblTargets[TargetType],
 ""
)</f>
        <v>BUILDING</v>
      </c>
      <c r="E401" s="49" t="s">
        <v>119</v>
      </c>
      <c r="F401" s="87">
        <f>IFERROR(__xludf.DUMMYFUNCTION("VALUE(REGEXEXTRACT(A401,""([^.]+)$""))"),1.0)</f>
        <v>1</v>
      </c>
      <c r="G401" s="49">
        <v>350.0</v>
      </c>
      <c r="H401" s="26" t="b">
        <f>COUNTIFS(
 tblCostChecklist[RequirementID],A401,
 tblCostChecklist[PlayerPaid],TRUE
)&gt;0</f>
        <v>0</v>
      </c>
      <c r="I401" s="49">
        <f t="shared" si="1"/>
        <v>5</v>
      </c>
      <c r="J401" s="49">
        <f t="shared" si="2"/>
        <v>0</v>
      </c>
      <c r="K401" s="49">
        <f t="shared" si="3"/>
        <v>5</v>
      </c>
      <c r="L401" s="49" t="b">
        <f t="shared" si="4"/>
        <v>0</v>
      </c>
      <c r="M401" s="88">
        <f t="shared" si="5"/>
        <v>0</v>
      </c>
    </row>
    <row r="402" ht="14.25" customHeight="1">
      <c r="A402" s="49" t="s">
        <v>1984</v>
      </c>
      <c r="B402" s="49" t="str">
        <f>IFERROR(__xludf.DUMMYFUNCTION("REGEXEXTRACT(A402,""^cost\.(.*)\.[^.]+\.[^.]+$"")"),"building.pagoda@4")</f>
        <v>building.pagoda@4</v>
      </c>
      <c r="C402" s="49" t="str">
        <f t="array" ref="C402">_xlfn.XLOOKUP(
 B402,
 tblTargets[TargetID],
 tblTargets[DisplayName],
 ""
)</f>
        <v>Pagoda Lv 4</v>
      </c>
      <c r="D402" s="49" t="str">
        <f t="array" ref="D402">_xlfn.XLOOKUP(
 B402,
 tblTargets[TargetID],
 tblTargets[TargetType],
 ""
)</f>
        <v>BUILDING</v>
      </c>
      <c r="E402" s="49" t="s">
        <v>278</v>
      </c>
      <c r="F402" s="87">
        <f>IFERROR(__xludf.DUMMYFUNCTION("VALUE(REGEXEXTRACT(A402,""([^.]+)$""))"),1.0)</f>
        <v>1</v>
      </c>
      <c r="G402" s="49">
        <v>700.0</v>
      </c>
      <c r="H402" s="26" t="b">
        <f>COUNTIFS(
 tblCostChecklist[RequirementID],A402,
 tblCostChecklist[PlayerPaid],TRUE
)&gt;0</f>
        <v>0</v>
      </c>
      <c r="I402" s="49">
        <f t="shared" si="1"/>
        <v>5</v>
      </c>
      <c r="J402" s="49">
        <f t="shared" si="2"/>
        <v>0</v>
      </c>
      <c r="K402" s="49">
        <f t="shared" si="3"/>
        <v>5</v>
      </c>
      <c r="L402" s="49" t="b">
        <f t="shared" si="4"/>
        <v>0</v>
      </c>
      <c r="M402" s="88">
        <f t="shared" si="5"/>
        <v>0</v>
      </c>
    </row>
    <row r="403" ht="14.25" customHeight="1">
      <c r="A403" s="49" t="s">
        <v>1988</v>
      </c>
      <c r="B403" s="49" t="str">
        <f>IFERROR(__xludf.DUMMYFUNCTION("REGEXEXTRACT(A403,""^cost\.(.*)\.[^.]+\.[^.]+$"")"),"building.pagoda@4")</f>
        <v>building.pagoda@4</v>
      </c>
      <c r="C403" s="49" t="str">
        <f t="array" ref="C403">_xlfn.XLOOKUP(
 B403,
 tblTargets[TargetID],
 tblTargets[DisplayName],
 ""
)</f>
        <v>Pagoda Lv 4</v>
      </c>
      <c r="D403" s="49" t="str">
        <f t="array" ref="D403">_xlfn.XLOOKUP(
 B403,
 tblTargets[TargetID],
 tblTargets[TargetType],
 ""
)</f>
        <v>BUILDING</v>
      </c>
      <c r="E403" s="49" t="s">
        <v>237</v>
      </c>
      <c r="F403" s="87">
        <f>IFERROR(__xludf.DUMMYFUNCTION("VALUE(REGEXEXTRACT(A403,""([^.]+)$""))"),1.0)</f>
        <v>1</v>
      </c>
      <c r="G403" s="49">
        <v>350.0</v>
      </c>
      <c r="H403" s="26" t="b">
        <f>COUNTIFS(
 tblCostChecklist[RequirementID],A403,
 tblCostChecklist[PlayerPaid],TRUE
)&gt;0</f>
        <v>0</v>
      </c>
      <c r="I403" s="49">
        <f t="shared" si="1"/>
        <v>5</v>
      </c>
      <c r="J403" s="49">
        <f t="shared" si="2"/>
        <v>0</v>
      </c>
      <c r="K403" s="49">
        <f t="shared" si="3"/>
        <v>5</v>
      </c>
      <c r="L403" s="49" t="b">
        <f t="shared" si="4"/>
        <v>0</v>
      </c>
      <c r="M403" s="88">
        <f t="shared" si="5"/>
        <v>0</v>
      </c>
    </row>
    <row r="404" ht="14.25" customHeight="1">
      <c r="A404" s="49" t="s">
        <v>1986</v>
      </c>
      <c r="B404" s="49" t="str">
        <f>IFERROR(__xludf.DUMMYFUNCTION("REGEXEXTRACT(A404,""^cost\.(.*)\.[^.]+\.[^.]+$"")"),"building.pagoda@4")</f>
        <v>building.pagoda@4</v>
      </c>
      <c r="C404" s="49" t="str">
        <f t="array" ref="C404">_xlfn.XLOOKUP(
 B404,
 tblTargets[TargetID],
 tblTargets[DisplayName],
 ""
)</f>
        <v>Pagoda Lv 4</v>
      </c>
      <c r="D404" s="49" t="str">
        <f t="array" ref="D404">_xlfn.XLOOKUP(
 B404,
 tblTargets[TargetID],
 tblTargets[TargetType],
 ""
)</f>
        <v>BUILDING</v>
      </c>
      <c r="E404" s="49" t="s">
        <v>171</v>
      </c>
      <c r="F404" s="87">
        <f>IFERROR(__xludf.DUMMYFUNCTION("VALUE(REGEXEXTRACT(A404,""([^.]+)$""))"),1.0)</f>
        <v>1</v>
      </c>
      <c r="G404" s="49">
        <v>30.0</v>
      </c>
      <c r="H404" s="26" t="b">
        <f>COUNTIFS(
 tblCostChecklist[RequirementID],A404,
 tblCostChecklist[PlayerPaid],TRUE
)&gt;0</f>
        <v>0</v>
      </c>
      <c r="I404" s="49">
        <f t="shared" si="1"/>
        <v>5</v>
      </c>
      <c r="J404" s="49">
        <f t="shared" si="2"/>
        <v>0</v>
      </c>
      <c r="K404" s="49">
        <f t="shared" si="3"/>
        <v>5</v>
      </c>
      <c r="L404" s="49" t="b">
        <f t="shared" si="4"/>
        <v>0</v>
      </c>
      <c r="M404" s="88">
        <f t="shared" si="5"/>
        <v>0</v>
      </c>
    </row>
    <row r="405" ht="14.25" customHeight="1">
      <c r="A405" s="49" t="s">
        <v>1993</v>
      </c>
      <c r="B405" s="49" t="str">
        <f>IFERROR(__xludf.DUMMYFUNCTION("REGEXEXTRACT(A405,""^cost\.(.*)\.[^.]+\.[^.]+$"")"),"building.pagoda@5")</f>
        <v>building.pagoda@5</v>
      </c>
      <c r="C405" s="49" t="str">
        <f t="array" ref="C405">_xlfn.XLOOKUP(
 B405,
 tblTargets[TargetID],
 tblTargets[DisplayName],
 ""
)</f>
        <v>Pagoda Lv 5</v>
      </c>
      <c r="D405" s="49" t="str">
        <f t="array" ref="D405">_xlfn.XLOOKUP(
 B405,
 tblTargets[TargetID],
 tblTargets[TargetType],
 ""
)</f>
        <v>BUILDING</v>
      </c>
      <c r="E405" s="49" t="s">
        <v>6</v>
      </c>
      <c r="F405" s="87">
        <f>IFERROR(__xludf.DUMMYFUNCTION("VALUE(REGEXEXTRACT(A405,""([^.]+)$""))"),1.0)</f>
        <v>1</v>
      </c>
      <c r="G405" s="49">
        <v>8.0</v>
      </c>
      <c r="H405" s="26" t="b">
        <f>COUNTIFS(
 tblCostChecklist[RequirementID],A405,
 tblCostChecklist[PlayerPaid],TRUE
)&gt;0</f>
        <v>0</v>
      </c>
      <c r="I405" s="49">
        <f t="shared" si="1"/>
        <v>5</v>
      </c>
      <c r="J405" s="49">
        <f t="shared" si="2"/>
        <v>0</v>
      </c>
      <c r="K405" s="49">
        <f t="shared" si="3"/>
        <v>5</v>
      </c>
      <c r="L405" s="49" t="b">
        <f t="shared" si="4"/>
        <v>0</v>
      </c>
      <c r="M405" s="88">
        <f t="shared" si="5"/>
        <v>0</v>
      </c>
    </row>
    <row r="406" ht="14.25" customHeight="1">
      <c r="A406" s="49" t="s">
        <v>1990</v>
      </c>
      <c r="B406" s="49" t="str">
        <f>IFERROR(__xludf.DUMMYFUNCTION("REGEXEXTRACT(A406,""^cost\.(.*)\.[^.]+\.[^.]+$"")"),"building.pagoda@5")</f>
        <v>building.pagoda@5</v>
      </c>
      <c r="C406" s="49" t="str">
        <f t="array" ref="C406">_xlfn.XLOOKUP(
 B406,
 tblTargets[TargetID],
 tblTargets[DisplayName],
 ""
)</f>
        <v>Pagoda Lv 5</v>
      </c>
      <c r="D406" s="49" t="str">
        <f t="array" ref="D406">_xlfn.XLOOKUP(
 B406,
 tblTargets[TargetID],
 tblTargets[TargetType],
 ""
)</f>
        <v>BUILDING</v>
      </c>
      <c r="E406" s="49" t="s">
        <v>119</v>
      </c>
      <c r="F406" s="87">
        <f>IFERROR(__xludf.DUMMYFUNCTION("VALUE(REGEXEXTRACT(A406,""([^.]+)$""))"),1.0)</f>
        <v>1</v>
      </c>
      <c r="G406" s="49">
        <v>400.0</v>
      </c>
      <c r="H406" s="26" t="b">
        <f>COUNTIFS(
 tblCostChecklist[RequirementID],A406,
 tblCostChecklist[PlayerPaid],TRUE
)&gt;0</f>
        <v>0</v>
      </c>
      <c r="I406" s="49">
        <f t="shared" si="1"/>
        <v>5</v>
      </c>
      <c r="J406" s="49">
        <f t="shared" si="2"/>
        <v>0</v>
      </c>
      <c r="K406" s="49">
        <f t="shared" si="3"/>
        <v>5</v>
      </c>
      <c r="L406" s="49" t="b">
        <f t="shared" si="4"/>
        <v>0</v>
      </c>
      <c r="M406" s="88">
        <f t="shared" si="5"/>
        <v>0</v>
      </c>
    </row>
    <row r="407" ht="14.25" customHeight="1">
      <c r="A407" s="49" t="s">
        <v>1989</v>
      </c>
      <c r="B407" s="49" t="str">
        <f>IFERROR(__xludf.DUMMYFUNCTION("REGEXEXTRACT(A407,""^cost\.(.*)\.[^.]+\.[^.]+$"")"),"building.pagoda@5")</f>
        <v>building.pagoda@5</v>
      </c>
      <c r="C407" s="49" t="str">
        <f t="array" ref="C407">_xlfn.XLOOKUP(
 B407,
 tblTargets[TargetID],
 tblTargets[DisplayName],
 ""
)</f>
        <v>Pagoda Lv 5</v>
      </c>
      <c r="D407" s="49" t="str">
        <f t="array" ref="D407">_xlfn.XLOOKUP(
 B407,
 tblTargets[TargetID],
 tblTargets[TargetType],
 ""
)</f>
        <v>BUILDING</v>
      </c>
      <c r="E407" s="49" t="s">
        <v>278</v>
      </c>
      <c r="F407" s="87">
        <f>IFERROR(__xludf.DUMMYFUNCTION("VALUE(REGEXEXTRACT(A407,""([^.]+)$""))"),1.0)</f>
        <v>1</v>
      </c>
      <c r="G407" s="49">
        <v>800.0</v>
      </c>
      <c r="H407" s="26" t="b">
        <f>COUNTIFS(
 tblCostChecklist[RequirementID],A407,
 tblCostChecklist[PlayerPaid],TRUE
)&gt;0</f>
        <v>0</v>
      </c>
      <c r="I407" s="49">
        <f t="shared" si="1"/>
        <v>5</v>
      </c>
      <c r="J407" s="49">
        <f t="shared" si="2"/>
        <v>0</v>
      </c>
      <c r="K407" s="49">
        <f t="shared" si="3"/>
        <v>5</v>
      </c>
      <c r="L407" s="49" t="b">
        <f t="shared" si="4"/>
        <v>0</v>
      </c>
      <c r="M407" s="88">
        <f t="shared" si="5"/>
        <v>0</v>
      </c>
    </row>
    <row r="408" ht="14.25" customHeight="1">
      <c r="A408" s="49" t="s">
        <v>1994</v>
      </c>
      <c r="B408" s="49" t="str">
        <f>IFERROR(__xludf.DUMMYFUNCTION("REGEXEXTRACT(A408,""^cost\.(.*)\.[^.]+\.[^.]+$"")"),"building.pagoda@5")</f>
        <v>building.pagoda@5</v>
      </c>
      <c r="C408" s="49" t="str">
        <f t="array" ref="C408">_xlfn.XLOOKUP(
 B408,
 tblTargets[TargetID],
 tblTargets[DisplayName],
 ""
)</f>
        <v>Pagoda Lv 5</v>
      </c>
      <c r="D408" s="49" t="str">
        <f t="array" ref="D408">_xlfn.XLOOKUP(
 B408,
 tblTargets[TargetID],
 tblTargets[TargetType],
 ""
)</f>
        <v>BUILDING</v>
      </c>
      <c r="E408" s="49" t="s">
        <v>237</v>
      </c>
      <c r="F408" s="87">
        <f>IFERROR(__xludf.DUMMYFUNCTION("VALUE(REGEXEXTRACT(A408,""([^.]+)$""))"),1.0)</f>
        <v>1</v>
      </c>
      <c r="G408" s="49">
        <v>400.0</v>
      </c>
      <c r="H408" s="26" t="b">
        <f>COUNTIFS(
 tblCostChecklist[RequirementID],A408,
 tblCostChecklist[PlayerPaid],TRUE
)&gt;0</f>
        <v>0</v>
      </c>
      <c r="I408" s="49">
        <f t="shared" si="1"/>
        <v>5</v>
      </c>
      <c r="J408" s="49">
        <f t="shared" si="2"/>
        <v>0</v>
      </c>
      <c r="K408" s="49">
        <f t="shared" si="3"/>
        <v>5</v>
      </c>
      <c r="L408" s="49" t="b">
        <f t="shared" si="4"/>
        <v>0</v>
      </c>
      <c r="M408" s="88">
        <f t="shared" si="5"/>
        <v>0</v>
      </c>
    </row>
    <row r="409" ht="14.25" customHeight="1">
      <c r="A409" s="49" t="s">
        <v>1991</v>
      </c>
      <c r="B409" s="49" t="str">
        <f>IFERROR(__xludf.DUMMYFUNCTION("REGEXEXTRACT(A409,""^cost\.(.*)\.[^.]+\.[^.]+$"")"),"building.pagoda@5")</f>
        <v>building.pagoda@5</v>
      </c>
      <c r="C409" s="49" t="str">
        <f t="array" ref="C409">_xlfn.XLOOKUP(
 B409,
 tblTargets[TargetID],
 tblTargets[DisplayName],
 ""
)</f>
        <v>Pagoda Lv 5</v>
      </c>
      <c r="D409" s="49" t="str">
        <f t="array" ref="D409">_xlfn.XLOOKUP(
 B409,
 tblTargets[TargetID],
 tblTargets[TargetType],
 ""
)</f>
        <v>BUILDING</v>
      </c>
      <c r="E409" s="49" t="s">
        <v>1922</v>
      </c>
      <c r="F409" s="87">
        <f>IFERROR(__xludf.DUMMYFUNCTION("VALUE(REGEXEXTRACT(A409,""([^.]+)$""))"),1.0)</f>
        <v>1</v>
      </c>
      <c r="G409" s="49">
        <v>30.0</v>
      </c>
      <c r="H409" s="26" t="b">
        <f>COUNTIFS(
 tblCostChecklist[RequirementID],A409,
 tblCostChecklist[PlayerPaid],TRUE
)&gt;0</f>
        <v>0</v>
      </c>
      <c r="I409" s="49">
        <f t="shared" si="1"/>
        <v>5</v>
      </c>
      <c r="J409" s="49">
        <f t="shared" si="2"/>
        <v>0</v>
      </c>
      <c r="K409" s="49">
        <f t="shared" si="3"/>
        <v>5</v>
      </c>
      <c r="L409" s="49" t="b">
        <f t="shared" si="4"/>
        <v>0</v>
      </c>
      <c r="M409" s="88">
        <f t="shared" si="5"/>
        <v>0</v>
      </c>
    </row>
    <row r="410" ht="14.25" customHeight="1">
      <c r="A410" s="49" t="s">
        <v>1998</v>
      </c>
      <c r="B410" s="49" t="str">
        <f>IFERROR(__xludf.DUMMYFUNCTION("REGEXEXTRACT(A410,""^cost\.(.*)\.[^.]+\.[^.]+$"")"),"building.pagoda@6")</f>
        <v>building.pagoda@6</v>
      </c>
      <c r="C410" s="49" t="str">
        <f t="array" ref="C410">_xlfn.XLOOKUP(
 B410,
 tblTargets[TargetID],
 tblTargets[DisplayName],
 ""
)</f>
        <v>Pagoda Lv 6</v>
      </c>
      <c r="D410" s="49" t="str">
        <f t="array" ref="D410">_xlfn.XLOOKUP(
 B410,
 tblTargets[TargetID],
 tblTargets[TargetType],
 ""
)</f>
        <v>BUILDING</v>
      </c>
      <c r="E410" s="49" t="s">
        <v>6</v>
      </c>
      <c r="F410" s="87">
        <f>IFERROR(__xludf.DUMMYFUNCTION("VALUE(REGEXEXTRACT(A410,""([^.]+)$""))"),1.0)</f>
        <v>1</v>
      </c>
      <c r="G410" s="49">
        <v>10.0</v>
      </c>
      <c r="H410" s="26" t="b">
        <f>COUNTIFS(
 tblCostChecklist[RequirementID],A410,
 tblCostChecklist[PlayerPaid],TRUE
)&gt;0</f>
        <v>0</v>
      </c>
      <c r="I410" s="49">
        <f t="shared" si="1"/>
        <v>6</v>
      </c>
      <c r="J410" s="49">
        <f t="shared" si="2"/>
        <v>0</v>
      </c>
      <c r="K410" s="49">
        <f t="shared" si="3"/>
        <v>6</v>
      </c>
      <c r="L410" s="49" t="b">
        <f t="shared" si="4"/>
        <v>0</v>
      </c>
      <c r="M410" s="88">
        <f t="shared" si="5"/>
        <v>0</v>
      </c>
    </row>
    <row r="411" ht="14.25" customHeight="1">
      <c r="A411" s="49" t="s">
        <v>1996</v>
      </c>
      <c r="B411" s="49" t="str">
        <f>IFERROR(__xludf.DUMMYFUNCTION("REGEXEXTRACT(A411,""^cost\.(.*)\.[^.]+\.[^.]+$"")"),"building.pagoda@6")</f>
        <v>building.pagoda@6</v>
      </c>
      <c r="C411" s="49" t="str">
        <f t="array" ref="C411">_xlfn.XLOOKUP(
 B411,
 tblTargets[TargetID],
 tblTargets[DisplayName],
 ""
)</f>
        <v>Pagoda Lv 6</v>
      </c>
      <c r="D411" s="49" t="str">
        <f t="array" ref="D411">_xlfn.XLOOKUP(
 B411,
 tblTargets[TargetID],
 tblTargets[TargetType],
 ""
)</f>
        <v>BUILDING</v>
      </c>
      <c r="E411" s="49" t="s">
        <v>119</v>
      </c>
      <c r="F411" s="87">
        <f>IFERROR(__xludf.DUMMYFUNCTION("VALUE(REGEXEXTRACT(A411,""([^.]+)$""))"),1.0)</f>
        <v>1</v>
      </c>
      <c r="G411" s="49">
        <v>450.0</v>
      </c>
      <c r="H411" s="26" t="b">
        <f>COUNTIFS(
 tblCostChecklist[RequirementID],A411,
 tblCostChecklist[PlayerPaid],TRUE
)&gt;0</f>
        <v>0</v>
      </c>
      <c r="I411" s="49">
        <f t="shared" si="1"/>
        <v>6</v>
      </c>
      <c r="J411" s="49">
        <f t="shared" si="2"/>
        <v>0</v>
      </c>
      <c r="K411" s="49">
        <f t="shared" si="3"/>
        <v>6</v>
      </c>
      <c r="L411" s="49" t="b">
        <f t="shared" si="4"/>
        <v>0</v>
      </c>
      <c r="M411" s="88">
        <f t="shared" si="5"/>
        <v>0</v>
      </c>
    </row>
    <row r="412" ht="14.25" customHeight="1">
      <c r="A412" s="49" t="s">
        <v>1995</v>
      </c>
      <c r="B412" s="49" t="str">
        <f>IFERROR(__xludf.DUMMYFUNCTION("REGEXEXTRACT(A412,""^cost\.(.*)\.[^.]+\.[^.]+$"")"),"building.pagoda@6")</f>
        <v>building.pagoda@6</v>
      </c>
      <c r="C412" s="49" t="str">
        <f t="array" ref="C412">_xlfn.XLOOKUP(
 B412,
 tblTargets[TargetID],
 tblTargets[DisplayName],
 ""
)</f>
        <v>Pagoda Lv 6</v>
      </c>
      <c r="D412" s="49" t="str">
        <f t="array" ref="D412">_xlfn.XLOOKUP(
 B412,
 tblTargets[TargetID],
 tblTargets[TargetType],
 ""
)</f>
        <v>BUILDING</v>
      </c>
      <c r="E412" s="49" t="s">
        <v>278</v>
      </c>
      <c r="F412" s="87">
        <f>IFERROR(__xludf.DUMMYFUNCTION("VALUE(REGEXEXTRACT(A412,""([^.]+)$""))"),1.0)</f>
        <v>1</v>
      </c>
      <c r="G412" s="49">
        <v>900.0</v>
      </c>
      <c r="H412" s="26" t="b">
        <f>COUNTIFS(
 tblCostChecklist[RequirementID],A412,
 tblCostChecklist[PlayerPaid],TRUE
)&gt;0</f>
        <v>0</v>
      </c>
      <c r="I412" s="49">
        <f t="shared" si="1"/>
        <v>6</v>
      </c>
      <c r="J412" s="49">
        <f t="shared" si="2"/>
        <v>0</v>
      </c>
      <c r="K412" s="49">
        <f t="shared" si="3"/>
        <v>6</v>
      </c>
      <c r="L412" s="49" t="b">
        <f t="shared" si="4"/>
        <v>0</v>
      </c>
      <c r="M412" s="88">
        <f t="shared" si="5"/>
        <v>0</v>
      </c>
    </row>
    <row r="413" ht="14.25" customHeight="1">
      <c r="A413" s="49" t="s">
        <v>2000</v>
      </c>
      <c r="B413" s="49" t="str">
        <f>IFERROR(__xludf.DUMMYFUNCTION("REGEXEXTRACT(A413,""^cost\.(.*)\.[^.]+\.[^.]+$"")"),"building.pagoda@6")</f>
        <v>building.pagoda@6</v>
      </c>
      <c r="C413" s="49" t="str">
        <f t="array" ref="C413">_xlfn.XLOOKUP(
 B413,
 tblTargets[TargetID],
 tblTargets[DisplayName],
 ""
)</f>
        <v>Pagoda Lv 6</v>
      </c>
      <c r="D413" s="49" t="str">
        <f t="array" ref="D413">_xlfn.XLOOKUP(
 B413,
 tblTargets[TargetID],
 tblTargets[TargetType],
 ""
)</f>
        <v>BUILDING</v>
      </c>
      <c r="E413" s="49" t="s">
        <v>237</v>
      </c>
      <c r="F413" s="87">
        <f>IFERROR(__xludf.DUMMYFUNCTION("VALUE(REGEXEXTRACT(A413,""([^.]+)$""))"),1.0)</f>
        <v>1</v>
      </c>
      <c r="G413" s="49">
        <v>450.0</v>
      </c>
      <c r="H413" s="26" t="b">
        <f>COUNTIFS(
 tblCostChecklist[RequirementID],A413,
 tblCostChecklist[PlayerPaid],TRUE
)&gt;0</f>
        <v>0</v>
      </c>
      <c r="I413" s="49">
        <f t="shared" si="1"/>
        <v>6</v>
      </c>
      <c r="J413" s="49">
        <f t="shared" si="2"/>
        <v>0</v>
      </c>
      <c r="K413" s="49">
        <f t="shared" si="3"/>
        <v>6</v>
      </c>
      <c r="L413" s="49" t="b">
        <f t="shared" si="4"/>
        <v>0</v>
      </c>
      <c r="M413" s="88">
        <f t="shared" si="5"/>
        <v>0</v>
      </c>
    </row>
    <row r="414" ht="14.25" customHeight="1">
      <c r="A414" s="49" t="s">
        <v>1997</v>
      </c>
      <c r="B414" s="49" t="str">
        <f>IFERROR(__xludf.DUMMYFUNCTION("REGEXEXTRACT(A414,""^cost\.(.*)\.[^.]+\.[^.]+$"")"),"building.pagoda@6")</f>
        <v>building.pagoda@6</v>
      </c>
      <c r="C414" s="49" t="str">
        <f t="array" ref="C414">_xlfn.XLOOKUP(
 B414,
 tblTargets[TargetID],
 tblTargets[DisplayName],
 ""
)</f>
        <v>Pagoda Lv 6</v>
      </c>
      <c r="D414" s="49" t="str">
        <f t="array" ref="D414">_xlfn.XLOOKUP(
 B414,
 tblTargets[TargetID],
 tblTargets[TargetType],
 ""
)</f>
        <v>BUILDING</v>
      </c>
      <c r="E414" s="49" t="s">
        <v>412</v>
      </c>
      <c r="F414" s="87">
        <f>IFERROR(__xludf.DUMMYFUNCTION("VALUE(REGEXEXTRACT(A414,""([^.]+)$""))"),1.0)</f>
        <v>1</v>
      </c>
      <c r="G414" s="49">
        <v>5.0</v>
      </c>
      <c r="H414" s="26" t="b">
        <f>COUNTIFS(
 tblCostChecklist[RequirementID],A414,
 tblCostChecklist[PlayerPaid],TRUE
)&gt;0</f>
        <v>0</v>
      </c>
      <c r="I414" s="49">
        <f t="shared" si="1"/>
        <v>6</v>
      </c>
      <c r="J414" s="49">
        <f t="shared" si="2"/>
        <v>0</v>
      </c>
      <c r="K414" s="49">
        <f t="shared" si="3"/>
        <v>6</v>
      </c>
      <c r="L414" s="49" t="b">
        <f t="shared" si="4"/>
        <v>0</v>
      </c>
      <c r="M414" s="88">
        <f t="shared" si="5"/>
        <v>0</v>
      </c>
    </row>
    <row r="415" ht="14.25" customHeight="1">
      <c r="A415" s="49" t="s">
        <v>1999</v>
      </c>
      <c r="B415" s="49" t="str">
        <f>IFERROR(__xludf.DUMMYFUNCTION("REGEXEXTRACT(A415,""^cost\.(.*)\.[^.]+\.[^.]+$"")"),"building.pagoda@6")</f>
        <v>building.pagoda@6</v>
      </c>
      <c r="C415" s="49" t="str">
        <f t="array" ref="C415">_xlfn.XLOOKUP(
 B415,
 tblTargets[TargetID],
 tblTargets[DisplayName],
 ""
)</f>
        <v>Pagoda Lv 6</v>
      </c>
      <c r="D415" s="49" t="str">
        <f t="array" ref="D415">_xlfn.XLOOKUP(
 B415,
 tblTargets[TargetID],
 tblTargets[TargetType],
 ""
)</f>
        <v>BUILDING</v>
      </c>
      <c r="E415" s="49" t="s">
        <v>443</v>
      </c>
      <c r="F415" s="87">
        <f>IFERROR(__xludf.DUMMYFUNCTION("VALUE(REGEXEXTRACT(A415,""([^.]+)$""))"),1.0)</f>
        <v>1</v>
      </c>
      <c r="G415" s="49">
        <v>5.0</v>
      </c>
      <c r="H415" s="26" t="b">
        <f>COUNTIFS(
 tblCostChecklist[RequirementID],A415,
 tblCostChecklist[PlayerPaid],TRUE
)&gt;0</f>
        <v>0</v>
      </c>
      <c r="I415" s="49">
        <f t="shared" si="1"/>
        <v>6</v>
      </c>
      <c r="J415" s="49">
        <f t="shared" si="2"/>
        <v>0</v>
      </c>
      <c r="K415" s="49">
        <f t="shared" si="3"/>
        <v>6</v>
      </c>
      <c r="L415" s="49" t="b">
        <f t="shared" si="4"/>
        <v>0</v>
      </c>
      <c r="M415" s="88">
        <f t="shared" si="5"/>
        <v>0</v>
      </c>
    </row>
    <row r="416" ht="14.25" customHeight="1">
      <c r="A416" s="49" t="s">
        <v>2005</v>
      </c>
      <c r="B416" s="49" t="str">
        <f>IFERROR(__xludf.DUMMYFUNCTION("REGEXEXTRACT(A416,""^cost\.(.*)\.[^.]+\.[^.]+$"")"),"building.pagoda@7")</f>
        <v>building.pagoda@7</v>
      </c>
      <c r="C416" s="49" t="str">
        <f t="array" ref="C416">_xlfn.XLOOKUP(
 B416,
 tblTargets[TargetID],
 tblTargets[DisplayName],
 ""
)</f>
        <v>Pagoda Lv 7</v>
      </c>
      <c r="D416" s="49" t="str">
        <f t="array" ref="D416">_xlfn.XLOOKUP(
 B416,
 tblTargets[TargetID],
 tblTargets[TargetType],
 ""
)</f>
        <v>BUILDING</v>
      </c>
      <c r="E416" s="49" t="s">
        <v>6</v>
      </c>
      <c r="F416" s="87">
        <f>IFERROR(__xludf.DUMMYFUNCTION("VALUE(REGEXEXTRACT(A416,""([^.]+)$""))"),1.0)</f>
        <v>1</v>
      </c>
      <c r="G416" s="49">
        <v>15.0</v>
      </c>
      <c r="H416" s="26" t="b">
        <f>COUNTIFS(
 tblCostChecklist[RequirementID],A416,
 tblCostChecklist[PlayerPaid],TRUE
)&gt;0</f>
        <v>0</v>
      </c>
      <c r="I416" s="49">
        <f t="shared" si="1"/>
        <v>8</v>
      </c>
      <c r="J416" s="49">
        <f t="shared" si="2"/>
        <v>0</v>
      </c>
      <c r="K416" s="49">
        <f t="shared" si="3"/>
        <v>8</v>
      </c>
      <c r="L416" s="49" t="b">
        <f t="shared" si="4"/>
        <v>0</v>
      </c>
      <c r="M416" s="88">
        <f t="shared" si="5"/>
        <v>0</v>
      </c>
    </row>
    <row r="417" ht="14.25" customHeight="1">
      <c r="A417" s="49" t="s">
        <v>2002</v>
      </c>
      <c r="B417" s="49" t="str">
        <f>IFERROR(__xludf.DUMMYFUNCTION("REGEXEXTRACT(A417,""^cost\.(.*)\.[^.]+\.[^.]+$"")"),"building.pagoda@7")</f>
        <v>building.pagoda@7</v>
      </c>
      <c r="C417" s="49" t="str">
        <f t="array" ref="C417">_xlfn.XLOOKUP(
 B417,
 tblTargets[TargetID],
 tblTargets[DisplayName],
 ""
)</f>
        <v>Pagoda Lv 7</v>
      </c>
      <c r="D417" s="49" t="str">
        <f t="array" ref="D417">_xlfn.XLOOKUP(
 B417,
 tblTargets[TargetID],
 tblTargets[TargetType],
 ""
)</f>
        <v>BUILDING</v>
      </c>
      <c r="E417" s="49" t="s">
        <v>119</v>
      </c>
      <c r="F417" s="87">
        <f>IFERROR(__xludf.DUMMYFUNCTION("VALUE(REGEXEXTRACT(A417,""([^.]+)$""))"),1.0)</f>
        <v>1</v>
      </c>
      <c r="G417" s="49">
        <v>500.0</v>
      </c>
      <c r="H417" s="26" t="b">
        <f>COUNTIFS(
 tblCostChecklist[RequirementID],A417,
 tblCostChecklist[PlayerPaid],TRUE
)&gt;0</f>
        <v>0</v>
      </c>
      <c r="I417" s="49">
        <f t="shared" si="1"/>
        <v>8</v>
      </c>
      <c r="J417" s="49">
        <f t="shared" si="2"/>
        <v>0</v>
      </c>
      <c r="K417" s="49">
        <f t="shared" si="3"/>
        <v>8</v>
      </c>
      <c r="L417" s="49" t="b">
        <f t="shared" si="4"/>
        <v>0</v>
      </c>
      <c r="M417" s="88">
        <f t="shared" si="5"/>
        <v>0</v>
      </c>
    </row>
    <row r="418" ht="14.25" customHeight="1">
      <c r="A418" s="49" t="s">
        <v>2001</v>
      </c>
      <c r="B418" s="49" t="str">
        <f>IFERROR(__xludf.DUMMYFUNCTION("REGEXEXTRACT(A418,""^cost\.(.*)\.[^.]+\.[^.]+$"")"),"building.pagoda@7")</f>
        <v>building.pagoda@7</v>
      </c>
      <c r="C418" s="49" t="str">
        <f t="array" ref="C418">_xlfn.XLOOKUP(
 B418,
 tblTargets[TargetID],
 tblTargets[DisplayName],
 ""
)</f>
        <v>Pagoda Lv 7</v>
      </c>
      <c r="D418" s="49" t="str">
        <f t="array" ref="D418">_xlfn.XLOOKUP(
 B418,
 tblTargets[TargetID],
 tblTargets[TargetType],
 ""
)</f>
        <v>BUILDING</v>
      </c>
      <c r="E418" s="49" t="s">
        <v>278</v>
      </c>
      <c r="F418" s="87">
        <f>IFERROR(__xludf.DUMMYFUNCTION("VALUE(REGEXEXTRACT(A418,""([^.]+)$""))"),1.0)</f>
        <v>1</v>
      </c>
      <c r="G418" s="49">
        <v>1000.0</v>
      </c>
      <c r="H418" s="26" t="b">
        <f>COUNTIFS(
 tblCostChecklist[RequirementID],A418,
 tblCostChecklist[PlayerPaid],TRUE
)&gt;0</f>
        <v>0</v>
      </c>
      <c r="I418" s="49">
        <f t="shared" si="1"/>
        <v>8</v>
      </c>
      <c r="J418" s="49">
        <f t="shared" si="2"/>
        <v>0</v>
      </c>
      <c r="K418" s="49">
        <f t="shared" si="3"/>
        <v>8</v>
      </c>
      <c r="L418" s="49" t="b">
        <f t="shared" si="4"/>
        <v>0</v>
      </c>
      <c r="M418" s="88">
        <f t="shared" si="5"/>
        <v>0</v>
      </c>
    </row>
    <row r="419" ht="14.25" customHeight="1">
      <c r="A419" s="49" t="s">
        <v>2009</v>
      </c>
      <c r="B419" s="49" t="str">
        <f>IFERROR(__xludf.DUMMYFUNCTION("REGEXEXTRACT(A419,""^cost\.(.*)\.[^.]+\.[^.]+$"")"),"building.pagoda@7")</f>
        <v>building.pagoda@7</v>
      </c>
      <c r="C419" s="49" t="str">
        <f t="array" ref="C419">_xlfn.XLOOKUP(
 B419,
 tblTargets[TargetID],
 tblTargets[DisplayName],
 ""
)</f>
        <v>Pagoda Lv 7</v>
      </c>
      <c r="D419" s="49" t="str">
        <f t="array" ref="D419">_xlfn.XLOOKUP(
 B419,
 tblTargets[TargetID],
 tblTargets[TargetType],
 ""
)</f>
        <v>BUILDING</v>
      </c>
      <c r="E419" s="49" t="s">
        <v>237</v>
      </c>
      <c r="F419" s="87">
        <f>IFERROR(__xludf.DUMMYFUNCTION("VALUE(REGEXEXTRACT(A419,""([^.]+)$""))"),1.0)</f>
        <v>1</v>
      </c>
      <c r="G419" s="49">
        <v>500.0</v>
      </c>
      <c r="H419" s="26" t="b">
        <f>COUNTIFS(
 tblCostChecklist[RequirementID],A419,
 tblCostChecklist[PlayerPaid],TRUE
)&gt;0</f>
        <v>0</v>
      </c>
      <c r="I419" s="49">
        <f t="shared" si="1"/>
        <v>8</v>
      </c>
      <c r="J419" s="49">
        <f t="shared" si="2"/>
        <v>0</v>
      </c>
      <c r="K419" s="49">
        <f t="shared" si="3"/>
        <v>8</v>
      </c>
      <c r="L419" s="49" t="b">
        <f t="shared" si="4"/>
        <v>0</v>
      </c>
      <c r="M419" s="88">
        <f t="shared" si="5"/>
        <v>0</v>
      </c>
    </row>
    <row r="420" ht="14.25" customHeight="1">
      <c r="A420" s="49" t="s">
        <v>2010</v>
      </c>
      <c r="B420" s="49" t="str">
        <f>IFERROR(__xludf.DUMMYFUNCTION("REGEXEXTRACT(A420,""^cost\.(.*)\.[^.]+\.[^.]+$"")"),"building.pagoda@7")</f>
        <v>building.pagoda@7</v>
      </c>
      <c r="C420" s="49" t="str">
        <f t="array" ref="C420">_xlfn.XLOOKUP(
 B420,
 tblTargets[TargetID],
 tblTargets[DisplayName],
 ""
)</f>
        <v>Pagoda Lv 7</v>
      </c>
      <c r="D420" s="49" t="str">
        <f t="array" ref="D420">_xlfn.XLOOKUP(
 B420,
 tblTargets[TargetID],
 tblTargets[TargetType],
 ""
)</f>
        <v>BUILDING</v>
      </c>
      <c r="E420" s="49" t="s">
        <v>2011</v>
      </c>
      <c r="F420" s="87">
        <f>IFERROR(__xludf.DUMMYFUNCTION("VALUE(REGEXEXTRACT(A420,""([^.]+)$""))"),1.0)</f>
        <v>1</v>
      </c>
      <c r="G420" s="49">
        <v>3.0</v>
      </c>
      <c r="H420" s="26" t="b">
        <f>COUNTIFS(
 tblCostChecklist[RequirementID],A420,
 tblCostChecklist[PlayerPaid],TRUE
)&gt;0</f>
        <v>0</v>
      </c>
      <c r="I420" s="49">
        <f t="shared" si="1"/>
        <v>8</v>
      </c>
      <c r="J420" s="49">
        <f t="shared" si="2"/>
        <v>0</v>
      </c>
      <c r="K420" s="49">
        <f t="shared" si="3"/>
        <v>8</v>
      </c>
      <c r="L420" s="49" t="b">
        <f t="shared" si="4"/>
        <v>0</v>
      </c>
      <c r="M420" s="88">
        <f t="shared" si="5"/>
        <v>0</v>
      </c>
    </row>
    <row r="421" ht="14.25" customHeight="1">
      <c r="A421" s="49" t="s">
        <v>2003</v>
      </c>
      <c r="B421" s="49" t="str">
        <f>IFERROR(__xludf.DUMMYFUNCTION("REGEXEXTRACT(A421,""^cost\.(.*)\.[^.]+\.[^.]+$"")"),"building.pagoda@7")</f>
        <v>building.pagoda@7</v>
      </c>
      <c r="C421" s="49" t="str">
        <f t="array" ref="C421">_xlfn.XLOOKUP(
 B421,
 tblTargets[TargetID],
 tblTargets[DisplayName],
 ""
)</f>
        <v>Pagoda Lv 7</v>
      </c>
      <c r="D421" s="49" t="str">
        <f t="array" ref="D421">_xlfn.XLOOKUP(
 B421,
 tblTargets[TargetID],
 tblTargets[TargetType],
 ""
)</f>
        <v>BUILDING</v>
      </c>
      <c r="E421" s="49" t="s">
        <v>426</v>
      </c>
      <c r="F421" s="87">
        <f>IFERROR(__xludf.DUMMYFUNCTION("VALUE(REGEXEXTRACT(A421,""([^.]+)$""))"),1.0)</f>
        <v>1</v>
      </c>
      <c r="G421" s="49">
        <v>5.0</v>
      </c>
      <c r="H421" s="26" t="b">
        <f>COUNTIFS(
 tblCostChecklist[RequirementID],A421,
 tblCostChecklist[PlayerPaid],TRUE
)&gt;0</f>
        <v>0</v>
      </c>
      <c r="I421" s="49">
        <f t="shared" si="1"/>
        <v>8</v>
      </c>
      <c r="J421" s="49">
        <f t="shared" si="2"/>
        <v>0</v>
      </c>
      <c r="K421" s="49">
        <f t="shared" si="3"/>
        <v>8</v>
      </c>
      <c r="L421" s="49" t="b">
        <f t="shared" si="4"/>
        <v>0</v>
      </c>
      <c r="M421" s="88">
        <f t="shared" si="5"/>
        <v>0</v>
      </c>
    </row>
    <row r="422" ht="14.25" customHeight="1">
      <c r="A422" s="49" t="s">
        <v>2008</v>
      </c>
      <c r="B422" s="49" t="str">
        <f>IFERROR(__xludf.DUMMYFUNCTION("REGEXEXTRACT(A422,""^cost\.(.*)\.[^.]+\.[^.]+$"")"),"building.pagoda@7")</f>
        <v>building.pagoda@7</v>
      </c>
      <c r="C422" s="49" t="str">
        <f t="array" ref="C422">_xlfn.XLOOKUP(
 B422,
 tblTargets[TargetID],
 tblTargets[DisplayName],
 ""
)</f>
        <v>Pagoda Lv 7</v>
      </c>
      <c r="D422" s="49" t="str">
        <f t="array" ref="D422">_xlfn.XLOOKUP(
 B422,
 tblTargets[TargetID],
 tblTargets[TargetType],
 ""
)</f>
        <v>BUILDING</v>
      </c>
      <c r="E422" s="49" t="s">
        <v>152</v>
      </c>
      <c r="F422" s="87">
        <f>IFERROR(__xludf.DUMMYFUNCTION("VALUE(REGEXEXTRACT(A422,""([^.]+)$""))"),1.0)</f>
        <v>1</v>
      </c>
      <c r="G422" s="49">
        <v>5.0</v>
      </c>
      <c r="H422" s="26" t="b">
        <f>COUNTIFS(
 tblCostChecklist[RequirementID],A422,
 tblCostChecklist[PlayerPaid],TRUE
)&gt;0</f>
        <v>0</v>
      </c>
      <c r="I422" s="49">
        <f t="shared" si="1"/>
        <v>8</v>
      </c>
      <c r="J422" s="49">
        <f t="shared" si="2"/>
        <v>0</v>
      </c>
      <c r="K422" s="49">
        <f t="shared" si="3"/>
        <v>8</v>
      </c>
      <c r="L422" s="49" t="b">
        <f t="shared" si="4"/>
        <v>0</v>
      </c>
      <c r="M422" s="88">
        <f t="shared" si="5"/>
        <v>0</v>
      </c>
    </row>
    <row r="423" ht="14.25" customHeight="1">
      <c r="A423" s="49" t="s">
        <v>2006</v>
      </c>
      <c r="B423" s="49" t="str">
        <f>IFERROR(__xludf.DUMMYFUNCTION("REGEXEXTRACT(A423,""^cost\.(.*)\.[^.]+\.[^.]+$"")"),"building.pagoda@7")</f>
        <v>building.pagoda@7</v>
      </c>
      <c r="C423" s="49" t="str">
        <f t="array" ref="C423">_xlfn.XLOOKUP(
 B423,
 tblTargets[TargetID],
 tblTargets[DisplayName],
 ""
)</f>
        <v>Pagoda Lv 7</v>
      </c>
      <c r="D423" s="49" t="str">
        <f t="array" ref="D423">_xlfn.XLOOKUP(
 B423,
 tblTargets[TargetID],
 tblTargets[TargetType],
 ""
)</f>
        <v>BUILDING</v>
      </c>
      <c r="E423" s="49" t="s">
        <v>2007</v>
      </c>
      <c r="F423" s="87">
        <f>IFERROR(__xludf.DUMMYFUNCTION("VALUE(REGEXEXTRACT(A423,""([^.]+)$""))"),1.0)</f>
        <v>1</v>
      </c>
      <c r="G423" s="49">
        <v>1.0</v>
      </c>
      <c r="H423" s="26" t="b">
        <f>COUNTIFS(
 tblCostChecklist[RequirementID],A423,
 tblCostChecklist[PlayerPaid],TRUE
)&gt;0</f>
        <v>0</v>
      </c>
      <c r="I423" s="49">
        <f t="shared" si="1"/>
        <v>8</v>
      </c>
      <c r="J423" s="49">
        <f t="shared" si="2"/>
        <v>0</v>
      </c>
      <c r="K423" s="49">
        <f t="shared" si="3"/>
        <v>8</v>
      </c>
      <c r="L423" s="49" t="b">
        <f t="shared" si="4"/>
        <v>0</v>
      </c>
      <c r="M423" s="88">
        <f t="shared" si="5"/>
        <v>0</v>
      </c>
    </row>
    <row r="424" ht="14.25" customHeight="1">
      <c r="A424" s="49" t="s">
        <v>2014</v>
      </c>
      <c r="B424" s="49" t="str">
        <f>IFERROR(__xludf.DUMMYFUNCTION("REGEXEXTRACT(A424,""^cost\.(.*)\.[^.]+\.[^.]+$"")"),"building.pier@1")</f>
        <v>building.pier@1</v>
      </c>
      <c r="C424" s="49" t="str">
        <f t="array" ref="C424">_xlfn.XLOOKUP(
 B424,
 tblTargets[TargetID],
 tblTargets[DisplayName],
 ""
)</f>
        <v>Pier Lv 1</v>
      </c>
      <c r="D424" s="49" t="str">
        <f t="array" ref="D424">_xlfn.XLOOKUP(
 B424,
 tblTargets[TargetID],
 tblTargets[TargetType],
 ""
)</f>
        <v>BUILDING</v>
      </c>
      <c r="E424" s="49" t="s">
        <v>6</v>
      </c>
      <c r="F424" s="87">
        <f>IFERROR(__xludf.DUMMYFUNCTION("VALUE(REGEXEXTRACT(A424,""([^.]+)$""))"),1.0)</f>
        <v>1</v>
      </c>
      <c r="G424" s="49">
        <v>3.0</v>
      </c>
      <c r="H424" s="26" t="b">
        <f>COUNTIFS(
 tblCostChecklist[RequirementID],A424,
 tblCostChecklist[PlayerPaid],TRUE
)&gt;0</f>
        <v>0</v>
      </c>
      <c r="I424" s="49">
        <f t="shared" si="1"/>
        <v>5</v>
      </c>
      <c r="J424" s="49">
        <f t="shared" si="2"/>
        <v>0</v>
      </c>
      <c r="K424" s="49">
        <f t="shared" si="3"/>
        <v>5</v>
      </c>
      <c r="L424" s="49" t="b">
        <f t="shared" si="4"/>
        <v>0</v>
      </c>
      <c r="M424" s="88">
        <f t="shared" si="5"/>
        <v>0</v>
      </c>
    </row>
    <row r="425" ht="14.25" customHeight="1">
      <c r="A425" s="49" t="s">
        <v>2012</v>
      </c>
      <c r="B425" s="49" t="str">
        <f>IFERROR(__xludf.DUMMYFUNCTION("REGEXEXTRACT(A425,""^cost\.(.*)\.[^.]+\.[^.]+$"")"),"building.pier@1")</f>
        <v>building.pier@1</v>
      </c>
      <c r="C425" s="49" t="str">
        <f t="array" ref="C425">_xlfn.XLOOKUP(
 B425,
 tblTargets[TargetID],
 tblTargets[DisplayName],
 ""
)</f>
        <v>Pier Lv 1</v>
      </c>
      <c r="D425" s="49" t="str">
        <f t="array" ref="D425">_xlfn.XLOOKUP(
 B425,
 tblTargets[TargetID],
 tblTargets[TargetType],
 ""
)</f>
        <v>BUILDING</v>
      </c>
      <c r="E425" s="49" t="s">
        <v>119</v>
      </c>
      <c r="F425" s="87">
        <f>IFERROR(__xludf.DUMMYFUNCTION("VALUE(REGEXEXTRACT(A425,""([^.]+)$""))"),1.0)</f>
        <v>1</v>
      </c>
      <c r="G425" s="49">
        <v>400.0</v>
      </c>
      <c r="H425" s="26" t="b">
        <f>COUNTIFS(
 tblCostChecklist[RequirementID],A425,
 tblCostChecklist[PlayerPaid],TRUE
)&gt;0</f>
        <v>0</v>
      </c>
      <c r="I425" s="49">
        <f t="shared" si="1"/>
        <v>5</v>
      </c>
      <c r="J425" s="49">
        <f t="shared" si="2"/>
        <v>0</v>
      </c>
      <c r="K425" s="49">
        <f t="shared" si="3"/>
        <v>5</v>
      </c>
      <c r="L425" s="49" t="b">
        <f t="shared" si="4"/>
        <v>0</v>
      </c>
      <c r="M425" s="88">
        <f t="shared" si="5"/>
        <v>0</v>
      </c>
    </row>
    <row r="426" ht="14.25" customHeight="1">
      <c r="A426" s="49" t="s">
        <v>2016</v>
      </c>
      <c r="B426" s="49" t="str">
        <f>IFERROR(__xludf.DUMMYFUNCTION("REGEXEXTRACT(A426,""^cost\.(.*)\.[^.]+\.[^.]+$"")"),"building.pier@1")</f>
        <v>building.pier@1</v>
      </c>
      <c r="C426" s="49" t="str">
        <f t="array" ref="C426">_xlfn.XLOOKUP(
 B426,
 tblTargets[TargetID],
 tblTargets[DisplayName],
 ""
)</f>
        <v>Pier Lv 1</v>
      </c>
      <c r="D426" s="49" t="str">
        <f t="array" ref="D426">_xlfn.XLOOKUP(
 B426,
 tblTargets[TargetID],
 tblTargets[TargetType],
 ""
)</f>
        <v>BUILDING</v>
      </c>
      <c r="E426" s="49" t="s">
        <v>244</v>
      </c>
      <c r="F426" s="87">
        <f>IFERROR(__xludf.DUMMYFUNCTION("VALUE(REGEXEXTRACT(A426,""([^.]+)$""))"),1.0)</f>
        <v>1</v>
      </c>
      <c r="G426" s="49">
        <v>50.0</v>
      </c>
      <c r="H426" s="26" t="b">
        <f>COUNTIFS(
 tblCostChecklist[RequirementID],A426,
 tblCostChecklist[PlayerPaid],TRUE
)&gt;0</f>
        <v>0</v>
      </c>
      <c r="I426" s="49">
        <f t="shared" si="1"/>
        <v>5</v>
      </c>
      <c r="J426" s="49">
        <f t="shared" si="2"/>
        <v>0</v>
      </c>
      <c r="K426" s="49">
        <f t="shared" si="3"/>
        <v>5</v>
      </c>
      <c r="L426" s="49" t="b">
        <f t="shared" si="4"/>
        <v>0</v>
      </c>
      <c r="M426" s="88">
        <f t="shared" si="5"/>
        <v>0</v>
      </c>
    </row>
    <row r="427" ht="14.25" customHeight="1">
      <c r="A427" s="49" t="s">
        <v>2013</v>
      </c>
      <c r="B427" s="49" t="str">
        <f>IFERROR(__xludf.DUMMYFUNCTION("REGEXEXTRACT(A427,""^cost\.(.*)\.[^.]+\.[^.]+$"")"),"building.pier@1")</f>
        <v>building.pier@1</v>
      </c>
      <c r="C427" s="49" t="str">
        <f t="array" ref="C427">_xlfn.XLOOKUP(
 B427,
 tblTargets[TargetID],
 tblTargets[DisplayName],
 ""
)</f>
        <v>Pier Lv 1</v>
      </c>
      <c r="D427" s="49" t="str">
        <f t="array" ref="D427">_xlfn.XLOOKUP(
 B427,
 tblTargets[TargetID],
 tblTargets[TargetType],
 ""
)</f>
        <v>BUILDING</v>
      </c>
      <c r="E427" s="49" t="s">
        <v>187</v>
      </c>
      <c r="F427" s="87">
        <f>IFERROR(__xludf.DUMMYFUNCTION("VALUE(REGEXEXTRACT(A427,""([^.]+)$""))"),1.0)</f>
        <v>1</v>
      </c>
      <c r="G427" s="49">
        <v>400.0</v>
      </c>
      <c r="H427" s="26" t="b">
        <f>COUNTIFS(
 tblCostChecklist[RequirementID],A427,
 tblCostChecklist[PlayerPaid],TRUE
)&gt;0</f>
        <v>0</v>
      </c>
      <c r="I427" s="49">
        <f t="shared" si="1"/>
        <v>5</v>
      </c>
      <c r="J427" s="49">
        <f t="shared" si="2"/>
        <v>0</v>
      </c>
      <c r="K427" s="49">
        <f t="shared" si="3"/>
        <v>5</v>
      </c>
      <c r="L427" s="49" t="b">
        <f t="shared" si="4"/>
        <v>0</v>
      </c>
      <c r="M427" s="88">
        <f t="shared" si="5"/>
        <v>0</v>
      </c>
    </row>
    <row r="428" ht="14.25" customHeight="1">
      <c r="A428" s="49" t="s">
        <v>2015</v>
      </c>
      <c r="B428" s="49" t="str">
        <f>IFERROR(__xludf.DUMMYFUNCTION("REGEXEXTRACT(A428,""^cost\.(.*)\.[^.]+\.[^.]+$"")"),"building.pier@1")</f>
        <v>building.pier@1</v>
      </c>
      <c r="C428" s="49" t="str">
        <f t="array" ref="C428">_xlfn.XLOOKUP(
 B428,
 tblTargets[TargetID],
 tblTargets[DisplayName],
 ""
)</f>
        <v>Pier Lv 1</v>
      </c>
      <c r="D428" s="49" t="str">
        <f t="array" ref="D428">_xlfn.XLOOKUP(
 B428,
 tblTargets[TargetID],
 tblTargets[TargetType],
 ""
)</f>
        <v>BUILDING</v>
      </c>
      <c r="E428" s="49" t="s">
        <v>237</v>
      </c>
      <c r="F428" s="87">
        <f>IFERROR(__xludf.DUMMYFUNCTION("VALUE(REGEXEXTRACT(A428,""([^.]+)$""))"),1.0)</f>
        <v>1</v>
      </c>
      <c r="G428" s="49">
        <v>300.0</v>
      </c>
      <c r="H428" s="26" t="b">
        <f>COUNTIFS(
 tblCostChecklist[RequirementID],A428,
 tblCostChecklist[PlayerPaid],TRUE
)&gt;0</f>
        <v>0</v>
      </c>
      <c r="I428" s="49">
        <f t="shared" si="1"/>
        <v>5</v>
      </c>
      <c r="J428" s="49">
        <f t="shared" si="2"/>
        <v>0</v>
      </c>
      <c r="K428" s="49">
        <f t="shared" si="3"/>
        <v>5</v>
      </c>
      <c r="L428" s="49" t="b">
        <f t="shared" si="4"/>
        <v>0</v>
      </c>
      <c r="M428" s="88">
        <f t="shared" si="5"/>
        <v>0</v>
      </c>
    </row>
    <row r="429" ht="14.25" customHeight="1">
      <c r="A429" s="49" t="s">
        <v>2019</v>
      </c>
      <c r="B429" s="49" t="str">
        <f>IFERROR(__xludf.DUMMYFUNCTION("REGEXEXTRACT(A429,""^cost\.(.*)\.[^.]+\.[^.]+$"")"),"building.rock_garden@1")</f>
        <v>building.rock_garden@1</v>
      </c>
      <c r="C429" s="49" t="str">
        <f t="array" ref="C429">_xlfn.XLOOKUP(
 B429,
 tblTargets[TargetID],
 tblTargets[DisplayName],
 ""
)</f>
        <v>Rock Garden Lv 1</v>
      </c>
      <c r="D429" s="49" t="str">
        <f t="array" ref="D429">_xlfn.XLOOKUP(
 B429,
 tblTargets[TargetID],
 tblTargets[TargetType],
 ""
)</f>
        <v>BUILDING</v>
      </c>
      <c r="E429" s="49" t="s">
        <v>6</v>
      </c>
      <c r="F429" s="87">
        <f>IFERROR(__xludf.DUMMYFUNCTION("VALUE(REGEXEXTRACT(A429,""([^.]+)$""))"),1.0)</f>
        <v>1</v>
      </c>
      <c r="G429" s="49">
        <v>1.0</v>
      </c>
      <c r="H429" s="26" t="b">
        <f>COUNTIFS(
 tblCostChecklist[RequirementID],A429,
 tblCostChecklist[PlayerPaid],TRUE
)&gt;0</f>
        <v>0</v>
      </c>
      <c r="I429" s="49">
        <f t="shared" si="1"/>
        <v>4</v>
      </c>
      <c r="J429" s="49">
        <f t="shared" si="2"/>
        <v>0</v>
      </c>
      <c r="K429" s="49">
        <f t="shared" si="3"/>
        <v>4</v>
      </c>
      <c r="L429" s="49" t="b">
        <f t="shared" si="4"/>
        <v>0</v>
      </c>
      <c r="M429" s="88">
        <f t="shared" si="5"/>
        <v>0</v>
      </c>
    </row>
    <row r="430" ht="14.25" customHeight="1">
      <c r="A430" s="49" t="s">
        <v>2018</v>
      </c>
      <c r="B430" s="49" t="str">
        <f>IFERROR(__xludf.DUMMYFUNCTION("REGEXEXTRACT(A430,""^cost\.(.*)\.[^.]+\.[^.]+$"")"),"building.rock_garden@1")</f>
        <v>building.rock_garden@1</v>
      </c>
      <c r="C430" s="49" t="str">
        <f t="array" ref="C430">_xlfn.XLOOKUP(
 B430,
 tblTargets[TargetID],
 tblTargets[DisplayName],
 ""
)</f>
        <v>Rock Garden Lv 1</v>
      </c>
      <c r="D430" s="49" t="str">
        <f t="array" ref="D430">_xlfn.XLOOKUP(
 B430,
 tblTargets[TargetID],
 tblTargets[TargetType],
 ""
)</f>
        <v>BUILDING</v>
      </c>
      <c r="E430" s="49" t="s">
        <v>119</v>
      </c>
      <c r="F430" s="87">
        <f>IFERROR(__xludf.DUMMYFUNCTION("VALUE(REGEXEXTRACT(A430,""([^.]+)$""))"),1.0)</f>
        <v>1</v>
      </c>
      <c r="G430" s="49">
        <v>400.0</v>
      </c>
      <c r="H430" s="26" t="b">
        <f>COUNTIFS(
 tblCostChecklist[RequirementID],A430,
 tblCostChecklist[PlayerPaid],TRUE
)&gt;0</f>
        <v>0</v>
      </c>
      <c r="I430" s="49">
        <f t="shared" si="1"/>
        <v>4</v>
      </c>
      <c r="J430" s="49">
        <f t="shared" si="2"/>
        <v>0</v>
      </c>
      <c r="K430" s="49">
        <f t="shared" si="3"/>
        <v>4</v>
      </c>
      <c r="L430" s="49" t="b">
        <f t="shared" si="4"/>
        <v>0</v>
      </c>
      <c r="M430" s="88">
        <f t="shared" si="5"/>
        <v>0</v>
      </c>
    </row>
    <row r="431" ht="14.25" customHeight="1">
      <c r="A431" s="49" t="s">
        <v>2021</v>
      </c>
      <c r="B431" s="49" t="str">
        <f>IFERROR(__xludf.DUMMYFUNCTION("REGEXEXTRACT(A431,""^cost\.(.*)\.[^.]+\.[^.]+$"")"),"building.rock_garden@1")</f>
        <v>building.rock_garden@1</v>
      </c>
      <c r="C431" s="49" t="str">
        <f t="array" ref="C431">_xlfn.XLOOKUP(
 B431,
 tblTargets[TargetID],
 tblTargets[DisplayName],
 ""
)</f>
        <v>Rock Garden Lv 1</v>
      </c>
      <c r="D431" s="49" t="str">
        <f t="array" ref="D431">_xlfn.XLOOKUP(
 B431,
 tblTargets[TargetID],
 tblTargets[TargetType],
 ""
)</f>
        <v>BUILDING</v>
      </c>
      <c r="E431" s="49" t="s">
        <v>244</v>
      </c>
      <c r="F431" s="87">
        <f>IFERROR(__xludf.DUMMYFUNCTION("VALUE(REGEXEXTRACT(A431,""([^.]+)$""))"),1.0)</f>
        <v>1</v>
      </c>
      <c r="G431" s="49">
        <v>100.0</v>
      </c>
      <c r="H431" s="26" t="b">
        <f>COUNTIFS(
 tblCostChecklist[RequirementID],A431,
 tblCostChecklist[PlayerPaid],TRUE
)&gt;0</f>
        <v>0</v>
      </c>
      <c r="I431" s="49">
        <f t="shared" si="1"/>
        <v>4</v>
      </c>
      <c r="J431" s="49">
        <f t="shared" si="2"/>
        <v>0</v>
      </c>
      <c r="K431" s="49">
        <f t="shared" si="3"/>
        <v>4</v>
      </c>
      <c r="L431" s="49" t="b">
        <f t="shared" si="4"/>
        <v>0</v>
      </c>
      <c r="M431" s="88">
        <f t="shared" si="5"/>
        <v>0</v>
      </c>
    </row>
    <row r="432" ht="14.25" customHeight="1">
      <c r="A432" s="49" t="s">
        <v>2020</v>
      </c>
      <c r="B432" s="49" t="str">
        <f>IFERROR(__xludf.DUMMYFUNCTION("REGEXEXTRACT(A432,""^cost\.(.*)\.[^.]+\.[^.]+$"")"),"building.rock_garden@1")</f>
        <v>building.rock_garden@1</v>
      </c>
      <c r="C432" s="49" t="str">
        <f t="array" ref="C432">_xlfn.XLOOKUP(
 B432,
 tblTargets[TargetID],
 tblTargets[DisplayName],
 ""
)</f>
        <v>Rock Garden Lv 1</v>
      </c>
      <c r="D432" s="49" t="str">
        <f t="array" ref="D432">_xlfn.XLOOKUP(
 B432,
 tblTargets[TargetID],
 tblTargets[TargetType],
 ""
)</f>
        <v>BUILDING</v>
      </c>
      <c r="E432" s="49" t="s">
        <v>237</v>
      </c>
      <c r="F432" s="87">
        <f>IFERROR(__xludf.DUMMYFUNCTION("VALUE(REGEXEXTRACT(A432,""([^.]+)$""))"),1.0)</f>
        <v>1</v>
      </c>
      <c r="G432" s="49">
        <v>200.0</v>
      </c>
      <c r="H432" s="26" t="b">
        <f>COUNTIFS(
 tblCostChecklist[RequirementID],A432,
 tblCostChecklist[PlayerPaid],TRUE
)&gt;0</f>
        <v>0</v>
      </c>
      <c r="I432" s="49">
        <f t="shared" si="1"/>
        <v>4</v>
      </c>
      <c r="J432" s="49">
        <f t="shared" si="2"/>
        <v>0</v>
      </c>
      <c r="K432" s="49">
        <f t="shared" si="3"/>
        <v>4</v>
      </c>
      <c r="L432" s="49" t="b">
        <f t="shared" si="4"/>
        <v>0</v>
      </c>
      <c r="M432" s="88">
        <f t="shared" si="5"/>
        <v>0</v>
      </c>
    </row>
    <row r="433" ht="14.25" customHeight="1">
      <c r="A433" s="49" t="s">
        <v>2023</v>
      </c>
      <c r="B433" s="49" t="str">
        <f>IFERROR(__xludf.DUMMYFUNCTION("REGEXEXTRACT(A433,""^cost\.(.*)\.[^.]+\.[^.]+$"")"),"building.rock_garden@2")</f>
        <v>building.rock_garden@2</v>
      </c>
      <c r="C433" s="49" t="str">
        <f t="array" ref="C433">_xlfn.XLOOKUP(
 B433,
 tblTargets[TargetID],
 tblTargets[DisplayName],
 ""
)</f>
        <v>Rock Garden Lv 2</v>
      </c>
      <c r="D433" s="49" t="str">
        <f t="array" ref="D433">_xlfn.XLOOKUP(
 B433,
 tblTargets[TargetID],
 tblTargets[TargetType],
 ""
)</f>
        <v>BUILDING</v>
      </c>
      <c r="E433" s="49" t="s">
        <v>6</v>
      </c>
      <c r="F433" s="87">
        <f>IFERROR(__xludf.DUMMYFUNCTION("VALUE(REGEXEXTRACT(A433,""([^.]+)$""))"),1.0)</f>
        <v>1</v>
      </c>
      <c r="G433" s="49">
        <v>2.0</v>
      </c>
      <c r="H433" s="26" t="b">
        <f>COUNTIFS(
 tblCostChecklist[RequirementID],A433,
 tblCostChecklist[PlayerPaid],TRUE
)&gt;0</f>
        <v>0</v>
      </c>
      <c r="I433" s="49">
        <f t="shared" si="1"/>
        <v>4</v>
      </c>
      <c r="J433" s="49">
        <f t="shared" si="2"/>
        <v>0</v>
      </c>
      <c r="K433" s="49">
        <f t="shared" si="3"/>
        <v>4</v>
      </c>
      <c r="L433" s="49" t="b">
        <f t="shared" si="4"/>
        <v>0</v>
      </c>
      <c r="M433" s="88">
        <f t="shared" si="5"/>
        <v>0</v>
      </c>
    </row>
    <row r="434" ht="14.25" customHeight="1">
      <c r="A434" s="49" t="s">
        <v>2022</v>
      </c>
      <c r="B434" s="49" t="str">
        <f>IFERROR(__xludf.DUMMYFUNCTION("REGEXEXTRACT(A434,""^cost\.(.*)\.[^.]+\.[^.]+$"")"),"building.rock_garden@2")</f>
        <v>building.rock_garden@2</v>
      </c>
      <c r="C434" s="49" t="str">
        <f t="array" ref="C434">_xlfn.XLOOKUP(
 B434,
 tblTargets[TargetID],
 tblTargets[DisplayName],
 ""
)</f>
        <v>Rock Garden Lv 2</v>
      </c>
      <c r="D434" s="49" t="str">
        <f t="array" ref="D434">_xlfn.XLOOKUP(
 B434,
 tblTargets[TargetID],
 tblTargets[TargetType],
 ""
)</f>
        <v>BUILDING</v>
      </c>
      <c r="E434" s="49" t="s">
        <v>119</v>
      </c>
      <c r="F434" s="87">
        <f>IFERROR(__xludf.DUMMYFUNCTION("VALUE(REGEXEXTRACT(A434,""([^.]+)$""))"),1.0)</f>
        <v>1</v>
      </c>
      <c r="G434" s="49">
        <v>600.0</v>
      </c>
      <c r="H434" s="26" t="b">
        <f>COUNTIFS(
 tblCostChecklist[RequirementID],A434,
 tblCostChecklist[PlayerPaid],TRUE
)&gt;0</f>
        <v>0</v>
      </c>
      <c r="I434" s="49">
        <f t="shared" si="1"/>
        <v>4</v>
      </c>
      <c r="J434" s="49">
        <f t="shared" si="2"/>
        <v>0</v>
      </c>
      <c r="K434" s="49">
        <f t="shared" si="3"/>
        <v>4</v>
      </c>
      <c r="L434" s="49" t="b">
        <f t="shared" si="4"/>
        <v>0</v>
      </c>
      <c r="M434" s="88">
        <f t="shared" si="5"/>
        <v>0</v>
      </c>
    </row>
    <row r="435" ht="14.25" customHeight="1">
      <c r="A435" s="49" t="s">
        <v>2025</v>
      </c>
      <c r="B435" s="49" t="str">
        <f>IFERROR(__xludf.DUMMYFUNCTION("REGEXEXTRACT(A435,""^cost\.(.*)\.[^.]+\.[^.]+$"")"),"building.rock_garden@2")</f>
        <v>building.rock_garden@2</v>
      </c>
      <c r="C435" s="49" t="str">
        <f t="array" ref="C435">_xlfn.XLOOKUP(
 B435,
 tblTargets[TargetID],
 tblTargets[DisplayName],
 ""
)</f>
        <v>Rock Garden Lv 2</v>
      </c>
      <c r="D435" s="49" t="str">
        <f t="array" ref="D435">_xlfn.XLOOKUP(
 B435,
 tblTargets[TargetID],
 tblTargets[TargetType],
 ""
)</f>
        <v>BUILDING</v>
      </c>
      <c r="E435" s="49" t="s">
        <v>244</v>
      </c>
      <c r="F435" s="87">
        <f>IFERROR(__xludf.DUMMYFUNCTION("VALUE(REGEXEXTRACT(A435,""([^.]+)$""))"),1.0)</f>
        <v>1</v>
      </c>
      <c r="G435" s="49">
        <v>150.0</v>
      </c>
      <c r="H435" s="26" t="b">
        <f>COUNTIFS(
 tblCostChecklist[RequirementID],A435,
 tblCostChecklist[PlayerPaid],TRUE
)&gt;0</f>
        <v>0</v>
      </c>
      <c r="I435" s="49">
        <f t="shared" si="1"/>
        <v>4</v>
      </c>
      <c r="J435" s="49">
        <f t="shared" si="2"/>
        <v>0</v>
      </c>
      <c r="K435" s="49">
        <f t="shared" si="3"/>
        <v>4</v>
      </c>
      <c r="L435" s="49" t="b">
        <f t="shared" si="4"/>
        <v>0</v>
      </c>
      <c r="M435" s="88">
        <f t="shared" si="5"/>
        <v>0</v>
      </c>
    </row>
    <row r="436" ht="14.25" customHeight="1">
      <c r="A436" s="49" t="s">
        <v>2024</v>
      </c>
      <c r="B436" s="49" t="str">
        <f>IFERROR(__xludf.DUMMYFUNCTION("REGEXEXTRACT(A436,""^cost\.(.*)\.[^.]+\.[^.]+$"")"),"building.rock_garden@2")</f>
        <v>building.rock_garden@2</v>
      </c>
      <c r="C436" s="49" t="str">
        <f t="array" ref="C436">_xlfn.XLOOKUP(
 B436,
 tblTargets[TargetID],
 tblTargets[DisplayName],
 ""
)</f>
        <v>Rock Garden Lv 2</v>
      </c>
      <c r="D436" s="49" t="str">
        <f t="array" ref="D436">_xlfn.XLOOKUP(
 B436,
 tblTargets[TargetID],
 tblTargets[TargetType],
 ""
)</f>
        <v>BUILDING</v>
      </c>
      <c r="E436" s="49" t="s">
        <v>237</v>
      </c>
      <c r="F436" s="87">
        <f>IFERROR(__xludf.DUMMYFUNCTION("VALUE(REGEXEXTRACT(A436,""([^.]+)$""))"),1.0)</f>
        <v>1</v>
      </c>
      <c r="G436" s="49">
        <v>300.0</v>
      </c>
      <c r="H436" s="26" t="b">
        <f>COUNTIFS(
 tblCostChecklist[RequirementID],A436,
 tblCostChecklist[PlayerPaid],TRUE
)&gt;0</f>
        <v>0</v>
      </c>
      <c r="I436" s="49">
        <f t="shared" si="1"/>
        <v>4</v>
      </c>
      <c r="J436" s="49">
        <f t="shared" si="2"/>
        <v>0</v>
      </c>
      <c r="K436" s="49">
        <f t="shared" si="3"/>
        <v>4</v>
      </c>
      <c r="L436" s="49" t="b">
        <f t="shared" si="4"/>
        <v>0</v>
      </c>
      <c r="M436" s="88">
        <f t="shared" si="5"/>
        <v>0</v>
      </c>
    </row>
    <row r="437" ht="14.25" customHeight="1">
      <c r="A437" s="49" t="s">
        <v>2028</v>
      </c>
      <c r="B437" s="49" t="str">
        <f>IFERROR(__xludf.DUMMYFUNCTION("REGEXEXTRACT(A437,""^cost\.(.*)\.[^.]+\.[^.]+$"")"),"building.rock_garden@3")</f>
        <v>building.rock_garden@3</v>
      </c>
      <c r="C437" s="49" t="str">
        <f t="array" ref="C437">_xlfn.XLOOKUP(
 B437,
 tblTargets[TargetID],
 tblTargets[DisplayName],
 ""
)</f>
        <v>Rock Garden Lv 3</v>
      </c>
      <c r="D437" s="49" t="str">
        <f t="array" ref="D437">_xlfn.XLOOKUP(
 B437,
 tblTargets[TargetID],
 tblTargets[TargetType],
 ""
)</f>
        <v>BUILDING</v>
      </c>
      <c r="E437" s="49" t="s">
        <v>6</v>
      </c>
      <c r="F437" s="87">
        <f>IFERROR(__xludf.DUMMYFUNCTION("VALUE(REGEXEXTRACT(A437,""([^.]+)$""))"),1.0)</f>
        <v>1</v>
      </c>
      <c r="G437" s="49">
        <v>4.0</v>
      </c>
      <c r="H437" s="26" t="b">
        <f>COUNTIFS(
 tblCostChecklist[RequirementID],A437,
 tblCostChecklist[PlayerPaid],TRUE
)&gt;0</f>
        <v>0</v>
      </c>
      <c r="I437" s="49">
        <f t="shared" si="1"/>
        <v>4</v>
      </c>
      <c r="J437" s="49">
        <f t="shared" si="2"/>
        <v>0</v>
      </c>
      <c r="K437" s="49">
        <f t="shared" si="3"/>
        <v>4</v>
      </c>
      <c r="L437" s="49" t="b">
        <f t="shared" si="4"/>
        <v>0</v>
      </c>
      <c r="M437" s="88">
        <f t="shared" si="5"/>
        <v>0</v>
      </c>
    </row>
    <row r="438" ht="14.25" customHeight="1">
      <c r="A438" s="49" t="s">
        <v>2027</v>
      </c>
      <c r="B438" s="49" t="str">
        <f>IFERROR(__xludf.DUMMYFUNCTION("REGEXEXTRACT(A438,""^cost\.(.*)\.[^.]+\.[^.]+$"")"),"building.rock_garden@3")</f>
        <v>building.rock_garden@3</v>
      </c>
      <c r="C438" s="49" t="str">
        <f t="array" ref="C438">_xlfn.XLOOKUP(
 B438,
 tblTargets[TargetID],
 tblTargets[DisplayName],
 ""
)</f>
        <v>Rock Garden Lv 3</v>
      </c>
      <c r="D438" s="49" t="str">
        <f t="array" ref="D438">_xlfn.XLOOKUP(
 B438,
 tblTargets[TargetID],
 tblTargets[TargetType],
 ""
)</f>
        <v>BUILDING</v>
      </c>
      <c r="E438" s="49" t="s">
        <v>119</v>
      </c>
      <c r="F438" s="87">
        <f>IFERROR(__xludf.DUMMYFUNCTION("VALUE(REGEXEXTRACT(A438,""([^.]+)$""))"),1.0)</f>
        <v>1</v>
      </c>
      <c r="G438" s="49">
        <v>1000.0</v>
      </c>
      <c r="H438" s="26" t="b">
        <f>COUNTIFS(
 tblCostChecklist[RequirementID],A438,
 tblCostChecklist[PlayerPaid],TRUE
)&gt;0</f>
        <v>0</v>
      </c>
      <c r="I438" s="49">
        <f t="shared" si="1"/>
        <v>4</v>
      </c>
      <c r="J438" s="49">
        <f t="shared" si="2"/>
        <v>0</v>
      </c>
      <c r="K438" s="49">
        <f t="shared" si="3"/>
        <v>4</v>
      </c>
      <c r="L438" s="49" t="b">
        <f t="shared" si="4"/>
        <v>0</v>
      </c>
      <c r="M438" s="88">
        <f t="shared" si="5"/>
        <v>0</v>
      </c>
    </row>
    <row r="439" ht="14.25" customHeight="1">
      <c r="A439" s="49" t="s">
        <v>2026</v>
      </c>
      <c r="B439" s="49" t="str">
        <f>IFERROR(__xludf.DUMMYFUNCTION("REGEXEXTRACT(A439,""^cost\.(.*)\.[^.]+\.[^.]+$"")"),"building.rock_garden@3")</f>
        <v>building.rock_garden@3</v>
      </c>
      <c r="C439" s="49" t="str">
        <f t="array" ref="C439">_xlfn.XLOOKUP(
 B439,
 tblTargets[TargetID],
 tblTargets[DisplayName],
 ""
)</f>
        <v>Rock Garden Lv 3</v>
      </c>
      <c r="D439" s="49" t="str">
        <f t="array" ref="D439">_xlfn.XLOOKUP(
 B439,
 tblTargets[TargetID],
 tblTargets[TargetType],
 ""
)</f>
        <v>BUILDING</v>
      </c>
      <c r="E439" s="49" t="s">
        <v>278</v>
      </c>
      <c r="F439" s="87">
        <f>IFERROR(__xludf.DUMMYFUNCTION("VALUE(REGEXEXTRACT(A439,""([^.]+)$""))"),1.0)</f>
        <v>1</v>
      </c>
      <c r="G439" s="49">
        <v>400.0</v>
      </c>
      <c r="H439" s="26" t="b">
        <f>COUNTIFS(
 tblCostChecklist[RequirementID],A439,
 tblCostChecklist[PlayerPaid],TRUE
)&gt;0</f>
        <v>0</v>
      </c>
      <c r="I439" s="49">
        <f t="shared" si="1"/>
        <v>4</v>
      </c>
      <c r="J439" s="49">
        <f t="shared" si="2"/>
        <v>0</v>
      </c>
      <c r="K439" s="49">
        <f t="shared" si="3"/>
        <v>4</v>
      </c>
      <c r="L439" s="49" t="b">
        <f t="shared" si="4"/>
        <v>0</v>
      </c>
      <c r="M439" s="88">
        <f t="shared" si="5"/>
        <v>0</v>
      </c>
    </row>
    <row r="440" ht="14.25" customHeight="1">
      <c r="A440" s="49" t="s">
        <v>2029</v>
      </c>
      <c r="B440" s="49" t="str">
        <f>IFERROR(__xludf.DUMMYFUNCTION("REGEXEXTRACT(A440,""^cost\.(.*)\.[^.]+\.[^.]+$"")"),"building.rock_garden@3")</f>
        <v>building.rock_garden@3</v>
      </c>
      <c r="C440" s="49" t="str">
        <f t="array" ref="C440">_xlfn.XLOOKUP(
 B440,
 tblTargets[TargetID],
 tblTargets[DisplayName],
 ""
)</f>
        <v>Rock Garden Lv 3</v>
      </c>
      <c r="D440" s="49" t="str">
        <f t="array" ref="D440">_xlfn.XLOOKUP(
 B440,
 tblTargets[TargetID],
 tblTargets[TargetType],
 ""
)</f>
        <v>BUILDING</v>
      </c>
      <c r="E440" s="49" t="s">
        <v>237</v>
      </c>
      <c r="F440" s="87">
        <f>IFERROR(__xludf.DUMMYFUNCTION("VALUE(REGEXEXTRACT(A440,""([^.]+)$""))"),1.0)</f>
        <v>1</v>
      </c>
      <c r="G440" s="49">
        <v>400.0</v>
      </c>
      <c r="H440" s="26" t="b">
        <f>COUNTIFS(
 tblCostChecklist[RequirementID],A440,
 tblCostChecklist[PlayerPaid],TRUE
)&gt;0</f>
        <v>0</v>
      </c>
      <c r="I440" s="49">
        <f t="shared" si="1"/>
        <v>4</v>
      </c>
      <c r="J440" s="49">
        <f t="shared" si="2"/>
        <v>0</v>
      </c>
      <c r="K440" s="49">
        <f t="shared" si="3"/>
        <v>4</v>
      </c>
      <c r="L440" s="49" t="b">
        <f t="shared" si="4"/>
        <v>0</v>
      </c>
      <c r="M440" s="88">
        <f t="shared" si="5"/>
        <v>0</v>
      </c>
    </row>
    <row r="441" ht="14.25" customHeight="1">
      <c r="A441" s="49" t="s">
        <v>2032</v>
      </c>
      <c r="B441" s="49" t="str">
        <f>IFERROR(__xludf.DUMMYFUNCTION("REGEXEXTRACT(A441,""^cost\.(.*)\.[^.]+\.[^.]+$"")"),"building.ship@1")</f>
        <v>building.ship@1</v>
      </c>
      <c r="C441" s="49" t="str">
        <f t="array" ref="C441">_xlfn.XLOOKUP(
 B441,
 tblTargets[TargetID],
 tblTargets[DisplayName],
 ""
)</f>
        <v>Ship Lv 1</v>
      </c>
      <c r="D441" s="49" t="str">
        <f t="array" ref="D441">_xlfn.XLOOKUP(
 B441,
 tblTargets[TargetID],
 tblTargets[TargetType],
 ""
)</f>
        <v>BUILDING</v>
      </c>
      <c r="E441" s="49" t="s">
        <v>6</v>
      </c>
      <c r="F441" s="87">
        <f>IFERROR(__xludf.DUMMYFUNCTION("VALUE(REGEXEXTRACT(A441,""([^.]+)$""))"),1.0)</f>
        <v>1</v>
      </c>
      <c r="G441" s="49">
        <v>3.0</v>
      </c>
      <c r="H441" s="26" t="b">
        <f>COUNTIFS(
 tblCostChecklist[RequirementID],A441,
 tblCostChecklist[PlayerPaid],TRUE
)&gt;0</f>
        <v>0</v>
      </c>
      <c r="I441" s="49">
        <f t="shared" si="1"/>
        <v>5</v>
      </c>
      <c r="J441" s="49">
        <f t="shared" si="2"/>
        <v>0</v>
      </c>
      <c r="K441" s="49">
        <f t="shared" si="3"/>
        <v>5</v>
      </c>
      <c r="L441" s="49" t="b">
        <f t="shared" si="4"/>
        <v>0</v>
      </c>
      <c r="M441" s="88">
        <f t="shared" si="5"/>
        <v>0</v>
      </c>
    </row>
    <row r="442" ht="14.25" customHeight="1">
      <c r="A442" s="49" t="s">
        <v>2030</v>
      </c>
      <c r="B442" s="49" t="str">
        <f>IFERROR(__xludf.DUMMYFUNCTION("REGEXEXTRACT(A442,""^cost\.(.*)\.[^.]+\.[^.]+$"")"),"building.ship@1")</f>
        <v>building.ship@1</v>
      </c>
      <c r="C442" s="49" t="str">
        <f t="array" ref="C442">_xlfn.XLOOKUP(
 B442,
 tblTargets[TargetID],
 tblTargets[DisplayName],
 ""
)</f>
        <v>Ship Lv 1</v>
      </c>
      <c r="D442" s="49" t="str">
        <f t="array" ref="D442">_xlfn.XLOOKUP(
 B442,
 tblTargets[TargetID],
 tblTargets[TargetType],
 ""
)</f>
        <v>BUILDING</v>
      </c>
      <c r="E442" s="49" t="s">
        <v>119</v>
      </c>
      <c r="F442" s="87">
        <f>IFERROR(__xludf.DUMMYFUNCTION("VALUE(REGEXEXTRACT(A442,""([^.]+)$""))"),1.0)</f>
        <v>1</v>
      </c>
      <c r="G442" s="49">
        <v>500.0</v>
      </c>
      <c r="H442" s="26" t="b">
        <f>COUNTIFS(
 tblCostChecklist[RequirementID],A442,
 tblCostChecklist[PlayerPaid],TRUE
)&gt;0</f>
        <v>0</v>
      </c>
      <c r="I442" s="49">
        <f t="shared" si="1"/>
        <v>5</v>
      </c>
      <c r="J442" s="49">
        <f t="shared" si="2"/>
        <v>0</v>
      </c>
      <c r="K442" s="49">
        <f t="shared" si="3"/>
        <v>5</v>
      </c>
      <c r="L442" s="49" t="b">
        <f t="shared" si="4"/>
        <v>0</v>
      </c>
      <c r="M442" s="88">
        <f t="shared" si="5"/>
        <v>0</v>
      </c>
    </row>
    <row r="443" ht="14.25" customHeight="1">
      <c r="A443" s="49" t="s">
        <v>2031</v>
      </c>
      <c r="B443" s="49" t="str">
        <f>IFERROR(__xludf.DUMMYFUNCTION("REGEXEXTRACT(A443,""^cost\.(.*)\.[^.]+\.[^.]+$"")"),"building.ship@1")</f>
        <v>building.ship@1</v>
      </c>
      <c r="C443" s="49" t="str">
        <f t="array" ref="C443">_xlfn.XLOOKUP(
 B443,
 tblTargets[TargetID],
 tblTargets[DisplayName],
 ""
)</f>
        <v>Ship Lv 1</v>
      </c>
      <c r="D443" s="49" t="str">
        <f t="array" ref="D443">_xlfn.XLOOKUP(
 B443,
 tblTargets[TargetID],
 tblTargets[TargetType],
 ""
)</f>
        <v>BUILDING</v>
      </c>
      <c r="E443" s="49" t="s">
        <v>187</v>
      </c>
      <c r="F443" s="87">
        <f>IFERROR(__xludf.DUMMYFUNCTION("VALUE(REGEXEXTRACT(A443,""([^.]+)$""))"),1.0)</f>
        <v>1</v>
      </c>
      <c r="G443" s="49">
        <v>600.0</v>
      </c>
      <c r="H443" s="26" t="b">
        <f>COUNTIFS(
 tblCostChecklist[RequirementID],A443,
 tblCostChecklist[PlayerPaid],TRUE
)&gt;0</f>
        <v>0</v>
      </c>
      <c r="I443" s="49">
        <f t="shared" si="1"/>
        <v>5</v>
      </c>
      <c r="J443" s="49">
        <f t="shared" si="2"/>
        <v>0</v>
      </c>
      <c r="K443" s="49">
        <f t="shared" si="3"/>
        <v>5</v>
      </c>
      <c r="L443" s="49" t="b">
        <f t="shared" si="4"/>
        <v>0</v>
      </c>
      <c r="M443" s="88">
        <f t="shared" si="5"/>
        <v>0</v>
      </c>
    </row>
    <row r="444" ht="14.25" customHeight="1">
      <c r="A444" s="49" t="s">
        <v>2034</v>
      </c>
      <c r="B444" s="49" t="str">
        <f>IFERROR(__xludf.DUMMYFUNCTION("REGEXEXTRACT(A444,""^cost\.(.*)\.[^.]+\.[^.]+$"")"),"building.ship@1")</f>
        <v>building.ship@1</v>
      </c>
      <c r="C444" s="49" t="str">
        <f t="array" ref="C444">_xlfn.XLOOKUP(
 B444,
 tblTargets[TargetID],
 tblTargets[DisplayName],
 ""
)</f>
        <v>Ship Lv 1</v>
      </c>
      <c r="D444" s="49" t="str">
        <f t="array" ref="D444">_xlfn.XLOOKUP(
 B444,
 tblTargets[TargetID],
 tblTargets[TargetType],
 ""
)</f>
        <v>BUILDING</v>
      </c>
      <c r="E444" s="49" t="s">
        <v>237</v>
      </c>
      <c r="F444" s="87">
        <f>IFERROR(__xludf.DUMMYFUNCTION("VALUE(REGEXEXTRACT(A444,""([^.]+)$""))"),1.0)</f>
        <v>1</v>
      </c>
      <c r="G444" s="49">
        <v>1.0</v>
      </c>
      <c r="H444" s="26" t="b">
        <f>COUNTIFS(
 tblCostChecklist[RequirementID],A444,
 tblCostChecklist[PlayerPaid],TRUE
)&gt;0</f>
        <v>0</v>
      </c>
      <c r="I444" s="49">
        <f t="shared" si="1"/>
        <v>5</v>
      </c>
      <c r="J444" s="49">
        <f t="shared" si="2"/>
        <v>0</v>
      </c>
      <c r="K444" s="49">
        <f t="shared" si="3"/>
        <v>5</v>
      </c>
      <c r="L444" s="49" t="b">
        <f t="shared" si="4"/>
        <v>0</v>
      </c>
      <c r="M444" s="88">
        <f t="shared" si="5"/>
        <v>0</v>
      </c>
    </row>
    <row r="445" ht="14.25" customHeight="1">
      <c r="A445" s="49" t="s">
        <v>2033</v>
      </c>
      <c r="B445" s="49" t="str">
        <f>IFERROR(__xludf.DUMMYFUNCTION("REGEXEXTRACT(A445,""^cost\.(.*)\.[^.]+\.[^.]+$"")"),"building.ship@1")</f>
        <v>building.ship@1</v>
      </c>
      <c r="C445" s="49" t="str">
        <f t="array" ref="C445">_xlfn.XLOOKUP(
 B445,
 tblTargets[TargetID],
 tblTargets[DisplayName],
 ""
)</f>
        <v>Ship Lv 1</v>
      </c>
      <c r="D445" s="49" t="str">
        <f t="array" ref="D445">_xlfn.XLOOKUP(
 B445,
 tblTargets[TargetID],
 tblTargets[TargetType],
 ""
)</f>
        <v>BUILDING</v>
      </c>
      <c r="E445" s="49" t="s">
        <v>392</v>
      </c>
      <c r="F445" s="87">
        <f>IFERROR(__xludf.DUMMYFUNCTION("VALUE(REGEXEXTRACT(A445,""([^.]+)$""))"),1.0)</f>
        <v>1</v>
      </c>
      <c r="G445" s="49">
        <v>60.0</v>
      </c>
      <c r="H445" s="26" t="b">
        <f>COUNTIFS(
 tblCostChecklist[RequirementID],A445,
 tblCostChecklist[PlayerPaid],TRUE
)&gt;0</f>
        <v>0</v>
      </c>
      <c r="I445" s="49">
        <f t="shared" si="1"/>
        <v>5</v>
      </c>
      <c r="J445" s="49">
        <f t="shared" si="2"/>
        <v>0</v>
      </c>
      <c r="K445" s="49">
        <f t="shared" si="3"/>
        <v>5</v>
      </c>
      <c r="L445" s="49" t="b">
        <f t="shared" si="4"/>
        <v>0</v>
      </c>
      <c r="M445" s="88">
        <f t="shared" si="5"/>
        <v>0</v>
      </c>
    </row>
    <row r="446" ht="14.25" customHeight="1">
      <c r="A446" s="49" t="s">
        <v>2038</v>
      </c>
      <c r="B446" s="49" t="str">
        <f>IFERROR(__xludf.DUMMYFUNCTION("REGEXEXTRACT(A446,""^cost\.(.*)\.[^.]+\.[^.]+$"")"),"building.ship@2")</f>
        <v>building.ship@2</v>
      </c>
      <c r="C446" s="49" t="str">
        <f t="array" ref="C446">_xlfn.XLOOKUP(
 B446,
 tblTargets[TargetID],
 tblTargets[DisplayName],
 ""
)</f>
        <v>Ship Lv 2</v>
      </c>
      <c r="D446" s="49" t="str">
        <f t="array" ref="D446">_xlfn.XLOOKUP(
 B446,
 tblTargets[TargetID],
 tblTargets[TargetType],
 ""
)</f>
        <v>BUILDING</v>
      </c>
      <c r="E446" s="49" t="s">
        <v>6</v>
      </c>
      <c r="F446" s="87">
        <f>IFERROR(__xludf.DUMMYFUNCTION("VALUE(REGEXEXTRACT(A446,""([^.]+)$""))"),1.0)</f>
        <v>1</v>
      </c>
      <c r="G446" s="49">
        <v>6.0</v>
      </c>
      <c r="H446" s="26" t="b">
        <f>COUNTIFS(
 tblCostChecklist[RequirementID],A446,
 tblCostChecklist[PlayerPaid],TRUE
)&gt;0</f>
        <v>0</v>
      </c>
      <c r="I446" s="49">
        <f t="shared" si="1"/>
        <v>5</v>
      </c>
      <c r="J446" s="49">
        <f t="shared" si="2"/>
        <v>0</v>
      </c>
      <c r="K446" s="49">
        <f t="shared" si="3"/>
        <v>5</v>
      </c>
      <c r="L446" s="49" t="b">
        <f t="shared" si="4"/>
        <v>0</v>
      </c>
      <c r="M446" s="88">
        <f t="shared" si="5"/>
        <v>0</v>
      </c>
    </row>
    <row r="447" ht="14.25" customHeight="1">
      <c r="A447" s="49" t="s">
        <v>2035</v>
      </c>
      <c r="B447" s="49" t="str">
        <f>IFERROR(__xludf.DUMMYFUNCTION("REGEXEXTRACT(A447,""^cost\.(.*)\.[^.]+\.[^.]+$"")"),"building.ship@2")</f>
        <v>building.ship@2</v>
      </c>
      <c r="C447" s="49" t="str">
        <f t="array" ref="C447">_xlfn.XLOOKUP(
 B447,
 tblTargets[TargetID],
 tblTargets[DisplayName],
 ""
)</f>
        <v>Ship Lv 2</v>
      </c>
      <c r="D447" s="49" t="str">
        <f t="array" ref="D447">_xlfn.XLOOKUP(
 B447,
 tblTargets[TargetID],
 tblTargets[TargetType],
 ""
)</f>
        <v>BUILDING</v>
      </c>
      <c r="E447" s="49" t="s">
        <v>119</v>
      </c>
      <c r="F447" s="87">
        <f>IFERROR(__xludf.DUMMYFUNCTION("VALUE(REGEXEXTRACT(A447,""([^.]+)$""))"),1.0)</f>
        <v>1</v>
      </c>
      <c r="G447" s="49">
        <v>750.0</v>
      </c>
      <c r="H447" s="26" t="b">
        <f>COUNTIFS(
 tblCostChecklist[RequirementID],A447,
 tblCostChecklist[PlayerPaid],TRUE
)&gt;0</f>
        <v>0</v>
      </c>
      <c r="I447" s="49">
        <f t="shared" si="1"/>
        <v>5</v>
      </c>
      <c r="J447" s="49">
        <f t="shared" si="2"/>
        <v>0</v>
      </c>
      <c r="K447" s="49">
        <f t="shared" si="3"/>
        <v>5</v>
      </c>
      <c r="L447" s="49" t="b">
        <f t="shared" si="4"/>
        <v>0</v>
      </c>
      <c r="M447" s="88">
        <f t="shared" si="5"/>
        <v>0</v>
      </c>
    </row>
    <row r="448" ht="14.25" customHeight="1">
      <c r="A448" s="49" t="s">
        <v>2037</v>
      </c>
      <c r="B448" s="49" t="str">
        <f>IFERROR(__xludf.DUMMYFUNCTION("REGEXEXTRACT(A448,""^cost\.(.*)\.[^.]+\.[^.]+$"")"),"building.ship@2")</f>
        <v>building.ship@2</v>
      </c>
      <c r="C448" s="49" t="str">
        <f t="array" ref="C448">_xlfn.XLOOKUP(
 B448,
 tblTargets[TargetID],
 tblTargets[DisplayName],
 ""
)</f>
        <v>Ship Lv 2</v>
      </c>
      <c r="D448" s="49" t="str">
        <f t="array" ref="D448">_xlfn.XLOOKUP(
 B448,
 tblTargets[TargetID],
 tblTargets[TargetType],
 ""
)</f>
        <v>BUILDING</v>
      </c>
      <c r="E448" s="49" t="s">
        <v>187</v>
      </c>
      <c r="F448" s="87">
        <f>IFERROR(__xludf.DUMMYFUNCTION("VALUE(REGEXEXTRACT(A448,""([^.]+)$""))"),1.0)</f>
        <v>1</v>
      </c>
      <c r="G448" s="49">
        <v>800.0</v>
      </c>
      <c r="H448" s="26" t="b">
        <f>COUNTIFS(
 tblCostChecklist[RequirementID],A448,
 tblCostChecklist[PlayerPaid],TRUE
)&gt;0</f>
        <v>0</v>
      </c>
      <c r="I448" s="49">
        <f t="shared" si="1"/>
        <v>5</v>
      </c>
      <c r="J448" s="49">
        <f t="shared" si="2"/>
        <v>0</v>
      </c>
      <c r="K448" s="49">
        <f t="shared" si="3"/>
        <v>5</v>
      </c>
      <c r="L448" s="49" t="b">
        <f t="shared" si="4"/>
        <v>0</v>
      </c>
      <c r="M448" s="88">
        <f t="shared" si="5"/>
        <v>0</v>
      </c>
    </row>
    <row r="449" ht="14.25" customHeight="1">
      <c r="A449" s="49" t="s">
        <v>2039</v>
      </c>
      <c r="B449" s="49" t="str">
        <f>IFERROR(__xludf.DUMMYFUNCTION("REGEXEXTRACT(A449,""^cost\.(.*)\.[^.]+\.[^.]+$"")"),"building.ship@2")</f>
        <v>building.ship@2</v>
      </c>
      <c r="C449" s="49" t="str">
        <f t="array" ref="C449">_xlfn.XLOOKUP(
 B449,
 tblTargets[TargetID],
 tblTargets[DisplayName],
 ""
)</f>
        <v>Ship Lv 2</v>
      </c>
      <c r="D449" s="49" t="str">
        <f t="array" ref="D449">_xlfn.XLOOKUP(
 B449,
 tblTargets[TargetID],
 tblTargets[TargetType],
 ""
)</f>
        <v>BUILDING</v>
      </c>
      <c r="E449" s="49" t="s">
        <v>392</v>
      </c>
      <c r="F449" s="87">
        <f>IFERROR(__xludf.DUMMYFUNCTION("VALUE(REGEXEXTRACT(A449,""([^.]+)$""))"),1.0)</f>
        <v>1</v>
      </c>
      <c r="G449" s="49">
        <v>60.0</v>
      </c>
      <c r="H449" s="26" t="b">
        <f>COUNTIFS(
 tblCostChecklist[RequirementID],A449,
 tblCostChecklist[PlayerPaid],TRUE
)&gt;0</f>
        <v>0</v>
      </c>
      <c r="I449" s="49">
        <f t="shared" si="1"/>
        <v>5</v>
      </c>
      <c r="J449" s="49">
        <f t="shared" si="2"/>
        <v>0</v>
      </c>
      <c r="K449" s="49">
        <f t="shared" si="3"/>
        <v>5</v>
      </c>
      <c r="L449" s="49" t="b">
        <f t="shared" si="4"/>
        <v>0</v>
      </c>
      <c r="M449" s="88">
        <f t="shared" si="5"/>
        <v>0</v>
      </c>
    </row>
    <row r="450" ht="14.25" customHeight="1">
      <c r="A450" s="49" t="s">
        <v>2036</v>
      </c>
      <c r="B450" s="49" t="str">
        <f>IFERROR(__xludf.DUMMYFUNCTION("REGEXEXTRACT(A450,""^cost\.(.*)\.[^.]+\.[^.]+$"")"),"building.ship@2")</f>
        <v>building.ship@2</v>
      </c>
      <c r="C450" s="49" t="str">
        <f t="array" ref="C450">_xlfn.XLOOKUP(
 B450,
 tblTargets[TargetID],
 tblTargets[DisplayName],
 ""
)</f>
        <v>Ship Lv 2</v>
      </c>
      <c r="D450" s="49" t="str">
        <f t="array" ref="D450">_xlfn.XLOOKUP(
 B450,
 tblTargets[TargetID],
 tblTargets[TargetType],
 ""
)</f>
        <v>BUILDING</v>
      </c>
      <c r="E450" s="49" t="s">
        <v>1939</v>
      </c>
      <c r="F450" s="87">
        <f>IFERROR(__xludf.DUMMYFUNCTION("VALUE(REGEXEXTRACT(A450,""([^.]+)$""))"),1.0)</f>
        <v>1</v>
      </c>
      <c r="G450" s="49">
        <v>1.0</v>
      </c>
      <c r="H450" s="26" t="b">
        <f>COUNTIFS(
 tblCostChecklist[RequirementID],A450,
 tblCostChecklist[PlayerPaid],TRUE
)&gt;0</f>
        <v>0</v>
      </c>
      <c r="I450" s="49">
        <f t="shared" si="1"/>
        <v>5</v>
      </c>
      <c r="J450" s="49">
        <f t="shared" si="2"/>
        <v>0</v>
      </c>
      <c r="K450" s="49">
        <f t="shared" si="3"/>
        <v>5</v>
      </c>
      <c r="L450" s="49" t="b">
        <f t="shared" si="4"/>
        <v>0</v>
      </c>
      <c r="M450" s="88">
        <f t="shared" si="5"/>
        <v>0</v>
      </c>
    </row>
    <row r="451" ht="14.25" customHeight="1">
      <c r="A451" s="49" t="s">
        <v>2044</v>
      </c>
      <c r="B451" s="49" t="str">
        <f>IFERROR(__xludf.DUMMYFUNCTION("REGEXEXTRACT(A451,""^cost\.(.*)\.[^.]+\.[^.]+$"")"),"building.ship@3")</f>
        <v>building.ship@3</v>
      </c>
      <c r="C451" s="49" t="str">
        <f t="array" ref="C451">_xlfn.XLOOKUP(
 B451,
 tblTargets[TargetID],
 tblTargets[DisplayName],
 ""
)</f>
        <v>Ship Lv 3</v>
      </c>
      <c r="D451" s="49" t="str">
        <f t="array" ref="D451">_xlfn.XLOOKUP(
 B451,
 tblTargets[TargetID],
 tblTargets[TargetType],
 ""
)</f>
        <v>BUILDING</v>
      </c>
      <c r="E451" s="49" t="s">
        <v>6</v>
      </c>
      <c r="F451" s="87">
        <f>IFERROR(__xludf.DUMMYFUNCTION("VALUE(REGEXEXTRACT(A451,""([^.]+)$""))"),1.0)</f>
        <v>1</v>
      </c>
      <c r="G451" s="49">
        <v>9.0</v>
      </c>
      <c r="H451" s="26" t="b">
        <f>COUNTIFS(
 tblCostChecklist[RequirementID],A451,
 tblCostChecklist[PlayerPaid],TRUE
)&gt;0</f>
        <v>0</v>
      </c>
      <c r="I451" s="49">
        <f t="shared" si="1"/>
        <v>5</v>
      </c>
      <c r="J451" s="49">
        <f t="shared" si="2"/>
        <v>0</v>
      </c>
      <c r="K451" s="49">
        <f t="shared" si="3"/>
        <v>5</v>
      </c>
      <c r="L451" s="49" t="b">
        <f t="shared" si="4"/>
        <v>0</v>
      </c>
      <c r="M451" s="88">
        <f t="shared" si="5"/>
        <v>0</v>
      </c>
    </row>
    <row r="452" ht="14.25" customHeight="1">
      <c r="A452" s="49" t="s">
        <v>2042</v>
      </c>
      <c r="B452" s="49" t="str">
        <f>IFERROR(__xludf.DUMMYFUNCTION("REGEXEXTRACT(A452,""^cost\.(.*)\.[^.]+\.[^.]+$"")"),"building.ship@3")</f>
        <v>building.ship@3</v>
      </c>
      <c r="C452" s="49" t="str">
        <f t="array" ref="C452">_xlfn.XLOOKUP(
 B452,
 tblTargets[TargetID],
 tblTargets[DisplayName],
 ""
)</f>
        <v>Ship Lv 3</v>
      </c>
      <c r="D452" s="49" t="str">
        <f t="array" ref="D452">_xlfn.XLOOKUP(
 B452,
 tblTargets[TargetID],
 tblTargets[TargetType],
 ""
)</f>
        <v>BUILDING</v>
      </c>
      <c r="E452" s="49" t="s">
        <v>119</v>
      </c>
      <c r="F452" s="87">
        <f>IFERROR(__xludf.DUMMYFUNCTION("VALUE(REGEXEXTRACT(A452,""([^.]+)$""))"),1.0)</f>
        <v>1</v>
      </c>
      <c r="G452" s="49">
        <v>1000.0</v>
      </c>
      <c r="H452" s="26" t="b">
        <f>COUNTIFS(
 tblCostChecklist[RequirementID],A452,
 tblCostChecklist[PlayerPaid],TRUE
)&gt;0</f>
        <v>0</v>
      </c>
      <c r="I452" s="49">
        <f t="shared" si="1"/>
        <v>5</v>
      </c>
      <c r="J452" s="49">
        <f t="shared" si="2"/>
        <v>0</v>
      </c>
      <c r="K452" s="49">
        <f t="shared" si="3"/>
        <v>5</v>
      </c>
      <c r="L452" s="49" t="b">
        <f t="shared" si="4"/>
        <v>0</v>
      </c>
      <c r="M452" s="88">
        <f t="shared" si="5"/>
        <v>0</v>
      </c>
    </row>
    <row r="453" ht="14.25" customHeight="1">
      <c r="A453" s="49" t="s">
        <v>2043</v>
      </c>
      <c r="B453" s="49" t="str">
        <f>IFERROR(__xludf.DUMMYFUNCTION("REGEXEXTRACT(A453,""^cost\.(.*)\.[^.]+\.[^.]+$"")"),"building.ship@3")</f>
        <v>building.ship@3</v>
      </c>
      <c r="C453" s="49" t="str">
        <f t="array" ref="C453">_xlfn.XLOOKUP(
 B453,
 tblTargets[TargetID],
 tblTargets[DisplayName],
 ""
)</f>
        <v>Ship Lv 3</v>
      </c>
      <c r="D453" s="49" t="str">
        <f t="array" ref="D453">_xlfn.XLOOKUP(
 B453,
 tblTargets[TargetID],
 tblTargets[TargetType],
 ""
)</f>
        <v>BUILDING</v>
      </c>
      <c r="E453" s="49" t="s">
        <v>187</v>
      </c>
      <c r="F453" s="87">
        <f>IFERROR(__xludf.DUMMYFUNCTION("VALUE(REGEXEXTRACT(A453,""([^.]+)$""))"),1.0)</f>
        <v>1</v>
      </c>
      <c r="G453" s="49">
        <v>1000.0</v>
      </c>
      <c r="H453" s="26" t="b">
        <f>COUNTIFS(
 tblCostChecklist[RequirementID],A453,
 tblCostChecklist[PlayerPaid],TRUE
)&gt;0</f>
        <v>0</v>
      </c>
      <c r="I453" s="49">
        <f t="shared" si="1"/>
        <v>5</v>
      </c>
      <c r="J453" s="49">
        <f t="shared" si="2"/>
        <v>0</v>
      </c>
      <c r="K453" s="49">
        <f t="shared" si="3"/>
        <v>5</v>
      </c>
      <c r="L453" s="49" t="b">
        <f t="shared" si="4"/>
        <v>0</v>
      </c>
      <c r="M453" s="88">
        <f t="shared" si="5"/>
        <v>0</v>
      </c>
    </row>
    <row r="454" ht="14.25" customHeight="1">
      <c r="A454" s="49" t="s">
        <v>2040</v>
      </c>
      <c r="B454" s="49" t="str">
        <f>IFERROR(__xludf.DUMMYFUNCTION("REGEXEXTRACT(A454,""^cost\.(.*)\.[^.]+\.[^.]+$"")"),"building.ship@3")</f>
        <v>building.ship@3</v>
      </c>
      <c r="C454" s="49" t="str">
        <f t="array" ref="C454">_xlfn.XLOOKUP(
 B454,
 tblTargets[TargetID],
 tblTargets[DisplayName],
 ""
)</f>
        <v>Ship Lv 3</v>
      </c>
      <c r="D454" s="49" t="str">
        <f t="array" ref="D454">_xlfn.XLOOKUP(
 B454,
 tblTargets[TargetID],
 tblTargets[TargetType],
 ""
)</f>
        <v>BUILDING</v>
      </c>
      <c r="E454" s="49" t="s">
        <v>2041</v>
      </c>
      <c r="F454" s="87">
        <f>IFERROR(__xludf.DUMMYFUNCTION("VALUE(REGEXEXTRACT(A454,""([^.]+)$""))"),1.0)</f>
        <v>1</v>
      </c>
      <c r="G454" s="49">
        <v>1.0</v>
      </c>
      <c r="H454" s="26" t="b">
        <f>COUNTIFS(
 tblCostChecklist[RequirementID],A454,
 tblCostChecklist[PlayerPaid],TRUE
)&gt;0</f>
        <v>0</v>
      </c>
      <c r="I454" s="49">
        <f t="shared" si="1"/>
        <v>5</v>
      </c>
      <c r="J454" s="49">
        <f t="shared" si="2"/>
        <v>0</v>
      </c>
      <c r="K454" s="49">
        <f t="shared" si="3"/>
        <v>5</v>
      </c>
      <c r="L454" s="49" t="b">
        <f t="shared" si="4"/>
        <v>0</v>
      </c>
      <c r="M454" s="88">
        <f t="shared" si="5"/>
        <v>0</v>
      </c>
    </row>
    <row r="455" ht="14.25" customHeight="1">
      <c r="A455" s="49" t="s">
        <v>2045</v>
      </c>
      <c r="B455" s="49" t="str">
        <f>IFERROR(__xludf.DUMMYFUNCTION("REGEXEXTRACT(A455,""^cost\.(.*)\.[^.]+\.[^.]+$"")"),"building.ship@3")</f>
        <v>building.ship@3</v>
      </c>
      <c r="C455" s="49" t="str">
        <f t="array" ref="C455">_xlfn.XLOOKUP(
 B455,
 tblTargets[TargetID],
 tblTargets[DisplayName],
 ""
)</f>
        <v>Ship Lv 3</v>
      </c>
      <c r="D455" s="49" t="str">
        <f t="array" ref="D455">_xlfn.XLOOKUP(
 B455,
 tblTargets[TargetID],
 tblTargets[TargetType],
 ""
)</f>
        <v>BUILDING</v>
      </c>
      <c r="E455" s="49" t="s">
        <v>443</v>
      </c>
      <c r="F455" s="87">
        <f>IFERROR(__xludf.DUMMYFUNCTION("VALUE(REGEXEXTRACT(A455,""([^.]+)$""))"),1.0)</f>
        <v>1</v>
      </c>
      <c r="G455" s="49">
        <v>1.0</v>
      </c>
      <c r="H455" s="26" t="b">
        <f>COUNTIFS(
 tblCostChecklist[RequirementID],A455,
 tblCostChecklist[PlayerPaid],TRUE
)&gt;0</f>
        <v>0</v>
      </c>
      <c r="I455" s="49">
        <f t="shared" si="1"/>
        <v>5</v>
      </c>
      <c r="J455" s="49">
        <f t="shared" si="2"/>
        <v>0</v>
      </c>
      <c r="K455" s="49">
        <f t="shared" si="3"/>
        <v>5</v>
      </c>
      <c r="L455" s="49" t="b">
        <f t="shared" si="4"/>
        <v>0</v>
      </c>
      <c r="M455" s="88">
        <f t="shared" si="5"/>
        <v>0</v>
      </c>
    </row>
    <row r="456" ht="14.25" customHeight="1">
      <c r="A456" s="49" t="s">
        <v>2049</v>
      </c>
      <c r="B456" s="49" t="str">
        <f>IFERROR(__xludf.DUMMYFUNCTION("REGEXEXTRACT(A456,""^cost\.(.*)\.[^.]+\.[^.]+$"")"),"building.ship@4")</f>
        <v>building.ship@4</v>
      </c>
      <c r="C456" s="49" t="str">
        <f t="array" ref="C456">_xlfn.XLOOKUP(
 B456,
 tblTargets[TargetID],
 tblTargets[DisplayName],
 ""
)</f>
        <v>Ship Lv 4</v>
      </c>
      <c r="D456" s="49" t="str">
        <f t="array" ref="D456">_xlfn.XLOOKUP(
 B456,
 tblTargets[TargetID],
 tblTargets[TargetType],
 ""
)</f>
        <v>BUILDING</v>
      </c>
      <c r="E456" s="49" t="s">
        <v>6</v>
      </c>
      <c r="F456" s="87">
        <f>IFERROR(__xludf.DUMMYFUNCTION("VALUE(REGEXEXTRACT(A456,""([^.]+)$""))"),1.0)</f>
        <v>1</v>
      </c>
      <c r="G456" s="49">
        <v>10.0</v>
      </c>
      <c r="H456" s="26" t="b">
        <f>COUNTIFS(
 tblCostChecklist[RequirementID],A456,
 tblCostChecklist[PlayerPaid],TRUE
)&gt;0</f>
        <v>0</v>
      </c>
      <c r="I456" s="49">
        <f t="shared" si="1"/>
        <v>5</v>
      </c>
      <c r="J456" s="49">
        <f t="shared" si="2"/>
        <v>0</v>
      </c>
      <c r="K456" s="49">
        <f t="shared" si="3"/>
        <v>5</v>
      </c>
      <c r="L456" s="49" t="b">
        <f t="shared" si="4"/>
        <v>0</v>
      </c>
      <c r="M456" s="88">
        <f t="shared" si="5"/>
        <v>0</v>
      </c>
    </row>
    <row r="457" ht="14.25" customHeight="1">
      <c r="A457" s="49" t="s">
        <v>2046</v>
      </c>
      <c r="B457" s="49" t="str">
        <f>IFERROR(__xludf.DUMMYFUNCTION("REGEXEXTRACT(A457,""^cost\.(.*)\.[^.]+\.[^.]+$"")"),"building.ship@4")</f>
        <v>building.ship@4</v>
      </c>
      <c r="C457" s="49" t="str">
        <f t="array" ref="C457">_xlfn.XLOOKUP(
 B457,
 tblTargets[TargetID],
 tblTargets[DisplayName],
 ""
)</f>
        <v>Ship Lv 4</v>
      </c>
      <c r="D457" s="49" t="str">
        <f t="array" ref="D457">_xlfn.XLOOKUP(
 B457,
 tblTargets[TargetID],
 tblTargets[TargetType],
 ""
)</f>
        <v>BUILDING</v>
      </c>
      <c r="E457" s="49" t="s">
        <v>119</v>
      </c>
      <c r="F457" s="87">
        <f>IFERROR(__xludf.DUMMYFUNCTION("VALUE(REGEXEXTRACT(A457,""([^.]+)$""))"),1.0)</f>
        <v>1</v>
      </c>
      <c r="G457" s="49">
        <v>1000.0</v>
      </c>
      <c r="H457" s="26" t="b">
        <f>COUNTIFS(
 tblCostChecklist[RequirementID],A457,
 tblCostChecklist[PlayerPaid],TRUE
)&gt;0</f>
        <v>0</v>
      </c>
      <c r="I457" s="49">
        <f t="shared" si="1"/>
        <v>5</v>
      </c>
      <c r="J457" s="49">
        <f t="shared" si="2"/>
        <v>0</v>
      </c>
      <c r="K457" s="49">
        <f t="shared" si="3"/>
        <v>5</v>
      </c>
      <c r="L457" s="49" t="b">
        <f t="shared" si="4"/>
        <v>0</v>
      </c>
      <c r="M457" s="88">
        <f t="shared" si="5"/>
        <v>0</v>
      </c>
    </row>
    <row r="458" ht="14.25" customHeight="1">
      <c r="A458" s="49" t="s">
        <v>2048</v>
      </c>
      <c r="B458" s="49" t="str">
        <f>IFERROR(__xludf.DUMMYFUNCTION("REGEXEXTRACT(A458,""^cost\.(.*)\.[^.]+\.[^.]+$"")"),"building.ship@4")</f>
        <v>building.ship@4</v>
      </c>
      <c r="C458" s="49" t="str">
        <f t="array" ref="C458">_xlfn.XLOOKUP(
 B458,
 tblTargets[TargetID],
 tblTargets[DisplayName],
 ""
)</f>
        <v>Ship Lv 4</v>
      </c>
      <c r="D458" s="49" t="str">
        <f t="array" ref="D458">_xlfn.XLOOKUP(
 B458,
 tblTargets[TargetID],
 tblTargets[TargetType],
 ""
)</f>
        <v>BUILDING</v>
      </c>
      <c r="E458" s="49" t="s">
        <v>187</v>
      </c>
      <c r="F458" s="87">
        <f>IFERROR(__xludf.DUMMYFUNCTION("VALUE(REGEXEXTRACT(A458,""([^.]+)$""))"),1.0)</f>
        <v>1</v>
      </c>
      <c r="G458" s="49">
        <v>1000.0</v>
      </c>
      <c r="H458" s="26" t="b">
        <f>COUNTIFS(
 tblCostChecklist[RequirementID],A458,
 tblCostChecklist[PlayerPaid],TRUE
)&gt;0</f>
        <v>0</v>
      </c>
      <c r="I458" s="49">
        <f t="shared" si="1"/>
        <v>5</v>
      </c>
      <c r="J458" s="49">
        <f t="shared" si="2"/>
        <v>0</v>
      </c>
      <c r="K458" s="49">
        <f t="shared" si="3"/>
        <v>5</v>
      </c>
      <c r="L458" s="49" t="b">
        <f t="shared" si="4"/>
        <v>0</v>
      </c>
      <c r="M458" s="88">
        <f t="shared" si="5"/>
        <v>0</v>
      </c>
    </row>
    <row r="459" ht="14.25" customHeight="1">
      <c r="A459" s="49" t="s">
        <v>2050</v>
      </c>
      <c r="B459" s="49" t="str">
        <f>IFERROR(__xludf.DUMMYFUNCTION("REGEXEXTRACT(A459,""^cost\.(.*)\.[^.]+\.[^.]+$"")"),"building.ship@4")</f>
        <v>building.ship@4</v>
      </c>
      <c r="C459" s="49" t="str">
        <f t="array" ref="C459">_xlfn.XLOOKUP(
 B459,
 tblTargets[TargetID],
 tblTargets[DisplayName],
 ""
)</f>
        <v>Ship Lv 4</v>
      </c>
      <c r="D459" s="49" t="str">
        <f t="array" ref="D459">_xlfn.XLOOKUP(
 B459,
 tblTargets[TargetID],
 tblTargets[TargetType],
 ""
)</f>
        <v>BUILDING</v>
      </c>
      <c r="E459" s="49" t="s">
        <v>443</v>
      </c>
      <c r="F459" s="87">
        <f>IFERROR(__xludf.DUMMYFUNCTION("VALUE(REGEXEXTRACT(A459,""([^.]+)$""))"),1.0)</f>
        <v>1</v>
      </c>
      <c r="G459" s="49">
        <v>2.0</v>
      </c>
      <c r="H459" s="26" t="b">
        <f>COUNTIFS(
 tblCostChecklist[RequirementID],A459,
 tblCostChecklist[PlayerPaid],TRUE
)&gt;0</f>
        <v>0</v>
      </c>
      <c r="I459" s="49">
        <f t="shared" si="1"/>
        <v>5</v>
      </c>
      <c r="J459" s="49">
        <f t="shared" si="2"/>
        <v>0</v>
      </c>
      <c r="K459" s="49">
        <f t="shared" si="3"/>
        <v>5</v>
      </c>
      <c r="L459" s="49" t="b">
        <f t="shared" si="4"/>
        <v>0</v>
      </c>
      <c r="M459" s="88">
        <f t="shared" si="5"/>
        <v>0</v>
      </c>
    </row>
    <row r="460" ht="14.25" customHeight="1">
      <c r="A460" s="49" t="s">
        <v>2047</v>
      </c>
      <c r="B460" s="49" t="str">
        <f>IFERROR(__xludf.DUMMYFUNCTION("REGEXEXTRACT(A460,""^cost\.(.*)\.[^.]+\.[^.]+$"")"),"building.ship@4")</f>
        <v>building.ship@4</v>
      </c>
      <c r="C460" s="49" t="str">
        <f t="array" ref="C460">_xlfn.XLOOKUP(
 B460,
 tblTargets[TargetID],
 tblTargets[DisplayName],
 ""
)</f>
        <v>Ship Lv 4</v>
      </c>
      <c r="D460" s="49" t="str">
        <f t="array" ref="D460">_xlfn.XLOOKUP(
 B460,
 tblTargets[TargetID],
 tblTargets[TargetType],
 ""
)</f>
        <v>BUILDING</v>
      </c>
      <c r="E460" s="49" t="s">
        <v>318</v>
      </c>
      <c r="F460" s="87">
        <f>IFERROR(__xludf.DUMMYFUNCTION("VALUE(REGEXEXTRACT(A460,""([^.]+)$""))"),1.0)</f>
        <v>1</v>
      </c>
      <c r="G460" s="49">
        <v>200.0</v>
      </c>
      <c r="H460" s="26" t="b">
        <f>COUNTIFS(
 tblCostChecklist[RequirementID],A460,
 tblCostChecklist[PlayerPaid],TRUE
)&gt;0</f>
        <v>0</v>
      </c>
      <c r="I460" s="49">
        <f t="shared" si="1"/>
        <v>5</v>
      </c>
      <c r="J460" s="49">
        <f t="shared" si="2"/>
        <v>0</v>
      </c>
      <c r="K460" s="49">
        <f t="shared" si="3"/>
        <v>5</v>
      </c>
      <c r="L460" s="49" t="b">
        <f t="shared" si="4"/>
        <v>0</v>
      </c>
      <c r="M460" s="88">
        <f t="shared" si="5"/>
        <v>0</v>
      </c>
    </row>
    <row r="461" ht="14.25" customHeight="1">
      <c r="A461" s="49" t="s">
        <v>2052</v>
      </c>
      <c r="B461" s="49" t="str">
        <f>IFERROR(__xludf.DUMMYFUNCTION("REGEXEXTRACT(A461,""^cost\.(.*)\.[^.]+\.[^.]+$"")"),"building.shop@1")</f>
        <v>building.shop@1</v>
      </c>
      <c r="C461" s="49" t="str">
        <f t="array" ref="C461">_xlfn.XLOOKUP(
 B461,
 tblTargets[TargetID],
 tblTargets[DisplayName],
 ""
)</f>
        <v>Shop Lv 1</v>
      </c>
      <c r="D461" s="49" t="str">
        <f t="array" ref="D461">_xlfn.XLOOKUP(
 B461,
 tblTargets[TargetID],
 tblTargets[TargetType],
 ""
)</f>
        <v>BUILDING</v>
      </c>
      <c r="E461" s="49" t="s">
        <v>6</v>
      </c>
      <c r="F461" s="87">
        <f>IFERROR(__xludf.DUMMYFUNCTION("VALUE(REGEXEXTRACT(A461,""([^.]+)$""))"),1.0)</f>
        <v>1</v>
      </c>
      <c r="G461" s="49">
        <v>1.0</v>
      </c>
      <c r="H461" s="26" t="b">
        <f>COUNTIFS(
 tblCostChecklist[RequirementID],A461,
 tblCostChecklist[PlayerPaid],TRUE
)&gt;0</f>
        <v>0</v>
      </c>
      <c r="I461" s="49">
        <f t="shared" si="1"/>
        <v>4</v>
      </c>
      <c r="J461" s="49">
        <f t="shared" si="2"/>
        <v>0</v>
      </c>
      <c r="K461" s="49">
        <f t="shared" si="3"/>
        <v>4</v>
      </c>
      <c r="L461" s="49" t="b">
        <f t="shared" si="4"/>
        <v>0</v>
      </c>
      <c r="M461" s="88">
        <f t="shared" si="5"/>
        <v>0</v>
      </c>
    </row>
    <row r="462" ht="14.25" customHeight="1">
      <c r="A462" s="49" t="s">
        <v>2051</v>
      </c>
      <c r="B462" s="49" t="str">
        <f>IFERROR(__xludf.DUMMYFUNCTION("REGEXEXTRACT(A462,""^cost\.(.*)\.[^.]+\.[^.]+$"")"),"building.shop@1")</f>
        <v>building.shop@1</v>
      </c>
      <c r="C462" s="49" t="str">
        <f t="array" ref="C462">_xlfn.XLOOKUP(
 B462,
 tblTargets[TargetID],
 tblTargets[DisplayName],
 ""
)</f>
        <v>Shop Lv 1</v>
      </c>
      <c r="D462" s="49" t="str">
        <f t="array" ref="D462">_xlfn.XLOOKUP(
 B462,
 tblTargets[TargetID],
 tblTargets[TargetType],
 ""
)</f>
        <v>BUILDING</v>
      </c>
      <c r="E462" s="49" t="s">
        <v>119</v>
      </c>
      <c r="F462" s="87">
        <f>IFERROR(__xludf.DUMMYFUNCTION("VALUE(REGEXEXTRACT(A462,""([^.]+)$""))"),1.0)</f>
        <v>1</v>
      </c>
      <c r="G462" s="49">
        <v>100.0</v>
      </c>
      <c r="H462" s="26" t="b">
        <f>COUNTIFS(
 tblCostChecklist[RequirementID],A462,
 tblCostChecklist[PlayerPaid],TRUE
)&gt;0</f>
        <v>0</v>
      </c>
      <c r="I462" s="49">
        <f t="shared" si="1"/>
        <v>4</v>
      </c>
      <c r="J462" s="49">
        <f t="shared" si="2"/>
        <v>0</v>
      </c>
      <c r="K462" s="49">
        <f t="shared" si="3"/>
        <v>4</v>
      </c>
      <c r="L462" s="49" t="b">
        <f t="shared" si="4"/>
        <v>0</v>
      </c>
      <c r="M462" s="88">
        <f t="shared" si="5"/>
        <v>0</v>
      </c>
    </row>
    <row r="463" ht="14.25" customHeight="1">
      <c r="A463" s="49" t="s">
        <v>2054</v>
      </c>
      <c r="B463" s="49" t="str">
        <f>IFERROR(__xludf.DUMMYFUNCTION("REGEXEXTRACT(A463,""^cost\.(.*)\.[^.]+\.[^.]+$"")"),"building.shop@1")</f>
        <v>building.shop@1</v>
      </c>
      <c r="C463" s="49" t="str">
        <f t="array" ref="C463">_xlfn.XLOOKUP(
 B463,
 tblTargets[TargetID],
 tblTargets[DisplayName],
 ""
)</f>
        <v>Shop Lv 1</v>
      </c>
      <c r="D463" s="49" t="str">
        <f t="array" ref="D463">_xlfn.XLOOKUP(
 B463,
 tblTargets[TargetID],
 tblTargets[TargetType],
 ""
)</f>
        <v>BUILDING</v>
      </c>
      <c r="E463" s="49" t="s">
        <v>244</v>
      </c>
      <c r="F463" s="87">
        <f>IFERROR(__xludf.DUMMYFUNCTION("VALUE(REGEXEXTRACT(A463,""([^.]+)$""))"),1.0)</f>
        <v>1</v>
      </c>
      <c r="G463" s="49">
        <v>20.0</v>
      </c>
      <c r="H463" s="26" t="b">
        <f>COUNTIFS(
 tblCostChecklist[RequirementID],A463,
 tblCostChecklist[PlayerPaid],TRUE
)&gt;0</f>
        <v>0</v>
      </c>
      <c r="I463" s="49">
        <f t="shared" si="1"/>
        <v>4</v>
      </c>
      <c r="J463" s="49">
        <f t="shared" si="2"/>
        <v>0</v>
      </c>
      <c r="K463" s="49">
        <f t="shared" si="3"/>
        <v>4</v>
      </c>
      <c r="L463" s="49" t="b">
        <f t="shared" si="4"/>
        <v>0</v>
      </c>
      <c r="M463" s="88">
        <f t="shared" si="5"/>
        <v>0</v>
      </c>
    </row>
    <row r="464" ht="14.25" customHeight="1">
      <c r="A464" s="49" t="s">
        <v>2053</v>
      </c>
      <c r="B464" s="49" t="str">
        <f>IFERROR(__xludf.DUMMYFUNCTION("REGEXEXTRACT(A464,""^cost\.(.*)\.[^.]+\.[^.]+$"")"),"building.shop@1")</f>
        <v>building.shop@1</v>
      </c>
      <c r="C464" s="49" t="str">
        <f t="array" ref="C464">_xlfn.XLOOKUP(
 B464,
 tblTargets[TargetID],
 tblTargets[DisplayName],
 ""
)</f>
        <v>Shop Lv 1</v>
      </c>
      <c r="D464" s="49" t="str">
        <f t="array" ref="D464">_xlfn.XLOOKUP(
 B464,
 tblTargets[TargetID],
 tblTargets[TargetType],
 ""
)</f>
        <v>BUILDING</v>
      </c>
      <c r="E464" s="49" t="s">
        <v>237</v>
      </c>
      <c r="F464" s="87">
        <f>IFERROR(__xludf.DUMMYFUNCTION("VALUE(REGEXEXTRACT(A464,""([^.]+)$""))"),1.0)</f>
        <v>1</v>
      </c>
      <c r="G464" s="49">
        <v>20.0</v>
      </c>
      <c r="H464" s="26" t="b">
        <f>COUNTIFS(
 tblCostChecklist[RequirementID],A464,
 tblCostChecklist[PlayerPaid],TRUE
)&gt;0</f>
        <v>0</v>
      </c>
      <c r="I464" s="49">
        <f t="shared" si="1"/>
        <v>4</v>
      </c>
      <c r="J464" s="49">
        <f t="shared" si="2"/>
        <v>0</v>
      </c>
      <c r="K464" s="49">
        <f t="shared" si="3"/>
        <v>4</v>
      </c>
      <c r="L464" s="49" t="b">
        <f t="shared" si="4"/>
        <v>0</v>
      </c>
      <c r="M464" s="88">
        <f t="shared" si="5"/>
        <v>0</v>
      </c>
    </row>
    <row r="465" ht="14.25" customHeight="1">
      <c r="A465" s="49" t="s">
        <v>2056</v>
      </c>
      <c r="B465" s="49" t="str">
        <f>IFERROR(__xludf.DUMMYFUNCTION("REGEXEXTRACT(A465,""^cost\.(.*)\.[^.]+\.[^.]+$"")"),"building.shop@2")</f>
        <v>building.shop@2</v>
      </c>
      <c r="C465" s="49" t="str">
        <f t="array" ref="C465">_xlfn.XLOOKUP(
 B465,
 tblTargets[TargetID],
 tblTargets[DisplayName],
 ""
)</f>
        <v>Shop Lv 2</v>
      </c>
      <c r="D465" s="49" t="str">
        <f t="array" ref="D465">_xlfn.XLOOKUP(
 B465,
 tblTargets[TargetID],
 tblTargets[TargetType],
 ""
)</f>
        <v>BUILDING</v>
      </c>
      <c r="E465" s="49" t="s">
        <v>6</v>
      </c>
      <c r="F465" s="87">
        <f>IFERROR(__xludf.DUMMYFUNCTION("VALUE(REGEXEXTRACT(A465,""([^.]+)$""))"),1.0)</f>
        <v>1</v>
      </c>
      <c r="G465" s="49">
        <v>2.0</v>
      </c>
      <c r="H465" s="26" t="b">
        <f>COUNTIFS(
 tblCostChecklist[RequirementID],A465,
 tblCostChecklist[PlayerPaid],TRUE
)&gt;0</f>
        <v>0</v>
      </c>
      <c r="I465" s="49">
        <f t="shared" si="1"/>
        <v>4</v>
      </c>
      <c r="J465" s="49">
        <f t="shared" si="2"/>
        <v>0</v>
      </c>
      <c r="K465" s="49">
        <f t="shared" si="3"/>
        <v>4</v>
      </c>
      <c r="L465" s="49" t="b">
        <f t="shared" si="4"/>
        <v>0</v>
      </c>
      <c r="M465" s="88">
        <f t="shared" si="5"/>
        <v>0</v>
      </c>
    </row>
    <row r="466" ht="14.25" customHeight="1">
      <c r="A466" s="49" t="s">
        <v>2055</v>
      </c>
      <c r="B466" s="49" t="str">
        <f>IFERROR(__xludf.DUMMYFUNCTION("REGEXEXTRACT(A466,""^cost\.(.*)\.[^.]+\.[^.]+$"")"),"building.shop@2")</f>
        <v>building.shop@2</v>
      </c>
      <c r="C466" s="49" t="str">
        <f t="array" ref="C466">_xlfn.XLOOKUP(
 B466,
 tblTargets[TargetID],
 tblTargets[DisplayName],
 ""
)</f>
        <v>Shop Lv 2</v>
      </c>
      <c r="D466" s="49" t="str">
        <f t="array" ref="D466">_xlfn.XLOOKUP(
 B466,
 tblTargets[TargetID],
 tblTargets[TargetType],
 ""
)</f>
        <v>BUILDING</v>
      </c>
      <c r="E466" s="49" t="s">
        <v>119</v>
      </c>
      <c r="F466" s="87">
        <f>IFERROR(__xludf.DUMMYFUNCTION("VALUE(REGEXEXTRACT(A466,""([^.]+)$""))"),1.0)</f>
        <v>1</v>
      </c>
      <c r="G466" s="49">
        <v>400.0</v>
      </c>
      <c r="H466" s="26" t="b">
        <f>COUNTIFS(
 tblCostChecklist[RequirementID],A466,
 tblCostChecklist[PlayerPaid],TRUE
)&gt;0</f>
        <v>0</v>
      </c>
      <c r="I466" s="49">
        <f t="shared" si="1"/>
        <v>4</v>
      </c>
      <c r="J466" s="49">
        <f t="shared" si="2"/>
        <v>0</v>
      </c>
      <c r="K466" s="49">
        <f t="shared" si="3"/>
        <v>4</v>
      </c>
      <c r="L466" s="49" t="b">
        <f t="shared" si="4"/>
        <v>0</v>
      </c>
      <c r="M466" s="88">
        <f t="shared" si="5"/>
        <v>0</v>
      </c>
    </row>
    <row r="467" ht="14.25" customHeight="1">
      <c r="A467" s="49" t="s">
        <v>2058</v>
      </c>
      <c r="B467" s="49" t="str">
        <f>IFERROR(__xludf.DUMMYFUNCTION("REGEXEXTRACT(A467,""^cost\.(.*)\.[^.]+\.[^.]+$"")"),"building.shop@2")</f>
        <v>building.shop@2</v>
      </c>
      <c r="C467" s="49" t="str">
        <f t="array" ref="C467">_xlfn.XLOOKUP(
 B467,
 tblTargets[TargetID],
 tblTargets[DisplayName],
 ""
)</f>
        <v>Shop Lv 2</v>
      </c>
      <c r="D467" s="49" t="str">
        <f t="array" ref="D467">_xlfn.XLOOKUP(
 B467,
 tblTargets[TargetID],
 tblTargets[TargetType],
 ""
)</f>
        <v>BUILDING</v>
      </c>
      <c r="E467" s="49" t="s">
        <v>244</v>
      </c>
      <c r="F467" s="87">
        <f>IFERROR(__xludf.DUMMYFUNCTION("VALUE(REGEXEXTRACT(A467,""([^.]+)$""))"),1.0)</f>
        <v>1</v>
      </c>
      <c r="G467" s="49">
        <v>80.0</v>
      </c>
      <c r="H467" s="26" t="b">
        <f>COUNTIFS(
 tblCostChecklist[RequirementID],A467,
 tblCostChecklist[PlayerPaid],TRUE
)&gt;0</f>
        <v>0</v>
      </c>
      <c r="I467" s="49">
        <f t="shared" si="1"/>
        <v>4</v>
      </c>
      <c r="J467" s="49">
        <f t="shared" si="2"/>
        <v>0</v>
      </c>
      <c r="K467" s="49">
        <f t="shared" si="3"/>
        <v>4</v>
      </c>
      <c r="L467" s="49" t="b">
        <f t="shared" si="4"/>
        <v>0</v>
      </c>
      <c r="M467" s="88">
        <f t="shared" si="5"/>
        <v>0</v>
      </c>
    </row>
    <row r="468" ht="14.25" customHeight="1">
      <c r="A468" s="49" t="s">
        <v>2057</v>
      </c>
      <c r="B468" s="49" t="str">
        <f>IFERROR(__xludf.DUMMYFUNCTION("REGEXEXTRACT(A468,""^cost\.(.*)\.[^.]+\.[^.]+$"")"),"building.shop@2")</f>
        <v>building.shop@2</v>
      </c>
      <c r="C468" s="49" t="str">
        <f t="array" ref="C468">_xlfn.XLOOKUP(
 B468,
 tblTargets[TargetID],
 tblTargets[DisplayName],
 ""
)</f>
        <v>Shop Lv 2</v>
      </c>
      <c r="D468" s="49" t="str">
        <f t="array" ref="D468">_xlfn.XLOOKUP(
 B468,
 tblTargets[TargetID],
 tblTargets[TargetType],
 ""
)</f>
        <v>BUILDING</v>
      </c>
      <c r="E468" s="49" t="s">
        <v>237</v>
      </c>
      <c r="F468" s="87">
        <f>IFERROR(__xludf.DUMMYFUNCTION("VALUE(REGEXEXTRACT(A468,""([^.]+)$""))"),1.0)</f>
        <v>1</v>
      </c>
      <c r="G468" s="49">
        <v>80.0</v>
      </c>
      <c r="H468" s="26" t="b">
        <f>COUNTIFS(
 tblCostChecklist[RequirementID],A468,
 tblCostChecklist[PlayerPaid],TRUE
)&gt;0</f>
        <v>0</v>
      </c>
      <c r="I468" s="49">
        <f t="shared" si="1"/>
        <v>4</v>
      </c>
      <c r="J468" s="49">
        <f t="shared" si="2"/>
        <v>0</v>
      </c>
      <c r="K468" s="49">
        <f t="shared" si="3"/>
        <v>4</v>
      </c>
      <c r="L468" s="49" t="b">
        <f t="shared" si="4"/>
        <v>0</v>
      </c>
      <c r="M468" s="88">
        <f t="shared" si="5"/>
        <v>0</v>
      </c>
    </row>
    <row r="469" ht="14.25" customHeight="1">
      <c r="A469" s="49" t="s">
        <v>2061</v>
      </c>
      <c r="B469" s="49" t="str">
        <f>IFERROR(__xludf.DUMMYFUNCTION("REGEXEXTRACT(A469,""^cost\.(.*)\.[^.]+\.[^.]+$"")"),"building.shop@3")</f>
        <v>building.shop@3</v>
      </c>
      <c r="C469" s="49" t="str">
        <f t="array" ref="C469">_xlfn.XLOOKUP(
 B469,
 tblTargets[TargetID],
 tblTargets[DisplayName],
 ""
)</f>
        <v>Shop Lv 3</v>
      </c>
      <c r="D469" s="49" t="str">
        <f t="array" ref="D469">_xlfn.XLOOKUP(
 B469,
 tblTargets[TargetID],
 tblTargets[TargetType],
 ""
)</f>
        <v>BUILDING</v>
      </c>
      <c r="E469" s="49" t="s">
        <v>6</v>
      </c>
      <c r="F469" s="87">
        <f>IFERROR(__xludf.DUMMYFUNCTION("VALUE(REGEXEXTRACT(A469,""([^.]+)$""))"),1.0)</f>
        <v>1</v>
      </c>
      <c r="G469" s="49">
        <v>3.0</v>
      </c>
      <c r="H469" s="26" t="b">
        <f>COUNTIFS(
 tblCostChecklist[RequirementID],A469,
 tblCostChecklist[PlayerPaid],TRUE
)&gt;0</f>
        <v>0</v>
      </c>
      <c r="I469" s="49">
        <f t="shared" si="1"/>
        <v>4</v>
      </c>
      <c r="J469" s="49">
        <f t="shared" si="2"/>
        <v>0</v>
      </c>
      <c r="K469" s="49">
        <f t="shared" si="3"/>
        <v>4</v>
      </c>
      <c r="L469" s="49" t="b">
        <f t="shared" si="4"/>
        <v>0</v>
      </c>
      <c r="M469" s="88">
        <f t="shared" si="5"/>
        <v>0</v>
      </c>
    </row>
    <row r="470" ht="14.25" customHeight="1">
      <c r="A470" s="49" t="s">
        <v>2060</v>
      </c>
      <c r="B470" s="49" t="str">
        <f>IFERROR(__xludf.DUMMYFUNCTION("REGEXEXTRACT(A470,""^cost\.(.*)\.[^.]+\.[^.]+$"")"),"building.shop@3")</f>
        <v>building.shop@3</v>
      </c>
      <c r="C470" s="49" t="str">
        <f t="array" ref="C470">_xlfn.XLOOKUP(
 B470,
 tblTargets[TargetID],
 tblTargets[DisplayName],
 ""
)</f>
        <v>Shop Lv 3</v>
      </c>
      <c r="D470" s="49" t="str">
        <f t="array" ref="D470">_xlfn.XLOOKUP(
 B470,
 tblTargets[TargetID],
 tblTargets[TargetType],
 ""
)</f>
        <v>BUILDING</v>
      </c>
      <c r="E470" s="49" t="s">
        <v>119</v>
      </c>
      <c r="F470" s="87">
        <f>IFERROR(__xludf.DUMMYFUNCTION("VALUE(REGEXEXTRACT(A470,""([^.]+)$""))"),1.0)</f>
        <v>1</v>
      </c>
      <c r="G470" s="49">
        <v>800.0</v>
      </c>
      <c r="H470" s="26" t="b">
        <f>COUNTIFS(
 tblCostChecklist[RequirementID],A470,
 tblCostChecklist[PlayerPaid],TRUE
)&gt;0</f>
        <v>0</v>
      </c>
      <c r="I470" s="49">
        <f t="shared" si="1"/>
        <v>4</v>
      </c>
      <c r="J470" s="49">
        <f t="shared" si="2"/>
        <v>0</v>
      </c>
      <c r="K470" s="49">
        <f t="shared" si="3"/>
        <v>4</v>
      </c>
      <c r="L470" s="49" t="b">
        <f t="shared" si="4"/>
        <v>0</v>
      </c>
      <c r="M470" s="88">
        <f t="shared" si="5"/>
        <v>0</v>
      </c>
    </row>
    <row r="471" ht="14.25" customHeight="1">
      <c r="A471" s="49" t="s">
        <v>2059</v>
      </c>
      <c r="B471" s="49" t="str">
        <f>IFERROR(__xludf.DUMMYFUNCTION("REGEXEXTRACT(A471,""^cost\.(.*)\.[^.]+\.[^.]+$"")"),"building.shop@3")</f>
        <v>building.shop@3</v>
      </c>
      <c r="C471" s="49" t="str">
        <f t="array" ref="C471">_xlfn.XLOOKUP(
 B471,
 tblTargets[TargetID],
 tblTargets[DisplayName],
 ""
)</f>
        <v>Shop Lv 3</v>
      </c>
      <c r="D471" s="49" t="str">
        <f t="array" ref="D471">_xlfn.XLOOKUP(
 B471,
 tblTargets[TargetID],
 tblTargets[TargetType],
 ""
)</f>
        <v>BUILDING</v>
      </c>
      <c r="E471" s="49" t="s">
        <v>278</v>
      </c>
      <c r="F471" s="87">
        <f>IFERROR(__xludf.DUMMYFUNCTION("VALUE(REGEXEXTRACT(A471,""([^.]+)$""))"),1.0)</f>
        <v>1</v>
      </c>
      <c r="G471" s="49">
        <v>400.0</v>
      </c>
      <c r="H471" s="26" t="b">
        <f>COUNTIFS(
 tblCostChecklist[RequirementID],A471,
 tblCostChecklist[PlayerPaid],TRUE
)&gt;0</f>
        <v>0</v>
      </c>
      <c r="I471" s="49">
        <f t="shared" si="1"/>
        <v>4</v>
      </c>
      <c r="J471" s="49">
        <f t="shared" si="2"/>
        <v>0</v>
      </c>
      <c r="K471" s="49">
        <f t="shared" si="3"/>
        <v>4</v>
      </c>
      <c r="L471" s="49" t="b">
        <f t="shared" si="4"/>
        <v>0</v>
      </c>
      <c r="M471" s="88">
        <f t="shared" si="5"/>
        <v>0</v>
      </c>
    </row>
    <row r="472" ht="14.25" customHeight="1">
      <c r="A472" s="49" t="s">
        <v>2062</v>
      </c>
      <c r="B472" s="49" t="str">
        <f>IFERROR(__xludf.DUMMYFUNCTION("REGEXEXTRACT(A472,""^cost\.(.*)\.[^.]+\.[^.]+$"")"),"building.shop@3")</f>
        <v>building.shop@3</v>
      </c>
      <c r="C472" s="49" t="str">
        <f t="array" ref="C472">_xlfn.XLOOKUP(
 B472,
 tblTargets[TargetID],
 tblTargets[DisplayName],
 ""
)</f>
        <v>Shop Lv 3</v>
      </c>
      <c r="D472" s="49" t="str">
        <f t="array" ref="D472">_xlfn.XLOOKUP(
 B472,
 tblTargets[TargetID],
 tblTargets[TargetType],
 ""
)</f>
        <v>BUILDING</v>
      </c>
      <c r="E472" s="49" t="s">
        <v>237</v>
      </c>
      <c r="F472" s="87">
        <f>IFERROR(__xludf.DUMMYFUNCTION("VALUE(REGEXEXTRACT(A472,""([^.]+)$""))"),1.0)</f>
        <v>1</v>
      </c>
      <c r="G472" s="49">
        <v>200.0</v>
      </c>
      <c r="H472" s="26" t="b">
        <f>COUNTIFS(
 tblCostChecklist[RequirementID],A472,
 tblCostChecklist[PlayerPaid],TRUE
)&gt;0</f>
        <v>0</v>
      </c>
      <c r="I472" s="49">
        <f t="shared" si="1"/>
        <v>4</v>
      </c>
      <c r="J472" s="49">
        <f t="shared" si="2"/>
        <v>0</v>
      </c>
      <c r="K472" s="49">
        <f t="shared" si="3"/>
        <v>4</v>
      </c>
      <c r="L472" s="49" t="b">
        <f t="shared" si="4"/>
        <v>0</v>
      </c>
      <c r="M472" s="88">
        <f t="shared" si="5"/>
        <v>0</v>
      </c>
    </row>
    <row r="473" ht="14.25" customHeight="1">
      <c r="A473" s="49" t="s">
        <v>2064</v>
      </c>
      <c r="B473" s="49" t="str">
        <f>IFERROR(__xludf.DUMMYFUNCTION("REGEXEXTRACT(A473,""^cost\.(.*)\.[^.]+\.[^.]+$"")"),"building.smithy@1")</f>
        <v>building.smithy@1</v>
      </c>
      <c r="C473" s="49" t="str">
        <f t="array" ref="C473">_xlfn.XLOOKUP(
 B473,
 tblTargets[TargetID],
 tblTargets[DisplayName],
 ""
)</f>
        <v>Smithy Lv 1</v>
      </c>
      <c r="D473" s="49" t="str">
        <f t="array" ref="D473">_xlfn.XLOOKUP(
 B473,
 tblTargets[TargetID],
 tblTargets[TargetType],
 ""
)</f>
        <v>BUILDING</v>
      </c>
      <c r="E473" s="49" t="s">
        <v>6</v>
      </c>
      <c r="F473" s="87">
        <f>IFERROR(__xludf.DUMMYFUNCTION("VALUE(REGEXEXTRACT(A473,""([^.]+)$""))"),1.0)</f>
        <v>1</v>
      </c>
      <c r="G473" s="49">
        <v>1.0</v>
      </c>
      <c r="H473" s="26" t="b">
        <f>COUNTIFS(
 tblCostChecklist[RequirementID],A473,
 tblCostChecklist[PlayerPaid],TRUE
)&gt;0</f>
        <v>0</v>
      </c>
      <c r="I473" s="49">
        <f t="shared" si="1"/>
        <v>5</v>
      </c>
      <c r="J473" s="49">
        <f t="shared" si="2"/>
        <v>0</v>
      </c>
      <c r="K473" s="49">
        <f t="shared" si="3"/>
        <v>5</v>
      </c>
      <c r="L473" s="49" t="b">
        <f t="shared" si="4"/>
        <v>0</v>
      </c>
      <c r="M473" s="88">
        <f t="shared" si="5"/>
        <v>0</v>
      </c>
    </row>
    <row r="474" ht="14.25" customHeight="1">
      <c r="A474" s="49" t="s">
        <v>2063</v>
      </c>
      <c r="B474" s="49" t="str">
        <f>IFERROR(__xludf.DUMMYFUNCTION("REGEXEXTRACT(A474,""^cost\.(.*)\.[^.]+\.[^.]+$"")"),"building.smithy@1")</f>
        <v>building.smithy@1</v>
      </c>
      <c r="C474" s="49" t="str">
        <f t="array" ref="C474">_xlfn.XLOOKUP(
 B474,
 tblTargets[TargetID],
 tblTargets[DisplayName],
 ""
)</f>
        <v>Smithy Lv 1</v>
      </c>
      <c r="D474" s="49" t="str">
        <f t="array" ref="D474">_xlfn.XLOOKUP(
 B474,
 tblTargets[TargetID],
 tblTargets[TargetType],
 ""
)</f>
        <v>BUILDING</v>
      </c>
      <c r="E474" s="49" t="s">
        <v>119</v>
      </c>
      <c r="F474" s="87">
        <f>IFERROR(__xludf.DUMMYFUNCTION("VALUE(REGEXEXTRACT(A474,""([^.]+)$""))"),1.0)</f>
        <v>1</v>
      </c>
      <c r="G474" s="49">
        <v>240.0</v>
      </c>
      <c r="H474" s="26" t="b">
        <f>COUNTIFS(
 tblCostChecklist[RequirementID],A474,
 tblCostChecklist[PlayerPaid],TRUE
)&gt;0</f>
        <v>0</v>
      </c>
      <c r="I474" s="49">
        <f t="shared" si="1"/>
        <v>5</v>
      </c>
      <c r="J474" s="49">
        <f t="shared" si="2"/>
        <v>0</v>
      </c>
      <c r="K474" s="49">
        <f t="shared" si="3"/>
        <v>5</v>
      </c>
      <c r="L474" s="49" t="b">
        <f t="shared" si="4"/>
        <v>0</v>
      </c>
      <c r="M474" s="88">
        <f t="shared" si="5"/>
        <v>0</v>
      </c>
    </row>
    <row r="475" ht="14.25" customHeight="1">
      <c r="A475" s="49" t="s">
        <v>2067</v>
      </c>
      <c r="B475" s="49" t="str">
        <f>IFERROR(__xludf.DUMMYFUNCTION("REGEXEXTRACT(A475,""^cost\.(.*)\.[^.]+\.[^.]+$"")"),"building.smithy@1")</f>
        <v>building.smithy@1</v>
      </c>
      <c r="C475" s="49" t="str">
        <f t="array" ref="C475">_xlfn.XLOOKUP(
 B475,
 tblTargets[TargetID],
 tblTargets[DisplayName],
 ""
)</f>
        <v>Smithy Lv 1</v>
      </c>
      <c r="D475" s="49" t="str">
        <f t="array" ref="D475">_xlfn.XLOOKUP(
 B475,
 tblTargets[TargetID],
 tblTargets[TargetType],
 ""
)</f>
        <v>BUILDING</v>
      </c>
      <c r="E475" s="49" t="s">
        <v>244</v>
      </c>
      <c r="F475" s="87">
        <f>IFERROR(__xludf.DUMMYFUNCTION("VALUE(REGEXEXTRACT(A475,""([^.]+)$""))"),1.0)</f>
        <v>1</v>
      </c>
      <c r="G475" s="49">
        <v>120.0</v>
      </c>
      <c r="H475" s="26" t="b">
        <f>COUNTIFS(
 tblCostChecklist[RequirementID],A475,
 tblCostChecklist[PlayerPaid],TRUE
)&gt;0</f>
        <v>0</v>
      </c>
      <c r="I475" s="49">
        <f t="shared" si="1"/>
        <v>5</v>
      </c>
      <c r="J475" s="49">
        <f t="shared" si="2"/>
        <v>0</v>
      </c>
      <c r="K475" s="49">
        <f t="shared" si="3"/>
        <v>5</v>
      </c>
      <c r="L475" s="49" t="b">
        <f t="shared" si="4"/>
        <v>0</v>
      </c>
      <c r="M475" s="88">
        <f t="shared" si="5"/>
        <v>0</v>
      </c>
    </row>
    <row r="476" ht="14.25" customHeight="1">
      <c r="A476" s="49" t="s">
        <v>2066</v>
      </c>
      <c r="B476" s="49" t="str">
        <f>IFERROR(__xludf.DUMMYFUNCTION("REGEXEXTRACT(A476,""^cost\.(.*)\.[^.]+\.[^.]+$"")"),"building.smithy@1")</f>
        <v>building.smithy@1</v>
      </c>
      <c r="C476" s="49" t="str">
        <f t="array" ref="C476">_xlfn.XLOOKUP(
 B476,
 tblTargets[TargetID],
 tblTargets[DisplayName],
 ""
)</f>
        <v>Smithy Lv 1</v>
      </c>
      <c r="D476" s="49" t="str">
        <f t="array" ref="D476">_xlfn.XLOOKUP(
 B476,
 tblTargets[TargetID],
 tblTargets[TargetType],
 ""
)</f>
        <v>BUILDING</v>
      </c>
      <c r="E476" s="49" t="s">
        <v>237</v>
      </c>
      <c r="F476" s="87">
        <f>IFERROR(__xludf.DUMMYFUNCTION("VALUE(REGEXEXTRACT(A476,""([^.]+)$""))"),1.0)</f>
        <v>1</v>
      </c>
      <c r="G476" s="49">
        <v>120.0</v>
      </c>
      <c r="H476" s="26" t="b">
        <f>COUNTIFS(
 tblCostChecklist[RequirementID],A476,
 tblCostChecklist[PlayerPaid],TRUE
)&gt;0</f>
        <v>0</v>
      </c>
      <c r="I476" s="49">
        <f t="shared" si="1"/>
        <v>5</v>
      </c>
      <c r="J476" s="49">
        <f t="shared" si="2"/>
        <v>0</v>
      </c>
      <c r="K476" s="49">
        <f t="shared" si="3"/>
        <v>5</v>
      </c>
      <c r="L476" s="49" t="b">
        <f t="shared" si="4"/>
        <v>0</v>
      </c>
      <c r="M476" s="88">
        <f t="shared" si="5"/>
        <v>0</v>
      </c>
    </row>
    <row r="477" ht="14.25" customHeight="1">
      <c r="A477" s="49" t="s">
        <v>2065</v>
      </c>
      <c r="B477" s="49" t="str">
        <f>IFERROR(__xludf.DUMMYFUNCTION("REGEXEXTRACT(A477,""^cost\.(.*)\.[^.]+\.[^.]+$"")"),"building.smithy@1")</f>
        <v>building.smithy@1</v>
      </c>
      <c r="C477" s="49" t="str">
        <f t="array" ref="C477">_xlfn.XLOOKUP(
 B477,
 tblTargets[TargetID],
 tblTargets[DisplayName],
 ""
)</f>
        <v>Smithy Lv 1</v>
      </c>
      <c r="D477" s="49" t="str">
        <f t="array" ref="D477">_xlfn.XLOOKUP(
 B477,
 tblTargets[TargetID],
 tblTargets[TargetType],
 ""
)</f>
        <v>BUILDING</v>
      </c>
      <c r="E477" s="49" t="s">
        <v>392</v>
      </c>
      <c r="F477" s="87">
        <f>IFERROR(__xludf.DUMMYFUNCTION("VALUE(REGEXEXTRACT(A477,""([^.]+)$""))"),1.0)</f>
        <v>1</v>
      </c>
      <c r="G477" s="49">
        <v>20.0</v>
      </c>
      <c r="H477" s="26" t="b">
        <f>COUNTIFS(
 tblCostChecklist[RequirementID],A477,
 tblCostChecklist[PlayerPaid],TRUE
)&gt;0</f>
        <v>0</v>
      </c>
      <c r="I477" s="49">
        <f t="shared" si="1"/>
        <v>5</v>
      </c>
      <c r="J477" s="49">
        <f t="shared" si="2"/>
        <v>0</v>
      </c>
      <c r="K477" s="49">
        <f t="shared" si="3"/>
        <v>5</v>
      </c>
      <c r="L477" s="49" t="b">
        <f t="shared" si="4"/>
        <v>0</v>
      </c>
      <c r="M477" s="88">
        <f t="shared" si="5"/>
        <v>0</v>
      </c>
    </row>
    <row r="478" ht="14.25" customHeight="1">
      <c r="A478" s="49" t="s">
        <v>2069</v>
      </c>
      <c r="B478" s="49" t="str">
        <f>IFERROR(__xludf.DUMMYFUNCTION("REGEXEXTRACT(A478,""^cost\.(.*)\.[^.]+\.[^.]+$"")"),"building.smithy@2")</f>
        <v>building.smithy@2</v>
      </c>
      <c r="C478" s="49" t="str">
        <f t="array" ref="C478">_xlfn.XLOOKUP(
 B478,
 tblTargets[TargetID],
 tblTargets[DisplayName],
 ""
)</f>
        <v>Smithy Lv 2</v>
      </c>
      <c r="D478" s="49" t="str">
        <f t="array" ref="D478">_xlfn.XLOOKUP(
 B478,
 tblTargets[TargetID],
 tblTargets[TargetType],
 ""
)</f>
        <v>BUILDING</v>
      </c>
      <c r="E478" s="49" t="s">
        <v>6</v>
      </c>
      <c r="F478" s="87">
        <f>IFERROR(__xludf.DUMMYFUNCTION("VALUE(REGEXEXTRACT(A478,""([^.]+)$""))"),1.0)</f>
        <v>1</v>
      </c>
      <c r="G478" s="49">
        <v>2.0</v>
      </c>
      <c r="H478" s="26" t="b">
        <f>COUNTIFS(
 tblCostChecklist[RequirementID],A478,
 tblCostChecklist[PlayerPaid],TRUE
)&gt;0</f>
        <v>0</v>
      </c>
      <c r="I478" s="49">
        <f t="shared" si="1"/>
        <v>5</v>
      </c>
      <c r="J478" s="49">
        <f t="shared" si="2"/>
        <v>0</v>
      </c>
      <c r="K478" s="49">
        <f t="shared" si="3"/>
        <v>5</v>
      </c>
      <c r="L478" s="49" t="b">
        <f t="shared" si="4"/>
        <v>0</v>
      </c>
      <c r="M478" s="88">
        <f t="shared" si="5"/>
        <v>0</v>
      </c>
    </row>
    <row r="479" ht="14.25" customHeight="1">
      <c r="A479" s="49" t="s">
        <v>2068</v>
      </c>
      <c r="B479" s="49" t="str">
        <f>IFERROR(__xludf.DUMMYFUNCTION("REGEXEXTRACT(A479,""^cost\.(.*)\.[^.]+\.[^.]+$"")"),"building.smithy@2")</f>
        <v>building.smithy@2</v>
      </c>
      <c r="C479" s="49" t="str">
        <f t="array" ref="C479">_xlfn.XLOOKUP(
 B479,
 tblTargets[TargetID],
 tblTargets[DisplayName],
 ""
)</f>
        <v>Smithy Lv 2</v>
      </c>
      <c r="D479" s="49" t="str">
        <f t="array" ref="D479">_xlfn.XLOOKUP(
 B479,
 tblTargets[TargetID],
 tblTargets[TargetType],
 ""
)</f>
        <v>BUILDING</v>
      </c>
      <c r="E479" s="49" t="s">
        <v>119</v>
      </c>
      <c r="F479" s="87">
        <f>IFERROR(__xludf.DUMMYFUNCTION("VALUE(REGEXEXTRACT(A479,""([^.]+)$""))"),1.0)</f>
        <v>1</v>
      </c>
      <c r="G479" s="49">
        <v>280.0</v>
      </c>
      <c r="H479" s="26" t="b">
        <f>COUNTIFS(
 tblCostChecklist[RequirementID],A479,
 tblCostChecklist[PlayerPaid],TRUE
)&gt;0</f>
        <v>0</v>
      </c>
      <c r="I479" s="49">
        <f t="shared" si="1"/>
        <v>5</v>
      </c>
      <c r="J479" s="49">
        <f t="shared" si="2"/>
        <v>0</v>
      </c>
      <c r="K479" s="49">
        <f t="shared" si="3"/>
        <v>5</v>
      </c>
      <c r="L479" s="49" t="b">
        <f t="shared" si="4"/>
        <v>0</v>
      </c>
      <c r="M479" s="88">
        <f t="shared" si="5"/>
        <v>0</v>
      </c>
    </row>
    <row r="480" ht="14.25" customHeight="1">
      <c r="A480" s="49" t="s">
        <v>2072</v>
      </c>
      <c r="B480" s="49" t="str">
        <f>IFERROR(__xludf.DUMMYFUNCTION("REGEXEXTRACT(A480,""^cost\.(.*)\.[^.]+\.[^.]+$"")"),"building.smithy@2")</f>
        <v>building.smithy@2</v>
      </c>
      <c r="C480" s="49" t="str">
        <f t="array" ref="C480">_xlfn.XLOOKUP(
 B480,
 tblTargets[TargetID],
 tblTargets[DisplayName],
 ""
)</f>
        <v>Smithy Lv 2</v>
      </c>
      <c r="D480" s="49" t="str">
        <f t="array" ref="D480">_xlfn.XLOOKUP(
 B480,
 tblTargets[TargetID],
 tblTargets[TargetType],
 ""
)</f>
        <v>BUILDING</v>
      </c>
      <c r="E480" s="49" t="s">
        <v>244</v>
      </c>
      <c r="F480" s="87">
        <f>IFERROR(__xludf.DUMMYFUNCTION("VALUE(REGEXEXTRACT(A480,""([^.]+)$""))"),1.0)</f>
        <v>1</v>
      </c>
      <c r="G480" s="49">
        <v>140.0</v>
      </c>
      <c r="H480" s="26" t="b">
        <f>COUNTIFS(
 tblCostChecklist[RequirementID],A480,
 tblCostChecklist[PlayerPaid],TRUE
)&gt;0</f>
        <v>0</v>
      </c>
      <c r="I480" s="49">
        <f t="shared" si="1"/>
        <v>5</v>
      </c>
      <c r="J480" s="49">
        <f t="shared" si="2"/>
        <v>0</v>
      </c>
      <c r="K480" s="49">
        <f t="shared" si="3"/>
        <v>5</v>
      </c>
      <c r="L480" s="49" t="b">
        <f t="shared" si="4"/>
        <v>0</v>
      </c>
      <c r="M480" s="88">
        <f t="shared" si="5"/>
        <v>0</v>
      </c>
    </row>
    <row r="481" ht="14.25" customHeight="1">
      <c r="A481" s="49" t="s">
        <v>2071</v>
      </c>
      <c r="B481" s="49" t="str">
        <f>IFERROR(__xludf.DUMMYFUNCTION("REGEXEXTRACT(A481,""^cost\.(.*)\.[^.]+\.[^.]+$"")"),"building.smithy@2")</f>
        <v>building.smithy@2</v>
      </c>
      <c r="C481" s="49" t="str">
        <f t="array" ref="C481">_xlfn.XLOOKUP(
 B481,
 tblTargets[TargetID],
 tblTargets[DisplayName],
 ""
)</f>
        <v>Smithy Lv 2</v>
      </c>
      <c r="D481" s="49" t="str">
        <f t="array" ref="D481">_xlfn.XLOOKUP(
 B481,
 tblTargets[TargetID],
 tblTargets[TargetType],
 ""
)</f>
        <v>BUILDING</v>
      </c>
      <c r="E481" s="49" t="s">
        <v>237</v>
      </c>
      <c r="F481" s="87">
        <f>IFERROR(__xludf.DUMMYFUNCTION("VALUE(REGEXEXTRACT(A481,""([^.]+)$""))"),1.0)</f>
        <v>1</v>
      </c>
      <c r="G481" s="49">
        <v>140.0</v>
      </c>
      <c r="H481" s="26" t="b">
        <f>COUNTIFS(
 tblCostChecklist[RequirementID],A481,
 tblCostChecklist[PlayerPaid],TRUE
)&gt;0</f>
        <v>0</v>
      </c>
      <c r="I481" s="49">
        <f t="shared" si="1"/>
        <v>5</v>
      </c>
      <c r="J481" s="49">
        <f t="shared" si="2"/>
        <v>0</v>
      </c>
      <c r="K481" s="49">
        <f t="shared" si="3"/>
        <v>5</v>
      </c>
      <c r="L481" s="49" t="b">
        <f t="shared" si="4"/>
        <v>0</v>
      </c>
      <c r="M481" s="88">
        <f t="shared" si="5"/>
        <v>0</v>
      </c>
    </row>
    <row r="482" ht="14.25" customHeight="1">
      <c r="A482" s="49" t="s">
        <v>2070</v>
      </c>
      <c r="B482" s="49" t="str">
        <f>IFERROR(__xludf.DUMMYFUNCTION("REGEXEXTRACT(A482,""^cost\.(.*)\.[^.]+\.[^.]+$"")"),"building.smithy@2")</f>
        <v>building.smithy@2</v>
      </c>
      <c r="C482" s="49" t="str">
        <f t="array" ref="C482">_xlfn.XLOOKUP(
 B482,
 tblTargets[TargetID],
 tblTargets[DisplayName],
 ""
)</f>
        <v>Smithy Lv 2</v>
      </c>
      <c r="D482" s="49" t="str">
        <f t="array" ref="D482">_xlfn.XLOOKUP(
 B482,
 tblTargets[TargetID],
 tblTargets[TargetType],
 ""
)</f>
        <v>BUILDING</v>
      </c>
      <c r="E482" s="49" t="s">
        <v>392</v>
      </c>
      <c r="F482" s="87">
        <f>IFERROR(__xludf.DUMMYFUNCTION("VALUE(REGEXEXTRACT(A482,""([^.]+)$""))"),1.0)</f>
        <v>1</v>
      </c>
      <c r="G482" s="49">
        <v>40.0</v>
      </c>
      <c r="H482" s="26" t="b">
        <f>COUNTIFS(
 tblCostChecklist[RequirementID],A482,
 tblCostChecklist[PlayerPaid],TRUE
)&gt;0</f>
        <v>0</v>
      </c>
      <c r="I482" s="49">
        <f t="shared" si="1"/>
        <v>5</v>
      </c>
      <c r="J482" s="49">
        <f t="shared" si="2"/>
        <v>0</v>
      </c>
      <c r="K482" s="49">
        <f t="shared" si="3"/>
        <v>5</v>
      </c>
      <c r="L482" s="49" t="b">
        <f t="shared" si="4"/>
        <v>0</v>
      </c>
      <c r="M482" s="88">
        <f t="shared" si="5"/>
        <v>0</v>
      </c>
    </row>
    <row r="483" ht="14.25" customHeight="1">
      <c r="A483" s="49" t="s">
        <v>2075</v>
      </c>
      <c r="B483" s="49" t="str">
        <f>IFERROR(__xludf.DUMMYFUNCTION("REGEXEXTRACT(A483,""^cost\.(.*)\.[^.]+\.[^.]+$"")"),"building.smithy@3")</f>
        <v>building.smithy@3</v>
      </c>
      <c r="C483" s="49" t="str">
        <f t="array" ref="C483">_xlfn.XLOOKUP(
 B483,
 tblTargets[TargetID],
 tblTargets[DisplayName],
 ""
)</f>
        <v>Smithy Lv 3</v>
      </c>
      <c r="D483" s="49" t="str">
        <f t="array" ref="D483">_xlfn.XLOOKUP(
 B483,
 tblTargets[TargetID],
 tblTargets[TargetType],
 ""
)</f>
        <v>BUILDING</v>
      </c>
      <c r="E483" s="49" t="s">
        <v>6</v>
      </c>
      <c r="F483" s="87">
        <f>IFERROR(__xludf.DUMMYFUNCTION("VALUE(REGEXEXTRACT(A483,""([^.]+)$""))"),1.0)</f>
        <v>1</v>
      </c>
      <c r="G483" s="49">
        <v>4.0</v>
      </c>
      <c r="H483" s="26" t="b">
        <f>COUNTIFS(
 tblCostChecklist[RequirementID],A483,
 tblCostChecklist[PlayerPaid],TRUE
)&gt;0</f>
        <v>0</v>
      </c>
      <c r="I483" s="49">
        <f t="shared" si="1"/>
        <v>5</v>
      </c>
      <c r="J483" s="49">
        <f t="shared" si="2"/>
        <v>0</v>
      </c>
      <c r="K483" s="49">
        <f t="shared" si="3"/>
        <v>5</v>
      </c>
      <c r="L483" s="49" t="b">
        <f t="shared" si="4"/>
        <v>0</v>
      </c>
      <c r="M483" s="88">
        <f t="shared" si="5"/>
        <v>0</v>
      </c>
    </row>
    <row r="484" ht="14.25" customHeight="1">
      <c r="A484" s="49" t="s">
        <v>2074</v>
      </c>
      <c r="B484" s="49" t="str">
        <f>IFERROR(__xludf.DUMMYFUNCTION("REGEXEXTRACT(A484,""^cost\.(.*)\.[^.]+\.[^.]+$"")"),"building.smithy@3")</f>
        <v>building.smithy@3</v>
      </c>
      <c r="C484" s="49" t="str">
        <f t="array" ref="C484">_xlfn.XLOOKUP(
 B484,
 tblTargets[TargetID],
 tblTargets[DisplayName],
 ""
)</f>
        <v>Smithy Lv 3</v>
      </c>
      <c r="D484" s="49" t="str">
        <f t="array" ref="D484">_xlfn.XLOOKUP(
 B484,
 tblTargets[TargetID],
 tblTargets[TargetType],
 ""
)</f>
        <v>BUILDING</v>
      </c>
      <c r="E484" s="49" t="s">
        <v>119</v>
      </c>
      <c r="F484" s="87">
        <f>IFERROR(__xludf.DUMMYFUNCTION("VALUE(REGEXEXTRACT(A484,""([^.]+)$""))"),1.0)</f>
        <v>1</v>
      </c>
      <c r="G484" s="49">
        <v>500.0</v>
      </c>
      <c r="H484" s="26" t="b">
        <f>COUNTIFS(
 tblCostChecklist[RequirementID],A484,
 tblCostChecklist[PlayerPaid],TRUE
)&gt;0</f>
        <v>0</v>
      </c>
      <c r="I484" s="49">
        <f t="shared" si="1"/>
        <v>5</v>
      </c>
      <c r="J484" s="49">
        <f t="shared" si="2"/>
        <v>0</v>
      </c>
      <c r="K484" s="49">
        <f t="shared" si="3"/>
        <v>5</v>
      </c>
      <c r="L484" s="49" t="b">
        <f t="shared" si="4"/>
        <v>0</v>
      </c>
      <c r="M484" s="88">
        <f t="shared" si="5"/>
        <v>0</v>
      </c>
    </row>
    <row r="485" ht="14.25" customHeight="1">
      <c r="A485" s="49" t="s">
        <v>2073</v>
      </c>
      <c r="B485" s="49" t="str">
        <f>IFERROR(__xludf.DUMMYFUNCTION("REGEXEXTRACT(A485,""^cost\.(.*)\.[^.]+\.[^.]+$"")"),"building.smithy@3")</f>
        <v>building.smithy@3</v>
      </c>
      <c r="C485" s="49" t="str">
        <f t="array" ref="C485">_xlfn.XLOOKUP(
 B485,
 tblTargets[TargetID],
 tblTargets[DisplayName],
 ""
)</f>
        <v>Smithy Lv 3</v>
      </c>
      <c r="D485" s="49" t="str">
        <f t="array" ref="D485">_xlfn.XLOOKUP(
 B485,
 tblTargets[TargetID],
 tblTargets[TargetType],
 ""
)</f>
        <v>BUILDING</v>
      </c>
      <c r="E485" s="49" t="s">
        <v>278</v>
      </c>
      <c r="F485" s="87">
        <f>IFERROR(__xludf.DUMMYFUNCTION("VALUE(REGEXEXTRACT(A485,""([^.]+)$""))"),1.0)</f>
        <v>1</v>
      </c>
      <c r="G485" s="49">
        <v>400.0</v>
      </c>
      <c r="H485" s="26" t="b">
        <f>COUNTIFS(
 tblCostChecklist[RequirementID],A485,
 tblCostChecklist[PlayerPaid],TRUE
)&gt;0</f>
        <v>0</v>
      </c>
      <c r="I485" s="49">
        <f t="shared" si="1"/>
        <v>5</v>
      </c>
      <c r="J485" s="49">
        <f t="shared" si="2"/>
        <v>0</v>
      </c>
      <c r="K485" s="49">
        <f t="shared" si="3"/>
        <v>5</v>
      </c>
      <c r="L485" s="49" t="b">
        <f t="shared" si="4"/>
        <v>0</v>
      </c>
      <c r="M485" s="88">
        <f t="shared" si="5"/>
        <v>0</v>
      </c>
    </row>
    <row r="486" ht="14.25" customHeight="1">
      <c r="A486" s="49" t="s">
        <v>2077</v>
      </c>
      <c r="B486" s="49" t="str">
        <f>IFERROR(__xludf.DUMMYFUNCTION("REGEXEXTRACT(A486,""^cost\.(.*)\.[^.]+\.[^.]+$"")"),"building.smithy@3")</f>
        <v>building.smithy@3</v>
      </c>
      <c r="C486" s="49" t="str">
        <f t="array" ref="C486">_xlfn.XLOOKUP(
 B486,
 tblTargets[TargetID],
 tblTargets[DisplayName],
 ""
)</f>
        <v>Smithy Lv 3</v>
      </c>
      <c r="D486" s="49" t="str">
        <f t="array" ref="D486">_xlfn.XLOOKUP(
 B486,
 tblTargets[TargetID],
 tblTargets[TargetType],
 ""
)</f>
        <v>BUILDING</v>
      </c>
      <c r="E486" s="49" t="s">
        <v>237</v>
      </c>
      <c r="F486" s="87">
        <f>IFERROR(__xludf.DUMMYFUNCTION("VALUE(REGEXEXTRACT(A486,""([^.]+)$""))"),1.0)</f>
        <v>1</v>
      </c>
      <c r="G486" s="49">
        <v>200.0</v>
      </c>
      <c r="H486" s="26" t="b">
        <f>COUNTIFS(
 tblCostChecklist[RequirementID],A486,
 tblCostChecklist[PlayerPaid],TRUE
)&gt;0</f>
        <v>0</v>
      </c>
      <c r="I486" s="49">
        <f t="shared" si="1"/>
        <v>5</v>
      </c>
      <c r="J486" s="49">
        <f t="shared" si="2"/>
        <v>0</v>
      </c>
      <c r="K486" s="49">
        <f t="shared" si="3"/>
        <v>5</v>
      </c>
      <c r="L486" s="49" t="b">
        <f t="shared" si="4"/>
        <v>0</v>
      </c>
      <c r="M486" s="88">
        <f t="shared" si="5"/>
        <v>0</v>
      </c>
    </row>
    <row r="487" ht="14.25" customHeight="1">
      <c r="A487" s="49" t="s">
        <v>2076</v>
      </c>
      <c r="B487" s="49" t="str">
        <f>IFERROR(__xludf.DUMMYFUNCTION("REGEXEXTRACT(A487,""^cost\.(.*)\.[^.]+\.[^.]+$"")"),"building.smithy@3")</f>
        <v>building.smithy@3</v>
      </c>
      <c r="C487" s="49" t="str">
        <f t="array" ref="C487">_xlfn.XLOOKUP(
 B487,
 tblTargets[TargetID],
 tblTargets[DisplayName],
 ""
)</f>
        <v>Smithy Lv 3</v>
      </c>
      <c r="D487" s="49" t="str">
        <f t="array" ref="D487">_xlfn.XLOOKUP(
 B487,
 tblTargets[TargetID],
 tblTargets[TargetType],
 ""
)</f>
        <v>BUILDING</v>
      </c>
      <c r="E487" s="49" t="s">
        <v>392</v>
      </c>
      <c r="F487" s="87">
        <f>IFERROR(__xludf.DUMMYFUNCTION("VALUE(REGEXEXTRACT(A487,""([^.]+)$""))"),1.0)</f>
        <v>1</v>
      </c>
      <c r="G487" s="49">
        <v>60.0</v>
      </c>
      <c r="H487" s="26" t="b">
        <f>COUNTIFS(
 tblCostChecklist[RequirementID],A487,
 tblCostChecklist[PlayerPaid],TRUE
)&gt;0</f>
        <v>0</v>
      </c>
      <c r="I487" s="49">
        <f t="shared" si="1"/>
        <v>5</v>
      </c>
      <c r="J487" s="49">
        <f t="shared" si="2"/>
        <v>0</v>
      </c>
      <c r="K487" s="49">
        <f t="shared" si="3"/>
        <v>5</v>
      </c>
      <c r="L487" s="49" t="b">
        <f t="shared" si="4"/>
        <v>0</v>
      </c>
      <c r="M487" s="88">
        <f t="shared" si="5"/>
        <v>0</v>
      </c>
    </row>
    <row r="488" ht="14.25" customHeight="1">
      <c r="A488" s="49" t="s">
        <v>2085</v>
      </c>
      <c r="B488" s="49" t="str">
        <f>IFERROR(__xludf.DUMMYFUNCTION("REGEXEXTRACT(A488,""^cost\.(.*)\.[^.]+\.[^.]+$"")"),"building.station@1")</f>
        <v>building.station@1</v>
      </c>
      <c r="C488" s="49" t="str">
        <f t="array" ref="C488">_xlfn.XLOOKUP(
 B488,
 tblTargets[TargetID],
 tblTargets[DisplayName],
 ""
)</f>
        <v>Station Lv 1</v>
      </c>
      <c r="D488" s="49" t="str">
        <f t="array" ref="D488">_xlfn.XLOOKUP(
 B488,
 tblTargets[TargetID],
 tblTargets[TargetType],
 ""
)</f>
        <v>BUILDING</v>
      </c>
      <c r="E488" s="49" t="s">
        <v>6</v>
      </c>
      <c r="F488" s="87">
        <f>IFERROR(__xludf.DUMMYFUNCTION("VALUE(REGEXEXTRACT(A488,""([^.]+)$""))"),1.0)</f>
        <v>1</v>
      </c>
      <c r="G488" s="49">
        <v>10.0</v>
      </c>
      <c r="H488" s="26" t="b">
        <f>COUNTIFS(
 tblCostChecklist[RequirementID],A488,
 tblCostChecklist[PlayerPaid],TRUE
)&gt;0</f>
        <v>0</v>
      </c>
      <c r="I488" s="49">
        <f t="shared" si="1"/>
        <v>9</v>
      </c>
      <c r="J488" s="49">
        <f t="shared" si="2"/>
        <v>0</v>
      </c>
      <c r="K488" s="49">
        <f t="shared" si="3"/>
        <v>9</v>
      </c>
      <c r="L488" s="49" t="b">
        <f t="shared" si="4"/>
        <v>0</v>
      </c>
      <c r="M488" s="88">
        <f t="shared" si="5"/>
        <v>0</v>
      </c>
    </row>
    <row r="489" ht="14.25" customHeight="1">
      <c r="A489" s="49" t="s">
        <v>2080</v>
      </c>
      <c r="B489" s="49" t="str">
        <f>IFERROR(__xludf.DUMMYFUNCTION("REGEXEXTRACT(A489,""^cost\.(.*)\.[^.]+\.[^.]+$"")"),"building.station@1")</f>
        <v>building.station@1</v>
      </c>
      <c r="C489" s="49" t="str">
        <f t="array" ref="C489">_xlfn.XLOOKUP(
 B489,
 tblTargets[TargetID],
 tblTargets[DisplayName],
 ""
)</f>
        <v>Station Lv 1</v>
      </c>
      <c r="D489" s="49" t="str">
        <f t="array" ref="D489">_xlfn.XLOOKUP(
 B489,
 tblTargets[TargetID],
 tblTargets[TargetType],
 ""
)</f>
        <v>BUILDING</v>
      </c>
      <c r="E489" s="49" t="s">
        <v>119</v>
      </c>
      <c r="F489" s="87">
        <f>IFERROR(__xludf.DUMMYFUNCTION("VALUE(REGEXEXTRACT(A489,""([^.]+)$""))"),1.0)</f>
        <v>1</v>
      </c>
      <c r="G489" s="49">
        <v>1000.0</v>
      </c>
      <c r="H489" s="26" t="b">
        <f>COUNTIFS(
 tblCostChecklist[RequirementID],A489,
 tblCostChecklist[PlayerPaid],TRUE
)&gt;0</f>
        <v>0</v>
      </c>
      <c r="I489" s="49">
        <f t="shared" si="1"/>
        <v>9</v>
      </c>
      <c r="J489" s="49">
        <f t="shared" si="2"/>
        <v>0</v>
      </c>
      <c r="K489" s="49">
        <f t="shared" si="3"/>
        <v>9</v>
      </c>
      <c r="L489" s="49" t="b">
        <f t="shared" si="4"/>
        <v>0</v>
      </c>
      <c r="M489" s="88">
        <f t="shared" si="5"/>
        <v>0</v>
      </c>
    </row>
    <row r="490" ht="14.25" customHeight="1">
      <c r="A490" s="49" t="s">
        <v>2078</v>
      </c>
      <c r="B490" s="49" t="str">
        <f>IFERROR(__xludf.DUMMYFUNCTION("REGEXEXTRACT(A490,""^cost\.(.*)\.[^.]+\.[^.]+$"")"),"building.station@1")</f>
        <v>building.station@1</v>
      </c>
      <c r="C490" s="49" t="str">
        <f t="array" ref="C490">_xlfn.XLOOKUP(
 B490,
 tblTargets[TargetID],
 tblTargets[DisplayName],
 ""
)</f>
        <v>Station Lv 1</v>
      </c>
      <c r="D490" s="49" t="str">
        <f t="array" ref="D490">_xlfn.XLOOKUP(
 B490,
 tblTargets[TargetID],
 tblTargets[TargetType],
 ""
)</f>
        <v>BUILDING</v>
      </c>
      <c r="E490" s="49" t="s">
        <v>278</v>
      </c>
      <c r="F490" s="87">
        <f>IFERROR(__xludf.DUMMYFUNCTION("VALUE(REGEXEXTRACT(A490,""([^.]+)$""))"),1.0)</f>
        <v>1</v>
      </c>
      <c r="G490" s="49">
        <v>8000.0</v>
      </c>
      <c r="H490" s="26" t="b">
        <f>COUNTIFS(
 tblCostChecklist[RequirementID],A490,
 tblCostChecklist[PlayerPaid],TRUE
)&gt;0</f>
        <v>0</v>
      </c>
      <c r="I490" s="49">
        <f t="shared" si="1"/>
        <v>9</v>
      </c>
      <c r="J490" s="49">
        <f t="shared" si="2"/>
        <v>0</v>
      </c>
      <c r="K490" s="49">
        <f t="shared" si="3"/>
        <v>9</v>
      </c>
      <c r="L490" s="49" t="b">
        <f t="shared" si="4"/>
        <v>0</v>
      </c>
      <c r="M490" s="88">
        <f t="shared" si="5"/>
        <v>0</v>
      </c>
    </row>
    <row r="491" ht="14.25" customHeight="1">
      <c r="A491" s="49" t="s">
        <v>2084</v>
      </c>
      <c r="B491" s="49" t="str">
        <f>IFERROR(__xludf.DUMMYFUNCTION("REGEXEXTRACT(A491,""^cost\.(.*)\.[^.]+\.[^.]+$"")"),"building.station@1")</f>
        <v>building.station@1</v>
      </c>
      <c r="C491" s="49" t="str">
        <f t="array" ref="C491">_xlfn.XLOOKUP(
 B491,
 tblTargets[TargetID],
 tblTargets[DisplayName],
 ""
)</f>
        <v>Station Lv 1</v>
      </c>
      <c r="D491" s="49" t="str">
        <f t="array" ref="D491">_xlfn.XLOOKUP(
 B491,
 tblTargets[TargetID],
 tblTargets[TargetType],
 ""
)</f>
        <v>BUILDING</v>
      </c>
      <c r="E491" s="49" t="s">
        <v>187</v>
      </c>
      <c r="F491" s="87">
        <f>IFERROR(__xludf.DUMMYFUNCTION("VALUE(REGEXEXTRACT(A491,""([^.]+)$""))"),1.0)</f>
        <v>1</v>
      </c>
      <c r="G491" s="49">
        <v>800.0</v>
      </c>
      <c r="H491" s="26" t="b">
        <f>COUNTIFS(
 tblCostChecklist[RequirementID],A491,
 tblCostChecklist[PlayerPaid],TRUE
)&gt;0</f>
        <v>0</v>
      </c>
      <c r="I491" s="49">
        <f t="shared" si="1"/>
        <v>9</v>
      </c>
      <c r="J491" s="49">
        <f t="shared" si="2"/>
        <v>0</v>
      </c>
      <c r="K491" s="49">
        <f t="shared" si="3"/>
        <v>9</v>
      </c>
      <c r="L491" s="49" t="b">
        <f t="shared" si="4"/>
        <v>0</v>
      </c>
      <c r="M491" s="88">
        <f t="shared" si="5"/>
        <v>0</v>
      </c>
    </row>
    <row r="492" ht="14.25" customHeight="1">
      <c r="A492" s="49" t="s">
        <v>2087</v>
      </c>
      <c r="B492" s="49" t="str">
        <f>IFERROR(__xludf.DUMMYFUNCTION("REGEXEXTRACT(A492,""^cost\.(.*)\.[^.]+\.[^.]+$"")"),"building.station@1")</f>
        <v>building.station@1</v>
      </c>
      <c r="C492" s="49" t="str">
        <f t="array" ref="C492">_xlfn.XLOOKUP(
 B492,
 tblTargets[TargetID],
 tblTargets[DisplayName],
 ""
)</f>
        <v>Station Lv 1</v>
      </c>
      <c r="D492" s="49" t="str">
        <f t="array" ref="D492">_xlfn.XLOOKUP(
 B492,
 tblTargets[TargetID],
 tblTargets[TargetType],
 ""
)</f>
        <v>BUILDING</v>
      </c>
      <c r="E492" s="49" t="s">
        <v>237</v>
      </c>
      <c r="F492" s="87">
        <f>IFERROR(__xludf.DUMMYFUNCTION("VALUE(REGEXEXTRACT(A492,""([^.]+)$""))"),1.0)</f>
        <v>1</v>
      </c>
      <c r="G492" s="49">
        <v>500.0</v>
      </c>
      <c r="H492" s="26" t="b">
        <f>COUNTIFS(
 tblCostChecklist[RequirementID],A492,
 tblCostChecklist[PlayerPaid],TRUE
)&gt;0</f>
        <v>0</v>
      </c>
      <c r="I492" s="49">
        <f t="shared" si="1"/>
        <v>9</v>
      </c>
      <c r="J492" s="49">
        <f t="shared" si="2"/>
        <v>0</v>
      </c>
      <c r="K492" s="49">
        <f t="shared" si="3"/>
        <v>9</v>
      </c>
      <c r="L492" s="49" t="b">
        <f t="shared" si="4"/>
        <v>0</v>
      </c>
      <c r="M492" s="88">
        <f t="shared" si="5"/>
        <v>0</v>
      </c>
    </row>
    <row r="493" ht="14.25" customHeight="1">
      <c r="A493" s="49" t="s">
        <v>2086</v>
      </c>
      <c r="B493" s="49" t="str">
        <f>IFERROR(__xludf.DUMMYFUNCTION("REGEXEXTRACT(A493,""^cost\.(.*)\.[^.]+\.[^.]+$"")"),"building.station@1")</f>
        <v>building.station@1</v>
      </c>
      <c r="C493" s="49" t="str">
        <f t="array" ref="C493">_xlfn.XLOOKUP(
 B493,
 tblTargets[TargetID],
 tblTargets[DisplayName],
 ""
)</f>
        <v>Station Lv 1</v>
      </c>
      <c r="D493" s="49" t="str">
        <f t="array" ref="D493">_xlfn.XLOOKUP(
 B493,
 tblTargets[TargetID],
 tblTargets[TargetType],
 ""
)</f>
        <v>BUILDING</v>
      </c>
      <c r="E493" s="49" t="s">
        <v>392</v>
      </c>
      <c r="F493" s="87">
        <f>IFERROR(__xludf.DUMMYFUNCTION("VALUE(REGEXEXTRACT(A493,""([^.]+)$""))"),1.0)</f>
        <v>1</v>
      </c>
      <c r="G493" s="49">
        <v>1000.0</v>
      </c>
      <c r="H493" s="26" t="b">
        <f>COUNTIFS(
 tblCostChecklist[RequirementID],A493,
 tblCostChecklist[PlayerPaid],TRUE
)&gt;0</f>
        <v>0</v>
      </c>
      <c r="I493" s="49">
        <f t="shared" si="1"/>
        <v>9</v>
      </c>
      <c r="J493" s="49">
        <f t="shared" si="2"/>
        <v>0</v>
      </c>
      <c r="K493" s="49">
        <f t="shared" si="3"/>
        <v>9</v>
      </c>
      <c r="L493" s="49" t="b">
        <f t="shared" si="4"/>
        <v>0</v>
      </c>
      <c r="M493" s="88">
        <f t="shared" si="5"/>
        <v>0</v>
      </c>
    </row>
    <row r="494" ht="14.25" customHeight="1">
      <c r="A494" s="49" t="s">
        <v>2081</v>
      </c>
      <c r="B494" s="49" t="str">
        <f>IFERROR(__xludf.DUMMYFUNCTION("REGEXEXTRACT(A494,""^cost\.(.*)\.[^.]+\.[^.]+$"")"),"building.station@1")</f>
        <v>building.station@1</v>
      </c>
      <c r="C494" s="49" t="str">
        <f t="array" ref="C494">_xlfn.XLOOKUP(
 B494,
 tblTargets[TargetID],
 tblTargets[DisplayName],
 ""
)</f>
        <v>Station Lv 1</v>
      </c>
      <c r="D494" s="49" t="str">
        <f t="array" ref="D494">_xlfn.XLOOKUP(
 B494,
 tblTargets[TargetID],
 tblTargets[TargetType],
 ""
)</f>
        <v>BUILDING</v>
      </c>
      <c r="E494" s="49" t="s">
        <v>412</v>
      </c>
      <c r="F494" s="87">
        <f>IFERROR(__xludf.DUMMYFUNCTION("VALUE(REGEXEXTRACT(A494,""([^.]+)$""))"),1.0)</f>
        <v>1</v>
      </c>
      <c r="G494" s="49">
        <v>1.0</v>
      </c>
      <c r="H494" s="26" t="b">
        <f>COUNTIFS(
 tblCostChecklist[RequirementID],A494,
 tblCostChecklist[PlayerPaid],TRUE
)&gt;0</f>
        <v>0</v>
      </c>
      <c r="I494" s="49">
        <f t="shared" si="1"/>
        <v>9</v>
      </c>
      <c r="J494" s="49">
        <f t="shared" si="2"/>
        <v>0</v>
      </c>
      <c r="K494" s="49">
        <f t="shared" si="3"/>
        <v>9</v>
      </c>
      <c r="L494" s="49" t="b">
        <f t="shared" si="4"/>
        <v>0</v>
      </c>
      <c r="M494" s="88">
        <f t="shared" si="5"/>
        <v>0</v>
      </c>
    </row>
    <row r="495" ht="14.25" customHeight="1">
      <c r="A495" s="49" t="s">
        <v>2082</v>
      </c>
      <c r="B495" s="49" t="str">
        <f>IFERROR(__xludf.DUMMYFUNCTION("REGEXEXTRACT(A495,""^cost\.(.*)\.[^.]+\.[^.]+$"")"),"building.station@1")</f>
        <v>building.station@1</v>
      </c>
      <c r="C495" s="49" t="str">
        <f t="array" ref="C495">_xlfn.XLOOKUP(
 B495,
 tblTargets[TargetID],
 tblTargets[DisplayName],
 ""
)</f>
        <v>Station Lv 1</v>
      </c>
      <c r="D495" s="49" t="str">
        <f t="array" ref="D495">_xlfn.XLOOKUP(
 B495,
 tblTargets[TargetID],
 tblTargets[TargetType],
 ""
)</f>
        <v>BUILDING</v>
      </c>
      <c r="E495" s="49" t="s">
        <v>2083</v>
      </c>
      <c r="F495" s="87">
        <f>IFERROR(__xludf.DUMMYFUNCTION("VALUE(REGEXEXTRACT(A495,""([^.]+)$""))"),1.0)</f>
        <v>1</v>
      </c>
      <c r="G495" s="49">
        <v>10.0</v>
      </c>
      <c r="H495" s="26" t="b">
        <f>COUNTIFS(
 tblCostChecklist[RequirementID],A495,
 tblCostChecklist[PlayerPaid],TRUE
)&gt;0</f>
        <v>0</v>
      </c>
      <c r="I495" s="49">
        <f t="shared" si="1"/>
        <v>9</v>
      </c>
      <c r="J495" s="49">
        <f t="shared" si="2"/>
        <v>0</v>
      </c>
      <c r="K495" s="49">
        <f t="shared" si="3"/>
        <v>9</v>
      </c>
      <c r="L495" s="49" t="b">
        <f t="shared" si="4"/>
        <v>0</v>
      </c>
      <c r="M495" s="88">
        <f t="shared" si="5"/>
        <v>0</v>
      </c>
    </row>
    <row r="496" ht="14.25" customHeight="1">
      <c r="A496" s="49" t="s">
        <v>2079</v>
      </c>
      <c r="B496" s="49" t="str">
        <f>IFERROR(__xludf.DUMMYFUNCTION("REGEXEXTRACT(A496,""^cost\.(.*)\.[^.]+\.[^.]+$"")"),"building.station@1")</f>
        <v>building.station@1</v>
      </c>
      <c r="C496" s="49" t="str">
        <f t="array" ref="C496">_xlfn.XLOOKUP(
 B496,
 tblTargets[TargetID],
 tblTargets[DisplayName],
 ""
)</f>
        <v>Station Lv 1</v>
      </c>
      <c r="D496" s="49" t="str">
        <f t="array" ref="D496">_xlfn.XLOOKUP(
 B496,
 tblTargets[TargetID],
 tblTargets[TargetType],
 ""
)</f>
        <v>BUILDING</v>
      </c>
      <c r="E496" s="49" t="s">
        <v>1055</v>
      </c>
      <c r="F496" s="87">
        <f>IFERROR(__xludf.DUMMYFUNCTION("VALUE(REGEXEXTRACT(A496,""([^.]+)$""))"),1.0)</f>
        <v>1</v>
      </c>
      <c r="G496" s="49">
        <v>20.0</v>
      </c>
      <c r="H496" s="26" t="b">
        <f>COUNTIFS(
 tblCostChecklist[RequirementID],A496,
 tblCostChecklist[PlayerPaid],TRUE
)&gt;0</f>
        <v>0</v>
      </c>
      <c r="I496" s="49">
        <f t="shared" si="1"/>
        <v>9</v>
      </c>
      <c r="J496" s="49">
        <f t="shared" si="2"/>
        <v>0</v>
      </c>
      <c r="K496" s="49">
        <f t="shared" si="3"/>
        <v>9</v>
      </c>
      <c r="L496" s="49" t="b">
        <f t="shared" si="4"/>
        <v>0</v>
      </c>
      <c r="M496" s="88">
        <f t="shared" si="5"/>
        <v>0</v>
      </c>
    </row>
    <row r="497" ht="14.25" customHeight="1">
      <c r="A497" s="49" t="s">
        <v>2091</v>
      </c>
      <c r="B497" s="49" t="str">
        <f>IFERROR(__xludf.DUMMYFUNCTION("REGEXEXTRACT(A497,""^cost\.(.*)\.[^.]+\.[^.]+$"")"),"building.tailor@1")</f>
        <v>building.tailor@1</v>
      </c>
      <c r="C497" s="49" t="str">
        <f t="array" ref="C497">_xlfn.XLOOKUP(
 B497,
 tblTargets[TargetID],
 tblTargets[DisplayName],
 ""
)</f>
        <v>Tailor Lv 1</v>
      </c>
      <c r="D497" s="49" t="str">
        <f t="array" ref="D497">_xlfn.XLOOKUP(
 B497,
 tblTargets[TargetID],
 tblTargets[TargetType],
 ""
)</f>
        <v>BUILDING</v>
      </c>
      <c r="E497" s="49" t="s">
        <v>6</v>
      </c>
      <c r="F497" s="87">
        <f>IFERROR(__xludf.DUMMYFUNCTION("VALUE(REGEXEXTRACT(A497,""([^.]+)$""))"),1.0)</f>
        <v>1</v>
      </c>
      <c r="G497" s="49">
        <v>4.0</v>
      </c>
      <c r="H497" s="26" t="b">
        <f>COUNTIFS(
 tblCostChecklist[RequirementID],A497,
 tblCostChecklist[PlayerPaid],TRUE
)&gt;0</f>
        <v>0</v>
      </c>
      <c r="I497" s="49">
        <f t="shared" si="1"/>
        <v>6</v>
      </c>
      <c r="J497" s="49">
        <f t="shared" si="2"/>
        <v>0</v>
      </c>
      <c r="K497" s="49">
        <f t="shared" si="3"/>
        <v>6</v>
      </c>
      <c r="L497" s="49" t="b">
        <f t="shared" si="4"/>
        <v>0</v>
      </c>
      <c r="M497" s="88">
        <f t="shared" si="5"/>
        <v>0</v>
      </c>
    </row>
    <row r="498" ht="14.25" customHeight="1">
      <c r="A498" s="49" t="s">
        <v>2089</v>
      </c>
      <c r="B498" s="49" t="str">
        <f>IFERROR(__xludf.DUMMYFUNCTION("REGEXEXTRACT(A498,""^cost\.(.*)\.[^.]+\.[^.]+$"")"),"building.tailor@1")</f>
        <v>building.tailor@1</v>
      </c>
      <c r="C498" s="49" t="str">
        <f t="array" ref="C498">_xlfn.XLOOKUP(
 B498,
 tblTargets[TargetID],
 tblTargets[DisplayName],
 ""
)</f>
        <v>Tailor Lv 1</v>
      </c>
      <c r="D498" s="49" t="str">
        <f t="array" ref="D498">_xlfn.XLOOKUP(
 B498,
 tblTargets[TargetID],
 tblTargets[TargetType],
 ""
)</f>
        <v>BUILDING</v>
      </c>
      <c r="E498" s="49" t="s">
        <v>119</v>
      </c>
      <c r="F498" s="87">
        <f>IFERROR(__xludf.DUMMYFUNCTION("VALUE(REGEXEXTRACT(A498,""([^.]+)$""))"),1.0)</f>
        <v>1</v>
      </c>
      <c r="G498" s="49">
        <v>600.0</v>
      </c>
      <c r="H498" s="26" t="b">
        <f>COUNTIFS(
 tblCostChecklist[RequirementID],A498,
 tblCostChecklist[PlayerPaid],TRUE
)&gt;0</f>
        <v>0</v>
      </c>
      <c r="I498" s="49">
        <f t="shared" si="1"/>
        <v>6</v>
      </c>
      <c r="J498" s="49">
        <f t="shared" si="2"/>
        <v>0</v>
      </c>
      <c r="K498" s="49">
        <f t="shared" si="3"/>
        <v>6</v>
      </c>
      <c r="L498" s="49" t="b">
        <f t="shared" si="4"/>
        <v>0</v>
      </c>
      <c r="M498" s="88">
        <f t="shared" si="5"/>
        <v>0</v>
      </c>
    </row>
    <row r="499" ht="14.25" customHeight="1">
      <c r="A499" s="49" t="s">
        <v>2088</v>
      </c>
      <c r="B499" s="49" t="str">
        <f>IFERROR(__xludf.DUMMYFUNCTION("REGEXEXTRACT(A499,""^cost\.(.*)\.[^.]+\.[^.]+$"")"),"building.tailor@1")</f>
        <v>building.tailor@1</v>
      </c>
      <c r="C499" s="49" t="str">
        <f t="array" ref="C499">_xlfn.XLOOKUP(
 B499,
 tblTargets[TargetID],
 tblTargets[DisplayName],
 ""
)</f>
        <v>Tailor Lv 1</v>
      </c>
      <c r="D499" s="49" t="str">
        <f t="array" ref="D499">_xlfn.XLOOKUP(
 B499,
 tblTargets[TargetID],
 tblTargets[TargetType],
 ""
)</f>
        <v>BUILDING</v>
      </c>
      <c r="E499" s="49" t="s">
        <v>278</v>
      </c>
      <c r="F499" s="87">
        <f>IFERROR(__xludf.DUMMYFUNCTION("VALUE(REGEXEXTRACT(A499,""([^.]+)$""))"),1.0)</f>
        <v>1</v>
      </c>
      <c r="G499" s="49">
        <v>600.0</v>
      </c>
      <c r="H499" s="26" t="b">
        <f>COUNTIFS(
 tblCostChecklist[RequirementID],A499,
 tblCostChecklist[PlayerPaid],TRUE
)&gt;0</f>
        <v>0</v>
      </c>
      <c r="I499" s="49">
        <f t="shared" si="1"/>
        <v>6</v>
      </c>
      <c r="J499" s="49">
        <f t="shared" si="2"/>
        <v>0</v>
      </c>
      <c r="K499" s="49">
        <f t="shared" si="3"/>
        <v>6</v>
      </c>
      <c r="L499" s="49" t="b">
        <f t="shared" si="4"/>
        <v>0</v>
      </c>
      <c r="M499" s="88">
        <f t="shared" si="5"/>
        <v>0</v>
      </c>
    </row>
    <row r="500" ht="14.25" customHeight="1">
      <c r="A500" s="49" t="s">
        <v>2093</v>
      </c>
      <c r="B500" s="49" t="str">
        <f>IFERROR(__xludf.DUMMYFUNCTION("REGEXEXTRACT(A500,""^cost\.(.*)\.[^.]+\.[^.]+$"")"),"building.tailor@1")</f>
        <v>building.tailor@1</v>
      </c>
      <c r="C500" s="49" t="str">
        <f t="array" ref="C500">_xlfn.XLOOKUP(
 B500,
 tblTargets[TargetID],
 tblTargets[DisplayName],
 ""
)</f>
        <v>Tailor Lv 1</v>
      </c>
      <c r="D500" s="49" t="str">
        <f t="array" ref="D500">_xlfn.XLOOKUP(
 B500,
 tblTargets[TargetID],
 tblTargets[TargetType],
 ""
)</f>
        <v>BUILDING</v>
      </c>
      <c r="E500" s="49" t="s">
        <v>237</v>
      </c>
      <c r="F500" s="87">
        <f>IFERROR(__xludf.DUMMYFUNCTION("VALUE(REGEXEXTRACT(A500,""([^.]+)$""))"),1.0)</f>
        <v>1</v>
      </c>
      <c r="G500" s="49">
        <v>300.0</v>
      </c>
      <c r="H500" s="26" t="b">
        <f>COUNTIFS(
 tblCostChecklist[RequirementID],A500,
 tblCostChecklist[PlayerPaid],TRUE
)&gt;0</f>
        <v>0</v>
      </c>
      <c r="I500" s="49">
        <f t="shared" si="1"/>
        <v>6</v>
      </c>
      <c r="J500" s="49">
        <f t="shared" si="2"/>
        <v>0</v>
      </c>
      <c r="K500" s="49">
        <f t="shared" si="3"/>
        <v>6</v>
      </c>
      <c r="L500" s="49" t="b">
        <f t="shared" si="4"/>
        <v>0</v>
      </c>
      <c r="M500" s="88">
        <f t="shared" si="5"/>
        <v>0</v>
      </c>
    </row>
    <row r="501" ht="14.25" customHeight="1">
      <c r="A501" s="49" t="s">
        <v>2092</v>
      </c>
      <c r="B501" s="49" t="str">
        <f>IFERROR(__xludf.DUMMYFUNCTION("REGEXEXTRACT(A501,""^cost\.(.*)\.[^.]+\.[^.]+$"")"),"building.tailor@1")</f>
        <v>building.tailor@1</v>
      </c>
      <c r="C501" s="49" t="str">
        <f t="array" ref="C501">_xlfn.XLOOKUP(
 B501,
 tblTargets[TargetID],
 tblTargets[DisplayName],
 ""
)</f>
        <v>Tailor Lv 1</v>
      </c>
      <c r="D501" s="49" t="str">
        <f t="array" ref="D501">_xlfn.XLOOKUP(
 B501,
 tblTargets[TargetID],
 tblTargets[TargetType],
 ""
)</f>
        <v>BUILDING</v>
      </c>
      <c r="E501" s="49" t="s">
        <v>152</v>
      </c>
      <c r="F501" s="87">
        <f>IFERROR(__xludf.DUMMYFUNCTION("VALUE(REGEXEXTRACT(A501,""([^.]+)$""))"),1.0)</f>
        <v>1</v>
      </c>
      <c r="G501" s="49">
        <v>10.0</v>
      </c>
      <c r="H501" s="26" t="b">
        <f>COUNTIFS(
 tblCostChecklist[RequirementID],A501,
 tblCostChecklist[PlayerPaid],TRUE
)&gt;0</f>
        <v>0</v>
      </c>
      <c r="I501" s="49">
        <f t="shared" si="1"/>
        <v>6</v>
      </c>
      <c r="J501" s="49">
        <f t="shared" si="2"/>
        <v>0</v>
      </c>
      <c r="K501" s="49">
        <f t="shared" si="3"/>
        <v>6</v>
      </c>
      <c r="L501" s="49" t="b">
        <f t="shared" si="4"/>
        <v>0</v>
      </c>
      <c r="M501" s="88">
        <f t="shared" si="5"/>
        <v>0</v>
      </c>
    </row>
    <row r="502" ht="14.25" customHeight="1">
      <c r="A502" s="49" t="s">
        <v>2090</v>
      </c>
      <c r="B502" s="49" t="str">
        <f>IFERROR(__xludf.DUMMYFUNCTION("REGEXEXTRACT(A502,""^cost\.(.*)\.[^.]+\.[^.]+$"")"),"building.tailor@1")</f>
        <v>building.tailor@1</v>
      </c>
      <c r="C502" s="49" t="str">
        <f t="array" ref="C502">_xlfn.XLOOKUP(
 B502,
 tblTargets[TargetID],
 tblTargets[DisplayName],
 ""
)</f>
        <v>Tailor Lv 1</v>
      </c>
      <c r="D502" s="49" t="str">
        <f t="array" ref="D502">_xlfn.XLOOKUP(
 B502,
 tblTargets[TargetID],
 tblTargets[TargetType],
 ""
)</f>
        <v>BUILDING</v>
      </c>
      <c r="E502" s="49" t="s">
        <v>423</v>
      </c>
      <c r="F502" s="87">
        <f>IFERROR(__xludf.DUMMYFUNCTION("VALUE(REGEXEXTRACT(A502,""([^.]+)$""))"),1.0)</f>
        <v>1</v>
      </c>
      <c r="G502" s="49">
        <v>10.0</v>
      </c>
      <c r="H502" s="26" t="b">
        <f>COUNTIFS(
 tblCostChecklist[RequirementID],A502,
 tblCostChecklist[PlayerPaid],TRUE
)&gt;0</f>
        <v>0</v>
      </c>
      <c r="I502" s="49">
        <f t="shared" si="1"/>
        <v>6</v>
      </c>
      <c r="J502" s="49">
        <f t="shared" si="2"/>
        <v>0</v>
      </c>
      <c r="K502" s="49">
        <f t="shared" si="3"/>
        <v>6</v>
      </c>
      <c r="L502" s="49" t="b">
        <f t="shared" si="4"/>
        <v>0</v>
      </c>
      <c r="M502" s="88">
        <f t="shared" si="5"/>
        <v>0</v>
      </c>
    </row>
    <row r="503" ht="14.25" customHeight="1">
      <c r="A503" s="49" t="s">
        <v>2097</v>
      </c>
      <c r="B503" s="49" t="str">
        <f>IFERROR(__xludf.DUMMYFUNCTION("REGEXEXTRACT(A503,""^cost\.(.*)\.[^.]+\.[^.]+$"")"),"building.tailor@2")</f>
        <v>building.tailor@2</v>
      </c>
      <c r="C503" s="49" t="str">
        <f t="array" ref="C503">_xlfn.XLOOKUP(
 B503,
 tblTargets[TargetID],
 tblTargets[DisplayName],
 ""
)</f>
        <v>Tailor Lv 2</v>
      </c>
      <c r="D503" s="49" t="str">
        <f t="array" ref="D503">_xlfn.XLOOKUP(
 B503,
 tblTargets[TargetID],
 tblTargets[TargetType],
 ""
)</f>
        <v>BUILDING</v>
      </c>
      <c r="E503" s="49" t="s">
        <v>6</v>
      </c>
      <c r="F503" s="87">
        <f>IFERROR(__xludf.DUMMYFUNCTION("VALUE(REGEXEXTRACT(A503,""([^.]+)$""))"),1.0)</f>
        <v>1</v>
      </c>
      <c r="G503" s="49">
        <v>6.0</v>
      </c>
      <c r="H503" s="26" t="b">
        <f>COUNTIFS(
 tblCostChecklist[RequirementID],A503,
 tblCostChecklist[PlayerPaid],TRUE
)&gt;0</f>
        <v>0</v>
      </c>
      <c r="I503" s="49">
        <f t="shared" si="1"/>
        <v>6</v>
      </c>
      <c r="J503" s="49">
        <f t="shared" si="2"/>
        <v>0</v>
      </c>
      <c r="K503" s="49">
        <f t="shared" si="3"/>
        <v>6</v>
      </c>
      <c r="L503" s="49" t="b">
        <f t="shared" si="4"/>
        <v>0</v>
      </c>
      <c r="M503" s="88">
        <f t="shared" si="5"/>
        <v>0</v>
      </c>
    </row>
    <row r="504" ht="14.25" customHeight="1">
      <c r="A504" s="49" t="s">
        <v>2094</v>
      </c>
      <c r="B504" s="49" t="str">
        <f>IFERROR(__xludf.DUMMYFUNCTION("REGEXEXTRACT(A504,""^cost\.(.*)\.[^.]+\.[^.]+$"")"),"building.tailor@2")</f>
        <v>building.tailor@2</v>
      </c>
      <c r="C504" s="49" t="str">
        <f t="array" ref="C504">_xlfn.XLOOKUP(
 B504,
 tblTargets[TargetID],
 tblTargets[DisplayName],
 ""
)</f>
        <v>Tailor Lv 2</v>
      </c>
      <c r="D504" s="49" t="str">
        <f t="array" ref="D504">_xlfn.XLOOKUP(
 B504,
 tblTargets[TargetID],
 tblTargets[TargetType],
 ""
)</f>
        <v>BUILDING</v>
      </c>
      <c r="E504" s="49" t="s">
        <v>119</v>
      </c>
      <c r="F504" s="87">
        <f>IFERROR(__xludf.DUMMYFUNCTION("VALUE(REGEXEXTRACT(A504,""([^.]+)$""))"),1.0)</f>
        <v>1</v>
      </c>
      <c r="G504" s="49">
        <v>800.0</v>
      </c>
      <c r="H504" s="26" t="b">
        <f>COUNTIFS(
 tblCostChecklist[RequirementID],A504,
 tblCostChecklist[PlayerPaid],TRUE
)&gt;0</f>
        <v>0</v>
      </c>
      <c r="I504" s="49">
        <f t="shared" si="1"/>
        <v>6</v>
      </c>
      <c r="J504" s="49">
        <f t="shared" si="2"/>
        <v>0</v>
      </c>
      <c r="K504" s="49">
        <f t="shared" si="3"/>
        <v>6</v>
      </c>
      <c r="L504" s="49" t="b">
        <f t="shared" si="4"/>
        <v>0</v>
      </c>
      <c r="M504" s="88">
        <f t="shared" si="5"/>
        <v>0</v>
      </c>
    </row>
    <row r="505" ht="14.25" customHeight="1">
      <c r="A505" s="49" t="s">
        <v>2096</v>
      </c>
      <c r="B505" s="49" t="str">
        <f>IFERROR(__xludf.DUMMYFUNCTION("REGEXEXTRACT(A505,""^cost\.(.*)\.[^.]+\.[^.]+$"")"),"building.tailor@2")</f>
        <v>building.tailor@2</v>
      </c>
      <c r="C505" s="49" t="str">
        <f t="array" ref="C505">_xlfn.XLOOKUP(
 B505,
 tblTargets[TargetID],
 tblTargets[DisplayName],
 ""
)</f>
        <v>Tailor Lv 2</v>
      </c>
      <c r="D505" s="49" t="str">
        <f t="array" ref="D505">_xlfn.XLOOKUP(
 B505,
 tblTargets[TargetID],
 tblTargets[TargetType],
 ""
)</f>
        <v>BUILDING</v>
      </c>
      <c r="E505" s="49" t="s">
        <v>187</v>
      </c>
      <c r="F505" s="87">
        <f>IFERROR(__xludf.DUMMYFUNCTION("VALUE(REGEXEXTRACT(A505,""([^.]+)$""))"),1.0)</f>
        <v>1</v>
      </c>
      <c r="G505" s="49">
        <v>800.0</v>
      </c>
      <c r="H505" s="26" t="b">
        <f>COUNTIFS(
 tblCostChecklist[RequirementID],A505,
 tblCostChecklist[PlayerPaid],TRUE
)&gt;0</f>
        <v>0</v>
      </c>
      <c r="I505" s="49">
        <f t="shared" si="1"/>
        <v>6</v>
      </c>
      <c r="J505" s="49">
        <f t="shared" si="2"/>
        <v>0</v>
      </c>
      <c r="K505" s="49">
        <f t="shared" si="3"/>
        <v>6</v>
      </c>
      <c r="L505" s="49" t="b">
        <f t="shared" si="4"/>
        <v>0</v>
      </c>
      <c r="M505" s="88">
        <f t="shared" si="5"/>
        <v>0</v>
      </c>
    </row>
    <row r="506" ht="14.25" customHeight="1">
      <c r="A506" s="49" t="s">
        <v>2099</v>
      </c>
      <c r="B506" s="49" t="str">
        <f>IFERROR(__xludf.DUMMYFUNCTION("REGEXEXTRACT(A506,""^cost\.(.*)\.[^.]+\.[^.]+$"")"),"building.tailor@2")</f>
        <v>building.tailor@2</v>
      </c>
      <c r="C506" s="49" t="str">
        <f t="array" ref="C506">_xlfn.XLOOKUP(
 B506,
 tblTargets[TargetID],
 tblTargets[DisplayName],
 ""
)</f>
        <v>Tailor Lv 2</v>
      </c>
      <c r="D506" s="49" t="str">
        <f t="array" ref="D506">_xlfn.XLOOKUP(
 B506,
 tblTargets[TargetID],
 tblTargets[TargetType],
 ""
)</f>
        <v>BUILDING</v>
      </c>
      <c r="E506" s="49" t="s">
        <v>237</v>
      </c>
      <c r="F506" s="87">
        <f>IFERROR(__xludf.DUMMYFUNCTION("VALUE(REGEXEXTRACT(A506,""([^.]+)$""))"),1.0)</f>
        <v>1</v>
      </c>
      <c r="G506" s="49">
        <v>400.0</v>
      </c>
      <c r="H506" s="26" t="b">
        <f>COUNTIFS(
 tblCostChecklist[RequirementID],A506,
 tblCostChecklist[PlayerPaid],TRUE
)&gt;0</f>
        <v>0</v>
      </c>
      <c r="I506" s="49">
        <f t="shared" si="1"/>
        <v>6</v>
      </c>
      <c r="J506" s="49">
        <f t="shared" si="2"/>
        <v>0</v>
      </c>
      <c r="K506" s="49">
        <f t="shared" si="3"/>
        <v>6</v>
      </c>
      <c r="L506" s="49" t="b">
        <f t="shared" si="4"/>
        <v>0</v>
      </c>
      <c r="M506" s="88">
        <f t="shared" si="5"/>
        <v>0</v>
      </c>
    </row>
    <row r="507" ht="14.25" customHeight="1">
      <c r="A507" s="49" t="s">
        <v>2098</v>
      </c>
      <c r="B507" s="49" t="str">
        <f>IFERROR(__xludf.DUMMYFUNCTION("REGEXEXTRACT(A507,""^cost\.(.*)\.[^.]+\.[^.]+$"")"),"building.tailor@2")</f>
        <v>building.tailor@2</v>
      </c>
      <c r="C507" s="49" t="str">
        <f t="array" ref="C507">_xlfn.XLOOKUP(
 B507,
 tblTargets[TargetID],
 tblTargets[DisplayName],
 ""
)</f>
        <v>Tailor Lv 2</v>
      </c>
      <c r="D507" s="49" t="str">
        <f t="array" ref="D507">_xlfn.XLOOKUP(
 B507,
 tblTargets[TargetID],
 tblTargets[TargetType],
 ""
)</f>
        <v>BUILDING</v>
      </c>
      <c r="E507" s="49" t="s">
        <v>152</v>
      </c>
      <c r="F507" s="87">
        <f>IFERROR(__xludf.DUMMYFUNCTION("VALUE(REGEXEXTRACT(A507,""([^.]+)$""))"),1.0)</f>
        <v>1</v>
      </c>
      <c r="G507" s="49">
        <v>20.0</v>
      </c>
      <c r="H507" s="26" t="b">
        <f>COUNTIFS(
 tblCostChecklist[RequirementID],A507,
 tblCostChecklist[PlayerPaid],TRUE
)&gt;0</f>
        <v>0</v>
      </c>
      <c r="I507" s="49">
        <f t="shared" si="1"/>
        <v>6</v>
      </c>
      <c r="J507" s="49">
        <f t="shared" si="2"/>
        <v>0</v>
      </c>
      <c r="K507" s="49">
        <f t="shared" si="3"/>
        <v>6</v>
      </c>
      <c r="L507" s="49" t="b">
        <f t="shared" si="4"/>
        <v>0</v>
      </c>
      <c r="M507" s="88">
        <f t="shared" si="5"/>
        <v>0</v>
      </c>
    </row>
    <row r="508" ht="14.25" customHeight="1">
      <c r="A508" s="49" t="s">
        <v>2095</v>
      </c>
      <c r="B508" s="49" t="str">
        <f>IFERROR(__xludf.DUMMYFUNCTION("REGEXEXTRACT(A508,""^cost\.(.*)\.[^.]+\.[^.]+$"")"),"building.tailor@2")</f>
        <v>building.tailor@2</v>
      </c>
      <c r="C508" s="49" t="str">
        <f t="array" ref="C508">_xlfn.XLOOKUP(
 B508,
 tblTargets[TargetID],
 tblTargets[DisplayName],
 ""
)</f>
        <v>Tailor Lv 2</v>
      </c>
      <c r="D508" s="49" t="str">
        <f t="array" ref="D508">_xlfn.XLOOKUP(
 B508,
 tblTargets[TargetID],
 tblTargets[TargetType],
 ""
)</f>
        <v>BUILDING</v>
      </c>
      <c r="E508" s="49" t="s">
        <v>360</v>
      </c>
      <c r="F508" s="87">
        <f>IFERROR(__xludf.DUMMYFUNCTION("VALUE(REGEXEXTRACT(A508,""([^.]+)$""))"),1.0)</f>
        <v>1</v>
      </c>
      <c r="G508" s="49">
        <v>20.0</v>
      </c>
      <c r="H508" s="26" t="b">
        <f>COUNTIFS(
 tblCostChecklist[RequirementID],A508,
 tblCostChecklist[PlayerPaid],TRUE
)&gt;0</f>
        <v>0</v>
      </c>
      <c r="I508" s="49">
        <f t="shared" si="1"/>
        <v>6</v>
      </c>
      <c r="J508" s="49">
        <f t="shared" si="2"/>
        <v>0</v>
      </c>
      <c r="K508" s="49">
        <f t="shared" si="3"/>
        <v>6</v>
      </c>
      <c r="L508" s="49" t="b">
        <f t="shared" si="4"/>
        <v>0</v>
      </c>
      <c r="M508" s="88">
        <f t="shared" si="5"/>
        <v>0</v>
      </c>
    </row>
    <row r="509" ht="14.25" customHeight="1">
      <c r="A509" s="49" t="s">
        <v>2102</v>
      </c>
      <c r="B509" s="49" t="str">
        <f>IFERROR(__xludf.DUMMYFUNCTION("REGEXEXTRACT(A509,""^cost\.(.*)\.[^.]+\.[^.]+$"")"),"building.tailor@3")</f>
        <v>building.tailor@3</v>
      </c>
      <c r="C509" s="49" t="str">
        <f t="array" ref="C509">_xlfn.XLOOKUP(
 B509,
 tblTargets[TargetID],
 tblTargets[DisplayName],
 ""
)</f>
        <v>Tailor Lv 3</v>
      </c>
      <c r="D509" s="49" t="str">
        <f t="array" ref="D509">_xlfn.XLOOKUP(
 B509,
 tblTargets[TargetID],
 tblTargets[TargetType],
 ""
)</f>
        <v>BUILDING</v>
      </c>
      <c r="E509" s="49" t="s">
        <v>6</v>
      </c>
      <c r="F509" s="87">
        <f>IFERROR(__xludf.DUMMYFUNCTION("VALUE(REGEXEXTRACT(A509,""([^.]+)$""))"),1.0)</f>
        <v>1</v>
      </c>
      <c r="G509" s="49">
        <v>8.0</v>
      </c>
      <c r="H509" s="26" t="b">
        <f>COUNTIFS(
 tblCostChecklist[RequirementID],A509,
 tblCostChecklist[PlayerPaid],TRUE
)&gt;0</f>
        <v>0</v>
      </c>
      <c r="I509" s="49">
        <f t="shared" si="1"/>
        <v>6</v>
      </c>
      <c r="J509" s="49">
        <f t="shared" si="2"/>
        <v>0</v>
      </c>
      <c r="K509" s="49">
        <f t="shared" si="3"/>
        <v>6</v>
      </c>
      <c r="L509" s="49" t="b">
        <f t="shared" si="4"/>
        <v>0</v>
      </c>
      <c r="M509" s="88">
        <f t="shared" si="5"/>
        <v>0</v>
      </c>
    </row>
    <row r="510" ht="14.25" customHeight="1">
      <c r="A510" s="49" t="s">
        <v>2100</v>
      </c>
      <c r="B510" s="49" t="str">
        <f>IFERROR(__xludf.DUMMYFUNCTION("REGEXEXTRACT(A510,""^cost\.(.*)\.[^.]+\.[^.]+$"")"),"building.tailor@3")</f>
        <v>building.tailor@3</v>
      </c>
      <c r="C510" s="49" t="str">
        <f t="array" ref="C510">_xlfn.XLOOKUP(
 B510,
 tblTargets[TargetID],
 tblTargets[DisplayName],
 ""
)</f>
        <v>Tailor Lv 3</v>
      </c>
      <c r="D510" s="49" t="str">
        <f t="array" ref="D510">_xlfn.XLOOKUP(
 B510,
 tblTargets[TargetID],
 tblTargets[TargetType],
 ""
)</f>
        <v>BUILDING</v>
      </c>
      <c r="E510" s="49" t="s">
        <v>119</v>
      </c>
      <c r="F510" s="87">
        <f>IFERROR(__xludf.DUMMYFUNCTION("VALUE(REGEXEXTRACT(A510,""([^.]+)$""))"),1.0)</f>
        <v>1</v>
      </c>
      <c r="G510" s="49">
        <v>1000.0</v>
      </c>
      <c r="H510" s="26" t="b">
        <f>COUNTIFS(
 tblCostChecklist[RequirementID],A510,
 tblCostChecklist[PlayerPaid],TRUE
)&gt;0</f>
        <v>0</v>
      </c>
      <c r="I510" s="49">
        <f t="shared" si="1"/>
        <v>6</v>
      </c>
      <c r="J510" s="49">
        <f t="shared" si="2"/>
        <v>0</v>
      </c>
      <c r="K510" s="49">
        <f t="shared" si="3"/>
        <v>6</v>
      </c>
      <c r="L510" s="49" t="b">
        <f t="shared" si="4"/>
        <v>0</v>
      </c>
      <c r="M510" s="88">
        <f t="shared" si="5"/>
        <v>0</v>
      </c>
    </row>
    <row r="511" ht="14.25" customHeight="1">
      <c r="A511" s="49" t="s">
        <v>2101</v>
      </c>
      <c r="B511" s="49" t="str">
        <f>IFERROR(__xludf.DUMMYFUNCTION("REGEXEXTRACT(A511,""^cost\.(.*)\.[^.]+\.[^.]+$"")"),"building.tailor@3")</f>
        <v>building.tailor@3</v>
      </c>
      <c r="C511" s="49" t="str">
        <f t="array" ref="C511">_xlfn.XLOOKUP(
 B511,
 tblTargets[TargetID],
 tblTargets[DisplayName],
 ""
)</f>
        <v>Tailor Lv 3</v>
      </c>
      <c r="D511" s="49" t="str">
        <f t="array" ref="D511">_xlfn.XLOOKUP(
 B511,
 tblTargets[TargetID],
 tblTargets[TargetType],
 ""
)</f>
        <v>BUILDING</v>
      </c>
      <c r="E511" s="49" t="s">
        <v>187</v>
      </c>
      <c r="F511" s="87">
        <f>IFERROR(__xludf.DUMMYFUNCTION("VALUE(REGEXEXTRACT(A511,""([^.]+)$""))"),1.0)</f>
        <v>1</v>
      </c>
      <c r="G511" s="49">
        <v>1000.0</v>
      </c>
      <c r="H511" s="26" t="b">
        <f>COUNTIFS(
 tblCostChecklist[RequirementID],A511,
 tblCostChecklist[PlayerPaid],TRUE
)&gt;0</f>
        <v>0</v>
      </c>
      <c r="I511" s="49">
        <f t="shared" si="1"/>
        <v>6</v>
      </c>
      <c r="J511" s="49">
        <f t="shared" si="2"/>
        <v>0</v>
      </c>
      <c r="K511" s="49">
        <f t="shared" si="3"/>
        <v>6</v>
      </c>
      <c r="L511" s="49" t="b">
        <f t="shared" si="4"/>
        <v>0</v>
      </c>
      <c r="M511" s="88">
        <f t="shared" si="5"/>
        <v>0</v>
      </c>
    </row>
    <row r="512" ht="14.25" customHeight="1">
      <c r="A512" s="49" t="s">
        <v>2105</v>
      </c>
      <c r="B512" s="49" t="str">
        <f>IFERROR(__xludf.DUMMYFUNCTION("REGEXEXTRACT(A512,""^cost\.(.*)\.[^.]+\.[^.]+$"")"),"building.tailor@3")</f>
        <v>building.tailor@3</v>
      </c>
      <c r="C512" s="49" t="str">
        <f t="array" ref="C512">_xlfn.XLOOKUP(
 B512,
 tblTargets[TargetID],
 tblTargets[DisplayName],
 ""
)</f>
        <v>Tailor Lv 3</v>
      </c>
      <c r="D512" s="49" t="str">
        <f t="array" ref="D512">_xlfn.XLOOKUP(
 B512,
 tblTargets[TargetID],
 tblTargets[TargetType],
 ""
)</f>
        <v>BUILDING</v>
      </c>
      <c r="E512" s="49" t="s">
        <v>237</v>
      </c>
      <c r="F512" s="87">
        <f>IFERROR(__xludf.DUMMYFUNCTION("VALUE(REGEXEXTRACT(A512,""([^.]+)$""))"),1.0)</f>
        <v>1</v>
      </c>
      <c r="G512" s="49">
        <v>500.0</v>
      </c>
      <c r="H512" s="26" t="b">
        <f>COUNTIFS(
 tblCostChecklist[RequirementID],A512,
 tblCostChecklist[PlayerPaid],TRUE
)&gt;0</f>
        <v>0</v>
      </c>
      <c r="I512" s="49">
        <f t="shared" si="1"/>
        <v>6</v>
      </c>
      <c r="J512" s="49">
        <f t="shared" si="2"/>
        <v>0</v>
      </c>
      <c r="K512" s="49">
        <f t="shared" si="3"/>
        <v>6</v>
      </c>
      <c r="L512" s="49" t="b">
        <f t="shared" si="4"/>
        <v>0</v>
      </c>
      <c r="M512" s="88">
        <f t="shared" si="5"/>
        <v>0</v>
      </c>
    </row>
    <row r="513" ht="14.25" customHeight="1">
      <c r="A513" s="49" t="s">
        <v>2104</v>
      </c>
      <c r="B513" s="49" t="str">
        <f>IFERROR(__xludf.DUMMYFUNCTION("REGEXEXTRACT(A513,""^cost\.(.*)\.[^.]+\.[^.]+$"")"),"building.tailor@3")</f>
        <v>building.tailor@3</v>
      </c>
      <c r="C513" s="49" t="str">
        <f t="array" ref="C513">_xlfn.XLOOKUP(
 B513,
 tblTargets[TargetID],
 tblTargets[DisplayName],
 ""
)</f>
        <v>Tailor Lv 3</v>
      </c>
      <c r="D513" s="49" t="str">
        <f t="array" ref="D513">_xlfn.XLOOKUP(
 B513,
 tblTargets[TargetID],
 tblTargets[TargetType],
 ""
)</f>
        <v>BUILDING</v>
      </c>
      <c r="E513" s="49" t="s">
        <v>392</v>
      </c>
      <c r="F513" s="87">
        <f>IFERROR(__xludf.DUMMYFUNCTION("VALUE(REGEXEXTRACT(A513,""([^.]+)$""))"),1.0)</f>
        <v>1</v>
      </c>
      <c r="G513" s="49">
        <v>100.0</v>
      </c>
      <c r="H513" s="26" t="b">
        <f>COUNTIFS(
 tblCostChecklist[RequirementID],A513,
 tblCostChecklist[PlayerPaid],TRUE
)&gt;0</f>
        <v>0</v>
      </c>
      <c r="I513" s="49">
        <f t="shared" si="1"/>
        <v>6</v>
      </c>
      <c r="J513" s="49">
        <f t="shared" si="2"/>
        <v>0</v>
      </c>
      <c r="K513" s="49">
        <f t="shared" si="3"/>
        <v>6</v>
      </c>
      <c r="L513" s="49" t="b">
        <f t="shared" si="4"/>
        <v>0</v>
      </c>
      <c r="M513" s="88">
        <f t="shared" si="5"/>
        <v>0</v>
      </c>
    </row>
    <row r="514" ht="14.25" customHeight="1">
      <c r="A514" s="49" t="s">
        <v>2103</v>
      </c>
      <c r="B514" s="49" t="str">
        <f>IFERROR(__xludf.DUMMYFUNCTION("REGEXEXTRACT(A514,""^cost\.(.*)\.[^.]+\.[^.]+$"")"),"building.tailor@3")</f>
        <v>building.tailor@3</v>
      </c>
      <c r="C514" s="49" t="str">
        <f t="array" ref="C514">_xlfn.XLOOKUP(
 B514,
 tblTargets[TargetID],
 tblTargets[DisplayName],
 ""
)</f>
        <v>Tailor Lv 3</v>
      </c>
      <c r="D514" s="49" t="str">
        <f t="array" ref="D514">_xlfn.XLOOKUP(
 B514,
 tblTargets[TargetID],
 tblTargets[TargetType],
 ""
)</f>
        <v>BUILDING</v>
      </c>
      <c r="E514" s="49" t="s">
        <v>152</v>
      </c>
      <c r="F514" s="87">
        <f>IFERROR(__xludf.DUMMYFUNCTION("VALUE(REGEXEXTRACT(A514,""([^.]+)$""))"),1.0)</f>
        <v>1</v>
      </c>
      <c r="G514" s="49">
        <v>30.0</v>
      </c>
      <c r="H514" s="26" t="b">
        <f>COUNTIFS(
 tblCostChecklist[RequirementID],A514,
 tblCostChecklist[PlayerPaid],TRUE
)&gt;0</f>
        <v>0</v>
      </c>
      <c r="I514" s="49">
        <f t="shared" si="1"/>
        <v>6</v>
      </c>
      <c r="J514" s="49">
        <f t="shared" si="2"/>
        <v>0</v>
      </c>
      <c r="K514" s="49">
        <f t="shared" si="3"/>
        <v>6</v>
      </c>
      <c r="L514" s="49" t="b">
        <f t="shared" si="4"/>
        <v>0</v>
      </c>
      <c r="M514" s="88">
        <f t="shared" si="5"/>
        <v>0</v>
      </c>
    </row>
    <row r="515" ht="14.25" customHeight="1">
      <c r="A515" s="49" t="s">
        <v>2136</v>
      </c>
      <c r="B515" s="49" t="str">
        <f>IFERROR(__xludf.DUMMYFUNCTION("REGEXEXTRACT(A515,""^cost\.(.*)\.[^.]+\.[^.]+$"")"),"building.train@1")</f>
        <v>building.train@1</v>
      </c>
      <c r="C515" s="49" t="str">
        <f t="array" ref="C515">_xlfn.XLOOKUP(
 B515,
 tblTargets[TargetID],
 tblTargets[DisplayName],
 ""
)</f>
        <v>Train Lv 1</v>
      </c>
      <c r="D515" s="49" t="str">
        <f t="array" ref="D515">_xlfn.XLOOKUP(
 B515,
 tblTargets[TargetID],
 tblTargets[TargetType],
 ""
)</f>
        <v>BUILDING</v>
      </c>
      <c r="E515" s="49" t="s">
        <v>6</v>
      </c>
      <c r="F515" s="87">
        <f>IFERROR(__xludf.DUMMYFUNCTION("VALUE(REGEXEXTRACT(A515,""([^.]+)$""))"),1.0)</f>
        <v>1</v>
      </c>
      <c r="G515" s="49">
        <v>10.0</v>
      </c>
      <c r="H515" s="26" t="b">
        <f>COUNTIFS(
 tblCostChecklist[RequirementID],A515,
 tblCostChecklist[PlayerPaid],TRUE
)&gt;0</f>
        <v>0</v>
      </c>
      <c r="I515" s="49">
        <f t="shared" si="1"/>
        <v>7</v>
      </c>
      <c r="J515" s="49">
        <f t="shared" si="2"/>
        <v>0</v>
      </c>
      <c r="K515" s="49">
        <f t="shared" si="3"/>
        <v>7</v>
      </c>
      <c r="L515" s="49" t="b">
        <f t="shared" si="4"/>
        <v>0</v>
      </c>
      <c r="M515" s="88">
        <f t="shared" si="5"/>
        <v>0</v>
      </c>
    </row>
    <row r="516" ht="14.25" customHeight="1">
      <c r="A516" s="49" t="s">
        <v>2131</v>
      </c>
      <c r="B516" s="49" t="str">
        <f>IFERROR(__xludf.DUMMYFUNCTION("REGEXEXTRACT(A516,""^cost\.(.*)\.[^.]+\.[^.]+$"")"),"building.train@1")</f>
        <v>building.train@1</v>
      </c>
      <c r="C516" s="49" t="str">
        <f t="array" ref="C516">_xlfn.XLOOKUP(
 B516,
 tblTargets[TargetID],
 tblTargets[DisplayName],
 ""
)</f>
        <v>Train Lv 1</v>
      </c>
      <c r="D516" s="49" t="str">
        <f t="array" ref="D516">_xlfn.XLOOKUP(
 B516,
 tblTargets[TargetID],
 tblTargets[TargetType],
 ""
)</f>
        <v>BUILDING</v>
      </c>
      <c r="E516" s="49" t="s">
        <v>119</v>
      </c>
      <c r="F516" s="87">
        <f>IFERROR(__xludf.DUMMYFUNCTION("VALUE(REGEXEXTRACT(A516,""([^.]+)$""))"),1.0)</f>
        <v>1</v>
      </c>
      <c r="G516" s="49">
        <v>2000.0</v>
      </c>
      <c r="H516" s="26" t="b">
        <f>COUNTIFS(
 tblCostChecklist[RequirementID],A516,
 tblCostChecklist[PlayerPaid],TRUE
)&gt;0</f>
        <v>0</v>
      </c>
      <c r="I516" s="49">
        <f t="shared" si="1"/>
        <v>7</v>
      </c>
      <c r="J516" s="49">
        <f t="shared" si="2"/>
        <v>0</v>
      </c>
      <c r="K516" s="49">
        <f t="shared" si="3"/>
        <v>7</v>
      </c>
      <c r="L516" s="49" t="b">
        <f t="shared" si="4"/>
        <v>0</v>
      </c>
      <c r="M516" s="88">
        <f t="shared" si="5"/>
        <v>0</v>
      </c>
    </row>
    <row r="517" ht="14.25" customHeight="1">
      <c r="A517" s="49" t="s">
        <v>2137</v>
      </c>
      <c r="B517" s="49" t="str">
        <f>IFERROR(__xludf.DUMMYFUNCTION("REGEXEXTRACT(A517,""^cost\.(.*)\.[^.]+\.[^.]+$"")"),"building.train@1")</f>
        <v>building.train@1</v>
      </c>
      <c r="C517" s="49" t="str">
        <f t="array" ref="C517">_xlfn.XLOOKUP(
 B517,
 tblTargets[TargetID],
 tblTargets[DisplayName],
 ""
)</f>
        <v>Train Lv 1</v>
      </c>
      <c r="D517" s="49" t="str">
        <f t="array" ref="D517">_xlfn.XLOOKUP(
 B517,
 tblTargets[TargetID],
 tblTargets[TargetType],
 ""
)</f>
        <v>BUILDING</v>
      </c>
      <c r="E517" s="49" t="s">
        <v>392</v>
      </c>
      <c r="F517" s="87">
        <f>IFERROR(__xludf.DUMMYFUNCTION("VALUE(REGEXEXTRACT(A517,""([^.]+)$""))"),1.0)</f>
        <v>1</v>
      </c>
      <c r="G517" s="49">
        <v>3000.0</v>
      </c>
      <c r="H517" s="26" t="b">
        <f>COUNTIFS(
 tblCostChecklist[RequirementID],A517,
 tblCostChecklist[PlayerPaid],TRUE
)&gt;0</f>
        <v>0</v>
      </c>
      <c r="I517" s="49">
        <f t="shared" si="1"/>
        <v>7</v>
      </c>
      <c r="J517" s="49">
        <f t="shared" si="2"/>
        <v>0</v>
      </c>
      <c r="K517" s="49">
        <f t="shared" si="3"/>
        <v>7</v>
      </c>
      <c r="L517" s="49" t="b">
        <f t="shared" si="4"/>
        <v>0</v>
      </c>
      <c r="M517" s="88">
        <f t="shared" si="5"/>
        <v>0</v>
      </c>
    </row>
    <row r="518" ht="14.25" customHeight="1">
      <c r="A518" s="49" t="s">
        <v>2134</v>
      </c>
      <c r="B518" s="49" t="str">
        <f>IFERROR(__xludf.DUMMYFUNCTION("REGEXEXTRACT(A518,""^cost\.(.*)\.[^.]+\.[^.]+$"")"),"building.train@1")</f>
        <v>building.train@1</v>
      </c>
      <c r="C518" s="49" t="str">
        <f t="array" ref="C518">_xlfn.XLOOKUP(
 B518,
 tblTargets[TargetID],
 tblTargets[DisplayName],
 ""
)</f>
        <v>Train Lv 1</v>
      </c>
      <c r="D518" s="49" t="str">
        <f t="array" ref="D518">_xlfn.XLOOKUP(
 B518,
 tblTargets[TargetID],
 tblTargets[TargetType],
 ""
)</f>
        <v>BUILDING</v>
      </c>
      <c r="E518" s="49" t="s">
        <v>2135</v>
      </c>
      <c r="F518" s="87">
        <f>IFERROR(__xludf.DUMMYFUNCTION("VALUE(REGEXEXTRACT(A518,""([^.]+)$""))"),1.0)</f>
        <v>1</v>
      </c>
      <c r="G518" s="49">
        <v>100.0</v>
      </c>
      <c r="H518" s="26" t="b">
        <f>COUNTIFS(
 tblCostChecklist[RequirementID],A518,
 tblCostChecklist[PlayerPaid],TRUE
)&gt;0</f>
        <v>0</v>
      </c>
      <c r="I518" s="49">
        <f t="shared" si="1"/>
        <v>7</v>
      </c>
      <c r="J518" s="49">
        <f t="shared" si="2"/>
        <v>0</v>
      </c>
      <c r="K518" s="49">
        <f t="shared" si="3"/>
        <v>7</v>
      </c>
      <c r="L518" s="49" t="b">
        <f t="shared" si="4"/>
        <v>0</v>
      </c>
      <c r="M518" s="88">
        <f t="shared" si="5"/>
        <v>0</v>
      </c>
    </row>
    <row r="519" ht="14.25" customHeight="1">
      <c r="A519" s="49" t="s">
        <v>2133</v>
      </c>
      <c r="B519" s="49" t="str">
        <f>IFERROR(__xludf.DUMMYFUNCTION("REGEXEXTRACT(A519,""^cost\.(.*)\.[^.]+\.[^.]+$"")"),"building.train@1")</f>
        <v>building.train@1</v>
      </c>
      <c r="C519" s="49" t="str">
        <f t="array" ref="C519">_xlfn.XLOOKUP(
 B519,
 tblTargets[TargetID],
 tblTargets[DisplayName],
 ""
)</f>
        <v>Train Lv 1</v>
      </c>
      <c r="D519" s="49" t="str">
        <f t="array" ref="D519">_xlfn.XLOOKUP(
 B519,
 tblTargets[TargetID],
 tblTargets[TargetType],
 ""
)</f>
        <v>BUILDING</v>
      </c>
      <c r="E519" s="49" t="s">
        <v>1078</v>
      </c>
      <c r="F519" s="87">
        <f>IFERROR(__xludf.DUMMYFUNCTION("VALUE(REGEXEXTRACT(A519,""([^.]+)$""))"),1.0)</f>
        <v>1</v>
      </c>
      <c r="G519" s="49">
        <v>80.0</v>
      </c>
      <c r="H519" s="26" t="b">
        <f>COUNTIFS(
 tblCostChecklist[RequirementID],A519,
 tblCostChecklist[PlayerPaid],TRUE
)&gt;0</f>
        <v>0</v>
      </c>
      <c r="I519" s="49">
        <f t="shared" si="1"/>
        <v>7</v>
      </c>
      <c r="J519" s="49">
        <f t="shared" si="2"/>
        <v>0</v>
      </c>
      <c r="K519" s="49">
        <f t="shared" si="3"/>
        <v>7</v>
      </c>
      <c r="L519" s="49" t="b">
        <f t="shared" si="4"/>
        <v>0</v>
      </c>
      <c r="M519" s="88">
        <f t="shared" si="5"/>
        <v>0</v>
      </c>
    </row>
    <row r="520" ht="14.25" customHeight="1">
      <c r="A520" s="49" t="s">
        <v>2132</v>
      </c>
      <c r="B520" s="49" t="str">
        <f>IFERROR(__xludf.DUMMYFUNCTION("REGEXEXTRACT(A520,""^cost\.(.*)\.[^.]+\.[^.]+$"")"),"building.train@1")</f>
        <v>building.train@1</v>
      </c>
      <c r="C520" s="49" t="str">
        <f t="array" ref="C520">_xlfn.XLOOKUP(
 B520,
 tblTargets[TargetID],
 tblTargets[DisplayName],
 ""
)</f>
        <v>Train Lv 1</v>
      </c>
      <c r="D520" s="49" t="str">
        <f t="array" ref="D520">_xlfn.XLOOKUP(
 B520,
 tblTargets[TargetID],
 tblTargets[TargetType],
 ""
)</f>
        <v>BUILDING</v>
      </c>
      <c r="E520" s="49" t="s">
        <v>360</v>
      </c>
      <c r="F520" s="87">
        <f>IFERROR(__xludf.DUMMYFUNCTION("VALUE(REGEXEXTRACT(A520,""([^.]+)$""))"),1.0)</f>
        <v>1</v>
      </c>
      <c r="G520" s="49">
        <v>10.0</v>
      </c>
      <c r="H520" s="26" t="b">
        <f>COUNTIFS(
 tblCostChecklist[RequirementID],A520,
 tblCostChecklist[PlayerPaid],TRUE
)&gt;0</f>
        <v>0</v>
      </c>
      <c r="I520" s="49">
        <f t="shared" si="1"/>
        <v>7</v>
      </c>
      <c r="J520" s="49">
        <f t="shared" si="2"/>
        <v>0</v>
      </c>
      <c r="K520" s="49">
        <f t="shared" si="3"/>
        <v>7</v>
      </c>
      <c r="L520" s="49" t="b">
        <f t="shared" si="4"/>
        <v>0</v>
      </c>
      <c r="M520" s="88">
        <f t="shared" si="5"/>
        <v>0</v>
      </c>
    </row>
    <row r="521" ht="14.25" customHeight="1">
      <c r="A521" s="49" t="s">
        <v>2130</v>
      </c>
      <c r="B521" s="49" t="str">
        <f>IFERROR(__xludf.DUMMYFUNCTION("REGEXEXTRACT(A521,""^cost\.(.*)\.[^.]+\.[^.]+$"")"),"building.train@1")</f>
        <v>building.train@1</v>
      </c>
      <c r="C521" s="49" t="str">
        <f t="array" ref="C521">_xlfn.XLOOKUP(
 B521,
 tblTargets[TargetID],
 tblTargets[DisplayName],
 ""
)</f>
        <v>Train Lv 1</v>
      </c>
      <c r="D521" s="49" t="str">
        <f t="array" ref="D521">_xlfn.XLOOKUP(
 B521,
 tblTargets[TargetID],
 tblTargets[TargetType],
 ""
)</f>
        <v>BUILDING</v>
      </c>
      <c r="E521" s="49" t="s">
        <v>1055</v>
      </c>
      <c r="F521" s="87">
        <f>IFERROR(__xludf.DUMMYFUNCTION("VALUE(REGEXEXTRACT(A521,""([^.]+)$""))"),1.0)</f>
        <v>1</v>
      </c>
      <c r="G521" s="49">
        <v>100.0</v>
      </c>
      <c r="H521" s="26" t="b">
        <f>COUNTIFS(
 tblCostChecklist[RequirementID],A521,
 tblCostChecklist[PlayerPaid],TRUE
)&gt;0</f>
        <v>0</v>
      </c>
      <c r="I521" s="49">
        <f t="shared" si="1"/>
        <v>7</v>
      </c>
      <c r="J521" s="49">
        <f t="shared" si="2"/>
        <v>0</v>
      </c>
      <c r="K521" s="49">
        <f t="shared" si="3"/>
        <v>7</v>
      </c>
      <c r="L521" s="49" t="b">
        <f t="shared" si="4"/>
        <v>0</v>
      </c>
      <c r="M521" s="88">
        <f t="shared" si="5"/>
        <v>0</v>
      </c>
    </row>
    <row r="522" ht="14.25" customHeight="1">
      <c r="A522" s="49" t="s">
        <v>2142</v>
      </c>
      <c r="B522" s="49" t="str">
        <f>IFERROR(__xludf.DUMMYFUNCTION("REGEXEXTRACT(A522,""^cost\.(.*)\.[^.]+\.[^.]+$"")"),"building.train@2")</f>
        <v>building.train@2</v>
      </c>
      <c r="C522" s="49" t="str">
        <f t="array" ref="C522">_xlfn.XLOOKUP(
 B522,
 tblTargets[TargetID],
 tblTargets[DisplayName],
 ""
)</f>
        <v>Train Lv 2</v>
      </c>
      <c r="D522" s="49" t="str">
        <f t="array" ref="D522">_xlfn.XLOOKUP(
 B522,
 tblTargets[TargetID],
 tblTargets[TargetType],
 ""
)</f>
        <v>BUILDING</v>
      </c>
      <c r="E522" s="49" t="s">
        <v>6</v>
      </c>
      <c r="F522" s="87">
        <f>IFERROR(__xludf.DUMMYFUNCTION("VALUE(REGEXEXTRACT(A522,""([^.]+)$""))"),1.0)</f>
        <v>1</v>
      </c>
      <c r="G522" s="49">
        <v>10.0</v>
      </c>
      <c r="H522" s="26" t="b">
        <f>COUNTIFS(
 tblCostChecklist[RequirementID],A522,
 tblCostChecklist[PlayerPaid],TRUE
)&gt;0</f>
        <v>0</v>
      </c>
      <c r="I522" s="49">
        <f t="shared" si="1"/>
        <v>6</v>
      </c>
      <c r="J522" s="49">
        <f t="shared" si="2"/>
        <v>0</v>
      </c>
      <c r="K522" s="49">
        <f t="shared" si="3"/>
        <v>6</v>
      </c>
      <c r="L522" s="49" t="b">
        <f t="shared" si="4"/>
        <v>0</v>
      </c>
      <c r="M522" s="88">
        <f t="shared" si="5"/>
        <v>0</v>
      </c>
    </row>
    <row r="523" ht="14.25" customHeight="1">
      <c r="A523" s="49" t="s">
        <v>2139</v>
      </c>
      <c r="B523" s="49" t="str">
        <f>IFERROR(__xludf.DUMMYFUNCTION("REGEXEXTRACT(A523,""^cost\.(.*)\.[^.]+\.[^.]+$"")"),"building.train@2")</f>
        <v>building.train@2</v>
      </c>
      <c r="C523" s="49" t="str">
        <f t="array" ref="C523">_xlfn.XLOOKUP(
 B523,
 tblTargets[TargetID],
 tblTargets[DisplayName],
 ""
)</f>
        <v>Train Lv 2</v>
      </c>
      <c r="D523" s="49" t="str">
        <f t="array" ref="D523">_xlfn.XLOOKUP(
 B523,
 tblTargets[TargetID],
 tblTargets[TargetType],
 ""
)</f>
        <v>BUILDING</v>
      </c>
      <c r="E523" s="49" t="s">
        <v>119</v>
      </c>
      <c r="F523" s="87">
        <f>IFERROR(__xludf.DUMMYFUNCTION("VALUE(REGEXEXTRACT(A523,""([^.]+)$""))"),1.0)</f>
        <v>1</v>
      </c>
      <c r="G523" s="49">
        <v>2000.0</v>
      </c>
      <c r="H523" s="26" t="b">
        <f>COUNTIFS(
 tblCostChecklist[RequirementID],A523,
 tblCostChecklist[PlayerPaid],TRUE
)&gt;0</f>
        <v>0</v>
      </c>
      <c r="I523" s="49">
        <f t="shared" si="1"/>
        <v>6</v>
      </c>
      <c r="J523" s="49">
        <f t="shared" si="2"/>
        <v>0</v>
      </c>
      <c r="K523" s="49">
        <f t="shared" si="3"/>
        <v>6</v>
      </c>
      <c r="L523" s="49" t="b">
        <f t="shared" si="4"/>
        <v>0</v>
      </c>
      <c r="M523" s="88">
        <f t="shared" si="5"/>
        <v>0</v>
      </c>
    </row>
    <row r="524" ht="14.25" customHeight="1">
      <c r="A524" s="49" t="s">
        <v>2143</v>
      </c>
      <c r="B524" s="49" t="str">
        <f>IFERROR(__xludf.DUMMYFUNCTION("REGEXEXTRACT(A524,""^cost\.(.*)\.[^.]+\.[^.]+$"")"),"building.train@2")</f>
        <v>building.train@2</v>
      </c>
      <c r="C524" s="49" t="str">
        <f t="array" ref="C524">_xlfn.XLOOKUP(
 B524,
 tblTargets[TargetID],
 tblTargets[DisplayName],
 ""
)</f>
        <v>Train Lv 2</v>
      </c>
      <c r="D524" s="49" t="str">
        <f t="array" ref="D524">_xlfn.XLOOKUP(
 B524,
 tblTargets[TargetID],
 tblTargets[TargetType],
 ""
)</f>
        <v>BUILDING</v>
      </c>
      <c r="E524" s="49" t="s">
        <v>392</v>
      </c>
      <c r="F524" s="87">
        <f>IFERROR(__xludf.DUMMYFUNCTION("VALUE(REGEXEXTRACT(A524,""([^.]+)$""))"),1.0)</f>
        <v>1</v>
      </c>
      <c r="G524" s="49">
        <v>1000.0</v>
      </c>
      <c r="H524" s="26" t="b">
        <f>COUNTIFS(
 tblCostChecklist[RequirementID],A524,
 tblCostChecklist[PlayerPaid],TRUE
)&gt;0</f>
        <v>0</v>
      </c>
      <c r="I524" s="49">
        <f t="shared" si="1"/>
        <v>6</v>
      </c>
      <c r="J524" s="49">
        <f t="shared" si="2"/>
        <v>0</v>
      </c>
      <c r="K524" s="49">
        <f t="shared" si="3"/>
        <v>6</v>
      </c>
      <c r="L524" s="49" t="b">
        <f t="shared" si="4"/>
        <v>0</v>
      </c>
      <c r="M524" s="88">
        <f t="shared" si="5"/>
        <v>0</v>
      </c>
    </row>
    <row r="525" ht="14.25" customHeight="1">
      <c r="A525" s="49" t="s">
        <v>2140</v>
      </c>
      <c r="B525" s="49" t="str">
        <f>IFERROR(__xludf.DUMMYFUNCTION("REGEXEXTRACT(A525,""^cost\.(.*)\.[^.]+\.[^.]+$"")"),"building.train@2")</f>
        <v>building.train@2</v>
      </c>
      <c r="C525" s="49" t="str">
        <f t="array" ref="C525">_xlfn.XLOOKUP(
 B525,
 tblTargets[TargetID],
 tblTargets[DisplayName],
 ""
)</f>
        <v>Train Lv 2</v>
      </c>
      <c r="D525" s="49" t="str">
        <f t="array" ref="D525">_xlfn.XLOOKUP(
 B525,
 tblTargets[TargetID],
 tblTargets[TargetType],
 ""
)</f>
        <v>BUILDING</v>
      </c>
      <c r="E525" s="49" t="s">
        <v>1078</v>
      </c>
      <c r="F525" s="87">
        <f>IFERROR(__xludf.DUMMYFUNCTION("VALUE(REGEXEXTRACT(A525,""([^.]+)$""))"),1.0)</f>
        <v>1</v>
      </c>
      <c r="G525" s="49">
        <v>40.0</v>
      </c>
      <c r="H525" s="26" t="b">
        <f>COUNTIFS(
 tblCostChecklist[RequirementID],A525,
 tblCostChecklist[PlayerPaid],TRUE
)&gt;0</f>
        <v>0</v>
      </c>
      <c r="I525" s="49">
        <f t="shared" si="1"/>
        <v>6</v>
      </c>
      <c r="J525" s="49">
        <f t="shared" si="2"/>
        <v>0</v>
      </c>
      <c r="K525" s="49">
        <f t="shared" si="3"/>
        <v>6</v>
      </c>
      <c r="L525" s="49" t="b">
        <f t="shared" si="4"/>
        <v>0</v>
      </c>
      <c r="M525" s="88">
        <f t="shared" si="5"/>
        <v>0</v>
      </c>
    </row>
    <row r="526" ht="14.25" customHeight="1">
      <c r="A526" s="49" t="s">
        <v>2141</v>
      </c>
      <c r="B526" s="49" t="str">
        <f>IFERROR(__xludf.DUMMYFUNCTION("REGEXEXTRACT(A526,""^cost\.(.*)\.[^.]+\.[^.]+$"")"),"building.train@2")</f>
        <v>building.train@2</v>
      </c>
      <c r="C526" s="49" t="str">
        <f t="array" ref="C526">_xlfn.XLOOKUP(
 B526,
 tblTargets[TargetID],
 tblTargets[DisplayName],
 ""
)</f>
        <v>Train Lv 2</v>
      </c>
      <c r="D526" s="49" t="str">
        <f t="array" ref="D526">_xlfn.XLOOKUP(
 B526,
 tblTargets[TargetID],
 tblTargets[TargetType],
 ""
)</f>
        <v>BUILDING</v>
      </c>
      <c r="E526" s="49" t="s">
        <v>1456</v>
      </c>
      <c r="F526" s="87">
        <f>IFERROR(__xludf.DUMMYFUNCTION("VALUE(REGEXEXTRACT(A526,""([^.]+)$""))"),1.0)</f>
        <v>1</v>
      </c>
      <c r="G526" s="49">
        <v>30.0</v>
      </c>
      <c r="H526" s="26" t="b">
        <f>COUNTIFS(
 tblCostChecklist[RequirementID],A526,
 tblCostChecklist[PlayerPaid],TRUE
)&gt;0</f>
        <v>0</v>
      </c>
      <c r="I526" s="49">
        <f t="shared" si="1"/>
        <v>6</v>
      </c>
      <c r="J526" s="49">
        <f t="shared" si="2"/>
        <v>0</v>
      </c>
      <c r="K526" s="49">
        <f t="shared" si="3"/>
        <v>6</v>
      </c>
      <c r="L526" s="49" t="b">
        <f t="shared" si="4"/>
        <v>0</v>
      </c>
      <c r="M526" s="88">
        <f t="shared" si="5"/>
        <v>0</v>
      </c>
    </row>
    <row r="527" ht="14.25" customHeight="1">
      <c r="A527" s="49" t="s">
        <v>2138</v>
      </c>
      <c r="B527" s="49" t="str">
        <f>IFERROR(__xludf.DUMMYFUNCTION("REGEXEXTRACT(A527,""^cost\.(.*)\.[^.]+\.[^.]+$"")"),"building.train@2")</f>
        <v>building.train@2</v>
      </c>
      <c r="C527" s="49" t="str">
        <f t="array" ref="C527">_xlfn.XLOOKUP(
 B527,
 tblTargets[TargetID],
 tblTargets[DisplayName],
 ""
)</f>
        <v>Train Lv 2</v>
      </c>
      <c r="D527" s="49" t="str">
        <f t="array" ref="D527">_xlfn.XLOOKUP(
 B527,
 tblTargets[TargetID],
 tblTargets[TargetType],
 ""
)</f>
        <v>BUILDING</v>
      </c>
      <c r="E527" s="49" t="s">
        <v>1055</v>
      </c>
      <c r="F527" s="87">
        <f>IFERROR(__xludf.DUMMYFUNCTION("VALUE(REGEXEXTRACT(A527,""([^.]+)$""))"),1.0)</f>
        <v>1</v>
      </c>
      <c r="G527" s="49">
        <v>40.0</v>
      </c>
      <c r="H527" s="26" t="b">
        <f>COUNTIFS(
 tblCostChecklist[RequirementID],A527,
 tblCostChecklist[PlayerPaid],TRUE
)&gt;0</f>
        <v>0</v>
      </c>
      <c r="I527" s="49">
        <f t="shared" si="1"/>
        <v>6</v>
      </c>
      <c r="J527" s="49">
        <f t="shared" si="2"/>
        <v>0</v>
      </c>
      <c r="K527" s="49">
        <f t="shared" si="3"/>
        <v>6</v>
      </c>
      <c r="L527" s="49" t="b">
        <f t="shared" si="4"/>
        <v>0</v>
      </c>
      <c r="M527" s="88">
        <f t="shared" si="5"/>
        <v>0</v>
      </c>
    </row>
    <row r="528" ht="14.25" customHeight="1">
      <c r="A528" s="49" t="s">
        <v>2110</v>
      </c>
      <c r="B528" s="49" t="str">
        <f>IFERROR(__xludf.DUMMYFUNCTION("REGEXEXTRACT(A528,""^cost\.(.*)\.[^.]+\.[^.]+$"")"),"building.train_freight_carriage@1")</f>
        <v>building.train_freight_carriage@1</v>
      </c>
      <c r="C528" s="49" t="str">
        <f t="array" ref="C528">_xlfn.XLOOKUP(
 B528,
 tblTargets[TargetID],
 tblTargets[DisplayName],
 ""
)</f>
        <v>Train: Freight Carriage Lv 1</v>
      </c>
      <c r="D528" s="49" t="str">
        <f t="array" ref="D528">_xlfn.XLOOKUP(
 B528,
 tblTargets[TargetID],
 tblTargets[TargetType],
 ""
)</f>
        <v>BUILDING</v>
      </c>
      <c r="E528" s="49" t="s">
        <v>6</v>
      </c>
      <c r="F528" s="87">
        <f>IFERROR(__xludf.DUMMYFUNCTION("VALUE(REGEXEXTRACT(A528,""([^.]+)$""))"),1.0)</f>
        <v>1</v>
      </c>
      <c r="G528" s="49">
        <v>2.0</v>
      </c>
      <c r="H528" s="26" t="b">
        <f>COUNTIFS(
 tblCostChecklist[RequirementID],A528,
 tblCostChecklist[PlayerPaid],TRUE
)&gt;0</f>
        <v>0</v>
      </c>
      <c r="I528" s="49">
        <f t="shared" si="1"/>
        <v>6</v>
      </c>
      <c r="J528" s="49">
        <f t="shared" si="2"/>
        <v>0</v>
      </c>
      <c r="K528" s="49">
        <f t="shared" si="3"/>
        <v>6</v>
      </c>
      <c r="L528" s="49" t="b">
        <f t="shared" si="4"/>
        <v>0</v>
      </c>
      <c r="M528" s="88">
        <f t="shared" si="5"/>
        <v>0</v>
      </c>
    </row>
    <row r="529" ht="14.25" customHeight="1">
      <c r="A529" s="49" t="s">
        <v>2107</v>
      </c>
      <c r="B529" s="49" t="str">
        <f>IFERROR(__xludf.DUMMYFUNCTION("REGEXEXTRACT(A529,""^cost\.(.*)\.[^.]+\.[^.]+$"")"),"building.train_freight_carriage@1")</f>
        <v>building.train_freight_carriage@1</v>
      </c>
      <c r="C529" s="49" t="str">
        <f t="array" ref="C529">_xlfn.XLOOKUP(
 B529,
 tblTargets[TargetID],
 tblTargets[DisplayName],
 ""
)</f>
        <v>Train: Freight Carriage Lv 1</v>
      </c>
      <c r="D529" s="49" t="str">
        <f t="array" ref="D529">_xlfn.XLOOKUP(
 B529,
 tblTargets[TargetID],
 tblTargets[TargetType],
 ""
)</f>
        <v>BUILDING</v>
      </c>
      <c r="E529" s="49" t="s">
        <v>119</v>
      </c>
      <c r="F529" s="87">
        <f>IFERROR(__xludf.DUMMYFUNCTION("VALUE(REGEXEXTRACT(A529,""([^.]+)$""))"),1.0)</f>
        <v>1</v>
      </c>
      <c r="G529" s="49">
        <v>500.0</v>
      </c>
      <c r="H529" s="26" t="b">
        <f>COUNTIFS(
 tblCostChecklist[RequirementID],A529,
 tblCostChecklist[PlayerPaid],TRUE
)&gt;0</f>
        <v>0</v>
      </c>
      <c r="I529" s="49">
        <f t="shared" si="1"/>
        <v>6</v>
      </c>
      <c r="J529" s="49">
        <f t="shared" si="2"/>
        <v>0</v>
      </c>
      <c r="K529" s="49">
        <f t="shared" si="3"/>
        <v>6</v>
      </c>
      <c r="L529" s="49" t="b">
        <f t="shared" si="4"/>
        <v>0</v>
      </c>
      <c r="M529" s="88">
        <f t="shared" si="5"/>
        <v>0</v>
      </c>
    </row>
    <row r="530" ht="14.25" customHeight="1">
      <c r="A530" s="49" t="s">
        <v>2109</v>
      </c>
      <c r="B530" s="49" t="str">
        <f>IFERROR(__xludf.DUMMYFUNCTION("REGEXEXTRACT(A530,""^cost\.(.*)\.[^.]+\.[^.]+$"")"),"building.train_freight_carriage@1")</f>
        <v>building.train_freight_carriage@1</v>
      </c>
      <c r="C530" s="49" t="str">
        <f t="array" ref="C530">_xlfn.XLOOKUP(
 B530,
 tblTargets[TargetID],
 tblTargets[DisplayName],
 ""
)</f>
        <v>Train: Freight Carriage Lv 1</v>
      </c>
      <c r="D530" s="49" t="str">
        <f t="array" ref="D530">_xlfn.XLOOKUP(
 B530,
 tblTargets[TargetID],
 tblTargets[TargetType],
 ""
)</f>
        <v>BUILDING</v>
      </c>
      <c r="E530" s="49" t="s">
        <v>187</v>
      </c>
      <c r="F530" s="87">
        <f>IFERROR(__xludf.DUMMYFUNCTION("VALUE(REGEXEXTRACT(A530,""([^.]+)$""))"),1.0)</f>
        <v>1</v>
      </c>
      <c r="G530" s="49">
        <v>500.0</v>
      </c>
      <c r="H530" s="26" t="b">
        <f>COUNTIFS(
 tblCostChecklist[RequirementID],A530,
 tblCostChecklist[PlayerPaid],TRUE
)&gt;0</f>
        <v>0</v>
      </c>
      <c r="I530" s="49">
        <f t="shared" si="1"/>
        <v>6</v>
      </c>
      <c r="J530" s="49">
        <f t="shared" si="2"/>
        <v>0</v>
      </c>
      <c r="K530" s="49">
        <f t="shared" si="3"/>
        <v>6</v>
      </c>
      <c r="L530" s="49" t="b">
        <f t="shared" si="4"/>
        <v>0</v>
      </c>
      <c r="M530" s="88">
        <f t="shared" si="5"/>
        <v>0</v>
      </c>
    </row>
    <row r="531" ht="14.25" customHeight="1">
      <c r="A531" s="49" t="s">
        <v>2111</v>
      </c>
      <c r="B531" s="49" t="str">
        <f>IFERROR(__xludf.DUMMYFUNCTION("REGEXEXTRACT(A531,""^cost\.(.*)\.[^.]+\.[^.]+$"")"),"building.train_freight_carriage@1")</f>
        <v>building.train_freight_carriage@1</v>
      </c>
      <c r="C531" s="49" t="str">
        <f t="array" ref="C531">_xlfn.XLOOKUP(
 B531,
 tblTargets[TargetID],
 tblTargets[DisplayName],
 ""
)</f>
        <v>Train: Freight Carriage Lv 1</v>
      </c>
      <c r="D531" s="49" t="str">
        <f t="array" ref="D531">_xlfn.XLOOKUP(
 B531,
 tblTargets[TargetID],
 tblTargets[TargetType],
 ""
)</f>
        <v>BUILDING</v>
      </c>
      <c r="E531" s="49" t="s">
        <v>392</v>
      </c>
      <c r="F531" s="87">
        <f>IFERROR(__xludf.DUMMYFUNCTION("VALUE(REGEXEXTRACT(A531,""([^.]+)$""))"),1.0)</f>
        <v>1</v>
      </c>
      <c r="G531" s="49">
        <v>250.0</v>
      </c>
      <c r="H531" s="26" t="b">
        <f>COUNTIFS(
 tblCostChecklist[RequirementID],A531,
 tblCostChecklist[PlayerPaid],TRUE
)&gt;0</f>
        <v>0</v>
      </c>
      <c r="I531" s="49">
        <f t="shared" si="1"/>
        <v>6</v>
      </c>
      <c r="J531" s="49">
        <f t="shared" si="2"/>
        <v>0</v>
      </c>
      <c r="K531" s="49">
        <f t="shared" si="3"/>
        <v>6</v>
      </c>
      <c r="L531" s="49" t="b">
        <f t="shared" si="4"/>
        <v>0</v>
      </c>
      <c r="M531" s="88">
        <f t="shared" si="5"/>
        <v>0</v>
      </c>
    </row>
    <row r="532" ht="14.25" customHeight="1">
      <c r="A532" s="49" t="s">
        <v>2108</v>
      </c>
      <c r="B532" s="49" t="str">
        <f>IFERROR(__xludf.DUMMYFUNCTION("REGEXEXTRACT(A532,""^cost\.(.*)\.[^.]+\.[^.]+$"")"),"building.train_freight_carriage@1")</f>
        <v>building.train_freight_carriage@1</v>
      </c>
      <c r="C532" s="49" t="str">
        <f t="array" ref="C532">_xlfn.XLOOKUP(
 B532,
 tblTargets[TargetID],
 tblTargets[DisplayName],
 ""
)</f>
        <v>Train: Freight Carriage Lv 1</v>
      </c>
      <c r="D532" s="49" t="str">
        <f t="array" ref="D532">_xlfn.XLOOKUP(
 B532,
 tblTargets[TargetID],
 tblTargets[TargetType],
 ""
)</f>
        <v>BUILDING</v>
      </c>
      <c r="E532" s="49" t="s">
        <v>1078</v>
      </c>
      <c r="F532" s="87">
        <f>IFERROR(__xludf.DUMMYFUNCTION("VALUE(REGEXEXTRACT(A532,""([^.]+)$""))"),1.0)</f>
        <v>1</v>
      </c>
      <c r="G532" s="49">
        <v>12.0</v>
      </c>
      <c r="H532" s="26" t="b">
        <f>COUNTIFS(
 tblCostChecklist[RequirementID],A532,
 tblCostChecklist[PlayerPaid],TRUE
)&gt;0</f>
        <v>0</v>
      </c>
      <c r="I532" s="49">
        <f t="shared" si="1"/>
        <v>6</v>
      </c>
      <c r="J532" s="49">
        <f t="shared" si="2"/>
        <v>0</v>
      </c>
      <c r="K532" s="49">
        <f t="shared" si="3"/>
        <v>6</v>
      </c>
      <c r="L532" s="49" t="b">
        <f t="shared" si="4"/>
        <v>0</v>
      </c>
      <c r="M532" s="88">
        <f t="shared" si="5"/>
        <v>0</v>
      </c>
    </row>
    <row r="533" ht="14.25" customHeight="1">
      <c r="A533" s="49" t="s">
        <v>2106</v>
      </c>
      <c r="B533" s="49" t="str">
        <f>IFERROR(__xludf.DUMMYFUNCTION("REGEXEXTRACT(A533,""^cost\.(.*)\.[^.]+\.[^.]+$"")"),"building.train_freight_carriage@1")</f>
        <v>building.train_freight_carriage@1</v>
      </c>
      <c r="C533" s="49" t="str">
        <f t="array" ref="C533">_xlfn.XLOOKUP(
 B533,
 tblTargets[TargetID],
 tblTargets[DisplayName],
 ""
)</f>
        <v>Train: Freight Carriage Lv 1</v>
      </c>
      <c r="D533" s="49" t="str">
        <f t="array" ref="D533">_xlfn.XLOOKUP(
 B533,
 tblTargets[TargetID],
 tblTargets[TargetType],
 ""
)</f>
        <v>BUILDING</v>
      </c>
      <c r="E533" s="49" t="s">
        <v>1055</v>
      </c>
      <c r="F533" s="87">
        <f>IFERROR(__xludf.DUMMYFUNCTION("VALUE(REGEXEXTRACT(A533,""([^.]+)$""))"),1.0)</f>
        <v>1</v>
      </c>
      <c r="G533" s="49">
        <v>15.0</v>
      </c>
      <c r="H533" s="26" t="b">
        <f>COUNTIFS(
 tblCostChecklist[RequirementID],A533,
 tblCostChecklist[PlayerPaid],TRUE
)&gt;0</f>
        <v>0</v>
      </c>
      <c r="I533" s="49">
        <f t="shared" si="1"/>
        <v>6</v>
      </c>
      <c r="J533" s="49">
        <f t="shared" si="2"/>
        <v>0</v>
      </c>
      <c r="K533" s="49">
        <f t="shared" si="3"/>
        <v>6</v>
      </c>
      <c r="L533" s="49" t="b">
        <f t="shared" si="4"/>
        <v>0</v>
      </c>
      <c r="M533" s="88">
        <f t="shared" si="5"/>
        <v>0</v>
      </c>
    </row>
    <row r="534" ht="14.25" customHeight="1">
      <c r="A534" s="49" t="s">
        <v>2115</v>
      </c>
      <c r="B534" s="49" t="str">
        <f>IFERROR(__xludf.DUMMYFUNCTION("REGEXEXTRACT(A534,""^cost\.(.*)\.[^.]+\.[^.]+$"")"),"building.train_freight_carriage@2")</f>
        <v>building.train_freight_carriage@2</v>
      </c>
      <c r="C534" s="49" t="str">
        <f t="array" ref="C534">_xlfn.XLOOKUP(
 B534,
 tblTargets[TargetID],
 tblTargets[DisplayName],
 ""
)</f>
        <v>Train: Freight Carriage Lv 2</v>
      </c>
      <c r="D534" s="49" t="str">
        <f t="array" ref="D534">_xlfn.XLOOKUP(
 B534,
 tblTargets[TargetID],
 tblTargets[TargetType],
 ""
)</f>
        <v>BUILDING</v>
      </c>
      <c r="E534" s="49" t="s">
        <v>6</v>
      </c>
      <c r="F534" s="87">
        <f>IFERROR(__xludf.DUMMYFUNCTION("VALUE(REGEXEXTRACT(A534,""([^.]+)$""))"),1.0)</f>
        <v>1</v>
      </c>
      <c r="G534" s="49">
        <v>2.0</v>
      </c>
      <c r="H534" s="26" t="b">
        <f>COUNTIFS(
 tblCostChecklist[RequirementID],A534,
 tblCostChecklist[PlayerPaid],TRUE
)&gt;0</f>
        <v>0</v>
      </c>
      <c r="I534" s="49">
        <f t="shared" si="1"/>
        <v>5</v>
      </c>
      <c r="J534" s="49">
        <f t="shared" si="2"/>
        <v>0</v>
      </c>
      <c r="K534" s="49">
        <f t="shared" si="3"/>
        <v>5</v>
      </c>
      <c r="L534" s="49" t="b">
        <f t="shared" si="4"/>
        <v>0</v>
      </c>
      <c r="M534" s="88">
        <f t="shared" si="5"/>
        <v>0</v>
      </c>
    </row>
    <row r="535" ht="14.25" customHeight="1">
      <c r="A535" s="49" t="s">
        <v>2112</v>
      </c>
      <c r="B535" s="49" t="str">
        <f>IFERROR(__xludf.DUMMYFUNCTION("REGEXEXTRACT(A535,""^cost\.(.*)\.[^.]+\.[^.]+$"")"),"building.train_freight_carriage@2")</f>
        <v>building.train_freight_carriage@2</v>
      </c>
      <c r="C535" s="49" t="str">
        <f t="array" ref="C535">_xlfn.XLOOKUP(
 B535,
 tblTargets[TargetID],
 tblTargets[DisplayName],
 ""
)</f>
        <v>Train: Freight Carriage Lv 2</v>
      </c>
      <c r="D535" s="49" t="str">
        <f t="array" ref="D535">_xlfn.XLOOKUP(
 B535,
 tblTargets[TargetID],
 tblTargets[TargetType],
 ""
)</f>
        <v>BUILDING</v>
      </c>
      <c r="E535" s="49" t="s">
        <v>119</v>
      </c>
      <c r="F535" s="87">
        <f>IFERROR(__xludf.DUMMYFUNCTION("VALUE(REGEXEXTRACT(A535,""([^.]+)$""))"),1.0)</f>
        <v>1</v>
      </c>
      <c r="G535" s="49">
        <v>500.0</v>
      </c>
      <c r="H535" s="26" t="b">
        <f>COUNTIFS(
 tblCostChecklist[RequirementID],A535,
 tblCostChecklist[PlayerPaid],TRUE
)&gt;0</f>
        <v>0</v>
      </c>
      <c r="I535" s="49">
        <f t="shared" si="1"/>
        <v>5</v>
      </c>
      <c r="J535" s="49">
        <f t="shared" si="2"/>
        <v>0</v>
      </c>
      <c r="K535" s="49">
        <f t="shared" si="3"/>
        <v>5</v>
      </c>
      <c r="L535" s="49" t="b">
        <f t="shared" si="4"/>
        <v>0</v>
      </c>
      <c r="M535" s="88">
        <f t="shared" si="5"/>
        <v>0</v>
      </c>
    </row>
    <row r="536" ht="14.25" customHeight="1">
      <c r="A536" s="49" t="s">
        <v>2114</v>
      </c>
      <c r="B536" s="49" t="str">
        <f>IFERROR(__xludf.DUMMYFUNCTION("REGEXEXTRACT(A536,""^cost\.(.*)\.[^.]+\.[^.]+$"")"),"building.train_freight_carriage@2")</f>
        <v>building.train_freight_carriage@2</v>
      </c>
      <c r="C536" s="49" t="str">
        <f t="array" ref="C536">_xlfn.XLOOKUP(
 B536,
 tblTargets[TargetID],
 tblTargets[DisplayName],
 ""
)</f>
        <v>Train: Freight Carriage Lv 2</v>
      </c>
      <c r="D536" s="49" t="str">
        <f t="array" ref="D536">_xlfn.XLOOKUP(
 B536,
 tblTargets[TargetID],
 tblTargets[TargetType],
 ""
)</f>
        <v>BUILDING</v>
      </c>
      <c r="E536" s="49" t="s">
        <v>187</v>
      </c>
      <c r="F536" s="87">
        <f>IFERROR(__xludf.DUMMYFUNCTION("VALUE(REGEXEXTRACT(A536,""([^.]+)$""))"),1.0)</f>
        <v>1</v>
      </c>
      <c r="G536" s="49">
        <v>500.0</v>
      </c>
      <c r="H536" s="26" t="b">
        <f>COUNTIFS(
 tblCostChecklist[RequirementID],A536,
 tblCostChecklist[PlayerPaid],TRUE
)&gt;0</f>
        <v>0</v>
      </c>
      <c r="I536" s="49">
        <f t="shared" si="1"/>
        <v>5</v>
      </c>
      <c r="J536" s="49">
        <f t="shared" si="2"/>
        <v>0</v>
      </c>
      <c r="K536" s="49">
        <f t="shared" si="3"/>
        <v>5</v>
      </c>
      <c r="L536" s="49" t="b">
        <f t="shared" si="4"/>
        <v>0</v>
      </c>
      <c r="M536" s="88">
        <f t="shared" si="5"/>
        <v>0</v>
      </c>
    </row>
    <row r="537" ht="14.25" customHeight="1">
      <c r="A537" s="49" t="s">
        <v>2116</v>
      </c>
      <c r="B537" s="49" t="str">
        <f>IFERROR(__xludf.DUMMYFUNCTION("REGEXEXTRACT(A537,""^cost\.(.*)\.[^.]+\.[^.]+$"")"),"building.train_freight_carriage@2")</f>
        <v>building.train_freight_carriage@2</v>
      </c>
      <c r="C537" s="49" t="str">
        <f t="array" ref="C537">_xlfn.XLOOKUP(
 B537,
 tblTargets[TargetID],
 tblTargets[DisplayName],
 ""
)</f>
        <v>Train: Freight Carriage Lv 2</v>
      </c>
      <c r="D537" s="49" t="str">
        <f t="array" ref="D537">_xlfn.XLOOKUP(
 B537,
 tblTargets[TargetID],
 tblTargets[TargetType],
 ""
)</f>
        <v>BUILDING</v>
      </c>
      <c r="E537" s="49" t="s">
        <v>392</v>
      </c>
      <c r="F537" s="87">
        <f>IFERROR(__xludf.DUMMYFUNCTION("VALUE(REGEXEXTRACT(A537,""([^.]+)$""))"),1.0)</f>
        <v>1</v>
      </c>
      <c r="G537" s="49">
        <v>250.0</v>
      </c>
      <c r="H537" s="26" t="b">
        <f>COUNTIFS(
 tblCostChecklist[RequirementID],A537,
 tblCostChecklist[PlayerPaid],TRUE
)&gt;0</f>
        <v>0</v>
      </c>
      <c r="I537" s="49">
        <f t="shared" si="1"/>
        <v>5</v>
      </c>
      <c r="J537" s="49">
        <f t="shared" si="2"/>
        <v>0</v>
      </c>
      <c r="K537" s="49">
        <f t="shared" si="3"/>
        <v>5</v>
      </c>
      <c r="L537" s="49" t="b">
        <f t="shared" si="4"/>
        <v>0</v>
      </c>
      <c r="M537" s="88">
        <f t="shared" si="5"/>
        <v>0</v>
      </c>
    </row>
    <row r="538" ht="14.25" customHeight="1">
      <c r="A538" s="49" t="s">
        <v>2113</v>
      </c>
      <c r="B538" s="49" t="str">
        <f>IFERROR(__xludf.DUMMYFUNCTION("REGEXEXTRACT(A538,""^cost\.(.*)\.[^.]+\.[^.]+$"")"),"building.train_freight_carriage@2")</f>
        <v>building.train_freight_carriage@2</v>
      </c>
      <c r="C538" s="49" t="str">
        <f t="array" ref="C538">_xlfn.XLOOKUP(
 B538,
 tblTargets[TargetID],
 tblTargets[DisplayName],
 ""
)</f>
        <v>Train: Freight Carriage Lv 2</v>
      </c>
      <c r="D538" s="49" t="str">
        <f t="array" ref="D538">_xlfn.XLOOKUP(
 B538,
 tblTargets[TargetID],
 tblTargets[TargetType],
 ""
)</f>
        <v>BUILDING</v>
      </c>
      <c r="E538" s="49" t="s">
        <v>1078</v>
      </c>
      <c r="F538" s="87">
        <f>IFERROR(__xludf.DUMMYFUNCTION("VALUE(REGEXEXTRACT(A538,""([^.]+)$""))"),1.0)</f>
        <v>1</v>
      </c>
      <c r="G538" s="49">
        <v>12.0</v>
      </c>
      <c r="H538" s="26" t="b">
        <f>COUNTIFS(
 tblCostChecklist[RequirementID],A538,
 tblCostChecklist[PlayerPaid],TRUE
)&gt;0</f>
        <v>0</v>
      </c>
      <c r="I538" s="49">
        <f t="shared" si="1"/>
        <v>5</v>
      </c>
      <c r="J538" s="49">
        <f t="shared" si="2"/>
        <v>0</v>
      </c>
      <c r="K538" s="49">
        <f t="shared" si="3"/>
        <v>5</v>
      </c>
      <c r="L538" s="49" t="b">
        <f t="shared" si="4"/>
        <v>0</v>
      </c>
      <c r="M538" s="88">
        <f t="shared" si="5"/>
        <v>0</v>
      </c>
    </row>
    <row r="539" ht="14.25" customHeight="1">
      <c r="A539" s="49" t="s">
        <v>2122</v>
      </c>
      <c r="B539" s="49" t="str">
        <f>IFERROR(__xludf.DUMMYFUNCTION("REGEXEXTRACT(A539,""^cost\.(.*)\.[^.]+\.[^.]+$"")"),"building.train_passenger_carriage@1")</f>
        <v>building.train_passenger_carriage@1</v>
      </c>
      <c r="C539" s="49" t="str">
        <f t="array" ref="C539">_xlfn.XLOOKUP(
 B539,
 tblTargets[TargetID],
 tblTargets[DisplayName],
 ""
)</f>
        <v>Train: Passenger Carriage Lv 1</v>
      </c>
      <c r="D539" s="49" t="str">
        <f t="array" ref="D539">_xlfn.XLOOKUP(
 B539,
 tblTargets[TargetID],
 tblTargets[TargetType],
 ""
)</f>
        <v>BUILDING</v>
      </c>
      <c r="E539" s="49" t="s">
        <v>6</v>
      </c>
      <c r="F539" s="87">
        <f>IFERROR(__xludf.DUMMYFUNCTION("VALUE(REGEXEXTRACT(A539,""([^.]+)$""))"),1.0)</f>
        <v>1</v>
      </c>
      <c r="G539" s="49">
        <v>2.0</v>
      </c>
      <c r="H539" s="26" t="b">
        <f>COUNTIFS(
 tblCostChecklist[RequirementID],A539,
 tblCostChecklist[PlayerPaid],TRUE
)&gt;0</f>
        <v>0</v>
      </c>
      <c r="I539" s="49">
        <f t="shared" si="1"/>
        <v>7</v>
      </c>
      <c r="J539" s="49">
        <f t="shared" si="2"/>
        <v>0</v>
      </c>
      <c r="K539" s="49">
        <f t="shared" si="3"/>
        <v>7</v>
      </c>
      <c r="L539" s="49" t="b">
        <f t="shared" si="4"/>
        <v>0</v>
      </c>
      <c r="M539" s="88">
        <f t="shared" si="5"/>
        <v>0</v>
      </c>
    </row>
    <row r="540" ht="14.25" customHeight="1">
      <c r="A540" s="49" t="s">
        <v>2118</v>
      </c>
      <c r="B540" s="49" t="str">
        <f>IFERROR(__xludf.DUMMYFUNCTION("REGEXEXTRACT(A540,""^cost\.(.*)\.[^.]+\.[^.]+$"")"),"building.train_passenger_carriage@1")</f>
        <v>building.train_passenger_carriage@1</v>
      </c>
      <c r="C540" s="49" t="str">
        <f t="array" ref="C540">_xlfn.XLOOKUP(
 B540,
 tblTargets[TargetID],
 tblTargets[DisplayName],
 ""
)</f>
        <v>Train: Passenger Carriage Lv 1</v>
      </c>
      <c r="D540" s="49" t="str">
        <f t="array" ref="D540">_xlfn.XLOOKUP(
 B540,
 tblTargets[TargetID],
 tblTargets[TargetType],
 ""
)</f>
        <v>BUILDING</v>
      </c>
      <c r="E540" s="49" t="s">
        <v>119</v>
      </c>
      <c r="F540" s="87">
        <f>IFERROR(__xludf.DUMMYFUNCTION("VALUE(REGEXEXTRACT(A540,""([^.]+)$""))"),1.0)</f>
        <v>1</v>
      </c>
      <c r="G540" s="49">
        <v>500.0</v>
      </c>
      <c r="H540" s="26" t="b">
        <f>COUNTIFS(
 tblCostChecklist[RequirementID],A540,
 tblCostChecklist[PlayerPaid],TRUE
)&gt;0</f>
        <v>0</v>
      </c>
      <c r="I540" s="49">
        <f t="shared" si="1"/>
        <v>7</v>
      </c>
      <c r="J540" s="49">
        <f t="shared" si="2"/>
        <v>0</v>
      </c>
      <c r="K540" s="49">
        <f t="shared" si="3"/>
        <v>7</v>
      </c>
      <c r="L540" s="49" t="b">
        <f t="shared" si="4"/>
        <v>0</v>
      </c>
      <c r="M540" s="88">
        <f t="shared" si="5"/>
        <v>0</v>
      </c>
    </row>
    <row r="541" ht="14.25" customHeight="1">
      <c r="A541" s="49" t="s">
        <v>2121</v>
      </c>
      <c r="B541" s="49" t="str">
        <f>IFERROR(__xludf.DUMMYFUNCTION("REGEXEXTRACT(A541,""^cost\.(.*)\.[^.]+\.[^.]+$"")"),"building.train_passenger_carriage@1")</f>
        <v>building.train_passenger_carriage@1</v>
      </c>
      <c r="C541" s="49" t="str">
        <f t="array" ref="C541">_xlfn.XLOOKUP(
 B541,
 tblTargets[TargetID],
 tblTargets[DisplayName],
 ""
)</f>
        <v>Train: Passenger Carriage Lv 1</v>
      </c>
      <c r="D541" s="49" t="str">
        <f t="array" ref="D541">_xlfn.XLOOKUP(
 B541,
 tblTargets[TargetID],
 tblTargets[TargetType],
 ""
)</f>
        <v>BUILDING</v>
      </c>
      <c r="E541" s="49" t="s">
        <v>187</v>
      </c>
      <c r="F541" s="87">
        <f>IFERROR(__xludf.DUMMYFUNCTION("VALUE(REGEXEXTRACT(A541,""([^.]+)$""))"),1.0)</f>
        <v>1</v>
      </c>
      <c r="G541" s="49">
        <v>600.0</v>
      </c>
      <c r="H541" s="26" t="b">
        <f>COUNTIFS(
 tblCostChecklist[RequirementID],A541,
 tblCostChecklist[PlayerPaid],TRUE
)&gt;0</f>
        <v>0</v>
      </c>
      <c r="I541" s="49">
        <f t="shared" si="1"/>
        <v>7</v>
      </c>
      <c r="J541" s="49">
        <f t="shared" si="2"/>
        <v>0</v>
      </c>
      <c r="K541" s="49">
        <f t="shared" si="3"/>
        <v>7</v>
      </c>
      <c r="L541" s="49" t="b">
        <f t="shared" si="4"/>
        <v>0</v>
      </c>
      <c r="M541" s="88">
        <f t="shared" si="5"/>
        <v>0</v>
      </c>
    </row>
    <row r="542" ht="14.25" customHeight="1">
      <c r="A542" s="49" t="s">
        <v>2123</v>
      </c>
      <c r="B542" s="49" t="str">
        <f>IFERROR(__xludf.DUMMYFUNCTION("REGEXEXTRACT(A542,""^cost\.(.*)\.[^.]+\.[^.]+$"")"),"building.train_passenger_carriage@1")</f>
        <v>building.train_passenger_carriage@1</v>
      </c>
      <c r="C542" s="49" t="str">
        <f t="array" ref="C542">_xlfn.XLOOKUP(
 B542,
 tblTargets[TargetID],
 tblTargets[DisplayName],
 ""
)</f>
        <v>Train: Passenger Carriage Lv 1</v>
      </c>
      <c r="D542" s="49" t="str">
        <f t="array" ref="D542">_xlfn.XLOOKUP(
 B542,
 tblTargets[TargetID],
 tblTargets[TargetType],
 ""
)</f>
        <v>BUILDING</v>
      </c>
      <c r="E542" s="49" t="s">
        <v>392</v>
      </c>
      <c r="F542" s="87">
        <f>IFERROR(__xludf.DUMMYFUNCTION("VALUE(REGEXEXTRACT(A542,""([^.]+)$""))"),1.0)</f>
        <v>1</v>
      </c>
      <c r="G542" s="49">
        <v>200.0</v>
      </c>
      <c r="H542" s="26" t="b">
        <f>COUNTIFS(
 tblCostChecklist[RequirementID],A542,
 tblCostChecklist[PlayerPaid],TRUE
)&gt;0</f>
        <v>0</v>
      </c>
      <c r="I542" s="49">
        <f t="shared" si="1"/>
        <v>7</v>
      </c>
      <c r="J542" s="49">
        <f t="shared" si="2"/>
        <v>0</v>
      </c>
      <c r="K542" s="49">
        <f t="shared" si="3"/>
        <v>7</v>
      </c>
      <c r="L542" s="49" t="b">
        <f t="shared" si="4"/>
        <v>0</v>
      </c>
      <c r="M542" s="88">
        <f t="shared" si="5"/>
        <v>0</v>
      </c>
    </row>
    <row r="543" ht="14.25" customHeight="1">
      <c r="A543" s="49" t="s">
        <v>2120</v>
      </c>
      <c r="B543" s="49" t="str">
        <f>IFERROR(__xludf.DUMMYFUNCTION("REGEXEXTRACT(A543,""^cost\.(.*)\.[^.]+\.[^.]+$"")"),"building.train_passenger_carriage@1")</f>
        <v>building.train_passenger_carriage@1</v>
      </c>
      <c r="C543" s="49" t="str">
        <f t="array" ref="C543">_xlfn.XLOOKUP(
 B543,
 tblTargets[TargetID],
 tblTargets[DisplayName],
 ""
)</f>
        <v>Train: Passenger Carriage Lv 1</v>
      </c>
      <c r="D543" s="49" t="str">
        <f t="array" ref="D543">_xlfn.XLOOKUP(
 B543,
 tblTargets[TargetID],
 tblTargets[TargetType],
 ""
)</f>
        <v>BUILDING</v>
      </c>
      <c r="E543" s="49" t="s">
        <v>1078</v>
      </c>
      <c r="F543" s="87">
        <f>IFERROR(__xludf.DUMMYFUNCTION("VALUE(REGEXEXTRACT(A543,""([^.]+)$""))"),1.0)</f>
        <v>1</v>
      </c>
      <c r="G543" s="49">
        <v>12.0</v>
      </c>
      <c r="H543" s="26" t="b">
        <f>COUNTIFS(
 tblCostChecklist[RequirementID],A543,
 tblCostChecklist[PlayerPaid],TRUE
)&gt;0</f>
        <v>0</v>
      </c>
      <c r="I543" s="49">
        <f t="shared" si="1"/>
        <v>7</v>
      </c>
      <c r="J543" s="49">
        <f t="shared" si="2"/>
        <v>0</v>
      </c>
      <c r="K543" s="49">
        <f t="shared" si="3"/>
        <v>7</v>
      </c>
      <c r="L543" s="49" t="b">
        <f t="shared" si="4"/>
        <v>0</v>
      </c>
      <c r="M543" s="88">
        <f t="shared" si="5"/>
        <v>0</v>
      </c>
    </row>
    <row r="544" ht="14.25" customHeight="1">
      <c r="A544" s="49" t="s">
        <v>2119</v>
      </c>
      <c r="B544" s="49" t="str">
        <f>IFERROR(__xludf.DUMMYFUNCTION("REGEXEXTRACT(A544,""^cost\.(.*)\.[^.]+\.[^.]+$"")"),"building.train_passenger_carriage@1")</f>
        <v>building.train_passenger_carriage@1</v>
      </c>
      <c r="C544" s="49" t="str">
        <f t="array" ref="C544">_xlfn.XLOOKUP(
 B544,
 tblTargets[TargetID],
 tblTargets[DisplayName],
 ""
)</f>
        <v>Train: Passenger Carriage Lv 1</v>
      </c>
      <c r="D544" s="49" t="str">
        <f t="array" ref="D544">_xlfn.XLOOKUP(
 B544,
 tblTargets[TargetID],
 tblTargets[TargetType],
 ""
)</f>
        <v>BUILDING</v>
      </c>
      <c r="E544" s="49" t="s">
        <v>360</v>
      </c>
      <c r="F544" s="87">
        <f>IFERROR(__xludf.DUMMYFUNCTION("VALUE(REGEXEXTRACT(A544,""([^.]+)$""))"),1.0)</f>
        <v>1</v>
      </c>
      <c r="G544" s="49">
        <v>12.0</v>
      </c>
      <c r="H544" s="26" t="b">
        <f>COUNTIFS(
 tblCostChecklist[RequirementID],A544,
 tblCostChecklist[PlayerPaid],TRUE
)&gt;0</f>
        <v>0</v>
      </c>
      <c r="I544" s="49">
        <f t="shared" si="1"/>
        <v>7</v>
      </c>
      <c r="J544" s="49">
        <f t="shared" si="2"/>
        <v>0</v>
      </c>
      <c r="K544" s="49">
        <f t="shared" si="3"/>
        <v>7</v>
      </c>
      <c r="L544" s="49" t="b">
        <f t="shared" si="4"/>
        <v>0</v>
      </c>
      <c r="M544" s="88">
        <f t="shared" si="5"/>
        <v>0</v>
      </c>
    </row>
    <row r="545" ht="14.25" customHeight="1">
      <c r="A545" s="49" t="s">
        <v>2117</v>
      </c>
      <c r="B545" s="49" t="str">
        <f>IFERROR(__xludf.DUMMYFUNCTION("REGEXEXTRACT(A545,""^cost\.(.*)\.[^.]+\.[^.]+$"")"),"building.train_passenger_carriage@1")</f>
        <v>building.train_passenger_carriage@1</v>
      </c>
      <c r="C545" s="49" t="str">
        <f t="array" ref="C545">_xlfn.XLOOKUP(
 B545,
 tblTargets[TargetID],
 tblTargets[DisplayName],
 ""
)</f>
        <v>Train: Passenger Carriage Lv 1</v>
      </c>
      <c r="D545" s="49" t="str">
        <f t="array" ref="D545">_xlfn.XLOOKUP(
 B545,
 tblTargets[TargetID],
 tblTargets[TargetType],
 ""
)</f>
        <v>BUILDING</v>
      </c>
      <c r="E545" s="49" t="s">
        <v>1055</v>
      </c>
      <c r="F545" s="87">
        <f>IFERROR(__xludf.DUMMYFUNCTION("VALUE(REGEXEXTRACT(A545,""([^.]+)$""))"),1.0)</f>
        <v>1</v>
      </c>
      <c r="G545" s="49">
        <v>15.0</v>
      </c>
      <c r="H545" s="26" t="b">
        <f>COUNTIFS(
 tblCostChecklist[RequirementID],A545,
 tblCostChecklist[PlayerPaid],TRUE
)&gt;0</f>
        <v>0</v>
      </c>
      <c r="I545" s="49">
        <f t="shared" si="1"/>
        <v>7</v>
      </c>
      <c r="J545" s="49">
        <f t="shared" si="2"/>
        <v>0</v>
      </c>
      <c r="K545" s="49">
        <f t="shared" si="3"/>
        <v>7</v>
      </c>
      <c r="L545" s="49" t="b">
        <f t="shared" si="4"/>
        <v>0</v>
      </c>
      <c r="M545" s="88">
        <f t="shared" si="5"/>
        <v>0</v>
      </c>
    </row>
    <row r="546" ht="14.25" customHeight="1">
      <c r="A546" s="49" t="s">
        <v>2128</v>
      </c>
      <c r="B546" s="49" t="str">
        <f>IFERROR(__xludf.DUMMYFUNCTION("REGEXEXTRACT(A546,""^cost\.(.*)\.[^.]+\.[^.]+$"")"),"building.train_passenger_carriage@2")</f>
        <v>building.train_passenger_carriage@2</v>
      </c>
      <c r="C546" s="49" t="str">
        <f t="array" ref="C546">_xlfn.XLOOKUP(
 B546,
 tblTargets[TargetID],
 tblTargets[DisplayName],
 ""
)</f>
        <v>Train: Passenger Carriage Lv 2</v>
      </c>
      <c r="D546" s="49" t="str">
        <f t="array" ref="D546">_xlfn.XLOOKUP(
 B546,
 tblTargets[TargetID],
 tblTargets[TargetType],
 ""
)</f>
        <v>BUILDING</v>
      </c>
      <c r="E546" s="49" t="s">
        <v>6</v>
      </c>
      <c r="F546" s="87">
        <f>IFERROR(__xludf.DUMMYFUNCTION("VALUE(REGEXEXTRACT(A546,""([^.]+)$""))"),1.0)</f>
        <v>1</v>
      </c>
      <c r="G546" s="49">
        <v>2.0</v>
      </c>
      <c r="H546" s="26" t="b">
        <f>COUNTIFS(
 tblCostChecklist[RequirementID],A546,
 tblCostChecklist[PlayerPaid],TRUE
)&gt;0</f>
        <v>0</v>
      </c>
      <c r="I546" s="49">
        <f t="shared" si="1"/>
        <v>6</v>
      </c>
      <c r="J546" s="49">
        <f t="shared" si="2"/>
        <v>0</v>
      </c>
      <c r="K546" s="49">
        <f t="shared" si="3"/>
        <v>6</v>
      </c>
      <c r="L546" s="49" t="b">
        <f t="shared" si="4"/>
        <v>0</v>
      </c>
      <c r="M546" s="88">
        <f t="shared" si="5"/>
        <v>0</v>
      </c>
    </row>
    <row r="547" ht="14.25" customHeight="1">
      <c r="A547" s="49" t="s">
        <v>2124</v>
      </c>
      <c r="B547" s="49" t="str">
        <f>IFERROR(__xludf.DUMMYFUNCTION("REGEXEXTRACT(A547,""^cost\.(.*)\.[^.]+\.[^.]+$"")"),"building.train_passenger_carriage@2")</f>
        <v>building.train_passenger_carriage@2</v>
      </c>
      <c r="C547" s="49" t="str">
        <f t="array" ref="C547">_xlfn.XLOOKUP(
 B547,
 tblTargets[TargetID],
 tblTargets[DisplayName],
 ""
)</f>
        <v>Train: Passenger Carriage Lv 2</v>
      </c>
      <c r="D547" s="49" t="str">
        <f t="array" ref="D547">_xlfn.XLOOKUP(
 B547,
 tblTargets[TargetID],
 tblTargets[TargetType],
 ""
)</f>
        <v>BUILDING</v>
      </c>
      <c r="E547" s="49" t="s">
        <v>119</v>
      </c>
      <c r="F547" s="87">
        <f>IFERROR(__xludf.DUMMYFUNCTION("VALUE(REGEXEXTRACT(A547,""([^.]+)$""))"),1.0)</f>
        <v>1</v>
      </c>
      <c r="G547" s="49">
        <v>500.0</v>
      </c>
      <c r="H547" s="26" t="b">
        <f>COUNTIFS(
 tblCostChecklist[RequirementID],A547,
 tblCostChecklist[PlayerPaid],TRUE
)&gt;0</f>
        <v>0</v>
      </c>
      <c r="I547" s="49">
        <f t="shared" si="1"/>
        <v>6</v>
      </c>
      <c r="J547" s="49">
        <f t="shared" si="2"/>
        <v>0</v>
      </c>
      <c r="K547" s="49">
        <f t="shared" si="3"/>
        <v>6</v>
      </c>
      <c r="L547" s="49" t="b">
        <f t="shared" si="4"/>
        <v>0</v>
      </c>
      <c r="M547" s="88">
        <f t="shared" si="5"/>
        <v>0</v>
      </c>
    </row>
    <row r="548" ht="14.25" customHeight="1">
      <c r="A548" s="49" t="s">
        <v>2127</v>
      </c>
      <c r="B548" s="49" t="str">
        <f>IFERROR(__xludf.DUMMYFUNCTION("REGEXEXTRACT(A548,""^cost\.(.*)\.[^.]+\.[^.]+$"")"),"building.train_passenger_carriage@2")</f>
        <v>building.train_passenger_carriage@2</v>
      </c>
      <c r="C548" s="49" t="str">
        <f t="array" ref="C548">_xlfn.XLOOKUP(
 B548,
 tblTargets[TargetID],
 tblTargets[DisplayName],
 ""
)</f>
        <v>Train: Passenger Carriage Lv 2</v>
      </c>
      <c r="D548" s="49" t="str">
        <f t="array" ref="D548">_xlfn.XLOOKUP(
 B548,
 tblTargets[TargetID],
 tblTargets[TargetType],
 ""
)</f>
        <v>BUILDING</v>
      </c>
      <c r="E548" s="49" t="s">
        <v>187</v>
      </c>
      <c r="F548" s="87">
        <f>IFERROR(__xludf.DUMMYFUNCTION("VALUE(REGEXEXTRACT(A548,""([^.]+)$""))"),1.0)</f>
        <v>1</v>
      </c>
      <c r="G548" s="49">
        <v>600.0</v>
      </c>
      <c r="H548" s="26" t="b">
        <f>COUNTIFS(
 tblCostChecklist[RequirementID],A548,
 tblCostChecklist[PlayerPaid],TRUE
)&gt;0</f>
        <v>0</v>
      </c>
      <c r="I548" s="49">
        <f t="shared" si="1"/>
        <v>6</v>
      </c>
      <c r="J548" s="49">
        <f t="shared" si="2"/>
        <v>0</v>
      </c>
      <c r="K548" s="49">
        <f t="shared" si="3"/>
        <v>6</v>
      </c>
      <c r="L548" s="49" t="b">
        <f t="shared" si="4"/>
        <v>0</v>
      </c>
      <c r="M548" s="88">
        <f t="shared" si="5"/>
        <v>0</v>
      </c>
    </row>
    <row r="549" ht="14.25" customHeight="1">
      <c r="A549" s="49" t="s">
        <v>2129</v>
      </c>
      <c r="B549" s="49" t="str">
        <f>IFERROR(__xludf.DUMMYFUNCTION("REGEXEXTRACT(A549,""^cost\.(.*)\.[^.]+\.[^.]+$"")"),"building.train_passenger_carriage@2")</f>
        <v>building.train_passenger_carriage@2</v>
      </c>
      <c r="C549" s="49" t="str">
        <f t="array" ref="C549">_xlfn.XLOOKUP(
 B549,
 tblTargets[TargetID],
 tblTargets[DisplayName],
 ""
)</f>
        <v>Train: Passenger Carriage Lv 2</v>
      </c>
      <c r="D549" s="49" t="str">
        <f t="array" ref="D549">_xlfn.XLOOKUP(
 B549,
 tblTargets[TargetID],
 tblTargets[TargetType],
 ""
)</f>
        <v>BUILDING</v>
      </c>
      <c r="E549" s="49" t="s">
        <v>392</v>
      </c>
      <c r="F549" s="87">
        <f>IFERROR(__xludf.DUMMYFUNCTION("VALUE(REGEXEXTRACT(A549,""([^.]+)$""))"),1.0)</f>
        <v>1</v>
      </c>
      <c r="G549" s="49">
        <v>200.0</v>
      </c>
      <c r="H549" s="26" t="b">
        <f>COUNTIFS(
 tblCostChecklist[RequirementID],A549,
 tblCostChecklist[PlayerPaid],TRUE
)&gt;0</f>
        <v>0</v>
      </c>
      <c r="I549" s="49">
        <f t="shared" si="1"/>
        <v>6</v>
      </c>
      <c r="J549" s="49">
        <f t="shared" si="2"/>
        <v>0</v>
      </c>
      <c r="K549" s="49">
        <f t="shared" si="3"/>
        <v>6</v>
      </c>
      <c r="L549" s="49" t="b">
        <f t="shared" si="4"/>
        <v>0</v>
      </c>
      <c r="M549" s="88">
        <f t="shared" si="5"/>
        <v>0</v>
      </c>
    </row>
    <row r="550" ht="14.25" customHeight="1">
      <c r="A550" s="49" t="s">
        <v>2126</v>
      </c>
      <c r="B550" s="49" t="str">
        <f>IFERROR(__xludf.DUMMYFUNCTION("REGEXEXTRACT(A550,""^cost\.(.*)\.[^.]+\.[^.]+$"")"),"building.train_passenger_carriage@2")</f>
        <v>building.train_passenger_carriage@2</v>
      </c>
      <c r="C550" s="49" t="str">
        <f t="array" ref="C550">_xlfn.XLOOKUP(
 B550,
 tblTargets[TargetID],
 tblTargets[DisplayName],
 ""
)</f>
        <v>Train: Passenger Carriage Lv 2</v>
      </c>
      <c r="D550" s="49" t="str">
        <f t="array" ref="D550">_xlfn.XLOOKUP(
 B550,
 tblTargets[TargetID],
 tblTargets[TargetType],
 ""
)</f>
        <v>BUILDING</v>
      </c>
      <c r="E550" s="49" t="s">
        <v>1078</v>
      </c>
      <c r="F550" s="87">
        <f>IFERROR(__xludf.DUMMYFUNCTION("VALUE(REGEXEXTRACT(A550,""([^.]+)$""))"),1.0)</f>
        <v>1</v>
      </c>
      <c r="G550" s="49">
        <v>12.0</v>
      </c>
      <c r="H550" s="26" t="b">
        <f>COUNTIFS(
 tblCostChecklist[RequirementID],A550,
 tblCostChecklist[PlayerPaid],TRUE
)&gt;0</f>
        <v>0</v>
      </c>
      <c r="I550" s="49">
        <f t="shared" si="1"/>
        <v>6</v>
      </c>
      <c r="J550" s="49">
        <f t="shared" si="2"/>
        <v>0</v>
      </c>
      <c r="K550" s="49">
        <f t="shared" si="3"/>
        <v>6</v>
      </c>
      <c r="L550" s="49" t="b">
        <f t="shared" si="4"/>
        <v>0</v>
      </c>
      <c r="M550" s="88">
        <f t="shared" si="5"/>
        <v>0</v>
      </c>
    </row>
    <row r="551" ht="14.25" customHeight="1">
      <c r="A551" s="49" t="s">
        <v>2125</v>
      </c>
      <c r="B551" s="49" t="str">
        <f>IFERROR(__xludf.DUMMYFUNCTION("REGEXEXTRACT(A551,""^cost\.(.*)\.[^.]+\.[^.]+$"")"),"building.train_passenger_carriage@2")</f>
        <v>building.train_passenger_carriage@2</v>
      </c>
      <c r="C551" s="49" t="str">
        <f t="array" ref="C551">_xlfn.XLOOKUP(
 B551,
 tblTargets[TargetID],
 tblTargets[DisplayName],
 ""
)</f>
        <v>Train: Passenger Carriage Lv 2</v>
      </c>
      <c r="D551" s="49" t="str">
        <f t="array" ref="D551">_xlfn.XLOOKUP(
 B551,
 tblTargets[TargetID],
 tblTargets[TargetType],
 ""
)</f>
        <v>BUILDING</v>
      </c>
      <c r="E551" s="49" t="s">
        <v>360</v>
      </c>
      <c r="F551" s="87">
        <f>IFERROR(__xludf.DUMMYFUNCTION("VALUE(REGEXEXTRACT(A551,""([^.]+)$""))"),1.0)</f>
        <v>1</v>
      </c>
      <c r="G551" s="49">
        <v>12.0</v>
      </c>
      <c r="H551" s="26" t="b">
        <f>COUNTIFS(
 tblCostChecklist[RequirementID],A551,
 tblCostChecklist[PlayerPaid],TRUE
)&gt;0</f>
        <v>0</v>
      </c>
      <c r="I551" s="49">
        <f t="shared" si="1"/>
        <v>6</v>
      </c>
      <c r="J551" s="49">
        <f t="shared" si="2"/>
        <v>0</v>
      </c>
      <c r="K551" s="49">
        <f t="shared" si="3"/>
        <v>6</v>
      </c>
      <c r="L551" s="49" t="b">
        <f t="shared" si="4"/>
        <v>0</v>
      </c>
      <c r="M551" s="88">
        <f t="shared" si="5"/>
        <v>0</v>
      </c>
    </row>
    <row r="552" ht="14.25" customHeight="1">
      <c r="A552" s="49" t="s">
        <v>2145</v>
      </c>
      <c r="B552" s="49" t="str">
        <f>IFERROR(__xludf.DUMMYFUNCTION("REGEXEXTRACT(A552,""^cost\.(.*)\.[^.]+\.[^.]+$"")"),"building.warehouse@1")</f>
        <v>building.warehouse@1</v>
      </c>
      <c r="C552" s="49" t="str">
        <f t="array" ref="C552">_xlfn.XLOOKUP(
 B552,
 tblTargets[TargetID],
 tblTargets[DisplayName],
 ""
)</f>
        <v>Warehouse Lv 1</v>
      </c>
      <c r="D552" s="49" t="str">
        <f t="array" ref="D552">_xlfn.XLOOKUP(
 B552,
 tblTargets[TargetID],
 tblTargets[TargetType],
 ""
)</f>
        <v>BUILDING</v>
      </c>
      <c r="E552" s="49" t="s">
        <v>6</v>
      </c>
      <c r="F552" s="87">
        <f>IFERROR(__xludf.DUMMYFUNCTION("VALUE(REGEXEXTRACT(A552,""([^.]+)$""))"),1.0)</f>
        <v>1</v>
      </c>
      <c r="G552" s="49">
        <v>1.0</v>
      </c>
      <c r="H552" s="26" t="b">
        <f>COUNTIFS(
 tblCostChecklist[RequirementID],A552,
 tblCostChecklist[PlayerPaid],TRUE
)&gt;0</f>
        <v>0</v>
      </c>
      <c r="I552" s="49">
        <f t="shared" si="1"/>
        <v>4</v>
      </c>
      <c r="J552" s="49">
        <f t="shared" si="2"/>
        <v>0</v>
      </c>
      <c r="K552" s="49">
        <f t="shared" si="3"/>
        <v>4</v>
      </c>
      <c r="L552" s="49" t="b">
        <f t="shared" si="4"/>
        <v>0</v>
      </c>
      <c r="M552" s="88">
        <f t="shared" si="5"/>
        <v>0</v>
      </c>
    </row>
    <row r="553" ht="14.25" customHeight="1">
      <c r="A553" s="49" t="s">
        <v>2144</v>
      </c>
      <c r="B553" s="49" t="str">
        <f>IFERROR(__xludf.DUMMYFUNCTION("REGEXEXTRACT(A553,""^cost\.(.*)\.[^.]+\.[^.]+$"")"),"building.warehouse@1")</f>
        <v>building.warehouse@1</v>
      </c>
      <c r="C553" s="49" t="str">
        <f t="array" ref="C553">_xlfn.XLOOKUP(
 B553,
 tblTargets[TargetID],
 tblTargets[DisplayName],
 ""
)</f>
        <v>Warehouse Lv 1</v>
      </c>
      <c r="D553" s="49" t="str">
        <f t="array" ref="D553">_xlfn.XLOOKUP(
 B553,
 tblTargets[TargetID],
 tblTargets[TargetType],
 ""
)</f>
        <v>BUILDING</v>
      </c>
      <c r="E553" s="49" t="s">
        <v>119</v>
      </c>
      <c r="F553" s="87">
        <f>IFERROR(__xludf.DUMMYFUNCTION("VALUE(REGEXEXTRACT(A553,""([^.]+)$""))"),1.0)</f>
        <v>1</v>
      </c>
      <c r="G553" s="49">
        <v>100.0</v>
      </c>
      <c r="H553" s="26" t="b">
        <f>COUNTIFS(
 tblCostChecklist[RequirementID],A553,
 tblCostChecklist[PlayerPaid],TRUE
)&gt;0</f>
        <v>0</v>
      </c>
      <c r="I553" s="49">
        <f t="shared" si="1"/>
        <v>4</v>
      </c>
      <c r="J553" s="49">
        <f t="shared" si="2"/>
        <v>0</v>
      </c>
      <c r="K553" s="49">
        <f t="shared" si="3"/>
        <v>4</v>
      </c>
      <c r="L553" s="49" t="b">
        <f t="shared" si="4"/>
        <v>0</v>
      </c>
      <c r="M553" s="88">
        <f t="shared" si="5"/>
        <v>0</v>
      </c>
    </row>
    <row r="554" ht="14.25" customHeight="1">
      <c r="A554" s="49" t="s">
        <v>2147</v>
      </c>
      <c r="B554" s="49" t="str">
        <f>IFERROR(__xludf.DUMMYFUNCTION("REGEXEXTRACT(A554,""^cost\.(.*)\.[^.]+\.[^.]+$"")"),"building.warehouse@1")</f>
        <v>building.warehouse@1</v>
      </c>
      <c r="C554" s="49" t="str">
        <f t="array" ref="C554">_xlfn.XLOOKUP(
 B554,
 tblTargets[TargetID],
 tblTargets[DisplayName],
 ""
)</f>
        <v>Warehouse Lv 1</v>
      </c>
      <c r="D554" s="49" t="str">
        <f t="array" ref="D554">_xlfn.XLOOKUP(
 B554,
 tblTargets[TargetID],
 tblTargets[TargetType],
 ""
)</f>
        <v>BUILDING</v>
      </c>
      <c r="E554" s="49" t="s">
        <v>244</v>
      </c>
      <c r="F554" s="87">
        <f>IFERROR(__xludf.DUMMYFUNCTION("VALUE(REGEXEXTRACT(A554,""([^.]+)$""))"),1.0)</f>
        <v>1</v>
      </c>
      <c r="G554" s="49">
        <v>60.0</v>
      </c>
      <c r="H554" s="26" t="b">
        <f>COUNTIFS(
 tblCostChecklist[RequirementID],A554,
 tblCostChecklist[PlayerPaid],TRUE
)&gt;0</f>
        <v>0</v>
      </c>
      <c r="I554" s="49">
        <f t="shared" si="1"/>
        <v>4</v>
      </c>
      <c r="J554" s="49">
        <f t="shared" si="2"/>
        <v>0</v>
      </c>
      <c r="K554" s="49">
        <f t="shared" si="3"/>
        <v>4</v>
      </c>
      <c r="L554" s="49" t="b">
        <f t="shared" si="4"/>
        <v>0</v>
      </c>
      <c r="M554" s="88">
        <f t="shared" si="5"/>
        <v>0</v>
      </c>
    </row>
    <row r="555" ht="14.25" customHeight="1">
      <c r="A555" s="49" t="s">
        <v>2146</v>
      </c>
      <c r="B555" s="49" t="str">
        <f>IFERROR(__xludf.DUMMYFUNCTION("REGEXEXTRACT(A555,""^cost\.(.*)\.[^.]+\.[^.]+$"")"),"building.warehouse@1")</f>
        <v>building.warehouse@1</v>
      </c>
      <c r="C555" s="49" t="str">
        <f t="array" ref="C555">_xlfn.XLOOKUP(
 B555,
 tblTargets[TargetID],
 tblTargets[DisplayName],
 ""
)</f>
        <v>Warehouse Lv 1</v>
      </c>
      <c r="D555" s="49" t="str">
        <f t="array" ref="D555">_xlfn.XLOOKUP(
 B555,
 tblTargets[TargetID],
 tblTargets[TargetType],
 ""
)</f>
        <v>BUILDING</v>
      </c>
      <c r="E555" s="49" t="s">
        <v>237</v>
      </c>
      <c r="F555" s="87">
        <f>IFERROR(__xludf.DUMMYFUNCTION("VALUE(REGEXEXTRACT(A555,""([^.]+)$""))"),1.0)</f>
        <v>1</v>
      </c>
      <c r="G555" s="49">
        <v>60.0</v>
      </c>
      <c r="H555" s="26" t="b">
        <f>COUNTIFS(
 tblCostChecklist[RequirementID],A555,
 tblCostChecklist[PlayerPaid],TRUE
)&gt;0</f>
        <v>0</v>
      </c>
      <c r="I555" s="49">
        <f t="shared" si="1"/>
        <v>4</v>
      </c>
      <c r="J555" s="49">
        <f t="shared" si="2"/>
        <v>0</v>
      </c>
      <c r="K555" s="49">
        <f t="shared" si="3"/>
        <v>4</v>
      </c>
      <c r="L555" s="49" t="b">
        <f t="shared" si="4"/>
        <v>0</v>
      </c>
      <c r="M555" s="88">
        <f t="shared" si="5"/>
        <v>0</v>
      </c>
    </row>
    <row r="556" ht="14.25" customHeight="1">
      <c r="A556" s="49" t="s">
        <v>2149</v>
      </c>
      <c r="B556" s="49" t="str">
        <f>IFERROR(__xludf.DUMMYFUNCTION("REGEXEXTRACT(A556,""^cost\.(.*)\.[^.]+\.[^.]+$"")"),"building.warehouse@2")</f>
        <v>building.warehouse@2</v>
      </c>
      <c r="C556" s="49" t="str">
        <f t="array" ref="C556">_xlfn.XLOOKUP(
 B556,
 tblTargets[TargetID],
 tblTargets[DisplayName],
 ""
)</f>
        <v>Warehouse Lv 2</v>
      </c>
      <c r="D556" s="49" t="str">
        <f t="array" ref="D556">_xlfn.XLOOKUP(
 B556,
 tblTargets[TargetID],
 tblTargets[TargetType],
 ""
)</f>
        <v>BUILDING</v>
      </c>
      <c r="E556" s="49" t="s">
        <v>6</v>
      </c>
      <c r="F556" s="87">
        <f>IFERROR(__xludf.DUMMYFUNCTION("VALUE(REGEXEXTRACT(A556,""([^.]+)$""))"),1.0)</f>
        <v>1</v>
      </c>
      <c r="G556" s="49">
        <v>2.0</v>
      </c>
      <c r="H556" s="26" t="b">
        <f>COUNTIFS(
 tblCostChecklist[RequirementID],A556,
 tblCostChecklist[PlayerPaid],TRUE
)&gt;0</f>
        <v>0</v>
      </c>
      <c r="I556" s="49">
        <f t="shared" si="1"/>
        <v>4</v>
      </c>
      <c r="J556" s="49">
        <f t="shared" si="2"/>
        <v>0</v>
      </c>
      <c r="K556" s="49">
        <f t="shared" si="3"/>
        <v>4</v>
      </c>
      <c r="L556" s="49" t="b">
        <f t="shared" si="4"/>
        <v>0</v>
      </c>
      <c r="M556" s="88">
        <f t="shared" si="5"/>
        <v>0</v>
      </c>
    </row>
    <row r="557" ht="14.25" customHeight="1">
      <c r="A557" s="49" t="s">
        <v>2148</v>
      </c>
      <c r="B557" s="49" t="str">
        <f>IFERROR(__xludf.DUMMYFUNCTION("REGEXEXTRACT(A557,""^cost\.(.*)\.[^.]+\.[^.]+$"")"),"building.warehouse@2")</f>
        <v>building.warehouse@2</v>
      </c>
      <c r="C557" s="49" t="str">
        <f t="array" ref="C557">_xlfn.XLOOKUP(
 B557,
 tblTargets[TargetID],
 tblTargets[DisplayName],
 ""
)</f>
        <v>Warehouse Lv 2</v>
      </c>
      <c r="D557" s="49" t="str">
        <f t="array" ref="D557">_xlfn.XLOOKUP(
 B557,
 tblTargets[TargetID],
 tblTargets[TargetType],
 ""
)</f>
        <v>BUILDING</v>
      </c>
      <c r="E557" s="49" t="s">
        <v>119</v>
      </c>
      <c r="F557" s="87">
        <f>IFERROR(__xludf.DUMMYFUNCTION("VALUE(REGEXEXTRACT(A557,""([^.]+)$""))"),1.0)</f>
        <v>1</v>
      </c>
      <c r="G557" s="49">
        <v>200.0</v>
      </c>
      <c r="H557" s="26" t="b">
        <f>COUNTIFS(
 tblCostChecklist[RequirementID],A557,
 tblCostChecklist[PlayerPaid],TRUE
)&gt;0</f>
        <v>0</v>
      </c>
      <c r="I557" s="49">
        <f t="shared" si="1"/>
        <v>4</v>
      </c>
      <c r="J557" s="49">
        <f t="shared" si="2"/>
        <v>0</v>
      </c>
      <c r="K557" s="49">
        <f t="shared" si="3"/>
        <v>4</v>
      </c>
      <c r="L557" s="49" t="b">
        <f t="shared" si="4"/>
        <v>0</v>
      </c>
      <c r="M557" s="88">
        <f t="shared" si="5"/>
        <v>0</v>
      </c>
    </row>
    <row r="558" ht="14.25" customHeight="1">
      <c r="A558" s="49" t="s">
        <v>2151</v>
      </c>
      <c r="B558" s="49" t="str">
        <f>IFERROR(__xludf.DUMMYFUNCTION("REGEXEXTRACT(A558,""^cost\.(.*)\.[^.]+\.[^.]+$"")"),"building.warehouse@2")</f>
        <v>building.warehouse@2</v>
      </c>
      <c r="C558" s="49" t="str">
        <f t="array" ref="C558">_xlfn.XLOOKUP(
 B558,
 tblTargets[TargetID],
 tblTargets[DisplayName],
 ""
)</f>
        <v>Warehouse Lv 2</v>
      </c>
      <c r="D558" s="49" t="str">
        <f t="array" ref="D558">_xlfn.XLOOKUP(
 B558,
 tblTargets[TargetID],
 tblTargets[TargetType],
 ""
)</f>
        <v>BUILDING</v>
      </c>
      <c r="E558" s="49" t="s">
        <v>244</v>
      </c>
      <c r="F558" s="87">
        <f>IFERROR(__xludf.DUMMYFUNCTION("VALUE(REGEXEXTRACT(A558,""([^.]+)$""))"),1.0)</f>
        <v>1</v>
      </c>
      <c r="G558" s="49">
        <v>80.0</v>
      </c>
      <c r="H558" s="26" t="b">
        <f>COUNTIFS(
 tblCostChecklist[RequirementID],A558,
 tblCostChecklist[PlayerPaid],TRUE
)&gt;0</f>
        <v>0</v>
      </c>
      <c r="I558" s="49">
        <f t="shared" si="1"/>
        <v>4</v>
      </c>
      <c r="J558" s="49">
        <f t="shared" si="2"/>
        <v>0</v>
      </c>
      <c r="K558" s="49">
        <f t="shared" si="3"/>
        <v>4</v>
      </c>
      <c r="L558" s="49" t="b">
        <f t="shared" si="4"/>
        <v>0</v>
      </c>
      <c r="M558" s="88">
        <f t="shared" si="5"/>
        <v>0</v>
      </c>
    </row>
    <row r="559" ht="14.25" customHeight="1">
      <c r="A559" s="49" t="s">
        <v>2150</v>
      </c>
      <c r="B559" s="49" t="str">
        <f>IFERROR(__xludf.DUMMYFUNCTION("REGEXEXTRACT(A559,""^cost\.(.*)\.[^.]+\.[^.]+$"")"),"building.warehouse@2")</f>
        <v>building.warehouse@2</v>
      </c>
      <c r="C559" s="49" t="str">
        <f t="array" ref="C559">_xlfn.XLOOKUP(
 B559,
 tblTargets[TargetID],
 tblTargets[DisplayName],
 ""
)</f>
        <v>Warehouse Lv 2</v>
      </c>
      <c r="D559" s="49" t="str">
        <f t="array" ref="D559">_xlfn.XLOOKUP(
 B559,
 tblTargets[TargetID],
 tblTargets[TargetType],
 ""
)</f>
        <v>BUILDING</v>
      </c>
      <c r="E559" s="49" t="s">
        <v>237</v>
      </c>
      <c r="F559" s="87">
        <f>IFERROR(__xludf.DUMMYFUNCTION("VALUE(REGEXEXTRACT(A559,""([^.]+)$""))"),1.0)</f>
        <v>1</v>
      </c>
      <c r="G559" s="49">
        <v>80.0</v>
      </c>
      <c r="H559" s="26" t="b">
        <f>COUNTIFS(
 tblCostChecklist[RequirementID],A559,
 tblCostChecklist[PlayerPaid],TRUE
)&gt;0</f>
        <v>0</v>
      </c>
      <c r="I559" s="49">
        <f t="shared" si="1"/>
        <v>4</v>
      </c>
      <c r="J559" s="49">
        <f t="shared" si="2"/>
        <v>0</v>
      </c>
      <c r="K559" s="49">
        <f t="shared" si="3"/>
        <v>4</v>
      </c>
      <c r="L559" s="49" t="b">
        <f t="shared" si="4"/>
        <v>0</v>
      </c>
      <c r="M559" s="88">
        <f t="shared" si="5"/>
        <v>0</v>
      </c>
    </row>
    <row r="560" ht="14.25" customHeight="1">
      <c r="A560" s="49" t="s">
        <v>2154</v>
      </c>
      <c r="B560" s="49" t="str">
        <f>IFERROR(__xludf.DUMMYFUNCTION("REGEXEXTRACT(A560,""^cost\.(.*)\.[^.]+\.[^.]+$"")"),"building.warehouse@3")</f>
        <v>building.warehouse@3</v>
      </c>
      <c r="C560" s="49" t="str">
        <f t="array" ref="C560">_xlfn.XLOOKUP(
 B560,
 tblTargets[TargetID],
 tblTargets[DisplayName],
 ""
)</f>
        <v>Warehouse Lv 3</v>
      </c>
      <c r="D560" s="49" t="str">
        <f t="array" ref="D560">_xlfn.XLOOKUP(
 B560,
 tblTargets[TargetID],
 tblTargets[TargetType],
 ""
)</f>
        <v>BUILDING</v>
      </c>
      <c r="E560" s="49" t="s">
        <v>6</v>
      </c>
      <c r="F560" s="87">
        <f>IFERROR(__xludf.DUMMYFUNCTION("VALUE(REGEXEXTRACT(A560,""([^.]+)$""))"),1.0)</f>
        <v>1</v>
      </c>
      <c r="G560" s="49">
        <v>3.0</v>
      </c>
      <c r="H560" s="26" t="b">
        <f>COUNTIFS(
 tblCostChecklist[RequirementID],A560,
 tblCostChecklist[PlayerPaid],TRUE
)&gt;0</f>
        <v>0</v>
      </c>
      <c r="I560" s="49">
        <f t="shared" si="1"/>
        <v>4</v>
      </c>
      <c r="J560" s="49">
        <f t="shared" si="2"/>
        <v>0</v>
      </c>
      <c r="K560" s="49">
        <f t="shared" si="3"/>
        <v>4</v>
      </c>
      <c r="L560" s="49" t="b">
        <f t="shared" si="4"/>
        <v>0</v>
      </c>
      <c r="M560" s="88">
        <f t="shared" si="5"/>
        <v>0</v>
      </c>
    </row>
    <row r="561" ht="14.25" customHeight="1">
      <c r="A561" s="49" t="s">
        <v>2153</v>
      </c>
      <c r="B561" s="49" t="str">
        <f>IFERROR(__xludf.DUMMYFUNCTION("REGEXEXTRACT(A561,""^cost\.(.*)\.[^.]+\.[^.]+$"")"),"building.warehouse@3")</f>
        <v>building.warehouse@3</v>
      </c>
      <c r="C561" s="49" t="str">
        <f t="array" ref="C561">_xlfn.XLOOKUP(
 B561,
 tblTargets[TargetID],
 tblTargets[DisplayName],
 ""
)</f>
        <v>Warehouse Lv 3</v>
      </c>
      <c r="D561" s="49" t="str">
        <f t="array" ref="D561">_xlfn.XLOOKUP(
 B561,
 tblTargets[TargetID],
 tblTargets[TargetType],
 ""
)</f>
        <v>BUILDING</v>
      </c>
      <c r="E561" s="49" t="s">
        <v>119</v>
      </c>
      <c r="F561" s="87">
        <f>IFERROR(__xludf.DUMMYFUNCTION("VALUE(REGEXEXTRACT(A561,""([^.]+)$""))"),1.0)</f>
        <v>1</v>
      </c>
      <c r="G561" s="49">
        <v>300.0</v>
      </c>
      <c r="H561" s="26" t="b">
        <f>COUNTIFS(
 tblCostChecklist[RequirementID],A561,
 tblCostChecklist[PlayerPaid],TRUE
)&gt;0</f>
        <v>0</v>
      </c>
      <c r="I561" s="49">
        <f t="shared" si="1"/>
        <v>4</v>
      </c>
      <c r="J561" s="49">
        <f t="shared" si="2"/>
        <v>0</v>
      </c>
      <c r="K561" s="49">
        <f t="shared" si="3"/>
        <v>4</v>
      </c>
      <c r="L561" s="49" t="b">
        <f t="shared" si="4"/>
        <v>0</v>
      </c>
      <c r="M561" s="88">
        <f t="shared" si="5"/>
        <v>0</v>
      </c>
    </row>
    <row r="562" ht="14.25" customHeight="1">
      <c r="A562" s="49" t="s">
        <v>2152</v>
      </c>
      <c r="B562" s="49" t="str">
        <f>IFERROR(__xludf.DUMMYFUNCTION("REGEXEXTRACT(A562,""^cost\.(.*)\.[^.]+\.[^.]+$"")"),"building.warehouse@3")</f>
        <v>building.warehouse@3</v>
      </c>
      <c r="C562" s="49" t="str">
        <f t="array" ref="C562">_xlfn.XLOOKUP(
 B562,
 tblTargets[TargetID],
 tblTargets[DisplayName],
 ""
)</f>
        <v>Warehouse Lv 3</v>
      </c>
      <c r="D562" s="49" t="str">
        <f t="array" ref="D562">_xlfn.XLOOKUP(
 B562,
 tblTargets[TargetID],
 tblTargets[TargetType],
 ""
)</f>
        <v>BUILDING</v>
      </c>
      <c r="E562" s="49" t="s">
        <v>278</v>
      </c>
      <c r="F562" s="87">
        <f>IFERROR(__xludf.DUMMYFUNCTION("VALUE(REGEXEXTRACT(A562,""([^.]+)$""))"),1.0)</f>
        <v>1</v>
      </c>
      <c r="G562" s="49">
        <v>200.0</v>
      </c>
      <c r="H562" s="26" t="b">
        <f>COUNTIFS(
 tblCostChecklist[RequirementID],A562,
 tblCostChecklist[PlayerPaid],TRUE
)&gt;0</f>
        <v>0</v>
      </c>
      <c r="I562" s="49">
        <f t="shared" si="1"/>
        <v>4</v>
      </c>
      <c r="J562" s="49">
        <f t="shared" si="2"/>
        <v>0</v>
      </c>
      <c r="K562" s="49">
        <f t="shared" si="3"/>
        <v>4</v>
      </c>
      <c r="L562" s="49" t="b">
        <f t="shared" si="4"/>
        <v>0</v>
      </c>
      <c r="M562" s="88">
        <f t="shared" si="5"/>
        <v>0</v>
      </c>
    </row>
    <row r="563" ht="14.25" customHeight="1">
      <c r="A563" s="49" t="s">
        <v>2155</v>
      </c>
      <c r="B563" s="49" t="str">
        <f>IFERROR(__xludf.DUMMYFUNCTION("REGEXEXTRACT(A563,""^cost\.(.*)\.[^.]+\.[^.]+$"")"),"building.warehouse@3")</f>
        <v>building.warehouse@3</v>
      </c>
      <c r="C563" s="49" t="str">
        <f t="array" ref="C563">_xlfn.XLOOKUP(
 B563,
 tblTargets[TargetID],
 tblTargets[DisplayName],
 ""
)</f>
        <v>Warehouse Lv 3</v>
      </c>
      <c r="D563" s="49" t="str">
        <f t="array" ref="D563">_xlfn.XLOOKUP(
 B563,
 tblTargets[TargetID],
 tblTargets[TargetType],
 ""
)</f>
        <v>BUILDING</v>
      </c>
      <c r="E563" s="49" t="s">
        <v>237</v>
      </c>
      <c r="F563" s="87">
        <f>IFERROR(__xludf.DUMMYFUNCTION("VALUE(REGEXEXTRACT(A563,""([^.]+)$""))"),1.0)</f>
        <v>1</v>
      </c>
      <c r="G563" s="49">
        <v>100.0</v>
      </c>
      <c r="H563" s="26" t="b">
        <f>COUNTIFS(
 tblCostChecklist[RequirementID],A563,
 tblCostChecklist[PlayerPaid],TRUE
)&gt;0</f>
        <v>0</v>
      </c>
      <c r="I563" s="49">
        <f t="shared" si="1"/>
        <v>4</v>
      </c>
      <c r="J563" s="49">
        <f t="shared" si="2"/>
        <v>0</v>
      </c>
      <c r="K563" s="49">
        <f t="shared" si="3"/>
        <v>4</v>
      </c>
      <c r="L563" s="49" t="b">
        <f t="shared" si="4"/>
        <v>0</v>
      </c>
      <c r="M563" s="88">
        <f t="shared" si="5"/>
        <v>0</v>
      </c>
    </row>
    <row r="564" ht="14.25" customHeight="1">
      <c r="A564" s="49" t="s">
        <v>2158</v>
      </c>
      <c r="B564" s="49" t="str">
        <f>IFERROR(__xludf.DUMMYFUNCTION("REGEXEXTRACT(A564,""^cost\.(.*)\.[^.]+\.[^.]+$"")"),"building.warehouse@4")</f>
        <v>building.warehouse@4</v>
      </c>
      <c r="C564" s="49" t="str">
        <f t="array" ref="C564">_xlfn.XLOOKUP(
 B564,
 tblTargets[TargetID],
 tblTargets[DisplayName],
 ""
)</f>
        <v>Warehouse Lv 4</v>
      </c>
      <c r="D564" s="49" t="str">
        <f t="array" ref="D564">_xlfn.XLOOKUP(
 B564,
 tblTargets[TargetID],
 tblTargets[TargetType],
 ""
)</f>
        <v>BUILDING</v>
      </c>
      <c r="E564" s="49" t="s">
        <v>6</v>
      </c>
      <c r="F564" s="87">
        <f>IFERROR(__xludf.DUMMYFUNCTION("VALUE(REGEXEXTRACT(A564,""([^.]+)$""))"),1.0)</f>
        <v>1</v>
      </c>
      <c r="G564" s="49">
        <v>4.0</v>
      </c>
      <c r="H564" s="26" t="b">
        <f>COUNTIFS(
 tblCostChecklist[RequirementID],A564,
 tblCostChecklist[PlayerPaid],TRUE
)&gt;0</f>
        <v>0</v>
      </c>
      <c r="I564" s="49">
        <f t="shared" si="1"/>
        <v>4</v>
      </c>
      <c r="J564" s="49">
        <f t="shared" si="2"/>
        <v>0</v>
      </c>
      <c r="K564" s="49">
        <f t="shared" si="3"/>
        <v>4</v>
      </c>
      <c r="L564" s="49" t="b">
        <f t="shared" si="4"/>
        <v>0</v>
      </c>
      <c r="M564" s="88">
        <f t="shared" si="5"/>
        <v>0</v>
      </c>
    </row>
    <row r="565" ht="14.25" customHeight="1">
      <c r="A565" s="49" t="s">
        <v>2157</v>
      </c>
      <c r="B565" s="49" t="str">
        <f>IFERROR(__xludf.DUMMYFUNCTION("REGEXEXTRACT(A565,""^cost\.(.*)\.[^.]+\.[^.]+$"")"),"building.warehouse@4")</f>
        <v>building.warehouse@4</v>
      </c>
      <c r="C565" s="49" t="str">
        <f t="array" ref="C565">_xlfn.XLOOKUP(
 B565,
 tblTargets[TargetID],
 tblTargets[DisplayName],
 ""
)</f>
        <v>Warehouse Lv 4</v>
      </c>
      <c r="D565" s="49" t="str">
        <f t="array" ref="D565">_xlfn.XLOOKUP(
 B565,
 tblTargets[TargetID],
 tblTargets[TargetType],
 ""
)</f>
        <v>BUILDING</v>
      </c>
      <c r="E565" s="49" t="s">
        <v>119</v>
      </c>
      <c r="F565" s="87">
        <f>IFERROR(__xludf.DUMMYFUNCTION("VALUE(REGEXEXTRACT(A565,""([^.]+)$""))"),1.0)</f>
        <v>1</v>
      </c>
      <c r="G565" s="49">
        <v>400.0</v>
      </c>
      <c r="H565" s="26" t="b">
        <f>COUNTIFS(
 tblCostChecklist[RequirementID],A565,
 tblCostChecklist[PlayerPaid],TRUE
)&gt;0</f>
        <v>0</v>
      </c>
      <c r="I565" s="49">
        <f t="shared" si="1"/>
        <v>4</v>
      </c>
      <c r="J565" s="49">
        <f t="shared" si="2"/>
        <v>0</v>
      </c>
      <c r="K565" s="49">
        <f t="shared" si="3"/>
        <v>4</v>
      </c>
      <c r="L565" s="49" t="b">
        <f t="shared" si="4"/>
        <v>0</v>
      </c>
      <c r="M565" s="88">
        <f t="shared" si="5"/>
        <v>0</v>
      </c>
    </row>
    <row r="566" ht="14.25" customHeight="1">
      <c r="A566" s="49" t="s">
        <v>2156</v>
      </c>
      <c r="B566" s="49" t="str">
        <f>IFERROR(__xludf.DUMMYFUNCTION("REGEXEXTRACT(A566,""^cost\.(.*)\.[^.]+\.[^.]+$"")"),"building.warehouse@4")</f>
        <v>building.warehouse@4</v>
      </c>
      <c r="C566" s="49" t="str">
        <f t="array" ref="C566">_xlfn.XLOOKUP(
 B566,
 tblTargets[TargetID],
 tblTargets[DisplayName],
 ""
)</f>
        <v>Warehouse Lv 4</v>
      </c>
      <c r="D566" s="49" t="str">
        <f t="array" ref="D566">_xlfn.XLOOKUP(
 B566,
 tblTargets[TargetID],
 tblTargets[TargetType],
 ""
)</f>
        <v>BUILDING</v>
      </c>
      <c r="E566" s="49" t="s">
        <v>278</v>
      </c>
      <c r="F566" s="87">
        <f>IFERROR(__xludf.DUMMYFUNCTION("VALUE(REGEXEXTRACT(A566,""([^.]+)$""))"),1.0)</f>
        <v>1</v>
      </c>
      <c r="G566" s="49">
        <v>280.0</v>
      </c>
      <c r="H566" s="26" t="b">
        <f>COUNTIFS(
 tblCostChecklist[RequirementID],A566,
 tblCostChecklist[PlayerPaid],TRUE
)&gt;0</f>
        <v>0</v>
      </c>
      <c r="I566" s="49">
        <f t="shared" si="1"/>
        <v>4</v>
      </c>
      <c r="J566" s="49">
        <f t="shared" si="2"/>
        <v>0</v>
      </c>
      <c r="K566" s="49">
        <f t="shared" si="3"/>
        <v>4</v>
      </c>
      <c r="L566" s="49" t="b">
        <f t="shared" si="4"/>
        <v>0</v>
      </c>
      <c r="M566" s="88">
        <f t="shared" si="5"/>
        <v>0</v>
      </c>
    </row>
    <row r="567" ht="14.25" customHeight="1">
      <c r="A567" s="49" t="s">
        <v>2159</v>
      </c>
      <c r="B567" s="49" t="str">
        <f>IFERROR(__xludf.DUMMYFUNCTION("REGEXEXTRACT(A567,""^cost\.(.*)\.[^.]+\.[^.]+$"")"),"building.warehouse@4")</f>
        <v>building.warehouse@4</v>
      </c>
      <c r="C567" s="49" t="str">
        <f t="array" ref="C567">_xlfn.XLOOKUP(
 B567,
 tblTargets[TargetID],
 tblTargets[DisplayName],
 ""
)</f>
        <v>Warehouse Lv 4</v>
      </c>
      <c r="D567" s="49" t="str">
        <f t="array" ref="D567">_xlfn.XLOOKUP(
 B567,
 tblTargets[TargetID],
 tblTargets[TargetType],
 ""
)</f>
        <v>BUILDING</v>
      </c>
      <c r="E567" s="49" t="s">
        <v>237</v>
      </c>
      <c r="F567" s="87">
        <f>IFERROR(__xludf.DUMMYFUNCTION("VALUE(REGEXEXTRACT(A567,""([^.]+)$""))"),1.0)</f>
        <v>1</v>
      </c>
      <c r="G567" s="49">
        <v>140.0</v>
      </c>
      <c r="H567" s="26" t="b">
        <f>COUNTIFS(
 tblCostChecklist[RequirementID],A567,
 tblCostChecklist[PlayerPaid],TRUE
)&gt;0</f>
        <v>0</v>
      </c>
      <c r="I567" s="49">
        <f t="shared" si="1"/>
        <v>4</v>
      </c>
      <c r="J567" s="49">
        <f t="shared" si="2"/>
        <v>0</v>
      </c>
      <c r="K567" s="49">
        <f t="shared" si="3"/>
        <v>4</v>
      </c>
      <c r="L567" s="49" t="b">
        <f t="shared" si="4"/>
        <v>0</v>
      </c>
      <c r="M567" s="88">
        <f t="shared" si="5"/>
        <v>0</v>
      </c>
    </row>
    <row r="568" ht="14.25" customHeight="1">
      <c r="A568" s="49" t="s">
        <v>2162</v>
      </c>
      <c r="B568" s="49" t="str">
        <f>IFERROR(__xludf.DUMMYFUNCTION("REGEXEXTRACT(A568,""^cost\.(.*)\.[^.]+\.[^.]+$"")"),"building.warehouse@5")</f>
        <v>building.warehouse@5</v>
      </c>
      <c r="C568" s="49" t="str">
        <f t="array" ref="C568">_xlfn.XLOOKUP(
 B568,
 tblTargets[TargetID],
 tblTargets[DisplayName],
 ""
)</f>
        <v>Warehouse Lv 5</v>
      </c>
      <c r="D568" s="49" t="str">
        <f t="array" ref="D568">_xlfn.XLOOKUP(
 B568,
 tblTargets[TargetID],
 tblTargets[TargetType],
 ""
)</f>
        <v>BUILDING</v>
      </c>
      <c r="E568" s="49" t="s">
        <v>6</v>
      </c>
      <c r="F568" s="87">
        <f>IFERROR(__xludf.DUMMYFUNCTION("VALUE(REGEXEXTRACT(A568,""([^.]+)$""))"),1.0)</f>
        <v>1</v>
      </c>
      <c r="G568" s="49">
        <v>5.0</v>
      </c>
      <c r="H568" s="26" t="b">
        <f>COUNTIFS(
 tblCostChecklist[RequirementID],A568,
 tblCostChecklist[PlayerPaid],TRUE
)&gt;0</f>
        <v>0</v>
      </c>
      <c r="I568" s="49">
        <f t="shared" si="1"/>
        <v>4</v>
      </c>
      <c r="J568" s="49">
        <f t="shared" si="2"/>
        <v>0</v>
      </c>
      <c r="K568" s="49">
        <f t="shared" si="3"/>
        <v>4</v>
      </c>
      <c r="L568" s="49" t="b">
        <f t="shared" si="4"/>
        <v>0</v>
      </c>
      <c r="M568" s="88">
        <f t="shared" si="5"/>
        <v>0</v>
      </c>
    </row>
    <row r="569" ht="14.25" customHeight="1">
      <c r="A569" s="49" t="s">
        <v>2161</v>
      </c>
      <c r="B569" s="49" t="str">
        <f>IFERROR(__xludf.DUMMYFUNCTION("REGEXEXTRACT(A569,""^cost\.(.*)\.[^.]+\.[^.]+$"")"),"building.warehouse@5")</f>
        <v>building.warehouse@5</v>
      </c>
      <c r="C569" s="49" t="str">
        <f t="array" ref="C569">_xlfn.XLOOKUP(
 B569,
 tblTargets[TargetID],
 tblTargets[DisplayName],
 ""
)</f>
        <v>Warehouse Lv 5</v>
      </c>
      <c r="D569" s="49" t="str">
        <f t="array" ref="D569">_xlfn.XLOOKUP(
 B569,
 tblTargets[TargetID],
 tblTargets[TargetType],
 ""
)</f>
        <v>BUILDING</v>
      </c>
      <c r="E569" s="49" t="s">
        <v>119</v>
      </c>
      <c r="F569" s="87">
        <f>IFERROR(__xludf.DUMMYFUNCTION("VALUE(REGEXEXTRACT(A569,""([^.]+)$""))"),1.0)</f>
        <v>1</v>
      </c>
      <c r="G569" s="49">
        <v>500.0</v>
      </c>
      <c r="H569" s="26" t="b">
        <f>COUNTIFS(
 tblCostChecklist[RequirementID],A569,
 tblCostChecklist[PlayerPaid],TRUE
)&gt;0</f>
        <v>0</v>
      </c>
      <c r="I569" s="49">
        <f t="shared" si="1"/>
        <v>4</v>
      </c>
      <c r="J569" s="49">
        <f t="shared" si="2"/>
        <v>0</v>
      </c>
      <c r="K569" s="49">
        <f t="shared" si="3"/>
        <v>4</v>
      </c>
      <c r="L569" s="49" t="b">
        <f t="shared" si="4"/>
        <v>0</v>
      </c>
      <c r="M569" s="88">
        <f t="shared" si="5"/>
        <v>0</v>
      </c>
    </row>
    <row r="570" ht="14.25" customHeight="1">
      <c r="A570" s="49" t="s">
        <v>2160</v>
      </c>
      <c r="B570" s="49" t="str">
        <f>IFERROR(__xludf.DUMMYFUNCTION("REGEXEXTRACT(A570,""^cost\.(.*)\.[^.]+\.[^.]+$"")"),"building.warehouse@5")</f>
        <v>building.warehouse@5</v>
      </c>
      <c r="C570" s="49" t="str">
        <f t="array" ref="C570">_xlfn.XLOOKUP(
 B570,
 tblTargets[TargetID],
 tblTargets[DisplayName],
 ""
)</f>
        <v>Warehouse Lv 5</v>
      </c>
      <c r="D570" s="49" t="str">
        <f t="array" ref="D570">_xlfn.XLOOKUP(
 B570,
 tblTargets[TargetID],
 tblTargets[TargetType],
 ""
)</f>
        <v>BUILDING</v>
      </c>
      <c r="E570" s="49" t="s">
        <v>278</v>
      </c>
      <c r="F570" s="87">
        <f>IFERROR(__xludf.DUMMYFUNCTION("VALUE(REGEXEXTRACT(A570,""([^.]+)$""))"),1.0)</f>
        <v>1</v>
      </c>
      <c r="G570" s="49">
        <v>360.0</v>
      </c>
      <c r="H570" s="26" t="b">
        <f>COUNTIFS(
 tblCostChecklist[RequirementID],A570,
 tblCostChecklist[PlayerPaid],TRUE
)&gt;0</f>
        <v>0</v>
      </c>
      <c r="I570" s="49">
        <f t="shared" si="1"/>
        <v>4</v>
      </c>
      <c r="J570" s="49">
        <f t="shared" si="2"/>
        <v>0</v>
      </c>
      <c r="K570" s="49">
        <f t="shared" si="3"/>
        <v>4</v>
      </c>
      <c r="L570" s="49" t="b">
        <f t="shared" si="4"/>
        <v>0</v>
      </c>
      <c r="M570" s="88">
        <f t="shared" si="5"/>
        <v>0</v>
      </c>
    </row>
    <row r="571" ht="14.25" customHeight="1">
      <c r="A571" s="49" t="s">
        <v>2163</v>
      </c>
      <c r="B571" s="49" t="str">
        <f>IFERROR(__xludf.DUMMYFUNCTION("REGEXEXTRACT(A571,""^cost\.(.*)\.[^.]+\.[^.]+$"")"),"building.warehouse@5")</f>
        <v>building.warehouse@5</v>
      </c>
      <c r="C571" s="49" t="str">
        <f t="array" ref="C571">_xlfn.XLOOKUP(
 B571,
 tblTargets[TargetID],
 tblTargets[DisplayName],
 ""
)</f>
        <v>Warehouse Lv 5</v>
      </c>
      <c r="D571" s="49" t="str">
        <f t="array" ref="D571">_xlfn.XLOOKUP(
 B571,
 tblTargets[TargetID],
 tblTargets[TargetType],
 ""
)</f>
        <v>BUILDING</v>
      </c>
      <c r="E571" s="49" t="s">
        <v>237</v>
      </c>
      <c r="F571" s="87">
        <f>IFERROR(__xludf.DUMMYFUNCTION("VALUE(REGEXEXTRACT(A571,""([^.]+)$""))"),1.0)</f>
        <v>1</v>
      </c>
      <c r="G571" s="49">
        <v>180.0</v>
      </c>
      <c r="H571" s="26" t="b">
        <f>COUNTIFS(
 tblCostChecklist[RequirementID],A571,
 tblCostChecklist[PlayerPaid],TRUE
)&gt;0</f>
        <v>0</v>
      </c>
      <c r="I571" s="49">
        <f t="shared" si="1"/>
        <v>4</v>
      </c>
      <c r="J571" s="49">
        <f t="shared" si="2"/>
        <v>0</v>
      </c>
      <c r="K571" s="49">
        <f t="shared" si="3"/>
        <v>4</v>
      </c>
      <c r="L571" s="49" t="b">
        <f t="shared" si="4"/>
        <v>0</v>
      </c>
      <c r="M571" s="88">
        <f t="shared" si="5"/>
        <v>0</v>
      </c>
    </row>
    <row r="572" ht="14.25" customHeight="1">
      <c r="A572" s="49" t="s">
        <v>2166</v>
      </c>
      <c r="B572" s="49" t="str">
        <f>IFERROR(__xludf.DUMMYFUNCTION("REGEXEXTRACT(A572,""^cost\.(.*)\.[^.]+\.[^.]+$"")"),"building.warehouse@6")</f>
        <v>building.warehouse@6</v>
      </c>
      <c r="C572" s="49" t="str">
        <f t="array" ref="C572">_xlfn.XLOOKUP(
 B572,
 tblTargets[TargetID],
 tblTargets[DisplayName],
 ""
)</f>
        <v>Warehouse Lv 6</v>
      </c>
      <c r="D572" s="49" t="str">
        <f t="array" ref="D572">_xlfn.XLOOKUP(
 B572,
 tblTargets[TargetID],
 tblTargets[TargetType],
 ""
)</f>
        <v>BUILDING</v>
      </c>
      <c r="E572" s="49" t="s">
        <v>6</v>
      </c>
      <c r="F572" s="87">
        <f>IFERROR(__xludf.DUMMYFUNCTION("VALUE(REGEXEXTRACT(A572,""([^.]+)$""))"),1.0)</f>
        <v>1</v>
      </c>
      <c r="G572" s="49">
        <v>6.0</v>
      </c>
      <c r="H572" s="26" t="b">
        <f>COUNTIFS(
 tblCostChecklist[RequirementID],A572,
 tblCostChecklist[PlayerPaid],TRUE
)&gt;0</f>
        <v>0</v>
      </c>
      <c r="I572" s="49">
        <f t="shared" si="1"/>
        <v>5</v>
      </c>
      <c r="J572" s="49">
        <f t="shared" si="2"/>
        <v>0</v>
      </c>
      <c r="K572" s="49">
        <f t="shared" si="3"/>
        <v>5</v>
      </c>
      <c r="L572" s="49" t="b">
        <f t="shared" si="4"/>
        <v>0</v>
      </c>
      <c r="M572" s="88">
        <f t="shared" si="5"/>
        <v>0</v>
      </c>
    </row>
    <row r="573" ht="14.25" customHeight="1">
      <c r="A573" s="49" t="s">
        <v>2165</v>
      </c>
      <c r="B573" s="49" t="str">
        <f>IFERROR(__xludf.DUMMYFUNCTION("REGEXEXTRACT(A573,""^cost\.(.*)\.[^.]+\.[^.]+$"")"),"building.warehouse@6")</f>
        <v>building.warehouse@6</v>
      </c>
      <c r="C573" s="49" t="str">
        <f t="array" ref="C573">_xlfn.XLOOKUP(
 B573,
 tblTargets[TargetID],
 tblTargets[DisplayName],
 ""
)</f>
        <v>Warehouse Lv 6</v>
      </c>
      <c r="D573" s="49" t="str">
        <f t="array" ref="D573">_xlfn.XLOOKUP(
 B573,
 tblTargets[TargetID],
 tblTargets[TargetType],
 ""
)</f>
        <v>BUILDING</v>
      </c>
      <c r="E573" s="49" t="s">
        <v>119</v>
      </c>
      <c r="F573" s="87">
        <f>IFERROR(__xludf.DUMMYFUNCTION("VALUE(REGEXEXTRACT(A573,""([^.]+)$""))"),1.0)</f>
        <v>1</v>
      </c>
      <c r="G573" s="49">
        <v>600.0</v>
      </c>
      <c r="H573" s="26" t="b">
        <f>COUNTIFS(
 tblCostChecklist[RequirementID],A573,
 tblCostChecklist[PlayerPaid],TRUE
)&gt;0</f>
        <v>0</v>
      </c>
      <c r="I573" s="49">
        <f t="shared" si="1"/>
        <v>5</v>
      </c>
      <c r="J573" s="49">
        <f t="shared" si="2"/>
        <v>0</v>
      </c>
      <c r="K573" s="49">
        <f t="shared" si="3"/>
        <v>5</v>
      </c>
      <c r="L573" s="49" t="b">
        <f t="shared" si="4"/>
        <v>0</v>
      </c>
      <c r="M573" s="88">
        <f t="shared" si="5"/>
        <v>0</v>
      </c>
    </row>
    <row r="574" ht="14.25" customHeight="1">
      <c r="A574" s="49" t="s">
        <v>2164</v>
      </c>
      <c r="B574" s="49" t="str">
        <f>IFERROR(__xludf.DUMMYFUNCTION("REGEXEXTRACT(A574,""^cost\.(.*)\.[^.]+\.[^.]+$"")"),"building.warehouse@6")</f>
        <v>building.warehouse@6</v>
      </c>
      <c r="C574" s="49" t="str">
        <f t="array" ref="C574">_xlfn.XLOOKUP(
 B574,
 tblTargets[TargetID],
 tblTargets[DisplayName],
 ""
)</f>
        <v>Warehouse Lv 6</v>
      </c>
      <c r="D574" s="49" t="str">
        <f t="array" ref="D574">_xlfn.XLOOKUP(
 B574,
 tblTargets[TargetID],
 tblTargets[TargetType],
 ""
)</f>
        <v>BUILDING</v>
      </c>
      <c r="E574" s="49" t="s">
        <v>278</v>
      </c>
      <c r="F574" s="87">
        <f>IFERROR(__xludf.DUMMYFUNCTION("VALUE(REGEXEXTRACT(A574,""([^.]+)$""))"),1.0)</f>
        <v>1</v>
      </c>
      <c r="G574" s="49">
        <v>440.0</v>
      </c>
      <c r="H574" s="26" t="b">
        <f>COUNTIFS(
 tblCostChecklist[RequirementID],A574,
 tblCostChecklist[PlayerPaid],TRUE
)&gt;0</f>
        <v>0</v>
      </c>
      <c r="I574" s="49">
        <f t="shared" si="1"/>
        <v>5</v>
      </c>
      <c r="J574" s="49">
        <f t="shared" si="2"/>
        <v>0</v>
      </c>
      <c r="K574" s="49">
        <f t="shared" si="3"/>
        <v>5</v>
      </c>
      <c r="L574" s="49" t="b">
        <f t="shared" si="4"/>
        <v>0</v>
      </c>
      <c r="M574" s="88">
        <f t="shared" si="5"/>
        <v>0</v>
      </c>
    </row>
    <row r="575" ht="14.25" customHeight="1">
      <c r="A575" s="49" t="s">
        <v>2170</v>
      </c>
      <c r="B575" s="49" t="str">
        <f>IFERROR(__xludf.DUMMYFUNCTION("REGEXEXTRACT(A575,""^cost\.(.*)\.[^.]+\.[^.]+$"")"),"building.warehouse@6")</f>
        <v>building.warehouse@6</v>
      </c>
      <c r="C575" s="49" t="str">
        <f t="array" ref="C575">_xlfn.XLOOKUP(
 B575,
 tblTargets[TargetID],
 tblTargets[DisplayName],
 ""
)</f>
        <v>Warehouse Lv 6</v>
      </c>
      <c r="D575" s="49" t="str">
        <f t="array" ref="D575">_xlfn.XLOOKUP(
 B575,
 tblTargets[TargetID],
 tblTargets[TargetType],
 ""
)</f>
        <v>BUILDING</v>
      </c>
      <c r="E575" s="49" t="s">
        <v>237</v>
      </c>
      <c r="F575" s="87">
        <f>IFERROR(__xludf.DUMMYFUNCTION("VALUE(REGEXEXTRACT(A575,""([^.]+)$""))"),1.0)</f>
        <v>1</v>
      </c>
      <c r="G575" s="49">
        <v>220.0</v>
      </c>
      <c r="H575" s="26" t="b">
        <f>COUNTIFS(
 tblCostChecklist[RequirementID],A575,
 tblCostChecklist[PlayerPaid],TRUE
)&gt;0</f>
        <v>0</v>
      </c>
      <c r="I575" s="49">
        <f t="shared" si="1"/>
        <v>5</v>
      </c>
      <c r="J575" s="49">
        <f t="shared" si="2"/>
        <v>0</v>
      </c>
      <c r="K575" s="49">
        <f t="shared" si="3"/>
        <v>5</v>
      </c>
      <c r="L575" s="49" t="b">
        <f t="shared" si="4"/>
        <v>0</v>
      </c>
      <c r="M575" s="88">
        <f t="shared" si="5"/>
        <v>0</v>
      </c>
    </row>
    <row r="576" ht="14.25" customHeight="1">
      <c r="A576" s="49" t="s">
        <v>2167</v>
      </c>
      <c r="B576" s="49" t="str">
        <f>IFERROR(__xludf.DUMMYFUNCTION("REGEXEXTRACT(A576,""^cost\.(.*)\.[^.]+\.[^.]+$"")"),"building.warehouse@6")</f>
        <v>building.warehouse@6</v>
      </c>
      <c r="C576" s="49" t="str">
        <f t="array" ref="C576">_xlfn.XLOOKUP(
 B576,
 tblTargets[TargetID],
 tblTargets[DisplayName],
 ""
)</f>
        <v>Warehouse Lv 6</v>
      </c>
      <c r="D576" s="49" t="str">
        <f t="array" ref="D576">_xlfn.XLOOKUP(
 B576,
 tblTargets[TargetID],
 tblTargets[TargetType],
 ""
)</f>
        <v>BUILDING</v>
      </c>
      <c r="E576" s="49" t="s">
        <v>392</v>
      </c>
      <c r="F576" s="87">
        <f>IFERROR(__xludf.DUMMYFUNCTION("VALUE(REGEXEXTRACT(A576,""([^.]+)$""))"),1.0)</f>
        <v>1</v>
      </c>
      <c r="G576" s="49">
        <v>20.0</v>
      </c>
      <c r="H576" s="26" t="b">
        <f>COUNTIFS(
 tblCostChecklist[RequirementID],A576,
 tblCostChecklist[PlayerPaid],TRUE
)&gt;0</f>
        <v>0</v>
      </c>
      <c r="I576" s="49">
        <f t="shared" si="1"/>
        <v>5</v>
      </c>
      <c r="J576" s="49">
        <f t="shared" si="2"/>
        <v>0</v>
      </c>
      <c r="K576" s="49">
        <f t="shared" si="3"/>
        <v>5</v>
      </c>
      <c r="L576" s="49" t="b">
        <f t="shared" si="4"/>
        <v>0</v>
      </c>
      <c r="M576" s="88">
        <f t="shared" si="5"/>
        <v>0</v>
      </c>
    </row>
    <row r="577" ht="14.25" customHeight="1">
      <c r="A577" s="49" t="s">
        <v>2173</v>
      </c>
      <c r="B577" s="49" t="str">
        <f>IFERROR(__xludf.DUMMYFUNCTION("REGEXEXTRACT(A577,""^cost\.(.*)\.[^.]+\.[^.]+$"")"),"building.warehouse@7")</f>
        <v>building.warehouse@7</v>
      </c>
      <c r="C577" s="49" t="str">
        <f t="array" ref="C577">_xlfn.XLOOKUP(
 B577,
 tblTargets[TargetID],
 tblTargets[DisplayName],
 ""
)</f>
        <v>Warehouse Lv 7</v>
      </c>
      <c r="D577" s="49" t="str">
        <f t="array" ref="D577">_xlfn.XLOOKUP(
 B577,
 tblTargets[TargetID],
 tblTargets[TargetType],
 ""
)</f>
        <v>BUILDING</v>
      </c>
      <c r="E577" s="49" t="s">
        <v>6</v>
      </c>
      <c r="F577" s="87">
        <f>IFERROR(__xludf.DUMMYFUNCTION("VALUE(REGEXEXTRACT(A577,""([^.]+)$""))"),1.0)</f>
        <v>1</v>
      </c>
      <c r="G577" s="49">
        <v>7.0</v>
      </c>
      <c r="H577" s="26" t="b">
        <f>COUNTIFS(
 tblCostChecklist[RequirementID],A577,
 tblCostChecklist[PlayerPaid],TRUE
)&gt;0</f>
        <v>0</v>
      </c>
      <c r="I577" s="49">
        <f t="shared" si="1"/>
        <v>5</v>
      </c>
      <c r="J577" s="49">
        <f t="shared" si="2"/>
        <v>0</v>
      </c>
      <c r="K577" s="49">
        <f t="shared" si="3"/>
        <v>5</v>
      </c>
      <c r="L577" s="49" t="b">
        <f t="shared" si="4"/>
        <v>0</v>
      </c>
      <c r="M577" s="88">
        <f t="shared" si="5"/>
        <v>0</v>
      </c>
    </row>
    <row r="578" ht="14.25" customHeight="1">
      <c r="A578" s="49" t="s">
        <v>2172</v>
      </c>
      <c r="B578" s="49" t="str">
        <f>IFERROR(__xludf.DUMMYFUNCTION("REGEXEXTRACT(A578,""^cost\.(.*)\.[^.]+\.[^.]+$"")"),"building.warehouse@7")</f>
        <v>building.warehouse@7</v>
      </c>
      <c r="C578" s="49" t="str">
        <f t="array" ref="C578">_xlfn.XLOOKUP(
 B578,
 tblTargets[TargetID],
 tblTargets[DisplayName],
 ""
)</f>
        <v>Warehouse Lv 7</v>
      </c>
      <c r="D578" s="49" t="str">
        <f t="array" ref="D578">_xlfn.XLOOKUP(
 B578,
 tblTargets[TargetID],
 tblTargets[TargetType],
 ""
)</f>
        <v>BUILDING</v>
      </c>
      <c r="E578" s="49" t="s">
        <v>119</v>
      </c>
      <c r="F578" s="87">
        <f>IFERROR(__xludf.DUMMYFUNCTION("VALUE(REGEXEXTRACT(A578,""([^.]+)$""))"),1.0)</f>
        <v>1</v>
      </c>
      <c r="G578" s="49">
        <v>700.0</v>
      </c>
      <c r="H578" s="26" t="b">
        <f>COUNTIFS(
 tblCostChecklist[RequirementID],A578,
 tblCostChecklist[PlayerPaid],TRUE
)&gt;0</f>
        <v>0</v>
      </c>
      <c r="I578" s="49">
        <f t="shared" si="1"/>
        <v>5</v>
      </c>
      <c r="J578" s="49">
        <f t="shared" si="2"/>
        <v>0</v>
      </c>
      <c r="K578" s="49">
        <f t="shared" si="3"/>
        <v>5</v>
      </c>
      <c r="L578" s="49" t="b">
        <f t="shared" si="4"/>
        <v>0</v>
      </c>
      <c r="M578" s="88">
        <f t="shared" si="5"/>
        <v>0</v>
      </c>
    </row>
    <row r="579" ht="14.25" customHeight="1">
      <c r="A579" s="49" t="s">
        <v>2171</v>
      </c>
      <c r="B579" s="49" t="str">
        <f>IFERROR(__xludf.DUMMYFUNCTION("REGEXEXTRACT(A579,""^cost\.(.*)\.[^.]+\.[^.]+$"")"),"building.warehouse@7")</f>
        <v>building.warehouse@7</v>
      </c>
      <c r="C579" s="49" t="str">
        <f t="array" ref="C579">_xlfn.XLOOKUP(
 B579,
 tblTargets[TargetID],
 tblTargets[DisplayName],
 ""
)</f>
        <v>Warehouse Lv 7</v>
      </c>
      <c r="D579" s="49" t="str">
        <f t="array" ref="D579">_xlfn.XLOOKUP(
 B579,
 tblTargets[TargetID],
 tblTargets[TargetType],
 ""
)</f>
        <v>BUILDING</v>
      </c>
      <c r="E579" s="49" t="s">
        <v>278</v>
      </c>
      <c r="F579" s="87">
        <f>IFERROR(__xludf.DUMMYFUNCTION("VALUE(REGEXEXTRACT(A579,""([^.]+)$""))"),1.0)</f>
        <v>1</v>
      </c>
      <c r="G579" s="49">
        <v>520.0</v>
      </c>
      <c r="H579" s="26" t="b">
        <f>COUNTIFS(
 tblCostChecklist[RequirementID],A579,
 tblCostChecklist[PlayerPaid],TRUE
)&gt;0</f>
        <v>0</v>
      </c>
      <c r="I579" s="49">
        <f t="shared" si="1"/>
        <v>5</v>
      </c>
      <c r="J579" s="49">
        <f t="shared" si="2"/>
        <v>0</v>
      </c>
      <c r="K579" s="49">
        <f t="shared" si="3"/>
        <v>5</v>
      </c>
      <c r="L579" s="49" t="b">
        <f t="shared" si="4"/>
        <v>0</v>
      </c>
      <c r="M579" s="88">
        <f t="shared" si="5"/>
        <v>0</v>
      </c>
    </row>
    <row r="580" ht="14.25" customHeight="1">
      <c r="A580" s="49" t="s">
        <v>2175</v>
      </c>
      <c r="B580" s="49" t="str">
        <f>IFERROR(__xludf.DUMMYFUNCTION("REGEXEXTRACT(A580,""^cost\.(.*)\.[^.]+\.[^.]+$"")"),"building.warehouse@7")</f>
        <v>building.warehouse@7</v>
      </c>
      <c r="C580" s="49" t="str">
        <f t="array" ref="C580">_xlfn.XLOOKUP(
 B580,
 tblTargets[TargetID],
 tblTargets[DisplayName],
 ""
)</f>
        <v>Warehouse Lv 7</v>
      </c>
      <c r="D580" s="49" t="str">
        <f t="array" ref="D580">_xlfn.XLOOKUP(
 B580,
 tblTargets[TargetID],
 tblTargets[TargetType],
 ""
)</f>
        <v>BUILDING</v>
      </c>
      <c r="E580" s="49" t="s">
        <v>237</v>
      </c>
      <c r="F580" s="87">
        <f>IFERROR(__xludf.DUMMYFUNCTION("VALUE(REGEXEXTRACT(A580,""([^.]+)$""))"),1.0)</f>
        <v>1</v>
      </c>
      <c r="G580" s="49">
        <v>260.0</v>
      </c>
      <c r="H580" s="26" t="b">
        <f>COUNTIFS(
 tblCostChecklist[RequirementID],A580,
 tblCostChecklist[PlayerPaid],TRUE
)&gt;0</f>
        <v>0</v>
      </c>
      <c r="I580" s="49">
        <f t="shared" si="1"/>
        <v>5</v>
      </c>
      <c r="J580" s="49">
        <f t="shared" si="2"/>
        <v>0</v>
      </c>
      <c r="K580" s="49">
        <f t="shared" si="3"/>
        <v>5</v>
      </c>
      <c r="L580" s="49" t="b">
        <f t="shared" si="4"/>
        <v>0</v>
      </c>
      <c r="M580" s="88">
        <f t="shared" si="5"/>
        <v>0</v>
      </c>
    </row>
    <row r="581" ht="14.25" customHeight="1">
      <c r="A581" s="49" t="s">
        <v>2174</v>
      </c>
      <c r="B581" s="49" t="str">
        <f>IFERROR(__xludf.DUMMYFUNCTION("REGEXEXTRACT(A581,""^cost\.(.*)\.[^.]+\.[^.]+$"")"),"building.warehouse@7")</f>
        <v>building.warehouse@7</v>
      </c>
      <c r="C581" s="49" t="str">
        <f t="array" ref="C581">_xlfn.XLOOKUP(
 B581,
 tblTargets[TargetID],
 tblTargets[DisplayName],
 ""
)</f>
        <v>Warehouse Lv 7</v>
      </c>
      <c r="D581" s="49" t="str">
        <f t="array" ref="D581">_xlfn.XLOOKUP(
 B581,
 tblTargets[TargetID],
 tblTargets[TargetType],
 ""
)</f>
        <v>BUILDING</v>
      </c>
      <c r="E581" s="49" t="s">
        <v>392</v>
      </c>
      <c r="F581" s="87">
        <f>IFERROR(__xludf.DUMMYFUNCTION("VALUE(REGEXEXTRACT(A581,""([^.]+)$""))"),1.0)</f>
        <v>1</v>
      </c>
      <c r="G581" s="49">
        <v>30.0</v>
      </c>
      <c r="H581" s="26" t="b">
        <f>COUNTIFS(
 tblCostChecklist[RequirementID],A581,
 tblCostChecklist[PlayerPaid],TRUE
)&gt;0</f>
        <v>0</v>
      </c>
      <c r="I581" s="49">
        <f t="shared" si="1"/>
        <v>5</v>
      </c>
      <c r="J581" s="49">
        <f t="shared" si="2"/>
        <v>0</v>
      </c>
      <c r="K581" s="49">
        <f t="shared" si="3"/>
        <v>5</v>
      </c>
      <c r="L581" s="49" t="b">
        <f t="shared" si="4"/>
        <v>0</v>
      </c>
      <c r="M581" s="88">
        <f t="shared" si="5"/>
        <v>0</v>
      </c>
    </row>
    <row r="582" ht="14.25" customHeight="1">
      <c r="A582" s="49" t="s">
        <v>2177</v>
      </c>
      <c r="B582" s="49" t="str">
        <f>IFERROR(__xludf.DUMMYFUNCTION("REGEXEXTRACT(A582,""^cost\.(.*)\.[^.]+\.[^.]+$"")"),"building.windmill@1")</f>
        <v>building.windmill@1</v>
      </c>
      <c r="C582" s="49" t="str">
        <f t="array" ref="C582">_xlfn.XLOOKUP(
 B582,
 tblTargets[TargetID],
 tblTargets[DisplayName],
 ""
)</f>
        <v>Windmill Lv 1</v>
      </c>
      <c r="D582" s="49" t="str">
        <f t="array" ref="D582">_xlfn.XLOOKUP(
 B582,
 tblTargets[TargetID],
 tblTargets[TargetType],
 ""
)</f>
        <v>BUILDING</v>
      </c>
      <c r="E582" s="49" t="s">
        <v>6</v>
      </c>
      <c r="F582" s="87">
        <f>IFERROR(__xludf.DUMMYFUNCTION("VALUE(REGEXEXTRACT(A582,""([^.]+)$""))"),1.0)</f>
        <v>1</v>
      </c>
      <c r="G582" s="49">
        <v>1.0</v>
      </c>
      <c r="H582" s="26" t="b">
        <f>COUNTIFS(
 tblCostChecklist[RequirementID],A582,
 tblCostChecklist[PlayerPaid],TRUE
)&gt;0</f>
        <v>0</v>
      </c>
      <c r="I582" s="49">
        <f t="shared" si="1"/>
        <v>5</v>
      </c>
      <c r="J582" s="49">
        <f t="shared" si="2"/>
        <v>0</v>
      </c>
      <c r="K582" s="49">
        <f t="shared" si="3"/>
        <v>5</v>
      </c>
      <c r="L582" s="49" t="b">
        <f t="shared" si="4"/>
        <v>0</v>
      </c>
      <c r="M582" s="88">
        <f t="shared" si="5"/>
        <v>0</v>
      </c>
    </row>
    <row r="583" ht="14.25" customHeight="1">
      <c r="A583" s="49" t="s">
        <v>2176</v>
      </c>
      <c r="B583" s="49" t="str">
        <f>IFERROR(__xludf.DUMMYFUNCTION("REGEXEXTRACT(A583,""^cost\.(.*)\.[^.]+\.[^.]+$"")"),"building.windmill@1")</f>
        <v>building.windmill@1</v>
      </c>
      <c r="C583" s="49" t="str">
        <f t="array" ref="C583">_xlfn.XLOOKUP(
 B583,
 tblTargets[TargetID],
 tblTargets[DisplayName],
 ""
)</f>
        <v>Windmill Lv 1</v>
      </c>
      <c r="D583" s="49" t="str">
        <f t="array" ref="D583">_xlfn.XLOOKUP(
 B583,
 tblTargets[TargetID],
 tblTargets[TargetType],
 ""
)</f>
        <v>BUILDING</v>
      </c>
      <c r="E583" s="49" t="s">
        <v>119</v>
      </c>
      <c r="F583" s="87">
        <f>IFERROR(__xludf.DUMMYFUNCTION("VALUE(REGEXEXTRACT(A583,""([^.]+)$""))"),1.0)</f>
        <v>1</v>
      </c>
      <c r="G583" s="49">
        <v>300.0</v>
      </c>
      <c r="H583" s="26" t="b">
        <f>COUNTIFS(
 tblCostChecklist[RequirementID],A583,
 tblCostChecklist[PlayerPaid],TRUE
)&gt;0</f>
        <v>0</v>
      </c>
      <c r="I583" s="49">
        <f t="shared" si="1"/>
        <v>5</v>
      </c>
      <c r="J583" s="49">
        <f t="shared" si="2"/>
        <v>0</v>
      </c>
      <c r="K583" s="49">
        <f t="shared" si="3"/>
        <v>5</v>
      </c>
      <c r="L583" s="49" t="b">
        <f t="shared" si="4"/>
        <v>0</v>
      </c>
      <c r="M583" s="88">
        <f t="shared" si="5"/>
        <v>0</v>
      </c>
    </row>
    <row r="584" ht="14.25" customHeight="1">
      <c r="A584" s="49" t="s">
        <v>2180</v>
      </c>
      <c r="B584" s="49" t="str">
        <f>IFERROR(__xludf.DUMMYFUNCTION("REGEXEXTRACT(A584,""^cost\.(.*)\.[^.]+\.[^.]+$"")"),"building.windmill@1")</f>
        <v>building.windmill@1</v>
      </c>
      <c r="C584" s="49" t="str">
        <f t="array" ref="C584">_xlfn.XLOOKUP(
 B584,
 tblTargets[TargetID],
 tblTargets[DisplayName],
 ""
)</f>
        <v>Windmill Lv 1</v>
      </c>
      <c r="D584" s="49" t="str">
        <f t="array" ref="D584">_xlfn.XLOOKUP(
 B584,
 tblTargets[TargetID],
 tblTargets[TargetType],
 ""
)</f>
        <v>BUILDING</v>
      </c>
      <c r="E584" s="49" t="s">
        <v>244</v>
      </c>
      <c r="F584" s="87">
        <f>IFERROR(__xludf.DUMMYFUNCTION("VALUE(REGEXEXTRACT(A584,""([^.]+)$""))"),1.0)</f>
        <v>1</v>
      </c>
      <c r="G584" s="49">
        <v>150.0</v>
      </c>
      <c r="H584" s="26" t="b">
        <f>COUNTIFS(
 tblCostChecklist[RequirementID],A584,
 tblCostChecklist[PlayerPaid],TRUE
)&gt;0</f>
        <v>0</v>
      </c>
      <c r="I584" s="49">
        <f t="shared" si="1"/>
        <v>5</v>
      </c>
      <c r="J584" s="49">
        <f t="shared" si="2"/>
        <v>0</v>
      </c>
      <c r="K584" s="49">
        <f t="shared" si="3"/>
        <v>5</v>
      </c>
      <c r="L584" s="49" t="b">
        <f t="shared" si="4"/>
        <v>0</v>
      </c>
      <c r="M584" s="88">
        <f t="shared" si="5"/>
        <v>0</v>
      </c>
    </row>
    <row r="585" ht="14.25" customHeight="1">
      <c r="A585" s="49" t="s">
        <v>2179</v>
      </c>
      <c r="B585" s="49" t="str">
        <f>IFERROR(__xludf.DUMMYFUNCTION("REGEXEXTRACT(A585,""^cost\.(.*)\.[^.]+\.[^.]+$"")"),"building.windmill@1")</f>
        <v>building.windmill@1</v>
      </c>
      <c r="C585" s="49" t="str">
        <f t="array" ref="C585">_xlfn.XLOOKUP(
 B585,
 tblTargets[TargetID],
 tblTargets[DisplayName],
 ""
)</f>
        <v>Windmill Lv 1</v>
      </c>
      <c r="D585" s="49" t="str">
        <f t="array" ref="D585">_xlfn.XLOOKUP(
 B585,
 tblTargets[TargetID],
 tblTargets[TargetType],
 ""
)</f>
        <v>BUILDING</v>
      </c>
      <c r="E585" s="49" t="s">
        <v>237</v>
      </c>
      <c r="F585" s="87">
        <f>IFERROR(__xludf.DUMMYFUNCTION("VALUE(REGEXEXTRACT(A585,""([^.]+)$""))"),1.0)</f>
        <v>1</v>
      </c>
      <c r="G585" s="49">
        <v>150.0</v>
      </c>
      <c r="H585" s="26" t="b">
        <f>COUNTIFS(
 tblCostChecklist[RequirementID],A585,
 tblCostChecklist[PlayerPaid],TRUE
)&gt;0</f>
        <v>0</v>
      </c>
      <c r="I585" s="49">
        <f t="shared" si="1"/>
        <v>5</v>
      </c>
      <c r="J585" s="49">
        <f t="shared" si="2"/>
        <v>0</v>
      </c>
      <c r="K585" s="49">
        <f t="shared" si="3"/>
        <v>5</v>
      </c>
      <c r="L585" s="49" t="b">
        <f t="shared" si="4"/>
        <v>0</v>
      </c>
      <c r="M585" s="88">
        <f t="shared" si="5"/>
        <v>0</v>
      </c>
    </row>
    <row r="586" ht="14.25" customHeight="1">
      <c r="A586" s="49" t="s">
        <v>2178</v>
      </c>
      <c r="B586" s="49" t="str">
        <f>IFERROR(__xludf.DUMMYFUNCTION("REGEXEXTRACT(A586,""^cost\.(.*)\.[^.]+\.[^.]+$"")"),"building.windmill@1")</f>
        <v>building.windmill@1</v>
      </c>
      <c r="C586" s="49" t="str">
        <f t="array" ref="C586">_xlfn.XLOOKUP(
 B586,
 tblTargets[TargetID],
 tblTargets[DisplayName],
 ""
)</f>
        <v>Windmill Lv 1</v>
      </c>
      <c r="D586" s="49" t="str">
        <f t="array" ref="D586">_xlfn.XLOOKUP(
 B586,
 tblTargets[TargetID],
 tblTargets[TargetType],
 ""
)</f>
        <v>BUILDING</v>
      </c>
      <c r="E586" s="49" t="s">
        <v>392</v>
      </c>
      <c r="F586" s="87">
        <f>IFERROR(__xludf.DUMMYFUNCTION("VALUE(REGEXEXTRACT(A586,""([^.]+)$""))"),1.0)</f>
        <v>1</v>
      </c>
      <c r="G586" s="49">
        <v>40.0</v>
      </c>
      <c r="H586" s="26" t="b">
        <f>COUNTIFS(
 tblCostChecklist[RequirementID],A586,
 tblCostChecklist[PlayerPaid],TRUE
)&gt;0</f>
        <v>0</v>
      </c>
      <c r="I586" s="49">
        <f t="shared" si="1"/>
        <v>5</v>
      </c>
      <c r="J586" s="49">
        <f t="shared" si="2"/>
        <v>0</v>
      </c>
      <c r="K586" s="49">
        <f t="shared" si="3"/>
        <v>5</v>
      </c>
      <c r="L586" s="49" t="b">
        <f t="shared" si="4"/>
        <v>0</v>
      </c>
      <c r="M586" s="88">
        <f t="shared" si="5"/>
        <v>0</v>
      </c>
    </row>
    <row r="587" ht="14.25" customHeight="1">
      <c r="A587" s="49" t="s">
        <v>2184</v>
      </c>
      <c r="B587" s="49" t="str">
        <f>IFERROR(__xludf.DUMMYFUNCTION("REGEXEXTRACT(A587,""^cost\.(.*)\.[^.]+\.[^.]+$"")"),"building.windmill@2")</f>
        <v>building.windmill@2</v>
      </c>
      <c r="C587" s="49" t="str">
        <f t="array" ref="C587">_xlfn.XLOOKUP(
 B587,
 tblTargets[TargetID],
 tblTargets[DisplayName],
 ""
)</f>
        <v>Windmill Lv 2</v>
      </c>
      <c r="D587" s="49" t="str">
        <f t="array" ref="D587">_xlfn.XLOOKUP(
 B587,
 tblTargets[TargetID],
 tblTargets[TargetType],
 ""
)</f>
        <v>BUILDING</v>
      </c>
      <c r="E587" s="49" t="s">
        <v>6</v>
      </c>
      <c r="F587" s="87">
        <f>IFERROR(__xludf.DUMMYFUNCTION("VALUE(REGEXEXTRACT(A587,""([^.]+)$""))"),1.0)</f>
        <v>1</v>
      </c>
      <c r="G587" s="49">
        <v>3.0</v>
      </c>
      <c r="H587" s="26" t="b">
        <f>COUNTIFS(
 tblCostChecklist[RequirementID],A587,
 tblCostChecklist[PlayerPaid],TRUE
)&gt;0</f>
        <v>0</v>
      </c>
      <c r="I587" s="49">
        <f t="shared" si="1"/>
        <v>5</v>
      </c>
      <c r="J587" s="49">
        <f t="shared" si="2"/>
        <v>0</v>
      </c>
      <c r="K587" s="49">
        <f t="shared" si="3"/>
        <v>5</v>
      </c>
      <c r="L587" s="49" t="b">
        <f t="shared" si="4"/>
        <v>0</v>
      </c>
      <c r="M587" s="88">
        <f t="shared" si="5"/>
        <v>0</v>
      </c>
    </row>
    <row r="588" ht="14.25" customHeight="1">
      <c r="A588" s="49" t="s">
        <v>2182</v>
      </c>
      <c r="B588" s="49" t="str">
        <f>IFERROR(__xludf.DUMMYFUNCTION("REGEXEXTRACT(A588,""^cost\.(.*)\.[^.]+\.[^.]+$"")"),"building.windmill@2")</f>
        <v>building.windmill@2</v>
      </c>
      <c r="C588" s="49" t="str">
        <f t="array" ref="C588">_xlfn.XLOOKUP(
 B588,
 tblTargets[TargetID],
 tblTargets[DisplayName],
 ""
)</f>
        <v>Windmill Lv 2</v>
      </c>
      <c r="D588" s="49" t="str">
        <f t="array" ref="D588">_xlfn.XLOOKUP(
 B588,
 tblTargets[TargetID],
 tblTargets[TargetType],
 ""
)</f>
        <v>BUILDING</v>
      </c>
      <c r="E588" s="49" t="s">
        <v>119</v>
      </c>
      <c r="F588" s="87">
        <f>IFERROR(__xludf.DUMMYFUNCTION("VALUE(REGEXEXTRACT(A588,""([^.]+)$""))"),1.0)</f>
        <v>1</v>
      </c>
      <c r="G588" s="49">
        <v>500.0</v>
      </c>
      <c r="H588" s="26" t="b">
        <f>COUNTIFS(
 tblCostChecklist[RequirementID],A588,
 tblCostChecklist[PlayerPaid],TRUE
)&gt;0</f>
        <v>0</v>
      </c>
      <c r="I588" s="49">
        <f t="shared" si="1"/>
        <v>5</v>
      </c>
      <c r="J588" s="49">
        <f t="shared" si="2"/>
        <v>0</v>
      </c>
      <c r="K588" s="49">
        <f t="shared" si="3"/>
        <v>5</v>
      </c>
      <c r="L588" s="49" t="b">
        <f t="shared" si="4"/>
        <v>0</v>
      </c>
      <c r="M588" s="88">
        <f t="shared" si="5"/>
        <v>0</v>
      </c>
    </row>
    <row r="589" ht="14.25" customHeight="1">
      <c r="A589" s="49" t="s">
        <v>2181</v>
      </c>
      <c r="B589" s="49" t="str">
        <f>IFERROR(__xludf.DUMMYFUNCTION("REGEXEXTRACT(A589,""^cost\.(.*)\.[^.]+\.[^.]+$"")"),"building.windmill@2")</f>
        <v>building.windmill@2</v>
      </c>
      <c r="C589" s="49" t="str">
        <f t="array" ref="C589">_xlfn.XLOOKUP(
 B589,
 tblTargets[TargetID],
 tblTargets[DisplayName],
 ""
)</f>
        <v>Windmill Lv 2</v>
      </c>
      <c r="D589" s="49" t="str">
        <f t="array" ref="D589">_xlfn.XLOOKUP(
 B589,
 tblTargets[TargetID],
 tblTargets[TargetType],
 ""
)</f>
        <v>BUILDING</v>
      </c>
      <c r="E589" s="49" t="s">
        <v>278</v>
      </c>
      <c r="F589" s="87">
        <f>IFERROR(__xludf.DUMMYFUNCTION("VALUE(REGEXEXTRACT(A589,""([^.]+)$""))"),1.0)</f>
        <v>1</v>
      </c>
      <c r="G589" s="49">
        <v>400.0</v>
      </c>
      <c r="H589" s="26" t="b">
        <f>COUNTIFS(
 tblCostChecklist[RequirementID],A589,
 tblCostChecklist[PlayerPaid],TRUE
)&gt;0</f>
        <v>0</v>
      </c>
      <c r="I589" s="49">
        <f t="shared" si="1"/>
        <v>5</v>
      </c>
      <c r="J589" s="49">
        <f t="shared" si="2"/>
        <v>0</v>
      </c>
      <c r="K589" s="49">
        <f t="shared" si="3"/>
        <v>5</v>
      </c>
      <c r="L589" s="49" t="b">
        <f t="shared" si="4"/>
        <v>0</v>
      </c>
      <c r="M589" s="88">
        <f t="shared" si="5"/>
        <v>0</v>
      </c>
    </row>
    <row r="590" ht="14.25" customHeight="1">
      <c r="A590" s="49" t="s">
        <v>2185</v>
      </c>
      <c r="B590" s="49" t="str">
        <f>IFERROR(__xludf.DUMMYFUNCTION("REGEXEXTRACT(A590,""^cost\.(.*)\.[^.]+\.[^.]+$"")"),"building.windmill@2")</f>
        <v>building.windmill@2</v>
      </c>
      <c r="C590" s="49" t="str">
        <f t="array" ref="C590">_xlfn.XLOOKUP(
 B590,
 tblTargets[TargetID],
 tblTargets[DisplayName],
 ""
)</f>
        <v>Windmill Lv 2</v>
      </c>
      <c r="D590" s="49" t="str">
        <f t="array" ref="D590">_xlfn.XLOOKUP(
 B590,
 tblTargets[TargetID],
 tblTargets[TargetType],
 ""
)</f>
        <v>BUILDING</v>
      </c>
      <c r="E590" s="49" t="s">
        <v>237</v>
      </c>
      <c r="F590" s="87">
        <f>IFERROR(__xludf.DUMMYFUNCTION("VALUE(REGEXEXTRACT(A590,""([^.]+)$""))"),1.0)</f>
        <v>1</v>
      </c>
      <c r="G590" s="49">
        <v>200.0</v>
      </c>
      <c r="H590" s="26" t="b">
        <f>COUNTIFS(
 tblCostChecklist[RequirementID],A590,
 tblCostChecklist[PlayerPaid],TRUE
)&gt;0</f>
        <v>0</v>
      </c>
      <c r="I590" s="49">
        <f t="shared" si="1"/>
        <v>5</v>
      </c>
      <c r="J590" s="49">
        <f t="shared" si="2"/>
        <v>0</v>
      </c>
      <c r="K590" s="49">
        <f t="shared" si="3"/>
        <v>5</v>
      </c>
      <c r="L590" s="49" t="b">
        <f t="shared" si="4"/>
        <v>0</v>
      </c>
      <c r="M590" s="88">
        <f t="shared" si="5"/>
        <v>0</v>
      </c>
    </row>
    <row r="591" ht="14.25" customHeight="1">
      <c r="A591" s="49" t="s">
        <v>2183</v>
      </c>
      <c r="B591" s="49" t="str">
        <f>IFERROR(__xludf.DUMMYFUNCTION("REGEXEXTRACT(A591,""^cost\.(.*)\.[^.]+\.[^.]+$"")"),"building.windmill@2")</f>
        <v>building.windmill@2</v>
      </c>
      <c r="C591" s="49" t="str">
        <f t="array" ref="C591">_xlfn.XLOOKUP(
 B591,
 tblTargets[TargetID],
 tblTargets[DisplayName],
 ""
)</f>
        <v>Windmill Lv 2</v>
      </c>
      <c r="D591" s="49" t="str">
        <f t="array" ref="D591">_xlfn.XLOOKUP(
 B591,
 tblTargets[TargetID],
 tblTargets[TargetType],
 ""
)</f>
        <v>BUILDING</v>
      </c>
      <c r="E591" s="49" t="s">
        <v>126</v>
      </c>
      <c r="F591" s="87">
        <f>IFERROR(__xludf.DUMMYFUNCTION("VALUE(REGEXEXTRACT(A591,""([^.]+)$""))"),1.0)</f>
        <v>1</v>
      </c>
      <c r="G591" s="49">
        <v>30.0</v>
      </c>
      <c r="H591" s="26" t="b">
        <f>COUNTIFS(
 tblCostChecklist[RequirementID],A591,
 tblCostChecklist[PlayerPaid],TRUE
)&gt;0</f>
        <v>0</v>
      </c>
      <c r="I591" s="49">
        <f t="shared" si="1"/>
        <v>5</v>
      </c>
      <c r="J591" s="49">
        <f t="shared" si="2"/>
        <v>0</v>
      </c>
      <c r="K591" s="49">
        <f t="shared" si="3"/>
        <v>5</v>
      </c>
      <c r="L591" s="49" t="b">
        <f t="shared" si="4"/>
        <v>0</v>
      </c>
      <c r="M591" s="88">
        <f t="shared" si="5"/>
        <v>0</v>
      </c>
    </row>
    <row r="592" ht="14.25" customHeight="1">
      <c r="A592" s="49" t="s">
        <v>2187</v>
      </c>
      <c r="B592" s="49" t="str">
        <f>IFERROR(__xludf.DUMMYFUNCTION("REGEXEXTRACT(A592,""^cost\.(.*)\.[^.]+\.[^.]+$"")"),"building.workshop@1")</f>
        <v>building.workshop@1</v>
      </c>
      <c r="C592" s="49" t="str">
        <f t="array" ref="C592">_xlfn.XLOOKUP(
 B592,
 tblTargets[TargetID],
 tblTargets[DisplayName],
 ""
)</f>
        <v>Workshop Lv 1</v>
      </c>
      <c r="D592" s="49" t="str">
        <f t="array" ref="D592">_xlfn.XLOOKUP(
 B592,
 tblTargets[TargetID],
 tblTargets[TargetType],
 ""
)</f>
        <v>BUILDING</v>
      </c>
      <c r="E592" s="49" t="s">
        <v>6</v>
      </c>
      <c r="F592" s="87">
        <f>IFERROR(__xludf.DUMMYFUNCTION("VALUE(REGEXEXTRACT(A592,""([^.]+)$""))"),1.0)</f>
        <v>1</v>
      </c>
      <c r="G592" s="49">
        <v>1.0</v>
      </c>
      <c r="H592" s="26" t="b">
        <f>COUNTIFS(
 tblCostChecklist[RequirementID],A592,
 tblCostChecklist[PlayerPaid],TRUE
)&gt;0</f>
        <v>0</v>
      </c>
      <c r="I592" s="49">
        <f t="shared" si="1"/>
        <v>4</v>
      </c>
      <c r="J592" s="49">
        <f t="shared" si="2"/>
        <v>0</v>
      </c>
      <c r="K592" s="49">
        <f t="shared" si="3"/>
        <v>4</v>
      </c>
      <c r="L592" s="49" t="b">
        <f t="shared" si="4"/>
        <v>0</v>
      </c>
      <c r="M592" s="88">
        <f t="shared" si="5"/>
        <v>0</v>
      </c>
    </row>
    <row r="593" ht="14.25" customHeight="1">
      <c r="A593" s="49" t="s">
        <v>2186</v>
      </c>
      <c r="B593" s="49" t="str">
        <f>IFERROR(__xludf.DUMMYFUNCTION("REGEXEXTRACT(A593,""^cost\.(.*)\.[^.]+\.[^.]+$"")"),"building.workshop@1")</f>
        <v>building.workshop@1</v>
      </c>
      <c r="C593" s="49" t="str">
        <f t="array" ref="C593">_xlfn.XLOOKUP(
 B593,
 tblTargets[TargetID],
 tblTargets[DisplayName],
 ""
)</f>
        <v>Workshop Lv 1</v>
      </c>
      <c r="D593" s="49" t="str">
        <f t="array" ref="D593">_xlfn.XLOOKUP(
 B593,
 tblTargets[TargetID],
 tblTargets[TargetType],
 ""
)</f>
        <v>BUILDING</v>
      </c>
      <c r="E593" s="49" t="s">
        <v>119</v>
      </c>
      <c r="F593" s="87">
        <f>IFERROR(__xludf.DUMMYFUNCTION("VALUE(REGEXEXTRACT(A593,""([^.]+)$""))"),1.0)</f>
        <v>1</v>
      </c>
      <c r="G593" s="49">
        <v>20.0</v>
      </c>
      <c r="H593" s="26" t="b">
        <f>COUNTIFS(
 tblCostChecklist[RequirementID],A593,
 tblCostChecklist[PlayerPaid],TRUE
)&gt;0</f>
        <v>0</v>
      </c>
      <c r="I593" s="49">
        <f t="shared" si="1"/>
        <v>4</v>
      </c>
      <c r="J593" s="49">
        <f t="shared" si="2"/>
        <v>0</v>
      </c>
      <c r="K593" s="49">
        <f t="shared" si="3"/>
        <v>4</v>
      </c>
      <c r="L593" s="49" t="b">
        <f t="shared" si="4"/>
        <v>0</v>
      </c>
      <c r="M593" s="88">
        <f t="shared" si="5"/>
        <v>0</v>
      </c>
    </row>
    <row r="594" ht="14.25" customHeight="1">
      <c r="A594" s="49" t="s">
        <v>2189</v>
      </c>
      <c r="B594" s="49" t="str">
        <f>IFERROR(__xludf.DUMMYFUNCTION("REGEXEXTRACT(A594,""^cost\.(.*)\.[^.]+\.[^.]+$"")"),"building.workshop@1")</f>
        <v>building.workshop@1</v>
      </c>
      <c r="C594" s="49" t="str">
        <f t="array" ref="C594">_xlfn.XLOOKUP(
 B594,
 tblTargets[TargetID],
 tblTargets[DisplayName],
 ""
)</f>
        <v>Workshop Lv 1</v>
      </c>
      <c r="D594" s="49" t="str">
        <f t="array" ref="D594">_xlfn.XLOOKUP(
 B594,
 tblTargets[TargetID],
 tblTargets[TargetType],
 ""
)</f>
        <v>BUILDING</v>
      </c>
      <c r="E594" s="49" t="s">
        <v>244</v>
      </c>
      <c r="F594" s="87">
        <f>IFERROR(__xludf.DUMMYFUNCTION("VALUE(REGEXEXTRACT(A594,""([^.]+)$""))"),1.0)</f>
        <v>1</v>
      </c>
      <c r="G594" s="49">
        <v>10.0</v>
      </c>
      <c r="H594" s="26" t="b">
        <f>COUNTIFS(
 tblCostChecklist[RequirementID],A594,
 tblCostChecklist[PlayerPaid],TRUE
)&gt;0</f>
        <v>0</v>
      </c>
      <c r="I594" s="49">
        <f t="shared" si="1"/>
        <v>4</v>
      </c>
      <c r="J594" s="49">
        <f t="shared" si="2"/>
        <v>0</v>
      </c>
      <c r="K594" s="49">
        <f t="shared" si="3"/>
        <v>4</v>
      </c>
      <c r="L594" s="49" t="b">
        <f t="shared" si="4"/>
        <v>0</v>
      </c>
      <c r="M594" s="88">
        <f t="shared" si="5"/>
        <v>0</v>
      </c>
    </row>
    <row r="595" ht="14.25" customHeight="1">
      <c r="A595" s="49" t="s">
        <v>2188</v>
      </c>
      <c r="B595" s="49" t="str">
        <f>IFERROR(__xludf.DUMMYFUNCTION("REGEXEXTRACT(A595,""^cost\.(.*)\.[^.]+\.[^.]+$"")"),"building.workshop@1")</f>
        <v>building.workshop@1</v>
      </c>
      <c r="C595" s="49" t="str">
        <f t="array" ref="C595">_xlfn.XLOOKUP(
 B595,
 tblTargets[TargetID],
 tblTargets[DisplayName],
 ""
)</f>
        <v>Workshop Lv 1</v>
      </c>
      <c r="D595" s="49" t="str">
        <f t="array" ref="D595">_xlfn.XLOOKUP(
 B595,
 tblTargets[TargetID],
 tblTargets[TargetType],
 ""
)</f>
        <v>BUILDING</v>
      </c>
      <c r="E595" s="49" t="s">
        <v>237</v>
      </c>
      <c r="F595" s="87">
        <f>IFERROR(__xludf.DUMMYFUNCTION("VALUE(REGEXEXTRACT(A595,""([^.]+)$""))"),1.0)</f>
        <v>1</v>
      </c>
      <c r="G595" s="49">
        <v>10.0</v>
      </c>
      <c r="H595" s="26" t="b">
        <f>COUNTIFS(
 tblCostChecklist[RequirementID],A595,
 tblCostChecklist[PlayerPaid],TRUE
)&gt;0</f>
        <v>0</v>
      </c>
      <c r="I595" s="49">
        <f t="shared" si="1"/>
        <v>4</v>
      </c>
      <c r="J595" s="49">
        <f t="shared" si="2"/>
        <v>0</v>
      </c>
      <c r="K595" s="49">
        <f t="shared" si="3"/>
        <v>4</v>
      </c>
      <c r="L595" s="49" t="b">
        <f t="shared" si="4"/>
        <v>0</v>
      </c>
      <c r="M595" s="88">
        <f t="shared" si="5"/>
        <v>0</v>
      </c>
    </row>
    <row r="596" ht="14.25" customHeight="1">
      <c r="A596" s="49" t="s">
        <v>2191</v>
      </c>
      <c r="B596" s="49" t="str">
        <f>IFERROR(__xludf.DUMMYFUNCTION("REGEXEXTRACT(A596,""^cost\.(.*)\.[^.]+\.[^.]+$"")"),"building.workshop@2")</f>
        <v>building.workshop@2</v>
      </c>
      <c r="C596" s="49" t="str">
        <f t="array" ref="C596">_xlfn.XLOOKUP(
 B596,
 tblTargets[TargetID],
 tblTargets[DisplayName],
 ""
)</f>
        <v>Workshop Lv 2</v>
      </c>
      <c r="D596" s="49" t="str">
        <f t="array" ref="D596">_xlfn.XLOOKUP(
 B596,
 tblTargets[TargetID],
 tblTargets[TargetType],
 ""
)</f>
        <v>BUILDING</v>
      </c>
      <c r="E596" s="49" t="s">
        <v>6</v>
      </c>
      <c r="F596" s="87">
        <f>IFERROR(__xludf.DUMMYFUNCTION("VALUE(REGEXEXTRACT(A596,""([^.]+)$""))"),1.0)</f>
        <v>1</v>
      </c>
      <c r="G596" s="49">
        <v>2.0</v>
      </c>
      <c r="H596" s="26" t="b">
        <f>COUNTIFS(
 tblCostChecklist[RequirementID],A596,
 tblCostChecklist[PlayerPaid],TRUE
)&gt;0</f>
        <v>0</v>
      </c>
      <c r="I596" s="49">
        <f t="shared" si="1"/>
        <v>4</v>
      </c>
      <c r="J596" s="49">
        <f t="shared" si="2"/>
        <v>0</v>
      </c>
      <c r="K596" s="49">
        <f t="shared" si="3"/>
        <v>4</v>
      </c>
      <c r="L596" s="49" t="b">
        <f t="shared" si="4"/>
        <v>0</v>
      </c>
      <c r="M596" s="88">
        <f t="shared" si="5"/>
        <v>0</v>
      </c>
    </row>
    <row r="597" ht="14.25" customHeight="1">
      <c r="A597" s="49" t="s">
        <v>2190</v>
      </c>
      <c r="B597" s="49" t="str">
        <f>IFERROR(__xludf.DUMMYFUNCTION("REGEXEXTRACT(A597,""^cost\.(.*)\.[^.]+\.[^.]+$"")"),"building.workshop@2")</f>
        <v>building.workshop@2</v>
      </c>
      <c r="C597" s="49" t="str">
        <f t="array" ref="C597">_xlfn.XLOOKUP(
 B597,
 tblTargets[TargetID],
 tblTargets[DisplayName],
 ""
)</f>
        <v>Workshop Lv 2</v>
      </c>
      <c r="D597" s="49" t="str">
        <f t="array" ref="D597">_xlfn.XLOOKUP(
 B597,
 tblTargets[TargetID],
 tblTargets[TargetType],
 ""
)</f>
        <v>BUILDING</v>
      </c>
      <c r="E597" s="49" t="s">
        <v>119</v>
      </c>
      <c r="F597" s="87">
        <f>IFERROR(__xludf.DUMMYFUNCTION("VALUE(REGEXEXTRACT(A597,""([^.]+)$""))"),1.0)</f>
        <v>1</v>
      </c>
      <c r="G597" s="49">
        <v>80.0</v>
      </c>
      <c r="H597" s="26" t="b">
        <f>COUNTIFS(
 tblCostChecklist[RequirementID],A597,
 tblCostChecklist[PlayerPaid],TRUE
)&gt;0</f>
        <v>0</v>
      </c>
      <c r="I597" s="49">
        <f t="shared" si="1"/>
        <v>4</v>
      </c>
      <c r="J597" s="49">
        <f t="shared" si="2"/>
        <v>0</v>
      </c>
      <c r="K597" s="49">
        <f t="shared" si="3"/>
        <v>4</v>
      </c>
      <c r="L597" s="49" t="b">
        <f t="shared" si="4"/>
        <v>0</v>
      </c>
      <c r="M597" s="88">
        <f t="shared" si="5"/>
        <v>0</v>
      </c>
    </row>
    <row r="598" ht="14.25" customHeight="1">
      <c r="A598" s="49" t="s">
        <v>2193</v>
      </c>
      <c r="B598" s="49" t="str">
        <f>IFERROR(__xludf.DUMMYFUNCTION("REGEXEXTRACT(A598,""^cost\.(.*)\.[^.]+\.[^.]+$"")"),"building.workshop@2")</f>
        <v>building.workshop@2</v>
      </c>
      <c r="C598" s="49" t="str">
        <f t="array" ref="C598">_xlfn.XLOOKUP(
 B598,
 tblTargets[TargetID],
 tblTargets[DisplayName],
 ""
)</f>
        <v>Workshop Lv 2</v>
      </c>
      <c r="D598" s="49" t="str">
        <f t="array" ref="D598">_xlfn.XLOOKUP(
 B598,
 tblTargets[TargetID],
 tblTargets[TargetType],
 ""
)</f>
        <v>BUILDING</v>
      </c>
      <c r="E598" s="49" t="s">
        <v>244</v>
      </c>
      <c r="F598" s="87">
        <f>IFERROR(__xludf.DUMMYFUNCTION("VALUE(REGEXEXTRACT(A598,""([^.]+)$""))"),1.0)</f>
        <v>1</v>
      </c>
      <c r="G598" s="49">
        <v>40.0</v>
      </c>
      <c r="H598" s="26" t="b">
        <f>COUNTIFS(
 tblCostChecklist[RequirementID],A598,
 tblCostChecklist[PlayerPaid],TRUE
)&gt;0</f>
        <v>0</v>
      </c>
      <c r="I598" s="49">
        <f t="shared" si="1"/>
        <v>4</v>
      </c>
      <c r="J598" s="49">
        <f t="shared" si="2"/>
        <v>0</v>
      </c>
      <c r="K598" s="49">
        <f t="shared" si="3"/>
        <v>4</v>
      </c>
      <c r="L598" s="49" t="b">
        <f t="shared" si="4"/>
        <v>0</v>
      </c>
      <c r="M598" s="88">
        <f t="shared" si="5"/>
        <v>0</v>
      </c>
    </row>
    <row r="599" ht="14.25" customHeight="1">
      <c r="A599" s="49" t="s">
        <v>2192</v>
      </c>
      <c r="B599" s="49" t="str">
        <f>IFERROR(__xludf.DUMMYFUNCTION("REGEXEXTRACT(A599,""^cost\.(.*)\.[^.]+\.[^.]+$"")"),"building.workshop@2")</f>
        <v>building.workshop@2</v>
      </c>
      <c r="C599" s="49" t="str">
        <f t="array" ref="C599">_xlfn.XLOOKUP(
 B599,
 tblTargets[TargetID],
 tblTargets[DisplayName],
 ""
)</f>
        <v>Workshop Lv 2</v>
      </c>
      <c r="D599" s="49" t="str">
        <f t="array" ref="D599">_xlfn.XLOOKUP(
 B599,
 tblTargets[TargetID],
 tblTargets[TargetType],
 ""
)</f>
        <v>BUILDING</v>
      </c>
      <c r="E599" s="49" t="s">
        <v>237</v>
      </c>
      <c r="F599" s="87">
        <f>IFERROR(__xludf.DUMMYFUNCTION("VALUE(REGEXEXTRACT(A599,""([^.]+)$""))"),1.0)</f>
        <v>1</v>
      </c>
      <c r="G599" s="49">
        <v>40.0</v>
      </c>
      <c r="H599" s="26" t="b">
        <f>COUNTIFS(
 tblCostChecklist[RequirementID],A599,
 tblCostChecklist[PlayerPaid],TRUE
)&gt;0</f>
        <v>0</v>
      </c>
      <c r="I599" s="49">
        <f t="shared" si="1"/>
        <v>4</v>
      </c>
      <c r="J599" s="49">
        <f t="shared" si="2"/>
        <v>0</v>
      </c>
      <c r="K599" s="49">
        <f t="shared" si="3"/>
        <v>4</v>
      </c>
      <c r="L599" s="49" t="b">
        <f t="shared" si="4"/>
        <v>0</v>
      </c>
      <c r="M599" s="88">
        <f t="shared" si="5"/>
        <v>0</v>
      </c>
    </row>
    <row r="600" ht="14.25" customHeight="1">
      <c r="A600" s="49" t="s">
        <v>2196</v>
      </c>
      <c r="B600" s="49" t="str">
        <f>IFERROR(__xludf.DUMMYFUNCTION("REGEXEXTRACT(A600,""^cost\.(.*)\.[^.]+\.[^.]+$"")"),"building.workshop@3")</f>
        <v>building.workshop@3</v>
      </c>
      <c r="C600" s="49" t="str">
        <f t="array" ref="C600">_xlfn.XLOOKUP(
 B600,
 tblTargets[TargetID],
 tblTargets[DisplayName],
 ""
)</f>
        <v>Workshop Lv 3</v>
      </c>
      <c r="D600" s="49" t="str">
        <f t="array" ref="D600">_xlfn.XLOOKUP(
 B600,
 tblTargets[TargetID],
 tblTargets[TargetType],
 ""
)</f>
        <v>BUILDING</v>
      </c>
      <c r="E600" s="49" t="s">
        <v>6</v>
      </c>
      <c r="F600" s="87">
        <f>IFERROR(__xludf.DUMMYFUNCTION("VALUE(REGEXEXTRACT(A600,""([^.]+)$""))"),1.0)</f>
        <v>1</v>
      </c>
      <c r="G600" s="49">
        <v>3.0</v>
      </c>
      <c r="H600" s="26" t="b">
        <f>COUNTIFS(
 tblCostChecklist[RequirementID],A600,
 tblCostChecklist[PlayerPaid],TRUE
)&gt;0</f>
        <v>0</v>
      </c>
      <c r="I600" s="49">
        <f t="shared" si="1"/>
        <v>4</v>
      </c>
      <c r="J600" s="49">
        <f t="shared" si="2"/>
        <v>0</v>
      </c>
      <c r="K600" s="49">
        <f t="shared" si="3"/>
        <v>4</v>
      </c>
      <c r="L600" s="49" t="b">
        <f t="shared" si="4"/>
        <v>0</v>
      </c>
      <c r="M600" s="88">
        <f t="shared" si="5"/>
        <v>0</v>
      </c>
    </row>
    <row r="601" ht="14.25" customHeight="1">
      <c r="A601" s="49" t="s">
        <v>2195</v>
      </c>
      <c r="B601" s="49" t="str">
        <f>IFERROR(__xludf.DUMMYFUNCTION("REGEXEXTRACT(A601,""^cost\.(.*)\.[^.]+\.[^.]+$"")"),"building.workshop@3")</f>
        <v>building.workshop@3</v>
      </c>
      <c r="C601" s="49" t="str">
        <f t="array" ref="C601">_xlfn.XLOOKUP(
 B601,
 tblTargets[TargetID],
 tblTargets[DisplayName],
 ""
)</f>
        <v>Workshop Lv 3</v>
      </c>
      <c r="D601" s="49" t="str">
        <f t="array" ref="D601">_xlfn.XLOOKUP(
 B601,
 tblTargets[TargetID],
 tblTargets[TargetType],
 ""
)</f>
        <v>BUILDING</v>
      </c>
      <c r="E601" s="49" t="s">
        <v>119</v>
      </c>
      <c r="F601" s="87">
        <f>IFERROR(__xludf.DUMMYFUNCTION("VALUE(REGEXEXTRACT(A601,""([^.]+)$""))"),1.0)</f>
        <v>1</v>
      </c>
      <c r="G601" s="49">
        <v>160.0</v>
      </c>
      <c r="H601" s="26" t="b">
        <f>COUNTIFS(
 tblCostChecklist[RequirementID],A601,
 tblCostChecklist[PlayerPaid],TRUE
)&gt;0</f>
        <v>0</v>
      </c>
      <c r="I601" s="49">
        <f t="shared" si="1"/>
        <v>4</v>
      </c>
      <c r="J601" s="49">
        <f t="shared" si="2"/>
        <v>0</v>
      </c>
      <c r="K601" s="49">
        <f t="shared" si="3"/>
        <v>4</v>
      </c>
      <c r="L601" s="49" t="b">
        <f t="shared" si="4"/>
        <v>0</v>
      </c>
      <c r="M601" s="88">
        <f t="shared" si="5"/>
        <v>0</v>
      </c>
    </row>
    <row r="602" ht="14.25" customHeight="1">
      <c r="A602" s="49" t="s">
        <v>2194</v>
      </c>
      <c r="B602" s="49" t="str">
        <f>IFERROR(__xludf.DUMMYFUNCTION("REGEXEXTRACT(A602,""^cost\.(.*)\.[^.]+\.[^.]+$"")"),"building.workshop@3")</f>
        <v>building.workshop@3</v>
      </c>
      <c r="C602" s="49" t="str">
        <f t="array" ref="C602">_xlfn.XLOOKUP(
 B602,
 tblTargets[TargetID],
 tblTargets[DisplayName],
 ""
)</f>
        <v>Workshop Lv 3</v>
      </c>
      <c r="D602" s="49" t="str">
        <f t="array" ref="D602">_xlfn.XLOOKUP(
 B602,
 tblTargets[TargetID],
 tblTargets[TargetType],
 ""
)</f>
        <v>BUILDING</v>
      </c>
      <c r="E602" s="49" t="s">
        <v>278</v>
      </c>
      <c r="F602" s="87">
        <f>IFERROR(__xludf.DUMMYFUNCTION("VALUE(REGEXEXTRACT(A602,""([^.]+)$""))"),1.0)</f>
        <v>1</v>
      </c>
      <c r="G602" s="49">
        <v>160.0</v>
      </c>
      <c r="H602" s="26" t="b">
        <f>COUNTIFS(
 tblCostChecklist[RequirementID],A602,
 tblCostChecklist[PlayerPaid],TRUE
)&gt;0</f>
        <v>0</v>
      </c>
      <c r="I602" s="49">
        <f t="shared" si="1"/>
        <v>4</v>
      </c>
      <c r="J602" s="49">
        <f t="shared" si="2"/>
        <v>0</v>
      </c>
      <c r="K602" s="49">
        <f t="shared" si="3"/>
        <v>4</v>
      </c>
      <c r="L602" s="49" t="b">
        <f t="shared" si="4"/>
        <v>0</v>
      </c>
      <c r="M602" s="88">
        <f t="shared" si="5"/>
        <v>0</v>
      </c>
    </row>
    <row r="603" ht="14.25" customHeight="1">
      <c r="A603" s="49" t="s">
        <v>2197</v>
      </c>
      <c r="B603" s="49" t="str">
        <f>IFERROR(__xludf.DUMMYFUNCTION("REGEXEXTRACT(A603,""^cost\.(.*)\.[^.]+\.[^.]+$"")"),"building.workshop@3")</f>
        <v>building.workshop@3</v>
      </c>
      <c r="C603" s="49" t="str">
        <f t="array" ref="C603">_xlfn.XLOOKUP(
 B603,
 tblTargets[TargetID],
 tblTargets[DisplayName],
 ""
)</f>
        <v>Workshop Lv 3</v>
      </c>
      <c r="D603" s="49" t="str">
        <f t="array" ref="D603">_xlfn.XLOOKUP(
 B603,
 tblTargets[TargetID],
 tblTargets[TargetType],
 ""
)</f>
        <v>BUILDING</v>
      </c>
      <c r="E603" s="49" t="s">
        <v>237</v>
      </c>
      <c r="F603" s="87">
        <f>IFERROR(__xludf.DUMMYFUNCTION("VALUE(REGEXEXTRACT(A603,""([^.]+)$""))"),1.0)</f>
        <v>1</v>
      </c>
      <c r="G603" s="49">
        <v>80.0</v>
      </c>
      <c r="H603" s="26" t="b">
        <f>COUNTIFS(
 tblCostChecklist[RequirementID],A603,
 tblCostChecklist[PlayerPaid],TRUE
)&gt;0</f>
        <v>0</v>
      </c>
      <c r="I603" s="49">
        <f t="shared" si="1"/>
        <v>4</v>
      </c>
      <c r="J603" s="49">
        <f t="shared" si="2"/>
        <v>0</v>
      </c>
      <c r="K603" s="49">
        <f t="shared" si="3"/>
        <v>4</v>
      </c>
      <c r="L603" s="49" t="b">
        <f t="shared" si="4"/>
        <v>0</v>
      </c>
      <c r="M603" s="88">
        <f t="shared" si="5"/>
        <v>0</v>
      </c>
    </row>
    <row r="604" ht="14.25" customHeight="1">
      <c r="A604" s="49" t="s">
        <v>2200</v>
      </c>
      <c r="B604" s="49" t="str">
        <f>IFERROR(__xludf.DUMMYFUNCTION("REGEXEXTRACT(A604,""^cost\.(.*)\.[^.]+\.[^.]+$"")"),"building.workshop@4")</f>
        <v>building.workshop@4</v>
      </c>
      <c r="C604" s="49" t="str">
        <f t="array" ref="C604">_xlfn.XLOOKUP(
 B604,
 tblTargets[TargetID],
 tblTargets[DisplayName],
 ""
)</f>
        <v>Workshop Lv 4</v>
      </c>
      <c r="D604" s="49" t="str">
        <f t="array" ref="D604">_xlfn.XLOOKUP(
 B604,
 tblTargets[TargetID],
 tblTargets[TargetType],
 ""
)</f>
        <v>BUILDING</v>
      </c>
      <c r="E604" s="49" t="s">
        <v>6</v>
      </c>
      <c r="F604" s="87">
        <f>IFERROR(__xludf.DUMMYFUNCTION("VALUE(REGEXEXTRACT(A604,""([^.]+)$""))"),1.0)</f>
        <v>1</v>
      </c>
      <c r="G604" s="49">
        <v>4.0</v>
      </c>
      <c r="H604" s="26" t="b">
        <f>COUNTIFS(
 tblCostChecklist[RequirementID],A604,
 tblCostChecklist[PlayerPaid],TRUE
)&gt;0</f>
        <v>0</v>
      </c>
      <c r="I604" s="49">
        <f t="shared" si="1"/>
        <v>5</v>
      </c>
      <c r="J604" s="49">
        <f t="shared" si="2"/>
        <v>0</v>
      </c>
      <c r="K604" s="49">
        <f t="shared" si="3"/>
        <v>5</v>
      </c>
      <c r="L604" s="49" t="b">
        <f t="shared" si="4"/>
        <v>0</v>
      </c>
      <c r="M604" s="88">
        <f t="shared" si="5"/>
        <v>0</v>
      </c>
    </row>
    <row r="605" ht="14.25" customHeight="1">
      <c r="A605" s="49" t="s">
        <v>2199</v>
      </c>
      <c r="B605" s="49" t="str">
        <f>IFERROR(__xludf.DUMMYFUNCTION("REGEXEXTRACT(A605,""^cost\.(.*)\.[^.]+\.[^.]+$"")"),"building.workshop@4")</f>
        <v>building.workshop@4</v>
      </c>
      <c r="C605" s="49" t="str">
        <f t="array" ref="C605">_xlfn.XLOOKUP(
 B605,
 tblTargets[TargetID],
 tblTargets[DisplayName],
 ""
)</f>
        <v>Workshop Lv 4</v>
      </c>
      <c r="D605" s="49" t="str">
        <f t="array" ref="D605">_xlfn.XLOOKUP(
 B605,
 tblTargets[TargetID],
 tblTargets[TargetType],
 ""
)</f>
        <v>BUILDING</v>
      </c>
      <c r="E605" s="49" t="s">
        <v>119</v>
      </c>
      <c r="F605" s="87">
        <f>IFERROR(__xludf.DUMMYFUNCTION("VALUE(REGEXEXTRACT(A605,""([^.]+)$""))"),1.0)</f>
        <v>1</v>
      </c>
      <c r="G605" s="49">
        <v>500.0</v>
      </c>
      <c r="H605" s="26" t="b">
        <f>COUNTIFS(
 tblCostChecklist[RequirementID],A605,
 tblCostChecklist[PlayerPaid],TRUE
)&gt;0</f>
        <v>0</v>
      </c>
      <c r="I605" s="49">
        <f t="shared" si="1"/>
        <v>5</v>
      </c>
      <c r="J605" s="49">
        <f t="shared" si="2"/>
        <v>0</v>
      </c>
      <c r="K605" s="49">
        <f t="shared" si="3"/>
        <v>5</v>
      </c>
      <c r="L605" s="49" t="b">
        <f t="shared" si="4"/>
        <v>0</v>
      </c>
      <c r="M605" s="88">
        <f t="shared" si="5"/>
        <v>0</v>
      </c>
    </row>
    <row r="606" ht="14.25" customHeight="1">
      <c r="A606" s="49" t="s">
        <v>2198</v>
      </c>
      <c r="B606" s="49" t="str">
        <f>IFERROR(__xludf.DUMMYFUNCTION("REGEXEXTRACT(A606,""^cost\.(.*)\.[^.]+\.[^.]+$"")"),"building.workshop@4")</f>
        <v>building.workshop@4</v>
      </c>
      <c r="C606" s="49" t="str">
        <f t="array" ref="C606">_xlfn.XLOOKUP(
 B606,
 tblTargets[TargetID],
 tblTargets[DisplayName],
 ""
)</f>
        <v>Workshop Lv 4</v>
      </c>
      <c r="D606" s="49" t="str">
        <f t="array" ref="D606">_xlfn.XLOOKUP(
 B606,
 tblTargets[TargetID],
 tblTargets[TargetType],
 ""
)</f>
        <v>BUILDING</v>
      </c>
      <c r="E606" s="49" t="s">
        <v>278</v>
      </c>
      <c r="F606" s="87">
        <f>IFERROR(__xludf.DUMMYFUNCTION("VALUE(REGEXEXTRACT(A606,""([^.]+)$""))"),1.0)</f>
        <v>1</v>
      </c>
      <c r="G606" s="49">
        <v>500.0</v>
      </c>
      <c r="H606" s="26" t="b">
        <f>COUNTIFS(
 tblCostChecklist[RequirementID],A606,
 tblCostChecklist[PlayerPaid],TRUE
)&gt;0</f>
        <v>0</v>
      </c>
      <c r="I606" s="49">
        <f t="shared" si="1"/>
        <v>5</v>
      </c>
      <c r="J606" s="49">
        <f t="shared" si="2"/>
        <v>0</v>
      </c>
      <c r="K606" s="49">
        <f t="shared" si="3"/>
        <v>5</v>
      </c>
      <c r="L606" s="49" t="b">
        <f t="shared" si="4"/>
        <v>0</v>
      </c>
      <c r="M606" s="88">
        <f t="shared" si="5"/>
        <v>0</v>
      </c>
    </row>
    <row r="607" ht="14.25" customHeight="1">
      <c r="A607" s="49" t="s">
        <v>2202</v>
      </c>
      <c r="B607" s="49" t="str">
        <f>IFERROR(__xludf.DUMMYFUNCTION("REGEXEXTRACT(A607,""^cost\.(.*)\.[^.]+\.[^.]+$"")"),"building.workshop@4")</f>
        <v>building.workshop@4</v>
      </c>
      <c r="C607" s="49" t="str">
        <f t="array" ref="C607">_xlfn.XLOOKUP(
 B607,
 tblTargets[TargetID],
 tblTargets[DisplayName],
 ""
)</f>
        <v>Workshop Lv 4</v>
      </c>
      <c r="D607" s="49" t="str">
        <f t="array" ref="D607">_xlfn.XLOOKUP(
 B607,
 tblTargets[TargetID],
 tblTargets[TargetType],
 ""
)</f>
        <v>BUILDING</v>
      </c>
      <c r="E607" s="49" t="s">
        <v>237</v>
      </c>
      <c r="F607" s="87">
        <f>IFERROR(__xludf.DUMMYFUNCTION("VALUE(REGEXEXTRACT(A607,""([^.]+)$""))"),1.0)</f>
        <v>1</v>
      </c>
      <c r="G607" s="49">
        <v>250.0</v>
      </c>
      <c r="H607" s="26" t="b">
        <f>COUNTIFS(
 tblCostChecklist[RequirementID],A607,
 tblCostChecklist[PlayerPaid],TRUE
)&gt;0</f>
        <v>0</v>
      </c>
      <c r="I607" s="49">
        <f t="shared" si="1"/>
        <v>5</v>
      </c>
      <c r="J607" s="49">
        <f t="shared" si="2"/>
        <v>0</v>
      </c>
      <c r="K607" s="49">
        <f t="shared" si="3"/>
        <v>5</v>
      </c>
      <c r="L607" s="49" t="b">
        <f t="shared" si="4"/>
        <v>0</v>
      </c>
      <c r="M607" s="88">
        <f t="shared" si="5"/>
        <v>0</v>
      </c>
    </row>
    <row r="608" ht="14.25" customHeight="1">
      <c r="A608" s="49" t="s">
        <v>2201</v>
      </c>
      <c r="B608" s="49" t="str">
        <f>IFERROR(__xludf.DUMMYFUNCTION("REGEXEXTRACT(A608,""^cost\.(.*)\.[^.]+\.[^.]+$"")"),"building.workshop@4")</f>
        <v>building.workshop@4</v>
      </c>
      <c r="C608" s="49" t="str">
        <f t="array" ref="C608">_xlfn.XLOOKUP(
 B608,
 tblTargets[TargetID],
 tblTargets[DisplayName],
 ""
)</f>
        <v>Workshop Lv 4</v>
      </c>
      <c r="D608" s="49" t="str">
        <f t="array" ref="D608">_xlfn.XLOOKUP(
 B608,
 tblTargets[TargetID],
 tblTargets[TargetType],
 ""
)</f>
        <v>BUILDING</v>
      </c>
      <c r="E608" s="49" t="s">
        <v>392</v>
      </c>
      <c r="F608" s="87">
        <f>IFERROR(__xludf.DUMMYFUNCTION("VALUE(REGEXEXTRACT(A608,""([^.]+)$""))"),1.0)</f>
        <v>1</v>
      </c>
      <c r="G608" s="49">
        <v>20.0</v>
      </c>
      <c r="H608" s="26" t="b">
        <f>COUNTIFS(
 tblCostChecklist[RequirementID],A608,
 tblCostChecklist[PlayerPaid],TRUE
)&gt;0</f>
        <v>0</v>
      </c>
      <c r="I608" s="49">
        <f t="shared" si="1"/>
        <v>5</v>
      </c>
      <c r="J608" s="49">
        <f t="shared" si="2"/>
        <v>0</v>
      </c>
      <c r="K608" s="49">
        <f t="shared" si="3"/>
        <v>5</v>
      </c>
      <c r="L608" s="49" t="b">
        <f t="shared" si="4"/>
        <v>0</v>
      </c>
      <c r="M608" s="88">
        <f t="shared" si="5"/>
        <v>0</v>
      </c>
    </row>
    <row r="609" ht="14.25" customHeight="1">
      <c r="A609" s="49" t="s">
        <v>2205</v>
      </c>
      <c r="B609" s="49" t="str">
        <f>IFERROR(__xludf.DUMMYFUNCTION("REGEXEXTRACT(A609,""^cost\.(.*)\.[^.]+\.[^.]+$"")"),"building.workshop@5")</f>
        <v>building.workshop@5</v>
      </c>
      <c r="C609" s="49" t="str">
        <f t="array" ref="C609">_xlfn.XLOOKUP(
 B609,
 tblTargets[TargetID],
 tblTargets[DisplayName],
 ""
)</f>
        <v>Workshop Lv 5</v>
      </c>
      <c r="D609" s="49" t="str">
        <f t="array" ref="D609">_xlfn.XLOOKUP(
 B609,
 tblTargets[TargetID],
 tblTargets[TargetType],
 ""
)</f>
        <v>BUILDING</v>
      </c>
      <c r="E609" s="49" t="s">
        <v>6</v>
      </c>
      <c r="F609" s="87">
        <f>IFERROR(__xludf.DUMMYFUNCTION("VALUE(REGEXEXTRACT(A609,""([^.]+)$""))"),1.0)</f>
        <v>1</v>
      </c>
      <c r="G609" s="49">
        <v>5.0</v>
      </c>
      <c r="H609" s="26" t="b">
        <f>COUNTIFS(
 tblCostChecklist[RequirementID],A609,
 tblCostChecklist[PlayerPaid],TRUE
)&gt;0</f>
        <v>0</v>
      </c>
      <c r="I609" s="49">
        <f t="shared" si="1"/>
        <v>5</v>
      </c>
      <c r="J609" s="49">
        <f t="shared" si="2"/>
        <v>0</v>
      </c>
      <c r="K609" s="49">
        <f t="shared" si="3"/>
        <v>5</v>
      </c>
      <c r="L609" s="49" t="b">
        <f t="shared" si="4"/>
        <v>0</v>
      </c>
      <c r="M609" s="88">
        <f t="shared" si="5"/>
        <v>0</v>
      </c>
    </row>
    <row r="610" ht="14.25" customHeight="1">
      <c r="A610" s="49" t="s">
        <v>2204</v>
      </c>
      <c r="B610" s="49" t="str">
        <f>IFERROR(__xludf.DUMMYFUNCTION("REGEXEXTRACT(A610,""^cost\.(.*)\.[^.]+\.[^.]+$"")"),"building.workshop@5")</f>
        <v>building.workshop@5</v>
      </c>
      <c r="C610" s="49" t="str">
        <f t="array" ref="C610">_xlfn.XLOOKUP(
 B610,
 tblTargets[TargetID],
 tblTargets[DisplayName],
 ""
)</f>
        <v>Workshop Lv 5</v>
      </c>
      <c r="D610" s="49" t="str">
        <f t="array" ref="D610">_xlfn.XLOOKUP(
 B610,
 tblTargets[TargetID],
 tblTargets[TargetType],
 ""
)</f>
        <v>BUILDING</v>
      </c>
      <c r="E610" s="49" t="s">
        <v>119</v>
      </c>
      <c r="F610" s="87">
        <f>IFERROR(__xludf.DUMMYFUNCTION("VALUE(REGEXEXTRACT(A610,""([^.]+)$""))"),1.0)</f>
        <v>1</v>
      </c>
      <c r="G610" s="49">
        <v>1000.0</v>
      </c>
      <c r="H610" s="26" t="b">
        <f>COUNTIFS(
 tblCostChecklist[RequirementID],A610,
 tblCostChecklist[PlayerPaid],TRUE
)&gt;0</f>
        <v>0</v>
      </c>
      <c r="I610" s="49">
        <f t="shared" si="1"/>
        <v>5</v>
      </c>
      <c r="J610" s="49">
        <f t="shared" si="2"/>
        <v>0</v>
      </c>
      <c r="K610" s="49">
        <f t="shared" si="3"/>
        <v>5</v>
      </c>
      <c r="L610" s="49" t="b">
        <f t="shared" si="4"/>
        <v>0</v>
      </c>
      <c r="M610" s="88">
        <f t="shared" si="5"/>
        <v>0</v>
      </c>
    </row>
    <row r="611" ht="14.25" customHeight="1">
      <c r="A611" s="49" t="s">
        <v>2203</v>
      </c>
      <c r="B611" s="49" t="str">
        <f>IFERROR(__xludf.DUMMYFUNCTION("REGEXEXTRACT(A611,""^cost\.(.*)\.[^.]+\.[^.]+$"")"),"building.workshop@5")</f>
        <v>building.workshop@5</v>
      </c>
      <c r="C611" s="49" t="str">
        <f t="array" ref="C611">_xlfn.XLOOKUP(
 B611,
 tblTargets[TargetID],
 tblTargets[DisplayName],
 ""
)</f>
        <v>Workshop Lv 5</v>
      </c>
      <c r="D611" s="49" t="str">
        <f t="array" ref="D611">_xlfn.XLOOKUP(
 B611,
 tblTargets[TargetID],
 tblTargets[TargetType],
 ""
)</f>
        <v>BUILDING</v>
      </c>
      <c r="E611" s="49" t="s">
        <v>278</v>
      </c>
      <c r="F611" s="87">
        <f>IFERROR(__xludf.DUMMYFUNCTION("VALUE(REGEXEXTRACT(A611,""([^.]+)$""))"),1.0)</f>
        <v>1</v>
      </c>
      <c r="G611" s="49">
        <v>600.0</v>
      </c>
      <c r="H611" s="26" t="b">
        <f>COUNTIFS(
 tblCostChecklist[RequirementID],A611,
 tblCostChecklist[PlayerPaid],TRUE
)&gt;0</f>
        <v>0</v>
      </c>
      <c r="I611" s="49">
        <f t="shared" si="1"/>
        <v>5</v>
      </c>
      <c r="J611" s="49">
        <f t="shared" si="2"/>
        <v>0</v>
      </c>
      <c r="K611" s="49">
        <f t="shared" si="3"/>
        <v>5</v>
      </c>
      <c r="L611" s="49" t="b">
        <f t="shared" si="4"/>
        <v>0</v>
      </c>
      <c r="M611" s="88">
        <f t="shared" si="5"/>
        <v>0</v>
      </c>
    </row>
    <row r="612" ht="14.25" customHeight="1">
      <c r="A612" s="49" t="s">
        <v>2207</v>
      </c>
      <c r="B612" s="49" t="str">
        <f>IFERROR(__xludf.DUMMYFUNCTION("REGEXEXTRACT(A612,""^cost\.(.*)\.[^.]+\.[^.]+$"")"),"building.workshop@5")</f>
        <v>building.workshop@5</v>
      </c>
      <c r="C612" s="49" t="str">
        <f t="array" ref="C612">_xlfn.XLOOKUP(
 B612,
 tblTargets[TargetID],
 tblTargets[DisplayName],
 ""
)</f>
        <v>Workshop Lv 5</v>
      </c>
      <c r="D612" s="49" t="str">
        <f t="array" ref="D612">_xlfn.XLOOKUP(
 B612,
 tblTargets[TargetID],
 tblTargets[TargetType],
 ""
)</f>
        <v>BUILDING</v>
      </c>
      <c r="E612" s="49" t="s">
        <v>237</v>
      </c>
      <c r="F612" s="87">
        <f>IFERROR(__xludf.DUMMYFUNCTION("VALUE(REGEXEXTRACT(A612,""([^.]+)$""))"),1.0)</f>
        <v>1</v>
      </c>
      <c r="G612" s="49">
        <v>300.0</v>
      </c>
      <c r="H612" s="26" t="b">
        <f>COUNTIFS(
 tblCostChecklist[RequirementID],A612,
 tblCostChecklist[PlayerPaid],TRUE
)&gt;0</f>
        <v>0</v>
      </c>
      <c r="I612" s="49">
        <f t="shared" si="1"/>
        <v>5</v>
      </c>
      <c r="J612" s="49">
        <f t="shared" si="2"/>
        <v>0</v>
      </c>
      <c r="K612" s="49">
        <f t="shared" si="3"/>
        <v>5</v>
      </c>
      <c r="L612" s="49" t="b">
        <f t="shared" si="4"/>
        <v>0</v>
      </c>
      <c r="M612" s="88">
        <f t="shared" si="5"/>
        <v>0</v>
      </c>
    </row>
    <row r="613" ht="14.25" customHeight="1">
      <c r="A613" s="49" t="s">
        <v>2206</v>
      </c>
      <c r="B613" s="49" t="str">
        <f>IFERROR(__xludf.DUMMYFUNCTION("REGEXEXTRACT(A613,""^cost\.(.*)\.[^.]+\.[^.]+$"")"),"building.workshop@5")</f>
        <v>building.workshop@5</v>
      </c>
      <c r="C613" s="49" t="str">
        <f t="array" ref="C613">_xlfn.XLOOKUP(
 B613,
 tblTargets[TargetID],
 tblTargets[DisplayName],
 ""
)</f>
        <v>Workshop Lv 5</v>
      </c>
      <c r="D613" s="49" t="str">
        <f t="array" ref="D613">_xlfn.XLOOKUP(
 B613,
 tblTargets[TargetID],
 tblTargets[TargetType],
 ""
)</f>
        <v>BUILDING</v>
      </c>
      <c r="E613" s="49" t="s">
        <v>392</v>
      </c>
      <c r="F613" s="87">
        <f>IFERROR(__xludf.DUMMYFUNCTION("VALUE(REGEXEXTRACT(A613,""([^.]+)$""))"),1.0)</f>
        <v>1</v>
      </c>
      <c r="G613" s="49">
        <v>40.0</v>
      </c>
      <c r="H613" s="26" t="b">
        <f>COUNTIFS(
 tblCostChecklist[RequirementID],A613,
 tblCostChecklist[PlayerPaid],TRUE
)&gt;0</f>
        <v>0</v>
      </c>
      <c r="I613" s="49">
        <f t="shared" si="1"/>
        <v>5</v>
      </c>
      <c r="J613" s="49">
        <f t="shared" si="2"/>
        <v>0</v>
      </c>
      <c r="K613" s="49">
        <f t="shared" si="3"/>
        <v>5</v>
      </c>
      <c r="L613" s="49" t="b">
        <f t="shared" si="4"/>
        <v>0</v>
      </c>
      <c r="M613" s="88">
        <f t="shared" si="5"/>
        <v>0</v>
      </c>
    </row>
    <row r="614" ht="14.25" customHeight="1">
      <c r="A614" s="49" t="s">
        <v>2775</v>
      </c>
      <c r="B614" s="49" t="str">
        <f>IFERROR(__xludf.DUMMYFUNCTION("REGEXEXTRACT(A614,""^cost\.(.*)\.[^.]+\.[^.]+$"")"),"tech.airship.titanium_longerons")</f>
        <v>tech.airship.titanium_longerons</v>
      </c>
      <c r="C614" s="49" t="str">
        <f t="array" ref="C614">_xlfn.XLOOKUP(
 B614,
 tblTargets[TargetID],
 tblTargets[DisplayName],
 ""
)</f>
        <v>Airship - Titanium Longerons</v>
      </c>
      <c r="D614" s="49" t="str">
        <f t="array" ref="D614">_xlfn.XLOOKUP(
 B614,
 tblTargets[TargetID],
 tblTargets[TargetType],
 ""
)</f>
        <v>TECH</v>
      </c>
      <c r="E614" s="49" t="s">
        <v>1230</v>
      </c>
      <c r="F614" s="87">
        <f>IFERROR(__xludf.DUMMYFUNCTION("VALUE(REGEXEXTRACT(A614,""([^.]+)$""))"),1.0)</f>
        <v>1</v>
      </c>
      <c r="G614" s="49">
        <v>10.0</v>
      </c>
      <c r="H614" s="26" t="b">
        <f>COUNTIFS(
 tblCostChecklist[RequirementID],A614,
 tblCostChecklist[PlayerPaid],TRUE
)&gt;0</f>
        <v>0</v>
      </c>
      <c r="I614" s="49">
        <f t="shared" si="1"/>
        <v>6</v>
      </c>
      <c r="J614" s="49">
        <f t="shared" si="2"/>
        <v>0</v>
      </c>
      <c r="K614" s="49">
        <f t="shared" si="3"/>
        <v>6</v>
      </c>
      <c r="L614" s="49" t="b">
        <f t="shared" si="4"/>
        <v>0</v>
      </c>
      <c r="M614" s="88">
        <f t="shared" si="5"/>
        <v>0</v>
      </c>
    </row>
    <row r="615" ht="14.25" customHeight="1">
      <c r="A615" s="49" t="s">
        <v>2777</v>
      </c>
      <c r="B615" s="49" t="str">
        <f>IFERROR(__xludf.DUMMYFUNCTION("REGEXEXTRACT(A615,""^cost\.(.*)\.[^.]+\.[^.]+$"")"),"tech.airship.titanium_longerons")</f>
        <v>tech.airship.titanium_longerons</v>
      </c>
      <c r="C615" s="49" t="str">
        <f t="array" ref="C615">_xlfn.XLOOKUP(
 B615,
 tblTargets[TargetID],
 tblTargets[DisplayName],
 ""
)</f>
        <v>Airship - Titanium Longerons</v>
      </c>
      <c r="D615" s="49" t="str">
        <f t="array" ref="D615">_xlfn.XLOOKUP(
 B615,
 tblTargets[TargetID],
 tblTargets[TargetType],
 ""
)</f>
        <v>TECH</v>
      </c>
      <c r="E615" s="49" t="s">
        <v>1055</v>
      </c>
      <c r="F615" s="87">
        <f>IFERROR(__xludf.DUMMYFUNCTION("VALUE(REGEXEXTRACT(A615,""([^.]+)$""))"),1.0)</f>
        <v>1</v>
      </c>
      <c r="G615" s="49">
        <v>30.0</v>
      </c>
      <c r="H615" s="26" t="b">
        <f>COUNTIFS(
 tblCostChecklist[RequirementID],A615,
 tblCostChecklist[PlayerPaid],TRUE
)&gt;0</f>
        <v>0</v>
      </c>
      <c r="I615" s="49">
        <f t="shared" si="1"/>
        <v>6</v>
      </c>
      <c r="J615" s="49">
        <f t="shared" si="2"/>
        <v>0</v>
      </c>
      <c r="K615" s="49">
        <f t="shared" si="3"/>
        <v>6</v>
      </c>
      <c r="L615" s="49" t="b">
        <f t="shared" si="4"/>
        <v>0</v>
      </c>
      <c r="M615" s="88">
        <f t="shared" si="5"/>
        <v>0</v>
      </c>
    </row>
    <row r="616" ht="14.25" customHeight="1">
      <c r="A616" s="49" t="s">
        <v>2779</v>
      </c>
      <c r="B616" s="49" t="str">
        <f>IFERROR(__xludf.DUMMYFUNCTION("REGEXEXTRACT(A616,""^cost\.(.*)\.[^.]+\.[^.]+$"")"),"tech.airship.titanium_longerons")</f>
        <v>tech.airship.titanium_longerons</v>
      </c>
      <c r="C616" s="49" t="str">
        <f t="array" ref="C616">_xlfn.XLOOKUP(
 B616,
 tblTargets[TargetID],
 tblTargets[DisplayName],
 ""
)</f>
        <v>Airship - Titanium Longerons</v>
      </c>
      <c r="D616" s="49" t="str">
        <f t="array" ref="D616">_xlfn.XLOOKUP(
 B616,
 tblTargets[TargetID],
 tblTargets[TargetType],
 ""
)</f>
        <v>TECH</v>
      </c>
      <c r="E616" s="49" t="s">
        <v>119</v>
      </c>
      <c r="F616" s="87">
        <f>IFERROR(__xludf.DUMMYFUNCTION("VALUE(REGEXEXTRACT(A616,""([^.]+)$""))"),1.0)</f>
        <v>1</v>
      </c>
      <c r="G616" s="49">
        <v>1000.0</v>
      </c>
      <c r="H616" s="26" t="b">
        <f>COUNTIFS(
 tblCostChecklist[RequirementID],A616,
 tblCostChecklist[PlayerPaid],TRUE
)&gt;0</f>
        <v>0</v>
      </c>
      <c r="I616" s="49">
        <f t="shared" si="1"/>
        <v>6</v>
      </c>
      <c r="J616" s="49">
        <f t="shared" si="2"/>
        <v>0</v>
      </c>
      <c r="K616" s="49">
        <f t="shared" si="3"/>
        <v>6</v>
      </c>
      <c r="L616" s="49" t="b">
        <f t="shared" si="4"/>
        <v>0</v>
      </c>
      <c r="M616" s="88">
        <f t="shared" si="5"/>
        <v>0</v>
      </c>
    </row>
    <row r="617" ht="14.25" customHeight="1">
      <c r="A617" s="49" t="s">
        <v>2781</v>
      </c>
      <c r="B617" s="49" t="str">
        <f>IFERROR(__xludf.DUMMYFUNCTION("REGEXEXTRACT(A617,""^cost\.(.*)\.[^.]+\.[^.]+$"")"),"tech.airship.titanium_longerons")</f>
        <v>tech.airship.titanium_longerons</v>
      </c>
      <c r="C617" s="49" t="str">
        <f t="array" ref="C617">_xlfn.XLOOKUP(
 B617,
 tblTargets[TargetID],
 tblTargets[DisplayName],
 ""
)</f>
        <v>Airship - Titanium Longerons</v>
      </c>
      <c r="D617" s="49" t="str">
        <f t="array" ref="D617">_xlfn.XLOOKUP(
 B617,
 tblTargets[TargetID],
 tblTargets[TargetType],
 ""
)</f>
        <v>TECH</v>
      </c>
      <c r="E617" s="49" t="s">
        <v>140</v>
      </c>
      <c r="F617" s="87">
        <f>IFERROR(__xludf.DUMMYFUNCTION("VALUE(REGEXEXTRACT(A617,""([^.]+)$""))"),1.0)</f>
        <v>1</v>
      </c>
      <c r="G617" s="49">
        <v>20.0</v>
      </c>
      <c r="H617" s="26" t="b">
        <f>COUNTIFS(
 tblCostChecklist[RequirementID],A617,
 tblCostChecklist[PlayerPaid],TRUE
)&gt;0</f>
        <v>0</v>
      </c>
      <c r="I617" s="49">
        <f t="shared" si="1"/>
        <v>6</v>
      </c>
      <c r="J617" s="49">
        <f t="shared" si="2"/>
        <v>0</v>
      </c>
      <c r="K617" s="49">
        <f t="shared" si="3"/>
        <v>6</v>
      </c>
      <c r="L617" s="49" t="b">
        <f t="shared" si="4"/>
        <v>0</v>
      </c>
      <c r="M617" s="88">
        <f t="shared" si="5"/>
        <v>0</v>
      </c>
    </row>
    <row r="618" ht="14.25" customHeight="1">
      <c r="A618" s="49" t="s">
        <v>2783</v>
      </c>
      <c r="B618" s="49" t="str">
        <f>IFERROR(__xludf.DUMMYFUNCTION("REGEXEXTRACT(A618,""^cost\.(.*)\.[^.]+\.[^.]+$"")"),"tech.airship.titanium_longerons")</f>
        <v>tech.airship.titanium_longerons</v>
      </c>
      <c r="C618" s="49" t="str">
        <f t="array" ref="C618">_xlfn.XLOOKUP(
 B618,
 tblTargets[TargetID],
 tblTargets[DisplayName],
 ""
)</f>
        <v>Airship - Titanium Longerons</v>
      </c>
      <c r="D618" s="49" t="str">
        <f t="array" ref="D618">_xlfn.XLOOKUP(
 B618,
 tblTargets[TargetID],
 tblTargets[TargetType],
 ""
)</f>
        <v>TECH</v>
      </c>
      <c r="E618" s="49" t="s">
        <v>6</v>
      </c>
      <c r="F618" s="87">
        <f>IFERROR(__xludf.DUMMYFUNCTION("VALUE(REGEXEXTRACT(A618,""([^.]+)$""))"),1.0)</f>
        <v>1</v>
      </c>
      <c r="G618" s="49">
        <v>5.0</v>
      </c>
      <c r="H618" s="26" t="b">
        <f>COUNTIFS(
 tblCostChecklist[RequirementID],A618,
 tblCostChecklist[PlayerPaid],TRUE
)&gt;0</f>
        <v>0</v>
      </c>
      <c r="I618" s="49">
        <f t="shared" si="1"/>
        <v>6</v>
      </c>
      <c r="J618" s="49">
        <f t="shared" si="2"/>
        <v>0</v>
      </c>
      <c r="K618" s="49">
        <f t="shared" si="3"/>
        <v>6</v>
      </c>
      <c r="L618" s="49" t="b">
        <f t="shared" si="4"/>
        <v>0</v>
      </c>
      <c r="M618" s="88">
        <f t="shared" si="5"/>
        <v>0</v>
      </c>
    </row>
    <row r="619" ht="14.25" customHeight="1">
      <c r="A619" s="49" t="s">
        <v>2785</v>
      </c>
      <c r="B619" s="49" t="str">
        <f>IFERROR(__xludf.DUMMYFUNCTION("REGEXEXTRACT(A619,""^cost\.(.*)\.[^.]+\.[^.]+$"")"),"tech.airship.titanium_longerons")</f>
        <v>tech.airship.titanium_longerons</v>
      </c>
      <c r="C619" s="49" t="str">
        <f t="array" ref="C619">_xlfn.XLOOKUP(
 B619,
 tblTargets[TargetID],
 tblTargets[DisplayName],
 ""
)</f>
        <v>Airship - Titanium Longerons</v>
      </c>
      <c r="D619" s="49" t="str">
        <f t="array" ref="D619">_xlfn.XLOOKUP(
 B619,
 tblTargets[TargetID],
 tblTargets[TargetType],
 ""
)</f>
        <v>TECH</v>
      </c>
      <c r="E619" s="49" t="s">
        <v>2786</v>
      </c>
      <c r="F619" s="87">
        <f>IFERROR(__xludf.DUMMYFUNCTION("VALUE(REGEXEXTRACT(A619,""([^.]+)$""))"),1.0)</f>
        <v>1</v>
      </c>
      <c r="G619" s="49">
        <v>30.0</v>
      </c>
      <c r="H619" s="26" t="b">
        <f>COUNTIFS(
 tblCostChecklist[RequirementID],A619,
 tblCostChecklist[PlayerPaid],TRUE
)&gt;0</f>
        <v>0</v>
      </c>
      <c r="I619" s="49">
        <f t="shared" si="1"/>
        <v>6</v>
      </c>
      <c r="J619" s="49">
        <f t="shared" si="2"/>
        <v>0</v>
      </c>
      <c r="K619" s="49">
        <f t="shared" si="3"/>
        <v>6</v>
      </c>
      <c r="L619" s="49" t="b">
        <f t="shared" si="4"/>
        <v>0</v>
      </c>
      <c r="M619" s="88">
        <f t="shared" si="5"/>
        <v>0</v>
      </c>
    </row>
    <row r="620" ht="14.25" customHeight="1">
      <c r="A620" s="49" t="s">
        <v>2788</v>
      </c>
      <c r="B620" s="49" t="str">
        <f>IFERROR(__xludf.DUMMYFUNCTION("REGEXEXTRACT(A620,""^cost\.(.*)\.[^.]+\.[^.]+$"")"),"tech.alchemists_hut.greek_grenade")</f>
        <v>tech.alchemists_hut.greek_grenade</v>
      </c>
      <c r="C620" s="49" t="str">
        <f t="array" ref="C620">_xlfn.XLOOKUP(
 B620,
 tblTargets[TargetID],
 tblTargets[DisplayName],
 ""
)</f>
        <v>Alchemists Hut - Greek Grenade</v>
      </c>
      <c r="D620" s="49" t="str">
        <f t="array" ref="D620">_xlfn.XLOOKUP(
 B620,
 tblTargets[TargetID],
 tblTargets[TargetType],
 ""
)</f>
        <v>TECH</v>
      </c>
      <c r="E620" s="49" t="s">
        <v>113</v>
      </c>
      <c r="F620" s="87">
        <f>IFERROR(__xludf.DUMMYFUNCTION("VALUE(REGEXEXTRACT(A620,""([^.]+)$""))"),1.0)</f>
        <v>1</v>
      </c>
      <c r="G620" s="49">
        <v>40.0</v>
      </c>
      <c r="H620" s="26" t="b">
        <f>COUNTIFS(
 tblCostChecklist[RequirementID],A620,
 tblCostChecklist[PlayerPaid],TRUE
)&gt;0</f>
        <v>0</v>
      </c>
      <c r="I620" s="49">
        <f t="shared" si="1"/>
        <v>6</v>
      </c>
      <c r="J620" s="49">
        <f t="shared" si="2"/>
        <v>0</v>
      </c>
      <c r="K620" s="49">
        <f t="shared" si="3"/>
        <v>6</v>
      </c>
      <c r="L620" s="49" t="b">
        <f t="shared" si="4"/>
        <v>0</v>
      </c>
      <c r="M620" s="88">
        <f t="shared" si="5"/>
        <v>0</v>
      </c>
    </row>
    <row r="621" ht="14.25" customHeight="1">
      <c r="A621" s="49" t="s">
        <v>2790</v>
      </c>
      <c r="B621" s="49" t="str">
        <f>IFERROR(__xludf.DUMMYFUNCTION("REGEXEXTRACT(A621,""^cost\.(.*)\.[^.]+\.[^.]+$"")"),"tech.alchemists_hut.greek_grenade")</f>
        <v>tech.alchemists_hut.greek_grenade</v>
      </c>
      <c r="C621" s="49" t="str">
        <f t="array" ref="C621">_xlfn.XLOOKUP(
 B621,
 tblTargets[TargetID],
 tblTargets[DisplayName],
 ""
)</f>
        <v>Alchemists Hut - Greek Grenade</v>
      </c>
      <c r="D621" s="49" t="str">
        <f t="array" ref="D621">_xlfn.XLOOKUP(
 B621,
 tblTargets[TargetID],
 tblTargets[TargetType],
 ""
)</f>
        <v>TECH</v>
      </c>
      <c r="E621" s="49" t="s">
        <v>119</v>
      </c>
      <c r="F621" s="87">
        <f>IFERROR(__xludf.DUMMYFUNCTION("VALUE(REGEXEXTRACT(A621,""([^.]+)$""))"),1.0)</f>
        <v>1</v>
      </c>
      <c r="G621" s="49">
        <v>300.0</v>
      </c>
      <c r="H621" s="26" t="b">
        <f>COUNTIFS(
 tblCostChecklist[RequirementID],A621,
 tblCostChecklist[PlayerPaid],TRUE
)&gt;0</f>
        <v>0</v>
      </c>
      <c r="I621" s="49">
        <f t="shared" si="1"/>
        <v>6</v>
      </c>
      <c r="J621" s="49">
        <f t="shared" si="2"/>
        <v>0</v>
      </c>
      <c r="K621" s="49">
        <f t="shared" si="3"/>
        <v>6</v>
      </c>
      <c r="L621" s="49" t="b">
        <f t="shared" si="4"/>
        <v>0</v>
      </c>
      <c r="M621" s="88">
        <f t="shared" si="5"/>
        <v>0</v>
      </c>
    </row>
    <row r="622" ht="14.25" customHeight="1">
      <c r="A622" s="49" t="s">
        <v>2792</v>
      </c>
      <c r="B622" s="49" t="str">
        <f>IFERROR(__xludf.DUMMYFUNCTION("REGEXEXTRACT(A622,""^cost\.(.*)\.[^.]+\.[^.]+$"")"),"tech.alchemists_hut.greek_grenade")</f>
        <v>tech.alchemists_hut.greek_grenade</v>
      </c>
      <c r="C622" s="49" t="str">
        <f t="array" ref="C622">_xlfn.XLOOKUP(
 B622,
 tblTargets[TargetID],
 tblTargets[DisplayName],
 ""
)</f>
        <v>Alchemists Hut - Greek Grenade</v>
      </c>
      <c r="D622" s="49" t="str">
        <f t="array" ref="D622">_xlfn.XLOOKUP(
 B622,
 tblTargets[TargetID],
 tblTargets[TargetType],
 ""
)</f>
        <v>TECH</v>
      </c>
      <c r="E622" s="49" t="s">
        <v>360</v>
      </c>
      <c r="F622" s="87">
        <f>IFERROR(__xludf.DUMMYFUNCTION("VALUE(REGEXEXTRACT(A622,""([^.]+)$""))"),1.0)</f>
        <v>1</v>
      </c>
      <c r="G622" s="49">
        <v>10.0</v>
      </c>
      <c r="H622" s="26" t="b">
        <f>COUNTIFS(
 tblCostChecklist[RequirementID],A622,
 tblCostChecklist[PlayerPaid],TRUE
)&gt;0</f>
        <v>0</v>
      </c>
      <c r="I622" s="49">
        <f t="shared" si="1"/>
        <v>6</v>
      </c>
      <c r="J622" s="49">
        <f t="shared" si="2"/>
        <v>0</v>
      </c>
      <c r="K622" s="49">
        <f t="shared" si="3"/>
        <v>6</v>
      </c>
      <c r="L622" s="49" t="b">
        <f t="shared" si="4"/>
        <v>0</v>
      </c>
      <c r="M622" s="88">
        <f t="shared" si="5"/>
        <v>0</v>
      </c>
    </row>
    <row r="623" ht="14.25" customHeight="1">
      <c r="A623" s="49" t="s">
        <v>2794</v>
      </c>
      <c r="B623" s="49" t="str">
        <f>IFERROR(__xludf.DUMMYFUNCTION("REGEXEXTRACT(A623,""^cost\.(.*)\.[^.]+\.[^.]+$"")"),"tech.alchemists_hut.greek_grenade")</f>
        <v>tech.alchemists_hut.greek_grenade</v>
      </c>
      <c r="C623" s="49" t="str">
        <f t="array" ref="C623">_xlfn.XLOOKUP(
 B623,
 tblTargets[TargetID],
 tblTargets[DisplayName],
 ""
)</f>
        <v>Alchemists Hut - Greek Grenade</v>
      </c>
      <c r="D623" s="49" t="str">
        <f t="array" ref="D623">_xlfn.XLOOKUP(
 B623,
 tblTargets[TargetID],
 tblTargets[TargetType],
 ""
)</f>
        <v>TECH</v>
      </c>
      <c r="E623" s="49" t="s">
        <v>588</v>
      </c>
      <c r="F623" s="87">
        <f>IFERROR(__xludf.DUMMYFUNCTION("VALUE(REGEXEXTRACT(A623,""([^.]+)$""))"),1.0)</f>
        <v>1</v>
      </c>
      <c r="G623" s="49">
        <v>10.0</v>
      </c>
      <c r="H623" s="26" t="b">
        <f>COUNTIFS(
 tblCostChecklist[RequirementID],A623,
 tblCostChecklist[PlayerPaid],TRUE
)&gt;0</f>
        <v>0</v>
      </c>
      <c r="I623" s="49">
        <f t="shared" si="1"/>
        <v>6</v>
      </c>
      <c r="J623" s="49">
        <f t="shared" si="2"/>
        <v>0</v>
      </c>
      <c r="K623" s="49">
        <f t="shared" si="3"/>
        <v>6</v>
      </c>
      <c r="L623" s="49" t="b">
        <f t="shared" si="4"/>
        <v>0</v>
      </c>
      <c r="M623" s="88">
        <f t="shared" si="5"/>
        <v>0</v>
      </c>
    </row>
    <row r="624" ht="14.25" customHeight="1">
      <c r="A624" s="49" t="s">
        <v>2796</v>
      </c>
      <c r="B624" s="49" t="str">
        <f>IFERROR(__xludf.DUMMYFUNCTION("REGEXEXTRACT(A624,""^cost\.(.*)\.[^.]+\.[^.]+$"")"),"tech.alchemists_hut.greek_grenade")</f>
        <v>tech.alchemists_hut.greek_grenade</v>
      </c>
      <c r="C624" s="49" t="str">
        <f t="array" ref="C624">_xlfn.XLOOKUP(
 B624,
 tblTargets[TargetID],
 tblTargets[DisplayName],
 ""
)</f>
        <v>Alchemists Hut - Greek Grenade</v>
      </c>
      <c r="D624" s="49" t="str">
        <f t="array" ref="D624">_xlfn.XLOOKUP(
 B624,
 tblTargets[TargetID],
 tblTargets[TargetType],
 ""
)</f>
        <v>TECH</v>
      </c>
      <c r="E624" s="49" t="s">
        <v>132</v>
      </c>
      <c r="F624" s="87">
        <f>IFERROR(__xludf.DUMMYFUNCTION("VALUE(REGEXEXTRACT(A624,""([^.]+)$""))"),1.0)</f>
        <v>1</v>
      </c>
      <c r="G624" s="49">
        <v>20.0</v>
      </c>
      <c r="H624" s="26" t="b">
        <f>COUNTIFS(
 tblCostChecklist[RequirementID],A624,
 tblCostChecklist[PlayerPaid],TRUE
)&gt;0</f>
        <v>0</v>
      </c>
      <c r="I624" s="49">
        <f t="shared" si="1"/>
        <v>6</v>
      </c>
      <c r="J624" s="49">
        <f t="shared" si="2"/>
        <v>0</v>
      </c>
      <c r="K624" s="49">
        <f t="shared" si="3"/>
        <v>6</v>
      </c>
      <c r="L624" s="49" t="b">
        <f t="shared" si="4"/>
        <v>0</v>
      </c>
      <c r="M624" s="88">
        <f t="shared" si="5"/>
        <v>0</v>
      </c>
    </row>
    <row r="625" ht="14.25" customHeight="1">
      <c r="A625" s="49" t="s">
        <v>2798</v>
      </c>
      <c r="B625" s="49" t="str">
        <f>IFERROR(__xludf.DUMMYFUNCTION("REGEXEXTRACT(A625,""^cost\.(.*)\.[^.]+\.[^.]+$"")"),"tech.alchemists_hut.greek_grenade")</f>
        <v>tech.alchemists_hut.greek_grenade</v>
      </c>
      <c r="C625" s="49" t="str">
        <f t="array" ref="C625">_xlfn.XLOOKUP(
 B625,
 tblTargets[TargetID],
 tblTargets[DisplayName],
 ""
)</f>
        <v>Alchemists Hut - Greek Grenade</v>
      </c>
      <c r="D625" s="49" t="str">
        <f t="array" ref="D625">_xlfn.XLOOKUP(
 B625,
 tblTargets[TargetID],
 tblTargets[TargetType],
 ""
)</f>
        <v>TECH</v>
      </c>
      <c r="E625" s="49" t="s">
        <v>6</v>
      </c>
      <c r="F625" s="87">
        <f>IFERROR(__xludf.DUMMYFUNCTION("VALUE(REGEXEXTRACT(A625,""([^.]+)$""))"),1.0)</f>
        <v>1</v>
      </c>
      <c r="G625" s="49">
        <v>1.0</v>
      </c>
      <c r="H625" s="26" t="b">
        <f>COUNTIFS(
 tblCostChecklist[RequirementID],A625,
 tblCostChecklist[PlayerPaid],TRUE
)&gt;0</f>
        <v>0</v>
      </c>
      <c r="I625" s="49">
        <f t="shared" si="1"/>
        <v>6</v>
      </c>
      <c r="J625" s="49">
        <f t="shared" si="2"/>
        <v>0</v>
      </c>
      <c r="K625" s="49">
        <f t="shared" si="3"/>
        <v>6</v>
      </c>
      <c r="L625" s="49" t="b">
        <f t="shared" si="4"/>
        <v>0</v>
      </c>
      <c r="M625" s="88">
        <f t="shared" si="5"/>
        <v>0</v>
      </c>
    </row>
    <row r="626" ht="14.25" customHeight="1">
      <c r="A626" s="49" t="s">
        <v>2800</v>
      </c>
      <c r="B626" s="49" t="str">
        <f>IFERROR(__xludf.DUMMYFUNCTION("REGEXEXTRACT(A626,""^cost\.(.*)\.[^.]+\.[^.]+$"")"),"tech.alchemists_hut.synthetic_fertilizer")</f>
        <v>tech.alchemists_hut.synthetic_fertilizer</v>
      </c>
      <c r="C626" s="49" t="str">
        <f t="array" ref="C626">_xlfn.XLOOKUP(
 B626,
 tblTargets[TargetID],
 tblTargets[DisplayName],
 ""
)</f>
        <v>Alchemists Hut - Synthetic Fertilizer</v>
      </c>
      <c r="D626" s="49" t="str">
        <f t="array" ref="D626">_xlfn.XLOOKUP(
 B626,
 tblTargets[TargetID],
 tblTargets[TargetType],
 ""
)</f>
        <v>TECH</v>
      </c>
      <c r="E626" s="49" t="s">
        <v>1055</v>
      </c>
      <c r="F626" s="87">
        <f>IFERROR(__xludf.DUMMYFUNCTION("VALUE(REGEXEXTRACT(A626,""([^.]+)$""))"),1.0)</f>
        <v>1</v>
      </c>
      <c r="G626" s="49">
        <v>15.0</v>
      </c>
      <c r="H626" s="26" t="b">
        <f>COUNTIFS(
 tblCostChecklist[RequirementID],A626,
 tblCostChecklist[PlayerPaid],TRUE
)&gt;0</f>
        <v>0</v>
      </c>
      <c r="I626" s="49">
        <f t="shared" si="1"/>
        <v>6</v>
      </c>
      <c r="J626" s="49">
        <f t="shared" si="2"/>
        <v>0</v>
      </c>
      <c r="K626" s="49">
        <f t="shared" si="3"/>
        <v>6</v>
      </c>
      <c r="L626" s="49" t="b">
        <f t="shared" si="4"/>
        <v>0</v>
      </c>
      <c r="M626" s="88">
        <f t="shared" si="5"/>
        <v>0</v>
      </c>
    </row>
    <row r="627" ht="14.25" customHeight="1">
      <c r="A627" s="49" t="s">
        <v>2802</v>
      </c>
      <c r="B627" s="49" t="str">
        <f>IFERROR(__xludf.DUMMYFUNCTION("REGEXEXTRACT(A627,""^cost\.(.*)\.[^.]+\.[^.]+$"")"),"tech.alchemists_hut.synthetic_fertilizer")</f>
        <v>tech.alchemists_hut.synthetic_fertilizer</v>
      </c>
      <c r="C627" s="49" t="str">
        <f t="array" ref="C627">_xlfn.XLOOKUP(
 B627,
 tblTargets[TargetID],
 tblTargets[DisplayName],
 ""
)</f>
        <v>Alchemists Hut - Synthetic Fertilizer</v>
      </c>
      <c r="D627" s="49" t="str">
        <f t="array" ref="D627">_xlfn.XLOOKUP(
 B627,
 tblTargets[TargetID],
 tblTargets[TargetType],
 ""
)</f>
        <v>TECH</v>
      </c>
      <c r="E627" s="49" t="s">
        <v>283</v>
      </c>
      <c r="F627" s="87">
        <f>IFERROR(__xludf.DUMMYFUNCTION("VALUE(REGEXEXTRACT(A627,""([^.]+)$""))"),1.0)</f>
        <v>1</v>
      </c>
      <c r="G627" s="49">
        <v>100.0</v>
      </c>
      <c r="H627" s="26" t="b">
        <f>COUNTIFS(
 tblCostChecklist[RequirementID],A627,
 tblCostChecklist[PlayerPaid],TRUE
)&gt;0</f>
        <v>0</v>
      </c>
      <c r="I627" s="49">
        <f t="shared" si="1"/>
        <v>6</v>
      </c>
      <c r="J627" s="49">
        <f t="shared" si="2"/>
        <v>0</v>
      </c>
      <c r="K627" s="49">
        <f t="shared" si="3"/>
        <v>6</v>
      </c>
      <c r="L627" s="49" t="b">
        <f t="shared" si="4"/>
        <v>0</v>
      </c>
      <c r="M627" s="88">
        <f t="shared" si="5"/>
        <v>0</v>
      </c>
    </row>
    <row r="628" ht="14.25" customHeight="1">
      <c r="A628" s="49" t="s">
        <v>2804</v>
      </c>
      <c r="B628" s="49" t="str">
        <f>IFERROR(__xludf.DUMMYFUNCTION("REGEXEXTRACT(A628,""^cost\.(.*)\.[^.]+\.[^.]+$"")"),"tech.alchemists_hut.synthetic_fertilizer")</f>
        <v>tech.alchemists_hut.synthetic_fertilizer</v>
      </c>
      <c r="C628" s="49" t="str">
        <f t="array" ref="C628">_xlfn.XLOOKUP(
 B628,
 tblTargets[TargetID],
 tblTargets[DisplayName],
 ""
)</f>
        <v>Alchemists Hut - Synthetic Fertilizer</v>
      </c>
      <c r="D628" s="49" t="str">
        <f t="array" ref="D628">_xlfn.XLOOKUP(
 B628,
 tblTargets[TargetID],
 tblTargets[TargetType],
 ""
)</f>
        <v>TECH</v>
      </c>
      <c r="E628" s="49" t="s">
        <v>113</v>
      </c>
      <c r="F628" s="87">
        <f>IFERROR(__xludf.DUMMYFUNCTION("VALUE(REGEXEXTRACT(A628,""([^.]+)$""))"),1.0)</f>
        <v>1</v>
      </c>
      <c r="G628" s="49">
        <v>50.0</v>
      </c>
      <c r="H628" s="26" t="b">
        <f>COUNTIFS(
 tblCostChecklist[RequirementID],A628,
 tblCostChecklist[PlayerPaid],TRUE
)&gt;0</f>
        <v>0</v>
      </c>
      <c r="I628" s="49">
        <f t="shared" si="1"/>
        <v>6</v>
      </c>
      <c r="J628" s="49">
        <f t="shared" si="2"/>
        <v>0</v>
      </c>
      <c r="K628" s="49">
        <f t="shared" si="3"/>
        <v>6</v>
      </c>
      <c r="L628" s="49" t="b">
        <f t="shared" si="4"/>
        <v>0</v>
      </c>
      <c r="M628" s="88">
        <f t="shared" si="5"/>
        <v>0</v>
      </c>
    </row>
    <row r="629" ht="14.25" customHeight="1">
      <c r="A629" s="49" t="s">
        <v>2806</v>
      </c>
      <c r="B629" s="49" t="str">
        <f>IFERROR(__xludf.DUMMYFUNCTION("REGEXEXTRACT(A629,""^cost\.(.*)\.[^.]+\.[^.]+$"")"),"tech.alchemists_hut.synthetic_fertilizer")</f>
        <v>tech.alchemists_hut.synthetic_fertilizer</v>
      </c>
      <c r="C629" s="49" t="str">
        <f t="array" ref="C629">_xlfn.XLOOKUP(
 B629,
 tblTargets[TargetID],
 tblTargets[DisplayName],
 ""
)</f>
        <v>Alchemists Hut - Synthetic Fertilizer</v>
      </c>
      <c r="D629" s="49" t="str">
        <f t="array" ref="D629">_xlfn.XLOOKUP(
 B629,
 tblTargets[TargetID],
 tblTargets[TargetType],
 ""
)</f>
        <v>TECH</v>
      </c>
      <c r="E629" s="49" t="s">
        <v>119</v>
      </c>
      <c r="F629" s="87">
        <f>IFERROR(__xludf.DUMMYFUNCTION("VALUE(REGEXEXTRACT(A629,""([^.]+)$""))"),1.0)</f>
        <v>1</v>
      </c>
      <c r="G629" s="49">
        <v>300.0</v>
      </c>
      <c r="H629" s="26" t="b">
        <f>COUNTIFS(
 tblCostChecklist[RequirementID],A629,
 tblCostChecklist[PlayerPaid],TRUE
)&gt;0</f>
        <v>0</v>
      </c>
      <c r="I629" s="49">
        <f t="shared" si="1"/>
        <v>6</v>
      </c>
      <c r="J629" s="49">
        <f t="shared" si="2"/>
        <v>0</v>
      </c>
      <c r="K629" s="49">
        <f t="shared" si="3"/>
        <v>6</v>
      </c>
      <c r="L629" s="49" t="b">
        <f t="shared" si="4"/>
        <v>0</v>
      </c>
      <c r="M629" s="88">
        <f t="shared" si="5"/>
        <v>0</v>
      </c>
    </row>
    <row r="630" ht="14.25" customHeight="1">
      <c r="A630" s="49" t="s">
        <v>2808</v>
      </c>
      <c r="B630" s="49" t="str">
        <f>IFERROR(__xludf.DUMMYFUNCTION("REGEXEXTRACT(A630,""^cost\.(.*)\.[^.]+\.[^.]+$"")"),"tech.alchemists_hut.synthetic_fertilizer")</f>
        <v>tech.alchemists_hut.synthetic_fertilizer</v>
      </c>
      <c r="C630" s="49" t="str">
        <f t="array" ref="C630">_xlfn.XLOOKUP(
 B630,
 tblTargets[TargetID],
 tblTargets[DisplayName],
 ""
)</f>
        <v>Alchemists Hut - Synthetic Fertilizer</v>
      </c>
      <c r="D630" s="49" t="str">
        <f t="array" ref="D630">_xlfn.XLOOKUP(
 B630,
 tblTargets[TargetID],
 tblTargets[TargetType],
 ""
)</f>
        <v>TECH</v>
      </c>
      <c r="E630" s="49" t="s">
        <v>140</v>
      </c>
      <c r="F630" s="87">
        <f>IFERROR(__xludf.DUMMYFUNCTION("VALUE(REGEXEXTRACT(A630,""([^.]+)$""))"),1.0)</f>
        <v>1</v>
      </c>
      <c r="G630" s="49">
        <v>10.0</v>
      </c>
      <c r="H630" s="26" t="b">
        <f>COUNTIFS(
 tblCostChecklist[RequirementID],A630,
 tblCostChecklist[PlayerPaid],TRUE
)&gt;0</f>
        <v>0</v>
      </c>
      <c r="I630" s="49">
        <f t="shared" si="1"/>
        <v>6</v>
      </c>
      <c r="J630" s="49">
        <f t="shared" si="2"/>
        <v>0</v>
      </c>
      <c r="K630" s="49">
        <f t="shared" si="3"/>
        <v>6</v>
      </c>
      <c r="L630" s="49" t="b">
        <f t="shared" si="4"/>
        <v>0</v>
      </c>
      <c r="M630" s="88">
        <f t="shared" si="5"/>
        <v>0</v>
      </c>
    </row>
    <row r="631" ht="14.25" customHeight="1">
      <c r="A631" s="49" t="s">
        <v>2810</v>
      </c>
      <c r="B631" s="49" t="str">
        <f>IFERROR(__xludf.DUMMYFUNCTION("REGEXEXTRACT(A631,""^cost\.(.*)\.[^.]+\.[^.]+$"")"),"tech.alchemists_hut.synthetic_fertilizer")</f>
        <v>tech.alchemists_hut.synthetic_fertilizer</v>
      </c>
      <c r="C631" s="49" t="str">
        <f t="array" ref="C631">_xlfn.XLOOKUP(
 B631,
 tblTargets[TargetID],
 tblTargets[DisplayName],
 ""
)</f>
        <v>Alchemists Hut - Synthetic Fertilizer</v>
      </c>
      <c r="D631" s="49" t="str">
        <f t="array" ref="D631">_xlfn.XLOOKUP(
 B631,
 tblTargets[TargetID],
 tblTargets[TargetType],
 ""
)</f>
        <v>TECH</v>
      </c>
      <c r="E631" s="49" t="s">
        <v>6</v>
      </c>
      <c r="F631" s="87">
        <f>IFERROR(__xludf.DUMMYFUNCTION("VALUE(REGEXEXTRACT(A631,""([^.]+)$""))"),1.0)</f>
        <v>1</v>
      </c>
      <c r="G631" s="49">
        <v>1.0</v>
      </c>
      <c r="H631" s="26" t="b">
        <f>COUNTIFS(
 tblCostChecklist[RequirementID],A631,
 tblCostChecklist[PlayerPaid],TRUE
)&gt;0</f>
        <v>0</v>
      </c>
      <c r="I631" s="49">
        <f t="shared" si="1"/>
        <v>6</v>
      </c>
      <c r="J631" s="49">
        <f t="shared" si="2"/>
        <v>0</v>
      </c>
      <c r="K631" s="49">
        <f t="shared" si="3"/>
        <v>6</v>
      </c>
      <c r="L631" s="49" t="b">
        <f t="shared" si="4"/>
        <v>0</v>
      </c>
      <c r="M631" s="88">
        <f t="shared" si="5"/>
        <v>0</v>
      </c>
    </row>
    <row r="632" ht="14.25" customHeight="1">
      <c r="A632" s="49" t="s">
        <v>2813</v>
      </c>
      <c r="B632" s="49" t="str">
        <f>IFERROR(__xludf.DUMMYFUNCTION("REGEXEXTRACT(A632,""^cost\.(.*)\.[^.]+\.[^.]+$"")"),"tech.alchemists_hut.balm")</f>
        <v>tech.alchemists_hut.balm</v>
      </c>
      <c r="C632" s="49" t="str">
        <f t="array" ref="C632">_xlfn.XLOOKUP(
 B632,
 tblTargets[TargetID],
 tblTargets[DisplayName],
 ""
)</f>
        <v>Alchemists Hut - Balm</v>
      </c>
      <c r="D632" s="49" t="str">
        <f t="array" ref="D632">_xlfn.XLOOKUP(
 B632,
 tblTargets[TargetID],
 tblTargets[TargetType],
 ""
)</f>
        <v>TECH</v>
      </c>
      <c r="E632" s="49" t="s">
        <v>2514</v>
      </c>
      <c r="F632" s="87">
        <f>IFERROR(__xludf.DUMMYFUNCTION("VALUE(REGEXEXTRACT(A632,""([^.]+)$""))"),1.0)</f>
        <v>1</v>
      </c>
      <c r="G632" s="49">
        <v>9.0</v>
      </c>
      <c r="H632" s="26" t="b">
        <f>COUNTIFS(
 tblCostChecklist[RequirementID],A632,
 tblCostChecklist[PlayerPaid],TRUE
)&gt;0</f>
        <v>0</v>
      </c>
      <c r="I632" s="49">
        <f t="shared" si="1"/>
        <v>7</v>
      </c>
      <c r="J632" s="49">
        <f t="shared" si="2"/>
        <v>0</v>
      </c>
      <c r="K632" s="49">
        <f t="shared" si="3"/>
        <v>7</v>
      </c>
      <c r="L632" s="49" t="b">
        <f t="shared" si="4"/>
        <v>0</v>
      </c>
      <c r="M632" s="88">
        <f t="shared" si="5"/>
        <v>0</v>
      </c>
    </row>
    <row r="633" ht="14.25" customHeight="1">
      <c r="A633" s="49" t="s">
        <v>2814</v>
      </c>
      <c r="B633" s="49" t="str">
        <f>IFERROR(__xludf.DUMMYFUNCTION("REGEXEXTRACT(A633,""^cost\.(.*)\.[^.]+\.[^.]+$"")"),"tech.alchemists_hut.balm")</f>
        <v>tech.alchemists_hut.balm</v>
      </c>
      <c r="C633" s="49" t="str">
        <f t="array" ref="C633">_xlfn.XLOOKUP(
 B633,
 tblTargets[TargetID],
 tblTargets[DisplayName],
 ""
)</f>
        <v>Alchemists Hut - Balm</v>
      </c>
      <c r="D633" s="49" t="str">
        <f t="array" ref="D633">_xlfn.XLOOKUP(
 B633,
 tblTargets[TargetID],
 tblTargets[TargetType],
 ""
)</f>
        <v>TECH</v>
      </c>
      <c r="E633" s="49" t="s">
        <v>119</v>
      </c>
      <c r="F633" s="87">
        <f>IFERROR(__xludf.DUMMYFUNCTION("VALUE(REGEXEXTRACT(A633,""([^.]+)$""))"),1.0)</f>
        <v>1</v>
      </c>
      <c r="G633" s="49">
        <v>300.0</v>
      </c>
      <c r="H633" s="26" t="b">
        <f>COUNTIFS(
 tblCostChecklist[RequirementID],A633,
 tblCostChecklist[PlayerPaid],TRUE
)&gt;0</f>
        <v>0</v>
      </c>
      <c r="I633" s="49">
        <f t="shared" si="1"/>
        <v>7</v>
      </c>
      <c r="J633" s="49">
        <f t="shared" si="2"/>
        <v>0</v>
      </c>
      <c r="K633" s="49">
        <f t="shared" si="3"/>
        <v>7</v>
      </c>
      <c r="L633" s="49" t="b">
        <f t="shared" si="4"/>
        <v>0</v>
      </c>
      <c r="M633" s="88">
        <f t="shared" si="5"/>
        <v>0</v>
      </c>
    </row>
    <row r="634" ht="14.25" customHeight="1">
      <c r="A634" s="49" t="s">
        <v>2816</v>
      </c>
      <c r="B634" s="49" t="str">
        <f>IFERROR(__xludf.DUMMYFUNCTION("REGEXEXTRACT(A634,""^cost\.(.*)\.[^.]+\.[^.]+$"")"),"tech.alchemists_hut.balm")</f>
        <v>tech.alchemists_hut.balm</v>
      </c>
      <c r="C634" s="49" t="str">
        <f t="array" ref="C634">_xlfn.XLOOKUP(
 B634,
 tblTargets[TargetID],
 tblTargets[DisplayName],
 ""
)</f>
        <v>Alchemists Hut - Balm</v>
      </c>
      <c r="D634" s="49" t="str">
        <f t="array" ref="D634">_xlfn.XLOOKUP(
 B634,
 tblTargets[TargetID],
 tblTargets[TargetType],
 ""
)</f>
        <v>TECH</v>
      </c>
      <c r="E634" s="49" t="s">
        <v>360</v>
      </c>
      <c r="F634" s="87">
        <f>IFERROR(__xludf.DUMMYFUNCTION("VALUE(REGEXEXTRACT(A634,""([^.]+)$""))"),1.0)</f>
        <v>1</v>
      </c>
      <c r="G634" s="49">
        <v>10.0</v>
      </c>
      <c r="H634" s="26" t="b">
        <f>COUNTIFS(
 tblCostChecklist[RequirementID],A634,
 tblCostChecklist[PlayerPaid],TRUE
)&gt;0</f>
        <v>0</v>
      </c>
      <c r="I634" s="49">
        <f t="shared" si="1"/>
        <v>7</v>
      </c>
      <c r="J634" s="49">
        <f t="shared" si="2"/>
        <v>0</v>
      </c>
      <c r="K634" s="49">
        <f t="shared" si="3"/>
        <v>7</v>
      </c>
      <c r="L634" s="49" t="b">
        <f t="shared" si="4"/>
        <v>0</v>
      </c>
      <c r="M634" s="88">
        <f t="shared" si="5"/>
        <v>0</v>
      </c>
    </row>
    <row r="635" ht="14.25" customHeight="1">
      <c r="A635" s="49" t="s">
        <v>2818</v>
      </c>
      <c r="B635" s="49" t="str">
        <f>IFERROR(__xludf.DUMMYFUNCTION("REGEXEXTRACT(A635,""^cost\.(.*)\.[^.]+\.[^.]+$"")"),"tech.alchemists_hut.balm")</f>
        <v>tech.alchemists_hut.balm</v>
      </c>
      <c r="C635" s="49" t="str">
        <f t="array" ref="C635">_xlfn.XLOOKUP(
 B635,
 tblTargets[TargetID],
 tblTargets[DisplayName],
 ""
)</f>
        <v>Alchemists Hut - Balm</v>
      </c>
      <c r="D635" s="49" t="str">
        <f t="array" ref="D635">_xlfn.XLOOKUP(
 B635,
 tblTargets[TargetID],
 tblTargets[TargetType],
 ""
)</f>
        <v>TECH</v>
      </c>
      <c r="E635" s="49" t="s">
        <v>530</v>
      </c>
      <c r="F635" s="87">
        <f>IFERROR(__xludf.DUMMYFUNCTION("VALUE(REGEXEXTRACT(A635,""([^.]+)$""))"),1.0)</f>
        <v>1</v>
      </c>
      <c r="G635" s="49">
        <v>10.0</v>
      </c>
      <c r="H635" s="26" t="b">
        <f>COUNTIFS(
 tblCostChecklist[RequirementID],A635,
 tblCostChecklist[PlayerPaid],TRUE
)&gt;0</f>
        <v>0</v>
      </c>
      <c r="I635" s="49">
        <f t="shared" si="1"/>
        <v>7</v>
      </c>
      <c r="J635" s="49">
        <f t="shared" si="2"/>
        <v>0</v>
      </c>
      <c r="K635" s="49">
        <f t="shared" si="3"/>
        <v>7</v>
      </c>
      <c r="L635" s="49" t="b">
        <f t="shared" si="4"/>
        <v>0</v>
      </c>
      <c r="M635" s="88">
        <f t="shared" si="5"/>
        <v>0</v>
      </c>
    </row>
    <row r="636" ht="14.25" customHeight="1">
      <c r="A636" s="49" t="s">
        <v>2820</v>
      </c>
      <c r="B636" s="49" t="str">
        <f>IFERROR(__xludf.DUMMYFUNCTION("REGEXEXTRACT(A636,""^cost\.(.*)\.[^.]+\.[^.]+$"")"),"tech.alchemists_hut.balm")</f>
        <v>tech.alchemists_hut.balm</v>
      </c>
      <c r="C636" s="49" t="str">
        <f t="array" ref="C636">_xlfn.XLOOKUP(
 B636,
 tblTargets[TargetID],
 tblTargets[DisplayName],
 ""
)</f>
        <v>Alchemists Hut - Balm</v>
      </c>
      <c r="D636" s="49" t="str">
        <f t="array" ref="D636">_xlfn.XLOOKUP(
 B636,
 tblTargets[TargetID],
 tblTargets[TargetType],
 ""
)</f>
        <v>TECH</v>
      </c>
      <c r="E636" s="49" t="s">
        <v>508</v>
      </c>
      <c r="F636" s="87">
        <f>IFERROR(__xludf.DUMMYFUNCTION("VALUE(REGEXEXTRACT(A636,""([^.]+)$""))"),1.0)</f>
        <v>1</v>
      </c>
      <c r="G636" s="49">
        <v>30.0</v>
      </c>
      <c r="H636" s="26" t="b">
        <f>COUNTIFS(
 tblCostChecklist[RequirementID],A636,
 tblCostChecklist[PlayerPaid],TRUE
)&gt;0</f>
        <v>0</v>
      </c>
      <c r="I636" s="49">
        <f t="shared" si="1"/>
        <v>7</v>
      </c>
      <c r="J636" s="49">
        <f t="shared" si="2"/>
        <v>0</v>
      </c>
      <c r="K636" s="49">
        <f t="shared" si="3"/>
        <v>7</v>
      </c>
      <c r="L636" s="49" t="b">
        <f t="shared" si="4"/>
        <v>0</v>
      </c>
      <c r="M636" s="88">
        <f t="shared" si="5"/>
        <v>0</v>
      </c>
    </row>
    <row r="637" ht="14.25" customHeight="1">
      <c r="A637" s="49" t="s">
        <v>2822</v>
      </c>
      <c r="B637" s="49" t="str">
        <f>IFERROR(__xludf.DUMMYFUNCTION("REGEXEXTRACT(A637,""^cost\.(.*)\.[^.]+\.[^.]+$"")"),"tech.alchemists_hut.balm")</f>
        <v>tech.alchemists_hut.balm</v>
      </c>
      <c r="C637" s="49" t="str">
        <f t="array" ref="C637">_xlfn.XLOOKUP(
 B637,
 tblTargets[TargetID],
 tblTargets[DisplayName],
 ""
)</f>
        <v>Alchemists Hut - Balm</v>
      </c>
      <c r="D637" s="49" t="str">
        <f t="array" ref="D637">_xlfn.XLOOKUP(
 B637,
 tblTargets[TargetID],
 tblTargets[TargetType],
 ""
)</f>
        <v>TECH</v>
      </c>
      <c r="E637" s="49" t="s">
        <v>588</v>
      </c>
      <c r="F637" s="87">
        <f>IFERROR(__xludf.DUMMYFUNCTION("VALUE(REGEXEXTRACT(A637,""([^.]+)$""))"),1.0)</f>
        <v>1</v>
      </c>
      <c r="G637" s="49">
        <v>5.0</v>
      </c>
      <c r="H637" s="26" t="b">
        <f>COUNTIFS(
 tblCostChecklist[RequirementID],A637,
 tblCostChecklist[PlayerPaid],TRUE
)&gt;0</f>
        <v>0</v>
      </c>
      <c r="I637" s="49">
        <f t="shared" si="1"/>
        <v>7</v>
      </c>
      <c r="J637" s="49">
        <f t="shared" si="2"/>
        <v>0</v>
      </c>
      <c r="K637" s="49">
        <f t="shared" si="3"/>
        <v>7</v>
      </c>
      <c r="L637" s="49" t="b">
        <f t="shared" si="4"/>
        <v>0</v>
      </c>
      <c r="M637" s="88">
        <f t="shared" si="5"/>
        <v>0</v>
      </c>
    </row>
    <row r="638" ht="14.25" customHeight="1">
      <c r="A638" s="49" t="s">
        <v>2824</v>
      </c>
      <c r="B638" s="49" t="str">
        <f>IFERROR(__xludf.DUMMYFUNCTION("REGEXEXTRACT(A638,""^cost\.(.*)\.[^.]+\.[^.]+$"")"),"tech.alchemists_hut.balm")</f>
        <v>tech.alchemists_hut.balm</v>
      </c>
      <c r="C638" s="49" t="str">
        <f t="array" ref="C638">_xlfn.XLOOKUP(
 B638,
 tblTargets[TargetID],
 tblTargets[DisplayName],
 ""
)</f>
        <v>Alchemists Hut - Balm</v>
      </c>
      <c r="D638" s="49" t="str">
        <f t="array" ref="D638">_xlfn.XLOOKUP(
 B638,
 tblTargets[TargetID],
 tblTargets[TargetType],
 ""
)</f>
        <v>TECH</v>
      </c>
      <c r="E638" s="49" t="s">
        <v>6</v>
      </c>
      <c r="F638" s="87">
        <f>IFERROR(__xludf.DUMMYFUNCTION("VALUE(REGEXEXTRACT(A638,""([^.]+)$""))"),1.0)</f>
        <v>1</v>
      </c>
      <c r="G638" s="49">
        <v>1.0</v>
      </c>
      <c r="H638" s="26" t="b">
        <f>COUNTIFS(
 tblCostChecklist[RequirementID],A638,
 tblCostChecklist[PlayerPaid],TRUE
)&gt;0</f>
        <v>0</v>
      </c>
      <c r="I638" s="49">
        <f t="shared" si="1"/>
        <v>7</v>
      </c>
      <c r="J638" s="49">
        <f t="shared" si="2"/>
        <v>0</v>
      </c>
      <c r="K638" s="49">
        <f t="shared" si="3"/>
        <v>7</v>
      </c>
      <c r="L638" s="49" t="b">
        <f t="shared" si="4"/>
        <v>0</v>
      </c>
      <c r="M638" s="88">
        <f t="shared" si="5"/>
        <v>0</v>
      </c>
    </row>
    <row r="639" ht="14.25" customHeight="1">
      <c r="A639" s="49" t="s">
        <v>2826</v>
      </c>
      <c r="B639" s="49" t="str">
        <f>IFERROR(__xludf.DUMMYFUNCTION("REGEXEXTRACT(A639,""^cost\.(.*)\.[^.]+\.[^.]+$"")"),"tech.alchemists_hut.potion_of_mental_power")</f>
        <v>tech.alchemists_hut.potion_of_mental_power</v>
      </c>
      <c r="C639" s="49" t="str">
        <f t="array" ref="C639">_xlfn.XLOOKUP(
 B639,
 tblTargets[TargetID],
 tblTargets[DisplayName],
 ""
)</f>
        <v>Alchemists Hut - Potion Of Mental Power</v>
      </c>
      <c r="D639" s="49" t="str">
        <f t="array" ref="D639">_xlfn.XLOOKUP(
 B639,
 tblTargets[TargetID],
 tblTargets[TargetType],
 ""
)</f>
        <v>TECH</v>
      </c>
      <c r="E639" s="49" t="s">
        <v>2514</v>
      </c>
      <c r="F639" s="87">
        <f>IFERROR(__xludf.DUMMYFUNCTION("VALUE(REGEXEXTRACT(A639,""([^.]+)$""))"),1.0)</f>
        <v>1</v>
      </c>
      <c r="G639" s="49">
        <v>15.0</v>
      </c>
      <c r="H639" s="26" t="b">
        <f>COUNTIFS(
 tblCostChecklist[RequirementID],A639,
 tblCostChecklist[PlayerPaid],TRUE
)&gt;0</f>
        <v>0</v>
      </c>
      <c r="I639" s="49">
        <f t="shared" si="1"/>
        <v>8</v>
      </c>
      <c r="J639" s="49">
        <f t="shared" si="2"/>
        <v>0</v>
      </c>
      <c r="K639" s="49">
        <f t="shared" si="3"/>
        <v>8</v>
      </c>
      <c r="L639" s="49" t="b">
        <f t="shared" si="4"/>
        <v>0</v>
      </c>
      <c r="M639" s="88">
        <f t="shared" si="5"/>
        <v>0</v>
      </c>
    </row>
    <row r="640" ht="14.25" customHeight="1">
      <c r="A640" s="49" t="s">
        <v>2828</v>
      </c>
      <c r="B640" s="49" t="str">
        <f>IFERROR(__xludf.DUMMYFUNCTION("REGEXEXTRACT(A640,""^cost\.(.*)\.[^.]+\.[^.]+$"")"),"tech.alchemists_hut.potion_of_mental_power")</f>
        <v>tech.alchemists_hut.potion_of_mental_power</v>
      </c>
      <c r="C640" s="49" t="str">
        <f t="array" ref="C640">_xlfn.XLOOKUP(
 B640,
 tblTargets[TargetID],
 tblTargets[DisplayName],
 ""
)</f>
        <v>Alchemists Hut - Potion Of Mental Power</v>
      </c>
      <c r="D640" s="49" t="str">
        <f t="array" ref="D640">_xlfn.XLOOKUP(
 B640,
 tblTargets[TargetID],
 tblTargets[TargetType],
 ""
)</f>
        <v>TECH</v>
      </c>
      <c r="E640" s="49" t="s">
        <v>119</v>
      </c>
      <c r="F640" s="87">
        <f>IFERROR(__xludf.DUMMYFUNCTION("VALUE(REGEXEXTRACT(A640,""([^.]+)$""))"),1.0)</f>
        <v>1</v>
      </c>
      <c r="G640" s="49">
        <v>300.0</v>
      </c>
      <c r="H640" s="26" t="b">
        <f>COUNTIFS(
 tblCostChecklist[RequirementID],A640,
 tblCostChecklist[PlayerPaid],TRUE
)&gt;0</f>
        <v>0</v>
      </c>
      <c r="I640" s="49">
        <f t="shared" si="1"/>
        <v>8</v>
      </c>
      <c r="J640" s="49">
        <f t="shared" si="2"/>
        <v>0</v>
      </c>
      <c r="K640" s="49">
        <f t="shared" si="3"/>
        <v>8</v>
      </c>
      <c r="L640" s="49" t="b">
        <f t="shared" si="4"/>
        <v>0</v>
      </c>
      <c r="M640" s="88">
        <f t="shared" si="5"/>
        <v>0</v>
      </c>
    </row>
    <row r="641" ht="14.25" customHeight="1">
      <c r="A641" s="49" t="s">
        <v>2830</v>
      </c>
      <c r="B641" s="49" t="str">
        <f>IFERROR(__xludf.DUMMYFUNCTION("REGEXEXTRACT(A641,""^cost\.(.*)\.[^.]+\.[^.]+$"")"),"tech.alchemists_hut.potion_of_mental_power")</f>
        <v>tech.alchemists_hut.potion_of_mental_power</v>
      </c>
      <c r="C641" s="49" t="str">
        <f t="array" ref="C641">_xlfn.XLOOKUP(
 B641,
 tblTargets[TargetID],
 tblTargets[DisplayName],
 ""
)</f>
        <v>Alchemists Hut - Potion Of Mental Power</v>
      </c>
      <c r="D641" s="49" t="str">
        <f t="array" ref="D641">_xlfn.XLOOKUP(
 B641,
 tblTargets[TargetID],
 tblTargets[TargetType],
 ""
)</f>
        <v>TECH</v>
      </c>
      <c r="E641" s="49" t="s">
        <v>2339</v>
      </c>
      <c r="F641" s="87">
        <f>IFERROR(__xludf.DUMMYFUNCTION("VALUE(REGEXEXTRACT(A641,""([^.]+)$""))"),1.0)</f>
        <v>1</v>
      </c>
      <c r="G641" s="49">
        <v>20.0</v>
      </c>
      <c r="H641" s="26" t="b">
        <f>COUNTIFS(
 tblCostChecklist[RequirementID],A641,
 tblCostChecklist[PlayerPaid],TRUE
)&gt;0</f>
        <v>0</v>
      </c>
      <c r="I641" s="49">
        <f t="shared" si="1"/>
        <v>8</v>
      </c>
      <c r="J641" s="49">
        <f t="shared" si="2"/>
        <v>0</v>
      </c>
      <c r="K641" s="49">
        <f t="shared" si="3"/>
        <v>8</v>
      </c>
      <c r="L641" s="49" t="b">
        <f t="shared" si="4"/>
        <v>0</v>
      </c>
      <c r="M641" s="88">
        <f t="shared" si="5"/>
        <v>0</v>
      </c>
    </row>
    <row r="642" ht="14.25" customHeight="1">
      <c r="A642" s="49" t="s">
        <v>2832</v>
      </c>
      <c r="B642" s="49" t="str">
        <f>IFERROR(__xludf.DUMMYFUNCTION("REGEXEXTRACT(A642,""^cost\.(.*)\.[^.]+\.[^.]+$"")"),"tech.alchemists_hut.potion_of_mental_power")</f>
        <v>tech.alchemists_hut.potion_of_mental_power</v>
      </c>
      <c r="C642" s="49" t="str">
        <f t="array" ref="C642">_xlfn.XLOOKUP(
 B642,
 tblTargets[TargetID],
 tblTargets[DisplayName],
 ""
)</f>
        <v>Alchemists Hut - Potion Of Mental Power</v>
      </c>
      <c r="D642" s="49" t="str">
        <f t="array" ref="D642">_xlfn.XLOOKUP(
 B642,
 tblTargets[TargetID],
 tblTargets[TargetType],
 ""
)</f>
        <v>TECH</v>
      </c>
      <c r="E642" s="49" t="s">
        <v>360</v>
      </c>
      <c r="F642" s="87">
        <f>IFERROR(__xludf.DUMMYFUNCTION("VALUE(REGEXEXTRACT(A642,""([^.]+)$""))"),1.0)</f>
        <v>1</v>
      </c>
      <c r="G642" s="49">
        <v>10.0</v>
      </c>
      <c r="H642" s="26" t="b">
        <f>COUNTIFS(
 tblCostChecklist[RequirementID],A642,
 tblCostChecklist[PlayerPaid],TRUE
)&gt;0</f>
        <v>0</v>
      </c>
      <c r="I642" s="49">
        <f t="shared" si="1"/>
        <v>8</v>
      </c>
      <c r="J642" s="49">
        <f t="shared" si="2"/>
        <v>0</v>
      </c>
      <c r="K642" s="49">
        <f t="shared" si="3"/>
        <v>8</v>
      </c>
      <c r="L642" s="49" t="b">
        <f t="shared" si="4"/>
        <v>0</v>
      </c>
      <c r="M642" s="88">
        <f t="shared" si="5"/>
        <v>0</v>
      </c>
    </row>
    <row r="643" ht="14.25" customHeight="1">
      <c r="A643" s="49" t="s">
        <v>2834</v>
      </c>
      <c r="B643" s="49" t="str">
        <f>IFERROR(__xludf.DUMMYFUNCTION("REGEXEXTRACT(A643,""^cost\.(.*)\.[^.]+\.[^.]+$"")"),"tech.alchemists_hut.potion_of_mental_power")</f>
        <v>tech.alchemists_hut.potion_of_mental_power</v>
      </c>
      <c r="C643" s="49" t="str">
        <f t="array" ref="C643">_xlfn.XLOOKUP(
 B643,
 tblTargets[TargetID],
 tblTargets[DisplayName],
 ""
)</f>
        <v>Alchemists Hut - Potion Of Mental Power</v>
      </c>
      <c r="D643" s="49" t="str">
        <f t="array" ref="D643">_xlfn.XLOOKUP(
 B643,
 tblTargets[TargetID],
 tblTargets[TargetType],
 ""
)</f>
        <v>TECH</v>
      </c>
      <c r="E643" s="49" t="s">
        <v>530</v>
      </c>
      <c r="F643" s="87">
        <f>IFERROR(__xludf.DUMMYFUNCTION("VALUE(REGEXEXTRACT(A643,""([^.]+)$""))"),1.0)</f>
        <v>1</v>
      </c>
      <c r="G643" s="49">
        <v>10.0</v>
      </c>
      <c r="H643" s="26" t="b">
        <f>COUNTIFS(
 tblCostChecklist[RequirementID],A643,
 tblCostChecklist[PlayerPaid],TRUE
)&gt;0</f>
        <v>0</v>
      </c>
      <c r="I643" s="49">
        <f t="shared" si="1"/>
        <v>8</v>
      </c>
      <c r="J643" s="49">
        <f t="shared" si="2"/>
        <v>0</v>
      </c>
      <c r="K643" s="49">
        <f t="shared" si="3"/>
        <v>8</v>
      </c>
      <c r="L643" s="49" t="b">
        <f t="shared" si="4"/>
        <v>0</v>
      </c>
      <c r="M643" s="88">
        <f t="shared" si="5"/>
        <v>0</v>
      </c>
    </row>
    <row r="644" ht="14.25" customHeight="1">
      <c r="A644" s="49" t="s">
        <v>2836</v>
      </c>
      <c r="B644" s="49" t="str">
        <f>IFERROR(__xludf.DUMMYFUNCTION("REGEXEXTRACT(A644,""^cost\.(.*)\.[^.]+\.[^.]+$"")"),"tech.alchemists_hut.potion_of_mental_power")</f>
        <v>tech.alchemists_hut.potion_of_mental_power</v>
      </c>
      <c r="C644" s="49" t="str">
        <f t="array" ref="C644">_xlfn.XLOOKUP(
 B644,
 tblTargets[TargetID],
 tblTargets[DisplayName],
 ""
)</f>
        <v>Alchemists Hut - Potion Of Mental Power</v>
      </c>
      <c r="D644" s="49" t="str">
        <f t="array" ref="D644">_xlfn.XLOOKUP(
 B644,
 tblTargets[TargetID],
 tblTargets[TargetType],
 ""
)</f>
        <v>TECH</v>
      </c>
      <c r="E644" s="49" t="s">
        <v>508</v>
      </c>
      <c r="F644" s="87">
        <f>IFERROR(__xludf.DUMMYFUNCTION("VALUE(REGEXEXTRACT(A644,""([^.]+)$""))"),1.0)</f>
        <v>1</v>
      </c>
      <c r="G644" s="49">
        <v>10.0</v>
      </c>
      <c r="H644" s="26" t="b">
        <f>COUNTIFS(
 tblCostChecklist[RequirementID],A644,
 tblCostChecklist[PlayerPaid],TRUE
)&gt;0</f>
        <v>0</v>
      </c>
      <c r="I644" s="49">
        <f t="shared" si="1"/>
        <v>8</v>
      </c>
      <c r="J644" s="49">
        <f t="shared" si="2"/>
        <v>0</v>
      </c>
      <c r="K644" s="49">
        <f t="shared" si="3"/>
        <v>8</v>
      </c>
      <c r="L644" s="49" t="b">
        <f t="shared" si="4"/>
        <v>0</v>
      </c>
      <c r="M644" s="88">
        <f t="shared" si="5"/>
        <v>0</v>
      </c>
    </row>
    <row r="645" ht="14.25" customHeight="1">
      <c r="A645" s="49" t="s">
        <v>2838</v>
      </c>
      <c r="B645" s="49" t="str">
        <f>IFERROR(__xludf.DUMMYFUNCTION("REGEXEXTRACT(A645,""^cost\.(.*)\.[^.]+\.[^.]+$"")"),"tech.alchemists_hut.potion_of_mental_power")</f>
        <v>tech.alchemists_hut.potion_of_mental_power</v>
      </c>
      <c r="C645" s="49" t="str">
        <f t="array" ref="C645">_xlfn.XLOOKUP(
 B645,
 tblTargets[TargetID],
 tblTargets[DisplayName],
 ""
)</f>
        <v>Alchemists Hut - Potion Of Mental Power</v>
      </c>
      <c r="D645" s="49" t="str">
        <f t="array" ref="D645">_xlfn.XLOOKUP(
 B645,
 tblTargets[TargetID],
 tblTargets[TargetType],
 ""
)</f>
        <v>TECH</v>
      </c>
      <c r="E645" s="49" t="s">
        <v>140</v>
      </c>
      <c r="F645" s="87">
        <f>IFERROR(__xludf.DUMMYFUNCTION("VALUE(REGEXEXTRACT(A645,""([^.]+)$""))"),1.0)</f>
        <v>1</v>
      </c>
      <c r="G645" s="49">
        <v>10.0</v>
      </c>
      <c r="H645" s="26" t="b">
        <f>COUNTIFS(
 tblCostChecklist[RequirementID],A645,
 tblCostChecklist[PlayerPaid],TRUE
)&gt;0</f>
        <v>0</v>
      </c>
      <c r="I645" s="49">
        <f t="shared" si="1"/>
        <v>8</v>
      </c>
      <c r="J645" s="49">
        <f t="shared" si="2"/>
        <v>0</v>
      </c>
      <c r="K645" s="49">
        <f t="shared" si="3"/>
        <v>8</v>
      </c>
      <c r="L645" s="49" t="b">
        <f t="shared" si="4"/>
        <v>0</v>
      </c>
      <c r="M645" s="88">
        <f t="shared" si="5"/>
        <v>0</v>
      </c>
    </row>
    <row r="646" ht="14.25" customHeight="1">
      <c r="A646" s="49" t="s">
        <v>2840</v>
      </c>
      <c r="B646" s="49" t="str">
        <f>IFERROR(__xludf.DUMMYFUNCTION("REGEXEXTRACT(A646,""^cost\.(.*)\.[^.]+\.[^.]+$"")"),"tech.alchemists_hut.potion_of_mental_power")</f>
        <v>tech.alchemists_hut.potion_of_mental_power</v>
      </c>
      <c r="C646" s="49" t="str">
        <f t="array" ref="C646">_xlfn.XLOOKUP(
 B646,
 tblTargets[TargetID],
 tblTargets[DisplayName],
 ""
)</f>
        <v>Alchemists Hut - Potion Of Mental Power</v>
      </c>
      <c r="D646" s="49" t="str">
        <f t="array" ref="D646">_xlfn.XLOOKUP(
 B646,
 tblTargets[TargetID],
 tblTargets[TargetType],
 ""
)</f>
        <v>TECH</v>
      </c>
      <c r="E646" s="49" t="s">
        <v>6</v>
      </c>
      <c r="F646" s="87">
        <f>IFERROR(__xludf.DUMMYFUNCTION("VALUE(REGEXEXTRACT(A646,""([^.]+)$""))"),1.0)</f>
        <v>1</v>
      </c>
      <c r="G646" s="49">
        <v>1.0</v>
      </c>
      <c r="H646" s="26" t="b">
        <f>COUNTIFS(
 tblCostChecklist[RequirementID],A646,
 tblCostChecklist[PlayerPaid],TRUE
)&gt;0</f>
        <v>0</v>
      </c>
      <c r="I646" s="49">
        <f t="shared" si="1"/>
        <v>8</v>
      </c>
      <c r="J646" s="49">
        <f t="shared" si="2"/>
        <v>0</v>
      </c>
      <c r="K646" s="49">
        <f t="shared" si="3"/>
        <v>8</v>
      </c>
      <c r="L646" s="49" t="b">
        <f t="shared" si="4"/>
        <v>0</v>
      </c>
      <c r="M646" s="88">
        <f t="shared" si="5"/>
        <v>0</v>
      </c>
    </row>
    <row r="647" ht="14.25" customHeight="1">
      <c r="A647" s="49" t="s">
        <v>2842</v>
      </c>
      <c r="B647" s="49" t="str">
        <f>IFERROR(__xludf.DUMMYFUNCTION("REGEXEXTRACT(A647,""^cost\.(.*)\.[^.]+\.[^.]+$"")"),"tech.alchemists_hut.mercury")</f>
        <v>tech.alchemists_hut.mercury</v>
      </c>
      <c r="C647" s="49" t="str">
        <f t="array" ref="C647">_xlfn.XLOOKUP(
 B647,
 tblTargets[TargetID],
 tblTargets[DisplayName],
 ""
)</f>
        <v>Alchemists Hut - Mercury</v>
      </c>
      <c r="D647" s="49" t="str">
        <f t="array" ref="D647">_xlfn.XLOOKUP(
 B647,
 tblTargets[TargetID],
 tblTargets[TargetType],
 ""
)</f>
        <v>TECH</v>
      </c>
      <c r="E647" s="49" t="s">
        <v>283</v>
      </c>
      <c r="F647" s="87">
        <f>IFERROR(__xludf.DUMMYFUNCTION("VALUE(REGEXEXTRACT(A647,""([^.]+)$""))"),1.0)</f>
        <v>1</v>
      </c>
      <c r="G647" s="49">
        <v>100.0</v>
      </c>
      <c r="H647" s="26" t="b">
        <f>COUNTIFS(
 tblCostChecklist[RequirementID],A647,
 tblCostChecklist[PlayerPaid],TRUE
)&gt;0</f>
        <v>0</v>
      </c>
      <c r="I647" s="49">
        <f t="shared" si="1"/>
        <v>7</v>
      </c>
      <c r="J647" s="49">
        <f t="shared" si="2"/>
        <v>0</v>
      </c>
      <c r="K647" s="49">
        <f t="shared" si="3"/>
        <v>7</v>
      </c>
      <c r="L647" s="49" t="b">
        <f t="shared" si="4"/>
        <v>0</v>
      </c>
      <c r="M647" s="88">
        <f t="shared" si="5"/>
        <v>0</v>
      </c>
    </row>
    <row r="648" ht="14.25" customHeight="1">
      <c r="A648" s="49" t="s">
        <v>2844</v>
      </c>
      <c r="B648" s="49" t="str">
        <f>IFERROR(__xludf.DUMMYFUNCTION("REGEXEXTRACT(A648,""^cost\.(.*)\.[^.]+\.[^.]+$"")"),"tech.alchemists_hut.mercury")</f>
        <v>tech.alchemists_hut.mercury</v>
      </c>
      <c r="C648" s="49" t="str">
        <f t="array" ref="C648">_xlfn.XLOOKUP(
 B648,
 tblTargets[TargetID],
 tblTargets[DisplayName],
 ""
)</f>
        <v>Alchemists Hut - Mercury</v>
      </c>
      <c r="D648" s="49" t="str">
        <f t="array" ref="D648">_xlfn.XLOOKUP(
 B648,
 tblTargets[TargetID],
 tblTargets[TargetType],
 ""
)</f>
        <v>TECH</v>
      </c>
      <c r="E648" s="49" t="s">
        <v>2514</v>
      </c>
      <c r="F648" s="87">
        <f>IFERROR(__xludf.DUMMYFUNCTION("VALUE(REGEXEXTRACT(A648,""([^.]+)$""))"),1.0)</f>
        <v>1</v>
      </c>
      <c r="G648" s="49">
        <v>30.0</v>
      </c>
      <c r="H648" s="26" t="b">
        <f>COUNTIFS(
 tblCostChecklist[RequirementID],A648,
 tblCostChecklist[PlayerPaid],TRUE
)&gt;0</f>
        <v>0</v>
      </c>
      <c r="I648" s="49">
        <f t="shared" si="1"/>
        <v>7</v>
      </c>
      <c r="J648" s="49">
        <f t="shared" si="2"/>
        <v>0</v>
      </c>
      <c r="K648" s="49">
        <f t="shared" si="3"/>
        <v>7</v>
      </c>
      <c r="L648" s="49" t="b">
        <f t="shared" si="4"/>
        <v>0</v>
      </c>
      <c r="M648" s="88">
        <f t="shared" si="5"/>
        <v>0</v>
      </c>
    </row>
    <row r="649" ht="14.25" customHeight="1">
      <c r="A649" s="49" t="s">
        <v>2846</v>
      </c>
      <c r="B649" s="49" t="str">
        <f>IFERROR(__xludf.DUMMYFUNCTION("REGEXEXTRACT(A649,""^cost\.(.*)\.[^.]+\.[^.]+$"")"),"tech.alchemists_hut.mercury")</f>
        <v>tech.alchemists_hut.mercury</v>
      </c>
      <c r="C649" s="49" t="str">
        <f t="array" ref="C649">_xlfn.XLOOKUP(
 B649,
 tblTargets[TargetID],
 tblTargets[DisplayName],
 ""
)</f>
        <v>Alchemists Hut - Mercury</v>
      </c>
      <c r="D649" s="49" t="str">
        <f t="array" ref="D649">_xlfn.XLOOKUP(
 B649,
 tblTargets[TargetID],
 tblTargets[TargetType],
 ""
)</f>
        <v>TECH</v>
      </c>
      <c r="E649" s="49" t="s">
        <v>119</v>
      </c>
      <c r="F649" s="87">
        <f>IFERROR(__xludf.DUMMYFUNCTION("VALUE(REGEXEXTRACT(A649,""([^.]+)$""))"),1.0)</f>
        <v>1</v>
      </c>
      <c r="G649" s="49">
        <v>400.0</v>
      </c>
      <c r="H649" s="26" t="b">
        <f>COUNTIFS(
 tblCostChecklist[RequirementID],A649,
 tblCostChecklist[PlayerPaid],TRUE
)&gt;0</f>
        <v>0</v>
      </c>
      <c r="I649" s="49">
        <f t="shared" si="1"/>
        <v>7</v>
      </c>
      <c r="J649" s="49">
        <f t="shared" si="2"/>
        <v>0</v>
      </c>
      <c r="K649" s="49">
        <f t="shared" si="3"/>
        <v>7</v>
      </c>
      <c r="L649" s="49" t="b">
        <f t="shared" si="4"/>
        <v>0</v>
      </c>
      <c r="M649" s="88">
        <f t="shared" si="5"/>
        <v>0</v>
      </c>
    </row>
    <row r="650" ht="14.25" customHeight="1">
      <c r="A650" s="49" t="s">
        <v>2850</v>
      </c>
      <c r="B650" s="49" t="str">
        <f>IFERROR(__xludf.DUMMYFUNCTION("REGEXEXTRACT(A650,""^cost\.(.*)\.[^.]+\.[^.]+$"")"),"tech.alchemists_hut.mercury")</f>
        <v>tech.alchemists_hut.mercury</v>
      </c>
      <c r="C650" s="49" t="str">
        <f t="array" ref="C650">_xlfn.XLOOKUP(
 B650,
 tblTargets[TargetID],
 tblTargets[DisplayName],
 ""
)</f>
        <v>Alchemists Hut - Mercury</v>
      </c>
      <c r="D650" s="49" t="str">
        <f t="array" ref="D650">_xlfn.XLOOKUP(
 B650,
 tblTargets[TargetID],
 tblTargets[TargetType],
 ""
)</f>
        <v>TECH</v>
      </c>
      <c r="E650" s="49" t="s">
        <v>360</v>
      </c>
      <c r="F650" s="87">
        <f>IFERROR(__xludf.DUMMYFUNCTION("VALUE(REGEXEXTRACT(A650,""([^.]+)$""))"),1.0)</f>
        <v>1</v>
      </c>
      <c r="G650" s="49">
        <v>10.0</v>
      </c>
      <c r="H650" s="26" t="b">
        <f>COUNTIFS(
 tblCostChecklist[RequirementID],A650,
 tblCostChecklist[PlayerPaid],TRUE
)&gt;0</f>
        <v>0</v>
      </c>
      <c r="I650" s="49">
        <f t="shared" si="1"/>
        <v>7</v>
      </c>
      <c r="J650" s="49">
        <f t="shared" si="2"/>
        <v>0</v>
      </c>
      <c r="K650" s="49">
        <f t="shared" si="3"/>
        <v>7</v>
      </c>
      <c r="L650" s="49" t="b">
        <f t="shared" si="4"/>
        <v>0</v>
      </c>
      <c r="M650" s="88">
        <f t="shared" si="5"/>
        <v>0</v>
      </c>
    </row>
    <row r="651" ht="14.25" customHeight="1">
      <c r="A651" s="49" t="s">
        <v>2852</v>
      </c>
      <c r="B651" s="49" t="str">
        <f>IFERROR(__xludf.DUMMYFUNCTION("REGEXEXTRACT(A651,""^cost\.(.*)\.[^.]+\.[^.]+$"")"),"tech.alchemists_hut.mercury")</f>
        <v>tech.alchemists_hut.mercury</v>
      </c>
      <c r="C651" s="49" t="str">
        <f t="array" ref="C651">_xlfn.XLOOKUP(
 B651,
 tblTargets[TargetID],
 tblTargets[DisplayName],
 ""
)</f>
        <v>Alchemists Hut - Mercury</v>
      </c>
      <c r="D651" s="49" t="str">
        <f t="array" ref="D651">_xlfn.XLOOKUP(
 B651,
 tblTargets[TargetID],
 tblTargets[TargetType],
 ""
)</f>
        <v>TECH</v>
      </c>
      <c r="E651" s="49" t="s">
        <v>530</v>
      </c>
      <c r="F651" s="87">
        <f>IFERROR(__xludf.DUMMYFUNCTION("VALUE(REGEXEXTRACT(A651,""([^.]+)$""))"),1.0)</f>
        <v>1</v>
      </c>
      <c r="G651" s="49">
        <v>10.0</v>
      </c>
      <c r="H651" s="26" t="b">
        <f>COUNTIFS(
 tblCostChecklist[RequirementID],A651,
 tblCostChecklist[PlayerPaid],TRUE
)&gt;0</f>
        <v>0</v>
      </c>
      <c r="I651" s="49">
        <f t="shared" si="1"/>
        <v>7</v>
      </c>
      <c r="J651" s="49">
        <f t="shared" si="2"/>
        <v>0</v>
      </c>
      <c r="K651" s="49">
        <f t="shared" si="3"/>
        <v>7</v>
      </c>
      <c r="L651" s="49" t="b">
        <f t="shared" si="4"/>
        <v>0</v>
      </c>
      <c r="M651" s="88">
        <f t="shared" si="5"/>
        <v>0</v>
      </c>
    </row>
    <row r="652" ht="14.25" customHeight="1">
      <c r="A652" s="49" t="s">
        <v>2854</v>
      </c>
      <c r="B652" s="49" t="str">
        <f>IFERROR(__xludf.DUMMYFUNCTION("REGEXEXTRACT(A652,""^cost\.(.*)\.[^.]+\.[^.]+$"")"),"tech.alchemists_hut.mercury")</f>
        <v>tech.alchemists_hut.mercury</v>
      </c>
      <c r="C652" s="49" t="str">
        <f t="array" ref="C652">_xlfn.XLOOKUP(
 B652,
 tblTargets[TargetID],
 tblTargets[DisplayName],
 ""
)</f>
        <v>Alchemists Hut - Mercury</v>
      </c>
      <c r="D652" s="49" t="str">
        <f t="array" ref="D652">_xlfn.XLOOKUP(
 B652,
 tblTargets[TargetID],
 tblTargets[TargetType],
 ""
)</f>
        <v>TECH</v>
      </c>
      <c r="E652" s="49" t="s">
        <v>140</v>
      </c>
      <c r="F652" s="87">
        <f>IFERROR(__xludf.DUMMYFUNCTION("VALUE(REGEXEXTRACT(A652,""([^.]+)$""))"),1.0)</f>
        <v>1</v>
      </c>
      <c r="G652" s="49">
        <v>10.0</v>
      </c>
      <c r="H652" s="26" t="b">
        <f>COUNTIFS(
 tblCostChecklist[RequirementID],A652,
 tblCostChecklist[PlayerPaid],TRUE
)&gt;0</f>
        <v>0</v>
      </c>
      <c r="I652" s="49">
        <f t="shared" si="1"/>
        <v>7</v>
      </c>
      <c r="J652" s="49">
        <f t="shared" si="2"/>
        <v>0</v>
      </c>
      <c r="K652" s="49">
        <f t="shared" si="3"/>
        <v>7</v>
      </c>
      <c r="L652" s="49" t="b">
        <f t="shared" si="4"/>
        <v>0</v>
      </c>
      <c r="M652" s="88">
        <f t="shared" si="5"/>
        <v>0</v>
      </c>
    </row>
    <row r="653" ht="14.25" customHeight="1">
      <c r="A653" s="49" t="s">
        <v>2856</v>
      </c>
      <c r="B653" s="49" t="str">
        <f>IFERROR(__xludf.DUMMYFUNCTION("REGEXEXTRACT(A653,""^cost\.(.*)\.[^.]+\.[^.]+$"")"),"tech.alchemists_hut.mercury")</f>
        <v>tech.alchemists_hut.mercury</v>
      </c>
      <c r="C653" s="49" t="str">
        <f t="array" ref="C653">_xlfn.XLOOKUP(
 B653,
 tblTargets[TargetID],
 tblTargets[DisplayName],
 ""
)</f>
        <v>Alchemists Hut - Mercury</v>
      </c>
      <c r="D653" s="49" t="str">
        <f t="array" ref="D653">_xlfn.XLOOKUP(
 B653,
 tblTargets[TargetID],
 tblTargets[TargetType],
 ""
)</f>
        <v>TECH</v>
      </c>
      <c r="E653" s="49" t="s">
        <v>6</v>
      </c>
      <c r="F653" s="87">
        <f>IFERROR(__xludf.DUMMYFUNCTION("VALUE(REGEXEXTRACT(A653,""([^.]+)$""))"),1.0)</f>
        <v>1</v>
      </c>
      <c r="G653" s="49">
        <v>1.0</v>
      </c>
      <c r="H653" s="26" t="b">
        <f>COUNTIFS(
 tblCostChecklist[RequirementID],A653,
 tblCostChecklist[PlayerPaid],TRUE
)&gt;0</f>
        <v>0</v>
      </c>
      <c r="I653" s="49">
        <f t="shared" si="1"/>
        <v>7</v>
      </c>
      <c r="J653" s="49">
        <f t="shared" si="2"/>
        <v>0</v>
      </c>
      <c r="K653" s="49">
        <f t="shared" si="3"/>
        <v>7</v>
      </c>
      <c r="L653" s="49" t="b">
        <f t="shared" si="4"/>
        <v>0</v>
      </c>
      <c r="M653" s="88">
        <f t="shared" si="5"/>
        <v>0</v>
      </c>
    </row>
    <row r="654" ht="14.25" customHeight="1">
      <c r="A654" s="49" t="s">
        <v>2858</v>
      </c>
      <c r="B654" s="49" t="str">
        <f>IFERROR(__xludf.DUMMYFUNCTION("REGEXEXTRACT(A654,""^cost\.(.*)\.[^.]+\.[^.]+$"")"),"tech.alchemists_hut.gold_ingot")</f>
        <v>tech.alchemists_hut.gold_ingot</v>
      </c>
      <c r="C654" s="49" t="str">
        <f t="array" ref="C654">_xlfn.XLOOKUP(
 B654,
 tblTargets[TargetID],
 tblTargets[DisplayName],
 ""
)</f>
        <v>Alchemists Hut - Gold Ingot</v>
      </c>
      <c r="D654" s="49" t="str">
        <f t="array" ref="D654">_xlfn.XLOOKUP(
 B654,
 tblTargets[TargetID],
 tblTargets[TargetType],
 ""
)</f>
        <v>TECH</v>
      </c>
      <c r="E654" s="49" t="s">
        <v>1230</v>
      </c>
      <c r="F654" s="87">
        <f>IFERROR(__xludf.DUMMYFUNCTION("VALUE(REGEXEXTRACT(A654,""([^.]+)$""))"),1.0)</f>
        <v>1</v>
      </c>
      <c r="G654" s="49">
        <v>20.0</v>
      </c>
      <c r="H654" s="26" t="b">
        <f>COUNTIFS(
 tblCostChecklist[RequirementID],A654,
 tblCostChecklist[PlayerPaid],TRUE
)&gt;0</f>
        <v>0</v>
      </c>
      <c r="I654" s="49">
        <f t="shared" si="1"/>
        <v>6</v>
      </c>
      <c r="J654" s="49">
        <f t="shared" si="2"/>
        <v>0</v>
      </c>
      <c r="K654" s="49">
        <f t="shared" si="3"/>
        <v>6</v>
      </c>
      <c r="L654" s="49" t="b">
        <f t="shared" si="4"/>
        <v>0</v>
      </c>
      <c r="M654" s="88">
        <f t="shared" si="5"/>
        <v>0</v>
      </c>
    </row>
    <row r="655" ht="14.25" customHeight="1">
      <c r="A655" s="49" t="s">
        <v>2860</v>
      </c>
      <c r="B655" s="49" t="str">
        <f>IFERROR(__xludf.DUMMYFUNCTION("REGEXEXTRACT(A655,""^cost\.(.*)\.[^.]+\.[^.]+$"")"),"tech.alchemists_hut.gold_ingot")</f>
        <v>tech.alchemists_hut.gold_ingot</v>
      </c>
      <c r="C655" s="49" t="str">
        <f t="array" ref="C655">_xlfn.XLOOKUP(
 B655,
 tblTargets[TargetID],
 tblTargets[DisplayName],
 ""
)</f>
        <v>Alchemists Hut - Gold Ingot</v>
      </c>
      <c r="D655" s="49" t="str">
        <f t="array" ref="D655">_xlfn.XLOOKUP(
 B655,
 tblTargets[TargetID],
 tblTargets[TargetType],
 ""
)</f>
        <v>TECH</v>
      </c>
      <c r="E655" s="49" t="s">
        <v>283</v>
      </c>
      <c r="F655" s="87">
        <f>IFERROR(__xludf.DUMMYFUNCTION("VALUE(REGEXEXTRACT(A655,""([^.]+)$""))"),1.0)</f>
        <v>1</v>
      </c>
      <c r="G655" s="49">
        <v>100.0</v>
      </c>
      <c r="H655" s="26" t="b">
        <f>COUNTIFS(
 tblCostChecklist[RequirementID],A655,
 tblCostChecklist[PlayerPaid],TRUE
)&gt;0</f>
        <v>0</v>
      </c>
      <c r="I655" s="49">
        <f t="shared" si="1"/>
        <v>6</v>
      </c>
      <c r="J655" s="49">
        <f t="shared" si="2"/>
        <v>0</v>
      </c>
      <c r="K655" s="49">
        <f t="shared" si="3"/>
        <v>6</v>
      </c>
      <c r="L655" s="49" t="b">
        <f t="shared" si="4"/>
        <v>0</v>
      </c>
      <c r="M655" s="88">
        <f t="shared" si="5"/>
        <v>0</v>
      </c>
    </row>
    <row r="656" ht="14.25" customHeight="1">
      <c r="A656" s="49" t="s">
        <v>2862</v>
      </c>
      <c r="B656" s="49" t="str">
        <f>IFERROR(__xludf.DUMMYFUNCTION("REGEXEXTRACT(A656,""^cost\.(.*)\.[^.]+\.[^.]+$"")"),"tech.alchemists_hut.gold_ingot")</f>
        <v>tech.alchemists_hut.gold_ingot</v>
      </c>
      <c r="C656" s="49" t="str">
        <f t="array" ref="C656">_xlfn.XLOOKUP(
 B656,
 tblTargets[TargetID],
 tblTargets[DisplayName],
 ""
)</f>
        <v>Alchemists Hut - Gold Ingot</v>
      </c>
      <c r="D656" s="49" t="str">
        <f t="array" ref="D656">_xlfn.XLOOKUP(
 B656,
 tblTargets[TargetID],
 tblTargets[TargetType],
 ""
)</f>
        <v>TECH</v>
      </c>
      <c r="E656" s="49" t="s">
        <v>530</v>
      </c>
      <c r="F656" s="87">
        <f>IFERROR(__xludf.DUMMYFUNCTION("VALUE(REGEXEXTRACT(A656,""([^.]+)$""))"),1.0)</f>
        <v>1</v>
      </c>
      <c r="G656" s="49">
        <v>10.0</v>
      </c>
      <c r="H656" s="26" t="b">
        <f>COUNTIFS(
 tblCostChecklist[RequirementID],A656,
 tblCostChecklist[PlayerPaid],TRUE
)&gt;0</f>
        <v>0</v>
      </c>
      <c r="I656" s="49">
        <f t="shared" si="1"/>
        <v>6</v>
      </c>
      <c r="J656" s="49">
        <f t="shared" si="2"/>
        <v>0</v>
      </c>
      <c r="K656" s="49">
        <f t="shared" si="3"/>
        <v>6</v>
      </c>
      <c r="L656" s="49" t="b">
        <f t="shared" si="4"/>
        <v>0</v>
      </c>
      <c r="M656" s="88">
        <f t="shared" si="5"/>
        <v>0</v>
      </c>
    </row>
    <row r="657" ht="14.25" customHeight="1">
      <c r="A657" s="49" t="s">
        <v>2865</v>
      </c>
      <c r="B657" s="49" t="str">
        <f>IFERROR(__xludf.DUMMYFUNCTION("REGEXEXTRACT(A657,""^cost\.(.*)\.[^.]+\.[^.]+$"")"),"tech.alchemists_hut.gold_ingot")</f>
        <v>tech.alchemists_hut.gold_ingot</v>
      </c>
      <c r="C657" s="49" t="str">
        <f t="array" ref="C657">_xlfn.XLOOKUP(
 B657,
 tblTargets[TargetID],
 tblTargets[DisplayName],
 ""
)</f>
        <v>Alchemists Hut - Gold Ingot</v>
      </c>
      <c r="D657" s="49" t="str">
        <f t="array" ref="D657">_xlfn.XLOOKUP(
 B657,
 tblTargets[TargetID],
 tblTargets[TargetType],
 ""
)</f>
        <v>TECH</v>
      </c>
      <c r="E657" s="49" t="s">
        <v>412</v>
      </c>
      <c r="F657" s="87">
        <f>IFERROR(__xludf.DUMMYFUNCTION("VALUE(REGEXEXTRACT(A657,""([^.]+)$""))"),1.0)</f>
        <v>1</v>
      </c>
      <c r="G657" s="49">
        <v>20.0</v>
      </c>
      <c r="H657" s="26" t="b">
        <f>COUNTIFS(
 tblCostChecklist[RequirementID],A657,
 tblCostChecklist[PlayerPaid],TRUE
)&gt;0</f>
        <v>0</v>
      </c>
      <c r="I657" s="49">
        <f t="shared" si="1"/>
        <v>6</v>
      </c>
      <c r="J657" s="49">
        <f t="shared" si="2"/>
        <v>0</v>
      </c>
      <c r="K657" s="49">
        <f t="shared" si="3"/>
        <v>6</v>
      </c>
      <c r="L657" s="49" t="b">
        <f t="shared" si="4"/>
        <v>0</v>
      </c>
      <c r="M657" s="88">
        <f t="shared" si="5"/>
        <v>0</v>
      </c>
    </row>
    <row r="658" ht="14.25" customHeight="1">
      <c r="A658" s="49" t="s">
        <v>2867</v>
      </c>
      <c r="B658" s="49" t="str">
        <f>IFERROR(__xludf.DUMMYFUNCTION("REGEXEXTRACT(A658,""^cost\.(.*)\.[^.]+\.[^.]+$"")"),"tech.alchemists_hut.gold_ingot")</f>
        <v>tech.alchemists_hut.gold_ingot</v>
      </c>
      <c r="C658" s="49" t="str">
        <f t="array" ref="C658">_xlfn.XLOOKUP(
 B658,
 tblTargets[TargetID],
 tblTargets[DisplayName],
 ""
)</f>
        <v>Alchemists Hut - Gold Ingot</v>
      </c>
      <c r="D658" s="49" t="str">
        <f t="array" ref="D658">_xlfn.XLOOKUP(
 B658,
 tblTargets[TargetID],
 tblTargets[TargetType],
 ""
)</f>
        <v>TECH</v>
      </c>
      <c r="E658" s="49" t="s">
        <v>1456</v>
      </c>
      <c r="F658" s="87">
        <f>IFERROR(__xludf.DUMMYFUNCTION("VALUE(REGEXEXTRACT(A658,""([^.]+)$""))"),1.0)</f>
        <v>1</v>
      </c>
      <c r="G658" s="49">
        <v>15.0</v>
      </c>
      <c r="H658" s="26" t="b">
        <f>COUNTIFS(
 tblCostChecklist[RequirementID],A658,
 tblCostChecklist[PlayerPaid],TRUE
)&gt;0</f>
        <v>0</v>
      </c>
      <c r="I658" s="49">
        <f t="shared" si="1"/>
        <v>6</v>
      </c>
      <c r="J658" s="49">
        <f t="shared" si="2"/>
        <v>0</v>
      </c>
      <c r="K658" s="49">
        <f t="shared" si="3"/>
        <v>6</v>
      </c>
      <c r="L658" s="49" t="b">
        <f t="shared" si="4"/>
        <v>0</v>
      </c>
      <c r="M658" s="88">
        <f t="shared" si="5"/>
        <v>0</v>
      </c>
    </row>
    <row r="659" ht="14.25" customHeight="1">
      <c r="A659" s="49" t="s">
        <v>2870</v>
      </c>
      <c r="B659" s="49" t="str">
        <f>IFERROR(__xludf.DUMMYFUNCTION("REGEXEXTRACT(A659,""^cost\.(.*)\.[^.]+\.[^.]+$"")"),"tech.alchemists_hut.gold_ingot")</f>
        <v>tech.alchemists_hut.gold_ingot</v>
      </c>
      <c r="C659" s="49" t="str">
        <f t="array" ref="C659">_xlfn.XLOOKUP(
 B659,
 tblTargets[TargetID],
 tblTargets[DisplayName],
 ""
)</f>
        <v>Alchemists Hut - Gold Ingot</v>
      </c>
      <c r="D659" s="49" t="str">
        <f t="array" ref="D659">_xlfn.XLOOKUP(
 B659,
 tblTargets[TargetID],
 tblTargets[TargetType],
 ""
)</f>
        <v>TECH</v>
      </c>
      <c r="E659" s="49" t="s">
        <v>6</v>
      </c>
      <c r="F659" s="87">
        <f>IFERROR(__xludf.DUMMYFUNCTION("VALUE(REGEXEXTRACT(A659,""([^.]+)$""))"),1.0)</f>
        <v>1</v>
      </c>
      <c r="G659" s="49">
        <v>3.0</v>
      </c>
      <c r="H659" s="26" t="b">
        <f>COUNTIFS(
 tblCostChecklist[RequirementID],A659,
 tblCostChecklist[PlayerPaid],TRUE
)&gt;0</f>
        <v>0</v>
      </c>
      <c r="I659" s="49">
        <f t="shared" si="1"/>
        <v>6</v>
      </c>
      <c r="J659" s="49">
        <f t="shared" si="2"/>
        <v>0</v>
      </c>
      <c r="K659" s="49">
        <f t="shared" si="3"/>
        <v>6</v>
      </c>
      <c r="L659" s="49" t="b">
        <f t="shared" si="4"/>
        <v>0</v>
      </c>
      <c r="M659" s="88">
        <f t="shared" si="5"/>
        <v>0</v>
      </c>
    </row>
    <row r="660" ht="14.25" customHeight="1">
      <c r="A660" s="49" t="s">
        <v>2873</v>
      </c>
      <c r="B660" s="49" t="str">
        <f>IFERROR(__xludf.DUMMYFUNCTION("REGEXEXTRACT(A660,""^cost\.(.*)\.[^.]+\.[^.]+$"")"),"tech.alchemists_hut.madness_grenade")</f>
        <v>tech.alchemists_hut.madness_grenade</v>
      </c>
      <c r="C660" s="49" t="str">
        <f t="array" ref="C660">_xlfn.XLOOKUP(
 B660,
 tblTargets[TargetID],
 tblTargets[DisplayName],
 ""
)</f>
        <v>Alchemists Hut - Madness Grenade</v>
      </c>
      <c r="D660" s="49" t="str">
        <f t="array" ref="D660">_xlfn.XLOOKUP(
 B660,
 tblTargets[TargetID],
 tblTargets[TargetType],
 ""
)</f>
        <v>TECH</v>
      </c>
      <c r="E660" s="49" t="s">
        <v>1230</v>
      </c>
      <c r="F660" s="87">
        <f>IFERROR(__xludf.DUMMYFUNCTION("VALUE(REGEXEXTRACT(A660,""([^.]+)$""))"),1.0)</f>
        <v>1</v>
      </c>
      <c r="G660" s="49">
        <v>5.0</v>
      </c>
      <c r="H660" s="26" t="b">
        <f>COUNTIFS(
 tblCostChecklist[RequirementID],A660,
 tblCostChecklist[PlayerPaid],TRUE
)&gt;0</f>
        <v>0</v>
      </c>
      <c r="I660" s="49">
        <f t="shared" si="1"/>
        <v>8</v>
      </c>
      <c r="J660" s="49">
        <f t="shared" si="2"/>
        <v>0</v>
      </c>
      <c r="K660" s="49">
        <f t="shared" si="3"/>
        <v>8</v>
      </c>
      <c r="L660" s="49" t="b">
        <f t="shared" si="4"/>
        <v>0</v>
      </c>
      <c r="M660" s="88">
        <f t="shared" si="5"/>
        <v>0</v>
      </c>
    </row>
    <row r="661" ht="14.25" customHeight="1">
      <c r="A661" s="49" t="s">
        <v>2875</v>
      </c>
      <c r="B661" s="49" t="str">
        <f>IFERROR(__xludf.DUMMYFUNCTION("REGEXEXTRACT(A661,""^cost\.(.*)\.[^.]+\.[^.]+$"")"),"tech.alchemists_hut.madness_grenade")</f>
        <v>tech.alchemists_hut.madness_grenade</v>
      </c>
      <c r="C661" s="49" t="str">
        <f t="array" ref="C661">_xlfn.XLOOKUP(
 B661,
 tblTargets[TargetID],
 tblTargets[DisplayName],
 ""
)</f>
        <v>Alchemists Hut - Madness Grenade</v>
      </c>
      <c r="D661" s="49" t="str">
        <f t="array" ref="D661">_xlfn.XLOOKUP(
 B661,
 tblTargets[TargetID],
 tblTargets[TargetType],
 ""
)</f>
        <v>TECH</v>
      </c>
      <c r="E661" s="49" t="s">
        <v>119</v>
      </c>
      <c r="F661" s="87">
        <f>IFERROR(__xludf.DUMMYFUNCTION("VALUE(REGEXEXTRACT(A661,""([^.]+)$""))"),1.0)</f>
        <v>1</v>
      </c>
      <c r="G661" s="49">
        <v>300.0</v>
      </c>
      <c r="H661" s="26" t="b">
        <f>COUNTIFS(
 tblCostChecklist[RequirementID],A661,
 tblCostChecklist[PlayerPaid],TRUE
)&gt;0</f>
        <v>0</v>
      </c>
      <c r="I661" s="49">
        <f t="shared" si="1"/>
        <v>8</v>
      </c>
      <c r="J661" s="49">
        <f t="shared" si="2"/>
        <v>0</v>
      </c>
      <c r="K661" s="49">
        <f t="shared" si="3"/>
        <v>8</v>
      </c>
      <c r="L661" s="49" t="b">
        <f t="shared" si="4"/>
        <v>0</v>
      </c>
      <c r="M661" s="88">
        <f t="shared" si="5"/>
        <v>0</v>
      </c>
    </row>
    <row r="662" ht="14.25" customHeight="1">
      <c r="A662" s="49" t="s">
        <v>2878</v>
      </c>
      <c r="B662" s="49" t="str">
        <f>IFERROR(__xludf.DUMMYFUNCTION("REGEXEXTRACT(A662,""^cost\.(.*)\.[^.]+\.[^.]+$"")"),"tech.alchemists_hut.madness_grenade")</f>
        <v>tech.alchemists_hut.madness_grenade</v>
      </c>
      <c r="C662" s="49" t="str">
        <f t="array" ref="C662">_xlfn.XLOOKUP(
 B662,
 tblTargets[TargetID],
 tblTargets[DisplayName],
 ""
)</f>
        <v>Alchemists Hut - Madness Grenade</v>
      </c>
      <c r="D662" s="49" t="str">
        <f t="array" ref="D662">_xlfn.XLOOKUP(
 B662,
 tblTargets[TargetID],
 tblTargets[TargetType],
 ""
)</f>
        <v>TECH</v>
      </c>
      <c r="E662" s="49" t="s">
        <v>360</v>
      </c>
      <c r="F662" s="87">
        <f>IFERROR(__xludf.DUMMYFUNCTION("VALUE(REGEXEXTRACT(A662,""([^.]+)$""))"),1.0)</f>
        <v>1</v>
      </c>
      <c r="G662" s="49">
        <v>10.0</v>
      </c>
      <c r="H662" s="26" t="b">
        <f>COUNTIFS(
 tblCostChecklist[RequirementID],A662,
 tblCostChecklist[PlayerPaid],TRUE
)&gt;0</f>
        <v>0</v>
      </c>
      <c r="I662" s="49">
        <f t="shared" si="1"/>
        <v>8</v>
      </c>
      <c r="J662" s="49">
        <f t="shared" si="2"/>
        <v>0</v>
      </c>
      <c r="K662" s="49">
        <f t="shared" si="3"/>
        <v>8</v>
      </c>
      <c r="L662" s="49" t="b">
        <f t="shared" si="4"/>
        <v>0</v>
      </c>
      <c r="M662" s="88">
        <f t="shared" si="5"/>
        <v>0</v>
      </c>
    </row>
    <row r="663" ht="14.25" customHeight="1">
      <c r="A663" s="49" t="s">
        <v>2880</v>
      </c>
      <c r="B663" s="49" t="str">
        <f>IFERROR(__xludf.DUMMYFUNCTION("REGEXEXTRACT(A663,""^cost\.(.*)\.[^.]+\.[^.]+$"")"),"tech.alchemists_hut.madness_grenade")</f>
        <v>tech.alchemists_hut.madness_grenade</v>
      </c>
      <c r="C663" s="49" t="str">
        <f t="array" ref="C663">_xlfn.XLOOKUP(
 B663,
 tblTargets[TargetID],
 tblTargets[DisplayName],
 ""
)</f>
        <v>Alchemists Hut - Madness Grenade</v>
      </c>
      <c r="D663" s="49" t="str">
        <f t="array" ref="D663">_xlfn.XLOOKUP(
 B663,
 tblTargets[TargetID],
 tblTargets[TargetType],
 ""
)</f>
        <v>TECH</v>
      </c>
      <c r="E663" s="49" t="s">
        <v>530</v>
      </c>
      <c r="F663" s="87">
        <f>IFERROR(__xludf.DUMMYFUNCTION("VALUE(REGEXEXTRACT(A663,""([^.]+)$""))"),1.0)</f>
        <v>1</v>
      </c>
      <c r="G663" s="49">
        <v>10.0</v>
      </c>
      <c r="H663" s="26" t="b">
        <f>COUNTIFS(
 tblCostChecklist[RequirementID],A663,
 tblCostChecklist[PlayerPaid],TRUE
)&gt;0</f>
        <v>0</v>
      </c>
      <c r="I663" s="49">
        <f t="shared" si="1"/>
        <v>8</v>
      </c>
      <c r="J663" s="49">
        <f t="shared" si="2"/>
        <v>0</v>
      </c>
      <c r="K663" s="49">
        <f t="shared" si="3"/>
        <v>8</v>
      </c>
      <c r="L663" s="49" t="b">
        <f t="shared" si="4"/>
        <v>0</v>
      </c>
      <c r="M663" s="88">
        <f t="shared" si="5"/>
        <v>0</v>
      </c>
    </row>
    <row r="664" ht="14.25" customHeight="1">
      <c r="A664" s="49" t="s">
        <v>2883</v>
      </c>
      <c r="B664" s="49" t="str">
        <f>IFERROR(__xludf.DUMMYFUNCTION("REGEXEXTRACT(A664,""^cost\.(.*)\.[^.]+\.[^.]+$"")"),"tech.alchemists_hut.madness_grenade")</f>
        <v>tech.alchemists_hut.madness_grenade</v>
      </c>
      <c r="C664" s="49" t="str">
        <f t="array" ref="C664">_xlfn.XLOOKUP(
 B664,
 tblTargets[TargetID],
 tblTargets[DisplayName],
 ""
)</f>
        <v>Alchemists Hut - Madness Grenade</v>
      </c>
      <c r="D664" s="49" t="str">
        <f t="array" ref="D664">_xlfn.XLOOKUP(
 B664,
 tblTargets[TargetID],
 tblTargets[TargetType],
 ""
)</f>
        <v>TECH</v>
      </c>
      <c r="E664" s="49" t="s">
        <v>318</v>
      </c>
      <c r="F664" s="87">
        <f>IFERROR(__xludf.DUMMYFUNCTION("VALUE(REGEXEXTRACT(A664,""([^.]+)$""))"),1.0)</f>
        <v>1</v>
      </c>
      <c r="G664" s="49">
        <v>100.0</v>
      </c>
      <c r="H664" s="26" t="b">
        <f>COUNTIFS(
 tblCostChecklist[RequirementID],A664,
 tblCostChecklist[PlayerPaid],TRUE
)&gt;0</f>
        <v>0</v>
      </c>
      <c r="I664" s="49">
        <f t="shared" si="1"/>
        <v>8</v>
      </c>
      <c r="J664" s="49">
        <f t="shared" si="2"/>
        <v>0</v>
      </c>
      <c r="K664" s="49">
        <f t="shared" si="3"/>
        <v>8</v>
      </c>
      <c r="L664" s="49" t="b">
        <f t="shared" si="4"/>
        <v>0</v>
      </c>
      <c r="M664" s="88">
        <f t="shared" si="5"/>
        <v>0</v>
      </c>
    </row>
    <row r="665" ht="14.25" customHeight="1">
      <c r="A665" s="49" t="s">
        <v>2885</v>
      </c>
      <c r="B665" s="49" t="str">
        <f>IFERROR(__xludf.DUMMYFUNCTION("REGEXEXTRACT(A665,""^cost\.(.*)\.[^.]+\.[^.]+$"")"),"tech.alchemists_hut.madness_grenade")</f>
        <v>tech.alchemists_hut.madness_grenade</v>
      </c>
      <c r="C665" s="49" t="str">
        <f t="array" ref="C665">_xlfn.XLOOKUP(
 B665,
 tblTargets[TargetID],
 tblTargets[DisplayName],
 ""
)</f>
        <v>Alchemists Hut - Madness Grenade</v>
      </c>
      <c r="D665" s="49" t="str">
        <f t="array" ref="D665">_xlfn.XLOOKUP(
 B665,
 tblTargets[TargetID],
 tblTargets[TargetType],
 ""
)</f>
        <v>TECH</v>
      </c>
      <c r="E665" s="49" t="s">
        <v>508</v>
      </c>
      <c r="F665" s="87">
        <f>IFERROR(__xludf.DUMMYFUNCTION("VALUE(REGEXEXTRACT(A665,""([^.]+)$""))"),1.0)</f>
        <v>1</v>
      </c>
      <c r="G665" s="49">
        <v>10.0</v>
      </c>
      <c r="H665" s="26" t="b">
        <f>COUNTIFS(
 tblCostChecklist[RequirementID],A665,
 tblCostChecklist[PlayerPaid],TRUE
)&gt;0</f>
        <v>0</v>
      </c>
      <c r="I665" s="49">
        <f t="shared" si="1"/>
        <v>8</v>
      </c>
      <c r="J665" s="49">
        <f t="shared" si="2"/>
        <v>0</v>
      </c>
      <c r="K665" s="49">
        <f t="shared" si="3"/>
        <v>8</v>
      </c>
      <c r="L665" s="49" t="b">
        <f t="shared" si="4"/>
        <v>0</v>
      </c>
      <c r="M665" s="88">
        <f t="shared" si="5"/>
        <v>0</v>
      </c>
    </row>
    <row r="666" ht="14.25" customHeight="1">
      <c r="A666" s="49" t="s">
        <v>2888</v>
      </c>
      <c r="B666" s="49" t="str">
        <f>IFERROR(__xludf.DUMMYFUNCTION("REGEXEXTRACT(A666,""^cost\.(.*)\.[^.]+\.[^.]+$"")"),"tech.alchemists_hut.madness_grenade")</f>
        <v>tech.alchemists_hut.madness_grenade</v>
      </c>
      <c r="C666" s="49" t="str">
        <f t="array" ref="C666">_xlfn.XLOOKUP(
 B666,
 tblTargets[TargetID],
 tblTargets[DisplayName],
 ""
)</f>
        <v>Alchemists Hut - Madness Grenade</v>
      </c>
      <c r="D666" s="49" t="str">
        <f t="array" ref="D666">_xlfn.XLOOKUP(
 B666,
 tblTargets[TargetID],
 tblTargets[TargetType],
 ""
)</f>
        <v>TECH</v>
      </c>
      <c r="E666" s="49" t="s">
        <v>1456</v>
      </c>
      <c r="F666" s="87">
        <f>IFERROR(__xludf.DUMMYFUNCTION("VALUE(REGEXEXTRACT(A666,""([^.]+)$""))"),1.0)</f>
        <v>1</v>
      </c>
      <c r="G666" s="49">
        <v>10.0</v>
      </c>
      <c r="H666" s="26" t="b">
        <f>COUNTIFS(
 tblCostChecklist[RequirementID],A666,
 tblCostChecklist[PlayerPaid],TRUE
)&gt;0</f>
        <v>0</v>
      </c>
      <c r="I666" s="49">
        <f t="shared" si="1"/>
        <v>8</v>
      </c>
      <c r="J666" s="49">
        <f t="shared" si="2"/>
        <v>0</v>
      </c>
      <c r="K666" s="49">
        <f t="shared" si="3"/>
        <v>8</v>
      </c>
      <c r="L666" s="49" t="b">
        <f t="shared" si="4"/>
        <v>0</v>
      </c>
      <c r="M666" s="88">
        <f t="shared" si="5"/>
        <v>0</v>
      </c>
    </row>
    <row r="667" ht="14.25" customHeight="1">
      <c r="A667" s="49" t="s">
        <v>2890</v>
      </c>
      <c r="B667" s="49" t="str">
        <f>IFERROR(__xludf.DUMMYFUNCTION("REGEXEXTRACT(A667,""^cost\.(.*)\.[^.]+\.[^.]+$"")"),"tech.alchemists_hut.madness_grenade")</f>
        <v>tech.alchemists_hut.madness_grenade</v>
      </c>
      <c r="C667" s="49" t="str">
        <f t="array" ref="C667">_xlfn.XLOOKUP(
 B667,
 tblTargets[TargetID],
 tblTargets[DisplayName],
 ""
)</f>
        <v>Alchemists Hut - Madness Grenade</v>
      </c>
      <c r="D667" s="49" t="str">
        <f t="array" ref="D667">_xlfn.XLOOKUP(
 B667,
 tblTargets[TargetID],
 tblTargets[TargetType],
 ""
)</f>
        <v>TECH</v>
      </c>
      <c r="E667" s="49" t="s">
        <v>6</v>
      </c>
      <c r="F667" s="87">
        <f>IFERROR(__xludf.DUMMYFUNCTION("VALUE(REGEXEXTRACT(A667,""([^.]+)$""))"),1.0)</f>
        <v>1</v>
      </c>
      <c r="G667" s="49">
        <v>1.0</v>
      </c>
      <c r="H667" s="26" t="b">
        <f>COUNTIFS(
 tblCostChecklist[RequirementID],A667,
 tblCostChecklist[PlayerPaid],TRUE
)&gt;0</f>
        <v>0</v>
      </c>
      <c r="I667" s="49">
        <f t="shared" si="1"/>
        <v>8</v>
      </c>
      <c r="J667" s="49">
        <f t="shared" si="2"/>
        <v>0</v>
      </c>
      <c r="K667" s="49">
        <f t="shared" si="3"/>
        <v>8</v>
      </c>
      <c r="L667" s="49" t="b">
        <f t="shared" si="4"/>
        <v>0</v>
      </c>
      <c r="M667" s="88">
        <f t="shared" si="5"/>
        <v>0</v>
      </c>
    </row>
    <row r="668" ht="14.25" customHeight="1">
      <c r="A668" s="49" t="s">
        <v>2893</v>
      </c>
      <c r="B668" s="49" t="str">
        <f>IFERROR(__xludf.DUMMYFUNCTION("REGEXEXTRACT(A668,""^cost\.(.*)\.[^.]+\.[^.]+$"")"),"tech.alchemists_hut.potion_of_healing")</f>
        <v>tech.alchemists_hut.potion_of_healing</v>
      </c>
      <c r="C668" s="49" t="str">
        <f t="array" ref="C668">_xlfn.XLOOKUP(
 B668,
 tblTargets[TargetID],
 tblTargets[DisplayName],
 ""
)</f>
        <v>Alchemists Hut - Potion Of Healing</v>
      </c>
      <c r="D668" s="49" t="str">
        <f t="array" ref="D668">_xlfn.XLOOKUP(
 B668,
 tblTargets[TargetID],
 tblTargets[TargetType],
 ""
)</f>
        <v>TECH</v>
      </c>
      <c r="E668" s="49" t="s">
        <v>119</v>
      </c>
      <c r="F668" s="87">
        <f>IFERROR(__xludf.DUMMYFUNCTION("VALUE(REGEXEXTRACT(A668,""([^.]+)$""))"),1.0)</f>
        <v>1</v>
      </c>
      <c r="G668" s="49">
        <v>300.0</v>
      </c>
      <c r="H668" s="26" t="b">
        <f>COUNTIFS(
 tblCostChecklist[RequirementID],A668,
 tblCostChecklist[PlayerPaid],TRUE
)&gt;0</f>
        <v>0</v>
      </c>
      <c r="I668" s="49">
        <f t="shared" si="1"/>
        <v>6</v>
      </c>
      <c r="J668" s="49">
        <f t="shared" si="2"/>
        <v>0</v>
      </c>
      <c r="K668" s="49">
        <f t="shared" si="3"/>
        <v>6</v>
      </c>
      <c r="L668" s="49" t="b">
        <f t="shared" si="4"/>
        <v>0</v>
      </c>
      <c r="M668" s="88">
        <f t="shared" si="5"/>
        <v>0</v>
      </c>
    </row>
    <row r="669" ht="14.25" customHeight="1">
      <c r="A669" s="49" t="s">
        <v>2895</v>
      </c>
      <c r="B669" s="49" t="str">
        <f>IFERROR(__xludf.DUMMYFUNCTION("REGEXEXTRACT(A669,""^cost\.(.*)\.[^.]+\.[^.]+$"")"),"tech.alchemists_hut.potion_of_healing")</f>
        <v>tech.alchemists_hut.potion_of_healing</v>
      </c>
      <c r="C669" s="49" t="str">
        <f t="array" ref="C669">_xlfn.XLOOKUP(
 B669,
 tblTargets[TargetID],
 tblTargets[DisplayName],
 ""
)</f>
        <v>Alchemists Hut - Potion Of Healing</v>
      </c>
      <c r="D669" s="49" t="str">
        <f t="array" ref="D669">_xlfn.XLOOKUP(
 B669,
 tblTargets[TargetID],
 tblTargets[TargetType],
 ""
)</f>
        <v>TECH</v>
      </c>
      <c r="E669" s="49" t="s">
        <v>1060</v>
      </c>
      <c r="F669" s="87">
        <f>IFERROR(__xludf.DUMMYFUNCTION("VALUE(REGEXEXTRACT(A669,""([^.]+)$""))"),1.0)</f>
        <v>1</v>
      </c>
      <c r="G669" s="49">
        <v>50.0</v>
      </c>
      <c r="H669" s="26" t="b">
        <f>COUNTIFS(
 tblCostChecklist[RequirementID],A669,
 tblCostChecklist[PlayerPaid],TRUE
)&gt;0</f>
        <v>0</v>
      </c>
      <c r="I669" s="49">
        <f t="shared" si="1"/>
        <v>6</v>
      </c>
      <c r="J669" s="49">
        <f t="shared" si="2"/>
        <v>0</v>
      </c>
      <c r="K669" s="49">
        <f t="shared" si="3"/>
        <v>6</v>
      </c>
      <c r="L669" s="49" t="b">
        <f t="shared" si="4"/>
        <v>0</v>
      </c>
      <c r="M669" s="88">
        <f t="shared" si="5"/>
        <v>0</v>
      </c>
    </row>
    <row r="670" ht="14.25" customHeight="1">
      <c r="A670" s="49" t="s">
        <v>2897</v>
      </c>
      <c r="B670" s="49" t="str">
        <f>IFERROR(__xludf.DUMMYFUNCTION("REGEXEXTRACT(A670,""^cost\.(.*)\.[^.]+\.[^.]+$"")"),"tech.alchemists_hut.potion_of_healing")</f>
        <v>tech.alchemists_hut.potion_of_healing</v>
      </c>
      <c r="C670" s="49" t="str">
        <f t="array" ref="C670">_xlfn.XLOOKUP(
 B670,
 tblTargets[TargetID],
 tblTargets[DisplayName],
 ""
)</f>
        <v>Alchemists Hut - Potion Of Healing</v>
      </c>
      <c r="D670" s="49" t="str">
        <f t="array" ref="D670">_xlfn.XLOOKUP(
 B670,
 tblTargets[TargetID],
 tblTargets[TargetType],
 ""
)</f>
        <v>TECH</v>
      </c>
      <c r="E670" s="49" t="s">
        <v>360</v>
      </c>
      <c r="F670" s="87">
        <f>IFERROR(__xludf.DUMMYFUNCTION("VALUE(REGEXEXTRACT(A670,""([^.]+)$""))"),1.0)</f>
        <v>1</v>
      </c>
      <c r="G670" s="49">
        <v>10.0</v>
      </c>
      <c r="H670" s="26" t="b">
        <f>COUNTIFS(
 tblCostChecklist[RequirementID],A670,
 tblCostChecklist[PlayerPaid],TRUE
)&gt;0</f>
        <v>0</v>
      </c>
      <c r="I670" s="49">
        <f t="shared" si="1"/>
        <v>6</v>
      </c>
      <c r="J670" s="49">
        <f t="shared" si="2"/>
        <v>0</v>
      </c>
      <c r="K670" s="49">
        <f t="shared" si="3"/>
        <v>6</v>
      </c>
      <c r="L670" s="49" t="b">
        <f t="shared" si="4"/>
        <v>0</v>
      </c>
      <c r="M670" s="88">
        <f t="shared" si="5"/>
        <v>0</v>
      </c>
    </row>
    <row r="671" ht="14.25" customHeight="1">
      <c r="A671" s="49" t="s">
        <v>2898</v>
      </c>
      <c r="B671" s="49" t="str">
        <f>IFERROR(__xludf.DUMMYFUNCTION("REGEXEXTRACT(A671,""^cost\.(.*)\.[^.]+\.[^.]+$"")"),"tech.alchemists_hut.potion_of_healing")</f>
        <v>tech.alchemists_hut.potion_of_healing</v>
      </c>
      <c r="C671" s="49" t="str">
        <f t="array" ref="C671">_xlfn.XLOOKUP(
 B671,
 tblTargets[TargetID],
 tblTargets[DisplayName],
 ""
)</f>
        <v>Alchemists Hut - Potion Of Healing</v>
      </c>
      <c r="D671" s="49" t="str">
        <f t="array" ref="D671">_xlfn.XLOOKUP(
 B671,
 tblTargets[TargetID],
 tblTargets[TargetType],
 ""
)</f>
        <v>TECH</v>
      </c>
      <c r="E671" s="49" t="s">
        <v>132</v>
      </c>
      <c r="F671" s="87">
        <f>IFERROR(__xludf.DUMMYFUNCTION("VALUE(REGEXEXTRACT(A671,""([^.]+)$""))"),1.0)</f>
        <v>1</v>
      </c>
      <c r="G671" s="49">
        <v>15.0</v>
      </c>
      <c r="H671" s="26" t="b">
        <f>COUNTIFS(
 tblCostChecklist[RequirementID],A671,
 tblCostChecklist[PlayerPaid],TRUE
)&gt;0</f>
        <v>0</v>
      </c>
      <c r="I671" s="49">
        <f t="shared" si="1"/>
        <v>6</v>
      </c>
      <c r="J671" s="49">
        <f t="shared" si="2"/>
        <v>0</v>
      </c>
      <c r="K671" s="49">
        <f t="shared" si="3"/>
        <v>6</v>
      </c>
      <c r="L671" s="49" t="b">
        <f t="shared" si="4"/>
        <v>0</v>
      </c>
      <c r="M671" s="88">
        <f t="shared" si="5"/>
        <v>0</v>
      </c>
    </row>
    <row r="672" ht="14.25" customHeight="1">
      <c r="A672" s="49" t="s">
        <v>2900</v>
      </c>
      <c r="B672" s="49" t="str">
        <f>IFERROR(__xludf.DUMMYFUNCTION("REGEXEXTRACT(A672,""^cost\.(.*)\.[^.]+\.[^.]+$"")"),"tech.alchemists_hut.potion_of_healing")</f>
        <v>tech.alchemists_hut.potion_of_healing</v>
      </c>
      <c r="C672" s="49" t="str">
        <f t="array" ref="C672">_xlfn.XLOOKUP(
 B672,
 tblTargets[TargetID],
 tblTargets[DisplayName],
 ""
)</f>
        <v>Alchemists Hut - Potion Of Healing</v>
      </c>
      <c r="D672" s="49" t="str">
        <f t="array" ref="D672">_xlfn.XLOOKUP(
 B672,
 tblTargets[TargetID],
 tblTargets[TargetType],
 ""
)</f>
        <v>TECH</v>
      </c>
      <c r="E672" s="49" t="s">
        <v>140</v>
      </c>
      <c r="F672" s="87">
        <f>IFERROR(__xludf.DUMMYFUNCTION("VALUE(REGEXEXTRACT(A672,""([^.]+)$""))"),1.0)</f>
        <v>1</v>
      </c>
      <c r="G672" s="49">
        <v>15.0</v>
      </c>
      <c r="H672" s="26" t="b">
        <f>COUNTIFS(
 tblCostChecklist[RequirementID],A672,
 tblCostChecklist[PlayerPaid],TRUE
)&gt;0</f>
        <v>0</v>
      </c>
      <c r="I672" s="49">
        <f t="shared" si="1"/>
        <v>6</v>
      </c>
      <c r="J672" s="49">
        <f t="shared" si="2"/>
        <v>0</v>
      </c>
      <c r="K672" s="49">
        <f t="shared" si="3"/>
        <v>6</v>
      </c>
      <c r="L672" s="49" t="b">
        <f t="shared" si="4"/>
        <v>0</v>
      </c>
      <c r="M672" s="88">
        <f t="shared" si="5"/>
        <v>0</v>
      </c>
    </row>
    <row r="673" ht="14.25" customHeight="1">
      <c r="A673" s="49" t="s">
        <v>2902</v>
      </c>
      <c r="B673" s="49" t="str">
        <f>IFERROR(__xludf.DUMMYFUNCTION("REGEXEXTRACT(A673,""^cost\.(.*)\.[^.]+\.[^.]+$"")"),"tech.alchemists_hut.potion_of_healing")</f>
        <v>tech.alchemists_hut.potion_of_healing</v>
      </c>
      <c r="C673" s="49" t="str">
        <f t="array" ref="C673">_xlfn.XLOOKUP(
 B673,
 tblTargets[TargetID],
 tblTargets[DisplayName],
 ""
)</f>
        <v>Alchemists Hut - Potion Of Healing</v>
      </c>
      <c r="D673" s="49" t="str">
        <f t="array" ref="D673">_xlfn.XLOOKUP(
 B673,
 tblTargets[TargetID],
 tblTargets[TargetType],
 ""
)</f>
        <v>TECH</v>
      </c>
      <c r="E673" s="49" t="s">
        <v>6</v>
      </c>
      <c r="F673" s="87">
        <f>IFERROR(__xludf.DUMMYFUNCTION("VALUE(REGEXEXTRACT(A673,""([^.]+)$""))"),1.0)</f>
        <v>1</v>
      </c>
      <c r="G673" s="49">
        <v>1.0</v>
      </c>
      <c r="H673" s="26" t="b">
        <f>COUNTIFS(
 tblCostChecklist[RequirementID],A673,
 tblCostChecklist[PlayerPaid],TRUE
)&gt;0</f>
        <v>0</v>
      </c>
      <c r="I673" s="49">
        <f t="shared" si="1"/>
        <v>6</v>
      </c>
      <c r="J673" s="49">
        <f t="shared" si="2"/>
        <v>0</v>
      </c>
      <c r="K673" s="49">
        <f t="shared" si="3"/>
        <v>6</v>
      </c>
      <c r="L673" s="49" t="b">
        <f t="shared" si="4"/>
        <v>0</v>
      </c>
      <c r="M673" s="88">
        <f t="shared" si="5"/>
        <v>0</v>
      </c>
    </row>
    <row r="674" ht="14.25" customHeight="1">
      <c r="A674" s="49" t="s">
        <v>2904</v>
      </c>
      <c r="B674" s="49" t="str">
        <f>IFERROR(__xludf.DUMMYFUNCTION("REGEXEXTRACT(A674,""^cost\.(.*)\.[^.]+\.[^.]+$"")"),"tech.alchemists_hut.potion_of_energy")</f>
        <v>tech.alchemists_hut.potion_of_energy</v>
      </c>
      <c r="C674" s="49" t="str">
        <f t="array" ref="C674">_xlfn.XLOOKUP(
 B674,
 tblTargets[TargetID],
 tblTargets[DisplayName],
 ""
)</f>
        <v>Alchemists Hut - Potion Of Energy</v>
      </c>
      <c r="D674" s="49" t="str">
        <f t="array" ref="D674">_xlfn.XLOOKUP(
 B674,
 tblTargets[TargetID],
 tblTargets[TargetType],
 ""
)</f>
        <v>TECH</v>
      </c>
      <c r="E674" s="49" t="s">
        <v>119</v>
      </c>
      <c r="F674" s="87">
        <f>IFERROR(__xludf.DUMMYFUNCTION("VALUE(REGEXEXTRACT(A674,""([^.]+)$""))"),1.0)</f>
        <v>1</v>
      </c>
      <c r="G674" s="49">
        <v>300.0</v>
      </c>
      <c r="H674" s="26" t="b">
        <f>COUNTIFS(
 tblCostChecklist[RequirementID],A674,
 tblCostChecklist[PlayerPaid],TRUE
)&gt;0</f>
        <v>0</v>
      </c>
      <c r="I674" s="49">
        <f t="shared" si="1"/>
        <v>6</v>
      </c>
      <c r="J674" s="49">
        <f t="shared" si="2"/>
        <v>0</v>
      </c>
      <c r="K674" s="49">
        <f t="shared" si="3"/>
        <v>6</v>
      </c>
      <c r="L674" s="49" t="b">
        <f t="shared" si="4"/>
        <v>0</v>
      </c>
      <c r="M674" s="88">
        <f t="shared" si="5"/>
        <v>0</v>
      </c>
    </row>
    <row r="675" ht="14.25" customHeight="1">
      <c r="A675" s="49" t="s">
        <v>2906</v>
      </c>
      <c r="B675" s="49" t="str">
        <f>IFERROR(__xludf.DUMMYFUNCTION("REGEXEXTRACT(A675,""^cost\.(.*)\.[^.]+\.[^.]+$"")"),"tech.alchemists_hut.potion_of_energy")</f>
        <v>tech.alchemists_hut.potion_of_energy</v>
      </c>
      <c r="C675" s="49" t="str">
        <f t="array" ref="C675">_xlfn.XLOOKUP(
 B675,
 tblTargets[TargetID],
 tblTargets[DisplayName],
 ""
)</f>
        <v>Alchemists Hut - Potion Of Energy</v>
      </c>
      <c r="D675" s="49" t="str">
        <f t="array" ref="D675">_xlfn.XLOOKUP(
 B675,
 tblTargets[TargetID],
 tblTargets[TargetType],
 ""
)</f>
        <v>TECH</v>
      </c>
      <c r="E675" s="49" t="s">
        <v>1060</v>
      </c>
      <c r="F675" s="87">
        <f>IFERROR(__xludf.DUMMYFUNCTION("VALUE(REGEXEXTRACT(A675,""([^.]+)$""))"),1.0)</f>
        <v>1</v>
      </c>
      <c r="G675" s="49">
        <v>50.0</v>
      </c>
      <c r="H675" s="26" t="b">
        <f>COUNTIFS(
 tblCostChecklist[RequirementID],A675,
 tblCostChecklist[PlayerPaid],TRUE
)&gt;0</f>
        <v>0</v>
      </c>
      <c r="I675" s="49">
        <f t="shared" si="1"/>
        <v>6</v>
      </c>
      <c r="J675" s="49">
        <f t="shared" si="2"/>
        <v>0</v>
      </c>
      <c r="K675" s="49">
        <f t="shared" si="3"/>
        <v>6</v>
      </c>
      <c r="L675" s="49" t="b">
        <f t="shared" si="4"/>
        <v>0</v>
      </c>
      <c r="M675" s="88">
        <f t="shared" si="5"/>
        <v>0</v>
      </c>
    </row>
    <row r="676" ht="14.25" customHeight="1">
      <c r="A676" s="49" t="s">
        <v>2908</v>
      </c>
      <c r="B676" s="49" t="str">
        <f>IFERROR(__xludf.DUMMYFUNCTION("REGEXEXTRACT(A676,""^cost\.(.*)\.[^.]+\.[^.]+$"")"),"tech.alchemists_hut.potion_of_energy")</f>
        <v>tech.alchemists_hut.potion_of_energy</v>
      </c>
      <c r="C676" s="49" t="str">
        <f t="array" ref="C676">_xlfn.XLOOKUP(
 B676,
 tblTargets[TargetID],
 tblTargets[DisplayName],
 ""
)</f>
        <v>Alchemists Hut - Potion Of Energy</v>
      </c>
      <c r="D676" s="49" t="str">
        <f t="array" ref="D676">_xlfn.XLOOKUP(
 B676,
 tblTargets[TargetID],
 tblTargets[TargetType],
 ""
)</f>
        <v>TECH</v>
      </c>
      <c r="E676" s="49" t="s">
        <v>360</v>
      </c>
      <c r="F676" s="87">
        <f>IFERROR(__xludf.DUMMYFUNCTION("VALUE(REGEXEXTRACT(A676,""([^.]+)$""))"),1.0)</f>
        <v>1</v>
      </c>
      <c r="G676" s="49">
        <v>10.0</v>
      </c>
      <c r="H676" s="26" t="b">
        <f>COUNTIFS(
 tblCostChecklist[RequirementID],A676,
 tblCostChecklist[PlayerPaid],TRUE
)&gt;0</f>
        <v>0</v>
      </c>
      <c r="I676" s="49">
        <f t="shared" si="1"/>
        <v>6</v>
      </c>
      <c r="J676" s="49">
        <f t="shared" si="2"/>
        <v>0</v>
      </c>
      <c r="K676" s="49">
        <f t="shared" si="3"/>
        <v>6</v>
      </c>
      <c r="L676" s="49" t="b">
        <f t="shared" si="4"/>
        <v>0</v>
      </c>
      <c r="M676" s="88">
        <f t="shared" si="5"/>
        <v>0</v>
      </c>
    </row>
    <row r="677" ht="14.25" customHeight="1">
      <c r="A677" s="49" t="s">
        <v>2910</v>
      </c>
      <c r="B677" s="49" t="str">
        <f>IFERROR(__xludf.DUMMYFUNCTION("REGEXEXTRACT(A677,""^cost\.(.*)\.[^.]+\.[^.]+$"")"),"tech.alchemists_hut.potion_of_energy")</f>
        <v>tech.alchemists_hut.potion_of_energy</v>
      </c>
      <c r="C677" s="49" t="str">
        <f t="array" ref="C677">_xlfn.XLOOKUP(
 B677,
 tblTargets[TargetID],
 tblTargets[DisplayName],
 ""
)</f>
        <v>Alchemists Hut - Potion Of Energy</v>
      </c>
      <c r="D677" s="49" t="str">
        <f t="array" ref="D677">_xlfn.XLOOKUP(
 B677,
 tblTargets[TargetID],
 tblTargets[TargetType],
 ""
)</f>
        <v>TECH</v>
      </c>
      <c r="E677" s="49" t="s">
        <v>132</v>
      </c>
      <c r="F677" s="87">
        <f>IFERROR(__xludf.DUMMYFUNCTION("VALUE(REGEXEXTRACT(A677,""([^.]+)$""))"),1.0)</f>
        <v>1</v>
      </c>
      <c r="G677" s="49">
        <v>15.0</v>
      </c>
      <c r="H677" s="26" t="b">
        <f>COUNTIFS(
 tblCostChecklist[RequirementID],A677,
 tblCostChecklist[PlayerPaid],TRUE
)&gt;0</f>
        <v>0</v>
      </c>
      <c r="I677" s="49">
        <f t="shared" si="1"/>
        <v>6</v>
      </c>
      <c r="J677" s="49">
        <f t="shared" si="2"/>
        <v>0</v>
      </c>
      <c r="K677" s="49">
        <f t="shared" si="3"/>
        <v>6</v>
      </c>
      <c r="L677" s="49" t="b">
        <f t="shared" si="4"/>
        <v>0</v>
      </c>
      <c r="M677" s="88">
        <f t="shared" si="5"/>
        <v>0</v>
      </c>
    </row>
    <row r="678" ht="14.25" customHeight="1">
      <c r="A678" s="49" t="s">
        <v>2911</v>
      </c>
      <c r="B678" s="49" t="str">
        <f>IFERROR(__xludf.DUMMYFUNCTION("REGEXEXTRACT(A678,""^cost\.(.*)\.[^.]+\.[^.]+$"")"),"tech.alchemists_hut.potion_of_energy")</f>
        <v>tech.alchemists_hut.potion_of_energy</v>
      </c>
      <c r="C678" s="49" t="str">
        <f t="array" ref="C678">_xlfn.XLOOKUP(
 B678,
 tblTargets[TargetID],
 tblTargets[DisplayName],
 ""
)</f>
        <v>Alchemists Hut - Potion Of Energy</v>
      </c>
      <c r="D678" s="49" t="str">
        <f t="array" ref="D678">_xlfn.XLOOKUP(
 B678,
 tblTargets[TargetID],
 tblTargets[TargetType],
 ""
)</f>
        <v>TECH</v>
      </c>
      <c r="E678" s="49" t="s">
        <v>140</v>
      </c>
      <c r="F678" s="87">
        <f>IFERROR(__xludf.DUMMYFUNCTION("VALUE(REGEXEXTRACT(A678,""([^.]+)$""))"),1.0)</f>
        <v>1</v>
      </c>
      <c r="G678" s="49">
        <v>15.0</v>
      </c>
      <c r="H678" s="26" t="b">
        <f>COUNTIFS(
 tblCostChecklist[RequirementID],A678,
 tblCostChecklist[PlayerPaid],TRUE
)&gt;0</f>
        <v>0</v>
      </c>
      <c r="I678" s="49">
        <f t="shared" si="1"/>
        <v>6</v>
      </c>
      <c r="J678" s="49">
        <f t="shared" si="2"/>
        <v>0</v>
      </c>
      <c r="K678" s="49">
        <f t="shared" si="3"/>
        <v>6</v>
      </c>
      <c r="L678" s="49" t="b">
        <f t="shared" si="4"/>
        <v>0</v>
      </c>
      <c r="M678" s="88">
        <f t="shared" si="5"/>
        <v>0</v>
      </c>
    </row>
    <row r="679" ht="14.25" customHeight="1">
      <c r="A679" s="49" t="s">
        <v>2913</v>
      </c>
      <c r="B679" s="49" t="str">
        <f>IFERROR(__xludf.DUMMYFUNCTION("REGEXEXTRACT(A679,""^cost\.(.*)\.[^.]+\.[^.]+$"")"),"tech.alchemists_hut.potion_of_energy")</f>
        <v>tech.alchemists_hut.potion_of_energy</v>
      </c>
      <c r="C679" s="49" t="str">
        <f t="array" ref="C679">_xlfn.XLOOKUP(
 B679,
 tblTargets[TargetID],
 tblTargets[DisplayName],
 ""
)</f>
        <v>Alchemists Hut - Potion Of Energy</v>
      </c>
      <c r="D679" s="49" t="str">
        <f t="array" ref="D679">_xlfn.XLOOKUP(
 B679,
 tblTargets[TargetID],
 tblTargets[TargetType],
 ""
)</f>
        <v>TECH</v>
      </c>
      <c r="E679" s="49" t="s">
        <v>6</v>
      </c>
      <c r="F679" s="87">
        <f>IFERROR(__xludf.DUMMYFUNCTION("VALUE(REGEXEXTRACT(A679,""([^.]+)$""))"),1.0)</f>
        <v>1</v>
      </c>
      <c r="G679" s="49">
        <v>1.0</v>
      </c>
      <c r="H679" s="26" t="b">
        <f>COUNTIFS(
 tblCostChecklist[RequirementID],A679,
 tblCostChecklist[PlayerPaid],TRUE
)&gt;0</f>
        <v>0</v>
      </c>
      <c r="I679" s="49">
        <f t="shared" si="1"/>
        <v>6</v>
      </c>
      <c r="J679" s="49">
        <f t="shared" si="2"/>
        <v>0</v>
      </c>
      <c r="K679" s="49">
        <f t="shared" si="3"/>
        <v>6</v>
      </c>
      <c r="L679" s="49" t="b">
        <f t="shared" si="4"/>
        <v>0</v>
      </c>
      <c r="M679" s="88">
        <f t="shared" si="5"/>
        <v>0</v>
      </c>
    </row>
    <row r="680" ht="14.25" customHeight="1">
      <c r="A680" s="49" t="s">
        <v>2916</v>
      </c>
      <c r="B680" s="49" t="str">
        <f>IFERROR(__xludf.DUMMYFUNCTION("REGEXEXTRACT(A680,""^cost\.(.*)\.[^.]+\.[^.]+$"")"),"tech.alchemists_hut.potion_berserker_rage")</f>
        <v>tech.alchemists_hut.potion_berserker_rage</v>
      </c>
      <c r="C680" s="49" t="str">
        <f t="array" ref="C680">_xlfn.XLOOKUP(
 B680,
 tblTargets[TargetID],
 tblTargets[DisplayName],
 ""
)</f>
        <v>Alchemists Hut - Potion Berserker Rage</v>
      </c>
      <c r="D680" s="49" t="str">
        <f t="array" ref="D680">_xlfn.XLOOKUP(
 B680,
 tblTargets[TargetID],
 tblTargets[TargetType],
 ""
)</f>
        <v>TECH</v>
      </c>
      <c r="E680" s="49" t="s">
        <v>119</v>
      </c>
      <c r="F680" s="87">
        <f>IFERROR(__xludf.DUMMYFUNCTION("VALUE(REGEXEXTRACT(A680,""([^.]+)$""))"),1.0)</f>
        <v>1</v>
      </c>
      <c r="G680" s="49">
        <v>500.0</v>
      </c>
      <c r="H680" s="26" t="b">
        <f>COUNTIFS(
 tblCostChecklist[RequirementID],A680,
 tblCostChecklist[PlayerPaid],TRUE
)&gt;0</f>
        <v>0</v>
      </c>
      <c r="I680" s="49">
        <f t="shared" si="1"/>
        <v>7</v>
      </c>
      <c r="J680" s="49">
        <f t="shared" si="2"/>
        <v>0</v>
      </c>
      <c r="K680" s="49">
        <f t="shared" si="3"/>
        <v>7</v>
      </c>
      <c r="L680" s="49" t="b">
        <f t="shared" si="4"/>
        <v>0</v>
      </c>
      <c r="M680" s="88">
        <f t="shared" si="5"/>
        <v>0</v>
      </c>
    </row>
    <row r="681" ht="14.25" customHeight="1">
      <c r="A681" s="49" t="s">
        <v>2918</v>
      </c>
      <c r="B681" s="49" t="str">
        <f>IFERROR(__xludf.DUMMYFUNCTION("REGEXEXTRACT(A681,""^cost\.(.*)\.[^.]+\.[^.]+$"")"),"tech.alchemists_hut.potion_berserker_rage")</f>
        <v>tech.alchemists_hut.potion_berserker_rage</v>
      </c>
      <c r="C681" s="49" t="str">
        <f t="array" ref="C681">_xlfn.XLOOKUP(
 B681,
 tblTargets[TargetID],
 tblTargets[DisplayName],
 ""
)</f>
        <v>Alchemists Hut - Potion Berserker Rage</v>
      </c>
      <c r="D681" s="49" t="str">
        <f t="array" ref="D681">_xlfn.XLOOKUP(
 B681,
 tblTargets[TargetID],
 tblTargets[TargetType],
 ""
)</f>
        <v>TECH</v>
      </c>
      <c r="E681" s="49" t="s">
        <v>360</v>
      </c>
      <c r="F681" s="87">
        <f>IFERROR(__xludf.DUMMYFUNCTION("VALUE(REGEXEXTRACT(A681,""([^.]+)$""))"),1.0)</f>
        <v>1</v>
      </c>
      <c r="G681" s="49">
        <v>10.0</v>
      </c>
      <c r="H681" s="26" t="b">
        <f>COUNTIFS(
 tblCostChecklist[RequirementID],A681,
 tblCostChecklist[PlayerPaid],TRUE
)&gt;0</f>
        <v>0</v>
      </c>
      <c r="I681" s="49">
        <f t="shared" si="1"/>
        <v>7</v>
      </c>
      <c r="J681" s="49">
        <f t="shared" si="2"/>
        <v>0</v>
      </c>
      <c r="K681" s="49">
        <f t="shared" si="3"/>
        <v>7</v>
      </c>
      <c r="L681" s="49" t="b">
        <f t="shared" si="4"/>
        <v>0</v>
      </c>
      <c r="M681" s="88">
        <f t="shared" si="5"/>
        <v>0</v>
      </c>
    </row>
    <row r="682" ht="14.25" customHeight="1">
      <c r="A682" s="49" t="s">
        <v>2920</v>
      </c>
      <c r="B682" s="49" t="str">
        <f>IFERROR(__xludf.DUMMYFUNCTION("REGEXEXTRACT(A682,""^cost\.(.*)\.[^.]+\.[^.]+$"")"),"tech.alchemists_hut.potion_berserker_rage")</f>
        <v>tech.alchemists_hut.potion_berserker_rage</v>
      </c>
      <c r="C682" s="49" t="str">
        <f t="array" ref="C682">_xlfn.XLOOKUP(
 B682,
 tblTargets[TargetID],
 tblTargets[DisplayName],
 ""
)</f>
        <v>Alchemists Hut - Potion Berserker Rage</v>
      </c>
      <c r="D682" s="49" t="str">
        <f t="array" ref="D682">_xlfn.XLOOKUP(
 B682,
 tblTargets[TargetID],
 tblTargets[TargetType],
 ""
)</f>
        <v>TECH</v>
      </c>
      <c r="E682" s="49" t="s">
        <v>2304</v>
      </c>
      <c r="F682" s="87">
        <f>IFERROR(__xludf.DUMMYFUNCTION("VALUE(REGEXEXTRACT(A682,""([^.]+)$""))"),1.0)</f>
        <v>1</v>
      </c>
      <c r="G682" s="49">
        <v>10.0</v>
      </c>
      <c r="H682" s="26" t="b">
        <f>COUNTIFS(
 tblCostChecklist[RequirementID],A682,
 tblCostChecklist[PlayerPaid],TRUE
)&gt;0</f>
        <v>0</v>
      </c>
      <c r="I682" s="49">
        <f t="shared" si="1"/>
        <v>7</v>
      </c>
      <c r="J682" s="49">
        <f t="shared" si="2"/>
        <v>0</v>
      </c>
      <c r="K682" s="49">
        <f t="shared" si="3"/>
        <v>7</v>
      </c>
      <c r="L682" s="49" t="b">
        <f t="shared" si="4"/>
        <v>0</v>
      </c>
      <c r="M682" s="88">
        <f t="shared" si="5"/>
        <v>0</v>
      </c>
    </row>
    <row r="683" ht="14.25" customHeight="1">
      <c r="A683" s="49" t="s">
        <v>2922</v>
      </c>
      <c r="B683" s="49" t="str">
        <f>IFERROR(__xludf.DUMMYFUNCTION("REGEXEXTRACT(A683,""^cost\.(.*)\.[^.]+\.[^.]+$"")"),"tech.alchemists_hut.potion_berserker_rage")</f>
        <v>tech.alchemists_hut.potion_berserker_rage</v>
      </c>
      <c r="C683" s="49" t="str">
        <f t="array" ref="C683">_xlfn.XLOOKUP(
 B683,
 tblTargets[TargetID],
 tblTargets[DisplayName],
 ""
)</f>
        <v>Alchemists Hut - Potion Berserker Rage</v>
      </c>
      <c r="D683" s="49" t="str">
        <f t="array" ref="D683">_xlfn.XLOOKUP(
 B683,
 tblTargets[TargetID],
 tblTargets[TargetType],
 ""
)</f>
        <v>TECH</v>
      </c>
      <c r="E683" s="49" t="s">
        <v>132</v>
      </c>
      <c r="F683" s="87">
        <f>IFERROR(__xludf.DUMMYFUNCTION("VALUE(REGEXEXTRACT(A683,""([^.]+)$""))"),1.0)</f>
        <v>1</v>
      </c>
      <c r="G683" s="49">
        <v>20.0</v>
      </c>
      <c r="H683" s="26" t="b">
        <f>COUNTIFS(
 tblCostChecklist[RequirementID],A683,
 tblCostChecklist[PlayerPaid],TRUE
)&gt;0</f>
        <v>0</v>
      </c>
      <c r="I683" s="49">
        <f t="shared" si="1"/>
        <v>7</v>
      </c>
      <c r="J683" s="49">
        <f t="shared" si="2"/>
        <v>0</v>
      </c>
      <c r="K683" s="49">
        <f t="shared" si="3"/>
        <v>7</v>
      </c>
      <c r="L683" s="49" t="b">
        <f t="shared" si="4"/>
        <v>0</v>
      </c>
      <c r="M683" s="88">
        <f t="shared" si="5"/>
        <v>0</v>
      </c>
    </row>
    <row r="684" ht="14.25" customHeight="1">
      <c r="A684" s="49" t="s">
        <v>2924</v>
      </c>
      <c r="B684" s="49" t="str">
        <f>IFERROR(__xludf.DUMMYFUNCTION("REGEXEXTRACT(A684,""^cost\.(.*)\.[^.]+\.[^.]+$"")"),"tech.alchemists_hut.potion_berserker_rage")</f>
        <v>tech.alchemists_hut.potion_berserker_rage</v>
      </c>
      <c r="C684" s="49" t="str">
        <f t="array" ref="C684">_xlfn.XLOOKUP(
 B684,
 tblTargets[TargetID],
 tblTargets[DisplayName],
 ""
)</f>
        <v>Alchemists Hut - Potion Berserker Rage</v>
      </c>
      <c r="D684" s="49" t="str">
        <f t="array" ref="D684">_xlfn.XLOOKUP(
 B684,
 tblTargets[TargetID],
 tblTargets[TargetType],
 ""
)</f>
        <v>TECH</v>
      </c>
      <c r="E684" s="49" t="s">
        <v>140</v>
      </c>
      <c r="F684" s="87">
        <f>IFERROR(__xludf.DUMMYFUNCTION("VALUE(REGEXEXTRACT(A684,""([^.]+)$""))"),1.0)</f>
        <v>1</v>
      </c>
      <c r="G684" s="49">
        <v>20.0</v>
      </c>
      <c r="H684" s="26" t="b">
        <f>COUNTIFS(
 tblCostChecklist[RequirementID],A684,
 tblCostChecklist[PlayerPaid],TRUE
)&gt;0</f>
        <v>0</v>
      </c>
      <c r="I684" s="49">
        <f t="shared" si="1"/>
        <v>7</v>
      </c>
      <c r="J684" s="49">
        <f t="shared" si="2"/>
        <v>0</v>
      </c>
      <c r="K684" s="49">
        <f t="shared" si="3"/>
        <v>7</v>
      </c>
      <c r="L684" s="49" t="b">
        <f t="shared" si="4"/>
        <v>0</v>
      </c>
      <c r="M684" s="88">
        <f t="shared" si="5"/>
        <v>0</v>
      </c>
    </row>
    <row r="685" ht="14.25" customHeight="1">
      <c r="A685" s="49" t="s">
        <v>2926</v>
      </c>
      <c r="B685" s="49" t="str">
        <f>IFERROR(__xludf.DUMMYFUNCTION("REGEXEXTRACT(A685,""^cost\.(.*)\.[^.]+\.[^.]+$"")"),"tech.alchemists_hut.potion_berserker_rage")</f>
        <v>tech.alchemists_hut.potion_berserker_rage</v>
      </c>
      <c r="C685" s="49" t="str">
        <f t="array" ref="C685">_xlfn.XLOOKUP(
 B685,
 tblTargets[TargetID],
 tblTargets[DisplayName],
 ""
)</f>
        <v>Alchemists Hut - Potion Berserker Rage</v>
      </c>
      <c r="D685" s="49" t="str">
        <f t="array" ref="D685">_xlfn.XLOOKUP(
 B685,
 tblTargets[TargetID],
 tblTargets[TargetType],
 ""
)</f>
        <v>TECH</v>
      </c>
      <c r="E685" s="49" t="s">
        <v>6</v>
      </c>
      <c r="F685" s="87">
        <f>IFERROR(__xludf.DUMMYFUNCTION("VALUE(REGEXEXTRACT(A685,""([^.]+)$""))"),1.0)</f>
        <v>1</v>
      </c>
      <c r="G685" s="49">
        <v>3.0</v>
      </c>
      <c r="H685" s="26" t="b">
        <f>COUNTIFS(
 tblCostChecklist[RequirementID],A685,
 tblCostChecklist[PlayerPaid],TRUE
)&gt;0</f>
        <v>0</v>
      </c>
      <c r="I685" s="49">
        <f t="shared" si="1"/>
        <v>7</v>
      </c>
      <c r="J685" s="49">
        <f t="shared" si="2"/>
        <v>0</v>
      </c>
      <c r="K685" s="49">
        <f t="shared" si="3"/>
        <v>7</v>
      </c>
      <c r="L685" s="49" t="b">
        <f t="shared" si="4"/>
        <v>0</v>
      </c>
      <c r="M685" s="88">
        <f t="shared" si="5"/>
        <v>0</v>
      </c>
    </row>
    <row r="686" ht="14.25" customHeight="1">
      <c r="A686" s="49" t="s">
        <v>2928</v>
      </c>
      <c r="B686" s="49" t="str">
        <f>IFERROR(__xludf.DUMMYFUNCTION("REGEXEXTRACT(A686,""^cost\.(.*)\.[^.]+\.[^.]+$"")"),"tech.alchemists_hut.potion_berserker_rage")</f>
        <v>tech.alchemists_hut.potion_berserker_rage</v>
      </c>
      <c r="C686" s="49" t="str">
        <f t="array" ref="C686">_xlfn.XLOOKUP(
 B686,
 tblTargets[TargetID],
 tblTargets[DisplayName],
 ""
)</f>
        <v>Alchemists Hut - Potion Berserker Rage</v>
      </c>
      <c r="D686" s="49" t="str">
        <f t="array" ref="D686">_xlfn.XLOOKUP(
 B686,
 tblTargets[TargetID],
 tblTargets[TargetType],
 ""
)</f>
        <v>TECH</v>
      </c>
      <c r="E686" s="49" t="s">
        <v>443</v>
      </c>
      <c r="F686" s="87">
        <f>IFERROR(__xludf.DUMMYFUNCTION("VALUE(REGEXEXTRACT(A686,""([^.]+)$""))"),1.0)</f>
        <v>1</v>
      </c>
      <c r="G686" s="49">
        <v>3.0</v>
      </c>
      <c r="H686" s="26" t="b">
        <f>COUNTIFS(
 tblCostChecklist[RequirementID],A686,
 tblCostChecklist[PlayerPaid],TRUE
)&gt;0</f>
        <v>0</v>
      </c>
      <c r="I686" s="49">
        <f t="shared" si="1"/>
        <v>7</v>
      </c>
      <c r="J686" s="49">
        <f t="shared" si="2"/>
        <v>0</v>
      </c>
      <c r="K686" s="49">
        <f t="shared" si="3"/>
        <v>7</v>
      </c>
      <c r="L686" s="49" t="b">
        <f t="shared" si="4"/>
        <v>0</v>
      </c>
      <c r="M686" s="88">
        <f t="shared" si="5"/>
        <v>0</v>
      </c>
    </row>
    <row r="687" ht="14.25" customHeight="1">
      <c r="A687" s="49" t="s">
        <v>2930</v>
      </c>
      <c r="B687" s="49" t="str">
        <f>IFERROR(__xludf.DUMMYFUNCTION("REGEXEXTRACT(A687,""^cost\.(.*)\.[^.]+\.[^.]+$"")"),"tech.alchemists_hut.potion_of_healing_lvl_2")</f>
        <v>tech.alchemists_hut.potion_of_healing_lvl_2</v>
      </c>
      <c r="C687" s="49" t="str">
        <f t="array" ref="C687">_xlfn.XLOOKUP(
 B687,
 tblTargets[TargetID],
 tblTargets[DisplayName],
 ""
)</f>
        <v>Alchemists Hut - Potion Of Healing Lvl 2</v>
      </c>
      <c r="D687" s="49" t="str">
        <f t="array" ref="D687">_xlfn.XLOOKUP(
 B687,
 tblTargets[TargetID],
 tblTargets[TargetType],
 ""
)</f>
        <v>TECH</v>
      </c>
      <c r="E687" s="49" t="s">
        <v>2297</v>
      </c>
      <c r="F687" s="87">
        <f>IFERROR(__xludf.DUMMYFUNCTION("VALUE(REGEXEXTRACT(A687,""([^.]+)$""))"),1.0)</f>
        <v>1</v>
      </c>
      <c r="G687" s="49">
        <v>15.0</v>
      </c>
      <c r="H687" s="26" t="b">
        <f>COUNTIFS(
 tblCostChecklist[RequirementID],A687,
 tblCostChecklist[PlayerPaid],TRUE
)&gt;0</f>
        <v>0</v>
      </c>
      <c r="I687" s="49">
        <f t="shared" si="1"/>
        <v>7</v>
      </c>
      <c r="J687" s="49">
        <f t="shared" si="2"/>
        <v>0</v>
      </c>
      <c r="K687" s="49">
        <f t="shared" si="3"/>
        <v>7</v>
      </c>
      <c r="L687" s="49" t="b">
        <f t="shared" si="4"/>
        <v>0</v>
      </c>
      <c r="M687" s="88">
        <f t="shared" si="5"/>
        <v>0</v>
      </c>
    </row>
    <row r="688" ht="14.25" customHeight="1">
      <c r="A688" s="49" t="s">
        <v>2932</v>
      </c>
      <c r="B688" s="49" t="str">
        <f>IFERROR(__xludf.DUMMYFUNCTION("REGEXEXTRACT(A688,""^cost\.(.*)\.[^.]+\.[^.]+$"")"),"tech.alchemists_hut.potion_of_healing_lvl_2")</f>
        <v>tech.alchemists_hut.potion_of_healing_lvl_2</v>
      </c>
      <c r="C688" s="49" t="str">
        <f t="array" ref="C688">_xlfn.XLOOKUP(
 B688,
 tblTargets[TargetID],
 tblTargets[DisplayName],
 ""
)</f>
        <v>Alchemists Hut - Potion Of Healing Lvl 2</v>
      </c>
      <c r="D688" s="49" t="str">
        <f t="array" ref="D688">_xlfn.XLOOKUP(
 B688,
 tblTargets[TargetID],
 tblTargets[TargetType],
 ""
)</f>
        <v>TECH</v>
      </c>
      <c r="E688" s="49" t="s">
        <v>119</v>
      </c>
      <c r="F688" s="87">
        <f>IFERROR(__xludf.DUMMYFUNCTION("VALUE(REGEXEXTRACT(A688,""([^.]+)$""))"),1.0)</f>
        <v>1</v>
      </c>
      <c r="G688" s="49">
        <v>500.0</v>
      </c>
      <c r="H688" s="26" t="b">
        <f>COUNTIFS(
 tblCostChecklist[RequirementID],A688,
 tblCostChecklist[PlayerPaid],TRUE
)&gt;0</f>
        <v>0</v>
      </c>
      <c r="I688" s="49">
        <f t="shared" si="1"/>
        <v>7</v>
      </c>
      <c r="J688" s="49">
        <f t="shared" si="2"/>
        <v>0</v>
      </c>
      <c r="K688" s="49">
        <f t="shared" si="3"/>
        <v>7</v>
      </c>
      <c r="L688" s="49" t="b">
        <f t="shared" si="4"/>
        <v>0</v>
      </c>
      <c r="M688" s="88">
        <f t="shared" si="5"/>
        <v>0</v>
      </c>
    </row>
    <row r="689" ht="14.25" customHeight="1">
      <c r="A689" s="49" t="s">
        <v>2934</v>
      </c>
      <c r="B689" s="49" t="str">
        <f>IFERROR(__xludf.DUMMYFUNCTION("REGEXEXTRACT(A689,""^cost\.(.*)\.[^.]+\.[^.]+$"")"),"tech.alchemists_hut.potion_of_healing_lvl_2")</f>
        <v>tech.alchemists_hut.potion_of_healing_lvl_2</v>
      </c>
      <c r="C689" s="49" t="str">
        <f t="array" ref="C689">_xlfn.XLOOKUP(
 B689,
 tblTargets[TargetID],
 tblTargets[DisplayName],
 ""
)</f>
        <v>Alchemists Hut - Potion Of Healing Lvl 2</v>
      </c>
      <c r="D689" s="49" t="str">
        <f t="array" ref="D689">_xlfn.XLOOKUP(
 B689,
 tblTargets[TargetID],
 tblTargets[TargetType],
 ""
)</f>
        <v>TECH</v>
      </c>
      <c r="E689" s="49" t="s">
        <v>2304</v>
      </c>
      <c r="F689" s="87">
        <f>IFERROR(__xludf.DUMMYFUNCTION("VALUE(REGEXEXTRACT(A689,""([^.]+)$""))"),1.0)</f>
        <v>1</v>
      </c>
      <c r="G689" s="49">
        <v>10.0</v>
      </c>
      <c r="H689" s="26" t="b">
        <f>COUNTIFS(
 tblCostChecklist[RequirementID],A689,
 tblCostChecklist[PlayerPaid],TRUE
)&gt;0</f>
        <v>0</v>
      </c>
      <c r="I689" s="49">
        <f t="shared" si="1"/>
        <v>7</v>
      </c>
      <c r="J689" s="49">
        <f t="shared" si="2"/>
        <v>0</v>
      </c>
      <c r="K689" s="49">
        <f t="shared" si="3"/>
        <v>7</v>
      </c>
      <c r="L689" s="49" t="b">
        <f t="shared" si="4"/>
        <v>0</v>
      </c>
      <c r="M689" s="88">
        <f t="shared" si="5"/>
        <v>0</v>
      </c>
    </row>
    <row r="690" ht="14.25" customHeight="1">
      <c r="A690" s="49" t="s">
        <v>2936</v>
      </c>
      <c r="B690" s="49" t="str">
        <f>IFERROR(__xludf.DUMMYFUNCTION("REGEXEXTRACT(A690,""^cost\.(.*)\.[^.]+\.[^.]+$"")"),"tech.alchemists_hut.potion_of_healing_lvl_2")</f>
        <v>tech.alchemists_hut.potion_of_healing_lvl_2</v>
      </c>
      <c r="C690" s="49" t="str">
        <f t="array" ref="C690">_xlfn.XLOOKUP(
 B690,
 tblTargets[TargetID],
 tblTargets[DisplayName],
 ""
)</f>
        <v>Alchemists Hut - Potion Of Healing Lvl 2</v>
      </c>
      <c r="D690" s="49" t="str">
        <f t="array" ref="D690">_xlfn.XLOOKUP(
 B690,
 tblTargets[TargetID],
 tblTargets[TargetType],
 ""
)</f>
        <v>TECH</v>
      </c>
      <c r="E690" s="49" t="s">
        <v>132</v>
      </c>
      <c r="F690" s="87">
        <f>IFERROR(__xludf.DUMMYFUNCTION("VALUE(REGEXEXTRACT(A690,""([^.]+)$""))"),1.0)</f>
        <v>1</v>
      </c>
      <c r="G690" s="49">
        <v>20.0</v>
      </c>
      <c r="H690" s="26" t="b">
        <f>COUNTIFS(
 tblCostChecklist[RequirementID],A690,
 tblCostChecklist[PlayerPaid],TRUE
)&gt;0</f>
        <v>0</v>
      </c>
      <c r="I690" s="49">
        <f t="shared" si="1"/>
        <v>7</v>
      </c>
      <c r="J690" s="49">
        <f t="shared" si="2"/>
        <v>0</v>
      </c>
      <c r="K690" s="49">
        <f t="shared" si="3"/>
        <v>7</v>
      </c>
      <c r="L690" s="49" t="b">
        <f t="shared" si="4"/>
        <v>0</v>
      </c>
      <c r="M690" s="88">
        <f t="shared" si="5"/>
        <v>0</v>
      </c>
    </row>
    <row r="691" ht="14.25" customHeight="1">
      <c r="A691" s="49" t="s">
        <v>2938</v>
      </c>
      <c r="B691" s="49" t="str">
        <f>IFERROR(__xludf.DUMMYFUNCTION("REGEXEXTRACT(A691,""^cost\.(.*)\.[^.]+\.[^.]+$"")"),"tech.alchemists_hut.potion_of_healing_lvl_2")</f>
        <v>tech.alchemists_hut.potion_of_healing_lvl_2</v>
      </c>
      <c r="C691" s="49" t="str">
        <f t="array" ref="C691">_xlfn.XLOOKUP(
 B691,
 tblTargets[TargetID],
 tblTargets[DisplayName],
 ""
)</f>
        <v>Alchemists Hut - Potion Of Healing Lvl 2</v>
      </c>
      <c r="D691" s="49" t="str">
        <f t="array" ref="D691">_xlfn.XLOOKUP(
 B691,
 tblTargets[TargetID],
 tblTargets[TargetType],
 ""
)</f>
        <v>TECH</v>
      </c>
      <c r="E691" s="49" t="s">
        <v>2940</v>
      </c>
      <c r="F691" s="87">
        <f>IFERROR(__xludf.DUMMYFUNCTION("VALUE(REGEXEXTRACT(A691,""([^.]+)$""))"),1.0)</f>
        <v>1</v>
      </c>
      <c r="G691" s="49">
        <v>12.0</v>
      </c>
      <c r="H691" s="26" t="b">
        <f>COUNTIFS(
 tblCostChecklist[RequirementID],A691,
 tblCostChecklist[PlayerPaid],TRUE
)&gt;0</f>
        <v>0</v>
      </c>
      <c r="I691" s="49">
        <f t="shared" si="1"/>
        <v>7</v>
      </c>
      <c r="J691" s="49">
        <f t="shared" si="2"/>
        <v>0</v>
      </c>
      <c r="K691" s="49">
        <f t="shared" si="3"/>
        <v>7</v>
      </c>
      <c r="L691" s="49" t="b">
        <f t="shared" si="4"/>
        <v>0</v>
      </c>
      <c r="M691" s="88">
        <f t="shared" si="5"/>
        <v>0</v>
      </c>
    </row>
    <row r="692" ht="14.25" customHeight="1">
      <c r="A692" s="49" t="s">
        <v>2941</v>
      </c>
      <c r="B692" s="49" t="str">
        <f>IFERROR(__xludf.DUMMYFUNCTION("REGEXEXTRACT(A692,""^cost\.(.*)\.[^.]+\.[^.]+$"")"),"tech.alchemists_hut.potion_of_healing_lvl_2")</f>
        <v>tech.alchemists_hut.potion_of_healing_lvl_2</v>
      </c>
      <c r="C692" s="49" t="str">
        <f t="array" ref="C692">_xlfn.XLOOKUP(
 B692,
 tblTargets[TargetID],
 tblTargets[DisplayName],
 ""
)</f>
        <v>Alchemists Hut - Potion Of Healing Lvl 2</v>
      </c>
      <c r="D692" s="49" t="str">
        <f t="array" ref="D692">_xlfn.XLOOKUP(
 B692,
 tblTargets[TargetID],
 tblTargets[TargetType],
 ""
)</f>
        <v>TECH</v>
      </c>
      <c r="E692" s="49" t="s">
        <v>140</v>
      </c>
      <c r="F692" s="87">
        <f>IFERROR(__xludf.DUMMYFUNCTION("VALUE(REGEXEXTRACT(A692,""([^.]+)$""))"),1.0)</f>
        <v>1</v>
      </c>
      <c r="G692" s="49">
        <v>20.0</v>
      </c>
      <c r="H692" s="26" t="b">
        <f>COUNTIFS(
 tblCostChecklist[RequirementID],A692,
 tblCostChecklist[PlayerPaid],TRUE
)&gt;0</f>
        <v>0</v>
      </c>
      <c r="I692" s="49">
        <f t="shared" si="1"/>
        <v>7</v>
      </c>
      <c r="J692" s="49">
        <f t="shared" si="2"/>
        <v>0</v>
      </c>
      <c r="K692" s="49">
        <f t="shared" si="3"/>
        <v>7</v>
      </c>
      <c r="L692" s="49" t="b">
        <f t="shared" si="4"/>
        <v>0</v>
      </c>
      <c r="M692" s="88">
        <f t="shared" si="5"/>
        <v>0</v>
      </c>
    </row>
    <row r="693" ht="14.25" customHeight="1">
      <c r="A693" s="49" t="s">
        <v>2943</v>
      </c>
      <c r="B693" s="49" t="str">
        <f>IFERROR(__xludf.DUMMYFUNCTION("REGEXEXTRACT(A693,""^cost\.(.*)\.[^.]+\.[^.]+$"")"),"tech.alchemists_hut.potion_of_healing_lvl_2")</f>
        <v>tech.alchemists_hut.potion_of_healing_lvl_2</v>
      </c>
      <c r="C693" s="49" t="str">
        <f t="array" ref="C693">_xlfn.XLOOKUP(
 B693,
 tblTargets[TargetID],
 tblTargets[DisplayName],
 ""
)</f>
        <v>Alchemists Hut - Potion Of Healing Lvl 2</v>
      </c>
      <c r="D693" s="49" t="str">
        <f t="array" ref="D693">_xlfn.XLOOKUP(
 B693,
 tblTargets[TargetID],
 tblTargets[TargetType],
 ""
)</f>
        <v>TECH</v>
      </c>
      <c r="E693" s="49" t="s">
        <v>6</v>
      </c>
      <c r="F693" s="87">
        <f>IFERROR(__xludf.DUMMYFUNCTION("VALUE(REGEXEXTRACT(A693,""([^.]+)$""))"),1.0)</f>
        <v>1</v>
      </c>
      <c r="G693" s="49">
        <v>3.0</v>
      </c>
      <c r="H693" s="26" t="b">
        <f>COUNTIFS(
 tblCostChecklist[RequirementID],A693,
 tblCostChecklist[PlayerPaid],TRUE
)&gt;0</f>
        <v>0</v>
      </c>
      <c r="I693" s="49">
        <f t="shared" si="1"/>
        <v>7</v>
      </c>
      <c r="J693" s="49">
        <f t="shared" si="2"/>
        <v>0</v>
      </c>
      <c r="K693" s="49">
        <f t="shared" si="3"/>
        <v>7</v>
      </c>
      <c r="L693" s="49" t="b">
        <f t="shared" si="4"/>
        <v>0</v>
      </c>
      <c r="M693" s="88">
        <f t="shared" si="5"/>
        <v>0</v>
      </c>
    </row>
    <row r="694" ht="14.25" customHeight="1">
      <c r="A694" s="49" t="s">
        <v>2945</v>
      </c>
      <c r="B694" s="49" t="str">
        <f>IFERROR(__xludf.DUMMYFUNCTION("REGEXEXTRACT(A694,""^cost\.(.*)\.[^.]+\.[^.]+$"")"),"tech.alchemists_hut.potion_ambrosia")</f>
        <v>tech.alchemists_hut.potion_ambrosia</v>
      </c>
      <c r="C694" s="49" t="str">
        <f t="array" ref="C694">_xlfn.XLOOKUP(
 B694,
 tblTargets[TargetID],
 tblTargets[DisplayName],
 ""
)</f>
        <v>Alchemists Hut - Potion Ambrosia</v>
      </c>
      <c r="D694" s="49" t="str">
        <f t="array" ref="D694">_xlfn.XLOOKUP(
 B694,
 tblTargets[TargetID],
 tblTargets[TargetType],
 ""
)</f>
        <v>TECH</v>
      </c>
      <c r="E694" s="49" t="s">
        <v>2297</v>
      </c>
      <c r="F694" s="87">
        <f>IFERROR(__xludf.DUMMYFUNCTION("VALUE(REGEXEXTRACT(A694,""([^.]+)$""))"),1.0)</f>
        <v>1</v>
      </c>
      <c r="G694" s="49">
        <v>20.0</v>
      </c>
      <c r="H694" s="26" t="b">
        <f>COUNTIFS(
 tblCostChecklist[RequirementID],A694,
 tblCostChecklist[PlayerPaid],TRUE
)&gt;0</f>
        <v>0</v>
      </c>
      <c r="I694" s="49">
        <f t="shared" si="1"/>
        <v>7</v>
      </c>
      <c r="J694" s="49">
        <f t="shared" si="2"/>
        <v>0</v>
      </c>
      <c r="K694" s="49">
        <f t="shared" si="3"/>
        <v>7</v>
      </c>
      <c r="L694" s="49" t="b">
        <f t="shared" si="4"/>
        <v>0</v>
      </c>
      <c r="M694" s="88">
        <f t="shared" si="5"/>
        <v>0</v>
      </c>
    </row>
    <row r="695" ht="14.25" customHeight="1">
      <c r="A695" s="49" t="s">
        <v>2947</v>
      </c>
      <c r="B695" s="49" t="str">
        <f>IFERROR(__xludf.DUMMYFUNCTION("REGEXEXTRACT(A695,""^cost\.(.*)\.[^.]+\.[^.]+$"")"),"tech.alchemists_hut.potion_ambrosia")</f>
        <v>tech.alchemists_hut.potion_ambrosia</v>
      </c>
      <c r="C695" s="49" t="str">
        <f t="array" ref="C695">_xlfn.XLOOKUP(
 B695,
 tblTargets[TargetID],
 tblTargets[DisplayName],
 ""
)</f>
        <v>Alchemists Hut - Potion Ambrosia</v>
      </c>
      <c r="D695" s="49" t="str">
        <f t="array" ref="D695">_xlfn.XLOOKUP(
 B695,
 tblTargets[TargetID],
 tblTargets[TargetType],
 ""
)</f>
        <v>TECH</v>
      </c>
      <c r="E695" s="49" t="s">
        <v>119</v>
      </c>
      <c r="F695" s="87">
        <f>IFERROR(__xludf.DUMMYFUNCTION("VALUE(REGEXEXTRACT(A695,""([^.]+)$""))"),1.0)</f>
        <v>1</v>
      </c>
      <c r="G695" s="49">
        <v>1000.0</v>
      </c>
      <c r="H695" s="26" t="b">
        <f>COUNTIFS(
 tblCostChecklist[RequirementID],A695,
 tblCostChecklist[PlayerPaid],TRUE
)&gt;0</f>
        <v>0</v>
      </c>
      <c r="I695" s="49">
        <f t="shared" si="1"/>
        <v>7</v>
      </c>
      <c r="J695" s="49">
        <f t="shared" si="2"/>
        <v>0</v>
      </c>
      <c r="K695" s="49">
        <f t="shared" si="3"/>
        <v>7</v>
      </c>
      <c r="L695" s="49" t="b">
        <f t="shared" si="4"/>
        <v>0</v>
      </c>
      <c r="M695" s="88">
        <f t="shared" si="5"/>
        <v>0</v>
      </c>
    </row>
    <row r="696" ht="14.25" customHeight="1">
      <c r="A696" s="49" t="s">
        <v>2948</v>
      </c>
      <c r="B696" s="49" t="str">
        <f>IFERROR(__xludf.DUMMYFUNCTION("REGEXEXTRACT(A696,""^cost\.(.*)\.[^.]+\.[^.]+$"")"),"tech.alchemists_hut.potion_ambrosia")</f>
        <v>tech.alchemists_hut.potion_ambrosia</v>
      </c>
      <c r="C696" s="49" t="str">
        <f t="array" ref="C696">_xlfn.XLOOKUP(
 B696,
 tblTargets[TargetID],
 tblTargets[DisplayName],
 ""
)</f>
        <v>Alchemists Hut - Potion Ambrosia</v>
      </c>
      <c r="D696" s="49" t="str">
        <f t="array" ref="D696">_xlfn.XLOOKUP(
 B696,
 tblTargets[TargetID],
 tblTargets[TargetType],
 ""
)</f>
        <v>TECH</v>
      </c>
      <c r="E696" s="49" t="s">
        <v>2304</v>
      </c>
      <c r="F696" s="87">
        <f>IFERROR(__xludf.DUMMYFUNCTION("VALUE(REGEXEXTRACT(A696,""([^.]+)$""))"),1.0)</f>
        <v>1</v>
      </c>
      <c r="G696" s="49">
        <v>15.0</v>
      </c>
      <c r="H696" s="26" t="b">
        <f>COUNTIFS(
 tblCostChecklist[RequirementID],A696,
 tblCostChecklist[PlayerPaid],TRUE
)&gt;0</f>
        <v>0</v>
      </c>
      <c r="I696" s="49">
        <f t="shared" si="1"/>
        <v>7</v>
      </c>
      <c r="J696" s="49">
        <f t="shared" si="2"/>
        <v>0</v>
      </c>
      <c r="K696" s="49">
        <f t="shared" si="3"/>
        <v>7</v>
      </c>
      <c r="L696" s="49" t="b">
        <f t="shared" si="4"/>
        <v>0</v>
      </c>
      <c r="M696" s="88">
        <f t="shared" si="5"/>
        <v>0</v>
      </c>
    </row>
    <row r="697" ht="14.25" customHeight="1">
      <c r="A697" s="49" t="s">
        <v>2950</v>
      </c>
      <c r="B697" s="49" t="str">
        <f>IFERROR(__xludf.DUMMYFUNCTION("REGEXEXTRACT(A697,""^cost\.(.*)\.[^.]+\.[^.]+$"")"),"tech.alchemists_hut.potion_ambrosia")</f>
        <v>tech.alchemists_hut.potion_ambrosia</v>
      </c>
      <c r="C697" s="49" t="str">
        <f t="array" ref="C697">_xlfn.XLOOKUP(
 B697,
 tblTargets[TargetID],
 tblTargets[DisplayName],
 ""
)</f>
        <v>Alchemists Hut - Potion Ambrosia</v>
      </c>
      <c r="D697" s="49" t="str">
        <f t="array" ref="D697">_xlfn.XLOOKUP(
 B697,
 tblTargets[TargetID],
 tblTargets[TargetType],
 ""
)</f>
        <v>TECH</v>
      </c>
      <c r="E697" s="49" t="s">
        <v>132</v>
      </c>
      <c r="F697" s="87">
        <f>IFERROR(__xludf.DUMMYFUNCTION("VALUE(REGEXEXTRACT(A697,""([^.]+)$""))"),1.0)</f>
        <v>1</v>
      </c>
      <c r="G697" s="49">
        <v>30.0</v>
      </c>
      <c r="H697" s="26" t="b">
        <f>COUNTIFS(
 tblCostChecklist[RequirementID],A697,
 tblCostChecklist[PlayerPaid],TRUE
)&gt;0</f>
        <v>0</v>
      </c>
      <c r="I697" s="49">
        <f t="shared" si="1"/>
        <v>7</v>
      </c>
      <c r="J697" s="49">
        <f t="shared" si="2"/>
        <v>0</v>
      </c>
      <c r="K697" s="49">
        <f t="shared" si="3"/>
        <v>7</v>
      </c>
      <c r="L697" s="49" t="b">
        <f t="shared" si="4"/>
        <v>0</v>
      </c>
      <c r="M697" s="88">
        <f t="shared" si="5"/>
        <v>0</v>
      </c>
    </row>
    <row r="698" ht="14.25" customHeight="1">
      <c r="A698" s="49" t="s">
        <v>2952</v>
      </c>
      <c r="B698" s="49" t="str">
        <f>IFERROR(__xludf.DUMMYFUNCTION("REGEXEXTRACT(A698,""^cost\.(.*)\.[^.]+\.[^.]+$"")"),"tech.alchemists_hut.potion_ambrosia")</f>
        <v>tech.alchemists_hut.potion_ambrosia</v>
      </c>
      <c r="C698" s="49" t="str">
        <f t="array" ref="C698">_xlfn.XLOOKUP(
 B698,
 tblTargets[TargetID],
 tblTargets[DisplayName],
 ""
)</f>
        <v>Alchemists Hut - Potion Ambrosia</v>
      </c>
      <c r="D698" s="49" t="str">
        <f t="array" ref="D698">_xlfn.XLOOKUP(
 B698,
 tblTargets[TargetID],
 tblTargets[TargetType],
 ""
)</f>
        <v>TECH</v>
      </c>
      <c r="E698" s="49" t="s">
        <v>2954</v>
      </c>
      <c r="F698" s="87">
        <f>IFERROR(__xludf.DUMMYFUNCTION("VALUE(REGEXEXTRACT(A698,""([^.]+)$""))"),1.0)</f>
        <v>1</v>
      </c>
      <c r="G698" s="49">
        <v>12.0</v>
      </c>
      <c r="H698" s="26" t="b">
        <f>COUNTIFS(
 tblCostChecklist[RequirementID],A698,
 tblCostChecklist[PlayerPaid],TRUE
)&gt;0</f>
        <v>0</v>
      </c>
      <c r="I698" s="49">
        <f t="shared" si="1"/>
        <v>7</v>
      </c>
      <c r="J698" s="49">
        <f t="shared" si="2"/>
        <v>0</v>
      </c>
      <c r="K698" s="49">
        <f t="shared" si="3"/>
        <v>7</v>
      </c>
      <c r="L698" s="49" t="b">
        <f t="shared" si="4"/>
        <v>0</v>
      </c>
      <c r="M698" s="88">
        <f t="shared" si="5"/>
        <v>0</v>
      </c>
    </row>
    <row r="699" ht="14.25" customHeight="1">
      <c r="A699" s="49" t="s">
        <v>2955</v>
      </c>
      <c r="B699" s="49" t="str">
        <f>IFERROR(__xludf.DUMMYFUNCTION("REGEXEXTRACT(A699,""^cost\.(.*)\.[^.]+\.[^.]+$"")"),"tech.alchemists_hut.potion_ambrosia")</f>
        <v>tech.alchemists_hut.potion_ambrosia</v>
      </c>
      <c r="C699" s="49" t="str">
        <f t="array" ref="C699">_xlfn.XLOOKUP(
 B699,
 tblTargets[TargetID],
 tblTargets[DisplayName],
 ""
)</f>
        <v>Alchemists Hut - Potion Ambrosia</v>
      </c>
      <c r="D699" s="49" t="str">
        <f t="array" ref="D699">_xlfn.XLOOKUP(
 B699,
 tblTargets[TargetID],
 tblTargets[TargetType],
 ""
)</f>
        <v>TECH</v>
      </c>
      <c r="E699" s="49" t="s">
        <v>140</v>
      </c>
      <c r="F699" s="87">
        <f>IFERROR(__xludf.DUMMYFUNCTION("VALUE(REGEXEXTRACT(A699,""([^.]+)$""))"),1.0)</f>
        <v>1</v>
      </c>
      <c r="G699" s="49">
        <v>30.0</v>
      </c>
      <c r="H699" s="26" t="b">
        <f>COUNTIFS(
 tblCostChecklist[RequirementID],A699,
 tblCostChecklist[PlayerPaid],TRUE
)&gt;0</f>
        <v>0</v>
      </c>
      <c r="I699" s="49">
        <f t="shared" si="1"/>
        <v>7</v>
      </c>
      <c r="J699" s="49">
        <f t="shared" si="2"/>
        <v>0</v>
      </c>
      <c r="K699" s="49">
        <f t="shared" si="3"/>
        <v>7</v>
      </c>
      <c r="L699" s="49" t="b">
        <f t="shared" si="4"/>
        <v>0</v>
      </c>
      <c r="M699" s="88">
        <f t="shared" si="5"/>
        <v>0</v>
      </c>
    </row>
    <row r="700" ht="14.25" customHeight="1">
      <c r="A700" s="49" t="s">
        <v>2957</v>
      </c>
      <c r="B700" s="49" t="str">
        <f>IFERROR(__xludf.DUMMYFUNCTION("REGEXEXTRACT(A700,""^cost\.(.*)\.[^.]+\.[^.]+$"")"),"tech.alchemists_hut.potion_ambrosia")</f>
        <v>tech.alchemists_hut.potion_ambrosia</v>
      </c>
      <c r="C700" s="49" t="str">
        <f t="array" ref="C700">_xlfn.XLOOKUP(
 B700,
 tblTargets[TargetID],
 tblTargets[DisplayName],
 ""
)</f>
        <v>Alchemists Hut - Potion Ambrosia</v>
      </c>
      <c r="D700" s="49" t="str">
        <f t="array" ref="D700">_xlfn.XLOOKUP(
 B700,
 tblTargets[TargetID],
 tblTargets[TargetType],
 ""
)</f>
        <v>TECH</v>
      </c>
      <c r="E700" s="49" t="s">
        <v>6</v>
      </c>
      <c r="F700" s="87">
        <f>IFERROR(__xludf.DUMMYFUNCTION("VALUE(REGEXEXTRACT(A700,""([^.]+)$""))"),1.0)</f>
        <v>1</v>
      </c>
      <c r="G700" s="49">
        <v>5.0</v>
      </c>
      <c r="H700" s="26" t="b">
        <f>COUNTIFS(
 tblCostChecklist[RequirementID],A700,
 tblCostChecklist[PlayerPaid],TRUE
)&gt;0</f>
        <v>0</v>
      </c>
      <c r="I700" s="49">
        <f t="shared" si="1"/>
        <v>7</v>
      </c>
      <c r="J700" s="49">
        <f t="shared" si="2"/>
        <v>0</v>
      </c>
      <c r="K700" s="49">
        <f t="shared" si="3"/>
        <v>7</v>
      </c>
      <c r="L700" s="49" t="b">
        <f t="shared" si="4"/>
        <v>0</v>
      </c>
      <c r="M700" s="88">
        <f t="shared" si="5"/>
        <v>0</v>
      </c>
    </row>
    <row r="701" ht="14.25" customHeight="1">
      <c r="A701" s="49" t="s">
        <v>2959</v>
      </c>
      <c r="B701" s="49" t="str">
        <f>IFERROR(__xludf.DUMMYFUNCTION("REGEXEXTRACT(A701,""^cost\.(.*)\.[^.]+\.[^.]+$"")"),"tech.alchemists_hut.conveyor_lvl_1")</f>
        <v>tech.alchemists_hut.conveyor_lvl_1</v>
      </c>
      <c r="C701" s="49" t="str">
        <f t="array" ref="C701">_xlfn.XLOOKUP(
 B701,
 tblTargets[TargetID],
 tblTargets[DisplayName],
 ""
)</f>
        <v>Alchemists Hut - Conveyor Lvl 1</v>
      </c>
      <c r="D701" s="49" t="str">
        <f t="array" ref="D701">_xlfn.XLOOKUP(
 B701,
 tblTargets[TargetID],
 tblTargets[TargetType],
 ""
)</f>
        <v>TECH</v>
      </c>
      <c r="E701" s="49" t="s">
        <v>1055</v>
      </c>
      <c r="F701" s="87">
        <f>IFERROR(__xludf.DUMMYFUNCTION("VALUE(REGEXEXTRACT(A701,""([^.]+)$""))"),1.0)</f>
        <v>1</v>
      </c>
      <c r="G701" s="49">
        <v>10.0</v>
      </c>
      <c r="H701" s="26" t="b">
        <f>COUNTIFS(
 tblCostChecklist[RequirementID],A701,
 tblCostChecklist[PlayerPaid],TRUE
)&gt;0</f>
        <v>0</v>
      </c>
      <c r="I701" s="49">
        <f t="shared" si="1"/>
        <v>6</v>
      </c>
      <c r="J701" s="49">
        <f t="shared" si="2"/>
        <v>0</v>
      </c>
      <c r="K701" s="49">
        <f t="shared" si="3"/>
        <v>6</v>
      </c>
      <c r="L701" s="49" t="b">
        <f t="shared" si="4"/>
        <v>0</v>
      </c>
      <c r="M701" s="88">
        <f t="shared" si="5"/>
        <v>0</v>
      </c>
    </row>
    <row r="702" ht="14.25" customHeight="1">
      <c r="A702" s="49" t="s">
        <v>2961</v>
      </c>
      <c r="B702" s="49" t="str">
        <f>IFERROR(__xludf.DUMMYFUNCTION("REGEXEXTRACT(A702,""^cost\.(.*)\.[^.]+\.[^.]+$"")"),"tech.alchemists_hut.conveyor_lvl_1")</f>
        <v>tech.alchemists_hut.conveyor_lvl_1</v>
      </c>
      <c r="C702" s="49" t="str">
        <f t="array" ref="C702">_xlfn.XLOOKUP(
 B702,
 tblTargets[TargetID],
 tblTargets[DisplayName],
 ""
)</f>
        <v>Alchemists Hut - Conveyor Lvl 1</v>
      </c>
      <c r="D702" s="49" t="str">
        <f t="array" ref="D702">_xlfn.XLOOKUP(
 B702,
 tblTargets[TargetID],
 tblTargets[TargetType],
 ""
)</f>
        <v>TECH</v>
      </c>
      <c r="E702" s="49" t="s">
        <v>119</v>
      </c>
      <c r="F702" s="87">
        <f>IFERROR(__xludf.DUMMYFUNCTION("VALUE(REGEXEXTRACT(A702,""([^.]+)$""))"),1.0)</f>
        <v>1</v>
      </c>
      <c r="G702" s="49">
        <v>400.0</v>
      </c>
      <c r="H702" s="26" t="b">
        <f>COUNTIFS(
 tblCostChecklist[RequirementID],A702,
 tblCostChecklist[PlayerPaid],TRUE
)&gt;0</f>
        <v>0</v>
      </c>
      <c r="I702" s="49">
        <f t="shared" si="1"/>
        <v>6</v>
      </c>
      <c r="J702" s="49">
        <f t="shared" si="2"/>
        <v>0</v>
      </c>
      <c r="K702" s="49">
        <f t="shared" si="3"/>
        <v>6</v>
      </c>
      <c r="L702" s="49" t="b">
        <f t="shared" si="4"/>
        <v>0</v>
      </c>
      <c r="M702" s="88">
        <f t="shared" si="5"/>
        <v>0</v>
      </c>
    </row>
    <row r="703" ht="14.25" customHeight="1">
      <c r="A703" s="49" t="s">
        <v>2963</v>
      </c>
      <c r="B703" s="49" t="str">
        <f>IFERROR(__xludf.DUMMYFUNCTION("REGEXEXTRACT(A703,""^cost\.(.*)\.[^.]+\.[^.]+$"")"),"tech.alchemists_hut.conveyor_lvl_1")</f>
        <v>tech.alchemists_hut.conveyor_lvl_1</v>
      </c>
      <c r="C703" s="49" t="str">
        <f t="array" ref="C703">_xlfn.XLOOKUP(
 B703,
 tblTargets[TargetID],
 tblTargets[DisplayName],
 ""
)</f>
        <v>Alchemists Hut - Conveyor Lvl 1</v>
      </c>
      <c r="D703" s="49" t="str">
        <f t="array" ref="D703">_xlfn.XLOOKUP(
 B703,
 tblTargets[TargetID],
 tblTargets[TargetType],
 ""
)</f>
        <v>TECH</v>
      </c>
      <c r="E703" s="49" t="s">
        <v>2964</v>
      </c>
      <c r="F703" s="87">
        <f>IFERROR(__xludf.DUMMYFUNCTION("VALUE(REGEXEXTRACT(A703,""([^.]+)$""))"),1.0)</f>
        <v>1</v>
      </c>
      <c r="G703" s="49">
        <v>40.0</v>
      </c>
      <c r="H703" s="26" t="b">
        <f>COUNTIFS(
 tblCostChecklist[RequirementID],A703,
 tblCostChecklist[PlayerPaid],TRUE
)&gt;0</f>
        <v>0</v>
      </c>
      <c r="I703" s="49">
        <f t="shared" si="1"/>
        <v>6</v>
      </c>
      <c r="J703" s="49">
        <f t="shared" si="2"/>
        <v>0</v>
      </c>
      <c r="K703" s="49">
        <f t="shared" si="3"/>
        <v>6</v>
      </c>
      <c r="L703" s="49" t="b">
        <f t="shared" si="4"/>
        <v>0</v>
      </c>
      <c r="M703" s="88">
        <f t="shared" si="5"/>
        <v>0</v>
      </c>
    </row>
    <row r="704" ht="14.25" customHeight="1">
      <c r="A704" s="49" t="s">
        <v>2966</v>
      </c>
      <c r="B704" s="49" t="str">
        <f>IFERROR(__xludf.DUMMYFUNCTION("REGEXEXTRACT(A704,""^cost\.(.*)\.[^.]+\.[^.]+$"")"),"tech.alchemists_hut.conveyor_lvl_1")</f>
        <v>tech.alchemists_hut.conveyor_lvl_1</v>
      </c>
      <c r="C704" s="49" t="str">
        <f t="array" ref="C704">_xlfn.XLOOKUP(
 B704,
 tblTargets[TargetID],
 tblTargets[DisplayName],
 ""
)</f>
        <v>Alchemists Hut - Conveyor Lvl 1</v>
      </c>
      <c r="D704" s="49" t="str">
        <f t="array" ref="D704">_xlfn.XLOOKUP(
 B704,
 tblTargets[TargetID],
 tblTargets[TargetType],
 ""
)</f>
        <v>TECH</v>
      </c>
      <c r="E704" s="49" t="s">
        <v>1078</v>
      </c>
      <c r="F704" s="87">
        <f>IFERROR(__xludf.DUMMYFUNCTION("VALUE(REGEXEXTRACT(A704,""([^.]+)$""))"),1.0)</f>
        <v>1</v>
      </c>
      <c r="G704" s="49">
        <v>10.0</v>
      </c>
      <c r="H704" s="26" t="b">
        <f>COUNTIFS(
 tblCostChecklist[RequirementID],A704,
 tblCostChecklist[PlayerPaid],TRUE
)&gt;0</f>
        <v>0</v>
      </c>
      <c r="I704" s="49">
        <f t="shared" si="1"/>
        <v>6</v>
      </c>
      <c r="J704" s="49">
        <f t="shared" si="2"/>
        <v>0</v>
      </c>
      <c r="K704" s="49">
        <f t="shared" si="3"/>
        <v>6</v>
      </c>
      <c r="L704" s="49" t="b">
        <f t="shared" si="4"/>
        <v>0</v>
      </c>
      <c r="M704" s="88">
        <f t="shared" si="5"/>
        <v>0</v>
      </c>
    </row>
    <row r="705" ht="14.25" customHeight="1">
      <c r="A705" s="49" t="s">
        <v>2968</v>
      </c>
      <c r="B705" s="49" t="str">
        <f>IFERROR(__xludf.DUMMYFUNCTION("REGEXEXTRACT(A705,""^cost\.(.*)\.[^.]+\.[^.]+$"")"),"tech.alchemists_hut.conveyor_lvl_1")</f>
        <v>tech.alchemists_hut.conveyor_lvl_1</v>
      </c>
      <c r="C705" s="49" t="str">
        <f t="array" ref="C705">_xlfn.XLOOKUP(
 B705,
 tblTargets[TargetID],
 tblTargets[DisplayName],
 ""
)</f>
        <v>Alchemists Hut - Conveyor Lvl 1</v>
      </c>
      <c r="D705" s="49" t="str">
        <f t="array" ref="D705">_xlfn.XLOOKUP(
 B705,
 tblTargets[TargetID],
 tblTargets[TargetType],
 ""
)</f>
        <v>TECH</v>
      </c>
      <c r="E705" s="49" t="s">
        <v>2135</v>
      </c>
      <c r="F705" s="87">
        <f>IFERROR(__xludf.DUMMYFUNCTION("VALUE(REGEXEXTRACT(A705,""([^.]+)$""))"),1.0)</f>
        <v>1</v>
      </c>
      <c r="G705" s="49">
        <v>20.0</v>
      </c>
      <c r="H705" s="26" t="b">
        <f>COUNTIFS(
 tblCostChecklist[RequirementID],A705,
 tblCostChecklist[PlayerPaid],TRUE
)&gt;0</f>
        <v>0</v>
      </c>
      <c r="I705" s="49">
        <f t="shared" si="1"/>
        <v>6</v>
      </c>
      <c r="J705" s="49">
        <f t="shared" si="2"/>
        <v>0</v>
      </c>
      <c r="K705" s="49">
        <f t="shared" si="3"/>
        <v>6</v>
      </c>
      <c r="L705" s="49" t="b">
        <f t="shared" si="4"/>
        <v>0</v>
      </c>
      <c r="M705" s="88">
        <f t="shared" si="5"/>
        <v>0</v>
      </c>
    </row>
    <row r="706" ht="14.25" customHeight="1">
      <c r="A706" s="49" t="s">
        <v>2970</v>
      </c>
      <c r="B706" s="49" t="str">
        <f>IFERROR(__xludf.DUMMYFUNCTION("REGEXEXTRACT(A706,""^cost\.(.*)\.[^.]+\.[^.]+$"")"),"tech.alchemists_hut.conveyor_lvl_1")</f>
        <v>tech.alchemists_hut.conveyor_lvl_1</v>
      </c>
      <c r="C706" s="49" t="str">
        <f t="array" ref="C706">_xlfn.XLOOKUP(
 B706,
 tblTargets[TargetID],
 tblTargets[DisplayName],
 ""
)</f>
        <v>Alchemists Hut - Conveyor Lvl 1</v>
      </c>
      <c r="D706" s="49" t="str">
        <f t="array" ref="D706">_xlfn.XLOOKUP(
 B706,
 tblTargets[TargetID],
 tblTargets[TargetType],
 ""
)</f>
        <v>TECH</v>
      </c>
      <c r="E706" s="49" t="s">
        <v>6</v>
      </c>
      <c r="F706" s="87">
        <f>IFERROR(__xludf.DUMMYFUNCTION("VALUE(REGEXEXTRACT(A706,""([^.]+)$""))"),1.0)</f>
        <v>1</v>
      </c>
      <c r="G706" s="49">
        <v>2.0</v>
      </c>
      <c r="H706" s="26" t="b">
        <f>COUNTIFS(
 tblCostChecklist[RequirementID],A706,
 tblCostChecklist[PlayerPaid],TRUE
)&gt;0</f>
        <v>0</v>
      </c>
      <c r="I706" s="49">
        <f t="shared" si="1"/>
        <v>6</v>
      </c>
      <c r="J706" s="49">
        <f t="shared" si="2"/>
        <v>0</v>
      </c>
      <c r="K706" s="49">
        <f t="shared" si="3"/>
        <v>6</v>
      </c>
      <c r="L706" s="49" t="b">
        <f t="shared" si="4"/>
        <v>0</v>
      </c>
      <c r="M706" s="88">
        <f t="shared" si="5"/>
        <v>0</v>
      </c>
    </row>
    <row r="707" ht="14.25" customHeight="1">
      <c r="A707" s="49" t="s">
        <v>2972</v>
      </c>
      <c r="B707" s="49" t="str">
        <f>IFERROR(__xludf.DUMMYFUNCTION("REGEXEXTRACT(A707,""^cost\.(.*)\.[^.]+\.[^.]+$"")"),"tech.alchemists_hut.conveyor_lvl_2")</f>
        <v>tech.alchemists_hut.conveyor_lvl_2</v>
      </c>
      <c r="C707" s="49" t="str">
        <f t="array" ref="C707">_xlfn.XLOOKUP(
 B707,
 tblTargets[TargetID],
 tblTargets[DisplayName],
 ""
)</f>
        <v>Alchemists Hut - Conveyor Lvl 2</v>
      </c>
      <c r="D707" s="49" t="str">
        <f t="array" ref="D707">_xlfn.XLOOKUP(
 B707,
 tblTargets[TargetID],
 tblTargets[TargetType],
 ""
)</f>
        <v>TECH</v>
      </c>
      <c r="E707" s="49" t="s">
        <v>1055</v>
      </c>
      <c r="F707" s="87">
        <f>IFERROR(__xludf.DUMMYFUNCTION("VALUE(REGEXEXTRACT(A707,""([^.]+)$""))"),1.0)</f>
        <v>1</v>
      </c>
      <c r="G707" s="49">
        <v>15.0</v>
      </c>
      <c r="H707" s="26" t="b">
        <f>COUNTIFS(
 tblCostChecklist[RequirementID],A707,
 tblCostChecklist[PlayerPaid],TRUE
)&gt;0</f>
        <v>0</v>
      </c>
      <c r="I707" s="49">
        <f t="shared" si="1"/>
        <v>6</v>
      </c>
      <c r="J707" s="49">
        <f t="shared" si="2"/>
        <v>0</v>
      </c>
      <c r="K707" s="49">
        <f t="shared" si="3"/>
        <v>6</v>
      </c>
      <c r="L707" s="49" t="b">
        <f t="shared" si="4"/>
        <v>0</v>
      </c>
      <c r="M707" s="88">
        <f t="shared" si="5"/>
        <v>0</v>
      </c>
    </row>
    <row r="708" ht="14.25" customHeight="1">
      <c r="A708" s="49" t="s">
        <v>2974</v>
      </c>
      <c r="B708" s="49" t="str">
        <f>IFERROR(__xludf.DUMMYFUNCTION("REGEXEXTRACT(A708,""^cost\.(.*)\.[^.]+\.[^.]+$"")"),"tech.alchemists_hut.conveyor_lvl_2")</f>
        <v>tech.alchemists_hut.conveyor_lvl_2</v>
      </c>
      <c r="C708" s="49" t="str">
        <f t="array" ref="C708">_xlfn.XLOOKUP(
 B708,
 tblTargets[TargetID],
 tblTargets[DisplayName],
 ""
)</f>
        <v>Alchemists Hut - Conveyor Lvl 2</v>
      </c>
      <c r="D708" s="49" t="str">
        <f t="array" ref="D708">_xlfn.XLOOKUP(
 B708,
 tblTargets[TargetID],
 tblTargets[TargetType],
 ""
)</f>
        <v>TECH</v>
      </c>
      <c r="E708" s="49" t="s">
        <v>119</v>
      </c>
      <c r="F708" s="87">
        <f>IFERROR(__xludf.DUMMYFUNCTION("VALUE(REGEXEXTRACT(A708,""([^.]+)$""))"),1.0)</f>
        <v>1</v>
      </c>
      <c r="G708" s="49">
        <v>500.0</v>
      </c>
      <c r="H708" s="26" t="b">
        <f>COUNTIFS(
 tblCostChecklist[RequirementID],A708,
 tblCostChecklist[PlayerPaid],TRUE
)&gt;0</f>
        <v>0</v>
      </c>
      <c r="I708" s="49">
        <f t="shared" si="1"/>
        <v>6</v>
      </c>
      <c r="J708" s="49">
        <f t="shared" si="2"/>
        <v>0</v>
      </c>
      <c r="K708" s="49">
        <f t="shared" si="3"/>
        <v>6</v>
      </c>
      <c r="L708" s="49" t="b">
        <f t="shared" si="4"/>
        <v>0</v>
      </c>
      <c r="M708" s="88">
        <f t="shared" si="5"/>
        <v>0</v>
      </c>
    </row>
    <row r="709" ht="14.25" customHeight="1">
      <c r="A709" s="49" t="s">
        <v>2976</v>
      </c>
      <c r="B709" s="49" t="str">
        <f>IFERROR(__xludf.DUMMYFUNCTION("REGEXEXTRACT(A709,""^cost\.(.*)\.[^.]+\.[^.]+$"")"),"tech.alchemists_hut.conveyor_lvl_2")</f>
        <v>tech.alchemists_hut.conveyor_lvl_2</v>
      </c>
      <c r="C709" s="49" t="str">
        <f t="array" ref="C709">_xlfn.XLOOKUP(
 B709,
 tblTargets[TargetID],
 tblTargets[DisplayName],
 ""
)</f>
        <v>Alchemists Hut - Conveyor Lvl 2</v>
      </c>
      <c r="D709" s="49" t="str">
        <f t="array" ref="D709">_xlfn.XLOOKUP(
 B709,
 tblTargets[TargetID],
 tblTargets[TargetType],
 ""
)</f>
        <v>TECH</v>
      </c>
      <c r="E709" s="49" t="s">
        <v>2964</v>
      </c>
      <c r="F709" s="87">
        <f>IFERROR(__xludf.DUMMYFUNCTION("VALUE(REGEXEXTRACT(A709,""([^.]+)$""))"),1.0)</f>
        <v>1</v>
      </c>
      <c r="G709" s="49">
        <v>60.0</v>
      </c>
      <c r="H709" s="26" t="b">
        <f>COUNTIFS(
 tblCostChecklist[RequirementID],A709,
 tblCostChecklist[PlayerPaid],TRUE
)&gt;0</f>
        <v>0</v>
      </c>
      <c r="I709" s="49">
        <f t="shared" si="1"/>
        <v>6</v>
      </c>
      <c r="J709" s="49">
        <f t="shared" si="2"/>
        <v>0</v>
      </c>
      <c r="K709" s="49">
        <f t="shared" si="3"/>
        <v>6</v>
      </c>
      <c r="L709" s="49" t="b">
        <f t="shared" si="4"/>
        <v>0</v>
      </c>
      <c r="M709" s="88">
        <f t="shared" si="5"/>
        <v>0</v>
      </c>
    </row>
    <row r="710" ht="14.25" customHeight="1">
      <c r="A710" s="49" t="s">
        <v>2977</v>
      </c>
      <c r="B710" s="49" t="str">
        <f>IFERROR(__xludf.DUMMYFUNCTION("REGEXEXTRACT(A710,""^cost\.(.*)\.[^.]+\.[^.]+$"")"),"tech.alchemists_hut.conveyor_lvl_2")</f>
        <v>tech.alchemists_hut.conveyor_lvl_2</v>
      </c>
      <c r="C710" s="49" t="str">
        <f t="array" ref="C710">_xlfn.XLOOKUP(
 B710,
 tblTargets[TargetID],
 tblTargets[DisplayName],
 ""
)</f>
        <v>Alchemists Hut - Conveyor Lvl 2</v>
      </c>
      <c r="D710" s="49" t="str">
        <f t="array" ref="D710">_xlfn.XLOOKUP(
 B710,
 tblTargets[TargetID],
 tblTargets[TargetType],
 ""
)</f>
        <v>TECH</v>
      </c>
      <c r="E710" s="49" t="s">
        <v>1078</v>
      </c>
      <c r="F710" s="87">
        <f>IFERROR(__xludf.DUMMYFUNCTION("VALUE(REGEXEXTRACT(A710,""([^.]+)$""))"),1.0)</f>
        <v>1</v>
      </c>
      <c r="G710" s="49">
        <v>15.0</v>
      </c>
      <c r="H710" s="26" t="b">
        <f>COUNTIFS(
 tblCostChecklist[RequirementID],A710,
 tblCostChecklist[PlayerPaid],TRUE
)&gt;0</f>
        <v>0</v>
      </c>
      <c r="I710" s="49">
        <f t="shared" si="1"/>
        <v>6</v>
      </c>
      <c r="J710" s="49">
        <f t="shared" si="2"/>
        <v>0</v>
      </c>
      <c r="K710" s="49">
        <f t="shared" si="3"/>
        <v>6</v>
      </c>
      <c r="L710" s="49" t="b">
        <f t="shared" si="4"/>
        <v>0</v>
      </c>
      <c r="M710" s="88">
        <f t="shared" si="5"/>
        <v>0</v>
      </c>
    </row>
    <row r="711" ht="14.25" customHeight="1">
      <c r="A711" s="49" t="s">
        <v>2979</v>
      </c>
      <c r="B711" s="49" t="str">
        <f>IFERROR(__xludf.DUMMYFUNCTION("REGEXEXTRACT(A711,""^cost\.(.*)\.[^.]+\.[^.]+$"")"),"tech.alchemists_hut.conveyor_lvl_2")</f>
        <v>tech.alchemists_hut.conveyor_lvl_2</v>
      </c>
      <c r="C711" s="49" t="str">
        <f t="array" ref="C711">_xlfn.XLOOKUP(
 B711,
 tblTargets[TargetID],
 tblTargets[DisplayName],
 ""
)</f>
        <v>Alchemists Hut - Conveyor Lvl 2</v>
      </c>
      <c r="D711" s="49" t="str">
        <f t="array" ref="D711">_xlfn.XLOOKUP(
 B711,
 tblTargets[TargetID],
 tblTargets[TargetType],
 ""
)</f>
        <v>TECH</v>
      </c>
      <c r="E711" s="49" t="s">
        <v>2135</v>
      </c>
      <c r="F711" s="87">
        <f>IFERROR(__xludf.DUMMYFUNCTION("VALUE(REGEXEXTRACT(A711,""([^.]+)$""))"),1.0)</f>
        <v>1</v>
      </c>
      <c r="G711" s="49">
        <v>30.0</v>
      </c>
      <c r="H711" s="26" t="b">
        <f>COUNTIFS(
 tblCostChecklist[RequirementID],A711,
 tblCostChecklist[PlayerPaid],TRUE
)&gt;0</f>
        <v>0</v>
      </c>
      <c r="I711" s="49">
        <f t="shared" si="1"/>
        <v>6</v>
      </c>
      <c r="J711" s="49">
        <f t="shared" si="2"/>
        <v>0</v>
      </c>
      <c r="K711" s="49">
        <f t="shared" si="3"/>
        <v>6</v>
      </c>
      <c r="L711" s="49" t="b">
        <f t="shared" si="4"/>
        <v>0</v>
      </c>
      <c r="M711" s="88">
        <f t="shared" si="5"/>
        <v>0</v>
      </c>
    </row>
    <row r="712" ht="14.25" customHeight="1">
      <c r="A712" s="49" t="s">
        <v>2981</v>
      </c>
      <c r="B712" s="49" t="str">
        <f>IFERROR(__xludf.DUMMYFUNCTION("REGEXEXTRACT(A712,""^cost\.(.*)\.[^.]+\.[^.]+$"")"),"tech.alchemists_hut.conveyor_lvl_2")</f>
        <v>tech.alchemists_hut.conveyor_lvl_2</v>
      </c>
      <c r="C712" s="49" t="str">
        <f t="array" ref="C712">_xlfn.XLOOKUP(
 B712,
 tblTargets[TargetID],
 tblTargets[DisplayName],
 ""
)</f>
        <v>Alchemists Hut - Conveyor Lvl 2</v>
      </c>
      <c r="D712" s="49" t="str">
        <f t="array" ref="D712">_xlfn.XLOOKUP(
 B712,
 tblTargets[TargetID],
 tblTargets[TargetType],
 ""
)</f>
        <v>TECH</v>
      </c>
      <c r="E712" s="49" t="s">
        <v>6</v>
      </c>
      <c r="F712" s="87">
        <f>IFERROR(__xludf.DUMMYFUNCTION("VALUE(REGEXEXTRACT(A712,""([^.]+)$""))"),1.0)</f>
        <v>1</v>
      </c>
      <c r="G712" s="49">
        <v>3.0</v>
      </c>
      <c r="H712" s="26" t="b">
        <f>COUNTIFS(
 tblCostChecklist[RequirementID],A712,
 tblCostChecklist[PlayerPaid],TRUE
)&gt;0</f>
        <v>0</v>
      </c>
      <c r="I712" s="49">
        <f t="shared" si="1"/>
        <v>6</v>
      </c>
      <c r="J712" s="49">
        <f t="shared" si="2"/>
        <v>0</v>
      </c>
      <c r="K712" s="49">
        <f t="shared" si="3"/>
        <v>6</v>
      </c>
      <c r="L712" s="49" t="b">
        <f t="shared" si="4"/>
        <v>0</v>
      </c>
      <c r="M712" s="88">
        <f t="shared" si="5"/>
        <v>0</v>
      </c>
    </row>
    <row r="713" ht="14.25" customHeight="1">
      <c r="A713" s="49" t="s">
        <v>2983</v>
      </c>
      <c r="B713" s="49" t="str">
        <f>IFERROR(__xludf.DUMMYFUNCTION("REGEXEXTRACT(A713,""^cost\.(.*)\.[^.]+\.[^.]+$"")"),"tech.alchemists_hut.galvanization")</f>
        <v>tech.alchemists_hut.galvanization</v>
      </c>
      <c r="C713" s="49" t="str">
        <f t="array" ref="C713">_xlfn.XLOOKUP(
 B713,
 tblTargets[TargetID],
 tblTargets[DisplayName],
 ""
)</f>
        <v>Alchemists Hut - Galvanization</v>
      </c>
      <c r="D713" s="49" t="str">
        <f t="array" ref="D713">_xlfn.XLOOKUP(
 B713,
 tblTargets[TargetID],
 tblTargets[TargetType],
 ""
)</f>
        <v>TECH</v>
      </c>
      <c r="E713" s="49" t="s">
        <v>1055</v>
      </c>
      <c r="F713" s="87">
        <f>IFERROR(__xludf.DUMMYFUNCTION("VALUE(REGEXEXTRACT(A713,""([^.]+)$""))"),1.0)</f>
        <v>1</v>
      </c>
      <c r="G713" s="49">
        <v>30.0</v>
      </c>
      <c r="H713" s="26" t="b">
        <f>COUNTIFS(
 tblCostChecklist[RequirementID],A713,
 tblCostChecklist[PlayerPaid],TRUE
)&gt;0</f>
        <v>0</v>
      </c>
      <c r="I713" s="49">
        <f t="shared" si="1"/>
        <v>5</v>
      </c>
      <c r="J713" s="49">
        <f t="shared" si="2"/>
        <v>0</v>
      </c>
      <c r="K713" s="49">
        <f t="shared" si="3"/>
        <v>5</v>
      </c>
      <c r="L713" s="49" t="b">
        <f t="shared" si="4"/>
        <v>0</v>
      </c>
      <c r="M713" s="88">
        <f t="shared" si="5"/>
        <v>0</v>
      </c>
    </row>
    <row r="714" ht="14.25" customHeight="1">
      <c r="A714" s="49" t="s">
        <v>2985</v>
      </c>
      <c r="B714" s="49" t="str">
        <f>IFERROR(__xludf.DUMMYFUNCTION("REGEXEXTRACT(A714,""^cost\.(.*)\.[^.]+\.[^.]+$"")"),"tech.alchemists_hut.galvanization")</f>
        <v>tech.alchemists_hut.galvanization</v>
      </c>
      <c r="C714" s="49" t="str">
        <f t="array" ref="C714">_xlfn.XLOOKUP(
 B714,
 tblTargets[TargetID],
 tblTargets[DisplayName],
 ""
)</f>
        <v>Alchemists Hut - Galvanization</v>
      </c>
      <c r="D714" s="49" t="str">
        <f t="array" ref="D714">_xlfn.XLOOKUP(
 B714,
 tblTargets[TargetID],
 tblTargets[TargetType],
 ""
)</f>
        <v>TECH</v>
      </c>
      <c r="E714" s="49" t="s">
        <v>2297</v>
      </c>
      <c r="F714" s="87">
        <f>IFERROR(__xludf.DUMMYFUNCTION("VALUE(REGEXEXTRACT(A714,""([^.]+)$""))"),1.0)</f>
        <v>1</v>
      </c>
      <c r="G714" s="49">
        <v>20.0</v>
      </c>
      <c r="H714" s="26" t="b">
        <f>COUNTIFS(
 tblCostChecklist[RequirementID],A714,
 tblCostChecklist[PlayerPaid],TRUE
)&gt;0</f>
        <v>0</v>
      </c>
      <c r="I714" s="49">
        <f t="shared" si="1"/>
        <v>5</v>
      </c>
      <c r="J714" s="49">
        <f t="shared" si="2"/>
        <v>0</v>
      </c>
      <c r="K714" s="49">
        <f t="shared" si="3"/>
        <v>5</v>
      </c>
      <c r="L714" s="49" t="b">
        <f t="shared" si="4"/>
        <v>0</v>
      </c>
      <c r="M714" s="88">
        <f t="shared" si="5"/>
        <v>0</v>
      </c>
    </row>
    <row r="715" ht="14.25" customHeight="1">
      <c r="A715" s="49" t="s">
        <v>2986</v>
      </c>
      <c r="B715" s="49" t="str">
        <f>IFERROR(__xludf.DUMMYFUNCTION("REGEXEXTRACT(A715,""^cost\.(.*)\.[^.]+\.[^.]+$"")"),"tech.alchemists_hut.galvanization")</f>
        <v>tech.alchemists_hut.galvanization</v>
      </c>
      <c r="C715" s="49" t="str">
        <f t="array" ref="C715">_xlfn.XLOOKUP(
 B715,
 tblTargets[TargetID],
 tblTargets[DisplayName],
 ""
)</f>
        <v>Alchemists Hut - Galvanization</v>
      </c>
      <c r="D715" s="49" t="str">
        <f t="array" ref="D715">_xlfn.XLOOKUP(
 B715,
 tblTargets[TargetID],
 tblTargets[TargetType],
 ""
)</f>
        <v>TECH</v>
      </c>
      <c r="E715" s="49" t="s">
        <v>412</v>
      </c>
      <c r="F715" s="87">
        <f>IFERROR(__xludf.DUMMYFUNCTION("VALUE(REGEXEXTRACT(A715,""([^.]+)$""))"),1.0)</f>
        <v>1</v>
      </c>
      <c r="G715" s="49">
        <v>25.0</v>
      </c>
      <c r="H715" s="26" t="b">
        <f>COUNTIFS(
 tblCostChecklist[RequirementID],A715,
 tblCostChecklist[PlayerPaid],TRUE
)&gt;0</f>
        <v>0</v>
      </c>
      <c r="I715" s="49">
        <f t="shared" si="1"/>
        <v>5</v>
      </c>
      <c r="J715" s="49">
        <f t="shared" si="2"/>
        <v>0</v>
      </c>
      <c r="K715" s="49">
        <f t="shared" si="3"/>
        <v>5</v>
      </c>
      <c r="L715" s="49" t="b">
        <f t="shared" si="4"/>
        <v>0</v>
      </c>
      <c r="M715" s="88">
        <f t="shared" si="5"/>
        <v>0</v>
      </c>
    </row>
    <row r="716" ht="14.25" customHeight="1">
      <c r="A716" s="49" t="s">
        <v>2988</v>
      </c>
      <c r="B716" s="49" t="str">
        <f>IFERROR(__xludf.DUMMYFUNCTION("REGEXEXTRACT(A716,""^cost\.(.*)\.[^.]+\.[^.]+$"")"),"tech.alchemists_hut.galvanization")</f>
        <v>tech.alchemists_hut.galvanization</v>
      </c>
      <c r="C716" s="49" t="str">
        <f t="array" ref="C716">_xlfn.XLOOKUP(
 B716,
 tblTargets[TargetID],
 tblTargets[DisplayName],
 ""
)</f>
        <v>Alchemists Hut - Galvanization</v>
      </c>
      <c r="D716" s="49" t="str">
        <f t="array" ref="D716">_xlfn.XLOOKUP(
 B716,
 tblTargets[TargetID],
 tblTargets[TargetType],
 ""
)</f>
        <v>TECH</v>
      </c>
      <c r="E716" s="49" t="s">
        <v>140</v>
      </c>
      <c r="F716" s="87">
        <f>IFERROR(__xludf.DUMMYFUNCTION("VALUE(REGEXEXTRACT(A716,""([^.]+)$""))"),1.0)</f>
        <v>1</v>
      </c>
      <c r="G716" s="49">
        <v>40.0</v>
      </c>
      <c r="H716" s="26" t="b">
        <f>COUNTIFS(
 tblCostChecklist[RequirementID],A716,
 tblCostChecklist[PlayerPaid],TRUE
)&gt;0</f>
        <v>0</v>
      </c>
      <c r="I716" s="49">
        <f t="shared" si="1"/>
        <v>5</v>
      </c>
      <c r="J716" s="49">
        <f t="shared" si="2"/>
        <v>0</v>
      </c>
      <c r="K716" s="49">
        <f t="shared" si="3"/>
        <v>5</v>
      </c>
      <c r="L716" s="49" t="b">
        <f t="shared" si="4"/>
        <v>0</v>
      </c>
      <c r="M716" s="88">
        <f t="shared" si="5"/>
        <v>0</v>
      </c>
    </row>
    <row r="717" ht="14.25" customHeight="1">
      <c r="A717" s="49" t="s">
        <v>2990</v>
      </c>
      <c r="B717" s="49" t="str">
        <f>IFERROR(__xludf.DUMMYFUNCTION("REGEXEXTRACT(A717,""^cost\.(.*)\.[^.]+\.[^.]+$"")"),"tech.alchemists_hut.galvanization")</f>
        <v>tech.alchemists_hut.galvanization</v>
      </c>
      <c r="C717" s="49" t="str">
        <f t="array" ref="C717">_xlfn.XLOOKUP(
 B717,
 tblTargets[TargetID],
 tblTargets[DisplayName],
 ""
)</f>
        <v>Alchemists Hut - Galvanization</v>
      </c>
      <c r="D717" s="49" t="str">
        <f t="array" ref="D717">_xlfn.XLOOKUP(
 B717,
 tblTargets[TargetID],
 tblTargets[TargetType],
 ""
)</f>
        <v>TECH</v>
      </c>
      <c r="E717" s="49" t="s">
        <v>6</v>
      </c>
      <c r="F717" s="87">
        <f>IFERROR(__xludf.DUMMYFUNCTION("VALUE(REGEXEXTRACT(A717,""([^.]+)$""))"),1.0)</f>
        <v>1</v>
      </c>
      <c r="G717" s="49">
        <v>2.0</v>
      </c>
      <c r="H717" s="26" t="b">
        <f>COUNTIFS(
 tblCostChecklist[RequirementID],A717,
 tblCostChecklist[PlayerPaid],TRUE
)&gt;0</f>
        <v>0</v>
      </c>
      <c r="I717" s="49">
        <f t="shared" si="1"/>
        <v>5</v>
      </c>
      <c r="J717" s="49">
        <f t="shared" si="2"/>
        <v>0</v>
      </c>
      <c r="K717" s="49">
        <f t="shared" si="3"/>
        <v>5</v>
      </c>
      <c r="L717" s="49" t="b">
        <f t="shared" si="4"/>
        <v>0</v>
      </c>
      <c r="M717" s="88">
        <f t="shared" si="5"/>
        <v>0</v>
      </c>
    </row>
    <row r="718" ht="14.25" customHeight="1">
      <c r="A718" s="49" t="s">
        <v>2992</v>
      </c>
      <c r="B718" s="49" t="str">
        <f>IFERROR(__xludf.DUMMYFUNCTION("REGEXEXTRACT(A718,""^cost\.(.*)\.[^.]+\.[^.]+$"")"),"tech.alchemists_hut.metamorphosis")</f>
        <v>tech.alchemists_hut.metamorphosis</v>
      </c>
      <c r="C718" s="49" t="str">
        <f t="array" ref="C718">_xlfn.XLOOKUP(
 B718,
 tblTargets[TargetID],
 tblTargets[DisplayName],
 ""
)</f>
        <v>Alchemists Hut - Metamorphosis</v>
      </c>
      <c r="D718" s="49" t="str">
        <f t="array" ref="D718">_xlfn.XLOOKUP(
 B718,
 tblTargets[TargetID],
 tblTargets[TargetType],
 ""
)</f>
        <v>TECH</v>
      </c>
      <c r="E718" s="49" t="s">
        <v>119</v>
      </c>
      <c r="F718" s="87">
        <f>IFERROR(__xludf.DUMMYFUNCTION("VALUE(REGEXEXTRACT(A718,""([^.]+)$""))"),1.0)</f>
        <v>1</v>
      </c>
      <c r="G718" s="49">
        <v>300.0</v>
      </c>
      <c r="H718" s="26" t="b">
        <f>COUNTIFS(
 tblCostChecklist[RequirementID],A718,
 tblCostChecklist[PlayerPaid],TRUE
)&gt;0</f>
        <v>0</v>
      </c>
      <c r="I718" s="49">
        <f t="shared" si="1"/>
        <v>6</v>
      </c>
      <c r="J718" s="49">
        <f t="shared" si="2"/>
        <v>0</v>
      </c>
      <c r="K718" s="49">
        <f t="shared" si="3"/>
        <v>6</v>
      </c>
      <c r="L718" s="49" t="b">
        <f t="shared" si="4"/>
        <v>0</v>
      </c>
      <c r="M718" s="88">
        <f t="shared" si="5"/>
        <v>0</v>
      </c>
    </row>
    <row r="719" ht="14.25" customHeight="1">
      <c r="A719" s="49" t="s">
        <v>2994</v>
      </c>
      <c r="B719" s="49" t="str">
        <f>IFERROR(__xludf.DUMMYFUNCTION("REGEXEXTRACT(A719,""^cost\.(.*)\.[^.]+\.[^.]+$"")"),"tech.alchemists_hut.metamorphosis")</f>
        <v>tech.alchemists_hut.metamorphosis</v>
      </c>
      <c r="C719" s="49" t="str">
        <f t="array" ref="C719">_xlfn.XLOOKUP(
 B719,
 tblTargets[TargetID],
 tblTargets[DisplayName],
 ""
)</f>
        <v>Alchemists Hut - Metamorphosis</v>
      </c>
      <c r="D719" s="49" t="str">
        <f t="array" ref="D719">_xlfn.XLOOKUP(
 B719,
 tblTargets[TargetID],
 tblTargets[TargetType],
 ""
)</f>
        <v>TECH</v>
      </c>
      <c r="E719" s="49" t="s">
        <v>530</v>
      </c>
      <c r="F719" s="87">
        <f>IFERROR(__xludf.DUMMYFUNCTION("VALUE(REGEXEXTRACT(A719,""([^.]+)$""))"),1.0)</f>
        <v>1</v>
      </c>
      <c r="G719" s="49">
        <v>5.0</v>
      </c>
      <c r="H719" s="26" t="b">
        <f>COUNTIFS(
 tblCostChecklist[RequirementID],A719,
 tblCostChecklist[PlayerPaid],TRUE
)&gt;0</f>
        <v>0</v>
      </c>
      <c r="I719" s="49">
        <f t="shared" si="1"/>
        <v>6</v>
      </c>
      <c r="J719" s="49">
        <f t="shared" si="2"/>
        <v>0</v>
      </c>
      <c r="K719" s="49">
        <f t="shared" si="3"/>
        <v>6</v>
      </c>
      <c r="L719" s="49" t="b">
        <f t="shared" si="4"/>
        <v>0</v>
      </c>
      <c r="M719" s="88">
        <f t="shared" si="5"/>
        <v>0</v>
      </c>
    </row>
    <row r="720" ht="14.25" customHeight="1">
      <c r="A720" s="49" t="s">
        <v>2996</v>
      </c>
      <c r="B720" s="49" t="str">
        <f>IFERROR(__xludf.DUMMYFUNCTION("REGEXEXTRACT(A720,""^cost\.(.*)\.[^.]+\.[^.]+$"")"),"tech.alchemists_hut.metamorphosis")</f>
        <v>tech.alchemists_hut.metamorphosis</v>
      </c>
      <c r="C720" s="49" t="str">
        <f t="array" ref="C720">_xlfn.XLOOKUP(
 B720,
 tblTargets[TargetID],
 tblTargets[DisplayName],
 ""
)</f>
        <v>Alchemists Hut - Metamorphosis</v>
      </c>
      <c r="D720" s="49" t="str">
        <f t="array" ref="D720">_xlfn.XLOOKUP(
 B720,
 tblTargets[TargetID],
 tblTargets[TargetType],
 ""
)</f>
        <v>TECH</v>
      </c>
      <c r="E720" s="49" t="s">
        <v>2304</v>
      </c>
      <c r="F720" s="87">
        <f>IFERROR(__xludf.DUMMYFUNCTION("VALUE(REGEXEXTRACT(A720,""([^.]+)$""))"),1.0)</f>
        <v>1</v>
      </c>
      <c r="G720" s="49">
        <v>15.0</v>
      </c>
      <c r="H720" s="26" t="b">
        <f>COUNTIFS(
 tblCostChecklist[RequirementID],A720,
 tblCostChecklist[PlayerPaid],TRUE
)&gt;0</f>
        <v>0</v>
      </c>
      <c r="I720" s="49">
        <f t="shared" si="1"/>
        <v>6</v>
      </c>
      <c r="J720" s="49">
        <f t="shared" si="2"/>
        <v>0</v>
      </c>
      <c r="K720" s="49">
        <f t="shared" si="3"/>
        <v>6</v>
      </c>
      <c r="L720" s="49" t="b">
        <f t="shared" si="4"/>
        <v>0</v>
      </c>
      <c r="M720" s="88">
        <f t="shared" si="5"/>
        <v>0</v>
      </c>
    </row>
    <row r="721" ht="14.25" customHeight="1">
      <c r="A721" s="49" t="s">
        <v>2999</v>
      </c>
      <c r="B721" s="49" t="str">
        <f>IFERROR(__xludf.DUMMYFUNCTION("REGEXEXTRACT(A721,""^cost\.(.*)\.[^.]+\.[^.]+$"")"),"tech.alchemists_hut.metamorphosis")</f>
        <v>tech.alchemists_hut.metamorphosis</v>
      </c>
      <c r="C721" s="49" t="str">
        <f t="array" ref="C721">_xlfn.XLOOKUP(
 B721,
 tblTargets[TargetID],
 tblTargets[DisplayName],
 ""
)</f>
        <v>Alchemists Hut - Metamorphosis</v>
      </c>
      <c r="D721" s="49" t="str">
        <f t="array" ref="D721">_xlfn.XLOOKUP(
 B721,
 tblTargets[TargetID],
 tblTargets[TargetType],
 ""
)</f>
        <v>TECH</v>
      </c>
      <c r="E721" s="49" t="s">
        <v>1456</v>
      </c>
      <c r="F721" s="87">
        <f>IFERROR(__xludf.DUMMYFUNCTION("VALUE(REGEXEXTRACT(A721,""([^.]+)$""))"),1.0)</f>
        <v>1</v>
      </c>
      <c r="G721" s="49">
        <v>5.0</v>
      </c>
      <c r="H721" s="26" t="b">
        <f>COUNTIFS(
 tblCostChecklist[RequirementID],A721,
 tblCostChecklist[PlayerPaid],TRUE
)&gt;0</f>
        <v>0</v>
      </c>
      <c r="I721" s="49">
        <f t="shared" si="1"/>
        <v>6</v>
      </c>
      <c r="J721" s="49">
        <f t="shared" si="2"/>
        <v>0</v>
      </c>
      <c r="K721" s="49">
        <f t="shared" si="3"/>
        <v>6</v>
      </c>
      <c r="L721" s="49" t="b">
        <f t="shared" si="4"/>
        <v>0</v>
      </c>
      <c r="M721" s="88">
        <f t="shared" si="5"/>
        <v>0</v>
      </c>
    </row>
    <row r="722" ht="14.25" customHeight="1">
      <c r="A722" s="49" t="s">
        <v>3001</v>
      </c>
      <c r="B722" s="49" t="str">
        <f>IFERROR(__xludf.DUMMYFUNCTION("REGEXEXTRACT(A722,""^cost\.(.*)\.[^.]+\.[^.]+$"")"),"tech.alchemists_hut.metamorphosis")</f>
        <v>tech.alchemists_hut.metamorphosis</v>
      </c>
      <c r="C722" s="49" t="str">
        <f t="array" ref="C722">_xlfn.XLOOKUP(
 B722,
 tblTargets[TargetID],
 tblTargets[DisplayName],
 ""
)</f>
        <v>Alchemists Hut - Metamorphosis</v>
      </c>
      <c r="D722" s="49" t="str">
        <f t="array" ref="D722">_xlfn.XLOOKUP(
 B722,
 tblTargets[TargetID],
 tblTargets[TargetType],
 ""
)</f>
        <v>TECH</v>
      </c>
      <c r="E722" s="49" t="s">
        <v>140</v>
      </c>
      <c r="F722" s="87">
        <f>IFERROR(__xludf.DUMMYFUNCTION("VALUE(REGEXEXTRACT(A722,""([^.]+)$""))"),1.0)</f>
        <v>1</v>
      </c>
      <c r="G722" s="49">
        <v>15.0</v>
      </c>
      <c r="H722" s="26" t="b">
        <f>COUNTIFS(
 tblCostChecklist[RequirementID],A722,
 tblCostChecklist[PlayerPaid],TRUE
)&gt;0</f>
        <v>0</v>
      </c>
      <c r="I722" s="49">
        <f t="shared" si="1"/>
        <v>6</v>
      </c>
      <c r="J722" s="49">
        <f t="shared" si="2"/>
        <v>0</v>
      </c>
      <c r="K722" s="49">
        <f t="shared" si="3"/>
        <v>6</v>
      </c>
      <c r="L722" s="49" t="b">
        <f t="shared" si="4"/>
        <v>0</v>
      </c>
      <c r="M722" s="88">
        <f t="shared" si="5"/>
        <v>0</v>
      </c>
    </row>
    <row r="723" ht="14.25" customHeight="1">
      <c r="A723" s="49" t="s">
        <v>3004</v>
      </c>
      <c r="B723" s="49" t="str">
        <f>IFERROR(__xludf.DUMMYFUNCTION("REGEXEXTRACT(A723,""^cost\.(.*)\.[^.]+\.[^.]+$"")"),"tech.alchemists_hut.metamorphosis")</f>
        <v>tech.alchemists_hut.metamorphosis</v>
      </c>
      <c r="C723" s="49" t="str">
        <f t="array" ref="C723">_xlfn.XLOOKUP(
 B723,
 tblTargets[TargetID],
 tblTargets[DisplayName],
 ""
)</f>
        <v>Alchemists Hut - Metamorphosis</v>
      </c>
      <c r="D723" s="49" t="str">
        <f t="array" ref="D723">_xlfn.XLOOKUP(
 B723,
 tblTargets[TargetID],
 tblTargets[TargetType],
 ""
)</f>
        <v>TECH</v>
      </c>
      <c r="E723" s="49" t="s">
        <v>6</v>
      </c>
      <c r="F723" s="87">
        <f>IFERROR(__xludf.DUMMYFUNCTION("VALUE(REGEXEXTRACT(A723,""([^.]+)$""))"),1.0)</f>
        <v>1</v>
      </c>
      <c r="G723" s="49">
        <v>3.0</v>
      </c>
      <c r="H723" s="26" t="b">
        <f>COUNTIFS(
 tblCostChecklist[RequirementID],A723,
 tblCostChecklist[PlayerPaid],TRUE
)&gt;0</f>
        <v>0</v>
      </c>
      <c r="I723" s="49">
        <f t="shared" si="1"/>
        <v>6</v>
      </c>
      <c r="J723" s="49">
        <f t="shared" si="2"/>
        <v>0</v>
      </c>
      <c r="K723" s="49">
        <f t="shared" si="3"/>
        <v>6</v>
      </c>
      <c r="L723" s="49" t="b">
        <f t="shared" si="4"/>
        <v>0</v>
      </c>
      <c r="M723" s="88">
        <f t="shared" si="5"/>
        <v>0</v>
      </c>
    </row>
    <row r="724" ht="14.25" customHeight="1">
      <c r="A724" s="49" t="s">
        <v>3007</v>
      </c>
      <c r="B724" s="49" t="str">
        <f>IFERROR(__xludf.DUMMYFUNCTION("REGEXEXTRACT(A724,""^cost\.(.*)\.[^.]+\.[^.]+$"")"),"tech.alchemists_hut.advanced_fertilizer")</f>
        <v>tech.alchemists_hut.advanced_fertilizer</v>
      </c>
      <c r="C724" s="49" t="str">
        <f t="array" ref="C724">_xlfn.XLOOKUP(
 B724,
 tblTargets[TargetID],
 tblTargets[DisplayName],
 ""
)</f>
        <v>Alchemists Hut - Advanced Fertilizer</v>
      </c>
      <c r="D724" s="49" t="str">
        <f t="array" ref="D724">_xlfn.XLOOKUP(
 B724,
 tblTargets[TargetID],
 tblTargets[TargetType],
 ""
)</f>
        <v>TECH</v>
      </c>
      <c r="E724" s="49" t="s">
        <v>1055</v>
      </c>
      <c r="F724" s="87">
        <f>IFERROR(__xludf.DUMMYFUNCTION("VALUE(REGEXEXTRACT(A724,""([^.]+)$""))"),1.0)</f>
        <v>1</v>
      </c>
      <c r="G724" s="49">
        <v>30.0</v>
      </c>
      <c r="H724" s="26" t="b">
        <f>COUNTIFS(
 tblCostChecklist[RequirementID],A724,
 tblCostChecklist[PlayerPaid],TRUE
)&gt;0</f>
        <v>0</v>
      </c>
      <c r="I724" s="49">
        <f t="shared" si="1"/>
        <v>9</v>
      </c>
      <c r="J724" s="49">
        <f t="shared" si="2"/>
        <v>0</v>
      </c>
      <c r="K724" s="49">
        <f t="shared" si="3"/>
        <v>9</v>
      </c>
      <c r="L724" s="49" t="b">
        <f t="shared" si="4"/>
        <v>0</v>
      </c>
      <c r="M724" s="88">
        <f t="shared" si="5"/>
        <v>0</v>
      </c>
    </row>
    <row r="725" ht="14.25" customHeight="1">
      <c r="A725" s="49" t="s">
        <v>3010</v>
      </c>
      <c r="B725" s="49" t="str">
        <f>IFERROR(__xludf.DUMMYFUNCTION("REGEXEXTRACT(A725,""^cost\.(.*)\.[^.]+\.[^.]+$"")"),"tech.alchemists_hut.advanced_fertilizer")</f>
        <v>tech.alchemists_hut.advanced_fertilizer</v>
      </c>
      <c r="C725" s="49" t="str">
        <f t="array" ref="C725">_xlfn.XLOOKUP(
 B725,
 tblTargets[TargetID],
 tblTargets[DisplayName],
 ""
)</f>
        <v>Alchemists Hut - Advanced Fertilizer</v>
      </c>
      <c r="D725" s="49" t="str">
        <f t="array" ref="D725">_xlfn.XLOOKUP(
 B725,
 tblTargets[TargetID],
 tblTargets[TargetType],
 ""
)</f>
        <v>TECH</v>
      </c>
      <c r="E725" s="49" t="s">
        <v>2297</v>
      </c>
      <c r="F725" s="87">
        <f>IFERROR(__xludf.DUMMYFUNCTION("VALUE(REGEXEXTRACT(A725,""([^.]+)$""))"),1.0)</f>
        <v>1</v>
      </c>
      <c r="G725" s="49">
        <v>20.0</v>
      </c>
      <c r="H725" s="26" t="b">
        <f>COUNTIFS(
 tblCostChecklist[RequirementID],A725,
 tblCostChecklist[PlayerPaid],TRUE
)&gt;0</f>
        <v>0</v>
      </c>
      <c r="I725" s="49">
        <f t="shared" si="1"/>
        <v>9</v>
      </c>
      <c r="J725" s="49">
        <f t="shared" si="2"/>
        <v>0</v>
      </c>
      <c r="K725" s="49">
        <f t="shared" si="3"/>
        <v>9</v>
      </c>
      <c r="L725" s="49" t="b">
        <f t="shared" si="4"/>
        <v>0</v>
      </c>
      <c r="M725" s="88">
        <f t="shared" si="5"/>
        <v>0</v>
      </c>
    </row>
    <row r="726" ht="14.25" customHeight="1">
      <c r="A726" s="49" t="s">
        <v>3012</v>
      </c>
      <c r="B726" s="49" t="str">
        <f>IFERROR(__xludf.DUMMYFUNCTION("REGEXEXTRACT(A726,""^cost\.(.*)\.[^.]+\.[^.]+$"")"),"tech.alchemists_hut.advanced_fertilizer")</f>
        <v>tech.alchemists_hut.advanced_fertilizer</v>
      </c>
      <c r="C726" s="49" t="str">
        <f t="array" ref="C726">_xlfn.XLOOKUP(
 B726,
 tblTargets[TargetID],
 tblTargets[DisplayName],
 ""
)</f>
        <v>Alchemists Hut - Advanced Fertilizer</v>
      </c>
      <c r="D726" s="49" t="str">
        <f t="array" ref="D726">_xlfn.XLOOKUP(
 B726,
 tblTargets[TargetID],
 tblTargets[TargetType],
 ""
)</f>
        <v>TECH</v>
      </c>
      <c r="E726" s="49" t="s">
        <v>113</v>
      </c>
      <c r="F726" s="87">
        <f>IFERROR(__xludf.DUMMYFUNCTION("VALUE(REGEXEXTRACT(A726,""([^.]+)$""))"),1.0)</f>
        <v>1</v>
      </c>
      <c r="G726" s="49">
        <v>100.0</v>
      </c>
      <c r="H726" s="26" t="b">
        <f>COUNTIFS(
 tblCostChecklist[RequirementID],A726,
 tblCostChecklist[PlayerPaid],TRUE
)&gt;0</f>
        <v>0</v>
      </c>
      <c r="I726" s="49">
        <f t="shared" si="1"/>
        <v>9</v>
      </c>
      <c r="J726" s="49">
        <f t="shared" si="2"/>
        <v>0</v>
      </c>
      <c r="K726" s="49">
        <f t="shared" si="3"/>
        <v>9</v>
      </c>
      <c r="L726" s="49" t="b">
        <f t="shared" si="4"/>
        <v>0</v>
      </c>
      <c r="M726" s="88">
        <f t="shared" si="5"/>
        <v>0</v>
      </c>
    </row>
    <row r="727" ht="14.25" customHeight="1">
      <c r="A727" s="49" t="s">
        <v>3014</v>
      </c>
      <c r="B727" s="49" t="str">
        <f>IFERROR(__xludf.DUMMYFUNCTION("REGEXEXTRACT(A727,""^cost\.(.*)\.[^.]+\.[^.]+$"")"),"tech.alchemists_hut.advanced_fertilizer")</f>
        <v>tech.alchemists_hut.advanced_fertilizer</v>
      </c>
      <c r="C727" s="49" t="str">
        <f t="array" ref="C727">_xlfn.XLOOKUP(
 B727,
 tblTargets[TargetID],
 tblTargets[DisplayName],
 ""
)</f>
        <v>Alchemists Hut - Advanced Fertilizer</v>
      </c>
      <c r="D727" s="49" t="str">
        <f t="array" ref="D727">_xlfn.XLOOKUP(
 B727,
 tblTargets[TargetID],
 tblTargets[TargetType],
 ""
)</f>
        <v>TECH</v>
      </c>
      <c r="E727" s="49" t="s">
        <v>119</v>
      </c>
      <c r="F727" s="87">
        <f>IFERROR(__xludf.DUMMYFUNCTION("VALUE(REGEXEXTRACT(A727,""([^.]+)$""))"),1.0)</f>
        <v>1</v>
      </c>
      <c r="G727" s="49">
        <v>800.0</v>
      </c>
      <c r="H727" s="26" t="b">
        <f>COUNTIFS(
 tblCostChecklist[RequirementID],A727,
 tblCostChecklist[PlayerPaid],TRUE
)&gt;0</f>
        <v>0</v>
      </c>
      <c r="I727" s="49">
        <f t="shared" si="1"/>
        <v>9</v>
      </c>
      <c r="J727" s="49">
        <f t="shared" si="2"/>
        <v>0</v>
      </c>
      <c r="K727" s="49">
        <f t="shared" si="3"/>
        <v>9</v>
      </c>
      <c r="L727" s="49" t="b">
        <f t="shared" si="4"/>
        <v>0</v>
      </c>
      <c r="M727" s="88">
        <f t="shared" si="5"/>
        <v>0</v>
      </c>
    </row>
    <row r="728" ht="14.25" customHeight="1">
      <c r="A728" s="49" t="s">
        <v>3016</v>
      </c>
      <c r="B728" s="49" t="str">
        <f>IFERROR(__xludf.DUMMYFUNCTION("REGEXEXTRACT(A728,""^cost\.(.*)\.[^.]+\.[^.]+$"")"),"tech.alchemists_hut.advanced_fertilizer")</f>
        <v>tech.alchemists_hut.advanced_fertilizer</v>
      </c>
      <c r="C728" s="49" t="str">
        <f t="array" ref="C728">_xlfn.XLOOKUP(
 B728,
 tblTargets[TargetID],
 tblTargets[DisplayName],
 ""
)</f>
        <v>Alchemists Hut - Advanced Fertilizer</v>
      </c>
      <c r="D728" s="49" t="str">
        <f t="array" ref="D728">_xlfn.XLOOKUP(
 B728,
 tblTargets[TargetID],
 tblTargets[TargetType],
 ""
)</f>
        <v>TECH</v>
      </c>
      <c r="E728" s="49" t="s">
        <v>3017</v>
      </c>
      <c r="F728" s="87">
        <f>IFERROR(__xludf.DUMMYFUNCTION("VALUE(REGEXEXTRACT(A728,""([^.]+)$""))"),1.0)</f>
        <v>1</v>
      </c>
      <c r="G728" s="49">
        <v>50.0</v>
      </c>
      <c r="H728" s="26" t="b">
        <f>COUNTIFS(
 tblCostChecklist[RequirementID],A728,
 tblCostChecklist[PlayerPaid],TRUE
)&gt;0</f>
        <v>0</v>
      </c>
      <c r="I728" s="49">
        <f t="shared" si="1"/>
        <v>9</v>
      </c>
      <c r="J728" s="49">
        <f t="shared" si="2"/>
        <v>0</v>
      </c>
      <c r="K728" s="49">
        <f t="shared" si="3"/>
        <v>9</v>
      </c>
      <c r="L728" s="49" t="b">
        <f t="shared" si="4"/>
        <v>0</v>
      </c>
      <c r="M728" s="88">
        <f t="shared" si="5"/>
        <v>0</v>
      </c>
    </row>
    <row r="729" ht="14.25" customHeight="1">
      <c r="A729" s="49" t="s">
        <v>3019</v>
      </c>
      <c r="B729" s="49" t="str">
        <f>IFERROR(__xludf.DUMMYFUNCTION("REGEXEXTRACT(A729,""^cost\.(.*)\.[^.]+\.[^.]+$"")"),"tech.alchemists_hut.advanced_fertilizer")</f>
        <v>tech.alchemists_hut.advanced_fertilizer</v>
      </c>
      <c r="C729" s="49" t="str">
        <f t="array" ref="C729">_xlfn.XLOOKUP(
 B729,
 tblTargets[TargetID],
 tblTargets[DisplayName],
 ""
)</f>
        <v>Alchemists Hut - Advanced Fertilizer</v>
      </c>
      <c r="D729" s="49" t="str">
        <f t="array" ref="D729">_xlfn.XLOOKUP(
 B729,
 tblTargets[TargetID],
 tblTargets[TargetType],
 ""
)</f>
        <v>TECH</v>
      </c>
      <c r="E729" s="49" t="s">
        <v>360</v>
      </c>
      <c r="F729" s="87">
        <f>IFERROR(__xludf.DUMMYFUNCTION("VALUE(REGEXEXTRACT(A729,""([^.]+)$""))"),1.0)</f>
        <v>1</v>
      </c>
      <c r="G729" s="49">
        <v>20.0</v>
      </c>
      <c r="H729" s="26" t="b">
        <f>COUNTIFS(
 tblCostChecklist[RequirementID],A729,
 tblCostChecklist[PlayerPaid],TRUE
)&gt;0</f>
        <v>0</v>
      </c>
      <c r="I729" s="49">
        <f t="shared" si="1"/>
        <v>9</v>
      </c>
      <c r="J729" s="49">
        <f t="shared" si="2"/>
        <v>0</v>
      </c>
      <c r="K729" s="49">
        <f t="shared" si="3"/>
        <v>9</v>
      </c>
      <c r="L729" s="49" t="b">
        <f t="shared" si="4"/>
        <v>0</v>
      </c>
      <c r="M729" s="88">
        <f t="shared" si="5"/>
        <v>0</v>
      </c>
    </row>
    <row r="730" ht="14.25" customHeight="1">
      <c r="A730" s="49" t="s">
        <v>3021</v>
      </c>
      <c r="B730" s="49" t="str">
        <f>IFERROR(__xludf.DUMMYFUNCTION("REGEXEXTRACT(A730,""^cost\.(.*)\.[^.]+\.[^.]+$"")"),"tech.alchemists_hut.advanced_fertilizer")</f>
        <v>tech.alchemists_hut.advanced_fertilizer</v>
      </c>
      <c r="C730" s="49" t="str">
        <f t="array" ref="C730">_xlfn.XLOOKUP(
 B730,
 tblTargets[TargetID],
 tblTargets[DisplayName],
 ""
)</f>
        <v>Alchemists Hut - Advanced Fertilizer</v>
      </c>
      <c r="D730" s="49" t="str">
        <f t="array" ref="D730">_xlfn.XLOOKUP(
 B730,
 tblTargets[TargetID],
 tblTargets[TargetType],
 ""
)</f>
        <v>TECH</v>
      </c>
      <c r="E730" s="49" t="s">
        <v>140</v>
      </c>
      <c r="F730" s="87">
        <f>IFERROR(__xludf.DUMMYFUNCTION("VALUE(REGEXEXTRACT(A730,""([^.]+)$""))"),1.0)</f>
        <v>1</v>
      </c>
      <c r="G730" s="49">
        <v>20.0</v>
      </c>
      <c r="H730" s="26" t="b">
        <f>COUNTIFS(
 tblCostChecklist[RequirementID],A730,
 tblCostChecklist[PlayerPaid],TRUE
)&gt;0</f>
        <v>0</v>
      </c>
      <c r="I730" s="49">
        <f t="shared" si="1"/>
        <v>9</v>
      </c>
      <c r="J730" s="49">
        <f t="shared" si="2"/>
        <v>0</v>
      </c>
      <c r="K730" s="49">
        <f t="shared" si="3"/>
        <v>9</v>
      </c>
      <c r="L730" s="49" t="b">
        <f t="shared" si="4"/>
        <v>0</v>
      </c>
      <c r="M730" s="88">
        <f t="shared" si="5"/>
        <v>0</v>
      </c>
    </row>
    <row r="731" ht="14.25" customHeight="1">
      <c r="A731" s="49" t="s">
        <v>3023</v>
      </c>
      <c r="B731" s="49" t="str">
        <f>IFERROR(__xludf.DUMMYFUNCTION("REGEXEXTRACT(A731,""^cost\.(.*)\.[^.]+\.[^.]+$"")"),"tech.alchemists_hut.advanced_fertilizer")</f>
        <v>tech.alchemists_hut.advanced_fertilizer</v>
      </c>
      <c r="C731" s="49" t="str">
        <f t="array" ref="C731">_xlfn.XLOOKUP(
 B731,
 tblTargets[TargetID],
 tblTargets[DisplayName],
 ""
)</f>
        <v>Alchemists Hut - Advanced Fertilizer</v>
      </c>
      <c r="D731" s="49" t="str">
        <f t="array" ref="D731">_xlfn.XLOOKUP(
 B731,
 tblTargets[TargetID],
 tblTargets[TargetType],
 ""
)</f>
        <v>TECH</v>
      </c>
      <c r="E731" s="49" t="s">
        <v>6</v>
      </c>
      <c r="F731" s="87">
        <f>IFERROR(__xludf.DUMMYFUNCTION("VALUE(REGEXEXTRACT(A731,""([^.]+)$""))"),1.0)</f>
        <v>1</v>
      </c>
      <c r="G731" s="49">
        <v>5.0</v>
      </c>
      <c r="H731" s="26" t="b">
        <f>COUNTIFS(
 tblCostChecklist[RequirementID],A731,
 tblCostChecklist[PlayerPaid],TRUE
)&gt;0</f>
        <v>0</v>
      </c>
      <c r="I731" s="49">
        <f t="shared" si="1"/>
        <v>9</v>
      </c>
      <c r="J731" s="49">
        <f t="shared" si="2"/>
        <v>0</v>
      </c>
      <c r="K731" s="49">
        <f t="shared" si="3"/>
        <v>9</v>
      </c>
      <c r="L731" s="49" t="b">
        <f t="shared" si="4"/>
        <v>0</v>
      </c>
      <c r="M731" s="88">
        <f t="shared" si="5"/>
        <v>0</v>
      </c>
    </row>
    <row r="732" ht="14.25" customHeight="1">
      <c r="A732" s="49" t="s">
        <v>3025</v>
      </c>
      <c r="B732" s="49" t="str">
        <f>IFERROR(__xludf.DUMMYFUNCTION("REGEXEXTRACT(A732,""^cost\.(.*)\.[^.]+\.[^.]+$"")"),"tech.alchemists_hut.advanced_fertilizer")</f>
        <v>tech.alchemists_hut.advanced_fertilizer</v>
      </c>
      <c r="C732" s="49" t="str">
        <f t="array" ref="C732">_xlfn.XLOOKUP(
 B732,
 tblTargets[TargetID],
 tblTargets[DisplayName],
 ""
)</f>
        <v>Alchemists Hut - Advanced Fertilizer</v>
      </c>
      <c r="D732" s="49" t="str">
        <f t="array" ref="D732">_xlfn.XLOOKUP(
 B732,
 tblTargets[TargetID],
 tblTargets[TargetType],
 ""
)</f>
        <v>TECH</v>
      </c>
      <c r="E732" s="49" t="s">
        <v>1489</v>
      </c>
      <c r="F732" s="87">
        <f>IFERROR(__xludf.DUMMYFUNCTION("VALUE(REGEXEXTRACT(A732,""([^.]+)$""))"),1.0)</f>
        <v>1</v>
      </c>
      <c r="G732" s="49">
        <v>10.0</v>
      </c>
      <c r="H732" s="26" t="b">
        <f>COUNTIFS(
 tblCostChecklist[RequirementID],A732,
 tblCostChecklist[PlayerPaid],TRUE
)&gt;0</f>
        <v>0</v>
      </c>
      <c r="I732" s="49">
        <f t="shared" si="1"/>
        <v>9</v>
      </c>
      <c r="J732" s="49">
        <f t="shared" si="2"/>
        <v>0</v>
      </c>
      <c r="K732" s="49">
        <f t="shared" si="3"/>
        <v>9</v>
      </c>
      <c r="L732" s="49" t="b">
        <f t="shared" si="4"/>
        <v>0</v>
      </c>
      <c r="M732" s="88">
        <f t="shared" si="5"/>
        <v>0</v>
      </c>
    </row>
    <row r="733" ht="14.25" customHeight="1">
      <c r="A733" s="49" t="s">
        <v>3027</v>
      </c>
      <c r="B733" s="49" t="str">
        <f>IFERROR(__xludf.DUMMYFUNCTION("REGEXEXTRACT(A733,""^cost\.(.*)\.[^.]+\.[^.]+$"")"),"tech.bridge.koi_fish")</f>
        <v>tech.bridge.koi_fish</v>
      </c>
      <c r="C733" s="49" t="str">
        <f t="array" ref="C733">_xlfn.XLOOKUP(
 B733,
 tblTargets[TargetID],
 tblTargets[DisplayName],
 ""
)</f>
        <v>Bridge - Koi Fish</v>
      </c>
      <c r="D733" s="49" t="str">
        <f t="array" ref="D733">_xlfn.XLOOKUP(
 B733,
 tblTargets[TargetID],
 tblTargets[TargetType],
 ""
)</f>
        <v>TECH</v>
      </c>
      <c r="E733" s="49" t="s">
        <v>412</v>
      </c>
      <c r="F733" s="87">
        <f>IFERROR(__xludf.DUMMYFUNCTION("VALUE(REGEXEXTRACT(A733,""([^.]+)$""))"),1.0)</f>
        <v>1</v>
      </c>
      <c r="G733" s="49">
        <v>20.0</v>
      </c>
      <c r="H733" s="26" t="b">
        <f>COUNTIFS(
 tblCostChecklist[RequirementID],A733,
 tblCostChecklist[PlayerPaid],TRUE
)&gt;0</f>
        <v>0</v>
      </c>
      <c r="I733" s="49">
        <f t="shared" si="1"/>
        <v>6</v>
      </c>
      <c r="J733" s="49">
        <f t="shared" si="2"/>
        <v>0</v>
      </c>
      <c r="K733" s="49">
        <f t="shared" si="3"/>
        <v>6</v>
      </c>
      <c r="L733" s="49" t="b">
        <f t="shared" si="4"/>
        <v>0</v>
      </c>
      <c r="M733" s="88">
        <f t="shared" si="5"/>
        <v>0</v>
      </c>
    </row>
    <row r="734" ht="14.25" customHeight="1">
      <c r="A734" s="49" t="s">
        <v>3029</v>
      </c>
      <c r="B734" s="49" t="str">
        <f>IFERROR(__xludf.DUMMYFUNCTION("REGEXEXTRACT(A734,""^cost\.(.*)\.[^.]+\.[^.]+$"")"),"tech.bridge.koi_fish")</f>
        <v>tech.bridge.koi_fish</v>
      </c>
      <c r="C734" s="49" t="str">
        <f t="array" ref="C734">_xlfn.XLOOKUP(
 B734,
 tblTargets[TargetID],
 tblTargets[DisplayName],
 ""
)</f>
        <v>Bridge - Koi Fish</v>
      </c>
      <c r="D734" s="49" t="str">
        <f t="array" ref="D734">_xlfn.XLOOKUP(
 B734,
 tblTargets[TargetID],
 tblTargets[TargetType],
 ""
)</f>
        <v>TECH</v>
      </c>
      <c r="E734" s="49" t="s">
        <v>423</v>
      </c>
      <c r="F734" s="87">
        <f>IFERROR(__xludf.DUMMYFUNCTION("VALUE(REGEXEXTRACT(A734,""([^.]+)$""))"),1.0)</f>
        <v>1</v>
      </c>
      <c r="G734" s="49">
        <v>20.0</v>
      </c>
      <c r="H734" s="26" t="b">
        <f>COUNTIFS(
 tblCostChecklist[RequirementID],A734,
 tblCostChecklist[PlayerPaid],TRUE
)&gt;0</f>
        <v>0</v>
      </c>
      <c r="I734" s="49">
        <f t="shared" si="1"/>
        <v>6</v>
      </c>
      <c r="J734" s="49">
        <f t="shared" si="2"/>
        <v>0</v>
      </c>
      <c r="K734" s="49">
        <f t="shared" si="3"/>
        <v>6</v>
      </c>
      <c r="L734" s="49" t="b">
        <f t="shared" si="4"/>
        <v>0</v>
      </c>
      <c r="M734" s="88">
        <f t="shared" si="5"/>
        <v>0</v>
      </c>
    </row>
    <row r="735" ht="14.25" customHeight="1">
      <c r="A735" s="49" t="s">
        <v>3031</v>
      </c>
      <c r="B735" s="49" t="str">
        <f>IFERROR(__xludf.DUMMYFUNCTION("REGEXEXTRACT(A735,""^cost\.(.*)\.[^.]+\.[^.]+$"")"),"tech.bridge.koi_fish")</f>
        <v>tech.bridge.koi_fish</v>
      </c>
      <c r="C735" s="49" t="str">
        <f t="array" ref="C735">_xlfn.XLOOKUP(
 B735,
 tblTargets[TargetID],
 tblTargets[DisplayName],
 ""
)</f>
        <v>Bridge - Koi Fish</v>
      </c>
      <c r="D735" s="49" t="str">
        <f t="array" ref="D735">_xlfn.XLOOKUP(
 B735,
 tblTargets[TargetID],
 tblTargets[TargetType],
 ""
)</f>
        <v>TECH</v>
      </c>
      <c r="E735" s="49" t="s">
        <v>6</v>
      </c>
      <c r="F735" s="87">
        <f>IFERROR(__xludf.DUMMYFUNCTION("VALUE(REGEXEXTRACT(A735,""([^.]+)$""))"),1.0)</f>
        <v>1</v>
      </c>
      <c r="G735" s="49">
        <v>20.0</v>
      </c>
      <c r="H735" s="26" t="b">
        <f>COUNTIFS(
 tblCostChecklist[RequirementID],A735,
 tblCostChecklist[PlayerPaid],TRUE
)&gt;0</f>
        <v>0</v>
      </c>
      <c r="I735" s="49">
        <f t="shared" si="1"/>
        <v>6</v>
      </c>
      <c r="J735" s="49">
        <f t="shared" si="2"/>
        <v>0</v>
      </c>
      <c r="K735" s="49">
        <f t="shared" si="3"/>
        <v>6</v>
      </c>
      <c r="L735" s="49" t="b">
        <f t="shared" si="4"/>
        <v>0</v>
      </c>
      <c r="M735" s="88">
        <f t="shared" si="5"/>
        <v>0</v>
      </c>
    </row>
    <row r="736" ht="14.25" customHeight="1">
      <c r="A736" s="49" t="s">
        <v>3033</v>
      </c>
      <c r="B736" s="49" t="str">
        <f>IFERROR(__xludf.DUMMYFUNCTION("REGEXEXTRACT(A736,""^cost\.(.*)\.[^.]+\.[^.]+$"")"),"tech.bridge.koi_fish")</f>
        <v>tech.bridge.koi_fish</v>
      </c>
      <c r="C736" s="49" t="str">
        <f t="array" ref="C736">_xlfn.XLOOKUP(
 B736,
 tblTargets[TargetID],
 tblTargets[DisplayName],
 ""
)</f>
        <v>Bridge - Koi Fish</v>
      </c>
      <c r="D736" s="49" t="str">
        <f t="array" ref="D736">_xlfn.XLOOKUP(
 B736,
 tblTargets[TargetID],
 tblTargets[TargetType],
 ""
)</f>
        <v>TECH</v>
      </c>
      <c r="E736" s="49" t="s">
        <v>2714</v>
      </c>
      <c r="F736" s="87">
        <f>IFERROR(__xludf.DUMMYFUNCTION("VALUE(REGEXEXTRACT(A736,""([^.]+)$""))"),1.0)</f>
        <v>1</v>
      </c>
      <c r="G736" s="49">
        <v>20.0</v>
      </c>
      <c r="H736" s="26" t="b">
        <f>COUNTIFS(
 tblCostChecklist[RequirementID],A736,
 tblCostChecklist[PlayerPaid],TRUE
)&gt;0</f>
        <v>0</v>
      </c>
      <c r="I736" s="49">
        <f t="shared" si="1"/>
        <v>6</v>
      </c>
      <c r="J736" s="49">
        <f t="shared" si="2"/>
        <v>0</v>
      </c>
      <c r="K736" s="49">
        <f t="shared" si="3"/>
        <v>6</v>
      </c>
      <c r="L736" s="49" t="b">
        <f t="shared" si="4"/>
        <v>0</v>
      </c>
      <c r="M736" s="88">
        <f t="shared" si="5"/>
        <v>0</v>
      </c>
    </row>
    <row r="737" ht="14.25" customHeight="1">
      <c r="A737" s="49" t="s">
        <v>3036</v>
      </c>
      <c r="B737" s="49" t="str">
        <f>IFERROR(__xludf.DUMMYFUNCTION("REGEXEXTRACT(A737,""^cost\.(.*)\.[^.]+\.[^.]+$"")"),"tech.bridge.koi_fish")</f>
        <v>tech.bridge.koi_fish</v>
      </c>
      <c r="C737" s="49" t="str">
        <f t="array" ref="C737">_xlfn.XLOOKUP(
 B737,
 tblTargets[TargetID],
 tblTargets[DisplayName],
 ""
)</f>
        <v>Bridge - Koi Fish</v>
      </c>
      <c r="D737" s="49" t="str">
        <f t="array" ref="D737">_xlfn.XLOOKUP(
 B737,
 tblTargets[TargetID],
 tblTargets[TargetType],
 ""
)</f>
        <v>TECH</v>
      </c>
      <c r="E737" s="49" t="s">
        <v>2719</v>
      </c>
      <c r="F737" s="87">
        <f>IFERROR(__xludf.DUMMYFUNCTION("VALUE(REGEXEXTRACT(A737,""([^.]+)$""))"),1.0)</f>
        <v>1</v>
      </c>
      <c r="G737" s="49">
        <v>20.0</v>
      </c>
      <c r="H737" s="26" t="b">
        <f>COUNTIFS(
 tblCostChecklist[RequirementID],A737,
 tblCostChecklist[PlayerPaid],TRUE
)&gt;0</f>
        <v>0</v>
      </c>
      <c r="I737" s="49">
        <f t="shared" si="1"/>
        <v>6</v>
      </c>
      <c r="J737" s="49">
        <f t="shared" si="2"/>
        <v>0</v>
      </c>
      <c r="K737" s="49">
        <f t="shared" si="3"/>
        <v>6</v>
      </c>
      <c r="L737" s="49" t="b">
        <f t="shared" si="4"/>
        <v>0</v>
      </c>
      <c r="M737" s="88">
        <f t="shared" si="5"/>
        <v>0</v>
      </c>
    </row>
    <row r="738" ht="14.25" customHeight="1">
      <c r="A738" s="49" t="s">
        <v>3038</v>
      </c>
      <c r="B738" s="49" t="str">
        <f>IFERROR(__xludf.DUMMYFUNCTION("REGEXEXTRACT(A738,""^cost\.(.*)\.[^.]+\.[^.]+$"")"),"tech.bridge.koi_fish")</f>
        <v>tech.bridge.koi_fish</v>
      </c>
      <c r="C738" s="49" t="str">
        <f t="array" ref="C738">_xlfn.XLOOKUP(
 B738,
 tblTargets[TargetID],
 tblTargets[DisplayName],
 ""
)</f>
        <v>Bridge - Koi Fish</v>
      </c>
      <c r="D738" s="49" t="str">
        <f t="array" ref="D738">_xlfn.XLOOKUP(
 B738,
 tblTargets[TargetID],
 tblTargets[TargetType],
 ""
)</f>
        <v>TECH</v>
      </c>
      <c r="E738" s="49" t="s">
        <v>461</v>
      </c>
      <c r="F738" s="87">
        <f>IFERROR(__xludf.DUMMYFUNCTION("VALUE(REGEXEXTRACT(A738,""([^.]+)$""))"),1.0)</f>
        <v>1</v>
      </c>
      <c r="G738" s="49">
        <v>20.0</v>
      </c>
      <c r="H738" s="26" t="b">
        <f>COUNTIFS(
 tblCostChecklist[RequirementID],A738,
 tblCostChecklist[PlayerPaid],TRUE
)&gt;0</f>
        <v>0</v>
      </c>
      <c r="I738" s="49">
        <f t="shared" si="1"/>
        <v>6</v>
      </c>
      <c r="J738" s="49">
        <f t="shared" si="2"/>
        <v>0</v>
      </c>
      <c r="K738" s="49">
        <f t="shared" si="3"/>
        <v>6</v>
      </c>
      <c r="L738" s="49" t="b">
        <f t="shared" si="4"/>
        <v>0</v>
      </c>
      <c r="M738" s="88">
        <f t="shared" si="5"/>
        <v>0</v>
      </c>
    </row>
    <row r="739" ht="14.25" customHeight="1">
      <c r="A739" s="49" t="s">
        <v>3041</v>
      </c>
      <c r="B739" s="49" t="str">
        <f>IFERROR(__xludf.DUMMYFUNCTION("REGEXEXTRACT(A739,""^cost\.(.*)\.[^.]+\.[^.]+$"")"),"tech.bridge.salmon_farming")</f>
        <v>tech.bridge.salmon_farming</v>
      </c>
      <c r="C739" s="49" t="str">
        <f t="array" ref="C739">_xlfn.XLOOKUP(
 B739,
 tblTargets[TargetID],
 tblTargets[DisplayName],
 ""
)</f>
        <v>Bridge - Salmon Farming</v>
      </c>
      <c r="D739" s="49" t="str">
        <f t="array" ref="D739">_xlfn.XLOOKUP(
 B739,
 tblTargets[TargetID],
 tblTargets[TargetType],
 ""
)</f>
        <v>TECH</v>
      </c>
      <c r="E739" s="49" t="s">
        <v>1055</v>
      </c>
      <c r="F739" s="87">
        <f>IFERROR(__xludf.DUMMYFUNCTION("VALUE(REGEXEXTRACT(A739,""([^.]+)$""))"),1.0)</f>
        <v>1</v>
      </c>
      <c r="G739" s="49">
        <v>20.0</v>
      </c>
      <c r="H739" s="26" t="b">
        <f>COUNTIFS(
 tblCostChecklist[RequirementID],A739,
 tblCostChecklist[PlayerPaid],TRUE
)&gt;0</f>
        <v>0</v>
      </c>
      <c r="I739" s="49">
        <f t="shared" si="1"/>
        <v>7</v>
      </c>
      <c r="J739" s="49">
        <f t="shared" si="2"/>
        <v>0</v>
      </c>
      <c r="K739" s="49">
        <f t="shared" si="3"/>
        <v>7</v>
      </c>
      <c r="L739" s="49" t="b">
        <f t="shared" si="4"/>
        <v>0</v>
      </c>
      <c r="M739" s="88">
        <f t="shared" si="5"/>
        <v>0</v>
      </c>
    </row>
    <row r="740" ht="14.25" customHeight="1">
      <c r="A740" s="49" t="s">
        <v>3044</v>
      </c>
      <c r="B740" s="49" t="str">
        <f>IFERROR(__xludf.DUMMYFUNCTION("REGEXEXTRACT(A740,""^cost\.(.*)\.[^.]+\.[^.]+$"")"),"tech.bridge.salmon_farming")</f>
        <v>tech.bridge.salmon_farming</v>
      </c>
      <c r="C740" s="49" t="str">
        <f t="array" ref="C740">_xlfn.XLOOKUP(
 B740,
 tblTargets[TargetID],
 tblTargets[DisplayName],
 ""
)</f>
        <v>Bridge - Salmon Farming</v>
      </c>
      <c r="D740" s="49" t="str">
        <f t="array" ref="D740">_xlfn.XLOOKUP(
 B740,
 tblTargets[TargetID],
 tblTargets[TargetType],
 ""
)</f>
        <v>TECH</v>
      </c>
      <c r="E740" s="49" t="s">
        <v>2709</v>
      </c>
      <c r="F740" s="87">
        <f>IFERROR(__xludf.DUMMYFUNCTION("VALUE(REGEXEXTRACT(A740,""([^.]+)$""))"),1.0)</f>
        <v>1</v>
      </c>
      <c r="G740" s="49">
        <v>40.0</v>
      </c>
      <c r="H740" s="26" t="b">
        <f>COUNTIFS(
 tblCostChecklist[RequirementID],A740,
 tblCostChecklist[PlayerPaid],TRUE
)&gt;0</f>
        <v>0</v>
      </c>
      <c r="I740" s="49">
        <f t="shared" si="1"/>
        <v>7</v>
      </c>
      <c r="J740" s="49">
        <f t="shared" si="2"/>
        <v>0</v>
      </c>
      <c r="K740" s="49">
        <f t="shared" si="3"/>
        <v>7</v>
      </c>
      <c r="L740" s="49" t="b">
        <f t="shared" si="4"/>
        <v>0</v>
      </c>
      <c r="M740" s="88">
        <f t="shared" si="5"/>
        <v>0</v>
      </c>
    </row>
    <row r="741" ht="14.25" customHeight="1">
      <c r="A741" s="49" t="s">
        <v>3046</v>
      </c>
      <c r="B741" s="49" t="str">
        <f>IFERROR(__xludf.DUMMYFUNCTION("REGEXEXTRACT(A741,""^cost\.(.*)\.[^.]+\.[^.]+$"")"),"tech.bridge.salmon_farming")</f>
        <v>tech.bridge.salmon_farming</v>
      </c>
      <c r="C741" s="49" t="str">
        <f t="array" ref="C741">_xlfn.XLOOKUP(
 B741,
 tblTargets[TargetID],
 tblTargets[DisplayName],
 ""
)</f>
        <v>Bridge - Salmon Farming</v>
      </c>
      <c r="D741" s="49" t="str">
        <f t="array" ref="D741">_xlfn.XLOOKUP(
 B741,
 tblTargets[TargetID],
 tblTargets[TargetType],
 ""
)</f>
        <v>TECH</v>
      </c>
      <c r="E741" s="49" t="s">
        <v>360</v>
      </c>
      <c r="F741" s="87">
        <f>IFERROR(__xludf.DUMMYFUNCTION("VALUE(REGEXEXTRACT(A741,""([^.]+)$""))"),1.0)</f>
        <v>1</v>
      </c>
      <c r="G741" s="49">
        <v>20.0</v>
      </c>
      <c r="H741" s="26" t="b">
        <f>COUNTIFS(
 tblCostChecklist[RequirementID],A741,
 tblCostChecklist[PlayerPaid],TRUE
)&gt;0</f>
        <v>0</v>
      </c>
      <c r="I741" s="49">
        <f t="shared" si="1"/>
        <v>7</v>
      </c>
      <c r="J741" s="49">
        <f t="shared" si="2"/>
        <v>0</v>
      </c>
      <c r="K741" s="49">
        <f t="shared" si="3"/>
        <v>7</v>
      </c>
      <c r="L741" s="49" t="b">
        <f t="shared" si="4"/>
        <v>0</v>
      </c>
      <c r="M741" s="88">
        <f t="shared" si="5"/>
        <v>0</v>
      </c>
    </row>
    <row r="742" ht="14.25" customHeight="1">
      <c r="A742" s="49" t="s">
        <v>3047</v>
      </c>
      <c r="B742" s="49" t="str">
        <f>IFERROR(__xludf.DUMMYFUNCTION("REGEXEXTRACT(A742,""^cost\.(.*)\.[^.]+\.[^.]+$"")"),"tech.bridge.salmon_farming")</f>
        <v>tech.bridge.salmon_farming</v>
      </c>
      <c r="C742" s="49" t="str">
        <f t="array" ref="C742">_xlfn.XLOOKUP(
 B742,
 tblTargets[TargetID],
 tblTargets[DisplayName],
 ""
)</f>
        <v>Bridge - Salmon Farming</v>
      </c>
      <c r="D742" s="49" t="str">
        <f t="array" ref="D742">_xlfn.XLOOKUP(
 B742,
 tblTargets[TargetID],
 tblTargets[TargetType],
 ""
)</f>
        <v>TECH</v>
      </c>
      <c r="E742" s="49" t="s">
        <v>3049</v>
      </c>
      <c r="F742" s="87">
        <f>IFERROR(__xludf.DUMMYFUNCTION("VALUE(REGEXEXTRACT(A742,""([^.]+)$""))"),1.0)</f>
        <v>1</v>
      </c>
      <c r="G742" s="49">
        <v>10.0</v>
      </c>
      <c r="H742" s="26" t="b">
        <f>COUNTIFS(
 tblCostChecklist[RequirementID],A742,
 tblCostChecklist[PlayerPaid],TRUE
)&gt;0</f>
        <v>0</v>
      </c>
      <c r="I742" s="49">
        <f t="shared" si="1"/>
        <v>7</v>
      </c>
      <c r="J742" s="49">
        <f t="shared" si="2"/>
        <v>0</v>
      </c>
      <c r="K742" s="49">
        <f t="shared" si="3"/>
        <v>7</v>
      </c>
      <c r="L742" s="49" t="b">
        <f t="shared" si="4"/>
        <v>0</v>
      </c>
      <c r="M742" s="88">
        <f t="shared" si="5"/>
        <v>0</v>
      </c>
    </row>
    <row r="743" ht="14.25" customHeight="1">
      <c r="A743" s="49" t="s">
        <v>3050</v>
      </c>
      <c r="B743" s="49" t="str">
        <f>IFERROR(__xludf.DUMMYFUNCTION("REGEXEXTRACT(A743,""^cost\.(.*)\.[^.]+\.[^.]+$"")"),"tech.bridge.salmon_farming")</f>
        <v>tech.bridge.salmon_farming</v>
      </c>
      <c r="C743" s="49" t="str">
        <f t="array" ref="C743">_xlfn.XLOOKUP(
 B743,
 tblTargets[TargetID],
 tblTargets[DisplayName],
 ""
)</f>
        <v>Bridge - Salmon Farming</v>
      </c>
      <c r="D743" s="49" t="str">
        <f t="array" ref="D743">_xlfn.XLOOKUP(
 B743,
 tblTargets[TargetID],
 tblTargets[TargetType],
 ""
)</f>
        <v>TECH</v>
      </c>
      <c r="E743" s="49" t="s">
        <v>6</v>
      </c>
      <c r="F743" s="87">
        <f>IFERROR(__xludf.DUMMYFUNCTION("VALUE(REGEXEXTRACT(A743,""([^.]+)$""))"),1.0)</f>
        <v>1</v>
      </c>
      <c r="G743" s="49">
        <v>15.0</v>
      </c>
      <c r="H743" s="26" t="b">
        <f>COUNTIFS(
 tblCostChecklist[RequirementID],A743,
 tblCostChecklist[PlayerPaid],TRUE
)&gt;0</f>
        <v>0</v>
      </c>
      <c r="I743" s="49">
        <f t="shared" si="1"/>
        <v>7</v>
      </c>
      <c r="J743" s="49">
        <f t="shared" si="2"/>
        <v>0</v>
      </c>
      <c r="K743" s="49">
        <f t="shared" si="3"/>
        <v>7</v>
      </c>
      <c r="L743" s="49" t="b">
        <f t="shared" si="4"/>
        <v>0</v>
      </c>
      <c r="M743" s="88">
        <f t="shared" si="5"/>
        <v>0</v>
      </c>
    </row>
    <row r="744" ht="14.25" customHeight="1">
      <c r="A744" s="49" t="s">
        <v>3052</v>
      </c>
      <c r="B744" s="49" t="str">
        <f>IFERROR(__xludf.DUMMYFUNCTION("REGEXEXTRACT(A744,""^cost\.(.*)\.[^.]+\.[^.]+$"")"),"tech.bridge.salmon_farming")</f>
        <v>tech.bridge.salmon_farming</v>
      </c>
      <c r="C744" s="49" t="str">
        <f t="array" ref="C744">_xlfn.XLOOKUP(
 B744,
 tblTargets[TargetID],
 tblTargets[DisplayName],
 ""
)</f>
        <v>Bridge - Salmon Farming</v>
      </c>
      <c r="D744" s="49" t="str">
        <f t="array" ref="D744">_xlfn.XLOOKUP(
 B744,
 tblTargets[TargetID],
 tblTargets[TargetType],
 ""
)</f>
        <v>TECH</v>
      </c>
      <c r="E744" s="49" t="s">
        <v>2714</v>
      </c>
      <c r="F744" s="87">
        <f>IFERROR(__xludf.DUMMYFUNCTION("VALUE(REGEXEXTRACT(A744,""([^.]+)$""))"),1.0)</f>
        <v>1</v>
      </c>
      <c r="G744" s="49">
        <v>20.0</v>
      </c>
      <c r="H744" s="26" t="b">
        <f>COUNTIFS(
 tblCostChecklist[RequirementID],A744,
 tblCostChecklist[PlayerPaid],TRUE
)&gt;0</f>
        <v>0</v>
      </c>
      <c r="I744" s="49">
        <f t="shared" si="1"/>
        <v>7</v>
      </c>
      <c r="J744" s="49">
        <f t="shared" si="2"/>
        <v>0</v>
      </c>
      <c r="K744" s="49">
        <f t="shared" si="3"/>
        <v>7</v>
      </c>
      <c r="L744" s="49" t="b">
        <f t="shared" si="4"/>
        <v>0</v>
      </c>
      <c r="M744" s="88">
        <f t="shared" si="5"/>
        <v>0</v>
      </c>
    </row>
    <row r="745" ht="14.25" customHeight="1">
      <c r="A745" s="49" t="s">
        <v>3054</v>
      </c>
      <c r="B745" s="49" t="str">
        <f>IFERROR(__xludf.DUMMYFUNCTION("REGEXEXTRACT(A745,""^cost\.(.*)\.[^.]+\.[^.]+$"")"),"tech.bridge.salmon_farming")</f>
        <v>tech.bridge.salmon_farming</v>
      </c>
      <c r="C745" s="49" t="str">
        <f t="array" ref="C745">_xlfn.XLOOKUP(
 B745,
 tblTargets[TargetID],
 tblTargets[DisplayName],
 ""
)</f>
        <v>Bridge - Salmon Farming</v>
      </c>
      <c r="D745" s="49" t="str">
        <f t="array" ref="D745">_xlfn.XLOOKUP(
 B745,
 tblTargets[TargetID],
 tblTargets[TargetType],
 ""
)</f>
        <v>TECH</v>
      </c>
      <c r="E745" s="49" t="s">
        <v>237</v>
      </c>
      <c r="F745" s="87">
        <f>IFERROR(__xludf.DUMMYFUNCTION("VALUE(REGEXEXTRACT(A745,""([^.]+)$""))"),1.0)</f>
        <v>1</v>
      </c>
      <c r="G745" s="49">
        <v>400.0</v>
      </c>
      <c r="H745" s="26" t="b">
        <f>COUNTIFS(
 tblCostChecklist[RequirementID],A745,
 tblCostChecklist[PlayerPaid],TRUE
)&gt;0</f>
        <v>0</v>
      </c>
      <c r="I745" s="49">
        <f t="shared" si="1"/>
        <v>7</v>
      </c>
      <c r="J745" s="49">
        <f t="shared" si="2"/>
        <v>0</v>
      </c>
      <c r="K745" s="49">
        <f t="shared" si="3"/>
        <v>7</v>
      </c>
      <c r="L745" s="49" t="b">
        <f t="shared" si="4"/>
        <v>0</v>
      </c>
      <c r="M745" s="88">
        <f t="shared" si="5"/>
        <v>0</v>
      </c>
    </row>
    <row r="746" ht="14.25" customHeight="1">
      <c r="A746" s="49" t="s">
        <v>3056</v>
      </c>
      <c r="B746" s="49" t="str">
        <f>IFERROR(__xludf.DUMMYFUNCTION("REGEXEXTRACT(A746,""^cost\.(.*)\.[^.]+\.[^.]+$"")"),"tech.dairy.classical_music_for_the_farm")</f>
        <v>tech.dairy.classical_music_for_the_farm</v>
      </c>
      <c r="C746" s="49" t="str">
        <f t="array" ref="C746">_xlfn.XLOOKUP(
 B746,
 tblTargets[TargetID],
 tblTargets[DisplayName],
 ""
)</f>
        <v>Dairy - Classical Music For The Farm</v>
      </c>
      <c r="D746" s="49" t="str">
        <f t="array" ref="D746">_xlfn.XLOOKUP(
 B746,
 tblTargets[TargetID],
 tblTargets[TargetType],
 ""
)</f>
        <v>TECH</v>
      </c>
      <c r="E746" s="49" t="s">
        <v>1055</v>
      </c>
      <c r="F746" s="87">
        <f>IFERROR(__xludf.DUMMYFUNCTION("VALUE(REGEXEXTRACT(A746,""([^.]+)$""))"),1.0)</f>
        <v>1</v>
      </c>
      <c r="G746" s="49">
        <v>20.0</v>
      </c>
      <c r="H746" s="26" t="b">
        <f>COUNTIFS(
 tblCostChecklist[RequirementID],A746,
 tblCostChecklist[PlayerPaid],TRUE
)&gt;0</f>
        <v>0</v>
      </c>
      <c r="I746" s="49">
        <f t="shared" si="1"/>
        <v>8</v>
      </c>
      <c r="J746" s="49">
        <f t="shared" si="2"/>
        <v>0</v>
      </c>
      <c r="K746" s="49">
        <f t="shared" si="3"/>
        <v>8</v>
      </c>
      <c r="L746" s="49" t="b">
        <f t="shared" si="4"/>
        <v>0</v>
      </c>
      <c r="M746" s="88">
        <f t="shared" si="5"/>
        <v>0</v>
      </c>
    </row>
    <row r="747" ht="14.25" customHeight="1">
      <c r="A747" s="49" t="s">
        <v>3058</v>
      </c>
      <c r="B747" s="49" t="str">
        <f>IFERROR(__xludf.DUMMYFUNCTION("REGEXEXTRACT(A747,""^cost\.(.*)\.[^.]+\.[^.]+$"")"),"tech.dairy.classical_music_for_the_farm")</f>
        <v>tech.dairy.classical_music_for_the_farm</v>
      </c>
      <c r="C747" s="49" t="str">
        <f t="array" ref="C747">_xlfn.XLOOKUP(
 B747,
 tblTargets[TargetID],
 tblTargets[DisplayName],
 ""
)</f>
        <v>Dairy - Classical Music For The Farm</v>
      </c>
      <c r="D747" s="49" t="str">
        <f t="array" ref="D747">_xlfn.XLOOKUP(
 B747,
 tblTargets[TargetID],
 tblTargets[TargetType],
 ""
)</f>
        <v>TECH</v>
      </c>
      <c r="E747" s="49" t="s">
        <v>119</v>
      </c>
      <c r="F747" s="87">
        <f>IFERROR(__xludf.DUMMYFUNCTION("VALUE(REGEXEXTRACT(A747,""([^.]+)$""))"),1.0)</f>
        <v>1</v>
      </c>
      <c r="G747" s="49">
        <v>500.0</v>
      </c>
      <c r="H747" s="26" t="b">
        <f>COUNTIFS(
 tblCostChecklist[RequirementID],A747,
 tblCostChecklist[PlayerPaid],TRUE
)&gt;0</f>
        <v>0</v>
      </c>
      <c r="I747" s="49">
        <f t="shared" si="1"/>
        <v>8</v>
      </c>
      <c r="J747" s="49">
        <f t="shared" si="2"/>
        <v>0</v>
      </c>
      <c r="K747" s="49">
        <f t="shared" si="3"/>
        <v>8</v>
      </c>
      <c r="L747" s="49" t="b">
        <f t="shared" si="4"/>
        <v>0</v>
      </c>
      <c r="M747" s="88">
        <f t="shared" si="5"/>
        <v>0</v>
      </c>
    </row>
    <row r="748" ht="14.25" customHeight="1">
      <c r="A748" s="49" t="s">
        <v>3060</v>
      </c>
      <c r="B748" s="49" t="str">
        <f>IFERROR(__xludf.DUMMYFUNCTION("REGEXEXTRACT(A748,""^cost\.(.*)\.[^.]+\.[^.]+$"")"),"tech.dairy.classical_music_for_the_farm")</f>
        <v>tech.dairy.classical_music_for_the_farm</v>
      </c>
      <c r="C748" s="49" t="str">
        <f t="array" ref="C748">_xlfn.XLOOKUP(
 B748,
 tblTargets[TargetID],
 tblTargets[DisplayName],
 ""
)</f>
        <v>Dairy - Classical Music For The Farm</v>
      </c>
      <c r="D748" s="49" t="str">
        <f t="array" ref="D748">_xlfn.XLOOKUP(
 B748,
 tblTargets[TargetID],
 tblTargets[TargetType],
 ""
)</f>
        <v>TECH</v>
      </c>
      <c r="E748" s="49" t="s">
        <v>360</v>
      </c>
      <c r="F748" s="87">
        <f>IFERROR(__xludf.DUMMYFUNCTION("VALUE(REGEXEXTRACT(A748,""([^.]+)$""))"),1.0)</f>
        <v>1</v>
      </c>
      <c r="G748" s="49">
        <v>20.0</v>
      </c>
      <c r="H748" s="26" t="b">
        <f>COUNTIFS(
 tblCostChecklist[RequirementID],A748,
 tblCostChecklist[PlayerPaid],TRUE
)&gt;0</f>
        <v>0</v>
      </c>
      <c r="I748" s="49">
        <f t="shared" si="1"/>
        <v>8</v>
      </c>
      <c r="J748" s="49">
        <f t="shared" si="2"/>
        <v>0</v>
      </c>
      <c r="K748" s="49">
        <f t="shared" si="3"/>
        <v>8</v>
      </c>
      <c r="L748" s="49" t="b">
        <f t="shared" si="4"/>
        <v>0</v>
      </c>
      <c r="M748" s="88">
        <f t="shared" si="5"/>
        <v>0</v>
      </c>
    </row>
    <row r="749" ht="14.25" customHeight="1">
      <c r="A749" s="49" t="s">
        <v>3062</v>
      </c>
      <c r="B749" s="49" t="str">
        <f>IFERROR(__xludf.DUMMYFUNCTION("REGEXEXTRACT(A749,""^cost\.(.*)\.[^.]+\.[^.]+$"")"),"tech.dairy.classical_music_for_the_farm")</f>
        <v>tech.dairy.classical_music_for_the_farm</v>
      </c>
      <c r="C749" s="49" t="str">
        <f t="array" ref="C749">_xlfn.XLOOKUP(
 B749,
 tblTargets[TargetID],
 tblTargets[DisplayName],
 ""
)</f>
        <v>Dairy - Classical Music For The Farm</v>
      </c>
      <c r="D749" s="49" t="str">
        <f t="array" ref="D749">_xlfn.XLOOKUP(
 B749,
 tblTargets[TargetID],
 tblTargets[TargetType],
 ""
)</f>
        <v>TECH</v>
      </c>
      <c r="E749" s="49" t="s">
        <v>2545</v>
      </c>
      <c r="F749" s="87">
        <f>IFERROR(__xludf.DUMMYFUNCTION("VALUE(REGEXEXTRACT(A749,""([^.]+)$""))"),1.0)</f>
        <v>1</v>
      </c>
      <c r="G749" s="49">
        <v>4.0</v>
      </c>
      <c r="H749" s="26" t="b">
        <f>COUNTIFS(
 tblCostChecklist[RequirementID],A749,
 tblCostChecklist[PlayerPaid],TRUE
)&gt;0</f>
        <v>0</v>
      </c>
      <c r="I749" s="49">
        <f t="shared" si="1"/>
        <v>8</v>
      </c>
      <c r="J749" s="49">
        <f t="shared" si="2"/>
        <v>0</v>
      </c>
      <c r="K749" s="49">
        <f t="shared" si="3"/>
        <v>8</v>
      </c>
      <c r="L749" s="49" t="b">
        <f t="shared" si="4"/>
        <v>0</v>
      </c>
      <c r="M749" s="88">
        <f t="shared" si="5"/>
        <v>0</v>
      </c>
    </row>
    <row r="750" ht="14.25" customHeight="1">
      <c r="A750" s="49" t="s">
        <v>3064</v>
      </c>
      <c r="B750" s="49" t="str">
        <f>IFERROR(__xludf.DUMMYFUNCTION("REGEXEXTRACT(A750,""^cost\.(.*)\.[^.]+\.[^.]+$"")"),"tech.dairy.classical_music_for_the_farm")</f>
        <v>tech.dairy.classical_music_for_the_farm</v>
      </c>
      <c r="C750" s="49" t="str">
        <f t="array" ref="C750">_xlfn.XLOOKUP(
 B750,
 tblTargets[TargetID],
 tblTargets[DisplayName],
 ""
)</f>
        <v>Dairy - Classical Music For The Farm</v>
      </c>
      <c r="D750" s="49" t="str">
        <f t="array" ref="D750">_xlfn.XLOOKUP(
 B750,
 tblTargets[TargetID],
 tblTargets[TargetType],
 ""
)</f>
        <v>TECH</v>
      </c>
      <c r="E750" s="49" t="s">
        <v>1078</v>
      </c>
      <c r="F750" s="87">
        <f>IFERROR(__xludf.DUMMYFUNCTION("VALUE(REGEXEXTRACT(A750,""([^.]+)$""))"),1.0)</f>
        <v>1</v>
      </c>
      <c r="G750" s="49">
        <v>15.0</v>
      </c>
      <c r="H750" s="26" t="b">
        <f>COUNTIFS(
 tblCostChecklist[RequirementID],A750,
 tblCostChecklist[PlayerPaid],TRUE
)&gt;0</f>
        <v>0</v>
      </c>
      <c r="I750" s="49">
        <f t="shared" si="1"/>
        <v>8</v>
      </c>
      <c r="J750" s="49">
        <f t="shared" si="2"/>
        <v>0</v>
      </c>
      <c r="K750" s="49">
        <f t="shared" si="3"/>
        <v>8</v>
      </c>
      <c r="L750" s="49" t="b">
        <f t="shared" si="4"/>
        <v>0</v>
      </c>
      <c r="M750" s="88">
        <f t="shared" si="5"/>
        <v>0</v>
      </c>
    </row>
    <row r="751" ht="14.25" customHeight="1">
      <c r="A751" s="49" t="s">
        <v>3066</v>
      </c>
      <c r="B751" s="49" t="str">
        <f>IFERROR(__xludf.DUMMYFUNCTION("REGEXEXTRACT(A751,""^cost\.(.*)\.[^.]+\.[^.]+$"")"),"tech.dairy.classical_music_for_the_farm")</f>
        <v>tech.dairy.classical_music_for_the_farm</v>
      </c>
      <c r="C751" s="49" t="str">
        <f t="array" ref="C751">_xlfn.XLOOKUP(
 B751,
 tblTargets[TargetID],
 tblTargets[DisplayName],
 ""
)</f>
        <v>Dairy - Classical Music For The Farm</v>
      </c>
      <c r="D751" s="49" t="str">
        <f t="array" ref="D751">_xlfn.XLOOKUP(
 B751,
 tblTargets[TargetID],
 tblTargets[TargetType],
 ""
)</f>
        <v>TECH</v>
      </c>
      <c r="E751" s="49" t="s">
        <v>533</v>
      </c>
      <c r="F751" s="87">
        <f>IFERROR(__xludf.DUMMYFUNCTION("VALUE(REGEXEXTRACT(A751,""([^.]+)$""))"),1.0)</f>
        <v>1</v>
      </c>
      <c r="G751" s="49">
        <v>20.0</v>
      </c>
      <c r="H751" s="26" t="b">
        <f>COUNTIFS(
 tblCostChecklist[RequirementID],A751,
 tblCostChecklist[PlayerPaid],TRUE
)&gt;0</f>
        <v>0</v>
      </c>
      <c r="I751" s="49">
        <f t="shared" si="1"/>
        <v>8</v>
      </c>
      <c r="J751" s="49">
        <f t="shared" si="2"/>
        <v>0</v>
      </c>
      <c r="K751" s="49">
        <f t="shared" si="3"/>
        <v>8</v>
      </c>
      <c r="L751" s="49" t="b">
        <f t="shared" si="4"/>
        <v>0</v>
      </c>
      <c r="M751" s="88">
        <f t="shared" si="5"/>
        <v>0</v>
      </c>
    </row>
    <row r="752" ht="14.25" customHeight="1">
      <c r="A752" s="49" t="s">
        <v>3068</v>
      </c>
      <c r="B752" s="49" t="str">
        <f>IFERROR(__xludf.DUMMYFUNCTION("REGEXEXTRACT(A752,""^cost\.(.*)\.[^.]+\.[^.]+$"")"),"tech.dairy.classical_music_for_the_farm")</f>
        <v>tech.dairy.classical_music_for_the_farm</v>
      </c>
      <c r="C752" s="49" t="str">
        <f t="array" ref="C752">_xlfn.XLOOKUP(
 B752,
 tblTargets[TargetID],
 tblTargets[DisplayName],
 ""
)</f>
        <v>Dairy - Classical Music For The Farm</v>
      </c>
      <c r="D752" s="49" t="str">
        <f t="array" ref="D752">_xlfn.XLOOKUP(
 B752,
 tblTargets[TargetID],
 tblTargets[TargetType],
 ""
)</f>
        <v>TECH</v>
      </c>
      <c r="E752" s="49" t="s">
        <v>1282</v>
      </c>
      <c r="F752" s="87">
        <f>IFERROR(__xludf.DUMMYFUNCTION("VALUE(REGEXEXTRACT(A752,""([^.]+)$""))"),1.0)</f>
        <v>1</v>
      </c>
      <c r="G752" s="49">
        <v>20.0</v>
      </c>
      <c r="H752" s="26" t="b">
        <f>COUNTIFS(
 tblCostChecklist[RequirementID],A752,
 tblCostChecklist[PlayerPaid],TRUE
)&gt;0</f>
        <v>0</v>
      </c>
      <c r="I752" s="49">
        <f t="shared" si="1"/>
        <v>8</v>
      </c>
      <c r="J752" s="49">
        <f t="shared" si="2"/>
        <v>0</v>
      </c>
      <c r="K752" s="49">
        <f t="shared" si="3"/>
        <v>8</v>
      </c>
      <c r="L752" s="49" t="b">
        <f t="shared" si="4"/>
        <v>0</v>
      </c>
      <c r="M752" s="88">
        <f t="shared" si="5"/>
        <v>0</v>
      </c>
    </row>
    <row r="753" ht="14.25" customHeight="1">
      <c r="A753" s="49" t="s">
        <v>3070</v>
      </c>
      <c r="B753" s="49" t="str">
        <f>IFERROR(__xludf.DUMMYFUNCTION("REGEXEXTRACT(A753,""^cost\.(.*)\.[^.]+\.[^.]+$"")"),"tech.dairy.classical_music_for_the_farm")</f>
        <v>tech.dairy.classical_music_for_the_farm</v>
      </c>
      <c r="C753" s="49" t="str">
        <f t="array" ref="C753">_xlfn.XLOOKUP(
 B753,
 tblTargets[TargetID],
 tblTargets[DisplayName],
 ""
)</f>
        <v>Dairy - Classical Music For The Farm</v>
      </c>
      <c r="D753" s="49" t="str">
        <f t="array" ref="D753">_xlfn.XLOOKUP(
 B753,
 tblTargets[TargetID],
 tblTargets[TargetType],
 ""
)</f>
        <v>TECH</v>
      </c>
      <c r="E753" s="49" t="s">
        <v>6</v>
      </c>
      <c r="F753" s="87">
        <f>IFERROR(__xludf.DUMMYFUNCTION("VALUE(REGEXEXTRACT(A753,""([^.]+)$""))"),1.0)</f>
        <v>1</v>
      </c>
      <c r="G753" s="49">
        <v>3.0</v>
      </c>
      <c r="H753" s="26" t="b">
        <f>COUNTIFS(
 tblCostChecklist[RequirementID],A753,
 tblCostChecklist[PlayerPaid],TRUE
)&gt;0</f>
        <v>0</v>
      </c>
      <c r="I753" s="49">
        <f t="shared" si="1"/>
        <v>8</v>
      </c>
      <c r="J753" s="49">
        <f t="shared" si="2"/>
        <v>0</v>
      </c>
      <c r="K753" s="49">
        <f t="shared" si="3"/>
        <v>8</v>
      </c>
      <c r="L753" s="49" t="b">
        <f t="shared" si="4"/>
        <v>0</v>
      </c>
      <c r="M753" s="88">
        <f t="shared" si="5"/>
        <v>0</v>
      </c>
    </row>
    <row r="754" ht="14.25" customHeight="1">
      <c r="A754" s="49" t="s">
        <v>3071</v>
      </c>
      <c r="B754" s="49" t="str">
        <f>IFERROR(__xludf.DUMMYFUNCTION("REGEXEXTRACT(A754,""^cost\.(.*)\.[^.]+\.[^.]+$"")"),"tech.dairy.big_data_farming")</f>
        <v>tech.dairy.big_data_farming</v>
      </c>
      <c r="C754" s="49" t="str">
        <f t="array" ref="C754">_xlfn.XLOOKUP(
 B754,
 tblTargets[TargetID],
 tblTargets[DisplayName],
 ""
)</f>
        <v>Dairy - Big Data Farming</v>
      </c>
      <c r="D754" s="49" t="str">
        <f t="array" ref="D754">_xlfn.XLOOKUP(
 B754,
 tblTargets[TargetID],
 tblTargets[TargetType],
 ""
)</f>
        <v>TECH</v>
      </c>
      <c r="E754" s="49" t="s">
        <v>1055</v>
      </c>
      <c r="F754" s="87">
        <f>IFERROR(__xludf.DUMMYFUNCTION("VALUE(REGEXEXTRACT(A754,""([^.]+)$""))"),1.0)</f>
        <v>1</v>
      </c>
      <c r="G754" s="49">
        <v>32.0</v>
      </c>
      <c r="H754" s="26" t="b">
        <f>COUNTIFS(
 tblCostChecklist[RequirementID],A754,
 tblCostChecklist[PlayerPaid],TRUE
)&gt;0</f>
        <v>0</v>
      </c>
      <c r="I754" s="49">
        <f t="shared" si="1"/>
        <v>9</v>
      </c>
      <c r="J754" s="49">
        <f t="shared" si="2"/>
        <v>0</v>
      </c>
      <c r="K754" s="49">
        <f t="shared" si="3"/>
        <v>9</v>
      </c>
      <c r="L754" s="49" t="b">
        <f t="shared" si="4"/>
        <v>0</v>
      </c>
      <c r="M754" s="88">
        <f t="shared" si="5"/>
        <v>0</v>
      </c>
    </row>
    <row r="755" ht="14.25" customHeight="1">
      <c r="A755" s="49" t="s">
        <v>3073</v>
      </c>
      <c r="B755" s="49" t="str">
        <f>IFERROR(__xludf.DUMMYFUNCTION("REGEXEXTRACT(A755,""^cost\.(.*)\.[^.]+\.[^.]+$"")"),"tech.dairy.big_data_farming")</f>
        <v>tech.dairy.big_data_farming</v>
      </c>
      <c r="C755" s="49" t="str">
        <f t="array" ref="C755">_xlfn.XLOOKUP(
 B755,
 tblTargets[TargetID],
 tblTargets[DisplayName],
 ""
)</f>
        <v>Dairy - Big Data Farming</v>
      </c>
      <c r="D755" s="49" t="str">
        <f t="array" ref="D755">_xlfn.XLOOKUP(
 B755,
 tblTargets[TargetID],
 tblTargets[TargetType],
 ""
)</f>
        <v>TECH</v>
      </c>
      <c r="E755" s="49" t="s">
        <v>119</v>
      </c>
      <c r="F755" s="87">
        <f>IFERROR(__xludf.DUMMYFUNCTION("VALUE(REGEXEXTRACT(A755,""([^.]+)$""))"),1.0)</f>
        <v>1</v>
      </c>
      <c r="G755" s="49">
        <v>1000.0</v>
      </c>
      <c r="H755" s="26" t="b">
        <f>COUNTIFS(
 tblCostChecklist[RequirementID],A755,
 tblCostChecklist[PlayerPaid],TRUE
)&gt;0</f>
        <v>0</v>
      </c>
      <c r="I755" s="49">
        <f t="shared" si="1"/>
        <v>9</v>
      </c>
      <c r="J755" s="49">
        <f t="shared" si="2"/>
        <v>0</v>
      </c>
      <c r="K755" s="49">
        <f t="shared" si="3"/>
        <v>9</v>
      </c>
      <c r="L755" s="49" t="b">
        <f t="shared" si="4"/>
        <v>0</v>
      </c>
      <c r="M755" s="88">
        <f t="shared" si="5"/>
        <v>0</v>
      </c>
    </row>
    <row r="756" ht="14.25" customHeight="1">
      <c r="A756" s="49" t="s">
        <v>3075</v>
      </c>
      <c r="B756" s="49" t="str">
        <f>IFERROR(__xludf.DUMMYFUNCTION("REGEXEXTRACT(A756,""^cost\.(.*)\.[^.]+\.[^.]+$"")"),"tech.dairy.big_data_farming")</f>
        <v>tech.dairy.big_data_farming</v>
      </c>
      <c r="C756" s="49" t="str">
        <f t="array" ref="C756">_xlfn.XLOOKUP(
 B756,
 tblTargets[TargetID],
 tblTargets[DisplayName],
 ""
)</f>
        <v>Dairy - Big Data Farming</v>
      </c>
      <c r="D756" s="49" t="str">
        <f t="array" ref="D756">_xlfn.XLOOKUP(
 B756,
 tblTargets[TargetID],
 tblTargets[TargetType],
 ""
)</f>
        <v>TECH</v>
      </c>
      <c r="E756" s="49" t="s">
        <v>1078</v>
      </c>
      <c r="F756" s="87">
        <f>IFERROR(__xludf.DUMMYFUNCTION("VALUE(REGEXEXTRACT(A756,""([^.]+)$""))"),1.0)</f>
        <v>1</v>
      </c>
      <c r="G756" s="49">
        <v>20.0</v>
      </c>
      <c r="H756" s="26" t="b">
        <f>COUNTIFS(
 tblCostChecklist[RequirementID],A756,
 tblCostChecklist[PlayerPaid],TRUE
)&gt;0</f>
        <v>0</v>
      </c>
      <c r="I756" s="49">
        <f t="shared" si="1"/>
        <v>9</v>
      </c>
      <c r="J756" s="49">
        <f t="shared" si="2"/>
        <v>0</v>
      </c>
      <c r="K756" s="49">
        <f t="shared" si="3"/>
        <v>9</v>
      </c>
      <c r="L756" s="49" t="b">
        <f t="shared" si="4"/>
        <v>0</v>
      </c>
      <c r="M756" s="88">
        <f t="shared" si="5"/>
        <v>0</v>
      </c>
    </row>
    <row r="757" ht="14.25" customHeight="1">
      <c r="A757" s="49" t="s">
        <v>3077</v>
      </c>
      <c r="B757" s="49" t="str">
        <f>IFERROR(__xludf.DUMMYFUNCTION("REGEXEXTRACT(A757,""^cost\.(.*)\.[^.]+\.[^.]+$"")"),"tech.dairy.big_data_farming")</f>
        <v>tech.dairy.big_data_farming</v>
      </c>
      <c r="C757" s="49" t="str">
        <f t="array" ref="C757">_xlfn.XLOOKUP(
 B757,
 tblTargets[TargetID],
 tblTargets[DisplayName],
 ""
)</f>
        <v>Dairy - Big Data Farming</v>
      </c>
      <c r="D757" s="49" t="str">
        <f t="array" ref="D757">_xlfn.XLOOKUP(
 B757,
 tblTargets[TargetID],
 tblTargets[TargetType],
 ""
)</f>
        <v>TECH</v>
      </c>
      <c r="E757" s="49" t="s">
        <v>533</v>
      </c>
      <c r="F757" s="87">
        <f>IFERROR(__xludf.DUMMYFUNCTION("VALUE(REGEXEXTRACT(A757,""([^.]+)$""))"),1.0)</f>
        <v>1</v>
      </c>
      <c r="G757" s="49">
        <v>20.0</v>
      </c>
      <c r="H757" s="26" t="b">
        <f>COUNTIFS(
 tblCostChecklist[RequirementID],A757,
 tblCostChecklist[PlayerPaid],TRUE
)&gt;0</f>
        <v>0</v>
      </c>
      <c r="I757" s="49">
        <f t="shared" si="1"/>
        <v>9</v>
      </c>
      <c r="J757" s="49">
        <f t="shared" si="2"/>
        <v>0</v>
      </c>
      <c r="K757" s="49">
        <f t="shared" si="3"/>
        <v>9</v>
      </c>
      <c r="L757" s="49" t="b">
        <f t="shared" si="4"/>
        <v>0</v>
      </c>
      <c r="M757" s="88">
        <f t="shared" si="5"/>
        <v>0</v>
      </c>
    </row>
    <row r="758" ht="14.25" customHeight="1">
      <c r="A758" s="49" t="s">
        <v>3079</v>
      </c>
      <c r="B758" s="49" t="str">
        <f>IFERROR(__xludf.DUMMYFUNCTION("REGEXEXTRACT(A758,""^cost\.(.*)\.[^.]+\.[^.]+$"")"),"tech.dairy.big_data_farming")</f>
        <v>tech.dairy.big_data_farming</v>
      </c>
      <c r="C758" s="49" t="str">
        <f t="array" ref="C758">_xlfn.XLOOKUP(
 B758,
 tblTargets[TargetID],
 tblTargets[DisplayName],
 ""
)</f>
        <v>Dairy - Big Data Farming</v>
      </c>
      <c r="D758" s="49" t="str">
        <f t="array" ref="D758">_xlfn.XLOOKUP(
 B758,
 tblTargets[TargetID],
 tblTargets[TargetType],
 ""
)</f>
        <v>TECH</v>
      </c>
      <c r="E758" s="49" t="s">
        <v>423</v>
      </c>
      <c r="F758" s="87">
        <f>IFERROR(__xludf.DUMMYFUNCTION("VALUE(REGEXEXTRACT(A758,""([^.]+)$""))"),1.0)</f>
        <v>1</v>
      </c>
      <c r="G758" s="49">
        <v>40.0</v>
      </c>
      <c r="H758" s="26" t="b">
        <f>COUNTIFS(
 tblCostChecklist[RequirementID],A758,
 tblCostChecklist[PlayerPaid],TRUE
)&gt;0</f>
        <v>0</v>
      </c>
      <c r="I758" s="49">
        <f t="shared" si="1"/>
        <v>9</v>
      </c>
      <c r="J758" s="49">
        <f t="shared" si="2"/>
        <v>0</v>
      </c>
      <c r="K758" s="49">
        <f t="shared" si="3"/>
        <v>9</v>
      </c>
      <c r="L758" s="49" t="b">
        <f t="shared" si="4"/>
        <v>0</v>
      </c>
      <c r="M758" s="88">
        <f t="shared" si="5"/>
        <v>0</v>
      </c>
    </row>
    <row r="759" ht="14.25" customHeight="1">
      <c r="A759" s="49" t="s">
        <v>3081</v>
      </c>
      <c r="B759" s="49" t="str">
        <f>IFERROR(__xludf.DUMMYFUNCTION("REGEXEXTRACT(A759,""^cost\.(.*)\.[^.]+\.[^.]+$"")"),"tech.dairy.big_data_farming")</f>
        <v>tech.dairy.big_data_farming</v>
      </c>
      <c r="C759" s="49" t="str">
        <f t="array" ref="C759">_xlfn.XLOOKUP(
 B759,
 tblTargets[TargetID],
 tblTargets[DisplayName],
 ""
)</f>
        <v>Dairy - Big Data Farming</v>
      </c>
      <c r="D759" s="49" t="str">
        <f t="array" ref="D759">_xlfn.XLOOKUP(
 B759,
 tblTargets[TargetID],
 tblTargets[TargetType],
 ""
)</f>
        <v>TECH</v>
      </c>
      <c r="E759" s="49" t="s">
        <v>1282</v>
      </c>
      <c r="F759" s="87">
        <f>IFERROR(__xludf.DUMMYFUNCTION("VALUE(REGEXEXTRACT(A759,""([^.]+)$""))"),1.0)</f>
        <v>1</v>
      </c>
      <c r="G759" s="49">
        <v>20.0</v>
      </c>
      <c r="H759" s="26" t="b">
        <f>COUNTIFS(
 tblCostChecklist[RequirementID],A759,
 tblCostChecklist[PlayerPaid],TRUE
)&gt;0</f>
        <v>0</v>
      </c>
      <c r="I759" s="49">
        <f t="shared" si="1"/>
        <v>9</v>
      </c>
      <c r="J759" s="49">
        <f t="shared" si="2"/>
        <v>0</v>
      </c>
      <c r="K759" s="49">
        <f t="shared" si="3"/>
        <v>9</v>
      </c>
      <c r="L759" s="49" t="b">
        <f t="shared" si="4"/>
        <v>0</v>
      </c>
      <c r="M759" s="88">
        <f t="shared" si="5"/>
        <v>0</v>
      </c>
    </row>
    <row r="760" ht="14.25" customHeight="1">
      <c r="A760" s="49" t="s">
        <v>3083</v>
      </c>
      <c r="B760" s="49" t="str">
        <f>IFERROR(__xludf.DUMMYFUNCTION("REGEXEXTRACT(A760,""^cost\.(.*)\.[^.]+\.[^.]+$"")"),"tech.dairy.big_data_farming")</f>
        <v>tech.dairy.big_data_farming</v>
      </c>
      <c r="C760" s="49" t="str">
        <f t="array" ref="C760">_xlfn.XLOOKUP(
 B760,
 tblTargets[TargetID],
 tblTargets[DisplayName],
 ""
)</f>
        <v>Dairy - Big Data Farming</v>
      </c>
      <c r="D760" s="49" t="str">
        <f t="array" ref="D760">_xlfn.XLOOKUP(
 B760,
 tblTargets[TargetID],
 tblTargets[TargetType],
 ""
)</f>
        <v>TECH</v>
      </c>
      <c r="E760" s="49" t="s">
        <v>6</v>
      </c>
      <c r="F760" s="87">
        <f>IFERROR(__xludf.DUMMYFUNCTION("VALUE(REGEXEXTRACT(A760,""([^.]+)$""))"),1.0)</f>
        <v>1</v>
      </c>
      <c r="G760" s="49">
        <v>5.0</v>
      </c>
      <c r="H760" s="26" t="b">
        <f>COUNTIFS(
 tblCostChecklist[RequirementID],A760,
 tblCostChecklist[PlayerPaid],TRUE
)&gt;0</f>
        <v>0</v>
      </c>
      <c r="I760" s="49">
        <f t="shared" si="1"/>
        <v>9</v>
      </c>
      <c r="J760" s="49">
        <f t="shared" si="2"/>
        <v>0</v>
      </c>
      <c r="K760" s="49">
        <f t="shared" si="3"/>
        <v>9</v>
      </c>
      <c r="L760" s="49" t="b">
        <f t="shared" si="4"/>
        <v>0</v>
      </c>
      <c r="M760" s="88">
        <f t="shared" si="5"/>
        <v>0</v>
      </c>
    </row>
    <row r="761" ht="14.25" customHeight="1">
      <c r="A761" s="49" t="s">
        <v>3085</v>
      </c>
      <c r="B761" s="49" t="str">
        <f>IFERROR(__xludf.DUMMYFUNCTION("REGEXEXTRACT(A761,""^cost\.(.*)\.[^.]+\.[^.]+$"")"),"tech.dairy.big_data_farming")</f>
        <v>tech.dairy.big_data_farming</v>
      </c>
      <c r="C761" s="49" t="str">
        <f t="array" ref="C761">_xlfn.XLOOKUP(
 B761,
 tblTargets[TargetID],
 tblTargets[DisplayName],
 ""
)</f>
        <v>Dairy - Big Data Farming</v>
      </c>
      <c r="D761" s="49" t="str">
        <f t="array" ref="D761">_xlfn.XLOOKUP(
 B761,
 tblTargets[TargetID],
 tblTargets[TargetType],
 ""
)</f>
        <v>TECH</v>
      </c>
      <c r="E761" s="49" t="s">
        <v>2786</v>
      </c>
      <c r="F761" s="87">
        <f>IFERROR(__xludf.DUMMYFUNCTION("VALUE(REGEXEXTRACT(A761,""([^.]+)$""))"),1.0)</f>
        <v>1</v>
      </c>
      <c r="G761" s="49">
        <v>20.0</v>
      </c>
      <c r="H761" s="26" t="b">
        <f>COUNTIFS(
 tblCostChecklist[RequirementID],A761,
 tblCostChecklist[PlayerPaid],TRUE
)&gt;0</f>
        <v>0</v>
      </c>
      <c r="I761" s="49">
        <f t="shared" si="1"/>
        <v>9</v>
      </c>
      <c r="J761" s="49">
        <f t="shared" si="2"/>
        <v>0</v>
      </c>
      <c r="K761" s="49">
        <f t="shared" si="3"/>
        <v>9</v>
      </c>
      <c r="L761" s="49" t="b">
        <f t="shared" si="4"/>
        <v>0</v>
      </c>
      <c r="M761" s="88">
        <f t="shared" si="5"/>
        <v>0</v>
      </c>
    </row>
    <row r="762" ht="14.25" customHeight="1">
      <c r="A762" s="49" t="s">
        <v>3086</v>
      </c>
      <c r="B762" s="49" t="str">
        <f>IFERROR(__xludf.DUMMYFUNCTION("REGEXEXTRACT(A762,""^cost\.(.*)\.[^.]+\.[^.]+$"")"),"tech.dairy.big_data_farming")</f>
        <v>tech.dairy.big_data_farming</v>
      </c>
      <c r="C762" s="49" t="str">
        <f t="array" ref="C762">_xlfn.XLOOKUP(
 B762,
 tblTargets[TargetID],
 tblTargets[DisplayName],
 ""
)</f>
        <v>Dairy - Big Data Farming</v>
      </c>
      <c r="D762" s="49" t="str">
        <f t="array" ref="D762">_xlfn.XLOOKUP(
 B762,
 tblTargets[TargetID],
 tblTargets[TargetType],
 ""
)</f>
        <v>TECH</v>
      </c>
      <c r="E762" s="49" t="s">
        <v>2308</v>
      </c>
      <c r="F762" s="87">
        <f>IFERROR(__xludf.DUMMYFUNCTION("VALUE(REGEXEXTRACT(A762,""([^.]+)$""))"),1.0)</f>
        <v>1</v>
      </c>
      <c r="G762" s="49">
        <v>10.0</v>
      </c>
      <c r="H762" s="26" t="b">
        <f>COUNTIFS(
 tblCostChecklist[RequirementID],A762,
 tblCostChecklist[PlayerPaid],TRUE
)&gt;0</f>
        <v>0</v>
      </c>
      <c r="I762" s="49">
        <f t="shared" si="1"/>
        <v>9</v>
      </c>
      <c r="J762" s="49">
        <f t="shared" si="2"/>
        <v>0</v>
      </c>
      <c r="K762" s="49">
        <f t="shared" si="3"/>
        <v>9</v>
      </c>
      <c r="L762" s="49" t="b">
        <f t="shared" si="4"/>
        <v>0</v>
      </c>
      <c r="M762" s="88">
        <f t="shared" si="5"/>
        <v>0</v>
      </c>
    </row>
    <row r="763" ht="14.25" customHeight="1">
      <c r="A763" s="49" t="s">
        <v>3088</v>
      </c>
      <c r="B763" s="49" t="str">
        <f>IFERROR(__xludf.DUMMYFUNCTION("REGEXEXTRACT(A763,""^cost\.(.*)\.[^.]+\.[^.]+$"")"),"tech.dungeon.great_hall")</f>
        <v>tech.dungeon.great_hall</v>
      </c>
      <c r="C763" s="49" t="str">
        <f t="array" ref="C763">_xlfn.XLOOKUP(
 B763,
 tblTargets[TargetID],
 tblTargets[DisplayName],
 ""
)</f>
        <v>Dungeon - Great Hall</v>
      </c>
      <c r="D763" s="49" t="str">
        <f t="array" ref="D763">_xlfn.XLOOKUP(
 B763,
 tblTargets[TargetID],
 tblTargets[TargetType],
 ""
)</f>
        <v>TECH</v>
      </c>
      <c r="E763" s="49" t="s">
        <v>119</v>
      </c>
      <c r="F763" s="87">
        <f>IFERROR(__xludf.DUMMYFUNCTION("VALUE(REGEXEXTRACT(A763,""([^.]+)$""))"),1.0)</f>
        <v>1</v>
      </c>
      <c r="G763" s="49">
        <v>300.0</v>
      </c>
      <c r="H763" s="26" t="b">
        <f>COUNTIFS(
 tblCostChecklist[RequirementID],A763,
 tblCostChecklist[PlayerPaid],TRUE
)&gt;0</f>
        <v>0</v>
      </c>
      <c r="I763" s="49">
        <f t="shared" si="1"/>
        <v>5</v>
      </c>
      <c r="J763" s="49">
        <f t="shared" si="2"/>
        <v>0</v>
      </c>
      <c r="K763" s="49">
        <f t="shared" si="3"/>
        <v>5</v>
      </c>
      <c r="L763" s="49" t="b">
        <f t="shared" si="4"/>
        <v>0</v>
      </c>
      <c r="M763" s="88">
        <f t="shared" si="5"/>
        <v>0</v>
      </c>
    </row>
    <row r="764" ht="14.25" customHeight="1">
      <c r="A764" s="49" t="s">
        <v>3090</v>
      </c>
      <c r="B764" s="49" t="str">
        <f>IFERROR(__xludf.DUMMYFUNCTION("REGEXEXTRACT(A764,""^cost\.(.*)\.[^.]+\.[^.]+$"")"),"tech.dungeon.great_hall")</f>
        <v>tech.dungeon.great_hall</v>
      </c>
      <c r="C764" s="49" t="str">
        <f t="array" ref="C764">_xlfn.XLOOKUP(
 B764,
 tblTargets[TargetID],
 tblTargets[DisplayName],
 ""
)</f>
        <v>Dungeon - Great Hall</v>
      </c>
      <c r="D764" s="49" t="str">
        <f t="array" ref="D764">_xlfn.XLOOKUP(
 B764,
 tblTargets[TargetID],
 tblTargets[TargetType],
 ""
)</f>
        <v>TECH</v>
      </c>
      <c r="E764" s="49" t="s">
        <v>171</v>
      </c>
      <c r="F764" s="87">
        <f>IFERROR(__xludf.DUMMYFUNCTION("VALUE(REGEXEXTRACT(A764,""([^.]+)$""))"),1.0)</f>
        <v>1</v>
      </c>
      <c r="G764" s="49">
        <v>30.0</v>
      </c>
      <c r="H764" s="26" t="b">
        <f>COUNTIFS(
 tblCostChecklist[RequirementID],A764,
 tblCostChecklist[PlayerPaid],TRUE
)&gt;0</f>
        <v>0</v>
      </c>
      <c r="I764" s="49">
        <f t="shared" si="1"/>
        <v>5</v>
      </c>
      <c r="J764" s="49">
        <f t="shared" si="2"/>
        <v>0</v>
      </c>
      <c r="K764" s="49">
        <f t="shared" si="3"/>
        <v>5</v>
      </c>
      <c r="L764" s="49" t="b">
        <f t="shared" si="4"/>
        <v>0</v>
      </c>
      <c r="M764" s="88">
        <f t="shared" si="5"/>
        <v>0</v>
      </c>
    </row>
    <row r="765" ht="14.25" customHeight="1">
      <c r="A765" s="49" t="s">
        <v>3091</v>
      </c>
      <c r="B765" s="49" t="str">
        <f>IFERROR(__xludf.DUMMYFUNCTION("REGEXEXTRACT(A765,""^cost\.(.*)\.[^.]+\.[^.]+$"")"),"tech.dungeon.great_hall")</f>
        <v>tech.dungeon.great_hall</v>
      </c>
      <c r="C765" s="49" t="str">
        <f t="array" ref="C765">_xlfn.XLOOKUP(
 B765,
 tblTargets[TargetID],
 tblTargets[DisplayName],
 ""
)</f>
        <v>Dungeon - Great Hall</v>
      </c>
      <c r="D765" s="49" t="str">
        <f t="array" ref="D765">_xlfn.XLOOKUP(
 B765,
 tblTargets[TargetID],
 tblTargets[TargetType],
 ""
)</f>
        <v>TECH</v>
      </c>
      <c r="E765" s="49" t="s">
        <v>392</v>
      </c>
      <c r="F765" s="87">
        <f>IFERROR(__xludf.DUMMYFUNCTION("VALUE(REGEXEXTRACT(A765,""([^.]+)$""))"),1.0)</f>
        <v>1</v>
      </c>
      <c r="G765" s="49">
        <v>100.0</v>
      </c>
      <c r="H765" s="26" t="b">
        <f>COUNTIFS(
 tblCostChecklist[RequirementID],A765,
 tblCostChecklist[PlayerPaid],TRUE
)&gt;0</f>
        <v>0</v>
      </c>
      <c r="I765" s="49">
        <f t="shared" si="1"/>
        <v>5</v>
      </c>
      <c r="J765" s="49">
        <f t="shared" si="2"/>
        <v>0</v>
      </c>
      <c r="K765" s="49">
        <f t="shared" si="3"/>
        <v>5</v>
      </c>
      <c r="L765" s="49" t="b">
        <f t="shared" si="4"/>
        <v>0</v>
      </c>
      <c r="M765" s="88">
        <f t="shared" si="5"/>
        <v>0</v>
      </c>
    </row>
    <row r="766" ht="14.25" customHeight="1">
      <c r="A766" s="49" t="s">
        <v>3093</v>
      </c>
      <c r="B766" s="49" t="str">
        <f>IFERROR(__xludf.DUMMYFUNCTION("REGEXEXTRACT(A766,""^cost\.(.*)\.[^.]+\.[^.]+$"")"),"tech.dungeon.great_hall")</f>
        <v>tech.dungeon.great_hall</v>
      </c>
      <c r="C766" s="49" t="str">
        <f t="array" ref="C766">_xlfn.XLOOKUP(
 B766,
 tblTargets[TargetID],
 tblTargets[DisplayName],
 ""
)</f>
        <v>Dungeon - Great Hall</v>
      </c>
      <c r="D766" s="49" t="str">
        <f t="array" ref="D766">_xlfn.XLOOKUP(
 B766,
 tblTargets[TargetID],
 tblTargets[TargetType],
 ""
)</f>
        <v>TECH</v>
      </c>
      <c r="E766" s="49" t="s">
        <v>237</v>
      </c>
      <c r="F766" s="87">
        <f>IFERROR(__xludf.DUMMYFUNCTION("VALUE(REGEXEXTRACT(A766,""([^.]+)$""))"),1.0)</f>
        <v>1</v>
      </c>
      <c r="G766" s="49">
        <v>50.0</v>
      </c>
      <c r="H766" s="26" t="b">
        <f>COUNTIFS(
 tblCostChecklist[RequirementID],A766,
 tblCostChecklist[PlayerPaid],TRUE
)&gt;0</f>
        <v>0</v>
      </c>
      <c r="I766" s="49">
        <f t="shared" si="1"/>
        <v>5</v>
      </c>
      <c r="J766" s="49">
        <f t="shared" si="2"/>
        <v>0</v>
      </c>
      <c r="K766" s="49">
        <f t="shared" si="3"/>
        <v>5</v>
      </c>
      <c r="L766" s="49" t="b">
        <f t="shared" si="4"/>
        <v>0</v>
      </c>
      <c r="M766" s="88">
        <f t="shared" si="5"/>
        <v>0</v>
      </c>
    </row>
    <row r="767" ht="14.25" customHeight="1">
      <c r="A767" s="49" t="s">
        <v>3095</v>
      </c>
      <c r="B767" s="49" t="str">
        <f>IFERROR(__xludf.DUMMYFUNCTION("REGEXEXTRACT(A767,""^cost\.(.*)\.[^.]+\.[^.]+$"")"),"tech.dungeon.great_hall")</f>
        <v>tech.dungeon.great_hall</v>
      </c>
      <c r="C767" s="49" t="str">
        <f t="array" ref="C767">_xlfn.XLOOKUP(
 B767,
 tblTargets[TargetID],
 tblTargets[DisplayName],
 ""
)</f>
        <v>Dungeon - Great Hall</v>
      </c>
      <c r="D767" s="49" t="str">
        <f t="array" ref="D767">_xlfn.XLOOKUP(
 B767,
 tblTargets[TargetID],
 tblTargets[TargetType],
 ""
)</f>
        <v>TECH</v>
      </c>
      <c r="E767" s="49" t="s">
        <v>244</v>
      </c>
      <c r="F767" s="87">
        <f>IFERROR(__xludf.DUMMYFUNCTION("VALUE(REGEXEXTRACT(A767,""([^.]+)$""))"),1.0)</f>
        <v>1</v>
      </c>
      <c r="G767" s="49">
        <v>200.0</v>
      </c>
      <c r="H767" s="26" t="b">
        <f>COUNTIFS(
 tblCostChecklist[RequirementID],A767,
 tblCostChecklist[PlayerPaid],TRUE
)&gt;0</f>
        <v>0</v>
      </c>
      <c r="I767" s="49">
        <f t="shared" si="1"/>
        <v>5</v>
      </c>
      <c r="J767" s="49">
        <f t="shared" si="2"/>
        <v>0</v>
      </c>
      <c r="K767" s="49">
        <f t="shared" si="3"/>
        <v>5</v>
      </c>
      <c r="L767" s="49" t="b">
        <f t="shared" si="4"/>
        <v>0</v>
      </c>
      <c r="M767" s="88">
        <f t="shared" si="5"/>
        <v>0</v>
      </c>
    </row>
    <row r="768" ht="14.25" customHeight="1">
      <c r="A768" s="49" t="s">
        <v>3097</v>
      </c>
      <c r="B768" s="49" t="str">
        <f>IFERROR(__xludf.DUMMYFUNCTION("REGEXEXTRACT(A768,""^cost\.(.*)\.[^.]+\.[^.]+$"")"),"tech.fermentory.pasteurization")</f>
        <v>tech.fermentory.pasteurization</v>
      </c>
      <c r="C768" s="49" t="str">
        <f t="array" ref="C768">_xlfn.XLOOKUP(
 B768,
 tblTargets[TargetID],
 tblTargets[DisplayName],
 ""
)</f>
        <v>Fermentory - Pasteurization</v>
      </c>
      <c r="D768" s="49" t="str">
        <f t="array" ref="D768">_xlfn.XLOOKUP(
 B768,
 tblTargets[TargetID],
 tblTargets[TargetType],
 ""
)</f>
        <v>TECH</v>
      </c>
      <c r="E768" s="49" t="s">
        <v>3099</v>
      </c>
      <c r="F768" s="87">
        <f>IFERROR(__xludf.DUMMYFUNCTION("VALUE(REGEXEXTRACT(A768,""([^.]+)$""))"),1.0)</f>
        <v>1</v>
      </c>
      <c r="G768" s="49">
        <v>20.0</v>
      </c>
      <c r="H768" s="26" t="b">
        <f>COUNTIFS(
 tblCostChecklist[RequirementID],A768,
 tblCostChecklist[PlayerPaid],TRUE
)&gt;0</f>
        <v>0</v>
      </c>
      <c r="I768" s="49">
        <f t="shared" si="1"/>
        <v>8</v>
      </c>
      <c r="J768" s="49">
        <f t="shared" si="2"/>
        <v>0</v>
      </c>
      <c r="K768" s="49">
        <f t="shared" si="3"/>
        <v>8</v>
      </c>
      <c r="L768" s="49" t="b">
        <f t="shared" si="4"/>
        <v>0</v>
      </c>
      <c r="M768" s="88">
        <f t="shared" si="5"/>
        <v>0</v>
      </c>
    </row>
    <row r="769" ht="14.25" customHeight="1">
      <c r="A769" s="49" t="s">
        <v>3101</v>
      </c>
      <c r="B769" s="49" t="str">
        <f>IFERROR(__xludf.DUMMYFUNCTION("REGEXEXTRACT(A769,""^cost\.(.*)\.[^.]+\.[^.]+$"")"),"tech.fermentory.pasteurization")</f>
        <v>tech.fermentory.pasteurization</v>
      </c>
      <c r="C769" s="49" t="str">
        <f t="array" ref="C769">_xlfn.XLOOKUP(
 B769,
 tblTargets[TargetID],
 tblTargets[DisplayName],
 ""
)</f>
        <v>Fermentory - Pasteurization</v>
      </c>
      <c r="D769" s="49" t="str">
        <f t="array" ref="D769">_xlfn.XLOOKUP(
 B769,
 tblTargets[TargetID],
 tblTargets[TargetType],
 ""
)</f>
        <v>TECH</v>
      </c>
      <c r="E769" s="49" t="s">
        <v>1055</v>
      </c>
      <c r="F769" s="87">
        <f>IFERROR(__xludf.DUMMYFUNCTION("VALUE(REGEXEXTRACT(A769,""([^.]+)$""))"),1.0)</f>
        <v>1</v>
      </c>
      <c r="G769" s="49">
        <v>40.0</v>
      </c>
      <c r="H769" s="26" t="b">
        <f>COUNTIFS(
 tblCostChecklist[RequirementID],A769,
 tblCostChecklist[PlayerPaid],TRUE
)&gt;0</f>
        <v>0</v>
      </c>
      <c r="I769" s="49">
        <f t="shared" si="1"/>
        <v>8</v>
      </c>
      <c r="J769" s="49">
        <f t="shared" si="2"/>
        <v>0</v>
      </c>
      <c r="K769" s="49">
        <f t="shared" si="3"/>
        <v>8</v>
      </c>
      <c r="L769" s="49" t="b">
        <f t="shared" si="4"/>
        <v>0</v>
      </c>
      <c r="M769" s="88">
        <f t="shared" si="5"/>
        <v>0</v>
      </c>
    </row>
    <row r="770" ht="14.25" customHeight="1">
      <c r="A770" s="49" t="s">
        <v>3103</v>
      </c>
      <c r="B770" s="49" t="str">
        <f>IFERROR(__xludf.DUMMYFUNCTION("REGEXEXTRACT(A770,""^cost\.(.*)\.[^.]+\.[^.]+$"")"),"tech.fermentory.pasteurization")</f>
        <v>tech.fermentory.pasteurization</v>
      </c>
      <c r="C770" s="49" t="str">
        <f t="array" ref="C770">_xlfn.XLOOKUP(
 B770,
 tblTargets[TargetID],
 tblTargets[DisplayName],
 ""
)</f>
        <v>Fermentory - Pasteurization</v>
      </c>
      <c r="D770" s="49" t="str">
        <f t="array" ref="D770">_xlfn.XLOOKUP(
 B770,
 tblTargets[TargetID],
 tblTargets[TargetType],
 ""
)</f>
        <v>TECH</v>
      </c>
      <c r="E770" s="49" t="s">
        <v>2297</v>
      </c>
      <c r="F770" s="87">
        <f>IFERROR(__xludf.DUMMYFUNCTION("VALUE(REGEXEXTRACT(A770,""([^.]+)$""))"),1.0)</f>
        <v>1</v>
      </c>
      <c r="G770" s="49">
        <v>20.0</v>
      </c>
      <c r="H770" s="26" t="b">
        <f>COUNTIFS(
 tblCostChecklist[RequirementID],A770,
 tblCostChecklist[PlayerPaid],TRUE
)&gt;0</f>
        <v>0</v>
      </c>
      <c r="I770" s="49">
        <f t="shared" si="1"/>
        <v>8</v>
      </c>
      <c r="J770" s="49">
        <f t="shared" si="2"/>
        <v>0</v>
      </c>
      <c r="K770" s="49">
        <f t="shared" si="3"/>
        <v>8</v>
      </c>
      <c r="L770" s="49" t="b">
        <f t="shared" si="4"/>
        <v>0</v>
      </c>
      <c r="M770" s="88">
        <f t="shared" si="5"/>
        <v>0</v>
      </c>
    </row>
    <row r="771" ht="14.25" customHeight="1">
      <c r="A771" s="49" t="s">
        <v>3105</v>
      </c>
      <c r="B771" s="49" t="str">
        <f>IFERROR(__xludf.DUMMYFUNCTION("REGEXEXTRACT(A771,""^cost\.(.*)\.[^.]+\.[^.]+$"")"),"tech.fermentory.pasteurization")</f>
        <v>tech.fermentory.pasteurization</v>
      </c>
      <c r="C771" s="49" t="str">
        <f t="array" ref="C771">_xlfn.XLOOKUP(
 B771,
 tblTargets[TargetID],
 tblTargets[DisplayName],
 ""
)</f>
        <v>Fermentory - Pasteurization</v>
      </c>
      <c r="D771" s="49" t="str">
        <f t="array" ref="D771">_xlfn.XLOOKUP(
 B771,
 tblTargets[TargetID],
 tblTargets[TargetType],
 ""
)</f>
        <v>TECH</v>
      </c>
      <c r="E771" s="49" t="s">
        <v>119</v>
      </c>
      <c r="F771" s="87">
        <f>IFERROR(__xludf.DUMMYFUNCTION("VALUE(REGEXEXTRACT(A771,""([^.]+)$""))"),1.0)</f>
        <v>1</v>
      </c>
      <c r="G771" s="49">
        <v>1000.0</v>
      </c>
      <c r="H771" s="26" t="b">
        <f>COUNTIFS(
 tblCostChecklist[RequirementID],A771,
 tblCostChecklist[PlayerPaid],TRUE
)&gt;0</f>
        <v>0</v>
      </c>
      <c r="I771" s="49">
        <f t="shared" si="1"/>
        <v>8</v>
      </c>
      <c r="J771" s="49">
        <f t="shared" si="2"/>
        <v>0</v>
      </c>
      <c r="K771" s="49">
        <f t="shared" si="3"/>
        <v>8</v>
      </c>
      <c r="L771" s="49" t="b">
        <f t="shared" si="4"/>
        <v>0</v>
      </c>
      <c r="M771" s="88">
        <f t="shared" si="5"/>
        <v>0</v>
      </c>
    </row>
    <row r="772" ht="14.25" customHeight="1">
      <c r="A772" s="49" t="s">
        <v>3107</v>
      </c>
      <c r="B772" s="49" t="str">
        <f>IFERROR(__xludf.DUMMYFUNCTION("REGEXEXTRACT(A772,""^cost\.(.*)\.[^.]+\.[^.]+$"")"),"tech.fermentory.pasteurization")</f>
        <v>tech.fermentory.pasteurization</v>
      </c>
      <c r="C772" s="49" t="str">
        <f t="array" ref="C772">_xlfn.XLOOKUP(
 B772,
 tblTargets[TargetID],
 tblTargets[DisplayName],
 ""
)</f>
        <v>Fermentory - Pasteurization</v>
      </c>
      <c r="D772" s="49" t="str">
        <f t="array" ref="D772">_xlfn.XLOOKUP(
 B772,
 tblTargets[TargetID],
 tblTargets[TargetType],
 ""
)</f>
        <v>TECH</v>
      </c>
      <c r="E772" s="49" t="s">
        <v>527</v>
      </c>
      <c r="F772" s="87">
        <f>IFERROR(__xludf.DUMMYFUNCTION("VALUE(REGEXEXTRACT(A772,""([^.]+)$""))"),1.0)</f>
        <v>1</v>
      </c>
      <c r="G772" s="49">
        <v>10.0</v>
      </c>
      <c r="H772" s="26" t="b">
        <f>COUNTIFS(
 tblCostChecklist[RequirementID],A772,
 tblCostChecklist[PlayerPaid],TRUE
)&gt;0</f>
        <v>0</v>
      </c>
      <c r="I772" s="49">
        <f t="shared" si="1"/>
        <v>8</v>
      </c>
      <c r="J772" s="49">
        <f t="shared" si="2"/>
        <v>0</v>
      </c>
      <c r="K772" s="49">
        <f t="shared" si="3"/>
        <v>8</v>
      </c>
      <c r="L772" s="49" t="b">
        <f t="shared" si="4"/>
        <v>0</v>
      </c>
      <c r="M772" s="88">
        <f t="shared" si="5"/>
        <v>0</v>
      </c>
    </row>
    <row r="773" ht="14.25" customHeight="1">
      <c r="A773" s="49" t="s">
        <v>3109</v>
      </c>
      <c r="B773" s="49" t="str">
        <f>IFERROR(__xludf.DUMMYFUNCTION("REGEXEXTRACT(A773,""^cost\.(.*)\.[^.]+\.[^.]+$"")"),"tech.fermentory.pasteurization")</f>
        <v>tech.fermentory.pasteurization</v>
      </c>
      <c r="C773" s="49" t="str">
        <f t="array" ref="C773">_xlfn.XLOOKUP(
 B773,
 tblTargets[TargetID],
 tblTargets[DisplayName],
 ""
)</f>
        <v>Fermentory - Pasteurization</v>
      </c>
      <c r="D773" s="49" t="str">
        <f t="array" ref="D773">_xlfn.XLOOKUP(
 B773,
 tblTargets[TargetID],
 tblTargets[TargetType],
 ""
)</f>
        <v>TECH</v>
      </c>
      <c r="E773" s="49" t="s">
        <v>360</v>
      </c>
      <c r="F773" s="87">
        <f>IFERROR(__xludf.DUMMYFUNCTION("VALUE(REGEXEXTRACT(A773,""([^.]+)$""))"),1.0)</f>
        <v>1</v>
      </c>
      <c r="G773" s="49">
        <v>30.0</v>
      </c>
      <c r="H773" s="26" t="b">
        <f>COUNTIFS(
 tblCostChecklist[RequirementID],A773,
 tblCostChecklist[PlayerPaid],TRUE
)&gt;0</f>
        <v>0</v>
      </c>
      <c r="I773" s="49">
        <f t="shared" si="1"/>
        <v>8</v>
      </c>
      <c r="J773" s="49">
        <f t="shared" si="2"/>
        <v>0</v>
      </c>
      <c r="K773" s="49">
        <f t="shared" si="3"/>
        <v>8</v>
      </c>
      <c r="L773" s="49" t="b">
        <f t="shared" si="4"/>
        <v>0</v>
      </c>
      <c r="M773" s="88">
        <f t="shared" si="5"/>
        <v>0</v>
      </c>
    </row>
    <row r="774" ht="14.25" customHeight="1">
      <c r="A774" s="49" t="s">
        <v>3111</v>
      </c>
      <c r="B774" s="49" t="str">
        <f>IFERROR(__xludf.DUMMYFUNCTION("REGEXEXTRACT(A774,""^cost\.(.*)\.[^.]+\.[^.]+$"")"),"tech.fermentory.pasteurization")</f>
        <v>tech.fermentory.pasteurization</v>
      </c>
      <c r="C774" s="49" t="str">
        <f t="array" ref="C774">_xlfn.XLOOKUP(
 B774,
 tblTargets[TargetID],
 tblTargets[DisplayName],
 ""
)</f>
        <v>Fermentory - Pasteurization</v>
      </c>
      <c r="D774" s="49" t="str">
        <f t="array" ref="D774">_xlfn.XLOOKUP(
 B774,
 tblTargets[TargetID],
 tblTargets[TargetType],
 ""
)</f>
        <v>TECH</v>
      </c>
      <c r="E774" s="49" t="s">
        <v>6</v>
      </c>
      <c r="F774" s="87">
        <f>IFERROR(__xludf.DUMMYFUNCTION("VALUE(REGEXEXTRACT(A774,""([^.]+)$""))"),1.0)</f>
        <v>1</v>
      </c>
      <c r="G774" s="49">
        <v>10.0</v>
      </c>
      <c r="H774" s="26" t="b">
        <f>COUNTIFS(
 tblCostChecklist[RequirementID],A774,
 tblCostChecklist[PlayerPaid],TRUE
)&gt;0</f>
        <v>0</v>
      </c>
      <c r="I774" s="49">
        <f t="shared" si="1"/>
        <v>8</v>
      </c>
      <c r="J774" s="49">
        <f t="shared" si="2"/>
        <v>0</v>
      </c>
      <c r="K774" s="49">
        <f t="shared" si="3"/>
        <v>8</v>
      </c>
      <c r="L774" s="49" t="b">
        <f t="shared" si="4"/>
        <v>0</v>
      </c>
      <c r="M774" s="88">
        <f t="shared" si="5"/>
        <v>0</v>
      </c>
    </row>
    <row r="775" ht="14.25" customHeight="1">
      <c r="A775" s="49" t="s">
        <v>3113</v>
      </c>
      <c r="B775" s="49" t="str">
        <f>IFERROR(__xludf.DUMMYFUNCTION("REGEXEXTRACT(A775,""^cost\.(.*)\.[^.]+\.[^.]+$"")"),"tech.fermentory.pasteurization")</f>
        <v>tech.fermentory.pasteurization</v>
      </c>
      <c r="C775" s="49" t="str">
        <f t="array" ref="C775">_xlfn.XLOOKUP(
 B775,
 tblTargets[TargetID],
 tblTargets[DisplayName],
 ""
)</f>
        <v>Fermentory - Pasteurization</v>
      </c>
      <c r="D775" s="49" t="str">
        <f t="array" ref="D775">_xlfn.XLOOKUP(
 B775,
 tblTargets[TargetID],
 tblTargets[TargetType],
 ""
)</f>
        <v>TECH</v>
      </c>
      <c r="E775" s="49" t="s">
        <v>392</v>
      </c>
      <c r="F775" s="87">
        <f>IFERROR(__xludf.DUMMYFUNCTION("VALUE(REGEXEXTRACT(A775,""([^.]+)$""))"),1.0)</f>
        <v>1</v>
      </c>
      <c r="G775" s="49">
        <v>200.0</v>
      </c>
      <c r="H775" s="26" t="b">
        <f>COUNTIFS(
 tblCostChecklist[RequirementID],A775,
 tblCostChecklist[PlayerPaid],TRUE
)&gt;0</f>
        <v>0</v>
      </c>
      <c r="I775" s="49">
        <f t="shared" si="1"/>
        <v>8</v>
      </c>
      <c r="J775" s="49">
        <f t="shared" si="2"/>
        <v>0</v>
      </c>
      <c r="K775" s="49">
        <f t="shared" si="3"/>
        <v>8</v>
      </c>
      <c r="L775" s="49" t="b">
        <f t="shared" si="4"/>
        <v>0</v>
      </c>
      <c r="M775" s="88">
        <f t="shared" si="5"/>
        <v>0</v>
      </c>
    </row>
    <row r="776" ht="14.25" customHeight="1">
      <c r="A776" s="49" t="s">
        <v>3115</v>
      </c>
      <c r="B776" s="49" t="str">
        <f>IFERROR(__xludf.DUMMYFUNCTION("REGEXEXTRACT(A776,""^cost\.(.*)\.[^.]+\.[^.]+$"")"),"tech.field.seed_drill")</f>
        <v>tech.field.seed_drill</v>
      </c>
      <c r="C776" s="49" t="str">
        <f t="array" ref="C776">_xlfn.XLOOKUP(
 B776,
 tblTargets[TargetID],
 tblTargets[DisplayName],
 ""
)</f>
        <v>Field - Seed Drill</v>
      </c>
      <c r="D776" s="49" t="str">
        <f t="array" ref="D776">_xlfn.XLOOKUP(
 B776,
 tblTargets[TargetID],
 tblTargets[TargetType],
 ""
)</f>
        <v>TECH</v>
      </c>
      <c r="E776" s="49" t="s">
        <v>1055</v>
      </c>
      <c r="F776" s="87">
        <f>IFERROR(__xludf.DUMMYFUNCTION("VALUE(REGEXEXTRACT(A776,""([^.]+)$""))"),1.0)</f>
        <v>1</v>
      </c>
      <c r="G776" s="49">
        <v>10.0</v>
      </c>
      <c r="H776" s="26" t="b">
        <f>COUNTIFS(
 tblCostChecklist[RequirementID],A776,
 tblCostChecklist[PlayerPaid],TRUE
)&gt;0</f>
        <v>0</v>
      </c>
      <c r="I776" s="49">
        <f t="shared" si="1"/>
        <v>6</v>
      </c>
      <c r="J776" s="49">
        <f t="shared" si="2"/>
        <v>0</v>
      </c>
      <c r="K776" s="49">
        <f t="shared" si="3"/>
        <v>6</v>
      </c>
      <c r="L776" s="49" t="b">
        <f t="shared" si="4"/>
        <v>0</v>
      </c>
      <c r="M776" s="88">
        <f t="shared" si="5"/>
        <v>0</v>
      </c>
    </row>
    <row r="777" ht="14.25" customHeight="1">
      <c r="A777" s="49" t="s">
        <v>3117</v>
      </c>
      <c r="B777" s="49" t="str">
        <f>IFERROR(__xludf.DUMMYFUNCTION("REGEXEXTRACT(A777,""^cost\.(.*)\.[^.]+\.[^.]+$"")"),"tech.field.seed_drill")</f>
        <v>tech.field.seed_drill</v>
      </c>
      <c r="C777" s="49" t="str">
        <f t="array" ref="C777">_xlfn.XLOOKUP(
 B777,
 tblTargets[TargetID],
 tblTargets[DisplayName],
 ""
)</f>
        <v>Field - Seed Drill</v>
      </c>
      <c r="D777" s="49" t="str">
        <f t="array" ref="D777">_xlfn.XLOOKUP(
 B777,
 tblTargets[TargetID],
 tblTargets[TargetType],
 ""
)</f>
        <v>TECH</v>
      </c>
      <c r="E777" s="49" t="s">
        <v>119</v>
      </c>
      <c r="F777" s="87">
        <f>IFERROR(__xludf.DUMMYFUNCTION("VALUE(REGEXEXTRACT(A777,""([^.]+)$""))"),1.0)</f>
        <v>1</v>
      </c>
      <c r="G777" s="49">
        <v>400.0</v>
      </c>
      <c r="H777" s="26" t="b">
        <f>COUNTIFS(
 tblCostChecklist[RequirementID],A777,
 tblCostChecklist[PlayerPaid],TRUE
)&gt;0</f>
        <v>0</v>
      </c>
      <c r="I777" s="49">
        <f t="shared" si="1"/>
        <v>6</v>
      </c>
      <c r="J777" s="49">
        <f t="shared" si="2"/>
        <v>0</v>
      </c>
      <c r="K777" s="49">
        <f t="shared" si="3"/>
        <v>6</v>
      </c>
      <c r="L777" s="49" t="b">
        <f t="shared" si="4"/>
        <v>0</v>
      </c>
      <c r="M777" s="88">
        <f t="shared" si="5"/>
        <v>0</v>
      </c>
    </row>
    <row r="778" ht="14.25" customHeight="1">
      <c r="A778" s="49" t="s">
        <v>3119</v>
      </c>
      <c r="B778" s="49" t="str">
        <f>IFERROR(__xludf.DUMMYFUNCTION("REGEXEXTRACT(A778,""^cost\.(.*)\.[^.]+\.[^.]+$"")"),"tech.field.seed_drill")</f>
        <v>tech.field.seed_drill</v>
      </c>
      <c r="C778" s="49" t="str">
        <f t="array" ref="C778">_xlfn.XLOOKUP(
 B778,
 tblTargets[TargetID],
 tblTargets[DisplayName],
 ""
)</f>
        <v>Field - Seed Drill</v>
      </c>
      <c r="D778" s="49" t="str">
        <f t="array" ref="D778">_xlfn.XLOOKUP(
 B778,
 tblTargets[TargetID],
 tblTargets[TargetType],
 ""
)</f>
        <v>TECH</v>
      </c>
      <c r="E778" s="49" t="s">
        <v>2964</v>
      </c>
      <c r="F778" s="87">
        <f>IFERROR(__xludf.DUMMYFUNCTION("VALUE(REGEXEXTRACT(A778,""([^.]+)$""))"),1.0)</f>
        <v>1</v>
      </c>
      <c r="G778" s="49">
        <v>40.0</v>
      </c>
      <c r="H778" s="26" t="b">
        <f>COUNTIFS(
 tblCostChecklist[RequirementID],A778,
 tblCostChecklist[PlayerPaid],TRUE
)&gt;0</f>
        <v>0</v>
      </c>
      <c r="I778" s="49">
        <f t="shared" si="1"/>
        <v>6</v>
      </c>
      <c r="J778" s="49">
        <f t="shared" si="2"/>
        <v>0</v>
      </c>
      <c r="K778" s="49">
        <f t="shared" si="3"/>
        <v>6</v>
      </c>
      <c r="L778" s="49" t="b">
        <f t="shared" si="4"/>
        <v>0</v>
      </c>
      <c r="M778" s="88">
        <f t="shared" si="5"/>
        <v>0</v>
      </c>
    </row>
    <row r="779" ht="14.25" customHeight="1">
      <c r="A779" s="49" t="s">
        <v>3121</v>
      </c>
      <c r="B779" s="49" t="str">
        <f>IFERROR(__xludf.DUMMYFUNCTION("REGEXEXTRACT(A779,""^cost\.(.*)\.[^.]+\.[^.]+$"")"),"tech.field.seed_drill")</f>
        <v>tech.field.seed_drill</v>
      </c>
      <c r="C779" s="49" t="str">
        <f t="array" ref="C779">_xlfn.XLOOKUP(
 B779,
 tblTargets[TargetID],
 tblTargets[DisplayName],
 ""
)</f>
        <v>Field - Seed Drill</v>
      </c>
      <c r="D779" s="49" t="str">
        <f t="array" ref="D779">_xlfn.XLOOKUP(
 B779,
 tblTargets[TargetID],
 tblTargets[TargetType],
 ""
)</f>
        <v>TECH</v>
      </c>
      <c r="E779" s="49" t="s">
        <v>1078</v>
      </c>
      <c r="F779" s="87">
        <f>IFERROR(__xludf.DUMMYFUNCTION("VALUE(REGEXEXTRACT(A779,""([^.]+)$""))"),1.0)</f>
        <v>1</v>
      </c>
      <c r="G779" s="49">
        <v>10.0</v>
      </c>
      <c r="H779" s="26" t="b">
        <f>COUNTIFS(
 tblCostChecklist[RequirementID],A779,
 tblCostChecklist[PlayerPaid],TRUE
)&gt;0</f>
        <v>0</v>
      </c>
      <c r="I779" s="49">
        <f t="shared" si="1"/>
        <v>6</v>
      </c>
      <c r="J779" s="49">
        <f t="shared" si="2"/>
        <v>0</v>
      </c>
      <c r="K779" s="49">
        <f t="shared" si="3"/>
        <v>6</v>
      </c>
      <c r="L779" s="49" t="b">
        <f t="shared" si="4"/>
        <v>0</v>
      </c>
      <c r="M779" s="88">
        <f t="shared" si="5"/>
        <v>0</v>
      </c>
    </row>
    <row r="780" ht="14.25" customHeight="1">
      <c r="A780" s="49" t="s">
        <v>3123</v>
      </c>
      <c r="B780" s="49" t="str">
        <f>IFERROR(__xludf.DUMMYFUNCTION("REGEXEXTRACT(A780,""^cost\.(.*)\.[^.]+\.[^.]+$"")"),"tech.field.seed_drill")</f>
        <v>tech.field.seed_drill</v>
      </c>
      <c r="C780" s="49" t="str">
        <f t="array" ref="C780">_xlfn.XLOOKUP(
 B780,
 tblTargets[TargetID],
 tblTargets[DisplayName],
 ""
)</f>
        <v>Field - Seed Drill</v>
      </c>
      <c r="D780" s="49" t="str">
        <f t="array" ref="D780">_xlfn.XLOOKUP(
 B780,
 tblTargets[TargetID],
 tblTargets[TargetType],
 ""
)</f>
        <v>TECH</v>
      </c>
      <c r="E780" s="49" t="s">
        <v>2135</v>
      </c>
      <c r="F780" s="87">
        <f>IFERROR(__xludf.DUMMYFUNCTION("VALUE(REGEXEXTRACT(A780,""([^.]+)$""))"),1.0)</f>
        <v>1</v>
      </c>
      <c r="G780" s="49">
        <v>20.0</v>
      </c>
      <c r="H780" s="26" t="b">
        <f>COUNTIFS(
 tblCostChecklist[RequirementID],A780,
 tblCostChecklist[PlayerPaid],TRUE
)&gt;0</f>
        <v>0</v>
      </c>
      <c r="I780" s="49">
        <f t="shared" si="1"/>
        <v>6</v>
      </c>
      <c r="J780" s="49">
        <f t="shared" si="2"/>
        <v>0</v>
      </c>
      <c r="K780" s="49">
        <f t="shared" si="3"/>
        <v>6</v>
      </c>
      <c r="L780" s="49" t="b">
        <f t="shared" si="4"/>
        <v>0</v>
      </c>
      <c r="M780" s="88">
        <f t="shared" si="5"/>
        <v>0</v>
      </c>
    </row>
    <row r="781" ht="14.25" customHeight="1">
      <c r="A781" s="49" t="s">
        <v>3125</v>
      </c>
      <c r="B781" s="49" t="str">
        <f>IFERROR(__xludf.DUMMYFUNCTION("REGEXEXTRACT(A781,""^cost\.(.*)\.[^.]+\.[^.]+$"")"),"tech.field.seed_drill")</f>
        <v>tech.field.seed_drill</v>
      </c>
      <c r="C781" s="49" t="str">
        <f t="array" ref="C781">_xlfn.XLOOKUP(
 B781,
 tblTargets[TargetID],
 tblTargets[DisplayName],
 ""
)</f>
        <v>Field - Seed Drill</v>
      </c>
      <c r="D781" s="49" t="str">
        <f t="array" ref="D781">_xlfn.XLOOKUP(
 B781,
 tblTargets[TargetID],
 tblTargets[TargetType],
 ""
)</f>
        <v>TECH</v>
      </c>
      <c r="E781" s="49" t="s">
        <v>6</v>
      </c>
      <c r="F781" s="87">
        <f>IFERROR(__xludf.DUMMYFUNCTION("VALUE(REGEXEXTRACT(A781,""([^.]+)$""))"),1.0)</f>
        <v>1</v>
      </c>
      <c r="G781" s="49">
        <v>2.0</v>
      </c>
      <c r="H781" s="26" t="b">
        <f>COUNTIFS(
 tblCostChecklist[RequirementID],A781,
 tblCostChecklist[PlayerPaid],TRUE
)&gt;0</f>
        <v>0</v>
      </c>
      <c r="I781" s="49">
        <f t="shared" si="1"/>
        <v>6</v>
      </c>
      <c r="J781" s="49">
        <f t="shared" si="2"/>
        <v>0</v>
      </c>
      <c r="K781" s="49">
        <f t="shared" si="3"/>
        <v>6</v>
      </c>
      <c r="L781" s="49" t="b">
        <f t="shared" si="4"/>
        <v>0</v>
      </c>
      <c r="M781" s="88">
        <f t="shared" si="5"/>
        <v>0</v>
      </c>
    </row>
    <row r="782" ht="14.25" customHeight="1">
      <c r="A782" s="49" t="s">
        <v>3127</v>
      </c>
      <c r="B782" s="49" t="str">
        <f>IFERROR(__xludf.DUMMYFUNCTION("REGEXEXTRACT(A782,""^cost\.(.*)\.[^.]+\.[^.]+$"")"),"tech.field.combine_harvester")</f>
        <v>tech.field.combine_harvester</v>
      </c>
      <c r="C782" s="49" t="str">
        <f t="array" ref="C782">_xlfn.XLOOKUP(
 B782,
 tblTargets[TargetID],
 tblTargets[DisplayName],
 ""
)</f>
        <v>Field - Combine Harvester</v>
      </c>
      <c r="D782" s="49" t="str">
        <f t="array" ref="D782">_xlfn.XLOOKUP(
 B782,
 tblTargets[TargetID],
 tblTargets[TargetType],
 ""
)</f>
        <v>TECH</v>
      </c>
      <c r="E782" s="49" t="s">
        <v>1055</v>
      </c>
      <c r="F782" s="87">
        <f>IFERROR(__xludf.DUMMYFUNCTION("VALUE(REGEXEXTRACT(A782,""([^.]+)$""))"),1.0)</f>
        <v>1</v>
      </c>
      <c r="G782" s="49">
        <v>30.0</v>
      </c>
      <c r="H782" s="26" t="b">
        <f>COUNTIFS(
 tblCostChecklist[RequirementID],A782,
 tblCostChecklist[PlayerPaid],TRUE
)&gt;0</f>
        <v>0</v>
      </c>
      <c r="I782" s="49">
        <f t="shared" si="1"/>
        <v>6</v>
      </c>
      <c r="J782" s="49">
        <f t="shared" si="2"/>
        <v>0</v>
      </c>
      <c r="K782" s="49">
        <f t="shared" si="3"/>
        <v>6</v>
      </c>
      <c r="L782" s="49" t="b">
        <f t="shared" si="4"/>
        <v>0</v>
      </c>
      <c r="M782" s="88">
        <f t="shared" si="5"/>
        <v>0</v>
      </c>
    </row>
    <row r="783" ht="14.25" customHeight="1">
      <c r="A783" s="49" t="s">
        <v>3129</v>
      </c>
      <c r="B783" s="49" t="str">
        <f>IFERROR(__xludf.DUMMYFUNCTION("REGEXEXTRACT(A783,""^cost\.(.*)\.[^.]+\.[^.]+$"")"),"tech.field.combine_harvester")</f>
        <v>tech.field.combine_harvester</v>
      </c>
      <c r="C783" s="49" t="str">
        <f t="array" ref="C783">_xlfn.XLOOKUP(
 B783,
 tblTargets[TargetID],
 tblTargets[DisplayName],
 ""
)</f>
        <v>Field - Combine Harvester</v>
      </c>
      <c r="D783" s="49" t="str">
        <f t="array" ref="D783">_xlfn.XLOOKUP(
 B783,
 tblTargets[TargetID],
 tblTargets[TargetType],
 ""
)</f>
        <v>TECH</v>
      </c>
      <c r="E783" s="49" t="s">
        <v>119</v>
      </c>
      <c r="F783" s="87">
        <f>IFERROR(__xludf.DUMMYFUNCTION("VALUE(REGEXEXTRACT(A783,""([^.]+)$""))"),1.0)</f>
        <v>1</v>
      </c>
      <c r="G783" s="49">
        <v>600.0</v>
      </c>
      <c r="H783" s="26" t="b">
        <f>COUNTIFS(
 tblCostChecklist[RequirementID],A783,
 tblCostChecklist[PlayerPaid],TRUE
)&gt;0</f>
        <v>0</v>
      </c>
      <c r="I783" s="49">
        <f t="shared" si="1"/>
        <v>6</v>
      </c>
      <c r="J783" s="49">
        <f t="shared" si="2"/>
        <v>0</v>
      </c>
      <c r="K783" s="49">
        <f t="shared" si="3"/>
        <v>6</v>
      </c>
      <c r="L783" s="49" t="b">
        <f t="shared" si="4"/>
        <v>0</v>
      </c>
      <c r="M783" s="88">
        <f t="shared" si="5"/>
        <v>0</v>
      </c>
    </row>
    <row r="784" ht="14.25" customHeight="1">
      <c r="A784" s="49" t="s">
        <v>3131</v>
      </c>
      <c r="B784" s="49" t="str">
        <f>IFERROR(__xludf.DUMMYFUNCTION("REGEXEXTRACT(A784,""^cost\.(.*)\.[^.]+\.[^.]+$"")"),"tech.field.combine_harvester")</f>
        <v>tech.field.combine_harvester</v>
      </c>
      <c r="C784" s="49" t="str">
        <f t="array" ref="C784">_xlfn.XLOOKUP(
 B784,
 tblTargets[TargetID],
 tblTargets[DisplayName],
 ""
)</f>
        <v>Field - Combine Harvester</v>
      </c>
      <c r="D784" s="49" t="str">
        <f t="array" ref="D784">_xlfn.XLOOKUP(
 B784,
 tblTargets[TargetID],
 tblTargets[TargetType],
 ""
)</f>
        <v>TECH</v>
      </c>
      <c r="E784" s="49" t="s">
        <v>2964</v>
      </c>
      <c r="F784" s="87">
        <f>IFERROR(__xludf.DUMMYFUNCTION("VALUE(REGEXEXTRACT(A784,""([^.]+)$""))"),1.0)</f>
        <v>1</v>
      </c>
      <c r="G784" s="49">
        <v>60.0</v>
      </c>
      <c r="H784" s="26" t="b">
        <f>COUNTIFS(
 tblCostChecklist[RequirementID],A784,
 tblCostChecklist[PlayerPaid],TRUE
)&gt;0</f>
        <v>0</v>
      </c>
      <c r="I784" s="49">
        <f t="shared" si="1"/>
        <v>6</v>
      </c>
      <c r="J784" s="49">
        <f t="shared" si="2"/>
        <v>0</v>
      </c>
      <c r="K784" s="49">
        <f t="shared" si="3"/>
        <v>6</v>
      </c>
      <c r="L784" s="49" t="b">
        <f t="shared" si="4"/>
        <v>0</v>
      </c>
      <c r="M784" s="88">
        <f t="shared" si="5"/>
        <v>0</v>
      </c>
    </row>
    <row r="785" ht="14.25" customHeight="1">
      <c r="A785" s="49" t="s">
        <v>3132</v>
      </c>
      <c r="B785" s="49" t="str">
        <f>IFERROR(__xludf.DUMMYFUNCTION("REGEXEXTRACT(A785,""^cost\.(.*)\.[^.]+\.[^.]+$"")"),"tech.field.combine_harvester")</f>
        <v>tech.field.combine_harvester</v>
      </c>
      <c r="C785" s="49" t="str">
        <f t="array" ref="C785">_xlfn.XLOOKUP(
 B785,
 tblTargets[TargetID],
 tblTargets[DisplayName],
 ""
)</f>
        <v>Field - Combine Harvester</v>
      </c>
      <c r="D785" s="49" t="str">
        <f t="array" ref="D785">_xlfn.XLOOKUP(
 B785,
 tblTargets[TargetID],
 tblTargets[TargetType],
 ""
)</f>
        <v>TECH</v>
      </c>
      <c r="E785" s="49" t="s">
        <v>1078</v>
      </c>
      <c r="F785" s="87">
        <f>IFERROR(__xludf.DUMMYFUNCTION("VALUE(REGEXEXTRACT(A785,""([^.]+)$""))"),1.0)</f>
        <v>1</v>
      </c>
      <c r="G785" s="49">
        <v>10.0</v>
      </c>
      <c r="H785" s="26" t="b">
        <f>COUNTIFS(
 tblCostChecklist[RequirementID],A785,
 tblCostChecklist[PlayerPaid],TRUE
)&gt;0</f>
        <v>0</v>
      </c>
      <c r="I785" s="49">
        <f t="shared" si="1"/>
        <v>6</v>
      </c>
      <c r="J785" s="49">
        <f t="shared" si="2"/>
        <v>0</v>
      </c>
      <c r="K785" s="49">
        <f t="shared" si="3"/>
        <v>6</v>
      </c>
      <c r="L785" s="49" t="b">
        <f t="shared" si="4"/>
        <v>0</v>
      </c>
      <c r="M785" s="88">
        <f t="shared" si="5"/>
        <v>0</v>
      </c>
    </row>
    <row r="786" ht="14.25" customHeight="1">
      <c r="A786" s="49" t="s">
        <v>3134</v>
      </c>
      <c r="B786" s="49" t="str">
        <f>IFERROR(__xludf.DUMMYFUNCTION("REGEXEXTRACT(A786,""^cost\.(.*)\.[^.]+\.[^.]+$"")"),"tech.field.combine_harvester")</f>
        <v>tech.field.combine_harvester</v>
      </c>
      <c r="C786" s="49" t="str">
        <f t="array" ref="C786">_xlfn.XLOOKUP(
 B786,
 tblTargets[TargetID],
 tblTargets[DisplayName],
 ""
)</f>
        <v>Field - Combine Harvester</v>
      </c>
      <c r="D786" s="49" t="str">
        <f t="array" ref="D786">_xlfn.XLOOKUP(
 B786,
 tblTargets[TargetID],
 tblTargets[TargetType],
 ""
)</f>
        <v>TECH</v>
      </c>
      <c r="E786" s="49" t="s">
        <v>6</v>
      </c>
      <c r="F786" s="87">
        <f>IFERROR(__xludf.DUMMYFUNCTION("VALUE(REGEXEXTRACT(A786,""([^.]+)$""))"),1.0)</f>
        <v>1</v>
      </c>
      <c r="G786" s="49">
        <v>4.0</v>
      </c>
      <c r="H786" s="26" t="b">
        <f>COUNTIFS(
 tblCostChecklist[RequirementID],A786,
 tblCostChecklist[PlayerPaid],TRUE
)&gt;0</f>
        <v>0</v>
      </c>
      <c r="I786" s="49">
        <f t="shared" si="1"/>
        <v>6</v>
      </c>
      <c r="J786" s="49">
        <f t="shared" si="2"/>
        <v>0</v>
      </c>
      <c r="K786" s="49">
        <f t="shared" si="3"/>
        <v>6</v>
      </c>
      <c r="L786" s="49" t="b">
        <f t="shared" si="4"/>
        <v>0</v>
      </c>
      <c r="M786" s="88">
        <f t="shared" si="5"/>
        <v>0</v>
      </c>
    </row>
    <row r="787" ht="14.25" customHeight="1">
      <c r="A787" s="49" t="s">
        <v>3136</v>
      </c>
      <c r="B787" s="49" t="str">
        <f>IFERROR(__xludf.DUMMYFUNCTION("REGEXEXTRACT(A787,""^cost\.(.*)\.[^.]+\.[^.]+$"")"),"tech.field.combine_harvester")</f>
        <v>tech.field.combine_harvester</v>
      </c>
      <c r="C787" s="49" t="str">
        <f t="array" ref="C787">_xlfn.XLOOKUP(
 B787,
 tblTargets[TargetID],
 tblTargets[DisplayName],
 ""
)</f>
        <v>Field - Combine Harvester</v>
      </c>
      <c r="D787" s="49" t="str">
        <f t="array" ref="D787">_xlfn.XLOOKUP(
 B787,
 tblTargets[TargetID],
 tblTargets[TargetType],
 ""
)</f>
        <v>TECH</v>
      </c>
      <c r="E787" s="49" t="s">
        <v>3138</v>
      </c>
      <c r="F787" s="87">
        <f>IFERROR(__xludf.DUMMYFUNCTION("VALUE(REGEXEXTRACT(A787,""([^.]+)$""))"),1.0)</f>
        <v>1</v>
      </c>
      <c r="G787" s="49">
        <v>10.0</v>
      </c>
      <c r="H787" s="26" t="b">
        <f>COUNTIFS(
 tblCostChecklist[RequirementID],A787,
 tblCostChecklist[PlayerPaid],TRUE
)&gt;0</f>
        <v>0</v>
      </c>
      <c r="I787" s="49">
        <f t="shared" si="1"/>
        <v>6</v>
      </c>
      <c r="J787" s="49">
        <f t="shared" si="2"/>
        <v>0</v>
      </c>
      <c r="K787" s="49">
        <f t="shared" si="3"/>
        <v>6</v>
      </c>
      <c r="L787" s="49" t="b">
        <f t="shared" si="4"/>
        <v>0</v>
      </c>
      <c r="M787" s="88">
        <f t="shared" si="5"/>
        <v>0</v>
      </c>
    </row>
    <row r="788" ht="14.25" customHeight="1">
      <c r="A788" s="49" t="s">
        <v>3139</v>
      </c>
      <c r="B788" s="49" t="str">
        <f>IFERROR(__xludf.DUMMYFUNCTION("REGEXEXTRACT(A788,""^cost\.(.*)\.[^.]+\.[^.]+$"")"),"tech.field.soybean")</f>
        <v>tech.field.soybean</v>
      </c>
      <c r="C788" s="49" t="str">
        <f t="array" ref="C788">_xlfn.XLOOKUP(
 B788,
 tblTargets[TargetID],
 tblTargets[DisplayName],
 ""
)</f>
        <v>Field - Soybean</v>
      </c>
      <c r="D788" s="49" t="str">
        <f t="array" ref="D788">_xlfn.XLOOKUP(
 B788,
 tblTargets[TargetID],
 tblTargets[TargetType],
 ""
)</f>
        <v>TECH</v>
      </c>
      <c r="E788" s="49" t="s">
        <v>119</v>
      </c>
      <c r="F788" s="87">
        <f>IFERROR(__xludf.DUMMYFUNCTION("VALUE(REGEXEXTRACT(A788,""([^.]+)$""))"),1.0)</f>
        <v>1</v>
      </c>
      <c r="G788" s="49">
        <v>800.0</v>
      </c>
      <c r="H788" s="26" t="b">
        <f>COUNTIFS(
 tblCostChecklist[RequirementID],A788,
 tblCostChecklist[PlayerPaid],TRUE
)&gt;0</f>
        <v>0</v>
      </c>
      <c r="I788" s="49">
        <f t="shared" si="1"/>
        <v>8</v>
      </c>
      <c r="J788" s="49">
        <f t="shared" si="2"/>
        <v>0</v>
      </c>
      <c r="K788" s="49">
        <f t="shared" si="3"/>
        <v>8</v>
      </c>
      <c r="L788" s="49" t="b">
        <f t="shared" si="4"/>
        <v>0</v>
      </c>
      <c r="M788" s="88">
        <f t="shared" si="5"/>
        <v>0</v>
      </c>
    </row>
    <row r="789" ht="14.25" customHeight="1">
      <c r="A789" s="49" t="s">
        <v>3141</v>
      </c>
      <c r="B789" s="49" t="str">
        <f>IFERROR(__xludf.DUMMYFUNCTION("REGEXEXTRACT(A789,""^cost\.(.*)\.[^.]+\.[^.]+$"")"),"tech.field.soybean")</f>
        <v>tech.field.soybean</v>
      </c>
      <c r="C789" s="49" t="str">
        <f t="array" ref="C789">_xlfn.XLOOKUP(
 B789,
 tblTargets[TargetID],
 tblTargets[DisplayName],
 ""
)</f>
        <v>Field - Soybean</v>
      </c>
      <c r="D789" s="49" t="str">
        <f t="array" ref="D789">_xlfn.XLOOKUP(
 B789,
 tblTargets[TargetID],
 tblTargets[TargetType],
 ""
)</f>
        <v>TECH</v>
      </c>
      <c r="E789" s="49" t="s">
        <v>3143</v>
      </c>
      <c r="F789" s="87">
        <f>IFERROR(__xludf.DUMMYFUNCTION("VALUE(REGEXEXTRACT(A789,""([^.]+)$""))"),1.0)</f>
        <v>1</v>
      </c>
      <c r="G789" s="49">
        <v>20.0</v>
      </c>
      <c r="H789" s="26" t="b">
        <f>COUNTIFS(
 tblCostChecklist[RequirementID],A789,
 tblCostChecklist[PlayerPaid],TRUE
)&gt;0</f>
        <v>0</v>
      </c>
      <c r="I789" s="49">
        <f t="shared" si="1"/>
        <v>8</v>
      </c>
      <c r="J789" s="49">
        <f t="shared" si="2"/>
        <v>0</v>
      </c>
      <c r="K789" s="49">
        <f t="shared" si="3"/>
        <v>8</v>
      </c>
      <c r="L789" s="49" t="b">
        <f t="shared" si="4"/>
        <v>0</v>
      </c>
      <c r="M789" s="88">
        <f t="shared" si="5"/>
        <v>0</v>
      </c>
    </row>
    <row r="790" ht="14.25" customHeight="1">
      <c r="A790" s="49" t="s">
        <v>3144</v>
      </c>
      <c r="B790" s="49" t="str">
        <f>IFERROR(__xludf.DUMMYFUNCTION("REGEXEXTRACT(A790,""^cost\.(.*)\.[^.]+\.[^.]+$"")"),"tech.field.soybean")</f>
        <v>tech.field.soybean</v>
      </c>
      <c r="C790" s="49" t="str">
        <f t="array" ref="C790">_xlfn.XLOOKUP(
 B790,
 tblTargets[TargetID],
 tblTargets[DisplayName],
 ""
)</f>
        <v>Field - Soybean</v>
      </c>
      <c r="D790" s="49" t="str">
        <f t="array" ref="D790">_xlfn.XLOOKUP(
 B790,
 tblTargets[TargetID],
 tblTargets[TargetType],
 ""
)</f>
        <v>TECH</v>
      </c>
      <c r="E790" s="49" t="s">
        <v>3146</v>
      </c>
      <c r="F790" s="87">
        <f>IFERROR(__xludf.DUMMYFUNCTION("VALUE(REGEXEXTRACT(A790,""([^.]+)$""))"),1.0)</f>
        <v>1</v>
      </c>
      <c r="G790" s="49">
        <v>20.0</v>
      </c>
      <c r="H790" s="26" t="b">
        <f>COUNTIFS(
 tblCostChecklist[RequirementID],A790,
 tblCostChecklist[PlayerPaid],TRUE
)&gt;0</f>
        <v>0</v>
      </c>
      <c r="I790" s="49">
        <f t="shared" si="1"/>
        <v>8</v>
      </c>
      <c r="J790" s="49">
        <f t="shared" si="2"/>
        <v>0</v>
      </c>
      <c r="K790" s="49">
        <f t="shared" si="3"/>
        <v>8</v>
      </c>
      <c r="L790" s="49" t="b">
        <f t="shared" si="4"/>
        <v>0</v>
      </c>
      <c r="M790" s="88">
        <f t="shared" si="5"/>
        <v>0</v>
      </c>
    </row>
    <row r="791" ht="14.25" customHeight="1">
      <c r="A791" s="49" t="s">
        <v>3147</v>
      </c>
      <c r="B791" s="49" t="str">
        <f>IFERROR(__xludf.DUMMYFUNCTION("REGEXEXTRACT(A791,""^cost\.(.*)\.[^.]+\.[^.]+$"")"),"tech.field.soybean")</f>
        <v>tech.field.soybean</v>
      </c>
      <c r="C791" s="49" t="str">
        <f t="array" ref="C791">_xlfn.XLOOKUP(
 B791,
 tblTargets[TargetID],
 tblTargets[DisplayName],
 ""
)</f>
        <v>Field - Soybean</v>
      </c>
      <c r="D791" s="49" t="str">
        <f t="array" ref="D791">_xlfn.XLOOKUP(
 B791,
 tblTargets[TargetID],
 tblTargets[TargetType],
 ""
)</f>
        <v>TECH</v>
      </c>
      <c r="E791" s="49" t="s">
        <v>132</v>
      </c>
      <c r="F791" s="87">
        <f>IFERROR(__xludf.DUMMYFUNCTION("VALUE(REGEXEXTRACT(A791,""([^.]+)$""))"),1.0)</f>
        <v>1</v>
      </c>
      <c r="G791" s="49">
        <v>20.0</v>
      </c>
      <c r="H791" s="26" t="b">
        <f>COUNTIFS(
 tblCostChecklist[RequirementID],A791,
 tblCostChecklist[PlayerPaid],TRUE
)&gt;0</f>
        <v>0</v>
      </c>
      <c r="I791" s="49">
        <f t="shared" si="1"/>
        <v>8</v>
      </c>
      <c r="J791" s="49">
        <f t="shared" si="2"/>
        <v>0</v>
      </c>
      <c r="K791" s="49">
        <f t="shared" si="3"/>
        <v>8</v>
      </c>
      <c r="L791" s="49" t="b">
        <f t="shared" si="4"/>
        <v>0</v>
      </c>
      <c r="M791" s="88">
        <f t="shared" si="5"/>
        <v>0</v>
      </c>
    </row>
    <row r="792" ht="14.25" customHeight="1">
      <c r="A792" s="49" t="s">
        <v>3149</v>
      </c>
      <c r="B792" s="49" t="str">
        <f>IFERROR(__xludf.DUMMYFUNCTION("REGEXEXTRACT(A792,""^cost\.(.*)\.[^.]+\.[^.]+$"")"),"tech.field.soybean")</f>
        <v>tech.field.soybean</v>
      </c>
      <c r="C792" s="49" t="str">
        <f t="array" ref="C792">_xlfn.XLOOKUP(
 B792,
 tblTargets[TargetID],
 tblTargets[DisplayName],
 ""
)</f>
        <v>Field - Soybean</v>
      </c>
      <c r="D792" s="49" t="str">
        <f t="array" ref="D792">_xlfn.XLOOKUP(
 B792,
 tblTargets[TargetID],
 tblTargets[TargetType],
 ""
)</f>
        <v>TECH</v>
      </c>
      <c r="E792" s="49" t="s">
        <v>6</v>
      </c>
      <c r="F792" s="87">
        <f>IFERROR(__xludf.DUMMYFUNCTION("VALUE(REGEXEXTRACT(A792,""([^.]+)$""))"),1.0)</f>
        <v>1</v>
      </c>
      <c r="G792" s="49">
        <v>5.0</v>
      </c>
      <c r="H792" s="26" t="b">
        <f>COUNTIFS(
 tblCostChecklist[RequirementID],A792,
 tblCostChecklist[PlayerPaid],TRUE
)&gt;0</f>
        <v>0</v>
      </c>
      <c r="I792" s="49">
        <f t="shared" si="1"/>
        <v>8</v>
      </c>
      <c r="J792" s="49">
        <f t="shared" si="2"/>
        <v>0</v>
      </c>
      <c r="K792" s="49">
        <f t="shared" si="3"/>
        <v>8</v>
      </c>
      <c r="L792" s="49" t="b">
        <f t="shared" si="4"/>
        <v>0</v>
      </c>
      <c r="M792" s="88">
        <f t="shared" si="5"/>
        <v>0</v>
      </c>
    </row>
    <row r="793" ht="14.25" customHeight="1">
      <c r="A793" s="49" t="s">
        <v>3151</v>
      </c>
      <c r="B793" s="49" t="str">
        <f>IFERROR(__xludf.DUMMYFUNCTION("REGEXEXTRACT(A793,""^cost\.(.*)\.[^.]+\.[^.]+$"")"),"tech.field.soybean")</f>
        <v>tech.field.soybean</v>
      </c>
      <c r="C793" s="49" t="str">
        <f t="array" ref="C793">_xlfn.XLOOKUP(
 B793,
 tblTargets[TargetID],
 tblTargets[DisplayName],
 ""
)</f>
        <v>Field - Soybean</v>
      </c>
      <c r="D793" s="49" t="str">
        <f t="array" ref="D793">_xlfn.XLOOKUP(
 B793,
 tblTargets[TargetID],
 tblTargets[TargetType],
 ""
)</f>
        <v>TECH</v>
      </c>
      <c r="E793" s="49" t="s">
        <v>392</v>
      </c>
      <c r="F793" s="87">
        <f>IFERROR(__xludf.DUMMYFUNCTION("VALUE(REGEXEXTRACT(A793,""([^.]+)$""))"),1.0)</f>
        <v>1</v>
      </c>
      <c r="G793" s="49">
        <v>200.0</v>
      </c>
      <c r="H793" s="26" t="b">
        <f>COUNTIFS(
 tblCostChecklist[RequirementID],A793,
 tblCostChecklist[PlayerPaid],TRUE
)&gt;0</f>
        <v>0</v>
      </c>
      <c r="I793" s="49">
        <f t="shared" si="1"/>
        <v>8</v>
      </c>
      <c r="J793" s="49">
        <f t="shared" si="2"/>
        <v>0</v>
      </c>
      <c r="K793" s="49">
        <f t="shared" si="3"/>
        <v>8</v>
      </c>
      <c r="L793" s="49" t="b">
        <f t="shared" si="4"/>
        <v>0</v>
      </c>
      <c r="M793" s="88">
        <f t="shared" si="5"/>
        <v>0</v>
      </c>
    </row>
    <row r="794" ht="14.25" customHeight="1">
      <c r="A794" s="49" t="s">
        <v>3154</v>
      </c>
      <c r="B794" s="49" t="str">
        <f>IFERROR(__xludf.DUMMYFUNCTION("REGEXEXTRACT(A794,""^cost\.(.*)\.[^.]+\.[^.]+$"")"),"tech.field.soybean")</f>
        <v>tech.field.soybean</v>
      </c>
      <c r="C794" s="49" t="str">
        <f t="array" ref="C794">_xlfn.XLOOKUP(
 B794,
 tblTargets[TargetID],
 tblTargets[DisplayName],
 ""
)</f>
        <v>Field - Soybean</v>
      </c>
      <c r="D794" s="49" t="str">
        <f t="array" ref="D794">_xlfn.XLOOKUP(
 B794,
 tblTargets[TargetID],
 tblTargets[TargetType],
 ""
)</f>
        <v>TECH</v>
      </c>
      <c r="E794" s="49" t="s">
        <v>158</v>
      </c>
      <c r="F794" s="87">
        <f>IFERROR(__xludf.DUMMYFUNCTION("VALUE(REGEXEXTRACT(A794,""([^.]+)$""))"),1.0)</f>
        <v>1</v>
      </c>
      <c r="G794" s="49">
        <v>20.0</v>
      </c>
      <c r="H794" s="26" t="b">
        <f>COUNTIFS(
 tblCostChecklist[RequirementID],A794,
 tblCostChecklist[PlayerPaid],TRUE
)&gt;0</f>
        <v>0</v>
      </c>
      <c r="I794" s="49">
        <f t="shared" si="1"/>
        <v>8</v>
      </c>
      <c r="J794" s="49">
        <f t="shared" si="2"/>
        <v>0</v>
      </c>
      <c r="K794" s="49">
        <f t="shared" si="3"/>
        <v>8</v>
      </c>
      <c r="L794" s="49" t="b">
        <f t="shared" si="4"/>
        <v>0</v>
      </c>
      <c r="M794" s="88">
        <f t="shared" si="5"/>
        <v>0</v>
      </c>
    </row>
    <row r="795" ht="14.25" customHeight="1">
      <c r="A795" s="49" t="s">
        <v>3156</v>
      </c>
      <c r="B795" s="49" t="str">
        <f>IFERROR(__xludf.DUMMYFUNCTION("REGEXEXTRACT(A795,""^cost\.(.*)\.[^.]+\.[^.]+$"")"),"tech.field.soybean")</f>
        <v>tech.field.soybean</v>
      </c>
      <c r="C795" s="49" t="str">
        <f t="array" ref="C795">_xlfn.XLOOKUP(
 B795,
 tblTargets[TargetID],
 tblTargets[DisplayName],
 ""
)</f>
        <v>Field - Soybean</v>
      </c>
      <c r="D795" s="49" t="str">
        <f t="array" ref="D795">_xlfn.XLOOKUP(
 B795,
 tblTargets[TargetID],
 tblTargets[TargetType],
 ""
)</f>
        <v>TECH</v>
      </c>
      <c r="E795" s="49" t="s">
        <v>244</v>
      </c>
      <c r="F795" s="87">
        <f>IFERROR(__xludf.DUMMYFUNCTION("VALUE(REGEXEXTRACT(A795,""([^.]+)$""))"),1.0)</f>
        <v>1</v>
      </c>
      <c r="G795" s="49">
        <v>500.0</v>
      </c>
      <c r="H795" s="26" t="b">
        <f>COUNTIFS(
 tblCostChecklist[RequirementID],A795,
 tblCostChecklist[PlayerPaid],TRUE
)&gt;0</f>
        <v>0</v>
      </c>
      <c r="I795" s="49">
        <f t="shared" si="1"/>
        <v>8</v>
      </c>
      <c r="J795" s="49">
        <f t="shared" si="2"/>
        <v>0</v>
      </c>
      <c r="K795" s="49">
        <f t="shared" si="3"/>
        <v>8</v>
      </c>
      <c r="L795" s="49" t="b">
        <f t="shared" si="4"/>
        <v>0</v>
      </c>
      <c r="M795" s="88">
        <f t="shared" si="5"/>
        <v>0</v>
      </c>
    </row>
    <row r="796" ht="14.25" customHeight="1">
      <c r="A796" s="49" t="s">
        <v>3158</v>
      </c>
      <c r="B796" s="49" t="str">
        <f>IFERROR(__xludf.DUMMYFUNCTION("REGEXEXTRACT(A796,""^cost\.(.*)\.[^.]+\.[^.]+$"")"),"tech.food_stall.quintessence_of_taste")</f>
        <v>tech.food_stall.quintessence_of_taste</v>
      </c>
      <c r="C796" s="49" t="str">
        <f t="array" ref="C796">_xlfn.XLOOKUP(
 B796,
 tblTargets[TargetID],
 tblTargets[DisplayName],
 ""
)</f>
        <v>Food Stall - Quintessence Of Taste</v>
      </c>
      <c r="D796" s="49" t="str">
        <f t="array" ref="D796">_xlfn.XLOOKUP(
 B796,
 tblTargets[TargetID],
 tblTargets[TargetType],
 ""
)</f>
        <v>TECH</v>
      </c>
      <c r="E796" s="49" t="s">
        <v>367</v>
      </c>
      <c r="F796" s="87">
        <f>IFERROR(__xludf.DUMMYFUNCTION("VALUE(REGEXEXTRACT(A796,""([^.]+)$""))"),1.0)</f>
        <v>1</v>
      </c>
      <c r="G796" s="49">
        <v>10.0</v>
      </c>
      <c r="H796" s="26" t="b">
        <f>COUNTIFS(
 tblCostChecklist[RequirementID],A796,
 tblCostChecklist[PlayerPaid],TRUE
)&gt;0</f>
        <v>0</v>
      </c>
      <c r="I796" s="49">
        <f t="shared" si="1"/>
        <v>6</v>
      </c>
      <c r="J796" s="49">
        <f t="shared" si="2"/>
        <v>0</v>
      </c>
      <c r="K796" s="49">
        <f t="shared" si="3"/>
        <v>6</v>
      </c>
      <c r="L796" s="49" t="b">
        <f t="shared" si="4"/>
        <v>0</v>
      </c>
      <c r="M796" s="88">
        <f t="shared" si="5"/>
        <v>0</v>
      </c>
    </row>
    <row r="797" ht="14.25" customHeight="1">
      <c r="A797" s="49" t="s">
        <v>3168</v>
      </c>
      <c r="B797" s="49" t="str">
        <f>IFERROR(__xludf.DUMMYFUNCTION("REGEXEXTRACT(A797,""^cost\.(.*)\.[^.]+\.[^.]+$"")"),"tech.food_stall.quintessence_of_taste")</f>
        <v>tech.food_stall.quintessence_of_taste</v>
      </c>
      <c r="C797" s="49" t="str">
        <f t="array" ref="C797">_xlfn.XLOOKUP(
 B797,
 tblTargets[TargetID],
 tblTargets[DisplayName],
 ""
)</f>
        <v>Food Stall - Quintessence Of Taste</v>
      </c>
      <c r="D797" s="49" t="str">
        <f t="array" ref="D797">_xlfn.XLOOKUP(
 B797,
 tblTargets[TargetID],
 tblTargets[TargetType],
 ""
)</f>
        <v>TECH</v>
      </c>
      <c r="E797" s="49" t="s">
        <v>1055</v>
      </c>
      <c r="F797" s="87">
        <f>IFERROR(__xludf.DUMMYFUNCTION("VALUE(REGEXEXTRACT(A797,""([^.]+)$""))"),1.0)</f>
        <v>1</v>
      </c>
      <c r="G797" s="49">
        <v>10.0</v>
      </c>
      <c r="H797" s="26" t="b">
        <f>COUNTIFS(
 tblCostChecklist[RequirementID],A797,
 tblCostChecklist[PlayerPaid],TRUE
)&gt;0</f>
        <v>0</v>
      </c>
      <c r="I797" s="49">
        <f t="shared" si="1"/>
        <v>6</v>
      </c>
      <c r="J797" s="49">
        <f t="shared" si="2"/>
        <v>0</v>
      </c>
      <c r="K797" s="49">
        <f t="shared" si="3"/>
        <v>6</v>
      </c>
      <c r="L797" s="49" t="b">
        <f t="shared" si="4"/>
        <v>0</v>
      </c>
      <c r="M797" s="88">
        <f t="shared" si="5"/>
        <v>0</v>
      </c>
    </row>
    <row r="798" ht="14.25" customHeight="1">
      <c r="A798" s="49" t="s">
        <v>3171</v>
      </c>
      <c r="B798" s="49" t="str">
        <f>IFERROR(__xludf.DUMMYFUNCTION("REGEXEXTRACT(A798,""^cost\.(.*)\.[^.]+\.[^.]+$"")"),"tech.food_stall.quintessence_of_taste")</f>
        <v>tech.food_stall.quintessence_of_taste</v>
      </c>
      <c r="C798" s="49" t="str">
        <f t="array" ref="C798">_xlfn.XLOOKUP(
 B798,
 tblTargets[TargetID],
 tblTargets[DisplayName],
 ""
)</f>
        <v>Food Stall - Quintessence Of Taste</v>
      </c>
      <c r="D798" s="49" t="str">
        <f t="array" ref="D798">_xlfn.XLOOKUP(
 B798,
 tblTargets[TargetID],
 tblTargets[TargetType],
 ""
)</f>
        <v>TECH</v>
      </c>
      <c r="E798" s="49" t="s">
        <v>119</v>
      </c>
      <c r="F798" s="87">
        <f>IFERROR(__xludf.DUMMYFUNCTION("VALUE(REGEXEXTRACT(A798,""([^.]+)$""))"),1.0)</f>
        <v>1</v>
      </c>
      <c r="G798" s="49">
        <v>300.0</v>
      </c>
      <c r="H798" s="26" t="b">
        <f>COUNTIFS(
 tblCostChecklist[RequirementID],A798,
 tblCostChecklist[PlayerPaid],TRUE
)&gt;0</f>
        <v>0</v>
      </c>
      <c r="I798" s="49">
        <f t="shared" si="1"/>
        <v>6</v>
      </c>
      <c r="J798" s="49">
        <f t="shared" si="2"/>
        <v>0</v>
      </c>
      <c r="K798" s="49">
        <f t="shared" si="3"/>
        <v>6</v>
      </c>
      <c r="L798" s="49" t="b">
        <f t="shared" si="4"/>
        <v>0</v>
      </c>
      <c r="M798" s="88">
        <f t="shared" si="5"/>
        <v>0</v>
      </c>
    </row>
    <row r="799" ht="14.25" customHeight="1">
      <c r="A799" s="49" t="s">
        <v>3173</v>
      </c>
      <c r="B799" s="49" t="str">
        <f>IFERROR(__xludf.DUMMYFUNCTION("REGEXEXTRACT(A799,""^cost\.(.*)\.[^.]+\.[^.]+$"")"),"tech.food_stall.quintessence_of_taste")</f>
        <v>tech.food_stall.quintessence_of_taste</v>
      </c>
      <c r="C799" s="49" t="str">
        <f t="array" ref="C799">_xlfn.XLOOKUP(
 B799,
 tblTargets[TargetID],
 tblTargets[DisplayName],
 ""
)</f>
        <v>Food Stall - Quintessence Of Taste</v>
      </c>
      <c r="D799" s="49" t="str">
        <f t="array" ref="D799">_xlfn.XLOOKUP(
 B799,
 tblTargets[TargetID],
 tblTargets[TargetType],
 ""
)</f>
        <v>TECH</v>
      </c>
      <c r="E799" s="49" t="s">
        <v>2486</v>
      </c>
      <c r="F799" s="87">
        <f>IFERROR(__xludf.DUMMYFUNCTION("VALUE(REGEXEXTRACT(A799,""([^.]+)$""))"),1.0)</f>
        <v>1</v>
      </c>
      <c r="G799" s="49">
        <v>10.0</v>
      </c>
      <c r="H799" s="26" t="b">
        <f>COUNTIFS(
 tblCostChecklist[RequirementID],A799,
 tblCostChecklist[PlayerPaid],TRUE
)&gt;0</f>
        <v>0</v>
      </c>
      <c r="I799" s="49">
        <f t="shared" si="1"/>
        <v>6</v>
      </c>
      <c r="J799" s="49">
        <f t="shared" si="2"/>
        <v>0</v>
      </c>
      <c r="K799" s="49">
        <f t="shared" si="3"/>
        <v>6</v>
      </c>
      <c r="L799" s="49" t="b">
        <f t="shared" si="4"/>
        <v>0</v>
      </c>
      <c r="M799" s="88">
        <f t="shared" si="5"/>
        <v>0</v>
      </c>
    </row>
    <row r="800" ht="14.25" customHeight="1">
      <c r="A800" s="49" t="s">
        <v>3175</v>
      </c>
      <c r="B800" s="49" t="str">
        <f>IFERROR(__xludf.DUMMYFUNCTION("REGEXEXTRACT(A800,""^cost\.(.*)\.[^.]+\.[^.]+$"")"),"tech.food_stall.quintessence_of_taste")</f>
        <v>tech.food_stall.quintessence_of_taste</v>
      </c>
      <c r="C800" s="49" t="str">
        <f t="array" ref="C800">_xlfn.XLOOKUP(
 B800,
 tblTargets[TargetID],
 tblTargets[DisplayName],
 ""
)</f>
        <v>Food Stall - Quintessence Of Taste</v>
      </c>
      <c r="D800" s="49" t="str">
        <f t="array" ref="D800">_xlfn.XLOOKUP(
 B800,
 tblTargets[TargetID],
 tblTargets[TargetType],
 ""
)</f>
        <v>TECH</v>
      </c>
      <c r="E800" s="49" t="s">
        <v>6</v>
      </c>
      <c r="F800" s="87">
        <f>IFERROR(__xludf.DUMMYFUNCTION("VALUE(REGEXEXTRACT(A800,""([^.]+)$""))"),1.0)</f>
        <v>1</v>
      </c>
      <c r="G800" s="49">
        <v>1.0</v>
      </c>
      <c r="H800" s="26" t="b">
        <f>COUNTIFS(
 tblCostChecklist[RequirementID],A800,
 tblCostChecklist[PlayerPaid],TRUE
)&gt;0</f>
        <v>0</v>
      </c>
      <c r="I800" s="49">
        <f t="shared" si="1"/>
        <v>6</v>
      </c>
      <c r="J800" s="49">
        <f t="shared" si="2"/>
        <v>0</v>
      </c>
      <c r="K800" s="49">
        <f t="shared" si="3"/>
        <v>6</v>
      </c>
      <c r="L800" s="49" t="b">
        <f t="shared" si="4"/>
        <v>0</v>
      </c>
      <c r="M800" s="88">
        <f t="shared" si="5"/>
        <v>0</v>
      </c>
    </row>
    <row r="801" ht="14.25" customHeight="1">
      <c r="A801" s="49" t="s">
        <v>3177</v>
      </c>
      <c r="B801" s="49" t="str">
        <f>IFERROR(__xludf.DUMMYFUNCTION("REGEXEXTRACT(A801,""^cost\.(.*)\.[^.]+\.[^.]+$"")"),"tech.food_stall.quintessence_of_taste")</f>
        <v>tech.food_stall.quintessence_of_taste</v>
      </c>
      <c r="C801" s="49" t="str">
        <f t="array" ref="C801">_xlfn.XLOOKUP(
 B801,
 tblTargets[TargetID],
 tblTargets[DisplayName],
 ""
)</f>
        <v>Food Stall - Quintessence Of Taste</v>
      </c>
      <c r="D801" s="49" t="str">
        <f t="array" ref="D801">_xlfn.XLOOKUP(
 B801,
 tblTargets[TargetID],
 tblTargets[TargetType],
 ""
)</f>
        <v>TECH</v>
      </c>
      <c r="E801" s="49" t="s">
        <v>443</v>
      </c>
      <c r="F801" s="87">
        <f>IFERROR(__xludf.DUMMYFUNCTION("VALUE(REGEXEXTRACT(A801,""([^.]+)$""))"),1.0)</f>
        <v>1</v>
      </c>
      <c r="G801" s="49">
        <v>1.0</v>
      </c>
      <c r="H801" s="26" t="b">
        <f>COUNTIFS(
 tblCostChecklist[RequirementID],A801,
 tblCostChecklist[PlayerPaid],TRUE
)&gt;0</f>
        <v>0</v>
      </c>
      <c r="I801" s="49">
        <f t="shared" si="1"/>
        <v>6</v>
      </c>
      <c r="J801" s="49">
        <f t="shared" si="2"/>
        <v>0</v>
      </c>
      <c r="K801" s="49">
        <f t="shared" si="3"/>
        <v>6</v>
      </c>
      <c r="L801" s="49" t="b">
        <f t="shared" si="4"/>
        <v>0</v>
      </c>
      <c r="M801" s="88">
        <f t="shared" si="5"/>
        <v>0</v>
      </c>
    </row>
    <row r="802" ht="14.25" customHeight="1">
      <c r="A802" s="49" t="s">
        <v>3179</v>
      </c>
      <c r="B802" s="49" t="str">
        <f>IFERROR(__xludf.DUMMYFUNCTION("REGEXEXTRACT(A802,""^cost\.(.*)\.[^.]+\.[^.]+$"")"),"tech.food_stall.jam")</f>
        <v>tech.food_stall.jam</v>
      </c>
      <c r="C802" s="49" t="str">
        <f t="array" ref="C802">_xlfn.XLOOKUP(
 B802,
 tblTargets[TargetID],
 tblTargets[DisplayName],
 ""
)</f>
        <v>Food Stall - Jam</v>
      </c>
      <c r="D802" s="49" t="str">
        <f t="array" ref="D802">_xlfn.XLOOKUP(
 B802,
 tblTargets[TargetID],
 tblTargets[TargetType],
 ""
)</f>
        <v>TECH</v>
      </c>
      <c r="E802" s="49" t="s">
        <v>119</v>
      </c>
      <c r="F802" s="87">
        <f>IFERROR(__xludf.DUMMYFUNCTION("VALUE(REGEXEXTRACT(A802,""([^.]+)$""))"),1.0)</f>
        <v>1</v>
      </c>
      <c r="G802" s="49">
        <v>400.0</v>
      </c>
      <c r="H802" s="26" t="b">
        <f>COUNTIFS(
 tblCostChecklist[RequirementID],A802,
 tblCostChecklist[PlayerPaid],TRUE
)&gt;0</f>
        <v>0</v>
      </c>
      <c r="I802" s="49">
        <f t="shared" si="1"/>
        <v>5</v>
      </c>
      <c r="J802" s="49">
        <f t="shared" si="2"/>
        <v>0</v>
      </c>
      <c r="K802" s="49">
        <f t="shared" si="3"/>
        <v>5</v>
      </c>
      <c r="L802" s="49" t="b">
        <f t="shared" si="4"/>
        <v>0</v>
      </c>
      <c r="M802" s="88">
        <f t="shared" si="5"/>
        <v>0</v>
      </c>
    </row>
    <row r="803" ht="14.25" customHeight="1">
      <c r="A803" s="49" t="s">
        <v>3181</v>
      </c>
      <c r="B803" s="49" t="str">
        <f>IFERROR(__xludf.DUMMYFUNCTION("REGEXEXTRACT(A803,""^cost\.(.*)\.[^.]+\.[^.]+$"")"),"tech.food_stall.jam")</f>
        <v>tech.food_stall.jam</v>
      </c>
      <c r="C803" s="49" t="str">
        <f t="array" ref="C803">_xlfn.XLOOKUP(
 B803,
 tblTargets[TargetID],
 tblTargets[DisplayName],
 ""
)</f>
        <v>Food Stall - Jam</v>
      </c>
      <c r="D803" s="49" t="str">
        <f t="array" ref="D803">_xlfn.XLOOKUP(
 B803,
 tblTargets[TargetID],
 tblTargets[TargetType],
 ""
)</f>
        <v>TECH</v>
      </c>
      <c r="E803" s="49" t="s">
        <v>360</v>
      </c>
      <c r="F803" s="87">
        <f>IFERROR(__xludf.DUMMYFUNCTION("VALUE(REGEXEXTRACT(A803,""([^.]+)$""))"),1.0)</f>
        <v>1</v>
      </c>
      <c r="G803" s="49">
        <v>5.0</v>
      </c>
      <c r="H803" s="26" t="b">
        <f>COUNTIFS(
 tblCostChecklist[RequirementID],A803,
 tblCostChecklist[PlayerPaid],TRUE
)&gt;0</f>
        <v>0</v>
      </c>
      <c r="I803" s="49">
        <f t="shared" si="1"/>
        <v>5</v>
      </c>
      <c r="J803" s="49">
        <f t="shared" si="2"/>
        <v>0</v>
      </c>
      <c r="K803" s="49">
        <f t="shared" si="3"/>
        <v>5</v>
      </c>
      <c r="L803" s="49" t="b">
        <f t="shared" si="4"/>
        <v>0</v>
      </c>
      <c r="M803" s="88">
        <f t="shared" si="5"/>
        <v>0</v>
      </c>
    </row>
    <row r="804" ht="14.25" customHeight="1">
      <c r="A804" s="49" t="s">
        <v>3183</v>
      </c>
      <c r="B804" s="49" t="str">
        <f>IFERROR(__xludf.DUMMYFUNCTION("REGEXEXTRACT(A804,""^cost\.(.*)\.[^.]+\.[^.]+$"")"),"tech.food_stall.jam")</f>
        <v>tech.food_stall.jam</v>
      </c>
      <c r="C804" s="49" t="str">
        <f t="array" ref="C804">_xlfn.XLOOKUP(
 B804,
 tblTargets[TargetID],
 tblTargets[DisplayName],
 ""
)</f>
        <v>Food Stall - Jam</v>
      </c>
      <c r="D804" s="49" t="str">
        <f t="array" ref="D804">_xlfn.XLOOKUP(
 B804,
 tblTargets[TargetID],
 tblTargets[TargetType],
 ""
)</f>
        <v>TECH</v>
      </c>
      <c r="E804" s="49" t="s">
        <v>530</v>
      </c>
      <c r="F804" s="87">
        <f>IFERROR(__xludf.DUMMYFUNCTION("VALUE(REGEXEXTRACT(A804,""([^.]+)$""))"),1.0)</f>
        <v>1</v>
      </c>
      <c r="G804" s="49">
        <v>10.0</v>
      </c>
      <c r="H804" s="26" t="b">
        <f>COUNTIFS(
 tblCostChecklist[RequirementID],A804,
 tblCostChecklist[PlayerPaid],TRUE
)&gt;0</f>
        <v>0</v>
      </c>
      <c r="I804" s="49">
        <f t="shared" si="1"/>
        <v>5</v>
      </c>
      <c r="J804" s="49">
        <f t="shared" si="2"/>
        <v>0</v>
      </c>
      <c r="K804" s="49">
        <f t="shared" si="3"/>
        <v>5</v>
      </c>
      <c r="L804" s="49" t="b">
        <f t="shared" si="4"/>
        <v>0</v>
      </c>
      <c r="M804" s="88">
        <f t="shared" si="5"/>
        <v>0</v>
      </c>
    </row>
    <row r="805" ht="14.25" customHeight="1">
      <c r="A805" s="49" t="s">
        <v>3185</v>
      </c>
      <c r="B805" s="49" t="str">
        <f>IFERROR(__xludf.DUMMYFUNCTION("REGEXEXTRACT(A805,""^cost\.(.*)\.[^.]+\.[^.]+$"")"),"tech.food_stall.jam")</f>
        <v>tech.food_stall.jam</v>
      </c>
      <c r="C805" s="49" t="str">
        <f t="array" ref="C805">_xlfn.XLOOKUP(
 B805,
 tblTargets[TargetID],
 tblTargets[DisplayName],
 ""
)</f>
        <v>Food Stall - Jam</v>
      </c>
      <c r="D805" s="49" t="str">
        <f t="array" ref="D805">_xlfn.XLOOKUP(
 B805,
 tblTargets[TargetID],
 tblTargets[TargetType],
 ""
)</f>
        <v>TECH</v>
      </c>
      <c r="E805" s="49" t="s">
        <v>6</v>
      </c>
      <c r="F805" s="87">
        <f>IFERROR(__xludf.DUMMYFUNCTION("VALUE(REGEXEXTRACT(A805,""([^.]+)$""))"),1.0)</f>
        <v>1</v>
      </c>
      <c r="G805" s="49">
        <v>2.0</v>
      </c>
      <c r="H805" s="26" t="b">
        <f>COUNTIFS(
 tblCostChecklist[RequirementID],A805,
 tblCostChecklist[PlayerPaid],TRUE
)&gt;0</f>
        <v>0</v>
      </c>
      <c r="I805" s="49">
        <f t="shared" si="1"/>
        <v>5</v>
      </c>
      <c r="J805" s="49">
        <f t="shared" si="2"/>
        <v>0</v>
      </c>
      <c r="K805" s="49">
        <f t="shared" si="3"/>
        <v>5</v>
      </c>
      <c r="L805" s="49" t="b">
        <f t="shared" si="4"/>
        <v>0</v>
      </c>
      <c r="M805" s="88">
        <f t="shared" si="5"/>
        <v>0</v>
      </c>
    </row>
    <row r="806" ht="14.25" customHeight="1">
      <c r="A806" s="49" t="s">
        <v>3187</v>
      </c>
      <c r="B806" s="49" t="str">
        <f>IFERROR(__xludf.DUMMYFUNCTION("REGEXEXTRACT(A806,""^cost\.(.*)\.[^.]+\.[^.]+$"")"),"tech.food_stall.jam")</f>
        <v>tech.food_stall.jam</v>
      </c>
      <c r="C806" s="49" t="str">
        <f t="array" ref="C806">_xlfn.XLOOKUP(
 B806,
 tblTargets[TargetID],
 tblTargets[DisplayName],
 ""
)</f>
        <v>Food Stall - Jam</v>
      </c>
      <c r="D806" s="49" t="str">
        <f t="array" ref="D806">_xlfn.XLOOKUP(
 B806,
 tblTargets[TargetID],
 tblTargets[TargetType],
 ""
)</f>
        <v>TECH</v>
      </c>
      <c r="E806" s="49" t="s">
        <v>2490</v>
      </c>
      <c r="F806" s="87">
        <f>IFERROR(__xludf.DUMMYFUNCTION("VALUE(REGEXEXTRACT(A806,""([^.]+)$""))"),1.0)</f>
        <v>1</v>
      </c>
      <c r="G806" s="49">
        <v>20.0</v>
      </c>
      <c r="H806" s="26" t="b">
        <f>COUNTIFS(
 tblCostChecklist[RequirementID],A806,
 tblCostChecklist[PlayerPaid],TRUE
)&gt;0</f>
        <v>0</v>
      </c>
      <c r="I806" s="49">
        <f t="shared" si="1"/>
        <v>5</v>
      </c>
      <c r="J806" s="49">
        <f t="shared" si="2"/>
        <v>0</v>
      </c>
      <c r="K806" s="49">
        <f t="shared" si="3"/>
        <v>5</v>
      </c>
      <c r="L806" s="49" t="b">
        <f t="shared" si="4"/>
        <v>0</v>
      </c>
      <c r="M806" s="88">
        <f t="shared" si="5"/>
        <v>0</v>
      </c>
    </row>
    <row r="807" ht="14.25" customHeight="1">
      <c r="A807" s="49" t="s">
        <v>3189</v>
      </c>
      <c r="B807" s="49" t="str">
        <f>IFERROR(__xludf.DUMMYFUNCTION("REGEXEXTRACT(A807,""^cost\.(.*)\.[^.]+\.[^.]+$"")"),"tech.food_stall.mayonnaise")</f>
        <v>tech.food_stall.mayonnaise</v>
      </c>
      <c r="C807" s="49" t="str">
        <f t="array" ref="C807">_xlfn.XLOOKUP(
 B807,
 tblTargets[TargetID],
 tblTargets[DisplayName],
 ""
)</f>
        <v>Food Stall - Mayonnaise</v>
      </c>
      <c r="D807" s="49" t="str">
        <f t="array" ref="D807">_xlfn.XLOOKUP(
 B807,
 tblTargets[TargetID],
 tblTargets[TargetType],
 ""
)</f>
        <v>TECH</v>
      </c>
      <c r="E807" s="49" t="s">
        <v>1055</v>
      </c>
      <c r="F807" s="87">
        <f>IFERROR(__xludf.DUMMYFUNCTION("VALUE(REGEXEXTRACT(A807,""([^.]+)$""))"),1.0)</f>
        <v>1</v>
      </c>
      <c r="G807" s="49">
        <v>15.0</v>
      </c>
      <c r="H807" s="26" t="b">
        <f>COUNTIFS(
 tblCostChecklist[RequirementID],A807,
 tblCostChecklist[PlayerPaid],TRUE
)&gt;0</f>
        <v>0</v>
      </c>
      <c r="I807" s="49">
        <f t="shared" si="1"/>
        <v>6</v>
      </c>
      <c r="J807" s="49">
        <f t="shared" si="2"/>
        <v>0</v>
      </c>
      <c r="K807" s="49">
        <f t="shared" si="3"/>
        <v>6</v>
      </c>
      <c r="L807" s="49" t="b">
        <f t="shared" si="4"/>
        <v>0</v>
      </c>
      <c r="M807" s="88">
        <f t="shared" si="5"/>
        <v>0</v>
      </c>
    </row>
    <row r="808" ht="14.25" customHeight="1">
      <c r="A808" s="49" t="s">
        <v>3191</v>
      </c>
      <c r="B808" s="49" t="str">
        <f>IFERROR(__xludf.DUMMYFUNCTION("REGEXEXTRACT(A808,""^cost\.(.*)\.[^.]+\.[^.]+$"")"),"tech.food_stall.mayonnaise")</f>
        <v>tech.food_stall.mayonnaise</v>
      </c>
      <c r="C808" s="49" t="str">
        <f t="array" ref="C808">_xlfn.XLOOKUP(
 B808,
 tblTargets[TargetID],
 tblTargets[DisplayName],
 ""
)</f>
        <v>Food Stall - Mayonnaise</v>
      </c>
      <c r="D808" s="49" t="str">
        <f t="array" ref="D808">_xlfn.XLOOKUP(
 B808,
 tblTargets[TargetID],
 tblTargets[TargetType],
 ""
)</f>
        <v>TECH</v>
      </c>
      <c r="E808" s="49" t="s">
        <v>119</v>
      </c>
      <c r="F808" s="87">
        <f>IFERROR(__xludf.DUMMYFUNCTION("VALUE(REGEXEXTRACT(A808,""([^.]+)$""))"),1.0)</f>
        <v>1</v>
      </c>
      <c r="G808" s="49">
        <v>400.0</v>
      </c>
      <c r="H808" s="26" t="b">
        <f>COUNTIFS(
 tblCostChecklist[RequirementID],A808,
 tblCostChecklist[PlayerPaid],TRUE
)&gt;0</f>
        <v>0</v>
      </c>
      <c r="I808" s="49">
        <f t="shared" si="1"/>
        <v>6</v>
      </c>
      <c r="J808" s="49">
        <f t="shared" si="2"/>
        <v>0</v>
      </c>
      <c r="K808" s="49">
        <f t="shared" si="3"/>
        <v>6</v>
      </c>
      <c r="L808" s="49" t="b">
        <f t="shared" si="4"/>
        <v>0</v>
      </c>
      <c r="M808" s="88">
        <f t="shared" si="5"/>
        <v>0</v>
      </c>
    </row>
    <row r="809" ht="14.25" customHeight="1">
      <c r="A809" s="49" t="s">
        <v>3193</v>
      </c>
      <c r="B809" s="49" t="str">
        <f>IFERROR(__xludf.DUMMYFUNCTION("REGEXEXTRACT(A809,""^cost\.(.*)\.[^.]+\.[^.]+$"")"),"tech.food_stall.mayonnaise")</f>
        <v>tech.food_stall.mayonnaise</v>
      </c>
      <c r="C809" s="49" t="str">
        <f t="array" ref="C809">_xlfn.XLOOKUP(
 B809,
 tblTargets[TargetID],
 tblTargets[DisplayName],
 ""
)</f>
        <v>Food Stall - Mayonnaise</v>
      </c>
      <c r="D809" s="49" t="str">
        <f t="array" ref="D809">_xlfn.XLOOKUP(
 B809,
 tblTargets[TargetID],
 tblTargets[TargetType],
 ""
)</f>
        <v>TECH</v>
      </c>
      <c r="E809" s="49" t="s">
        <v>452</v>
      </c>
      <c r="F809" s="87">
        <f>IFERROR(__xludf.DUMMYFUNCTION("VALUE(REGEXEXTRACT(A809,""([^.]+)$""))"),1.0)</f>
        <v>1</v>
      </c>
      <c r="G809" s="49">
        <v>25.0</v>
      </c>
      <c r="H809" s="26" t="b">
        <f>COUNTIFS(
 tblCostChecklist[RequirementID],A809,
 tblCostChecklist[PlayerPaid],TRUE
)&gt;0</f>
        <v>0</v>
      </c>
      <c r="I809" s="49">
        <f t="shared" si="1"/>
        <v>6</v>
      </c>
      <c r="J809" s="49">
        <f t="shared" si="2"/>
        <v>0</v>
      </c>
      <c r="K809" s="49">
        <f t="shared" si="3"/>
        <v>6</v>
      </c>
      <c r="L809" s="49" t="b">
        <f t="shared" si="4"/>
        <v>0</v>
      </c>
      <c r="M809" s="88">
        <f t="shared" si="5"/>
        <v>0</v>
      </c>
    </row>
    <row r="810" ht="14.25" customHeight="1">
      <c r="A810" s="49" t="s">
        <v>3195</v>
      </c>
      <c r="B810" s="49" t="str">
        <f>IFERROR(__xludf.DUMMYFUNCTION("REGEXEXTRACT(A810,""^cost\.(.*)\.[^.]+\.[^.]+$"")"),"tech.food_stall.mayonnaise")</f>
        <v>tech.food_stall.mayonnaise</v>
      </c>
      <c r="C810" s="49" t="str">
        <f t="array" ref="C810">_xlfn.XLOOKUP(
 B810,
 tblTargets[TargetID],
 tblTargets[DisplayName],
 ""
)</f>
        <v>Food Stall - Mayonnaise</v>
      </c>
      <c r="D810" s="49" t="str">
        <f t="array" ref="D810">_xlfn.XLOOKUP(
 B810,
 tblTargets[TargetID],
 tblTargets[TargetType],
 ""
)</f>
        <v>TECH</v>
      </c>
      <c r="E810" s="49" t="s">
        <v>360</v>
      </c>
      <c r="F810" s="87">
        <f>IFERROR(__xludf.DUMMYFUNCTION("VALUE(REGEXEXTRACT(A810,""([^.]+)$""))"),1.0)</f>
        <v>1</v>
      </c>
      <c r="G810" s="49">
        <v>1.0</v>
      </c>
      <c r="H810" s="26" t="b">
        <f>COUNTIFS(
 tblCostChecklist[RequirementID],A810,
 tblCostChecklist[PlayerPaid],TRUE
)&gt;0</f>
        <v>0</v>
      </c>
      <c r="I810" s="49">
        <f t="shared" si="1"/>
        <v>6</v>
      </c>
      <c r="J810" s="49">
        <f t="shared" si="2"/>
        <v>0</v>
      </c>
      <c r="K810" s="49">
        <f t="shared" si="3"/>
        <v>6</v>
      </c>
      <c r="L810" s="49" t="b">
        <f t="shared" si="4"/>
        <v>0</v>
      </c>
      <c r="M810" s="88">
        <f t="shared" si="5"/>
        <v>0</v>
      </c>
    </row>
    <row r="811" ht="14.25" customHeight="1">
      <c r="A811" s="49" t="s">
        <v>3197</v>
      </c>
      <c r="B811" s="49" t="str">
        <f>IFERROR(__xludf.DUMMYFUNCTION("REGEXEXTRACT(A811,""^cost\.(.*)\.[^.]+\.[^.]+$"")"),"tech.food_stall.mayonnaise")</f>
        <v>tech.food_stall.mayonnaise</v>
      </c>
      <c r="C811" s="49" t="str">
        <f t="array" ref="C811">_xlfn.XLOOKUP(
 B811,
 tblTargets[TargetID],
 tblTargets[DisplayName],
 ""
)</f>
        <v>Food Stall - Mayonnaise</v>
      </c>
      <c r="D811" s="49" t="str">
        <f t="array" ref="D811">_xlfn.XLOOKUP(
 B811,
 tblTargets[TargetID],
 tblTargets[TargetType],
 ""
)</f>
        <v>TECH</v>
      </c>
      <c r="E811" s="49" t="s">
        <v>588</v>
      </c>
      <c r="F811" s="87">
        <f>IFERROR(__xludf.DUMMYFUNCTION("VALUE(REGEXEXTRACT(A811,""([^.]+)$""))"),1.0)</f>
        <v>1</v>
      </c>
      <c r="G811" s="49">
        <v>10.0</v>
      </c>
      <c r="H811" s="26" t="b">
        <f>COUNTIFS(
 tblCostChecklist[RequirementID],A811,
 tblCostChecklist[PlayerPaid],TRUE
)&gt;0</f>
        <v>0</v>
      </c>
      <c r="I811" s="49">
        <f t="shared" si="1"/>
        <v>6</v>
      </c>
      <c r="J811" s="49">
        <f t="shared" si="2"/>
        <v>0</v>
      </c>
      <c r="K811" s="49">
        <f t="shared" si="3"/>
        <v>6</v>
      </c>
      <c r="L811" s="49" t="b">
        <f t="shared" si="4"/>
        <v>0</v>
      </c>
      <c r="M811" s="88">
        <f t="shared" si="5"/>
        <v>0</v>
      </c>
    </row>
    <row r="812" ht="14.25" customHeight="1">
      <c r="A812" s="49" t="s">
        <v>3199</v>
      </c>
      <c r="B812" s="49" t="str">
        <f>IFERROR(__xludf.DUMMYFUNCTION("REGEXEXTRACT(A812,""^cost\.(.*)\.[^.]+\.[^.]+$"")"),"tech.food_stall.mayonnaise")</f>
        <v>tech.food_stall.mayonnaise</v>
      </c>
      <c r="C812" s="49" t="str">
        <f t="array" ref="C812">_xlfn.XLOOKUP(
 B812,
 tblTargets[TargetID],
 tblTargets[DisplayName],
 ""
)</f>
        <v>Food Stall - Mayonnaise</v>
      </c>
      <c r="D812" s="49" t="str">
        <f t="array" ref="D812">_xlfn.XLOOKUP(
 B812,
 tblTargets[TargetID],
 tblTargets[TargetType],
 ""
)</f>
        <v>TECH</v>
      </c>
      <c r="E812" s="49" t="s">
        <v>6</v>
      </c>
      <c r="F812" s="87">
        <f>IFERROR(__xludf.DUMMYFUNCTION("VALUE(REGEXEXTRACT(A812,""([^.]+)$""))"),1.0)</f>
        <v>1</v>
      </c>
      <c r="G812" s="49">
        <v>2.0</v>
      </c>
      <c r="H812" s="26" t="b">
        <f>COUNTIFS(
 tblCostChecklist[RequirementID],A812,
 tblCostChecklist[PlayerPaid],TRUE
)&gt;0</f>
        <v>0</v>
      </c>
      <c r="I812" s="49">
        <f t="shared" si="1"/>
        <v>6</v>
      </c>
      <c r="J812" s="49">
        <f t="shared" si="2"/>
        <v>0</v>
      </c>
      <c r="K812" s="49">
        <f t="shared" si="3"/>
        <v>6</v>
      </c>
      <c r="L812" s="49" t="b">
        <f t="shared" si="4"/>
        <v>0</v>
      </c>
      <c r="M812" s="88">
        <f t="shared" si="5"/>
        <v>0</v>
      </c>
    </row>
    <row r="813" ht="14.25" customHeight="1">
      <c r="A813" s="49" t="s">
        <v>3201</v>
      </c>
      <c r="B813" s="49" t="str">
        <f>IFERROR(__xludf.DUMMYFUNCTION("REGEXEXTRACT(A813,""^cost\.(.*)\.[^.]+\.[^.]+$"")"),"tech.food_stall.mandra_cola")</f>
        <v>tech.food_stall.mandra_cola</v>
      </c>
      <c r="C813" s="49" t="str">
        <f t="array" ref="C813">_xlfn.XLOOKUP(
 B813,
 tblTargets[TargetID],
 tblTargets[DisplayName],
 ""
)</f>
        <v>Food Stall - Mandra Cola</v>
      </c>
      <c r="D813" s="49" t="str">
        <f t="array" ref="D813">_xlfn.XLOOKUP(
 B813,
 tblTargets[TargetID],
 tblTargets[TargetType],
 ""
)</f>
        <v>TECH</v>
      </c>
      <c r="E813" s="49" t="s">
        <v>367</v>
      </c>
      <c r="F813" s="87">
        <f>IFERROR(__xludf.DUMMYFUNCTION("VALUE(REGEXEXTRACT(A813,""([^.]+)$""))"),1.0)</f>
        <v>1</v>
      </c>
      <c r="G813" s="49">
        <v>20.0</v>
      </c>
      <c r="H813" s="26" t="b">
        <f>COUNTIFS(
 tblCostChecklist[RequirementID],A813,
 tblCostChecklist[PlayerPaid],TRUE
)&gt;0</f>
        <v>0</v>
      </c>
      <c r="I813" s="49">
        <f t="shared" si="1"/>
        <v>7</v>
      </c>
      <c r="J813" s="49">
        <f t="shared" si="2"/>
        <v>0</v>
      </c>
      <c r="K813" s="49">
        <f t="shared" si="3"/>
        <v>7</v>
      </c>
      <c r="L813" s="49" t="b">
        <f t="shared" si="4"/>
        <v>0</v>
      </c>
      <c r="M813" s="88">
        <f t="shared" si="5"/>
        <v>0</v>
      </c>
    </row>
    <row r="814" ht="14.25" customHeight="1">
      <c r="A814" s="49" t="s">
        <v>3203</v>
      </c>
      <c r="B814" s="49" t="str">
        <f>IFERROR(__xludf.DUMMYFUNCTION("REGEXEXTRACT(A814,""^cost\.(.*)\.[^.]+\.[^.]+$"")"),"tech.food_stall.mandra_cola")</f>
        <v>tech.food_stall.mandra_cola</v>
      </c>
      <c r="C814" s="49" t="str">
        <f t="array" ref="C814">_xlfn.XLOOKUP(
 B814,
 tblTargets[TargetID],
 tblTargets[DisplayName],
 ""
)</f>
        <v>Food Stall - Mandra Cola</v>
      </c>
      <c r="D814" s="49" t="str">
        <f t="array" ref="D814">_xlfn.XLOOKUP(
 B814,
 tblTargets[TargetID],
 tblTargets[TargetType],
 ""
)</f>
        <v>TECH</v>
      </c>
      <c r="E814" s="49" t="s">
        <v>1055</v>
      </c>
      <c r="F814" s="87">
        <f>IFERROR(__xludf.DUMMYFUNCTION("VALUE(REGEXEXTRACT(A814,""([^.]+)$""))"),1.0)</f>
        <v>1</v>
      </c>
      <c r="G814" s="49">
        <v>15.0</v>
      </c>
      <c r="H814" s="26" t="b">
        <f>COUNTIFS(
 tblCostChecklist[RequirementID],A814,
 tblCostChecklist[PlayerPaid],TRUE
)&gt;0</f>
        <v>0</v>
      </c>
      <c r="I814" s="49">
        <f t="shared" si="1"/>
        <v>7</v>
      </c>
      <c r="J814" s="49">
        <f t="shared" si="2"/>
        <v>0</v>
      </c>
      <c r="K814" s="49">
        <f t="shared" si="3"/>
        <v>7</v>
      </c>
      <c r="L814" s="49" t="b">
        <f t="shared" si="4"/>
        <v>0</v>
      </c>
      <c r="M814" s="88">
        <f t="shared" si="5"/>
        <v>0</v>
      </c>
    </row>
    <row r="815" ht="14.25" customHeight="1">
      <c r="A815" s="49" t="s">
        <v>3205</v>
      </c>
      <c r="B815" s="49" t="str">
        <f>IFERROR(__xludf.DUMMYFUNCTION("REGEXEXTRACT(A815,""^cost\.(.*)\.[^.]+\.[^.]+$"")"),"tech.food_stall.mandra_cola")</f>
        <v>tech.food_stall.mandra_cola</v>
      </c>
      <c r="C815" s="49" t="str">
        <f t="array" ref="C815">_xlfn.XLOOKUP(
 B815,
 tblTargets[TargetID],
 tblTargets[DisplayName],
 ""
)</f>
        <v>Food Stall - Mandra Cola</v>
      </c>
      <c r="D815" s="49" t="str">
        <f t="array" ref="D815">_xlfn.XLOOKUP(
 B815,
 tblTargets[TargetID],
 tblTargets[TargetType],
 ""
)</f>
        <v>TECH</v>
      </c>
      <c r="E815" s="49" t="s">
        <v>119</v>
      </c>
      <c r="F815" s="87">
        <f>IFERROR(__xludf.DUMMYFUNCTION("VALUE(REGEXEXTRACT(A815,""([^.]+)$""))"),1.0)</f>
        <v>1</v>
      </c>
      <c r="G815" s="49">
        <v>400.0</v>
      </c>
      <c r="H815" s="26" t="b">
        <f>COUNTIFS(
 tblCostChecklist[RequirementID],A815,
 tblCostChecklist[PlayerPaid],TRUE
)&gt;0</f>
        <v>0</v>
      </c>
      <c r="I815" s="49">
        <f t="shared" si="1"/>
        <v>7</v>
      </c>
      <c r="J815" s="49">
        <f t="shared" si="2"/>
        <v>0</v>
      </c>
      <c r="K815" s="49">
        <f t="shared" si="3"/>
        <v>7</v>
      </c>
      <c r="L815" s="49" t="b">
        <f t="shared" si="4"/>
        <v>0</v>
      </c>
      <c r="M815" s="88">
        <f t="shared" si="5"/>
        <v>0</v>
      </c>
    </row>
    <row r="816" ht="14.25" customHeight="1">
      <c r="A816" s="49" t="s">
        <v>3207</v>
      </c>
      <c r="B816" s="49" t="str">
        <f>IFERROR(__xludf.DUMMYFUNCTION("REGEXEXTRACT(A816,""^cost\.(.*)\.[^.]+\.[^.]+$"")"),"tech.food_stall.mandra_cola")</f>
        <v>tech.food_stall.mandra_cola</v>
      </c>
      <c r="C816" s="49" t="str">
        <f t="array" ref="C816">_xlfn.XLOOKUP(
 B816,
 tblTargets[TargetID],
 tblTargets[DisplayName],
 ""
)</f>
        <v>Food Stall - Mandra Cola</v>
      </c>
      <c r="D816" s="49" t="str">
        <f t="array" ref="D816">_xlfn.XLOOKUP(
 B816,
 tblTargets[TargetID],
 tblTargets[TargetType],
 ""
)</f>
        <v>TECH</v>
      </c>
      <c r="E816" s="49" t="s">
        <v>360</v>
      </c>
      <c r="F816" s="87">
        <f>IFERROR(__xludf.DUMMYFUNCTION("VALUE(REGEXEXTRACT(A816,""([^.]+)$""))"),1.0)</f>
        <v>1</v>
      </c>
      <c r="G816" s="49">
        <v>5.0</v>
      </c>
      <c r="H816" s="26" t="b">
        <f>COUNTIFS(
 tblCostChecklist[RequirementID],A816,
 tblCostChecklist[PlayerPaid],TRUE
)&gt;0</f>
        <v>0</v>
      </c>
      <c r="I816" s="49">
        <f t="shared" si="1"/>
        <v>7</v>
      </c>
      <c r="J816" s="49">
        <f t="shared" si="2"/>
        <v>0</v>
      </c>
      <c r="K816" s="49">
        <f t="shared" si="3"/>
        <v>7</v>
      </c>
      <c r="L816" s="49" t="b">
        <f t="shared" si="4"/>
        <v>0</v>
      </c>
      <c r="M816" s="88">
        <f t="shared" si="5"/>
        <v>0</v>
      </c>
    </row>
    <row r="817" ht="14.25" customHeight="1">
      <c r="A817" s="49" t="s">
        <v>3210</v>
      </c>
      <c r="B817" s="49" t="str">
        <f>IFERROR(__xludf.DUMMYFUNCTION("REGEXEXTRACT(A817,""^cost\.(.*)\.[^.]+\.[^.]+$"")"),"tech.food_stall.mandra_cola")</f>
        <v>tech.food_stall.mandra_cola</v>
      </c>
      <c r="C817" s="49" t="str">
        <f t="array" ref="C817">_xlfn.XLOOKUP(
 B817,
 tblTargets[TargetID],
 tblTargets[DisplayName],
 ""
)</f>
        <v>Food Stall - Mandra Cola</v>
      </c>
      <c r="D817" s="49" t="str">
        <f t="array" ref="D817">_xlfn.XLOOKUP(
 B817,
 tblTargets[TargetID],
 tblTargets[TargetType],
 ""
)</f>
        <v>TECH</v>
      </c>
      <c r="E817" s="49" t="s">
        <v>2486</v>
      </c>
      <c r="F817" s="87">
        <f>IFERROR(__xludf.DUMMYFUNCTION("VALUE(REGEXEXTRACT(A817,""([^.]+)$""))"),1.0)</f>
        <v>1</v>
      </c>
      <c r="G817" s="49">
        <v>10.0</v>
      </c>
      <c r="H817" s="26" t="b">
        <f>COUNTIFS(
 tblCostChecklist[RequirementID],A817,
 tblCostChecklist[PlayerPaid],TRUE
)&gt;0</f>
        <v>0</v>
      </c>
      <c r="I817" s="49">
        <f t="shared" si="1"/>
        <v>7</v>
      </c>
      <c r="J817" s="49">
        <f t="shared" si="2"/>
        <v>0</v>
      </c>
      <c r="K817" s="49">
        <f t="shared" si="3"/>
        <v>7</v>
      </c>
      <c r="L817" s="49" t="b">
        <f t="shared" si="4"/>
        <v>0</v>
      </c>
      <c r="M817" s="88">
        <f t="shared" si="5"/>
        <v>0</v>
      </c>
    </row>
    <row r="818" ht="14.25" customHeight="1">
      <c r="A818" s="49" t="s">
        <v>3211</v>
      </c>
      <c r="B818" s="49" t="str">
        <f>IFERROR(__xludf.DUMMYFUNCTION("REGEXEXTRACT(A818,""^cost\.(.*)\.[^.]+\.[^.]+$"")"),"tech.food_stall.mandra_cola")</f>
        <v>tech.food_stall.mandra_cola</v>
      </c>
      <c r="C818" s="49" t="str">
        <f t="array" ref="C818">_xlfn.XLOOKUP(
 B818,
 tblTargets[TargetID],
 tblTargets[DisplayName],
 ""
)</f>
        <v>Food Stall - Mandra Cola</v>
      </c>
      <c r="D818" s="49" t="str">
        <f t="array" ref="D818">_xlfn.XLOOKUP(
 B818,
 tblTargets[TargetID],
 tblTargets[TargetType],
 ""
)</f>
        <v>TECH</v>
      </c>
      <c r="E818" s="49" t="s">
        <v>2304</v>
      </c>
      <c r="F818" s="87">
        <f>IFERROR(__xludf.DUMMYFUNCTION("VALUE(REGEXEXTRACT(A818,""([^.]+)$""))"),1.0)</f>
        <v>1</v>
      </c>
      <c r="G818" s="49">
        <v>20.0</v>
      </c>
      <c r="H818" s="26" t="b">
        <f>COUNTIFS(
 tblCostChecklist[RequirementID],A818,
 tblCostChecklist[PlayerPaid],TRUE
)&gt;0</f>
        <v>0</v>
      </c>
      <c r="I818" s="49">
        <f t="shared" si="1"/>
        <v>7</v>
      </c>
      <c r="J818" s="49">
        <f t="shared" si="2"/>
        <v>0</v>
      </c>
      <c r="K818" s="49">
        <f t="shared" si="3"/>
        <v>7</v>
      </c>
      <c r="L818" s="49" t="b">
        <f t="shared" si="4"/>
        <v>0</v>
      </c>
      <c r="M818" s="88">
        <f t="shared" si="5"/>
        <v>0</v>
      </c>
    </row>
    <row r="819" ht="14.25" customHeight="1">
      <c r="A819" s="49" t="s">
        <v>3213</v>
      </c>
      <c r="B819" s="49" t="str">
        <f>IFERROR(__xludf.DUMMYFUNCTION("REGEXEXTRACT(A819,""^cost\.(.*)\.[^.]+\.[^.]+$"")"),"tech.food_stall.mandra_cola")</f>
        <v>tech.food_stall.mandra_cola</v>
      </c>
      <c r="C819" s="49" t="str">
        <f t="array" ref="C819">_xlfn.XLOOKUP(
 B819,
 tblTargets[TargetID],
 tblTargets[DisplayName],
 ""
)</f>
        <v>Food Stall - Mandra Cola</v>
      </c>
      <c r="D819" s="49" t="str">
        <f t="array" ref="D819">_xlfn.XLOOKUP(
 B819,
 tblTargets[TargetID],
 tblTargets[TargetType],
 ""
)</f>
        <v>TECH</v>
      </c>
      <c r="E819" s="49" t="s">
        <v>6</v>
      </c>
      <c r="F819" s="87">
        <f>IFERROR(__xludf.DUMMYFUNCTION("VALUE(REGEXEXTRACT(A819,""([^.]+)$""))"),1.0)</f>
        <v>1</v>
      </c>
      <c r="G819" s="49">
        <v>2.0</v>
      </c>
      <c r="H819" s="26" t="b">
        <f>COUNTIFS(
 tblCostChecklist[RequirementID],A819,
 tblCostChecklist[PlayerPaid],TRUE
)&gt;0</f>
        <v>0</v>
      </c>
      <c r="I819" s="49">
        <f t="shared" si="1"/>
        <v>7</v>
      </c>
      <c r="J819" s="49">
        <f t="shared" si="2"/>
        <v>0</v>
      </c>
      <c r="K819" s="49">
        <f t="shared" si="3"/>
        <v>7</v>
      </c>
      <c r="L819" s="49" t="b">
        <f t="shared" si="4"/>
        <v>0</v>
      </c>
      <c r="M819" s="88">
        <f t="shared" si="5"/>
        <v>0</v>
      </c>
    </row>
    <row r="820" ht="14.25" customHeight="1">
      <c r="A820" s="49" t="s">
        <v>3215</v>
      </c>
      <c r="B820" s="49" t="str">
        <f>IFERROR(__xludf.DUMMYFUNCTION("REGEXEXTRACT(A820,""^cost\.(.*)\.[^.]+\.[^.]+$"")"),"tech.food_stall.inarizushi")</f>
        <v>tech.food_stall.inarizushi</v>
      </c>
      <c r="C820" s="49" t="str">
        <f t="array" ref="C820">_xlfn.XLOOKUP(
 B820,
 tblTargets[TargetID],
 tblTargets[DisplayName],
 ""
)</f>
        <v>Food Stall - Inarizushi</v>
      </c>
      <c r="D820" s="49" t="str">
        <f t="array" ref="D820">_xlfn.XLOOKUP(
 B820,
 tblTargets[TargetID],
 tblTargets[TargetType],
 ""
)</f>
        <v>TECH</v>
      </c>
      <c r="E820" s="49" t="s">
        <v>119</v>
      </c>
      <c r="F820" s="87">
        <f>IFERROR(__xludf.DUMMYFUNCTION("VALUE(REGEXEXTRACT(A820,""([^.]+)$""))"),1.0)</f>
        <v>1</v>
      </c>
      <c r="G820" s="49">
        <v>400.0</v>
      </c>
      <c r="H820" s="26" t="b">
        <f>COUNTIFS(
 tblCostChecklist[RequirementID],A820,
 tblCostChecklist[PlayerPaid],TRUE
)&gt;0</f>
        <v>0</v>
      </c>
      <c r="I820" s="49">
        <f t="shared" si="1"/>
        <v>5</v>
      </c>
      <c r="J820" s="49">
        <f t="shared" si="2"/>
        <v>0</v>
      </c>
      <c r="K820" s="49">
        <f t="shared" si="3"/>
        <v>5</v>
      </c>
      <c r="L820" s="49" t="b">
        <f t="shared" si="4"/>
        <v>0</v>
      </c>
      <c r="M820" s="88">
        <f t="shared" si="5"/>
        <v>0</v>
      </c>
    </row>
    <row r="821" ht="14.25" customHeight="1">
      <c r="A821" s="49" t="s">
        <v>3217</v>
      </c>
      <c r="B821" s="49" t="str">
        <f>IFERROR(__xludf.DUMMYFUNCTION("REGEXEXTRACT(A821,""^cost\.(.*)\.[^.]+\.[^.]+$"")"),"tech.food_stall.inarizushi")</f>
        <v>tech.food_stall.inarizushi</v>
      </c>
      <c r="C821" s="49" t="str">
        <f t="array" ref="C821">_xlfn.XLOOKUP(
 B821,
 tblTargets[TargetID],
 tblTargets[DisplayName],
 ""
)</f>
        <v>Food Stall - Inarizushi</v>
      </c>
      <c r="D821" s="49" t="str">
        <f t="array" ref="D821">_xlfn.XLOOKUP(
 B821,
 tblTargets[TargetID],
 tblTargets[TargetType],
 ""
)</f>
        <v>TECH</v>
      </c>
      <c r="E821" s="49" t="s">
        <v>530</v>
      </c>
      <c r="F821" s="87">
        <f>IFERROR(__xludf.DUMMYFUNCTION("VALUE(REGEXEXTRACT(A821,""([^.]+)$""))"),1.0)</f>
        <v>1</v>
      </c>
      <c r="G821" s="49">
        <v>13.0</v>
      </c>
      <c r="H821" s="26" t="b">
        <f>COUNTIFS(
 tblCostChecklist[RequirementID],A821,
 tblCostChecklist[PlayerPaid],TRUE
)&gt;0</f>
        <v>0</v>
      </c>
      <c r="I821" s="49">
        <f t="shared" si="1"/>
        <v>5</v>
      </c>
      <c r="J821" s="49">
        <f t="shared" si="2"/>
        <v>0</v>
      </c>
      <c r="K821" s="49">
        <f t="shared" si="3"/>
        <v>5</v>
      </c>
      <c r="L821" s="49" t="b">
        <f t="shared" si="4"/>
        <v>0</v>
      </c>
      <c r="M821" s="88">
        <f t="shared" si="5"/>
        <v>0</v>
      </c>
    </row>
    <row r="822" ht="14.25" customHeight="1">
      <c r="A822" s="49" t="s">
        <v>3219</v>
      </c>
      <c r="B822" s="49" t="str">
        <f>IFERROR(__xludf.DUMMYFUNCTION("REGEXEXTRACT(A822,""^cost\.(.*)\.[^.]+\.[^.]+$"")"),"tech.food_stall.inarizushi")</f>
        <v>tech.food_stall.inarizushi</v>
      </c>
      <c r="C822" s="49" t="str">
        <f t="array" ref="C822">_xlfn.XLOOKUP(
 B822,
 tblTargets[TargetID],
 tblTargets[DisplayName],
 ""
)</f>
        <v>Food Stall - Inarizushi</v>
      </c>
      <c r="D822" s="49" t="str">
        <f t="array" ref="D822">_xlfn.XLOOKUP(
 B822,
 tblTargets[TargetID],
 tblTargets[TargetType],
 ""
)</f>
        <v>TECH</v>
      </c>
      <c r="E822" s="49" t="s">
        <v>6</v>
      </c>
      <c r="F822" s="87">
        <f>IFERROR(__xludf.DUMMYFUNCTION("VALUE(REGEXEXTRACT(A822,""([^.]+)$""))"),1.0)</f>
        <v>1</v>
      </c>
      <c r="G822" s="49">
        <v>2.0</v>
      </c>
      <c r="H822" s="26" t="b">
        <f>COUNTIFS(
 tblCostChecklist[RequirementID],A822,
 tblCostChecklist[PlayerPaid],TRUE
)&gt;0</f>
        <v>0</v>
      </c>
      <c r="I822" s="49">
        <f t="shared" si="1"/>
        <v>5</v>
      </c>
      <c r="J822" s="49">
        <f t="shared" si="2"/>
        <v>0</v>
      </c>
      <c r="K822" s="49">
        <f t="shared" si="3"/>
        <v>5</v>
      </c>
      <c r="L822" s="49" t="b">
        <f t="shared" si="4"/>
        <v>0</v>
      </c>
      <c r="M822" s="88">
        <f t="shared" si="5"/>
        <v>0</v>
      </c>
    </row>
    <row r="823" ht="14.25" customHeight="1">
      <c r="A823" s="49" t="s">
        <v>3221</v>
      </c>
      <c r="B823" s="49" t="str">
        <f>IFERROR(__xludf.DUMMYFUNCTION("REGEXEXTRACT(A823,""^cost\.(.*)\.[^.]+\.[^.]+$"")"),"tech.food_stall.inarizushi")</f>
        <v>tech.food_stall.inarizushi</v>
      </c>
      <c r="C823" s="49" t="str">
        <f t="array" ref="C823">_xlfn.XLOOKUP(
 B823,
 tblTargets[TargetID],
 tblTargets[DisplayName],
 ""
)</f>
        <v>Food Stall - Inarizushi</v>
      </c>
      <c r="D823" s="49" t="str">
        <f t="array" ref="D823">_xlfn.XLOOKUP(
 B823,
 tblTargets[TargetID],
 tblTargets[TargetType],
 ""
)</f>
        <v>TECH</v>
      </c>
      <c r="E823" s="49" t="s">
        <v>711</v>
      </c>
      <c r="F823" s="87">
        <f>IFERROR(__xludf.DUMMYFUNCTION("VALUE(REGEXEXTRACT(A823,""([^.]+)$""))"),1.0)</f>
        <v>1</v>
      </c>
      <c r="G823" s="49">
        <v>8.0</v>
      </c>
      <c r="H823" s="26" t="b">
        <f>COUNTIFS(
 tblCostChecklist[RequirementID],A823,
 tblCostChecklist[PlayerPaid],TRUE
)&gt;0</f>
        <v>0</v>
      </c>
      <c r="I823" s="49">
        <f t="shared" si="1"/>
        <v>5</v>
      </c>
      <c r="J823" s="49">
        <f t="shared" si="2"/>
        <v>0</v>
      </c>
      <c r="K823" s="49">
        <f t="shared" si="3"/>
        <v>5</v>
      </c>
      <c r="L823" s="49" t="b">
        <f t="shared" si="4"/>
        <v>0</v>
      </c>
      <c r="M823" s="88">
        <f t="shared" si="5"/>
        <v>0</v>
      </c>
    </row>
    <row r="824" ht="14.25" customHeight="1">
      <c r="A824" s="49" t="s">
        <v>3223</v>
      </c>
      <c r="B824" s="49" t="str">
        <f>IFERROR(__xludf.DUMMYFUNCTION("REGEXEXTRACT(A824,""^cost\.(.*)\.[^.]+\.[^.]+$"")"),"tech.food_stall.inarizushi")</f>
        <v>tech.food_stall.inarizushi</v>
      </c>
      <c r="C824" s="49" t="str">
        <f t="array" ref="C824">_xlfn.XLOOKUP(
 B824,
 tblTargets[TargetID],
 tblTargets[DisplayName],
 ""
)</f>
        <v>Food Stall - Inarizushi</v>
      </c>
      <c r="D824" s="49" t="str">
        <f t="array" ref="D824">_xlfn.XLOOKUP(
 B824,
 tblTargets[TargetID],
 tblTargets[TargetType],
 ""
)</f>
        <v>TECH</v>
      </c>
      <c r="E824" s="49" t="s">
        <v>3225</v>
      </c>
      <c r="F824" s="87">
        <f>IFERROR(__xludf.DUMMYFUNCTION("VALUE(REGEXEXTRACT(A824,""([^.]+)$""))"),1.0)</f>
        <v>1</v>
      </c>
      <c r="G824" s="49">
        <v>10.0</v>
      </c>
      <c r="H824" s="26" t="b">
        <f>COUNTIFS(
 tblCostChecklist[RequirementID],A824,
 tblCostChecklist[PlayerPaid],TRUE
)&gt;0</f>
        <v>0</v>
      </c>
      <c r="I824" s="49">
        <f t="shared" si="1"/>
        <v>5</v>
      </c>
      <c r="J824" s="49">
        <f t="shared" si="2"/>
        <v>0</v>
      </c>
      <c r="K824" s="49">
        <f t="shared" si="3"/>
        <v>5</v>
      </c>
      <c r="L824" s="49" t="b">
        <f t="shared" si="4"/>
        <v>0</v>
      </c>
      <c r="M824" s="88">
        <f t="shared" si="5"/>
        <v>0</v>
      </c>
    </row>
    <row r="825" ht="14.25" customHeight="1">
      <c r="A825" s="49" t="s">
        <v>3226</v>
      </c>
      <c r="B825" s="49" t="str">
        <f>IFERROR(__xludf.DUMMYFUNCTION("REGEXEXTRACT(A825,""^cost\.(.*)\.[^.]+\.[^.]+$"")"),"tech.food_stall.conveyor_belt_sushi")</f>
        <v>tech.food_stall.conveyor_belt_sushi</v>
      </c>
      <c r="C825" s="49" t="str">
        <f t="array" ref="C825">_xlfn.XLOOKUP(
 B825,
 tblTargets[TargetID],
 tblTargets[DisplayName],
 ""
)</f>
        <v>Food Stall - Conveyor Belt Sushi</v>
      </c>
      <c r="D825" s="49" t="str">
        <f t="array" ref="D825">_xlfn.XLOOKUP(
 B825,
 tblTargets[TargetID],
 tblTargets[TargetType],
 ""
)</f>
        <v>TECH</v>
      </c>
      <c r="E825" s="49" t="s">
        <v>1055</v>
      </c>
      <c r="F825" s="87">
        <f>IFERROR(__xludf.DUMMYFUNCTION("VALUE(REGEXEXTRACT(A825,""([^.]+)$""))"),1.0)</f>
        <v>1</v>
      </c>
      <c r="G825" s="49">
        <v>10.0</v>
      </c>
      <c r="H825" s="26" t="b">
        <f>COUNTIFS(
 tblCostChecklist[RequirementID],A825,
 tblCostChecklist[PlayerPaid],TRUE
)&gt;0</f>
        <v>0</v>
      </c>
      <c r="I825" s="49">
        <f t="shared" si="1"/>
        <v>6</v>
      </c>
      <c r="J825" s="49">
        <f t="shared" si="2"/>
        <v>0</v>
      </c>
      <c r="K825" s="49">
        <f t="shared" si="3"/>
        <v>6</v>
      </c>
      <c r="L825" s="49" t="b">
        <f t="shared" si="4"/>
        <v>0</v>
      </c>
      <c r="M825" s="88">
        <f t="shared" si="5"/>
        <v>0</v>
      </c>
    </row>
    <row r="826" ht="14.25" customHeight="1">
      <c r="A826" s="49" t="s">
        <v>3228</v>
      </c>
      <c r="B826" s="49" t="str">
        <f>IFERROR(__xludf.DUMMYFUNCTION("REGEXEXTRACT(A826,""^cost\.(.*)\.[^.]+\.[^.]+$"")"),"tech.food_stall.conveyor_belt_sushi")</f>
        <v>tech.food_stall.conveyor_belt_sushi</v>
      </c>
      <c r="C826" s="49" t="str">
        <f t="array" ref="C826">_xlfn.XLOOKUP(
 B826,
 tblTargets[TargetID],
 tblTargets[DisplayName],
 ""
)</f>
        <v>Food Stall - Conveyor Belt Sushi</v>
      </c>
      <c r="D826" s="49" t="str">
        <f t="array" ref="D826">_xlfn.XLOOKUP(
 B826,
 tblTargets[TargetID],
 tblTargets[TargetType],
 ""
)</f>
        <v>TECH</v>
      </c>
      <c r="E826" s="49" t="s">
        <v>119</v>
      </c>
      <c r="F826" s="87">
        <f>IFERROR(__xludf.DUMMYFUNCTION("VALUE(REGEXEXTRACT(A826,""([^.]+)$""))"),1.0)</f>
        <v>1</v>
      </c>
      <c r="G826" s="49">
        <v>300.0</v>
      </c>
      <c r="H826" s="26" t="b">
        <f>COUNTIFS(
 tblCostChecklist[RequirementID],A826,
 tblCostChecklist[PlayerPaid],TRUE
)&gt;0</f>
        <v>0</v>
      </c>
      <c r="I826" s="49">
        <f t="shared" si="1"/>
        <v>6</v>
      </c>
      <c r="J826" s="49">
        <f t="shared" si="2"/>
        <v>0</v>
      </c>
      <c r="K826" s="49">
        <f t="shared" si="3"/>
        <v>6</v>
      </c>
      <c r="L826" s="49" t="b">
        <f t="shared" si="4"/>
        <v>0</v>
      </c>
      <c r="M826" s="88">
        <f t="shared" si="5"/>
        <v>0</v>
      </c>
    </row>
    <row r="827" ht="14.25" customHeight="1">
      <c r="A827" s="49" t="s">
        <v>3230</v>
      </c>
      <c r="B827" s="49" t="str">
        <f>IFERROR(__xludf.DUMMYFUNCTION("REGEXEXTRACT(A827,""^cost\.(.*)\.[^.]+\.[^.]+$"")"),"tech.food_stall.conveyor_belt_sushi")</f>
        <v>tech.food_stall.conveyor_belt_sushi</v>
      </c>
      <c r="C827" s="49" t="str">
        <f t="array" ref="C827">_xlfn.XLOOKUP(
 B827,
 tblTargets[TargetID],
 tblTargets[DisplayName],
 ""
)</f>
        <v>Food Stall - Conveyor Belt Sushi</v>
      </c>
      <c r="D827" s="49" t="str">
        <f t="array" ref="D827">_xlfn.XLOOKUP(
 B827,
 tblTargets[TargetID],
 tblTargets[TargetType],
 ""
)</f>
        <v>TECH</v>
      </c>
      <c r="E827" s="49" t="s">
        <v>2964</v>
      </c>
      <c r="F827" s="87">
        <f>IFERROR(__xludf.DUMMYFUNCTION("VALUE(REGEXEXTRACT(A827,""([^.]+)$""))"),1.0)</f>
        <v>1</v>
      </c>
      <c r="G827" s="49">
        <v>40.0</v>
      </c>
      <c r="H827" s="26" t="b">
        <f>COUNTIFS(
 tblCostChecklist[RequirementID],A827,
 tblCostChecklist[PlayerPaid],TRUE
)&gt;0</f>
        <v>0</v>
      </c>
      <c r="I827" s="49">
        <f t="shared" si="1"/>
        <v>6</v>
      </c>
      <c r="J827" s="49">
        <f t="shared" si="2"/>
        <v>0</v>
      </c>
      <c r="K827" s="49">
        <f t="shared" si="3"/>
        <v>6</v>
      </c>
      <c r="L827" s="49" t="b">
        <f t="shared" si="4"/>
        <v>0</v>
      </c>
      <c r="M827" s="88">
        <f t="shared" si="5"/>
        <v>0</v>
      </c>
    </row>
    <row r="828" ht="14.25" customHeight="1">
      <c r="A828" s="49" t="s">
        <v>3232</v>
      </c>
      <c r="B828" s="49" t="str">
        <f>IFERROR(__xludf.DUMMYFUNCTION("REGEXEXTRACT(A828,""^cost\.(.*)\.[^.]+\.[^.]+$"")"),"tech.food_stall.conveyor_belt_sushi")</f>
        <v>tech.food_stall.conveyor_belt_sushi</v>
      </c>
      <c r="C828" s="49" t="str">
        <f t="array" ref="C828">_xlfn.XLOOKUP(
 B828,
 tblTargets[TargetID],
 tblTargets[DisplayName],
 ""
)</f>
        <v>Food Stall - Conveyor Belt Sushi</v>
      </c>
      <c r="D828" s="49" t="str">
        <f t="array" ref="D828">_xlfn.XLOOKUP(
 B828,
 tblTargets[TargetID],
 tblTargets[TargetType],
 ""
)</f>
        <v>TECH</v>
      </c>
      <c r="E828" s="49" t="s">
        <v>1078</v>
      </c>
      <c r="F828" s="87">
        <f>IFERROR(__xludf.DUMMYFUNCTION("VALUE(REGEXEXTRACT(A828,""([^.]+)$""))"),1.0)</f>
        <v>1</v>
      </c>
      <c r="G828" s="49">
        <v>5.0</v>
      </c>
      <c r="H828" s="26" t="b">
        <f>COUNTIFS(
 tblCostChecklist[RequirementID],A828,
 tblCostChecklist[PlayerPaid],TRUE
)&gt;0</f>
        <v>0</v>
      </c>
      <c r="I828" s="49">
        <f t="shared" si="1"/>
        <v>6</v>
      </c>
      <c r="J828" s="49">
        <f t="shared" si="2"/>
        <v>0</v>
      </c>
      <c r="K828" s="49">
        <f t="shared" si="3"/>
        <v>6</v>
      </c>
      <c r="L828" s="49" t="b">
        <f t="shared" si="4"/>
        <v>0</v>
      </c>
      <c r="M828" s="88">
        <f t="shared" si="5"/>
        <v>0</v>
      </c>
    </row>
    <row r="829" ht="14.25" customHeight="1">
      <c r="A829" s="49" t="s">
        <v>3234</v>
      </c>
      <c r="B829" s="49" t="str">
        <f>IFERROR(__xludf.DUMMYFUNCTION("REGEXEXTRACT(A829,""^cost\.(.*)\.[^.]+\.[^.]+$"")"),"tech.food_stall.conveyor_belt_sushi")</f>
        <v>tech.food_stall.conveyor_belt_sushi</v>
      </c>
      <c r="C829" s="49" t="str">
        <f t="array" ref="C829">_xlfn.XLOOKUP(
 B829,
 tblTargets[TargetID],
 tblTargets[DisplayName],
 ""
)</f>
        <v>Food Stall - Conveyor Belt Sushi</v>
      </c>
      <c r="D829" s="49" t="str">
        <f t="array" ref="D829">_xlfn.XLOOKUP(
 B829,
 tblTargets[TargetID],
 tblTargets[TargetType],
 ""
)</f>
        <v>TECH</v>
      </c>
      <c r="E829" s="49" t="s">
        <v>6</v>
      </c>
      <c r="F829" s="87">
        <f>IFERROR(__xludf.DUMMYFUNCTION("VALUE(REGEXEXTRACT(A829,""([^.]+)$""))"),1.0)</f>
        <v>1</v>
      </c>
      <c r="G829" s="49">
        <v>2.0</v>
      </c>
      <c r="H829" s="26" t="b">
        <f>COUNTIFS(
 tblCostChecklist[RequirementID],A829,
 tblCostChecklist[PlayerPaid],TRUE
)&gt;0</f>
        <v>0</v>
      </c>
      <c r="I829" s="49">
        <f t="shared" si="1"/>
        <v>6</v>
      </c>
      <c r="J829" s="49">
        <f t="shared" si="2"/>
        <v>0</v>
      </c>
      <c r="K829" s="49">
        <f t="shared" si="3"/>
        <v>6</v>
      </c>
      <c r="L829" s="49" t="b">
        <f t="shared" si="4"/>
        <v>0</v>
      </c>
      <c r="M829" s="88">
        <f t="shared" si="5"/>
        <v>0</v>
      </c>
    </row>
    <row r="830" ht="14.25" customHeight="1">
      <c r="A830" s="49" t="s">
        <v>3236</v>
      </c>
      <c r="B830" s="49" t="str">
        <f>IFERROR(__xludf.DUMMYFUNCTION("REGEXEXTRACT(A830,""^cost\.(.*)\.[^.]+\.[^.]+$"")"),"tech.food_stall.conveyor_belt_sushi")</f>
        <v>tech.food_stall.conveyor_belt_sushi</v>
      </c>
      <c r="C830" s="49" t="str">
        <f t="array" ref="C830">_xlfn.XLOOKUP(
 B830,
 tblTargets[TargetID],
 tblTargets[DisplayName],
 ""
)</f>
        <v>Food Stall - Conveyor Belt Sushi</v>
      </c>
      <c r="D830" s="49" t="str">
        <f t="array" ref="D830">_xlfn.XLOOKUP(
 B830,
 tblTargets[TargetID],
 tblTargets[TargetType],
 ""
)</f>
        <v>TECH</v>
      </c>
      <c r="E830" s="49" t="s">
        <v>392</v>
      </c>
      <c r="F830" s="87">
        <f>IFERROR(__xludf.DUMMYFUNCTION("VALUE(REGEXEXTRACT(A830,""([^.]+)$""))"),1.0)</f>
        <v>1</v>
      </c>
      <c r="G830" s="49">
        <v>20.0</v>
      </c>
      <c r="H830" s="26" t="b">
        <f>COUNTIFS(
 tblCostChecklist[RequirementID],A830,
 tblCostChecklist[PlayerPaid],TRUE
)&gt;0</f>
        <v>0</v>
      </c>
      <c r="I830" s="49">
        <f t="shared" si="1"/>
        <v>6</v>
      </c>
      <c r="J830" s="49">
        <f t="shared" si="2"/>
        <v>0</v>
      </c>
      <c r="K830" s="49">
        <f t="shared" si="3"/>
        <v>6</v>
      </c>
      <c r="L830" s="49" t="b">
        <f t="shared" si="4"/>
        <v>0</v>
      </c>
      <c r="M830" s="88">
        <f t="shared" si="5"/>
        <v>0</v>
      </c>
    </row>
    <row r="831" ht="14.25" customHeight="1">
      <c r="A831" s="49" t="s">
        <v>3237</v>
      </c>
      <c r="B831" s="49" t="str">
        <f>IFERROR(__xludf.DUMMYFUNCTION("REGEXEXTRACT(A831,""^cost\.(.*)\.[^.]+\.[^.]+$"")"),"tech.food_stall.miso_soup")</f>
        <v>tech.food_stall.miso_soup</v>
      </c>
      <c r="C831" s="49" t="str">
        <f t="array" ref="C831">_xlfn.XLOOKUP(
 B831,
 tblTargets[TargetID],
 tblTargets[DisplayName],
 ""
)</f>
        <v>Food Stall - Miso Soup</v>
      </c>
      <c r="D831" s="49" t="str">
        <f t="array" ref="D831">_xlfn.XLOOKUP(
 B831,
 tblTargets[TargetID],
 tblTargets[TargetType],
 ""
)</f>
        <v>TECH</v>
      </c>
      <c r="E831" s="49" t="s">
        <v>119</v>
      </c>
      <c r="F831" s="87">
        <f>IFERROR(__xludf.DUMMYFUNCTION("VALUE(REGEXEXTRACT(A831,""([^.]+)$""))"),1.0)</f>
        <v>1</v>
      </c>
      <c r="G831" s="49">
        <v>500.0</v>
      </c>
      <c r="H831" s="26" t="b">
        <f>COUNTIFS(
 tblCostChecklist[RequirementID],A831,
 tblCostChecklist[PlayerPaid],TRUE
)&gt;0</f>
        <v>0</v>
      </c>
      <c r="I831" s="49">
        <f t="shared" si="1"/>
        <v>7</v>
      </c>
      <c r="J831" s="49">
        <f t="shared" si="2"/>
        <v>0</v>
      </c>
      <c r="K831" s="49">
        <f t="shared" si="3"/>
        <v>7</v>
      </c>
      <c r="L831" s="49" t="b">
        <f t="shared" si="4"/>
        <v>0</v>
      </c>
      <c r="M831" s="88">
        <f t="shared" si="5"/>
        <v>0</v>
      </c>
    </row>
    <row r="832" ht="14.25" customHeight="1">
      <c r="A832" s="49" t="s">
        <v>3239</v>
      </c>
      <c r="B832" s="49" t="str">
        <f>IFERROR(__xludf.DUMMYFUNCTION("REGEXEXTRACT(A832,""^cost\.(.*)\.[^.]+\.[^.]+$"")"),"tech.food_stall.miso_soup")</f>
        <v>tech.food_stall.miso_soup</v>
      </c>
      <c r="C832" s="49" t="str">
        <f t="array" ref="C832">_xlfn.XLOOKUP(
 B832,
 tblTargets[TargetID],
 tblTargets[DisplayName],
 ""
)</f>
        <v>Food Stall - Miso Soup</v>
      </c>
      <c r="D832" s="49" t="str">
        <f t="array" ref="D832">_xlfn.XLOOKUP(
 B832,
 tblTargets[TargetID],
 tblTargets[TargetType],
 ""
)</f>
        <v>TECH</v>
      </c>
      <c r="E832" s="49" t="s">
        <v>2964</v>
      </c>
      <c r="F832" s="87">
        <f>IFERROR(__xludf.DUMMYFUNCTION("VALUE(REGEXEXTRACT(A832,""([^.]+)$""))"),1.0)</f>
        <v>1</v>
      </c>
      <c r="G832" s="49">
        <v>20.0</v>
      </c>
      <c r="H832" s="26" t="b">
        <f>COUNTIFS(
 tblCostChecklist[RequirementID],A832,
 tblCostChecklist[PlayerPaid],TRUE
)&gt;0</f>
        <v>0</v>
      </c>
      <c r="I832" s="49">
        <f t="shared" si="1"/>
        <v>7</v>
      </c>
      <c r="J832" s="49">
        <f t="shared" si="2"/>
        <v>0</v>
      </c>
      <c r="K832" s="49">
        <f t="shared" si="3"/>
        <v>7</v>
      </c>
      <c r="L832" s="49" t="b">
        <f t="shared" si="4"/>
        <v>0</v>
      </c>
      <c r="M832" s="88">
        <f t="shared" si="5"/>
        <v>0</v>
      </c>
    </row>
    <row r="833" ht="14.25" customHeight="1">
      <c r="A833" s="49" t="s">
        <v>3241</v>
      </c>
      <c r="B833" s="49" t="str">
        <f>IFERROR(__xludf.DUMMYFUNCTION("REGEXEXTRACT(A833,""^cost\.(.*)\.[^.]+\.[^.]+$"")"),"tech.food_stall.miso_soup")</f>
        <v>tech.food_stall.miso_soup</v>
      </c>
      <c r="C833" s="49" t="str">
        <f t="array" ref="C833">_xlfn.XLOOKUP(
 B833,
 tblTargets[TargetID],
 tblTargets[DisplayName],
 ""
)</f>
        <v>Food Stall - Miso Soup</v>
      </c>
      <c r="D833" s="49" t="str">
        <f t="array" ref="D833">_xlfn.XLOOKUP(
 B833,
 tblTargets[TargetID],
 tblTargets[TargetType],
 ""
)</f>
        <v>TECH</v>
      </c>
      <c r="E833" s="49" t="s">
        <v>530</v>
      </c>
      <c r="F833" s="87">
        <f>IFERROR(__xludf.DUMMYFUNCTION("VALUE(REGEXEXTRACT(A833,""([^.]+)$""))"),1.0)</f>
        <v>1</v>
      </c>
      <c r="G833" s="49">
        <v>10.0</v>
      </c>
      <c r="H833" s="26" t="b">
        <f>COUNTIFS(
 tblCostChecklist[RequirementID],A833,
 tblCostChecklist[PlayerPaid],TRUE
)&gt;0</f>
        <v>0</v>
      </c>
      <c r="I833" s="49">
        <f t="shared" si="1"/>
        <v>7</v>
      </c>
      <c r="J833" s="49">
        <f t="shared" si="2"/>
        <v>0</v>
      </c>
      <c r="K833" s="49">
        <f t="shared" si="3"/>
        <v>7</v>
      </c>
      <c r="L833" s="49" t="b">
        <f t="shared" si="4"/>
        <v>0</v>
      </c>
      <c r="M833" s="88">
        <f t="shared" si="5"/>
        <v>0</v>
      </c>
    </row>
    <row r="834" ht="14.25" customHeight="1">
      <c r="A834" s="49" t="s">
        <v>3243</v>
      </c>
      <c r="B834" s="49" t="str">
        <f>IFERROR(__xludf.DUMMYFUNCTION("REGEXEXTRACT(A834,""^cost\.(.*)\.[^.]+\.[^.]+$"")"),"tech.food_stall.miso_soup")</f>
        <v>tech.food_stall.miso_soup</v>
      </c>
      <c r="C834" s="49" t="str">
        <f t="array" ref="C834">_xlfn.XLOOKUP(
 B834,
 tblTargets[TargetID],
 tblTargets[DisplayName],
 ""
)</f>
        <v>Food Stall - Miso Soup</v>
      </c>
      <c r="D834" s="49" t="str">
        <f t="array" ref="D834">_xlfn.XLOOKUP(
 B834,
 tblTargets[TargetID],
 tblTargets[TargetType],
 ""
)</f>
        <v>TECH</v>
      </c>
      <c r="E834" s="49" t="s">
        <v>3244</v>
      </c>
      <c r="F834" s="87">
        <f>IFERROR(__xludf.DUMMYFUNCTION("VALUE(REGEXEXTRACT(A834,""([^.]+)$""))"),1.0)</f>
        <v>1</v>
      </c>
      <c r="G834" s="49">
        <v>10.0</v>
      </c>
      <c r="H834" s="26" t="b">
        <f>COUNTIFS(
 tblCostChecklist[RequirementID],A834,
 tblCostChecklist[PlayerPaid],TRUE
)&gt;0</f>
        <v>0</v>
      </c>
      <c r="I834" s="49">
        <f t="shared" si="1"/>
        <v>7</v>
      </c>
      <c r="J834" s="49">
        <f t="shared" si="2"/>
        <v>0</v>
      </c>
      <c r="K834" s="49">
        <f t="shared" si="3"/>
        <v>7</v>
      </c>
      <c r="L834" s="49" t="b">
        <f t="shared" si="4"/>
        <v>0</v>
      </c>
      <c r="M834" s="88">
        <f t="shared" si="5"/>
        <v>0</v>
      </c>
    </row>
    <row r="835" ht="14.25" customHeight="1">
      <c r="A835" s="49" t="s">
        <v>3246</v>
      </c>
      <c r="B835" s="49" t="str">
        <f>IFERROR(__xludf.DUMMYFUNCTION("REGEXEXTRACT(A835,""^cost\.(.*)\.[^.]+\.[^.]+$"")"),"tech.food_stall.miso_soup")</f>
        <v>tech.food_stall.miso_soup</v>
      </c>
      <c r="C835" s="49" t="str">
        <f t="array" ref="C835">_xlfn.XLOOKUP(
 B835,
 tblTargets[TargetID],
 tblTargets[DisplayName],
 ""
)</f>
        <v>Food Stall - Miso Soup</v>
      </c>
      <c r="D835" s="49" t="str">
        <f t="array" ref="D835">_xlfn.XLOOKUP(
 B835,
 tblTargets[TargetID],
 tblTargets[TargetType],
 ""
)</f>
        <v>TECH</v>
      </c>
      <c r="E835" s="49" t="s">
        <v>6</v>
      </c>
      <c r="F835" s="87">
        <f>IFERROR(__xludf.DUMMYFUNCTION("VALUE(REGEXEXTRACT(A835,""([^.]+)$""))"),1.0)</f>
        <v>1</v>
      </c>
      <c r="G835" s="49">
        <v>5.0</v>
      </c>
      <c r="H835" s="26" t="b">
        <f>COUNTIFS(
 tblCostChecklist[RequirementID],A835,
 tblCostChecklist[PlayerPaid],TRUE
)&gt;0</f>
        <v>0</v>
      </c>
      <c r="I835" s="49">
        <f t="shared" si="1"/>
        <v>7</v>
      </c>
      <c r="J835" s="49">
        <f t="shared" si="2"/>
        <v>0</v>
      </c>
      <c r="K835" s="49">
        <f t="shared" si="3"/>
        <v>7</v>
      </c>
      <c r="L835" s="49" t="b">
        <f t="shared" si="4"/>
        <v>0</v>
      </c>
      <c r="M835" s="88">
        <f t="shared" si="5"/>
        <v>0</v>
      </c>
    </row>
    <row r="836" ht="14.25" customHeight="1">
      <c r="A836" s="49" t="s">
        <v>3248</v>
      </c>
      <c r="B836" s="49" t="str">
        <f>IFERROR(__xludf.DUMMYFUNCTION("REGEXEXTRACT(A836,""^cost\.(.*)\.[^.]+\.[^.]+$"")"),"tech.food_stall.miso_soup")</f>
        <v>tech.food_stall.miso_soup</v>
      </c>
      <c r="C836" s="49" t="str">
        <f t="array" ref="C836">_xlfn.XLOOKUP(
 B836,
 tblTargets[TargetID],
 tblTargets[DisplayName],
 ""
)</f>
        <v>Food Stall - Miso Soup</v>
      </c>
      <c r="D836" s="49" t="str">
        <f t="array" ref="D836">_xlfn.XLOOKUP(
 B836,
 tblTargets[TargetID],
 tblTargets[TargetType],
 ""
)</f>
        <v>TECH</v>
      </c>
      <c r="E836" s="49" t="s">
        <v>405</v>
      </c>
      <c r="F836" s="87">
        <f>IFERROR(__xludf.DUMMYFUNCTION("VALUE(REGEXEXTRACT(A836,""([^.]+)$""))"),1.0)</f>
        <v>1</v>
      </c>
      <c r="G836" s="49">
        <v>10.0</v>
      </c>
      <c r="H836" s="26" t="b">
        <f>COUNTIFS(
 tblCostChecklist[RequirementID],A836,
 tblCostChecklist[PlayerPaid],TRUE
)&gt;0</f>
        <v>0</v>
      </c>
      <c r="I836" s="49">
        <f t="shared" si="1"/>
        <v>7</v>
      </c>
      <c r="J836" s="49">
        <f t="shared" si="2"/>
        <v>0</v>
      </c>
      <c r="K836" s="49">
        <f t="shared" si="3"/>
        <v>7</v>
      </c>
      <c r="L836" s="49" t="b">
        <f t="shared" si="4"/>
        <v>0</v>
      </c>
      <c r="M836" s="88">
        <f t="shared" si="5"/>
        <v>0</v>
      </c>
    </row>
    <row r="837" ht="14.25" customHeight="1">
      <c r="A837" s="49" t="s">
        <v>3250</v>
      </c>
      <c r="B837" s="49" t="str">
        <f>IFERROR(__xludf.DUMMYFUNCTION("REGEXEXTRACT(A837,""^cost\.(.*)\.[^.]+\.[^.]+$"")"),"tech.food_stall.miso_soup")</f>
        <v>tech.food_stall.miso_soup</v>
      </c>
      <c r="C837" s="49" t="str">
        <f t="array" ref="C837">_xlfn.XLOOKUP(
 B837,
 tblTargets[TargetID],
 tblTargets[DisplayName],
 ""
)</f>
        <v>Food Stall - Miso Soup</v>
      </c>
      <c r="D837" s="49" t="str">
        <f t="array" ref="D837">_xlfn.XLOOKUP(
 B837,
 tblTargets[TargetID],
 tblTargets[TargetType],
 ""
)</f>
        <v>TECH</v>
      </c>
      <c r="E837" s="49" t="s">
        <v>3225</v>
      </c>
      <c r="F837" s="87">
        <f>IFERROR(__xludf.DUMMYFUNCTION("VALUE(REGEXEXTRACT(A837,""([^.]+)$""))"),1.0)</f>
        <v>1</v>
      </c>
      <c r="G837" s="49">
        <v>10.0</v>
      </c>
      <c r="H837" s="26" t="b">
        <f>COUNTIFS(
 tblCostChecklist[RequirementID],A837,
 tblCostChecklist[PlayerPaid],TRUE
)&gt;0</f>
        <v>0</v>
      </c>
      <c r="I837" s="49">
        <f t="shared" si="1"/>
        <v>7</v>
      </c>
      <c r="J837" s="49">
        <f t="shared" si="2"/>
        <v>0</v>
      </c>
      <c r="K837" s="49">
        <f t="shared" si="3"/>
        <v>7</v>
      </c>
      <c r="L837" s="49" t="b">
        <f t="shared" si="4"/>
        <v>0</v>
      </c>
      <c r="M837" s="88">
        <f t="shared" si="5"/>
        <v>0</v>
      </c>
    </row>
    <row r="838" ht="14.25" customHeight="1">
      <c r="A838" s="49" t="s">
        <v>3253</v>
      </c>
      <c r="B838" s="49" t="str">
        <f>IFERROR(__xludf.DUMMYFUNCTION("REGEXEXTRACT(A838,""^cost\.(.*)\.[^.]+\.[^.]+$"")"),"tech.furnace.meteoric_steel")</f>
        <v>tech.furnace.meteoric_steel</v>
      </c>
      <c r="C838" s="49" t="str">
        <f t="array" ref="C838">_xlfn.XLOOKUP(
 B838,
 tblTargets[TargetID],
 tblTargets[DisplayName],
 ""
)</f>
        <v>Furnace - Meteoric Steel</v>
      </c>
      <c r="D838" s="49" t="str">
        <f t="array" ref="D838">_xlfn.XLOOKUP(
 B838,
 tblTargets[TargetID],
 tblTargets[TargetType],
 ""
)</f>
        <v>TECH</v>
      </c>
      <c r="E838" s="49" t="s">
        <v>1055</v>
      </c>
      <c r="F838" s="87">
        <f>IFERROR(__xludf.DUMMYFUNCTION("VALUE(REGEXEXTRACT(A838,""([^.]+)$""))"),1.0)</f>
        <v>1</v>
      </c>
      <c r="G838" s="49">
        <v>15.0</v>
      </c>
      <c r="H838" s="26" t="b">
        <f>COUNTIFS(
 tblCostChecklist[RequirementID],A838,
 tblCostChecklist[PlayerPaid],TRUE
)&gt;0</f>
        <v>0</v>
      </c>
      <c r="I838" s="49">
        <f t="shared" si="1"/>
        <v>4</v>
      </c>
      <c r="J838" s="49">
        <f t="shared" si="2"/>
        <v>0</v>
      </c>
      <c r="K838" s="49">
        <f t="shared" si="3"/>
        <v>4</v>
      </c>
      <c r="L838" s="49" t="b">
        <f t="shared" si="4"/>
        <v>0</v>
      </c>
      <c r="M838" s="88">
        <f t="shared" si="5"/>
        <v>0</v>
      </c>
    </row>
    <row r="839" ht="14.25" customHeight="1">
      <c r="A839" s="49" t="s">
        <v>3255</v>
      </c>
      <c r="B839" s="49" t="str">
        <f>IFERROR(__xludf.DUMMYFUNCTION("REGEXEXTRACT(A839,""^cost\.(.*)\.[^.]+\.[^.]+$"")"),"tech.furnace.meteoric_steel")</f>
        <v>tech.furnace.meteoric_steel</v>
      </c>
      <c r="C839" s="49" t="str">
        <f t="array" ref="C839">_xlfn.XLOOKUP(
 B839,
 tblTargets[TargetID],
 tblTargets[DisplayName],
 ""
)</f>
        <v>Furnace - Meteoric Steel</v>
      </c>
      <c r="D839" s="49" t="str">
        <f t="array" ref="D839">_xlfn.XLOOKUP(
 B839,
 tblTargets[TargetID],
 tblTargets[TargetType],
 ""
)</f>
        <v>TECH</v>
      </c>
      <c r="E839" s="49" t="s">
        <v>119</v>
      </c>
      <c r="F839" s="87">
        <f>IFERROR(__xludf.DUMMYFUNCTION("VALUE(REGEXEXTRACT(A839,""([^.]+)$""))"),1.0)</f>
        <v>1</v>
      </c>
      <c r="G839" s="49">
        <v>1000.0</v>
      </c>
      <c r="H839" s="26" t="b">
        <f>COUNTIFS(
 tblCostChecklist[RequirementID],A839,
 tblCostChecklist[PlayerPaid],TRUE
)&gt;0</f>
        <v>0</v>
      </c>
      <c r="I839" s="49">
        <f t="shared" si="1"/>
        <v>4</v>
      </c>
      <c r="J839" s="49">
        <f t="shared" si="2"/>
        <v>0</v>
      </c>
      <c r="K839" s="49">
        <f t="shared" si="3"/>
        <v>4</v>
      </c>
      <c r="L839" s="49" t="b">
        <f t="shared" si="4"/>
        <v>0</v>
      </c>
      <c r="M839" s="88">
        <f t="shared" si="5"/>
        <v>0</v>
      </c>
    </row>
    <row r="840" ht="14.25" customHeight="1">
      <c r="A840" s="49" t="s">
        <v>3258</v>
      </c>
      <c r="B840" s="49" t="str">
        <f>IFERROR(__xludf.DUMMYFUNCTION("REGEXEXTRACT(A840,""^cost\.(.*)\.[^.]+\.[^.]+$"")"),"tech.furnace.meteoric_steel")</f>
        <v>tech.furnace.meteoric_steel</v>
      </c>
      <c r="C840" s="49" t="str">
        <f t="array" ref="C840">_xlfn.XLOOKUP(
 B840,
 tblTargets[TargetID],
 tblTargets[DisplayName],
 ""
)</f>
        <v>Furnace - Meteoric Steel</v>
      </c>
      <c r="D840" s="49" t="str">
        <f t="array" ref="D840">_xlfn.XLOOKUP(
 B840,
 tblTargets[TargetID],
 tblTargets[TargetType],
 ""
)</f>
        <v>TECH</v>
      </c>
      <c r="E840" s="49" t="s">
        <v>126</v>
      </c>
      <c r="F840" s="87">
        <f>IFERROR(__xludf.DUMMYFUNCTION("VALUE(REGEXEXTRACT(A840,""([^.]+)$""))"),1.0)</f>
        <v>1</v>
      </c>
      <c r="G840" s="49">
        <v>50.0</v>
      </c>
      <c r="H840" s="26" t="b">
        <f>COUNTIFS(
 tblCostChecklist[RequirementID],A840,
 tblCostChecklist[PlayerPaid],TRUE
)&gt;0</f>
        <v>0</v>
      </c>
      <c r="I840" s="49">
        <f t="shared" si="1"/>
        <v>4</v>
      </c>
      <c r="J840" s="49">
        <f t="shared" si="2"/>
        <v>0</v>
      </c>
      <c r="K840" s="49">
        <f t="shared" si="3"/>
        <v>4</v>
      </c>
      <c r="L840" s="49" t="b">
        <f t="shared" si="4"/>
        <v>0</v>
      </c>
      <c r="M840" s="88">
        <f t="shared" si="5"/>
        <v>0</v>
      </c>
    </row>
    <row r="841" ht="14.25" customHeight="1">
      <c r="A841" s="49" t="s">
        <v>3260</v>
      </c>
      <c r="B841" s="49" t="str">
        <f>IFERROR(__xludf.DUMMYFUNCTION("REGEXEXTRACT(A841,""^cost\.(.*)\.[^.]+\.[^.]+$"")"),"tech.furnace.meteoric_steel")</f>
        <v>tech.furnace.meteoric_steel</v>
      </c>
      <c r="C841" s="49" t="str">
        <f t="array" ref="C841">_xlfn.XLOOKUP(
 B841,
 tblTargets[TargetID],
 tblTargets[DisplayName],
 ""
)</f>
        <v>Furnace - Meteoric Steel</v>
      </c>
      <c r="D841" s="49" t="str">
        <f t="array" ref="D841">_xlfn.XLOOKUP(
 B841,
 tblTargets[TargetID],
 tblTargets[TargetType],
 ""
)</f>
        <v>TECH</v>
      </c>
      <c r="E841" s="49" t="s">
        <v>6</v>
      </c>
      <c r="F841" s="87">
        <f>IFERROR(__xludf.DUMMYFUNCTION("VALUE(REGEXEXTRACT(A841,""([^.]+)$""))"),1.0)</f>
        <v>1</v>
      </c>
      <c r="G841" s="49">
        <v>3.0</v>
      </c>
      <c r="H841" s="26" t="b">
        <f>COUNTIFS(
 tblCostChecklist[RequirementID],A841,
 tblCostChecklist[PlayerPaid],TRUE
)&gt;0</f>
        <v>0</v>
      </c>
      <c r="I841" s="49">
        <f t="shared" si="1"/>
        <v>4</v>
      </c>
      <c r="J841" s="49">
        <f t="shared" si="2"/>
        <v>0</v>
      </c>
      <c r="K841" s="49">
        <f t="shared" si="3"/>
        <v>4</v>
      </c>
      <c r="L841" s="49" t="b">
        <f t="shared" si="4"/>
        <v>0</v>
      </c>
      <c r="M841" s="88">
        <f t="shared" si="5"/>
        <v>0</v>
      </c>
    </row>
    <row r="842" ht="14.25" customHeight="1">
      <c r="A842" s="49" t="s">
        <v>3263</v>
      </c>
      <c r="B842" s="49" t="str">
        <f>IFERROR(__xludf.DUMMYFUNCTION("REGEXEXTRACT(A842,""^cost\.(.*)\.[^.]+\.[^.]+$"")"),"tech.furnace.titanium_parts")</f>
        <v>tech.furnace.titanium_parts</v>
      </c>
      <c r="C842" s="49" t="str">
        <f t="array" ref="C842">_xlfn.XLOOKUP(
 B842,
 tblTargets[TargetID],
 tblTargets[DisplayName],
 ""
)</f>
        <v>Furnace - Titanium Parts</v>
      </c>
      <c r="D842" s="49" t="str">
        <f t="array" ref="D842">_xlfn.XLOOKUP(
 B842,
 tblTargets[TargetID],
 tblTargets[TargetType],
 ""
)</f>
        <v>TECH</v>
      </c>
      <c r="E842" s="49" t="s">
        <v>1055</v>
      </c>
      <c r="F842" s="87">
        <f>IFERROR(__xludf.DUMMYFUNCTION("VALUE(REGEXEXTRACT(A842,""([^.]+)$""))"),1.0)</f>
        <v>1</v>
      </c>
      <c r="G842" s="49">
        <v>20.0</v>
      </c>
      <c r="H842" s="26" t="b">
        <f>COUNTIFS(
 tblCostChecklist[RequirementID],A842,
 tblCostChecklist[PlayerPaid],TRUE
)&gt;0</f>
        <v>0</v>
      </c>
      <c r="I842" s="49">
        <f t="shared" si="1"/>
        <v>6</v>
      </c>
      <c r="J842" s="49">
        <f t="shared" si="2"/>
        <v>0</v>
      </c>
      <c r="K842" s="49">
        <f t="shared" si="3"/>
        <v>6</v>
      </c>
      <c r="L842" s="49" t="b">
        <f t="shared" si="4"/>
        <v>0</v>
      </c>
      <c r="M842" s="88">
        <f t="shared" si="5"/>
        <v>0</v>
      </c>
    </row>
    <row r="843" ht="14.25" customHeight="1">
      <c r="A843" s="49" t="s">
        <v>3266</v>
      </c>
      <c r="B843" s="49" t="str">
        <f>IFERROR(__xludf.DUMMYFUNCTION("REGEXEXTRACT(A843,""^cost\.(.*)\.[^.]+\.[^.]+$"")"),"tech.furnace.titanium_parts")</f>
        <v>tech.furnace.titanium_parts</v>
      </c>
      <c r="C843" s="49" t="str">
        <f t="array" ref="C843">_xlfn.XLOOKUP(
 B843,
 tblTargets[TargetID],
 tblTargets[DisplayName],
 ""
)</f>
        <v>Furnace - Titanium Parts</v>
      </c>
      <c r="D843" s="49" t="str">
        <f t="array" ref="D843">_xlfn.XLOOKUP(
 B843,
 tblTargets[TargetID],
 tblTargets[TargetType],
 ""
)</f>
        <v>TECH</v>
      </c>
      <c r="E843" s="49" t="s">
        <v>119</v>
      </c>
      <c r="F843" s="87">
        <f>IFERROR(__xludf.DUMMYFUNCTION("VALUE(REGEXEXTRACT(A843,""([^.]+)$""))"),1.0)</f>
        <v>1</v>
      </c>
      <c r="G843" s="49">
        <v>500.0</v>
      </c>
      <c r="H843" s="26" t="b">
        <f>COUNTIFS(
 tblCostChecklist[RequirementID],A843,
 tblCostChecklist[PlayerPaid],TRUE
)&gt;0</f>
        <v>0</v>
      </c>
      <c r="I843" s="49">
        <f t="shared" si="1"/>
        <v>6</v>
      </c>
      <c r="J843" s="49">
        <f t="shared" si="2"/>
        <v>0</v>
      </c>
      <c r="K843" s="49">
        <f t="shared" si="3"/>
        <v>6</v>
      </c>
      <c r="L843" s="49" t="b">
        <f t="shared" si="4"/>
        <v>0</v>
      </c>
      <c r="M843" s="88">
        <f t="shared" si="5"/>
        <v>0</v>
      </c>
    </row>
    <row r="844" ht="14.25" customHeight="1">
      <c r="A844" s="49" t="s">
        <v>3269</v>
      </c>
      <c r="B844" s="49" t="str">
        <f>IFERROR(__xludf.DUMMYFUNCTION("REGEXEXTRACT(A844,""^cost\.(.*)\.[^.]+\.[^.]+$"")"),"tech.furnace.titanium_parts")</f>
        <v>tech.furnace.titanium_parts</v>
      </c>
      <c r="C844" s="49" t="str">
        <f t="array" ref="C844">_xlfn.XLOOKUP(
 B844,
 tblTargets[TargetID],
 tblTargets[DisplayName],
 ""
)</f>
        <v>Furnace - Titanium Parts</v>
      </c>
      <c r="D844" s="49" t="str">
        <f t="array" ref="D844">_xlfn.XLOOKUP(
 B844,
 tblTargets[TargetID],
 tblTargets[TargetType],
 ""
)</f>
        <v>TECH</v>
      </c>
      <c r="E844" s="49" t="s">
        <v>1078</v>
      </c>
      <c r="F844" s="87">
        <f>IFERROR(__xludf.DUMMYFUNCTION("VALUE(REGEXEXTRACT(A844,""([^.]+)$""))"),1.0)</f>
        <v>1</v>
      </c>
      <c r="G844" s="49">
        <v>5.0</v>
      </c>
      <c r="H844" s="26" t="b">
        <f>COUNTIFS(
 tblCostChecklist[RequirementID],A844,
 tblCostChecklist[PlayerPaid],TRUE
)&gt;0</f>
        <v>0</v>
      </c>
      <c r="I844" s="49">
        <f t="shared" si="1"/>
        <v>6</v>
      </c>
      <c r="J844" s="49">
        <f t="shared" si="2"/>
        <v>0</v>
      </c>
      <c r="K844" s="49">
        <f t="shared" si="3"/>
        <v>6</v>
      </c>
      <c r="L844" s="49" t="b">
        <f t="shared" si="4"/>
        <v>0</v>
      </c>
      <c r="M844" s="88">
        <f t="shared" si="5"/>
        <v>0</v>
      </c>
    </row>
    <row r="845" ht="14.25" customHeight="1">
      <c r="A845" s="49" t="s">
        <v>3271</v>
      </c>
      <c r="B845" s="49" t="str">
        <f>IFERROR(__xludf.DUMMYFUNCTION("REGEXEXTRACT(A845,""^cost\.(.*)\.[^.]+\.[^.]+$"")"),"tech.furnace.titanium_parts")</f>
        <v>tech.furnace.titanium_parts</v>
      </c>
      <c r="C845" s="49" t="str">
        <f t="array" ref="C845">_xlfn.XLOOKUP(
 B845,
 tblTargets[TargetID],
 tblTargets[DisplayName],
 ""
)</f>
        <v>Furnace - Titanium Parts</v>
      </c>
      <c r="D845" s="49" t="str">
        <f t="array" ref="D845">_xlfn.XLOOKUP(
 B845,
 tblTargets[TargetID],
 tblTargets[TargetType],
 ""
)</f>
        <v>TECH</v>
      </c>
      <c r="E845" s="49" t="s">
        <v>140</v>
      </c>
      <c r="F845" s="87">
        <f>IFERROR(__xludf.DUMMYFUNCTION("VALUE(REGEXEXTRACT(A845,""([^.]+)$""))"),1.0)</f>
        <v>1</v>
      </c>
      <c r="G845" s="49">
        <v>10.0</v>
      </c>
      <c r="H845" s="26" t="b">
        <f>COUNTIFS(
 tblCostChecklist[RequirementID],A845,
 tblCostChecklist[PlayerPaid],TRUE
)&gt;0</f>
        <v>0</v>
      </c>
      <c r="I845" s="49">
        <f t="shared" si="1"/>
        <v>6</v>
      </c>
      <c r="J845" s="49">
        <f t="shared" si="2"/>
        <v>0</v>
      </c>
      <c r="K845" s="49">
        <f t="shared" si="3"/>
        <v>6</v>
      </c>
      <c r="L845" s="49" t="b">
        <f t="shared" si="4"/>
        <v>0</v>
      </c>
      <c r="M845" s="88">
        <f t="shared" si="5"/>
        <v>0</v>
      </c>
    </row>
    <row r="846" ht="14.25" customHeight="1">
      <c r="A846" s="49" t="s">
        <v>3274</v>
      </c>
      <c r="B846" s="49" t="str">
        <f>IFERROR(__xludf.DUMMYFUNCTION("REGEXEXTRACT(A846,""^cost\.(.*)\.[^.]+\.[^.]+$"")"),"tech.furnace.titanium_parts")</f>
        <v>tech.furnace.titanium_parts</v>
      </c>
      <c r="C846" s="49" t="str">
        <f t="array" ref="C846">_xlfn.XLOOKUP(
 B846,
 tblTargets[TargetID],
 tblTargets[DisplayName],
 ""
)</f>
        <v>Furnace - Titanium Parts</v>
      </c>
      <c r="D846" s="49" t="str">
        <f t="array" ref="D846">_xlfn.XLOOKUP(
 B846,
 tblTargets[TargetID],
 tblTargets[TargetType],
 ""
)</f>
        <v>TECH</v>
      </c>
      <c r="E846" s="49" t="s">
        <v>6</v>
      </c>
      <c r="F846" s="87">
        <f>IFERROR(__xludf.DUMMYFUNCTION("VALUE(REGEXEXTRACT(A846,""([^.]+)$""))"),1.0)</f>
        <v>1</v>
      </c>
      <c r="G846" s="49">
        <v>3.0</v>
      </c>
      <c r="H846" s="26" t="b">
        <f>COUNTIFS(
 tblCostChecklist[RequirementID],A846,
 tblCostChecklist[PlayerPaid],TRUE
)&gt;0</f>
        <v>0</v>
      </c>
      <c r="I846" s="49">
        <f t="shared" si="1"/>
        <v>6</v>
      </c>
      <c r="J846" s="49">
        <f t="shared" si="2"/>
        <v>0</v>
      </c>
      <c r="K846" s="49">
        <f t="shared" si="3"/>
        <v>6</v>
      </c>
      <c r="L846" s="49" t="b">
        <f t="shared" si="4"/>
        <v>0</v>
      </c>
      <c r="M846" s="88">
        <f t="shared" si="5"/>
        <v>0</v>
      </c>
    </row>
    <row r="847" ht="14.25" customHeight="1">
      <c r="A847" s="49" t="s">
        <v>3276</v>
      </c>
      <c r="B847" s="49" t="str">
        <f>IFERROR(__xludf.DUMMYFUNCTION("REGEXEXTRACT(A847,""^cost\.(.*)\.[^.]+\.[^.]+$"")"),"tech.furnace.titanium_parts")</f>
        <v>tech.furnace.titanium_parts</v>
      </c>
      <c r="C847" s="49" t="str">
        <f t="array" ref="C847">_xlfn.XLOOKUP(
 B847,
 tblTargets[TargetID],
 tblTargets[DisplayName],
 ""
)</f>
        <v>Furnace - Titanium Parts</v>
      </c>
      <c r="D847" s="49" t="str">
        <f t="array" ref="D847">_xlfn.XLOOKUP(
 B847,
 tblTargets[TargetID],
 tblTargets[TargetType],
 ""
)</f>
        <v>TECH</v>
      </c>
      <c r="E847" s="49" t="s">
        <v>1489</v>
      </c>
      <c r="F847" s="87">
        <f>IFERROR(__xludf.DUMMYFUNCTION("VALUE(REGEXEXTRACT(A847,""([^.]+)$""))"),1.0)</f>
        <v>1</v>
      </c>
      <c r="G847" s="49">
        <v>10.0</v>
      </c>
      <c r="H847" s="26" t="b">
        <f>COUNTIFS(
 tblCostChecklist[RequirementID],A847,
 tblCostChecklist[PlayerPaid],TRUE
)&gt;0</f>
        <v>0</v>
      </c>
      <c r="I847" s="49">
        <f t="shared" si="1"/>
        <v>6</v>
      </c>
      <c r="J847" s="49">
        <f t="shared" si="2"/>
        <v>0</v>
      </c>
      <c r="K847" s="49">
        <f t="shared" si="3"/>
        <v>6</v>
      </c>
      <c r="L847" s="49" t="b">
        <f t="shared" si="4"/>
        <v>0</v>
      </c>
      <c r="M847" s="88">
        <f t="shared" si="5"/>
        <v>0</v>
      </c>
    </row>
    <row r="848" ht="14.25" customHeight="1">
      <c r="A848" s="49" t="s">
        <v>3277</v>
      </c>
      <c r="B848" s="49" t="str">
        <f>IFERROR(__xludf.DUMMYFUNCTION("REGEXEXTRACT(A848,""^cost\.(.*)\.[^.]+\.[^.]+$"")"),"tech.furnace.glass")</f>
        <v>tech.furnace.glass</v>
      </c>
      <c r="C848" s="49" t="str">
        <f t="array" ref="C848">_xlfn.XLOOKUP(
 B848,
 tblTargets[TargetID],
 tblTargets[DisplayName],
 ""
)</f>
        <v>Furnace - Glass</v>
      </c>
      <c r="D848" s="49" t="str">
        <f t="array" ref="D848">_xlfn.XLOOKUP(
 B848,
 tblTargets[TargetID],
 tblTargets[TargetType],
 ""
)</f>
        <v>TECH</v>
      </c>
      <c r="E848" s="49" t="s">
        <v>1055</v>
      </c>
      <c r="F848" s="87">
        <f>IFERROR(__xludf.DUMMYFUNCTION("VALUE(REGEXEXTRACT(A848,""([^.]+)$""))"),1.0)</f>
        <v>1</v>
      </c>
      <c r="G848" s="49">
        <v>20.0</v>
      </c>
      <c r="H848" s="26" t="b">
        <f>COUNTIFS(
 tblCostChecklist[RequirementID],A848,
 tblCostChecklist[PlayerPaid],TRUE
)&gt;0</f>
        <v>0</v>
      </c>
      <c r="I848" s="49">
        <f t="shared" si="1"/>
        <v>7</v>
      </c>
      <c r="J848" s="49">
        <f t="shared" si="2"/>
        <v>0</v>
      </c>
      <c r="K848" s="49">
        <f t="shared" si="3"/>
        <v>7</v>
      </c>
      <c r="L848" s="49" t="b">
        <f t="shared" si="4"/>
        <v>0</v>
      </c>
      <c r="M848" s="88">
        <f t="shared" si="5"/>
        <v>0</v>
      </c>
    </row>
    <row r="849" ht="14.25" customHeight="1">
      <c r="A849" s="49" t="s">
        <v>3280</v>
      </c>
      <c r="B849" s="49" t="str">
        <f>IFERROR(__xludf.DUMMYFUNCTION("REGEXEXTRACT(A849,""^cost\.(.*)\.[^.]+\.[^.]+$"")"),"tech.furnace.glass")</f>
        <v>tech.furnace.glass</v>
      </c>
      <c r="C849" s="49" t="str">
        <f t="array" ref="C849">_xlfn.XLOOKUP(
 B849,
 tblTargets[TargetID],
 tblTargets[DisplayName],
 ""
)</f>
        <v>Furnace - Glass</v>
      </c>
      <c r="D849" s="49" t="str">
        <f t="array" ref="D849">_xlfn.XLOOKUP(
 B849,
 tblTargets[TargetID],
 tblTargets[TargetType],
 ""
)</f>
        <v>TECH</v>
      </c>
      <c r="E849" s="49" t="s">
        <v>113</v>
      </c>
      <c r="F849" s="87">
        <f>IFERROR(__xludf.DUMMYFUNCTION("VALUE(REGEXEXTRACT(A849,""([^.]+)$""))"),1.0)</f>
        <v>1</v>
      </c>
      <c r="G849" s="49">
        <v>20.0</v>
      </c>
      <c r="H849" s="26" t="b">
        <f>COUNTIFS(
 tblCostChecklist[RequirementID],A849,
 tblCostChecklist[PlayerPaid],TRUE
)&gt;0</f>
        <v>0</v>
      </c>
      <c r="I849" s="49">
        <f t="shared" si="1"/>
        <v>7</v>
      </c>
      <c r="J849" s="49">
        <f t="shared" si="2"/>
        <v>0</v>
      </c>
      <c r="K849" s="49">
        <f t="shared" si="3"/>
        <v>7</v>
      </c>
      <c r="L849" s="49" t="b">
        <f t="shared" si="4"/>
        <v>0</v>
      </c>
      <c r="M849" s="88">
        <f t="shared" si="5"/>
        <v>0</v>
      </c>
    </row>
    <row r="850" ht="14.25" customHeight="1">
      <c r="A850" s="49" t="s">
        <v>3283</v>
      </c>
      <c r="B850" s="49" t="str">
        <f>IFERROR(__xludf.DUMMYFUNCTION("REGEXEXTRACT(A850,""^cost\.(.*)\.[^.]+\.[^.]+$"")"),"tech.furnace.glass")</f>
        <v>tech.furnace.glass</v>
      </c>
      <c r="C850" s="49" t="str">
        <f t="array" ref="C850">_xlfn.XLOOKUP(
 B850,
 tblTargets[TargetID],
 tblTargets[DisplayName],
 ""
)</f>
        <v>Furnace - Glass</v>
      </c>
      <c r="D850" s="49" t="str">
        <f t="array" ref="D850">_xlfn.XLOOKUP(
 B850,
 tblTargets[TargetID],
 tblTargets[TargetType],
 ""
)</f>
        <v>TECH</v>
      </c>
      <c r="E850" s="49" t="s">
        <v>119</v>
      </c>
      <c r="F850" s="87">
        <f>IFERROR(__xludf.DUMMYFUNCTION("VALUE(REGEXEXTRACT(A850,""([^.]+)$""))"),1.0)</f>
        <v>1</v>
      </c>
      <c r="G850" s="49">
        <v>500.0</v>
      </c>
      <c r="H850" s="26" t="b">
        <f>COUNTIFS(
 tblCostChecklist[RequirementID],A850,
 tblCostChecklist[PlayerPaid],TRUE
)&gt;0</f>
        <v>0</v>
      </c>
      <c r="I850" s="49">
        <f t="shared" si="1"/>
        <v>7</v>
      </c>
      <c r="J850" s="49">
        <f t="shared" si="2"/>
        <v>0</v>
      </c>
      <c r="K850" s="49">
        <f t="shared" si="3"/>
        <v>7</v>
      </c>
      <c r="L850" s="49" t="b">
        <f t="shared" si="4"/>
        <v>0</v>
      </c>
      <c r="M850" s="88">
        <f t="shared" si="5"/>
        <v>0</v>
      </c>
    </row>
    <row r="851" ht="14.25" customHeight="1">
      <c r="A851" s="49" t="s">
        <v>3285</v>
      </c>
      <c r="B851" s="49" t="str">
        <f>IFERROR(__xludf.DUMMYFUNCTION("REGEXEXTRACT(A851,""^cost\.(.*)\.[^.]+\.[^.]+$"")"),"tech.furnace.glass")</f>
        <v>tech.furnace.glass</v>
      </c>
      <c r="C851" s="49" t="str">
        <f t="array" ref="C851">_xlfn.XLOOKUP(
 B851,
 tblTargets[TargetID],
 tblTargets[DisplayName],
 ""
)</f>
        <v>Furnace - Glass</v>
      </c>
      <c r="D851" s="49" t="str">
        <f t="array" ref="D851">_xlfn.XLOOKUP(
 B851,
 tblTargets[TargetID],
 tblTargets[TargetType],
 ""
)</f>
        <v>TECH</v>
      </c>
      <c r="E851" s="49" t="s">
        <v>360</v>
      </c>
      <c r="F851" s="87">
        <f>IFERROR(__xludf.DUMMYFUNCTION("VALUE(REGEXEXTRACT(A851,""([^.]+)$""))"),1.0)</f>
        <v>1</v>
      </c>
      <c r="G851" s="49">
        <v>20.0</v>
      </c>
      <c r="H851" s="26" t="b">
        <f>COUNTIFS(
 tblCostChecklist[RequirementID],A851,
 tblCostChecklist[PlayerPaid],TRUE
)&gt;0</f>
        <v>0</v>
      </c>
      <c r="I851" s="49">
        <f t="shared" si="1"/>
        <v>7</v>
      </c>
      <c r="J851" s="49">
        <f t="shared" si="2"/>
        <v>0</v>
      </c>
      <c r="K851" s="49">
        <f t="shared" si="3"/>
        <v>7</v>
      </c>
      <c r="L851" s="49" t="b">
        <f t="shared" si="4"/>
        <v>0</v>
      </c>
      <c r="M851" s="88">
        <f t="shared" si="5"/>
        <v>0</v>
      </c>
    </row>
    <row r="852" ht="14.25" customHeight="1">
      <c r="A852" s="49" t="s">
        <v>3287</v>
      </c>
      <c r="B852" s="49" t="str">
        <f>IFERROR(__xludf.DUMMYFUNCTION("REGEXEXTRACT(A852,""^cost\.(.*)\.[^.]+\.[^.]+$"")"),"tech.furnace.glass")</f>
        <v>tech.furnace.glass</v>
      </c>
      <c r="C852" s="49" t="str">
        <f t="array" ref="C852">_xlfn.XLOOKUP(
 B852,
 tblTargets[TargetID],
 tblTargets[DisplayName],
 ""
)</f>
        <v>Furnace - Glass</v>
      </c>
      <c r="D852" s="49" t="str">
        <f t="array" ref="D852">_xlfn.XLOOKUP(
 B852,
 tblTargets[TargetID],
 tblTargets[TargetType],
 ""
)</f>
        <v>TECH</v>
      </c>
      <c r="E852" s="49" t="s">
        <v>1078</v>
      </c>
      <c r="F852" s="87">
        <f>IFERROR(__xludf.DUMMYFUNCTION("VALUE(REGEXEXTRACT(A852,""([^.]+)$""))"),1.0)</f>
        <v>1</v>
      </c>
      <c r="G852" s="49">
        <v>5.0</v>
      </c>
      <c r="H852" s="26" t="b">
        <f>COUNTIFS(
 tblCostChecklist[RequirementID],A852,
 tblCostChecklist[PlayerPaid],TRUE
)&gt;0</f>
        <v>0</v>
      </c>
      <c r="I852" s="49">
        <f t="shared" si="1"/>
        <v>7</v>
      </c>
      <c r="J852" s="49">
        <f t="shared" si="2"/>
        <v>0</v>
      </c>
      <c r="K852" s="49">
        <f t="shared" si="3"/>
        <v>7</v>
      </c>
      <c r="L852" s="49" t="b">
        <f t="shared" si="4"/>
        <v>0</v>
      </c>
      <c r="M852" s="88">
        <f t="shared" si="5"/>
        <v>0</v>
      </c>
    </row>
    <row r="853" ht="14.25" customHeight="1">
      <c r="A853" s="49" t="s">
        <v>3288</v>
      </c>
      <c r="B853" s="49" t="str">
        <f>IFERROR(__xludf.DUMMYFUNCTION("REGEXEXTRACT(A853,""^cost\.(.*)\.[^.]+\.[^.]+$"")"),"tech.furnace.glass")</f>
        <v>tech.furnace.glass</v>
      </c>
      <c r="C853" s="49" t="str">
        <f t="array" ref="C853">_xlfn.XLOOKUP(
 B853,
 tblTargets[TargetID],
 tblTargets[DisplayName],
 ""
)</f>
        <v>Furnace - Glass</v>
      </c>
      <c r="D853" s="49" t="str">
        <f t="array" ref="D853">_xlfn.XLOOKUP(
 B853,
 tblTargets[TargetID],
 tblTargets[TargetType],
 ""
)</f>
        <v>TECH</v>
      </c>
      <c r="E853" s="49" t="s">
        <v>1282</v>
      </c>
      <c r="F853" s="87">
        <f>IFERROR(__xludf.DUMMYFUNCTION("VALUE(REGEXEXTRACT(A853,""([^.]+)$""))"),1.0)</f>
        <v>1</v>
      </c>
      <c r="G853" s="49">
        <v>40.0</v>
      </c>
      <c r="H853" s="26" t="b">
        <f>COUNTIFS(
 tblCostChecklist[RequirementID],A853,
 tblCostChecklist[PlayerPaid],TRUE
)&gt;0</f>
        <v>0</v>
      </c>
      <c r="I853" s="49">
        <f t="shared" si="1"/>
        <v>7</v>
      </c>
      <c r="J853" s="49">
        <f t="shared" si="2"/>
        <v>0</v>
      </c>
      <c r="K853" s="49">
        <f t="shared" si="3"/>
        <v>7</v>
      </c>
      <c r="L853" s="49" t="b">
        <f t="shared" si="4"/>
        <v>0</v>
      </c>
      <c r="M853" s="88">
        <f t="shared" si="5"/>
        <v>0</v>
      </c>
    </row>
    <row r="854" ht="14.25" customHeight="1">
      <c r="A854" s="49" t="s">
        <v>3291</v>
      </c>
      <c r="B854" s="49" t="str">
        <f>IFERROR(__xludf.DUMMYFUNCTION("REGEXEXTRACT(A854,""^cost\.(.*)\.[^.]+\.[^.]+$"")"),"tech.furnace.glass")</f>
        <v>tech.furnace.glass</v>
      </c>
      <c r="C854" s="49" t="str">
        <f t="array" ref="C854">_xlfn.XLOOKUP(
 B854,
 tblTargets[TargetID],
 tblTargets[DisplayName],
 ""
)</f>
        <v>Furnace - Glass</v>
      </c>
      <c r="D854" s="49" t="str">
        <f t="array" ref="D854">_xlfn.XLOOKUP(
 B854,
 tblTargets[TargetID],
 tblTargets[TargetType],
 ""
)</f>
        <v>TECH</v>
      </c>
      <c r="E854" s="49" t="s">
        <v>6</v>
      </c>
      <c r="F854" s="87">
        <f>IFERROR(__xludf.DUMMYFUNCTION("VALUE(REGEXEXTRACT(A854,""([^.]+)$""))"),1.0)</f>
        <v>1</v>
      </c>
      <c r="G854" s="49">
        <v>3.0</v>
      </c>
      <c r="H854" s="26" t="b">
        <f>COUNTIFS(
 tblCostChecklist[RequirementID],A854,
 tblCostChecklist[PlayerPaid],TRUE
)&gt;0</f>
        <v>0</v>
      </c>
      <c r="I854" s="49">
        <f t="shared" si="1"/>
        <v>7</v>
      </c>
      <c r="J854" s="49">
        <f t="shared" si="2"/>
        <v>0</v>
      </c>
      <c r="K854" s="49">
        <f t="shared" si="3"/>
        <v>7</v>
      </c>
      <c r="L854" s="49" t="b">
        <f t="shared" si="4"/>
        <v>0</v>
      </c>
      <c r="M854" s="88">
        <f t="shared" si="5"/>
        <v>0</v>
      </c>
    </row>
    <row r="855" ht="14.25" customHeight="1">
      <c r="A855" s="49" t="s">
        <v>3294</v>
      </c>
      <c r="B855" s="49" t="str">
        <f>IFERROR(__xludf.DUMMYFUNCTION("REGEXEXTRACT(A855,""^cost\.(.*)\.[^.]+\.[^.]+$"")"),"tech.furnace.conveyor")</f>
        <v>tech.furnace.conveyor</v>
      </c>
      <c r="C855" s="49" t="str">
        <f t="array" ref="C855">_xlfn.XLOOKUP(
 B855,
 tblTargets[TargetID],
 tblTargets[DisplayName],
 ""
)</f>
        <v>Furnace - Conveyor</v>
      </c>
      <c r="D855" s="49" t="str">
        <f t="array" ref="D855">_xlfn.XLOOKUP(
 B855,
 tblTargets[TargetID],
 tblTargets[TargetType],
 ""
)</f>
        <v>TECH</v>
      </c>
      <c r="E855" s="49" t="s">
        <v>1055</v>
      </c>
      <c r="F855" s="87">
        <f>IFERROR(__xludf.DUMMYFUNCTION("VALUE(REGEXEXTRACT(A855,""([^.]+)$""))"),1.0)</f>
        <v>1</v>
      </c>
      <c r="G855" s="49">
        <v>15.0</v>
      </c>
      <c r="H855" s="26" t="b">
        <f>COUNTIFS(
 tblCostChecklist[RequirementID],A855,
 tblCostChecklist[PlayerPaid],TRUE
)&gt;0</f>
        <v>0</v>
      </c>
      <c r="I855" s="49">
        <f t="shared" si="1"/>
        <v>6</v>
      </c>
      <c r="J855" s="49">
        <f t="shared" si="2"/>
        <v>0</v>
      </c>
      <c r="K855" s="49">
        <f t="shared" si="3"/>
        <v>6</v>
      </c>
      <c r="L855" s="49" t="b">
        <f t="shared" si="4"/>
        <v>0</v>
      </c>
      <c r="M855" s="88">
        <f t="shared" si="5"/>
        <v>0</v>
      </c>
    </row>
    <row r="856" ht="14.25" customHeight="1">
      <c r="A856" s="49" t="s">
        <v>3296</v>
      </c>
      <c r="B856" s="49" t="str">
        <f>IFERROR(__xludf.DUMMYFUNCTION("REGEXEXTRACT(A856,""^cost\.(.*)\.[^.]+\.[^.]+$"")"),"tech.furnace.conveyor")</f>
        <v>tech.furnace.conveyor</v>
      </c>
      <c r="C856" s="49" t="str">
        <f t="array" ref="C856">_xlfn.XLOOKUP(
 B856,
 tblTargets[TargetID],
 tblTargets[DisplayName],
 ""
)</f>
        <v>Furnace - Conveyor</v>
      </c>
      <c r="D856" s="49" t="str">
        <f t="array" ref="D856">_xlfn.XLOOKUP(
 B856,
 tblTargets[TargetID],
 tblTargets[TargetType],
 ""
)</f>
        <v>TECH</v>
      </c>
      <c r="E856" s="49" t="s">
        <v>119</v>
      </c>
      <c r="F856" s="87">
        <f>IFERROR(__xludf.DUMMYFUNCTION("VALUE(REGEXEXTRACT(A856,""([^.]+)$""))"),1.0)</f>
        <v>1</v>
      </c>
      <c r="G856" s="49">
        <v>400.0</v>
      </c>
      <c r="H856" s="26" t="b">
        <f>COUNTIFS(
 tblCostChecklist[RequirementID],A856,
 tblCostChecklist[PlayerPaid],TRUE
)&gt;0</f>
        <v>0</v>
      </c>
      <c r="I856" s="49">
        <f t="shared" si="1"/>
        <v>6</v>
      </c>
      <c r="J856" s="49">
        <f t="shared" si="2"/>
        <v>0</v>
      </c>
      <c r="K856" s="49">
        <f t="shared" si="3"/>
        <v>6</v>
      </c>
      <c r="L856" s="49" t="b">
        <f t="shared" si="4"/>
        <v>0</v>
      </c>
      <c r="M856" s="88">
        <f t="shared" si="5"/>
        <v>0</v>
      </c>
    </row>
    <row r="857" ht="14.25" customHeight="1">
      <c r="A857" s="49" t="s">
        <v>3298</v>
      </c>
      <c r="B857" s="49" t="str">
        <f>IFERROR(__xludf.DUMMYFUNCTION("REGEXEXTRACT(A857,""^cost\.(.*)\.[^.]+\.[^.]+$"")"),"tech.furnace.conveyor")</f>
        <v>tech.furnace.conveyor</v>
      </c>
      <c r="C857" s="49" t="str">
        <f t="array" ref="C857">_xlfn.XLOOKUP(
 B857,
 tblTargets[TargetID],
 tblTargets[DisplayName],
 ""
)</f>
        <v>Furnace - Conveyor</v>
      </c>
      <c r="D857" s="49" t="str">
        <f t="array" ref="D857">_xlfn.XLOOKUP(
 B857,
 tblTargets[TargetID],
 tblTargets[TargetType],
 ""
)</f>
        <v>TECH</v>
      </c>
      <c r="E857" s="49" t="s">
        <v>2964</v>
      </c>
      <c r="F857" s="87">
        <f>IFERROR(__xludf.DUMMYFUNCTION("VALUE(REGEXEXTRACT(A857,""([^.]+)$""))"),1.0)</f>
        <v>1</v>
      </c>
      <c r="G857" s="49">
        <v>40.0</v>
      </c>
      <c r="H857" s="26" t="b">
        <f>COUNTIFS(
 tblCostChecklist[RequirementID],A857,
 tblCostChecklist[PlayerPaid],TRUE
)&gt;0</f>
        <v>0</v>
      </c>
      <c r="I857" s="49">
        <f t="shared" si="1"/>
        <v>6</v>
      </c>
      <c r="J857" s="49">
        <f t="shared" si="2"/>
        <v>0</v>
      </c>
      <c r="K857" s="49">
        <f t="shared" si="3"/>
        <v>6</v>
      </c>
      <c r="L857" s="49" t="b">
        <f t="shared" si="4"/>
        <v>0</v>
      </c>
      <c r="M857" s="88">
        <f t="shared" si="5"/>
        <v>0</v>
      </c>
    </row>
    <row r="858" ht="14.25" customHeight="1">
      <c r="A858" s="49" t="s">
        <v>3301</v>
      </c>
      <c r="B858" s="49" t="str">
        <f>IFERROR(__xludf.DUMMYFUNCTION("REGEXEXTRACT(A858,""^cost\.(.*)\.[^.]+\.[^.]+$"")"),"tech.furnace.conveyor")</f>
        <v>tech.furnace.conveyor</v>
      </c>
      <c r="C858" s="49" t="str">
        <f t="array" ref="C858">_xlfn.XLOOKUP(
 B858,
 tblTargets[TargetID],
 tblTargets[DisplayName],
 ""
)</f>
        <v>Furnace - Conveyor</v>
      </c>
      <c r="D858" s="49" t="str">
        <f t="array" ref="D858">_xlfn.XLOOKUP(
 B858,
 tblTargets[TargetID],
 tblTargets[TargetType],
 ""
)</f>
        <v>TECH</v>
      </c>
      <c r="E858" s="49" t="s">
        <v>1078</v>
      </c>
      <c r="F858" s="87">
        <f>IFERROR(__xludf.DUMMYFUNCTION("VALUE(REGEXEXTRACT(A858,""([^.]+)$""))"),1.0)</f>
        <v>1</v>
      </c>
      <c r="G858" s="49">
        <v>10.0</v>
      </c>
      <c r="H858" s="26" t="b">
        <f>COUNTIFS(
 tblCostChecklist[RequirementID],A858,
 tblCostChecklist[PlayerPaid],TRUE
)&gt;0</f>
        <v>0</v>
      </c>
      <c r="I858" s="49">
        <f t="shared" si="1"/>
        <v>6</v>
      </c>
      <c r="J858" s="49">
        <f t="shared" si="2"/>
        <v>0</v>
      </c>
      <c r="K858" s="49">
        <f t="shared" si="3"/>
        <v>6</v>
      </c>
      <c r="L858" s="49" t="b">
        <f t="shared" si="4"/>
        <v>0</v>
      </c>
      <c r="M858" s="88">
        <f t="shared" si="5"/>
        <v>0</v>
      </c>
    </row>
    <row r="859" ht="14.25" customHeight="1">
      <c r="A859" s="49" t="s">
        <v>3302</v>
      </c>
      <c r="B859" s="49" t="str">
        <f>IFERROR(__xludf.DUMMYFUNCTION("REGEXEXTRACT(A859,""^cost\.(.*)\.[^.]+\.[^.]+$"")"),"tech.furnace.conveyor")</f>
        <v>tech.furnace.conveyor</v>
      </c>
      <c r="C859" s="49" t="str">
        <f t="array" ref="C859">_xlfn.XLOOKUP(
 B859,
 tblTargets[TargetID],
 tblTargets[DisplayName],
 ""
)</f>
        <v>Furnace - Conveyor</v>
      </c>
      <c r="D859" s="49" t="str">
        <f t="array" ref="D859">_xlfn.XLOOKUP(
 B859,
 tblTargets[TargetID],
 tblTargets[TargetType],
 ""
)</f>
        <v>TECH</v>
      </c>
      <c r="E859" s="49" t="s">
        <v>2135</v>
      </c>
      <c r="F859" s="87">
        <f>IFERROR(__xludf.DUMMYFUNCTION("VALUE(REGEXEXTRACT(A859,""([^.]+)$""))"),1.0)</f>
        <v>1</v>
      </c>
      <c r="G859" s="49">
        <v>20.0</v>
      </c>
      <c r="H859" s="26" t="b">
        <f>COUNTIFS(
 tblCostChecklist[RequirementID],A859,
 tblCostChecklist[PlayerPaid],TRUE
)&gt;0</f>
        <v>0</v>
      </c>
      <c r="I859" s="49">
        <f t="shared" si="1"/>
        <v>6</v>
      </c>
      <c r="J859" s="49">
        <f t="shared" si="2"/>
        <v>0</v>
      </c>
      <c r="K859" s="49">
        <f t="shared" si="3"/>
        <v>6</v>
      </c>
      <c r="L859" s="49" t="b">
        <f t="shared" si="4"/>
        <v>0</v>
      </c>
      <c r="M859" s="88">
        <f t="shared" si="5"/>
        <v>0</v>
      </c>
    </row>
    <row r="860" ht="14.25" customHeight="1">
      <c r="A860" s="49" t="s">
        <v>3304</v>
      </c>
      <c r="B860" s="49" t="str">
        <f>IFERROR(__xludf.DUMMYFUNCTION("REGEXEXTRACT(A860,""^cost\.(.*)\.[^.]+\.[^.]+$"")"),"tech.furnace.conveyor")</f>
        <v>tech.furnace.conveyor</v>
      </c>
      <c r="C860" s="49" t="str">
        <f t="array" ref="C860">_xlfn.XLOOKUP(
 B860,
 tblTargets[TargetID],
 tblTargets[DisplayName],
 ""
)</f>
        <v>Furnace - Conveyor</v>
      </c>
      <c r="D860" s="49" t="str">
        <f t="array" ref="D860">_xlfn.XLOOKUP(
 B860,
 tblTargets[TargetID],
 tblTargets[TargetType],
 ""
)</f>
        <v>TECH</v>
      </c>
      <c r="E860" s="49" t="s">
        <v>6</v>
      </c>
      <c r="F860" s="87">
        <f>IFERROR(__xludf.DUMMYFUNCTION("VALUE(REGEXEXTRACT(A860,""([^.]+)$""))"),1.0)</f>
        <v>1</v>
      </c>
      <c r="G860" s="49">
        <v>2.0</v>
      </c>
      <c r="H860" s="26" t="b">
        <f>COUNTIFS(
 tblCostChecklist[RequirementID],A860,
 tblCostChecklist[PlayerPaid],TRUE
)&gt;0</f>
        <v>0</v>
      </c>
      <c r="I860" s="49">
        <f t="shared" si="1"/>
        <v>6</v>
      </c>
      <c r="J860" s="49">
        <f t="shared" si="2"/>
        <v>0</v>
      </c>
      <c r="K860" s="49">
        <f t="shared" si="3"/>
        <v>6</v>
      </c>
      <c r="L860" s="49" t="b">
        <f t="shared" si="4"/>
        <v>0</v>
      </c>
      <c r="M860" s="88">
        <f t="shared" si="5"/>
        <v>0</v>
      </c>
    </row>
    <row r="861" ht="14.25" customHeight="1">
      <c r="A861" s="49" t="s">
        <v>3306</v>
      </c>
      <c r="B861" s="49" t="str">
        <f>IFERROR(__xludf.DUMMYFUNCTION("REGEXEXTRACT(A861,""^cost\.(.*)\.[^.]+\.[^.]+$"")"),"tech.garden.sprinkler")</f>
        <v>tech.garden.sprinkler</v>
      </c>
      <c r="C861" s="49" t="str">
        <f t="array" ref="C861">_xlfn.XLOOKUP(
 B861,
 tblTargets[TargetID],
 tblTargets[DisplayName],
 ""
)</f>
        <v>Garden - Sprinkler</v>
      </c>
      <c r="D861" s="49" t="str">
        <f t="array" ref="D861">_xlfn.XLOOKUP(
 B861,
 tblTargets[TargetID],
 tblTargets[TargetType],
 ""
)</f>
        <v>TECH</v>
      </c>
      <c r="E861" s="49" t="s">
        <v>1055</v>
      </c>
      <c r="F861" s="87">
        <f>IFERROR(__xludf.DUMMYFUNCTION("VALUE(REGEXEXTRACT(A861,""([^.]+)$""))"),1.0)</f>
        <v>1</v>
      </c>
      <c r="G861" s="49">
        <v>30.0</v>
      </c>
      <c r="H861" s="26" t="b">
        <f>COUNTIFS(
 tblCostChecklist[RequirementID],A861,
 tblCostChecklist[PlayerPaid],TRUE
)&gt;0</f>
        <v>0</v>
      </c>
      <c r="I861" s="49">
        <f t="shared" si="1"/>
        <v>4</v>
      </c>
      <c r="J861" s="49">
        <f t="shared" si="2"/>
        <v>0</v>
      </c>
      <c r="K861" s="49">
        <f t="shared" si="3"/>
        <v>4</v>
      </c>
      <c r="L861" s="49" t="b">
        <f t="shared" si="4"/>
        <v>0</v>
      </c>
      <c r="M861" s="88">
        <f t="shared" si="5"/>
        <v>0</v>
      </c>
    </row>
    <row r="862" ht="14.25" customHeight="1">
      <c r="A862" s="49" t="s">
        <v>3308</v>
      </c>
      <c r="B862" s="49" t="str">
        <f>IFERROR(__xludf.DUMMYFUNCTION("REGEXEXTRACT(A862,""^cost\.(.*)\.[^.]+\.[^.]+$"")"),"tech.garden.sprinkler")</f>
        <v>tech.garden.sprinkler</v>
      </c>
      <c r="C862" s="49" t="str">
        <f t="array" ref="C862">_xlfn.XLOOKUP(
 B862,
 tblTargets[TargetID],
 tblTargets[DisplayName],
 ""
)</f>
        <v>Garden - Sprinkler</v>
      </c>
      <c r="D862" s="49" t="str">
        <f t="array" ref="D862">_xlfn.XLOOKUP(
 B862,
 tblTargets[TargetID],
 tblTargets[TargetType],
 ""
)</f>
        <v>TECH</v>
      </c>
      <c r="E862" s="49" t="s">
        <v>119</v>
      </c>
      <c r="F862" s="87">
        <f>IFERROR(__xludf.DUMMYFUNCTION("VALUE(REGEXEXTRACT(A862,""([^.]+)$""))"),1.0)</f>
        <v>1</v>
      </c>
      <c r="G862" s="49">
        <v>1500.0</v>
      </c>
      <c r="H862" s="26" t="b">
        <f>COUNTIFS(
 tblCostChecklist[RequirementID],A862,
 tblCostChecklist[PlayerPaid],TRUE
)&gt;0</f>
        <v>0</v>
      </c>
      <c r="I862" s="49">
        <f t="shared" si="1"/>
        <v>4</v>
      </c>
      <c r="J862" s="49">
        <f t="shared" si="2"/>
        <v>0</v>
      </c>
      <c r="K862" s="49">
        <f t="shared" si="3"/>
        <v>4</v>
      </c>
      <c r="L862" s="49" t="b">
        <f t="shared" si="4"/>
        <v>0</v>
      </c>
      <c r="M862" s="88">
        <f t="shared" si="5"/>
        <v>0</v>
      </c>
    </row>
    <row r="863" ht="14.25" customHeight="1">
      <c r="A863" s="49" t="s">
        <v>3309</v>
      </c>
      <c r="B863" s="49" t="str">
        <f>IFERROR(__xludf.DUMMYFUNCTION("REGEXEXTRACT(A863,""^cost\.(.*)\.[^.]+\.[^.]+$"")"),"tech.garden.sprinkler")</f>
        <v>tech.garden.sprinkler</v>
      </c>
      <c r="C863" s="49" t="str">
        <f t="array" ref="C863">_xlfn.XLOOKUP(
 B863,
 tblTargets[TargetID],
 tblTargets[DisplayName],
 ""
)</f>
        <v>Garden - Sprinkler</v>
      </c>
      <c r="D863" s="49" t="str">
        <f t="array" ref="D863">_xlfn.XLOOKUP(
 B863,
 tblTargets[TargetID],
 tblTargets[TargetType],
 ""
)</f>
        <v>TECH</v>
      </c>
      <c r="E863" s="49" t="s">
        <v>126</v>
      </c>
      <c r="F863" s="87">
        <f>IFERROR(__xludf.DUMMYFUNCTION("VALUE(REGEXEXTRACT(A863,""([^.]+)$""))"),1.0)</f>
        <v>1</v>
      </c>
      <c r="G863" s="49">
        <v>50.0</v>
      </c>
      <c r="H863" s="26" t="b">
        <f>COUNTIFS(
 tblCostChecklist[RequirementID],A863,
 tblCostChecklist[PlayerPaid],TRUE
)&gt;0</f>
        <v>0</v>
      </c>
      <c r="I863" s="49">
        <f t="shared" si="1"/>
        <v>4</v>
      </c>
      <c r="J863" s="49">
        <f t="shared" si="2"/>
        <v>0</v>
      </c>
      <c r="K863" s="49">
        <f t="shared" si="3"/>
        <v>4</v>
      </c>
      <c r="L863" s="49" t="b">
        <f t="shared" si="4"/>
        <v>0</v>
      </c>
      <c r="M863" s="88">
        <f t="shared" si="5"/>
        <v>0</v>
      </c>
    </row>
    <row r="864" ht="14.25" customHeight="1">
      <c r="A864" s="49" t="s">
        <v>3311</v>
      </c>
      <c r="B864" s="49" t="str">
        <f>IFERROR(__xludf.DUMMYFUNCTION("REGEXEXTRACT(A864,""^cost\.(.*)\.[^.]+\.[^.]+$"")"),"tech.garden.sprinkler")</f>
        <v>tech.garden.sprinkler</v>
      </c>
      <c r="C864" s="49" t="str">
        <f t="array" ref="C864">_xlfn.XLOOKUP(
 B864,
 tblTargets[TargetID],
 tblTargets[DisplayName],
 ""
)</f>
        <v>Garden - Sprinkler</v>
      </c>
      <c r="D864" s="49" t="str">
        <f t="array" ref="D864">_xlfn.XLOOKUP(
 B864,
 tblTargets[TargetID],
 tblTargets[TargetType],
 ""
)</f>
        <v>TECH</v>
      </c>
      <c r="E864" s="49" t="s">
        <v>6</v>
      </c>
      <c r="F864" s="87">
        <f>IFERROR(__xludf.DUMMYFUNCTION("VALUE(REGEXEXTRACT(A864,""([^.]+)$""))"),1.0)</f>
        <v>1</v>
      </c>
      <c r="G864" s="49">
        <v>6.0</v>
      </c>
      <c r="H864" s="26" t="b">
        <f>COUNTIFS(
 tblCostChecklist[RequirementID],A864,
 tblCostChecklist[PlayerPaid],TRUE
)&gt;0</f>
        <v>0</v>
      </c>
      <c r="I864" s="49">
        <f t="shared" si="1"/>
        <v>4</v>
      </c>
      <c r="J864" s="49">
        <f t="shared" si="2"/>
        <v>0</v>
      </c>
      <c r="K864" s="49">
        <f t="shared" si="3"/>
        <v>4</v>
      </c>
      <c r="L864" s="49" t="b">
        <f t="shared" si="4"/>
        <v>0</v>
      </c>
      <c r="M864" s="88">
        <f t="shared" si="5"/>
        <v>0</v>
      </c>
    </row>
    <row r="865" ht="14.25" customHeight="1">
      <c r="A865" s="49" t="s">
        <v>3313</v>
      </c>
      <c r="B865" s="49" t="str">
        <f>IFERROR(__xludf.DUMMYFUNCTION("REGEXEXTRACT(A865,""^cost\.(.*)\.[^.]+\.[^.]+$"")"),"tech.laboratory.research_and_development")</f>
        <v>tech.laboratory.research_and_development</v>
      </c>
      <c r="C865" s="49" t="str">
        <f t="array" ref="C865">_xlfn.XLOOKUP(
 B865,
 tblTargets[TargetID],
 tblTargets[DisplayName],
 ""
)</f>
        <v>Laboratory - Research And Development</v>
      </c>
      <c r="D865" s="49" t="str">
        <f t="array" ref="D865">_xlfn.XLOOKUP(
 B865,
 tblTargets[TargetID],
 tblTargets[TargetType],
 ""
)</f>
        <v>TECH</v>
      </c>
      <c r="E865" s="49" t="s">
        <v>3099</v>
      </c>
      <c r="F865" s="87">
        <f>IFERROR(__xludf.DUMMYFUNCTION("VALUE(REGEXEXTRACT(A865,""([^.]+)$""))"),1.0)</f>
        <v>1</v>
      </c>
      <c r="G865" s="49">
        <v>20.0</v>
      </c>
      <c r="H865" s="26" t="b">
        <f>COUNTIFS(
 tblCostChecklist[RequirementID],A865,
 tblCostChecklist[PlayerPaid],TRUE
)&gt;0</f>
        <v>0</v>
      </c>
      <c r="I865" s="49">
        <f t="shared" si="1"/>
        <v>9</v>
      </c>
      <c r="J865" s="49">
        <f t="shared" si="2"/>
        <v>0</v>
      </c>
      <c r="K865" s="49">
        <f t="shared" si="3"/>
        <v>9</v>
      </c>
      <c r="L865" s="49" t="b">
        <f t="shared" si="4"/>
        <v>0</v>
      </c>
      <c r="M865" s="88">
        <f t="shared" si="5"/>
        <v>0</v>
      </c>
    </row>
    <row r="866" ht="14.25" customHeight="1">
      <c r="A866" s="49" t="s">
        <v>3315</v>
      </c>
      <c r="B866" s="49" t="str">
        <f>IFERROR(__xludf.DUMMYFUNCTION("REGEXEXTRACT(A866,""^cost\.(.*)\.[^.]+\.[^.]+$"")"),"tech.laboratory.research_and_development")</f>
        <v>tech.laboratory.research_and_development</v>
      </c>
      <c r="C866" s="49" t="str">
        <f t="array" ref="C866">_xlfn.XLOOKUP(
 B866,
 tblTargets[TargetID],
 tblTargets[DisplayName],
 ""
)</f>
        <v>Laboratory - Research And Development</v>
      </c>
      <c r="D866" s="49" t="str">
        <f t="array" ref="D866">_xlfn.XLOOKUP(
 B866,
 tblTargets[TargetID],
 tblTargets[TargetType],
 ""
)</f>
        <v>TECH</v>
      </c>
      <c r="E866" s="49" t="s">
        <v>1055</v>
      </c>
      <c r="F866" s="87">
        <f>IFERROR(__xludf.DUMMYFUNCTION("VALUE(REGEXEXTRACT(A866,""([^.]+)$""))"),1.0)</f>
        <v>1</v>
      </c>
      <c r="G866" s="49">
        <v>30.0</v>
      </c>
      <c r="H866" s="26" t="b">
        <f>COUNTIFS(
 tblCostChecklist[RequirementID],A866,
 tblCostChecklist[PlayerPaid],TRUE
)&gt;0</f>
        <v>0</v>
      </c>
      <c r="I866" s="49">
        <f t="shared" si="1"/>
        <v>9</v>
      </c>
      <c r="J866" s="49">
        <f t="shared" si="2"/>
        <v>0</v>
      </c>
      <c r="K866" s="49">
        <f t="shared" si="3"/>
        <v>9</v>
      </c>
      <c r="L866" s="49" t="b">
        <f t="shared" si="4"/>
        <v>0</v>
      </c>
      <c r="M866" s="88">
        <f t="shared" si="5"/>
        <v>0</v>
      </c>
    </row>
    <row r="867" ht="14.25" customHeight="1">
      <c r="A867" s="49" t="s">
        <v>3318</v>
      </c>
      <c r="B867" s="49" t="str">
        <f>IFERROR(__xludf.DUMMYFUNCTION("REGEXEXTRACT(A867,""^cost\.(.*)\.[^.]+\.[^.]+$"")"),"tech.laboratory.research_and_development")</f>
        <v>tech.laboratory.research_and_development</v>
      </c>
      <c r="C867" s="49" t="str">
        <f t="array" ref="C867">_xlfn.XLOOKUP(
 B867,
 tblTargets[TargetID],
 tblTargets[DisplayName],
 ""
)</f>
        <v>Laboratory - Research And Development</v>
      </c>
      <c r="D867" s="49" t="str">
        <f t="array" ref="D867">_xlfn.XLOOKUP(
 B867,
 tblTargets[TargetID],
 tblTargets[TargetType],
 ""
)</f>
        <v>TECH</v>
      </c>
      <c r="E867" s="49" t="s">
        <v>2297</v>
      </c>
      <c r="F867" s="87">
        <f>IFERROR(__xludf.DUMMYFUNCTION("VALUE(REGEXEXTRACT(A867,""([^.]+)$""))"),1.0)</f>
        <v>1</v>
      </c>
      <c r="G867" s="49">
        <v>20.0</v>
      </c>
      <c r="H867" s="26" t="b">
        <f>COUNTIFS(
 tblCostChecklist[RequirementID],A867,
 tblCostChecklist[PlayerPaid],TRUE
)&gt;0</f>
        <v>0</v>
      </c>
      <c r="I867" s="49">
        <f t="shared" si="1"/>
        <v>9</v>
      </c>
      <c r="J867" s="49">
        <f t="shared" si="2"/>
        <v>0</v>
      </c>
      <c r="K867" s="49">
        <f t="shared" si="3"/>
        <v>9</v>
      </c>
      <c r="L867" s="49" t="b">
        <f t="shared" si="4"/>
        <v>0</v>
      </c>
      <c r="M867" s="88">
        <f t="shared" si="5"/>
        <v>0</v>
      </c>
    </row>
    <row r="868" ht="14.25" customHeight="1">
      <c r="A868" s="49" t="s">
        <v>3321</v>
      </c>
      <c r="B868" s="49" t="str">
        <f>IFERROR(__xludf.DUMMYFUNCTION("REGEXEXTRACT(A868,""^cost\.(.*)\.[^.]+\.[^.]+$"")"),"tech.laboratory.research_and_development")</f>
        <v>tech.laboratory.research_and_development</v>
      </c>
      <c r="C868" s="49" t="str">
        <f t="array" ref="C868">_xlfn.XLOOKUP(
 B868,
 tblTargets[TargetID],
 tblTargets[DisplayName],
 ""
)</f>
        <v>Laboratory - Research And Development</v>
      </c>
      <c r="D868" s="49" t="str">
        <f t="array" ref="D868">_xlfn.XLOOKUP(
 B868,
 tblTargets[TargetID],
 tblTargets[TargetType],
 ""
)</f>
        <v>TECH</v>
      </c>
      <c r="E868" s="49" t="s">
        <v>119</v>
      </c>
      <c r="F868" s="87">
        <f>IFERROR(__xludf.DUMMYFUNCTION("VALUE(REGEXEXTRACT(A868,""([^.]+)$""))"),1.0)</f>
        <v>1</v>
      </c>
      <c r="G868" s="49">
        <v>1000.0</v>
      </c>
      <c r="H868" s="26" t="b">
        <f>COUNTIFS(
 tblCostChecklist[RequirementID],A868,
 tblCostChecklist[PlayerPaid],TRUE
)&gt;0</f>
        <v>0</v>
      </c>
      <c r="I868" s="49">
        <f t="shared" si="1"/>
        <v>9</v>
      </c>
      <c r="J868" s="49">
        <f t="shared" si="2"/>
        <v>0</v>
      </c>
      <c r="K868" s="49">
        <f t="shared" si="3"/>
        <v>9</v>
      </c>
      <c r="L868" s="49" t="b">
        <f t="shared" si="4"/>
        <v>0</v>
      </c>
      <c r="M868" s="88">
        <f t="shared" si="5"/>
        <v>0</v>
      </c>
    </row>
    <row r="869" ht="14.25" customHeight="1">
      <c r="A869" s="49" t="s">
        <v>3323</v>
      </c>
      <c r="B869" s="49" t="str">
        <f>IFERROR(__xludf.DUMMYFUNCTION("REGEXEXTRACT(A869,""^cost\.(.*)\.[^.]+\.[^.]+$"")"),"tech.laboratory.research_and_development")</f>
        <v>tech.laboratory.research_and_development</v>
      </c>
      <c r="C869" s="49" t="str">
        <f t="array" ref="C869">_xlfn.XLOOKUP(
 B869,
 tblTargets[TargetID],
 tblTargets[DisplayName],
 ""
)</f>
        <v>Laboratory - Research And Development</v>
      </c>
      <c r="D869" s="49" t="str">
        <f t="array" ref="D869">_xlfn.XLOOKUP(
 B869,
 tblTargets[TargetID],
 tblTargets[TargetType],
 ""
)</f>
        <v>TECH</v>
      </c>
      <c r="E869" s="49" t="s">
        <v>527</v>
      </c>
      <c r="F869" s="87">
        <f>IFERROR(__xludf.DUMMYFUNCTION("VALUE(REGEXEXTRACT(A869,""([^.]+)$""))"),1.0)</f>
        <v>1</v>
      </c>
      <c r="G869" s="49">
        <v>10.0</v>
      </c>
      <c r="H869" s="26" t="b">
        <f>COUNTIFS(
 tblCostChecklist[RequirementID],A869,
 tblCostChecklist[PlayerPaid],TRUE
)&gt;0</f>
        <v>0</v>
      </c>
      <c r="I869" s="49">
        <f t="shared" si="1"/>
        <v>9</v>
      </c>
      <c r="J869" s="49">
        <f t="shared" si="2"/>
        <v>0</v>
      </c>
      <c r="K869" s="49">
        <f t="shared" si="3"/>
        <v>9</v>
      </c>
      <c r="L869" s="49" t="b">
        <f t="shared" si="4"/>
        <v>0</v>
      </c>
      <c r="M869" s="88">
        <f t="shared" si="5"/>
        <v>0</v>
      </c>
    </row>
    <row r="870" ht="14.25" customHeight="1">
      <c r="A870" s="49" t="s">
        <v>3325</v>
      </c>
      <c r="B870" s="49" t="str">
        <f>IFERROR(__xludf.DUMMYFUNCTION("REGEXEXTRACT(A870,""^cost\.(.*)\.[^.]+\.[^.]+$"")"),"tech.laboratory.research_and_development")</f>
        <v>tech.laboratory.research_and_development</v>
      </c>
      <c r="C870" s="49" t="str">
        <f t="array" ref="C870">_xlfn.XLOOKUP(
 B870,
 tblTargets[TargetID],
 tblTargets[DisplayName],
 ""
)</f>
        <v>Laboratory - Research And Development</v>
      </c>
      <c r="D870" s="49" t="str">
        <f t="array" ref="D870">_xlfn.XLOOKUP(
 B870,
 tblTargets[TargetID],
 tblTargets[TargetType],
 ""
)</f>
        <v>TECH</v>
      </c>
      <c r="E870" s="49" t="s">
        <v>1072</v>
      </c>
      <c r="F870" s="87">
        <f>IFERROR(__xludf.DUMMYFUNCTION("VALUE(REGEXEXTRACT(A870,""([^.]+)$""))"),1.0)</f>
        <v>1</v>
      </c>
      <c r="G870" s="49">
        <v>20.0</v>
      </c>
      <c r="H870" s="26" t="b">
        <f>COUNTIFS(
 tblCostChecklist[RequirementID],A870,
 tblCostChecklist[PlayerPaid],TRUE
)&gt;0</f>
        <v>0</v>
      </c>
      <c r="I870" s="49">
        <f t="shared" si="1"/>
        <v>9</v>
      </c>
      <c r="J870" s="49">
        <f t="shared" si="2"/>
        <v>0</v>
      </c>
      <c r="K870" s="49">
        <f t="shared" si="3"/>
        <v>9</v>
      </c>
      <c r="L870" s="49" t="b">
        <f t="shared" si="4"/>
        <v>0</v>
      </c>
      <c r="M870" s="88">
        <f t="shared" si="5"/>
        <v>0</v>
      </c>
    </row>
    <row r="871" ht="14.25" customHeight="1">
      <c r="A871" s="49" t="s">
        <v>3327</v>
      </c>
      <c r="B871" s="49" t="str">
        <f>IFERROR(__xludf.DUMMYFUNCTION("REGEXEXTRACT(A871,""^cost\.(.*)\.[^.]+\.[^.]+$"")"),"tech.laboratory.research_and_development")</f>
        <v>tech.laboratory.research_and_development</v>
      </c>
      <c r="C871" s="49" t="str">
        <f t="array" ref="C871">_xlfn.XLOOKUP(
 B871,
 tblTargets[TargetID],
 tblTargets[DisplayName],
 ""
)</f>
        <v>Laboratory - Research And Development</v>
      </c>
      <c r="D871" s="49" t="str">
        <f t="array" ref="D871">_xlfn.XLOOKUP(
 B871,
 tblTargets[TargetID],
 tblTargets[TargetType],
 ""
)</f>
        <v>TECH</v>
      </c>
      <c r="E871" s="49" t="s">
        <v>1083</v>
      </c>
      <c r="F871" s="87">
        <f>IFERROR(__xludf.DUMMYFUNCTION("VALUE(REGEXEXTRACT(A871,""([^.]+)$""))"),1.0)</f>
        <v>1</v>
      </c>
      <c r="G871" s="49">
        <v>20.0</v>
      </c>
      <c r="H871" s="26" t="b">
        <f>COUNTIFS(
 tblCostChecklist[RequirementID],A871,
 tblCostChecklist[PlayerPaid],TRUE
)&gt;0</f>
        <v>0</v>
      </c>
      <c r="I871" s="49">
        <f t="shared" si="1"/>
        <v>9</v>
      </c>
      <c r="J871" s="49">
        <f t="shared" si="2"/>
        <v>0</v>
      </c>
      <c r="K871" s="49">
        <f t="shared" si="3"/>
        <v>9</v>
      </c>
      <c r="L871" s="49" t="b">
        <f t="shared" si="4"/>
        <v>0</v>
      </c>
      <c r="M871" s="88">
        <f t="shared" si="5"/>
        <v>0</v>
      </c>
    </row>
    <row r="872" ht="14.25" customHeight="1">
      <c r="A872" s="49" t="s">
        <v>3329</v>
      </c>
      <c r="B872" s="49" t="str">
        <f>IFERROR(__xludf.DUMMYFUNCTION("REGEXEXTRACT(A872,""^cost\.(.*)\.[^.]+\.[^.]+$"")"),"tech.laboratory.research_and_development")</f>
        <v>tech.laboratory.research_and_development</v>
      </c>
      <c r="C872" s="49" t="str">
        <f t="array" ref="C872">_xlfn.XLOOKUP(
 B872,
 tblTargets[TargetID],
 tblTargets[DisplayName],
 ""
)</f>
        <v>Laboratory - Research And Development</v>
      </c>
      <c r="D872" s="49" t="str">
        <f t="array" ref="D872">_xlfn.XLOOKUP(
 B872,
 tblTargets[TargetID],
 tblTargets[TargetType],
 ""
)</f>
        <v>TECH</v>
      </c>
      <c r="E872" s="49" t="s">
        <v>140</v>
      </c>
      <c r="F872" s="87">
        <f>IFERROR(__xludf.DUMMYFUNCTION("VALUE(REGEXEXTRACT(A872,""([^.]+)$""))"),1.0)</f>
        <v>1</v>
      </c>
      <c r="G872" s="49">
        <v>20.0</v>
      </c>
      <c r="H872" s="26" t="b">
        <f>COUNTIFS(
 tblCostChecklist[RequirementID],A872,
 tblCostChecklist[PlayerPaid],TRUE
)&gt;0</f>
        <v>0</v>
      </c>
      <c r="I872" s="49">
        <f t="shared" si="1"/>
        <v>9</v>
      </c>
      <c r="J872" s="49">
        <f t="shared" si="2"/>
        <v>0</v>
      </c>
      <c r="K872" s="49">
        <f t="shared" si="3"/>
        <v>9</v>
      </c>
      <c r="L872" s="49" t="b">
        <f t="shared" si="4"/>
        <v>0</v>
      </c>
      <c r="M872" s="88">
        <f t="shared" si="5"/>
        <v>0</v>
      </c>
    </row>
    <row r="873" ht="14.25" customHeight="1">
      <c r="A873" s="49" t="s">
        <v>3330</v>
      </c>
      <c r="B873" s="49" t="str">
        <f>IFERROR(__xludf.DUMMYFUNCTION("REGEXEXTRACT(A873,""^cost\.(.*)\.[^.]+\.[^.]+$"")"),"tech.laboratory.research_and_development")</f>
        <v>tech.laboratory.research_and_development</v>
      </c>
      <c r="C873" s="49" t="str">
        <f t="array" ref="C873">_xlfn.XLOOKUP(
 B873,
 tblTargets[TargetID],
 tblTargets[DisplayName],
 ""
)</f>
        <v>Laboratory - Research And Development</v>
      </c>
      <c r="D873" s="49" t="str">
        <f t="array" ref="D873">_xlfn.XLOOKUP(
 B873,
 tblTargets[TargetID],
 tblTargets[TargetType],
 ""
)</f>
        <v>TECH</v>
      </c>
      <c r="E873" s="49" t="s">
        <v>6</v>
      </c>
      <c r="F873" s="87">
        <f>IFERROR(__xludf.DUMMYFUNCTION("VALUE(REGEXEXTRACT(A873,""([^.]+)$""))"),1.0)</f>
        <v>1</v>
      </c>
      <c r="G873" s="49">
        <v>5.0</v>
      </c>
      <c r="H873" s="26" t="b">
        <f>COUNTIFS(
 tblCostChecklist[RequirementID],A873,
 tblCostChecklist[PlayerPaid],TRUE
)&gt;0</f>
        <v>0</v>
      </c>
      <c r="I873" s="49">
        <f t="shared" si="1"/>
        <v>9</v>
      </c>
      <c r="J873" s="49">
        <f t="shared" si="2"/>
        <v>0</v>
      </c>
      <c r="K873" s="49">
        <f t="shared" si="3"/>
        <v>9</v>
      </c>
      <c r="L873" s="49" t="b">
        <f t="shared" si="4"/>
        <v>0</v>
      </c>
      <c r="M873" s="88">
        <f t="shared" si="5"/>
        <v>0</v>
      </c>
    </row>
    <row r="874" ht="14.25" customHeight="1">
      <c r="A874" s="49" t="s">
        <v>3332</v>
      </c>
      <c r="B874" s="49" t="str">
        <f>IFERROR(__xludf.DUMMYFUNCTION("REGEXEXTRACT(A874,""^cost\.(.*)\.[^.]+\.[^.]+$"")"),"tech.laboratory.digitization")</f>
        <v>tech.laboratory.digitization</v>
      </c>
      <c r="C874" s="49" t="str">
        <f t="array" ref="C874">_xlfn.XLOOKUP(
 B874,
 tblTargets[TargetID],
 tblTargets[DisplayName],
 ""
)</f>
        <v>Laboratory - Digitization</v>
      </c>
      <c r="D874" s="49" t="str">
        <f t="array" ref="D874">_xlfn.XLOOKUP(
 B874,
 tblTargets[TargetID],
 tblTargets[TargetType],
 ""
)</f>
        <v>TECH</v>
      </c>
      <c r="E874" s="49" t="s">
        <v>1055</v>
      </c>
      <c r="F874" s="87">
        <f>IFERROR(__xludf.DUMMYFUNCTION("VALUE(REGEXEXTRACT(A874,""([^.]+)$""))"),1.0)</f>
        <v>1</v>
      </c>
      <c r="G874" s="49">
        <v>30.0</v>
      </c>
      <c r="H874" s="26" t="b">
        <f>COUNTIFS(
 tblCostChecklist[RequirementID],A874,
 tblCostChecklist[PlayerPaid],TRUE
)&gt;0</f>
        <v>0</v>
      </c>
      <c r="I874" s="49">
        <f t="shared" si="1"/>
        <v>9</v>
      </c>
      <c r="J874" s="49">
        <f t="shared" si="2"/>
        <v>0</v>
      </c>
      <c r="K874" s="49">
        <f t="shared" si="3"/>
        <v>9</v>
      </c>
      <c r="L874" s="49" t="b">
        <f t="shared" si="4"/>
        <v>0</v>
      </c>
      <c r="M874" s="88">
        <f t="shared" si="5"/>
        <v>0</v>
      </c>
    </row>
    <row r="875" ht="14.25" customHeight="1">
      <c r="A875" s="49" t="s">
        <v>3334</v>
      </c>
      <c r="B875" s="49" t="str">
        <f>IFERROR(__xludf.DUMMYFUNCTION("REGEXEXTRACT(A875,""^cost\.(.*)\.[^.]+\.[^.]+$"")"),"tech.laboratory.digitization")</f>
        <v>tech.laboratory.digitization</v>
      </c>
      <c r="C875" s="49" t="str">
        <f t="array" ref="C875">_xlfn.XLOOKUP(
 B875,
 tblTargets[TargetID],
 tblTargets[DisplayName],
 ""
)</f>
        <v>Laboratory - Digitization</v>
      </c>
      <c r="D875" s="49" t="str">
        <f t="array" ref="D875">_xlfn.XLOOKUP(
 B875,
 tblTargets[TargetID],
 tblTargets[TargetType],
 ""
)</f>
        <v>TECH</v>
      </c>
      <c r="E875" s="49" t="s">
        <v>113</v>
      </c>
      <c r="F875" s="87">
        <f>IFERROR(__xludf.DUMMYFUNCTION("VALUE(REGEXEXTRACT(A875,""([^.]+)$""))"),1.0)</f>
        <v>1</v>
      </c>
      <c r="G875" s="49">
        <v>100.0</v>
      </c>
      <c r="H875" s="26" t="b">
        <f>COUNTIFS(
 tblCostChecklist[RequirementID],A875,
 tblCostChecklist[PlayerPaid],TRUE
)&gt;0</f>
        <v>0</v>
      </c>
      <c r="I875" s="49">
        <f t="shared" si="1"/>
        <v>9</v>
      </c>
      <c r="J875" s="49">
        <f t="shared" si="2"/>
        <v>0</v>
      </c>
      <c r="K875" s="49">
        <f t="shared" si="3"/>
        <v>9</v>
      </c>
      <c r="L875" s="49" t="b">
        <f t="shared" si="4"/>
        <v>0</v>
      </c>
      <c r="M875" s="88">
        <f t="shared" si="5"/>
        <v>0</v>
      </c>
    </row>
    <row r="876" ht="14.25" customHeight="1">
      <c r="A876" s="49" t="s">
        <v>3336</v>
      </c>
      <c r="B876" s="49" t="str">
        <f>IFERROR(__xludf.DUMMYFUNCTION("REGEXEXTRACT(A876,""^cost\.(.*)\.[^.]+\.[^.]+$"")"),"tech.laboratory.digitization")</f>
        <v>tech.laboratory.digitization</v>
      </c>
      <c r="C876" s="49" t="str">
        <f t="array" ref="C876">_xlfn.XLOOKUP(
 B876,
 tblTargets[TargetID],
 tblTargets[DisplayName],
 ""
)</f>
        <v>Laboratory - Digitization</v>
      </c>
      <c r="D876" s="49" t="str">
        <f t="array" ref="D876">_xlfn.XLOOKUP(
 B876,
 tblTargets[TargetID],
 tblTargets[TargetType],
 ""
)</f>
        <v>TECH</v>
      </c>
      <c r="E876" s="49" t="s">
        <v>119</v>
      </c>
      <c r="F876" s="87">
        <f>IFERROR(__xludf.DUMMYFUNCTION("VALUE(REGEXEXTRACT(A876,""([^.]+)$""))"),1.0)</f>
        <v>1</v>
      </c>
      <c r="G876" s="49">
        <v>1000.0</v>
      </c>
      <c r="H876" s="26" t="b">
        <f>COUNTIFS(
 tblCostChecklist[RequirementID],A876,
 tblCostChecklist[PlayerPaid],TRUE
)&gt;0</f>
        <v>0</v>
      </c>
      <c r="I876" s="49">
        <f t="shared" si="1"/>
        <v>9</v>
      </c>
      <c r="J876" s="49">
        <f t="shared" si="2"/>
        <v>0</v>
      </c>
      <c r="K876" s="49">
        <f t="shared" si="3"/>
        <v>9</v>
      </c>
      <c r="L876" s="49" t="b">
        <f t="shared" si="4"/>
        <v>0</v>
      </c>
      <c r="M876" s="88">
        <f t="shared" si="5"/>
        <v>0</v>
      </c>
    </row>
    <row r="877" ht="14.25" customHeight="1">
      <c r="A877" s="49" t="s">
        <v>3338</v>
      </c>
      <c r="B877" s="49" t="str">
        <f>IFERROR(__xludf.DUMMYFUNCTION("REGEXEXTRACT(A877,""^cost\.(.*)\.[^.]+\.[^.]+$"")"),"tech.laboratory.digitization")</f>
        <v>tech.laboratory.digitization</v>
      </c>
      <c r="C877" s="49" t="str">
        <f t="array" ref="C877">_xlfn.XLOOKUP(
 B877,
 tblTargets[TargetID],
 tblTargets[DisplayName],
 ""
)</f>
        <v>Laboratory - Digitization</v>
      </c>
      <c r="D877" s="49" t="str">
        <f t="array" ref="D877">_xlfn.XLOOKUP(
 B877,
 tblTargets[TargetID],
 tblTargets[TargetType],
 ""
)</f>
        <v>TECH</v>
      </c>
      <c r="E877" s="49" t="s">
        <v>1072</v>
      </c>
      <c r="F877" s="87">
        <f>IFERROR(__xludf.DUMMYFUNCTION("VALUE(REGEXEXTRACT(A877,""([^.]+)$""))"),1.0)</f>
        <v>1</v>
      </c>
      <c r="G877" s="49">
        <v>20.0</v>
      </c>
      <c r="H877" s="26" t="b">
        <f>COUNTIFS(
 tblCostChecklist[RequirementID],A877,
 tblCostChecklist[PlayerPaid],TRUE
)&gt;0</f>
        <v>0</v>
      </c>
      <c r="I877" s="49">
        <f t="shared" si="1"/>
        <v>9</v>
      </c>
      <c r="J877" s="49">
        <f t="shared" si="2"/>
        <v>0</v>
      </c>
      <c r="K877" s="49">
        <f t="shared" si="3"/>
        <v>9</v>
      </c>
      <c r="L877" s="49" t="b">
        <f t="shared" si="4"/>
        <v>0</v>
      </c>
      <c r="M877" s="88">
        <f t="shared" si="5"/>
        <v>0</v>
      </c>
    </row>
    <row r="878" ht="14.25" customHeight="1">
      <c r="A878" s="49" t="s">
        <v>3340</v>
      </c>
      <c r="B878" s="49" t="str">
        <f>IFERROR(__xludf.DUMMYFUNCTION("REGEXEXTRACT(A878,""^cost\.(.*)\.[^.]+\.[^.]+$"")"),"tech.laboratory.digitization")</f>
        <v>tech.laboratory.digitization</v>
      </c>
      <c r="C878" s="49" t="str">
        <f t="array" ref="C878">_xlfn.XLOOKUP(
 B878,
 tblTargets[TargetID],
 tblTargets[DisplayName],
 ""
)</f>
        <v>Laboratory - Digitization</v>
      </c>
      <c r="D878" s="49" t="str">
        <f t="array" ref="D878">_xlfn.XLOOKUP(
 B878,
 tblTargets[TargetID],
 tblTargets[TargetType],
 ""
)</f>
        <v>TECH</v>
      </c>
      <c r="E878" s="49" t="s">
        <v>1078</v>
      </c>
      <c r="F878" s="87">
        <f>IFERROR(__xludf.DUMMYFUNCTION("VALUE(REGEXEXTRACT(A878,""([^.]+)$""))"),1.0)</f>
        <v>1</v>
      </c>
      <c r="G878" s="49">
        <v>30.0</v>
      </c>
      <c r="H878" s="26" t="b">
        <f>COUNTIFS(
 tblCostChecklist[RequirementID],A878,
 tblCostChecklist[PlayerPaid],TRUE
)&gt;0</f>
        <v>0</v>
      </c>
      <c r="I878" s="49">
        <f t="shared" si="1"/>
        <v>9</v>
      </c>
      <c r="J878" s="49">
        <f t="shared" si="2"/>
        <v>0</v>
      </c>
      <c r="K878" s="49">
        <f t="shared" si="3"/>
        <v>9</v>
      </c>
      <c r="L878" s="49" t="b">
        <f t="shared" si="4"/>
        <v>0</v>
      </c>
      <c r="M878" s="88">
        <f t="shared" si="5"/>
        <v>0</v>
      </c>
    </row>
    <row r="879" ht="14.25" customHeight="1">
      <c r="A879" s="49" t="s">
        <v>3342</v>
      </c>
      <c r="B879" s="49" t="str">
        <f>IFERROR(__xludf.DUMMYFUNCTION("REGEXEXTRACT(A879,""^cost\.(.*)\.[^.]+\.[^.]+$"")"),"tech.laboratory.digitization")</f>
        <v>tech.laboratory.digitization</v>
      </c>
      <c r="C879" s="49" t="str">
        <f t="array" ref="C879">_xlfn.XLOOKUP(
 B879,
 tblTargets[TargetID],
 tblTargets[DisplayName],
 ""
)</f>
        <v>Laboratory - Digitization</v>
      </c>
      <c r="D879" s="49" t="str">
        <f t="array" ref="D879">_xlfn.XLOOKUP(
 B879,
 tblTargets[TargetID],
 tblTargets[TargetType],
 ""
)</f>
        <v>TECH</v>
      </c>
      <c r="E879" s="49" t="s">
        <v>1083</v>
      </c>
      <c r="F879" s="87">
        <f>IFERROR(__xludf.DUMMYFUNCTION("VALUE(REGEXEXTRACT(A879,""([^.]+)$""))"),1.0)</f>
        <v>1</v>
      </c>
      <c r="G879" s="49">
        <v>20.0</v>
      </c>
      <c r="H879" s="26" t="b">
        <f>COUNTIFS(
 tblCostChecklist[RequirementID],A879,
 tblCostChecklist[PlayerPaid],TRUE
)&gt;0</f>
        <v>0</v>
      </c>
      <c r="I879" s="49">
        <f t="shared" si="1"/>
        <v>9</v>
      </c>
      <c r="J879" s="49">
        <f t="shared" si="2"/>
        <v>0</v>
      </c>
      <c r="K879" s="49">
        <f t="shared" si="3"/>
        <v>9</v>
      </c>
      <c r="L879" s="49" t="b">
        <f t="shared" si="4"/>
        <v>0</v>
      </c>
      <c r="M879" s="88">
        <f t="shared" si="5"/>
        <v>0</v>
      </c>
    </row>
    <row r="880" ht="14.25" customHeight="1">
      <c r="A880" s="49" t="s">
        <v>3344</v>
      </c>
      <c r="B880" s="49" t="str">
        <f>IFERROR(__xludf.DUMMYFUNCTION("REGEXEXTRACT(A880,""^cost\.(.*)\.[^.]+\.[^.]+$"")"),"tech.laboratory.digitization")</f>
        <v>tech.laboratory.digitization</v>
      </c>
      <c r="C880" s="49" t="str">
        <f t="array" ref="C880">_xlfn.XLOOKUP(
 B880,
 tblTargets[TargetID],
 tblTargets[DisplayName],
 ""
)</f>
        <v>Laboratory - Digitization</v>
      </c>
      <c r="D880" s="49" t="str">
        <f t="array" ref="D880">_xlfn.XLOOKUP(
 B880,
 tblTargets[TargetID],
 tblTargets[TargetType],
 ""
)</f>
        <v>TECH</v>
      </c>
      <c r="E880" s="49" t="s">
        <v>423</v>
      </c>
      <c r="F880" s="87">
        <f>IFERROR(__xludf.DUMMYFUNCTION("VALUE(REGEXEXTRACT(A880,""([^.]+)$""))"),1.0)</f>
        <v>1</v>
      </c>
      <c r="G880" s="49">
        <v>40.0</v>
      </c>
      <c r="H880" s="26" t="b">
        <f>COUNTIFS(
 tblCostChecklist[RequirementID],A880,
 tblCostChecklist[PlayerPaid],TRUE
)&gt;0</f>
        <v>0</v>
      </c>
      <c r="I880" s="49">
        <f t="shared" si="1"/>
        <v>9</v>
      </c>
      <c r="J880" s="49">
        <f t="shared" si="2"/>
        <v>0</v>
      </c>
      <c r="K880" s="49">
        <f t="shared" si="3"/>
        <v>9</v>
      </c>
      <c r="L880" s="49" t="b">
        <f t="shared" si="4"/>
        <v>0</v>
      </c>
      <c r="M880" s="88">
        <f t="shared" si="5"/>
        <v>0</v>
      </c>
    </row>
    <row r="881" ht="14.25" customHeight="1">
      <c r="A881" s="49" t="s">
        <v>3346</v>
      </c>
      <c r="B881" s="49" t="str">
        <f>IFERROR(__xludf.DUMMYFUNCTION("REGEXEXTRACT(A881,""^cost\.(.*)\.[^.]+\.[^.]+$"")"),"tech.laboratory.digitization")</f>
        <v>tech.laboratory.digitization</v>
      </c>
      <c r="C881" s="49" t="str">
        <f t="array" ref="C881">_xlfn.XLOOKUP(
 B881,
 tblTargets[TargetID],
 tblTargets[DisplayName],
 ""
)</f>
        <v>Laboratory - Digitization</v>
      </c>
      <c r="D881" s="49" t="str">
        <f t="array" ref="D881">_xlfn.XLOOKUP(
 B881,
 tblTargets[TargetID],
 tblTargets[TargetType],
 ""
)</f>
        <v>TECH</v>
      </c>
      <c r="E881" s="49" t="s">
        <v>1282</v>
      </c>
      <c r="F881" s="87">
        <f>IFERROR(__xludf.DUMMYFUNCTION("VALUE(REGEXEXTRACT(A881,""([^.]+)$""))"),1.0)</f>
        <v>1</v>
      </c>
      <c r="G881" s="49">
        <v>20.0</v>
      </c>
      <c r="H881" s="26" t="b">
        <f>COUNTIFS(
 tblCostChecklist[RequirementID],A881,
 tblCostChecklist[PlayerPaid],TRUE
)&gt;0</f>
        <v>0</v>
      </c>
      <c r="I881" s="49">
        <f t="shared" si="1"/>
        <v>9</v>
      </c>
      <c r="J881" s="49">
        <f t="shared" si="2"/>
        <v>0</v>
      </c>
      <c r="K881" s="49">
        <f t="shared" si="3"/>
        <v>9</v>
      </c>
      <c r="L881" s="49" t="b">
        <f t="shared" si="4"/>
        <v>0</v>
      </c>
      <c r="M881" s="88">
        <f t="shared" si="5"/>
        <v>0</v>
      </c>
    </row>
    <row r="882" ht="14.25" customHeight="1">
      <c r="A882" s="49" t="s">
        <v>3348</v>
      </c>
      <c r="B882" s="49" t="str">
        <f>IFERROR(__xludf.DUMMYFUNCTION("REGEXEXTRACT(A882,""^cost\.(.*)\.[^.]+\.[^.]+$"")"),"tech.laboratory.digitization")</f>
        <v>tech.laboratory.digitization</v>
      </c>
      <c r="C882" s="49" t="str">
        <f t="array" ref="C882">_xlfn.XLOOKUP(
 B882,
 tblTargets[TargetID],
 tblTargets[DisplayName],
 ""
)</f>
        <v>Laboratory - Digitization</v>
      </c>
      <c r="D882" s="49" t="str">
        <f t="array" ref="D882">_xlfn.XLOOKUP(
 B882,
 tblTargets[TargetID],
 tblTargets[TargetType],
 ""
)</f>
        <v>TECH</v>
      </c>
      <c r="E882" s="49" t="s">
        <v>6</v>
      </c>
      <c r="F882" s="87">
        <f>IFERROR(__xludf.DUMMYFUNCTION("VALUE(REGEXEXTRACT(A882,""([^.]+)$""))"),1.0)</f>
        <v>1</v>
      </c>
      <c r="G882" s="49">
        <v>5.0</v>
      </c>
      <c r="H882" s="26" t="b">
        <f>COUNTIFS(
 tblCostChecklist[RequirementID],A882,
 tblCostChecklist[PlayerPaid],TRUE
)&gt;0</f>
        <v>0</v>
      </c>
      <c r="I882" s="49">
        <f t="shared" si="1"/>
        <v>9</v>
      </c>
      <c r="J882" s="49">
        <f t="shared" si="2"/>
        <v>0</v>
      </c>
      <c r="K882" s="49">
        <f t="shared" si="3"/>
        <v>9</v>
      </c>
      <c r="L882" s="49" t="b">
        <f t="shared" si="4"/>
        <v>0</v>
      </c>
      <c r="M882" s="88">
        <f t="shared" si="5"/>
        <v>0</v>
      </c>
    </row>
    <row r="883" ht="14.25" customHeight="1">
      <c r="A883" s="49" t="s">
        <v>3350</v>
      </c>
      <c r="B883" s="49" t="str">
        <f>IFERROR(__xludf.DUMMYFUNCTION("REGEXEXTRACT(A883,""^cost\.(.*)\.[^.]+\.[^.]+$"")"),"tech.laboratory.experiments")</f>
        <v>tech.laboratory.experiments</v>
      </c>
      <c r="C883" s="49" t="str">
        <f t="array" ref="C883">_xlfn.XLOOKUP(
 B883,
 tblTargets[TargetID],
 tblTargets[DisplayName],
 ""
)</f>
        <v>Laboratory - Experiments</v>
      </c>
      <c r="D883" s="49" t="str">
        <f t="array" ref="D883">_xlfn.XLOOKUP(
 B883,
 tblTargets[TargetID],
 tblTargets[TargetType],
 ""
)</f>
        <v>TECH</v>
      </c>
      <c r="E883" s="49" t="s">
        <v>1055</v>
      </c>
      <c r="F883" s="87">
        <f>IFERROR(__xludf.DUMMYFUNCTION("VALUE(REGEXEXTRACT(A883,""([^.]+)$""))"),1.0)</f>
        <v>1</v>
      </c>
      <c r="G883" s="49">
        <v>40.0</v>
      </c>
      <c r="H883" s="26" t="b">
        <f>COUNTIFS(
 tblCostChecklist[RequirementID],A883,
 tblCostChecklist[PlayerPaid],TRUE
)&gt;0</f>
        <v>0</v>
      </c>
      <c r="I883" s="49">
        <f t="shared" si="1"/>
        <v>9</v>
      </c>
      <c r="J883" s="49">
        <f t="shared" si="2"/>
        <v>0</v>
      </c>
      <c r="K883" s="49">
        <f t="shared" si="3"/>
        <v>9</v>
      </c>
      <c r="L883" s="49" t="b">
        <f t="shared" si="4"/>
        <v>0</v>
      </c>
      <c r="M883" s="88">
        <f t="shared" si="5"/>
        <v>0</v>
      </c>
    </row>
    <row r="884" ht="14.25" customHeight="1">
      <c r="A884" s="49" t="s">
        <v>3352</v>
      </c>
      <c r="B884" s="49" t="str">
        <f>IFERROR(__xludf.DUMMYFUNCTION("REGEXEXTRACT(A884,""^cost\.(.*)\.[^.]+\.[^.]+$"")"),"tech.laboratory.experiments")</f>
        <v>tech.laboratory.experiments</v>
      </c>
      <c r="C884" s="49" t="str">
        <f t="array" ref="C884">_xlfn.XLOOKUP(
 B884,
 tblTargets[TargetID],
 tblTargets[DisplayName],
 ""
)</f>
        <v>Laboratory - Experiments</v>
      </c>
      <c r="D884" s="49" t="str">
        <f t="array" ref="D884">_xlfn.XLOOKUP(
 B884,
 tblTargets[TargetID],
 tblTargets[TargetType],
 ""
)</f>
        <v>TECH</v>
      </c>
      <c r="E884" s="49" t="s">
        <v>119</v>
      </c>
      <c r="F884" s="87">
        <f>IFERROR(__xludf.DUMMYFUNCTION("VALUE(REGEXEXTRACT(A884,""([^.]+)$""))"),1.0)</f>
        <v>1</v>
      </c>
      <c r="G884" s="49">
        <v>1000.0</v>
      </c>
      <c r="H884" s="26" t="b">
        <f>COUNTIFS(
 tblCostChecklist[RequirementID],A884,
 tblCostChecklist[PlayerPaid],TRUE
)&gt;0</f>
        <v>0</v>
      </c>
      <c r="I884" s="49">
        <f t="shared" si="1"/>
        <v>9</v>
      </c>
      <c r="J884" s="49">
        <f t="shared" si="2"/>
        <v>0</v>
      </c>
      <c r="K884" s="49">
        <f t="shared" si="3"/>
        <v>9</v>
      </c>
      <c r="L884" s="49" t="b">
        <f t="shared" si="4"/>
        <v>0</v>
      </c>
      <c r="M884" s="88">
        <f t="shared" si="5"/>
        <v>0</v>
      </c>
    </row>
    <row r="885" ht="14.25" customHeight="1">
      <c r="A885" s="49" t="s">
        <v>3354</v>
      </c>
      <c r="B885" s="49" t="str">
        <f>IFERROR(__xludf.DUMMYFUNCTION("REGEXEXTRACT(A885,""^cost\.(.*)\.[^.]+\.[^.]+$"")"),"tech.laboratory.experiments")</f>
        <v>tech.laboratory.experiments</v>
      </c>
      <c r="C885" s="49" t="str">
        <f t="array" ref="C885">_xlfn.XLOOKUP(
 B885,
 tblTargets[TargetID],
 tblTargets[DisplayName],
 ""
)</f>
        <v>Laboratory - Experiments</v>
      </c>
      <c r="D885" s="49" t="str">
        <f t="array" ref="D885">_xlfn.XLOOKUP(
 B885,
 tblTargets[TargetID],
 tblTargets[TargetType],
 ""
)</f>
        <v>TECH</v>
      </c>
      <c r="E885" s="49" t="s">
        <v>2458</v>
      </c>
      <c r="F885" s="87">
        <f>IFERROR(__xludf.DUMMYFUNCTION("VALUE(REGEXEXTRACT(A885,""([^.]+)$""))"),1.0)</f>
        <v>1</v>
      </c>
      <c r="G885" s="49">
        <v>2.0</v>
      </c>
      <c r="H885" s="26" t="b">
        <f>COUNTIFS(
 tblCostChecklist[RequirementID],A885,
 tblCostChecklist[PlayerPaid],TRUE
)&gt;0</f>
        <v>0</v>
      </c>
      <c r="I885" s="49">
        <f t="shared" si="1"/>
        <v>9</v>
      </c>
      <c r="J885" s="49">
        <f t="shared" si="2"/>
        <v>0</v>
      </c>
      <c r="K885" s="49">
        <f t="shared" si="3"/>
        <v>9</v>
      </c>
      <c r="L885" s="49" t="b">
        <f t="shared" si="4"/>
        <v>0</v>
      </c>
      <c r="M885" s="88">
        <f t="shared" si="5"/>
        <v>0</v>
      </c>
    </row>
    <row r="886" ht="14.25" customHeight="1">
      <c r="A886" s="49" t="s">
        <v>3356</v>
      </c>
      <c r="B886" s="49" t="str">
        <f>IFERROR(__xludf.DUMMYFUNCTION("REGEXEXTRACT(A886,""^cost\.(.*)\.[^.]+\.[^.]+$"")"),"tech.laboratory.experiments")</f>
        <v>tech.laboratory.experiments</v>
      </c>
      <c r="C886" s="49" t="str">
        <f t="array" ref="C886">_xlfn.XLOOKUP(
 B886,
 tblTargets[TargetID],
 tblTargets[DisplayName],
 ""
)</f>
        <v>Laboratory - Experiments</v>
      </c>
      <c r="D886" s="49" t="str">
        <f t="array" ref="D886">_xlfn.XLOOKUP(
 B886,
 tblTargets[TargetID],
 tblTargets[TargetType],
 ""
)</f>
        <v>TECH</v>
      </c>
      <c r="E886" s="49" t="s">
        <v>1072</v>
      </c>
      <c r="F886" s="87">
        <f>IFERROR(__xludf.DUMMYFUNCTION("VALUE(REGEXEXTRACT(A886,""([^.]+)$""))"),1.0)</f>
        <v>1</v>
      </c>
      <c r="G886" s="49">
        <v>30.0</v>
      </c>
      <c r="H886" s="26" t="b">
        <f>COUNTIFS(
 tblCostChecklist[RequirementID],A886,
 tblCostChecklist[PlayerPaid],TRUE
)&gt;0</f>
        <v>0</v>
      </c>
      <c r="I886" s="49">
        <f t="shared" si="1"/>
        <v>9</v>
      </c>
      <c r="J886" s="49">
        <f t="shared" si="2"/>
        <v>0</v>
      </c>
      <c r="K886" s="49">
        <f t="shared" si="3"/>
        <v>9</v>
      </c>
      <c r="L886" s="49" t="b">
        <f t="shared" si="4"/>
        <v>0</v>
      </c>
      <c r="M886" s="88">
        <f t="shared" si="5"/>
        <v>0</v>
      </c>
    </row>
    <row r="887" ht="14.25" customHeight="1">
      <c r="A887" s="49" t="s">
        <v>3358</v>
      </c>
      <c r="B887" s="49" t="str">
        <f>IFERROR(__xludf.DUMMYFUNCTION("REGEXEXTRACT(A887,""^cost\.(.*)\.[^.]+\.[^.]+$"")"),"tech.laboratory.experiments")</f>
        <v>tech.laboratory.experiments</v>
      </c>
      <c r="C887" s="49" t="str">
        <f t="array" ref="C887">_xlfn.XLOOKUP(
 B887,
 tblTargets[TargetID],
 tblTargets[DisplayName],
 ""
)</f>
        <v>Laboratory - Experiments</v>
      </c>
      <c r="D887" s="49" t="str">
        <f t="array" ref="D887">_xlfn.XLOOKUP(
 B887,
 tblTargets[TargetID],
 tblTargets[TargetType],
 ""
)</f>
        <v>TECH</v>
      </c>
      <c r="E887" s="49" t="s">
        <v>1456</v>
      </c>
      <c r="F887" s="87">
        <f>IFERROR(__xludf.DUMMYFUNCTION("VALUE(REGEXEXTRACT(A887,""([^.]+)$""))"),1.0)</f>
        <v>1</v>
      </c>
      <c r="G887" s="49">
        <v>20.0</v>
      </c>
      <c r="H887" s="26" t="b">
        <f>COUNTIFS(
 tblCostChecklist[RequirementID],A887,
 tblCostChecklist[PlayerPaid],TRUE
)&gt;0</f>
        <v>0</v>
      </c>
      <c r="I887" s="49">
        <f t="shared" si="1"/>
        <v>9</v>
      </c>
      <c r="J887" s="49">
        <f t="shared" si="2"/>
        <v>0</v>
      </c>
      <c r="K887" s="49">
        <f t="shared" si="3"/>
        <v>9</v>
      </c>
      <c r="L887" s="49" t="b">
        <f t="shared" si="4"/>
        <v>0</v>
      </c>
      <c r="M887" s="88">
        <f t="shared" si="5"/>
        <v>0</v>
      </c>
    </row>
    <row r="888" ht="14.25" customHeight="1">
      <c r="A888" s="49" t="s">
        <v>3360</v>
      </c>
      <c r="B888" s="49" t="str">
        <f>IFERROR(__xludf.DUMMYFUNCTION("REGEXEXTRACT(A888,""^cost\.(.*)\.[^.]+\.[^.]+$"")"),"tech.laboratory.experiments")</f>
        <v>tech.laboratory.experiments</v>
      </c>
      <c r="C888" s="49" t="str">
        <f t="array" ref="C888">_xlfn.XLOOKUP(
 B888,
 tblTargets[TargetID],
 tblTargets[DisplayName],
 ""
)</f>
        <v>Laboratory - Experiments</v>
      </c>
      <c r="D888" s="49" t="str">
        <f t="array" ref="D888">_xlfn.XLOOKUP(
 B888,
 tblTargets[TargetID],
 tblTargets[TargetType],
 ""
)</f>
        <v>TECH</v>
      </c>
      <c r="E888" s="49" t="s">
        <v>1083</v>
      </c>
      <c r="F888" s="87">
        <f>IFERROR(__xludf.DUMMYFUNCTION("VALUE(REGEXEXTRACT(A888,""([^.]+)$""))"),1.0)</f>
        <v>1</v>
      </c>
      <c r="G888" s="49">
        <v>30.0</v>
      </c>
      <c r="H888" s="26" t="b">
        <f>COUNTIFS(
 tblCostChecklist[RequirementID],A888,
 tblCostChecklist[PlayerPaid],TRUE
)&gt;0</f>
        <v>0</v>
      </c>
      <c r="I888" s="49">
        <f t="shared" si="1"/>
        <v>9</v>
      </c>
      <c r="J888" s="49">
        <f t="shared" si="2"/>
        <v>0</v>
      </c>
      <c r="K888" s="49">
        <f t="shared" si="3"/>
        <v>9</v>
      </c>
      <c r="L888" s="49" t="b">
        <f t="shared" si="4"/>
        <v>0</v>
      </c>
      <c r="M888" s="88">
        <f t="shared" si="5"/>
        <v>0</v>
      </c>
    </row>
    <row r="889" ht="14.25" customHeight="1">
      <c r="A889" s="49" t="s">
        <v>3362</v>
      </c>
      <c r="B889" s="49" t="str">
        <f>IFERROR(__xludf.DUMMYFUNCTION("REGEXEXTRACT(A889,""^cost\.(.*)\.[^.]+\.[^.]+$"")"),"tech.laboratory.experiments")</f>
        <v>tech.laboratory.experiments</v>
      </c>
      <c r="C889" s="49" t="str">
        <f t="array" ref="C889">_xlfn.XLOOKUP(
 B889,
 tblTargets[TargetID],
 tblTargets[DisplayName],
 ""
)</f>
        <v>Laboratory - Experiments</v>
      </c>
      <c r="D889" s="49" t="str">
        <f t="array" ref="D889">_xlfn.XLOOKUP(
 B889,
 tblTargets[TargetID],
 tblTargets[TargetType],
 ""
)</f>
        <v>TECH</v>
      </c>
      <c r="E889" s="49" t="s">
        <v>6</v>
      </c>
      <c r="F889" s="87">
        <f>IFERROR(__xludf.DUMMYFUNCTION("VALUE(REGEXEXTRACT(A889,""([^.]+)$""))"),1.0)</f>
        <v>1</v>
      </c>
      <c r="G889" s="49">
        <v>5.0</v>
      </c>
      <c r="H889" s="26" t="b">
        <f>COUNTIFS(
 tblCostChecklist[RequirementID],A889,
 tblCostChecklist[PlayerPaid],TRUE
)&gt;0</f>
        <v>0</v>
      </c>
      <c r="I889" s="49">
        <f t="shared" si="1"/>
        <v>9</v>
      </c>
      <c r="J889" s="49">
        <f t="shared" si="2"/>
        <v>0</v>
      </c>
      <c r="K889" s="49">
        <f t="shared" si="3"/>
        <v>9</v>
      </c>
      <c r="L889" s="49" t="b">
        <f t="shared" si="4"/>
        <v>0</v>
      </c>
      <c r="M889" s="88">
        <f t="shared" si="5"/>
        <v>0</v>
      </c>
    </row>
    <row r="890" ht="14.25" customHeight="1">
      <c r="A890" s="49" t="s">
        <v>3364</v>
      </c>
      <c r="B890" s="49" t="str">
        <f>IFERROR(__xludf.DUMMYFUNCTION("REGEXEXTRACT(A890,""^cost\.(.*)\.[^.]+\.[^.]+$"")"),"tech.laboratory.experiments")</f>
        <v>tech.laboratory.experiments</v>
      </c>
      <c r="C890" s="49" t="str">
        <f t="array" ref="C890">_xlfn.XLOOKUP(
 B890,
 tblTargets[TargetID],
 tblTargets[DisplayName],
 ""
)</f>
        <v>Laboratory - Experiments</v>
      </c>
      <c r="D890" s="49" t="str">
        <f t="array" ref="D890">_xlfn.XLOOKUP(
 B890,
 tblTargets[TargetID],
 tblTargets[TargetType],
 ""
)</f>
        <v>TECH</v>
      </c>
      <c r="E890" s="49" t="s">
        <v>2786</v>
      </c>
      <c r="F890" s="87">
        <f>IFERROR(__xludf.DUMMYFUNCTION("VALUE(REGEXEXTRACT(A890,""([^.]+)$""))"),1.0)</f>
        <v>1</v>
      </c>
      <c r="G890" s="49">
        <v>20.0</v>
      </c>
      <c r="H890" s="26" t="b">
        <f>COUNTIFS(
 tblCostChecklist[RequirementID],A890,
 tblCostChecklist[PlayerPaid],TRUE
)&gt;0</f>
        <v>0</v>
      </c>
      <c r="I890" s="49">
        <f t="shared" si="1"/>
        <v>9</v>
      </c>
      <c r="J890" s="49">
        <f t="shared" si="2"/>
        <v>0</v>
      </c>
      <c r="K890" s="49">
        <f t="shared" si="3"/>
        <v>9</v>
      </c>
      <c r="L890" s="49" t="b">
        <f t="shared" si="4"/>
        <v>0</v>
      </c>
      <c r="M890" s="88">
        <f t="shared" si="5"/>
        <v>0</v>
      </c>
    </row>
    <row r="891" ht="14.25" customHeight="1">
      <c r="A891" s="49" t="s">
        <v>3366</v>
      </c>
      <c r="B891" s="49" t="str">
        <f>IFERROR(__xludf.DUMMYFUNCTION("REGEXEXTRACT(A891,""^cost\.(.*)\.[^.]+\.[^.]+$"")"),"tech.laboratory.experiments")</f>
        <v>tech.laboratory.experiments</v>
      </c>
      <c r="C891" s="49" t="str">
        <f t="array" ref="C891">_xlfn.XLOOKUP(
 B891,
 tblTargets[TargetID],
 tblTargets[DisplayName],
 ""
)</f>
        <v>Laboratory - Experiments</v>
      </c>
      <c r="D891" s="49" t="str">
        <f t="array" ref="D891">_xlfn.XLOOKUP(
 B891,
 tblTargets[TargetID],
 tblTargets[TargetType],
 ""
)</f>
        <v>TECH</v>
      </c>
      <c r="E891" s="49" t="s">
        <v>2308</v>
      </c>
      <c r="F891" s="87">
        <f>IFERROR(__xludf.DUMMYFUNCTION("VALUE(REGEXEXTRACT(A891,""([^.]+)$""))"),1.0)</f>
        <v>1</v>
      </c>
      <c r="G891" s="49">
        <v>10.0</v>
      </c>
      <c r="H891" s="26" t="b">
        <f>COUNTIFS(
 tblCostChecklist[RequirementID],A891,
 tblCostChecklist[PlayerPaid],TRUE
)&gt;0</f>
        <v>0</v>
      </c>
      <c r="I891" s="49">
        <f t="shared" si="1"/>
        <v>9</v>
      </c>
      <c r="J891" s="49">
        <f t="shared" si="2"/>
        <v>0</v>
      </c>
      <c r="K891" s="49">
        <f t="shared" si="3"/>
        <v>9</v>
      </c>
      <c r="L891" s="49" t="b">
        <f t="shared" si="4"/>
        <v>0</v>
      </c>
      <c r="M891" s="88">
        <f t="shared" si="5"/>
        <v>0</v>
      </c>
    </row>
    <row r="892" ht="14.25" customHeight="1">
      <c r="A892" s="49" t="s">
        <v>3369</v>
      </c>
      <c r="B892" s="49" t="str">
        <f>IFERROR(__xludf.DUMMYFUNCTION("REGEXEXTRACT(A892,""^cost\.(.*)\.[^.]+\.[^.]+$"")"),"tech.outpost.sayonara_tax")</f>
        <v>tech.outpost.sayonara_tax</v>
      </c>
      <c r="C892" s="49" t="str">
        <f t="array" ref="C892">_xlfn.XLOOKUP(
 B892,
 tblTargets[TargetID],
 tblTargets[DisplayName],
 ""
)</f>
        <v>Outpost - Sayonara Tax</v>
      </c>
      <c r="D892" s="49" t="str">
        <f t="array" ref="D892">_xlfn.XLOOKUP(
 B892,
 tblTargets[TargetID],
 tblTargets[TargetType],
 ""
)</f>
        <v>TECH</v>
      </c>
      <c r="E892" s="49" t="s">
        <v>1055</v>
      </c>
      <c r="F892" s="87">
        <f>IFERROR(__xludf.DUMMYFUNCTION("VALUE(REGEXEXTRACT(A892,""([^.]+)$""))"),1.0)</f>
        <v>1</v>
      </c>
      <c r="G892" s="49">
        <v>30.0</v>
      </c>
      <c r="H892" s="26" t="b">
        <f>COUNTIFS(
 tblCostChecklist[RequirementID],A892,
 tblCostChecklist[PlayerPaid],TRUE
)&gt;0</f>
        <v>0</v>
      </c>
      <c r="I892" s="49">
        <f t="shared" si="1"/>
        <v>4</v>
      </c>
      <c r="J892" s="49">
        <f t="shared" si="2"/>
        <v>0</v>
      </c>
      <c r="K892" s="49">
        <f t="shared" si="3"/>
        <v>4</v>
      </c>
      <c r="L892" s="49" t="b">
        <f t="shared" si="4"/>
        <v>0</v>
      </c>
      <c r="M892" s="88">
        <f t="shared" si="5"/>
        <v>0</v>
      </c>
    </row>
    <row r="893" ht="14.25" customHeight="1">
      <c r="A893" s="49" t="s">
        <v>3371</v>
      </c>
      <c r="B893" s="49" t="str">
        <f>IFERROR(__xludf.DUMMYFUNCTION("REGEXEXTRACT(A893,""^cost\.(.*)\.[^.]+\.[^.]+$"")"),"tech.outpost.sayonara_tax")</f>
        <v>tech.outpost.sayonara_tax</v>
      </c>
      <c r="C893" s="49" t="str">
        <f t="array" ref="C893">_xlfn.XLOOKUP(
 B893,
 tblTargets[TargetID],
 tblTargets[DisplayName],
 ""
)</f>
        <v>Outpost - Sayonara Tax</v>
      </c>
      <c r="D893" s="49" t="str">
        <f t="array" ref="D893">_xlfn.XLOOKUP(
 B893,
 tblTargets[TargetID],
 tblTargets[TargetType],
 ""
)</f>
        <v>TECH</v>
      </c>
      <c r="E893" s="49" t="s">
        <v>119</v>
      </c>
      <c r="F893" s="87">
        <f>IFERROR(__xludf.DUMMYFUNCTION("VALUE(REGEXEXTRACT(A893,""([^.]+)$""))"),1.0)</f>
        <v>1</v>
      </c>
      <c r="G893" s="49">
        <v>400.0</v>
      </c>
      <c r="H893" s="26" t="b">
        <f>COUNTIFS(
 tblCostChecklist[RequirementID],A893,
 tblCostChecklist[PlayerPaid],TRUE
)&gt;0</f>
        <v>0</v>
      </c>
      <c r="I893" s="49">
        <f t="shared" si="1"/>
        <v>4</v>
      </c>
      <c r="J893" s="49">
        <f t="shared" si="2"/>
        <v>0</v>
      </c>
      <c r="K893" s="49">
        <f t="shared" si="3"/>
        <v>4</v>
      </c>
      <c r="L893" s="49" t="b">
        <f t="shared" si="4"/>
        <v>0</v>
      </c>
      <c r="M893" s="88">
        <f t="shared" si="5"/>
        <v>0</v>
      </c>
    </row>
    <row r="894" ht="14.25" customHeight="1">
      <c r="A894" s="49" t="s">
        <v>3372</v>
      </c>
      <c r="B894" s="49" t="str">
        <f>IFERROR(__xludf.DUMMYFUNCTION("REGEXEXTRACT(A894,""^cost\.(.*)\.[^.]+\.[^.]+$"")"),"tech.outpost.sayonara_tax")</f>
        <v>tech.outpost.sayonara_tax</v>
      </c>
      <c r="C894" s="49" t="str">
        <f t="array" ref="C894">_xlfn.XLOOKUP(
 B894,
 tblTargets[TargetID],
 tblTargets[DisplayName],
 ""
)</f>
        <v>Outpost - Sayonara Tax</v>
      </c>
      <c r="D894" s="49" t="str">
        <f t="array" ref="D894">_xlfn.XLOOKUP(
 B894,
 tblTargets[TargetID],
 tblTargets[TargetType],
 ""
)</f>
        <v>TECH</v>
      </c>
      <c r="E894" s="49" t="s">
        <v>423</v>
      </c>
      <c r="F894" s="87">
        <f>IFERROR(__xludf.DUMMYFUNCTION("VALUE(REGEXEXTRACT(A894,""([^.]+)$""))"),1.0)</f>
        <v>1</v>
      </c>
      <c r="G894" s="49">
        <v>20.0</v>
      </c>
      <c r="H894" s="26" t="b">
        <f>COUNTIFS(
 tblCostChecklist[RequirementID],A894,
 tblCostChecklist[PlayerPaid],TRUE
)&gt;0</f>
        <v>0</v>
      </c>
      <c r="I894" s="49">
        <f t="shared" si="1"/>
        <v>4</v>
      </c>
      <c r="J894" s="49">
        <f t="shared" si="2"/>
        <v>0</v>
      </c>
      <c r="K894" s="49">
        <f t="shared" si="3"/>
        <v>4</v>
      </c>
      <c r="L894" s="49" t="b">
        <f t="shared" si="4"/>
        <v>0</v>
      </c>
      <c r="M894" s="88">
        <f t="shared" si="5"/>
        <v>0</v>
      </c>
    </row>
    <row r="895" ht="14.25" customHeight="1">
      <c r="A895" s="49" t="s">
        <v>3374</v>
      </c>
      <c r="B895" s="49" t="str">
        <f>IFERROR(__xludf.DUMMYFUNCTION("REGEXEXTRACT(A895,""^cost\.(.*)\.[^.]+\.[^.]+$"")"),"tech.outpost.sayonara_tax")</f>
        <v>tech.outpost.sayonara_tax</v>
      </c>
      <c r="C895" s="49" t="str">
        <f t="array" ref="C895">_xlfn.XLOOKUP(
 B895,
 tblTargets[TargetID],
 tblTargets[DisplayName],
 ""
)</f>
        <v>Outpost - Sayonara Tax</v>
      </c>
      <c r="D895" s="49" t="str">
        <f t="array" ref="D895">_xlfn.XLOOKUP(
 B895,
 tblTargets[TargetID],
 tblTargets[TargetType],
 ""
)</f>
        <v>TECH</v>
      </c>
      <c r="E895" s="49" t="s">
        <v>6</v>
      </c>
      <c r="F895" s="87">
        <f>IFERROR(__xludf.DUMMYFUNCTION("VALUE(REGEXEXTRACT(A895,""([^.]+)$""))"),1.0)</f>
        <v>1</v>
      </c>
      <c r="G895" s="49">
        <v>2.0</v>
      </c>
      <c r="H895" s="26" t="b">
        <f>COUNTIFS(
 tblCostChecklist[RequirementID],A895,
 tblCostChecklist[PlayerPaid],TRUE
)&gt;0</f>
        <v>0</v>
      </c>
      <c r="I895" s="49">
        <f t="shared" si="1"/>
        <v>4</v>
      </c>
      <c r="J895" s="49">
        <f t="shared" si="2"/>
        <v>0</v>
      </c>
      <c r="K895" s="49">
        <f t="shared" si="3"/>
        <v>4</v>
      </c>
      <c r="L895" s="49" t="b">
        <f t="shared" si="4"/>
        <v>0</v>
      </c>
      <c r="M895" s="88">
        <f t="shared" si="5"/>
        <v>0</v>
      </c>
    </row>
    <row r="896" ht="14.25" customHeight="1">
      <c r="A896" s="49" t="s">
        <v>3376</v>
      </c>
      <c r="B896" s="49" t="str">
        <f>IFERROR(__xludf.DUMMYFUNCTION("REGEXEXTRACT(A896,""^cost\.(.*)\.[^.]+\.[^.]+$"")"),"tech.outpost.arsenal_lvl_1")</f>
        <v>tech.outpost.arsenal_lvl_1</v>
      </c>
      <c r="C896" s="49" t="str">
        <f t="array" ref="C896">_xlfn.XLOOKUP(
 B896,
 tblTargets[TargetID],
 tblTargets[DisplayName],
 ""
)</f>
        <v>Outpost - Arsenal Lvl 1</v>
      </c>
      <c r="D896" s="49" t="str">
        <f t="array" ref="D896">_xlfn.XLOOKUP(
 B896,
 tblTargets[TargetID],
 tblTargets[TargetType],
 ""
)</f>
        <v>TECH</v>
      </c>
      <c r="E896" s="49" t="s">
        <v>1055</v>
      </c>
      <c r="F896" s="87">
        <f>IFERROR(__xludf.DUMMYFUNCTION("VALUE(REGEXEXTRACT(A896,""([^.]+)$""))"),1.0)</f>
        <v>1</v>
      </c>
      <c r="G896" s="49">
        <v>40.0</v>
      </c>
      <c r="H896" s="26" t="b">
        <f>COUNTIFS(
 tblCostChecklist[RequirementID],A896,
 tblCostChecklist[PlayerPaid],TRUE
)&gt;0</f>
        <v>0</v>
      </c>
      <c r="I896" s="49">
        <f t="shared" si="1"/>
        <v>5</v>
      </c>
      <c r="J896" s="49">
        <f t="shared" si="2"/>
        <v>0</v>
      </c>
      <c r="K896" s="49">
        <f t="shared" si="3"/>
        <v>5</v>
      </c>
      <c r="L896" s="49" t="b">
        <f t="shared" si="4"/>
        <v>0</v>
      </c>
      <c r="M896" s="88">
        <f t="shared" si="5"/>
        <v>0</v>
      </c>
    </row>
    <row r="897" ht="14.25" customHeight="1">
      <c r="A897" s="49" t="s">
        <v>3379</v>
      </c>
      <c r="B897" s="49" t="str">
        <f>IFERROR(__xludf.DUMMYFUNCTION("REGEXEXTRACT(A897,""^cost\.(.*)\.[^.]+\.[^.]+$"")"),"tech.outpost.arsenal_lvl_1")</f>
        <v>tech.outpost.arsenal_lvl_1</v>
      </c>
      <c r="C897" s="49" t="str">
        <f t="array" ref="C897">_xlfn.XLOOKUP(
 B897,
 tblTargets[TargetID],
 tblTargets[DisplayName],
 ""
)</f>
        <v>Outpost - Arsenal Lvl 1</v>
      </c>
      <c r="D897" s="49" t="str">
        <f t="array" ref="D897">_xlfn.XLOOKUP(
 B897,
 tblTargets[TargetID],
 tblTargets[TargetType],
 ""
)</f>
        <v>TECH</v>
      </c>
      <c r="E897" s="49" t="s">
        <v>119</v>
      </c>
      <c r="F897" s="87">
        <f>IFERROR(__xludf.DUMMYFUNCTION("VALUE(REGEXEXTRACT(A897,""([^.]+)$""))"),1.0)</f>
        <v>1</v>
      </c>
      <c r="G897" s="49">
        <v>1000.0</v>
      </c>
      <c r="H897" s="26" t="b">
        <f>COUNTIFS(
 tblCostChecklist[RequirementID],A897,
 tblCostChecklist[PlayerPaid],TRUE
)&gt;0</f>
        <v>0</v>
      </c>
      <c r="I897" s="49">
        <f t="shared" si="1"/>
        <v>5</v>
      </c>
      <c r="J897" s="49">
        <f t="shared" si="2"/>
        <v>0</v>
      </c>
      <c r="K897" s="49">
        <f t="shared" si="3"/>
        <v>5</v>
      </c>
      <c r="L897" s="49" t="b">
        <f t="shared" si="4"/>
        <v>0</v>
      </c>
      <c r="M897" s="88">
        <f t="shared" si="5"/>
        <v>0</v>
      </c>
    </row>
    <row r="898" ht="14.25" customHeight="1">
      <c r="A898" s="49" t="s">
        <v>3381</v>
      </c>
      <c r="B898" s="49" t="str">
        <f>IFERROR(__xludf.DUMMYFUNCTION("REGEXEXTRACT(A898,""^cost\.(.*)\.[^.]+\.[^.]+$"")"),"tech.outpost.arsenal_lvl_1")</f>
        <v>tech.outpost.arsenal_lvl_1</v>
      </c>
      <c r="C898" s="49" t="str">
        <f t="array" ref="C898">_xlfn.XLOOKUP(
 B898,
 tblTargets[TargetID],
 tblTargets[DisplayName],
 ""
)</f>
        <v>Outpost - Arsenal Lvl 1</v>
      </c>
      <c r="D898" s="49" t="str">
        <f t="array" ref="D898">_xlfn.XLOOKUP(
 B898,
 tblTargets[TargetID],
 tblTargets[TargetType],
 ""
)</f>
        <v>TECH</v>
      </c>
      <c r="E898" s="49" t="s">
        <v>187</v>
      </c>
      <c r="F898" s="87">
        <f>IFERROR(__xludf.DUMMYFUNCTION("VALUE(REGEXEXTRACT(A898,""([^.]+)$""))"),1.0)</f>
        <v>1</v>
      </c>
      <c r="G898" s="49">
        <v>400.0</v>
      </c>
      <c r="H898" s="26" t="b">
        <f>COUNTIFS(
 tblCostChecklist[RequirementID],A898,
 tblCostChecklist[PlayerPaid],TRUE
)&gt;0</f>
        <v>0</v>
      </c>
      <c r="I898" s="49">
        <f t="shared" si="1"/>
        <v>5</v>
      </c>
      <c r="J898" s="49">
        <f t="shared" si="2"/>
        <v>0</v>
      </c>
      <c r="K898" s="49">
        <f t="shared" si="3"/>
        <v>5</v>
      </c>
      <c r="L898" s="49" t="b">
        <f t="shared" si="4"/>
        <v>0</v>
      </c>
      <c r="M898" s="88">
        <f t="shared" si="5"/>
        <v>0</v>
      </c>
    </row>
    <row r="899" ht="14.25" customHeight="1">
      <c r="A899" s="49" t="s">
        <v>3383</v>
      </c>
      <c r="B899" s="49" t="str">
        <f>IFERROR(__xludf.DUMMYFUNCTION("REGEXEXTRACT(A899,""^cost\.(.*)\.[^.]+\.[^.]+$"")"),"tech.outpost.arsenal_lvl_1")</f>
        <v>tech.outpost.arsenal_lvl_1</v>
      </c>
      <c r="C899" s="49" t="str">
        <f t="array" ref="C899">_xlfn.XLOOKUP(
 B899,
 tblTargets[TargetID],
 tblTargets[DisplayName],
 ""
)</f>
        <v>Outpost - Arsenal Lvl 1</v>
      </c>
      <c r="D899" s="49" t="str">
        <f t="array" ref="D899">_xlfn.XLOOKUP(
 B899,
 tblTargets[TargetID],
 tblTargets[TargetType],
 ""
)</f>
        <v>TECH</v>
      </c>
      <c r="E899" s="49" t="s">
        <v>6</v>
      </c>
      <c r="F899" s="87">
        <f>IFERROR(__xludf.DUMMYFUNCTION("VALUE(REGEXEXTRACT(A899,""([^.]+)$""))"),1.0)</f>
        <v>1</v>
      </c>
      <c r="G899" s="49">
        <v>3.0</v>
      </c>
      <c r="H899" s="26" t="b">
        <f>COUNTIFS(
 tblCostChecklist[RequirementID],A899,
 tblCostChecklist[PlayerPaid],TRUE
)&gt;0</f>
        <v>0</v>
      </c>
      <c r="I899" s="49">
        <f t="shared" si="1"/>
        <v>5</v>
      </c>
      <c r="J899" s="49">
        <f t="shared" si="2"/>
        <v>0</v>
      </c>
      <c r="K899" s="49">
        <f t="shared" si="3"/>
        <v>5</v>
      </c>
      <c r="L899" s="49" t="b">
        <f t="shared" si="4"/>
        <v>0</v>
      </c>
      <c r="M899" s="88">
        <f t="shared" si="5"/>
        <v>0</v>
      </c>
    </row>
    <row r="900" ht="14.25" customHeight="1">
      <c r="A900" s="49" t="s">
        <v>3385</v>
      </c>
      <c r="B900" s="49" t="str">
        <f>IFERROR(__xludf.DUMMYFUNCTION("REGEXEXTRACT(A900,""^cost\.(.*)\.[^.]+\.[^.]+$"")"),"tech.outpost.arsenal_lvl_1")</f>
        <v>tech.outpost.arsenal_lvl_1</v>
      </c>
      <c r="C900" s="49" t="str">
        <f t="array" ref="C900">_xlfn.XLOOKUP(
 B900,
 tblTargets[TargetID],
 tblTargets[DisplayName],
 ""
)</f>
        <v>Outpost - Arsenal Lvl 1</v>
      </c>
      <c r="D900" s="49" t="str">
        <f t="array" ref="D900">_xlfn.XLOOKUP(
 B900,
 tblTargets[TargetID],
 tblTargets[TargetType],
 ""
)</f>
        <v>TECH</v>
      </c>
      <c r="E900" s="49" t="s">
        <v>392</v>
      </c>
      <c r="F900" s="87">
        <f>IFERROR(__xludf.DUMMYFUNCTION("VALUE(REGEXEXTRACT(A900,""([^.]+)$""))"),1.0)</f>
        <v>1</v>
      </c>
      <c r="G900" s="49">
        <v>200.0</v>
      </c>
      <c r="H900" s="26" t="b">
        <f>COUNTIFS(
 tblCostChecklist[RequirementID],A900,
 tblCostChecklist[PlayerPaid],TRUE
)&gt;0</f>
        <v>0</v>
      </c>
      <c r="I900" s="49">
        <f t="shared" si="1"/>
        <v>5</v>
      </c>
      <c r="J900" s="49">
        <f t="shared" si="2"/>
        <v>0</v>
      </c>
      <c r="K900" s="49">
        <f t="shared" si="3"/>
        <v>5</v>
      </c>
      <c r="L900" s="49" t="b">
        <f t="shared" si="4"/>
        <v>0</v>
      </c>
      <c r="M900" s="88">
        <f t="shared" si="5"/>
        <v>0</v>
      </c>
    </row>
    <row r="901" ht="14.25" customHeight="1">
      <c r="A901" s="49" t="s">
        <v>3387</v>
      </c>
      <c r="B901" s="49" t="str">
        <f>IFERROR(__xludf.DUMMYFUNCTION("REGEXEXTRACT(A901,""^cost\.(.*)\.[^.]+\.[^.]+$"")"),"tech.outpost.arsenal_lvl_2")</f>
        <v>tech.outpost.arsenal_lvl_2</v>
      </c>
      <c r="C901" s="49" t="str">
        <f t="array" ref="C901">_xlfn.XLOOKUP(
 B901,
 tblTargets[TargetID],
 tblTargets[DisplayName],
 ""
)</f>
        <v>Outpost - Arsenal Lvl 2</v>
      </c>
      <c r="D901" s="49" t="str">
        <f t="array" ref="D901">_xlfn.XLOOKUP(
 B901,
 tblTargets[TargetID],
 tblTargets[TargetType],
 ""
)</f>
        <v>TECH</v>
      </c>
      <c r="E901" s="49" t="s">
        <v>1055</v>
      </c>
      <c r="F901" s="87">
        <f>IFERROR(__xludf.DUMMYFUNCTION("VALUE(REGEXEXTRACT(A901,""([^.]+)$""))"),1.0)</f>
        <v>1</v>
      </c>
      <c r="G901" s="49">
        <v>60.0</v>
      </c>
      <c r="H901" s="26" t="b">
        <f>COUNTIFS(
 tblCostChecklist[RequirementID],A901,
 tblCostChecklist[PlayerPaid],TRUE
)&gt;0</f>
        <v>0</v>
      </c>
      <c r="I901" s="49">
        <f t="shared" si="1"/>
        <v>5</v>
      </c>
      <c r="J901" s="49">
        <f t="shared" si="2"/>
        <v>0</v>
      </c>
      <c r="K901" s="49">
        <f t="shared" si="3"/>
        <v>5</v>
      </c>
      <c r="L901" s="49" t="b">
        <f t="shared" si="4"/>
        <v>0</v>
      </c>
      <c r="M901" s="88">
        <f t="shared" si="5"/>
        <v>0</v>
      </c>
    </row>
    <row r="902" ht="14.25" customHeight="1">
      <c r="A902" s="49" t="s">
        <v>3389</v>
      </c>
      <c r="B902" s="49" t="str">
        <f>IFERROR(__xludf.DUMMYFUNCTION("REGEXEXTRACT(A902,""^cost\.(.*)\.[^.]+\.[^.]+$"")"),"tech.outpost.arsenal_lvl_2")</f>
        <v>tech.outpost.arsenal_lvl_2</v>
      </c>
      <c r="C902" s="49" t="str">
        <f t="array" ref="C902">_xlfn.XLOOKUP(
 B902,
 tblTargets[TargetID],
 tblTargets[DisplayName],
 ""
)</f>
        <v>Outpost - Arsenal Lvl 2</v>
      </c>
      <c r="D902" s="49" t="str">
        <f t="array" ref="D902">_xlfn.XLOOKUP(
 B902,
 tblTargets[TargetID],
 tblTargets[TargetType],
 ""
)</f>
        <v>TECH</v>
      </c>
      <c r="E902" s="49" t="s">
        <v>119</v>
      </c>
      <c r="F902" s="87">
        <f>IFERROR(__xludf.DUMMYFUNCTION("VALUE(REGEXEXTRACT(A902,""([^.]+)$""))"),1.0)</f>
        <v>1</v>
      </c>
      <c r="G902" s="49">
        <v>1500.0</v>
      </c>
      <c r="H902" s="26" t="b">
        <f>COUNTIFS(
 tblCostChecklist[RequirementID],A902,
 tblCostChecklist[PlayerPaid],TRUE
)&gt;0</f>
        <v>0</v>
      </c>
      <c r="I902" s="49">
        <f t="shared" si="1"/>
        <v>5</v>
      </c>
      <c r="J902" s="49">
        <f t="shared" si="2"/>
        <v>0</v>
      </c>
      <c r="K902" s="49">
        <f t="shared" si="3"/>
        <v>5</v>
      </c>
      <c r="L902" s="49" t="b">
        <f t="shared" si="4"/>
        <v>0</v>
      </c>
      <c r="M902" s="88">
        <f t="shared" si="5"/>
        <v>0</v>
      </c>
    </row>
    <row r="903" ht="14.25" customHeight="1">
      <c r="A903" s="49" t="s">
        <v>3391</v>
      </c>
      <c r="B903" s="49" t="str">
        <f>IFERROR(__xludf.DUMMYFUNCTION("REGEXEXTRACT(A903,""^cost\.(.*)\.[^.]+\.[^.]+$"")"),"tech.outpost.arsenal_lvl_2")</f>
        <v>tech.outpost.arsenal_lvl_2</v>
      </c>
      <c r="C903" s="49" t="str">
        <f t="array" ref="C903">_xlfn.XLOOKUP(
 B903,
 tblTargets[TargetID],
 tblTargets[DisplayName],
 ""
)</f>
        <v>Outpost - Arsenal Lvl 2</v>
      </c>
      <c r="D903" s="49" t="str">
        <f t="array" ref="D903">_xlfn.XLOOKUP(
 B903,
 tblTargets[TargetID],
 tblTargets[TargetType],
 ""
)</f>
        <v>TECH</v>
      </c>
      <c r="E903" s="49" t="s">
        <v>187</v>
      </c>
      <c r="F903" s="87">
        <f>IFERROR(__xludf.DUMMYFUNCTION("VALUE(REGEXEXTRACT(A903,""([^.]+)$""))"),1.0)</f>
        <v>1</v>
      </c>
      <c r="G903" s="49">
        <v>600.0</v>
      </c>
      <c r="H903" s="26" t="b">
        <f>COUNTIFS(
 tblCostChecklist[RequirementID],A903,
 tblCostChecklist[PlayerPaid],TRUE
)&gt;0</f>
        <v>0</v>
      </c>
      <c r="I903" s="49">
        <f t="shared" si="1"/>
        <v>5</v>
      </c>
      <c r="J903" s="49">
        <f t="shared" si="2"/>
        <v>0</v>
      </c>
      <c r="K903" s="49">
        <f t="shared" si="3"/>
        <v>5</v>
      </c>
      <c r="L903" s="49" t="b">
        <f t="shared" si="4"/>
        <v>0</v>
      </c>
      <c r="M903" s="88">
        <f t="shared" si="5"/>
        <v>0</v>
      </c>
    </row>
    <row r="904" ht="14.25" customHeight="1">
      <c r="A904" s="49" t="s">
        <v>3393</v>
      </c>
      <c r="B904" s="49" t="str">
        <f>IFERROR(__xludf.DUMMYFUNCTION("REGEXEXTRACT(A904,""^cost\.(.*)\.[^.]+\.[^.]+$"")"),"tech.outpost.arsenal_lvl_2")</f>
        <v>tech.outpost.arsenal_lvl_2</v>
      </c>
      <c r="C904" s="49" t="str">
        <f t="array" ref="C904">_xlfn.XLOOKUP(
 B904,
 tblTargets[TargetID],
 tblTargets[DisplayName],
 ""
)</f>
        <v>Outpost - Arsenal Lvl 2</v>
      </c>
      <c r="D904" s="49" t="str">
        <f t="array" ref="D904">_xlfn.XLOOKUP(
 B904,
 tblTargets[TargetID],
 tblTargets[TargetType],
 ""
)</f>
        <v>TECH</v>
      </c>
      <c r="E904" s="49" t="s">
        <v>6</v>
      </c>
      <c r="F904" s="87">
        <f>IFERROR(__xludf.DUMMYFUNCTION("VALUE(REGEXEXTRACT(A904,""([^.]+)$""))"),1.0)</f>
        <v>1</v>
      </c>
      <c r="G904" s="49">
        <v>5.0</v>
      </c>
      <c r="H904" s="26" t="b">
        <f>COUNTIFS(
 tblCostChecklist[RequirementID],A904,
 tblCostChecklist[PlayerPaid],TRUE
)&gt;0</f>
        <v>0</v>
      </c>
      <c r="I904" s="49">
        <f t="shared" si="1"/>
        <v>5</v>
      </c>
      <c r="J904" s="49">
        <f t="shared" si="2"/>
        <v>0</v>
      </c>
      <c r="K904" s="49">
        <f t="shared" si="3"/>
        <v>5</v>
      </c>
      <c r="L904" s="49" t="b">
        <f t="shared" si="4"/>
        <v>0</v>
      </c>
      <c r="M904" s="88">
        <f t="shared" si="5"/>
        <v>0</v>
      </c>
    </row>
    <row r="905" ht="14.25" customHeight="1">
      <c r="A905" s="49" t="s">
        <v>3395</v>
      </c>
      <c r="B905" s="49" t="str">
        <f>IFERROR(__xludf.DUMMYFUNCTION("REGEXEXTRACT(A905,""^cost\.(.*)\.[^.]+\.[^.]+$"")"),"tech.outpost.arsenal_lvl_2")</f>
        <v>tech.outpost.arsenal_lvl_2</v>
      </c>
      <c r="C905" s="49" t="str">
        <f t="array" ref="C905">_xlfn.XLOOKUP(
 B905,
 tblTargets[TargetID],
 tblTargets[DisplayName],
 ""
)</f>
        <v>Outpost - Arsenal Lvl 2</v>
      </c>
      <c r="D905" s="49" t="str">
        <f t="array" ref="D905">_xlfn.XLOOKUP(
 B905,
 tblTargets[TargetID],
 tblTargets[TargetType],
 ""
)</f>
        <v>TECH</v>
      </c>
      <c r="E905" s="49" t="s">
        <v>392</v>
      </c>
      <c r="F905" s="87">
        <f>IFERROR(__xludf.DUMMYFUNCTION("VALUE(REGEXEXTRACT(A905,""([^.]+)$""))"),1.0)</f>
        <v>1</v>
      </c>
      <c r="G905" s="49">
        <v>300.0</v>
      </c>
      <c r="H905" s="26" t="b">
        <f>COUNTIFS(
 tblCostChecklist[RequirementID],A905,
 tblCostChecklist[PlayerPaid],TRUE
)&gt;0</f>
        <v>0</v>
      </c>
      <c r="I905" s="49">
        <f t="shared" si="1"/>
        <v>5</v>
      </c>
      <c r="J905" s="49">
        <f t="shared" si="2"/>
        <v>0</v>
      </c>
      <c r="K905" s="49">
        <f t="shared" si="3"/>
        <v>5</v>
      </c>
      <c r="L905" s="49" t="b">
        <f t="shared" si="4"/>
        <v>0</v>
      </c>
      <c r="M905" s="88">
        <f t="shared" si="5"/>
        <v>0</v>
      </c>
    </row>
    <row r="906" ht="14.25" customHeight="1">
      <c r="A906" s="49" t="s">
        <v>3397</v>
      </c>
      <c r="B906" s="49" t="str">
        <f>IFERROR(__xludf.DUMMYFUNCTION("REGEXEXTRACT(A906,""^cost\.(.*)\.[^.]+\.[^.]+$"")"),"tech.outpost.optional_contracts")</f>
        <v>tech.outpost.optional_contracts</v>
      </c>
      <c r="C906" s="49" t="str">
        <f t="array" ref="C906">_xlfn.XLOOKUP(
 B906,
 tblTargets[TargetID],
 tblTargets[DisplayName],
 ""
)</f>
        <v>Outpost - Optional Contracts</v>
      </c>
      <c r="D906" s="49" t="str">
        <f t="array" ref="D906">_xlfn.XLOOKUP(
 B906,
 tblTargets[TargetID],
 tblTargets[TargetType],
 ""
)</f>
        <v>TECH</v>
      </c>
      <c r="E906" s="49" t="s">
        <v>119</v>
      </c>
      <c r="F906" s="87">
        <f>IFERROR(__xludf.DUMMYFUNCTION("VALUE(REGEXEXTRACT(A906,""([^.]+)$""))"),1.0)</f>
        <v>1</v>
      </c>
      <c r="G906" s="49">
        <v>1000.0</v>
      </c>
      <c r="H906" s="26" t="b">
        <f>COUNTIFS(
 tblCostChecklist[RequirementID],A906,
 tblCostChecklist[PlayerPaid],TRUE
)&gt;0</f>
        <v>0</v>
      </c>
      <c r="I906" s="49">
        <f t="shared" si="1"/>
        <v>5</v>
      </c>
      <c r="J906" s="49">
        <f t="shared" si="2"/>
        <v>0</v>
      </c>
      <c r="K906" s="49">
        <f t="shared" si="3"/>
        <v>5</v>
      </c>
      <c r="L906" s="49" t="b">
        <f t="shared" si="4"/>
        <v>0</v>
      </c>
      <c r="M906" s="88">
        <f t="shared" si="5"/>
        <v>0</v>
      </c>
    </row>
    <row r="907" ht="14.25" customHeight="1">
      <c r="A907" s="49" t="s">
        <v>3399</v>
      </c>
      <c r="B907" s="49" t="str">
        <f>IFERROR(__xludf.DUMMYFUNCTION("REGEXEXTRACT(A907,""^cost\.(.*)\.[^.]+\.[^.]+$"")"),"tech.outpost.optional_contracts")</f>
        <v>tech.outpost.optional_contracts</v>
      </c>
      <c r="C907" s="49" t="str">
        <f t="array" ref="C907">_xlfn.XLOOKUP(
 B907,
 tblTargets[TargetID],
 tblTargets[DisplayName],
 ""
)</f>
        <v>Outpost - Optional Contracts</v>
      </c>
      <c r="D907" s="49" t="str">
        <f t="array" ref="D907">_xlfn.XLOOKUP(
 B907,
 tblTargets[TargetID],
 tblTargets[TargetType],
 ""
)</f>
        <v>TECH</v>
      </c>
      <c r="E907" s="49" t="s">
        <v>588</v>
      </c>
      <c r="F907" s="87">
        <f>IFERROR(__xludf.DUMMYFUNCTION("VALUE(REGEXEXTRACT(A907,""([^.]+)$""))"),1.0)</f>
        <v>1</v>
      </c>
      <c r="G907" s="49">
        <v>25.0</v>
      </c>
      <c r="H907" s="26" t="b">
        <f>COUNTIFS(
 tblCostChecklist[RequirementID],A907,
 tblCostChecklist[PlayerPaid],TRUE
)&gt;0</f>
        <v>0</v>
      </c>
      <c r="I907" s="49">
        <f t="shared" si="1"/>
        <v>5</v>
      </c>
      <c r="J907" s="49">
        <f t="shared" si="2"/>
        <v>0</v>
      </c>
      <c r="K907" s="49">
        <f t="shared" si="3"/>
        <v>5</v>
      </c>
      <c r="L907" s="49" t="b">
        <f t="shared" si="4"/>
        <v>0</v>
      </c>
      <c r="M907" s="88">
        <f t="shared" si="5"/>
        <v>0</v>
      </c>
    </row>
    <row r="908" ht="14.25" customHeight="1">
      <c r="A908" s="49" t="s">
        <v>3401</v>
      </c>
      <c r="B908" s="49" t="str">
        <f>IFERROR(__xludf.DUMMYFUNCTION("REGEXEXTRACT(A908,""^cost\.(.*)\.[^.]+\.[^.]+$"")"),"tech.outpost.optional_contracts")</f>
        <v>tech.outpost.optional_contracts</v>
      </c>
      <c r="C908" s="49" t="str">
        <f t="array" ref="C908">_xlfn.XLOOKUP(
 B908,
 tblTargets[TargetID],
 tblTargets[DisplayName],
 ""
)</f>
        <v>Outpost - Optional Contracts</v>
      </c>
      <c r="D908" s="49" t="str">
        <f t="array" ref="D908">_xlfn.XLOOKUP(
 B908,
 tblTargets[TargetID],
 tblTargets[TargetType],
 ""
)</f>
        <v>TECH</v>
      </c>
      <c r="E908" s="49" t="s">
        <v>132</v>
      </c>
      <c r="F908" s="87">
        <f>IFERROR(__xludf.DUMMYFUNCTION("VALUE(REGEXEXTRACT(A908,""([^.]+)$""))"),1.0)</f>
        <v>1</v>
      </c>
      <c r="G908" s="49">
        <v>40.0</v>
      </c>
      <c r="H908" s="26" t="b">
        <f>COUNTIFS(
 tblCostChecklist[RequirementID],A908,
 tblCostChecklist[PlayerPaid],TRUE
)&gt;0</f>
        <v>0</v>
      </c>
      <c r="I908" s="49">
        <f t="shared" si="1"/>
        <v>5</v>
      </c>
      <c r="J908" s="49">
        <f t="shared" si="2"/>
        <v>0</v>
      </c>
      <c r="K908" s="49">
        <f t="shared" si="3"/>
        <v>5</v>
      </c>
      <c r="L908" s="49" t="b">
        <f t="shared" si="4"/>
        <v>0</v>
      </c>
      <c r="M908" s="88">
        <f t="shared" si="5"/>
        <v>0</v>
      </c>
    </row>
    <row r="909" ht="14.25" customHeight="1">
      <c r="A909" s="49" t="s">
        <v>3403</v>
      </c>
      <c r="B909" s="49" t="str">
        <f>IFERROR(__xludf.DUMMYFUNCTION("REGEXEXTRACT(A909,""^cost\.(.*)\.[^.]+\.[^.]+$"")"),"tech.outpost.optional_contracts")</f>
        <v>tech.outpost.optional_contracts</v>
      </c>
      <c r="C909" s="49" t="str">
        <f t="array" ref="C909">_xlfn.XLOOKUP(
 B909,
 tblTargets[TargetID],
 tblTargets[DisplayName],
 ""
)</f>
        <v>Outpost - Optional Contracts</v>
      </c>
      <c r="D909" s="49" t="str">
        <f t="array" ref="D909">_xlfn.XLOOKUP(
 B909,
 tblTargets[TargetID],
 tblTargets[TargetType],
 ""
)</f>
        <v>TECH</v>
      </c>
      <c r="E909" s="49" t="s">
        <v>423</v>
      </c>
      <c r="F909" s="87">
        <f>IFERROR(__xludf.DUMMYFUNCTION("VALUE(REGEXEXTRACT(A909,""([^.]+)$""))"),1.0)</f>
        <v>1</v>
      </c>
      <c r="G909" s="49">
        <v>20.0</v>
      </c>
      <c r="H909" s="26" t="b">
        <f>COUNTIFS(
 tblCostChecklist[RequirementID],A909,
 tblCostChecklist[PlayerPaid],TRUE
)&gt;0</f>
        <v>0</v>
      </c>
      <c r="I909" s="49">
        <f t="shared" si="1"/>
        <v>5</v>
      </c>
      <c r="J909" s="49">
        <f t="shared" si="2"/>
        <v>0</v>
      </c>
      <c r="K909" s="49">
        <f t="shared" si="3"/>
        <v>5</v>
      </c>
      <c r="L909" s="49" t="b">
        <f t="shared" si="4"/>
        <v>0</v>
      </c>
      <c r="M909" s="88">
        <f t="shared" si="5"/>
        <v>0</v>
      </c>
    </row>
    <row r="910" ht="14.25" customHeight="1">
      <c r="A910" s="49" t="s">
        <v>3406</v>
      </c>
      <c r="B910" s="49" t="str">
        <f>IFERROR(__xludf.DUMMYFUNCTION("REGEXEXTRACT(A910,""^cost\.(.*)\.[^.]+\.[^.]+$"")"),"tech.outpost.optional_contracts")</f>
        <v>tech.outpost.optional_contracts</v>
      </c>
      <c r="C910" s="49" t="str">
        <f t="array" ref="C910">_xlfn.XLOOKUP(
 B910,
 tblTargets[TargetID],
 tblTargets[DisplayName],
 ""
)</f>
        <v>Outpost - Optional Contracts</v>
      </c>
      <c r="D910" s="49" t="str">
        <f t="array" ref="D910">_xlfn.XLOOKUP(
 B910,
 tblTargets[TargetID],
 tblTargets[TargetType],
 ""
)</f>
        <v>TECH</v>
      </c>
      <c r="E910" s="49" t="s">
        <v>6</v>
      </c>
      <c r="F910" s="87">
        <f>IFERROR(__xludf.DUMMYFUNCTION("VALUE(REGEXEXTRACT(A910,""([^.]+)$""))"),1.0)</f>
        <v>1</v>
      </c>
      <c r="G910" s="49">
        <v>3.0</v>
      </c>
      <c r="H910" s="26" t="b">
        <f>COUNTIFS(
 tblCostChecklist[RequirementID],A910,
 tblCostChecklist[PlayerPaid],TRUE
)&gt;0</f>
        <v>0</v>
      </c>
      <c r="I910" s="49">
        <f t="shared" si="1"/>
        <v>5</v>
      </c>
      <c r="J910" s="49">
        <f t="shared" si="2"/>
        <v>0</v>
      </c>
      <c r="K910" s="49">
        <f t="shared" si="3"/>
        <v>5</v>
      </c>
      <c r="L910" s="49" t="b">
        <f t="shared" si="4"/>
        <v>0</v>
      </c>
      <c r="M910" s="88">
        <f t="shared" si="5"/>
        <v>0</v>
      </c>
    </row>
    <row r="911" ht="14.25" customHeight="1">
      <c r="A911" s="49" t="s">
        <v>3409</v>
      </c>
      <c r="B911" s="49" t="str">
        <f>IFERROR(__xludf.DUMMYFUNCTION("REGEXEXTRACT(A911,""^cost\.(.*)\.[^.]+\.[^.]+$"")"),"tech.outpost.futures_contracts")</f>
        <v>tech.outpost.futures_contracts</v>
      </c>
      <c r="C911" s="49" t="str">
        <f t="array" ref="C911">_xlfn.XLOOKUP(
 B911,
 tblTargets[TargetID],
 tblTargets[DisplayName],
 ""
)</f>
        <v>Outpost - Futures Contracts</v>
      </c>
      <c r="D911" s="49" t="str">
        <f t="array" ref="D911">_xlfn.XLOOKUP(
 B911,
 tblTargets[TargetID],
 tblTargets[TargetType],
 ""
)</f>
        <v>TECH</v>
      </c>
      <c r="E911" s="49" t="s">
        <v>1055</v>
      </c>
      <c r="F911" s="87">
        <f>IFERROR(__xludf.DUMMYFUNCTION("VALUE(REGEXEXTRACT(A911,""([^.]+)$""))"),1.0)</f>
        <v>1</v>
      </c>
      <c r="G911" s="49">
        <v>40.0</v>
      </c>
      <c r="H911" s="26" t="b">
        <f>COUNTIFS(
 tblCostChecklist[RequirementID],A911,
 tblCostChecklist[PlayerPaid],TRUE
)&gt;0</f>
        <v>0</v>
      </c>
      <c r="I911" s="49">
        <f t="shared" si="1"/>
        <v>6</v>
      </c>
      <c r="J911" s="49">
        <f t="shared" si="2"/>
        <v>0</v>
      </c>
      <c r="K911" s="49">
        <f t="shared" si="3"/>
        <v>6</v>
      </c>
      <c r="L911" s="49" t="b">
        <f t="shared" si="4"/>
        <v>0</v>
      </c>
      <c r="M911" s="88">
        <f t="shared" si="5"/>
        <v>0</v>
      </c>
    </row>
    <row r="912" ht="14.25" customHeight="1">
      <c r="A912" s="49" t="s">
        <v>3412</v>
      </c>
      <c r="B912" s="49" t="str">
        <f>IFERROR(__xludf.DUMMYFUNCTION("REGEXEXTRACT(A912,""^cost\.(.*)\.[^.]+\.[^.]+$"")"),"tech.outpost.futures_contracts")</f>
        <v>tech.outpost.futures_contracts</v>
      </c>
      <c r="C912" s="49" t="str">
        <f t="array" ref="C912">_xlfn.XLOOKUP(
 B912,
 tblTargets[TargetID],
 tblTargets[DisplayName],
 ""
)</f>
        <v>Outpost - Futures Contracts</v>
      </c>
      <c r="D912" s="49" t="str">
        <f t="array" ref="D912">_xlfn.XLOOKUP(
 B912,
 tblTargets[TargetID],
 tblTargets[TargetType],
 ""
)</f>
        <v>TECH</v>
      </c>
      <c r="E912" s="49" t="s">
        <v>119</v>
      </c>
      <c r="F912" s="87">
        <f>IFERROR(__xludf.DUMMYFUNCTION("VALUE(REGEXEXTRACT(A912,""([^.]+)$""))"),1.0)</f>
        <v>1</v>
      </c>
      <c r="G912" s="49">
        <v>1000.0</v>
      </c>
      <c r="H912" s="26" t="b">
        <f>COUNTIFS(
 tblCostChecklist[RequirementID],A912,
 tblCostChecklist[PlayerPaid],TRUE
)&gt;0</f>
        <v>0</v>
      </c>
      <c r="I912" s="49">
        <f t="shared" si="1"/>
        <v>6</v>
      </c>
      <c r="J912" s="49">
        <f t="shared" si="2"/>
        <v>0</v>
      </c>
      <c r="K912" s="49">
        <f t="shared" si="3"/>
        <v>6</v>
      </c>
      <c r="L912" s="49" t="b">
        <f t="shared" si="4"/>
        <v>0</v>
      </c>
      <c r="M912" s="88">
        <f t="shared" si="5"/>
        <v>0</v>
      </c>
    </row>
    <row r="913" ht="14.25" customHeight="1">
      <c r="A913" s="49" t="s">
        <v>3414</v>
      </c>
      <c r="B913" s="49" t="str">
        <f>IFERROR(__xludf.DUMMYFUNCTION("REGEXEXTRACT(A913,""^cost\.(.*)\.[^.]+\.[^.]+$"")"),"tech.outpost.futures_contracts")</f>
        <v>tech.outpost.futures_contracts</v>
      </c>
      <c r="C913" s="49" t="str">
        <f t="array" ref="C913">_xlfn.XLOOKUP(
 B913,
 tblTargets[TargetID],
 tblTargets[DisplayName],
 ""
)</f>
        <v>Outpost - Futures Contracts</v>
      </c>
      <c r="D913" s="49" t="str">
        <f t="array" ref="D913">_xlfn.XLOOKUP(
 B913,
 tblTargets[TargetID],
 tblTargets[TargetType],
 ""
)</f>
        <v>TECH</v>
      </c>
      <c r="E913" s="49" t="s">
        <v>423</v>
      </c>
      <c r="F913" s="87">
        <f>IFERROR(__xludf.DUMMYFUNCTION("VALUE(REGEXEXTRACT(A913,""([^.]+)$""))"),1.0)</f>
        <v>1</v>
      </c>
      <c r="G913" s="49">
        <v>30.0</v>
      </c>
      <c r="H913" s="26" t="b">
        <f>COUNTIFS(
 tblCostChecklist[RequirementID],A913,
 tblCostChecklist[PlayerPaid],TRUE
)&gt;0</f>
        <v>0</v>
      </c>
      <c r="I913" s="49">
        <f t="shared" si="1"/>
        <v>6</v>
      </c>
      <c r="J913" s="49">
        <f t="shared" si="2"/>
        <v>0</v>
      </c>
      <c r="K913" s="49">
        <f t="shared" si="3"/>
        <v>6</v>
      </c>
      <c r="L913" s="49" t="b">
        <f t="shared" si="4"/>
        <v>0</v>
      </c>
      <c r="M913" s="88">
        <f t="shared" si="5"/>
        <v>0</v>
      </c>
    </row>
    <row r="914" ht="14.25" customHeight="1">
      <c r="A914" s="49" t="s">
        <v>3416</v>
      </c>
      <c r="B914" s="49" t="str">
        <f>IFERROR(__xludf.DUMMYFUNCTION("REGEXEXTRACT(A914,""^cost\.(.*)\.[^.]+\.[^.]+$"")"),"tech.outpost.futures_contracts")</f>
        <v>tech.outpost.futures_contracts</v>
      </c>
      <c r="C914" s="49" t="str">
        <f t="array" ref="C914">_xlfn.XLOOKUP(
 B914,
 tblTargets[TargetID],
 tblTargets[DisplayName],
 ""
)</f>
        <v>Outpost - Futures Contracts</v>
      </c>
      <c r="D914" s="49" t="str">
        <f t="array" ref="D914">_xlfn.XLOOKUP(
 B914,
 tblTargets[TargetID],
 tblTargets[TargetType],
 ""
)</f>
        <v>TECH</v>
      </c>
      <c r="E914" s="49" t="s">
        <v>701</v>
      </c>
      <c r="F914" s="87">
        <f>IFERROR(__xludf.DUMMYFUNCTION("VALUE(REGEXEXTRACT(A914,""([^.]+)$""))"),1.0)</f>
        <v>1</v>
      </c>
      <c r="G914" s="49">
        <v>50.0</v>
      </c>
      <c r="H914" s="26" t="b">
        <f>COUNTIFS(
 tblCostChecklist[RequirementID],A914,
 tblCostChecklist[PlayerPaid],TRUE
)&gt;0</f>
        <v>0</v>
      </c>
      <c r="I914" s="49">
        <f t="shared" si="1"/>
        <v>6</v>
      </c>
      <c r="J914" s="49">
        <f t="shared" si="2"/>
        <v>0</v>
      </c>
      <c r="K914" s="49">
        <f t="shared" si="3"/>
        <v>6</v>
      </c>
      <c r="L914" s="49" t="b">
        <f t="shared" si="4"/>
        <v>0</v>
      </c>
      <c r="M914" s="88">
        <f t="shared" si="5"/>
        <v>0</v>
      </c>
    </row>
    <row r="915" ht="14.25" customHeight="1">
      <c r="A915" s="49" t="s">
        <v>3418</v>
      </c>
      <c r="B915" s="49" t="str">
        <f>IFERROR(__xludf.DUMMYFUNCTION("REGEXEXTRACT(A915,""^cost\.(.*)\.[^.]+\.[^.]+$"")"),"tech.outpost.futures_contracts")</f>
        <v>tech.outpost.futures_contracts</v>
      </c>
      <c r="C915" s="49" t="str">
        <f t="array" ref="C915">_xlfn.XLOOKUP(
 B915,
 tblTargets[TargetID],
 tblTargets[DisplayName],
 ""
)</f>
        <v>Outpost - Futures Contracts</v>
      </c>
      <c r="D915" s="49" t="str">
        <f t="array" ref="D915">_xlfn.XLOOKUP(
 B915,
 tblTargets[TargetID],
 tblTargets[TargetType],
 ""
)</f>
        <v>TECH</v>
      </c>
      <c r="E915" s="49" t="s">
        <v>6</v>
      </c>
      <c r="F915" s="87">
        <f>IFERROR(__xludf.DUMMYFUNCTION("VALUE(REGEXEXTRACT(A915,""([^.]+)$""))"),1.0)</f>
        <v>1</v>
      </c>
      <c r="G915" s="49">
        <v>5.0</v>
      </c>
      <c r="H915" s="26" t="b">
        <f>COUNTIFS(
 tblCostChecklist[RequirementID],A915,
 tblCostChecklist[PlayerPaid],TRUE
)&gt;0</f>
        <v>0</v>
      </c>
      <c r="I915" s="49">
        <f t="shared" si="1"/>
        <v>6</v>
      </c>
      <c r="J915" s="49">
        <f t="shared" si="2"/>
        <v>0</v>
      </c>
      <c r="K915" s="49">
        <f t="shared" si="3"/>
        <v>6</v>
      </c>
      <c r="L915" s="49" t="b">
        <f t="shared" si="4"/>
        <v>0</v>
      </c>
      <c r="M915" s="88">
        <f t="shared" si="5"/>
        <v>0</v>
      </c>
    </row>
    <row r="916" ht="14.25" customHeight="1">
      <c r="A916" s="49" t="s">
        <v>3420</v>
      </c>
      <c r="B916" s="49" t="str">
        <f>IFERROR(__xludf.DUMMYFUNCTION("REGEXEXTRACT(A916,""^cost\.(.*)\.[^.]+\.[^.]+$"")"),"tech.outpost.futures_contracts")</f>
        <v>tech.outpost.futures_contracts</v>
      </c>
      <c r="C916" s="49" t="str">
        <f t="array" ref="C916">_xlfn.XLOOKUP(
 B916,
 tblTargets[TargetID],
 tblTargets[DisplayName],
 ""
)</f>
        <v>Outpost - Futures Contracts</v>
      </c>
      <c r="D916" s="49" t="str">
        <f t="array" ref="D916">_xlfn.XLOOKUP(
 B916,
 tblTargets[TargetID],
 tblTargets[TargetType],
 ""
)</f>
        <v>TECH</v>
      </c>
      <c r="E916" s="49" t="s">
        <v>2719</v>
      </c>
      <c r="F916" s="87">
        <f>IFERROR(__xludf.DUMMYFUNCTION("VALUE(REGEXEXTRACT(A916,""([^.]+)$""))"),1.0)</f>
        <v>1</v>
      </c>
      <c r="G916" s="49">
        <v>10.0</v>
      </c>
      <c r="H916" s="26" t="b">
        <f>COUNTIFS(
 tblCostChecklist[RequirementID],A916,
 tblCostChecklist[PlayerPaid],TRUE
)&gt;0</f>
        <v>0</v>
      </c>
      <c r="I916" s="49">
        <f t="shared" si="1"/>
        <v>6</v>
      </c>
      <c r="J916" s="49">
        <f t="shared" si="2"/>
        <v>0</v>
      </c>
      <c r="K916" s="49">
        <f t="shared" si="3"/>
        <v>6</v>
      </c>
      <c r="L916" s="49" t="b">
        <f t="shared" si="4"/>
        <v>0</v>
      </c>
      <c r="M916" s="88">
        <f t="shared" si="5"/>
        <v>0</v>
      </c>
    </row>
    <row r="917" ht="14.25" customHeight="1">
      <c r="A917" s="49" t="s">
        <v>3422</v>
      </c>
      <c r="B917" s="49" t="str">
        <f>IFERROR(__xludf.DUMMYFUNCTION("REGEXEXTRACT(A917,""^cost\.(.*)\.[^.]+\.[^.]+$"")"),"tech.outpost.tax_return_on_floppy_disk")</f>
        <v>tech.outpost.tax_return_on_floppy_disk</v>
      </c>
      <c r="C917" s="49" t="str">
        <f t="array" ref="C917">_xlfn.XLOOKUP(
 B917,
 tblTargets[TargetID],
 tblTargets[DisplayName],
 ""
)</f>
        <v>Outpost - Tax Return On Floppy Disk</v>
      </c>
      <c r="D917" s="49" t="str">
        <f t="array" ref="D917">_xlfn.XLOOKUP(
 B917,
 tblTargets[TargetID],
 tblTargets[TargetType],
 ""
)</f>
        <v>TECH</v>
      </c>
      <c r="E917" s="49" t="s">
        <v>1055</v>
      </c>
      <c r="F917" s="87">
        <f>IFERROR(__xludf.DUMMYFUNCTION("VALUE(REGEXEXTRACT(A917,""([^.]+)$""))"),1.0)</f>
        <v>1</v>
      </c>
      <c r="G917" s="49">
        <v>30.0</v>
      </c>
      <c r="H917" s="26" t="b">
        <f>COUNTIFS(
 tblCostChecklist[RequirementID],A917,
 tblCostChecklist[PlayerPaid],TRUE
)&gt;0</f>
        <v>0</v>
      </c>
      <c r="I917" s="49">
        <f t="shared" si="1"/>
        <v>6</v>
      </c>
      <c r="J917" s="49">
        <f t="shared" si="2"/>
        <v>0</v>
      </c>
      <c r="K917" s="49">
        <f t="shared" si="3"/>
        <v>6</v>
      </c>
      <c r="L917" s="49" t="b">
        <f t="shared" si="4"/>
        <v>0</v>
      </c>
      <c r="M917" s="88">
        <f t="shared" si="5"/>
        <v>0</v>
      </c>
    </row>
    <row r="918" ht="14.25" customHeight="1">
      <c r="A918" s="49" t="s">
        <v>3424</v>
      </c>
      <c r="B918" s="49" t="str">
        <f>IFERROR(__xludf.DUMMYFUNCTION("REGEXEXTRACT(A918,""^cost\.(.*)\.[^.]+\.[^.]+$"")"),"tech.outpost.tax_return_on_floppy_disk")</f>
        <v>tech.outpost.tax_return_on_floppy_disk</v>
      </c>
      <c r="C918" s="49" t="str">
        <f t="array" ref="C918">_xlfn.XLOOKUP(
 B918,
 tblTargets[TargetID],
 tblTargets[DisplayName],
 ""
)</f>
        <v>Outpost - Tax Return On Floppy Disk</v>
      </c>
      <c r="D918" s="49" t="str">
        <f t="array" ref="D918">_xlfn.XLOOKUP(
 B918,
 tblTargets[TargetID],
 tblTargets[TargetType],
 ""
)</f>
        <v>TECH</v>
      </c>
      <c r="E918" s="49" t="s">
        <v>119</v>
      </c>
      <c r="F918" s="87">
        <f>IFERROR(__xludf.DUMMYFUNCTION("VALUE(REGEXEXTRACT(A918,""([^.]+)$""))"),1.0)</f>
        <v>1</v>
      </c>
      <c r="G918" s="49">
        <v>400.0</v>
      </c>
      <c r="H918" s="26" t="b">
        <f>COUNTIFS(
 tblCostChecklist[RequirementID],A918,
 tblCostChecklist[PlayerPaid],TRUE
)&gt;0</f>
        <v>0</v>
      </c>
      <c r="I918" s="49">
        <f t="shared" si="1"/>
        <v>6</v>
      </c>
      <c r="J918" s="49">
        <f t="shared" si="2"/>
        <v>0</v>
      </c>
      <c r="K918" s="49">
        <f t="shared" si="3"/>
        <v>6</v>
      </c>
      <c r="L918" s="49" t="b">
        <f t="shared" si="4"/>
        <v>0</v>
      </c>
      <c r="M918" s="88">
        <f t="shared" si="5"/>
        <v>0</v>
      </c>
    </row>
    <row r="919" ht="14.25" customHeight="1">
      <c r="A919" s="49" t="s">
        <v>3425</v>
      </c>
      <c r="B919" s="49" t="str">
        <f>IFERROR(__xludf.DUMMYFUNCTION("REGEXEXTRACT(A919,""^cost\.(.*)\.[^.]+\.[^.]+$"")"),"tech.outpost.tax_return_on_floppy_disk")</f>
        <v>tech.outpost.tax_return_on_floppy_disk</v>
      </c>
      <c r="C919" s="49" t="str">
        <f t="array" ref="C919">_xlfn.XLOOKUP(
 B919,
 tblTargets[TargetID],
 tblTargets[DisplayName],
 ""
)</f>
        <v>Outpost - Tax Return On Floppy Disk</v>
      </c>
      <c r="D919" s="49" t="str">
        <f t="array" ref="D919">_xlfn.XLOOKUP(
 B919,
 tblTargets[TargetID],
 tblTargets[TargetType],
 ""
)</f>
        <v>TECH</v>
      </c>
      <c r="E919" s="49" t="s">
        <v>1072</v>
      </c>
      <c r="F919" s="87">
        <f>IFERROR(__xludf.DUMMYFUNCTION("VALUE(REGEXEXTRACT(A919,""([^.]+)$""))"),1.0)</f>
        <v>1</v>
      </c>
      <c r="G919" s="49">
        <v>40.0</v>
      </c>
      <c r="H919" s="26" t="b">
        <f>COUNTIFS(
 tblCostChecklist[RequirementID],A919,
 tblCostChecklist[PlayerPaid],TRUE
)&gt;0</f>
        <v>0</v>
      </c>
      <c r="I919" s="49">
        <f t="shared" si="1"/>
        <v>6</v>
      </c>
      <c r="J919" s="49">
        <f t="shared" si="2"/>
        <v>0</v>
      </c>
      <c r="K919" s="49">
        <f t="shared" si="3"/>
        <v>6</v>
      </c>
      <c r="L919" s="49" t="b">
        <f t="shared" si="4"/>
        <v>0</v>
      </c>
      <c r="M919" s="88">
        <f t="shared" si="5"/>
        <v>0</v>
      </c>
    </row>
    <row r="920" ht="14.25" customHeight="1">
      <c r="A920" s="49" t="s">
        <v>3428</v>
      </c>
      <c r="B920" s="49" t="str">
        <f>IFERROR(__xludf.DUMMYFUNCTION("REGEXEXTRACT(A920,""^cost\.(.*)\.[^.]+\.[^.]+$"")"),"tech.outpost.tax_return_on_floppy_disk")</f>
        <v>tech.outpost.tax_return_on_floppy_disk</v>
      </c>
      <c r="C920" s="49" t="str">
        <f t="array" ref="C920">_xlfn.XLOOKUP(
 B920,
 tblTargets[TargetID],
 tblTargets[DisplayName],
 ""
)</f>
        <v>Outpost - Tax Return On Floppy Disk</v>
      </c>
      <c r="D920" s="49" t="str">
        <f t="array" ref="D920">_xlfn.XLOOKUP(
 B920,
 tblTargets[TargetID],
 tblTargets[TargetType],
 ""
)</f>
        <v>TECH</v>
      </c>
      <c r="E920" s="49" t="s">
        <v>1083</v>
      </c>
      <c r="F920" s="87">
        <f>IFERROR(__xludf.DUMMYFUNCTION("VALUE(REGEXEXTRACT(A920,""([^.]+)$""))"),1.0)</f>
        <v>1</v>
      </c>
      <c r="G920" s="49">
        <v>30.0</v>
      </c>
      <c r="H920" s="26" t="b">
        <f>COUNTIFS(
 tblCostChecklist[RequirementID],A920,
 tblCostChecklist[PlayerPaid],TRUE
)&gt;0</f>
        <v>0</v>
      </c>
      <c r="I920" s="49">
        <f t="shared" si="1"/>
        <v>6</v>
      </c>
      <c r="J920" s="49">
        <f t="shared" si="2"/>
        <v>0</v>
      </c>
      <c r="K920" s="49">
        <f t="shared" si="3"/>
        <v>6</v>
      </c>
      <c r="L920" s="49" t="b">
        <f t="shared" si="4"/>
        <v>0</v>
      </c>
      <c r="M920" s="88">
        <f t="shared" si="5"/>
        <v>0</v>
      </c>
    </row>
    <row r="921" ht="14.25" customHeight="1">
      <c r="A921" s="49" t="s">
        <v>3430</v>
      </c>
      <c r="B921" s="49" t="str">
        <f>IFERROR(__xludf.DUMMYFUNCTION("REGEXEXTRACT(A921,""^cost\.(.*)\.[^.]+\.[^.]+$"")"),"tech.outpost.tax_return_on_floppy_disk")</f>
        <v>tech.outpost.tax_return_on_floppy_disk</v>
      </c>
      <c r="C921" s="49" t="str">
        <f t="array" ref="C921">_xlfn.XLOOKUP(
 B921,
 tblTargets[TargetID],
 tblTargets[DisplayName],
 ""
)</f>
        <v>Outpost - Tax Return On Floppy Disk</v>
      </c>
      <c r="D921" s="49" t="str">
        <f t="array" ref="D921">_xlfn.XLOOKUP(
 B921,
 tblTargets[TargetID],
 tblTargets[TargetType],
 ""
)</f>
        <v>TECH</v>
      </c>
      <c r="E921" s="49" t="s">
        <v>6</v>
      </c>
      <c r="F921" s="87">
        <f>IFERROR(__xludf.DUMMYFUNCTION("VALUE(REGEXEXTRACT(A921,""([^.]+)$""))"),1.0)</f>
        <v>1</v>
      </c>
      <c r="G921" s="49">
        <v>3.0</v>
      </c>
      <c r="H921" s="26" t="b">
        <f>COUNTIFS(
 tblCostChecklist[RequirementID],A921,
 tblCostChecklist[PlayerPaid],TRUE
)&gt;0</f>
        <v>0</v>
      </c>
      <c r="I921" s="49">
        <f t="shared" si="1"/>
        <v>6</v>
      </c>
      <c r="J921" s="49">
        <f t="shared" si="2"/>
        <v>0</v>
      </c>
      <c r="K921" s="49">
        <f t="shared" si="3"/>
        <v>6</v>
      </c>
      <c r="L921" s="49" t="b">
        <f t="shared" si="4"/>
        <v>0</v>
      </c>
      <c r="M921" s="88">
        <f t="shared" si="5"/>
        <v>0</v>
      </c>
    </row>
    <row r="922" ht="14.25" customHeight="1">
      <c r="A922" s="49" t="s">
        <v>3432</v>
      </c>
      <c r="B922" s="49" t="str">
        <f>IFERROR(__xludf.DUMMYFUNCTION("REGEXEXTRACT(A922,""^cost\.(.*)\.[^.]+\.[^.]+$"")"),"tech.outpost.tax_return_on_floppy_disk")</f>
        <v>tech.outpost.tax_return_on_floppy_disk</v>
      </c>
      <c r="C922" s="49" t="str">
        <f t="array" ref="C922">_xlfn.XLOOKUP(
 B922,
 tblTargets[TargetID],
 tblTargets[DisplayName],
 ""
)</f>
        <v>Outpost - Tax Return On Floppy Disk</v>
      </c>
      <c r="D922" s="49" t="str">
        <f t="array" ref="D922">_xlfn.XLOOKUP(
 B922,
 tblTargets[TargetID],
 tblTargets[TargetType],
 ""
)</f>
        <v>TECH</v>
      </c>
      <c r="E922" s="49" t="s">
        <v>392</v>
      </c>
      <c r="F922" s="87">
        <f>IFERROR(__xludf.DUMMYFUNCTION("VALUE(REGEXEXTRACT(A922,""([^.]+)$""))"),1.0)</f>
        <v>1</v>
      </c>
      <c r="G922" s="49">
        <v>200.0</v>
      </c>
      <c r="H922" s="26" t="b">
        <f>COUNTIFS(
 tblCostChecklist[RequirementID],A922,
 tblCostChecklist[PlayerPaid],TRUE
)&gt;0</f>
        <v>0</v>
      </c>
      <c r="I922" s="49">
        <f t="shared" si="1"/>
        <v>6</v>
      </c>
      <c r="J922" s="49">
        <f t="shared" si="2"/>
        <v>0</v>
      </c>
      <c r="K922" s="49">
        <f t="shared" si="3"/>
        <v>6</v>
      </c>
      <c r="L922" s="49" t="b">
        <f t="shared" si="4"/>
        <v>0</v>
      </c>
      <c r="M922" s="88">
        <f t="shared" si="5"/>
        <v>0</v>
      </c>
    </row>
    <row r="923" ht="14.25" customHeight="1">
      <c r="A923" s="49" t="s">
        <v>3433</v>
      </c>
      <c r="B923" s="49" t="str">
        <f>IFERROR(__xludf.DUMMYFUNCTION("REGEXEXTRACT(A923,""^cost\.(.*)\.[^.]+\.[^.]+$"")"),"tech.rock_garden.rake")</f>
        <v>tech.rock_garden.rake</v>
      </c>
      <c r="C923" s="49" t="str">
        <f t="array" ref="C923">_xlfn.XLOOKUP(
 B923,
 tblTargets[TargetID],
 tblTargets[DisplayName],
 ""
)</f>
        <v>Rock Garden - Rake</v>
      </c>
      <c r="D923" s="49" t="str">
        <f t="array" ref="D923">_xlfn.XLOOKUP(
 B923,
 tblTargets[TargetID],
 tblTargets[TargetType],
 ""
)</f>
        <v>TECH</v>
      </c>
      <c r="E923" s="49" t="s">
        <v>1055</v>
      </c>
      <c r="F923" s="87">
        <f>IFERROR(__xludf.DUMMYFUNCTION("VALUE(REGEXEXTRACT(A923,""([^.]+)$""))"),1.0)</f>
        <v>1</v>
      </c>
      <c r="G923" s="49">
        <v>30.0</v>
      </c>
      <c r="H923" s="26" t="b">
        <f>COUNTIFS(
 tblCostChecklist[RequirementID],A923,
 tblCostChecklist[PlayerPaid],TRUE
)&gt;0</f>
        <v>0</v>
      </c>
      <c r="I923" s="49">
        <f t="shared" si="1"/>
        <v>4</v>
      </c>
      <c r="J923" s="49">
        <f t="shared" si="2"/>
        <v>0</v>
      </c>
      <c r="K923" s="49">
        <f t="shared" si="3"/>
        <v>4</v>
      </c>
      <c r="L923" s="49" t="b">
        <f t="shared" si="4"/>
        <v>0</v>
      </c>
      <c r="M923" s="88">
        <f t="shared" si="5"/>
        <v>0</v>
      </c>
    </row>
    <row r="924" ht="14.25" customHeight="1">
      <c r="A924" s="49" t="s">
        <v>3434</v>
      </c>
      <c r="B924" s="49" t="str">
        <f>IFERROR(__xludf.DUMMYFUNCTION("REGEXEXTRACT(A924,""^cost\.(.*)\.[^.]+\.[^.]+$"")"),"tech.rock_garden.rake")</f>
        <v>tech.rock_garden.rake</v>
      </c>
      <c r="C924" s="49" t="str">
        <f t="array" ref="C924">_xlfn.XLOOKUP(
 B924,
 tblTargets[TargetID],
 tblTargets[DisplayName],
 ""
)</f>
        <v>Rock Garden - Rake</v>
      </c>
      <c r="D924" s="49" t="str">
        <f t="array" ref="D924">_xlfn.XLOOKUP(
 B924,
 tblTargets[TargetID],
 tblTargets[TargetType],
 ""
)</f>
        <v>TECH</v>
      </c>
      <c r="E924" s="49" t="s">
        <v>119</v>
      </c>
      <c r="F924" s="87">
        <f>IFERROR(__xludf.DUMMYFUNCTION("VALUE(REGEXEXTRACT(A924,""([^.]+)$""))"),1.0)</f>
        <v>1</v>
      </c>
      <c r="G924" s="49">
        <v>1500.0</v>
      </c>
      <c r="H924" s="26" t="b">
        <f>COUNTIFS(
 tblCostChecklist[RequirementID],A924,
 tblCostChecklist[PlayerPaid],TRUE
)&gt;0</f>
        <v>0</v>
      </c>
      <c r="I924" s="49">
        <f t="shared" si="1"/>
        <v>4</v>
      </c>
      <c r="J924" s="49">
        <f t="shared" si="2"/>
        <v>0</v>
      </c>
      <c r="K924" s="49">
        <f t="shared" si="3"/>
        <v>4</v>
      </c>
      <c r="L924" s="49" t="b">
        <f t="shared" si="4"/>
        <v>0</v>
      </c>
      <c r="M924" s="88">
        <f t="shared" si="5"/>
        <v>0</v>
      </c>
    </row>
    <row r="925" ht="14.25" customHeight="1">
      <c r="A925" s="49" t="s">
        <v>3435</v>
      </c>
      <c r="B925" s="49" t="str">
        <f>IFERROR(__xludf.DUMMYFUNCTION("REGEXEXTRACT(A925,""^cost\.(.*)\.[^.]+\.[^.]+$"")"),"tech.rock_garden.rake")</f>
        <v>tech.rock_garden.rake</v>
      </c>
      <c r="C925" s="49" t="str">
        <f t="array" ref="C925">_xlfn.XLOOKUP(
 B925,
 tblTargets[TargetID],
 tblTargets[DisplayName],
 ""
)</f>
        <v>Rock Garden - Rake</v>
      </c>
      <c r="D925" s="49" t="str">
        <f t="array" ref="D925">_xlfn.XLOOKUP(
 B925,
 tblTargets[TargetID],
 tblTargets[TargetType],
 ""
)</f>
        <v>TECH</v>
      </c>
      <c r="E925" s="49" t="s">
        <v>126</v>
      </c>
      <c r="F925" s="87">
        <f>IFERROR(__xludf.DUMMYFUNCTION("VALUE(REGEXEXTRACT(A925,""([^.]+)$""))"),1.0)</f>
        <v>1</v>
      </c>
      <c r="G925" s="49">
        <v>50.0</v>
      </c>
      <c r="H925" s="26" t="b">
        <f>COUNTIFS(
 tblCostChecklist[RequirementID],A925,
 tblCostChecklist[PlayerPaid],TRUE
)&gt;0</f>
        <v>0</v>
      </c>
      <c r="I925" s="49">
        <f t="shared" si="1"/>
        <v>4</v>
      </c>
      <c r="J925" s="49">
        <f t="shared" si="2"/>
        <v>0</v>
      </c>
      <c r="K925" s="49">
        <f t="shared" si="3"/>
        <v>4</v>
      </c>
      <c r="L925" s="49" t="b">
        <f t="shared" si="4"/>
        <v>0</v>
      </c>
      <c r="M925" s="88">
        <f t="shared" si="5"/>
        <v>0</v>
      </c>
    </row>
    <row r="926" ht="14.25" customHeight="1">
      <c r="A926" s="49" t="s">
        <v>3436</v>
      </c>
      <c r="B926" s="49" t="str">
        <f>IFERROR(__xludf.DUMMYFUNCTION("REGEXEXTRACT(A926,""^cost\.(.*)\.[^.]+\.[^.]+$"")"),"tech.rock_garden.rake")</f>
        <v>tech.rock_garden.rake</v>
      </c>
      <c r="C926" s="49" t="str">
        <f t="array" ref="C926">_xlfn.XLOOKUP(
 B926,
 tblTargets[TargetID],
 tblTargets[DisplayName],
 ""
)</f>
        <v>Rock Garden - Rake</v>
      </c>
      <c r="D926" s="49" t="str">
        <f t="array" ref="D926">_xlfn.XLOOKUP(
 B926,
 tblTargets[TargetID],
 tblTargets[TargetType],
 ""
)</f>
        <v>TECH</v>
      </c>
      <c r="E926" s="49" t="s">
        <v>6</v>
      </c>
      <c r="F926" s="87">
        <f>IFERROR(__xludf.DUMMYFUNCTION("VALUE(REGEXEXTRACT(A926,""([^.]+)$""))"),1.0)</f>
        <v>1</v>
      </c>
      <c r="G926" s="49">
        <v>6.0</v>
      </c>
      <c r="H926" s="26" t="b">
        <f>COUNTIFS(
 tblCostChecklist[RequirementID],A926,
 tblCostChecklist[PlayerPaid],TRUE
)&gt;0</f>
        <v>0</v>
      </c>
      <c r="I926" s="49">
        <f t="shared" si="1"/>
        <v>4</v>
      </c>
      <c r="J926" s="49">
        <f t="shared" si="2"/>
        <v>0</v>
      </c>
      <c r="K926" s="49">
        <f t="shared" si="3"/>
        <v>4</v>
      </c>
      <c r="L926" s="49" t="b">
        <f t="shared" si="4"/>
        <v>0</v>
      </c>
      <c r="M926" s="88">
        <f t="shared" si="5"/>
        <v>0</v>
      </c>
    </row>
    <row r="927" ht="14.25" customHeight="1">
      <c r="A927" s="49" t="s">
        <v>3437</v>
      </c>
      <c r="B927" s="49" t="str">
        <f>IFERROR(__xludf.DUMMYFUNCTION("REGEXEXTRACT(A927,""^cost\.(.*)\.[^.]+\.[^.]+$"")"),"tech.shop.pre_orders")</f>
        <v>tech.shop.pre_orders</v>
      </c>
      <c r="C927" s="49" t="str">
        <f t="array" ref="C927">_xlfn.XLOOKUP(
 B927,
 tblTargets[TargetID],
 tblTargets[DisplayName],
 ""
)</f>
        <v>Shop - Pre Orders</v>
      </c>
      <c r="D927" s="49" t="str">
        <f t="array" ref="D927">_xlfn.XLOOKUP(
 B927,
 tblTargets[TargetID],
 tblTargets[TargetType],
 ""
)</f>
        <v>TECH</v>
      </c>
      <c r="E927" s="49" t="s">
        <v>367</v>
      </c>
      <c r="F927" s="87">
        <f>IFERROR(__xludf.DUMMYFUNCTION("VALUE(REGEXEXTRACT(A927,""([^.]+)$""))"),1.0)</f>
        <v>1</v>
      </c>
      <c r="G927" s="49">
        <v>20.0</v>
      </c>
      <c r="H927" s="26" t="b">
        <f>COUNTIFS(
 tblCostChecklist[RequirementID],A927,
 tblCostChecklist[PlayerPaid],TRUE
)&gt;0</f>
        <v>0</v>
      </c>
      <c r="I927" s="49">
        <f t="shared" si="1"/>
        <v>5</v>
      </c>
      <c r="J927" s="49">
        <f t="shared" si="2"/>
        <v>0</v>
      </c>
      <c r="K927" s="49">
        <f t="shared" si="3"/>
        <v>5</v>
      </c>
      <c r="L927" s="49" t="b">
        <f t="shared" si="4"/>
        <v>0</v>
      </c>
      <c r="M927" s="88">
        <f t="shared" si="5"/>
        <v>0</v>
      </c>
    </row>
    <row r="928" ht="14.25" customHeight="1">
      <c r="A928" s="49" t="s">
        <v>3438</v>
      </c>
      <c r="B928" s="49" t="str">
        <f>IFERROR(__xludf.DUMMYFUNCTION("REGEXEXTRACT(A928,""^cost\.(.*)\.[^.]+\.[^.]+$"")"),"tech.shop.pre_orders")</f>
        <v>tech.shop.pre_orders</v>
      </c>
      <c r="C928" s="49" t="str">
        <f t="array" ref="C928">_xlfn.XLOOKUP(
 B928,
 tblTargets[TargetID],
 tblTargets[DisplayName],
 ""
)</f>
        <v>Shop - Pre Orders</v>
      </c>
      <c r="D928" s="49" t="str">
        <f t="array" ref="D928">_xlfn.XLOOKUP(
 B928,
 tblTargets[TargetID],
 tblTargets[TargetType],
 ""
)</f>
        <v>TECH</v>
      </c>
      <c r="E928" s="49" t="s">
        <v>1055</v>
      </c>
      <c r="F928" s="87">
        <f>IFERROR(__xludf.DUMMYFUNCTION("VALUE(REGEXEXTRACT(A928,""([^.]+)$""))"),1.0)</f>
        <v>1</v>
      </c>
      <c r="G928" s="49">
        <v>30.0</v>
      </c>
      <c r="H928" s="26" t="b">
        <f>COUNTIFS(
 tblCostChecklist[RequirementID],A928,
 tblCostChecklist[PlayerPaid],TRUE
)&gt;0</f>
        <v>0</v>
      </c>
      <c r="I928" s="49">
        <f t="shared" si="1"/>
        <v>5</v>
      </c>
      <c r="J928" s="49">
        <f t="shared" si="2"/>
        <v>0</v>
      </c>
      <c r="K928" s="49">
        <f t="shared" si="3"/>
        <v>5</v>
      </c>
      <c r="L928" s="49" t="b">
        <f t="shared" si="4"/>
        <v>0</v>
      </c>
      <c r="M928" s="88">
        <f t="shared" si="5"/>
        <v>0</v>
      </c>
    </row>
    <row r="929" ht="14.25" customHeight="1">
      <c r="A929" s="49" t="s">
        <v>3439</v>
      </c>
      <c r="B929" s="49" t="str">
        <f>IFERROR(__xludf.DUMMYFUNCTION("REGEXEXTRACT(A929,""^cost\.(.*)\.[^.]+\.[^.]+$"")"),"tech.shop.pre_orders")</f>
        <v>tech.shop.pre_orders</v>
      </c>
      <c r="C929" s="49" t="str">
        <f t="array" ref="C929">_xlfn.XLOOKUP(
 B929,
 tblTargets[TargetID],
 tblTargets[DisplayName],
 ""
)</f>
        <v>Shop - Pre Orders</v>
      </c>
      <c r="D929" s="49" t="str">
        <f t="array" ref="D929">_xlfn.XLOOKUP(
 B929,
 tblTargets[TargetID],
 tblTargets[TargetType],
 ""
)</f>
        <v>TECH</v>
      </c>
      <c r="E929" s="49" t="s">
        <v>119</v>
      </c>
      <c r="F929" s="87">
        <f>IFERROR(__xludf.DUMMYFUNCTION("VALUE(REGEXEXTRACT(A929,""([^.]+)$""))"),1.0)</f>
        <v>1</v>
      </c>
      <c r="G929" s="49">
        <v>300.0</v>
      </c>
      <c r="H929" s="26" t="b">
        <f>COUNTIFS(
 tblCostChecklist[RequirementID],A929,
 tblCostChecklist[PlayerPaid],TRUE
)&gt;0</f>
        <v>0</v>
      </c>
      <c r="I929" s="49">
        <f t="shared" si="1"/>
        <v>5</v>
      </c>
      <c r="J929" s="49">
        <f t="shared" si="2"/>
        <v>0</v>
      </c>
      <c r="K929" s="49">
        <f t="shared" si="3"/>
        <v>5</v>
      </c>
      <c r="L929" s="49" t="b">
        <f t="shared" si="4"/>
        <v>0</v>
      </c>
      <c r="M929" s="88">
        <f t="shared" si="5"/>
        <v>0</v>
      </c>
    </row>
    <row r="930" ht="14.25" customHeight="1">
      <c r="A930" s="49" t="s">
        <v>3440</v>
      </c>
      <c r="B930" s="49" t="str">
        <f>IFERROR(__xludf.DUMMYFUNCTION("REGEXEXTRACT(A930,""^cost\.(.*)\.[^.]+\.[^.]+$"")"),"tech.shop.pre_orders")</f>
        <v>tech.shop.pre_orders</v>
      </c>
      <c r="C930" s="49" t="str">
        <f t="array" ref="C930">_xlfn.XLOOKUP(
 B930,
 tblTargets[TargetID],
 tblTargets[DisplayName],
 ""
)</f>
        <v>Shop - Pre Orders</v>
      </c>
      <c r="D930" s="49" t="str">
        <f t="array" ref="D930">_xlfn.XLOOKUP(
 B930,
 tblTargets[TargetID],
 tblTargets[TargetType],
 ""
)</f>
        <v>TECH</v>
      </c>
      <c r="E930" s="49" t="s">
        <v>423</v>
      </c>
      <c r="F930" s="87">
        <f>IFERROR(__xludf.DUMMYFUNCTION("VALUE(REGEXEXTRACT(A930,""([^.]+)$""))"),1.0)</f>
        <v>1</v>
      </c>
      <c r="G930" s="49">
        <v>30.0</v>
      </c>
      <c r="H930" s="26" t="b">
        <f>COUNTIFS(
 tblCostChecklist[RequirementID],A930,
 tblCostChecklist[PlayerPaid],TRUE
)&gt;0</f>
        <v>0</v>
      </c>
      <c r="I930" s="49">
        <f t="shared" si="1"/>
        <v>5</v>
      </c>
      <c r="J930" s="49">
        <f t="shared" si="2"/>
        <v>0</v>
      </c>
      <c r="K930" s="49">
        <f t="shared" si="3"/>
        <v>5</v>
      </c>
      <c r="L930" s="49" t="b">
        <f t="shared" si="4"/>
        <v>0</v>
      </c>
      <c r="M930" s="88">
        <f t="shared" si="5"/>
        <v>0</v>
      </c>
    </row>
    <row r="931" ht="14.25" customHeight="1">
      <c r="A931" s="49" t="s">
        <v>3441</v>
      </c>
      <c r="B931" s="49" t="str">
        <f>IFERROR(__xludf.DUMMYFUNCTION("REGEXEXTRACT(A931,""^cost\.(.*)\.[^.]+\.[^.]+$"")"),"tech.shop.pre_orders")</f>
        <v>tech.shop.pre_orders</v>
      </c>
      <c r="C931" s="49" t="str">
        <f t="array" ref="C931">_xlfn.XLOOKUP(
 B931,
 tblTargets[TargetID],
 tblTargets[DisplayName],
 ""
)</f>
        <v>Shop - Pre Orders</v>
      </c>
      <c r="D931" s="49" t="str">
        <f t="array" ref="D931">_xlfn.XLOOKUP(
 B931,
 tblTargets[TargetID],
 tblTargets[TargetType],
 ""
)</f>
        <v>TECH</v>
      </c>
      <c r="E931" s="49" t="s">
        <v>6</v>
      </c>
      <c r="F931" s="87">
        <f>IFERROR(__xludf.DUMMYFUNCTION("VALUE(REGEXEXTRACT(A931,""([^.]+)$""))"),1.0)</f>
        <v>1</v>
      </c>
      <c r="G931" s="49">
        <v>1.0</v>
      </c>
      <c r="H931" s="26" t="b">
        <f>COUNTIFS(
 tblCostChecklist[RequirementID],A931,
 tblCostChecklist[PlayerPaid],TRUE
)&gt;0</f>
        <v>0</v>
      </c>
      <c r="I931" s="49">
        <f t="shared" si="1"/>
        <v>5</v>
      </c>
      <c r="J931" s="49">
        <f t="shared" si="2"/>
        <v>0</v>
      </c>
      <c r="K931" s="49">
        <f t="shared" si="3"/>
        <v>5</v>
      </c>
      <c r="L931" s="49" t="b">
        <f t="shared" si="4"/>
        <v>0</v>
      </c>
      <c r="M931" s="88">
        <f t="shared" si="5"/>
        <v>0</v>
      </c>
    </row>
    <row r="932" ht="14.25" customHeight="1">
      <c r="A932" s="49" t="s">
        <v>3442</v>
      </c>
      <c r="B932" s="49" t="str">
        <f>IFERROR(__xludf.DUMMYFUNCTION("REGEXEXTRACT(A932,""^cost\.(.*)\.[^.]+\.[^.]+$"")"),"tech.shop.glass_recycling")</f>
        <v>tech.shop.glass_recycling</v>
      </c>
      <c r="C932" s="49" t="str">
        <f t="array" ref="C932">_xlfn.XLOOKUP(
 B932,
 tblTargets[TargetID],
 tblTargets[DisplayName],
 ""
)</f>
        <v>Shop - Glass Recycling</v>
      </c>
      <c r="D932" s="49" t="str">
        <f t="array" ref="D932">_xlfn.XLOOKUP(
 B932,
 tblTargets[TargetID],
 tblTargets[TargetType],
 ""
)</f>
        <v>TECH</v>
      </c>
      <c r="E932" s="49" t="s">
        <v>1055</v>
      </c>
      <c r="F932" s="87">
        <f>IFERROR(__xludf.DUMMYFUNCTION("VALUE(REGEXEXTRACT(A932,""([^.]+)$""))"),1.0)</f>
        <v>1</v>
      </c>
      <c r="G932" s="49">
        <v>20.0</v>
      </c>
      <c r="H932" s="26" t="b">
        <f>COUNTIFS(
 tblCostChecklist[RequirementID],A932,
 tblCostChecklist[PlayerPaid],TRUE
)&gt;0</f>
        <v>0</v>
      </c>
      <c r="I932" s="49">
        <f t="shared" si="1"/>
        <v>6</v>
      </c>
      <c r="J932" s="49">
        <f t="shared" si="2"/>
        <v>0</v>
      </c>
      <c r="K932" s="49">
        <f t="shared" si="3"/>
        <v>6</v>
      </c>
      <c r="L932" s="49" t="b">
        <f t="shared" si="4"/>
        <v>0</v>
      </c>
      <c r="M932" s="88">
        <f t="shared" si="5"/>
        <v>0</v>
      </c>
    </row>
    <row r="933" ht="14.25" customHeight="1">
      <c r="A933" s="49" t="s">
        <v>3443</v>
      </c>
      <c r="B933" s="49" t="str">
        <f>IFERROR(__xludf.DUMMYFUNCTION("REGEXEXTRACT(A933,""^cost\.(.*)\.[^.]+\.[^.]+$"")"),"tech.shop.glass_recycling")</f>
        <v>tech.shop.glass_recycling</v>
      </c>
      <c r="C933" s="49" t="str">
        <f t="array" ref="C933">_xlfn.XLOOKUP(
 B933,
 tblTargets[TargetID],
 tblTargets[DisplayName],
 ""
)</f>
        <v>Shop - Glass Recycling</v>
      </c>
      <c r="D933" s="49" t="str">
        <f t="array" ref="D933">_xlfn.XLOOKUP(
 B933,
 tblTargets[TargetID],
 tblTargets[TargetType],
 ""
)</f>
        <v>TECH</v>
      </c>
      <c r="E933" s="49" t="s">
        <v>113</v>
      </c>
      <c r="F933" s="87">
        <f>IFERROR(__xludf.DUMMYFUNCTION("VALUE(REGEXEXTRACT(A933,""([^.]+)$""))"),1.0)</f>
        <v>1</v>
      </c>
      <c r="G933" s="49">
        <v>40.0</v>
      </c>
      <c r="H933" s="26" t="b">
        <f>COUNTIFS(
 tblCostChecklist[RequirementID],A933,
 tblCostChecklist[PlayerPaid],TRUE
)&gt;0</f>
        <v>0</v>
      </c>
      <c r="I933" s="49">
        <f t="shared" si="1"/>
        <v>6</v>
      </c>
      <c r="J933" s="49">
        <f t="shared" si="2"/>
        <v>0</v>
      </c>
      <c r="K933" s="49">
        <f t="shared" si="3"/>
        <v>6</v>
      </c>
      <c r="L933" s="49" t="b">
        <f t="shared" si="4"/>
        <v>0</v>
      </c>
      <c r="M933" s="88">
        <f t="shared" si="5"/>
        <v>0</v>
      </c>
    </row>
    <row r="934" ht="14.25" customHeight="1">
      <c r="A934" s="49" t="s">
        <v>3444</v>
      </c>
      <c r="B934" s="49" t="str">
        <f>IFERROR(__xludf.DUMMYFUNCTION("REGEXEXTRACT(A934,""^cost\.(.*)\.[^.]+\.[^.]+$"")"),"tech.shop.glass_recycling")</f>
        <v>tech.shop.glass_recycling</v>
      </c>
      <c r="C934" s="49" t="str">
        <f t="array" ref="C934">_xlfn.XLOOKUP(
 B934,
 tblTargets[TargetID],
 tblTargets[DisplayName],
 ""
)</f>
        <v>Shop - Glass Recycling</v>
      </c>
      <c r="D934" s="49" t="str">
        <f t="array" ref="D934">_xlfn.XLOOKUP(
 B934,
 tblTargets[TargetID],
 tblTargets[TargetType],
 ""
)</f>
        <v>TECH</v>
      </c>
      <c r="E934" s="49" t="s">
        <v>119</v>
      </c>
      <c r="F934" s="87">
        <f>IFERROR(__xludf.DUMMYFUNCTION("VALUE(REGEXEXTRACT(A934,""([^.]+)$""))"),1.0)</f>
        <v>1</v>
      </c>
      <c r="G934" s="49">
        <v>500.0</v>
      </c>
      <c r="H934" s="26" t="b">
        <f>COUNTIFS(
 tblCostChecklist[RequirementID],A934,
 tblCostChecklist[PlayerPaid],TRUE
)&gt;0</f>
        <v>0</v>
      </c>
      <c r="I934" s="49">
        <f t="shared" si="1"/>
        <v>6</v>
      </c>
      <c r="J934" s="49">
        <f t="shared" si="2"/>
        <v>0</v>
      </c>
      <c r="K934" s="49">
        <f t="shared" si="3"/>
        <v>6</v>
      </c>
      <c r="L934" s="49" t="b">
        <f t="shared" si="4"/>
        <v>0</v>
      </c>
      <c r="M934" s="88">
        <f t="shared" si="5"/>
        <v>0</v>
      </c>
    </row>
    <row r="935" ht="14.25" customHeight="1">
      <c r="A935" s="49" t="s">
        <v>3445</v>
      </c>
      <c r="B935" s="49" t="str">
        <f>IFERROR(__xludf.DUMMYFUNCTION("REGEXEXTRACT(A935,""^cost\.(.*)\.[^.]+\.[^.]+$"")"),"tech.shop.glass_recycling")</f>
        <v>tech.shop.glass_recycling</v>
      </c>
      <c r="C935" s="49" t="str">
        <f t="array" ref="C935">_xlfn.XLOOKUP(
 B935,
 tblTargets[TargetID],
 tblTargets[DisplayName],
 ""
)</f>
        <v>Shop - Glass Recycling</v>
      </c>
      <c r="D935" s="49" t="str">
        <f t="array" ref="D935">_xlfn.XLOOKUP(
 B935,
 tblTargets[TargetID],
 tblTargets[TargetType],
 ""
)</f>
        <v>TECH</v>
      </c>
      <c r="E935" s="49" t="s">
        <v>360</v>
      </c>
      <c r="F935" s="87">
        <f>IFERROR(__xludf.DUMMYFUNCTION("VALUE(REGEXEXTRACT(A935,""([^.]+)$""))"),1.0)</f>
        <v>1</v>
      </c>
      <c r="G935" s="49">
        <v>25.0</v>
      </c>
      <c r="H935" s="26" t="b">
        <f>COUNTIFS(
 tblCostChecklist[RequirementID],A935,
 tblCostChecklist[PlayerPaid],TRUE
)&gt;0</f>
        <v>0</v>
      </c>
      <c r="I935" s="49">
        <f t="shared" si="1"/>
        <v>6</v>
      </c>
      <c r="J935" s="49">
        <f t="shared" si="2"/>
        <v>0</v>
      </c>
      <c r="K935" s="49">
        <f t="shared" si="3"/>
        <v>6</v>
      </c>
      <c r="L935" s="49" t="b">
        <f t="shared" si="4"/>
        <v>0</v>
      </c>
      <c r="M935" s="88">
        <f t="shared" si="5"/>
        <v>0</v>
      </c>
    </row>
    <row r="936" ht="14.25" customHeight="1">
      <c r="A936" s="49" t="s">
        <v>3446</v>
      </c>
      <c r="B936" s="49" t="str">
        <f>IFERROR(__xludf.DUMMYFUNCTION("REGEXEXTRACT(A936,""^cost\.(.*)\.[^.]+\.[^.]+$"")"),"tech.shop.glass_recycling")</f>
        <v>tech.shop.glass_recycling</v>
      </c>
      <c r="C936" s="49" t="str">
        <f t="array" ref="C936">_xlfn.XLOOKUP(
 B936,
 tblTargets[TargetID],
 tblTargets[DisplayName],
 ""
)</f>
        <v>Shop - Glass Recycling</v>
      </c>
      <c r="D936" s="49" t="str">
        <f t="array" ref="D936">_xlfn.XLOOKUP(
 B936,
 tblTargets[TargetID],
 tblTargets[TargetType],
 ""
)</f>
        <v>TECH</v>
      </c>
      <c r="E936" s="49" t="s">
        <v>187</v>
      </c>
      <c r="F936" s="87">
        <f>IFERROR(__xludf.DUMMYFUNCTION("VALUE(REGEXEXTRACT(A936,""([^.]+)$""))"),1.0)</f>
        <v>1</v>
      </c>
      <c r="G936" s="49">
        <v>100.0</v>
      </c>
      <c r="H936" s="26" t="b">
        <f>COUNTIFS(
 tblCostChecklist[RequirementID],A936,
 tblCostChecklist[PlayerPaid],TRUE
)&gt;0</f>
        <v>0</v>
      </c>
      <c r="I936" s="49">
        <f t="shared" si="1"/>
        <v>6</v>
      </c>
      <c r="J936" s="49">
        <f t="shared" si="2"/>
        <v>0</v>
      </c>
      <c r="K936" s="49">
        <f t="shared" si="3"/>
        <v>6</v>
      </c>
      <c r="L936" s="49" t="b">
        <f t="shared" si="4"/>
        <v>0</v>
      </c>
      <c r="M936" s="88">
        <f t="shared" si="5"/>
        <v>0</v>
      </c>
    </row>
    <row r="937" ht="14.25" customHeight="1">
      <c r="A937" s="49" t="s">
        <v>3447</v>
      </c>
      <c r="B937" s="49" t="str">
        <f>IFERROR(__xludf.DUMMYFUNCTION("REGEXEXTRACT(A937,""^cost\.(.*)\.[^.]+\.[^.]+$"")"),"tech.shop.glass_recycling")</f>
        <v>tech.shop.glass_recycling</v>
      </c>
      <c r="C937" s="49" t="str">
        <f t="array" ref="C937">_xlfn.XLOOKUP(
 B937,
 tblTargets[TargetID],
 tblTargets[DisplayName],
 ""
)</f>
        <v>Shop - Glass Recycling</v>
      </c>
      <c r="D937" s="49" t="str">
        <f t="array" ref="D937">_xlfn.XLOOKUP(
 B937,
 tblTargets[TargetID],
 tblTargets[TargetType],
 ""
)</f>
        <v>TECH</v>
      </c>
      <c r="E937" s="49" t="s">
        <v>6</v>
      </c>
      <c r="F937" s="87">
        <f>IFERROR(__xludf.DUMMYFUNCTION("VALUE(REGEXEXTRACT(A937,""([^.]+)$""))"),1.0)</f>
        <v>1</v>
      </c>
      <c r="G937" s="49">
        <v>5.0</v>
      </c>
      <c r="H937" s="26" t="b">
        <f>COUNTIFS(
 tblCostChecklist[RequirementID],A937,
 tblCostChecklist[PlayerPaid],TRUE
)&gt;0</f>
        <v>0</v>
      </c>
      <c r="I937" s="49">
        <f t="shared" si="1"/>
        <v>6</v>
      </c>
      <c r="J937" s="49">
        <f t="shared" si="2"/>
        <v>0</v>
      </c>
      <c r="K937" s="49">
        <f t="shared" si="3"/>
        <v>6</v>
      </c>
      <c r="L937" s="49" t="b">
        <f t="shared" si="4"/>
        <v>0</v>
      </c>
      <c r="M937" s="88">
        <f t="shared" si="5"/>
        <v>0</v>
      </c>
    </row>
    <row r="938" ht="14.25" customHeight="1">
      <c r="A938" s="49" t="s">
        <v>3448</v>
      </c>
      <c r="B938" s="49" t="str">
        <f>IFERROR(__xludf.DUMMYFUNCTION("REGEXEXTRACT(A938,""^cost\.(.*)\.[^.]+\.[^.]+$"")"),"tech.smithy.throwing_knife")</f>
        <v>tech.smithy.throwing_knife</v>
      </c>
      <c r="C938" s="49" t="str">
        <f t="array" ref="C938">_xlfn.XLOOKUP(
 B938,
 tblTargets[TargetID],
 tblTargets[DisplayName],
 ""
)</f>
        <v>Smithy - Throwing Knife</v>
      </c>
      <c r="D938" s="49" t="str">
        <f t="array" ref="D938">_xlfn.XLOOKUP(
 B938,
 tblTargets[TargetID],
 tblTargets[TargetType],
 ""
)</f>
        <v>TECH</v>
      </c>
      <c r="E938" s="49" t="s">
        <v>119</v>
      </c>
      <c r="F938" s="87">
        <f>IFERROR(__xludf.DUMMYFUNCTION("VALUE(REGEXEXTRACT(A938,""([^.]+)$""))"),1.0)</f>
        <v>1</v>
      </c>
      <c r="G938" s="49">
        <v>300.0</v>
      </c>
      <c r="H938" s="26" t="b">
        <f>COUNTIFS(
 tblCostChecklist[RequirementID],A938,
 tblCostChecklist[PlayerPaid],TRUE
)&gt;0</f>
        <v>0</v>
      </c>
      <c r="I938" s="49">
        <f t="shared" si="1"/>
        <v>4</v>
      </c>
      <c r="J938" s="49">
        <f t="shared" si="2"/>
        <v>0</v>
      </c>
      <c r="K938" s="49">
        <f t="shared" si="3"/>
        <v>4</v>
      </c>
      <c r="L938" s="49" t="b">
        <f t="shared" si="4"/>
        <v>0</v>
      </c>
      <c r="M938" s="88">
        <f t="shared" si="5"/>
        <v>0</v>
      </c>
    </row>
    <row r="939" ht="14.25" customHeight="1">
      <c r="A939" s="49" t="s">
        <v>3449</v>
      </c>
      <c r="B939" s="49" t="str">
        <f>IFERROR(__xludf.DUMMYFUNCTION("REGEXEXTRACT(A939,""^cost\.(.*)\.[^.]+\.[^.]+$"")"),"tech.smithy.throwing_knife")</f>
        <v>tech.smithy.throwing_knife</v>
      </c>
      <c r="C939" s="49" t="str">
        <f t="array" ref="C939">_xlfn.XLOOKUP(
 B939,
 tblTargets[TargetID],
 tblTargets[DisplayName],
 ""
)</f>
        <v>Smithy - Throwing Knife</v>
      </c>
      <c r="D939" s="49" t="str">
        <f t="array" ref="D939">_xlfn.XLOOKUP(
 B939,
 tblTargets[TargetID],
 tblTargets[TargetType],
 ""
)</f>
        <v>TECH</v>
      </c>
      <c r="E939" s="49" t="s">
        <v>126</v>
      </c>
      <c r="F939" s="87">
        <f>IFERROR(__xludf.DUMMYFUNCTION("VALUE(REGEXEXTRACT(A939,""([^.]+)$""))"),1.0)</f>
        <v>1</v>
      </c>
      <c r="G939" s="49">
        <v>30.0</v>
      </c>
      <c r="H939" s="26" t="b">
        <f>COUNTIFS(
 tblCostChecklist[RequirementID],A939,
 tblCostChecklist[PlayerPaid],TRUE
)&gt;0</f>
        <v>0</v>
      </c>
      <c r="I939" s="49">
        <f t="shared" si="1"/>
        <v>4</v>
      </c>
      <c r="J939" s="49">
        <f t="shared" si="2"/>
        <v>0</v>
      </c>
      <c r="K939" s="49">
        <f t="shared" si="3"/>
        <v>4</v>
      </c>
      <c r="L939" s="49" t="b">
        <f t="shared" si="4"/>
        <v>0</v>
      </c>
      <c r="M939" s="88">
        <f t="shared" si="5"/>
        <v>0</v>
      </c>
    </row>
    <row r="940" ht="14.25" customHeight="1">
      <c r="A940" s="49" t="s">
        <v>3450</v>
      </c>
      <c r="B940" s="49" t="str">
        <f>IFERROR(__xludf.DUMMYFUNCTION("REGEXEXTRACT(A940,""^cost\.(.*)\.[^.]+\.[^.]+$"")"),"tech.smithy.throwing_knife")</f>
        <v>tech.smithy.throwing_knife</v>
      </c>
      <c r="C940" s="49" t="str">
        <f t="array" ref="C940">_xlfn.XLOOKUP(
 B940,
 tblTargets[TargetID],
 tblTargets[DisplayName],
 ""
)</f>
        <v>Smithy - Throwing Knife</v>
      </c>
      <c r="D940" s="49" t="str">
        <f t="array" ref="D940">_xlfn.XLOOKUP(
 B940,
 tblTargets[TargetID],
 tblTargets[TargetType],
 ""
)</f>
        <v>TECH</v>
      </c>
      <c r="E940" s="49" t="s">
        <v>132</v>
      </c>
      <c r="F940" s="87">
        <f>IFERROR(__xludf.DUMMYFUNCTION("VALUE(REGEXEXTRACT(A940,""([^.]+)$""))"),1.0)</f>
        <v>1</v>
      </c>
      <c r="G940" s="49">
        <v>15.0</v>
      </c>
      <c r="H940" s="26" t="b">
        <f>COUNTIFS(
 tblCostChecklist[RequirementID],A940,
 tblCostChecklist[PlayerPaid],TRUE
)&gt;0</f>
        <v>0</v>
      </c>
      <c r="I940" s="49">
        <f t="shared" si="1"/>
        <v>4</v>
      </c>
      <c r="J940" s="49">
        <f t="shared" si="2"/>
        <v>0</v>
      </c>
      <c r="K940" s="49">
        <f t="shared" si="3"/>
        <v>4</v>
      </c>
      <c r="L940" s="49" t="b">
        <f t="shared" si="4"/>
        <v>0</v>
      </c>
      <c r="M940" s="88">
        <f t="shared" si="5"/>
        <v>0</v>
      </c>
    </row>
    <row r="941" ht="14.25" customHeight="1">
      <c r="A941" s="49" t="s">
        <v>3451</v>
      </c>
      <c r="B941" s="49" t="str">
        <f>IFERROR(__xludf.DUMMYFUNCTION("REGEXEXTRACT(A941,""^cost\.(.*)\.[^.]+\.[^.]+$"")"),"tech.smithy.throwing_knife")</f>
        <v>tech.smithy.throwing_knife</v>
      </c>
      <c r="C941" s="49" t="str">
        <f t="array" ref="C941">_xlfn.XLOOKUP(
 B941,
 tblTargets[TargetID],
 tblTargets[DisplayName],
 ""
)</f>
        <v>Smithy - Throwing Knife</v>
      </c>
      <c r="D941" s="49" t="str">
        <f t="array" ref="D941">_xlfn.XLOOKUP(
 B941,
 tblTargets[TargetID],
 tblTargets[TargetType],
 ""
)</f>
        <v>TECH</v>
      </c>
      <c r="E941" s="49" t="s">
        <v>6</v>
      </c>
      <c r="F941" s="87">
        <f>IFERROR(__xludf.DUMMYFUNCTION("VALUE(REGEXEXTRACT(A941,""([^.]+)$""))"),1.0)</f>
        <v>1</v>
      </c>
      <c r="G941" s="49">
        <v>2.0</v>
      </c>
      <c r="H941" s="26" t="b">
        <f>COUNTIFS(
 tblCostChecklist[RequirementID],A941,
 tblCostChecklist[PlayerPaid],TRUE
)&gt;0</f>
        <v>0</v>
      </c>
      <c r="I941" s="49">
        <f t="shared" si="1"/>
        <v>4</v>
      </c>
      <c r="J941" s="49">
        <f t="shared" si="2"/>
        <v>0</v>
      </c>
      <c r="K941" s="49">
        <f t="shared" si="3"/>
        <v>4</v>
      </c>
      <c r="L941" s="49" t="b">
        <f t="shared" si="4"/>
        <v>0</v>
      </c>
      <c r="M941" s="88">
        <f t="shared" si="5"/>
        <v>0</v>
      </c>
    </row>
    <row r="942" ht="14.25" customHeight="1">
      <c r="A942" s="49" t="s">
        <v>3452</v>
      </c>
      <c r="B942" s="49" t="str">
        <f>IFERROR(__xludf.DUMMYFUNCTION("REGEXEXTRACT(A942,""^cost\.(.*)\.[^.]+\.[^.]+$"")"),"tech.smithy.sword_for_a_hero_lvl_1")</f>
        <v>tech.smithy.sword_for_a_hero_lvl_1</v>
      </c>
      <c r="C942" s="49" t="str">
        <f t="array" ref="C942">_xlfn.XLOOKUP(
 B942,
 tblTargets[TargetID],
 tblTargets[DisplayName],
 ""
)</f>
        <v>Smithy - Sword For A Hero Lvl 1</v>
      </c>
      <c r="D942" s="49" t="str">
        <f t="array" ref="D942">_xlfn.XLOOKUP(
 B942,
 tblTargets[TargetID],
 tblTargets[TargetType],
 ""
)</f>
        <v>TECH</v>
      </c>
      <c r="E942" s="49" t="s">
        <v>283</v>
      </c>
      <c r="F942" s="87">
        <f>IFERROR(__xludf.DUMMYFUNCTION("VALUE(REGEXEXTRACT(A942,""([^.]+)$""))"),1.0)</f>
        <v>1</v>
      </c>
      <c r="G942" s="49">
        <v>50.0</v>
      </c>
      <c r="H942" s="26" t="b">
        <f>COUNTIFS(
 tblCostChecklist[RequirementID],A942,
 tblCostChecklist[PlayerPaid],TRUE
)&gt;0</f>
        <v>0</v>
      </c>
      <c r="I942" s="49">
        <f t="shared" si="1"/>
        <v>6</v>
      </c>
      <c r="J942" s="49">
        <f t="shared" si="2"/>
        <v>0</v>
      </c>
      <c r="K942" s="49">
        <f t="shared" si="3"/>
        <v>6</v>
      </c>
      <c r="L942" s="49" t="b">
        <f t="shared" si="4"/>
        <v>0</v>
      </c>
      <c r="M942" s="88">
        <f t="shared" si="5"/>
        <v>0</v>
      </c>
    </row>
    <row r="943" ht="14.25" customHeight="1">
      <c r="A943" s="49" t="s">
        <v>3453</v>
      </c>
      <c r="B943" s="49" t="str">
        <f>IFERROR(__xludf.DUMMYFUNCTION("REGEXEXTRACT(A943,""^cost\.(.*)\.[^.]+\.[^.]+$"")"),"tech.smithy.sword_for_a_hero_lvl_1")</f>
        <v>tech.smithy.sword_for_a_hero_lvl_1</v>
      </c>
      <c r="C943" s="49" t="str">
        <f t="array" ref="C943">_xlfn.XLOOKUP(
 B943,
 tblTargets[TargetID],
 tblTargets[DisplayName],
 ""
)</f>
        <v>Smithy - Sword For A Hero Lvl 1</v>
      </c>
      <c r="D943" s="49" t="str">
        <f t="array" ref="D943">_xlfn.XLOOKUP(
 B943,
 tblTargets[TargetID],
 tblTargets[TargetType],
 ""
)</f>
        <v>TECH</v>
      </c>
      <c r="E943" s="49" t="s">
        <v>119</v>
      </c>
      <c r="F943" s="87">
        <f>IFERROR(__xludf.DUMMYFUNCTION("VALUE(REGEXEXTRACT(A943,""([^.]+)$""))"),1.0)</f>
        <v>1</v>
      </c>
      <c r="G943" s="49">
        <v>300.0</v>
      </c>
      <c r="H943" s="26" t="b">
        <f>COUNTIFS(
 tblCostChecklist[RequirementID],A943,
 tblCostChecklist[PlayerPaid],TRUE
)&gt;0</f>
        <v>0</v>
      </c>
      <c r="I943" s="49">
        <f t="shared" si="1"/>
        <v>6</v>
      </c>
      <c r="J943" s="49">
        <f t="shared" si="2"/>
        <v>0</v>
      </c>
      <c r="K943" s="49">
        <f t="shared" si="3"/>
        <v>6</v>
      </c>
      <c r="L943" s="49" t="b">
        <f t="shared" si="4"/>
        <v>0</v>
      </c>
      <c r="M943" s="88">
        <f t="shared" si="5"/>
        <v>0</v>
      </c>
    </row>
    <row r="944" ht="14.25" customHeight="1">
      <c r="A944" s="49" t="s">
        <v>3454</v>
      </c>
      <c r="B944" s="49" t="str">
        <f>IFERROR(__xludf.DUMMYFUNCTION("REGEXEXTRACT(A944,""^cost\.(.*)\.[^.]+\.[^.]+$"")"),"tech.smithy.sword_for_a_hero_lvl_1")</f>
        <v>tech.smithy.sword_for_a_hero_lvl_1</v>
      </c>
      <c r="C944" s="49" t="str">
        <f t="array" ref="C944">_xlfn.XLOOKUP(
 B944,
 tblTargets[TargetID],
 tblTargets[DisplayName],
 ""
)</f>
        <v>Smithy - Sword For A Hero Lvl 1</v>
      </c>
      <c r="D944" s="49" t="str">
        <f t="array" ref="D944">_xlfn.XLOOKUP(
 B944,
 tblTargets[TargetID],
 tblTargets[TargetType],
 ""
)</f>
        <v>TECH</v>
      </c>
      <c r="E944" s="49" t="s">
        <v>126</v>
      </c>
      <c r="F944" s="87">
        <f>IFERROR(__xludf.DUMMYFUNCTION("VALUE(REGEXEXTRACT(A944,""([^.]+)$""))"),1.0)</f>
        <v>1</v>
      </c>
      <c r="G944" s="49">
        <v>40.0</v>
      </c>
      <c r="H944" s="26" t="b">
        <f>COUNTIFS(
 tblCostChecklist[RequirementID],A944,
 tblCostChecklist[PlayerPaid],TRUE
)&gt;0</f>
        <v>0</v>
      </c>
      <c r="I944" s="49">
        <f t="shared" si="1"/>
        <v>6</v>
      </c>
      <c r="J944" s="49">
        <f t="shared" si="2"/>
        <v>0</v>
      </c>
      <c r="K944" s="49">
        <f t="shared" si="3"/>
        <v>6</v>
      </c>
      <c r="L944" s="49" t="b">
        <f t="shared" si="4"/>
        <v>0</v>
      </c>
      <c r="M944" s="88">
        <f t="shared" si="5"/>
        <v>0</v>
      </c>
    </row>
    <row r="945" ht="14.25" customHeight="1">
      <c r="A945" s="49" t="s">
        <v>3455</v>
      </c>
      <c r="B945" s="49" t="str">
        <f>IFERROR(__xludf.DUMMYFUNCTION("REGEXEXTRACT(A945,""^cost\.(.*)\.[^.]+\.[^.]+$"")"),"tech.smithy.sword_for_a_hero_lvl_1")</f>
        <v>tech.smithy.sword_for_a_hero_lvl_1</v>
      </c>
      <c r="C945" s="49" t="str">
        <f t="array" ref="C945">_xlfn.XLOOKUP(
 B945,
 tblTargets[TargetID],
 tblTargets[DisplayName],
 ""
)</f>
        <v>Smithy - Sword For A Hero Lvl 1</v>
      </c>
      <c r="D945" s="49" t="str">
        <f t="array" ref="D945">_xlfn.XLOOKUP(
 B945,
 tblTargets[TargetID],
 tblTargets[TargetType],
 ""
)</f>
        <v>TECH</v>
      </c>
      <c r="E945" s="49" t="s">
        <v>132</v>
      </c>
      <c r="F945" s="87">
        <f>IFERROR(__xludf.DUMMYFUNCTION("VALUE(REGEXEXTRACT(A945,""([^.]+)$""))"),1.0)</f>
        <v>1</v>
      </c>
      <c r="G945" s="49">
        <v>20.0</v>
      </c>
      <c r="H945" s="26" t="b">
        <f>COUNTIFS(
 tblCostChecklist[RequirementID],A945,
 tblCostChecklist[PlayerPaid],TRUE
)&gt;0</f>
        <v>0</v>
      </c>
      <c r="I945" s="49">
        <f t="shared" si="1"/>
        <v>6</v>
      </c>
      <c r="J945" s="49">
        <f t="shared" si="2"/>
        <v>0</v>
      </c>
      <c r="K945" s="49">
        <f t="shared" si="3"/>
        <v>6</v>
      </c>
      <c r="L945" s="49" t="b">
        <f t="shared" si="4"/>
        <v>0</v>
      </c>
      <c r="M945" s="88">
        <f t="shared" si="5"/>
        <v>0</v>
      </c>
    </row>
    <row r="946" ht="14.25" customHeight="1">
      <c r="A946" s="49" t="s">
        <v>3456</v>
      </c>
      <c r="B946" s="49" t="str">
        <f>IFERROR(__xludf.DUMMYFUNCTION("REGEXEXTRACT(A946,""^cost\.(.*)\.[^.]+\.[^.]+$"")"),"tech.smithy.sword_for_a_hero_lvl_1")</f>
        <v>tech.smithy.sword_for_a_hero_lvl_1</v>
      </c>
      <c r="C946" s="49" t="str">
        <f t="array" ref="C946">_xlfn.XLOOKUP(
 B946,
 tblTargets[TargetID],
 tblTargets[DisplayName],
 ""
)</f>
        <v>Smithy - Sword For A Hero Lvl 1</v>
      </c>
      <c r="D946" s="49" t="str">
        <f t="array" ref="D946">_xlfn.XLOOKUP(
 B946,
 tblTargets[TargetID],
 tblTargets[TargetType],
 ""
)</f>
        <v>TECH</v>
      </c>
      <c r="E946" s="49" t="s">
        <v>6</v>
      </c>
      <c r="F946" s="87">
        <f>IFERROR(__xludf.DUMMYFUNCTION("VALUE(REGEXEXTRACT(A946,""([^.]+)$""))"),1.0)</f>
        <v>1</v>
      </c>
      <c r="G946" s="49">
        <v>2.0</v>
      </c>
      <c r="H946" s="26" t="b">
        <f>COUNTIFS(
 tblCostChecklist[RequirementID],A946,
 tblCostChecklist[PlayerPaid],TRUE
)&gt;0</f>
        <v>0</v>
      </c>
      <c r="I946" s="49">
        <f t="shared" si="1"/>
        <v>6</v>
      </c>
      <c r="J946" s="49">
        <f t="shared" si="2"/>
        <v>0</v>
      </c>
      <c r="K946" s="49">
        <f t="shared" si="3"/>
        <v>6</v>
      </c>
      <c r="L946" s="49" t="b">
        <f t="shared" si="4"/>
        <v>0</v>
      </c>
      <c r="M946" s="88">
        <f t="shared" si="5"/>
        <v>0</v>
      </c>
    </row>
    <row r="947" ht="14.25" customHeight="1">
      <c r="A947" s="49" t="s">
        <v>3457</v>
      </c>
      <c r="B947" s="49" t="str">
        <f>IFERROR(__xludf.DUMMYFUNCTION("REGEXEXTRACT(A947,""^cost\.(.*)\.[^.]+\.[^.]+$"")"),"tech.smithy.sword_for_a_hero_lvl_1")</f>
        <v>tech.smithy.sword_for_a_hero_lvl_1</v>
      </c>
      <c r="C947" s="49" t="str">
        <f t="array" ref="C947">_xlfn.XLOOKUP(
 B947,
 tblTargets[TargetID],
 tblTargets[DisplayName],
 ""
)</f>
        <v>Smithy - Sword For A Hero Lvl 1</v>
      </c>
      <c r="D947" s="49" t="str">
        <f t="array" ref="D947">_xlfn.XLOOKUP(
 B947,
 tblTargets[TargetID],
 tblTargets[TargetType],
 ""
)</f>
        <v>TECH</v>
      </c>
      <c r="E947" s="49" t="s">
        <v>392</v>
      </c>
      <c r="F947" s="87">
        <f>IFERROR(__xludf.DUMMYFUNCTION("VALUE(REGEXEXTRACT(A947,""([^.]+)$""))"),1.0)</f>
        <v>1</v>
      </c>
      <c r="G947" s="49">
        <v>50.0</v>
      </c>
      <c r="H947" s="26" t="b">
        <f>COUNTIFS(
 tblCostChecklist[RequirementID],A947,
 tblCostChecklist[PlayerPaid],TRUE
)&gt;0</f>
        <v>0</v>
      </c>
      <c r="I947" s="49">
        <f t="shared" si="1"/>
        <v>6</v>
      </c>
      <c r="J947" s="49">
        <f t="shared" si="2"/>
        <v>0</v>
      </c>
      <c r="K947" s="49">
        <f t="shared" si="3"/>
        <v>6</v>
      </c>
      <c r="L947" s="49" t="b">
        <f t="shared" si="4"/>
        <v>0</v>
      </c>
      <c r="M947" s="88">
        <f t="shared" si="5"/>
        <v>0</v>
      </c>
    </row>
    <row r="948" ht="14.25" customHeight="1">
      <c r="A948" s="49" t="s">
        <v>3458</v>
      </c>
      <c r="B948" s="49" t="str">
        <f>IFERROR(__xludf.DUMMYFUNCTION("REGEXEXTRACT(A948,""^cost\.(.*)\.[^.]+\.[^.]+$"")"),"tech.smithy.sword_for_a_hero_lvl_2")</f>
        <v>tech.smithy.sword_for_a_hero_lvl_2</v>
      </c>
      <c r="C948" s="49" t="str">
        <f t="array" ref="C948">_xlfn.XLOOKUP(
 B948,
 tblTargets[TargetID],
 tblTargets[DisplayName],
 ""
)</f>
        <v>Smithy - Sword For A Hero Lvl 2</v>
      </c>
      <c r="D948" s="49" t="str">
        <f t="array" ref="D948">_xlfn.XLOOKUP(
 B948,
 tblTargets[TargetID],
 tblTargets[TargetType],
 ""
)</f>
        <v>TECH</v>
      </c>
      <c r="E948" s="49" t="s">
        <v>1055</v>
      </c>
      <c r="F948" s="87">
        <f>IFERROR(__xludf.DUMMYFUNCTION("VALUE(REGEXEXTRACT(A948,""([^.]+)$""))"),1.0)</f>
        <v>1</v>
      </c>
      <c r="G948" s="49">
        <v>15.0</v>
      </c>
      <c r="H948" s="26" t="b">
        <f>COUNTIFS(
 tblCostChecklist[RequirementID],A948,
 tblCostChecklist[PlayerPaid],TRUE
)&gt;0</f>
        <v>0</v>
      </c>
      <c r="I948" s="49">
        <f t="shared" si="1"/>
        <v>6</v>
      </c>
      <c r="J948" s="49">
        <f t="shared" si="2"/>
        <v>0</v>
      </c>
      <c r="K948" s="49">
        <f t="shared" si="3"/>
        <v>6</v>
      </c>
      <c r="L948" s="49" t="b">
        <f t="shared" si="4"/>
        <v>0</v>
      </c>
      <c r="M948" s="88">
        <f t="shared" si="5"/>
        <v>0</v>
      </c>
    </row>
    <row r="949" ht="14.25" customHeight="1">
      <c r="A949" s="49" t="s">
        <v>3459</v>
      </c>
      <c r="B949" s="49" t="str">
        <f>IFERROR(__xludf.DUMMYFUNCTION("REGEXEXTRACT(A949,""^cost\.(.*)\.[^.]+\.[^.]+$"")"),"tech.smithy.sword_for_a_hero_lvl_2")</f>
        <v>tech.smithy.sword_for_a_hero_lvl_2</v>
      </c>
      <c r="C949" s="49" t="str">
        <f t="array" ref="C949">_xlfn.XLOOKUP(
 B949,
 tblTargets[TargetID],
 tblTargets[DisplayName],
 ""
)</f>
        <v>Smithy - Sword For A Hero Lvl 2</v>
      </c>
      <c r="D949" s="49" t="str">
        <f t="array" ref="D949">_xlfn.XLOOKUP(
 B949,
 tblTargets[TargetID],
 tblTargets[TargetType],
 ""
)</f>
        <v>TECH</v>
      </c>
      <c r="E949" s="49" t="s">
        <v>283</v>
      </c>
      <c r="F949" s="87">
        <f>IFERROR(__xludf.DUMMYFUNCTION("VALUE(REGEXEXTRACT(A949,""([^.]+)$""))"),1.0)</f>
        <v>1</v>
      </c>
      <c r="G949" s="49">
        <v>100.0</v>
      </c>
      <c r="H949" s="26" t="b">
        <f>COUNTIFS(
 tblCostChecklist[RequirementID],A949,
 tblCostChecklist[PlayerPaid],TRUE
)&gt;0</f>
        <v>0</v>
      </c>
      <c r="I949" s="49">
        <f t="shared" si="1"/>
        <v>6</v>
      </c>
      <c r="J949" s="49">
        <f t="shared" si="2"/>
        <v>0</v>
      </c>
      <c r="K949" s="49">
        <f t="shared" si="3"/>
        <v>6</v>
      </c>
      <c r="L949" s="49" t="b">
        <f t="shared" si="4"/>
        <v>0</v>
      </c>
      <c r="M949" s="88">
        <f t="shared" si="5"/>
        <v>0</v>
      </c>
    </row>
    <row r="950" ht="14.25" customHeight="1">
      <c r="A950" s="49" t="s">
        <v>3460</v>
      </c>
      <c r="B950" s="49" t="str">
        <f>IFERROR(__xludf.DUMMYFUNCTION("REGEXEXTRACT(A950,""^cost\.(.*)\.[^.]+\.[^.]+$"")"),"tech.smithy.sword_for_a_hero_lvl_2")</f>
        <v>tech.smithy.sword_for_a_hero_lvl_2</v>
      </c>
      <c r="C950" s="49" t="str">
        <f t="array" ref="C950">_xlfn.XLOOKUP(
 B950,
 tblTargets[TargetID],
 tblTargets[DisplayName],
 ""
)</f>
        <v>Smithy - Sword For A Hero Lvl 2</v>
      </c>
      <c r="D950" s="49" t="str">
        <f t="array" ref="D950">_xlfn.XLOOKUP(
 B950,
 tblTargets[TargetID],
 tblTargets[TargetType],
 ""
)</f>
        <v>TECH</v>
      </c>
      <c r="E950" s="49" t="s">
        <v>119</v>
      </c>
      <c r="F950" s="87">
        <f>IFERROR(__xludf.DUMMYFUNCTION("VALUE(REGEXEXTRACT(A950,""([^.]+)$""))"),1.0)</f>
        <v>1</v>
      </c>
      <c r="G950" s="49">
        <v>500.0</v>
      </c>
      <c r="H950" s="26" t="b">
        <f>COUNTIFS(
 tblCostChecklist[RequirementID],A950,
 tblCostChecklist[PlayerPaid],TRUE
)&gt;0</f>
        <v>0</v>
      </c>
      <c r="I950" s="49">
        <f t="shared" si="1"/>
        <v>6</v>
      </c>
      <c r="J950" s="49">
        <f t="shared" si="2"/>
        <v>0</v>
      </c>
      <c r="K950" s="49">
        <f t="shared" si="3"/>
        <v>6</v>
      </c>
      <c r="L950" s="49" t="b">
        <f t="shared" si="4"/>
        <v>0</v>
      </c>
      <c r="M950" s="88">
        <f t="shared" si="5"/>
        <v>0</v>
      </c>
    </row>
    <row r="951" ht="14.25" customHeight="1">
      <c r="A951" s="49" t="s">
        <v>3461</v>
      </c>
      <c r="B951" s="49" t="str">
        <f>IFERROR(__xludf.DUMMYFUNCTION("REGEXEXTRACT(A951,""^cost\.(.*)\.[^.]+\.[^.]+$"")"),"tech.smithy.sword_for_a_hero_lvl_2")</f>
        <v>tech.smithy.sword_for_a_hero_lvl_2</v>
      </c>
      <c r="C951" s="49" t="str">
        <f t="array" ref="C951">_xlfn.XLOOKUP(
 B951,
 tblTargets[TargetID],
 tblTargets[DisplayName],
 ""
)</f>
        <v>Smithy - Sword For A Hero Lvl 2</v>
      </c>
      <c r="D951" s="49" t="str">
        <f t="array" ref="D951">_xlfn.XLOOKUP(
 B951,
 tblTargets[TargetID],
 tblTargets[TargetType],
 ""
)</f>
        <v>TECH</v>
      </c>
      <c r="E951" s="49" t="s">
        <v>2135</v>
      </c>
      <c r="F951" s="87">
        <f>IFERROR(__xludf.DUMMYFUNCTION("VALUE(REGEXEXTRACT(A951,""([^.]+)$""))"),1.0)</f>
        <v>1</v>
      </c>
      <c r="G951" s="49">
        <v>40.0</v>
      </c>
      <c r="H951" s="26" t="b">
        <f>COUNTIFS(
 tblCostChecklist[RequirementID],A951,
 tblCostChecklist[PlayerPaid],TRUE
)&gt;0</f>
        <v>0</v>
      </c>
      <c r="I951" s="49">
        <f t="shared" si="1"/>
        <v>6</v>
      </c>
      <c r="J951" s="49">
        <f t="shared" si="2"/>
        <v>0</v>
      </c>
      <c r="K951" s="49">
        <f t="shared" si="3"/>
        <v>6</v>
      </c>
      <c r="L951" s="49" t="b">
        <f t="shared" si="4"/>
        <v>0</v>
      </c>
      <c r="M951" s="88">
        <f t="shared" si="5"/>
        <v>0</v>
      </c>
    </row>
    <row r="952" ht="14.25" customHeight="1">
      <c r="A952" s="49" t="s">
        <v>3462</v>
      </c>
      <c r="B952" s="49" t="str">
        <f>IFERROR(__xludf.DUMMYFUNCTION("REGEXEXTRACT(A952,""^cost\.(.*)\.[^.]+\.[^.]+$"")"),"tech.smithy.sword_for_a_hero_lvl_2")</f>
        <v>tech.smithy.sword_for_a_hero_lvl_2</v>
      </c>
      <c r="C952" s="49" t="str">
        <f t="array" ref="C952">_xlfn.XLOOKUP(
 B952,
 tblTargets[TargetID],
 tblTargets[DisplayName],
 ""
)</f>
        <v>Smithy - Sword For A Hero Lvl 2</v>
      </c>
      <c r="D952" s="49" t="str">
        <f t="array" ref="D952">_xlfn.XLOOKUP(
 B952,
 tblTargets[TargetID],
 tblTargets[TargetType],
 ""
)</f>
        <v>TECH</v>
      </c>
      <c r="E952" s="49" t="s">
        <v>6</v>
      </c>
      <c r="F952" s="87">
        <f>IFERROR(__xludf.DUMMYFUNCTION("VALUE(REGEXEXTRACT(A952,""([^.]+)$""))"),1.0)</f>
        <v>1</v>
      </c>
      <c r="G952" s="49">
        <v>3.0</v>
      </c>
      <c r="H952" s="26" t="b">
        <f>COUNTIFS(
 tblCostChecklist[RequirementID],A952,
 tblCostChecklist[PlayerPaid],TRUE
)&gt;0</f>
        <v>0</v>
      </c>
      <c r="I952" s="49">
        <f t="shared" si="1"/>
        <v>6</v>
      </c>
      <c r="J952" s="49">
        <f t="shared" si="2"/>
        <v>0</v>
      </c>
      <c r="K952" s="49">
        <f t="shared" si="3"/>
        <v>6</v>
      </c>
      <c r="L952" s="49" t="b">
        <f t="shared" si="4"/>
        <v>0</v>
      </c>
      <c r="M952" s="88">
        <f t="shared" si="5"/>
        <v>0</v>
      </c>
    </row>
    <row r="953" ht="14.25" customHeight="1">
      <c r="A953" s="49" t="s">
        <v>3463</v>
      </c>
      <c r="B953" s="49" t="str">
        <f>IFERROR(__xludf.DUMMYFUNCTION("REGEXEXTRACT(A953,""^cost\.(.*)\.[^.]+\.[^.]+$"")"),"tech.smithy.sword_for_a_hero_lvl_2")</f>
        <v>tech.smithy.sword_for_a_hero_lvl_2</v>
      </c>
      <c r="C953" s="49" t="str">
        <f t="array" ref="C953">_xlfn.XLOOKUP(
 B953,
 tblTargets[TargetID],
 tblTargets[DisplayName],
 ""
)</f>
        <v>Smithy - Sword For A Hero Lvl 2</v>
      </c>
      <c r="D953" s="49" t="str">
        <f t="array" ref="D953">_xlfn.XLOOKUP(
 B953,
 tblTargets[TargetID],
 tblTargets[TargetType],
 ""
)</f>
        <v>TECH</v>
      </c>
      <c r="E953" s="49" t="s">
        <v>392</v>
      </c>
      <c r="F953" s="87">
        <f>IFERROR(__xludf.DUMMYFUNCTION("VALUE(REGEXEXTRACT(A953,""([^.]+)$""))"),1.0)</f>
        <v>1</v>
      </c>
      <c r="G953" s="49">
        <v>100.0</v>
      </c>
      <c r="H953" s="26" t="b">
        <f>COUNTIFS(
 tblCostChecklist[RequirementID],A953,
 tblCostChecklist[PlayerPaid],TRUE
)&gt;0</f>
        <v>0</v>
      </c>
      <c r="I953" s="49">
        <f t="shared" si="1"/>
        <v>6</v>
      </c>
      <c r="J953" s="49">
        <f t="shared" si="2"/>
        <v>0</v>
      </c>
      <c r="K953" s="49">
        <f t="shared" si="3"/>
        <v>6</v>
      </c>
      <c r="L953" s="49" t="b">
        <f t="shared" si="4"/>
        <v>0</v>
      </c>
      <c r="M953" s="88">
        <f t="shared" si="5"/>
        <v>0</v>
      </c>
    </row>
    <row r="954" ht="14.25" customHeight="1">
      <c r="A954" s="49" t="s">
        <v>3464</v>
      </c>
      <c r="B954" s="49" t="str">
        <f>IFERROR(__xludf.DUMMYFUNCTION("REGEXEXTRACT(A954,""^cost\.(.*)\.[^.]+\.[^.]+$"")"),"tech.smithy.sword_for_a_hero_lvl_3")</f>
        <v>tech.smithy.sword_for_a_hero_lvl_3</v>
      </c>
      <c r="C954" s="49" t="str">
        <f t="array" ref="C954">_xlfn.XLOOKUP(
 B954,
 tblTargets[TargetID],
 tblTargets[DisplayName],
 ""
)</f>
        <v>Smithy - Sword For A Hero Lvl 3</v>
      </c>
      <c r="D954" s="49" t="str">
        <f t="array" ref="D954">_xlfn.XLOOKUP(
 B954,
 tblTargets[TargetID],
 tblTargets[TargetType],
 ""
)</f>
        <v>TECH</v>
      </c>
      <c r="E954" s="49" t="s">
        <v>1055</v>
      </c>
      <c r="F954" s="87">
        <f>IFERROR(__xludf.DUMMYFUNCTION("VALUE(REGEXEXTRACT(A954,""([^.]+)$""))"),1.0)</f>
        <v>1</v>
      </c>
      <c r="G954" s="49">
        <v>20.0</v>
      </c>
      <c r="H954" s="26" t="b">
        <f>COUNTIFS(
 tblCostChecklist[RequirementID],A954,
 tblCostChecklist[PlayerPaid],TRUE
)&gt;0</f>
        <v>0</v>
      </c>
      <c r="I954" s="49">
        <f t="shared" si="1"/>
        <v>6</v>
      </c>
      <c r="J954" s="49">
        <f t="shared" si="2"/>
        <v>0</v>
      </c>
      <c r="K954" s="49">
        <f t="shared" si="3"/>
        <v>6</v>
      </c>
      <c r="L954" s="49" t="b">
        <f t="shared" si="4"/>
        <v>0</v>
      </c>
      <c r="M954" s="88">
        <f t="shared" si="5"/>
        <v>0</v>
      </c>
    </row>
    <row r="955" ht="14.25" customHeight="1">
      <c r="A955" s="49" t="s">
        <v>3465</v>
      </c>
      <c r="B955" s="49" t="str">
        <f>IFERROR(__xludf.DUMMYFUNCTION("REGEXEXTRACT(A955,""^cost\.(.*)\.[^.]+\.[^.]+$"")"),"tech.smithy.sword_for_a_hero_lvl_3")</f>
        <v>tech.smithy.sword_for_a_hero_lvl_3</v>
      </c>
      <c r="C955" s="49" t="str">
        <f t="array" ref="C955">_xlfn.XLOOKUP(
 B955,
 tblTargets[TargetID],
 tblTargets[DisplayName],
 ""
)</f>
        <v>Smithy - Sword For A Hero Lvl 3</v>
      </c>
      <c r="D955" s="49" t="str">
        <f t="array" ref="D955">_xlfn.XLOOKUP(
 B955,
 tblTargets[TargetID],
 tblTargets[TargetType],
 ""
)</f>
        <v>TECH</v>
      </c>
      <c r="E955" s="49" t="s">
        <v>283</v>
      </c>
      <c r="F955" s="87">
        <f>IFERROR(__xludf.DUMMYFUNCTION("VALUE(REGEXEXTRACT(A955,""([^.]+)$""))"),1.0)</f>
        <v>1</v>
      </c>
      <c r="G955" s="49">
        <v>200.0</v>
      </c>
      <c r="H955" s="26" t="b">
        <f>COUNTIFS(
 tblCostChecklist[RequirementID],A955,
 tblCostChecklist[PlayerPaid],TRUE
)&gt;0</f>
        <v>0</v>
      </c>
      <c r="I955" s="49">
        <f t="shared" si="1"/>
        <v>6</v>
      </c>
      <c r="J955" s="49">
        <f t="shared" si="2"/>
        <v>0</v>
      </c>
      <c r="K955" s="49">
        <f t="shared" si="3"/>
        <v>6</v>
      </c>
      <c r="L955" s="49" t="b">
        <f t="shared" si="4"/>
        <v>0</v>
      </c>
      <c r="M955" s="88">
        <f t="shared" si="5"/>
        <v>0</v>
      </c>
    </row>
    <row r="956" ht="14.25" customHeight="1">
      <c r="A956" s="49" t="s">
        <v>3466</v>
      </c>
      <c r="B956" s="49" t="str">
        <f>IFERROR(__xludf.DUMMYFUNCTION("REGEXEXTRACT(A956,""^cost\.(.*)\.[^.]+\.[^.]+$"")"),"tech.smithy.sword_for_a_hero_lvl_3")</f>
        <v>tech.smithy.sword_for_a_hero_lvl_3</v>
      </c>
      <c r="C956" s="49" t="str">
        <f t="array" ref="C956">_xlfn.XLOOKUP(
 B956,
 tblTargets[TargetID],
 tblTargets[DisplayName],
 ""
)</f>
        <v>Smithy - Sword For A Hero Lvl 3</v>
      </c>
      <c r="D956" s="49" t="str">
        <f t="array" ref="D956">_xlfn.XLOOKUP(
 B956,
 tblTargets[TargetID],
 tblTargets[TargetType],
 ""
)</f>
        <v>TECH</v>
      </c>
      <c r="E956" s="49" t="s">
        <v>119</v>
      </c>
      <c r="F956" s="87">
        <f>IFERROR(__xludf.DUMMYFUNCTION("VALUE(REGEXEXTRACT(A956,""([^.]+)$""))"),1.0)</f>
        <v>1</v>
      </c>
      <c r="G956" s="49">
        <v>1000.0</v>
      </c>
      <c r="H956" s="26" t="b">
        <f>COUNTIFS(
 tblCostChecklist[RequirementID],A956,
 tblCostChecklist[PlayerPaid],TRUE
)&gt;0</f>
        <v>0</v>
      </c>
      <c r="I956" s="49">
        <f t="shared" si="1"/>
        <v>6</v>
      </c>
      <c r="J956" s="49">
        <f t="shared" si="2"/>
        <v>0</v>
      </c>
      <c r="K956" s="49">
        <f t="shared" si="3"/>
        <v>6</v>
      </c>
      <c r="L956" s="49" t="b">
        <f t="shared" si="4"/>
        <v>0</v>
      </c>
      <c r="M956" s="88">
        <f t="shared" si="5"/>
        <v>0</v>
      </c>
    </row>
    <row r="957" ht="14.25" customHeight="1">
      <c r="A957" s="49" t="s">
        <v>3467</v>
      </c>
      <c r="B957" s="49" t="str">
        <f>IFERROR(__xludf.DUMMYFUNCTION("REGEXEXTRACT(A957,""^cost\.(.*)\.[^.]+\.[^.]+$"")"),"tech.smithy.sword_for_a_hero_lvl_3")</f>
        <v>tech.smithy.sword_for_a_hero_lvl_3</v>
      </c>
      <c r="C957" s="49" t="str">
        <f t="array" ref="C957">_xlfn.XLOOKUP(
 B957,
 tblTargets[TargetID],
 tblTargets[DisplayName],
 ""
)</f>
        <v>Smithy - Sword For A Hero Lvl 3</v>
      </c>
      <c r="D957" s="49" t="str">
        <f t="array" ref="D957">_xlfn.XLOOKUP(
 B957,
 tblTargets[TargetID],
 tblTargets[TargetType],
 ""
)</f>
        <v>TECH</v>
      </c>
      <c r="E957" s="49" t="s">
        <v>2135</v>
      </c>
      <c r="F957" s="87">
        <f>IFERROR(__xludf.DUMMYFUNCTION("VALUE(REGEXEXTRACT(A957,""([^.]+)$""))"),1.0)</f>
        <v>1</v>
      </c>
      <c r="G957" s="49">
        <v>60.0</v>
      </c>
      <c r="H957" s="26" t="b">
        <f>COUNTIFS(
 tblCostChecklist[RequirementID],A957,
 tblCostChecklist[PlayerPaid],TRUE
)&gt;0</f>
        <v>0</v>
      </c>
      <c r="I957" s="49">
        <f t="shared" si="1"/>
        <v>6</v>
      </c>
      <c r="J957" s="49">
        <f t="shared" si="2"/>
        <v>0</v>
      </c>
      <c r="K957" s="49">
        <f t="shared" si="3"/>
        <v>6</v>
      </c>
      <c r="L957" s="49" t="b">
        <f t="shared" si="4"/>
        <v>0</v>
      </c>
      <c r="M957" s="88">
        <f t="shared" si="5"/>
        <v>0</v>
      </c>
    </row>
    <row r="958" ht="14.25" customHeight="1">
      <c r="A958" s="49" t="s">
        <v>3468</v>
      </c>
      <c r="B958" s="49" t="str">
        <f>IFERROR(__xludf.DUMMYFUNCTION("REGEXEXTRACT(A958,""^cost\.(.*)\.[^.]+\.[^.]+$"")"),"tech.smithy.sword_for_a_hero_lvl_3")</f>
        <v>tech.smithy.sword_for_a_hero_lvl_3</v>
      </c>
      <c r="C958" s="49" t="str">
        <f t="array" ref="C958">_xlfn.XLOOKUP(
 B958,
 tblTargets[TargetID],
 tblTargets[DisplayName],
 ""
)</f>
        <v>Smithy - Sword For A Hero Lvl 3</v>
      </c>
      <c r="D958" s="49" t="str">
        <f t="array" ref="D958">_xlfn.XLOOKUP(
 B958,
 tblTargets[TargetID],
 tblTargets[TargetType],
 ""
)</f>
        <v>TECH</v>
      </c>
      <c r="E958" s="49" t="s">
        <v>6</v>
      </c>
      <c r="F958" s="87">
        <f>IFERROR(__xludf.DUMMYFUNCTION("VALUE(REGEXEXTRACT(A958,""([^.]+)$""))"),1.0)</f>
        <v>1</v>
      </c>
      <c r="G958" s="49">
        <v>5.0</v>
      </c>
      <c r="H958" s="26" t="b">
        <f>COUNTIFS(
 tblCostChecklist[RequirementID],A958,
 tblCostChecklist[PlayerPaid],TRUE
)&gt;0</f>
        <v>0</v>
      </c>
      <c r="I958" s="49">
        <f t="shared" si="1"/>
        <v>6</v>
      </c>
      <c r="J958" s="49">
        <f t="shared" si="2"/>
        <v>0</v>
      </c>
      <c r="K958" s="49">
        <f t="shared" si="3"/>
        <v>6</v>
      </c>
      <c r="L958" s="49" t="b">
        <f t="shared" si="4"/>
        <v>0</v>
      </c>
      <c r="M958" s="88">
        <f t="shared" si="5"/>
        <v>0</v>
      </c>
    </row>
    <row r="959" ht="14.25" customHeight="1">
      <c r="A959" s="49" t="s">
        <v>3469</v>
      </c>
      <c r="B959" s="49" t="str">
        <f>IFERROR(__xludf.DUMMYFUNCTION("REGEXEXTRACT(A959,""^cost\.(.*)\.[^.]+\.[^.]+$"")"),"tech.smithy.sword_for_a_hero_lvl_3")</f>
        <v>tech.smithy.sword_for_a_hero_lvl_3</v>
      </c>
      <c r="C959" s="49" t="str">
        <f t="array" ref="C959">_xlfn.XLOOKUP(
 B959,
 tblTargets[TargetID],
 tblTargets[DisplayName],
 ""
)</f>
        <v>Smithy - Sword For A Hero Lvl 3</v>
      </c>
      <c r="D959" s="49" t="str">
        <f t="array" ref="D959">_xlfn.XLOOKUP(
 B959,
 tblTargets[TargetID],
 tblTargets[TargetType],
 ""
)</f>
        <v>TECH</v>
      </c>
      <c r="E959" s="49" t="s">
        <v>392</v>
      </c>
      <c r="F959" s="87">
        <f>IFERROR(__xludf.DUMMYFUNCTION("VALUE(REGEXEXTRACT(A959,""([^.]+)$""))"),1.0)</f>
        <v>1</v>
      </c>
      <c r="G959" s="49">
        <v>200.0</v>
      </c>
      <c r="H959" s="26" t="b">
        <f>COUNTIFS(
 tblCostChecklist[RequirementID],A959,
 tblCostChecklist[PlayerPaid],TRUE
)&gt;0</f>
        <v>0</v>
      </c>
      <c r="I959" s="49">
        <f t="shared" si="1"/>
        <v>6</v>
      </c>
      <c r="J959" s="49">
        <f t="shared" si="2"/>
        <v>0</v>
      </c>
      <c r="K959" s="49">
        <f t="shared" si="3"/>
        <v>6</v>
      </c>
      <c r="L959" s="49" t="b">
        <f t="shared" si="4"/>
        <v>0</v>
      </c>
      <c r="M959" s="88">
        <f t="shared" si="5"/>
        <v>0</v>
      </c>
    </row>
    <row r="960" ht="14.25" customHeight="1">
      <c r="A960" s="49" t="s">
        <v>3470</v>
      </c>
      <c r="B960" s="49" t="str">
        <f>IFERROR(__xludf.DUMMYFUNCTION("REGEXEXTRACT(A960,""^cost\.(.*)\.[^.]+\.[^.]+$"")"),"tech.smithy.sword_for_a_hero_lvl_4")</f>
        <v>tech.smithy.sword_for_a_hero_lvl_4</v>
      </c>
      <c r="C960" s="49" t="str">
        <f t="array" ref="C960">_xlfn.XLOOKUP(
 B960,
 tblTargets[TargetID],
 tblTargets[DisplayName],
 ""
)</f>
        <v>Smithy - Sword For A Hero Lvl 4</v>
      </c>
      <c r="D960" s="49" t="str">
        <f t="array" ref="D960">_xlfn.XLOOKUP(
 B960,
 tblTargets[TargetID],
 tblTargets[TargetType],
 ""
)</f>
        <v>TECH</v>
      </c>
      <c r="E960" s="49" t="s">
        <v>1055</v>
      </c>
      <c r="F960" s="87">
        <f>IFERROR(__xludf.DUMMYFUNCTION("VALUE(REGEXEXTRACT(A960,""([^.]+)$""))"),1.0)</f>
        <v>1</v>
      </c>
      <c r="G960" s="49">
        <v>40.0</v>
      </c>
      <c r="H960" s="26" t="b">
        <f>COUNTIFS(
 tblCostChecklist[RequirementID],A960,
 tblCostChecklist[PlayerPaid],TRUE
)&gt;0</f>
        <v>0</v>
      </c>
      <c r="I960" s="49">
        <f t="shared" si="1"/>
        <v>6</v>
      </c>
      <c r="J960" s="49">
        <f t="shared" si="2"/>
        <v>0</v>
      </c>
      <c r="K960" s="49">
        <f t="shared" si="3"/>
        <v>6</v>
      </c>
      <c r="L960" s="49" t="b">
        <f t="shared" si="4"/>
        <v>0</v>
      </c>
      <c r="M960" s="88">
        <f t="shared" si="5"/>
        <v>0</v>
      </c>
    </row>
    <row r="961" ht="14.25" customHeight="1">
      <c r="A961" s="49" t="s">
        <v>3471</v>
      </c>
      <c r="B961" s="49" t="str">
        <f>IFERROR(__xludf.DUMMYFUNCTION("REGEXEXTRACT(A961,""^cost\.(.*)\.[^.]+\.[^.]+$"")"),"tech.smithy.sword_for_a_hero_lvl_4")</f>
        <v>tech.smithy.sword_for_a_hero_lvl_4</v>
      </c>
      <c r="C961" s="49" t="str">
        <f t="array" ref="C961">_xlfn.XLOOKUP(
 B961,
 tblTargets[TargetID],
 tblTargets[DisplayName],
 ""
)</f>
        <v>Smithy - Sword For A Hero Lvl 4</v>
      </c>
      <c r="D961" s="49" t="str">
        <f t="array" ref="D961">_xlfn.XLOOKUP(
 B961,
 tblTargets[TargetID],
 tblTargets[TargetType],
 ""
)</f>
        <v>TECH</v>
      </c>
      <c r="E961" s="49" t="s">
        <v>119</v>
      </c>
      <c r="F961" s="87">
        <f>IFERROR(__xludf.DUMMYFUNCTION("VALUE(REGEXEXTRACT(A961,""([^.]+)$""))"),1.0)</f>
        <v>1</v>
      </c>
      <c r="G961" s="49">
        <v>1000.0</v>
      </c>
      <c r="H961" s="26" t="b">
        <f>COUNTIFS(
 tblCostChecklist[RequirementID],A961,
 tblCostChecklist[PlayerPaid],TRUE
)&gt;0</f>
        <v>0</v>
      </c>
      <c r="I961" s="49">
        <f t="shared" si="1"/>
        <v>6</v>
      </c>
      <c r="J961" s="49">
        <f t="shared" si="2"/>
        <v>0</v>
      </c>
      <c r="K961" s="49">
        <f t="shared" si="3"/>
        <v>6</v>
      </c>
      <c r="L961" s="49" t="b">
        <f t="shared" si="4"/>
        <v>0</v>
      </c>
      <c r="M961" s="88">
        <f t="shared" si="5"/>
        <v>0</v>
      </c>
    </row>
    <row r="962" ht="14.25" customHeight="1">
      <c r="A962" s="49" t="s">
        <v>3472</v>
      </c>
      <c r="B962" s="49" t="str">
        <f>IFERROR(__xludf.DUMMYFUNCTION("REGEXEXTRACT(A962,""^cost\.(.*)\.[^.]+\.[^.]+$"")"),"tech.smithy.sword_for_a_hero_lvl_4")</f>
        <v>tech.smithy.sword_for_a_hero_lvl_4</v>
      </c>
      <c r="C962" s="49" t="str">
        <f t="array" ref="C962">_xlfn.XLOOKUP(
 B962,
 tblTargets[TargetID],
 tblTargets[DisplayName],
 ""
)</f>
        <v>Smithy - Sword For A Hero Lvl 4</v>
      </c>
      <c r="D962" s="49" t="str">
        <f t="array" ref="D962">_xlfn.XLOOKUP(
 B962,
 tblTargets[TargetID],
 tblTargets[TargetType],
 ""
)</f>
        <v>TECH</v>
      </c>
      <c r="E962" s="49" t="s">
        <v>179</v>
      </c>
      <c r="F962" s="87">
        <f>IFERROR(__xludf.DUMMYFUNCTION("VALUE(REGEXEXTRACT(A962,""([^.]+)$""))"),1.0)</f>
        <v>1</v>
      </c>
      <c r="G962" s="49">
        <v>20.0</v>
      </c>
      <c r="H962" s="26" t="b">
        <f>COUNTIFS(
 tblCostChecklist[RequirementID],A962,
 tblCostChecklist[PlayerPaid],TRUE
)&gt;0</f>
        <v>0</v>
      </c>
      <c r="I962" s="49">
        <f t="shared" si="1"/>
        <v>6</v>
      </c>
      <c r="J962" s="49">
        <f t="shared" si="2"/>
        <v>0</v>
      </c>
      <c r="K962" s="49">
        <f t="shared" si="3"/>
        <v>6</v>
      </c>
      <c r="L962" s="49" t="b">
        <f t="shared" si="4"/>
        <v>0</v>
      </c>
      <c r="M962" s="88">
        <f t="shared" si="5"/>
        <v>0</v>
      </c>
    </row>
    <row r="963" ht="14.25" customHeight="1">
      <c r="A963" s="49" t="s">
        <v>3473</v>
      </c>
      <c r="B963" s="49" t="str">
        <f>IFERROR(__xludf.DUMMYFUNCTION("REGEXEXTRACT(A963,""^cost\.(.*)\.[^.]+\.[^.]+$"")"),"tech.smithy.sword_for_a_hero_lvl_4")</f>
        <v>tech.smithy.sword_for_a_hero_lvl_4</v>
      </c>
      <c r="C963" s="49" t="str">
        <f t="array" ref="C963">_xlfn.XLOOKUP(
 B963,
 tblTargets[TargetID],
 tblTargets[DisplayName],
 ""
)</f>
        <v>Smithy - Sword For A Hero Lvl 4</v>
      </c>
      <c r="D963" s="49" t="str">
        <f t="array" ref="D963">_xlfn.XLOOKUP(
 B963,
 tblTargets[TargetID],
 tblTargets[TargetType],
 ""
)</f>
        <v>TECH</v>
      </c>
      <c r="E963" s="49" t="s">
        <v>1078</v>
      </c>
      <c r="F963" s="87">
        <f>IFERROR(__xludf.DUMMYFUNCTION("VALUE(REGEXEXTRACT(A963,""([^.]+)$""))"),1.0)</f>
        <v>1</v>
      </c>
      <c r="G963" s="49">
        <v>20.0</v>
      </c>
      <c r="H963" s="26" t="b">
        <f>COUNTIFS(
 tblCostChecklist[RequirementID],A963,
 tblCostChecklist[PlayerPaid],TRUE
)&gt;0</f>
        <v>0</v>
      </c>
      <c r="I963" s="49">
        <f t="shared" si="1"/>
        <v>6</v>
      </c>
      <c r="J963" s="49">
        <f t="shared" si="2"/>
        <v>0</v>
      </c>
      <c r="K963" s="49">
        <f t="shared" si="3"/>
        <v>6</v>
      </c>
      <c r="L963" s="49" t="b">
        <f t="shared" si="4"/>
        <v>0</v>
      </c>
      <c r="M963" s="88">
        <f t="shared" si="5"/>
        <v>0</v>
      </c>
    </row>
    <row r="964" ht="14.25" customHeight="1">
      <c r="A964" s="49" t="s">
        <v>3474</v>
      </c>
      <c r="B964" s="49" t="str">
        <f>IFERROR(__xludf.DUMMYFUNCTION("REGEXEXTRACT(A964,""^cost\.(.*)\.[^.]+\.[^.]+$"")"),"tech.smithy.sword_for_a_hero_lvl_4")</f>
        <v>tech.smithy.sword_for_a_hero_lvl_4</v>
      </c>
      <c r="C964" s="49" t="str">
        <f t="array" ref="C964">_xlfn.XLOOKUP(
 B964,
 tblTargets[TargetID],
 tblTargets[DisplayName],
 ""
)</f>
        <v>Smithy - Sword For A Hero Lvl 4</v>
      </c>
      <c r="D964" s="49" t="str">
        <f t="array" ref="D964">_xlfn.XLOOKUP(
 B964,
 tblTargets[TargetID],
 tblTargets[TargetType],
 ""
)</f>
        <v>TECH</v>
      </c>
      <c r="E964" s="49" t="s">
        <v>6</v>
      </c>
      <c r="F964" s="87">
        <f>IFERROR(__xludf.DUMMYFUNCTION("VALUE(REGEXEXTRACT(A964,""([^.]+)$""))"),1.0)</f>
        <v>1</v>
      </c>
      <c r="G964" s="49">
        <v>5.0</v>
      </c>
      <c r="H964" s="26" t="b">
        <f>COUNTIFS(
 tblCostChecklist[RequirementID],A964,
 tblCostChecklist[PlayerPaid],TRUE
)&gt;0</f>
        <v>0</v>
      </c>
      <c r="I964" s="49">
        <f t="shared" si="1"/>
        <v>6</v>
      </c>
      <c r="J964" s="49">
        <f t="shared" si="2"/>
        <v>0</v>
      </c>
      <c r="K964" s="49">
        <f t="shared" si="3"/>
        <v>6</v>
      </c>
      <c r="L964" s="49" t="b">
        <f t="shared" si="4"/>
        <v>0</v>
      </c>
      <c r="M964" s="88">
        <f t="shared" si="5"/>
        <v>0</v>
      </c>
    </row>
    <row r="965" ht="14.25" customHeight="1">
      <c r="A965" s="49" t="s">
        <v>3475</v>
      </c>
      <c r="B965" s="49" t="str">
        <f>IFERROR(__xludf.DUMMYFUNCTION("REGEXEXTRACT(A965,""^cost\.(.*)\.[^.]+\.[^.]+$"")"),"tech.smithy.sword_for_a_hero_lvl_4")</f>
        <v>tech.smithy.sword_for_a_hero_lvl_4</v>
      </c>
      <c r="C965" s="49" t="str">
        <f t="array" ref="C965">_xlfn.XLOOKUP(
 B965,
 tblTargets[TargetID],
 tblTargets[DisplayName],
 ""
)</f>
        <v>Smithy - Sword For A Hero Lvl 4</v>
      </c>
      <c r="D965" s="49" t="str">
        <f t="array" ref="D965">_xlfn.XLOOKUP(
 B965,
 tblTargets[TargetID],
 tblTargets[TargetType],
 ""
)</f>
        <v>TECH</v>
      </c>
      <c r="E965" s="49" t="s">
        <v>2368</v>
      </c>
      <c r="F965" s="87">
        <f>IFERROR(__xludf.DUMMYFUNCTION("VALUE(REGEXEXTRACT(A965,""([^.]+)$""))"),1.0)</f>
        <v>1</v>
      </c>
      <c r="G965" s="49">
        <v>3.0</v>
      </c>
      <c r="H965" s="26" t="b">
        <f>COUNTIFS(
 tblCostChecklist[RequirementID],A965,
 tblCostChecklist[PlayerPaid],TRUE
)&gt;0</f>
        <v>0</v>
      </c>
      <c r="I965" s="49">
        <f t="shared" si="1"/>
        <v>6</v>
      </c>
      <c r="J965" s="49">
        <f t="shared" si="2"/>
        <v>0</v>
      </c>
      <c r="K965" s="49">
        <f t="shared" si="3"/>
        <v>6</v>
      </c>
      <c r="L965" s="49" t="b">
        <f t="shared" si="4"/>
        <v>0</v>
      </c>
      <c r="M965" s="88">
        <f t="shared" si="5"/>
        <v>0</v>
      </c>
    </row>
    <row r="966" ht="14.25" customHeight="1">
      <c r="A966" s="49" t="s">
        <v>3476</v>
      </c>
      <c r="B966" s="49" t="str">
        <f>IFERROR(__xludf.DUMMYFUNCTION("REGEXEXTRACT(A966,""^cost\.(.*)\.[^.]+\.[^.]+$"")"),"tech.smithy.sword_for_a_hero_lvl_4+")</f>
        <v>tech.smithy.sword_for_a_hero_lvl_4+</v>
      </c>
      <c r="C966" s="49" t="str">
        <f t="array" ref="C966">_xlfn.XLOOKUP(
 B966,
 tblTargets[TargetID],
 tblTargets[DisplayName],
 ""
)</f>
        <v>Smithy - Sword For A Hero Lvl 4+</v>
      </c>
      <c r="D966" s="49" t="str">
        <f t="array" ref="D966">_xlfn.XLOOKUP(
 B966,
 tblTargets[TargetID],
 tblTargets[TargetType],
 ""
)</f>
        <v>TECH</v>
      </c>
      <c r="E966" s="49" t="s">
        <v>520</v>
      </c>
      <c r="F966" s="87">
        <f>IFERROR(__xludf.DUMMYFUNCTION("VALUE(REGEXEXTRACT(A966,""([^.]+)$""))"),1.0)</f>
        <v>1</v>
      </c>
      <c r="G966" s="49">
        <v>20.0</v>
      </c>
      <c r="H966" s="26" t="b">
        <f>COUNTIFS(
 tblCostChecklist[RequirementID],A966,
 tblCostChecklist[PlayerPaid],TRUE
)&gt;0</f>
        <v>0</v>
      </c>
      <c r="I966" s="49">
        <f t="shared" si="1"/>
        <v>9</v>
      </c>
      <c r="J966" s="49">
        <f t="shared" si="2"/>
        <v>0</v>
      </c>
      <c r="K966" s="49">
        <f t="shared" si="3"/>
        <v>9</v>
      </c>
      <c r="L966" s="49" t="b">
        <f t="shared" si="4"/>
        <v>0</v>
      </c>
      <c r="M966" s="88">
        <f t="shared" si="5"/>
        <v>0</v>
      </c>
    </row>
    <row r="967" ht="14.25" customHeight="1">
      <c r="A967" s="49" t="s">
        <v>3477</v>
      </c>
      <c r="B967" s="49" t="str">
        <f>IFERROR(__xludf.DUMMYFUNCTION("REGEXEXTRACT(A967,""^cost\.(.*)\.[^.]+\.[^.]+$"")"),"tech.smithy.sword_for_a_hero_lvl_4+")</f>
        <v>tech.smithy.sword_for_a_hero_lvl_4+</v>
      </c>
      <c r="C967" s="49" t="str">
        <f t="array" ref="C967">_xlfn.XLOOKUP(
 B967,
 tblTargets[TargetID],
 tblTargets[DisplayName],
 ""
)</f>
        <v>Smithy - Sword For A Hero Lvl 4+</v>
      </c>
      <c r="D967" s="49" t="str">
        <f t="array" ref="D967">_xlfn.XLOOKUP(
 B967,
 tblTargets[TargetID],
 tblTargets[TargetType],
 ""
)</f>
        <v>TECH</v>
      </c>
      <c r="E967" s="49" t="s">
        <v>1497</v>
      </c>
      <c r="F967" s="87">
        <f>IFERROR(__xludf.DUMMYFUNCTION("VALUE(REGEXEXTRACT(A967,""([^.]+)$""))"),1.0)</f>
        <v>1</v>
      </c>
      <c r="G967" s="49">
        <v>25.0</v>
      </c>
      <c r="H967" s="26" t="b">
        <f>COUNTIFS(
 tblCostChecklist[RequirementID],A967,
 tblCostChecklist[PlayerPaid],TRUE
)&gt;0</f>
        <v>0</v>
      </c>
      <c r="I967" s="49">
        <f t="shared" si="1"/>
        <v>9</v>
      </c>
      <c r="J967" s="49">
        <f t="shared" si="2"/>
        <v>0</v>
      </c>
      <c r="K967" s="49">
        <f t="shared" si="3"/>
        <v>9</v>
      </c>
      <c r="L967" s="49" t="b">
        <f t="shared" si="4"/>
        <v>0</v>
      </c>
      <c r="M967" s="88">
        <f t="shared" si="5"/>
        <v>0</v>
      </c>
    </row>
    <row r="968" ht="14.25" customHeight="1">
      <c r="A968" s="49" t="s">
        <v>3478</v>
      </c>
      <c r="B968" s="49" t="str">
        <f>IFERROR(__xludf.DUMMYFUNCTION("REGEXEXTRACT(A968,""^cost\.(.*)\.[^.]+\.[^.]+$"")"),"tech.smithy.sword_for_a_hero_lvl_4+")</f>
        <v>tech.smithy.sword_for_a_hero_lvl_4+</v>
      </c>
      <c r="C968" s="49" t="str">
        <f t="array" ref="C968">_xlfn.XLOOKUP(
 B968,
 tblTargets[TargetID],
 tblTargets[DisplayName],
 ""
)</f>
        <v>Smithy - Sword For A Hero Lvl 4+</v>
      </c>
      <c r="D968" s="49" t="str">
        <f t="array" ref="D968">_xlfn.XLOOKUP(
 B968,
 tblTargets[TargetID],
 tblTargets[TargetType],
 ""
)</f>
        <v>TECH</v>
      </c>
      <c r="E968" s="49" t="s">
        <v>119</v>
      </c>
      <c r="F968" s="87">
        <f>IFERROR(__xludf.DUMMYFUNCTION("VALUE(REGEXEXTRACT(A968,""([^.]+)$""))"),1.0)</f>
        <v>1</v>
      </c>
      <c r="G968" s="49">
        <v>1000.0</v>
      </c>
      <c r="H968" s="26" t="b">
        <f>COUNTIFS(
 tblCostChecklist[RequirementID],A968,
 tblCostChecklist[PlayerPaid],TRUE
)&gt;0</f>
        <v>0</v>
      </c>
      <c r="I968" s="49">
        <f t="shared" si="1"/>
        <v>9</v>
      </c>
      <c r="J968" s="49">
        <f t="shared" si="2"/>
        <v>0</v>
      </c>
      <c r="K968" s="49">
        <f t="shared" si="3"/>
        <v>9</v>
      </c>
      <c r="L968" s="49" t="b">
        <f t="shared" si="4"/>
        <v>0</v>
      </c>
      <c r="M968" s="88">
        <f t="shared" si="5"/>
        <v>0</v>
      </c>
    </row>
    <row r="969" ht="14.25" customHeight="1">
      <c r="A969" s="49" t="s">
        <v>3479</v>
      </c>
      <c r="B969" s="49" t="str">
        <f>IFERROR(__xludf.DUMMYFUNCTION("REGEXEXTRACT(A969,""^cost\.(.*)\.[^.]+\.[^.]+$"")"),"tech.smithy.sword_for_a_hero_lvl_4+")</f>
        <v>tech.smithy.sword_for_a_hero_lvl_4+</v>
      </c>
      <c r="C969" s="49" t="str">
        <f t="array" ref="C969">_xlfn.XLOOKUP(
 B969,
 tblTargets[TargetID],
 tblTargets[DisplayName],
 ""
)</f>
        <v>Smithy - Sword For A Hero Lvl 4+</v>
      </c>
      <c r="D969" s="49" t="str">
        <f t="array" ref="D969">_xlfn.XLOOKUP(
 B969,
 tblTargets[TargetID],
 tblTargets[TargetType],
 ""
)</f>
        <v>TECH</v>
      </c>
      <c r="E969" s="49" t="s">
        <v>530</v>
      </c>
      <c r="F969" s="87">
        <f>IFERROR(__xludf.DUMMYFUNCTION("VALUE(REGEXEXTRACT(A969,""([^.]+)$""))"),1.0)</f>
        <v>1</v>
      </c>
      <c r="G969" s="49">
        <v>10.0</v>
      </c>
      <c r="H969" s="26" t="b">
        <f>COUNTIFS(
 tblCostChecklist[RequirementID],A969,
 tblCostChecklist[PlayerPaid],TRUE
)&gt;0</f>
        <v>0</v>
      </c>
      <c r="I969" s="49">
        <f t="shared" si="1"/>
        <v>9</v>
      </c>
      <c r="J969" s="49">
        <f t="shared" si="2"/>
        <v>0</v>
      </c>
      <c r="K969" s="49">
        <f t="shared" si="3"/>
        <v>9</v>
      </c>
      <c r="L969" s="49" t="b">
        <f t="shared" si="4"/>
        <v>0</v>
      </c>
      <c r="M969" s="88">
        <f t="shared" si="5"/>
        <v>0</v>
      </c>
    </row>
    <row r="970" ht="14.25" customHeight="1">
      <c r="A970" s="49" t="s">
        <v>3480</v>
      </c>
      <c r="B970" s="49" t="str">
        <f>IFERROR(__xludf.DUMMYFUNCTION("REGEXEXTRACT(A970,""^cost\.(.*)\.[^.]+\.[^.]+$"")"),"tech.smithy.sword_for_a_hero_lvl_4+")</f>
        <v>tech.smithy.sword_for_a_hero_lvl_4+</v>
      </c>
      <c r="C970" s="49" t="str">
        <f t="array" ref="C970">_xlfn.XLOOKUP(
 B970,
 tblTargets[TargetID],
 tblTargets[DisplayName],
 ""
)</f>
        <v>Smithy - Sword For A Hero Lvl 4+</v>
      </c>
      <c r="D970" s="49" t="str">
        <f t="array" ref="D970">_xlfn.XLOOKUP(
 B970,
 tblTargets[TargetID],
 tblTargets[TargetType],
 ""
)</f>
        <v>TECH</v>
      </c>
      <c r="E970" s="49" t="s">
        <v>1456</v>
      </c>
      <c r="F970" s="87">
        <f>IFERROR(__xludf.DUMMYFUNCTION("VALUE(REGEXEXTRACT(A970,""([^.]+)$""))"),1.0)</f>
        <v>1</v>
      </c>
      <c r="G970" s="49">
        <v>10.0</v>
      </c>
      <c r="H970" s="26" t="b">
        <f>COUNTIFS(
 tblCostChecklist[RequirementID],A970,
 tblCostChecklist[PlayerPaid],TRUE
)&gt;0</f>
        <v>0</v>
      </c>
      <c r="I970" s="49">
        <f t="shared" si="1"/>
        <v>9</v>
      </c>
      <c r="J970" s="49">
        <f t="shared" si="2"/>
        <v>0</v>
      </c>
      <c r="K970" s="49">
        <f t="shared" si="3"/>
        <v>9</v>
      </c>
      <c r="L970" s="49" t="b">
        <f t="shared" si="4"/>
        <v>0</v>
      </c>
      <c r="M970" s="88">
        <f t="shared" si="5"/>
        <v>0</v>
      </c>
    </row>
    <row r="971" ht="14.25" customHeight="1">
      <c r="A971" s="49" t="s">
        <v>3481</v>
      </c>
      <c r="B971" s="49" t="str">
        <f>IFERROR(__xludf.DUMMYFUNCTION("REGEXEXTRACT(A971,""^cost\.(.*)\.[^.]+\.[^.]+$"")"),"tech.smithy.sword_for_a_hero_lvl_4+")</f>
        <v>tech.smithy.sword_for_a_hero_lvl_4+</v>
      </c>
      <c r="C971" s="49" t="str">
        <f t="array" ref="C971">_xlfn.XLOOKUP(
 B971,
 tblTargets[TargetID],
 tblTargets[DisplayName],
 ""
)</f>
        <v>Smithy - Sword For A Hero Lvl 4+</v>
      </c>
      <c r="D971" s="49" t="str">
        <f t="array" ref="D971">_xlfn.XLOOKUP(
 B971,
 tblTargets[TargetID],
 tblTargets[TargetType],
 ""
)</f>
        <v>TECH</v>
      </c>
      <c r="E971" s="49" t="s">
        <v>1282</v>
      </c>
      <c r="F971" s="87">
        <f>IFERROR(__xludf.DUMMYFUNCTION("VALUE(REGEXEXTRACT(A971,""([^.]+)$""))"),1.0)</f>
        <v>1</v>
      </c>
      <c r="G971" s="49">
        <v>10.0</v>
      </c>
      <c r="H971" s="26" t="b">
        <f>COUNTIFS(
 tblCostChecklist[RequirementID],A971,
 tblCostChecklist[PlayerPaid],TRUE
)&gt;0</f>
        <v>0</v>
      </c>
      <c r="I971" s="49">
        <f t="shared" si="1"/>
        <v>9</v>
      </c>
      <c r="J971" s="49">
        <f t="shared" si="2"/>
        <v>0</v>
      </c>
      <c r="K971" s="49">
        <f t="shared" si="3"/>
        <v>9</v>
      </c>
      <c r="L971" s="49" t="b">
        <f t="shared" si="4"/>
        <v>0</v>
      </c>
      <c r="M971" s="88">
        <f t="shared" si="5"/>
        <v>0</v>
      </c>
    </row>
    <row r="972" ht="14.25" customHeight="1">
      <c r="A972" s="49" t="s">
        <v>3482</v>
      </c>
      <c r="B972" s="49" t="str">
        <f>IFERROR(__xludf.DUMMYFUNCTION("REGEXEXTRACT(A972,""^cost\.(.*)\.[^.]+\.[^.]+$"")"),"tech.smithy.sword_for_a_hero_lvl_4+")</f>
        <v>tech.smithy.sword_for_a_hero_lvl_4+</v>
      </c>
      <c r="C972" s="49" t="str">
        <f t="array" ref="C972">_xlfn.XLOOKUP(
 B972,
 tblTargets[TargetID],
 tblTargets[DisplayName],
 ""
)</f>
        <v>Smithy - Sword For A Hero Lvl 4+</v>
      </c>
      <c r="D972" s="49" t="str">
        <f t="array" ref="D972">_xlfn.XLOOKUP(
 B972,
 tblTargets[TargetID],
 tblTargets[TargetType],
 ""
)</f>
        <v>TECH</v>
      </c>
      <c r="E972" s="49" t="s">
        <v>3043</v>
      </c>
      <c r="F972" s="87">
        <f>IFERROR(__xludf.DUMMYFUNCTION("VALUE(REGEXEXTRACT(A972,""([^.]+)$""))"),1.0)</f>
        <v>1</v>
      </c>
      <c r="G972" s="49">
        <v>1.0</v>
      </c>
      <c r="H972" s="26" t="b">
        <f>COUNTIFS(
 tblCostChecklist[RequirementID],A972,
 tblCostChecklist[PlayerPaid],TRUE
)&gt;0</f>
        <v>0</v>
      </c>
      <c r="I972" s="49">
        <f t="shared" si="1"/>
        <v>9</v>
      </c>
      <c r="J972" s="49">
        <f t="shared" si="2"/>
        <v>0</v>
      </c>
      <c r="K972" s="49">
        <f t="shared" si="3"/>
        <v>9</v>
      </c>
      <c r="L972" s="49" t="b">
        <f t="shared" si="4"/>
        <v>0</v>
      </c>
      <c r="M972" s="88">
        <f t="shared" si="5"/>
        <v>0</v>
      </c>
    </row>
    <row r="973" ht="14.25" customHeight="1">
      <c r="A973" s="49" t="s">
        <v>3483</v>
      </c>
      <c r="B973" s="49" t="str">
        <f>IFERROR(__xludf.DUMMYFUNCTION("REGEXEXTRACT(A973,""^cost\.(.*)\.[^.]+\.[^.]+$"")"),"tech.smithy.sword_for_a_hero_lvl_4+")</f>
        <v>tech.smithy.sword_for_a_hero_lvl_4+</v>
      </c>
      <c r="C973" s="49" t="str">
        <f t="array" ref="C973">_xlfn.XLOOKUP(
 B973,
 tblTargets[TargetID],
 tblTargets[DisplayName],
 ""
)</f>
        <v>Smithy - Sword For A Hero Lvl 4+</v>
      </c>
      <c r="D973" s="49" t="str">
        <f t="array" ref="D973">_xlfn.XLOOKUP(
 B973,
 tblTargets[TargetID],
 tblTargets[TargetType],
 ""
)</f>
        <v>TECH</v>
      </c>
      <c r="E973" s="49" t="s">
        <v>6</v>
      </c>
      <c r="F973" s="87">
        <f>IFERROR(__xludf.DUMMYFUNCTION("VALUE(REGEXEXTRACT(A973,""([^.]+)$""))"),1.0)</f>
        <v>1</v>
      </c>
      <c r="G973" s="49">
        <v>5.0</v>
      </c>
      <c r="H973" s="26" t="b">
        <f>COUNTIFS(
 tblCostChecklist[RequirementID],A973,
 tblCostChecklist[PlayerPaid],TRUE
)&gt;0</f>
        <v>0</v>
      </c>
      <c r="I973" s="49">
        <f t="shared" si="1"/>
        <v>9</v>
      </c>
      <c r="J973" s="49">
        <f t="shared" si="2"/>
        <v>0</v>
      </c>
      <c r="K973" s="49">
        <f t="shared" si="3"/>
        <v>9</v>
      </c>
      <c r="L973" s="49" t="b">
        <f t="shared" si="4"/>
        <v>0</v>
      </c>
      <c r="M973" s="88">
        <f t="shared" si="5"/>
        <v>0</v>
      </c>
    </row>
    <row r="974" ht="14.25" customHeight="1">
      <c r="A974" s="49" t="s">
        <v>3484</v>
      </c>
      <c r="B974" s="49" t="str">
        <f>IFERROR(__xludf.DUMMYFUNCTION("REGEXEXTRACT(A974,""^cost\.(.*)\.[^.]+\.[^.]+$"")"),"tech.smithy.sword_for_a_hero_lvl_4+")</f>
        <v>tech.smithy.sword_for_a_hero_lvl_4+</v>
      </c>
      <c r="C974" s="49" t="str">
        <f t="array" ref="C974">_xlfn.XLOOKUP(
 B974,
 tblTargets[TargetID],
 tblTargets[DisplayName],
 ""
)</f>
        <v>Smithy - Sword For A Hero Lvl 4+</v>
      </c>
      <c r="D974" s="49" t="str">
        <f t="array" ref="D974">_xlfn.XLOOKUP(
 B974,
 tblTargets[TargetID],
 tblTargets[TargetType],
 ""
)</f>
        <v>TECH</v>
      </c>
      <c r="E974" s="49" t="s">
        <v>2370</v>
      </c>
      <c r="F974" s="87">
        <f>IFERROR(__xludf.DUMMYFUNCTION("VALUE(REGEXEXTRACT(A974,""([^.]+)$""))"),1.0)</f>
        <v>1</v>
      </c>
      <c r="G974" s="49">
        <v>1.0</v>
      </c>
      <c r="H974" s="26" t="b">
        <f>COUNTIFS(
 tblCostChecklist[RequirementID],A974,
 tblCostChecklist[PlayerPaid],TRUE
)&gt;0</f>
        <v>0</v>
      </c>
      <c r="I974" s="49">
        <f t="shared" si="1"/>
        <v>9</v>
      </c>
      <c r="J974" s="49">
        <f t="shared" si="2"/>
        <v>0</v>
      </c>
      <c r="K974" s="49">
        <f t="shared" si="3"/>
        <v>9</v>
      </c>
      <c r="L974" s="49" t="b">
        <f t="shared" si="4"/>
        <v>0</v>
      </c>
      <c r="M974" s="88">
        <f t="shared" si="5"/>
        <v>0</v>
      </c>
    </row>
    <row r="975" ht="14.25" customHeight="1">
      <c r="A975" s="49" t="s">
        <v>3485</v>
      </c>
      <c r="B975" s="49" t="str">
        <f>IFERROR(__xludf.DUMMYFUNCTION("REGEXEXTRACT(A975,""^cost\.(.*)\.[^.]+\.[^.]+$"")"),"tech.smithy.weapon_grease")</f>
        <v>tech.smithy.weapon_grease</v>
      </c>
      <c r="C975" s="49" t="str">
        <f t="array" ref="C975">_xlfn.XLOOKUP(
 B975,
 tblTargets[TargetID],
 tblTargets[DisplayName],
 ""
)</f>
        <v>Smithy - Weapon Grease</v>
      </c>
      <c r="D975" s="49" t="str">
        <f t="array" ref="D975">_xlfn.XLOOKUP(
 B975,
 tblTargets[TargetID],
 tblTargets[TargetType],
 ""
)</f>
        <v>TECH</v>
      </c>
      <c r="E975" s="49" t="s">
        <v>1055</v>
      </c>
      <c r="F975" s="87">
        <f>IFERROR(__xludf.DUMMYFUNCTION("VALUE(REGEXEXTRACT(A975,""([^.]+)$""))"),1.0)</f>
        <v>1</v>
      </c>
      <c r="G975" s="49">
        <v>15.0</v>
      </c>
      <c r="H975" s="26" t="b">
        <f>COUNTIFS(
 tblCostChecklist[RequirementID],A975,
 tblCostChecklist[PlayerPaid],TRUE
)&gt;0</f>
        <v>0</v>
      </c>
      <c r="I975" s="49">
        <f t="shared" si="1"/>
        <v>5</v>
      </c>
      <c r="J975" s="49">
        <f t="shared" si="2"/>
        <v>0</v>
      </c>
      <c r="K975" s="49">
        <f t="shared" si="3"/>
        <v>5</v>
      </c>
      <c r="L975" s="49" t="b">
        <f t="shared" si="4"/>
        <v>0</v>
      </c>
      <c r="M975" s="88">
        <f t="shared" si="5"/>
        <v>0</v>
      </c>
    </row>
    <row r="976" ht="14.25" customHeight="1">
      <c r="A976" s="49" t="s">
        <v>3486</v>
      </c>
      <c r="B976" s="49" t="str">
        <f>IFERROR(__xludf.DUMMYFUNCTION("REGEXEXTRACT(A976,""^cost\.(.*)\.[^.]+\.[^.]+$"")"),"tech.smithy.weapon_grease")</f>
        <v>tech.smithy.weapon_grease</v>
      </c>
      <c r="C976" s="49" t="str">
        <f t="array" ref="C976">_xlfn.XLOOKUP(
 B976,
 tblTargets[TargetID],
 tblTargets[DisplayName],
 ""
)</f>
        <v>Smithy - Weapon Grease</v>
      </c>
      <c r="D976" s="49" t="str">
        <f t="array" ref="D976">_xlfn.XLOOKUP(
 B976,
 tblTargets[TargetID],
 tblTargets[TargetType],
 ""
)</f>
        <v>TECH</v>
      </c>
      <c r="E976" s="49" t="s">
        <v>119</v>
      </c>
      <c r="F976" s="87">
        <f>IFERROR(__xludf.DUMMYFUNCTION("VALUE(REGEXEXTRACT(A976,""([^.]+)$""))"),1.0)</f>
        <v>1</v>
      </c>
      <c r="G976" s="49">
        <v>500.0</v>
      </c>
      <c r="H976" s="26" t="b">
        <f>COUNTIFS(
 tblCostChecklist[RequirementID],A976,
 tblCostChecklist[PlayerPaid],TRUE
)&gt;0</f>
        <v>0</v>
      </c>
      <c r="I976" s="49">
        <f t="shared" si="1"/>
        <v>5</v>
      </c>
      <c r="J976" s="49">
        <f t="shared" si="2"/>
        <v>0</v>
      </c>
      <c r="K976" s="49">
        <f t="shared" si="3"/>
        <v>5</v>
      </c>
      <c r="L976" s="49" t="b">
        <f t="shared" si="4"/>
        <v>0</v>
      </c>
      <c r="M976" s="88">
        <f t="shared" si="5"/>
        <v>0</v>
      </c>
    </row>
    <row r="977" ht="14.25" customHeight="1">
      <c r="A977" s="49" t="s">
        <v>3487</v>
      </c>
      <c r="B977" s="49" t="str">
        <f>IFERROR(__xludf.DUMMYFUNCTION("REGEXEXTRACT(A977,""^cost\.(.*)\.[^.]+\.[^.]+$"")"),"tech.smithy.weapon_grease")</f>
        <v>tech.smithy.weapon_grease</v>
      </c>
      <c r="C977" s="49" t="str">
        <f t="array" ref="C977">_xlfn.XLOOKUP(
 B977,
 tblTargets[TargetID],
 tblTargets[DisplayName],
 ""
)</f>
        <v>Smithy - Weapon Grease</v>
      </c>
      <c r="D977" s="49" t="str">
        <f t="array" ref="D977">_xlfn.XLOOKUP(
 B977,
 tblTargets[TargetID],
 tblTargets[TargetType],
 ""
)</f>
        <v>TECH</v>
      </c>
      <c r="E977" s="49" t="s">
        <v>588</v>
      </c>
      <c r="F977" s="87">
        <f>IFERROR(__xludf.DUMMYFUNCTION("VALUE(REGEXEXTRACT(A977,""([^.]+)$""))"),1.0)</f>
        <v>1</v>
      </c>
      <c r="G977" s="49">
        <v>10.0</v>
      </c>
      <c r="H977" s="26" t="b">
        <f>COUNTIFS(
 tblCostChecklist[RequirementID],A977,
 tblCostChecklist[PlayerPaid],TRUE
)&gt;0</f>
        <v>0</v>
      </c>
      <c r="I977" s="49">
        <f t="shared" si="1"/>
        <v>5</v>
      </c>
      <c r="J977" s="49">
        <f t="shared" si="2"/>
        <v>0</v>
      </c>
      <c r="K977" s="49">
        <f t="shared" si="3"/>
        <v>5</v>
      </c>
      <c r="L977" s="49" t="b">
        <f t="shared" si="4"/>
        <v>0</v>
      </c>
      <c r="M977" s="88">
        <f t="shared" si="5"/>
        <v>0</v>
      </c>
    </row>
    <row r="978" ht="14.25" customHeight="1">
      <c r="A978" s="49" t="s">
        <v>3488</v>
      </c>
      <c r="B978" s="49" t="str">
        <f>IFERROR(__xludf.DUMMYFUNCTION("REGEXEXTRACT(A978,""^cost\.(.*)\.[^.]+\.[^.]+$"")"),"tech.smithy.weapon_grease")</f>
        <v>tech.smithy.weapon_grease</v>
      </c>
      <c r="C978" s="49" t="str">
        <f t="array" ref="C978">_xlfn.XLOOKUP(
 B978,
 tblTargets[TargetID],
 tblTargets[DisplayName],
 ""
)</f>
        <v>Smithy - Weapon Grease</v>
      </c>
      <c r="D978" s="49" t="str">
        <f t="array" ref="D978">_xlfn.XLOOKUP(
 B978,
 tblTargets[TargetID],
 tblTargets[TargetType],
 ""
)</f>
        <v>TECH</v>
      </c>
      <c r="E978" s="49" t="s">
        <v>140</v>
      </c>
      <c r="F978" s="87">
        <f>IFERROR(__xludf.DUMMYFUNCTION("VALUE(REGEXEXTRACT(A978,""([^.]+)$""))"),1.0)</f>
        <v>1</v>
      </c>
      <c r="G978" s="49">
        <v>15.0</v>
      </c>
      <c r="H978" s="26" t="b">
        <f>COUNTIFS(
 tblCostChecklist[RequirementID],A978,
 tblCostChecklist[PlayerPaid],TRUE
)&gt;0</f>
        <v>0</v>
      </c>
      <c r="I978" s="49">
        <f t="shared" si="1"/>
        <v>5</v>
      </c>
      <c r="J978" s="49">
        <f t="shared" si="2"/>
        <v>0</v>
      </c>
      <c r="K978" s="49">
        <f t="shared" si="3"/>
        <v>5</v>
      </c>
      <c r="L978" s="49" t="b">
        <f t="shared" si="4"/>
        <v>0</v>
      </c>
      <c r="M978" s="88">
        <f t="shared" si="5"/>
        <v>0</v>
      </c>
    </row>
    <row r="979" ht="14.25" customHeight="1">
      <c r="A979" s="49" t="s">
        <v>3489</v>
      </c>
      <c r="B979" s="49" t="str">
        <f>IFERROR(__xludf.DUMMYFUNCTION("REGEXEXTRACT(A979,""^cost\.(.*)\.[^.]+\.[^.]+$"")"),"tech.smithy.weapon_grease")</f>
        <v>tech.smithy.weapon_grease</v>
      </c>
      <c r="C979" s="49" t="str">
        <f t="array" ref="C979">_xlfn.XLOOKUP(
 B979,
 tblTargets[TargetID],
 tblTargets[DisplayName],
 ""
)</f>
        <v>Smithy - Weapon Grease</v>
      </c>
      <c r="D979" s="49" t="str">
        <f t="array" ref="D979">_xlfn.XLOOKUP(
 B979,
 tblTargets[TargetID],
 tblTargets[TargetType],
 ""
)</f>
        <v>TECH</v>
      </c>
      <c r="E979" s="49" t="s">
        <v>6</v>
      </c>
      <c r="F979" s="87">
        <f>IFERROR(__xludf.DUMMYFUNCTION("VALUE(REGEXEXTRACT(A979,""([^.]+)$""))"),1.0)</f>
        <v>1</v>
      </c>
      <c r="G979" s="49">
        <v>2.0</v>
      </c>
      <c r="H979" s="26" t="b">
        <f>COUNTIFS(
 tblCostChecklist[RequirementID],A979,
 tblCostChecklist[PlayerPaid],TRUE
)&gt;0</f>
        <v>0</v>
      </c>
      <c r="I979" s="49">
        <f t="shared" si="1"/>
        <v>5</v>
      </c>
      <c r="J979" s="49">
        <f t="shared" si="2"/>
        <v>0</v>
      </c>
      <c r="K979" s="49">
        <f t="shared" si="3"/>
        <v>5</v>
      </c>
      <c r="L979" s="49" t="b">
        <f t="shared" si="4"/>
        <v>0</v>
      </c>
      <c r="M979" s="88">
        <f t="shared" si="5"/>
        <v>0</v>
      </c>
    </row>
    <row r="980" ht="14.25" customHeight="1">
      <c r="A980" s="49" t="s">
        <v>3490</v>
      </c>
      <c r="B980" s="49" t="str">
        <f>IFERROR(__xludf.DUMMYFUNCTION("REGEXEXTRACT(A980,""^cost\.(.*)\.[^.]+\.[^.]+$"")"),"tech.smithy.gears")</f>
        <v>tech.smithy.gears</v>
      </c>
      <c r="C980" s="49" t="str">
        <f t="array" ref="C980">_xlfn.XLOOKUP(
 B980,
 tblTargets[TargetID],
 tblTargets[DisplayName],
 ""
)</f>
        <v>Smithy - Gears</v>
      </c>
      <c r="D980" s="49" t="str">
        <f t="array" ref="D980">_xlfn.XLOOKUP(
 B980,
 tblTargets[TargetID],
 tblTargets[TargetType],
 ""
)</f>
        <v>TECH</v>
      </c>
      <c r="E980" s="49" t="s">
        <v>1055</v>
      </c>
      <c r="F980" s="87">
        <f>IFERROR(__xludf.DUMMYFUNCTION("VALUE(REGEXEXTRACT(A980,""([^.]+)$""))"),1.0)</f>
        <v>1</v>
      </c>
      <c r="G980" s="49">
        <v>30.0</v>
      </c>
      <c r="H980" s="26" t="b">
        <f>COUNTIFS(
 tblCostChecklist[RequirementID],A980,
 tblCostChecklist[PlayerPaid],TRUE
)&gt;0</f>
        <v>0</v>
      </c>
      <c r="I980" s="49">
        <f t="shared" si="1"/>
        <v>5</v>
      </c>
      <c r="J980" s="49">
        <f t="shared" si="2"/>
        <v>0</v>
      </c>
      <c r="K980" s="49">
        <f t="shared" si="3"/>
        <v>5</v>
      </c>
      <c r="L980" s="49" t="b">
        <f t="shared" si="4"/>
        <v>0</v>
      </c>
      <c r="M980" s="88">
        <f t="shared" si="5"/>
        <v>0</v>
      </c>
    </row>
    <row r="981" ht="14.25" customHeight="1">
      <c r="A981" s="49" t="s">
        <v>3491</v>
      </c>
      <c r="B981" s="49" t="str">
        <f>IFERROR(__xludf.DUMMYFUNCTION("REGEXEXTRACT(A981,""^cost\.(.*)\.[^.]+\.[^.]+$"")"),"tech.smithy.gears")</f>
        <v>tech.smithy.gears</v>
      </c>
      <c r="C981" s="49" t="str">
        <f t="array" ref="C981">_xlfn.XLOOKUP(
 B981,
 tblTargets[TargetID],
 tblTargets[DisplayName],
 ""
)</f>
        <v>Smithy - Gears</v>
      </c>
      <c r="D981" s="49" t="str">
        <f t="array" ref="D981">_xlfn.XLOOKUP(
 B981,
 tblTargets[TargetID],
 tblTargets[TargetType],
 ""
)</f>
        <v>TECH</v>
      </c>
      <c r="E981" s="49" t="s">
        <v>119</v>
      </c>
      <c r="F981" s="87">
        <f>IFERROR(__xludf.DUMMYFUNCTION("VALUE(REGEXEXTRACT(A981,""([^.]+)$""))"),1.0)</f>
        <v>1</v>
      </c>
      <c r="G981" s="49">
        <v>1000.0</v>
      </c>
      <c r="H981" s="26" t="b">
        <f>COUNTIFS(
 tblCostChecklist[RequirementID],A981,
 tblCostChecklist[PlayerPaid],TRUE
)&gt;0</f>
        <v>0</v>
      </c>
      <c r="I981" s="49">
        <f t="shared" si="1"/>
        <v>5</v>
      </c>
      <c r="J981" s="49">
        <f t="shared" si="2"/>
        <v>0</v>
      </c>
      <c r="K981" s="49">
        <f t="shared" si="3"/>
        <v>5</v>
      </c>
      <c r="L981" s="49" t="b">
        <f t="shared" si="4"/>
        <v>0</v>
      </c>
      <c r="M981" s="88">
        <f t="shared" si="5"/>
        <v>0</v>
      </c>
    </row>
    <row r="982" ht="14.25" customHeight="1">
      <c r="A982" s="49" t="s">
        <v>3492</v>
      </c>
      <c r="B982" s="49" t="str">
        <f>IFERROR(__xludf.DUMMYFUNCTION("REGEXEXTRACT(A982,""^cost\.(.*)\.[^.]+\.[^.]+$"")"),"tech.smithy.gears")</f>
        <v>tech.smithy.gears</v>
      </c>
      <c r="C982" s="49" t="str">
        <f t="array" ref="C982">_xlfn.XLOOKUP(
 B982,
 tblTargets[TargetID],
 tblTargets[DisplayName],
 ""
)</f>
        <v>Smithy - Gears</v>
      </c>
      <c r="D982" s="49" t="str">
        <f t="array" ref="D982">_xlfn.XLOOKUP(
 B982,
 tblTargets[TargetID],
 tblTargets[TargetType],
 ""
)</f>
        <v>TECH</v>
      </c>
      <c r="E982" s="49" t="s">
        <v>179</v>
      </c>
      <c r="F982" s="87">
        <f>IFERROR(__xludf.DUMMYFUNCTION("VALUE(REGEXEXTRACT(A982,""([^.]+)$""))"),1.0)</f>
        <v>1</v>
      </c>
      <c r="G982" s="49">
        <v>30.0</v>
      </c>
      <c r="H982" s="26" t="b">
        <f>COUNTIFS(
 tblCostChecklist[RequirementID],A982,
 tblCostChecklist[PlayerPaid],TRUE
)&gt;0</f>
        <v>0</v>
      </c>
      <c r="I982" s="49">
        <f t="shared" si="1"/>
        <v>5</v>
      </c>
      <c r="J982" s="49">
        <f t="shared" si="2"/>
        <v>0</v>
      </c>
      <c r="K982" s="49">
        <f t="shared" si="3"/>
        <v>5</v>
      </c>
      <c r="L982" s="49" t="b">
        <f t="shared" si="4"/>
        <v>0</v>
      </c>
      <c r="M982" s="88">
        <f t="shared" si="5"/>
        <v>0</v>
      </c>
    </row>
    <row r="983" ht="14.25" customHeight="1">
      <c r="A983" s="49" t="s">
        <v>3493</v>
      </c>
      <c r="B983" s="49" t="str">
        <f>IFERROR(__xludf.DUMMYFUNCTION("REGEXEXTRACT(A983,""^cost\.(.*)\.[^.]+\.[^.]+$"")"),"tech.smithy.gears")</f>
        <v>tech.smithy.gears</v>
      </c>
      <c r="C983" s="49" t="str">
        <f t="array" ref="C983">_xlfn.XLOOKUP(
 B983,
 tblTargets[TargetID],
 tblTargets[DisplayName],
 ""
)</f>
        <v>Smithy - Gears</v>
      </c>
      <c r="D983" s="49" t="str">
        <f t="array" ref="D983">_xlfn.XLOOKUP(
 B983,
 tblTargets[TargetID],
 tblTargets[TargetType],
 ""
)</f>
        <v>TECH</v>
      </c>
      <c r="E983" s="49" t="s">
        <v>126</v>
      </c>
      <c r="F983" s="87">
        <f>IFERROR(__xludf.DUMMYFUNCTION("VALUE(REGEXEXTRACT(A983,""([^.]+)$""))"),1.0)</f>
        <v>1</v>
      </c>
      <c r="G983" s="49">
        <v>20.0</v>
      </c>
      <c r="H983" s="26" t="b">
        <f>COUNTIFS(
 tblCostChecklist[RequirementID],A983,
 tblCostChecklist[PlayerPaid],TRUE
)&gt;0</f>
        <v>0</v>
      </c>
      <c r="I983" s="49">
        <f t="shared" si="1"/>
        <v>5</v>
      </c>
      <c r="J983" s="49">
        <f t="shared" si="2"/>
        <v>0</v>
      </c>
      <c r="K983" s="49">
        <f t="shared" si="3"/>
        <v>5</v>
      </c>
      <c r="L983" s="49" t="b">
        <f t="shared" si="4"/>
        <v>0</v>
      </c>
      <c r="M983" s="88">
        <f t="shared" si="5"/>
        <v>0</v>
      </c>
    </row>
    <row r="984" ht="14.25" customHeight="1">
      <c r="A984" s="49" t="s">
        <v>3494</v>
      </c>
      <c r="B984" s="49" t="str">
        <f>IFERROR(__xludf.DUMMYFUNCTION("REGEXEXTRACT(A984,""^cost\.(.*)\.[^.]+\.[^.]+$"")"),"tech.smithy.gears")</f>
        <v>tech.smithy.gears</v>
      </c>
      <c r="C984" s="49" t="str">
        <f t="array" ref="C984">_xlfn.XLOOKUP(
 B984,
 tblTargets[TargetID],
 tblTargets[DisplayName],
 ""
)</f>
        <v>Smithy - Gears</v>
      </c>
      <c r="D984" s="49" t="str">
        <f t="array" ref="D984">_xlfn.XLOOKUP(
 B984,
 tblTargets[TargetID],
 tblTargets[TargetType],
 ""
)</f>
        <v>TECH</v>
      </c>
      <c r="E984" s="49" t="s">
        <v>6</v>
      </c>
      <c r="F984" s="87">
        <f>IFERROR(__xludf.DUMMYFUNCTION("VALUE(REGEXEXTRACT(A984,""([^.]+)$""))"),1.0)</f>
        <v>1</v>
      </c>
      <c r="G984" s="49">
        <v>5.0</v>
      </c>
      <c r="H984" s="26" t="b">
        <f>COUNTIFS(
 tblCostChecklist[RequirementID],A984,
 tblCostChecklist[PlayerPaid],TRUE
)&gt;0</f>
        <v>0</v>
      </c>
      <c r="I984" s="49">
        <f t="shared" si="1"/>
        <v>5</v>
      </c>
      <c r="J984" s="49">
        <f t="shared" si="2"/>
        <v>0</v>
      </c>
      <c r="K984" s="49">
        <f t="shared" si="3"/>
        <v>5</v>
      </c>
      <c r="L984" s="49" t="b">
        <f t="shared" si="4"/>
        <v>0</v>
      </c>
      <c r="M984" s="88">
        <f t="shared" si="5"/>
        <v>0</v>
      </c>
    </row>
    <row r="985" ht="14.25" customHeight="1">
      <c r="A985" s="49" t="s">
        <v>3495</v>
      </c>
      <c r="B985" s="49" t="str">
        <f>IFERROR(__xludf.DUMMYFUNCTION("REGEXEXTRACT(A985,""^cost\.(.*)\.[^.]+\.[^.]+$"")"),"tech.smithy.treasure")</f>
        <v>tech.smithy.treasure</v>
      </c>
      <c r="C985" s="49" t="str">
        <f t="array" ref="C985">_xlfn.XLOOKUP(
 B985,
 tblTargets[TargetID],
 tblTargets[DisplayName],
 ""
)</f>
        <v>Smithy - Treasure</v>
      </c>
      <c r="D985" s="49" t="str">
        <f t="array" ref="D985">_xlfn.XLOOKUP(
 B985,
 tblTargets[TargetID],
 tblTargets[TargetType],
 ""
)</f>
        <v>TECH</v>
      </c>
      <c r="E985" s="49" t="s">
        <v>1497</v>
      </c>
      <c r="F985" s="87">
        <f>IFERROR(__xludf.DUMMYFUNCTION("VALUE(REGEXEXTRACT(A985,""([^.]+)$""))"),1.0)</f>
        <v>1</v>
      </c>
      <c r="G985" s="49">
        <v>30.0</v>
      </c>
      <c r="H985" s="26" t="b">
        <f>COUNTIFS(
 tblCostChecklist[RequirementID],A985,
 tblCostChecklist[PlayerPaid],TRUE
)&gt;0</f>
        <v>0</v>
      </c>
      <c r="I985" s="49">
        <f t="shared" si="1"/>
        <v>9</v>
      </c>
      <c r="J985" s="49">
        <f t="shared" si="2"/>
        <v>0</v>
      </c>
      <c r="K985" s="49">
        <f t="shared" si="3"/>
        <v>9</v>
      </c>
      <c r="L985" s="49" t="b">
        <f t="shared" si="4"/>
        <v>0</v>
      </c>
      <c r="M985" s="88">
        <f t="shared" si="5"/>
        <v>0</v>
      </c>
    </row>
    <row r="986" ht="14.25" customHeight="1">
      <c r="A986" s="49" t="s">
        <v>3496</v>
      </c>
      <c r="B986" s="49" t="str">
        <f>IFERROR(__xludf.DUMMYFUNCTION("REGEXEXTRACT(A986,""^cost\.(.*)\.[^.]+\.[^.]+$"")"),"tech.smithy.treasure")</f>
        <v>tech.smithy.treasure</v>
      </c>
      <c r="C986" s="49" t="str">
        <f t="array" ref="C986">_xlfn.XLOOKUP(
 B986,
 tblTargets[TargetID],
 tblTargets[DisplayName],
 ""
)</f>
        <v>Smithy - Treasure</v>
      </c>
      <c r="D986" s="49" t="str">
        <f t="array" ref="D986">_xlfn.XLOOKUP(
 B986,
 tblTargets[TargetID],
 tblTargets[TargetType],
 ""
)</f>
        <v>TECH</v>
      </c>
      <c r="E986" s="49" t="s">
        <v>119</v>
      </c>
      <c r="F986" s="87">
        <f>IFERROR(__xludf.DUMMYFUNCTION("VALUE(REGEXEXTRACT(A986,""([^.]+)$""))"),1.0)</f>
        <v>1</v>
      </c>
      <c r="G986" s="49">
        <v>500.0</v>
      </c>
      <c r="H986" s="26" t="b">
        <f>COUNTIFS(
 tblCostChecklist[RequirementID],A986,
 tblCostChecklist[PlayerPaid],TRUE
)&gt;0</f>
        <v>0</v>
      </c>
      <c r="I986" s="49">
        <f t="shared" si="1"/>
        <v>9</v>
      </c>
      <c r="J986" s="49">
        <f t="shared" si="2"/>
        <v>0</v>
      </c>
      <c r="K986" s="49">
        <f t="shared" si="3"/>
        <v>9</v>
      </c>
      <c r="L986" s="49" t="b">
        <f t="shared" si="4"/>
        <v>0</v>
      </c>
      <c r="M986" s="88">
        <f t="shared" si="5"/>
        <v>0</v>
      </c>
    </row>
    <row r="987" ht="14.25" customHeight="1">
      <c r="A987" s="49" t="s">
        <v>3497</v>
      </c>
      <c r="B987" s="49" t="str">
        <f>IFERROR(__xludf.DUMMYFUNCTION("REGEXEXTRACT(A987,""^cost\.(.*)\.[^.]+\.[^.]+$"")"),"tech.smithy.treasure")</f>
        <v>tech.smithy.treasure</v>
      </c>
      <c r="C987" s="49" t="str">
        <f t="array" ref="C987">_xlfn.XLOOKUP(
 B987,
 tblTargets[TargetID],
 tblTargets[DisplayName],
 ""
)</f>
        <v>Smithy - Treasure</v>
      </c>
      <c r="D987" s="49" t="str">
        <f t="array" ref="D987">_xlfn.XLOOKUP(
 B987,
 tblTargets[TargetID],
 tblTargets[TargetType],
 ""
)</f>
        <v>TECH</v>
      </c>
      <c r="E987" s="49" t="s">
        <v>1583</v>
      </c>
      <c r="F987" s="87">
        <f>IFERROR(__xludf.DUMMYFUNCTION("VALUE(REGEXEXTRACT(A987,""([^.]+)$""))"),1.0)</f>
        <v>1</v>
      </c>
      <c r="G987" s="49">
        <v>20.0</v>
      </c>
      <c r="H987" s="26" t="b">
        <f>COUNTIFS(
 tblCostChecklist[RequirementID],A987,
 tblCostChecklist[PlayerPaid],TRUE
)&gt;0</f>
        <v>0</v>
      </c>
      <c r="I987" s="49">
        <f t="shared" si="1"/>
        <v>9</v>
      </c>
      <c r="J987" s="49">
        <f t="shared" si="2"/>
        <v>0</v>
      </c>
      <c r="K987" s="49">
        <f t="shared" si="3"/>
        <v>9</v>
      </c>
      <c r="L987" s="49" t="b">
        <f t="shared" si="4"/>
        <v>0</v>
      </c>
      <c r="M987" s="88">
        <f t="shared" si="5"/>
        <v>0</v>
      </c>
    </row>
    <row r="988" ht="14.25" customHeight="1">
      <c r="A988" s="49" t="s">
        <v>3498</v>
      </c>
      <c r="B988" s="49" t="str">
        <f>IFERROR(__xludf.DUMMYFUNCTION("REGEXEXTRACT(A988,""^cost\.(.*)\.[^.]+\.[^.]+$"")"),"tech.smithy.treasure")</f>
        <v>tech.smithy.treasure</v>
      </c>
      <c r="C988" s="49" t="str">
        <f t="array" ref="C988">_xlfn.XLOOKUP(
 B988,
 tblTargets[TargetID],
 tblTargets[DisplayName],
 ""
)</f>
        <v>Smithy - Treasure</v>
      </c>
      <c r="D988" s="49" t="str">
        <f t="array" ref="D988">_xlfn.XLOOKUP(
 B988,
 tblTargets[TargetID],
 tblTargets[TargetType],
 ""
)</f>
        <v>TECH</v>
      </c>
      <c r="E988" s="49" t="s">
        <v>530</v>
      </c>
      <c r="F988" s="87">
        <f>IFERROR(__xludf.DUMMYFUNCTION("VALUE(REGEXEXTRACT(A988,""([^.]+)$""))"),1.0)</f>
        <v>1</v>
      </c>
      <c r="G988" s="49">
        <v>10.0</v>
      </c>
      <c r="H988" s="26" t="b">
        <f>COUNTIFS(
 tblCostChecklist[RequirementID],A988,
 tblCostChecklist[PlayerPaid],TRUE
)&gt;0</f>
        <v>0</v>
      </c>
      <c r="I988" s="49">
        <f t="shared" si="1"/>
        <v>9</v>
      </c>
      <c r="J988" s="49">
        <f t="shared" si="2"/>
        <v>0</v>
      </c>
      <c r="K988" s="49">
        <f t="shared" si="3"/>
        <v>9</v>
      </c>
      <c r="L988" s="49" t="b">
        <f t="shared" si="4"/>
        <v>0</v>
      </c>
      <c r="M988" s="88">
        <f t="shared" si="5"/>
        <v>0</v>
      </c>
    </row>
    <row r="989" ht="14.25" customHeight="1">
      <c r="A989" s="49" t="s">
        <v>3499</v>
      </c>
      <c r="B989" s="49" t="str">
        <f>IFERROR(__xludf.DUMMYFUNCTION("REGEXEXTRACT(A989,""^cost\.(.*)\.[^.]+\.[^.]+$"")"),"tech.smithy.treasure")</f>
        <v>tech.smithy.treasure</v>
      </c>
      <c r="C989" s="49" t="str">
        <f t="array" ref="C989">_xlfn.XLOOKUP(
 B989,
 tblTargets[TargetID],
 tblTargets[DisplayName],
 ""
)</f>
        <v>Smithy - Treasure</v>
      </c>
      <c r="D989" s="49" t="str">
        <f t="array" ref="D989">_xlfn.XLOOKUP(
 B989,
 tblTargets[TargetID],
 tblTargets[TargetType],
 ""
)</f>
        <v>TECH</v>
      </c>
      <c r="E989" s="49" t="s">
        <v>412</v>
      </c>
      <c r="F989" s="87">
        <f>IFERROR(__xludf.DUMMYFUNCTION("VALUE(REGEXEXTRACT(A989,""([^.]+)$""))"),1.0)</f>
        <v>1</v>
      </c>
      <c r="G989" s="49">
        <v>10.0</v>
      </c>
      <c r="H989" s="26" t="b">
        <f>COUNTIFS(
 tblCostChecklist[RequirementID],A989,
 tblCostChecklist[PlayerPaid],TRUE
)&gt;0</f>
        <v>0</v>
      </c>
      <c r="I989" s="49">
        <f t="shared" si="1"/>
        <v>9</v>
      </c>
      <c r="J989" s="49">
        <f t="shared" si="2"/>
        <v>0</v>
      </c>
      <c r="K989" s="49">
        <f t="shared" si="3"/>
        <v>9</v>
      </c>
      <c r="L989" s="49" t="b">
        <f t="shared" si="4"/>
        <v>0</v>
      </c>
      <c r="M989" s="88">
        <f t="shared" si="5"/>
        <v>0</v>
      </c>
    </row>
    <row r="990" ht="14.25" customHeight="1">
      <c r="A990" s="49" t="s">
        <v>3500</v>
      </c>
      <c r="B990" s="49" t="str">
        <f>IFERROR(__xludf.DUMMYFUNCTION("REGEXEXTRACT(A990,""^cost\.(.*)\.[^.]+\.[^.]+$"")"),"tech.smithy.treasure")</f>
        <v>tech.smithy.treasure</v>
      </c>
      <c r="C990" s="49" t="str">
        <f t="array" ref="C990">_xlfn.XLOOKUP(
 B990,
 tblTargets[TargetID],
 tblTargets[DisplayName],
 ""
)</f>
        <v>Smithy - Treasure</v>
      </c>
      <c r="D990" s="49" t="str">
        <f t="array" ref="D990">_xlfn.XLOOKUP(
 B990,
 tblTargets[TargetID],
 tblTargets[TargetType],
 ""
)</f>
        <v>TECH</v>
      </c>
      <c r="E990" s="49" t="s">
        <v>1456</v>
      </c>
      <c r="F990" s="87">
        <f>IFERROR(__xludf.DUMMYFUNCTION("VALUE(REGEXEXTRACT(A990,""([^.]+)$""))"),1.0)</f>
        <v>1</v>
      </c>
      <c r="G990" s="49">
        <v>10.0</v>
      </c>
      <c r="H990" s="26" t="b">
        <f>COUNTIFS(
 tblCostChecklist[RequirementID],A990,
 tblCostChecklist[PlayerPaid],TRUE
)&gt;0</f>
        <v>0</v>
      </c>
      <c r="I990" s="49">
        <f t="shared" si="1"/>
        <v>9</v>
      </c>
      <c r="J990" s="49">
        <f t="shared" si="2"/>
        <v>0</v>
      </c>
      <c r="K990" s="49">
        <f t="shared" si="3"/>
        <v>9</v>
      </c>
      <c r="L990" s="49" t="b">
        <f t="shared" si="4"/>
        <v>0</v>
      </c>
      <c r="M990" s="88">
        <f t="shared" si="5"/>
        <v>0</v>
      </c>
    </row>
    <row r="991" ht="14.25" customHeight="1">
      <c r="A991" s="49" t="s">
        <v>3501</v>
      </c>
      <c r="B991" s="49" t="str">
        <f>IFERROR(__xludf.DUMMYFUNCTION("REGEXEXTRACT(A991,""^cost\.(.*)\.[^.]+\.[^.]+$"")"),"tech.smithy.treasure")</f>
        <v>tech.smithy.treasure</v>
      </c>
      <c r="C991" s="49" t="str">
        <f t="array" ref="C991">_xlfn.XLOOKUP(
 B991,
 tblTargets[TargetID],
 tblTargets[DisplayName],
 ""
)</f>
        <v>Smithy - Treasure</v>
      </c>
      <c r="D991" s="49" t="str">
        <f t="array" ref="D991">_xlfn.XLOOKUP(
 B991,
 tblTargets[TargetID],
 tblTargets[TargetType],
 ""
)</f>
        <v>TECH</v>
      </c>
      <c r="E991" s="49" t="s">
        <v>1606</v>
      </c>
      <c r="F991" s="87">
        <f>IFERROR(__xludf.DUMMYFUNCTION("VALUE(REGEXEXTRACT(A991,""([^.]+)$""))"),1.0)</f>
        <v>1</v>
      </c>
      <c r="G991" s="49">
        <v>20.0</v>
      </c>
      <c r="H991" s="26" t="b">
        <f>COUNTIFS(
 tblCostChecklist[RequirementID],A991,
 tblCostChecklist[PlayerPaid],TRUE
)&gt;0</f>
        <v>0</v>
      </c>
      <c r="I991" s="49">
        <f t="shared" si="1"/>
        <v>9</v>
      </c>
      <c r="J991" s="49">
        <f t="shared" si="2"/>
        <v>0</v>
      </c>
      <c r="K991" s="49">
        <f t="shared" si="3"/>
        <v>9</v>
      </c>
      <c r="L991" s="49" t="b">
        <f t="shared" si="4"/>
        <v>0</v>
      </c>
      <c r="M991" s="88">
        <f t="shared" si="5"/>
        <v>0</v>
      </c>
    </row>
    <row r="992" ht="14.25" customHeight="1">
      <c r="A992" s="49" t="s">
        <v>3502</v>
      </c>
      <c r="B992" s="49" t="str">
        <f>IFERROR(__xludf.DUMMYFUNCTION("REGEXEXTRACT(A992,""^cost\.(.*)\.[^.]+\.[^.]+$"")"),"tech.smithy.treasure")</f>
        <v>tech.smithy.treasure</v>
      </c>
      <c r="C992" s="49" t="str">
        <f t="array" ref="C992">_xlfn.XLOOKUP(
 B992,
 tblTargets[TargetID],
 tblTargets[DisplayName],
 ""
)</f>
        <v>Smithy - Treasure</v>
      </c>
      <c r="D992" s="49" t="str">
        <f t="array" ref="D992">_xlfn.XLOOKUP(
 B992,
 tblTargets[TargetID],
 tblTargets[TargetType],
 ""
)</f>
        <v>TECH</v>
      </c>
      <c r="E992" s="49" t="s">
        <v>6</v>
      </c>
      <c r="F992" s="87">
        <f>IFERROR(__xludf.DUMMYFUNCTION("VALUE(REGEXEXTRACT(A992,""([^.]+)$""))"),1.0)</f>
        <v>1</v>
      </c>
      <c r="G992" s="49">
        <v>3.0</v>
      </c>
      <c r="H992" s="26" t="b">
        <f>COUNTIFS(
 tblCostChecklist[RequirementID],A992,
 tblCostChecklist[PlayerPaid],TRUE
)&gt;0</f>
        <v>0</v>
      </c>
      <c r="I992" s="49">
        <f t="shared" si="1"/>
        <v>9</v>
      </c>
      <c r="J992" s="49">
        <f t="shared" si="2"/>
        <v>0</v>
      </c>
      <c r="K992" s="49">
        <f t="shared" si="3"/>
        <v>9</v>
      </c>
      <c r="L992" s="49" t="b">
        <f t="shared" si="4"/>
        <v>0</v>
      </c>
      <c r="M992" s="88">
        <f t="shared" si="5"/>
        <v>0</v>
      </c>
    </row>
    <row r="993" ht="14.25" customHeight="1">
      <c r="A993" s="49" t="s">
        <v>3503</v>
      </c>
      <c r="B993" s="49" t="str">
        <f>IFERROR(__xludf.DUMMYFUNCTION("REGEXEXTRACT(A993,""^cost\.(.*)\.[^.]+\.[^.]+$"")"),"tech.smithy.treasure")</f>
        <v>tech.smithy.treasure</v>
      </c>
      <c r="C993" s="49" t="str">
        <f t="array" ref="C993">_xlfn.XLOOKUP(
 B993,
 tblTargets[TargetID],
 tblTargets[DisplayName],
 ""
)</f>
        <v>Smithy - Treasure</v>
      </c>
      <c r="D993" s="49" t="str">
        <f t="array" ref="D993">_xlfn.XLOOKUP(
 B993,
 tblTargets[TargetID],
 tblTargets[TargetType],
 ""
)</f>
        <v>TECH</v>
      </c>
      <c r="E993" s="49" t="s">
        <v>2308</v>
      </c>
      <c r="F993" s="87">
        <f>IFERROR(__xludf.DUMMYFUNCTION("VALUE(REGEXEXTRACT(A993,""([^.]+)$""))"),1.0)</f>
        <v>1</v>
      </c>
      <c r="G993" s="49">
        <v>15.0</v>
      </c>
      <c r="H993" s="26" t="b">
        <f>COUNTIFS(
 tblCostChecklist[RequirementID],A993,
 tblCostChecklist[PlayerPaid],TRUE
)&gt;0</f>
        <v>0</v>
      </c>
      <c r="I993" s="49">
        <f t="shared" si="1"/>
        <v>9</v>
      </c>
      <c r="J993" s="49">
        <f t="shared" si="2"/>
        <v>0</v>
      </c>
      <c r="K993" s="49">
        <f t="shared" si="3"/>
        <v>9</v>
      </c>
      <c r="L993" s="49" t="b">
        <f t="shared" si="4"/>
        <v>0</v>
      </c>
      <c r="M993" s="88">
        <f t="shared" si="5"/>
        <v>0</v>
      </c>
    </row>
    <row r="994" ht="14.25" customHeight="1">
      <c r="A994" s="49" t="s">
        <v>3504</v>
      </c>
      <c r="B994" s="49" t="str">
        <f>IFERROR(__xludf.DUMMYFUNCTION("REGEXEXTRACT(A994,""^cost\.(.*)\.[^.]+\.[^.]+$"")"),"tech.tailor.ariadnes_thread")</f>
        <v>tech.tailor.ariadnes_thread</v>
      </c>
      <c r="C994" s="49" t="str">
        <f t="array" ref="C994">_xlfn.XLOOKUP(
 B994,
 tblTargets[TargetID],
 tblTargets[DisplayName],
 ""
)</f>
        <v>Tailor - Ariadnes Thread</v>
      </c>
      <c r="D994" s="49" t="str">
        <f t="array" ref="D994">_xlfn.XLOOKUP(
 B994,
 tblTargets[TargetID],
 tblTargets[TargetType],
 ""
)</f>
        <v>TECH</v>
      </c>
      <c r="E994" s="49" t="s">
        <v>119</v>
      </c>
      <c r="F994" s="87">
        <f>IFERROR(__xludf.DUMMYFUNCTION("VALUE(REGEXEXTRACT(A994,""([^.]+)$""))"),1.0)</f>
        <v>1</v>
      </c>
      <c r="G994" s="49">
        <v>300.0</v>
      </c>
      <c r="H994" s="26" t="b">
        <f>COUNTIFS(
 tblCostChecklist[RequirementID],A994,
 tblCostChecklist[PlayerPaid],TRUE
)&gt;0</f>
        <v>0</v>
      </c>
      <c r="I994" s="49">
        <f t="shared" si="1"/>
        <v>6</v>
      </c>
      <c r="J994" s="49">
        <f t="shared" si="2"/>
        <v>0</v>
      </c>
      <c r="K994" s="49">
        <f t="shared" si="3"/>
        <v>6</v>
      </c>
      <c r="L994" s="49" t="b">
        <f t="shared" si="4"/>
        <v>0</v>
      </c>
      <c r="M994" s="88">
        <f t="shared" si="5"/>
        <v>0</v>
      </c>
    </row>
    <row r="995" ht="14.25" customHeight="1">
      <c r="A995" s="49" t="s">
        <v>3505</v>
      </c>
      <c r="B995" s="49" t="str">
        <f>IFERROR(__xludf.DUMMYFUNCTION("REGEXEXTRACT(A995,""^cost\.(.*)\.[^.]+\.[^.]+$"")"),"tech.tailor.ariadnes_thread")</f>
        <v>tech.tailor.ariadnes_thread</v>
      </c>
      <c r="C995" s="49" t="str">
        <f t="array" ref="C995">_xlfn.XLOOKUP(
 B995,
 tblTargets[TargetID],
 tblTargets[DisplayName],
 ""
)</f>
        <v>Tailor - Ariadnes Thread</v>
      </c>
      <c r="D995" s="49" t="str">
        <f t="array" ref="D995">_xlfn.XLOOKUP(
 B995,
 tblTargets[TargetID],
 tblTargets[TargetType],
 ""
)</f>
        <v>TECH</v>
      </c>
      <c r="E995" s="49" t="s">
        <v>2964</v>
      </c>
      <c r="F995" s="87">
        <f>IFERROR(__xludf.DUMMYFUNCTION("VALUE(REGEXEXTRACT(A995,""([^.]+)$""))"),1.0)</f>
        <v>1</v>
      </c>
      <c r="G995" s="49">
        <v>20.0</v>
      </c>
      <c r="H995" s="26" t="b">
        <f>COUNTIFS(
 tblCostChecklist[RequirementID],A995,
 tblCostChecklist[PlayerPaid],TRUE
)&gt;0</f>
        <v>0</v>
      </c>
      <c r="I995" s="49">
        <f t="shared" si="1"/>
        <v>6</v>
      </c>
      <c r="J995" s="49">
        <f t="shared" si="2"/>
        <v>0</v>
      </c>
      <c r="K995" s="49">
        <f t="shared" si="3"/>
        <v>6</v>
      </c>
      <c r="L995" s="49" t="b">
        <f t="shared" si="4"/>
        <v>0</v>
      </c>
      <c r="M995" s="88">
        <f t="shared" si="5"/>
        <v>0</v>
      </c>
    </row>
    <row r="996" ht="14.25" customHeight="1">
      <c r="A996" s="49" t="s">
        <v>3506</v>
      </c>
      <c r="B996" s="49" t="str">
        <f>IFERROR(__xludf.DUMMYFUNCTION("REGEXEXTRACT(A996,""^cost\.(.*)\.[^.]+\.[^.]+$"")"),"tech.tailor.ariadnes_thread")</f>
        <v>tech.tailor.ariadnes_thread</v>
      </c>
      <c r="C996" s="49" t="str">
        <f t="array" ref="C996">_xlfn.XLOOKUP(
 B996,
 tblTargets[TargetID],
 tblTargets[DisplayName],
 ""
)</f>
        <v>Tailor - Ariadnes Thread</v>
      </c>
      <c r="D996" s="49" t="str">
        <f t="array" ref="D996">_xlfn.XLOOKUP(
 B996,
 tblTargets[TargetID],
 tblTargets[TargetType],
 ""
)</f>
        <v>TECH</v>
      </c>
      <c r="E996" s="49" t="s">
        <v>132</v>
      </c>
      <c r="F996" s="87">
        <f>IFERROR(__xludf.DUMMYFUNCTION("VALUE(REGEXEXTRACT(A996,""([^.]+)$""))"),1.0)</f>
        <v>1</v>
      </c>
      <c r="G996" s="49">
        <v>10.0</v>
      </c>
      <c r="H996" s="26" t="b">
        <f>COUNTIFS(
 tblCostChecklist[RequirementID],A996,
 tblCostChecklist[PlayerPaid],TRUE
)&gt;0</f>
        <v>0</v>
      </c>
      <c r="I996" s="49">
        <f t="shared" si="1"/>
        <v>6</v>
      </c>
      <c r="J996" s="49">
        <f t="shared" si="2"/>
        <v>0</v>
      </c>
      <c r="K996" s="49">
        <f t="shared" si="3"/>
        <v>6</v>
      </c>
      <c r="L996" s="49" t="b">
        <f t="shared" si="4"/>
        <v>0</v>
      </c>
      <c r="M996" s="88">
        <f t="shared" si="5"/>
        <v>0</v>
      </c>
    </row>
    <row r="997" ht="14.25" customHeight="1">
      <c r="A997" s="49" t="s">
        <v>3507</v>
      </c>
      <c r="B997" s="49" t="str">
        <f>IFERROR(__xludf.DUMMYFUNCTION("REGEXEXTRACT(A997,""^cost\.(.*)\.[^.]+\.[^.]+$"")"),"tech.tailor.ariadnes_thread")</f>
        <v>tech.tailor.ariadnes_thread</v>
      </c>
      <c r="C997" s="49" t="str">
        <f t="array" ref="C997">_xlfn.XLOOKUP(
 B997,
 tblTargets[TargetID],
 tblTargets[DisplayName],
 ""
)</f>
        <v>Tailor - Ariadnes Thread</v>
      </c>
      <c r="D997" s="49" t="str">
        <f t="array" ref="D997">_xlfn.XLOOKUP(
 B997,
 tblTargets[TargetID],
 tblTargets[TargetType],
 ""
)</f>
        <v>TECH</v>
      </c>
      <c r="E997" s="49" t="s">
        <v>2997</v>
      </c>
      <c r="F997" s="87">
        <f>IFERROR(__xludf.DUMMYFUNCTION("VALUE(REGEXEXTRACT(A997,""([^.]+)$""))"),1.0)</f>
        <v>1</v>
      </c>
      <c r="G997" s="49">
        <v>1.0</v>
      </c>
      <c r="H997" s="26" t="b">
        <f>COUNTIFS(
 tblCostChecklist[RequirementID],A997,
 tblCostChecklist[PlayerPaid],TRUE
)&gt;0</f>
        <v>0</v>
      </c>
      <c r="I997" s="49">
        <f t="shared" si="1"/>
        <v>6</v>
      </c>
      <c r="J997" s="49">
        <f t="shared" si="2"/>
        <v>0</v>
      </c>
      <c r="K997" s="49">
        <f t="shared" si="3"/>
        <v>6</v>
      </c>
      <c r="L997" s="49" t="b">
        <f t="shared" si="4"/>
        <v>0</v>
      </c>
      <c r="M997" s="88">
        <f t="shared" si="5"/>
        <v>0</v>
      </c>
    </row>
    <row r="998" ht="14.25" customHeight="1">
      <c r="A998" s="49" t="s">
        <v>3508</v>
      </c>
      <c r="B998" s="49" t="str">
        <f>IFERROR(__xludf.DUMMYFUNCTION("REGEXEXTRACT(A998,""^cost\.(.*)\.[^.]+\.[^.]+$"")"),"tech.tailor.ariadnes_thread")</f>
        <v>tech.tailor.ariadnes_thread</v>
      </c>
      <c r="C998" s="49" t="str">
        <f t="array" ref="C998">_xlfn.XLOOKUP(
 B998,
 tblTargets[TargetID],
 tblTargets[DisplayName],
 ""
)</f>
        <v>Tailor - Ariadnes Thread</v>
      </c>
      <c r="D998" s="49" t="str">
        <f t="array" ref="D998">_xlfn.XLOOKUP(
 B998,
 tblTargets[TargetID],
 tblTargets[TargetType],
 ""
)</f>
        <v>TECH</v>
      </c>
      <c r="E998" s="49" t="s">
        <v>6</v>
      </c>
      <c r="F998" s="87">
        <f>IFERROR(__xludf.DUMMYFUNCTION("VALUE(REGEXEXTRACT(A998,""([^.]+)$""))"),1.0)</f>
        <v>1</v>
      </c>
      <c r="G998" s="49">
        <v>2.0</v>
      </c>
      <c r="H998" s="26" t="b">
        <f>COUNTIFS(
 tblCostChecklist[RequirementID],A998,
 tblCostChecklist[PlayerPaid],TRUE
)&gt;0</f>
        <v>0</v>
      </c>
      <c r="I998" s="49">
        <f t="shared" si="1"/>
        <v>6</v>
      </c>
      <c r="J998" s="49">
        <f t="shared" si="2"/>
        <v>0</v>
      </c>
      <c r="K998" s="49">
        <f t="shared" si="3"/>
        <v>6</v>
      </c>
      <c r="L998" s="49" t="b">
        <f t="shared" si="4"/>
        <v>0</v>
      </c>
      <c r="M998" s="88">
        <f t="shared" si="5"/>
        <v>0</v>
      </c>
    </row>
    <row r="999" ht="14.25" customHeight="1">
      <c r="A999" s="49" t="s">
        <v>3509</v>
      </c>
      <c r="B999" s="49" t="str">
        <f>IFERROR(__xludf.DUMMYFUNCTION("REGEXEXTRACT(A999,""^cost\.(.*)\.[^.]+\.[^.]+$"")"),"tech.tailor.ariadnes_thread")</f>
        <v>tech.tailor.ariadnes_thread</v>
      </c>
      <c r="C999" s="49" t="str">
        <f t="array" ref="C999">_xlfn.XLOOKUP(
 B999,
 tblTargets[TargetID],
 tblTargets[DisplayName],
 ""
)</f>
        <v>Tailor - Ariadnes Thread</v>
      </c>
      <c r="D999" s="49" t="str">
        <f t="array" ref="D999">_xlfn.XLOOKUP(
 B999,
 tblTargets[TargetID],
 tblTargets[TargetType],
 ""
)</f>
        <v>TECH</v>
      </c>
      <c r="E999" s="49" t="s">
        <v>158</v>
      </c>
      <c r="F999" s="87">
        <f>IFERROR(__xludf.DUMMYFUNCTION("VALUE(REGEXEXTRACT(A999,""([^.]+)$""))"),1.0)</f>
        <v>1</v>
      </c>
      <c r="G999" s="49">
        <v>10.0</v>
      </c>
      <c r="H999" s="26" t="b">
        <f>COUNTIFS(
 tblCostChecklist[RequirementID],A999,
 tblCostChecklist[PlayerPaid],TRUE
)&gt;0</f>
        <v>0</v>
      </c>
      <c r="I999" s="49">
        <f t="shared" si="1"/>
        <v>6</v>
      </c>
      <c r="J999" s="49">
        <f t="shared" si="2"/>
        <v>0</v>
      </c>
      <c r="K999" s="49">
        <f t="shared" si="3"/>
        <v>6</v>
      </c>
      <c r="L999" s="49" t="b">
        <f t="shared" si="4"/>
        <v>0</v>
      </c>
      <c r="M999" s="88">
        <f t="shared" si="5"/>
        <v>0</v>
      </c>
    </row>
    <row r="1000" ht="14.25" customHeight="1">
      <c r="A1000" s="49" t="s">
        <v>3510</v>
      </c>
      <c r="B1000" s="49" t="str">
        <f>IFERROR(__xludf.DUMMYFUNCTION("REGEXEXTRACT(A1000,""^cost\.(.*)\.[^.]+\.[^.]+$"")"),"tech.tailor.bedroll")</f>
        <v>tech.tailor.bedroll</v>
      </c>
      <c r="C1000" s="49" t="str">
        <f t="array" ref="C1000">_xlfn.XLOOKUP(
 B1000,
 tblTargets[TargetID],
 tblTargets[DisplayName],
 ""
)</f>
        <v>Tailor - Bedroll</v>
      </c>
      <c r="D1000" s="49" t="str">
        <f t="array" ref="D1000">_xlfn.XLOOKUP(
 B1000,
 tblTargets[TargetID],
 tblTargets[TargetType],
 ""
)</f>
        <v>TECH</v>
      </c>
      <c r="E1000" s="49" t="s">
        <v>1055</v>
      </c>
      <c r="F1000" s="87">
        <f>IFERROR(__xludf.DUMMYFUNCTION("VALUE(REGEXEXTRACT(A1000,""([^.]+)$""))"),1.0)</f>
        <v>1</v>
      </c>
      <c r="G1000" s="49">
        <v>10.0</v>
      </c>
      <c r="H1000" s="26" t="b">
        <f>COUNTIFS(
 tblCostChecklist[RequirementID],A1000,
 tblCostChecklist[PlayerPaid],TRUE
)&gt;0</f>
        <v>0</v>
      </c>
      <c r="I1000" s="49">
        <f t="shared" si="1"/>
        <v>6</v>
      </c>
      <c r="J1000" s="49">
        <f t="shared" si="2"/>
        <v>0</v>
      </c>
      <c r="K1000" s="49">
        <f t="shared" si="3"/>
        <v>6</v>
      </c>
      <c r="L1000" s="49" t="b">
        <f t="shared" si="4"/>
        <v>0</v>
      </c>
      <c r="M1000" s="88">
        <f t="shared" si="5"/>
        <v>0</v>
      </c>
    </row>
    <row r="1001" ht="14.25" customHeight="1">
      <c r="A1001" s="49" t="s">
        <v>3511</v>
      </c>
      <c r="B1001" s="49" t="str">
        <f>IFERROR(__xludf.DUMMYFUNCTION("REGEXEXTRACT(A1001,""^cost\.(.*)\.[^.]+\.[^.]+$"")"),"tech.tailor.bedroll")</f>
        <v>tech.tailor.bedroll</v>
      </c>
      <c r="C1001" s="49" t="str">
        <f t="array" ref="C1001">_xlfn.XLOOKUP(
 B1001,
 tblTargets[TargetID],
 tblTargets[DisplayName],
 ""
)</f>
        <v>Tailor - Bedroll</v>
      </c>
      <c r="D1001" s="49" t="str">
        <f t="array" ref="D1001">_xlfn.XLOOKUP(
 B1001,
 tblTargets[TargetID],
 tblTargets[TargetType],
 ""
)</f>
        <v>TECH</v>
      </c>
      <c r="E1001" s="49" t="s">
        <v>119</v>
      </c>
      <c r="F1001" s="87">
        <f>IFERROR(__xludf.DUMMYFUNCTION("VALUE(REGEXEXTRACT(A1001,""([^.]+)$""))"),1.0)</f>
        <v>1</v>
      </c>
      <c r="G1001" s="49">
        <v>300.0</v>
      </c>
      <c r="H1001" s="26" t="b">
        <f>COUNTIFS(
 tblCostChecklist[RequirementID],A1001,
 tblCostChecklist[PlayerPaid],TRUE
)&gt;0</f>
        <v>0</v>
      </c>
      <c r="I1001" s="49">
        <f t="shared" si="1"/>
        <v>6</v>
      </c>
      <c r="J1001" s="49">
        <f t="shared" si="2"/>
        <v>0</v>
      </c>
      <c r="K1001" s="49">
        <f t="shared" si="3"/>
        <v>6</v>
      </c>
      <c r="L1001" s="49" t="b">
        <f t="shared" si="4"/>
        <v>0</v>
      </c>
      <c r="M1001" s="88">
        <f t="shared" si="5"/>
        <v>0</v>
      </c>
    </row>
    <row r="1002" ht="14.25" customHeight="1">
      <c r="A1002" s="49" t="s">
        <v>3512</v>
      </c>
      <c r="B1002" s="49" t="str">
        <f>IFERROR(__xludf.DUMMYFUNCTION("REGEXEXTRACT(A1002,""^cost\.(.*)\.[^.]+\.[^.]+$"")"),"tech.tailor.bedroll")</f>
        <v>tech.tailor.bedroll</v>
      </c>
      <c r="C1002" s="49" t="str">
        <f t="array" ref="C1002">_xlfn.XLOOKUP(
 B1002,
 tblTargets[TargetID],
 tblTargets[DisplayName],
 ""
)</f>
        <v>Tailor - Bedroll</v>
      </c>
      <c r="D1002" s="49" t="str">
        <f t="array" ref="D1002">_xlfn.XLOOKUP(
 B1002,
 tblTargets[TargetID],
 tblTargets[TargetType],
 ""
)</f>
        <v>TECH</v>
      </c>
      <c r="E1002" s="49" t="s">
        <v>140</v>
      </c>
      <c r="F1002" s="87">
        <f>IFERROR(__xludf.DUMMYFUNCTION("VALUE(REGEXEXTRACT(A1002,""([^.]+)$""))"),1.0)</f>
        <v>1</v>
      </c>
      <c r="G1002" s="49">
        <v>5.0</v>
      </c>
      <c r="H1002" s="26" t="b">
        <f>COUNTIFS(
 tblCostChecklist[RequirementID],A1002,
 tblCostChecklist[PlayerPaid],TRUE
)&gt;0</f>
        <v>0</v>
      </c>
      <c r="I1002" s="49">
        <f t="shared" si="1"/>
        <v>6</v>
      </c>
      <c r="J1002" s="49">
        <f t="shared" si="2"/>
        <v>0</v>
      </c>
      <c r="K1002" s="49">
        <f t="shared" si="3"/>
        <v>6</v>
      </c>
      <c r="L1002" s="49" t="b">
        <f t="shared" si="4"/>
        <v>0</v>
      </c>
      <c r="M1002" s="88">
        <f t="shared" si="5"/>
        <v>0</v>
      </c>
    </row>
    <row r="1003" ht="14.25" customHeight="1">
      <c r="A1003" s="49" t="s">
        <v>3513</v>
      </c>
      <c r="B1003" s="49" t="str">
        <f>IFERROR(__xludf.DUMMYFUNCTION("REGEXEXTRACT(A1003,""^cost\.(.*)\.[^.]+\.[^.]+$"")"),"tech.tailor.bedroll")</f>
        <v>tech.tailor.bedroll</v>
      </c>
      <c r="C1003" s="49" t="str">
        <f t="array" ref="C1003">_xlfn.XLOOKUP(
 B1003,
 tblTargets[TargetID],
 tblTargets[DisplayName],
 ""
)</f>
        <v>Tailor - Bedroll</v>
      </c>
      <c r="D1003" s="49" t="str">
        <f t="array" ref="D1003">_xlfn.XLOOKUP(
 B1003,
 tblTargets[TargetID],
 tblTargets[TargetType],
 ""
)</f>
        <v>TECH</v>
      </c>
      <c r="E1003" s="49" t="s">
        <v>6</v>
      </c>
      <c r="F1003" s="87">
        <f>IFERROR(__xludf.DUMMYFUNCTION("VALUE(REGEXEXTRACT(A1003,""([^.]+)$""))"),1.0)</f>
        <v>1</v>
      </c>
      <c r="G1003" s="49">
        <v>2.0</v>
      </c>
      <c r="H1003" s="26" t="b">
        <f>COUNTIFS(
 tblCostChecklist[RequirementID],A1003,
 tblCostChecklist[PlayerPaid],TRUE
)&gt;0</f>
        <v>0</v>
      </c>
      <c r="I1003" s="49">
        <f t="shared" si="1"/>
        <v>6</v>
      </c>
      <c r="J1003" s="49">
        <f t="shared" si="2"/>
        <v>0</v>
      </c>
      <c r="K1003" s="49">
        <f t="shared" si="3"/>
        <v>6</v>
      </c>
      <c r="L1003" s="49" t="b">
        <f t="shared" si="4"/>
        <v>0</v>
      </c>
      <c r="M1003" s="88">
        <f t="shared" si="5"/>
        <v>0</v>
      </c>
    </row>
    <row r="1004" ht="14.25" customHeight="1">
      <c r="A1004" s="49" t="s">
        <v>3514</v>
      </c>
      <c r="B1004" s="49" t="str">
        <f>IFERROR(__xludf.DUMMYFUNCTION("REGEXEXTRACT(A1004,""^cost\.(.*)\.[^.]+\.[^.]+$"")"),"tech.tailor.bedroll")</f>
        <v>tech.tailor.bedroll</v>
      </c>
      <c r="C1004" s="49" t="str">
        <f t="array" ref="C1004">_xlfn.XLOOKUP(
 B1004,
 tblTargets[TargetID],
 tblTargets[DisplayName],
 ""
)</f>
        <v>Tailor - Bedroll</v>
      </c>
      <c r="D1004" s="49" t="str">
        <f t="array" ref="D1004">_xlfn.XLOOKUP(
 B1004,
 tblTargets[TargetID],
 tblTargets[TargetType],
 ""
)</f>
        <v>TECH</v>
      </c>
      <c r="E1004" s="49" t="s">
        <v>152</v>
      </c>
      <c r="F1004" s="87">
        <f>IFERROR(__xludf.DUMMYFUNCTION("VALUE(REGEXEXTRACT(A1004,""([^.]+)$""))"),1.0)</f>
        <v>1</v>
      </c>
      <c r="G1004" s="49">
        <v>15.0</v>
      </c>
      <c r="H1004" s="26" t="b">
        <f>COUNTIFS(
 tblCostChecklist[RequirementID],A1004,
 tblCostChecklist[PlayerPaid],TRUE
)&gt;0</f>
        <v>0</v>
      </c>
      <c r="I1004" s="49">
        <f t="shared" si="1"/>
        <v>6</v>
      </c>
      <c r="J1004" s="49">
        <f t="shared" si="2"/>
        <v>0</v>
      </c>
      <c r="K1004" s="49">
        <f t="shared" si="3"/>
        <v>6</v>
      </c>
      <c r="L1004" s="49" t="b">
        <f t="shared" si="4"/>
        <v>0</v>
      </c>
      <c r="M1004" s="88">
        <f t="shared" si="5"/>
        <v>0</v>
      </c>
    </row>
    <row r="1005" ht="14.25" customHeight="1">
      <c r="A1005" s="49" t="s">
        <v>3515</v>
      </c>
      <c r="B1005" s="49" t="str">
        <f>IFERROR(__xludf.DUMMYFUNCTION("REGEXEXTRACT(A1005,""^cost\.(.*)\.[^.]+\.[^.]+$"")"),"tech.tailor.bedroll")</f>
        <v>tech.tailor.bedroll</v>
      </c>
      <c r="C1005" s="49" t="str">
        <f t="array" ref="C1005">_xlfn.XLOOKUP(
 B1005,
 tblTargets[TargetID],
 tblTargets[DisplayName],
 ""
)</f>
        <v>Tailor - Bedroll</v>
      </c>
      <c r="D1005" s="49" t="str">
        <f t="array" ref="D1005">_xlfn.XLOOKUP(
 B1005,
 tblTargets[TargetID],
 tblTargets[TargetType],
 ""
)</f>
        <v>TECH</v>
      </c>
      <c r="E1005" s="49" t="s">
        <v>158</v>
      </c>
      <c r="F1005" s="87">
        <f>IFERROR(__xludf.DUMMYFUNCTION("VALUE(REGEXEXTRACT(A1005,""([^.]+)$""))"),1.0)</f>
        <v>1</v>
      </c>
      <c r="G1005" s="49">
        <v>20.0</v>
      </c>
      <c r="H1005" s="26" t="b">
        <f>COUNTIFS(
 tblCostChecklist[RequirementID],A1005,
 tblCostChecklist[PlayerPaid],TRUE
)&gt;0</f>
        <v>0</v>
      </c>
      <c r="I1005" s="49">
        <f t="shared" si="1"/>
        <v>6</v>
      </c>
      <c r="J1005" s="49">
        <f t="shared" si="2"/>
        <v>0</v>
      </c>
      <c r="K1005" s="49">
        <f t="shared" si="3"/>
        <v>6</v>
      </c>
      <c r="L1005" s="49" t="b">
        <f t="shared" si="4"/>
        <v>0</v>
      </c>
      <c r="M1005" s="88">
        <f t="shared" si="5"/>
        <v>0</v>
      </c>
    </row>
    <row r="1006" ht="14.25" customHeight="1">
      <c r="A1006" s="49" t="s">
        <v>3516</v>
      </c>
      <c r="B1006" s="49" t="str">
        <f>IFERROR(__xludf.DUMMYFUNCTION("REGEXEXTRACT(A1006,""^cost\.(.*)\.[^.]+\.[^.]+$"")"),"tech.tailor.salamander_velour")</f>
        <v>tech.tailor.salamander_velour</v>
      </c>
      <c r="C1006" s="49" t="str">
        <f t="array" ref="C1006">_xlfn.XLOOKUP(
 B1006,
 tblTargets[TargetID],
 tblTargets[DisplayName],
 ""
)</f>
        <v>Tailor - Salamander Velour</v>
      </c>
      <c r="D1006" s="49" t="str">
        <f t="array" ref="D1006">_xlfn.XLOOKUP(
 B1006,
 tblTargets[TargetID],
 tblTargets[TargetType],
 ""
)</f>
        <v>TECH</v>
      </c>
      <c r="E1006" s="49" t="s">
        <v>119</v>
      </c>
      <c r="F1006" s="87">
        <f>IFERROR(__xludf.DUMMYFUNCTION("VALUE(REGEXEXTRACT(A1006,""([^.]+)$""))"),1.0)</f>
        <v>1</v>
      </c>
      <c r="G1006" s="49">
        <v>400.0</v>
      </c>
      <c r="H1006" s="26" t="b">
        <f>COUNTIFS(
 tblCostChecklist[RequirementID],A1006,
 tblCostChecklist[PlayerPaid],TRUE
)&gt;0</f>
        <v>0</v>
      </c>
      <c r="I1006" s="49">
        <f t="shared" si="1"/>
        <v>6</v>
      </c>
      <c r="J1006" s="49">
        <f t="shared" si="2"/>
        <v>0</v>
      </c>
      <c r="K1006" s="49">
        <f t="shared" si="3"/>
        <v>6</v>
      </c>
      <c r="L1006" s="49" t="b">
        <f t="shared" si="4"/>
        <v>0</v>
      </c>
      <c r="M1006" s="88">
        <f t="shared" si="5"/>
        <v>0</v>
      </c>
    </row>
    <row r="1007" ht="14.25" customHeight="1">
      <c r="A1007" s="49" t="s">
        <v>3517</v>
      </c>
      <c r="B1007" s="49" t="str">
        <f>IFERROR(__xludf.DUMMYFUNCTION("REGEXEXTRACT(A1007,""^cost\.(.*)\.[^.]+\.[^.]+$"")"),"tech.tailor.salamander_velour")</f>
        <v>tech.tailor.salamander_velour</v>
      </c>
      <c r="C1007" s="49" t="str">
        <f t="array" ref="C1007">_xlfn.XLOOKUP(
 B1007,
 tblTargets[TargetID],
 tblTargets[DisplayName],
 ""
)</f>
        <v>Tailor - Salamander Velour</v>
      </c>
      <c r="D1007" s="49" t="str">
        <f t="array" ref="D1007">_xlfn.XLOOKUP(
 B1007,
 tblTargets[TargetID],
 tblTargets[TargetType],
 ""
)</f>
        <v>TECH</v>
      </c>
      <c r="E1007" s="49" t="s">
        <v>2339</v>
      </c>
      <c r="F1007" s="87">
        <f>IFERROR(__xludf.DUMMYFUNCTION("VALUE(REGEXEXTRACT(A1007,""([^.]+)$""))"),1.0)</f>
        <v>1</v>
      </c>
      <c r="G1007" s="49">
        <v>10.0</v>
      </c>
      <c r="H1007" s="26" t="b">
        <f>COUNTIFS(
 tblCostChecklist[RequirementID],A1007,
 tblCostChecklist[PlayerPaid],TRUE
)&gt;0</f>
        <v>0</v>
      </c>
      <c r="I1007" s="49">
        <f t="shared" si="1"/>
        <v>6</v>
      </c>
      <c r="J1007" s="49">
        <f t="shared" si="2"/>
        <v>0</v>
      </c>
      <c r="K1007" s="49">
        <f t="shared" si="3"/>
        <v>6</v>
      </c>
      <c r="L1007" s="49" t="b">
        <f t="shared" si="4"/>
        <v>0</v>
      </c>
      <c r="M1007" s="88">
        <f t="shared" si="5"/>
        <v>0</v>
      </c>
    </row>
    <row r="1008" ht="14.25" customHeight="1">
      <c r="A1008" s="49" t="s">
        <v>3518</v>
      </c>
      <c r="B1008" s="49" t="str">
        <f>IFERROR(__xludf.DUMMYFUNCTION("REGEXEXTRACT(A1008,""^cost\.(.*)\.[^.]+\.[^.]+$"")"),"tech.tailor.salamander_velour")</f>
        <v>tech.tailor.salamander_velour</v>
      </c>
      <c r="C1008" s="49" t="str">
        <f t="array" ref="C1008">_xlfn.XLOOKUP(
 B1008,
 tblTargets[TargetID],
 tblTargets[DisplayName],
 ""
)</f>
        <v>Tailor - Salamander Velour</v>
      </c>
      <c r="D1008" s="49" t="str">
        <f t="array" ref="D1008">_xlfn.XLOOKUP(
 B1008,
 tblTargets[TargetID],
 tblTargets[TargetType],
 ""
)</f>
        <v>TECH</v>
      </c>
      <c r="E1008" s="49" t="s">
        <v>530</v>
      </c>
      <c r="F1008" s="87">
        <f>IFERROR(__xludf.DUMMYFUNCTION("VALUE(REGEXEXTRACT(A1008,""([^.]+)$""))"),1.0)</f>
        <v>1</v>
      </c>
      <c r="G1008" s="49">
        <v>15.0</v>
      </c>
      <c r="H1008" s="26" t="b">
        <f>COUNTIFS(
 tblCostChecklist[RequirementID],A1008,
 tblCostChecklist[PlayerPaid],TRUE
)&gt;0</f>
        <v>0</v>
      </c>
      <c r="I1008" s="49">
        <f t="shared" si="1"/>
        <v>6</v>
      </c>
      <c r="J1008" s="49">
        <f t="shared" si="2"/>
        <v>0</v>
      </c>
      <c r="K1008" s="49">
        <f t="shared" si="3"/>
        <v>6</v>
      </c>
      <c r="L1008" s="49" t="b">
        <f t="shared" si="4"/>
        <v>0</v>
      </c>
      <c r="M1008" s="88">
        <f t="shared" si="5"/>
        <v>0</v>
      </c>
    </row>
    <row r="1009" ht="14.25" customHeight="1">
      <c r="A1009" s="49" t="s">
        <v>3519</v>
      </c>
      <c r="B1009" s="49" t="str">
        <f>IFERROR(__xludf.DUMMYFUNCTION("REGEXEXTRACT(A1009,""^cost\.(.*)\.[^.]+\.[^.]+$"")"),"tech.tailor.salamander_velour")</f>
        <v>tech.tailor.salamander_velour</v>
      </c>
      <c r="C1009" s="49" t="str">
        <f t="array" ref="C1009">_xlfn.XLOOKUP(
 B1009,
 tblTargets[TargetID],
 tblTargets[DisplayName],
 ""
)</f>
        <v>Tailor - Salamander Velour</v>
      </c>
      <c r="D1009" s="49" t="str">
        <f t="array" ref="D1009">_xlfn.XLOOKUP(
 B1009,
 tblTargets[TargetID],
 tblTargets[TargetType],
 ""
)</f>
        <v>TECH</v>
      </c>
      <c r="E1009" s="49" t="s">
        <v>2302</v>
      </c>
      <c r="F1009" s="87">
        <f>IFERROR(__xludf.DUMMYFUNCTION("VALUE(REGEXEXTRACT(A1009,""([^.]+)$""))"),1.0)</f>
        <v>1</v>
      </c>
      <c r="G1009" s="49">
        <v>6.0</v>
      </c>
      <c r="H1009" s="26" t="b">
        <f>COUNTIFS(
 tblCostChecklist[RequirementID],A1009,
 tblCostChecklist[PlayerPaid],TRUE
)&gt;0</f>
        <v>0</v>
      </c>
      <c r="I1009" s="49">
        <f t="shared" si="1"/>
        <v>6</v>
      </c>
      <c r="J1009" s="49">
        <f t="shared" si="2"/>
        <v>0</v>
      </c>
      <c r="K1009" s="49">
        <f t="shared" si="3"/>
        <v>6</v>
      </c>
      <c r="L1009" s="49" t="b">
        <f t="shared" si="4"/>
        <v>0</v>
      </c>
      <c r="M1009" s="88">
        <f t="shared" si="5"/>
        <v>0</v>
      </c>
    </row>
    <row r="1010" ht="14.25" customHeight="1">
      <c r="A1010" s="49" t="s">
        <v>3520</v>
      </c>
      <c r="B1010" s="49" t="str">
        <f>IFERROR(__xludf.DUMMYFUNCTION("REGEXEXTRACT(A1010,""^cost\.(.*)\.[^.]+\.[^.]+$"")"),"tech.tailor.salamander_velour")</f>
        <v>tech.tailor.salamander_velour</v>
      </c>
      <c r="C1010" s="49" t="str">
        <f t="array" ref="C1010">_xlfn.XLOOKUP(
 B1010,
 tblTargets[TargetID],
 tblTargets[DisplayName],
 ""
)</f>
        <v>Tailor - Salamander Velour</v>
      </c>
      <c r="D1010" s="49" t="str">
        <f t="array" ref="D1010">_xlfn.XLOOKUP(
 B1010,
 tblTargets[TargetID],
 tblTargets[TargetType],
 ""
)</f>
        <v>TECH</v>
      </c>
      <c r="E1010" s="49" t="s">
        <v>1456</v>
      </c>
      <c r="F1010" s="87">
        <f>IFERROR(__xludf.DUMMYFUNCTION("VALUE(REGEXEXTRACT(A1010,""([^.]+)$""))"),1.0)</f>
        <v>1</v>
      </c>
      <c r="G1010" s="49">
        <v>15.0</v>
      </c>
      <c r="H1010" s="26" t="b">
        <f>COUNTIFS(
 tblCostChecklist[RequirementID],A1010,
 tblCostChecklist[PlayerPaid],TRUE
)&gt;0</f>
        <v>0</v>
      </c>
      <c r="I1010" s="49">
        <f t="shared" si="1"/>
        <v>6</v>
      </c>
      <c r="J1010" s="49">
        <f t="shared" si="2"/>
        <v>0</v>
      </c>
      <c r="K1010" s="49">
        <f t="shared" si="3"/>
        <v>6</v>
      </c>
      <c r="L1010" s="49" t="b">
        <f t="shared" si="4"/>
        <v>0</v>
      </c>
      <c r="M1010" s="88">
        <f t="shared" si="5"/>
        <v>0</v>
      </c>
    </row>
    <row r="1011" ht="14.25" customHeight="1">
      <c r="A1011" s="49" t="s">
        <v>3521</v>
      </c>
      <c r="B1011" s="49" t="str">
        <f>IFERROR(__xludf.DUMMYFUNCTION("REGEXEXTRACT(A1011,""^cost\.(.*)\.[^.]+\.[^.]+$"")"),"tech.tailor.salamander_velour")</f>
        <v>tech.tailor.salamander_velour</v>
      </c>
      <c r="C1011" s="49" t="str">
        <f t="array" ref="C1011">_xlfn.XLOOKUP(
 B1011,
 tblTargets[TargetID],
 tblTargets[DisplayName],
 ""
)</f>
        <v>Tailor - Salamander Velour</v>
      </c>
      <c r="D1011" s="49" t="str">
        <f t="array" ref="D1011">_xlfn.XLOOKUP(
 B1011,
 tblTargets[TargetID],
 tblTargets[TargetType],
 ""
)</f>
        <v>TECH</v>
      </c>
      <c r="E1011" s="49" t="s">
        <v>6</v>
      </c>
      <c r="F1011" s="87">
        <f>IFERROR(__xludf.DUMMYFUNCTION("VALUE(REGEXEXTRACT(A1011,""([^.]+)$""))"),1.0)</f>
        <v>1</v>
      </c>
      <c r="G1011" s="49">
        <v>3.0</v>
      </c>
      <c r="H1011" s="26" t="b">
        <f>COUNTIFS(
 tblCostChecklist[RequirementID],A1011,
 tblCostChecklist[PlayerPaid],TRUE
)&gt;0</f>
        <v>0</v>
      </c>
      <c r="I1011" s="49">
        <f t="shared" si="1"/>
        <v>6</v>
      </c>
      <c r="J1011" s="49">
        <f t="shared" si="2"/>
        <v>0</v>
      </c>
      <c r="K1011" s="49">
        <f t="shared" si="3"/>
        <v>6</v>
      </c>
      <c r="L1011" s="49" t="b">
        <f t="shared" si="4"/>
        <v>0</v>
      </c>
      <c r="M1011" s="88">
        <f t="shared" si="5"/>
        <v>0</v>
      </c>
    </row>
    <row r="1012" ht="14.25" customHeight="1">
      <c r="A1012" s="49" t="s">
        <v>3522</v>
      </c>
      <c r="B1012" s="49" t="str">
        <f>IFERROR(__xludf.DUMMYFUNCTION("REGEXEXTRACT(A1012,""^cost\.(.*)\.[^.]+\.[^.]+$"")"),"tech.tailor.armor_for_a_hero_lvl_1")</f>
        <v>tech.tailor.armor_for_a_hero_lvl_1</v>
      </c>
      <c r="C1012" s="49" t="str">
        <f t="array" ref="C1012">_xlfn.XLOOKUP(
 B1012,
 tblTargets[TargetID],
 tblTargets[DisplayName],
 ""
)</f>
        <v>Tailor - Armor For A Hero Lvl 1</v>
      </c>
      <c r="D1012" s="49" t="str">
        <f t="array" ref="D1012">_xlfn.XLOOKUP(
 B1012,
 tblTargets[TargetID],
 tblTargets[TargetType],
 ""
)</f>
        <v>TECH</v>
      </c>
      <c r="E1012" s="49" t="s">
        <v>119</v>
      </c>
      <c r="F1012" s="87">
        <f>IFERROR(__xludf.DUMMYFUNCTION("VALUE(REGEXEXTRACT(A1012,""([^.]+)$""))"),1.0)</f>
        <v>1</v>
      </c>
      <c r="G1012" s="49">
        <v>500.0</v>
      </c>
      <c r="H1012" s="26" t="b">
        <f>COUNTIFS(
 tblCostChecklist[RequirementID],A1012,
 tblCostChecklist[PlayerPaid],TRUE
)&gt;0</f>
        <v>0</v>
      </c>
      <c r="I1012" s="49">
        <f t="shared" si="1"/>
        <v>6</v>
      </c>
      <c r="J1012" s="49">
        <f t="shared" si="2"/>
        <v>0</v>
      </c>
      <c r="K1012" s="49">
        <f t="shared" si="3"/>
        <v>6</v>
      </c>
      <c r="L1012" s="49" t="b">
        <f t="shared" si="4"/>
        <v>0</v>
      </c>
      <c r="M1012" s="88">
        <f t="shared" si="5"/>
        <v>0</v>
      </c>
    </row>
    <row r="1013" ht="14.25" customHeight="1">
      <c r="A1013" s="49" t="s">
        <v>3523</v>
      </c>
      <c r="B1013" s="49" t="str">
        <f>IFERROR(__xludf.DUMMYFUNCTION("REGEXEXTRACT(A1013,""^cost\.(.*)\.[^.]+\.[^.]+$"")"),"tech.tailor.armor_for_a_hero_lvl_1")</f>
        <v>tech.tailor.armor_for_a_hero_lvl_1</v>
      </c>
      <c r="C1013" s="49" t="str">
        <f t="array" ref="C1013">_xlfn.XLOOKUP(
 B1013,
 tblTargets[TargetID],
 tblTargets[DisplayName],
 ""
)</f>
        <v>Tailor - Armor For A Hero Lvl 1</v>
      </c>
      <c r="D1013" s="49" t="str">
        <f t="array" ref="D1013">_xlfn.XLOOKUP(
 B1013,
 tblTargets[TargetID],
 tblTargets[TargetType],
 ""
)</f>
        <v>TECH</v>
      </c>
      <c r="E1013" s="49" t="s">
        <v>126</v>
      </c>
      <c r="F1013" s="87">
        <f>IFERROR(__xludf.DUMMYFUNCTION("VALUE(REGEXEXTRACT(A1013,""([^.]+)$""))"),1.0)</f>
        <v>1</v>
      </c>
      <c r="G1013" s="49">
        <v>50.0</v>
      </c>
      <c r="H1013" s="26" t="b">
        <f>COUNTIFS(
 tblCostChecklist[RequirementID],A1013,
 tblCostChecklist[PlayerPaid],TRUE
)&gt;0</f>
        <v>0</v>
      </c>
      <c r="I1013" s="49">
        <f t="shared" si="1"/>
        <v>6</v>
      </c>
      <c r="J1013" s="49">
        <f t="shared" si="2"/>
        <v>0</v>
      </c>
      <c r="K1013" s="49">
        <f t="shared" si="3"/>
        <v>6</v>
      </c>
      <c r="L1013" s="49" t="b">
        <f t="shared" si="4"/>
        <v>0</v>
      </c>
      <c r="M1013" s="88">
        <f t="shared" si="5"/>
        <v>0</v>
      </c>
    </row>
    <row r="1014" ht="14.25" customHeight="1">
      <c r="A1014" s="49" t="s">
        <v>3526</v>
      </c>
      <c r="B1014" s="49" t="str">
        <f>IFERROR(__xludf.DUMMYFUNCTION("REGEXEXTRACT(A1014,""^cost\.(.*)\.[^.]+\.[^.]+$"")"),"tech.tailor.armor_for_a_hero_lvl_1")</f>
        <v>tech.tailor.armor_for_a_hero_lvl_1</v>
      </c>
      <c r="C1014" s="49" t="str">
        <f t="array" ref="C1014">_xlfn.XLOOKUP(
 B1014,
 tblTargets[TargetID],
 tblTargets[DisplayName],
 ""
)</f>
        <v>Tailor - Armor For A Hero Lvl 1</v>
      </c>
      <c r="D1014" s="49" t="str">
        <f t="array" ref="D1014">_xlfn.XLOOKUP(
 B1014,
 tblTargets[TargetID],
 tblTargets[TargetType],
 ""
)</f>
        <v>TECH</v>
      </c>
      <c r="E1014" s="49" t="s">
        <v>132</v>
      </c>
      <c r="F1014" s="87">
        <f>IFERROR(__xludf.DUMMYFUNCTION("VALUE(REGEXEXTRACT(A1014,""([^.]+)$""))"),1.0)</f>
        <v>1</v>
      </c>
      <c r="G1014" s="49">
        <v>30.0</v>
      </c>
      <c r="H1014" s="26" t="b">
        <f>COUNTIFS(
 tblCostChecklist[RequirementID],A1014,
 tblCostChecklist[PlayerPaid],TRUE
)&gt;0</f>
        <v>0</v>
      </c>
      <c r="I1014" s="49">
        <f t="shared" si="1"/>
        <v>6</v>
      </c>
      <c r="J1014" s="49">
        <f t="shared" si="2"/>
        <v>0</v>
      </c>
      <c r="K1014" s="49">
        <f t="shared" si="3"/>
        <v>6</v>
      </c>
      <c r="L1014" s="49" t="b">
        <f t="shared" si="4"/>
        <v>0</v>
      </c>
      <c r="M1014" s="88">
        <f t="shared" si="5"/>
        <v>0</v>
      </c>
    </row>
    <row r="1015" ht="14.25" customHeight="1">
      <c r="A1015" s="49" t="s">
        <v>3530</v>
      </c>
      <c r="B1015" s="49" t="str">
        <f>IFERROR(__xludf.DUMMYFUNCTION("REGEXEXTRACT(A1015,""^cost\.(.*)\.[^.]+\.[^.]+$"")"),"tech.tailor.armor_for_a_hero_lvl_1")</f>
        <v>tech.tailor.armor_for_a_hero_lvl_1</v>
      </c>
      <c r="C1015" s="49" t="str">
        <f t="array" ref="C1015">_xlfn.XLOOKUP(
 B1015,
 tblTargets[TargetID],
 tblTargets[DisplayName],
 ""
)</f>
        <v>Tailor - Armor For A Hero Lvl 1</v>
      </c>
      <c r="D1015" s="49" t="str">
        <f t="array" ref="D1015">_xlfn.XLOOKUP(
 B1015,
 tblTargets[TargetID],
 tblTargets[TargetType],
 ""
)</f>
        <v>TECH</v>
      </c>
      <c r="E1015" s="49" t="s">
        <v>6</v>
      </c>
      <c r="F1015" s="87">
        <f>IFERROR(__xludf.DUMMYFUNCTION("VALUE(REGEXEXTRACT(A1015,""([^.]+)$""))"),1.0)</f>
        <v>1</v>
      </c>
      <c r="G1015" s="49">
        <v>3.0</v>
      </c>
      <c r="H1015" s="26" t="b">
        <f>COUNTIFS(
 tblCostChecklist[RequirementID],A1015,
 tblCostChecklist[PlayerPaid],TRUE
)&gt;0</f>
        <v>0</v>
      </c>
      <c r="I1015" s="49">
        <f t="shared" si="1"/>
        <v>6</v>
      </c>
      <c r="J1015" s="49">
        <f t="shared" si="2"/>
        <v>0</v>
      </c>
      <c r="K1015" s="49">
        <f t="shared" si="3"/>
        <v>6</v>
      </c>
      <c r="L1015" s="49" t="b">
        <f t="shared" si="4"/>
        <v>0</v>
      </c>
      <c r="M1015" s="88">
        <f t="shared" si="5"/>
        <v>0</v>
      </c>
    </row>
    <row r="1016" ht="14.25" customHeight="1">
      <c r="A1016" s="49" t="s">
        <v>3535</v>
      </c>
      <c r="B1016" s="49" t="str">
        <f>IFERROR(__xludf.DUMMYFUNCTION("REGEXEXTRACT(A1016,""^cost\.(.*)\.[^.]+\.[^.]+$"")"),"tech.tailor.armor_for_a_hero_lvl_1")</f>
        <v>tech.tailor.armor_for_a_hero_lvl_1</v>
      </c>
      <c r="C1016" s="49" t="str">
        <f t="array" ref="C1016">_xlfn.XLOOKUP(
 B1016,
 tblTargets[TargetID],
 tblTargets[DisplayName],
 ""
)</f>
        <v>Tailor - Armor For A Hero Lvl 1</v>
      </c>
      <c r="D1016" s="49" t="str">
        <f t="array" ref="D1016">_xlfn.XLOOKUP(
 B1016,
 tblTargets[TargetID],
 tblTargets[TargetType],
 ""
)</f>
        <v>TECH</v>
      </c>
      <c r="E1016" s="49" t="s">
        <v>152</v>
      </c>
      <c r="F1016" s="87">
        <f>IFERROR(__xludf.DUMMYFUNCTION("VALUE(REGEXEXTRACT(A1016,""([^.]+)$""))"),1.0)</f>
        <v>1</v>
      </c>
      <c r="G1016" s="49">
        <v>10.0</v>
      </c>
      <c r="H1016" s="26" t="b">
        <f>COUNTIFS(
 tblCostChecklist[RequirementID],A1016,
 tblCostChecklist[PlayerPaid],TRUE
)&gt;0</f>
        <v>0</v>
      </c>
      <c r="I1016" s="49">
        <f t="shared" si="1"/>
        <v>6</v>
      </c>
      <c r="J1016" s="49">
        <f t="shared" si="2"/>
        <v>0</v>
      </c>
      <c r="K1016" s="49">
        <f t="shared" si="3"/>
        <v>6</v>
      </c>
      <c r="L1016" s="49" t="b">
        <f t="shared" si="4"/>
        <v>0</v>
      </c>
      <c r="M1016" s="88">
        <f t="shared" si="5"/>
        <v>0</v>
      </c>
    </row>
    <row r="1017" ht="14.25" customHeight="1">
      <c r="A1017" s="49" t="s">
        <v>3539</v>
      </c>
      <c r="B1017" s="49" t="str">
        <f>IFERROR(__xludf.DUMMYFUNCTION("REGEXEXTRACT(A1017,""^cost\.(.*)\.[^.]+\.[^.]+$"")"),"tech.tailor.armor_for_a_hero_lvl_1")</f>
        <v>tech.tailor.armor_for_a_hero_lvl_1</v>
      </c>
      <c r="C1017" s="49" t="str">
        <f t="array" ref="C1017">_xlfn.XLOOKUP(
 B1017,
 tblTargets[TargetID],
 tblTargets[DisplayName],
 ""
)</f>
        <v>Tailor - Armor For A Hero Lvl 1</v>
      </c>
      <c r="D1017" s="49" t="str">
        <f t="array" ref="D1017">_xlfn.XLOOKUP(
 B1017,
 tblTargets[TargetID],
 tblTargets[TargetType],
 ""
)</f>
        <v>TECH</v>
      </c>
      <c r="E1017" s="49" t="s">
        <v>158</v>
      </c>
      <c r="F1017" s="87">
        <f>IFERROR(__xludf.DUMMYFUNCTION("VALUE(REGEXEXTRACT(A1017,""([^.]+)$""))"),1.0)</f>
        <v>1</v>
      </c>
      <c r="G1017" s="49">
        <v>5.0</v>
      </c>
      <c r="H1017" s="26" t="b">
        <f>COUNTIFS(
 tblCostChecklist[RequirementID],A1017,
 tblCostChecklist[PlayerPaid],TRUE
)&gt;0</f>
        <v>0</v>
      </c>
      <c r="I1017" s="49">
        <f t="shared" si="1"/>
        <v>6</v>
      </c>
      <c r="J1017" s="49">
        <f t="shared" si="2"/>
        <v>0</v>
      </c>
      <c r="K1017" s="49">
        <f t="shared" si="3"/>
        <v>6</v>
      </c>
      <c r="L1017" s="49" t="b">
        <f t="shared" si="4"/>
        <v>0</v>
      </c>
      <c r="M1017" s="88">
        <f t="shared" si="5"/>
        <v>0</v>
      </c>
    </row>
    <row r="1018" ht="14.25" customHeight="1">
      <c r="A1018" s="49" t="s">
        <v>3543</v>
      </c>
      <c r="B1018" s="49" t="str">
        <f>IFERROR(__xludf.DUMMYFUNCTION("REGEXEXTRACT(A1018,""^cost\.(.*)\.[^.]+\.[^.]+$"")"),"tech.tailor.armor_for_a_hero_lvl_2")</f>
        <v>tech.tailor.armor_for_a_hero_lvl_2</v>
      </c>
      <c r="C1018" s="49" t="str">
        <f t="array" ref="C1018">_xlfn.XLOOKUP(
 B1018,
 tblTargets[TargetID],
 tblTargets[DisplayName],
 ""
)</f>
        <v>Tailor - Armor For A Hero Lvl 2</v>
      </c>
      <c r="D1018" s="49" t="str">
        <f t="array" ref="D1018">_xlfn.XLOOKUP(
 B1018,
 tblTargets[TargetID],
 tblTargets[TargetType],
 ""
)</f>
        <v>TECH</v>
      </c>
      <c r="E1018" s="49" t="s">
        <v>1055</v>
      </c>
      <c r="F1018" s="87">
        <f>IFERROR(__xludf.DUMMYFUNCTION("VALUE(REGEXEXTRACT(A1018,""([^.]+)$""))"),1.0)</f>
        <v>1</v>
      </c>
      <c r="G1018" s="49">
        <v>20.0</v>
      </c>
      <c r="H1018" s="26" t="b">
        <f>COUNTIFS(
 tblCostChecklist[RequirementID],A1018,
 tblCostChecklist[PlayerPaid],TRUE
)&gt;0</f>
        <v>0</v>
      </c>
      <c r="I1018" s="49">
        <f t="shared" si="1"/>
        <v>6</v>
      </c>
      <c r="J1018" s="49">
        <f t="shared" si="2"/>
        <v>0</v>
      </c>
      <c r="K1018" s="49">
        <f t="shared" si="3"/>
        <v>6</v>
      </c>
      <c r="L1018" s="49" t="b">
        <f t="shared" si="4"/>
        <v>0</v>
      </c>
      <c r="M1018" s="88">
        <f t="shared" si="5"/>
        <v>0</v>
      </c>
    </row>
    <row r="1019" ht="14.25" customHeight="1">
      <c r="A1019" s="49" t="s">
        <v>3547</v>
      </c>
      <c r="B1019" s="49" t="str">
        <f>IFERROR(__xludf.DUMMYFUNCTION("REGEXEXTRACT(A1019,""^cost\.(.*)\.[^.]+\.[^.]+$"")"),"tech.tailor.armor_for_a_hero_lvl_2")</f>
        <v>tech.tailor.armor_for_a_hero_lvl_2</v>
      </c>
      <c r="C1019" s="49" t="str">
        <f t="array" ref="C1019">_xlfn.XLOOKUP(
 B1019,
 tblTargets[TargetID],
 tblTargets[DisplayName],
 ""
)</f>
        <v>Tailor - Armor For A Hero Lvl 2</v>
      </c>
      <c r="D1019" s="49" t="str">
        <f t="array" ref="D1019">_xlfn.XLOOKUP(
 B1019,
 tblTargets[TargetID],
 tblTargets[TargetType],
 ""
)</f>
        <v>TECH</v>
      </c>
      <c r="E1019" s="49" t="s">
        <v>119</v>
      </c>
      <c r="F1019" s="87">
        <f>IFERROR(__xludf.DUMMYFUNCTION("VALUE(REGEXEXTRACT(A1019,""([^.]+)$""))"),1.0)</f>
        <v>1</v>
      </c>
      <c r="G1019" s="49">
        <v>1000.0</v>
      </c>
      <c r="H1019" s="26" t="b">
        <f>COUNTIFS(
 tblCostChecklist[RequirementID],A1019,
 tblCostChecklist[PlayerPaid],TRUE
)&gt;0</f>
        <v>0</v>
      </c>
      <c r="I1019" s="49">
        <f t="shared" si="1"/>
        <v>6</v>
      </c>
      <c r="J1019" s="49">
        <f t="shared" si="2"/>
        <v>0</v>
      </c>
      <c r="K1019" s="49">
        <f t="shared" si="3"/>
        <v>6</v>
      </c>
      <c r="L1019" s="49" t="b">
        <f t="shared" si="4"/>
        <v>0</v>
      </c>
      <c r="M1019" s="88">
        <f t="shared" si="5"/>
        <v>0</v>
      </c>
    </row>
    <row r="1020" ht="14.25" customHeight="1">
      <c r="A1020" s="49" t="s">
        <v>3551</v>
      </c>
      <c r="B1020" s="49" t="str">
        <f>IFERROR(__xludf.DUMMYFUNCTION("REGEXEXTRACT(A1020,""^cost\.(.*)\.[^.]+\.[^.]+$"")"),"tech.tailor.armor_for_a_hero_lvl_2")</f>
        <v>tech.tailor.armor_for_a_hero_lvl_2</v>
      </c>
      <c r="C1020" s="49" t="str">
        <f t="array" ref="C1020">_xlfn.XLOOKUP(
 B1020,
 tblTargets[TargetID],
 tblTargets[DisplayName],
 ""
)</f>
        <v>Tailor - Armor For A Hero Lvl 2</v>
      </c>
      <c r="D1020" s="49" t="str">
        <f t="array" ref="D1020">_xlfn.XLOOKUP(
 B1020,
 tblTargets[TargetID],
 tblTargets[TargetType],
 ""
)</f>
        <v>TECH</v>
      </c>
      <c r="E1020" s="49" t="s">
        <v>2135</v>
      </c>
      <c r="F1020" s="87">
        <f>IFERROR(__xludf.DUMMYFUNCTION("VALUE(REGEXEXTRACT(A1020,""([^.]+)$""))"),1.0)</f>
        <v>1</v>
      </c>
      <c r="G1020" s="49">
        <v>50.0</v>
      </c>
      <c r="H1020" s="26" t="b">
        <f>COUNTIFS(
 tblCostChecklist[RequirementID],A1020,
 tblCostChecklist[PlayerPaid],TRUE
)&gt;0</f>
        <v>0</v>
      </c>
      <c r="I1020" s="49">
        <f t="shared" si="1"/>
        <v>6</v>
      </c>
      <c r="J1020" s="49">
        <f t="shared" si="2"/>
        <v>0</v>
      </c>
      <c r="K1020" s="49">
        <f t="shared" si="3"/>
        <v>6</v>
      </c>
      <c r="L1020" s="49" t="b">
        <f t="shared" si="4"/>
        <v>0</v>
      </c>
      <c r="M1020" s="88">
        <f t="shared" si="5"/>
        <v>0</v>
      </c>
    </row>
    <row r="1021" ht="14.25" customHeight="1">
      <c r="A1021" s="49" t="s">
        <v>3557</v>
      </c>
      <c r="B1021" s="49" t="str">
        <f>IFERROR(__xludf.DUMMYFUNCTION("REGEXEXTRACT(A1021,""^cost\.(.*)\.[^.]+\.[^.]+$"")"),"tech.tailor.armor_for_a_hero_lvl_2")</f>
        <v>tech.tailor.armor_for_a_hero_lvl_2</v>
      </c>
      <c r="C1021" s="49" t="str">
        <f t="array" ref="C1021">_xlfn.XLOOKUP(
 B1021,
 tblTargets[TargetID],
 tblTargets[DisplayName],
 ""
)</f>
        <v>Tailor - Armor For A Hero Lvl 2</v>
      </c>
      <c r="D1021" s="49" t="str">
        <f t="array" ref="D1021">_xlfn.XLOOKUP(
 B1021,
 tblTargets[TargetID],
 tblTargets[TargetType],
 ""
)</f>
        <v>TECH</v>
      </c>
      <c r="E1021" s="49" t="s">
        <v>6</v>
      </c>
      <c r="F1021" s="87">
        <f>IFERROR(__xludf.DUMMYFUNCTION("VALUE(REGEXEXTRACT(A1021,""([^.]+)$""))"),1.0)</f>
        <v>1</v>
      </c>
      <c r="G1021" s="49">
        <v>5.0</v>
      </c>
      <c r="H1021" s="26" t="b">
        <f>COUNTIFS(
 tblCostChecklist[RequirementID],A1021,
 tblCostChecklist[PlayerPaid],TRUE
)&gt;0</f>
        <v>0</v>
      </c>
      <c r="I1021" s="49">
        <f t="shared" si="1"/>
        <v>6</v>
      </c>
      <c r="J1021" s="49">
        <f t="shared" si="2"/>
        <v>0</v>
      </c>
      <c r="K1021" s="49">
        <f t="shared" si="3"/>
        <v>6</v>
      </c>
      <c r="L1021" s="49" t="b">
        <f t="shared" si="4"/>
        <v>0</v>
      </c>
      <c r="M1021" s="88">
        <f t="shared" si="5"/>
        <v>0</v>
      </c>
    </row>
    <row r="1022" ht="14.25" customHeight="1">
      <c r="A1022" s="49" t="s">
        <v>3561</v>
      </c>
      <c r="B1022" s="49" t="str">
        <f>IFERROR(__xludf.DUMMYFUNCTION("REGEXEXTRACT(A1022,""^cost\.(.*)\.[^.]+\.[^.]+$"")"),"tech.tailor.armor_for_a_hero_lvl_2")</f>
        <v>tech.tailor.armor_for_a_hero_lvl_2</v>
      </c>
      <c r="C1022" s="49" t="str">
        <f t="array" ref="C1022">_xlfn.XLOOKUP(
 B1022,
 tblTargets[TargetID],
 tblTargets[DisplayName],
 ""
)</f>
        <v>Tailor - Armor For A Hero Lvl 2</v>
      </c>
      <c r="D1022" s="49" t="str">
        <f t="array" ref="D1022">_xlfn.XLOOKUP(
 B1022,
 tblTargets[TargetID],
 tblTargets[TargetType],
 ""
)</f>
        <v>TECH</v>
      </c>
      <c r="E1022" s="49" t="s">
        <v>152</v>
      </c>
      <c r="F1022" s="87">
        <f>IFERROR(__xludf.DUMMYFUNCTION("VALUE(REGEXEXTRACT(A1022,""([^.]+)$""))"),1.0)</f>
        <v>1</v>
      </c>
      <c r="G1022" s="49">
        <v>20.0</v>
      </c>
      <c r="H1022" s="26" t="b">
        <f>COUNTIFS(
 tblCostChecklist[RequirementID],A1022,
 tblCostChecklist[PlayerPaid],TRUE
)&gt;0</f>
        <v>0</v>
      </c>
      <c r="I1022" s="49">
        <f t="shared" si="1"/>
        <v>6</v>
      </c>
      <c r="J1022" s="49">
        <f t="shared" si="2"/>
        <v>0</v>
      </c>
      <c r="K1022" s="49">
        <f t="shared" si="3"/>
        <v>6</v>
      </c>
      <c r="L1022" s="49" t="b">
        <f t="shared" si="4"/>
        <v>0</v>
      </c>
      <c r="M1022" s="88">
        <f t="shared" si="5"/>
        <v>0</v>
      </c>
    </row>
    <row r="1023" ht="14.25" customHeight="1">
      <c r="A1023" s="49" t="s">
        <v>3567</v>
      </c>
      <c r="B1023" s="49" t="str">
        <f>IFERROR(__xludf.DUMMYFUNCTION("REGEXEXTRACT(A1023,""^cost\.(.*)\.[^.]+\.[^.]+$"")"),"tech.tailor.armor_for_a_hero_lvl_2")</f>
        <v>tech.tailor.armor_for_a_hero_lvl_2</v>
      </c>
      <c r="C1023" s="49" t="str">
        <f t="array" ref="C1023">_xlfn.XLOOKUP(
 B1023,
 tblTargets[TargetID],
 tblTargets[DisplayName],
 ""
)</f>
        <v>Tailor - Armor For A Hero Lvl 2</v>
      </c>
      <c r="D1023" s="49" t="str">
        <f t="array" ref="D1023">_xlfn.XLOOKUP(
 B1023,
 tblTargets[TargetID],
 tblTargets[TargetType],
 ""
)</f>
        <v>TECH</v>
      </c>
      <c r="E1023" s="49" t="s">
        <v>158</v>
      </c>
      <c r="F1023" s="87">
        <f>IFERROR(__xludf.DUMMYFUNCTION("VALUE(REGEXEXTRACT(A1023,""([^.]+)$""))"),1.0)</f>
        <v>1</v>
      </c>
      <c r="G1023" s="49">
        <v>10.0</v>
      </c>
      <c r="H1023" s="26" t="b">
        <f>COUNTIFS(
 tblCostChecklist[RequirementID],A1023,
 tblCostChecklist[PlayerPaid],TRUE
)&gt;0</f>
        <v>0</v>
      </c>
      <c r="I1023" s="49">
        <f t="shared" si="1"/>
        <v>6</v>
      </c>
      <c r="J1023" s="49">
        <f t="shared" si="2"/>
        <v>0</v>
      </c>
      <c r="K1023" s="49">
        <f t="shared" si="3"/>
        <v>6</v>
      </c>
      <c r="L1023" s="49" t="b">
        <f t="shared" si="4"/>
        <v>0</v>
      </c>
      <c r="M1023" s="88">
        <f t="shared" si="5"/>
        <v>0</v>
      </c>
    </row>
    <row r="1024" ht="14.25" customHeight="1">
      <c r="A1024" s="49" t="s">
        <v>3572</v>
      </c>
      <c r="B1024" s="49" t="str">
        <f>IFERROR(__xludf.DUMMYFUNCTION("REGEXEXTRACT(A1024,""^cost\.(.*)\.[^.]+\.[^.]+$"")"),"tech.tailor.armor_for_a_hero_lvl_3")</f>
        <v>tech.tailor.armor_for_a_hero_lvl_3</v>
      </c>
      <c r="C1024" s="49" t="str">
        <f t="array" ref="C1024">_xlfn.XLOOKUP(
 B1024,
 tblTargets[TargetID],
 tblTargets[DisplayName],
 ""
)</f>
        <v>Tailor - Armor For A Hero Lvl 3</v>
      </c>
      <c r="D1024" s="49" t="str">
        <f t="array" ref="D1024">_xlfn.XLOOKUP(
 B1024,
 tblTargets[TargetID],
 tblTargets[TargetType],
 ""
)</f>
        <v>TECH</v>
      </c>
      <c r="E1024" s="49" t="s">
        <v>1055</v>
      </c>
      <c r="F1024" s="87">
        <f>IFERROR(__xludf.DUMMYFUNCTION("VALUE(REGEXEXTRACT(A1024,""([^.]+)$""))"),1.0)</f>
        <v>1</v>
      </c>
      <c r="G1024" s="49">
        <v>30.0</v>
      </c>
      <c r="H1024" s="26" t="b">
        <f>COUNTIFS(
 tblCostChecklist[RequirementID],A1024,
 tblCostChecklist[PlayerPaid],TRUE
)&gt;0</f>
        <v>0</v>
      </c>
      <c r="I1024" s="49">
        <f t="shared" si="1"/>
        <v>6</v>
      </c>
      <c r="J1024" s="49">
        <f t="shared" si="2"/>
        <v>0</v>
      </c>
      <c r="K1024" s="49">
        <f t="shared" si="3"/>
        <v>6</v>
      </c>
      <c r="L1024" s="49" t="b">
        <f t="shared" si="4"/>
        <v>0</v>
      </c>
      <c r="M1024" s="88">
        <f t="shared" si="5"/>
        <v>0</v>
      </c>
    </row>
    <row r="1025" ht="14.25" customHeight="1">
      <c r="A1025" s="49" t="s">
        <v>3576</v>
      </c>
      <c r="B1025" s="49" t="str">
        <f>IFERROR(__xludf.DUMMYFUNCTION("REGEXEXTRACT(A1025,""^cost\.(.*)\.[^.]+\.[^.]+$"")"),"tech.tailor.armor_for_a_hero_lvl_3")</f>
        <v>tech.tailor.armor_for_a_hero_lvl_3</v>
      </c>
      <c r="C1025" s="49" t="str">
        <f t="array" ref="C1025">_xlfn.XLOOKUP(
 B1025,
 tblTargets[TargetID],
 tblTargets[DisplayName],
 ""
)</f>
        <v>Tailor - Armor For A Hero Lvl 3</v>
      </c>
      <c r="D1025" s="49" t="str">
        <f t="array" ref="D1025">_xlfn.XLOOKUP(
 B1025,
 tblTargets[TargetID],
 tblTargets[TargetType],
 ""
)</f>
        <v>TECH</v>
      </c>
      <c r="E1025" s="49" t="s">
        <v>119</v>
      </c>
      <c r="F1025" s="87">
        <f>IFERROR(__xludf.DUMMYFUNCTION("VALUE(REGEXEXTRACT(A1025,""([^.]+)$""))"),1.0)</f>
        <v>1</v>
      </c>
      <c r="G1025" s="49">
        <v>1500.0</v>
      </c>
      <c r="H1025" s="26" t="b">
        <f>COUNTIFS(
 tblCostChecklist[RequirementID],A1025,
 tblCostChecklist[PlayerPaid],TRUE
)&gt;0</f>
        <v>0</v>
      </c>
      <c r="I1025" s="49">
        <f t="shared" si="1"/>
        <v>6</v>
      </c>
      <c r="J1025" s="49">
        <f t="shared" si="2"/>
        <v>0</v>
      </c>
      <c r="K1025" s="49">
        <f t="shared" si="3"/>
        <v>6</v>
      </c>
      <c r="L1025" s="49" t="b">
        <f t="shared" si="4"/>
        <v>0</v>
      </c>
      <c r="M1025" s="88">
        <f t="shared" si="5"/>
        <v>0</v>
      </c>
    </row>
    <row r="1026" ht="14.25" customHeight="1">
      <c r="A1026" s="49" t="s">
        <v>3580</v>
      </c>
      <c r="B1026" s="49" t="str">
        <f>IFERROR(__xludf.DUMMYFUNCTION("REGEXEXTRACT(A1026,""^cost\.(.*)\.[^.]+\.[^.]+$"")"),"tech.tailor.armor_for_a_hero_lvl_3")</f>
        <v>tech.tailor.armor_for_a_hero_lvl_3</v>
      </c>
      <c r="C1026" s="49" t="str">
        <f t="array" ref="C1026">_xlfn.XLOOKUP(
 B1026,
 tblTargets[TargetID],
 tblTargets[DisplayName],
 ""
)</f>
        <v>Tailor - Armor For A Hero Lvl 3</v>
      </c>
      <c r="D1026" s="49" t="str">
        <f t="array" ref="D1026">_xlfn.XLOOKUP(
 B1026,
 tblTargets[TargetID],
 tblTargets[TargetType],
 ""
)</f>
        <v>TECH</v>
      </c>
      <c r="E1026" s="49" t="s">
        <v>2135</v>
      </c>
      <c r="F1026" s="87">
        <f>IFERROR(__xludf.DUMMYFUNCTION("VALUE(REGEXEXTRACT(A1026,""([^.]+)$""))"),1.0)</f>
        <v>1</v>
      </c>
      <c r="G1026" s="49">
        <v>75.0</v>
      </c>
      <c r="H1026" s="26" t="b">
        <f>COUNTIFS(
 tblCostChecklist[RequirementID],A1026,
 tblCostChecklist[PlayerPaid],TRUE
)&gt;0</f>
        <v>0</v>
      </c>
      <c r="I1026" s="49">
        <f t="shared" si="1"/>
        <v>6</v>
      </c>
      <c r="J1026" s="49">
        <f t="shared" si="2"/>
        <v>0</v>
      </c>
      <c r="K1026" s="49">
        <f t="shared" si="3"/>
        <v>6</v>
      </c>
      <c r="L1026" s="49" t="b">
        <f t="shared" si="4"/>
        <v>0</v>
      </c>
      <c r="M1026" s="88">
        <f t="shared" si="5"/>
        <v>0</v>
      </c>
    </row>
    <row r="1027" ht="14.25" customHeight="1">
      <c r="A1027" s="49" t="s">
        <v>3585</v>
      </c>
      <c r="B1027" s="49" t="str">
        <f>IFERROR(__xludf.DUMMYFUNCTION("REGEXEXTRACT(A1027,""^cost\.(.*)\.[^.]+\.[^.]+$"")"),"tech.tailor.armor_for_a_hero_lvl_3")</f>
        <v>tech.tailor.armor_for_a_hero_lvl_3</v>
      </c>
      <c r="C1027" s="49" t="str">
        <f t="array" ref="C1027">_xlfn.XLOOKUP(
 B1027,
 tblTargets[TargetID],
 tblTargets[DisplayName],
 ""
)</f>
        <v>Tailor - Armor For A Hero Lvl 3</v>
      </c>
      <c r="D1027" s="49" t="str">
        <f t="array" ref="D1027">_xlfn.XLOOKUP(
 B1027,
 tblTargets[TargetID],
 tblTargets[TargetType],
 ""
)</f>
        <v>TECH</v>
      </c>
      <c r="E1027" s="49" t="s">
        <v>6</v>
      </c>
      <c r="F1027" s="87">
        <f>IFERROR(__xludf.DUMMYFUNCTION("VALUE(REGEXEXTRACT(A1027,""([^.]+)$""))"),1.0)</f>
        <v>1</v>
      </c>
      <c r="G1027" s="49">
        <v>7.0</v>
      </c>
      <c r="H1027" s="26" t="b">
        <f>COUNTIFS(
 tblCostChecklist[RequirementID],A1027,
 tblCostChecklist[PlayerPaid],TRUE
)&gt;0</f>
        <v>0</v>
      </c>
      <c r="I1027" s="49">
        <f t="shared" si="1"/>
        <v>6</v>
      </c>
      <c r="J1027" s="49">
        <f t="shared" si="2"/>
        <v>0</v>
      </c>
      <c r="K1027" s="49">
        <f t="shared" si="3"/>
        <v>6</v>
      </c>
      <c r="L1027" s="49" t="b">
        <f t="shared" si="4"/>
        <v>0</v>
      </c>
      <c r="M1027" s="88">
        <f t="shared" si="5"/>
        <v>0</v>
      </c>
    </row>
    <row r="1028" ht="14.25" customHeight="1">
      <c r="A1028" s="49" t="s">
        <v>3589</v>
      </c>
      <c r="B1028" s="49" t="str">
        <f>IFERROR(__xludf.DUMMYFUNCTION("REGEXEXTRACT(A1028,""^cost\.(.*)\.[^.]+\.[^.]+$"")"),"tech.tailor.armor_for_a_hero_lvl_3")</f>
        <v>tech.tailor.armor_for_a_hero_lvl_3</v>
      </c>
      <c r="C1028" s="49" t="str">
        <f t="array" ref="C1028">_xlfn.XLOOKUP(
 B1028,
 tblTargets[TargetID],
 tblTargets[DisplayName],
 ""
)</f>
        <v>Tailor - Armor For A Hero Lvl 3</v>
      </c>
      <c r="D1028" s="49" t="str">
        <f t="array" ref="D1028">_xlfn.XLOOKUP(
 B1028,
 tblTargets[TargetID],
 tblTargets[TargetType],
 ""
)</f>
        <v>TECH</v>
      </c>
      <c r="E1028" s="49" t="s">
        <v>152</v>
      </c>
      <c r="F1028" s="87">
        <f>IFERROR(__xludf.DUMMYFUNCTION("VALUE(REGEXEXTRACT(A1028,""([^.]+)$""))"),1.0)</f>
        <v>1</v>
      </c>
      <c r="G1028" s="49">
        <v>30.0</v>
      </c>
      <c r="H1028" s="26" t="b">
        <f>COUNTIFS(
 tblCostChecklist[RequirementID],A1028,
 tblCostChecklist[PlayerPaid],TRUE
)&gt;0</f>
        <v>0</v>
      </c>
      <c r="I1028" s="49">
        <f t="shared" si="1"/>
        <v>6</v>
      </c>
      <c r="J1028" s="49">
        <f t="shared" si="2"/>
        <v>0</v>
      </c>
      <c r="K1028" s="49">
        <f t="shared" si="3"/>
        <v>6</v>
      </c>
      <c r="L1028" s="49" t="b">
        <f t="shared" si="4"/>
        <v>0</v>
      </c>
      <c r="M1028" s="88">
        <f t="shared" si="5"/>
        <v>0</v>
      </c>
    </row>
    <row r="1029" ht="14.25" customHeight="1">
      <c r="A1029" s="49" t="s">
        <v>3593</v>
      </c>
      <c r="B1029" s="49" t="str">
        <f>IFERROR(__xludf.DUMMYFUNCTION("REGEXEXTRACT(A1029,""^cost\.(.*)\.[^.]+\.[^.]+$"")"),"tech.tailor.armor_for_a_hero_lvl_3")</f>
        <v>tech.tailor.armor_for_a_hero_lvl_3</v>
      </c>
      <c r="C1029" s="49" t="str">
        <f t="array" ref="C1029">_xlfn.XLOOKUP(
 B1029,
 tblTargets[TargetID],
 tblTargets[DisplayName],
 ""
)</f>
        <v>Tailor - Armor For A Hero Lvl 3</v>
      </c>
      <c r="D1029" s="49" t="str">
        <f t="array" ref="D1029">_xlfn.XLOOKUP(
 B1029,
 tblTargets[TargetID],
 tblTargets[TargetType],
 ""
)</f>
        <v>TECH</v>
      </c>
      <c r="E1029" s="49" t="s">
        <v>158</v>
      </c>
      <c r="F1029" s="87">
        <f>IFERROR(__xludf.DUMMYFUNCTION("VALUE(REGEXEXTRACT(A1029,""([^.]+)$""))"),1.0)</f>
        <v>1</v>
      </c>
      <c r="G1029" s="49">
        <v>15.0</v>
      </c>
      <c r="H1029" s="26" t="b">
        <f>COUNTIFS(
 tblCostChecklist[RequirementID],A1029,
 tblCostChecklist[PlayerPaid],TRUE
)&gt;0</f>
        <v>0</v>
      </c>
      <c r="I1029" s="49">
        <f t="shared" si="1"/>
        <v>6</v>
      </c>
      <c r="J1029" s="49">
        <f t="shared" si="2"/>
        <v>0</v>
      </c>
      <c r="K1029" s="49">
        <f t="shared" si="3"/>
        <v>6</v>
      </c>
      <c r="L1029" s="49" t="b">
        <f t="shared" si="4"/>
        <v>0</v>
      </c>
      <c r="M1029" s="88">
        <f t="shared" si="5"/>
        <v>0</v>
      </c>
    </row>
    <row r="1030" ht="14.25" customHeight="1">
      <c r="A1030" s="49" t="s">
        <v>3598</v>
      </c>
      <c r="B1030" s="49" t="str">
        <f>IFERROR(__xludf.DUMMYFUNCTION("REGEXEXTRACT(A1030,""^cost\.(.*)\.[^.]+\.[^.]+$"")"),"tech.tailor.armor_for_a_hero_lvl_4")</f>
        <v>tech.tailor.armor_for_a_hero_lvl_4</v>
      </c>
      <c r="C1030" s="49" t="str">
        <f t="array" ref="C1030">_xlfn.XLOOKUP(
 B1030,
 tblTargets[TargetID],
 tblTargets[DisplayName],
 ""
)</f>
        <v>Tailor - Armor For A Hero Lvl 4</v>
      </c>
      <c r="D1030" s="49" t="str">
        <f t="array" ref="D1030">_xlfn.XLOOKUP(
 B1030,
 tblTargets[TargetID],
 tblTargets[TargetType],
 ""
)</f>
        <v>TECH</v>
      </c>
      <c r="E1030" s="49" t="s">
        <v>1055</v>
      </c>
      <c r="F1030" s="87">
        <f>IFERROR(__xludf.DUMMYFUNCTION("VALUE(REGEXEXTRACT(A1030,""([^.]+)$""))"),1.0)</f>
        <v>1</v>
      </c>
      <c r="G1030" s="49">
        <v>30.0</v>
      </c>
      <c r="H1030" s="26" t="b">
        <f>COUNTIFS(
 tblCostChecklist[RequirementID],A1030,
 tblCostChecklist[PlayerPaid],TRUE
)&gt;0</f>
        <v>0</v>
      </c>
      <c r="I1030" s="49">
        <f t="shared" si="1"/>
        <v>7</v>
      </c>
      <c r="J1030" s="49">
        <f t="shared" si="2"/>
        <v>0</v>
      </c>
      <c r="K1030" s="49">
        <f t="shared" si="3"/>
        <v>7</v>
      </c>
      <c r="L1030" s="49" t="b">
        <f t="shared" si="4"/>
        <v>0</v>
      </c>
      <c r="M1030" s="88">
        <f t="shared" si="5"/>
        <v>0</v>
      </c>
    </row>
    <row r="1031" ht="14.25" customHeight="1">
      <c r="A1031" s="49" t="s">
        <v>3602</v>
      </c>
      <c r="B1031" s="49" t="str">
        <f>IFERROR(__xludf.DUMMYFUNCTION("REGEXEXTRACT(A1031,""^cost\.(.*)\.[^.]+\.[^.]+$"")"),"tech.tailor.armor_for_a_hero_lvl_4")</f>
        <v>tech.tailor.armor_for_a_hero_lvl_4</v>
      </c>
      <c r="C1031" s="49" t="str">
        <f t="array" ref="C1031">_xlfn.XLOOKUP(
 B1031,
 tblTargets[TargetID],
 tblTargets[DisplayName],
 ""
)</f>
        <v>Tailor - Armor For A Hero Lvl 4</v>
      </c>
      <c r="D1031" s="49" t="str">
        <f t="array" ref="D1031">_xlfn.XLOOKUP(
 B1031,
 tblTargets[TargetID],
 tblTargets[TargetType],
 ""
)</f>
        <v>TECH</v>
      </c>
      <c r="E1031" s="49" t="s">
        <v>119</v>
      </c>
      <c r="F1031" s="87">
        <f>IFERROR(__xludf.DUMMYFUNCTION("VALUE(REGEXEXTRACT(A1031,""([^.]+)$""))"),1.0)</f>
        <v>1</v>
      </c>
      <c r="G1031" s="49">
        <v>500.0</v>
      </c>
      <c r="H1031" s="26" t="b">
        <f>COUNTIFS(
 tblCostChecklist[RequirementID],A1031,
 tblCostChecklist[PlayerPaid],TRUE
)&gt;0</f>
        <v>0</v>
      </c>
      <c r="I1031" s="49">
        <f t="shared" si="1"/>
        <v>7</v>
      </c>
      <c r="J1031" s="49">
        <f t="shared" si="2"/>
        <v>0</v>
      </c>
      <c r="K1031" s="49">
        <f t="shared" si="3"/>
        <v>7</v>
      </c>
      <c r="L1031" s="49" t="b">
        <f t="shared" si="4"/>
        <v>0</v>
      </c>
      <c r="M1031" s="88">
        <f t="shared" si="5"/>
        <v>0</v>
      </c>
    </row>
    <row r="1032" ht="14.25" customHeight="1">
      <c r="A1032" s="49" t="s">
        <v>3606</v>
      </c>
      <c r="B1032" s="49" t="str">
        <f>IFERROR(__xludf.DUMMYFUNCTION("REGEXEXTRACT(A1032,""^cost\.(.*)\.[^.]+\.[^.]+$"")"),"tech.tailor.armor_for_a_hero_lvl_4")</f>
        <v>tech.tailor.armor_for_a_hero_lvl_4</v>
      </c>
      <c r="C1032" s="49" t="str">
        <f t="array" ref="C1032">_xlfn.XLOOKUP(
 B1032,
 tblTargets[TargetID],
 tblTargets[DisplayName],
 ""
)</f>
        <v>Tailor - Armor For A Hero Lvl 4</v>
      </c>
      <c r="D1032" s="49" t="str">
        <f t="array" ref="D1032">_xlfn.XLOOKUP(
 B1032,
 tblTargets[TargetID],
 tblTargets[TargetType],
 ""
)</f>
        <v>TECH</v>
      </c>
      <c r="E1032" s="49" t="s">
        <v>530</v>
      </c>
      <c r="F1032" s="87">
        <f>IFERROR(__xludf.DUMMYFUNCTION("VALUE(REGEXEXTRACT(A1032,""([^.]+)$""))"),1.0)</f>
        <v>1</v>
      </c>
      <c r="G1032" s="49">
        <v>20.0</v>
      </c>
      <c r="H1032" s="26" t="b">
        <f>COUNTIFS(
 tblCostChecklist[RequirementID],A1032,
 tblCostChecklist[PlayerPaid],TRUE
)&gt;0</f>
        <v>0</v>
      </c>
      <c r="I1032" s="49">
        <f t="shared" si="1"/>
        <v>7</v>
      </c>
      <c r="J1032" s="49">
        <f t="shared" si="2"/>
        <v>0</v>
      </c>
      <c r="K1032" s="49">
        <f t="shared" si="3"/>
        <v>7</v>
      </c>
      <c r="L1032" s="49" t="b">
        <f t="shared" si="4"/>
        <v>0</v>
      </c>
      <c r="M1032" s="88">
        <f t="shared" si="5"/>
        <v>0</v>
      </c>
    </row>
    <row r="1033" ht="14.25" customHeight="1">
      <c r="A1033" s="49" t="s">
        <v>3610</v>
      </c>
      <c r="B1033" s="49" t="str">
        <f>IFERROR(__xludf.DUMMYFUNCTION("REGEXEXTRACT(A1033,""^cost\.(.*)\.[^.]+\.[^.]+$"")"),"tech.tailor.armor_for_a_hero_lvl_4")</f>
        <v>tech.tailor.armor_for_a_hero_lvl_4</v>
      </c>
      <c r="C1033" s="49" t="str">
        <f t="array" ref="C1033">_xlfn.XLOOKUP(
 B1033,
 tblTargets[TargetID],
 tblTargets[DisplayName],
 ""
)</f>
        <v>Tailor - Armor For A Hero Lvl 4</v>
      </c>
      <c r="D1033" s="49" t="str">
        <f t="array" ref="D1033">_xlfn.XLOOKUP(
 B1033,
 tblTargets[TargetID],
 tblTargets[TargetType],
 ""
)</f>
        <v>TECH</v>
      </c>
      <c r="E1033" s="49" t="s">
        <v>1078</v>
      </c>
      <c r="F1033" s="87">
        <f>IFERROR(__xludf.DUMMYFUNCTION("VALUE(REGEXEXTRACT(A1033,""([^.]+)$""))"),1.0)</f>
        <v>1</v>
      </c>
      <c r="G1033" s="49">
        <v>5.0</v>
      </c>
      <c r="H1033" s="26" t="b">
        <f>COUNTIFS(
 tblCostChecklist[RequirementID],A1033,
 tblCostChecklist[PlayerPaid],TRUE
)&gt;0</f>
        <v>0</v>
      </c>
      <c r="I1033" s="49">
        <f t="shared" si="1"/>
        <v>7</v>
      </c>
      <c r="J1033" s="49">
        <f t="shared" si="2"/>
        <v>0</v>
      </c>
      <c r="K1033" s="49">
        <f t="shared" si="3"/>
        <v>7</v>
      </c>
      <c r="L1033" s="49" t="b">
        <f t="shared" si="4"/>
        <v>0</v>
      </c>
      <c r="M1033" s="88">
        <f t="shared" si="5"/>
        <v>0</v>
      </c>
    </row>
    <row r="1034" ht="14.25" customHeight="1">
      <c r="A1034" s="49" t="s">
        <v>3615</v>
      </c>
      <c r="B1034" s="49" t="str">
        <f>IFERROR(__xludf.DUMMYFUNCTION("REGEXEXTRACT(A1034,""^cost\.(.*)\.[^.]+\.[^.]+$"")"),"tech.tailor.armor_for_a_hero_lvl_4")</f>
        <v>tech.tailor.armor_for_a_hero_lvl_4</v>
      </c>
      <c r="C1034" s="49" t="str">
        <f t="array" ref="C1034">_xlfn.XLOOKUP(
 B1034,
 tblTargets[TargetID],
 tblTargets[DisplayName],
 ""
)</f>
        <v>Tailor - Armor For A Hero Lvl 4</v>
      </c>
      <c r="D1034" s="49" t="str">
        <f t="array" ref="D1034">_xlfn.XLOOKUP(
 B1034,
 tblTargets[TargetID],
 tblTargets[TargetType],
 ""
)</f>
        <v>TECH</v>
      </c>
      <c r="E1034" s="49" t="s">
        <v>6</v>
      </c>
      <c r="F1034" s="87">
        <f>IFERROR(__xludf.DUMMYFUNCTION("VALUE(REGEXEXTRACT(A1034,""([^.]+)$""))"),1.0)</f>
        <v>1</v>
      </c>
      <c r="G1034" s="49">
        <v>3.0</v>
      </c>
      <c r="H1034" s="26" t="b">
        <f>COUNTIFS(
 tblCostChecklist[RequirementID],A1034,
 tblCostChecklist[PlayerPaid],TRUE
)&gt;0</f>
        <v>0</v>
      </c>
      <c r="I1034" s="49">
        <f t="shared" si="1"/>
        <v>7</v>
      </c>
      <c r="J1034" s="49">
        <f t="shared" si="2"/>
        <v>0</v>
      </c>
      <c r="K1034" s="49">
        <f t="shared" si="3"/>
        <v>7</v>
      </c>
      <c r="L1034" s="49" t="b">
        <f t="shared" si="4"/>
        <v>0</v>
      </c>
      <c r="M1034" s="88">
        <f t="shared" si="5"/>
        <v>0</v>
      </c>
    </row>
    <row r="1035" ht="14.25" customHeight="1">
      <c r="A1035" s="49" t="s">
        <v>3618</v>
      </c>
      <c r="B1035" s="49" t="str">
        <f>IFERROR(__xludf.DUMMYFUNCTION("REGEXEXTRACT(A1035,""^cost\.(.*)\.[^.]+\.[^.]+$"")"),"tech.tailor.armor_for_a_hero_lvl_4")</f>
        <v>tech.tailor.armor_for_a_hero_lvl_4</v>
      </c>
      <c r="C1035" s="49" t="str">
        <f t="array" ref="C1035">_xlfn.XLOOKUP(
 B1035,
 tblTargets[TargetID],
 tblTargets[DisplayName],
 ""
)</f>
        <v>Tailor - Armor For A Hero Lvl 4</v>
      </c>
      <c r="D1035" s="49" t="str">
        <f t="array" ref="D1035">_xlfn.XLOOKUP(
 B1035,
 tblTargets[TargetID],
 tblTargets[TargetType],
 ""
)</f>
        <v>TECH</v>
      </c>
      <c r="E1035" s="49" t="s">
        <v>2786</v>
      </c>
      <c r="F1035" s="87">
        <f>IFERROR(__xludf.DUMMYFUNCTION("VALUE(REGEXEXTRACT(A1035,""([^.]+)$""))"),1.0)</f>
        <v>1</v>
      </c>
      <c r="G1035" s="49">
        <v>20.0</v>
      </c>
      <c r="H1035" s="26" t="b">
        <f>COUNTIFS(
 tblCostChecklist[RequirementID],A1035,
 tblCostChecklist[PlayerPaid],TRUE
)&gt;0</f>
        <v>0</v>
      </c>
      <c r="I1035" s="49">
        <f t="shared" si="1"/>
        <v>7</v>
      </c>
      <c r="J1035" s="49">
        <f t="shared" si="2"/>
        <v>0</v>
      </c>
      <c r="K1035" s="49">
        <f t="shared" si="3"/>
        <v>7</v>
      </c>
      <c r="L1035" s="49" t="b">
        <f t="shared" si="4"/>
        <v>0</v>
      </c>
      <c r="M1035" s="88">
        <f t="shared" si="5"/>
        <v>0</v>
      </c>
    </row>
    <row r="1036" ht="14.25" customHeight="1">
      <c r="A1036" s="49" t="s">
        <v>3622</v>
      </c>
      <c r="B1036" s="49" t="str">
        <f>IFERROR(__xludf.DUMMYFUNCTION("REGEXEXTRACT(A1036,""^cost\.(.*)\.[^.]+\.[^.]+$"")"),"tech.tailor.armor_for_a_hero_lvl_4")</f>
        <v>tech.tailor.armor_for_a_hero_lvl_4</v>
      </c>
      <c r="C1036" s="49" t="str">
        <f t="array" ref="C1036">_xlfn.XLOOKUP(
 B1036,
 tblTargets[TargetID],
 tblTargets[DisplayName],
 ""
)</f>
        <v>Tailor - Armor For A Hero Lvl 4</v>
      </c>
      <c r="D1036" s="49" t="str">
        <f t="array" ref="D1036">_xlfn.XLOOKUP(
 B1036,
 tblTargets[TargetID],
 tblTargets[TargetType],
 ""
)</f>
        <v>TECH</v>
      </c>
      <c r="E1036" s="49" t="s">
        <v>3153</v>
      </c>
      <c r="F1036" s="87">
        <f>IFERROR(__xludf.DUMMYFUNCTION("VALUE(REGEXEXTRACT(A1036,""([^.]+)$""))"),1.0)</f>
        <v>1</v>
      </c>
      <c r="G1036" s="49">
        <v>6.0</v>
      </c>
      <c r="H1036" s="26" t="b">
        <f>COUNTIFS(
 tblCostChecklist[RequirementID],A1036,
 tblCostChecklist[PlayerPaid],TRUE
)&gt;0</f>
        <v>0</v>
      </c>
      <c r="I1036" s="49">
        <f t="shared" si="1"/>
        <v>7</v>
      </c>
      <c r="J1036" s="49">
        <f t="shared" si="2"/>
        <v>0</v>
      </c>
      <c r="K1036" s="49">
        <f t="shared" si="3"/>
        <v>7</v>
      </c>
      <c r="L1036" s="49" t="b">
        <f t="shared" si="4"/>
        <v>0</v>
      </c>
      <c r="M1036" s="88">
        <f t="shared" si="5"/>
        <v>0</v>
      </c>
    </row>
    <row r="1037" ht="14.25" customHeight="1">
      <c r="A1037" s="49" t="s">
        <v>3626</v>
      </c>
      <c r="B1037" s="49" t="str">
        <f>IFERROR(__xludf.DUMMYFUNCTION("REGEXEXTRACT(A1037,""^cost\.(.*)\.[^.]+\.[^.]+$"")"),"tech.tailor.armor_for_a_hero_lvl_4+")</f>
        <v>tech.tailor.armor_for_a_hero_lvl_4+</v>
      </c>
      <c r="C1037" s="49" t="str">
        <f t="array" ref="C1037">_xlfn.XLOOKUP(
 B1037,
 tblTargets[TargetID],
 tblTargets[DisplayName],
 ""
)</f>
        <v>Tailor - Armor For A Hero Lvl 4+</v>
      </c>
      <c r="D1037" s="49" t="str">
        <f t="array" ref="D1037">_xlfn.XLOOKUP(
 B1037,
 tblTargets[TargetID],
 tblTargets[TargetType],
 ""
)</f>
        <v>TECH</v>
      </c>
      <c r="E1037" s="49" t="s">
        <v>1230</v>
      </c>
      <c r="F1037" s="87">
        <f>IFERROR(__xludf.DUMMYFUNCTION("VALUE(REGEXEXTRACT(A1037,""([^.]+)$""))"),1.0)</f>
        <v>1</v>
      </c>
      <c r="G1037" s="49">
        <v>1.0</v>
      </c>
      <c r="H1037" s="26" t="b">
        <f>COUNTIFS(
 tblCostChecklist[RequirementID],A1037,
 tblCostChecklist[PlayerPaid],TRUE
)&gt;0</f>
        <v>0</v>
      </c>
      <c r="I1037" s="49">
        <f t="shared" si="1"/>
        <v>10</v>
      </c>
      <c r="J1037" s="49">
        <f t="shared" si="2"/>
        <v>0</v>
      </c>
      <c r="K1037" s="49">
        <f t="shared" si="3"/>
        <v>10</v>
      </c>
      <c r="L1037" s="49" t="b">
        <f t="shared" si="4"/>
        <v>0</v>
      </c>
      <c r="M1037" s="88">
        <f t="shared" si="5"/>
        <v>0</v>
      </c>
    </row>
    <row r="1038" ht="14.25" customHeight="1">
      <c r="A1038" s="49" t="s">
        <v>3630</v>
      </c>
      <c r="B1038" s="49" t="str">
        <f>IFERROR(__xludf.DUMMYFUNCTION("REGEXEXTRACT(A1038,""^cost\.(.*)\.[^.]+\.[^.]+$"")"),"tech.tailor.armor_for_a_hero_lvl_4+")</f>
        <v>tech.tailor.armor_for_a_hero_lvl_4+</v>
      </c>
      <c r="C1038" s="49" t="str">
        <f t="array" ref="C1038">_xlfn.XLOOKUP(
 B1038,
 tblTargets[TargetID],
 tblTargets[DisplayName],
 ""
)</f>
        <v>Tailor - Armor For A Hero Lvl 4+</v>
      </c>
      <c r="D1038" s="49" t="str">
        <f t="array" ref="D1038">_xlfn.XLOOKUP(
 B1038,
 tblTargets[TargetID],
 tblTargets[TargetType],
 ""
)</f>
        <v>TECH</v>
      </c>
      <c r="E1038" s="49" t="s">
        <v>1055</v>
      </c>
      <c r="F1038" s="87">
        <f>IFERROR(__xludf.DUMMYFUNCTION("VALUE(REGEXEXTRACT(A1038,""([^.]+)$""))"),1.0)</f>
        <v>1</v>
      </c>
      <c r="G1038" s="49">
        <v>20.0</v>
      </c>
      <c r="H1038" s="26" t="b">
        <f>COUNTIFS(
 tblCostChecklist[RequirementID],A1038,
 tblCostChecklist[PlayerPaid],TRUE
)&gt;0</f>
        <v>0</v>
      </c>
      <c r="I1038" s="49">
        <f t="shared" si="1"/>
        <v>10</v>
      </c>
      <c r="J1038" s="49">
        <f t="shared" si="2"/>
        <v>0</v>
      </c>
      <c r="K1038" s="49">
        <f t="shared" si="3"/>
        <v>10</v>
      </c>
      <c r="L1038" s="49" t="b">
        <f t="shared" si="4"/>
        <v>0</v>
      </c>
      <c r="M1038" s="88">
        <f t="shared" si="5"/>
        <v>0</v>
      </c>
    </row>
    <row r="1039" ht="14.25" customHeight="1">
      <c r="A1039" s="49" t="s">
        <v>3634</v>
      </c>
      <c r="B1039" s="49" t="str">
        <f>IFERROR(__xludf.DUMMYFUNCTION("REGEXEXTRACT(A1039,""^cost\.(.*)\.[^.]+\.[^.]+$"")"),"tech.tailor.armor_for_a_hero_lvl_4+")</f>
        <v>tech.tailor.armor_for_a_hero_lvl_4+</v>
      </c>
      <c r="C1039" s="49" t="str">
        <f t="array" ref="C1039">_xlfn.XLOOKUP(
 B1039,
 tblTargets[TargetID],
 tblTargets[DisplayName],
 ""
)</f>
        <v>Tailor - Armor For A Hero Lvl 4+</v>
      </c>
      <c r="D1039" s="49" t="str">
        <f t="array" ref="D1039">_xlfn.XLOOKUP(
 B1039,
 tblTargets[TargetID],
 tblTargets[TargetType],
 ""
)</f>
        <v>TECH</v>
      </c>
      <c r="E1039" s="49" t="s">
        <v>119</v>
      </c>
      <c r="F1039" s="87">
        <f>IFERROR(__xludf.DUMMYFUNCTION("VALUE(REGEXEXTRACT(A1039,""([^.]+)$""))"),1.0)</f>
        <v>1</v>
      </c>
      <c r="G1039" s="49">
        <v>1000.0</v>
      </c>
      <c r="H1039" s="26" t="b">
        <f>COUNTIFS(
 tblCostChecklist[RequirementID],A1039,
 tblCostChecklist[PlayerPaid],TRUE
)&gt;0</f>
        <v>0</v>
      </c>
      <c r="I1039" s="49">
        <f t="shared" si="1"/>
        <v>10</v>
      </c>
      <c r="J1039" s="49">
        <f t="shared" si="2"/>
        <v>0</v>
      </c>
      <c r="K1039" s="49">
        <f t="shared" si="3"/>
        <v>10</v>
      </c>
      <c r="L1039" s="49" t="b">
        <f t="shared" si="4"/>
        <v>0</v>
      </c>
      <c r="M1039" s="88">
        <f t="shared" si="5"/>
        <v>0</v>
      </c>
    </row>
    <row r="1040" ht="14.25" customHeight="1">
      <c r="A1040" s="49" t="s">
        <v>3638</v>
      </c>
      <c r="B1040" s="49" t="str">
        <f>IFERROR(__xludf.DUMMYFUNCTION("REGEXEXTRACT(A1040,""^cost\.(.*)\.[^.]+\.[^.]+$"")"),"tech.tailor.armor_for_a_hero_lvl_4+")</f>
        <v>tech.tailor.armor_for_a_hero_lvl_4+</v>
      </c>
      <c r="C1040" s="49" t="str">
        <f t="array" ref="C1040">_xlfn.XLOOKUP(
 B1040,
 tblTargets[TargetID],
 tblTargets[DisplayName],
 ""
)</f>
        <v>Tailor - Armor For A Hero Lvl 4+</v>
      </c>
      <c r="D1040" s="49" t="str">
        <f t="array" ref="D1040">_xlfn.XLOOKUP(
 B1040,
 tblTargets[TargetID],
 tblTargets[TargetType],
 ""
)</f>
        <v>TECH</v>
      </c>
      <c r="E1040" s="49" t="s">
        <v>530</v>
      </c>
      <c r="F1040" s="87">
        <f>IFERROR(__xludf.DUMMYFUNCTION("VALUE(REGEXEXTRACT(A1040,""([^.]+)$""))"),1.0)</f>
        <v>1</v>
      </c>
      <c r="G1040" s="49">
        <v>10.0</v>
      </c>
      <c r="H1040" s="26" t="b">
        <f>COUNTIFS(
 tblCostChecklist[RequirementID],A1040,
 tblCostChecklist[PlayerPaid],TRUE
)&gt;0</f>
        <v>0</v>
      </c>
      <c r="I1040" s="49">
        <f t="shared" si="1"/>
        <v>10</v>
      </c>
      <c r="J1040" s="49">
        <f t="shared" si="2"/>
        <v>0</v>
      </c>
      <c r="K1040" s="49">
        <f t="shared" si="3"/>
        <v>10</v>
      </c>
      <c r="L1040" s="49" t="b">
        <f t="shared" si="4"/>
        <v>0</v>
      </c>
      <c r="M1040" s="88">
        <f t="shared" si="5"/>
        <v>0</v>
      </c>
    </row>
    <row r="1041" ht="14.25" customHeight="1">
      <c r="A1041" s="49" t="s">
        <v>3642</v>
      </c>
      <c r="B1041" s="49" t="str">
        <f>IFERROR(__xludf.DUMMYFUNCTION("REGEXEXTRACT(A1041,""^cost\.(.*)\.[^.]+\.[^.]+$"")"),"tech.tailor.armor_for_a_hero_lvl_4+")</f>
        <v>tech.tailor.armor_for_a_hero_lvl_4+</v>
      </c>
      <c r="C1041" s="49" t="str">
        <f t="array" ref="C1041">_xlfn.XLOOKUP(
 B1041,
 tblTargets[TargetID],
 tblTargets[DisplayName],
 ""
)</f>
        <v>Tailor - Armor For A Hero Lvl 4+</v>
      </c>
      <c r="D1041" s="49" t="str">
        <f t="array" ref="D1041">_xlfn.XLOOKUP(
 B1041,
 tblTargets[TargetID],
 tblTargets[TargetType],
 ""
)</f>
        <v>TECH</v>
      </c>
      <c r="E1041" s="49" t="s">
        <v>1282</v>
      </c>
      <c r="F1041" s="87">
        <f>IFERROR(__xludf.DUMMYFUNCTION("VALUE(REGEXEXTRACT(A1041,""([^.]+)$""))"),1.0)</f>
        <v>1</v>
      </c>
      <c r="G1041" s="49">
        <v>10.0</v>
      </c>
      <c r="H1041" s="26" t="b">
        <f>COUNTIFS(
 tblCostChecklist[RequirementID],A1041,
 tblCostChecklist[PlayerPaid],TRUE
)&gt;0</f>
        <v>0</v>
      </c>
      <c r="I1041" s="49">
        <f t="shared" si="1"/>
        <v>10</v>
      </c>
      <c r="J1041" s="49">
        <f t="shared" si="2"/>
        <v>0</v>
      </c>
      <c r="K1041" s="49">
        <f t="shared" si="3"/>
        <v>10</v>
      </c>
      <c r="L1041" s="49" t="b">
        <f t="shared" si="4"/>
        <v>0</v>
      </c>
      <c r="M1041" s="88">
        <f t="shared" si="5"/>
        <v>0</v>
      </c>
    </row>
    <row r="1042" ht="14.25" customHeight="1">
      <c r="A1042" s="49" t="s">
        <v>3647</v>
      </c>
      <c r="B1042" s="49" t="str">
        <f>IFERROR(__xludf.DUMMYFUNCTION("REGEXEXTRACT(A1042,""^cost\.(.*)\.[^.]+\.[^.]+$"")"),"tech.tailor.armor_for_a_hero_lvl_4+")</f>
        <v>tech.tailor.armor_for_a_hero_lvl_4+</v>
      </c>
      <c r="C1042" s="49" t="str">
        <f t="array" ref="C1042">_xlfn.XLOOKUP(
 B1042,
 tblTargets[TargetID],
 tblTargets[DisplayName],
 ""
)</f>
        <v>Tailor - Armor For A Hero Lvl 4+</v>
      </c>
      <c r="D1042" s="49" t="str">
        <f t="array" ref="D1042">_xlfn.XLOOKUP(
 B1042,
 tblTargets[TargetID],
 tblTargets[TargetType],
 ""
)</f>
        <v>TECH</v>
      </c>
      <c r="E1042" s="49" t="s">
        <v>1606</v>
      </c>
      <c r="F1042" s="87">
        <f>IFERROR(__xludf.DUMMYFUNCTION("VALUE(REGEXEXTRACT(A1042,""([^.]+)$""))"),1.0)</f>
        <v>1</v>
      </c>
      <c r="G1042" s="49">
        <v>25.0</v>
      </c>
      <c r="H1042" s="26" t="b">
        <f>COUNTIFS(
 tblCostChecklist[RequirementID],A1042,
 tblCostChecklist[PlayerPaid],TRUE
)&gt;0</f>
        <v>0</v>
      </c>
      <c r="I1042" s="49">
        <f t="shared" si="1"/>
        <v>10</v>
      </c>
      <c r="J1042" s="49">
        <f t="shared" si="2"/>
        <v>0</v>
      </c>
      <c r="K1042" s="49">
        <f t="shared" si="3"/>
        <v>10</v>
      </c>
      <c r="L1042" s="49" t="b">
        <f t="shared" si="4"/>
        <v>0</v>
      </c>
      <c r="M1042" s="88">
        <f t="shared" si="5"/>
        <v>0</v>
      </c>
    </row>
    <row r="1043" ht="14.25" customHeight="1">
      <c r="A1043" s="49" t="s">
        <v>3651</v>
      </c>
      <c r="B1043" s="49" t="str">
        <f>IFERROR(__xludf.DUMMYFUNCTION("REGEXEXTRACT(A1043,""^cost\.(.*)\.[^.]+\.[^.]+$"")"),"tech.tailor.armor_for_a_hero_lvl_4+")</f>
        <v>tech.tailor.armor_for_a_hero_lvl_4+</v>
      </c>
      <c r="C1043" s="49" t="str">
        <f t="array" ref="C1043">_xlfn.XLOOKUP(
 B1043,
 tblTargets[TargetID],
 tblTargets[DisplayName],
 ""
)</f>
        <v>Tailor - Armor For A Hero Lvl 4+</v>
      </c>
      <c r="D1043" s="49" t="str">
        <f t="array" ref="D1043">_xlfn.XLOOKUP(
 B1043,
 tblTargets[TargetID],
 tblTargets[TargetType],
 ""
)</f>
        <v>TECH</v>
      </c>
      <c r="E1043" s="49" t="s">
        <v>3043</v>
      </c>
      <c r="F1043" s="87">
        <f>IFERROR(__xludf.DUMMYFUNCTION("VALUE(REGEXEXTRACT(A1043,""([^.]+)$""))"),1.0)</f>
        <v>1</v>
      </c>
      <c r="G1043" s="49">
        <v>1.0</v>
      </c>
      <c r="H1043" s="26" t="b">
        <f>COUNTIFS(
 tblCostChecklist[RequirementID],A1043,
 tblCostChecklist[PlayerPaid],TRUE
)&gt;0</f>
        <v>0</v>
      </c>
      <c r="I1043" s="49">
        <f t="shared" si="1"/>
        <v>10</v>
      </c>
      <c r="J1043" s="49">
        <f t="shared" si="2"/>
        <v>0</v>
      </c>
      <c r="K1043" s="49">
        <f t="shared" si="3"/>
        <v>10</v>
      </c>
      <c r="L1043" s="49" t="b">
        <f t="shared" si="4"/>
        <v>0</v>
      </c>
      <c r="M1043" s="88">
        <f t="shared" si="5"/>
        <v>0</v>
      </c>
    </row>
    <row r="1044" ht="14.25" customHeight="1">
      <c r="A1044" s="49" t="s">
        <v>3655</v>
      </c>
      <c r="B1044" s="49" t="str">
        <f>IFERROR(__xludf.DUMMYFUNCTION("REGEXEXTRACT(A1044,""^cost\.(.*)\.[^.]+\.[^.]+$"")"),"tech.tailor.armor_for_a_hero_lvl_4+")</f>
        <v>tech.tailor.armor_for_a_hero_lvl_4+</v>
      </c>
      <c r="C1044" s="49" t="str">
        <f t="array" ref="C1044">_xlfn.XLOOKUP(
 B1044,
 tblTargets[TargetID],
 tblTargets[DisplayName],
 ""
)</f>
        <v>Tailor - Armor For A Hero Lvl 4+</v>
      </c>
      <c r="D1044" s="49" t="str">
        <f t="array" ref="D1044">_xlfn.XLOOKUP(
 B1044,
 tblTargets[TargetID],
 tblTargets[TargetType],
 ""
)</f>
        <v>TECH</v>
      </c>
      <c r="E1044" s="49" t="s">
        <v>6</v>
      </c>
      <c r="F1044" s="87">
        <f>IFERROR(__xludf.DUMMYFUNCTION("VALUE(REGEXEXTRACT(A1044,""([^.]+)$""))"),1.0)</f>
        <v>1</v>
      </c>
      <c r="G1044" s="49">
        <v>5.0</v>
      </c>
      <c r="H1044" s="26" t="b">
        <f>COUNTIFS(
 tblCostChecklist[RequirementID],A1044,
 tblCostChecklist[PlayerPaid],TRUE
)&gt;0</f>
        <v>0</v>
      </c>
      <c r="I1044" s="49">
        <f t="shared" si="1"/>
        <v>10</v>
      </c>
      <c r="J1044" s="49">
        <f t="shared" si="2"/>
        <v>0</v>
      </c>
      <c r="K1044" s="49">
        <f t="shared" si="3"/>
        <v>10</v>
      </c>
      <c r="L1044" s="49" t="b">
        <f t="shared" si="4"/>
        <v>0</v>
      </c>
      <c r="M1044" s="88">
        <f t="shared" si="5"/>
        <v>0</v>
      </c>
    </row>
    <row r="1045" ht="14.25" customHeight="1">
      <c r="A1045" s="49" t="s">
        <v>3658</v>
      </c>
      <c r="B1045" s="49" t="str">
        <f>IFERROR(__xludf.DUMMYFUNCTION("REGEXEXTRACT(A1045,""^cost\.(.*)\.[^.]+\.[^.]+$"")"),"tech.tailor.armor_for_a_hero_lvl_4+")</f>
        <v>tech.tailor.armor_for_a_hero_lvl_4+</v>
      </c>
      <c r="C1045" s="49" t="str">
        <f t="array" ref="C1045">_xlfn.XLOOKUP(
 B1045,
 tblTargets[TargetID],
 tblTargets[DisplayName],
 ""
)</f>
        <v>Tailor - Armor For A Hero Lvl 4+</v>
      </c>
      <c r="D1045" s="49" t="str">
        <f t="array" ref="D1045">_xlfn.XLOOKUP(
 B1045,
 tblTargets[TargetID],
 tblTargets[TargetType],
 ""
)</f>
        <v>TECH</v>
      </c>
      <c r="E1045" s="49" t="s">
        <v>2786</v>
      </c>
      <c r="F1045" s="87">
        <f>IFERROR(__xludf.DUMMYFUNCTION("VALUE(REGEXEXTRACT(A1045,""([^.]+)$""))"),1.0)</f>
        <v>1</v>
      </c>
      <c r="G1045" s="49">
        <v>20.0</v>
      </c>
      <c r="H1045" s="26" t="b">
        <f>COUNTIFS(
 tblCostChecklist[RequirementID],A1045,
 tblCostChecklist[PlayerPaid],TRUE
)&gt;0</f>
        <v>0</v>
      </c>
      <c r="I1045" s="49">
        <f t="shared" si="1"/>
        <v>10</v>
      </c>
      <c r="J1045" s="49">
        <f t="shared" si="2"/>
        <v>0</v>
      </c>
      <c r="K1045" s="49">
        <f t="shared" si="3"/>
        <v>10</v>
      </c>
      <c r="L1045" s="49" t="b">
        <f t="shared" si="4"/>
        <v>0</v>
      </c>
      <c r="M1045" s="88">
        <f t="shared" si="5"/>
        <v>0</v>
      </c>
    </row>
    <row r="1046" ht="14.25" customHeight="1">
      <c r="A1046" s="49" t="s">
        <v>3662</v>
      </c>
      <c r="B1046" s="49" t="str">
        <f>IFERROR(__xludf.DUMMYFUNCTION("REGEXEXTRACT(A1046,""^cost\.(.*)\.[^.]+\.[^.]+$"")"),"tech.tailor.strong_stitch")</f>
        <v>tech.tailor.strong_stitch</v>
      </c>
      <c r="C1046" s="49" t="str">
        <f t="array" ref="C1046">_xlfn.XLOOKUP(
 B1046,
 tblTargets[TargetID],
 tblTargets[DisplayName],
 ""
)</f>
        <v>Tailor - Strong Stitch</v>
      </c>
      <c r="D1046" s="49" t="str">
        <f t="array" ref="D1046">_xlfn.XLOOKUP(
 B1046,
 tblTargets[TargetID],
 tblTargets[TargetType],
 ""
)</f>
        <v>TECH</v>
      </c>
      <c r="E1046" s="49" t="s">
        <v>1055</v>
      </c>
      <c r="F1046" s="87">
        <f>IFERROR(__xludf.DUMMYFUNCTION("VALUE(REGEXEXTRACT(A1046,""([^.]+)$""))"),1.0)</f>
        <v>1</v>
      </c>
      <c r="G1046" s="49">
        <v>10.0</v>
      </c>
      <c r="H1046" s="26" t="b">
        <f>COUNTIFS(
 tblCostChecklist[RequirementID],A1046,
 tblCostChecklist[PlayerPaid],TRUE
)&gt;0</f>
        <v>0</v>
      </c>
      <c r="I1046" s="49">
        <f t="shared" si="1"/>
        <v>5</v>
      </c>
      <c r="J1046" s="49">
        <f t="shared" si="2"/>
        <v>0</v>
      </c>
      <c r="K1046" s="49">
        <f t="shared" si="3"/>
        <v>5</v>
      </c>
      <c r="L1046" s="49" t="b">
        <f t="shared" si="4"/>
        <v>0</v>
      </c>
      <c r="M1046" s="88">
        <f t="shared" si="5"/>
        <v>0</v>
      </c>
    </row>
    <row r="1047" ht="14.25" customHeight="1">
      <c r="A1047" s="49" t="s">
        <v>3666</v>
      </c>
      <c r="B1047" s="49" t="str">
        <f>IFERROR(__xludf.DUMMYFUNCTION("REGEXEXTRACT(A1047,""^cost\.(.*)\.[^.]+\.[^.]+$"")"),"tech.tailor.strong_stitch")</f>
        <v>tech.tailor.strong_stitch</v>
      </c>
      <c r="C1047" s="49" t="str">
        <f t="array" ref="C1047">_xlfn.XLOOKUP(
 B1047,
 tblTargets[TargetID],
 tblTargets[DisplayName],
 ""
)</f>
        <v>Tailor - Strong Stitch</v>
      </c>
      <c r="D1047" s="49" t="str">
        <f t="array" ref="D1047">_xlfn.XLOOKUP(
 B1047,
 tblTargets[TargetID],
 tblTargets[TargetType],
 ""
)</f>
        <v>TECH</v>
      </c>
      <c r="E1047" s="49" t="s">
        <v>119</v>
      </c>
      <c r="F1047" s="87">
        <f>IFERROR(__xludf.DUMMYFUNCTION("VALUE(REGEXEXTRACT(A1047,""([^.]+)$""))"),1.0)</f>
        <v>1</v>
      </c>
      <c r="G1047" s="49">
        <v>300.0</v>
      </c>
      <c r="H1047" s="26" t="b">
        <f>COUNTIFS(
 tblCostChecklist[RequirementID],A1047,
 tblCostChecklist[PlayerPaid],TRUE
)&gt;0</f>
        <v>0</v>
      </c>
      <c r="I1047" s="49">
        <f t="shared" si="1"/>
        <v>5</v>
      </c>
      <c r="J1047" s="49">
        <f t="shared" si="2"/>
        <v>0</v>
      </c>
      <c r="K1047" s="49">
        <f t="shared" si="3"/>
        <v>5</v>
      </c>
      <c r="L1047" s="49" t="b">
        <f t="shared" si="4"/>
        <v>0</v>
      </c>
      <c r="M1047" s="88">
        <f t="shared" si="5"/>
        <v>0</v>
      </c>
    </row>
    <row r="1048" ht="14.25" customHeight="1">
      <c r="A1048" s="49" t="s">
        <v>3669</v>
      </c>
      <c r="B1048" s="49" t="str">
        <f>IFERROR(__xludf.DUMMYFUNCTION("REGEXEXTRACT(A1048,""^cost\.(.*)\.[^.]+\.[^.]+$"")"),"tech.tailor.strong_stitch")</f>
        <v>tech.tailor.strong_stitch</v>
      </c>
      <c r="C1048" s="49" t="str">
        <f t="array" ref="C1048">_xlfn.XLOOKUP(
 B1048,
 tblTargets[TargetID],
 tblTargets[DisplayName],
 ""
)</f>
        <v>Tailor - Strong Stitch</v>
      </c>
      <c r="D1048" s="49" t="str">
        <f t="array" ref="D1048">_xlfn.XLOOKUP(
 B1048,
 tblTargets[TargetID],
 tblTargets[TargetType],
 ""
)</f>
        <v>TECH</v>
      </c>
      <c r="E1048" s="49" t="s">
        <v>6</v>
      </c>
      <c r="F1048" s="87">
        <f>IFERROR(__xludf.DUMMYFUNCTION("VALUE(REGEXEXTRACT(A1048,""([^.]+)$""))"),1.0)</f>
        <v>1</v>
      </c>
      <c r="G1048" s="49">
        <v>1.0</v>
      </c>
      <c r="H1048" s="26" t="b">
        <f>COUNTIFS(
 tblCostChecklist[RequirementID],A1048,
 tblCostChecklist[PlayerPaid],TRUE
)&gt;0</f>
        <v>0</v>
      </c>
      <c r="I1048" s="49">
        <f t="shared" si="1"/>
        <v>5</v>
      </c>
      <c r="J1048" s="49">
        <f t="shared" si="2"/>
        <v>0</v>
      </c>
      <c r="K1048" s="49">
        <f t="shared" si="3"/>
        <v>5</v>
      </c>
      <c r="L1048" s="49" t="b">
        <f t="shared" si="4"/>
        <v>0</v>
      </c>
      <c r="M1048" s="88">
        <f t="shared" si="5"/>
        <v>0</v>
      </c>
    </row>
    <row r="1049" ht="14.25" customHeight="1">
      <c r="A1049" s="49" t="s">
        <v>3673</v>
      </c>
      <c r="B1049" s="49" t="str">
        <f>IFERROR(__xludf.DUMMYFUNCTION("REGEXEXTRACT(A1049,""^cost\.(.*)\.[^.]+\.[^.]+$"")"),"tech.tailor.strong_stitch")</f>
        <v>tech.tailor.strong_stitch</v>
      </c>
      <c r="C1049" s="49" t="str">
        <f t="array" ref="C1049">_xlfn.XLOOKUP(
 B1049,
 tblTargets[TargetID],
 tblTargets[DisplayName],
 ""
)</f>
        <v>Tailor - Strong Stitch</v>
      </c>
      <c r="D1049" s="49" t="str">
        <f t="array" ref="D1049">_xlfn.XLOOKUP(
 B1049,
 tblTargets[TargetID],
 tblTargets[TargetType],
 ""
)</f>
        <v>TECH</v>
      </c>
      <c r="E1049" s="49" t="s">
        <v>152</v>
      </c>
      <c r="F1049" s="87">
        <f>IFERROR(__xludf.DUMMYFUNCTION("VALUE(REGEXEXTRACT(A1049,""([^.]+)$""))"),1.0)</f>
        <v>1</v>
      </c>
      <c r="G1049" s="49">
        <v>10.0</v>
      </c>
      <c r="H1049" s="26" t="b">
        <f>COUNTIFS(
 tblCostChecklist[RequirementID],A1049,
 tblCostChecklist[PlayerPaid],TRUE
)&gt;0</f>
        <v>0</v>
      </c>
      <c r="I1049" s="49">
        <f t="shared" si="1"/>
        <v>5</v>
      </c>
      <c r="J1049" s="49">
        <f t="shared" si="2"/>
        <v>0</v>
      </c>
      <c r="K1049" s="49">
        <f t="shared" si="3"/>
        <v>5</v>
      </c>
      <c r="L1049" s="49" t="b">
        <f t="shared" si="4"/>
        <v>0</v>
      </c>
      <c r="M1049" s="88">
        <f t="shared" si="5"/>
        <v>0</v>
      </c>
    </row>
    <row r="1050" ht="14.25" customHeight="1">
      <c r="A1050" s="49" t="s">
        <v>3676</v>
      </c>
      <c r="B1050" s="49" t="str">
        <f>IFERROR(__xludf.DUMMYFUNCTION("REGEXEXTRACT(A1050,""^cost\.(.*)\.[^.]+\.[^.]+$"")"),"tech.tailor.strong_stitch")</f>
        <v>tech.tailor.strong_stitch</v>
      </c>
      <c r="C1050" s="49" t="str">
        <f t="array" ref="C1050">_xlfn.XLOOKUP(
 B1050,
 tblTargets[TargetID],
 tblTargets[DisplayName],
 ""
)</f>
        <v>Tailor - Strong Stitch</v>
      </c>
      <c r="D1050" s="49" t="str">
        <f t="array" ref="D1050">_xlfn.XLOOKUP(
 B1050,
 tblTargets[TargetID],
 tblTargets[TargetType],
 ""
)</f>
        <v>TECH</v>
      </c>
      <c r="E1050" s="49" t="s">
        <v>158</v>
      </c>
      <c r="F1050" s="87">
        <f>IFERROR(__xludf.DUMMYFUNCTION("VALUE(REGEXEXTRACT(A1050,""([^.]+)$""))"),1.0)</f>
        <v>1</v>
      </c>
      <c r="G1050" s="49">
        <v>10.0</v>
      </c>
      <c r="H1050" s="26" t="b">
        <f>COUNTIFS(
 tblCostChecklist[RequirementID],A1050,
 tblCostChecklist[PlayerPaid],TRUE
)&gt;0</f>
        <v>0</v>
      </c>
      <c r="I1050" s="49">
        <f t="shared" si="1"/>
        <v>5</v>
      </c>
      <c r="J1050" s="49">
        <f t="shared" si="2"/>
        <v>0</v>
      </c>
      <c r="K1050" s="49">
        <f t="shared" si="3"/>
        <v>5</v>
      </c>
      <c r="L1050" s="49" t="b">
        <f t="shared" si="4"/>
        <v>0</v>
      </c>
      <c r="M1050" s="88">
        <f t="shared" si="5"/>
        <v>0</v>
      </c>
    </row>
    <row r="1051" ht="14.25" customHeight="1">
      <c r="A1051" s="49" t="s">
        <v>3681</v>
      </c>
      <c r="B1051" s="49" t="str">
        <f>IFERROR(__xludf.DUMMYFUNCTION("REGEXEXTRACT(A1051,""^cost\.(.*)\.[^.]+\.[^.]+$"")"),"tech.tailor.strong_rivets")</f>
        <v>tech.tailor.strong_rivets</v>
      </c>
      <c r="C1051" s="49" t="str">
        <f t="array" ref="C1051">_xlfn.XLOOKUP(
 B1051,
 tblTargets[TargetID],
 tblTargets[DisplayName],
 ""
)</f>
        <v>Tailor - Strong Rivets</v>
      </c>
      <c r="D1051" s="49" t="str">
        <f t="array" ref="D1051">_xlfn.XLOOKUP(
 B1051,
 tblTargets[TargetID],
 tblTargets[TargetType],
 ""
)</f>
        <v>TECH</v>
      </c>
      <c r="E1051" s="49" t="s">
        <v>1055</v>
      </c>
      <c r="F1051" s="87">
        <f>IFERROR(__xludf.DUMMYFUNCTION("VALUE(REGEXEXTRACT(A1051,""([^.]+)$""))"),1.0)</f>
        <v>1</v>
      </c>
      <c r="G1051" s="49">
        <v>20.0</v>
      </c>
      <c r="H1051" s="26" t="b">
        <f>COUNTIFS(
 tblCostChecklist[RequirementID],A1051,
 tblCostChecklist[PlayerPaid],TRUE
)&gt;0</f>
        <v>0</v>
      </c>
      <c r="I1051" s="49">
        <f t="shared" si="1"/>
        <v>5</v>
      </c>
      <c r="J1051" s="49">
        <f t="shared" si="2"/>
        <v>0</v>
      </c>
      <c r="K1051" s="49">
        <f t="shared" si="3"/>
        <v>5</v>
      </c>
      <c r="L1051" s="49" t="b">
        <f t="shared" si="4"/>
        <v>0</v>
      </c>
      <c r="M1051" s="88">
        <f t="shared" si="5"/>
        <v>0</v>
      </c>
    </row>
    <row r="1052" ht="14.25" customHeight="1">
      <c r="A1052" s="49" t="s">
        <v>3684</v>
      </c>
      <c r="B1052" s="49" t="str">
        <f>IFERROR(__xludf.DUMMYFUNCTION("REGEXEXTRACT(A1052,""^cost\.(.*)\.[^.]+\.[^.]+$"")"),"tech.tailor.strong_rivets")</f>
        <v>tech.tailor.strong_rivets</v>
      </c>
      <c r="C1052" s="49" t="str">
        <f t="array" ref="C1052">_xlfn.XLOOKUP(
 B1052,
 tblTargets[TargetID],
 tblTargets[DisplayName],
 ""
)</f>
        <v>Tailor - Strong Rivets</v>
      </c>
      <c r="D1052" s="49" t="str">
        <f t="array" ref="D1052">_xlfn.XLOOKUP(
 B1052,
 tblTargets[TargetID],
 tblTargets[TargetType],
 ""
)</f>
        <v>TECH</v>
      </c>
      <c r="E1052" s="49" t="s">
        <v>119</v>
      </c>
      <c r="F1052" s="87">
        <f>IFERROR(__xludf.DUMMYFUNCTION("VALUE(REGEXEXTRACT(A1052,""([^.]+)$""))"),1.0)</f>
        <v>1</v>
      </c>
      <c r="G1052" s="49">
        <v>500.0</v>
      </c>
      <c r="H1052" s="26" t="b">
        <f>COUNTIFS(
 tblCostChecklist[RequirementID],A1052,
 tblCostChecklist[PlayerPaid],TRUE
)&gt;0</f>
        <v>0</v>
      </c>
      <c r="I1052" s="49">
        <f t="shared" si="1"/>
        <v>5</v>
      </c>
      <c r="J1052" s="49">
        <f t="shared" si="2"/>
        <v>0</v>
      </c>
      <c r="K1052" s="49">
        <f t="shared" si="3"/>
        <v>5</v>
      </c>
      <c r="L1052" s="49" t="b">
        <f t="shared" si="4"/>
        <v>0</v>
      </c>
      <c r="M1052" s="88">
        <f t="shared" si="5"/>
        <v>0</v>
      </c>
    </row>
    <row r="1053" ht="14.25" customHeight="1">
      <c r="A1053" s="49" t="s">
        <v>3688</v>
      </c>
      <c r="B1053" s="49" t="str">
        <f>IFERROR(__xludf.DUMMYFUNCTION("REGEXEXTRACT(A1053,""^cost\.(.*)\.[^.]+\.[^.]+$"")"),"tech.tailor.strong_rivets")</f>
        <v>tech.tailor.strong_rivets</v>
      </c>
      <c r="C1053" s="49" t="str">
        <f t="array" ref="C1053">_xlfn.XLOOKUP(
 B1053,
 tblTargets[TargetID],
 tblTargets[DisplayName],
 ""
)</f>
        <v>Tailor - Strong Rivets</v>
      </c>
      <c r="D1053" s="49" t="str">
        <f t="array" ref="D1053">_xlfn.XLOOKUP(
 B1053,
 tblTargets[TargetID],
 tblTargets[TargetType],
 ""
)</f>
        <v>TECH</v>
      </c>
      <c r="E1053" s="49" t="s">
        <v>126</v>
      </c>
      <c r="F1053" s="87">
        <f>IFERROR(__xludf.DUMMYFUNCTION("VALUE(REGEXEXTRACT(A1053,""([^.]+)$""))"),1.0)</f>
        <v>1</v>
      </c>
      <c r="G1053" s="49">
        <v>30.0</v>
      </c>
      <c r="H1053" s="26" t="b">
        <f>COUNTIFS(
 tblCostChecklist[RequirementID],A1053,
 tblCostChecklist[PlayerPaid],TRUE
)&gt;0</f>
        <v>0</v>
      </c>
      <c r="I1053" s="49">
        <f t="shared" si="1"/>
        <v>5</v>
      </c>
      <c r="J1053" s="49">
        <f t="shared" si="2"/>
        <v>0</v>
      </c>
      <c r="K1053" s="49">
        <f t="shared" si="3"/>
        <v>5</v>
      </c>
      <c r="L1053" s="49" t="b">
        <f t="shared" si="4"/>
        <v>0</v>
      </c>
      <c r="M1053" s="88">
        <f t="shared" si="5"/>
        <v>0</v>
      </c>
    </row>
    <row r="1054" ht="14.25" customHeight="1">
      <c r="A1054" s="49" t="s">
        <v>3691</v>
      </c>
      <c r="B1054" s="49" t="str">
        <f>IFERROR(__xludf.DUMMYFUNCTION("REGEXEXTRACT(A1054,""^cost\.(.*)\.[^.]+\.[^.]+$"")"),"tech.tailor.strong_rivets")</f>
        <v>tech.tailor.strong_rivets</v>
      </c>
      <c r="C1054" s="49" t="str">
        <f t="array" ref="C1054">_xlfn.XLOOKUP(
 B1054,
 tblTargets[TargetID],
 tblTargets[DisplayName],
 ""
)</f>
        <v>Tailor - Strong Rivets</v>
      </c>
      <c r="D1054" s="49" t="str">
        <f t="array" ref="D1054">_xlfn.XLOOKUP(
 B1054,
 tblTargets[TargetID],
 tblTargets[TargetType],
 ""
)</f>
        <v>TECH</v>
      </c>
      <c r="E1054" s="49" t="s">
        <v>6</v>
      </c>
      <c r="F1054" s="87">
        <f>IFERROR(__xludf.DUMMYFUNCTION("VALUE(REGEXEXTRACT(A1054,""([^.]+)$""))"),1.0)</f>
        <v>1</v>
      </c>
      <c r="G1054" s="49">
        <v>2.0</v>
      </c>
      <c r="H1054" s="26" t="b">
        <f>COUNTIFS(
 tblCostChecklist[RequirementID],A1054,
 tblCostChecklist[PlayerPaid],TRUE
)&gt;0</f>
        <v>0</v>
      </c>
      <c r="I1054" s="49">
        <f t="shared" si="1"/>
        <v>5</v>
      </c>
      <c r="J1054" s="49">
        <f t="shared" si="2"/>
        <v>0</v>
      </c>
      <c r="K1054" s="49">
        <f t="shared" si="3"/>
        <v>5</v>
      </c>
      <c r="L1054" s="49" t="b">
        <f t="shared" si="4"/>
        <v>0</v>
      </c>
      <c r="M1054" s="88">
        <f t="shared" si="5"/>
        <v>0</v>
      </c>
    </row>
    <row r="1055" ht="14.25" customHeight="1">
      <c r="A1055" s="49" t="s">
        <v>3694</v>
      </c>
      <c r="B1055" s="49" t="str">
        <f>IFERROR(__xludf.DUMMYFUNCTION("REGEXEXTRACT(A1055,""^cost\.(.*)\.[^.]+\.[^.]+$"")"),"tech.tailor.strong_rivets")</f>
        <v>tech.tailor.strong_rivets</v>
      </c>
      <c r="C1055" s="49" t="str">
        <f t="array" ref="C1055">_xlfn.XLOOKUP(
 B1055,
 tblTargets[TargetID],
 tblTargets[DisplayName],
 ""
)</f>
        <v>Tailor - Strong Rivets</v>
      </c>
      <c r="D1055" s="49" t="str">
        <f t="array" ref="D1055">_xlfn.XLOOKUP(
 B1055,
 tblTargets[TargetID],
 tblTargets[TargetType],
 ""
)</f>
        <v>TECH</v>
      </c>
      <c r="E1055" s="49" t="s">
        <v>158</v>
      </c>
      <c r="F1055" s="87">
        <f>IFERROR(__xludf.DUMMYFUNCTION("VALUE(REGEXEXTRACT(A1055,""([^.]+)$""))"),1.0)</f>
        <v>1</v>
      </c>
      <c r="G1055" s="49">
        <v>10.0</v>
      </c>
      <c r="H1055" s="26" t="b">
        <f>COUNTIFS(
 tblCostChecklist[RequirementID],A1055,
 tblCostChecklist[PlayerPaid],TRUE
)&gt;0</f>
        <v>0</v>
      </c>
      <c r="I1055" s="49">
        <f t="shared" si="1"/>
        <v>5</v>
      </c>
      <c r="J1055" s="49">
        <f t="shared" si="2"/>
        <v>0</v>
      </c>
      <c r="K1055" s="49">
        <f t="shared" si="3"/>
        <v>5</v>
      </c>
      <c r="L1055" s="49" t="b">
        <f t="shared" si="4"/>
        <v>0</v>
      </c>
      <c r="M1055" s="88">
        <f t="shared" si="5"/>
        <v>0</v>
      </c>
    </row>
    <row r="1056" ht="14.25" customHeight="1">
      <c r="A1056" s="49" t="s">
        <v>3698</v>
      </c>
      <c r="B1056" s="49" t="str">
        <f>IFERROR(__xludf.DUMMYFUNCTION("REGEXEXTRACT(A1056,""^cost\.(.*)\.[^.]+\.[^.]+$"")"),"tech.tailor.colored_threads")</f>
        <v>tech.tailor.colored_threads</v>
      </c>
      <c r="C1056" s="49" t="str">
        <f t="array" ref="C1056">_xlfn.XLOOKUP(
 B1056,
 tblTargets[TargetID],
 tblTargets[DisplayName],
 ""
)</f>
        <v>Tailor - Colored Threads</v>
      </c>
      <c r="D1056" s="49" t="str">
        <f t="array" ref="D1056">_xlfn.XLOOKUP(
 B1056,
 tblTargets[TargetID],
 tblTargets[TargetType],
 ""
)</f>
        <v>TECH</v>
      </c>
      <c r="E1056" s="49" t="s">
        <v>2514</v>
      </c>
      <c r="F1056" s="87">
        <f>IFERROR(__xludf.DUMMYFUNCTION("VALUE(REGEXEXTRACT(A1056,""([^.]+)$""))"),1.0)</f>
        <v>1</v>
      </c>
      <c r="G1056" s="49">
        <v>10.0</v>
      </c>
      <c r="H1056" s="26" t="b">
        <f>COUNTIFS(
 tblCostChecklist[RequirementID],A1056,
 tblCostChecklist[PlayerPaid],TRUE
)&gt;0</f>
        <v>0</v>
      </c>
      <c r="I1056" s="49">
        <f t="shared" si="1"/>
        <v>7</v>
      </c>
      <c r="J1056" s="49">
        <f t="shared" si="2"/>
        <v>0</v>
      </c>
      <c r="K1056" s="49">
        <f t="shared" si="3"/>
        <v>7</v>
      </c>
      <c r="L1056" s="49" t="b">
        <f t="shared" si="4"/>
        <v>0</v>
      </c>
      <c r="M1056" s="88">
        <f t="shared" si="5"/>
        <v>0</v>
      </c>
    </row>
    <row r="1057" ht="14.25" customHeight="1">
      <c r="A1057" s="49" t="s">
        <v>3702</v>
      </c>
      <c r="B1057" s="49" t="str">
        <f>IFERROR(__xludf.DUMMYFUNCTION("REGEXEXTRACT(A1057,""^cost\.(.*)\.[^.]+\.[^.]+$"")"),"tech.tailor.colored_threads")</f>
        <v>tech.tailor.colored_threads</v>
      </c>
      <c r="C1057" s="49" t="str">
        <f t="array" ref="C1057">_xlfn.XLOOKUP(
 B1057,
 tblTargets[TargetID],
 tblTargets[DisplayName],
 ""
)</f>
        <v>Tailor - Colored Threads</v>
      </c>
      <c r="D1057" s="49" t="str">
        <f t="array" ref="D1057">_xlfn.XLOOKUP(
 B1057,
 tblTargets[TargetID],
 tblTargets[TargetType],
 ""
)</f>
        <v>TECH</v>
      </c>
      <c r="E1057" s="49" t="s">
        <v>119</v>
      </c>
      <c r="F1057" s="87">
        <f>IFERROR(__xludf.DUMMYFUNCTION("VALUE(REGEXEXTRACT(A1057,""([^.]+)$""))"),1.0)</f>
        <v>1</v>
      </c>
      <c r="G1057" s="49">
        <v>300.0</v>
      </c>
      <c r="H1057" s="26" t="b">
        <f>COUNTIFS(
 tblCostChecklist[RequirementID],A1057,
 tblCostChecklist[PlayerPaid],TRUE
)&gt;0</f>
        <v>0</v>
      </c>
      <c r="I1057" s="49">
        <f t="shared" si="1"/>
        <v>7</v>
      </c>
      <c r="J1057" s="49">
        <f t="shared" si="2"/>
        <v>0</v>
      </c>
      <c r="K1057" s="49">
        <f t="shared" si="3"/>
        <v>7</v>
      </c>
      <c r="L1057" s="49" t="b">
        <f t="shared" si="4"/>
        <v>0</v>
      </c>
      <c r="M1057" s="88">
        <f t="shared" si="5"/>
        <v>0</v>
      </c>
    </row>
    <row r="1058" ht="14.25" customHeight="1">
      <c r="A1058" s="49" t="s">
        <v>3706</v>
      </c>
      <c r="B1058" s="49" t="str">
        <f>IFERROR(__xludf.DUMMYFUNCTION("REGEXEXTRACT(A1058,""^cost\.(.*)\.[^.]+\.[^.]+$"")"),"tech.tailor.colored_threads")</f>
        <v>tech.tailor.colored_threads</v>
      </c>
      <c r="C1058" s="49" t="str">
        <f t="array" ref="C1058">_xlfn.XLOOKUP(
 B1058,
 tblTargets[TargetID],
 tblTargets[DisplayName],
 ""
)</f>
        <v>Tailor - Colored Threads</v>
      </c>
      <c r="D1058" s="49" t="str">
        <f t="array" ref="D1058">_xlfn.XLOOKUP(
 B1058,
 tblTargets[TargetID],
 tblTargets[TargetType],
 ""
)</f>
        <v>TECH</v>
      </c>
      <c r="E1058" s="49" t="s">
        <v>530</v>
      </c>
      <c r="F1058" s="87">
        <f>IFERROR(__xludf.DUMMYFUNCTION("VALUE(REGEXEXTRACT(A1058,""([^.]+)$""))"),1.0)</f>
        <v>1</v>
      </c>
      <c r="G1058" s="49">
        <v>5.0</v>
      </c>
      <c r="H1058" s="26" t="b">
        <f>COUNTIFS(
 tblCostChecklist[RequirementID],A1058,
 tblCostChecklist[PlayerPaid],TRUE
)&gt;0</f>
        <v>0</v>
      </c>
      <c r="I1058" s="49">
        <f t="shared" si="1"/>
        <v>7</v>
      </c>
      <c r="J1058" s="49">
        <f t="shared" si="2"/>
        <v>0</v>
      </c>
      <c r="K1058" s="49">
        <f t="shared" si="3"/>
        <v>7</v>
      </c>
      <c r="L1058" s="49" t="b">
        <f t="shared" si="4"/>
        <v>0</v>
      </c>
      <c r="M1058" s="88">
        <f t="shared" si="5"/>
        <v>0</v>
      </c>
    </row>
    <row r="1059" ht="14.25" customHeight="1">
      <c r="A1059" s="49" t="s">
        <v>3709</v>
      </c>
      <c r="B1059" s="49" t="str">
        <f>IFERROR(__xludf.DUMMYFUNCTION("REGEXEXTRACT(A1059,""^cost\.(.*)\.[^.]+\.[^.]+$"")"),"tech.tailor.colored_threads")</f>
        <v>tech.tailor.colored_threads</v>
      </c>
      <c r="C1059" s="49" t="str">
        <f t="array" ref="C1059">_xlfn.XLOOKUP(
 B1059,
 tblTargets[TargetID],
 tblTargets[DisplayName],
 ""
)</f>
        <v>Tailor - Colored Threads</v>
      </c>
      <c r="D1059" s="49" t="str">
        <f t="array" ref="D1059">_xlfn.XLOOKUP(
 B1059,
 tblTargets[TargetID],
 tblTargets[TargetType],
 ""
)</f>
        <v>TECH</v>
      </c>
      <c r="E1059" s="49" t="s">
        <v>508</v>
      </c>
      <c r="F1059" s="87">
        <f>IFERROR(__xludf.DUMMYFUNCTION("VALUE(REGEXEXTRACT(A1059,""([^.]+)$""))"),1.0)</f>
        <v>1</v>
      </c>
      <c r="G1059" s="49">
        <v>10.0</v>
      </c>
      <c r="H1059" s="26" t="b">
        <f>COUNTIFS(
 tblCostChecklist[RequirementID],A1059,
 tblCostChecklist[PlayerPaid],TRUE
)&gt;0</f>
        <v>0</v>
      </c>
      <c r="I1059" s="49">
        <f t="shared" si="1"/>
        <v>7</v>
      </c>
      <c r="J1059" s="49">
        <f t="shared" si="2"/>
        <v>0</v>
      </c>
      <c r="K1059" s="49">
        <f t="shared" si="3"/>
        <v>7</v>
      </c>
      <c r="L1059" s="49" t="b">
        <f t="shared" si="4"/>
        <v>0</v>
      </c>
      <c r="M1059" s="88">
        <f t="shared" si="5"/>
        <v>0</v>
      </c>
    </row>
    <row r="1060" ht="14.25" customHeight="1">
      <c r="A1060" s="49" t="s">
        <v>3712</v>
      </c>
      <c r="B1060" s="49" t="str">
        <f>IFERROR(__xludf.DUMMYFUNCTION("REGEXEXTRACT(A1060,""^cost\.(.*)\.[^.]+\.[^.]+$"")"),"tech.tailor.colored_threads")</f>
        <v>tech.tailor.colored_threads</v>
      </c>
      <c r="C1060" s="49" t="str">
        <f t="array" ref="C1060">_xlfn.XLOOKUP(
 B1060,
 tblTargets[TargetID],
 tblTargets[DisplayName],
 ""
)</f>
        <v>Tailor - Colored Threads</v>
      </c>
      <c r="D1060" s="49" t="str">
        <f t="array" ref="D1060">_xlfn.XLOOKUP(
 B1060,
 tblTargets[TargetID],
 tblTargets[TargetType],
 ""
)</f>
        <v>TECH</v>
      </c>
      <c r="E1060" s="49" t="s">
        <v>140</v>
      </c>
      <c r="F1060" s="87">
        <f>IFERROR(__xludf.DUMMYFUNCTION("VALUE(REGEXEXTRACT(A1060,""([^.]+)$""))"),1.0)</f>
        <v>1</v>
      </c>
      <c r="G1060" s="49">
        <v>10.0</v>
      </c>
      <c r="H1060" s="26" t="b">
        <f>COUNTIFS(
 tblCostChecklist[RequirementID],A1060,
 tblCostChecklist[PlayerPaid],TRUE
)&gt;0</f>
        <v>0</v>
      </c>
      <c r="I1060" s="49">
        <f t="shared" si="1"/>
        <v>7</v>
      </c>
      <c r="J1060" s="49">
        <f t="shared" si="2"/>
        <v>0</v>
      </c>
      <c r="K1060" s="49">
        <f t="shared" si="3"/>
        <v>7</v>
      </c>
      <c r="L1060" s="49" t="b">
        <f t="shared" si="4"/>
        <v>0</v>
      </c>
      <c r="M1060" s="88">
        <f t="shared" si="5"/>
        <v>0</v>
      </c>
    </row>
    <row r="1061" ht="14.25" customHeight="1">
      <c r="A1061" s="49" t="s">
        <v>3715</v>
      </c>
      <c r="B1061" s="49" t="str">
        <f>IFERROR(__xludf.DUMMYFUNCTION("REGEXEXTRACT(A1061,""^cost\.(.*)\.[^.]+\.[^.]+$"")"),"tech.tailor.colored_threads")</f>
        <v>tech.tailor.colored_threads</v>
      </c>
      <c r="C1061" s="49" t="str">
        <f t="array" ref="C1061">_xlfn.XLOOKUP(
 B1061,
 tblTargets[TargetID],
 tblTargets[DisplayName],
 ""
)</f>
        <v>Tailor - Colored Threads</v>
      </c>
      <c r="D1061" s="49" t="str">
        <f t="array" ref="D1061">_xlfn.XLOOKUP(
 B1061,
 tblTargets[TargetID],
 tblTargets[TargetType],
 ""
)</f>
        <v>TECH</v>
      </c>
      <c r="E1061" s="49" t="s">
        <v>6</v>
      </c>
      <c r="F1061" s="87">
        <f>IFERROR(__xludf.DUMMYFUNCTION("VALUE(REGEXEXTRACT(A1061,""([^.]+)$""))"),1.0)</f>
        <v>1</v>
      </c>
      <c r="G1061" s="49">
        <v>2.0</v>
      </c>
      <c r="H1061" s="26" t="b">
        <f>COUNTIFS(
 tblCostChecklist[RequirementID],A1061,
 tblCostChecklist[PlayerPaid],TRUE
)&gt;0</f>
        <v>0</v>
      </c>
      <c r="I1061" s="49">
        <f t="shared" si="1"/>
        <v>7</v>
      </c>
      <c r="J1061" s="49">
        <f t="shared" si="2"/>
        <v>0</v>
      </c>
      <c r="K1061" s="49">
        <f t="shared" si="3"/>
        <v>7</v>
      </c>
      <c r="L1061" s="49" t="b">
        <f t="shared" si="4"/>
        <v>0</v>
      </c>
      <c r="M1061" s="88">
        <f t="shared" si="5"/>
        <v>0</v>
      </c>
    </row>
    <row r="1062" ht="14.25" customHeight="1">
      <c r="A1062" s="49" t="s">
        <v>3719</v>
      </c>
      <c r="B1062" s="49" t="str">
        <f>IFERROR(__xludf.DUMMYFUNCTION("REGEXEXTRACT(A1062,""^cost\.(.*)\.[^.]+\.[^.]+$"")"),"tech.tailor.colored_threads")</f>
        <v>tech.tailor.colored_threads</v>
      </c>
      <c r="C1062" s="49" t="str">
        <f t="array" ref="C1062">_xlfn.XLOOKUP(
 B1062,
 tblTargets[TargetID],
 tblTargets[DisplayName],
 ""
)</f>
        <v>Tailor - Colored Threads</v>
      </c>
      <c r="D1062" s="49" t="str">
        <f t="array" ref="D1062">_xlfn.XLOOKUP(
 B1062,
 tblTargets[TargetID],
 tblTargets[TargetType],
 ""
)</f>
        <v>TECH</v>
      </c>
      <c r="E1062" s="49" t="s">
        <v>158</v>
      </c>
      <c r="F1062" s="87">
        <f>IFERROR(__xludf.DUMMYFUNCTION("VALUE(REGEXEXTRACT(A1062,""([^.]+)$""))"),1.0)</f>
        <v>1</v>
      </c>
      <c r="G1062" s="49">
        <v>10.0</v>
      </c>
      <c r="H1062" s="26" t="b">
        <f>COUNTIFS(
 tblCostChecklist[RequirementID],A1062,
 tblCostChecklist[PlayerPaid],TRUE
)&gt;0</f>
        <v>0</v>
      </c>
      <c r="I1062" s="49">
        <f t="shared" si="1"/>
        <v>7</v>
      </c>
      <c r="J1062" s="49">
        <f t="shared" si="2"/>
        <v>0</v>
      </c>
      <c r="K1062" s="49">
        <f t="shared" si="3"/>
        <v>7</v>
      </c>
      <c r="L1062" s="49" t="b">
        <f t="shared" si="4"/>
        <v>0</v>
      </c>
      <c r="M1062" s="88">
        <f t="shared" si="5"/>
        <v>0</v>
      </c>
    </row>
    <row r="1063" ht="14.25" customHeight="1">
      <c r="A1063" s="49" t="s">
        <v>3723</v>
      </c>
      <c r="B1063" s="49" t="str">
        <f>IFERROR(__xludf.DUMMYFUNCTION("REGEXEXTRACT(A1063,""^cost\.(.*)\.[^.]+\.[^.]+$"")"),"tech.train.compound_engine")</f>
        <v>tech.train.compound_engine</v>
      </c>
      <c r="C1063" s="49" t="str">
        <f t="array" ref="C1063">_xlfn.XLOOKUP(
 B1063,
 tblTargets[TargetID],
 tblTargets[DisplayName],
 ""
)</f>
        <v>Train - Compound Engine</v>
      </c>
      <c r="D1063" s="49" t="str">
        <f t="array" ref="D1063">_xlfn.XLOOKUP(
 B1063,
 tblTargets[TargetID],
 tblTargets[TargetType],
 ""
)</f>
        <v>TECH</v>
      </c>
      <c r="E1063" s="49" t="s">
        <v>1055</v>
      </c>
      <c r="F1063" s="87">
        <f>IFERROR(__xludf.DUMMYFUNCTION("VALUE(REGEXEXTRACT(A1063,""([^.]+)$""))"),1.0)</f>
        <v>1</v>
      </c>
      <c r="G1063" s="49">
        <v>30.0</v>
      </c>
      <c r="H1063" s="26" t="b">
        <f>COUNTIFS(
 tblCostChecklist[RequirementID],A1063,
 tblCostChecklist[PlayerPaid],TRUE
)&gt;0</f>
        <v>0</v>
      </c>
      <c r="I1063" s="49">
        <f t="shared" si="1"/>
        <v>5</v>
      </c>
      <c r="J1063" s="49">
        <f t="shared" si="2"/>
        <v>0</v>
      </c>
      <c r="K1063" s="49">
        <f t="shared" si="3"/>
        <v>5</v>
      </c>
      <c r="L1063" s="49" t="b">
        <f t="shared" si="4"/>
        <v>0</v>
      </c>
      <c r="M1063" s="88">
        <f t="shared" si="5"/>
        <v>0</v>
      </c>
    </row>
    <row r="1064" ht="14.25" customHeight="1">
      <c r="A1064" s="49" t="s">
        <v>3727</v>
      </c>
      <c r="B1064" s="49" t="str">
        <f>IFERROR(__xludf.DUMMYFUNCTION("REGEXEXTRACT(A1064,""^cost\.(.*)\.[^.]+\.[^.]+$"")"),"tech.train.compound_engine")</f>
        <v>tech.train.compound_engine</v>
      </c>
      <c r="C1064" s="49" t="str">
        <f t="array" ref="C1064">_xlfn.XLOOKUP(
 B1064,
 tblTargets[TargetID],
 tblTargets[DisplayName],
 ""
)</f>
        <v>Train - Compound Engine</v>
      </c>
      <c r="D1064" s="49" t="str">
        <f t="array" ref="D1064">_xlfn.XLOOKUP(
 B1064,
 tblTargets[TargetID],
 tblTargets[TargetType],
 ""
)</f>
        <v>TECH</v>
      </c>
      <c r="E1064" s="49" t="s">
        <v>119</v>
      </c>
      <c r="F1064" s="87">
        <f>IFERROR(__xludf.DUMMYFUNCTION("VALUE(REGEXEXTRACT(A1064,""([^.]+)$""))"),1.0)</f>
        <v>1</v>
      </c>
      <c r="G1064" s="49">
        <v>1500.0</v>
      </c>
      <c r="H1064" s="26" t="b">
        <f>COUNTIFS(
 tblCostChecklist[RequirementID],A1064,
 tblCostChecklist[PlayerPaid],TRUE
)&gt;0</f>
        <v>0</v>
      </c>
      <c r="I1064" s="49">
        <f t="shared" si="1"/>
        <v>5</v>
      </c>
      <c r="J1064" s="49">
        <f t="shared" si="2"/>
        <v>0</v>
      </c>
      <c r="K1064" s="49">
        <f t="shared" si="3"/>
        <v>5</v>
      </c>
      <c r="L1064" s="49" t="b">
        <f t="shared" si="4"/>
        <v>0</v>
      </c>
      <c r="M1064" s="88">
        <f t="shared" si="5"/>
        <v>0</v>
      </c>
    </row>
    <row r="1065" ht="14.25" customHeight="1">
      <c r="A1065" s="49" t="s">
        <v>3732</v>
      </c>
      <c r="B1065" s="49" t="str">
        <f>IFERROR(__xludf.DUMMYFUNCTION("REGEXEXTRACT(A1065,""^cost\.(.*)\.[^.]+\.[^.]+$"")"),"tech.train.compound_engine")</f>
        <v>tech.train.compound_engine</v>
      </c>
      <c r="C1065" s="49" t="str">
        <f t="array" ref="C1065">_xlfn.XLOOKUP(
 B1065,
 tblTargets[TargetID],
 tblTargets[DisplayName],
 ""
)</f>
        <v>Train - Compound Engine</v>
      </c>
      <c r="D1065" s="49" t="str">
        <f t="array" ref="D1065">_xlfn.XLOOKUP(
 B1065,
 tblTargets[TargetID],
 tblTargets[TargetType],
 ""
)</f>
        <v>TECH</v>
      </c>
      <c r="E1065" s="49" t="s">
        <v>179</v>
      </c>
      <c r="F1065" s="87">
        <f>IFERROR(__xludf.DUMMYFUNCTION("VALUE(REGEXEXTRACT(A1065,""([^.]+)$""))"),1.0)</f>
        <v>1</v>
      </c>
      <c r="G1065" s="49">
        <v>50.0</v>
      </c>
      <c r="H1065" s="26" t="b">
        <f>COUNTIFS(
 tblCostChecklist[RequirementID],A1065,
 tblCostChecklist[PlayerPaid],TRUE
)&gt;0</f>
        <v>0</v>
      </c>
      <c r="I1065" s="49">
        <f t="shared" si="1"/>
        <v>5</v>
      </c>
      <c r="J1065" s="49">
        <f t="shared" si="2"/>
        <v>0</v>
      </c>
      <c r="K1065" s="49">
        <f t="shared" si="3"/>
        <v>5</v>
      </c>
      <c r="L1065" s="49" t="b">
        <f t="shared" si="4"/>
        <v>0</v>
      </c>
      <c r="M1065" s="88">
        <f t="shared" si="5"/>
        <v>0</v>
      </c>
    </row>
    <row r="1066" ht="14.25" customHeight="1">
      <c r="A1066" s="49" t="s">
        <v>3736</v>
      </c>
      <c r="B1066" s="49" t="str">
        <f>IFERROR(__xludf.DUMMYFUNCTION("REGEXEXTRACT(A1066,""^cost\.(.*)\.[^.]+\.[^.]+$"")"),"tech.train.compound_engine")</f>
        <v>tech.train.compound_engine</v>
      </c>
      <c r="C1066" s="49" t="str">
        <f t="array" ref="C1066">_xlfn.XLOOKUP(
 B1066,
 tblTargets[TargetID],
 tblTargets[DisplayName],
 ""
)</f>
        <v>Train - Compound Engine</v>
      </c>
      <c r="D1066" s="49" t="str">
        <f t="array" ref="D1066">_xlfn.XLOOKUP(
 B1066,
 tblTargets[TargetID],
 tblTargets[TargetType],
 ""
)</f>
        <v>TECH</v>
      </c>
      <c r="E1066" s="49" t="s">
        <v>1078</v>
      </c>
      <c r="F1066" s="87">
        <f>IFERROR(__xludf.DUMMYFUNCTION("VALUE(REGEXEXTRACT(A1066,""([^.]+)$""))"),1.0)</f>
        <v>1</v>
      </c>
      <c r="G1066" s="49">
        <v>30.0</v>
      </c>
      <c r="H1066" s="26" t="b">
        <f>COUNTIFS(
 tblCostChecklist[RequirementID],A1066,
 tblCostChecklist[PlayerPaid],TRUE
)&gt;0</f>
        <v>0</v>
      </c>
      <c r="I1066" s="49">
        <f t="shared" si="1"/>
        <v>5</v>
      </c>
      <c r="J1066" s="49">
        <f t="shared" si="2"/>
        <v>0</v>
      </c>
      <c r="K1066" s="49">
        <f t="shared" si="3"/>
        <v>5</v>
      </c>
      <c r="L1066" s="49" t="b">
        <f t="shared" si="4"/>
        <v>0</v>
      </c>
      <c r="M1066" s="88">
        <f t="shared" si="5"/>
        <v>0</v>
      </c>
    </row>
    <row r="1067" ht="14.25" customHeight="1">
      <c r="A1067" s="49" t="s">
        <v>3739</v>
      </c>
      <c r="B1067" s="49" t="str">
        <f>IFERROR(__xludf.DUMMYFUNCTION("REGEXEXTRACT(A1067,""^cost\.(.*)\.[^.]+\.[^.]+$"")"),"tech.train.compound_engine")</f>
        <v>tech.train.compound_engine</v>
      </c>
      <c r="C1067" s="49" t="str">
        <f t="array" ref="C1067">_xlfn.XLOOKUP(
 B1067,
 tblTargets[TargetID],
 tblTargets[DisplayName],
 ""
)</f>
        <v>Train - Compound Engine</v>
      </c>
      <c r="D1067" s="49" t="str">
        <f t="array" ref="D1067">_xlfn.XLOOKUP(
 B1067,
 tblTargets[TargetID],
 tblTargets[TargetType],
 ""
)</f>
        <v>TECH</v>
      </c>
      <c r="E1067" s="49" t="s">
        <v>6</v>
      </c>
      <c r="F1067" s="87">
        <f>IFERROR(__xludf.DUMMYFUNCTION("VALUE(REGEXEXTRACT(A1067,""([^.]+)$""))"),1.0)</f>
        <v>1</v>
      </c>
      <c r="G1067" s="49">
        <v>4.0</v>
      </c>
      <c r="H1067" s="26" t="b">
        <f>COUNTIFS(
 tblCostChecklist[RequirementID],A1067,
 tblCostChecklist[PlayerPaid],TRUE
)&gt;0</f>
        <v>0</v>
      </c>
      <c r="I1067" s="49">
        <f t="shared" si="1"/>
        <v>5</v>
      </c>
      <c r="J1067" s="49">
        <f t="shared" si="2"/>
        <v>0</v>
      </c>
      <c r="K1067" s="49">
        <f t="shared" si="3"/>
        <v>5</v>
      </c>
      <c r="L1067" s="49" t="b">
        <f t="shared" si="4"/>
        <v>0</v>
      </c>
      <c r="M1067" s="88">
        <f t="shared" si="5"/>
        <v>0</v>
      </c>
    </row>
    <row r="1068" ht="14.25" customHeight="1">
      <c r="A1068" s="49" t="s">
        <v>3743</v>
      </c>
      <c r="B1068" s="49" t="str">
        <f>IFERROR(__xludf.DUMMYFUNCTION("REGEXEXTRACT(A1068,""^cost\.(.*)\.[^.]+\.[^.]+$"")"),"tech.train.superheater")</f>
        <v>tech.train.superheater</v>
      </c>
      <c r="C1068" s="49" t="str">
        <f t="array" ref="C1068">_xlfn.XLOOKUP(
 B1068,
 tblTargets[TargetID],
 tblTargets[DisplayName],
 ""
)</f>
        <v>Train - Superheater</v>
      </c>
      <c r="D1068" s="49" t="str">
        <f t="array" ref="D1068">_xlfn.XLOOKUP(
 B1068,
 tblTargets[TargetID],
 tblTargets[TargetType],
 ""
)</f>
        <v>TECH</v>
      </c>
      <c r="E1068" s="49" t="s">
        <v>1055</v>
      </c>
      <c r="F1068" s="87">
        <f>IFERROR(__xludf.DUMMYFUNCTION("VALUE(REGEXEXTRACT(A1068,""([^.]+)$""))"),1.0)</f>
        <v>1</v>
      </c>
      <c r="G1068" s="49">
        <v>30.0</v>
      </c>
      <c r="H1068" s="26" t="b">
        <f>COUNTIFS(
 tblCostChecklist[RequirementID],A1068,
 tblCostChecklist[PlayerPaid],TRUE
)&gt;0</f>
        <v>0</v>
      </c>
      <c r="I1068" s="49">
        <f t="shared" si="1"/>
        <v>6</v>
      </c>
      <c r="J1068" s="49">
        <f t="shared" si="2"/>
        <v>0</v>
      </c>
      <c r="K1068" s="49">
        <f t="shared" si="3"/>
        <v>6</v>
      </c>
      <c r="L1068" s="49" t="b">
        <f t="shared" si="4"/>
        <v>0</v>
      </c>
      <c r="M1068" s="88">
        <f t="shared" si="5"/>
        <v>0</v>
      </c>
    </row>
    <row r="1069" ht="14.25" customHeight="1">
      <c r="A1069" s="49" t="s">
        <v>3745</v>
      </c>
      <c r="B1069" s="49" t="str">
        <f>IFERROR(__xludf.DUMMYFUNCTION("REGEXEXTRACT(A1069,""^cost\.(.*)\.[^.]+\.[^.]+$"")"),"tech.train.superheater")</f>
        <v>tech.train.superheater</v>
      </c>
      <c r="C1069" s="49" t="str">
        <f t="array" ref="C1069">_xlfn.XLOOKUP(
 B1069,
 tblTargets[TargetID],
 tblTargets[DisplayName],
 ""
)</f>
        <v>Train - Superheater</v>
      </c>
      <c r="D1069" s="49" t="str">
        <f t="array" ref="D1069">_xlfn.XLOOKUP(
 B1069,
 tblTargets[TargetID],
 tblTargets[TargetType],
 ""
)</f>
        <v>TECH</v>
      </c>
      <c r="E1069" s="49" t="s">
        <v>2297</v>
      </c>
      <c r="F1069" s="87">
        <f>IFERROR(__xludf.DUMMYFUNCTION("VALUE(REGEXEXTRACT(A1069,""([^.]+)$""))"),1.0)</f>
        <v>1</v>
      </c>
      <c r="G1069" s="49">
        <v>30.0</v>
      </c>
      <c r="H1069" s="26" t="b">
        <f>COUNTIFS(
 tblCostChecklist[RequirementID],A1069,
 tblCostChecklist[PlayerPaid],TRUE
)&gt;0</f>
        <v>0</v>
      </c>
      <c r="I1069" s="49">
        <f t="shared" si="1"/>
        <v>6</v>
      </c>
      <c r="J1069" s="49">
        <f t="shared" si="2"/>
        <v>0</v>
      </c>
      <c r="K1069" s="49">
        <f t="shared" si="3"/>
        <v>6</v>
      </c>
      <c r="L1069" s="49" t="b">
        <f t="shared" si="4"/>
        <v>0</v>
      </c>
      <c r="M1069" s="88">
        <f t="shared" si="5"/>
        <v>0</v>
      </c>
    </row>
    <row r="1070" ht="14.25" customHeight="1">
      <c r="A1070" s="49" t="s">
        <v>3749</v>
      </c>
      <c r="B1070" s="49" t="str">
        <f>IFERROR(__xludf.DUMMYFUNCTION("REGEXEXTRACT(A1070,""^cost\.(.*)\.[^.]+\.[^.]+$"")"),"tech.train.superheater")</f>
        <v>tech.train.superheater</v>
      </c>
      <c r="C1070" s="49" t="str">
        <f t="array" ref="C1070">_xlfn.XLOOKUP(
 B1070,
 tblTargets[TargetID],
 tblTargets[DisplayName],
 ""
)</f>
        <v>Train - Superheater</v>
      </c>
      <c r="D1070" s="49" t="str">
        <f t="array" ref="D1070">_xlfn.XLOOKUP(
 B1070,
 tblTargets[TargetID],
 tblTargets[TargetType],
 ""
)</f>
        <v>TECH</v>
      </c>
      <c r="E1070" s="49" t="s">
        <v>119</v>
      </c>
      <c r="F1070" s="87">
        <f>IFERROR(__xludf.DUMMYFUNCTION("VALUE(REGEXEXTRACT(A1070,""([^.]+)$""))"),1.0)</f>
        <v>1</v>
      </c>
      <c r="G1070" s="49">
        <v>1500.0</v>
      </c>
      <c r="H1070" s="26" t="b">
        <f>COUNTIFS(
 tblCostChecklist[RequirementID],A1070,
 tblCostChecklist[PlayerPaid],TRUE
)&gt;0</f>
        <v>0</v>
      </c>
      <c r="I1070" s="49">
        <f t="shared" si="1"/>
        <v>6</v>
      </c>
      <c r="J1070" s="49">
        <f t="shared" si="2"/>
        <v>0</v>
      </c>
      <c r="K1070" s="49">
        <f t="shared" si="3"/>
        <v>6</v>
      </c>
      <c r="L1070" s="49" t="b">
        <f t="shared" si="4"/>
        <v>0</v>
      </c>
      <c r="M1070" s="88">
        <f t="shared" si="5"/>
        <v>0</v>
      </c>
    </row>
    <row r="1071" ht="14.25" customHeight="1">
      <c r="A1071" s="49" t="s">
        <v>3753</v>
      </c>
      <c r="B1071" s="49" t="str">
        <f>IFERROR(__xludf.DUMMYFUNCTION("REGEXEXTRACT(A1071,""^cost\.(.*)\.[^.]+\.[^.]+$"")"),"tech.train.superheater")</f>
        <v>tech.train.superheater</v>
      </c>
      <c r="C1071" s="49" t="str">
        <f t="array" ref="C1071">_xlfn.XLOOKUP(
 B1071,
 tblTargets[TargetID],
 tblTargets[DisplayName],
 ""
)</f>
        <v>Train - Superheater</v>
      </c>
      <c r="D1071" s="49" t="str">
        <f t="array" ref="D1071">_xlfn.XLOOKUP(
 B1071,
 tblTargets[TargetID],
 tblTargets[TargetType],
 ""
)</f>
        <v>TECH</v>
      </c>
      <c r="E1071" s="49" t="s">
        <v>1078</v>
      </c>
      <c r="F1071" s="87">
        <f>IFERROR(__xludf.DUMMYFUNCTION("VALUE(REGEXEXTRACT(A1071,""([^.]+)$""))"),1.0)</f>
        <v>1</v>
      </c>
      <c r="G1071" s="49">
        <v>30.0</v>
      </c>
      <c r="H1071" s="26" t="b">
        <f>COUNTIFS(
 tblCostChecklist[RequirementID],A1071,
 tblCostChecklist[PlayerPaid],TRUE
)&gt;0</f>
        <v>0</v>
      </c>
      <c r="I1071" s="49">
        <f t="shared" si="1"/>
        <v>6</v>
      </c>
      <c r="J1071" s="49">
        <f t="shared" si="2"/>
        <v>0</v>
      </c>
      <c r="K1071" s="49">
        <f t="shared" si="3"/>
        <v>6</v>
      </c>
      <c r="L1071" s="49" t="b">
        <f t="shared" si="4"/>
        <v>0</v>
      </c>
      <c r="M1071" s="88">
        <f t="shared" si="5"/>
        <v>0</v>
      </c>
    </row>
    <row r="1072" ht="14.25" customHeight="1">
      <c r="A1072" s="49" t="s">
        <v>3756</v>
      </c>
      <c r="B1072" s="49" t="str">
        <f>IFERROR(__xludf.DUMMYFUNCTION("REGEXEXTRACT(A1072,""^cost\.(.*)\.[^.]+\.[^.]+$"")"),"tech.train.superheater")</f>
        <v>tech.train.superheater</v>
      </c>
      <c r="C1072" s="49" t="str">
        <f t="array" ref="C1072">_xlfn.XLOOKUP(
 B1072,
 tblTargets[TargetID],
 tblTargets[DisplayName],
 ""
)</f>
        <v>Train - Superheater</v>
      </c>
      <c r="D1072" s="49" t="str">
        <f t="array" ref="D1072">_xlfn.XLOOKUP(
 B1072,
 tblTargets[TargetID],
 tblTargets[TargetType],
 ""
)</f>
        <v>TECH</v>
      </c>
      <c r="E1072" s="49" t="s">
        <v>6</v>
      </c>
      <c r="F1072" s="87">
        <f>IFERROR(__xludf.DUMMYFUNCTION("VALUE(REGEXEXTRACT(A1072,""([^.]+)$""))"),1.0)</f>
        <v>1</v>
      </c>
      <c r="G1072" s="49">
        <v>4.0</v>
      </c>
      <c r="H1072" s="26" t="b">
        <f>COUNTIFS(
 tblCostChecklist[RequirementID],A1072,
 tblCostChecklist[PlayerPaid],TRUE
)&gt;0</f>
        <v>0</v>
      </c>
      <c r="I1072" s="49">
        <f t="shared" si="1"/>
        <v>6</v>
      </c>
      <c r="J1072" s="49">
        <f t="shared" si="2"/>
        <v>0</v>
      </c>
      <c r="K1072" s="49">
        <f t="shared" si="3"/>
        <v>6</v>
      </c>
      <c r="L1072" s="49" t="b">
        <f t="shared" si="4"/>
        <v>0</v>
      </c>
      <c r="M1072" s="88">
        <f t="shared" si="5"/>
        <v>0</v>
      </c>
    </row>
    <row r="1073" ht="14.25" customHeight="1">
      <c r="A1073" s="49" t="s">
        <v>3760</v>
      </c>
      <c r="B1073" s="49" t="str">
        <f>IFERROR(__xludf.DUMMYFUNCTION("REGEXEXTRACT(A1073,""^cost\.(.*)\.[^.]+\.[^.]+$"")"),"tech.train.superheater")</f>
        <v>tech.train.superheater</v>
      </c>
      <c r="C1073" s="49" t="str">
        <f t="array" ref="C1073">_xlfn.XLOOKUP(
 B1073,
 tblTargets[TargetID],
 tblTargets[DisplayName],
 ""
)</f>
        <v>Train - Superheater</v>
      </c>
      <c r="D1073" s="49" t="str">
        <f t="array" ref="D1073">_xlfn.XLOOKUP(
 B1073,
 tblTargets[TargetID],
 tblTargets[TargetType],
 ""
)</f>
        <v>TECH</v>
      </c>
      <c r="E1073" s="49" t="s">
        <v>392</v>
      </c>
      <c r="F1073" s="87">
        <f>IFERROR(__xludf.DUMMYFUNCTION("VALUE(REGEXEXTRACT(A1073,""([^.]+)$""))"),1.0)</f>
        <v>1</v>
      </c>
      <c r="G1073" s="49">
        <v>500.0</v>
      </c>
      <c r="H1073" s="26" t="b">
        <f>COUNTIFS(
 tblCostChecklist[RequirementID],A1073,
 tblCostChecklist[PlayerPaid],TRUE
)&gt;0</f>
        <v>0</v>
      </c>
      <c r="I1073" s="49">
        <f t="shared" si="1"/>
        <v>6</v>
      </c>
      <c r="J1073" s="49">
        <f t="shared" si="2"/>
        <v>0</v>
      </c>
      <c r="K1073" s="49">
        <f t="shared" si="3"/>
        <v>6</v>
      </c>
      <c r="L1073" s="49" t="b">
        <f t="shared" si="4"/>
        <v>0</v>
      </c>
      <c r="M1073" s="88">
        <f t="shared" si="5"/>
        <v>0</v>
      </c>
    </row>
    <row r="1074" ht="14.25" customHeight="1">
      <c r="A1074" s="49" t="s">
        <v>3763</v>
      </c>
      <c r="B1074" s="49" t="str">
        <f>IFERROR(__xludf.DUMMYFUNCTION("REGEXEXTRACT(A1074,""^cost\.(.*)\.[^.]+\.[^.]+$"")"),"tech.train.automatic_lubricator")</f>
        <v>tech.train.automatic_lubricator</v>
      </c>
      <c r="C1074" s="49" t="str">
        <f t="array" ref="C1074">_xlfn.XLOOKUP(
 B1074,
 tblTargets[TargetID],
 tblTargets[DisplayName],
 ""
)</f>
        <v>Train - Automatic Lubricator</v>
      </c>
      <c r="D1074" s="49" t="str">
        <f t="array" ref="D1074">_xlfn.XLOOKUP(
 B1074,
 tblTargets[TargetID],
 tblTargets[TargetType],
 ""
)</f>
        <v>TECH</v>
      </c>
      <c r="E1074" s="49" t="s">
        <v>1055</v>
      </c>
      <c r="F1074" s="87">
        <f>IFERROR(__xludf.DUMMYFUNCTION("VALUE(REGEXEXTRACT(A1074,""([^.]+)$""))"),1.0)</f>
        <v>1</v>
      </c>
      <c r="G1074" s="49">
        <v>30.0</v>
      </c>
      <c r="H1074" s="26" t="b">
        <f>COUNTIFS(
 tblCostChecklist[RequirementID],A1074,
 tblCostChecklist[PlayerPaid],TRUE
)&gt;0</f>
        <v>0</v>
      </c>
      <c r="I1074" s="49">
        <f t="shared" si="1"/>
        <v>5</v>
      </c>
      <c r="J1074" s="49">
        <f t="shared" si="2"/>
        <v>0</v>
      </c>
      <c r="K1074" s="49">
        <f t="shared" si="3"/>
        <v>5</v>
      </c>
      <c r="L1074" s="49" t="b">
        <f t="shared" si="4"/>
        <v>0</v>
      </c>
      <c r="M1074" s="88">
        <f t="shared" si="5"/>
        <v>0</v>
      </c>
    </row>
    <row r="1075" ht="14.25" customHeight="1">
      <c r="A1075" s="49" t="s">
        <v>3766</v>
      </c>
      <c r="B1075" s="49" t="str">
        <f>IFERROR(__xludf.DUMMYFUNCTION("REGEXEXTRACT(A1075,""^cost\.(.*)\.[^.]+\.[^.]+$"")"),"tech.train.automatic_lubricator")</f>
        <v>tech.train.automatic_lubricator</v>
      </c>
      <c r="C1075" s="49" t="str">
        <f t="array" ref="C1075">_xlfn.XLOOKUP(
 B1075,
 tblTargets[TargetID],
 tblTargets[DisplayName],
 ""
)</f>
        <v>Train - Automatic Lubricator</v>
      </c>
      <c r="D1075" s="49" t="str">
        <f t="array" ref="D1075">_xlfn.XLOOKUP(
 B1075,
 tblTargets[TargetID],
 tblTargets[TargetType],
 ""
)</f>
        <v>TECH</v>
      </c>
      <c r="E1075" s="49" t="s">
        <v>119</v>
      </c>
      <c r="F1075" s="87">
        <f>IFERROR(__xludf.DUMMYFUNCTION("VALUE(REGEXEXTRACT(A1075,""([^.]+)$""))"),1.0)</f>
        <v>1</v>
      </c>
      <c r="G1075" s="49">
        <v>1500.0</v>
      </c>
      <c r="H1075" s="26" t="b">
        <f>COUNTIFS(
 tblCostChecklist[RequirementID],A1075,
 tblCostChecklist[PlayerPaid],TRUE
)&gt;0</f>
        <v>0</v>
      </c>
      <c r="I1075" s="49">
        <f t="shared" si="1"/>
        <v>5</v>
      </c>
      <c r="J1075" s="49">
        <f t="shared" si="2"/>
        <v>0</v>
      </c>
      <c r="K1075" s="49">
        <f t="shared" si="3"/>
        <v>5</v>
      </c>
      <c r="L1075" s="49" t="b">
        <f t="shared" si="4"/>
        <v>0</v>
      </c>
      <c r="M1075" s="88">
        <f t="shared" si="5"/>
        <v>0</v>
      </c>
    </row>
    <row r="1076" ht="14.25" customHeight="1">
      <c r="A1076" s="49" t="s">
        <v>3770</v>
      </c>
      <c r="B1076" s="49" t="str">
        <f>IFERROR(__xludf.DUMMYFUNCTION("REGEXEXTRACT(A1076,""^cost\.(.*)\.[^.]+\.[^.]+$"")"),"tech.train.automatic_lubricator")</f>
        <v>tech.train.automatic_lubricator</v>
      </c>
      <c r="C1076" s="49" t="str">
        <f t="array" ref="C1076">_xlfn.XLOOKUP(
 B1076,
 tblTargets[TargetID],
 tblTargets[DisplayName],
 ""
)</f>
        <v>Train - Automatic Lubricator</v>
      </c>
      <c r="D1076" s="49" t="str">
        <f t="array" ref="D1076">_xlfn.XLOOKUP(
 B1076,
 tblTargets[TargetID],
 tblTargets[TargetType],
 ""
)</f>
        <v>TECH</v>
      </c>
      <c r="E1076" s="49" t="s">
        <v>1078</v>
      </c>
      <c r="F1076" s="87">
        <f>IFERROR(__xludf.DUMMYFUNCTION("VALUE(REGEXEXTRACT(A1076,""([^.]+)$""))"),1.0)</f>
        <v>1</v>
      </c>
      <c r="G1076" s="49">
        <v>30.0</v>
      </c>
      <c r="H1076" s="26" t="b">
        <f>COUNTIFS(
 tblCostChecklist[RequirementID],A1076,
 tblCostChecklist[PlayerPaid],TRUE
)&gt;0</f>
        <v>0</v>
      </c>
      <c r="I1076" s="49">
        <f t="shared" si="1"/>
        <v>5</v>
      </c>
      <c r="J1076" s="49">
        <f t="shared" si="2"/>
        <v>0</v>
      </c>
      <c r="K1076" s="49">
        <f t="shared" si="3"/>
        <v>5</v>
      </c>
      <c r="L1076" s="49" t="b">
        <f t="shared" si="4"/>
        <v>0</v>
      </c>
      <c r="M1076" s="88">
        <f t="shared" si="5"/>
        <v>0</v>
      </c>
    </row>
    <row r="1077" ht="14.25" customHeight="1">
      <c r="A1077" s="49" t="s">
        <v>3774</v>
      </c>
      <c r="B1077" s="49" t="str">
        <f>IFERROR(__xludf.DUMMYFUNCTION("REGEXEXTRACT(A1077,""^cost\.(.*)\.[^.]+\.[^.]+$"")"),"tech.train.automatic_lubricator")</f>
        <v>tech.train.automatic_lubricator</v>
      </c>
      <c r="C1077" s="49" t="str">
        <f t="array" ref="C1077">_xlfn.XLOOKUP(
 B1077,
 tblTargets[TargetID],
 tblTargets[DisplayName],
 ""
)</f>
        <v>Train - Automatic Lubricator</v>
      </c>
      <c r="D1077" s="49" t="str">
        <f t="array" ref="D1077">_xlfn.XLOOKUP(
 B1077,
 tblTargets[TargetID],
 tblTargets[TargetType],
 ""
)</f>
        <v>TECH</v>
      </c>
      <c r="E1077" s="49" t="s">
        <v>588</v>
      </c>
      <c r="F1077" s="87">
        <f>IFERROR(__xludf.DUMMYFUNCTION("VALUE(REGEXEXTRACT(A1077,""([^.]+)$""))"),1.0)</f>
        <v>1</v>
      </c>
      <c r="G1077" s="49">
        <v>50.0</v>
      </c>
      <c r="H1077" s="26" t="b">
        <f>COUNTIFS(
 tblCostChecklist[RequirementID],A1077,
 tblCostChecklist[PlayerPaid],TRUE
)&gt;0</f>
        <v>0</v>
      </c>
      <c r="I1077" s="49">
        <f t="shared" si="1"/>
        <v>5</v>
      </c>
      <c r="J1077" s="49">
        <f t="shared" si="2"/>
        <v>0</v>
      </c>
      <c r="K1077" s="49">
        <f t="shared" si="3"/>
        <v>5</v>
      </c>
      <c r="L1077" s="49" t="b">
        <f t="shared" si="4"/>
        <v>0</v>
      </c>
      <c r="M1077" s="88">
        <f t="shared" si="5"/>
        <v>0</v>
      </c>
    </row>
    <row r="1078" ht="14.25" customHeight="1">
      <c r="A1078" s="49" t="s">
        <v>3777</v>
      </c>
      <c r="B1078" s="49" t="str">
        <f>IFERROR(__xludf.DUMMYFUNCTION("REGEXEXTRACT(A1078,""^cost\.(.*)\.[^.]+\.[^.]+$"")"),"tech.train.automatic_lubricator")</f>
        <v>tech.train.automatic_lubricator</v>
      </c>
      <c r="C1078" s="49" t="str">
        <f t="array" ref="C1078">_xlfn.XLOOKUP(
 B1078,
 tblTargets[TargetID],
 tblTargets[DisplayName],
 ""
)</f>
        <v>Train - Automatic Lubricator</v>
      </c>
      <c r="D1078" s="49" t="str">
        <f t="array" ref="D1078">_xlfn.XLOOKUP(
 B1078,
 tblTargets[TargetID],
 tblTargets[TargetType],
 ""
)</f>
        <v>TECH</v>
      </c>
      <c r="E1078" s="49" t="s">
        <v>6</v>
      </c>
      <c r="F1078" s="87">
        <f>IFERROR(__xludf.DUMMYFUNCTION("VALUE(REGEXEXTRACT(A1078,""([^.]+)$""))"),1.0)</f>
        <v>1</v>
      </c>
      <c r="G1078" s="49">
        <v>4.0</v>
      </c>
      <c r="H1078" s="26" t="b">
        <f>COUNTIFS(
 tblCostChecklist[RequirementID],A1078,
 tblCostChecklist[PlayerPaid],TRUE
)&gt;0</f>
        <v>0</v>
      </c>
      <c r="I1078" s="49">
        <f t="shared" si="1"/>
        <v>5</v>
      </c>
      <c r="J1078" s="49">
        <f t="shared" si="2"/>
        <v>0</v>
      </c>
      <c r="K1078" s="49">
        <f t="shared" si="3"/>
        <v>5</v>
      </c>
      <c r="L1078" s="49" t="b">
        <f t="shared" si="4"/>
        <v>0</v>
      </c>
      <c r="M1078" s="88">
        <f t="shared" si="5"/>
        <v>0</v>
      </c>
    </row>
    <row r="1079" ht="14.25" customHeight="1">
      <c r="A1079" s="49" t="s">
        <v>3780</v>
      </c>
      <c r="B1079" s="49" t="str">
        <f>IFERROR(__xludf.DUMMYFUNCTION("REGEXEXTRACT(A1079,""^cost\.(.*)\.[^.]+\.[^.]+$"")"),"tech.train.titanium_components")</f>
        <v>tech.train.titanium_components</v>
      </c>
      <c r="C1079" s="49" t="str">
        <f t="array" ref="C1079">_xlfn.XLOOKUP(
 B1079,
 tblTargets[TargetID],
 tblTargets[DisplayName],
 ""
)</f>
        <v>Train - Titanium Components</v>
      </c>
      <c r="D1079" s="49" t="str">
        <f t="array" ref="D1079">_xlfn.XLOOKUP(
 B1079,
 tblTargets[TargetID],
 tblTargets[TargetType],
 ""
)</f>
        <v>TECH</v>
      </c>
      <c r="E1079" s="49" t="s">
        <v>1230</v>
      </c>
      <c r="F1079" s="87">
        <f>IFERROR(__xludf.DUMMYFUNCTION("VALUE(REGEXEXTRACT(A1079,""([^.]+)$""))"),1.0)</f>
        <v>1</v>
      </c>
      <c r="G1079" s="49">
        <v>10.0</v>
      </c>
      <c r="H1079" s="26" t="b">
        <f>COUNTIFS(
 tblCostChecklist[RequirementID],A1079,
 tblCostChecklist[PlayerPaid],TRUE
)&gt;0</f>
        <v>0</v>
      </c>
      <c r="I1079" s="49">
        <f t="shared" si="1"/>
        <v>6</v>
      </c>
      <c r="J1079" s="49">
        <f t="shared" si="2"/>
        <v>0</v>
      </c>
      <c r="K1079" s="49">
        <f t="shared" si="3"/>
        <v>6</v>
      </c>
      <c r="L1079" s="49" t="b">
        <f t="shared" si="4"/>
        <v>0</v>
      </c>
      <c r="M1079" s="88">
        <f t="shared" si="5"/>
        <v>0</v>
      </c>
    </row>
    <row r="1080" ht="14.25" customHeight="1">
      <c r="A1080" s="49" t="s">
        <v>3784</v>
      </c>
      <c r="B1080" s="49" t="str">
        <f>IFERROR(__xludf.DUMMYFUNCTION("REGEXEXTRACT(A1080,""^cost\.(.*)\.[^.]+\.[^.]+$"")"),"tech.train.titanium_components")</f>
        <v>tech.train.titanium_components</v>
      </c>
      <c r="C1080" s="49" t="str">
        <f t="array" ref="C1080">_xlfn.XLOOKUP(
 B1080,
 tblTargets[TargetID],
 tblTargets[DisplayName],
 ""
)</f>
        <v>Train - Titanium Components</v>
      </c>
      <c r="D1080" s="49" t="str">
        <f t="array" ref="D1080">_xlfn.XLOOKUP(
 B1080,
 tblTargets[TargetID],
 tblTargets[TargetType],
 ""
)</f>
        <v>TECH</v>
      </c>
      <c r="E1080" s="49" t="s">
        <v>1055</v>
      </c>
      <c r="F1080" s="87">
        <f>IFERROR(__xludf.DUMMYFUNCTION("VALUE(REGEXEXTRACT(A1080,""([^.]+)$""))"),1.0)</f>
        <v>1</v>
      </c>
      <c r="G1080" s="49">
        <v>30.0</v>
      </c>
      <c r="H1080" s="26" t="b">
        <f>COUNTIFS(
 tblCostChecklist[RequirementID],A1080,
 tblCostChecklist[PlayerPaid],TRUE
)&gt;0</f>
        <v>0</v>
      </c>
      <c r="I1080" s="49">
        <f t="shared" si="1"/>
        <v>6</v>
      </c>
      <c r="J1080" s="49">
        <f t="shared" si="2"/>
        <v>0</v>
      </c>
      <c r="K1080" s="49">
        <f t="shared" si="3"/>
        <v>6</v>
      </c>
      <c r="L1080" s="49" t="b">
        <f t="shared" si="4"/>
        <v>0</v>
      </c>
      <c r="M1080" s="88">
        <f t="shared" si="5"/>
        <v>0</v>
      </c>
    </row>
    <row r="1081" ht="14.25" customHeight="1">
      <c r="A1081" s="49" t="s">
        <v>3788</v>
      </c>
      <c r="B1081" s="49" t="str">
        <f>IFERROR(__xludf.DUMMYFUNCTION("REGEXEXTRACT(A1081,""^cost\.(.*)\.[^.]+\.[^.]+$"")"),"tech.train.titanium_components")</f>
        <v>tech.train.titanium_components</v>
      </c>
      <c r="C1081" s="49" t="str">
        <f t="array" ref="C1081">_xlfn.XLOOKUP(
 B1081,
 tblTargets[TargetID],
 tblTargets[DisplayName],
 ""
)</f>
        <v>Train - Titanium Components</v>
      </c>
      <c r="D1081" s="49" t="str">
        <f t="array" ref="D1081">_xlfn.XLOOKUP(
 B1081,
 tblTargets[TargetID],
 tblTargets[TargetType],
 ""
)</f>
        <v>TECH</v>
      </c>
      <c r="E1081" s="49" t="s">
        <v>119</v>
      </c>
      <c r="F1081" s="87">
        <f>IFERROR(__xludf.DUMMYFUNCTION("VALUE(REGEXEXTRACT(A1081,""([^.]+)$""))"),1.0)</f>
        <v>1</v>
      </c>
      <c r="G1081" s="49">
        <v>1500.0</v>
      </c>
      <c r="H1081" s="26" t="b">
        <f>COUNTIFS(
 tblCostChecklist[RequirementID],A1081,
 tblCostChecklist[PlayerPaid],TRUE
)&gt;0</f>
        <v>0</v>
      </c>
      <c r="I1081" s="49">
        <f t="shared" si="1"/>
        <v>6</v>
      </c>
      <c r="J1081" s="49">
        <f t="shared" si="2"/>
        <v>0</v>
      </c>
      <c r="K1081" s="49">
        <f t="shared" si="3"/>
        <v>6</v>
      </c>
      <c r="L1081" s="49" t="b">
        <f t="shared" si="4"/>
        <v>0</v>
      </c>
      <c r="M1081" s="88">
        <f t="shared" si="5"/>
        <v>0</v>
      </c>
    </row>
    <row r="1082" ht="14.25" customHeight="1">
      <c r="A1082" s="49" t="s">
        <v>3791</v>
      </c>
      <c r="B1082" s="49" t="str">
        <f>IFERROR(__xludf.DUMMYFUNCTION("REGEXEXTRACT(A1082,""^cost\.(.*)\.[^.]+\.[^.]+$"")"),"tech.train.titanium_components")</f>
        <v>tech.train.titanium_components</v>
      </c>
      <c r="C1082" s="49" t="str">
        <f t="array" ref="C1082">_xlfn.XLOOKUP(
 B1082,
 tblTargets[TargetID],
 tblTargets[DisplayName],
 ""
)</f>
        <v>Train - Titanium Components</v>
      </c>
      <c r="D1082" s="49" t="str">
        <f t="array" ref="D1082">_xlfn.XLOOKUP(
 B1082,
 tblTargets[TargetID],
 tblTargets[TargetType],
 ""
)</f>
        <v>TECH</v>
      </c>
      <c r="E1082" s="49" t="s">
        <v>140</v>
      </c>
      <c r="F1082" s="87">
        <f>IFERROR(__xludf.DUMMYFUNCTION("VALUE(REGEXEXTRACT(A1082,""([^.]+)$""))"),1.0)</f>
        <v>1</v>
      </c>
      <c r="G1082" s="49">
        <v>20.0</v>
      </c>
      <c r="H1082" s="26" t="b">
        <f>COUNTIFS(
 tblCostChecklist[RequirementID],A1082,
 tblCostChecklist[PlayerPaid],TRUE
)&gt;0</f>
        <v>0</v>
      </c>
      <c r="I1082" s="49">
        <f t="shared" si="1"/>
        <v>6</v>
      </c>
      <c r="J1082" s="49">
        <f t="shared" si="2"/>
        <v>0</v>
      </c>
      <c r="K1082" s="49">
        <f t="shared" si="3"/>
        <v>6</v>
      </c>
      <c r="L1082" s="49" t="b">
        <f t="shared" si="4"/>
        <v>0</v>
      </c>
      <c r="M1082" s="88">
        <f t="shared" si="5"/>
        <v>0</v>
      </c>
    </row>
    <row r="1083" ht="14.25" customHeight="1">
      <c r="A1083" s="49" t="s">
        <v>3795</v>
      </c>
      <c r="B1083" s="49" t="str">
        <f>IFERROR(__xludf.DUMMYFUNCTION("REGEXEXTRACT(A1083,""^cost\.(.*)\.[^.]+\.[^.]+$"")"),"tech.train.titanium_components")</f>
        <v>tech.train.titanium_components</v>
      </c>
      <c r="C1083" s="49" t="str">
        <f t="array" ref="C1083">_xlfn.XLOOKUP(
 B1083,
 tblTargets[TargetID],
 tblTargets[DisplayName],
 ""
)</f>
        <v>Train - Titanium Components</v>
      </c>
      <c r="D1083" s="49" t="str">
        <f t="array" ref="D1083">_xlfn.XLOOKUP(
 B1083,
 tblTargets[TargetID],
 tblTargets[TargetType],
 ""
)</f>
        <v>TECH</v>
      </c>
      <c r="E1083" s="49" t="s">
        <v>6</v>
      </c>
      <c r="F1083" s="87">
        <f>IFERROR(__xludf.DUMMYFUNCTION("VALUE(REGEXEXTRACT(A1083,""([^.]+)$""))"),1.0)</f>
        <v>1</v>
      </c>
      <c r="G1083" s="49">
        <v>5.0</v>
      </c>
      <c r="H1083" s="26" t="b">
        <f>COUNTIFS(
 tblCostChecklist[RequirementID],A1083,
 tblCostChecklist[PlayerPaid],TRUE
)&gt;0</f>
        <v>0</v>
      </c>
      <c r="I1083" s="49">
        <f t="shared" si="1"/>
        <v>6</v>
      </c>
      <c r="J1083" s="49">
        <f t="shared" si="2"/>
        <v>0</v>
      </c>
      <c r="K1083" s="49">
        <f t="shared" si="3"/>
        <v>6</v>
      </c>
      <c r="L1083" s="49" t="b">
        <f t="shared" si="4"/>
        <v>0</v>
      </c>
      <c r="M1083" s="88">
        <f t="shared" si="5"/>
        <v>0</v>
      </c>
    </row>
    <row r="1084" ht="14.25" customHeight="1">
      <c r="A1084" s="49" t="s">
        <v>3799</v>
      </c>
      <c r="B1084" s="49" t="str">
        <f>IFERROR(__xludf.DUMMYFUNCTION("REGEXEXTRACT(A1084,""^cost\.(.*)\.[^.]+\.[^.]+$"")"),"tech.train.titanium_components")</f>
        <v>tech.train.titanium_components</v>
      </c>
      <c r="C1084" s="49" t="str">
        <f t="array" ref="C1084">_xlfn.XLOOKUP(
 B1084,
 tblTargets[TargetID],
 tblTargets[DisplayName],
 ""
)</f>
        <v>Train - Titanium Components</v>
      </c>
      <c r="D1084" s="49" t="str">
        <f t="array" ref="D1084">_xlfn.XLOOKUP(
 B1084,
 tblTargets[TargetID],
 tblTargets[TargetType],
 ""
)</f>
        <v>TECH</v>
      </c>
      <c r="E1084" s="49" t="s">
        <v>2786</v>
      </c>
      <c r="F1084" s="87">
        <f>IFERROR(__xludf.DUMMYFUNCTION("VALUE(REGEXEXTRACT(A1084,""([^.]+)$""))"),1.0)</f>
        <v>1</v>
      </c>
      <c r="G1084" s="49">
        <v>30.0</v>
      </c>
      <c r="H1084" s="26" t="b">
        <f>COUNTIFS(
 tblCostChecklist[RequirementID],A1084,
 tblCostChecklist[PlayerPaid],TRUE
)&gt;0</f>
        <v>0</v>
      </c>
      <c r="I1084" s="49">
        <f t="shared" si="1"/>
        <v>6</v>
      </c>
      <c r="J1084" s="49">
        <f t="shared" si="2"/>
        <v>0</v>
      </c>
      <c r="K1084" s="49">
        <f t="shared" si="3"/>
        <v>6</v>
      </c>
      <c r="L1084" s="49" t="b">
        <f t="shared" si="4"/>
        <v>0</v>
      </c>
      <c r="M1084" s="88">
        <f t="shared" si="5"/>
        <v>0</v>
      </c>
    </row>
    <row r="1085" ht="14.25" customHeight="1">
      <c r="A1085" s="49" t="s">
        <v>3802</v>
      </c>
      <c r="B1085" s="49" t="str">
        <f>IFERROR(__xludf.DUMMYFUNCTION("REGEXEXTRACT(A1085,""^cost\.(.*)\.[^.]+\.[^.]+$"")"),"tech.train.onboard_computer")</f>
        <v>tech.train.onboard_computer</v>
      </c>
      <c r="C1085" s="49" t="str">
        <f t="array" ref="C1085">_xlfn.XLOOKUP(
 B1085,
 tblTargets[TargetID],
 tblTargets[DisplayName],
 ""
)</f>
        <v>Train - Onboard Computer</v>
      </c>
      <c r="D1085" s="49" t="str">
        <f t="array" ref="D1085">_xlfn.XLOOKUP(
 B1085,
 tblTargets[TargetID],
 tblTargets[TargetType],
 ""
)</f>
        <v>TECH</v>
      </c>
      <c r="E1085" s="49" t="s">
        <v>1230</v>
      </c>
      <c r="F1085" s="87">
        <f>IFERROR(__xludf.DUMMYFUNCTION("VALUE(REGEXEXTRACT(A1085,""([^.]+)$""))"),1.0)</f>
        <v>1</v>
      </c>
      <c r="G1085" s="49">
        <v>20.0</v>
      </c>
      <c r="H1085" s="26" t="b">
        <f>COUNTIFS(
 tblCostChecklist[RequirementID],A1085,
 tblCostChecklist[PlayerPaid],TRUE
)&gt;0</f>
        <v>0</v>
      </c>
      <c r="I1085" s="49">
        <f t="shared" si="1"/>
        <v>9</v>
      </c>
      <c r="J1085" s="49">
        <f t="shared" si="2"/>
        <v>0</v>
      </c>
      <c r="K1085" s="49">
        <f t="shared" si="3"/>
        <v>9</v>
      </c>
      <c r="L1085" s="49" t="b">
        <f t="shared" si="4"/>
        <v>0</v>
      </c>
      <c r="M1085" s="88">
        <f t="shared" si="5"/>
        <v>0</v>
      </c>
    </row>
    <row r="1086" ht="14.25" customHeight="1">
      <c r="A1086" s="49" t="s">
        <v>3806</v>
      </c>
      <c r="B1086" s="49" t="str">
        <f>IFERROR(__xludf.DUMMYFUNCTION("REGEXEXTRACT(A1086,""^cost\.(.*)\.[^.]+\.[^.]+$"")"),"tech.train.onboard_computer")</f>
        <v>tech.train.onboard_computer</v>
      </c>
      <c r="C1086" s="49" t="str">
        <f t="array" ref="C1086">_xlfn.XLOOKUP(
 B1086,
 tblTargets[TargetID],
 tblTargets[DisplayName],
 ""
)</f>
        <v>Train - Onboard Computer</v>
      </c>
      <c r="D1086" s="49" t="str">
        <f t="array" ref="D1086">_xlfn.XLOOKUP(
 B1086,
 tblTargets[TargetID],
 tblTargets[TargetType],
 ""
)</f>
        <v>TECH</v>
      </c>
      <c r="E1086" s="49" t="s">
        <v>1055</v>
      </c>
      <c r="F1086" s="87">
        <f>IFERROR(__xludf.DUMMYFUNCTION("VALUE(REGEXEXTRACT(A1086,""([^.]+)$""))"),1.0)</f>
        <v>1</v>
      </c>
      <c r="G1086" s="49">
        <v>40.0</v>
      </c>
      <c r="H1086" s="26" t="b">
        <f>COUNTIFS(
 tblCostChecklist[RequirementID],A1086,
 tblCostChecklist[PlayerPaid],TRUE
)&gt;0</f>
        <v>0</v>
      </c>
      <c r="I1086" s="49">
        <f t="shared" si="1"/>
        <v>9</v>
      </c>
      <c r="J1086" s="49">
        <f t="shared" si="2"/>
        <v>0</v>
      </c>
      <c r="K1086" s="49">
        <f t="shared" si="3"/>
        <v>9</v>
      </c>
      <c r="L1086" s="49" t="b">
        <f t="shared" si="4"/>
        <v>0</v>
      </c>
      <c r="M1086" s="88">
        <f t="shared" si="5"/>
        <v>0</v>
      </c>
    </row>
    <row r="1087" ht="14.25" customHeight="1">
      <c r="A1087" s="49" t="s">
        <v>3809</v>
      </c>
      <c r="B1087" s="49" t="str">
        <f>IFERROR(__xludf.DUMMYFUNCTION("REGEXEXTRACT(A1087,""^cost\.(.*)\.[^.]+\.[^.]+$"")"),"tech.train.onboard_computer")</f>
        <v>tech.train.onboard_computer</v>
      </c>
      <c r="C1087" s="49" t="str">
        <f t="array" ref="C1087">_xlfn.XLOOKUP(
 B1087,
 tblTargets[TargetID],
 tblTargets[DisplayName],
 ""
)</f>
        <v>Train - Onboard Computer</v>
      </c>
      <c r="D1087" s="49" t="str">
        <f t="array" ref="D1087">_xlfn.XLOOKUP(
 B1087,
 tblTargets[TargetID],
 tblTargets[TargetType],
 ""
)</f>
        <v>TECH</v>
      </c>
      <c r="E1087" s="49" t="s">
        <v>119</v>
      </c>
      <c r="F1087" s="87">
        <f>IFERROR(__xludf.DUMMYFUNCTION("VALUE(REGEXEXTRACT(A1087,""([^.]+)$""))"),1.0)</f>
        <v>1</v>
      </c>
      <c r="G1087" s="49">
        <v>1500.0</v>
      </c>
      <c r="H1087" s="26" t="b">
        <f>COUNTIFS(
 tblCostChecklist[RequirementID],A1087,
 tblCostChecklist[PlayerPaid],TRUE
)&gt;0</f>
        <v>0</v>
      </c>
      <c r="I1087" s="49">
        <f t="shared" si="1"/>
        <v>9</v>
      </c>
      <c r="J1087" s="49">
        <f t="shared" si="2"/>
        <v>0</v>
      </c>
      <c r="K1087" s="49">
        <f t="shared" si="3"/>
        <v>9</v>
      </c>
      <c r="L1087" s="49" t="b">
        <f t="shared" si="4"/>
        <v>0</v>
      </c>
      <c r="M1087" s="88">
        <f t="shared" si="5"/>
        <v>0</v>
      </c>
    </row>
    <row r="1088" ht="14.25" customHeight="1">
      <c r="A1088" s="49" t="s">
        <v>3812</v>
      </c>
      <c r="B1088" s="49" t="str">
        <f>IFERROR(__xludf.DUMMYFUNCTION("REGEXEXTRACT(A1088,""^cost\.(.*)\.[^.]+\.[^.]+$"")"),"tech.train.onboard_computer")</f>
        <v>tech.train.onboard_computer</v>
      </c>
      <c r="C1088" s="49" t="str">
        <f t="array" ref="C1088">_xlfn.XLOOKUP(
 B1088,
 tblTargets[TargetID],
 tblTargets[DisplayName],
 ""
)</f>
        <v>Train - Onboard Computer</v>
      </c>
      <c r="D1088" s="49" t="str">
        <f t="array" ref="D1088">_xlfn.XLOOKUP(
 B1088,
 tblTargets[TargetID],
 tblTargets[TargetType],
 ""
)</f>
        <v>TECH</v>
      </c>
      <c r="E1088" s="49" t="s">
        <v>1072</v>
      </c>
      <c r="F1088" s="87">
        <f>IFERROR(__xludf.DUMMYFUNCTION("VALUE(REGEXEXTRACT(A1088,""([^.]+)$""))"),1.0)</f>
        <v>1</v>
      </c>
      <c r="G1088" s="49">
        <v>40.0</v>
      </c>
      <c r="H1088" s="26" t="b">
        <f>COUNTIFS(
 tblCostChecklist[RequirementID],A1088,
 tblCostChecklist[PlayerPaid],TRUE
)&gt;0</f>
        <v>0</v>
      </c>
      <c r="I1088" s="49">
        <f t="shared" si="1"/>
        <v>9</v>
      </c>
      <c r="J1088" s="49">
        <f t="shared" si="2"/>
        <v>0</v>
      </c>
      <c r="K1088" s="49">
        <f t="shared" si="3"/>
        <v>9</v>
      </c>
      <c r="L1088" s="49" t="b">
        <f t="shared" si="4"/>
        <v>0</v>
      </c>
      <c r="M1088" s="88">
        <f t="shared" si="5"/>
        <v>0</v>
      </c>
    </row>
    <row r="1089" ht="14.25" customHeight="1">
      <c r="A1089" s="49" t="s">
        <v>3814</v>
      </c>
      <c r="B1089" s="49" t="str">
        <f>IFERROR(__xludf.DUMMYFUNCTION("REGEXEXTRACT(A1089,""^cost\.(.*)\.[^.]+\.[^.]+$"")"),"tech.train.onboard_computer")</f>
        <v>tech.train.onboard_computer</v>
      </c>
      <c r="C1089" s="49" t="str">
        <f t="array" ref="C1089">_xlfn.XLOOKUP(
 B1089,
 tblTargets[TargetID],
 tblTargets[DisplayName],
 ""
)</f>
        <v>Train - Onboard Computer</v>
      </c>
      <c r="D1089" s="49" t="str">
        <f t="array" ref="D1089">_xlfn.XLOOKUP(
 B1089,
 tblTargets[TargetID],
 tblTargets[TargetType],
 ""
)</f>
        <v>TECH</v>
      </c>
      <c r="E1089" s="49" t="s">
        <v>1078</v>
      </c>
      <c r="F1089" s="87">
        <f>IFERROR(__xludf.DUMMYFUNCTION("VALUE(REGEXEXTRACT(A1089,""([^.]+)$""))"),1.0)</f>
        <v>1</v>
      </c>
      <c r="G1089" s="49">
        <v>30.0</v>
      </c>
      <c r="H1089" s="26" t="b">
        <f>COUNTIFS(
 tblCostChecklist[RequirementID],A1089,
 tblCostChecklist[PlayerPaid],TRUE
)&gt;0</f>
        <v>0</v>
      </c>
      <c r="I1089" s="49">
        <f t="shared" si="1"/>
        <v>9</v>
      </c>
      <c r="J1089" s="49">
        <f t="shared" si="2"/>
        <v>0</v>
      </c>
      <c r="K1089" s="49">
        <f t="shared" si="3"/>
        <v>9</v>
      </c>
      <c r="L1089" s="49" t="b">
        <f t="shared" si="4"/>
        <v>0</v>
      </c>
      <c r="M1089" s="88">
        <f t="shared" si="5"/>
        <v>0</v>
      </c>
    </row>
    <row r="1090" ht="14.25" customHeight="1">
      <c r="A1090" s="49" t="s">
        <v>3817</v>
      </c>
      <c r="B1090" s="49" t="str">
        <f>IFERROR(__xludf.DUMMYFUNCTION("REGEXEXTRACT(A1090,""^cost\.(.*)\.[^.]+\.[^.]+$"")"),"tech.train.onboard_computer")</f>
        <v>tech.train.onboard_computer</v>
      </c>
      <c r="C1090" s="49" t="str">
        <f t="array" ref="C1090">_xlfn.XLOOKUP(
 B1090,
 tblTargets[TargetID],
 tblTargets[DisplayName],
 ""
)</f>
        <v>Train - Onboard Computer</v>
      </c>
      <c r="D1090" s="49" t="str">
        <f t="array" ref="D1090">_xlfn.XLOOKUP(
 B1090,
 tblTargets[TargetID],
 tblTargets[TargetType],
 ""
)</f>
        <v>TECH</v>
      </c>
      <c r="E1090" s="49" t="s">
        <v>1456</v>
      </c>
      <c r="F1090" s="87">
        <f>IFERROR(__xludf.DUMMYFUNCTION("VALUE(REGEXEXTRACT(A1090,""([^.]+)$""))"),1.0)</f>
        <v>1</v>
      </c>
      <c r="G1090" s="49">
        <v>20.0</v>
      </c>
      <c r="H1090" s="26" t="b">
        <f>COUNTIFS(
 tblCostChecklist[RequirementID],A1090,
 tblCostChecklist[PlayerPaid],TRUE
)&gt;0</f>
        <v>0</v>
      </c>
      <c r="I1090" s="49">
        <f t="shared" si="1"/>
        <v>9</v>
      </c>
      <c r="J1090" s="49">
        <f t="shared" si="2"/>
        <v>0</v>
      </c>
      <c r="K1090" s="49">
        <f t="shared" si="3"/>
        <v>9</v>
      </c>
      <c r="L1090" s="49" t="b">
        <f t="shared" si="4"/>
        <v>0</v>
      </c>
      <c r="M1090" s="88">
        <f t="shared" si="5"/>
        <v>0</v>
      </c>
    </row>
    <row r="1091" ht="14.25" customHeight="1">
      <c r="A1091" s="49" t="s">
        <v>3819</v>
      </c>
      <c r="B1091" s="49" t="str">
        <f>IFERROR(__xludf.DUMMYFUNCTION("REGEXEXTRACT(A1091,""^cost\.(.*)\.[^.]+\.[^.]+$"")"),"tech.train.onboard_computer")</f>
        <v>tech.train.onboard_computer</v>
      </c>
      <c r="C1091" s="49" t="str">
        <f t="array" ref="C1091">_xlfn.XLOOKUP(
 B1091,
 tblTargets[TargetID],
 tblTargets[DisplayName],
 ""
)</f>
        <v>Train - Onboard Computer</v>
      </c>
      <c r="D1091" s="49" t="str">
        <f t="array" ref="D1091">_xlfn.XLOOKUP(
 B1091,
 tblTargets[TargetID],
 tblTargets[TargetType],
 ""
)</f>
        <v>TECH</v>
      </c>
      <c r="E1091" s="49" t="s">
        <v>1083</v>
      </c>
      <c r="F1091" s="87">
        <f>IFERROR(__xludf.DUMMYFUNCTION("VALUE(REGEXEXTRACT(A1091,""([^.]+)$""))"),1.0)</f>
        <v>1</v>
      </c>
      <c r="G1091" s="49">
        <v>40.0</v>
      </c>
      <c r="H1091" s="26" t="b">
        <f>COUNTIFS(
 tblCostChecklist[RequirementID],A1091,
 tblCostChecklist[PlayerPaid],TRUE
)&gt;0</f>
        <v>0</v>
      </c>
      <c r="I1091" s="49">
        <f t="shared" si="1"/>
        <v>9</v>
      </c>
      <c r="J1091" s="49">
        <f t="shared" si="2"/>
        <v>0</v>
      </c>
      <c r="K1091" s="49">
        <f t="shared" si="3"/>
        <v>9</v>
      </c>
      <c r="L1091" s="49" t="b">
        <f t="shared" si="4"/>
        <v>0</v>
      </c>
      <c r="M1091" s="88">
        <f t="shared" si="5"/>
        <v>0</v>
      </c>
    </row>
    <row r="1092" ht="14.25" customHeight="1">
      <c r="A1092" s="49" t="s">
        <v>3821</v>
      </c>
      <c r="B1092" s="49" t="str">
        <f>IFERROR(__xludf.DUMMYFUNCTION("REGEXEXTRACT(A1092,""^cost\.(.*)\.[^.]+\.[^.]+$"")"),"tech.train.onboard_computer")</f>
        <v>tech.train.onboard_computer</v>
      </c>
      <c r="C1092" s="49" t="str">
        <f t="array" ref="C1092">_xlfn.XLOOKUP(
 B1092,
 tblTargets[TargetID],
 tblTargets[DisplayName],
 ""
)</f>
        <v>Train - Onboard Computer</v>
      </c>
      <c r="D1092" s="49" t="str">
        <f t="array" ref="D1092">_xlfn.XLOOKUP(
 B1092,
 tblTargets[TargetID],
 tblTargets[TargetType],
 ""
)</f>
        <v>TECH</v>
      </c>
      <c r="E1092" s="49" t="s">
        <v>6</v>
      </c>
      <c r="F1092" s="87">
        <f>IFERROR(__xludf.DUMMYFUNCTION("VALUE(REGEXEXTRACT(A1092,""([^.]+)$""))"),1.0)</f>
        <v>1</v>
      </c>
      <c r="G1092" s="49">
        <v>5.0</v>
      </c>
      <c r="H1092" s="26" t="b">
        <f>COUNTIFS(
 tblCostChecklist[RequirementID],A1092,
 tblCostChecklist[PlayerPaid],TRUE
)&gt;0</f>
        <v>0</v>
      </c>
      <c r="I1092" s="49">
        <f t="shared" si="1"/>
        <v>9</v>
      </c>
      <c r="J1092" s="49">
        <f t="shared" si="2"/>
        <v>0</v>
      </c>
      <c r="K1092" s="49">
        <f t="shared" si="3"/>
        <v>9</v>
      </c>
      <c r="L1092" s="49" t="b">
        <f t="shared" si="4"/>
        <v>0</v>
      </c>
      <c r="M1092" s="88">
        <f t="shared" si="5"/>
        <v>0</v>
      </c>
    </row>
    <row r="1093" ht="14.25" customHeight="1">
      <c r="A1093" s="49" t="s">
        <v>3825</v>
      </c>
      <c r="B1093" s="49" t="str">
        <f>IFERROR(__xludf.DUMMYFUNCTION("REGEXEXTRACT(A1093,""^cost\.(.*)\.[^.]+\.[^.]+$"")"),"tech.train.onboard_computer")</f>
        <v>tech.train.onboard_computer</v>
      </c>
      <c r="C1093" s="49" t="str">
        <f t="array" ref="C1093">_xlfn.XLOOKUP(
 B1093,
 tblTargets[TargetID],
 tblTargets[DisplayName],
 ""
)</f>
        <v>Train - Onboard Computer</v>
      </c>
      <c r="D1093" s="49" t="str">
        <f t="array" ref="D1093">_xlfn.XLOOKUP(
 B1093,
 tblTargets[TargetID],
 tblTargets[TargetType],
 ""
)</f>
        <v>TECH</v>
      </c>
      <c r="E1093" s="49" t="s">
        <v>392</v>
      </c>
      <c r="F1093" s="87">
        <f>IFERROR(__xludf.DUMMYFUNCTION("VALUE(REGEXEXTRACT(A1093,""([^.]+)$""))"),1.0)</f>
        <v>1</v>
      </c>
      <c r="G1093" s="49">
        <v>200.0</v>
      </c>
      <c r="H1093" s="26" t="b">
        <f>COUNTIFS(
 tblCostChecklist[RequirementID],A1093,
 tblCostChecklist[PlayerPaid],TRUE
)&gt;0</f>
        <v>0</v>
      </c>
      <c r="I1093" s="49">
        <f t="shared" si="1"/>
        <v>9</v>
      </c>
      <c r="J1093" s="49">
        <f t="shared" si="2"/>
        <v>0</v>
      </c>
      <c r="K1093" s="49">
        <f t="shared" si="3"/>
        <v>9</v>
      </c>
      <c r="L1093" s="49" t="b">
        <f t="shared" si="4"/>
        <v>0</v>
      </c>
      <c r="M1093" s="88">
        <f t="shared" si="5"/>
        <v>0</v>
      </c>
    </row>
    <row r="1094" ht="14.25" customHeight="1">
      <c r="A1094" s="49" t="s">
        <v>3830</v>
      </c>
      <c r="B1094" s="49" t="str">
        <f>IFERROR(__xludf.DUMMYFUNCTION("REGEXEXTRACT(A1094,""^cost\.(.*)\.[^.]+\.[^.]+$"")"),"tech.warehouse.stackable_racks_lvl_1")</f>
        <v>tech.warehouse.stackable_racks_lvl_1</v>
      </c>
      <c r="C1094" s="49" t="str">
        <f t="array" ref="C1094">_xlfn.XLOOKUP(
 B1094,
 tblTargets[TargetID],
 tblTargets[DisplayName],
 ""
)</f>
        <v>Warehouse - Stackable Racks Lvl 1</v>
      </c>
      <c r="D1094" s="49" t="str">
        <f t="array" ref="D1094">_xlfn.XLOOKUP(
 B1094,
 tblTargets[TargetID],
 tblTargets[TargetType],
 ""
)</f>
        <v>TECH</v>
      </c>
      <c r="E1094" s="49" t="s">
        <v>1055</v>
      </c>
      <c r="F1094" s="87">
        <f>IFERROR(__xludf.DUMMYFUNCTION("VALUE(REGEXEXTRACT(A1094,""([^.]+)$""))"),1.0)</f>
        <v>1</v>
      </c>
      <c r="G1094" s="49">
        <v>30.0</v>
      </c>
      <c r="H1094" s="26" t="b">
        <f>COUNTIFS(
 tblCostChecklist[RequirementID],A1094,
 tblCostChecklist[PlayerPaid],TRUE
)&gt;0</f>
        <v>0</v>
      </c>
      <c r="I1094" s="49">
        <f t="shared" si="1"/>
        <v>5</v>
      </c>
      <c r="J1094" s="49">
        <f t="shared" si="2"/>
        <v>0</v>
      </c>
      <c r="K1094" s="49">
        <f t="shared" si="3"/>
        <v>5</v>
      </c>
      <c r="L1094" s="49" t="b">
        <f t="shared" si="4"/>
        <v>0</v>
      </c>
      <c r="M1094" s="88">
        <f t="shared" si="5"/>
        <v>0</v>
      </c>
    </row>
    <row r="1095" ht="14.25" customHeight="1">
      <c r="A1095" s="49" t="s">
        <v>3834</v>
      </c>
      <c r="B1095" s="49" t="str">
        <f>IFERROR(__xludf.DUMMYFUNCTION("REGEXEXTRACT(A1095,""^cost\.(.*)\.[^.]+\.[^.]+$"")"),"tech.warehouse.stackable_racks_lvl_1")</f>
        <v>tech.warehouse.stackable_racks_lvl_1</v>
      </c>
      <c r="C1095" s="49" t="str">
        <f t="array" ref="C1095">_xlfn.XLOOKUP(
 B1095,
 tblTargets[TargetID],
 tblTargets[DisplayName],
 ""
)</f>
        <v>Warehouse - Stackable Racks Lvl 1</v>
      </c>
      <c r="D1095" s="49" t="str">
        <f t="array" ref="D1095">_xlfn.XLOOKUP(
 B1095,
 tblTargets[TargetID],
 tblTargets[TargetType],
 ""
)</f>
        <v>TECH</v>
      </c>
      <c r="E1095" s="49" t="s">
        <v>119</v>
      </c>
      <c r="F1095" s="87">
        <f>IFERROR(__xludf.DUMMYFUNCTION("VALUE(REGEXEXTRACT(A1095,""([^.]+)$""))"),1.0)</f>
        <v>1</v>
      </c>
      <c r="G1095" s="49">
        <v>300.0</v>
      </c>
      <c r="H1095" s="26" t="b">
        <f>COUNTIFS(
 tblCostChecklist[RequirementID],A1095,
 tblCostChecklist[PlayerPaid],TRUE
)&gt;0</f>
        <v>0</v>
      </c>
      <c r="I1095" s="49">
        <f t="shared" si="1"/>
        <v>5</v>
      </c>
      <c r="J1095" s="49">
        <f t="shared" si="2"/>
        <v>0</v>
      </c>
      <c r="K1095" s="49">
        <f t="shared" si="3"/>
        <v>5</v>
      </c>
      <c r="L1095" s="49" t="b">
        <f t="shared" si="4"/>
        <v>0</v>
      </c>
      <c r="M1095" s="88">
        <f t="shared" si="5"/>
        <v>0</v>
      </c>
    </row>
    <row r="1096" ht="14.25" customHeight="1">
      <c r="A1096" s="49" t="s">
        <v>3839</v>
      </c>
      <c r="B1096" s="49" t="str">
        <f>IFERROR(__xludf.DUMMYFUNCTION("REGEXEXTRACT(A1096,""^cost\.(.*)\.[^.]+\.[^.]+$"")"),"tech.warehouse.stackable_racks_lvl_1")</f>
        <v>tech.warehouse.stackable_racks_lvl_1</v>
      </c>
      <c r="C1096" s="49" t="str">
        <f t="array" ref="C1096">_xlfn.XLOOKUP(
 B1096,
 tblTargets[TargetID],
 tblTargets[DisplayName],
 ""
)</f>
        <v>Warehouse - Stackable Racks Lvl 1</v>
      </c>
      <c r="D1096" s="49" t="str">
        <f t="array" ref="D1096">_xlfn.XLOOKUP(
 B1096,
 tblTargets[TargetID],
 tblTargets[TargetType],
 ""
)</f>
        <v>TECH</v>
      </c>
      <c r="E1096" s="49" t="s">
        <v>187</v>
      </c>
      <c r="F1096" s="87">
        <f>IFERROR(__xludf.DUMMYFUNCTION("VALUE(REGEXEXTRACT(A1096,""([^.]+)$""))"),1.0)</f>
        <v>1</v>
      </c>
      <c r="G1096" s="49">
        <v>200.0</v>
      </c>
      <c r="H1096" s="26" t="b">
        <f>COUNTIFS(
 tblCostChecklist[RequirementID],A1096,
 tblCostChecklist[PlayerPaid],TRUE
)&gt;0</f>
        <v>0</v>
      </c>
      <c r="I1096" s="49">
        <f t="shared" si="1"/>
        <v>5</v>
      </c>
      <c r="J1096" s="49">
        <f t="shared" si="2"/>
        <v>0</v>
      </c>
      <c r="K1096" s="49">
        <f t="shared" si="3"/>
        <v>5</v>
      </c>
      <c r="L1096" s="49" t="b">
        <f t="shared" si="4"/>
        <v>0</v>
      </c>
      <c r="M1096" s="88">
        <f t="shared" si="5"/>
        <v>0</v>
      </c>
    </row>
    <row r="1097" ht="14.25" customHeight="1">
      <c r="A1097" s="49" t="s">
        <v>3843</v>
      </c>
      <c r="B1097" s="49" t="str">
        <f>IFERROR(__xludf.DUMMYFUNCTION("REGEXEXTRACT(A1097,""^cost\.(.*)\.[^.]+\.[^.]+$"")"),"tech.warehouse.stackable_racks_lvl_1")</f>
        <v>tech.warehouse.stackable_racks_lvl_1</v>
      </c>
      <c r="C1097" s="49" t="str">
        <f t="array" ref="C1097">_xlfn.XLOOKUP(
 B1097,
 tblTargets[TargetID],
 tblTargets[DisplayName],
 ""
)</f>
        <v>Warehouse - Stackable Racks Lvl 1</v>
      </c>
      <c r="D1097" s="49" t="str">
        <f t="array" ref="D1097">_xlfn.XLOOKUP(
 B1097,
 tblTargets[TargetID],
 tblTargets[TargetType],
 ""
)</f>
        <v>TECH</v>
      </c>
      <c r="E1097" s="49" t="s">
        <v>6</v>
      </c>
      <c r="F1097" s="87">
        <f>IFERROR(__xludf.DUMMYFUNCTION("VALUE(REGEXEXTRACT(A1097,""([^.]+)$""))"),1.0)</f>
        <v>1</v>
      </c>
      <c r="G1097" s="49">
        <v>1.0</v>
      </c>
      <c r="H1097" s="26" t="b">
        <f>COUNTIFS(
 tblCostChecklist[RequirementID],A1097,
 tblCostChecklist[PlayerPaid],TRUE
)&gt;0</f>
        <v>0</v>
      </c>
      <c r="I1097" s="49">
        <f t="shared" si="1"/>
        <v>5</v>
      </c>
      <c r="J1097" s="49">
        <f t="shared" si="2"/>
        <v>0</v>
      </c>
      <c r="K1097" s="49">
        <f t="shared" si="3"/>
        <v>5</v>
      </c>
      <c r="L1097" s="49" t="b">
        <f t="shared" si="4"/>
        <v>0</v>
      </c>
      <c r="M1097" s="88">
        <f t="shared" si="5"/>
        <v>0</v>
      </c>
    </row>
    <row r="1098" ht="14.25" customHeight="1">
      <c r="A1098" s="49" t="s">
        <v>3847</v>
      </c>
      <c r="B1098" s="49" t="str">
        <f>IFERROR(__xludf.DUMMYFUNCTION("REGEXEXTRACT(A1098,""^cost\.(.*)\.[^.]+\.[^.]+$"")"),"tech.warehouse.stackable_racks_lvl_1")</f>
        <v>tech.warehouse.stackable_racks_lvl_1</v>
      </c>
      <c r="C1098" s="49" t="str">
        <f t="array" ref="C1098">_xlfn.XLOOKUP(
 B1098,
 tblTargets[TargetID],
 tblTargets[DisplayName],
 ""
)</f>
        <v>Warehouse - Stackable Racks Lvl 1</v>
      </c>
      <c r="D1098" s="49" t="str">
        <f t="array" ref="D1098">_xlfn.XLOOKUP(
 B1098,
 tblTargets[TargetID],
 tblTargets[TargetType],
 ""
)</f>
        <v>TECH</v>
      </c>
      <c r="E1098" s="49" t="s">
        <v>392</v>
      </c>
      <c r="F1098" s="87">
        <f>IFERROR(__xludf.DUMMYFUNCTION("VALUE(REGEXEXTRACT(A1098,""([^.]+)$""))"),1.0)</f>
        <v>1</v>
      </c>
      <c r="G1098" s="49">
        <v>50.0</v>
      </c>
      <c r="H1098" s="26" t="b">
        <f>COUNTIFS(
 tblCostChecklist[RequirementID],A1098,
 tblCostChecklist[PlayerPaid],TRUE
)&gt;0</f>
        <v>0</v>
      </c>
      <c r="I1098" s="49">
        <f t="shared" si="1"/>
        <v>5</v>
      </c>
      <c r="J1098" s="49">
        <f t="shared" si="2"/>
        <v>0</v>
      </c>
      <c r="K1098" s="49">
        <f t="shared" si="3"/>
        <v>5</v>
      </c>
      <c r="L1098" s="49" t="b">
        <f t="shared" si="4"/>
        <v>0</v>
      </c>
      <c r="M1098" s="88">
        <f t="shared" si="5"/>
        <v>0</v>
      </c>
    </row>
    <row r="1099" ht="14.25" customHeight="1">
      <c r="A1099" s="49" t="s">
        <v>3851</v>
      </c>
      <c r="B1099" s="49" t="str">
        <f>IFERROR(__xludf.DUMMYFUNCTION("REGEXEXTRACT(A1099,""^cost\.(.*)\.[^.]+\.[^.]+$"")"),"tech.warehouse.stackable_racks_lvl_2")</f>
        <v>tech.warehouse.stackable_racks_lvl_2</v>
      </c>
      <c r="C1099" s="49" t="str">
        <f t="array" ref="C1099">_xlfn.XLOOKUP(
 B1099,
 tblTargets[TargetID],
 tblTargets[DisplayName],
 ""
)</f>
        <v>Warehouse - Stackable Racks Lvl 2</v>
      </c>
      <c r="D1099" s="49" t="str">
        <f t="array" ref="D1099">_xlfn.XLOOKUP(
 B1099,
 tblTargets[TargetID],
 tblTargets[TargetType],
 ""
)</f>
        <v>TECH</v>
      </c>
      <c r="E1099" s="49" t="s">
        <v>1055</v>
      </c>
      <c r="F1099" s="87">
        <f>IFERROR(__xludf.DUMMYFUNCTION("VALUE(REGEXEXTRACT(A1099,""([^.]+)$""))"),1.0)</f>
        <v>1</v>
      </c>
      <c r="G1099" s="49">
        <v>30.0</v>
      </c>
      <c r="H1099" s="26" t="b">
        <f>COUNTIFS(
 tblCostChecklist[RequirementID],A1099,
 tblCostChecklist[PlayerPaid],TRUE
)&gt;0</f>
        <v>0</v>
      </c>
      <c r="I1099" s="49">
        <f t="shared" si="1"/>
        <v>5</v>
      </c>
      <c r="J1099" s="49">
        <f t="shared" si="2"/>
        <v>0</v>
      </c>
      <c r="K1099" s="49">
        <f t="shared" si="3"/>
        <v>5</v>
      </c>
      <c r="L1099" s="49" t="b">
        <f t="shared" si="4"/>
        <v>0</v>
      </c>
      <c r="M1099" s="88">
        <f t="shared" si="5"/>
        <v>0</v>
      </c>
    </row>
    <row r="1100" ht="14.25" customHeight="1">
      <c r="A1100" s="49" t="s">
        <v>3855</v>
      </c>
      <c r="B1100" s="49" t="str">
        <f>IFERROR(__xludf.DUMMYFUNCTION("REGEXEXTRACT(A1100,""^cost\.(.*)\.[^.]+\.[^.]+$"")"),"tech.warehouse.stackable_racks_lvl_2")</f>
        <v>tech.warehouse.stackable_racks_lvl_2</v>
      </c>
      <c r="C1100" s="49" t="str">
        <f t="array" ref="C1100">_xlfn.XLOOKUP(
 B1100,
 tblTargets[TargetID],
 tblTargets[DisplayName],
 ""
)</f>
        <v>Warehouse - Stackable Racks Lvl 2</v>
      </c>
      <c r="D1100" s="49" t="str">
        <f t="array" ref="D1100">_xlfn.XLOOKUP(
 B1100,
 tblTargets[TargetID],
 tblTargets[TargetType],
 ""
)</f>
        <v>TECH</v>
      </c>
      <c r="E1100" s="49" t="s">
        <v>119</v>
      </c>
      <c r="F1100" s="87">
        <f>IFERROR(__xludf.DUMMYFUNCTION("VALUE(REGEXEXTRACT(A1100,""([^.]+)$""))"),1.0)</f>
        <v>1</v>
      </c>
      <c r="G1100" s="49">
        <v>400.0</v>
      </c>
      <c r="H1100" s="26" t="b">
        <f>COUNTIFS(
 tblCostChecklist[RequirementID],A1100,
 tblCostChecklist[PlayerPaid],TRUE
)&gt;0</f>
        <v>0</v>
      </c>
      <c r="I1100" s="49">
        <f t="shared" si="1"/>
        <v>5</v>
      </c>
      <c r="J1100" s="49">
        <f t="shared" si="2"/>
        <v>0</v>
      </c>
      <c r="K1100" s="49">
        <f t="shared" si="3"/>
        <v>5</v>
      </c>
      <c r="L1100" s="49" t="b">
        <f t="shared" si="4"/>
        <v>0</v>
      </c>
      <c r="M1100" s="88">
        <f t="shared" si="5"/>
        <v>0</v>
      </c>
    </row>
    <row r="1101" ht="14.25" customHeight="1">
      <c r="A1101" s="49" t="s">
        <v>3859</v>
      </c>
      <c r="B1101" s="49" t="str">
        <f>IFERROR(__xludf.DUMMYFUNCTION("REGEXEXTRACT(A1101,""^cost\.(.*)\.[^.]+\.[^.]+$"")"),"tech.warehouse.stackable_racks_lvl_2")</f>
        <v>tech.warehouse.stackable_racks_lvl_2</v>
      </c>
      <c r="C1101" s="49" t="str">
        <f t="array" ref="C1101">_xlfn.XLOOKUP(
 B1101,
 tblTargets[TargetID],
 tblTargets[DisplayName],
 ""
)</f>
        <v>Warehouse - Stackable Racks Lvl 2</v>
      </c>
      <c r="D1101" s="49" t="str">
        <f t="array" ref="D1101">_xlfn.XLOOKUP(
 B1101,
 tblTargets[TargetID],
 tblTargets[TargetType],
 ""
)</f>
        <v>TECH</v>
      </c>
      <c r="E1101" s="49" t="s">
        <v>187</v>
      </c>
      <c r="F1101" s="87">
        <f>IFERROR(__xludf.DUMMYFUNCTION("VALUE(REGEXEXTRACT(A1101,""([^.]+)$""))"),1.0)</f>
        <v>1</v>
      </c>
      <c r="G1101" s="49">
        <v>300.0</v>
      </c>
      <c r="H1101" s="26" t="b">
        <f>COUNTIFS(
 tblCostChecklist[RequirementID],A1101,
 tblCostChecklist[PlayerPaid],TRUE
)&gt;0</f>
        <v>0</v>
      </c>
      <c r="I1101" s="49">
        <f t="shared" si="1"/>
        <v>5</v>
      </c>
      <c r="J1101" s="49">
        <f t="shared" si="2"/>
        <v>0</v>
      </c>
      <c r="K1101" s="49">
        <f t="shared" si="3"/>
        <v>5</v>
      </c>
      <c r="L1101" s="49" t="b">
        <f t="shared" si="4"/>
        <v>0</v>
      </c>
      <c r="M1101" s="88">
        <f t="shared" si="5"/>
        <v>0</v>
      </c>
    </row>
    <row r="1102" ht="14.25" customHeight="1">
      <c r="A1102" s="49" t="s">
        <v>3863</v>
      </c>
      <c r="B1102" s="49" t="str">
        <f>IFERROR(__xludf.DUMMYFUNCTION("REGEXEXTRACT(A1102,""^cost\.(.*)\.[^.]+\.[^.]+$"")"),"tech.warehouse.stackable_racks_lvl_2")</f>
        <v>tech.warehouse.stackable_racks_lvl_2</v>
      </c>
      <c r="C1102" s="49" t="str">
        <f t="array" ref="C1102">_xlfn.XLOOKUP(
 B1102,
 tblTargets[TargetID],
 tblTargets[DisplayName],
 ""
)</f>
        <v>Warehouse - Stackable Racks Lvl 2</v>
      </c>
      <c r="D1102" s="49" t="str">
        <f t="array" ref="D1102">_xlfn.XLOOKUP(
 B1102,
 tblTargets[TargetID],
 tblTargets[TargetType],
 ""
)</f>
        <v>TECH</v>
      </c>
      <c r="E1102" s="49" t="s">
        <v>6</v>
      </c>
      <c r="F1102" s="87">
        <f>IFERROR(__xludf.DUMMYFUNCTION("VALUE(REGEXEXTRACT(A1102,""([^.]+)$""))"),1.0)</f>
        <v>1</v>
      </c>
      <c r="G1102" s="49">
        <v>2.0</v>
      </c>
      <c r="H1102" s="26" t="b">
        <f>COUNTIFS(
 tblCostChecklist[RequirementID],A1102,
 tblCostChecklist[PlayerPaid],TRUE
)&gt;0</f>
        <v>0</v>
      </c>
      <c r="I1102" s="49">
        <f t="shared" si="1"/>
        <v>5</v>
      </c>
      <c r="J1102" s="49">
        <f t="shared" si="2"/>
        <v>0</v>
      </c>
      <c r="K1102" s="49">
        <f t="shared" si="3"/>
        <v>5</v>
      </c>
      <c r="L1102" s="49" t="b">
        <f t="shared" si="4"/>
        <v>0</v>
      </c>
      <c r="M1102" s="88">
        <f t="shared" si="5"/>
        <v>0</v>
      </c>
    </row>
    <row r="1103" ht="14.25" customHeight="1">
      <c r="A1103" s="49" t="s">
        <v>3867</v>
      </c>
      <c r="B1103" s="49" t="str">
        <f>IFERROR(__xludf.DUMMYFUNCTION("REGEXEXTRACT(A1103,""^cost\.(.*)\.[^.]+\.[^.]+$"")"),"tech.warehouse.stackable_racks_lvl_2")</f>
        <v>tech.warehouse.stackable_racks_lvl_2</v>
      </c>
      <c r="C1103" s="49" t="str">
        <f t="array" ref="C1103">_xlfn.XLOOKUP(
 B1103,
 tblTargets[TargetID],
 tblTargets[DisplayName],
 ""
)</f>
        <v>Warehouse - Stackable Racks Lvl 2</v>
      </c>
      <c r="D1103" s="49" t="str">
        <f t="array" ref="D1103">_xlfn.XLOOKUP(
 B1103,
 tblTargets[TargetID],
 tblTargets[TargetType],
 ""
)</f>
        <v>TECH</v>
      </c>
      <c r="E1103" s="49" t="s">
        <v>392</v>
      </c>
      <c r="F1103" s="87">
        <f>IFERROR(__xludf.DUMMYFUNCTION("VALUE(REGEXEXTRACT(A1103,""([^.]+)$""))"),1.0)</f>
        <v>1</v>
      </c>
      <c r="G1103" s="49">
        <v>60.0</v>
      </c>
      <c r="H1103" s="26" t="b">
        <f>COUNTIFS(
 tblCostChecklist[RequirementID],A1103,
 tblCostChecklist[PlayerPaid],TRUE
)&gt;0</f>
        <v>0</v>
      </c>
      <c r="I1103" s="49">
        <f t="shared" si="1"/>
        <v>5</v>
      </c>
      <c r="J1103" s="49">
        <f t="shared" si="2"/>
        <v>0</v>
      </c>
      <c r="K1103" s="49">
        <f t="shared" si="3"/>
        <v>5</v>
      </c>
      <c r="L1103" s="49" t="b">
        <f t="shared" si="4"/>
        <v>0</v>
      </c>
      <c r="M1103" s="88">
        <f t="shared" si="5"/>
        <v>0</v>
      </c>
    </row>
    <row r="1104" ht="14.25" customHeight="1">
      <c r="A1104" s="49" t="s">
        <v>3870</v>
      </c>
      <c r="B1104" s="49" t="str">
        <f>IFERROR(__xludf.DUMMYFUNCTION("REGEXEXTRACT(A1104,""^cost\.(.*)\.[^.]+\.[^.]+$"")"),"tech.warehouse.stackable_racks_lvl_3")</f>
        <v>tech.warehouse.stackable_racks_lvl_3</v>
      </c>
      <c r="C1104" s="49" t="str">
        <f t="array" ref="C1104">_xlfn.XLOOKUP(
 B1104,
 tblTargets[TargetID],
 tblTargets[DisplayName],
 ""
)</f>
        <v>Warehouse - Stackable Racks Lvl 3</v>
      </c>
      <c r="D1104" s="49" t="str">
        <f t="array" ref="D1104">_xlfn.XLOOKUP(
 B1104,
 tblTargets[TargetID],
 tblTargets[TargetType],
 ""
)</f>
        <v>TECH</v>
      </c>
      <c r="E1104" s="49" t="s">
        <v>1055</v>
      </c>
      <c r="F1104" s="87">
        <f>IFERROR(__xludf.DUMMYFUNCTION("VALUE(REGEXEXTRACT(A1104,""([^.]+)$""))"),1.0)</f>
        <v>1</v>
      </c>
      <c r="G1104" s="49">
        <v>30.0</v>
      </c>
      <c r="H1104" s="26" t="b">
        <f>COUNTIFS(
 tblCostChecklist[RequirementID],A1104,
 tblCostChecklist[PlayerPaid],TRUE
)&gt;0</f>
        <v>0</v>
      </c>
      <c r="I1104" s="49">
        <f t="shared" si="1"/>
        <v>5</v>
      </c>
      <c r="J1104" s="49">
        <f t="shared" si="2"/>
        <v>0</v>
      </c>
      <c r="K1104" s="49">
        <f t="shared" si="3"/>
        <v>5</v>
      </c>
      <c r="L1104" s="49" t="b">
        <f t="shared" si="4"/>
        <v>0</v>
      </c>
      <c r="M1104" s="88">
        <f t="shared" si="5"/>
        <v>0</v>
      </c>
    </row>
    <row r="1105" ht="14.25" customHeight="1">
      <c r="A1105" s="49" t="s">
        <v>3875</v>
      </c>
      <c r="B1105" s="49" t="str">
        <f>IFERROR(__xludf.DUMMYFUNCTION("REGEXEXTRACT(A1105,""^cost\.(.*)\.[^.]+\.[^.]+$"")"),"tech.warehouse.stackable_racks_lvl_3")</f>
        <v>tech.warehouse.stackable_racks_lvl_3</v>
      </c>
      <c r="C1105" s="49" t="str">
        <f t="array" ref="C1105">_xlfn.XLOOKUP(
 B1105,
 tblTargets[TargetID],
 tblTargets[DisplayName],
 ""
)</f>
        <v>Warehouse - Stackable Racks Lvl 3</v>
      </c>
      <c r="D1105" s="49" t="str">
        <f t="array" ref="D1105">_xlfn.XLOOKUP(
 B1105,
 tblTargets[TargetID],
 tblTargets[TargetType],
 ""
)</f>
        <v>TECH</v>
      </c>
      <c r="E1105" s="49" t="s">
        <v>119</v>
      </c>
      <c r="F1105" s="87">
        <f>IFERROR(__xludf.DUMMYFUNCTION("VALUE(REGEXEXTRACT(A1105,""([^.]+)$""))"),1.0)</f>
        <v>1</v>
      </c>
      <c r="G1105" s="49">
        <v>500.0</v>
      </c>
      <c r="H1105" s="26" t="b">
        <f>COUNTIFS(
 tblCostChecklist[RequirementID],A1105,
 tblCostChecklist[PlayerPaid],TRUE
)&gt;0</f>
        <v>0</v>
      </c>
      <c r="I1105" s="49">
        <f t="shared" si="1"/>
        <v>5</v>
      </c>
      <c r="J1105" s="49">
        <f t="shared" si="2"/>
        <v>0</v>
      </c>
      <c r="K1105" s="49">
        <f t="shared" si="3"/>
        <v>5</v>
      </c>
      <c r="L1105" s="49" t="b">
        <f t="shared" si="4"/>
        <v>0</v>
      </c>
      <c r="M1105" s="88">
        <f t="shared" si="5"/>
        <v>0</v>
      </c>
    </row>
    <row r="1106" ht="14.25" customHeight="1">
      <c r="A1106" s="49" t="s">
        <v>3878</v>
      </c>
      <c r="B1106" s="49" t="str">
        <f>IFERROR(__xludf.DUMMYFUNCTION("REGEXEXTRACT(A1106,""^cost\.(.*)\.[^.]+\.[^.]+$"")"),"tech.warehouse.stackable_racks_lvl_3")</f>
        <v>tech.warehouse.stackable_racks_lvl_3</v>
      </c>
      <c r="C1106" s="49" t="str">
        <f t="array" ref="C1106">_xlfn.XLOOKUP(
 B1106,
 tblTargets[TargetID],
 tblTargets[DisplayName],
 ""
)</f>
        <v>Warehouse - Stackable Racks Lvl 3</v>
      </c>
      <c r="D1106" s="49" t="str">
        <f t="array" ref="D1106">_xlfn.XLOOKUP(
 B1106,
 tblTargets[TargetID],
 tblTargets[TargetType],
 ""
)</f>
        <v>TECH</v>
      </c>
      <c r="E1106" s="49" t="s">
        <v>187</v>
      </c>
      <c r="F1106" s="87">
        <f>IFERROR(__xludf.DUMMYFUNCTION("VALUE(REGEXEXTRACT(A1106,""([^.]+)$""))"),1.0)</f>
        <v>1</v>
      </c>
      <c r="G1106" s="49">
        <v>400.0</v>
      </c>
      <c r="H1106" s="26" t="b">
        <f>COUNTIFS(
 tblCostChecklist[RequirementID],A1106,
 tblCostChecklist[PlayerPaid],TRUE
)&gt;0</f>
        <v>0</v>
      </c>
      <c r="I1106" s="49">
        <f t="shared" si="1"/>
        <v>5</v>
      </c>
      <c r="J1106" s="49">
        <f t="shared" si="2"/>
        <v>0</v>
      </c>
      <c r="K1106" s="49">
        <f t="shared" si="3"/>
        <v>5</v>
      </c>
      <c r="L1106" s="49" t="b">
        <f t="shared" si="4"/>
        <v>0</v>
      </c>
      <c r="M1106" s="88">
        <f t="shared" si="5"/>
        <v>0</v>
      </c>
    </row>
    <row r="1107" ht="14.25" customHeight="1">
      <c r="A1107" s="49" t="s">
        <v>3882</v>
      </c>
      <c r="B1107" s="49" t="str">
        <f>IFERROR(__xludf.DUMMYFUNCTION("REGEXEXTRACT(A1107,""^cost\.(.*)\.[^.]+\.[^.]+$"")"),"tech.warehouse.stackable_racks_lvl_3")</f>
        <v>tech.warehouse.stackable_racks_lvl_3</v>
      </c>
      <c r="C1107" s="49" t="str">
        <f t="array" ref="C1107">_xlfn.XLOOKUP(
 B1107,
 tblTargets[TargetID],
 tblTargets[DisplayName],
 ""
)</f>
        <v>Warehouse - Stackable Racks Lvl 3</v>
      </c>
      <c r="D1107" s="49" t="str">
        <f t="array" ref="D1107">_xlfn.XLOOKUP(
 B1107,
 tblTargets[TargetID],
 tblTargets[TargetType],
 ""
)</f>
        <v>TECH</v>
      </c>
      <c r="E1107" s="49" t="s">
        <v>6</v>
      </c>
      <c r="F1107" s="87">
        <f>IFERROR(__xludf.DUMMYFUNCTION("VALUE(REGEXEXTRACT(A1107,""([^.]+)$""))"),1.0)</f>
        <v>1</v>
      </c>
      <c r="G1107" s="49">
        <v>3.0</v>
      </c>
      <c r="H1107" s="26" t="b">
        <f>COUNTIFS(
 tblCostChecklist[RequirementID],A1107,
 tblCostChecklist[PlayerPaid],TRUE
)&gt;0</f>
        <v>0</v>
      </c>
      <c r="I1107" s="49">
        <f t="shared" si="1"/>
        <v>5</v>
      </c>
      <c r="J1107" s="49">
        <f t="shared" si="2"/>
        <v>0</v>
      </c>
      <c r="K1107" s="49">
        <f t="shared" si="3"/>
        <v>5</v>
      </c>
      <c r="L1107" s="49" t="b">
        <f t="shared" si="4"/>
        <v>0</v>
      </c>
      <c r="M1107" s="88">
        <f t="shared" si="5"/>
        <v>0</v>
      </c>
    </row>
    <row r="1108" ht="14.25" customHeight="1">
      <c r="A1108" s="49" t="s">
        <v>3886</v>
      </c>
      <c r="B1108" s="49" t="str">
        <f>IFERROR(__xludf.DUMMYFUNCTION("REGEXEXTRACT(A1108,""^cost\.(.*)\.[^.]+\.[^.]+$"")"),"tech.warehouse.stackable_racks_lvl_3")</f>
        <v>tech.warehouse.stackable_racks_lvl_3</v>
      </c>
      <c r="C1108" s="49" t="str">
        <f t="array" ref="C1108">_xlfn.XLOOKUP(
 B1108,
 tblTargets[TargetID],
 tblTargets[DisplayName],
 ""
)</f>
        <v>Warehouse - Stackable Racks Lvl 3</v>
      </c>
      <c r="D1108" s="49" t="str">
        <f t="array" ref="D1108">_xlfn.XLOOKUP(
 B1108,
 tblTargets[TargetID],
 tblTargets[TargetType],
 ""
)</f>
        <v>TECH</v>
      </c>
      <c r="E1108" s="49" t="s">
        <v>392</v>
      </c>
      <c r="F1108" s="87">
        <f>IFERROR(__xludf.DUMMYFUNCTION("VALUE(REGEXEXTRACT(A1108,""([^.]+)$""))"),1.0)</f>
        <v>1</v>
      </c>
      <c r="G1108" s="49">
        <v>70.0</v>
      </c>
      <c r="H1108" s="26" t="b">
        <f>COUNTIFS(
 tblCostChecklist[RequirementID],A1108,
 tblCostChecklist[PlayerPaid],TRUE
)&gt;0</f>
        <v>0</v>
      </c>
      <c r="I1108" s="49">
        <f t="shared" si="1"/>
        <v>5</v>
      </c>
      <c r="J1108" s="49">
        <f t="shared" si="2"/>
        <v>0</v>
      </c>
      <c r="K1108" s="49">
        <f t="shared" si="3"/>
        <v>5</v>
      </c>
      <c r="L1108" s="49" t="b">
        <f t="shared" si="4"/>
        <v>0</v>
      </c>
      <c r="M1108" s="88">
        <f t="shared" si="5"/>
        <v>0</v>
      </c>
    </row>
    <row r="1109" ht="14.25" customHeight="1">
      <c r="A1109" s="49" t="s">
        <v>3890</v>
      </c>
      <c r="B1109" s="49" t="str">
        <f>IFERROR(__xludf.DUMMYFUNCTION("REGEXEXTRACT(A1109,""^cost\.(.*)\.[^.]+\.[^.]+$"")"),"tech.workshop.throwing_net")</f>
        <v>tech.workshop.throwing_net</v>
      </c>
      <c r="C1109" s="49" t="str">
        <f t="array" ref="C1109">_xlfn.XLOOKUP(
 B1109,
 tblTargets[TargetID],
 tblTargets[DisplayName],
 ""
)</f>
        <v>Workshop - Throwing Net</v>
      </c>
      <c r="D1109" s="49" t="str">
        <f t="array" ref="D1109">_xlfn.XLOOKUP(
 B1109,
 tblTargets[TargetID],
 tblTargets[TargetType],
 ""
)</f>
        <v>TECH</v>
      </c>
      <c r="E1109" s="49" t="s">
        <v>278</v>
      </c>
      <c r="F1109" s="87">
        <f>IFERROR(__xludf.DUMMYFUNCTION("VALUE(REGEXEXTRACT(A1109,""([^.]+)$""))"),1.0)</f>
        <v>1</v>
      </c>
      <c r="G1109" s="49">
        <v>40.0</v>
      </c>
      <c r="H1109" s="26" t="b">
        <f>COUNTIFS(
 tblCostChecklist[RequirementID],A1109,
 tblCostChecklist[PlayerPaid],TRUE
)&gt;0</f>
        <v>0</v>
      </c>
      <c r="I1109" s="49">
        <f t="shared" si="1"/>
        <v>6</v>
      </c>
      <c r="J1109" s="49">
        <f t="shared" si="2"/>
        <v>0</v>
      </c>
      <c r="K1109" s="49">
        <f t="shared" si="3"/>
        <v>6</v>
      </c>
      <c r="L1109" s="49" t="b">
        <f t="shared" si="4"/>
        <v>0</v>
      </c>
      <c r="M1109" s="88">
        <f t="shared" si="5"/>
        <v>0</v>
      </c>
    </row>
    <row r="1110" ht="14.25" customHeight="1">
      <c r="A1110" s="49" t="s">
        <v>3894</v>
      </c>
      <c r="B1110" s="49" t="str">
        <f>IFERROR(__xludf.DUMMYFUNCTION("REGEXEXTRACT(A1110,""^cost\.(.*)\.[^.]+\.[^.]+$"")"),"tech.workshop.throwing_net")</f>
        <v>tech.workshop.throwing_net</v>
      </c>
      <c r="C1110" s="49" t="str">
        <f t="array" ref="C1110">_xlfn.XLOOKUP(
 B1110,
 tblTargets[TargetID],
 tblTargets[DisplayName],
 ""
)</f>
        <v>Workshop - Throwing Net</v>
      </c>
      <c r="D1110" s="49" t="str">
        <f t="array" ref="D1110">_xlfn.XLOOKUP(
 B1110,
 tblTargets[TargetID],
 tblTargets[TargetType],
 ""
)</f>
        <v>TECH</v>
      </c>
      <c r="E1110" s="49" t="s">
        <v>119</v>
      </c>
      <c r="F1110" s="87">
        <f>IFERROR(__xludf.DUMMYFUNCTION("VALUE(REGEXEXTRACT(A1110,""([^.]+)$""))"),1.0)</f>
        <v>1</v>
      </c>
      <c r="G1110" s="49">
        <v>300.0</v>
      </c>
      <c r="H1110" s="26" t="b">
        <f>COUNTIFS(
 tblCostChecklist[RequirementID],A1110,
 tblCostChecklist[PlayerPaid],TRUE
)&gt;0</f>
        <v>0</v>
      </c>
      <c r="I1110" s="49">
        <f t="shared" si="1"/>
        <v>6</v>
      </c>
      <c r="J1110" s="49">
        <f t="shared" si="2"/>
        <v>0</v>
      </c>
      <c r="K1110" s="49">
        <f t="shared" si="3"/>
        <v>6</v>
      </c>
      <c r="L1110" s="49" t="b">
        <f t="shared" si="4"/>
        <v>0</v>
      </c>
      <c r="M1110" s="88">
        <f t="shared" si="5"/>
        <v>0</v>
      </c>
    </row>
    <row r="1111" ht="14.25" customHeight="1">
      <c r="A1111" s="49" t="s">
        <v>3898</v>
      </c>
      <c r="B1111" s="49" t="str">
        <f>IFERROR(__xludf.DUMMYFUNCTION("REGEXEXTRACT(A1111,""^cost\.(.*)\.[^.]+\.[^.]+$"")"),"tech.workshop.throwing_net")</f>
        <v>tech.workshop.throwing_net</v>
      </c>
      <c r="C1111" s="49" t="str">
        <f t="array" ref="C1111">_xlfn.XLOOKUP(
 B1111,
 tblTargets[TargetID],
 tblTargets[DisplayName],
 ""
)</f>
        <v>Workshop - Throwing Net</v>
      </c>
      <c r="D1111" s="49" t="str">
        <f t="array" ref="D1111">_xlfn.XLOOKUP(
 B1111,
 tblTargets[TargetID],
 tblTargets[TargetType],
 ""
)</f>
        <v>TECH</v>
      </c>
      <c r="E1111" s="49" t="s">
        <v>132</v>
      </c>
      <c r="F1111" s="87">
        <f>IFERROR(__xludf.DUMMYFUNCTION("VALUE(REGEXEXTRACT(A1111,""([^.]+)$""))"),1.0)</f>
        <v>1</v>
      </c>
      <c r="G1111" s="49">
        <v>10.0</v>
      </c>
      <c r="H1111" s="26" t="b">
        <f>COUNTIFS(
 tblCostChecklist[RequirementID],A1111,
 tblCostChecklist[PlayerPaid],TRUE
)&gt;0</f>
        <v>0</v>
      </c>
      <c r="I1111" s="49">
        <f t="shared" si="1"/>
        <v>6</v>
      </c>
      <c r="J1111" s="49">
        <f t="shared" si="2"/>
        <v>0</v>
      </c>
      <c r="K1111" s="49">
        <f t="shared" si="3"/>
        <v>6</v>
      </c>
      <c r="L1111" s="49" t="b">
        <f t="shared" si="4"/>
        <v>0</v>
      </c>
      <c r="M1111" s="88">
        <f t="shared" si="5"/>
        <v>0</v>
      </c>
    </row>
    <row r="1112" ht="14.25" customHeight="1">
      <c r="A1112" s="49" t="s">
        <v>3902</v>
      </c>
      <c r="B1112" s="49" t="str">
        <f>IFERROR(__xludf.DUMMYFUNCTION("REGEXEXTRACT(A1112,""^cost\.(.*)\.[^.]+\.[^.]+$"")"),"tech.workshop.throwing_net")</f>
        <v>tech.workshop.throwing_net</v>
      </c>
      <c r="C1112" s="49" t="str">
        <f t="array" ref="C1112">_xlfn.XLOOKUP(
 B1112,
 tblTargets[TargetID],
 tblTargets[DisplayName],
 ""
)</f>
        <v>Workshop - Throwing Net</v>
      </c>
      <c r="D1112" s="49" t="str">
        <f t="array" ref="D1112">_xlfn.XLOOKUP(
 B1112,
 tblTargets[TargetID],
 tblTargets[TargetType],
 ""
)</f>
        <v>TECH</v>
      </c>
      <c r="E1112" s="49" t="s">
        <v>6</v>
      </c>
      <c r="F1112" s="87">
        <f>IFERROR(__xludf.DUMMYFUNCTION("VALUE(REGEXEXTRACT(A1112,""([^.]+)$""))"),1.0)</f>
        <v>1</v>
      </c>
      <c r="G1112" s="49">
        <v>2.0</v>
      </c>
      <c r="H1112" s="26" t="b">
        <f>COUNTIFS(
 tblCostChecklist[RequirementID],A1112,
 tblCostChecklist[PlayerPaid],TRUE
)&gt;0</f>
        <v>0</v>
      </c>
      <c r="I1112" s="49">
        <f t="shared" si="1"/>
        <v>6</v>
      </c>
      <c r="J1112" s="49">
        <f t="shared" si="2"/>
        <v>0</v>
      </c>
      <c r="K1112" s="49">
        <f t="shared" si="3"/>
        <v>6</v>
      </c>
      <c r="L1112" s="49" t="b">
        <f t="shared" si="4"/>
        <v>0</v>
      </c>
      <c r="M1112" s="88">
        <f t="shared" si="5"/>
        <v>0</v>
      </c>
    </row>
    <row r="1113" ht="14.25" customHeight="1">
      <c r="A1113" s="49" t="s">
        <v>3906</v>
      </c>
      <c r="B1113" s="49" t="str">
        <f>IFERROR(__xludf.DUMMYFUNCTION("REGEXEXTRACT(A1113,""^cost\.(.*)\.[^.]+\.[^.]+$"")"),"tech.workshop.throwing_net")</f>
        <v>tech.workshop.throwing_net</v>
      </c>
      <c r="C1113" s="49" t="str">
        <f t="array" ref="C1113">_xlfn.XLOOKUP(
 B1113,
 tblTargets[TargetID],
 tblTargets[DisplayName],
 ""
)</f>
        <v>Workshop - Throwing Net</v>
      </c>
      <c r="D1113" s="49" t="str">
        <f t="array" ref="D1113">_xlfn.XLOOKUP(
 B1113,
 tblTargets[TargetID],
 tblTargets[TargetType],
 ""
)</f>
        <v>TECH</v>
      </c>
      <c r="E1113" s="49" t="s">
        <v>237</v>
      </c>
      <c r="F1113" s="87">
        <f>IFERROR(__xludf.DUMMYFUNCTION("VALUE(REGEXEXTRACT(A1113,""([^.]+)$""))"),1.0)</f>
        <v>1</v>
      </c>
      <c r="G1113" s="49">
        <v>10.0</v>
      </c>
      <c r="H1113" s="26" t="b">
        <f>COUNTIFS(
 tblCostChecklist[RequirementID],A1113,
 tblCostChecklist[PlayerPaid],TRUE
)&gt;0</f>
        <v>0</v>
      </c>
      <c r="I1113" s="49">
        <f t="shared" si="1"/>
        <v>6</v>
      </c>
      <c r="J1113" s="49">
        <f t="shared" si="2"/>
        <v>0</v>
      </c>
      <c r="K1113" s="49">
        <f t="shared" si="3"/>
        <v>6</v>
      </c>
      <c r="L1113" s="49" t="b">
        <f t="shared" si="4"/>
        <v>0</v>
      </c>
      <c r="M1113" s="88">
        <f t="shared" si="5"/>
        <v>0</v>
      </c>
    </row>
    <row r="1114" ht="14.25" customHeight="1">
      <c r="A1114" s="49" t="s">
        <v>3909</v>
      </c>
      <c r="B1114" s="49" t="str">
        <f>IFERROR(__xludf.DUMMYFUNCTION("REGEXEXTRACT(A1114,""^cost\.(.*)\.[^.]+\.[^.]+$"")"),"tech.workshop.throwing_net")</f>
        <v>tech.workshop.throwing_net</v>
      </c>
      <c r="C1114" s="49" t="str">
        <f t="array" ref="C1114">_xlfn.XLOOKUP(
 B1114,
 tblTargets[TargetID],
 tblTargets[DisplayName],
 ""
)</f>
        <v>Workshop - Throwing Net</v>
      </c>
      <c r="D1114" s="49" t="str">
        <f t="array" ref="D1114">_xlfn.XLOOKUP(
 B1114,
 tblTargets[TargetID],
 tblTargets[TargetType],
 ""
)</f>
        <v>TECH</v>
      </c>
      <c r="E1114" s="49" t="s">
        <v>158</v>
      </c>
      <c r="F1114" s="87">
        <f>IFERROR(__xludf.DUMMYFUNCTION("VALUE(REGEXEXTRACT(A1114,""([^.]+)$""))"),1.0)</f>
        <v>1</v>
      </c>
      <c r="G1114" s="49">
        <v>10.0</v>
      </c>
      <c r="H1114" s="26" t="b">
        <f>COUNTIFS(
 tblCostChecklist[RequirementID],A1114,
 tblCostChecklist[PlayerPaid],TRUE
)&gt;0</f>
        <v>0</v>
      </c>
      <c r="I1114" s="49">
        <f t="shared" si="1"/>
        <v>6</v>
      </c>
      <c r="J1114" s="49">
        <f t="shared" si="2"/>
        <v>0</v>
      </c>
      <c r="K1114" s="49">
        <f t="shared" si="3"/>
        <v>6</v>
      </c>
      <c r="L1114" s="49" t="b">
        <f t="shared" si="4"/>
        <v>0</v>
      </c>
      <c r="M1114" s="88">
        <f t="shared" si="5"/>
        <v>0</v>
      </c>
    </row>
    <row r="1115" ht="14.25" customHeight="1">
      <c r="A1115" s="49" t="s">
        <v>3913</v>
      </c>
      <c r="B1115" s="49" t="str">
        <f>IFERROR(__xludf.DUMMYFUNCTION("REGEXEXTRACT(A1115,""^cost\.(.*)\.[^.]+\.[^.]+$"")"),"tech.workshop.shield_for_a_hero_lvl_1")</f>
        <v>tech.workshop.shield_for_a_hero_lvl_1</v>
      </c>
      <c r="C1115" s="49" t="str">
        <f t="array" ref="C1115">_xlfn.XLOOKUP(
 B1115,
 tblTargets[TargetID],
 tblTargets[DisplayName],
 ""
)</f>
        <v>Workshop - Shield For A Hero Lvl 1</v>
      </c>
      <c r="D1115" s="49" t="str">
        <f t="array" ref="D1115">_xlfn.XLOOKUP(
 B1115,
 tblTargets[TargetID],
 tblTargets[TargetType],
 ""
)</f>
        <v>TECH</v>
      </c>
      <c r="E1115" s="49" t="s">
        <v>278</v>
      </c>
      <c r="F1115" s="87">
        <f>IFERROR(__xludf.DUMMYFUNCTION("VALUE(REGEXEXTRACT(A1115,""([^.]+)$""))"),1.0)</f>
        <v>1</v>
      </c>
      <c r="G1115" s="49">
        <v>50.0</v>
      </c>
      <c r="H1115" s="26" t="b">
        <f>COUNTIFS(
 tblCostChecklist[RequirementID],A1115,
 tblCostChecklist[PlayerPaid],TRUE
)&gt;0</f>
        <v>0</v>
      </c>
      <c r="I1115" s="49">
        <f t="shared" si="1"/>
        <v>5</v>
      </c>
      <c r="J1115" s="49">
        <f t="shared" si="2"/>
        <v>0</v>
      </c>
      <c r="K1115" s="49">
        <f t="shared" si="3"/>
        <v>5</v>
      </c>
      <c r="L1115" s="49" t="b">
        <f t="shared" si="4"/>
        <v>0</v>
      </c>
      <c r="M1115" s="88">
        <f t="shared" si="5"/>
        <v>0</v>
      </c>
    </row>
    <row r="1116" ht="14.25" customHeight="1">
      <c r="A1116" s="49" t="s">
        <v>3917</v>
      </c>
      <c r="B1116" s="49" t="str">
        <f>IFERROR(__xludf.DUMMYFUNCTION("REGEXEXTRACT(A1116,""^cost\.(.*)\.[^.]+\.[^.]+$"")"),"tech.workshop.shield_for_a_hero_lvl_1")</f>
        <v>tech.workshop.shield_for_a_hero_lvl_1</v>
      </c>
      <c r="C1116" s="49" t="str">
        <f t="array" ref="C1116">_xlfn.XLOOKUP(
 B1116,
 tblTargets[TargetID],
 tblTargets[DisplayName],
 ""
)</f>
        <v>Workshop - Shield For A Hero Lvl 1</v>
      </c>
      <c r="D1116" s="49" t="str">
        <f t="array" ref="D1116">_xlfn.XLOOKUP(
 B1116,
 tblTargets[TargetID],
 tblTargets[TargetType],
 ""
)</f>
        <v>TECH</v>
      </c>
      <c r="E1116" s="49" t="s">
        <v>119</v>
      </c>
      <c r="F1116" s="87">
        <f>IFERROR(__xludf.DUMMYFUNCTION("VALUE(REGEXEXTRACT(A1116,""([^.]+)$""))"),1.0)</f>
        <v>1</v>
      </c>
      <c r="G1116" s="49">
        <v>300.0</v>
      </c>
      <c r="H1116" s="26" t="b">
        <f>COUNTIFS(
 tblCostChecklist[RequirementID],A1116,
 tblCostChecklist[PlayerPaid],TRUE
)&gt;0</f>
        <v>0</v>
      </c>
      <c r="I1116" s="49">
        <f t="shared" si="1"/>
        <v>5</v>
      </c>
      <c r="J1116" s="49">
        <f t="shared" si="2"/>
        <v>0</v>
      </c>
      <c r="K1116" s="49">
        <f t="shared" si="3"/>
        <v>5</v>
      </c>
      <c r="L1116" s="49" t="b">
        <f t="shared" si="4"/>
        <v>0</v>
      </c>
      <c r="M1116" s="88">
        <f t="shared" si="5"/>
        <v>0</v>
      </c>
    </row>
    <row r="1117" ht="14.25" customHeight="1">
      <c r="A1117" s="49" t="s">
        <v>3921</v>
      </c>
      <c r="B1117" s="49" t="str">
        <f>IFERROR(__xludf.DUMMYFUNCTION("REGEXEXTRACT(A1117,""^cost\.(.*)\.[^.]+\.[^.]+$"")"),"tech.workshop.shield_for_a_hero_lvl_1")</f>
        <v>tech.workshop.shield_for_a_hero_lvl_1</v>
      </c>
      <c r="C1117" s="49" t="str">
        <f t="array" ref="C1117">_xlfn.XLOOKUP(
 B1117,
 tblTargets[TargetID],
 tblTargets[DisplayName],
 ""
)</f>
        <v>Workshop - Shield For A Hero Lvl 1</v>
      </c>
      <c r="D1117" s="49" t="str">
        <f t="array" ref="D1117">_xlfn.XLOOKUP(
 B1117,
 tblTargets[TargetID],
 tblTargets[TargetType],
 ""
)</f>
        <v>TECH</v>
      </c>
      <c r="E1117" s="49" t="s">
        <v>126</v>
      </c>
      <c r="F1117" s="87">
        <f>IFERROR(__xludf.DUMMYFUNCTION("VALUE(REGEXEXTRACT(A1117,""([^.]+)$""))"),1.0)</f>
        <v>1</v>
      </c>
      <c r="G1117" s="49">
        <v>40.0</v>
      </c>
      <c r="H1117" s="26" t="b">
        <f>COUNTIFS(
 tblCostChecklist[RequirementID],A1117,
 tblCostChecklist[PlayerPaid],TRUE
)&gt;0</f>
        <v>0</v>
      </c>
      <c r="I1117" s="49">
        <f t="shared" si="1"/>
        <v>5</v>
      </c>
      <c r="J1117" s="49">
        <f t="shared" si="2"/>
        <v>0</v>
      </c>
      <c r="K1117" s="49">
        <f t="shared" si="3"/>
        <v>5</v>
      </c>
      <c r="L1117" s="49" t="b">
        <f t="shared" si="4"/>
        <v>0</v>
      </c>
      <c r="M1117" s="88">
        <f t="shared" si="5"/>
        <v>0</v>
      </c>
    </row>
    <row r="1118" ht="14.25" customHeight="1">
      <c r="A1118" s="49" t="s">
        <v>3925</v>
      </c>
      <c r="B1118" s="49" t="str">
        <f>IFERROR(__xludf.DUMMYFUNCTION("REGEXEXTRACT(A1118,""^cost\.(.*)\.[^.]+\.[^.]+$"")"),"tech.workshop.shield_for_a_hero_lvl_1")</f>
        <v>tech.workshop.shield_for_a_hero_lvl_1</v>
      </c>
      <c r="C1118" s="49" t="str">
        <f t="array" ref="C1118">_xlfn.XLOOKUP(
 B1118,
 tblTargets[TargetID],
 tblTargets[DisplayName],
 ""
)</f>
        <v>Workshop - Shield For A Hero Lvl 1</v>
      </c>
      <c r="D1118" s="49" t="str">
        <f t="array" ref="D1118">_xlfn.XLOOKUP(
 B1118,
 tblTargets[TargetID],
 tblTargets[TargetType],
 ""
)</f>
        <v>TECH</v>
      </c>
      <c r="E1118" s="49" t="s">
        <v>132</v>
      </c>
      <c r="F1118" s="87">
        <f>IFERROR(__xludf.DUMMYFUNCTION("VALUE(REGEXEXTRACT(A1118,""([^.]+)$""))"),1.0)</f>
        <v>1</v>
      </c>
      <c r="G1118" s="49">
        <v>20.0</v>
      </c>
      <c r="H1118" s="26" t="b">
        <f>COUNTIFS(
 tblCostChecklist[RequirementID],A1118,
 tblCostChecklist[PlayerPaid],TRUE
)&gt;0</f>
        <v>0</v>
      </c>
      <c r="I1118" s="49">
        <f t="shared" si="1"/>
        <v>5</v>
      </c>
      <c r="J1118" s="49">
        <f t="shared" si="2"/>
        <v>0</v>
      </c>
      <c r="K1118" s="49">
        <f t="shared" si="3"/>
        <v>5</v>
      </c>
      <c r="L1118" s="49" t="b">
        <f t="shared" si="4"/>
        <v>0</v>
      </c>
      <c r="M1118" s="88">
        <f t="shared" si="5"/>
        <v>0</v>
      </c>
    </row>
    <row r="1119" ht="14.25" customHeight="1">
      <c r="A1119" s="49" t="s">
        <v>3929</v>
      </c>
      <c r="B1119" s="49" t="str">
        <f>IFERROR(__xludf.DUMMYFUNCTION("REGEXEXTRACT(A1119,""^cost\.(.*)\.[^.]+\.[^.]+$"")"),"tech.workshop.shield_for_a_hero_lvl_1")</f>
        <v>tech.workshop.shield_for_a_hero_lvl_1</v>
      </c>
      <c r="C1119" s="49" t="str">
        <f t="array" ref="C1119">_xlfn.XLOOKUP(
 B1119,
 tblTargets[TargetID],
 tblTargets[DisplayName],
 ""
)</f>
        <v>Workshop - Shield For A Hero Lvl 1</v>
      </c>
      <c r="D1119" s="49" t="str">
        <f t="array" ref="D1119">_xlfn.XLOOKUP(
 B1119,
 tblTargets[TargetID],
 tblTargets[TargetType],
 ""
)</f>
        <v>TECH</v>
      </c>
      <c r="E1119" s="49" t="s">
        <v>6</v>
      </c>
      <c r="F1119" s="87">
        <f>IFERROR(__xludf.DUMMYFUNCTION("VALUE(REGEXEXTRACT(A1119,""([^.]+)$""))"),1.0)</f>
        <v>1</v>
      </c>
      <c r="G1119" s="49">
        <v>2.0</v>
      </c>
      <c r="H1119" s="26" t="b">
        <f>COUNTIFS(
 tblCostChecklist[RequirementID],A1119,
 tblCostChecklist[PlayerPaid],TRUE
)&gt;0</f>
        <v>0</v>
      </c>
      <c r="I1119" s="49">
        <f t="shared" si="1"/>
        <v>5</v>
      </c>
      <c r="J1119" s="49">
        <f t="shared" si="2"/>
        <v>0</v>
      </c>
      <c r="K1119" s="49">
        <f t="shared" si="3"/>
        <v>5</v>
      </c>
      <c r="L1119" s="49" t="b">
        <f t="shared" si="4"/>
        <v>0</v>
      </c>
      <c r="M1119" s="88">
        <f t="shared" si="5"/>
        <v>0</v>
      </c>
    </row>
    <row r="1120" ht="14.25" customHeight="1">
      <c r="A1120" s="49" t="s">
        <v>3934</v>
      </c>
      <c r="B1120" s="49" t="str">
        <f>IFERROR(__xludf.DUMMYFUNCTION("REGEXEXTRACT(A1120,""^cost\.(.*)\.[^.]+\.[^.]+$"")"),"tech.workshop.shield_for_a_hero_lvl_2")</f>
        <v>tech.workshop.shield_for_a_hero_lvl_2</v>
      </c>
      <c r="C1120" s="49" t="str">
        <f t="array" ref="C1120">_xlfn.XLOOKUP(
 B1120,
 tblTargets[TargetID],
 tblTargets[DisplayName],
 ""
)</f>
        <v>Workshop - Shield For A Hero Lvl 2</v>
      </c>
      <c r="D1120" s="49" t="str">
        <f t="array" ref="D1120">_xlfn.XLOOKUP(
 B1120,
 tblTargets[TargetID],
 tblTargets[TargetType],
 ""
)</f>
        <v>TECH</v>
      </c>
      <c r="E1120" s="49" t="s">
        <v>1055</v>
      </c>
      <c r="F1120" s="87">
        <f>IFERROR(__xludf.DUMMYFUNCTION("VALUE(REGEXEXTRACT(A1120,""([^.]+)$""))"),1.0)</f>
        <v>1</v>
      </c>
      <c r="G1120" s="49">
        <v>15.0</v>
      </c>
      <c r="H1120" s="26" t="b">
        <f>COUNTIFS(
 tblCostChecklist[RequirementID],A1120,
 tblCostChecklist[PlayerPaid],TRUE
)&gt;0</f>
        <v>0</v>
      </c>
      <c r="I1120" s="49">
        <f t="shared" si="1"/>
        <v>5</v>
      </c>
      <c r="J1120" s="49">
        <f t="shared" si="2"/>
        <v>0</v>
      </c>
      <c r="K1120" s="49">
        <f t="shared" si="3"/>
        <v>5</v>
      </c>
      <c r="L1120" s="49" t="b">
        <f t="shared" si="4"/>
        <v>0</v>
      </c>
      <c r="M1120" s="88">
        <f t="shared" si="5"/>
        <v>0</v>
      </c>
    </row>
    <row r="1121" ht="14.25" customHeight="1">
      <c r="A1121" s="49" t="s">
        <v>3938</v>
      </c>
      <c r="B1121" s="49" t="str">
        <f>IFERROR(__xludf.DUMMYFUNCTION("REGEXEXTRACT(A1121,""^cost\.(.*)\.[^.]+\.[^.]+$"")"),"tech.workshop.shield_for_a_hero_lvl_2")</f>
        <v>tech.workshop.shield_for_a_hero_lvl_2</v>
      </c>
      <c r="C1121" s="49" t="str">
        <f t="array" ref="C1121">_xlfn.XLOOKUP(
 B1121,
 tblTargets[TargetID],
 tblTargets[DisplayName],
 ""
)</f>
        <v>Workshop - Shield For A Hero Lvl 2</v>
      </c>
      <c r="D1121" s="49" t="str">
        <f t="array" ref="D1121">_xlfn.XLOOKUP(
 B1121,
 tblTargets[TargetID],
 tblTargets[TargetType],
 ""
)</f>
        <v>TECH</v>
      </c>
      <c r="E1121" s="49" t="s">
        <v>119</v>
      </c>
      <c r="F1121" s="87">
        <f>IFERROR(__xludf.DUMMYFUNCTION("VALUE(REGEXEXTRACT(A1121,""([^.]+)$""))"),1.0)</f>
        <v>1</v>
      </c>
      <c r="G1121" s="49">
        <v>500.0</v>
      </c>
      <c r="H1121" s="26" t="b">
        <f>COUNTIFS(
 tblCostChecklist[RequirementID],A1121,
 tblCostChecklist[PlayerPaid],TRUE
)&gt;0</f>
        <v>0</v>
      </c>
      <c r="I1121" s="49">
        <f t="shared" si="1"/>
        <v>5</v>
      </c>
      <c r="J1121" s="49">
        <f t="shared" si="2"/>
        <v>0</v>
      </c>
      <c r="K1121" s="49">
        <f t="shared" si="3"/>
        <v>5</v>
      </c>
      <c r="L1121" s="49" t="b">
        <f t="shared" si="4"/>
        <v>0</v>
      </c>
      <c r="M1121" s="88">
        <f t="shared" si="5"/>
        <v>0</v>
      </c>
    </row>
    <row r="1122" ht="14.25" customHeight="1">
      <c r="A1122" s="49" t="s">
        <v>3942</v>
      </c>
      <c r="B1122" s="49" t="str">
        <f>IFERROR(__xludf.DUMMYFUNCTION("REGEXEXTRACT(A1122,""^cost\.(.*)\.[^.]+\.[^.]+$"")"),"tech.workshop.shield_for_a_hero_lvl_2")</f>
        <v>tech.workshop.shield_for_a_hero_lvl_2</v>
      </c>
      <c r="C1122" s="49" t="str">
        <f t="array" ref="C1122">_xlfn.XLOOKUP(
 B1122,
 tblTargets[TargetID],
 tblTargets[DisplayName],
 ""
)</f>
        <v>Workshop - Shield For A Hero Lvl 2</v>
      </c>
      <c r="D1122" s="49" t="str">
        <f t="array" ref="D1122">_xlfn.XLOOKUP(
 B1122,
 tblTargets[TargetID],
 tblTargets[TargetType],
 ""
)</f>
        <v>TECH</v>
      </c>
      <c r="E1122" s="49" t="s">
        <v>2135</v>
      </c>
      <c r="F1122" s="87">
        <f>IFERROR(__xludf.DUMMYFUNCTION("VALUE(REGEXEXTRACT(A1122,""([^.]+)$""))"),1.0)</f>
        <v>1</v>
      </c>
      <c r="G1122" s="49">
        <v>40.0</v>
      </c>
      <c r="H1122" s="26" t="b">
        <f>COUNTIFS(
 tblCostChecklist[RequirementID],A1122,
 tblCostChecklist[PlayerPaid],TRUE
)&gt;0</f>
        <v>0</v>
      </c>
      <c r="I1122" s="49">
        <f t="shared" si="1"/>
        <v>5</v>
      </c>
      <c r="J1122" s="49">
        <f t="shared" si="2"/>
        <v>0</v>
      </c>
      <c r="K1122" s="49">
        <f t="shared" si="3"/>
        <v>5</v>
      </c>
      <c r="L1122" s="49" t="b">
        <f t="shared" si="4"/>
        <v>0</v>
      </c>
      <c r="M1122" s="88">
        <f t="shared" si="5"/>
        <v>0</v>
      </c>
    </row>
    <row r="1123" ht="14.25" customHeight="1">
      <c r="A1123" s="49" t="s">
        <v>3944</v>
      </c>
      <c r="B1123" s="49" t="str">
        <f>IFERROR(__xludf.DUMMYFUNCTION("REGEXEXTRACT(A1123,""^cost\.(.*)\.[^.]+\.[^.]+$"")"),"tech.workshop.shield_for_a_hero_lvl_2")</f>
        <v>tech.workshop.shield_for_a_hero_lvl_2</v>
      </c>
      <c r="C1123" s="49" t="str">
        <f t="array" ref="C1123">_xlfn.XLOOKUP(
 B1123,
 tblTargets[TargetID],
 tblTargets[DisplayName],
 ""
)</f>
        <v>Workshop - Shield For A Hero Lvl 2</v>
      </c>
      <c r="D1123" s="49" t="str">
        <f t="array" ref="D1123">_xlfn.XLOOKUP(
 B1123,
 tblTargets[TargetID],
 tblTargets[TargetType],
 ""
)</f>
        <v>TECH</v>
      </c>
      <c r="E1123" s="49" t="s">
        <v>187</v>
      </c>
      <c r="F1123" s="87">
        <f>IFERROR(__xludf.DUMMYFUNCTION("VALUE(REGEXEXTRACT(A1123,""([^.]+)$""))"),1.0)</f>
        <v>1</v>
      </c>
      <c r="G1123" s="49">
        <v>100.0</v>
      </c>
      <c r="H1123" s="26" t="b">
        <f>COUNTIFS(
 tblCostChecklist[RequirementID],A1123,
 tblCostChecklist[PlayerPaid],TRUE
)&gt;0</f>
        <v>0</v>
      </c>
      <c r="I1123" s="49">
        <f t="shared" si="1"/>
        <v>5</v>
      </c>
      <c r="J1123" s="49">
        <f t="shared" si="2"/>
        <v>0</v>
      </c>
      <c r="K1123" s="49">
        <f t="shared" si="3"/>
        <v>5</v>
      </c>
      <c r="L1123" s="49" t="b">
        <f t="shared" si="4"/>
        <v>0</v>
      </c>
      <c r="M1123" s="88">
        <f t="shared" si="5"/>
        <v>0</v>
      </c>
    </row>
    <row r="1124" ht="14.25" customHeight="1">
      <c r="A1124" s="49" t="s">
        <v>3945</v>
      </c>
      <c r="B1124" s="49" t="str">
        <f>IFERROR(__xludf.DUMMYFUNCTION("REGEXEXTRACT(A1124,""^cost\.(.*)\.[^.]+\.[^.]+$"")"),"tech.workshop.shield_for_a_hero_lvl_2")</f>
        <v>tech.workshop.shield_for_a_hero_lvl_2</v>
      </c>
      <c r="C1124" s="49" t="str">
        <f t="array" ref="C1124">_xlfn.XLOOKUP(
 B1124,
 tblTargets[TargetID],
 tblTargets[DisplayName],
 ""
)</f>
        <v>Workshop - Shield For A Hero Lvl 2</v>
      </c>
      <c r="D1124" s="49" t="str">
        <f t="array" ref="D1124">_xlfn.XLOOKUP(
 B1124,
 tblTargets[TargetID],
 tblTargets[TargetType],
 ""
)</f>
        <v>TECH</v>
      </c>
      <c r="E1124" s="49" t="s">
        <v>6</v>
      </c>
      <c r="F1124" s="87">
        <f>IFERROR(__xludf.DUMMYFUNCTION("VALUE(REGEXEXTRACT(A1124,""([^.]+)$""))"),1.0)</f>
        <v>1</v>
      </c>
      <c r="G1124" s="49">
        <v>3.0</v>
      </c>
      <c r="H1124" s="26" t="b">
        <f>COUNTIFS(
 tblCostChecklist[RequirementID],A1124,
 tblCostChecklist[PlayerPaid],TRUE
)&gt;0</f>
        <v>0</v>
      </c>
      <c r="I1124" s="49">
        <f t="shared" si="1"/>
        <v>5</v>
      </c>
      <c r="J1124" s="49">
        <f t="shared" si="2"/>
        <v>0</v>
      </c>
      <c r="K1124" s="49">
        <f t="shared" si="3"/>
        <v>5</v>
      </c>
      <c r="L1124" s="49" t="b">
        <f t="shared" si="4"/>
        <v>0</v>
      </c>
      <c r="M1124" s="88">
        <f t="shared" si="5"/>
        <v>0</v>
      </c>
    </row>
    <row r="1125" ht="14.25" customHeight="1">
      <c r="A1125" s="49" t="s">
        <v>3946</v>
      </c>
      <c r="B1125" s="49" t="str">
        <f>IFERROR(__xludf.DUMMYFUNCTION("REGEXEXTRACT(A1125,""^cost\.(.*)\.[^.]+\.[^.]+$"")"),"tech.workshop.shield_for_a_hero_lvl_3")</f>
        <v>tech.workshop.shield_for_a_hero_lvl_3</v>
      </c>
      <c r="C1125" s="49" t="str">
        <f t="array" ref="C1125">_xlfn.XLOOKUP(
 B1125,
 tblTargets[TargetID],
 tblTargets[DisplayName],
 ""
)</f>
        <v>Workshop - Shield For A Hero Lvl 3</v>
      </c>
      <c r="D1125" s="49" t="str">
        <f t="array" ref="D1125">_xlfn.XLOOKUP(
 B1125,
 tblTargets[TargetID],
 tblTargets[TargetType],
 ""
)</f>
        <v>TECH</v>
      </c>
      <c r="E1125" s="49" t="s">
        <v>1055</v>
      </c>
      <c r="F1125" s="87">
        <f>IFERROR(__xludf.DUMMYFUNCTION("VALUE(REGEXEXTRACT(A1125,""([^.]+)$""))"),1.0)</f>
        <v>1</v>
      </c>
      <c r="G1125" s="49">
        <v>20.0</v>
      </c>
      <c r="H1125" s="26" t="b">
        <f>COUNTIFS(
 tblCostChecklist[RequirementID],A1125,
 tblCostChecklist[PlayerPaid],TRUE
)&gt;0</f>
        <v>0</v>
      </c>
      <c r="I1125" s="49">
        <f t="shared" si="1"/>
        <v>5</v>
      </c>
      <c r="J1125" s="49">
        <f t="shared" si="2"/>
        <v>0</v>
      </c>
      <c r="K1125" s="49">
        <f t="shared" si="3"/>
        <v>5</v>
      </c>
      <c r="L1125" s="49" t="b">
        <f t="shared" si="4"/>
        <v>0</v>
      </c>
      <c r="M1125" s="88">
        <f t="shared" si="5"/>
        <v>0</v>
      </c>
    </row>
    <row r="1126" ht="14.25" customHeight="1">
      <c r="A1126" s="49" t="s">
        <v>3947</v>
      </c>
      <c r="B1126" s="49" t="str">
        <f>IFERROR(__xludf.DUMMYFUNCTION("REGEXEXTRACT(A1126,""^cost\.(.*)\.[^.]+\.[^.]+$"")"),"tech.workshop.shield_for_a_hero_lvl_3")</f>
        <v>tech.workshop.shield_for_a_hero_lvl_3</v>
      </c>
      <c r="C1126" s="49" t="str">
        <f t="array" ref="C1126">_xlfn.XLOOKUP(
 B1126,
 tblTargets[TargetID],
 tblTargets[DisplayName],
 ""
)</f>
        <v>Workshop - Shield For A Hero Lvl 3</v>
      </c>
      <c r="D1126" s="49" t="str">
        <f t="array" ref="D1126">_xlfn.XLOOKUP(
 B1126,
 tblTargets[TargetID],
 tblTargets[TargetType],
 ""
)</f>
        <v>TECH</v>
      </c>
      <c r="E1126" s="49" t="s">
        <v>119</v>
      </c>
      <c r="F1126" s="87">
        <f>IFERROR(__xludf.DUMMYFUNCTION("VALUE(REGEXEXTRACT(A1126,""([^.]+)$""))"),1.0)</f>
        <v>1</v>
      </c>
      <c r="G1126" s="49">
        <v>1000.0</v>
      </c>
      <c r="H1126" s="26" t="b">
        <f>COUNTIFS(
 tblCostChecklist[RequirementID],A1126,
 tblCostChecklist[PlayerPaid],TRUE
)&gt;0</f>
        <v>0</v>
      </c>
      <c r="I1126" s="49">
        <f t="shared" si="1"/>
        <v>5</v>
      </c>
      <c r="J1126" s="49">
        <f t="shared" si="2"/>
        <v>0</v>
      </c>
      <c r="K1126" s="49">
        <f t="shared" si="3"/>
        <v>5</v>
      </c>
      <c r="L1126" s="49" t="b">
        <f t="shared" si="4"/>
        <v>0</v>
      </c>
      <c r="M1126" s="88">
        <f t="shared" si="5"/>
        <v>0</v>
      </c>
    </row>
    <row r="1127" ht="14.25" customHeight="1">
      <c r="A1127" s="49" t="s">
        <v>3948</v>
      </c>
      <c r="B1127" s="49" t="str">
        <f>IFERROR(__xludf.DUMMYFUNCTION("REGEXEXTRACT(A1127,""^cost\.(.*)\.[^.]+\.[^.]+$"")"),"tech.workshop.shield_for_a_hero_lvl_3")</f>
        <v>tech.workshop.shield_for_a_hero_lvl_3</v>
      </c>
      <c r="C1127" s="49" t="str">
        <f t="array" ref="C1127">_xlfn.XLOOKUP(
 B1127,
 tblTargets[TargetID],
 tblTargets[DisplayName],
 ""
)</f>
        <v>Workshop - Shield For A Hero Lvl 3</v>
      </c>
      <c r="D1127" s="49" t="str">
        <f t="array" ref="D1127">_xlfn.XLOOKUP(
 B1127,
 tblTargets[TargetID],
 tblTargets[TargetType],
 ""
)</f>
        <v>TECH</v>
      </c>
      <c r="E1127" s="49" t="s">
        <v>2135</v>
      </c>
      <c r="F1127" s="87">
        <f>IFERROR(__xludf.DUMMYFUNCTION("VALUE(REGEXEXTRACT(A1127,""([^.]+)$""))"),1.0)</f>
        <v>1</v>
      </c>
      <c r="G1127" s="49">
        <v>60.0</v>
      </c>
      <c r="H1127" s="26" t="b">
        <f>COUNTIFS(
 tblCostChecklist[RequirementID],A1127,
 tblCostChecklist[PlayerPaid],TRUE
)&gt;0</f>
        <v>0</v>
      </c>
      <c r="I1127" s="49">
        <f t="shared" si="1"/>
        <v>5</v>
      </c>
      <c r="J1127" s="49">
        <f t="shared" si="2"/>
        <v>0</v>
      </c>
      <c r="K1127" s="49">
        <f t="shared" si="3"/>
        <v>5</v>
      </c>
      <c r="L1127" s="49" t="b">
        <f t="shared" si="4"/>
        <v>0</v>
      </c>
      <c r="M1127" s="88">
        <f t="shared" si="5"/>
        <v>0</v>
      </c>
    </row>
    <row r="1128" ht="14.25" customHeight="1">
      <c r="A1128" s="49" t="s">
        <v>3949</v>
      </c>
      <c r="B1128" s="49" t="str">
        <f>IFERROR(__xludf.DUMMYFUNCTION("REGEXEXTRACT(A1128,""^cost\.(.*)\.[^.]+\.[^.]+$"")"),"tech.workshop.shield_for_a_hero_lvl_3")</f>
        <v>tech.workshop.shield_for_a_hero_lvl_3</v>
      </c>
      <c r="C1128" s="49" t="str">
        <f t="array" ref="C1128">_xlfn.XLOOKUP(
 B1128,
 tblTargets[TargetID],
 tblTargets[DisplayName],
 ""
)</f>
        <v>Workshop - Shield For A Hero Lvl 3</v>
      </c>
      <c r="D1128" s="49" t="str">
        <f t="array" ref="D1128">_xlfn.XLOOKUP(
 B1128,
 tblTargets[TargetID],
 tblTargets[TargetType],
 ""
)</f>
        <v>TECH</v>
      </c>
      <c r="E1128" s="49" t="s">
        <v>187</v>
      </c>
      <c r="F1128" s="87">
        <f>IFERROR(__xludf.DUMMYFUNCTION("VALUE(REGEXEXTRACT(A1128,""([^.]+)$""))"),1.0)</f>
        <v>1</v>
      </c>
      <c r="G1128" s="49">
        <v>200.0</v>
      </c>
      <c r="H1128" s="26" t="b">
        <f>COUNTIFS(
 tblCostChecklist[RequirementID],A1128,
 tblCostChecklist[PlayerPaid],TRUE
)&gt;0</f>
        <v>0</v>
      </c>
      <c r="I1128" s="49">
        <f t="shared" si="1"/>
        <v>5</v>
      </c>
      <c r="J1128" s="49">
        <f t="shared" si="2"/>
        <v>0</v>
      </c>
      <c r="K1128" s="49">
        <f t="shared" si="3"/>
        <v>5</v>
      </c>
      <c r="L1128" s="49" t="b">
        <f t="shared" si="4"/>
        <v>0</v>
      </c>
      <c r="M1128" s="88">
        <f t="shared" si="5"/>
        <v>0</v>
      </c>
    </row>
    <row r="1129" ht="14.25" customHeight="1">
      <c r="A1129" s="49" t="s">
        <v>3958</v>
      </c>
      <c r="B1129" s="49" t="str">
        <f>IFERROR(__xludf.DUMMYFUNCTION("REGEXEXTRACT(A1129,""^cost\.(.*)\.[^.]+\.[^.]+$"")"),"tech.workshop.shield_for_a_hero_lvl_3")</f>
        <v>tech.workshop.shield_for_a_hero_lvl_3</v>
      </c>
      <c r="C1129" s="49" t="str">
        <f t="array" ref="C1129">_xlfn.XLOOKUP(
 B1129,
 tblTargets[TargetID],
 tblTargets[DisplayName],
 ""
)</f>
        <v>Workshop - Shield For A Hero Lvl 3</v>
      </c>
      <c r="D1129" s="49" t="str">
        <f t="array" ref="D1129">_xlfn.XLOOKUP(
 B1129,
 tblTargets[TargetID],
 tblTargets[TargetType],
 ""
)</f>
        <v>TECH</v>
      </c>
      <c r="E1129" s="49" t="s">
        <v>6</v>
      </c>
      <c r="F1129" s="87">
        <f>IFERROR(__xludf.DUMMYFUNCTION("VALUE(REGEXEXTRACT(A1129,""([^.]+)$""))"),1.0)</f>
        <v>1</v>
      </c>
      <c r="G1129" s="49">
        <v>5.0</v>
      </c>
      <c r="H1129" s="26" t="b">
        <f>COUNTIFS(
 tblCostChecklist[RequirementID],A1129,
 tblCostChecklist[PlayerPaid],TRUE
)&gt;0</f>
        <v>0</v>
      </c>
      <c r="I1129" s="49">
        <f t="shared" si="1"/>
        <v>5</v>
      </c>
      <c r="J1129" s="49">
        <f t="shared" si="2"/>
        <v>0</v>
      </c>
      <c r="K1129" s="49">
        <f t="shared" si="3"/>
        <v>5</v>
      </c>
      <c r="L1129" s="49" t="b">
        <f t="shared" si="4"/>
        <v>0</v>
      </c>
      <c r="M1129" s="88">
        <f t="shared" si="5"/>
        <v>0</v>
      </c>
    </row>
    <row r="1130" ht="14.25" customHeight="1">
      <c r="A1130" s="49" t="s">
        <v>3963</v>
      </c>
      <c r="B1130" s="49" t="str">
        <f>IFERROR(__xludf.DUMMYFUNCTION("REGEXEXTRACT(A1130,""^cost\.(.*)\.[^.]+\.[^.]+$"")"),"tech.workshop.shield_for_a_hero_lvl_4")</f>
        <v>tech.workshop.shield_for_a_hero_lvl_4</v>
      </c>
      <c r="C1130" s="49" t="str">
        <f t="array" ref="C1130">_xlfn.XLOOKUP(
 B1130,
 tblTargets[TargetID],
 tblTargets[DisplayName],
 ""
)</f>
        <v>Workshop - Shield For A Hero Lvl 4</v>
      </c>
      <c r="D1130" s="49" t="str">
        <f t="array" ref="D1130">_xlfn.XLOOKUP(
 B1130,
 tblTargets[TargetID],
 tblTargets[TargetType],
 ""
)</f>
        <v>TECH</v>
      </c>
      <c r="E1130" s="49" t="s">
        <v>1055</v>
      </c>
      <c r="F1130" s="87">
        <f>IFERROR(__xludf.DUMMYFUNCTION("VALUE(REGEXEXTRACT(A1130,""([^.]+)$""))"),1.0)</f>
        <v>1</v>
      </c>
      <c r="G1130" s="49">
        <v>25.0</v>
      </c>
      <c r="H1130" s="26" t="b">
        <f>COUNTIFS(
 tblCostChecklist[RequirementID],A1130,
 tblCostChecklist[PlayerPaid],TRUE
)&gt;0</f>
        <v>0</v>
      </c>
      <c r="I1130" s="49">
        <f t="shared" si="1"/>
        <v>7</v>
      </c>
      <c r="J1130" s="49">
        <f t="shared" si="2"/>
        <v>0</v>
      </c>
      <c r="K1130" s="49">
        <f t="shared" si="3"/>
        <v>7</v>
      </c>
      <c r="L1130" s="49" t="b">
        <f t="shared" si="4"/>
        <v>0</v>
      </c>
      <c r="M1130" s="88">
        <f t="shared" si="5"/>
        <v>0</v>
      </c>
    </row>
    <row r="1131" ht="14.25" customHeight="1">
      <c r="A1131" s="49" t="s">
        <v>3964</v>
      </c>
      <c r="B1131" s="49" t="str">
        <f>IFERROR(__xludf.DUMMYFUNCTION("REGEXEXTRACT(A1131,""^cost\.(.*)\.[^.]+\.[^.]+$"")"),"tech.workshop.shield_for_a_hero_lvl_4")</f>
        <v>tech.workshop.shield_for_a_hero_lvl_4</v>
      </c>
      <c r="C1131" s="49" t="str">
        <f t="array" ref="C1131">_xlfn.XLOOKUP(
 B1131,
 tblTargets[TargetID],
 tblTargets[DisplayName],
 ""
)</f>
        <v>Workshop - Shield For A Hero Lvl 4</v>
      </c>
      <c r="D1131" s="49" t="str">
        <f t="array" ref="D1131">_xlfn.XLOOKUP(
 B1131,
 tblTargets[TargetID],
 tblTargets[TargetType],
 ""
)</f>
        <v>TECH</v>
      </c>
      <c r="E1131" s="49" t="s">
        <v>2297</v>
      </c>
      <c r="F1131" s="87">
        <f>IFERROR(__xludf.DUMMYFUNCTION("VALUE(REGEXEXTRACT(A1131,""([^.]+)$""))"),1.0)</f>
        <v>1</v>
      </c>
      <c r="G1131" s="49">
        <v>10.0</v>
      </c>
      <c r="H1131" s="26" t="b">
        <f>COUNTIFS(
 tblCostChecklist[RequirementID],A1131,
 tblCostChecklist[PlayerPaid],TRUE
)&gt;0</f>
        <v>0</v>
      </c>
      <c r="I1131" s="49">
        <f t="shared" si="1"/>
        <v>7</v>
      </c>
      <c r="J1131" s="49">
        <f t="shared" si="2"/>
        <v>0</v>
      </c>
      <c r="K1131" s="49">
        <f t="shared" si="3"/>
        <v>7</v>
      </c>
      <c r="L1131" s="49" t="b">
        <f t="shared" si="4"/>
        <v>0</v>
      </c>
      <c r="M1131" s="88">
        <f t="shared" si="5"/>
        <v>0</v>
      </c>
    </row>
    <row r="1132" ht="14.25" customHeight="1">
      <c r="A1132" s="49" t="s">
        <v>3965</v>
      </c>
      <c r="B1132" s="49" t="str">
        <f>IFERROR(__xludf.DUMMYFUNCTION("REGEXEXTRACT(A1132,""^cost\.(.*)\.[^.]+\.[^.]+$"")"),"tech.workshop.shield_for_a_hero_lvl_4")</f>
        <v>tech.workshop.shield_for_a_hero_lvl_4</v>
      </c>
      <c r="C1132" s="49" t="str">
        <f t="array" ref="C1132">_xlfn.XLOOKUP(
 B1132,
 tblTargets[TargetID],
 tblTargets[DisplayName],
 ""
)</f>
        <v>Workshop - Shield For A Hero Lvl 4</v>
      </c>
      <c r="D1132" s="49" t="str">
        <f t="array" ref="D1132">_xlfn.XLOOKUP(
 B1132,
 tblTargets[TargetID],
 tblTargets[TargetType],
 ""
)</f>
        <v>TECH</v>
      </c>
      <c r="E1132" s="49" t="s">
        <v>113</v>
      </c>
      <c r="F1132" s="87">
        <f>IFERROR(__xludf.DUMMYFUNCTION("VALUE(REGEXEXTRACT(A1132,""([^.]+)$""))"),1.0)</f>
        <v>1</v>
      </c>
      <c r="G1132" s="49">
        <v>30.0</v>
      </c>
      <c r="H1132" s="26" t="b">
        <f>COUNTIFS(
 tblCostChecklist[RequirementID],A1132,
 tblCostChecklist[PlayerPaid],TRUE
)&gt;0</f>
        <v>0</v>
      </c>
      <c r="I1132" s="49">
        <f t="shared" si="1"/>
        <v>7</v>
      </c>
      <c r="J1132" s="49">
        <f t="shared" si="2"/>
        <v>0</v>
      </c>
      <c r="K1132" s="49">
        <f t="shared" si="3"/>
        <v>7</v>
      </c>
      <c r="L1132" s="49" t="b">
        <f t="shared" si="4"/>
        <v>0</v>
      </c>
      <c r="M1132" s="88">
        <f t="shared" si="5"/>
        <v>0</v>
      </c>
    </row>
    <row r="1133" ht="14.25" customHeight="1">
      <c r="A1133" s="49" t="s">
        <v>3969</v>
      </c>
      <c r="B1133" s="49" t="str">
        <f>IFERROR(__xludf.DUMMYFUNCTION("REGEXEXTRACT(A1133,""^cost\.(.*)\.[^.]+\.[^.]+$"")"),"tech.workshop.shield_for_a_hero_lvl_4")</f>
        <v>tech.workshop.shield_for_a_hero_lvl_4</v>
      </c>
      <c r="C1133" s="49" t="str">
        <f t="array" ref="C1133">_xlfn.XLOOKUP(
 B1133,
 tblTargets[TargetID],
 tblTargets[DisplayName],
 ""
)</f>
        <v>Workshop - Shield For A Hero Lvl 4</v>
      </c>
      <c r="D1133" s="49" t="str">
        <f t="array" ref="D1133">_xlfn.XLOOKUP(
 B1133,
 tblTargets[TargetID],
 tblTargets[TargetType],
 ""
)</f>
        <v>TECH</v>
      </c>
      <c r="E1133" s="49" t="s">
        <v>119</v>
      </c>
      <c r="F1133" s="87">
        <f>IFERROR(__xludf.DUMMYFUNCTION("VALUE(REGEXEXTRACT(A1133,""([^.]+)$""))"),1.0)</f>
        <v>1</v>
      </c>
      <c r="G1133" s="49">
        <v>1000.0</v>
      </c>
      <c r="H1133" s="26" t="b">
        <f>COUNTIFS(
 tblCostChecklist[RequirementID],A1133,
 tblCostChecklist[PlayerPaid],TRUE
)&gt;0</f>
        <v>0</v>
      </c>
      <c r="I1133" s="49">
        <f t="shared" si="1"/>
        <v>7</v>
      </c>
      <c r="J1133" s="49">
        <f t="shared" si="2"/>
        <v>0</v>
      </c>
      <c r="K1133" s="49">
        <f t="shared" si="3"/>
        <v>7</v>
      </c>
      <c r="L1133" s="49" t="b">
        <f t="shared" si="4"/>
        <v>0</v>
      </c>
      <c r="M1133" s="88">
        <f t="shared" si="5"/>
        <v>0</v>
      </c>
    </row>
    <row r="1134" ht="14.25" customHeight="1">
      <c r="A1134" s="49" t="s">
        <v>3972</v>
      </c>
      <c r="B1134" s="49" t="str">
        <f>IFERROR(__xludf.DUMMYFUNCTION("REGEXEXTRACT(A1134,""^cost\.(.*)\.[^.]+\.[^.]+$"")"),"tech.workshop.shield_for_a_hero_lvl_4")</f>
        <v>tech.workshop.shield_for_a_hero_lvl_4</v>
      </c>
      <c r="C1134" s="49" t="str">
        <f t="array" ref="C1134">_xlfn.XLOOKUP(
 B1134,
 tblTargets[TargetID],
 tblTargets[DisplayName],
 ""
)</f>
        <v>Workshop - Shield For A Hero Lvl 4</v>
      </c>
      <c r="D1134" s="49" t="str">
        <f t="array" ref="D1134">_xlfn.XLOOKUP(
 B1134,
 tblTargets[TargetID],
 tblTargets[TargetType],
 ""
)</f>
        <v>TECH</v>
      </c>
      <c r="E1134" s="49" t="s">
        <v>1078</v>
      </c>
      <c r="F1134" s="87">
        <f>IFERROR(__xludf.DUMMYFUNCTION("VALUE(REGEXEXTRACT(A1134,""([^.]+)$""))"),1.0)</f>
        <v>1</v>
      </c>
      <c r="G1134" s="49">
        <v>15.0</v>
      </c>
      <c r="H1134" s="26" t="b">
        <f>COUNTIFS(
 tblCostChecklist[RequirementID],A1134,
 tblCostChecklist[PlayerPaid],TRUE
)&gt;0</f>
        <v>0</v>
      </c>
      <c r="I1134" s="49">
        <f t="shared" si="1"/>
        <v>7</v>
      </c>
      <c r="J1134" s="49">
        <f t="shared" si="2"/>
        <v>0</v>
      </c>
      <c r="K1134" s="49">
        <f t="shared" si="3"/>
        <v>7</v>
      </c>
      <c r="L1134" s="49" t="b">
        <f t="shared" si="4"/>
        <v>0</v>
      </c>
      <c r="M1134" s="88">
        <f t="shared" si="5"/>
        <v>0</v>
      </c>
    </row>
    <row r="1135" ht="14.25" customHeight="1">
      <c r="A1135" s="49" t="s">
        <v>3978</v>
      </c>
      <c r="B1135" s="49" t="str">
        <f>IFERROR(__xludf.DUMMYFUNCTION("REGEXEXTRACT(A1135,""^cost\.(.*)\.[^.]+\.[^.]+$"")"),"tech.workshop.shield_for_a_hero_lvl_4")</f>
        <v>tech.workshop.shield_for_a_hero_lvl_4</v>
      </c>
      <c r="C1135" s="49" t="str">
        <f t="array" ref="C1135">_xlfn.XLOOKUP(
 B1135,
 tblTargets[TargetID],
 tblTargets[DisplayName],
 ""
)</f>
        <v>Workshop - Shield For A Hero Lvl 4</v>
      </c>
      <c r="D1135" s="49" t="str">
        <f t="array" ref="D1135">_xlfn.XLOOKUP(
 B1135,
 tblTargets[TargetID],
 tblTargets[TargetType],
 ""
)</f>
        <v>TECH</v>
      </c>
      <c r="E1135" s="49" t="s">
        <v>6</v>
      </c>
      <c r="F1135" s="87">
        <f>IFERROR(__xludf.DUMMYFUNCTION("VALUE(REGEXEXTRACT(A1135,""([^.]+)$""))"),1.0)</f>
        <v>1</v>
      </c>
      <c r="G1135" s="49">
        <v>5.0</v>
      </c>
      <c r="H1135" s="26" t="b">
        <f>COUNTIFS(
 tblCostChecklist[RequirementID],A1135,
 tblCostChecklist[PlayerPaid],TRUE
)&gt;0</f>
        <v>0</v>
      </c>
      <c r="I1135" s="49">
        <f t="shared" si="1"/>
        <v>7</v>
      </c>
      <c r="J1135" s="49">
        <f t="shared" si="2"/>
        <v>0</v>
      </c>
      <c r="K1135" s="49">
        <f t="shared" si="3"/>
        <v>7</v>
      </c>
      <c r="L1135" s="49" t="b">
        <f t="shared" si="4"/>
        <v>0</v>
      </c>
      <c r="M1135" s="88">
        <f t="shared" si="5"/>
        <v>0</v>
      </c>
    </row>
    <row r="1136" ht="14.25" customHeight="1">
      <c r="A1136" s="49" t="s">
        <v>3981</v>
      </c>
      <c r="B1136" s="49" t="str">
        <f>IFERROR(__xludf.DUMMYFUNCTION("REGEXEXTRACT(A1136,""^cost\.(.*)\.[^.]+\.[^.]+$"")"),"tech.workshop.shield_for_a_hero_lvl_4")</f>
        <v>tech.workshop.shield_for_a_hero_lvl_4</v>
      </c>
      <c r="C1136" s="49" t="str">
        <f t="array" ref="C1136">_xlfn.XLOOKUP(
 B1136,
 tblTargets[TargetID],
 tblTargets[DisplayName],
 ""
)</f>
        <v>Workshop - Shield For A Hero Lvl 4</v>
      </c>
      <c r="D1136" s="49" t="str">
        <f t="array" ref="D1136">_xlfn.XLOOKUP(
 B1136,
 tblTargets[TargetID],
 tblTargets[TargetType],
 ""
)</f>
        <v>TECH</v>
      </c>
      <c r="E1136" s="49" t="s">
        <v>2360</v>
      </c>
      <c r="F1136" s="87">
        <f>IFERROR(__xludf.DUMMYFUNCTION("VALUE(REGEXEXTRACT(A1136,""([^.]+)$""))"),1.0)</f>
        <v>1</v>
      </c>
      <c r="G1136" s="49">
        <v>3.0</v>
      </c>
      <c r="H1136" s="26" t="b">
        <f>COUNTIFS(
 tblCostChecklist[RequirementID],A1136,
 tblCostChecklist[PlayerPaid],TRUE
)&gt;0</f>
        <v>0</v>
      </c>
      <c r="I1136" s="49">
        <f t="shared" si="1"/>
        <v>7</v>
      </c>
      <c r="J1136" s="49">
        <f t="shared" si="2"/>
        <v>0</v>
      </c>
      <c r="K1136" s="49">
        <f t="shared" si="3"/>
        <v>7</v>
      </c>
      <c r="L1136" s="49" t="b">
        <f t="shared" si="4"/>
        <v>0</v>
      </c>
      <c r="M1136" s="88">
        <f t="shared" si="5"/>
        <v>0</v>
      </c>
    </row>
    <row r="1137" ht="14.25" customHeight="1">
      <c r="A1137" s="49" t="s">
        <v>3985</v>
      </c>
      <c r="B1137" s="49" t="str">
        <f>IFERROR(__xludf.DUMMYFUNCTION("REGEXEXTRACT(A1137,""^cost\.(.*)\.[^.]+\.[^.]+$"")"),"tech.workshop.shield_for_a_hero_lvl_4+")</f>
        <v>tech.workshop.shield_for_a_hero_lvl_4+</v>
      </c>
      <c r="C1137" s="49" t="str">
        <f t="array" ref="C1137">_xlfn.XLOOKUP(
 B1137,
 tblTargets[TargetID],
 tblTargets[DisplayName],
 ""
)</f>
        <v>Workshop - Shield For A Hero Lvl 4+</v>
      </c>
      <c r="D1137" s="49" t="str">
        <f t="array" ref="D1137">_xlfn.XLOOKUP(
 B1137,
 tblTargets[TargetID],
 tblTargets[TargetType],
 ""
)</f>
        <v>TECH</v>
      </c>
      <c r="E1137" s="49" t="s">
        <v>1230</v>
      </c>
      <c r="F1137" s="87">
        <f>IFERROR(__xludf.DUMMYFUNCTION("VALUE(REGEXEXTRACT(A1137,""([^.]+)$""))"),1.0)</f>
        <v>1</v>
      </c>
      <c r="G1137" s="49">
        <v>20.0</v>
      </c>
      <c r="H1137" s="26" t="b">
        <f>COUNTIFS(
 tblCostChecklist[RequirementID],A1137,
 tblCostChecklist[PlayerPaid],TRUE
)&gt;0</f>
        <v>0</v>
      </c>
      <c r="I1137" s="49">
        <f t="shared" si="1"/>
        <v>9</v>
      </c>
      <c r="J1137" s="49">
        <f t="shared" si="2"/>
        <v>0</v>
      </c>
      <c r="K1137" s="49">
        <f t="shared" si="3"/>
        <v>9</v>
      </c>
      <c r="L1137" s="49" t="b">
        <f t="shared" si="4"/>
        <v>0</v>
      </c>
      <c r="M1137" s="88">
        <f t="shared" si="5"/>
        <v>0</v>
      </c>
    </row>
    <row r="1138" ht="14.25" customHeight="1">
      <c r="A1138" s="49" t="s">
        <v>3988</v>
      </c>
      <c r="B1138" s="49" t="str">
        <f>IFERROR(__xludf.DUMMYFUNCTION("REGEXEXTRACT(A1138,""^cost\.(.*)\.[^.]+\.[^.]+$"")"),"tech.workshop.shield_for_a_hero_lvl_4+")</f>
        <v>tech.workshop.shield_for_a_hero_lvl_4+</v>
      </c>
      <c r="C1138" s="49" t="str">
        <f t="array" ref="C1138">_xlfn.XLOOKUP(
 B1138,
 tblTargets[TargetID],
 tblTargets[DisplayName],
 ""
)</f>
        <v>Workshop - Shield For A Hero Lvl 4+</v>
      </c>
      <c r="D1138" s="49" t="str">
        <f t="array" ref="D1138">_xlfn.XLOOKUP(
 B1138,
 tblTargets[TargetID],
 tblTargets[TargetType],
 ""
)</f>
        <v>TECH</v>
      </c>
      <c r="E1138" s="49" t="s">
        <v>2297</v>
      </c>
      <c r="F1138" s="87">
        <f>IFERROR(__xludf.DUMMYFUNCTION("VALUE(REGEXEXTRACT(A1138,""([^.]+)$""))"),1.0)</f>
        <v>1</v>
      </c>
      <c r="G1138" s="49">
        <v>20.0</v>
      </c>
      <c r="H1138" s="26" t="b">
        <f>COUNTIFS(
 tblCostChecklist[RequirementID],A1138,
 tblCostChecklist[PlayerPaid],TRUE
)&gt;0</f>
        <v>0</v>
      </c>
      <c r="I1138" s="49">
        <f t="shared" si="1"/>
        <v>9</v>
      </c>
      <c r="J1138" s="49">
        <f t="shared" si="2"/>
        <v>0</v>
      </c>
      <c r="K1138" s="49">
        <f t="shared" si="3"/>
        <v>9</v>
      </c>
      <c r="L1138" s="49" t="b">
        <f t="shared" si="4"/>
        <v>0</v>
      </c>
      <c r="M1138" s="88">
        <f t="shared" si="5"/>
        <v>0</v>
      </c>
    </row>
    <row r="1139" ht="14.25" customHeight="1">
      <c r="A1139" s="49" t="s">
        <v>3991</v>
      </c>
      <c r="B1139" s="49" t="str">
        <f>IFERROR(__xludf.DUMMYFUNCTION("REGEXEXTRACT(A1139,""^cost\.(.*)\.[^.]+\.[^.]+$"")"),"tech.workshop.shield_for_a_hero_lvl_4+")</f>
        <v>tech.workshop.shield_for_a_hero_lvl_4+</v>
      </c>
      <c r="C1139" s="49" t="str">
        <f t="array" ref="C1139">_xlfn.XLOOKUP(
 B1139,
 tblTargets[TargetID],
 tblTargets[DisplayName],
 ""
)</f>
        <v>Workshop - Shield For A Hero Lvl 4+</v>
      </c>
      <c r="D1139" s="49" t="str">
        <f t="array" ref="D1139">_xlfn.XLOOKUP(
 B1139,
 tblTargets[TargetID],
 tblTargets[TargetType],
 ""
)</f>
        <v>TECH</v>
      </c>
      <c r="E1139" s="49" t="s">
        <v>119</v>
      </c>
      <c r="F1139" s="87">
        <f>IFERROR(__xludf.DUMMYFUNCTION("VALUE(REGEXEXTRACT(A1139,""([^.]+)$""))"),1.0)</f>
        <v>1</v>
      </c>
      <c r="G1139" s="49">
        <v>1000.0</v>
      </c>
      <c r="H1139" s="26" t="b">
        <f>COUNTIFS(
 tblCostChecklist[RequirementID],A1139,
 tblCostChecklist[PlayerPaid],TRUE
)&gt;0</f>
        <v>0</v>
      </c>
      <c r="I1139" s="49">
        <f t="shared" si="1"/>
        <v>9</v>
      </c>
      <c r="J1139" s="49">
        <f t="shared" si="2"/>
        <v>0</v>
      </c>
      <c r="K1139" s="49">
        <f t="shared" si="3"/>
        <v>9</v>
      </c>
      <c r="L1139" s="49" t="b">
        <f t="shared" si="4"/>
        <v>0</v>
      </c>
      <c r="M1139" s="88">
        <f t="shared" si="5"/>
        <v>0</v>
      </c>
    </row>
    <row r="1140" ht="14.25" customHeight="1">
      <c r="A1140" s="49" t="s">
        <v>3994</v>
      </c>
      <c r="B1140" s="49" t="str">
        <f>IFERROR(__xludf.DUMMYFUNCTION("REGEXEXTRACT(A1140,""^cost\.(.*)\.[^.]+\.[^.]+$"")"),"tech.workshop.shield_for_a_hero_lvl_4+")</f>
        <v>tech.workshop.shield_for_a_hero_lvl_4+</v>
      </c>
      <c r="C1140" s="49" t="str">
        <f t="array" ref="C1140">_xlfn.XLOOKUP(
 B1140,
 tblTargets[TargetID],
 tblTargets[DisplayName],
 ""
)</f>
        <v>Workshop - Shield For A Hero Lvl 4+</v>
      </c>
      <c r="D1140" s="49" t="str">
        <f t="array" ref="D1140">_xlfn.XLOOKUP(
 B1140,
 tblTargets[TargetID],
 tblTargets[TargetType],
 ""
)</f>
        <v>TECH</v>
      </c>
      <c r="E1140" s="49" t="s">
        <v>1583</v>
      </c>
      <c r="F1140" s="87">
        <f>IFERROR(__xludf.DUMMYFUNCTION("VALUE(REGEXEXTRACT(A1140,""([^.]+)$""))"),1.0)</f>
        <v>1</v>
      </c>
      <c r="G1140" s="49">
        <v>25.0</v>
      </c>
      <c r="H1140" s="26" t="b">
        <f>COUNTIFS(
 tblCostChecklist[RequirementID],A1140,
 tblCostChecklist[PlayerPaid],TRUE
)&gt;0</f>
        <v>0</v>
      </c>
      <c r="I1140" s="49">
        <f t="shared" si="1"/>
        <v>9</v>
      </c>
      <c r="J1140" s="49">
        <f t="shared" si="2"/>
        <v>0</v>
      </c>
      <c r="K1140" s="49">
        <f t="shared" si="3"/>
        <v>9</v>
      </c>
      <c r="L1140" s="49" t="b">
        <f t="shared" si="4"/>
        <v>0</v>
      </c>
      <c r="M1140" s="88">
        <f t="shared" si="5"/>
        <v>0</v>
      </c>
    </row>
    <row r="1141" ht="14.25" customHeight="1">
      <c r="A1141" s="49" t="s">
        <v>3997</v>
      </c>
      <c r="B1141" s="49" t="str">
        <f>IFERROR(__xludf.DUMMYFUNCTION("REGEXEXTRACT(A1141,""^cost\.(.*)\.[^.]+\.[^.]+$"")"),"tech.workshop.shield_for_a_hero_lvl_4+")</f>
        <v>tech.workshop.shield_for_a_hero_lvl_4+</v>
      </c>
      <c r="C1141" s="49" t="str">
        <f t="array" ref="C1141">_xlfn.XLOOKUP(
 B1141,
 tblTargets[TargetID],
 tblTargets[DisplayName],
 ""
)</f>
        <v>Workshop - Shield For A Hero Lvl 4+</v>
      </c>
      <c r="D1141" s="49" t="str">
        <f t="array" ref="D1141">_xlfn.XLOOKUP(
 B1141,
 tblTargets[TargetID],
 tblTargets[TargetType],
 ""
)</f>
        <v>TECH</v>
      </c>
      <c r="E1141" s="49" t="s">
        <v>530</v>
      </c>
      <c r="F1141" s="87">
        <f>IFERROR(__xludf.DUMMYFUNCTION("VALUE(REGEXEXTRACT(A1141,""([^.]+)$""))"),1.0)</f>
        <v>1</v>
      </c>
      <c r="G1141" s="49">
        <v>10.0</v>
      </c>
      <c r="H1141" s="26" t="b">
        <f>COUNTIFS(
 tblCostChecklist[RequirementID],A1141,
 tblCostChecklist[PlayerPaid],TRUE
)&gt;0</f>
        <v>0</v>
      </c>
      <c r="I1141" s="49">
        <f t="shared" si="1"/>
        <v>9</v>
      </c>
      <c r="J1141" s="49">
        <f t="shared" si="2"/>
        <v>0</v>
      </c>
      <c r="K1141" s="49">
        <f t="shared" si="3"/>
        <v>9</v>
      </c>
      <c r="L1141" s="49" t="b">
        <f t="shared" si="4"/>
        <v>0</v>
      </c>
      <c r="M1141" s="88">
        <f t="shared" si="5"/>
        <v>0</v>
      </c>
    </row>
    <row r="1142" ht="14.25" customHeight="1">
      <c r="A1142" s="49" t="s">
        <v>4000</v>
      </c>
      <c r="B1142" s="49" t="str">
        <f>IFERROR(__xludf.DUMMYFUNCTION("REGEXEXTRACT(A1142,""^cost\.(.*)\.[^.]+\.[^.]+$"")"),"tech.workshop.shield_for_a_hero_lvl_4+")</f>
        <v>tech.workshop.shield_for_a_hero_lvl_4+</v>
      </c>
      <c r="C1142" s="49" t="str">
        <f t="array" ref="C1142">_xlfn.XLOOKUP(
 B1142,
 tblTargets[TargetID],
 tblTargets[DisplayName],
 ""
)</f>
        <v>Workshop - Shield For A Hero Lvl 4+</v>
      </c>
      <c r="D1142" s="49" t="str">
        <f t="array" ref="D1142">_xlfn.XLOOKUP(
 B1142,
 tblTargets[TargetID],
 tblTargets[TargetType],
 ""
)</f>
        <v>TECH</v>
      </c>
      <c r="E1142" s="49" t="s">
        <v>1282</v>
      </c>
      <c r="F1142" s="87">
        <f>IFERROR(__xludf.DUMMYFUNCTION("VALUE(REGEXEXTRACT(A1142,""([^.]+)$""))"),1.0)</f>
        <v>1</v>
      </c>
      <c r="G1142" s="49">
        <v>10.0</v>
      </c>
      <c r="H1142" s="26" t="b">
        <f>COUNTIFS(
 tblCostChecklist[RequirementID],A1142,
 tblCostChecklist[PlayerPaid],TRUE
)&gt;0</f>
        <v>0</v>
      </c>
      <c r="I1142" s="49">
        <f t="shared" si="1"/>
        <v>9</v>
      </c>
      <c r="J1142" s="49">
        <f t="shared" si="2"/>
        <v>0</v>
      </c>
      <c r="K1142" s="49">
        <f t="shared" si="3"/>
        <v>9</v>
      </c>
      <c r="L1142" s="49" t="b">
        <f t="shared" si="4"/>
        <v>0</v>
      </c>
      <c r="M1142" s="88">
        <f t="shared" si="5"/>
        <v>0</v>
      </c>
    </row>
    <row r="1143" ht="14.25" customHeight="1">
      <c r="A1143" s="49" t="s">
        <v>4002</v>
      </c>
      <c r="B1143" s="49" t="str">
        <f>IFERROR(__xludf.DUMMYFUNCTION("REGEXEXTRACT(A1143,""^cost\.(.*)\.[^.]+\.[^.]+$"")"),"tech.workshop.shield_for_a_hero_lvl_4+")</f>
        <v>tech.workshop.shield_for_a_hero_lvl_4+</v>
      </c>
      <c r="C1143" s="49" t="str">
        <f t="array" ref="C1143">_xlfn.XLOOKUP(
 B1143,
 tblTargets[TargetID],
 tblTargets[DisplayName],
 ""
)</f>
        <v>Workshop - Shield For A Hero Lvl 4+</v>
      </c>
      <c r="D1143" s="49" t="str">
        <f t="array" ref="D1143">_xlfn.XLOOKUP(
 B1143,
 tblTargets[TargetID],
 tblTargets[TargetType],
 ""
)</f>
        <v>TECH</v>
      </c>
      <c r="E1143" s="49" t="s">
        <v>3043</v>
      </c>
      <c r="F1143" s="87">
        <f>IFERROR(__xludf.DUMMYFUNCTION("VALUE(REGEXEXTRACT(A1143,""([^.]+)$""))"),1.0)</f>
        <v>1</v>
      </c>
      <c r="G1143" s="49">
        <v>1.0</v>
      </c>
      <c r="H1143" s="26" t="b">
        <f>COUNTIFS(
 tblCostChecklist[RequirementID],A1143,
 tblCostChecklist[PlayerPaid],TRUE
)&gt;0</f>
        <v>0</v>
      </c>
      <c r="I1143" s="49">
        <f t="shared" si="1"/>
        <v>9</v>
      </c>
      <c r="J1143" s="49">
        <f t="shared" si="2"/>
        <v>0</v>
      </c>
      <c r="K1143" s="49">
        <f t="shared" si="3"/>
        <v>9</v>
      </c>
      <c r="L1143" s="49" t="b">
        <f t="shared" si="4"/>
        <v>0</v>
      </c>
      <c r="M1143" s="88">
        <f t="shared" si="5"/>
        <v>0</v>
      </c>
    </row>
    <row r="1144" ht="14.25" customHeight="1">
      <c r="A1144" s="49" t="s">
        <v>4007</v>
      </c>
      <c r="B1144" s="49" t="str">
        <f>IFERROR(__xludf.DUMMYFUNCTION("REGEXEXTRACT(A1144,""^cost\.(.*)\.[^.]+\.[^.]+$"")"),"tech.workshop.shield_for_a_hero_lvl_4+")</f>
        <v>tech.workshop.shield_for_a_hero_lvl_4+</v>
      </c>
      <c r="C1144" s="49" t="str">
        <f t="array" ref="C1144">_xlfn.XLOOKUP(
 B1144,
 tblTargets[TargetID],
 tblTargets[DisplayName],
 ""
)</f>
        <v>Workshop - Shield For A Hero Lvl 4+</v>
      </c>
      <c r="D1144" s="49" t="str">
        <f t="array" ref="D1144">_xlfn.XLOOKUP(
 B1144,
 tblTargets[TargetID],
 tblTargets[TargetType],
 ""
)</f>
        <v>TECH</v>
      </c>
      <c r="E1144" s="49" t="s">
        <v>6</v>
      </c>
      <c r="F1144" s="87">
        <f>IFERROR(__xludf.DUMMYFUNCTION("VALUE(REGEXEXTRACT(A1144,""([^.]+)$""))"),1.0)</f>
        <v>1</v>
      </c>
      <c r="G1144" s="49">
        <v>5.0</v>
      </c>
      <c r="H1144" s="26" t="b">
        <f>COUNTIFS(
 tblCostChecklist[RequirementID],A1144,
 tblCostChecklist[PlayerPaid],TRUE
)&gt;0</f>
        <v>0</v>
      </c>
      <c r="I1144" s="49">
        <f t="shared" si="1"/>
        <v>9</v>
      </c>
      <c r="J1144" s="49">
        <f t="shared" si="2"/>
        <v>0</v>
      </c>
      <c r="K1144" s="49">
        <f t="shared" si="3"/>
        <v>9</v>
      </c>
      <c r="L1144" s="49" t="b">
        <f t="shared" si="4"/>
        <v>0</v>
      </c>
      <c r="M1144" s="88">
        <f t="shared" si="5"/>
        <v>0</v>
      </c>
    </row>
    <row r="1145" ht="14.25" customHeight="1">
      <c r="A1145" s="49" t="s">
        <v>4010</v>
      </c>
      <c r="B1145" s="49" t="str">
        <f>IFERROR(__xludf.DUMMYFUNCTION("REGEXEXTRACT(A1145,""^cost\.(.*)\.[^.]+\.[^.]+$"")"),"tech.workshop.shield_for_a_hero_lvl_4+")</f>
        <v>tech.workshop.shield_for_a_hero_lvl_4+</v>
      </c>
      <c r="C1145" s="49" t="str">
        <f t="array" ref="C1145">_xlfn.XLOOKUP(
 B1145,
 tblTargets[TargetID],
 tblTargets[DisplayName],
 ""
)</f>
        <v>Workshop - Shield For A Hero Lvl 4+</v>
      </c>
      <c r="D1145" s="49" t="str">
        <f t="array" ref="D1145">_xlfn.XLOOKUP(
 B1145,
 tblTargets[TargetID],
 tblTargets[TargetType],
 ""
)</f>
        <v>TECH</v>
      </c>
      <c r="E1145" s="49" t="s">
        <v>2362</v>
      </c>
      <c r="F1145" s="87">
        <f>IFERROR(__xludf.DUMMYFUNCTION("VALUE(REGEXEXTRACT(A1145,""([^.]+)$""))"),1.0)</f>
        <v>1</v>
      </c>
      <c r="G1145" s="49">
        <v>1.0</v>
      </c>
      <c r="H1145" s="26" t="b">
        <f>COUNTIFS(
 tblCostChecklist[RequirementID],A1145,
 tblCostChecklist[PlayerPaid],TRUE
)&gt;0</f>
        <v>0</v>
      </c>
      <c r="I1145" s="49">
        <f t="shared" si="1"/>
        <v>9</v>
      </c>
      <c r="J1145" s="49">
        <f t="shared" si="2"/>
        <v>0</v>
      </c>
      <c r="K1145" s="49">
        <f t="shared" si="3"/>
        <v>9</v>
      </c>
      <c r="L1145" s="49" t="b">
        <f t="shared" si="4"/>
        <v>0</v>
      </c>
      <c r="M1145" s="88">
        <f t="shared" si="5"/>
        <v>0</v>
      </c>
    </row>
    <row r="1146" ht="14.25" customHeight="1">
      <c r="A1146" s="49" t="s">
        <v>4014</v>
      </c>
      <c r="B1146" s="49" t="str">
        <f>IFERROR(__xludf.DUMMYFUNCTION("REGEXEXTRACT(A1146,""^cost\.(.*)\.[^.]+\.[^.]+$"")"),"tech.workshop.strong_glue")</f>
        <v>tech.workshop.strong_glue</v>
      </c>
      <c r="C1146" s="49" t="str">
        <f t="array" ref="C1146">_xlfn.XLOOKUP(
 B1146,
 tblTargets[TargetID],
 tblTargets[DisplayName],
 ""
)</f>
        <v>Workshop - Strong Glue</v>
      </c>
      <c r="D1146" s="49" t="str">
        <f t="array" ref="D1146">_xlfn.XLOOKUP(
 B1146,
 tblTargets[TargetID],
 tblTargets[TargetType],
 ""
)</f>
        <v>TECH</v>
      </c>
      <c r="E1146" s="49" t="s">
        <v>1055</v>
      </c>
      <c r="F1146" s="87">
        <f>IFERROR(__xludf.DUMMYFUNCTION("VALUE(REGEXEXTRACT(A1146,""([^.]+)$""))"),1.0)</f>
        <v>1</v>
      </c>
      <c r="G1146" s="49">
        <v>15.0</v>
      </c>
      <c r="H1146" s="26" t="b">
        <f>COUNTIFS(
 tblCostChecklist[RequirementID],A1146,
 tblCostChecklist[PlayerPaid],TRUE
)&gt;0</f>
        <v>0</v>
      </c>
      <c r="I1146" s="49">
        <f t="shared" si="1"/>
        <v>5</v>
      </c>
      <c r="J1146" s="49">
        <f t="shared" si="2"/>
        <v>0</v>
      </c>
      <c r="K1146" s="49">
        <f t="shared" si="3"/>
        <v>5</v>
      </c>
      <c r="L1146" s="49" t="b">
        <f t="shared" si="4"/>
        <v>0</v>
      </c>
      <c r="M1146" s="88">
        <f t="shared" si="5"/>
        <v>0</v>
      </c>
    </row>
    <row r="1147" ht="14.25" customHeight="1">
      <c r="A1147" s="49" t="s">
        <v>4018</v>
      </c>
      <c r="B1147" s="49" t="str">
        <f>IFERROR(__xludf.DUMMYFUNCTION("REGEXEXTRACT(A1147,""^cost\.(.*)\.[^.]+\.[^.]+$"")"),"tech.workshop.strong_glue")</f>
        <v>tech.workshop.strong_glue</v>
      </c>
      <c r="C1147" s="49" t="str">
        <f t="array" ref="C1147">_xlfn.XLOOKUP(
 B1147,
 tblTargets[TargetID],
 tblTargets[DisplayName],
 ""
)</f>
        <v>Workshop - Strong Glue</v>
      </c>
      <c r="D1147" s="49" t="str">
        <f t="array" ref="D1147">_xlfn.XLOOKUP(
 B1147,
 tblTargets[TargetID],
 tblTargets[TargetType],
 ""
)</f>
        <v>TECH</v>
      </c>
      <c r="E1147" s="49" t="s">
        <v>119</v>
      </c>
      <c r="F1147" s="87">
        <f>IFERROR(__xludf.DUMMYFUNCTION("VALUE(REGEXEXTRACT(A1147,""([^.]+)$""))"),1.0)</f>
        <v>1</v>
      </c>
      <c r="G1147" s="49">
        <v>500.0</v>
      </c>
      <c r="H1147" s="26" t="b">
        <f>COUNTIFS(
 tblCostChecklist[RequirementID],A1147,
 tblCostChecklist[PlayerPaid],TRUE
)&gt;0</f>
        <v>0</v>
      </c>
      <c r="I1147" s="49">
        <f t="shared" si="1"/>
        <v>5</v>
      </c>
      <c r="J1147" s="49">
        <f t="shared" si="2"/>
        <v>0</v>
      </c>
      <c r="K1147" s="49">
        <f t="shared" si="3"/>
        <v>5</v>
      </c>
      <c r="L1147" s="49" t="b">
        <f t="shared" si="4"/>
        <v>0</v>
      </c>
      <c r="M1147" s="88">
        <f t="shared" si="5"/>
        <v>0</v>
      </c>
    </row>
    <row r="1148" ht="14.25" customHeight="1">
      <c r="A1148" s="49" t="s">
        <v>4021</v>
      </c>
      <c r="B1148" s="49" t="str">
        <f>IFERROR(__xludf.DUMMYFUNCTION("REGEXEXTRACT(A1148,""^cost\.(.*)\.[^.]+\.[^.]+$"")"),"tech.workshop.strong_glue")</f>
        <v>tech.workshop.strong_glue</v>
      </c>
      <c r="C1148" s="49" t="str">
        <f t="array" ref="C1148">_xlfn.XLOOKUP(
 B1148,
 tblTargets[TargetID],
 tblTargets[DisplayName],
 ""
)</f>
        <v>Workshop - Strong Glue</v>
      </c>
      <c r="D1148" s="49" t="str">
        <f t="array" ref="D1148">_xlfn.XLOOKUP(
 B1148,
 tblTargets[TargetID],
 tblTargets[TargetType],
 ""
)</f>
        <v>TECH</v>
      </c>
      <c r="E1148" s="49" t="s">
        <v>2486</v>
      </c>
      <c r="F1148" s="87">
        <f>IFERROR(__xludf.DUMMYFUNCTION("VALUE(REGEXEXTRACT(A1148,""([^.]+)$""))"),1.0)</f>
        <v>1</v>
      </c>
      <c r="G1148" s="49">
        <v>10.0</v>
      </c>
      <c r="H1148" s="26" t="b">
        <f>COUNTIFS(
 tblCostChecklist[RequirementID],A1148,
 tblCostChecklist[PlayerPaid],TRUE
)&gt;0</f>
        <v>0</v>
      </c>
      <c r="I1148" s="49">
        <f t="shared" si="1"/>
        <v>5</v>
      </c>
      <c r="J1148" s="49">
        <f t="shared" si="2"/>
        <v>0</v>
      </c>
      <c r="K1148" s="49">
        <f t="shared" si="3"/>
        <v>5</v>
      </c>
      <c r="L1148" s="49" t="b">
        <f t="shared" si="4"/>
        <v>0</v>
      </c>
      <c r="M1148" s="88">
        <f t="shared" si="5"/>
        <v>0</v>
      </c>
    </row>
    <row r="1149" ht="14.25" customHeight="1">
      <c r="A1149" s="49" t="s">
        <v>4022</v>
      </c>
      <c r="B1149" s="49" t="str">
        <f>IFERROR(__xludf.DUMMYFUNCTION("REGEXEXTRACT(A1149,""^cost\.(.*)\.[^.]+\.[^.]+$"")"),"tech.workshop.strong_glue")</f>
        <v>tech.workshop.strong_glue</v>
      </c>
      <c r="C1149" s="49" t="str">
        <f t="array" ref="C1149">_xlfn.XLOOKUP(
 B1149,
 tblTargets[TargetID],
 tblTargets[DisplayName],
 ""
)</f>
        <v>Workshop - Strong Glue</v>
      </c>
      <c r="D1149" s="49" t="str">
        <f t="array" ref="D1149">_xlfn.XLOOKUP(
 B1149,
 tblTargets[TargetID],
 tblTargets[TargetType],
 ""
)</f>
        <v>TECH</v>
      </c>
      <c r="E1149" s="49" t="s">
        <v>140</v>
      </c>
      <c r="F1149" s="87">
        <f>IFERROR(__xludf.DUMMYFUNCTION("VALUE(REGEXEXTRACT(A1149,""([^.]+)$""))"),1.0)</f>
        <v>1</v>
      </c>
      <c r="G1149" s="49">
        <v>15.0</v>
      </c>
      <c r="H1149" s="26" t="b">
        <f>COUNTIFS(
 tblCostChecklist[RequirementID],A1149,
 tblCostChecklist[PlayerPaid],TRUE
)&gt;0</f>
        <v>0</v>
      </c>
      <c r="I1149" s="49">
        <f t="shared" si="1"/>
        <v>5</v>
      </c>
      <c r="J1149" s="49">
        <f t="shared" si="2"/>
        <v>0</v>
      </c>
      <c r="K1149" s="49">
        <f t="shared" si="3"/>
        <v>5</v>
      </c>
      <c r="L1149" s="49" t="b">
        <f t="shared" si="4"/>
        <v>0</v>
      </c>
      <c r="M1149" s="88">
        <f t="shared" si="5"/>
        <v>0</v>
      </c>
    </row>
    <row r="1150" ht="14.25" customHeight="1">
      <c r="A1150" s="49" t="s">
        <v>4026</v>
      </c>
      <c r="B1150" s="49" t="str">
        <f>IFERROR(__xludf.DUMMYFUNCTION("REGEXEXTRACT(A1150,""^cost\.(.*)\.[^.]+\.[^.]+$"")"),"tech.workshop.strong_glue")</f>
        <v>tech.workshop.strong_glue</v>
      </c>
      <c r="C1150" s="49" t="str">
        <f t="array" ref="C1150">_xlfn.XLOOKUP(
 B1150,
 tblTargets[TargetID],
 tblTargets[DisplayName],
 ""
)</f>
        <v>Workshop - Strong Glue</v>
      </c>
      <c r="D1150" s="49" t="str">
        <f t="array" ref="D1150">_xlfn.XLOOKUP(
 B1150,
 tblTargets[TargetID],
 tblTargets[TargetType],
 ""
)</f>
        <v>TECH</v>
      </c>
      <c r="E1150" s="49" t="s">
        <v>6</v>
      </c>
      <c r="F1150" s="87">
        <f>IFERROR(__xludf.DUMMYFUNCTION("VALUE(REGEXEXTRACT(A1150,""([^.]+)$""))"),1.0)</f>
        <v>1</v>
      </c>
      <c r="G1150" s="49">
        <v>2.0</v>
      </c>
      <c r="H1150" s="26" t="b">
        <f>COUNTIFS(
 tblCostChecklist[RequirementID],A1150,
 tblCostChecklist[PlayerPaid],TRUE
)&gt;0</f>
        <v>0</v>
      </c>
      <c r="I1150" s="49">
        <f t="shared" si="1"/>
        <v>5</v>
      </c>
      <c r="J1150" s="49">
        <f t="shared" si="2"/>
        <v>0</v>
      </c>
      <c r="K1150" s="49">
        <f t="shared" si="3"/>
        <v>5</v>
      </c>
      <c r="L1150" s="49" t="b">
        <f t="shared" si="4"/>
        <v>0</v>
      </c>
      <c r="M1150" s="88">
        <f t="shared" si="5"/>
        <v>0</v>
      </c>
    </row>
    <row r="1151" ht="14.25" customHeight="1">
      <c r="A1151" s="49" t="s">
        <v>4028</v>
      </c>
      <c r="B1151" s="49" t="str">
        <f>IFERROR(__xludf.DUMMYFUNCTION("REGEXEXTRACT(A1151,""^cost\.(.*)\.[^.]+\.[^.]+$"")"),"tech.workshop.mechanism")</f>
        <v>tech.workshop.mechanism</v>
      </c>
      <c r="C1151" s="49" t="str">
        <f t="array" ref="C1151">_xlfn.XLOOKUP(
 B1151,
 tblTargets[TargetID],
 tblTargets[DisplayName],
 ""
)</f>
        <v>Workshop - Mechanism</v>
      </c>
      <c r="D1151" s="49" t="str">
        <f t="array" ref="D1151">_xlfn.XLOOKUP(
 B1151,
 tblTargets[TargetID],
 tblTargets[TargetType],
 ""
)</f>
        <v>TECH</v>
      </c>
      <c r="E1151" s="49" t="s">
        <v>1055</v>
      </c>
      <c r="F1151" s="87">
        <f>IFERROR(__xludf.DUMMYFUNCTION("VALUE(REGEXEXTRACT(A1151,""([^.]+)$""))"),1.0)</f>
        <v>1</v>
      </c>
      <c r="G1151" s="49">
        <v>30.0</v>
      </c>
      <c r="H1151" s="26" t="b">
        <f>COUNTIFS(
 tblCostChecklist[RequirementID],A1151,
 tblCostChecklist[PlayerPaid],TRUE
)&gt;0</f>
        <v>0</v>
      </c>
      <c r="I1151" s="49">
        <f t="shared" si="1"/>
        <v>5</v>
      </c>
      <c r="J1151" s="49">
        <f t="shared" si="2"/>
        <v>0</v>
      </c>
      <c r="K1151" s="49">
        <f t="shared" si="3"/>
        <v>5</v>
      </c>
      <c r="L1151" s="49" t="b">
        <f t="shared" si="4"/>
        <v>0</v>
      </c>
      <c r="M1151" s="88">
        <f t="shared" si="5"/>
        <v>0</v>
      </c>
    </row>
    <row r="1152" ht="14.25" customHeight="1">
      <c r="A1152" s="49" t="s">
        <v>4032</v>
      </c>
      <c r="B1152" s="49" t="str">
        <f>IFERROR(__xludf.DUMMYFUNCTION("REGEXEXTRACT(A1152,""^cost\.(.*)\.[^.]+\.[^.]+$"")"),"tech.workshop.mechanism")</f>
        <v>tech.workshop.mechanism</v>
      </c>
      <c r="C1152" s="49" t="str">
        <f t="array" ref="C1152">_xlfn.XLOOKUP(
 B1152,
 tblTargets[TargetID],
 tblTargets[DisplayName],
 ""
)</f>
        <v>Workshop - Mechanism</v>
      </c>
      <c r="D1152" s="49" t="str">
        <f t="array" ref="D1152">_xlfn.XLOOKUP(
 B1152,
 tblTargets[TargetID],
 tblTargets[TargetType],
 ""
)</f>
        <v>TECH</v>
      </c>
      <c r="E1152" s="49" t="s">
        <v>119</v>
      </c>
      <c r="F1152" s="87">
        <f>IFERROR(__xludf.DUMMYFUNCTION("VALUE(REGEXEXTRACT(A1152,""([^.]+)$""))"),1.0)</f>
        <v>1</v>
      </c>
      <c r="G1152" s="49">
        <v>700.0</v>
      </c>
      <c r="H1152" s="26" t="b">
        <f>COUNTIFS(
 tblCostChecklist[RequirementID],A1152,
 tblCostChecklist[PlayerPaid],TRUE
)&gt;0</f>
        <v>0</v>
      </c>
      <c r="I1152" s="49">
        <f t="shared" si="1"/>
        <v>5</v>
      </c>
      <c r="J1152" s="49">
        <f t="shared" si="2"/>
        <v>0</v>
      </c>
      <c r="K1152" s="49">
        <f t="shared" si="3"/>
        <v>5</v>
      </c>
      <c r="L1152" s="49" t="b">
        <f t="shared" si="4"/>
        <v>0</v>
      </c>
      <c r="M1152" s="88">
        <f t="shared" si="5"/>
        <v>0</v>
      </c>
    </row>
    <row r="1153" ht="14.25" customHeight="1">
      <c r="A1153" s="49" t="s">
        <v>4037</v>
      </c>
      <c r="B1153" s="49" t="str">
        <f>IFERROR(__xludf.DUMMYFUNCTION("REGEXEXTRACT(A1153,""^cost\.(.*)\.[^.]+\.[^.]+$"")"),"tech.workshop.mechanism")</f>
        <v>tech.workshop.mechanism</v>
      </c>
      <c r="C1153" s="49" t="str">
        <f t="array" ref="C1153">_xlfn.XLOOKUP(
 B1153,
 tblTargets[TargetID],
 tblTargets[DisplayName],
 ""
)</f>
        <v>Workshop - Mechanism</v>
      </c>
      <c r="D1153" s="49" t="str">
        <f t="array" ref="D1153">_xlfn.XLOOKUP(
 B1153,
 tblTargets[TargetID],
 tblTargets[TargetType],
 ""
)</f>
        <v>TECH</v>
      </c>
      <c r="E1153" s="49" t="s">
        <v>179</v>
      </c>
      <c r="F1153" s="87">
        <f>IFERROR(__xludf.DUMMYFUNCTION("VALUE(REGEXEXTRACT(A1153,""([^.]+)$""))"),1.0)</f>
        <v>1</v>
      </c>
      <c r="G1153" s="49">
        <v>30.0</v>
      </c>
      <c r="H1153" s="26" t="b">
        <f>COUNTIFS(
 tblCostChecklist[RequirementID],A1153,
 tblCostChecklist[PlayerPaid],TRUE
)&gt;0</f>
        <v>0</v>
      </c>
      <c r="I1153" s="49">
        <f t="shared" si="1"/>
        <v>5</v>
      </c>
      <c r="J1153" s="49">
        <f t="shared" si="2"/>
        <v>0</v>
      </c>
      <c r="K1153" s="49">
        <f t="shared" si="3"/>
        <v>5</v>
      </c>
      <c r="L1153" s="49" t="b">
        <f t="shared" si="4"/>
        <v>0</v>
      </c>
      <c r="M1153" s="88">
        <f t="shared" si="5"/>
        <v>0</v>
      </c>
    </row>
    <row r="1154" ht="14.25" customHeight="1">
      <c r="A1154" s="49" t="s">
        <v>4039</v>
      </c>
      <c r="B1154" s="49" t="str">
        <f>IFERROR(__xludf.DUMMYFUNCTION("REGEXEXTRACT(A1154,""^cost\.(.*)\.[^.]+\.[^.]+$"")"),"tech.workshop.mechanism")</f>
        <v>tech.workshop.mechanism</v>
      </c>
      <c r="C1154" s="49" t="str">
        <f t="array" ref="C1154">_xlfn.XLOOKUP(
 B1154,
 tblTargets[TargetID],
 tblTargets[DisplayName],
 ""
)</f>
        <v>Workshop - Mechanism</v>
      </c>
      <c r="D1154" s="49" t="str">
        <f t="array" ref="D1154">_xlfn.XLOOKUP(
 B1154,
 tblTargets[TargetID],
 tblTargets[TargetType],
 ""
)</f>
        <v>TECH</v>
      </c>
      <c r="E1154" s="49" t="s">
        <v>2135</v>
      </c>
      <c r="F1154" s="87">
        <f>IFERROR(__xludf.DUMMYFUNCTION("VALUE(REGEXEXTRACT(A1154,""([^.]+)$""))"),1.0)</f>
        <v>1</v>
      </c>
      <c r="G1154" s="49">
        <v>10.0</v>
      </c>
      <c r="H1154" s="26" t="b">
        <f>COUNTIFS(
 tblCostChecklist[RequirementID],A1154,
 tblCostChecklist[PlayerPaid],TRUE
)&gt;0</f>
        <v>0</v>
      </c>
      <c r="I1154" s="49">
        <f t="shared" si="1"/>
        <v>5</v>
      </c>
      <c r="J1154" s="49">
        <f t="shared" si="2"/>
        <v>0</v>
      </c>
      <c r="K1154" s="49">
        <f t="shared" si="3"/>
        <v>5</v>
      </c>
      <c r="L1154" s="49" t="b">
        <f t="shared" si="4"/>
        <v>0</v>
      </c>
      <c r="M1154" s="88">
        <f t="shared" si="5"/>
        <v>0</v>
      </c>
    </row>
    <row r="1155" ht="14.25" customHeight="1">
      <c r="A1155" s="49" t="s">
        <v>4043</v>
      </c>
      <c r="B1155" s="49" t="str">
        <f>IFERROR(__xludf.DUMMYFUNCTION("REGEXEXTRACT(A1155,""^cost\.(.*)\.[^.]+\.[^.]+$"")"),"tech.workshop.mechanism")</f>
        <v>tech.workshop.mechanism</v>
      </c>
      <c r="C1155" s="49" t="str">
        <f t="array" ref="C1155">_xlfn.XLOOKUP(
 B1155,
 tblTargets[TargetID],
 tblTargets[DisplayName],
 ""
)</f>
        <v>Workshop - Mechanism</v>
      </c>
      <c r="D1155" s="49" t="str">
        <f t="array" ref="D1155">_xlfn.XLOOKUP(
 B1155,
 tblTargets[TargetID],
 tblTargets[TargetType],
 ""
)</f>
        <v>TECH</v>
      </c>
      <c r="E1155" s="49" t="s">
        <v>6</v>
      </c>
      <c r="F1155" s="87">
        <f>IFERROR(__xludf.DUMMYFUNCTION("VALUE(REGEXEXTRACT(A1155,""([^.]+)$""))"),1.0)</f>
        <v>1</v>
      </c>
      <c r="G1155" s="49">
        <v>3.0</v>
      </c>
      <c r="H1155" s="26" t="b">
        <f>COUNTIFS(
 tblCostChecklist[RequirementID],A1155,
 tblCostChecklist[PlayerPaid],TRUE
)&gt;0</f>
        <v>0</v>
      </c>
      <c r="I1155" s="49">
        <f t="shared" si="1"/>
        <v>5</v>
      </c>
      <c r="J1155" s="49">
        <f t="shared" si="2"/>
        <v>0</v>
      </c>
      <c r="K1155" s="49">
        <f t="shared" si="3"/>
        <v>5</v>
      </c>
      <c r="L1155" s="49" t="b">
        <f t="shared" si="4"/>
        <v>0</v>
      </c>
      <c r="M1155" s="88">
        <f t="shared" si="5"/>
        <v>0</v>
      </c>
    </row>
    <row r="1156" ht="14.25" customHeight="1">
      <c r="A1156" s="49" t="s">
        <v>4047</v>
      </c>
      <c r="B1156" s="49" t="str">
        <f>IFERROR(__xludf.DUMMYFUNCTION("REGEXEXTRACT(A1156,""^cost\.(.*)\.[^.]+\.[^.]+$"")"),"tech.workshop.mechanical_spider")</f>
        <v>tech.workshop.mechanical_spider</v>
      </c>
      <c r="C1156" s="49" t="str">
        <f t="array" ref="C1156">_xlfn.XLOOKUP(
 B1156,
 tblTargets[TargetID],
 tblTargets[DisplayName],
 ""
)</f>
        <v>Workshop - Mechanical Spider</v>
      </c>
      <c r="D1156" s="49" t="str">
        <f t="array" ref="D1156">_xlfn.XLOOKUP(
 B1156,
 tblTargets[TargetID],
 tblTargets[TargetType],
 ""
)</f>
        <v>TECH</v>
      </c>
      <c r="E1156" s="49" t="s">
        <v>1055</v>
      </c>
      <c r="F1156" s="87">
        <f>IFERROR(__xludf.DUMMYFUNCTION("VALUE(REGEXEXTRACT(A1156,""([^.]+)$""))"),1.0)</f>
        <v>1</v>
      </c>
      <c r="G1156" s="49">
        <v>30.0</v>
      </c>
      <c r="H1156" s="26" t="b">
        <f>COUNTIFS(
 tblCostChecklist[RequirementID],A1156,
 tblCostChecklist[PlayerPaid],TRUE
)&gt;0</f>
        <v>0</v>
      </c>
      <c r="I1156" s="49">
        <f t="shared" si="1"/>
        <v>5</v>
      </c>
      <c r="J1156" s="49">
        <f t="shared" si="2"/>
        <v>0</v>
      </c>
      <c r="K1156" s="49">
        <f t="shared" si="3"/>
        <v>5</v>
      </c>
      <c r="L1156" s="49" t="b">
        <f t="shared" si="4"/>
        <v>0</v>
      </c>
      <c r="M1156" s="88">
        <f t="shared" si="5"/>
        <v>0</v>
      </c>
    </row>
    <row r="1157" ht="14.25" customHeight="1">
      <c r="A1157" s="49" t="s">
        <v>4051</v>
      </c>
      <c r="B1157" s="49" t="str">
        <f>IFERROR(__xludf.DUMMYFUNCTION("REGEXEXTRACT(A1157,""^cost\.(.*)\.[^.]+\.[^.]+$"")"),"tech.workshop.mechanical_spider")</f>
        <v>tech.workshop.mechanical_spider</v>
      </c>
      <c r="C1157" s="49" t="str">
        <f t="array" ref="C1157">_xlfn.XLOOKUP(
 B1157,
 tblTargets[TargetID],
 tblTargets[DisplayName],
 ""
)</f>
        <v>Workshop - Mechanical Spider</v>
      </c>
      <c r="D1157" s="49" t="str">
        <f t="array" ref="D1157">_xlfn.XLOOKUP(
 B1157,
 tblTargets[TargetID],
 tblTargets[TargetType],
 ""
)</f>
        <v>TECH</v>
      </c>
      <c r="E1157" s="49" t="s">
        <v>119</v>
      </c>
      <c r="F1157" s="87">
        <f>IFERROR(__xludf.DUMMYFUNCTION("VALUE(REGEXEXTRACT(A1157,""([^.]+)$""))"),1.0)</f>
        <v>1</v>
      </c>
      <c r="G1157" s="49">
        <v>1000.0</v>
      </c>
      <c r="H1157" s="26" t="b">
        <f>COUNTIFS(
 tblCostChecklist[RequirementID],A1157,
 tblCostChecklist[PlayerPaid],TRUE
)&gt;0</f>
        <v>0</v>
      </c>
      <c r="I1157" s="49">
        <f t="shared" si="1"/>
        <v>5</v>
      </c>
      <c r="J1157" s="49">
        <f t="shared" si="2"/>
        <v>0</v>
      </c>
      <c r="K1157" s="49">
        <f t="shared" si="3"/>
        <v>5</v>
      </c>
      <c r="L1157" s="49" t="b">
        <f t="shared" si="4"/>
        <v>0</v>
      </c>
      <c r="M1157" s="88">
        <f t="shared" si="5"/>
        <v>0</v>
      </c>
    </row>
    <row r="1158" ht="14.25" customHeight="1">
      <c r="A1158" s="49" t="s">
        <v>4053</v>
      </c>
      <c r="B1158" s="49" t="str">
        <f>IFERROR(__xludf.DUMMYFUNCTION("REGEXEXTRACT(A1158,""^cost\.(.*)\.[^.]+\.[^.]+$"")"),"tech.workshop.mechanical_spider")</f>
        <v>tech.workshop.mechanical_spider</v>
      </c>
      <c r="C1158" s="49" t="str">
        <f t="array" ref="C1158">_xlfn.XLOOKUP(
 B1158,
 tblTargets[TargetID],
 tblTargets[DisplayName],
 ""
)</f>
        <v>Workshop - Mechanical Spider</v>
      </c>
      <c r="D1158" s="49" t="str">
        <f t="array" ref="D1158">_xlfn.XLOOKUP(
 B1158,
 tblTargets[TargetID],
 tblTargets[TargetType],
 ""
)</f>
        <v>TECH</v>
      </c>
      <c r="E1158" s="49" t="s">
        <v>1078</v>
      </c>
      <c r="F1158" s="87">
        <f>IFERROR(__xludf.DUMMYFUNCTION("VALUE(REGEXEXTRACT(A1158,""([^.]+)$""))"),1.0)</f>
        <v>1</v>
      </c>
      <c r="G1158" s="49">
        <v>15.0</v>
      </c>
      <c r="H1158" s="26" t="b">
        <f>COUNTIFS(
 tblCostChecklist[RequirementID],A1158,
 tblCostChecklist[PlayerPaid],TRUE
)&gt;0</f>
        <v>0</v>
      </c>
      <c r="I1158" s="49">
        <f t="shared" si="1"/>
        <v>5</v>
      </c>
      <c r="J1158" s="49">
        <f t="shared" si="2"/>
        <v>0</v>
      </c>
      <c r="K1158" s="49">
        <f t="shared" si="3"/>
        <v>5</v>
      </c>
      <c r="L1158" s="49" t="b">
        <f t="shared" si="4"/>
        <v>0</v>
      </c>
      <c r="M1158" s="88">
        <f t="shared" si="5"/>
        <v>0</v>
      </c>
    </row>
    <row r="1159" ht="14.25" customHeight="1">
      <c r="A1159" s="49" t="s">
        <v>4056</v>
      </c>
      <c r="B1159" s="49" t="str">
        <f>IFERROR(__xludf.DUMMYFUNCTION("REGEXEXTRACT(A1159,""^cost\.(.*)\.[^.]+\.[^.]+$"")"),"tech.workshop.mechanical_spider")</f>
        <v>tech.workshop.mechanical_spider</v>
      </c>
      <c r="C1159" s="49" t="str">
        <f t="array" ref="C1159">_xlfn.XLOOKUP(
 B1159,
 tblTargets[TargetID],
 tblTargets[DisplayName],
 ""
)</f>
        <v>Workshop - Mechanical Spider</v>
      </c>
      <c r="D1159" s="49" t="str">
        <f t="array" ref="D1159">_xlfn.XLOOKUP(
 B1159,
 tblTargets[TargetID],
 tblTargets[TargetType],
 ""
)</f>
        <v>TECH</v>
      </c>
      <c r="E1159" s="49" t="s">
        <v>2135</v>
      </c>
      <c r="F1159" s="87">
        <f>IFERROR(__xludf.DUMMYFUNCTION("VALUE(REGEXEXTRACT(A1159,""([^.]+)$""))"),1.0)</f>
        <v>1</v>
      </c>
      <c r="G1159" s="49">
        <v>20.0</v>
      </c>
      <c r="H1159" s="26" t="b">
        <f>COUNTIFS(
 tblCostChecklist[RequirementID],A1159,
 tblCostChecklist[PlayerPaid],TRUE
)&gt;0</f>
        <v>0</v>
      </c>
      <c r="I1159" s="49">
        <f t="shared" si="1"/>
        <v>5</v>
      </c>
      <c r="J1159" s="49">
        <f t="shared" si="2"/>
        <v>0</v>
      </c>
      <c r="K1159" s="49">
        <f t="shared" si="3"/>
        <v>5</v>
      </c>
      <c r="L1159" s="49" t="b">
        <f t="shared" si="4"/>
        <v>0</v>
      </c>
      <c r="M1159" s="88">
        <f t="shared" si="5"/>
        <v>0</v>
      </c>
    </row>
    <row r="1160" ht="14.25" customHeight="1">
      <c r="A1160" s="49" t="s">
        <v>4060</v>
      </c>
      <c r="B1160" s="49" t="str">
        <f>IFERROR(__xludf.DUMMYFUNCTION("REGEXEXTRACT(A1160,""^cost\.(.*)\.[^.]+\.[^.]+$"")"),"tech.workshop.mechanical_spider")</f>
        <v>tech.workshop.mechanical_spider</v>
      </c>
      <c r="C1160" s="49" t="str">
        <f t="array" ref="C1160">_xlfn.XLOOKUP(
 B1160,
 tblTargets[TargetID],
 tblTargets[DisplayName],
 ""
)</f>
        <v>Workshop - Mechanical Spider</v>
      </c>
      <c r="D1160" s="49" t="str">
        <f t="array" ref="D1160">_xlfn.XLOOKUP(
 B1160,
 tblTargets[TargetID],
 tblTargets[TargetType],
 ""
)</f>
        <v>TECH</v>
      </c>
      <c r="E1160" s="49" t="s">
        <v>6</v>
      </c>
      <c r="F1160" s="87">
        <f>IFERROR(__xludf.DUMMYFUNCTION("VALUE(REGEXEXTRACT(A1160,""([^.]+)$""))"),1.0)</f>
        <v>1</v>
      </c>
      <c r="G1160" s="49">
        <v>5.0</v>
      </c>
      <c r="H1160" s="26" t="b">
        <f>COUNTIFS(
 tblCostChecklist[RequirementID],A1160,
 tblCostChecklist[PlayerPaid],TRUE
)&gt;0</f>
        <v>0</v>
      </c>
      <c r="I1160" s="49">
        <f t="shared" si="1"/>
        <v>5</v>
      </c>
      <c r="J1160" s="49">
        <f t="shared" si="2"/>
        <v>0</v>
      </c>
      <c r="K1160" s="49">
        <f t="shared" si="3"/>
        <v>5</v>
      </c>
      <c r="L1160" s="49" t="b">
        <f t="shared" si="4"/>
        <v>0</v>
      </c>
      <c r="M1160" s="88">
        <f t="shared" si="5"/>
        <v>0</v>
      </c>
    </row>
    <row r="1161" ht="14.25" customHeight="1">
      <c r="A1161" s="49" t="s">
        <v>4064</v>
      </c>
      <c r="B1161" s="49" t="str">
        <f>IFERROR(__xludf.DUMMYFUNCTION("REGEXEXTRACT(A1161,""^cost\.(.*)\.[^.]+\.[^.]+$"")"),"tech.workshop.explosive_mechanical_spider")</f>
        <v>tech.workshop.explosive_mechanical_spider</v>
      </c>
      <c r="C1161" s="49" t="str">
        <f t="array" ref="C1161">_xlfn.XLOOKUP(
 B1161,
 tblTargets[TargetID],
 tblTargets[DisplayName],
 ""
)</f>
        <v>Workshop - Explosive Mechanical Spider</v>
      </c>
      <c r="D1161" s="49" t="str">
        <f t="array" ref="D1161">_xlfn.XLOOKUP(
 B1161,
 tblTargets[TargetID],
 tblTargets[TargetType],
 ""
)</f>
        <v>TECH</v>
      </c>
      <c r="E1161" s="49" t="s">
        <v>1055</v>
      </c>
      <c r="F1161" s="87">
        <f>IFERROR(__xludf.DUMMYFUNCTION("VALUE(REGEXEXTRACT(A1161,""([^.]+)$""))"),1.0)</f>
        <v>1</v>
      </c>
      <c r="G1161" s="49">
        <v>15.0</v>
      </c>
      <c r="H1161" s="26" t="b">
        <f>COUNTIFS(
 tblCostChecklist[RequirementID],A1161,
 tblCostChecklist[PlayerPaid],TRUE
)&gt;0</f>
        <v>0</v>
      </c>
      <c r="I1161" s="49">
        <f t="shared" si="1"/>
        <v>6</v>
      </c>
      <c r="J1161" s="49">
        <f t="shared" si="2"/>
        <v>0</v>
      </c>
      <c r="K1161" s="49">
        <f t="shared" si="3"/>
        <v>6</v>
      </c>
      <c r="L1161" s="49" t="b">
        <f t="shared" si="4"/>
        <v>0</v>
      </c>
      <c r="M1161" s="88">
        <f t="shared" si="5"/>
        <v>0</v>
      </c>
    </row>
    <row r="1162" ht="14.25" customHeight="1">
      <c r="A1162" s="49" t="s">
        <v>4071</v>
      </c>
      <c r="B1162" s="49" t="str">
        <f>IFERROR(__xludf.DUMMYFUNCTION("REGEXEXTRACT(A1162,""^cost\.(.*)\.[^.]+\.[^.]+$"")"),"tech.workshop.explosive_mechanical_spider")</f>
        <v>tech.workshop.explosive_mechanical_spider</v>
      </c>
      <c r="C1162" s="49" t="str">
        <f t="array" ref="C1162">_xlfn.XLOOKUP(
 B1162,
 tblTargets[TargetID],
 tblTargets[DisplayName],
 ""
)</f>
        <v>Workshop - Explosive Mechanical Spider</v>
      </c>
      <c r="D1162" s="49" t="str">
        <f t="array" ref="D1162">_xlfn.XLOOKUP(
 B1162,
 tblTargets[TargetID],
 tblTargets[TargetType],
 ""
)</f>
        <v>TECH</v>
      </c>
      <c r="E1162" s="49" t="s">
        <v>119</v>
      </c>
      <c r="F1162" s="87">
        <f>IFERROR(__xludf.DUMMYFUNCTION("VALUE(REGEXEXTRACT(A1162,""([^.]+)$""))"),1.0)</f>
        <v>1</v>
      </c>
      <c r="G1162" s="49">
        <v>400.0</v>
      </c>
      <c r="H1162" s="26" t="b">
        <f>COUNTIFS(
 tblCostChecklist[RequirementID],A1162,
 tblCostChecklist[PlayerPaid],TRUE
)&gt;0</f>
        <v>0</v>
      </c>
      <c r="I1162" s="49">
        <f t="shared" si="1"/>
        <v>6</v>
      </c>
      <c r="J1162" s="49">
        <f t="shared" si="2"/>
        <v>0</v>
      </c>
      <c r="K1162" s="49">
        <f t="shared" si="3"/>
        <v>6</v>
      </c>
      <c r="L1162" s="49" t="b">
        <f t="shared" si="4"/>
        <v>0</v>
      </c>
      <c r="M1162" s="88">
        <f t="shared" si="5"/>
        <v>0</v>
      </c>
    </row>
    <row r="1163" ht="14.25" customHeight="1">
      <c r="A1163" s="49" t="s">
        <v>4076</v>
      </c>
      <c r="B1163" s="49" t="str">
        <f>IFERROR(__xludf.DUMMYFUNCTION("REGEXEXTRACT(A1163,""^cost\.(.*)\.[^.]+\.[^.]+$"")"),"tech.workshop.explosive_mechanical_spider")</f>
        <v>tech.workshop.explosive_mechanical_spider</v>
      </c>
      <c r="C1163" s="49" t="str">
        <f t="array" ref="C1163">_xlfn.XLOOKUP(
 B1163,
 tblTargets[TargetID],
 tblTargets[DisplayName],
 ""
)</f>
        <v>Workshop - Explosive Mechanical Spider</v>
      </c>
      <c r="D1163" s="49" t="str">
        <f t="array" ref="D1163">_xlfn.XLOOKUP(
 B1163,
 tblTargets[TargetID],
 tblTargets[TargetType],
 ""
)</f>
        <v>TECH</v>
      </c>
      <c r="E1163" s="49" t="s">
        <v>4078</v>
      </c>
      <c r="F1163" s="87">
        <f>IFERROR(__xludf.DUMMYFUNCTION("VALUE(REGEXEXTRACT(A1163,""([^.]+)$""))"),1.0)</f>
        <v>1</v>
      </c>
      <c r="G1163" s="49">
        <v>20.0</v>
      </c>
      <c r="H1163" s="26" t="b">
        <f>COUNTIFS(
 tblCostChecklist[RequirementID],A1163,
 tblCostChecklist[PlayerPaid],TRUE
)&gt;0</f>
        <v>0</v>
      </c>
      <c r="I1163" s="49">
        <f t="shared" si="1"/>
        <v>6</v>
      </c>
      <c r="J1163" s="49">
        <f t="shared" si="2"/>
        <v>0</v>
      </c>
      <c r="K1163" s="49">
        <f t="shared" si="3"/>
        <v>6</v>
      </c>
      <c r="L1163" s="49" t="b">
        <f t="shared" si="4"/>
        <v>0</v>
      </c>
      <c r="M1163" s="88">
        <f t="shared" si="5"/>
        <v>0</v>
      </c>
    </row>
    <row r="1164" ht="14.25" customHeight="1">
      <c r="A1164" s="49" t="s">
        <v>4079</v>
      </c>
      <c r="B1164" s="49" t="str">
        <f>IFERROR(__xludf.DUMMYFUNCTION("REGEXEXTRACT(A1164,""^cost\.(.*)\.[^.]+\.[^.]+$"")"),"tech.workshop.explosive_mechanical_spider")</f>
        <v>tech.workshop.explosive_mechanical_spider</v>
      </c>
      <c r="C1164" s="49" t="str">
        <f t="array" ref="C1164">_xlfn.XLOOKUP(
 B1164,
 tblTargets[TargetID],
 tblTargets[DisplayName],
 ""
)</f>
        <v>Workshop - Explosive Mechanical Spider</v>
      </c>
      <c r="D1164" s="49" t="str">
        <f t="array" ref="D1164">_xlfn.XLOOKUP(
 B1164,
 tblTargets[TargetID],
 tblTargets[TargetType],
 ""
)</f>
        <v>TECH</v>
      </c>
      <c r="E1164" s="49" t="s">
        <v>1078</v>
      </c>
      <c r="F1164" s="87">
        <f>IFERROR(__xludf.DUMMYFUNCTION("VALUE(REGEXEXTRACT(A1164,""([^.]+)$""))"),1.0)</f>
        <v>1</v>
      </c>
      <c r="G1164" s="49">
        <v>10.0</v>
      </c>
      <c r="H1164" s="26" t="b">
        <f>COUNTIFS(
 tblCostChecklist[RequirementID],A1164,
 tblCostChecklist[PlayerPaid],TRUE
)&gt;0</f>
        <v>0</v>
      </c>
      <c r="I1164" s="49">
        <f t="shared" si="1"/>
        <v>6</v>
      </c>
      <c r="J1164" s="49">
        <f t="shared" si="2"/>
        <v>0</v>
      </c>
      <c r="K1164" s="49">
        <f t="shared" si="3"/>
        <v>6</v>
      </c>
      <c r="L1164" s="49" t="b">
        <f t="shared" si="4"/>
        <v>0</v>
      </c>
      <c r="M1164" s="88">
        <f t="shared" si="5"/>
        <v>0</v>
      </c>
    </row>
    <row r="1165" ht="14.25" customHeight="1">
      <c r="A1165" s="49" t="s">
        <v>4082</v>
      </c>
      <c r="B1165" s="49" t="str">
        <f>IFERROR(__xludf.DUMMYFUNCTION("REGEXEXTRACT(A1165,""^cost\.(.*)\.[^.]+\.[^.]+$"")"),"tech.workshop.explosive_mechanical_spider")</f>
        <v>tech.workshop.explosive_mechanical_spider</v>
      </c>
      <c r="C1165" s="49" t="str">
        <f t="array" ref="C1165">_xlfn.XLOOKUP(
 B1165,
 tblTargets[TargetID],
 tblTargets[DisplayName],
 ""
)</f>
        <v>Workshop - Explosive Mechanical Spider</v>
      </c>
      <c r="D1165" s="49" t="str">
        <f t="array" ref="D1165">_xlfn.XLOOKUP(
 B1165,
 tblTargets[TargetID],
 tblTargets[TargetType],
 ""
)</f>
        <v>TECH</v>
      </c>
      <c r="E1165" s="49" t="s">
        <v>602</v>
      </c>
      <c r="F1165" s="87">
        <f>IFERROR(__xludf.DUMMYFUNCTION("VALUE(REGEXEXTRACT(A1165,""([^.]+)$""))"),1.0)</f>
        <v>1</v>
      </c>
      <c r="G1165" s="49">
        <v>3.0</v>
      </c>
      <c r="H1165" s="26" t="b">
        <f>COUNTIFS(
 tblCostChecklist[RequirementID],A1165,
 tblCostChecklist[PlayerPaid],TRUE
)&gt;0</f>
        <v>0</v>
      </c>
      <c r="I1165" s="49">
        <f t="shared" si="1"/>
        <v>6</v>
      </c>
      <c r="J1165" s="49">
        <f t="shared" si="2"/>
        <v>0</v>
      </c>
      <c r="K1165" s="49">
        <f t="shared" si="3"/>
        <v>6</v>
      </c>
      <c r="L1165" s="49" t="b">
        <f t="shared" si="4"/>
        <v>0</v>
      </c>
      <c r="M1165" s="88">
        <f t="shared" si="5"/>
        <v>0</v>
      </c>
    </row>
    <row r="1166" ht="14.25" customHeight="1">
      <c r="A1166" s="49" t="s">
        <v>4085</v>
      </c>
      <c r="B1166" s="49" t="str">
        <f>IFERROR(__xludf.DUMMYFUNCTION("REGEXEXTRACT(A1166,""^cost\.(.*)\.[^.]+\.[^.]+$"")"),"tech.workshop.explosive_mechanical_spider")</f>
        <v>tech.workshop.explosive_mechanical_spider</v>
      </c>
      <c r="C1166" s="49" t="str">
        <f t="array" ref="C1166">_xlfn.XLOOKUP(
 B1166,
 tblTargets[TargetID],
 tblTargets[DisplayName],
 ""
)</f>
        <v>Workshop - Explosive Mechanical Spider</v>
      </c>
      <c r="D1166" s="49" t="str">
        <f t="array" ref="D1166">_xlfn.XLOOKUP(
 B1166,
 tblTargets[TargetID],
 tblTargets[TargetType],
 ""
)</f>
        <v>TECH</v>
      </c>
      <c r="E1166" s="49" t="s">
        <v>6</v>
      </c>
      <c r="F1166" s="87">
        <f>IFERROR(__xludf.DUMMYFUNCTION("VALUE(REGEXEXTRACT(A1166,""([^.]+)$""))"),1.0)</f>
        <v>1</v>
      </c>
      <c r="G1166" s="49">
        <v>2.0</v>
      </c>
      <c r="H1166" s="26" t="b">
        <f>COUNTIFS(
 tblCostChecklist[RequirementID],A1166,
 tblCostChecklist[PlayerPaid],TRUE
)&gt;0</f>
        <v>0</v>
      </c>
      <c r="I1166" s="49">
        <f t="shared" si="1"/>
        <v>6</v>
      </c>
      <c r="J1166" s="49">
        <f t="shared" si="2"/>
        <v>0</v>
      </c>
      <c r="K1166" s="49">
        <f t="shared" si="3"/>
        <v>6</v>
      </c>
      <c r="L1166" s="49" t="b">
        <f t="shared" si="4"/>
        <v>0</v>
      </c>
      <c r="M1166" s="88">
        <f t="shared" si="5"/>
        <v>0</v>
      </c>
    </row>
    <row r="1167" ht="14.25" customHeight="1">
      <c r="A1167" s="49" t="s">
        <v>4088</v>
      </c>
      <c r="B1167" s="49" t="str">
        <f>IFERROR(__xludf.DUMMYFUNCTION("REGEXEXTRACT(A1167,""^cost\.(.*)\.[^.]+\.[^.]+$"")"),"tech.workshop.steamobile")</f>
        <v>tech.workshop.steamobile</v>
      </c>
      <c r="C1167" s="49" t="str">
        <f t="array" ref="C1167">_xlfn.XLOOKUP(
 B1167,
 tblTargets[TargetID],
 tblTargets[DisplayName],
 ""
)</f>
        <v>Workshop - Steamobile</v>
      </c>
      <c r="D1167" s="49" t="str">
        <f t="array" ref="D1167">_xlfn.XLOOKUP(
 B1167,
 tblTargets[TargetID],
 tblTargets[TargetType],
 ""
)</f>
        <v>TECH</v>
      </c>
      <c r="E1167" s="49" t="s">
        <v>1055</v>
      </c>
      <c r="F1167" s="87">
        <f>IFERROR(__xludf.DUMMYFUNCTION("VALUE(REGEXEXTRACT(A1167,""([^.]+)$""))"),1.0)</f>
        <v>1</v>
      </c>
      <c r="G1167" s="49">
        <v>30.0</v>
      </c>
      <c r="H1167" s="26" t="b">
        <f>COUNTIFS(
 tblCostChecklist[RequirementID],A1167,
 tblCostChecklist[PlayerPaid],TRUE
)&gt;0</f>
        <v>0</v>
      </c>
      <c r="I1167" s="49">
        <f t="shared" si="1"/>
        <v>5</v>
      </c>
      <c r="J1167" s="49">
        <f t="shared" si="2"/>
        <v>0</v>
      </c>
      <c r="K1167" s="49">
        <f t="shared" si="3"/>
        <v>5</v>
      </c>
      <c r="L1167" s="49" t="b">
        <f t="shared" si="4"/>
        <v>0</v>
      </c>
      <c r="M1167" s="88">
        <f t="shared" si="5"/>
        <v>0</v>
      </c>
    </row>
    <row r="1168" ht="14.25" customHeight="1">
      <c r="A1168" s="49" t="s">
        <v>4091</v>
      </c>
      <c r="B1168" s="49" t="str">
        <f>IFERROR(__xludf.DUMMYFUNCTION("REGEXEXTRACT(A1168,""^cost\.(.*)\.[^.]+\.[^.]+$"")"),"tech.workshop.steamobile")</f>
        <v>tech.workshop.steamobile</v>
      </c>
      <c r="C1168" s="49" t="str">
        <f t="array" ref="C1168">_xlfn.XLOOKUP(
 B1168,
 tblTargets[TargetID],
 tblTargets[DisplayName],
 ""
)</f>
        <v>Workshop - Steamobile</v>
      </c>
      <c r="D1168" s="49" t="str">
        <f t="array" ref="D1168">_xlfn.XLOOKUP(
 B1168,
 tblTargets[TargetID],
 tblTargets[TargetType],
 ""
)</f>
        <v>TECH</v>
      </c>
      <c r="E1168" s="49" t="s">
        <v>119</v>
      </c>
      <c r="F1168" s="87">
        <f>IFERROR(__xludf.DUMMYFUNCTION("VALUE(REGEXEXTRACT(A1168,""([^.]+)$""))"),1.0)</f>
        <v>1</v>
      </c>
      <c r="G1168" s="49">
        <v>1500.0</v>
      </c>
      <c r="H1168" s="26" t="b">
        <f>COUNTIFS(
 tblCostChecklist[RequirementID],A1168,
 tblCostChecklist[PlayerPaid],TRUE
)&gt;0</f>
        <v>0</v>
      </c>
      <c r="I1168" s="49">
        <f t="shared" si="1"/>
        <v>5</v>
      </c>
      <c r="J1168" s="49">
        <f t="shared" si="2"/>
        <v>0</v>
      </c>
      <c r="K1168" s="49">
        <f t="shared" si="3"/>
        <v>5</v>
      </c>
      <c r="L1168" s="49" t="b">
        <f t="shared" si="4"/>
        <v>0</v>
      </c>
      <c r="M1168" s="88">
        <f t="shared" si="5"/>
        <v>0</v>
      </c>
    </row>
    <row r="1169" ht="14.25" customHeight="1">
      <c r="A1169" s="49" t="s">
        <v>4094</v>
      </c>
      <c r="B1169" s="49" t="str">
        <f>IFERROR(__xludf.DUMMYFUNCTION("REGEXEXTRACT(A1169,""^cost\.(.*)\.[^.]+\.[^.]+$"")"),"tech.workshop.steamobile")</f>
        <v>tech.workshop.steamobile</v>
      </c>
      <c r="C1169" s="49" t="str">
        <f t="array" ref="C1169">_xlfn.XLOOKUP(
 B1169,
 tblTargets[TargetID],
 tblTargets[DisplayName],
 ""
)</f>
        <v>Workshop - Steamobile</v>
      </c>
      <c r="D1169" s="49" t="str">
        <f t="array" ref="D1169">_xlfn.XLOOKUP(
 B1169,
 tblTargets[TargetID],
 tblTargets[TargetType],
 ""
)</f>
        <v>TECH</v>
      </c>
      <c r="E1169" s="49" t="s">
        <v>1078</v>
      </c>
      <c r="F1169" s="87">
        <f>IFERROR(__xludf.DUMMYFUNCTION("VALUE(REGEXEXTRACT(A1169,""([^.]+)$""))"),1.0)</f>
        <v>1</v>
      </c>
      <c r="G1169" s="49">
        <v>15.0</v>
      </c>
      <c r="H1169" s="26" t="b">
        <f>COUNTIFS(
 tblCostChecklist[RequirementID],A1169,
 tblCostChecklist[PlayerPaid],TRUE
)&gt;0</f>
        <v>0</v>
      </c>
      <c r="I1169" s="49">
        <f t="shared" si="1"/>
        <v>5</v>
      </c>
      <c r="J1169" s="49">
        <f t="shared" si="2"/>
        <v>0</v>
      </c>
      <c r="K1169" s="49">
        <f t="shared" si="3"/>
        <v>5</v>
      </c>
      <c r="L1169" s="49" t="b">
        <f t="shared" si="4"/>
        <v>0</v>
      </c>
      <c r="M1169" s="88">
        <f t="shared" si="5"/>
        <v>0</v>
      </c>
    </row>
    <row r="1170" ht="14.25" customHeight="1">
      <c r="A1170" s="49" t="s">
        <v>4096</v>
      </c>
      <c r="B1170" s="49" t="str">
        <f>IFERROR(__xludf.DUMMYFUNCTION("REGEXEXTRACT(A1170,""^cost\.(.*)\.[^.]+\.[^.]+$"")"),"tech.workshop.steamobile")</f>
        <v>tech.workshop.steamobile</v>
      </c>
      <c r="C1170" s="49" t="str">
        <f t="array" ref="C1170">_xlfn.XLOOKUP(
 B1170,
 tblTargets[TargetID],
 tblTargets[DisplayName],
 ""
)</f>
        <v>Workshop - Steamobile</v>
      </c>
      <c r="D1170" s="49" t="str">
        <f t="array" ref="D1170">_xlfn.XLOOKUP(
 B1170,
 tblTargets[TargetID],
 tblTargets[TargetType],
 ""
)</f>
        <v>TECH</v>
      </c>
      <c r="E1170" s="49" t="s">
        <v>2135</v>
      </c>
      <c r="F1170" s="87">
        <f>IFERROR(__xludf.DUMMYFUNCTION("VALUE(REGEXEXTRACT(A1170,""([^.]+)$""))"),1.0)</f>
        <v>1</v>
      </c>
      <c r="G1170" s="49">
        <v>30.0</v>
      </c>
      <c r="H1170" s="26" t="b">
        <f>COUNTIFS(
 tblCostChecklist[RequirementID],A1170,
 tblCostChecklist[PlayerPaid],TRUE
)&gt;0</f>
        <v>0</v>
      </c>
      <c r="I1170" s="49">
        <f t="shared" si="1"/>
        <v>5</v>
      </c>
      <c r="J1170" s="49">
        <f t="shared" si="2"/>
        <v>0</v>
      </c>
      <c r="K1170" s="49">
        <f t="shared" si="3"/>
        <v>5</v>
      </c>
      <c r="L1170" s="49" t="b">
        <f t="shared" si="4"/>
        <v>0</v>
      </c>
      <c r="M1170" s="88">
        <f t="shared" si="5"/>
        <v>0</v>
      </c>
    </row>
    <row r="1171" ht="14.25" customHeight="1">
      <c r="A1171" s="49" t="s">
        <v>4098</v>
      </c>
      <c r="B1171" s="49" t="str">
        <f>IFERROR(__xludf.DUMMYFUNCTION("REGEXEXTRACT(A1171,""^cost\.(.*)\.[^.]+\.[^.]+$"")"),"tech.workshop.steamobile")</f>
        <v>tech.workshop.steamobile</v>
      </c>
      <c r="C1171" s="49" t="str">
        <f t="array" ref="C1171">_xlfn.XLOOKUP(
 B1171,
 tblTargets[TargetID],
 tblTargets[DisplayName],
 ""
)</f>
        <v>Workshop - Steamobile</v>
      </c>
      <c r="D1171" s="49" t="str">
        <f t="array" ref="D1171">_xlfn.XLOOKUP(
 B1171,
 tblTargets[TargetID],
 tblTargets[TargetType],
 ""
)</f>
        <v>TECH</v>
      </c>
      <c r="E1171" s="49" t="s">
        <v>6</v>
      </c>
      <c r="F1171" s="87">
        <f>IFERROR(__xludf.DUMMYFUNCTION("VALUE(REGEXEXTRACT(A1171,""([^.]+)$""))"),1.0)</f>
        <v>1</v>
      </c>
      <c r="G1171" s="49">
        <v>7.0</v>
      </c>
      <c r="H1171" s="26" t="b">
        <f>COUNTIFS(
 tblCostChecklist[RequirementID],A1171,
 tblCostChecklist[PlayerPaid],TRUE
)&gt;0</f>
        <v>0</v>
      </c>
      <c r="I1171" s="49">
        <f t="shared" si="1"/>
        <v>5</v>
      </c>
      <c r="J1171" s="49">
        <f t="shared" si="2"/>
        <v>0</v>
      </c>
      <c r="K1171" s="49">
        <f t="shared" si="3"/>
        <v>5</v>
      </c>
      <c r="L1171" s="49" t="b">
        <f t="shared" si="4"/>
        <v>0</v>
      </c>
      <c r="M1171" s="88">
        <f t="shared" si="5"/>
        <v>0</v>
      </c>
    </row>
    <row r="1172" ht="14.25" customHeight="1">
      <c r="A1172" s="49" t="s">
        <v>4101</v>
      </c>
      <c r="B1172" s="49" t="str">
        <f>IFERROR(__xludf.DUMMYFUNCTION("REGEXEXTRACT(A1172,""^cost\.(.*)\.[^.]+\.[^.]+$"")"),"tech.workshop.zen_fountain")</f>
        <v>tech.workshop.zen_fountain</v>
      </c>
      <c r="C1172" s="49" t="str">
        <f t="array" ref="C1172">_xlfn.XLOOKUP(
 B1172,
 tblTargets[TargetID],
 tblTargets[DisplayName],
 ""
)</f>
        <v>Workshop - Zen Fountain</v>
      </c>
      <c r="D1172" s="49" t="str">
        <f t="array" ref="D1172">_xlfn.XLOOKUP(
 B1172,
 tblTargets[TargetID],
 tblTargets[TargetType],
 ""
)</f>
        <v>TECH</v>
      </c>
      <c r="E1172" s="49" t="s">
        <v>520</v>
      </c>
      <c r="F1172" s="87">
        <f>IFERROR(__xludf.DUMMYFUNCTION("VALUE(REGEXEXTRACT(A1172,""([^.]+)$""))"),1.0)</f>
        <v>1</v>
      </c>
      <c r="G1172" s="49">
        <v>30.0</v>
      </c>
      <c r="H1172" s="26" t="b">
        <f>COUNTIFS(
 tblCostChecklist[RequirementID],A1172,
 tblCostChecklist[PlayerPaid],TRUE
)&gt;0</f>
        <v>0</v>
      </c>
      <c r="I1172" s="49">
        <f t="shared" si="1"/>
        <v>6</v>
      </c>
      <c r="J1172" s="49">
        <f t="shared" si="2"/>
        <v>0</v>
      </c>
      <c r="K1172" s="49">
        <f t="shared" si="3"/>
        <v>6</v>
      </c>
      <c r="L1172" s="49" t="b">
        <f t="shared" si="4"/>
        <v>0</v>
      </c>
      <c r="M1172" s="88">
        <f t="shared" si="5"/>
        <v>0</v>
      </c>
    </row>
    <row r="1173" ht="14.25" customHeight="1">
      <c r="A1173" s="49" t="s">
        <v>4105</v>
      </c>
      <c r="B1173" s="49" t="str">
        <f>IFERROR(__xludf.DUMMYFUNCTION("REGEXEXTRACT(A1173,""^cost\.(.*)\.[^.]+\.[^.]+$"")"),"tech.workshop.zen_fountain")</f>
        <v>tech.workshop.zen_fountain</v>
      </c>
      <c r="C1173" s="49" t="str">
        <f t="array" ref="C1173">_xlfn.XLOOKUP(
 B1173,
 tblTargets[TargetID],
 tblTargets[DisplayName],
 ""
)</f>
        <v>Workshop - Zen Fountain</v>
      </c>
      <c r="D1173" s="49" t="str">
        <f t="array" ref="D1173">_xlfn.XLOOKUP(
 B1173,
 tblTargets[TargetID],
 tblTargets[TargetType],
 ""
)</f>
        <v>TECH</v>
      </c>
      <c r="E1173" s="49" t="s">
        <v>119</v>
      </c>
      <c r="F1173" s="87">
        <f>IFERROR(__xludf.DUMMYFUNCTION("VALUE(REGEXEXTRACT(A1173,""([^.]+)$""))"),1.0)</f>
        <v>1</v>
      </c>
      <c r="G1173" s="49">
        <v>1000.0</v>
      </c>
      <c r="H1173" s="26" t="b">
        <f>COUNTIFS(
 tblCostChecklist[RequirementID],A1173,
 tblCostChecklist[PlayerPaid],TRUE
)&gt;0</f>
        <v>0</v>
      </c>
      <c r="I1173" s="49">
        <f t="shared" si="1"/>
        <v>6</v>
      </c>
      <c r="J1173" s="49">
        <f t="shared" si="2"/>
        <v>0</v>
      </c>
      <c r="K1173" s="49">
        <f t="shared" si="3"/>
        <v>6</v>
      </c>
      <c r="L1173" s="49" t="b">
        <f t="shared" si="4"/>
        <v>0</v>
      </c>
      <c r="M1173" s="88">
        <f t="shared" si="5"/>
        <v>0</v>
      </c>
    </row>
    <row r="1174" ht="14.25" customHeight="1">
      <c r="A1174" s="49" t="s">
        <v>4106</v>
      </c>
      <c r="B1174" s="49" t="str">
        <f>IFERROR(__xludf.DUMMYFUNCTION("REGEXEXTRACT(A1174,""^cost\.(.*)\.[^.]+\.[^.]+$"")"),"tech.workshop.zen_fountain")</f>
        <v>tech.workshop.zen_fountain</v>
      </c>
      <c r="C1174" s="49" t="str">
        <f t="array" ref="C1174">_xlfn.XLOOKUP(
 B1174,
 tblTargets[TargetID],
 tblTargets[DisplayName],
 ""
)</f>
        <v>Workshop - Zen Fountain</v>
      </c>
      <c r="D1174" s="49" t="str">
        <f t="array" ref="D1174">_xlfn.XLOOKUP(
 B1174,
 tblTargets[TargetID],
 tblTargets[TargetType],
 ""
)</f>
        <v>TECH</v>
      </c>
      <c r="E1174" s="49" t="s">
        <v>530</v>
      </c>
      <c r="F1174" s="87">
        <f>IFERROR(__xludf.DUMMYFUNCTION("VALUE(REGEXEXTRACT(A1174,""([^.]+)$""))"),1.0)</f>
        <v>1</v>
      </c>
      <c r="G1174" s="49">
        <v>10.0</v>
      </c>
      <c r="H1174" s="26" t="b">
        <f>COUNTIFS(
 tblCostChecklist[RequirementID],A1174,
 tblCostChecklist[PlayerPaid],TRUE
)&gt;0</f>
        <v>0</v>
      </c>
      <c r="I1174" s="49">
        <f t="shared" si="1"/>
        <v>6</v>
      </c>
      <c r="J1174" s="49">
        <f t="shared" si="2"/>
        <v>0</v>
      </c>
      <c r="K1174" s="49">
        <f t="shared" si="3"/>
        <v>6</v>
      </c>
      <c r="L1174" s="49" t="b">
        <f t="shared" si="4"/>
        <v>0</v>
      </c>
      <c r="M1174" s="88">
        <f t="shared" si="5"/>
        <v>0</v>
      </c>
    </row>
    <row r="1175" ht="14.25" customHeight="1">
      <c r="A1175" s="49" t="s">
        <v>4109</v>
      </c>
      <c r="B1175" s="49" t="str">
        <f>IFERROR(__xludf.DUMMYFUNCTION("REGEXEXTRACT(A1175,""^cost\.(.*)\.[^.]+\.[^.]+$"")"),"tech.workshop.zen_fountain")</f>
        <v>tech.workshop.zen_fountain</v>
      </c>
      <c r="C1175" s="49" t="str">
        <f t="array" ref="C1175">_xlfn.XLOOKUP(
 B1175,
 tblTargets[TargetID],
 tblTargets[DisplayName],
 ""
)</f>
        <v>Workshop - Zen Fountain</v>
      </c>
      <c r="D1175" s="49" t="str">
        <f t="array" ref="D1175">_xlfn.XLOOKUP(
 B1175,
 tblTargets[TargetID],
 tblTargets[TargetType],
 ""
)</f>
        <v>TECH</v>
      </c>
      <c r="E1175" s="49" t="s">
        <v>6</v>
      </c>
      <c r="F1175" s="87">
        <f>IFERROR(__xludf.DUMMYFUNCTION("VALUE(REGEXEXTRACT(A1175,""([^.]+)$""))"),1.0)</f>
        <v>1</v>
      </c>
      <c r="G1175" s="49">
        <v>5.0</v>
      </c>
      <c r="H1175" s="26" t="b">
        <f>COUNTIFS(
 tblCostChecklist[RequirementID],A1175,
 tblCostChecklist[PlayerPaid],TRUE
)&gt;0</f>
        <v>0</v>
      </c>
      <c r="I1175" s="49">
        <f t="shared" si="1"/>
        <v>6</v>
      </c>
      <c r="J1175" s="49">
        <f t="shared" si="2"/>
        <v>0</v>
      </c>
      <c r="K1175" s="49">
        <f t="shared" si="3"/>
        <v>6</v>
      </c>
      <c r="L1175" s="49" t="b">
        <f t="shared" si="4"/>
        <v>0</v>
      </c>
      <c r="M1175" s="88">
        <f t="shared" si="5"/>
        <v>0</v>
      </c>
    </row>
    <row r="1176" ht="14.25" customHeight="1">
      <c r="A1176" s="49" t="s">
        <v>4113</v>
      </c>
      <c r="B1176" s="49" t="str">
        <f>IFERROR(__xludf.DUMMYFUNCTION("REGEXEXTRACT(A1176,""^cost\.(.*)\.[^.]+\.[^.]+$"")"),"tech.workshop.zen_fountain")</f>
        <v>tech.workshop.zen_fountain</v>
      </c>
      <c r="C1176" s="49" t="str">
        <f t="array" ref="C1176">_xlfn.XLOOKUP(
 B1176,
 tblTargets[TargetID],
 tblTargets[DisplayName],
 ""
)</f>
        <v>Workshop - Zen Fountain</v>
      </c>
      <c r="D1176" s="49" t="str">
        <f t="array" ref="D1176">_xlfn.XLOOKUP(
 B1176,
 tblTargets[TargetID],
 tblTargets[TargetType],
 ""
)</f>
        <v>TECH</v>
      </c>
      <c r="E1176" s="49" t="s">
        <v>237</v>
      </c>
      <c r="F1176" s="87">
        <f>IFERROR(__xludf.DUMMYFUNCTION("VALUE(REGEXEXTRACT(A1176,""([^.]+)$""))"),1.0)</f>
        <v>1</v>
      </c>
      <c r="G1176" s="49">
        <v>100.0</v>
      </c>
      <c r="H1176" s="26" t="b">
        <f>COUNTIFS(
 tblCostChecklist[RequirementID],A1176,
 tblCostChecklist[PlayerPaid],TRUE
)&gt;0</f>
        <v>0</v>
      </c>
      <c r="I1176" s="49">
        <f t="shared" si="1"/>
        <v>6</v>
      </c>
      <c r="J1176" s="49">
        <f t="shared" si="2"/>
        <v>0</v>
      </c>
      <c r="K1176" s="49">
        <f t="shared" si="3"/>
        <v>6</v>
      </c>
      <c r="L1176" s="49" t="b">
        <f t="shared" si="4"/>
        <v>0</v>
      </c>
      <c r="M1176" s="88">
        <f t="shared" si="5"/>
        <v>0</v>
      </c>
    </row>
    <row r="1177" ht="14.25" customHeight="1">
      <c r="A1177" s="49" t="s">
        <v>4115</v>
      </c>
      <c r="B1177" s="49" t="str">
        <f>IFERROR(__xludf.DUMMYFUNCTION("REGEXEXTRACT(A1177,""^cost\.(.*)\.[^.]+\.[^.]+$"")"),"tech.workshop.zen_fountain")</f>
        <v>tech.workshop.zen_fountain</v>
      </c>
      <c r="C1177" s="49" t="str">
        <f t="array" ref="C1177">_xlfn.XLOOKUP(
 B1177,
 tblTargets[TargetID],
 tblTargets[DisplayName],
 ""
)</f>
        <v>Workshop - Zen Fountain</v>
      </c>
      <c r="D1177" s="49" t="str">
        <f t="array" ref="D1177">_xlfn.XLOOKUP(
 B1177,
 tblTargets[TargetID],
 tblTargets[TargetType],
 ""
)</f>
        <v>TECH</v>
      </c>
      <c r="E1177" s="49" t="s">
        <v>158</v>
      </c>
      <c r="F1177" s="87">
        <f>IFERROR(__xludf.DUMMYFUNCTION("VALUE(REGEXEXTRACT(A1177,""([^.]+)$""))"),1.0)</f>
        <v>1</v>
      </c>
      <c r="G1177" s="49">
        <v>20.0</v>
      </c>
      <c r="H1177" s="26" t="b">
        <f>COUNTIFS(
 tblCostChecklist[RequirementID],A1177,
 tblCostChecklist[PlayerPaid],TRUE
)&gt;0</f>
        <v>0</v>
      </c>
      <c r="I1177" s="49">
        <f t="shared" si="1"/>
        <v>6</v>
      </c>
      <c r="J1177" s="49">
        <f t="shared" si="2"/>
        <v>0</v>
      </c>
      <c r="K1177" s="49">
        <f t="shared" si="3"/>
        <v>6</v>
      </c>
      <c r="L1177" s="49" t="b">
        <f t="shared" si="4"/>
        <v>0</v>
      </c>
      <c r="M1177" s="88">
        <f t="shared" si="5"/>
        <v>0</v>
      </c>
    </row>
    <row r="1178" ht="14.25" customHeight="1">
      <c r="A1178" s="49" t="s">
        <v>4120</v>
      </c>
      <c r="B1178" s="49" t="str">
        <f>IFERROR(__xludf.DUMMYFUNCTION("REGEXEXTRACT(A1178,""^cost\.(.*)\.[^.]+\.[^.]+$"")"),"tech.workshop.conveyor_lvl_1")</f>
        <v>tech.workshop.conveyor_lvl_1</v>
      </c>
      <c r="C1178" s="49" t="str">
        <f t="array" ref="C1178">_xlfn.XLOOKUP(
 B1178,
 tblTargets[TargetID],
 tblTargets[DisplayName],
 ""
)</f>
        <v>Workshop - Conveyor Lvl 1</v>
      </c>
      <c r="D1178" s="49" t="str">
        <f t="array" ref="D1178">_xlfn.XLOOKUP(
 B1178,
 tblTargets[TargetID],
 tblTargets[TargetType],
 ""
)</f>
        <v>TECH</v>
      </c>
      <c r="E1178" s="49" t="s">
        <v>1055</v>
      </c>
      <c r="F1178" s="87">
        <f>IFERROR(__xludf.DUMMYFUNCTION("VALUE(REGEXEXTRACT(A1178,""([^.]+)$""))"),1.0)</f>
        <v>1</v>
      </c>
      <c r="G1178" s="49">
        <v>20.0</v>
      </c>
      <c r="H1178" s="26" t="b">
        <f>COUNTIFS(
 tblCostChecklist[RequirementID],A1178,
 tblCostChecklist[PlayerPaid],TRUE
)&gt;0</f>
        <v>0</v>
      </c>
      <c r="I1178" s="49">
        <f t="shared" si="1"/>
        <v>6</v>
      </c>
      <c r="J1178" s="49">
        <f t="shared" si="2"/>
        <v>0</v>
      </c>
      <c r="K1178" s="49">
        <f t="shared" si="3"/>
        <v>6</v>
      </c>
      <c r="L1178" s="49" t="b">
        <f t="shared" si="4"/>
        <v>0</v>
      </c>
      <c r="M1178" s="88">
        <f t="shared" si="5"/>
        <v>0</v>
      </c>
    </row>
    <row r="1179" ht="14.25" customHeight="1">
      <c r="A1179" s="49" t="s">
        <v>4127</v>
      </c>
      <c r="B1179" s="49" t="str">
        <f>IFERROR(__xludf.DUMMYFUNCTION("REGEXEXTRACT(A1179,""^cost\.(.*)\.[^.]+\.[^.]+$"")"),"tech.workshop.conveyor_lvl_1")</f>
        <v>tech.workshop.conveyor_lvl_1</v>
      </c>
      <c r="C1179" s="49" t="str">
        <f t="array" ref="C1179">_xlfn.XLOOKUP(
 B1179,
 tblTargets[TargetID],
 tblTargets[DisplayName],
 ""
)</f>
        <v>Workshop - Conveyor Lvl 1</v>
      </c>
      <c r="D1179" s="49" t="str">
        <f t="array" ref="D1179">_xlfn.XLOOKUP(
 B1179,
 tblTargets[TargetID],
 tblTargets[TargetType],
 ""
)</f>
        <v>TECH</v>
      </c>
      <c r="E1179" s="49" t="s">
        <v>119</v>
      </c>
      <c r="F1179" s="87">
        <f>IFERROR(__xludf.DUMMYFUNCTION("VALUE(REGEXEXTRACT(A1179,""([^.]+)$""))"),1.0)</f>
        <v>1</v>
      </c>
      <c r="G1179" s="49">
        <v>1000.0</v>
      </c>
      <c r="H1179" s="26" t="b">
        <f>COUNTIFS(
 tblCostChecklist[RequirementID],A1179,
 tblCostChecklist[PlayerPaid],TRUE
)&gt;0</f>
        <v>0</v>
      </c>
      <c r="I1179" s="49">
        <f t="shared" si="1"/>
        <v>6</v>
      </c>
      <c r="J1179" s="49">
        <f t="shared" si="2"/>
        <v>0</v>
      </c>
      <c r="K1179" s="49">
        <f t="shared" si="3"/>
        <v>6</v>
      </c>
      <c r="L1179" s="49" t="b">
        <f t="shared" si="4"/>
        <v>0</v>
      </c>
      <c r="M1179" s="88">
        <f t="shared" si="5"/>
        <v>0</v>
      </c>
    </row>
    <row r="1180" ht="14.25" customHeight="1">
      <c r="A1180" s="49" t="s">
        <v>4131</v>
      </c>
      <c r="B1180" s="49" t="str">
        <f>IFERROR(__xludf.DUMMYFUNCTION("REGEXEXTRACT(A1180,""^cost\.(.*)\.[^.]+\.[^.]+$"")"),"tech.workshop.conveyor_lvl_1")</f>
        <v>tech.workshop.conveyor_lvl_1</v>
      </c>
      <c r="C1180" s="49" t="str">
        <f t="array" ref="C1180">_xlfn.XLOOKUP(
 B1180,
 tblTargets[TargetID],
 tblTargets[DisplayName],
 ""
)</f>
        <v>Workshop - Conveyor Lvl 1</v>
      </c>
      <c r="D1180" s="49" t="str">
        <f t="array" ref="D1180">_xlfn.XLOOKUP(
 B1180,
 tblTargets[TargetID],
 tblTargets[TargetType],
 ""
)</f>
        <v>TECH</v>
      </c>
      <c r="E1180" s="49" t="s">
        <v>2964</v>
      </c>
      <c r="F1180" s="87">
        <f>IFERROR(__xludf.DUMMYFUNCTION("VALUE(REGEXEXTRACT(A1180,""([^.]+)$""))"),1.0)</f>
        <v>1</v>
      </c>
      <c r="G1180" s="49">
        <v>50.0</v>
      </c>
      <c r="H1180" s="26" t="b">
        <f>COUNTIFS(
 tblCostChecklist[RequirementID],A1180,
 tblCostChecklist[PlayerPaid],TRUE
)&gt;0</f>
        <v>0</v>
      </c>
      <c r="I1180" s="49">
        <f t="shared" si="1"/>
        <v>6</v>
      </c>
      <c r="J1180" s="49">
        <f t="shared" si="2"/>
        <v>0</v>
      </c>
      <c r="K1180" s="49">
        <f t="shared" si="3"/>
        <v>6</v>
      </c>
      <c r="L1180" s="49" t="b">
        <f t="shared" si="4"/>
        <v>0</v>
      </c>
      <c r="M1180" s="88">
        <f t="shared" si="5"/>
        <v>0</v>
      </c>
    </row>
    <row r="1181" ht="14.25" customHeight="1">
      <c r="A1181" s="49" t="s">
        <v>4135</v>
      </c>
      <c r="B1181" s="49" t="str">
        <f>IFERROR(__xludf.DUMMYFUNCTION("REGEXEXTRACT(A1181,""^cost\.(.*)\.[^.]+\.[^.]+$"")"),"tech.workshop.conveyor_lvl_1")</f>
        <v>tech.workshop.conveyor_lvl_1</v>
      </c>
      <c r="C1181" s="49" t="str">
        <f t="array" ref="C1181">_xlfn.XLOOKUP(
 B1181,
 tblTargets[TargetID],
 tblTargets[DisplayName],
 ""
)</f>
        <v>Workshop - Conveyor Lvl 1</v>
      </c>
      <c r="D1181" s="49" t="str">
        <f t="array" ref="D1181">_xlfn.XLOOKUP(
 B1181,
 tblTargets[TargetID],
 tblTargets[TargetType],
 ""
)</f>
        <v>TECH</v>
      </c>
      <c r="E1181" s="49" t="s">
        <v>1078</v>
      </c>
      <c r="F1181" s="87">
        <f>IFERROR(__xludf.DUMMYFUNCTION("VALUE(REGEXEXTRACT(A1181,""([^.]+)$""))"),1.0)</f>
        <v>1</v>
      </c>
      <c r="G1181" s="49">
        <v>10.0</v>
      </c>
      <c r="H1181" s="26" t="b">
        <f>COUNTIFS(
 tblCostChecklist[RequirementID],A1181,
 tblCostChecklist[PlayerPaid],TRUE
)&gt;0</f>
        <v>0</v>
      </c>
      <c r="I1181" s="49">
        <f t="shared" si="1"/>
        <v>6</v>
      </c>
      <c r="J1181" s="49">
        <f t="shared" si="2"/>
        <v>0</v>
      </c>
      <c r="K1181" s="49">
        <f t="shared" si="3"/>
        <v>6</v>
      </c>
      <c r="L1181" s="49" t="b">
        <f t="shared" si="4"/>
        <v>0</v>
      </c>
      <c r="M1181" s="88">
        <f t="shared" si="5"/>
        <v>0</v>
      </c>
    </row>
    <row r="1182" ht="14.25" customHeight="1">
      <c r="A1182" s="49" t="s">
        <v>4139</v>
      </c>
      <c r="B1182" s="49" t="str">
        <f>IFERROR(__xludf.DUMMYFUNCTION("REGEXEXTRACT(A1182,""^cost\.(.*)\.[^.]+\.[^.]+$"")"),"tech.workshop.conveyor_lvl_1")</f>
        <v>tech.workshop.conveyor_lvl_1</v>
      </c>
      <c r="C1182" s="49" t="str">
        <f t="array" ref="C1182">_xlfn.XLOOKUP(
 B1182,
 tblTargets[TargetID],
 tblTargets[DisplayName],
 ""
)</f>
        <v>Workshop - Conveyor Lvl 1</v>
      </c>
      <c r="D1182" s="49" t="str">
        <f t="array" ref="D1182">_xlfn.XLOOKUP(
 B1182,
 tblTargets[TargetID],
 tblTargets[TargetType],
 ""
)</f>
        <v>TECH</v>
      </c>
      <c r="E1182" s="49" t="s">
        <v>2135</v>
      </c>
      <c r="F1182" s="87">
        <f>IFERROR(__xludf.DUMMYFUNCTION("VALUE(REGEXEXTRACT(A1182,""([^.]+)$""))"),1.0)</f>
        <v>1</v>
      </c>
      <c r="G1182" s="49">
        <v>20.0</v>
      </c>
      <c r="H1182" s="26" t="b">
        <f>COUNTIFS(
 tblCostChecklist[RequirementID],A1182,
 tblCostChecklist[PlayerPaid],TRUE
)&gt;0</f>
        <v>0</v>
      </c>
      <c r="I1182" s="49">
        <f t="shared" si="1"/>
        <v>6</v>
      </c>
      <c r="J1182" s="49">
        <f t="shared" si="2"/>
        <v>0</v>
      </c>
      <c r="K1182" s="49">
        <f t="shared" si="3"/>
        <v>6</v>
      </c>
      <c r="L1182" s="49" t="b">
        <f t="shared" si="4"/>
        <v>0</v>
      </c>
      <c r="M1182" s="88">
        <f t="shared" si="5"/>
        <v>0</v>
      </c>
    </row>
    <row r="1183" ht="14.25" customHeight="1">
      <c r="A1183" s="49" t="s">
        <v>4142</v>
      </c>
      <c r="B1183" s="49" t="str">
        <f>IFERROR(__xludf.DUMMYFUNCTION("REGEXEXTRACT(A1183,""^cost\.(.*)\.[^.]+\.[^.]+$"")"),"tech.workshop.conveyor_lvl_1")</f>
        <v>tech.workshop.conveyor_lvl_1</v>
      </c>
      <c r="C1183" s="49" t="str">
        <f t="array" ref="C1183">_xlfn.XLOOKUP(
 B1183,
 tblTargets[TargetID],
 tblTargets[DisplayName],
 ""
)</f>
        <v>Workshop - Conveyor Lvl 1</v>
      </c>
      <c r="D1183" s="49" t="str">
        <f t="array" ref="D1183">_xlfn.XLOOKUP(
 B1183,
 tblTargets[TargetID],
 tblTargets[TargetType],
 ""
)</f>
        <v>TECH</v>
      </c>
      <c r="E1183" s="49" t="s">
        <v>6</v>
      </c>
      <c r="F1183" s="87">
        <f>IFERROR(__xludf.DUMMYFUNCTION("VALUE(REGEXEXTRACT(A1183,""([^.]+)$""))"),1.0)</f>
        <v>1</v>
      </c>
      <c r="G1183" s="49">
        <v>3.0</v>
      </c>
      <c r="H1183" s="26" t="b">
        <f>COUNTIFS(
 tblCostChecklist[RequirementID],A1183,
 tblCostChecklist[PlayerPaid],TRUE
)&gt;0</f>
        <v>0</v>
      </c>
      <c r="I1183" s="49">
        <f t="shared" si="1"/>
        <v>6</v>
      </c>
      <c r="J1183" s="49">
        <f t="shared" si="2"/>
        <v>0</v>
      </c>
      <c r="K1183" s="49">
        <f t="shared" si="3"/>
        <v>6</v>
      </c>
      <c r="L1183" s="49" t="b">
        <f t="shared" si="4"/>
        <v>0</v>
      </c>
      <c r="M1183" s="88">
        <f t="shared" si="5"/>
        <v>0</v>
      </c>
    </row>
    <row r="1184" ht="14.25" customHeight="1">
      <c r="A1184" s="49" t="s">
        <v>4147</v>
      </c>
      <c r="B1184" s="49" t="str">
        <f>IFERROR(__xludf.DUMMYFUNCTION("REGEXEXTRACT(A1184,""^cost\.(.*)\.[^.]+\.[^.]+$"")"),"tech.workshop.conveyor_lvl_2")</f>
        <v>tech.workshop.conveyor_lvl_2</v>
      </c>
      <c r="C1184" s="49" t="str">
        <f t="array" ref="C1184">_xlfn.XLOOKUP(
 B1184,
 tblTargets[TargetID],
 tblTargets[DisplayName],
 ""
)</f>
        <v>Workshop - Conveyor Lvl 2</v>
      </c>
      <c r="D1184" s="49" t="str">
        <f t="array" ref="D1184">_xlfn.XLOOKUP(
 B1184,
 tblTargets[TargetID],
 tblTargets[TargetType],
 ""
)</f>
        <v>TECH</v>
      </c>
      <c r="E1184" s="49" t="s">
        <v>1055</v>
      </c>
      <c r="F1184" s="87">
        <f>IFERROR(__xludf.DUMMYFUNCTION("VALUE(REGEXEXTRACT(A1184,""([^.]+)$""))"),1.0)</f>
        <v>1</v>
      </c>
      <c r="G1184" s="49">
        <v>30.0</v>
      </c>
      <c r="H1184" s="26" t="b">
        <f>COUNTIFS(
 tblCostChecklist[RequirementID],A1184,
 tblCostChecklist[PlayerPaid],TRUE
)&gt;0</f>
        <v>0</v>
      </c>
      <c r="I1184" s="49">
        <f t="shared" si="1"/>
        <v>6</v>
      </c>
      <c r="J1184" s="49">
        <f t="shared" si="2"/>
        <v>0</v>
      </c>
      <c r="K1184" s="49">
        <f t="shared" si="3"/>
        <v>6</v>
      </c>
      <c r="L1184" s="49" t="b">
        <f t="shared" si="4"/>
        <v>0</v>
      </c>
      <c r="M1184" s="88">
        <f t="shared" si="5"/>
        <v>0</v>
      </c>
    </row>
    <row r="1185" ht="14.25" customHeight="1">
      <c r="A1185" s="49" t="s">
        <v>4151</v>
      </c>
      <c r="B1185" s="49" t="str">
        <f>IFERROR(__xludf.DUMMYFUNCTION("REGEXEXTRACT(A1185,""^cost\.(.*)\.[^.]+\.[^.]+$"")"),"tech.workshop.conveyor_lvl_2")</f>
        <v>tech.workshop.conveyor_lvl_2</v>
      </c>
      <c r="C1185" s="49" t="str">
        <f t="array" ref="C1185">_xlfn.XLOOKUP(
 B1185,
 tblTargets[TargetID],
 tblTargets[DisplayName],
 ""
)</f>
        <v>Workshop - Conveyor Lvl 2</v>
      </c>
      <c r="D1185" s="49" t="str">
        <f t="array" ref="D1185">_xlfn.XLOOKUP(
 B1185,
 tblTargets[TargetID],
 tblTargets[TargetType],
 ""
)</f>
        <v>TECH</v>
      </c>
      <c r="E1185" s="49" t="s">
        <v>119</v>
      </c>
      <c r="F1185" s="87">
        <f>IFERROR(__xludf.DUMMYFUNCTION("VALUE(REGEXEXTRACT(A1185,""([^.]+)$""))"),1.0)</f>
        <v>1</v>
      </c>
      <c r="G1185" s="49">
        <v>1500.0</v>
      </c>
      <c r="H1185" s="26" t="b">
        <f>COUNTIFS(
 tblCostChecklist[RequirementID],A1185,
 tblCostChecklist[PlayerPaid],TRUE
)&gt;0</f>
        <v>0</v>
      </c>
      <c r="I1185" s="49">
        <f t="shared" si="1"/>
        <v>6</v>
      </c>
      <c r="J1185" s="49">
        <f t="shared" si="2"/>
        <v>0</v>
      </c>
      <c r="K1185" s="49">
        <f t="shared" si="3"/>
        <v>6</v>
      </c>
      <c r="L1185" s="49" t="b">
        <f t="shared" si="4"/>
        <v>0</v>
      </c>
      <c r="M1185" s="88">
        <f t="shared" si="5"/>
        <v>0</v>
      </c>
    </row>
    <row r="1186" ht="14.25" customHeight="1">
      <c r="A1186" s="49" t="s">
        <v>4155</v>
      </c>
      <c r="B1186" s="49" t="str">
        <f>IFERROR(__xludf.DUMMYFUNCTION("REGEXEXTRACT(A1186,""^cost\.(.*)\.[^.]+\.[^.]+$"")"),"tech.workshop.conveyor_lvl_2")</f>
        <v>tech.workshop.conveyor_lvl_2</v>
      </c>
      <c r="C1186" s="49" t="str">
        <f t="array" ref="C1186">_xlfn.XLOOKUP(
 B1186,
 tblTargets[TargetID],
 tblTargets[DisplayName],
 ""
)</f>
        <v>Workshop - Conveyor Lvl 2</v>
      </c>
      <c r="D1186" s="49" t="str">
        <f t="array" ref="D1186">_xlfn.XLOOKUP(
 B1186,
 tblTargets[TargetID],
 tblTargets[TargetType],
 ""
)</f>
        <v>TECH</v>
      </c>
      <c r="E1186" s="49" t="s">
        <v>2964</v>
      </c>
      <c r="F1186" s="87">
        <f>IFERROR(__xludf.DUMMYFUNCTION("VALUE(REGEXEXTRACT(A1186,""([^.]+)$""))"),1.0)</f>
        <v>1</v>
      </c>
      <c r="G1186" s="49">
        <v>75.0</v>
      </c>
      <c r="H1186" s="26" t="b">
        <f>COUNTIFS(
 tblCostChecklist[RequirementID],A1186,
 tblCostChecklist[PlayerPaid],TRUE
)&gt;0</f>
        <v>0</v>
      </c>
      <c r="I1186" s="49">
        <f t="shared" si="1"/>
        <v>6</v>
      </c>
      <c r="J1186" s="49">
        <f t="shared" si="2"/>
        <v>0</v>
      </c>
      <c r="K1186" s="49">
        <f t="shared" si="3"/>
        <v>6</v>
      </c>
      <c r="L1186" s="49" t="b">
        <f t="shared" si="4"/>
        <v>0</v>
      </c>
      <c r="M1186" s="88">
        <f t="shared" si="5"/>
        <v>0</v>
      </c>
    </row>
    <row r="1187" ht="14.25" customHeight="1">
      <c r="A1187" s="49" t="s">
        <v>4165</v>
      </c>
      <c r="B1187" s="49" t="str">
        <f>IFERROR(__xludf.DUMMYFUNCTION("REGEXEXTRACT(A1187,""^cost\.(.*)\.[^.]+\.[^.]+$"")"),"tech.workshop.conveyor_lvl_2")</f>
        <v>tech.workshop.conveyor_lvl_2</v>
      </c>
      <c r="C1187" s="49" t="str">
        <f t="array" ref="C1187">_xlfn.XLOOKUP(
 B1187,
 tblTargets[TargetID],
 tblTargets[DisplayName],
 ""
)</f>
        <v>Workshop - Conveyor Lvl 2</v>
      </c>
      <c r="D1187" s="49" t="str">
        <f t="array" ref="D1187">_xlfn.XLOOKUP(
 B1187,
 tblTargets[TargetID],
 tblTargets[TargetType],
 ""
)</f>
        <v>TECH</v>
      </c>
      <c r="E1187" s="49" t="s">
        <v>1078</v>
      </c>
      <c r="F1187" s="87">
        <f>IFERROR(__xludf.DUMMYFUNCTION("VALUE(REGEXEXTRACT(A1187,""([^.]+)$""))"),1.0)</f>
        <v>1</v>
      </c>
      <c r="G1187" s="49">
        <v>15.0</v>
      </c>
      <c r="H1187" s="26" t="b">
        <f>COUNTIFS(
 tblCostChecklist[RequirementID],A1187,
 tblCostChecklist[PlayerPaid],TRUE
)&gt;0</f>
        <v>0</v>
      </c>
      <c r="I1187" s="49">
        <f t="shared" si="1"/>
        <v>6</v>
      </c>
      <c r="J1187" s="49">
        <f t="shared" si="2"/>
        <v>0</v>
      </c>
      <c r="K1187" s="49">
        <f t="shared" si="3"/>
        <v>6</v>
      </c>
      <c r="L1187" s="49" t="b">
        <f t="shared" si="4"/>
        <v>0</v>
      </c>
      <c r="M1187" s="88">
        <f t="shared" si="5"/>
        <v>0</v>
      </c>
    </row>
    <row r="1188" ht="14.25" customHeight="1">
      <c r="A1188" s="49" t="s">
        <v>4169</v>
      </c>
      <c r="B1188" s="49" t="str">
        <f>IFERROR(__xludf.DUMMYFUNCTION("REGEXEXTRACT(A1188,""^cost\.(.*)\.[^.]+\.[^.]+$"")"),"tech.workshop.conveyor_lvl_2")</f>
        <v>tech.workshop.conveyor_lvl_2</v>
      </c>
      <c r="C1188" s="49" t="str">
        <f t="array" ref="C1188">_xlfn.XLOOKUP(
 B1188,
 tblTargets[TargetID],
 tblTargets[DisplayName],
 ""
)</f>
        <v>Workshop - Conveyor Lvl 2</v>
      </c>
      <c r="D1188" s="49" t="str">
        <f t="array" ref="D1188">_xlfn.XLOOKUP(
 B1188,
 tblTargets[TargetID],
 tblTargets[TargetType],
 ""
)</f>
        <v>TECH</v>
      </c>
      <c r="E1188" s="49" t="s">
        <v>2135</v>
      </c>
      <c r="F1188" s="87">
        <f>IFERROR(__xludf.DUMMYFUNCTION("VALUE(REGEXEXTRACT(A1188,""([^.]+)$""))"),1.0)</f>
        <v>1</v>
      </c>
      <c r="G1188" s="49">
        <v>30.0</v>
      </c>
      <c r="H1188" s="26" t="b">
        <f>COUNTIFS(
 tblCostChecklist[RequirementID],A1188,
 tblCostChecklist[PlayerPaid],TRUE
)&gt;0</f>
        <v>0</v>
      </c>
      <c r="I1188" s="49">
        <f t="shared" si="1"/>
        <v>6</v>
      </c>
      <c r="J1188" s="49">
        <f t="shared" si="2"/>
        <v>0</v>
      </c>
      <c r="K1188" s="49">
        <f t="shared" si="3"/>
        <v>6</v>
      </c>
      <c r="L1188" s="49" t="b">
        <f t="shared" si="4"/>
        <v>0</v>
      </c>
      <c r="M1188" s="88">
        <f t="shared" si="5"/>
        <v>0</v>
      </c>
    </row>
    <row r="1189" ht="14.25" customHeight="1">
      <c r="A1189" s="49" t="s">
        <v>4174</v>
      </c>
      <c r="B1189" s="49" t="str">
        <f>IFERROR(__xludf.DUMMYFUNCTION("REGEXEXTRACT(A1189,""^cost\.(.*)\.[^.]+\.[^.]+$"")"),"tech.workshop.conveyor_lvl_2")</f>
        <v>tech.workshop.conveyor_lvl_2</v>
      </c>
      <c r="C1189" s="49" t="str">
        <f t="array" ref="C1189">_xlfn.XLOOKUP(
 B1189,
 tblTargets[TargetID],
 tblTargets[DisplayName],
 ""
)</f>
        <v>Workshop - Conveyor Lvl 2</v>
      </c>
      <c r="D1189" s="49" t="str">
        <f t="array" ref="D1189">_xlfn.XLOOKUP(
 B1189,
 tblTargets[TargetID],
 tblTargets[TargetType],
 ""
)</f>
        <v>TECH</v>
      </c>
      <c r="E1189" s="49" t="s">
        <v>6</v>
      </c>
      <c r="F1189" s="87">
        <f>IFERROR(__xludf.DUMMYFUNCTION("VALUE(REGEXEXTRACT(A1189,""([^.]+)$""))"),1.0)</f>
        <v>1</v>
      </c>
      <c r="G1189" s="49">
        <v>5.0</v>
      </c>
      <c r="H1189" s="26" t="b">
        <f>COUNTIFS(
 tblCostChecklist[RequirementID],A1189,
 tblCostChecklist[PlayerPaid],TRUE
)&gt;0</f>
        <v>0</v>
      </c>
      <c r="I1189" s="49">
        <f t="shared" si="1"/>
        <v>6</v>
      </c>
      <c r="J1189" s="49">
        <f t="shared" si="2"/>
        <v>0</v>
      </c>
      <c r="K1189" s="49">
        <f t="shared" si="3"/>
        <v>6</v>
      </c>
      <c r="L1189" s="49" t="b">
        <f t="shared" si="4"/>
        <v>0</v>
      </c>
      <c r="M1189" s="88">
        <f t="shared" si="5"/>
        <v>0</v>
      </c>
    </row>
    <row r="1190" ht="14.25" customHeight="1">
      <c r="A1190" s="49" t="s">
        <v>3604</v>
      </c>
      <c r="B1190" s="49" t="str">
        <f>IFERROR(__xludf.DUMMYFUNCTION("REGEXEXTRACT(A1190,""^cost\.(.*)\.[^.]+\.[^.]+$"")"),"tech.alchemists_hut.perfect_fertilizer")</f>
        <v>tech.alchemists_hut.perfect_fertilizer</v>
      </c>
      <c r="C1190" s="49" t="str">
        <f t="array" ref="C1190">_xlfn.XLOOKUP(
 B1190,
 tblTargets[TargetID],
 tblTargets[DisplayName],
 ""
)</f>
        <v>Alchemist's Hut - Perfect Fertilizer</v>
      </c>
      <c r="D1190" s="49" t="str">
        <f t="array" ref="D1190">_xlfn.XLOOKUP(
 B1190,
 tblTargets[TargetID],
 tblTargets[TargetType],
 ""
)</f>
        <v>TECH</v>
      </c>
      <c r="E1190" s="49" t="s">
        <v>6</v>
      </c>
      <c r="F1190" s="87">
        <f>IFERROR(__xludf.DUMMYFUNCTION("VALUE(REGEXEXTRACT(A1190,""([^.]+)$""))"),1.0)</f>
        <v>1</v>
      </c>
      <c r="G1190" s="49">
        <v>5.0</v>
      </c>
      <c r="H1190" s="26" t="b">
        <f>COUNTIFS(
 tblCostChecklist[RequirementID],A1190,
 tblCostChecklist[PlayerPaid],TRUE
)&gt;0</f>
        <v>0</v>
      </c>
      <c r="I1190" s="49">
        <f t="shared" si="1"/>
        <v>9</v>
      </c>
      <c r="J1190" s="49">
        <f t="shared" si="2"/>
        <v>0</v>
      </c>
      <c r="K1190" s="49">
        <f t="shared" si="3"/>
        <v>9</v>
      </c>
      <c r="L1190" s="49" t="b">
        <f t="shared" si="4"/>
        <v>0</v>
      </c>
      <c r="M1190" s="88">
        <f t="shared" si="5"/>
        <v>0</v>
      </c>
    </row>
    <row r="1191" ht="14.25" customHeight="1">
      <c r="A1191" s="49" t="s">
        <v>3582</v>
      </c>
      <c r="B1191" s="49" t="str">
        <f>IFERROR(__xludf.DUMMYFUNCTION("REGEXEXTRACT(A1191,""^cost\.(.*)\.[^.]+\.[^.]+$"")"),"tech.alchemists_hut.perfect_fertilizer")</f>
        <v>tech.alchemists_hut.perfect_fertilizer</v>
      </c>
      <c r="C1191" s="49" t="str">
        <f t="array" ref="C1191">_xlfn.XLOOKUP(
 B1191,
 tblTargets[TargetID],
 tblTargets[DisplayName],
 ""
)</f>
        <v>Alchemist's Hut - Perfect Fertilizer</v>
      </c>
      <c r="D1191" s="49" t="str">
        <f t="array" ref="D1191">_xlfn.XLOOKUP(
 B1191,
 tblTargets[TargetID],
 tblTargets[TargetType],
 ""
)</f>
        <v>TECH</v>
      </c>
      <c r="E1191" s="49" t="s">
        <v>119</v>
      </c>
      <c r="F1191" s="87">
        <f>IFERROR(__xludf.DUMMYFUNCTION("VALUE(REGEXEXTRACT(A1191,""([^.]+)$""))"),1.0)</f>
        <v>1</v>
      </c>
      <c r="G1191" s="49">
        <v>1000.0</v>
      </c>
      <c r="H1191" s="26" t="b">
        <f>COUNTIFS(
 tblCostChecklist[RequirementID],A1191,
 tblCostChecklist[PlayerPaid],TRUE
)&gt;0</f>
        <v>0</v>
      </c>
      <c r="I1191" s="49">
        <f t="shared" si="1"/>
        <v>9</v>
      </c>
      <c r="J1191" s="49">
        <f t="shared" si="2"/>
        <v>0</v>
      </c>
      <c r="K1191" s="49">
        <f t="shared" si="3"/>
        <v>9</v>
      </c>
      <c r="L1191" s="49" t="b">
        <f t="shared" si="4"/>
        <v>0</v>
      </c>
      <c r="M1191" s="88">
        <f t="shared" si="5"/>
        <v>0</v>
      </c>
    </row>
    <row r="1192" ht="14.25" customHeight="1">
      <c r="A1192" s="49" t="s">
        <v>3609</v>
      </c>
      <c r="B1192" s="49" t="str">
        <f>IFERROR(__xludf.DUMMYFUNCTION("REGEXEXTRACT(A1192,""^cost\.(.*)\.[^.]+\.[^.]+$"")"),"tech.alchemists_hut.perfect_fertilizer")</f>
        <v>tech.alchemists_hut.perfect_fertilizer</v>
      </c>
      <c r="C1192" s="49" t="str">
        <f t="array" ref="C1192">_xlfn.XLOOKUP(
 B1192,
 tblTargets[TargetID],
 tblTargets[DisplayName],
 ""
)</f>
        <v>Alchemist's Hut - Perfect Fertilizer</v>
      </c>
      <c r="D1192" s="49" t="str">
        <f t="array" ref="D1192">_xlfn.XLOOKUP(
 B1192,
 tblTargets[TargetID],
 tblTargets[TargetType],
 ""
)</f>
        <v>TECH</v>
      </c>
      <c r="E1192" s="49" t="s">
        <v>3612</v>
      </c>
      <c r="F1192" s="87">
        <f>IFERROR(__xludf.DUMMYFUNCTION("VALUE(REGEXEXTRACT(A1192,""([^.]+)$""))"),1.0)</f>
        <v>1</v>
      </c>
      <c r="G1192" s="49">
        <v>50.0</v>
      </c>
      <c r="H1192" s="26" t="b">
        <f>COUNTIFS(
 tblCostChecklist[RequirementID],A1192,
 tblCostChecklist[PlayerPaid],TRUE
)&gt;0</f>
        <v>0</v>
      </c>
      <c r="I1192" s="49">
        <f t="shared" si="1"/>
        <v>9</v>
      </c>
      <c r="J1192" s="49">
        <f t="shared" si="2"/>
        <v>0</v>
      </c>
      <c r="K1192" s="49">
        <f t="shared" si="3"/>
        <v>9</v>
      </c>
      <c r="L1192" s="49" t="b">
        <f t="shared" si="4"/>
        <v>0</v>
      </c>
      <c r="M1192" s="88">
        <f t="shared" si="5"/>
        <v>0</v>
      </c>
    </row>
    <row r="1193" ht="14.25" customHeight="1">
      <c r="A1193" s="49" t="s">
        <v>3562</v>
      </c>
      <c r="B1193" s="49" t="str">
        <f>IFERROR(__xludf.DUMMYFUNCTION("REGEXEXTRACT(A1193,""^cost\.(.*)\.[^.]+\.[^.]+$"")"),"tech.alchemists_hut.perfect_fertilizer")</f>
        <v>tech.alchemists_hut.perfect_fertilizer</v>
      </c>
      <c r="C1193" s="49" t="str">
        <f t="array" ref="C1193">_xlfn.XLOOKUP(
 B1193,
 tblTargets[TargetID],
 tblTargets[DisplayName],
 ""
)</f>
        <v>Alchemist's Hut - Perfect Fertilizer</v>
      </c>
      <c r="D1193" s="49" t="str">
        <f t="array" ref="D1193">_xlfn.XLOOKUP(
 B1193,
 tblTargets[TargetID],
 tblTargets[TargetType],
 ""
)</f>
        <v>TECH</v>
      </c>
      <c r="E1193" s="49" t="s">
        <v>3565</v>
      </c>
      <c r="F1193" s="87">
        <f>IFERROR(__xludf.DUMMYFUNCTION("VALUE(REGEXEXTRACT(A1193,""([^.]+)$""))"),1.0)</f>
        <v>1</v>
      </c>
      <c r="G1193" s="49">
        <v>30.0</v>
      </c>
      <c r="H1193" s="26" t="b">
        <f>COUNTIFS(
 tblCostChecklist[RequirementID],A1193,
 tblCostChecklist[PlayerPaid],TRUE
)&gt;0</f>
        <v>0</v>
      </c>
      <c r="I1193" s="49">
        <f t="shared" si="1"/>
        <v>9</v>
      </c>
      <c r="J1193" s="49">
        <f t="shared" si="2"/>
        <v>0</v>
      </c>
      <c r="K1193" s="49">
        <f t="shared" si="3"/>
        <v>9</v>
      </c>
      <c r="L1193" s="49" t="b">
        <f t="shared" si="4"/>
        <v>0</v>
      </c>
      <c r="M1193" s="88">
        <f t="shared" si="5"/>
        <v>0</v>
      </c>
    </row>
    <row r="1194" ht="14.25" customHeight="1">
      <c r="A1194" s="49" t="s">
        <v>3577</v>
      </c>
      <c r="B1194" s="49" t="str">
        <f>IFERROR(__xludf.DUMMYFUNCTION("REGEXEXTRACT(A1194,""^cost\.(.*)\.[^.]+\.[^.]+$"")"),"tech.alchemists_hut.perfect_fertilizer")</f>
        <v>tech.alchemists_hut.perfect_fertilizer</v>
      </c>
      <c r="C1194" s="49" t="str">
        <f t="array" ref="C1194">_xlfn.XLOOKUP(
 B1194,
 tblTargets[TargetID],
 tblTargets[DisplayName],
 ""
)</f>
        <v>Alchemist's Hut - Perfect Fertilizer</v>
      </c>
      <c r="D1194" s="49" t="str">
        <f t="array" ref="D1194">_xlfn.XLOOKUP(
 B1194,
 tblTargets[TargetID],
 tblTargets[TargetType],
 ""
)</f>
        <v>TECH</v>
      </c>
      <c r="E1194" s="49" t="s">
        <v>113</v>
      </c>
      <c r="F1194" s="87">
        <f>IFERROR(__xludf.DUMMYFUNCTION("VALUE(REGEXEXTRACT(A1194,""([^.]+)$""))"),1.0)</f>
        <v>1</v>
      </c>
      <c r="G1194" s="49">
        <v>100.0</v>
      </c>
      <c r="H1194" s="26" t="b">
        <f>COUNTIFS(
 tblCostChecklist[RequirementID],A1194,
 tblCostChecklist[PlayerPaid],TRUE
)&gt;0</f>
        <v>0</v>
      </c>
      <c r="I1194" s="49">
        <f t="shared" si="1"/>
        <v>9</v>
      </c>
      <c r="J1194" s="49">
        <f t="shared" si="2"/>
        <v>0</v>
      </c>
      <c r="K1194" s="49">
        <f t="shared" si="3"/>
        <v>9</v>
      </c>
      <c r="L1194" s="49" t="b">
        <f t="shared" si="4"/>
        <v>0</v>
      </c>
      <c r="M1194" s="88">
        <f t="shared" si="5"/>
        <v>0</v>
      </c>
    </row>
    <row r="1195" ht="14.25" customHeight="1">
      <c r="A1195" s="49" t="s">
        <v>3595</v>
      </c>
      <c r="B1195" s="49" t="str">
        <f>IFERROR(__xludf.DUMMYFUNCTION("REGEXEXTRACT(A1195,""^cost\.(.*)\.[^.]+\.[^.]+$"")"),"tech.alchemists_hut.perfect_fertilizer")</f>
        <v>tech.alchemists_hut.perfect_fertilizer</v>
      </c>
      <c r="C1195" s="49" t="str">
        <f t="array" ref="C1195">_xlfn.XLOOKUP(
 B1195,
 tblTargets[TargetID],
 tblTargets[DisplayName],
 ""
)</f>
        <v>Alchemist's Hut - Perfect Fertilizer</v>
      </c>
      <c r="D1195" s="49" t="str">
        <f t="array" ref="D1195">_xlfn.XLOOKUP(
 B1195,
 tblTargets[TargetID],
 tblTargets[TargetType],
 ""
)</f>
        <v>TECH</v>
      </c>
      <c r="E1195" s="49" t="s">
        <v>140</v>
      </c>
      <c r="F1195" s="87">
        <f>IFERROR(__xludf.DUMMYFUNCTION("VALUE(REGEXEXTRACT(A1195,""([^.]+)$""))"),1.0)</f>
        <v>1</v>
      </c>
      <c r="G1195" s="49">
        <v>20.0</v>
      </c>
      <c r="H1195" s="26" t="b">
        <f>COUNTIFS(
 tblCostChecklist[RequirementID],A1195,
 tblCostChecklist[PlayerPaid],TRUE
)&gt;0</f>
        <v>0</v>
      </c>
      <c r="I1195" s="49">
        <f t="shared" si="1"/>
        <v>9</v>
      </c>
      <c r="J1195" s="49">
        <f t="shared" si="2"/>
        <v>0</v>
      </c>
      <c r="K1195" s="49">
        <f t="shared" si="3"/>
        <v>9</v>
      </c>
      <c r="L1195" s="49" t="b">
        <f t="shared" si="4"/>
        <v>0</v>
      </c>
      <c r="M1195" s="88">
        <f t="shared" si="5"/>
        <v>0</v>
      </c>
    </row>
    <row r="1196" ht="14.25" customHeight="1">
      <c r="A1196" s="49" t="s">
        <v>3570</v>
      </c>
      <c r="B1196" s="49" t="str">
        <f>IFERROR(__xludf.DUMMYFUNCTION("REGEXEXTRACT(A1196,""^cost\.(.*)\.[^.]+\.[^.]+$"")"),"tech.alchemists_hut.perfect_fertilizer")</f>
        <v>tech.alchemists_hut.perfect_fertilizer</v>
      </c>
      <c r="C1196" s="49" t="str">
        <f t="array" ref="C1196">_xlfn.XLOOKUP(
 B1196,
 tblTargets[TargetID],
 tblTargets[DisplayName],
 ""
)</f>
        <v>Alchemist's Hut - Perfect Fertilizer</v>
      </c>
      <c r="D1196" s="49" t="str">
        <f t="array" ref="D1196">_xlfn.XLOOKUP(
 B1196,
 tblTargets[TargetID],
 tblTargets[TargetType],
 ""
)</f>
        <v>TECH</v>
      </c>
      <c r="E1196" s="49" t="s">
        <v>2297</v>
      </c>
      <c r="F1196" s="87">
        <f>IFERROR(__xludf.DUMMYFUNCTION("VALUE(REGEXEXTRACT(A1196,""([^.]+)$""))"),1.0)</f>
        <v>1</v>
      </c>
      <c r="G1196" s="49">
        <v>20.0</v>
      </c>
      <c r="H1196" s="26" t="b">
        <f>COUNTIFS(
 tblCostChecklist[RequirementID],A1196,
 tblCostChecklist[PlayerPaid],TRUE
)&gt;0</f>
        <v>0</v>
      </c>
      <c r="I1196" s="49">
        <f t="shared" si="1"/>
        <v>9</v>
      </c>
      <c r="J1196" s="49">
        <f t="shared" si="2"/>
        <v>0</v>
      </c>
      <c r="K1196" s="49">
        <f t="shared" si="3"/>
        <v>9</v>
      </c>
      <c r="L1196" s="49" t="b">
        <f t="shared" si="4"/>
        <v>0</v>
      </c>
      <c r="M1196" s="88">
        <f t="shared" si="5"/>
        <v>0</v>
      </c>
    </row>
    <row r="1197" ht="14.25" customHeight="1">
      <c r="A1197" s="49" t="s">
        <v>3556</v>
      </c>
      <c r="B1197" s="49" t="str">
        <f>IFERROR(__xludf.DUMMYFUNCTION("REGEXEXTRACT(A1197,""^cost\.(.*)\.[^.]+\.[^.]+$"")"),"tech.alchemists_hut.perfect_fertilizer")</f>
        <v>tech.alchemists_hut.perfect_fertilizer</v>
      </c>
      <c r="C1197" s="49" t="str">
        <f t="array" ref="C1197">_xlfn.XLOOKUP(
 B1197,
 tblTargets[TargetID],
 tblTargets[DisplayName],
 ""
)</f>
        <v>Alchemist's Hut - Perfect Fertilizer</v>
      </c>
      <c r="D1197" s="49" t="str">
        <f t="array" ref="D1197">_xlfn.XLOOKUP(
 B1197,
 tblTargets[TargetID],
 tblTargets[TargetType],
 ""
)</f>
        <v>TECH</v>
      </c>
      <c r="E1197" s="49" t="s">
        <v>1055</v>
      </c>
      <c r="F1197" s="87">
        <f>IFERROR(__xludf.DUMMYFUNCTION("VALUE(REGEXEXTRACT(A1197,""([^.]+)$""))"),1.0)</f>
        <v>1</v>
      </c>
      <c r="G1197" s="49">
        <v>30.0</v>
      </c>
      <c r="H1197" s="26" t="b">
        <f>COUNTIFS(
 tblCostChecklist[RequirementID],A1197,
 tblCostChecklist[PlayerPaid],TRUE
)&gt;0</f>
        <v>0</v>
      </c>
      <c r="I1197" s="49">
        <f t="shared" si="1"/>
        <v>9</v>
      </c>
      <c r="J1197" s="49">
        <f t="shared" si="2"/>
        <v>0</v>
      </c>
      <c r="K1197" s="49">
        <f t="shared" si="3"/>
        <v>9</v>
      </c>
      <c r="L1197" s="49" t="b">
        <f t="shared" si="4"/>
        <v>0</v>
      </c>
      <c r="M1197" s="88">
        <f t="shared" si="5"/>
        <v>0</v>
      </c>
    </row>
    <row r="1198" ht="14.25" customHeight="1">
      <c r="A1198" s="49" t="s">
        <v>3588</v>
      </c>
      <c r="B1198" s="49" t="str">
        <f>IFERROR(__xludf.DUMMYFUNCTION("REGEXEXTRACT(A1198,""^cost\.(.*)\.[^.]+\.[^.]+$"")"),"tech.alchemists_hut.perfect_fertilizer")</f>
        <v>tech.alchemists_hut.perfect_fertilizer</v>
      </c>
      <c r="C1198" s="49" t="str">
        <f t="array" ref="C1198">_xlfn.XLOOKUP(
 B1198,
 tblTargets[TargetID],
 tblTargets[DisplayName],
 ""
)</f>
        <v>Alchemist's Hut - Perfect Fertilizer</v>
      </c>
      <c r="D1198" s="49" t="str">
        <f t="array" ref="D1198">_xlfn.XLOOKUP(
 B1198,
 tblTargets[TargetID],
 tblTargets[TargetType],
 ""
)</f>
        <v>TECH</v>
      </c>
      <c r="E1198" s="49" t="s">
        <v>3591</v>
      </c>
      <c r="F1198" s="87">
        <f>IFERROR(__xludf.DUMMYFUNCTION("VALUE(REGEXEXTRACT(A1198,""([^.]+)$""))"),1.0)</f>
        <v>1</v>
      </c>
      <c r="G1198" s="49">
        <v>30.0</v>
      </c>
      <c r="H1198" s="26" t="b">
        <f>COUNTIFS(
 tblCostChecklist[RequirementID],A1198,
 tblCostChecklist[PlayerPaid],TRUE
)&gt;0</f>
        <v>0</v>
      </c>
      <c r="I1198" s="49">
        <f t="shared" si="1"/>
        <v>9</v>
      </c>
      <c r="J1198" s="49">
        <f t="shared" si="2"/>
        <v>0</v>
      </c>
      <c r="K1198" s="49">
        <f t="shared" si="3"/>
        <v>9</v>
      </c>
      <c r="L1198" s="49" t="b">
        <f t="shared" si="4"/>
        <v>0</v>
      </c>
      <c r="M1198" s="88">
        <f t="shared" si="5"/>
        <v>0</v>
      </c>
    </row>
    <row r="1199" ht="14.25" customHeight="1">
      <c r="A1199" s="49" t="s">
        <v>4202</v>
      </c>
      <c r="B1199" s="49" t="str">
        <f>IFERROR(__xludf.DUMMYFUNCTION("REGEXEXTRACT(A1199,""^cost\.(.*)\.[^.]+\.[^.]+$"")"),"tech.windmill.bone_meal")</f>
        <v>tech.windmill.bone_meal</v>
      </c>
      <c r="C1199" s="49" t="str">
        <f t="array" ref="C1199">_xlfn.XLOOKUP(
 B1199,
 tblTargets[TargetID],
 tblTargets[DisplayName],
 ""
)</f>
        <v>Windmill -  Bone Meal</v>
      </c>
      <c r="D1199" s="49" t="str">
        <f t="array" ref="D1199">_xlfn.XLOOKUP(
 B1199,
 tblTargets[TargetID],
 tblTargets[TargetType],
 ""
)</f>
        <v>TECH</v>
      </c>
      <c r="E1199" s="49" t="s">
        <v>6</v>
      </c>
      <c r="F1199" s="87">
        <f>IFERROR(__xludf.DUMMYFUNCTION("VALUE(REGEXEXTRACT(A1199,""([^.]+)$""))"),1.0)</f>
        <v>1</v>
      </c>
      <c r="G1199" s="49">
        <v>2.0</v>
      </c>
      <c r="H1199" s="26" t="b">
        <f>COUNTIFS(
 tblCostChecklist[RequirementID],A1199,
 tblCostChecklist[PlayerPaid],TRUE
)&gt;0</f>
        <v>0</v>
      </c>
      <c r="I1199" s="49">
        <f t="shared" si="1"/>
        <v>7</v>
      </c>
      <c r="J1199" s="49">
        <f t="shared" si="2"/>
        <v>0</v>
      </c>
      <c r="K1199" s="49">
        <f t="shared" si="3"/>
        <v>7</v>
      </c>
      <c r="L1199" s="49" t="b">
        <f t="shared" si="4"/>
        <v>0</v>
      </c>
      <c r="M1199" s="88">
        <f t="shared" si="5"/>
        <v>0</v>
      </c>
    </row>
    <row r="1200" ht="14.25" customHeight="1">
      <c r="A1200" s="49" t="s">
        <v>4204</v>
      </c>
      <c r="B1200" s="49" t="str">
        <f>IFERROR(__xludf.DUMMYFUNCTION("REGEXEXTRACT(A1200,""^cost\.(.*)\.[^.]+\.[^.]+$"")"),"tech.windmill.bone_meal")</f>
        <v>tech.windmill.bone_meal</v>
      </c>
      <c r="C1200" s="49" t="str">
        <f t="array" ref="C1200">_xlfn.XLOOKUP(
 B1200,
 tblTargets[TargetID],
 tblTargets[DisplayName],
 ""
)</f>
        <v>Windmill -  Bone Meal</v>
      </c>
      <c r="D1200" s="49" t="str">
        <f t="array" ref="D1200">_xlfn.XLOOKUP(
 B1200,
 tblTargets[TargetID],
 tblTargets[TargetType],
 ""
)</f>
        <v>TECH</v>
      </c>
      <c r="E1200" s="49" t="s">
        <v>119</v>
      </c>
      <c r="F1200" s="87">
        <f>IFERROR(__xludf.DUMMYFUNCTION("VALUE(REGEXEXTRACT(A1200,""([^.]+)$""))"),1.0)</f>
        <v>1</v>
      </c>
      <c r="G1200" s="49">
        <v>400.0</v>
      </c>
      <c r="H1200" s="26" t="b">
        <f>COUNTIFS(
 tblCostChecklist[RequirementID],A1200,
 tblCostChecklist[PlayerPaid],TRUE
)&gt;0</f>
        <v>0</v>
      </c>
      <c r="I1200" s="49">
        <f t="shared" si="1"/>
        <v>7</v>
      </c>
      <c r="J1200" s="49">
        <f t="shared" si="2"/>
        <v>0</v>
      </c>
      <c r="K1200" s="49">
        <f t="shared" si="3"/>
        <v>7</v>
      </c>
      <c r="L1200" s="49" t="b">
        <f t="shared" si="4"/>
        <v>0</v>
      </c>
      <c r="M1200" s="88">
        <f t="shared" si="5"/>
        <v>0</v>
      </c>
    </row>
    <row r="1201" ht="14.25" customHeight="1">
      <c r="A1201" s="49" t="s">
        <v>4209</v>
      </c>
      <c r="B1201" s="49" t="str">
        <f>IFERROR(__xludf.DUMMYFUNCTION("REGEXEXTRACT(A1201,""^cost\.(.*)\.[^.]+\.[^.]+$"")"),"tech.windmill.bone_meal")</f>
        <v>tech.windmill.bone_meal</v>
      </c>
      <c r="C1201" s="49" t="str">
        <f t="array" ref="C1201">_xlfn.XLOOKUP(
 B1201,
 tblTargets[TargetID],
 tblTargets[DisplayName],
 ""
)</f>
        <v>Windmill -  Bone Meal</v>
      </c>
      <c r="D1201" s="49" t="str">
        <f t="array" ref="D1201">_xlfn.XLOOKUP(
 B1201,
 tblTargets[TargetID],
 tblTargets[TargetType],
 ""
)</f>
        <v>TECH</v>
      </c>
      <c r="E1201" s="49" t="s">
        <v>237</v>
      </c>
      <c r="F1201" s="87">
        <f>IFERROR(__xludf.DUMMYFUNCTION("VALUE(REGEXEXTRACT(A1201,""([^.]+)$""))"),1.0)</f>
        <v>1</v>
      </c>
      <c r="G1201" s="49">
        <v>100.0</v>
      </c>
      <c r="H1201" s="26" t="b">
        <f>COUNTIFS(
 tblCostChecklist[RequirementID],A1201,
 tblCostChecklist[PlayerPaid],TRUE
)&gt;0</f>
        <v>0</v>
      </c>
      <c r="I1201" s="49">
        <f t="shared" si="1"/>
        <v>7</v>
      </c>
      <c r="J1201" s="49">
        <f t="shared" si="2"/>
        <v>0</v>
      </c>
      <c r="K1201" s="49">
        <f t="shared" si="3"/>
        <v>7</v>
      </c>
      <c r="L1201" s="49" t="b">
        <f t="shared" si="4"/>
        <v>0</v>
      </c>
      <c r="M1201" s="88">
        <f t="shared" si="5"/>
        <v>0</v>
      </c>
    </row>
    <row r="1202" ht="14.25" customHeight="1">
      <c r="A1202" s="49" t="s">
        <v>4213</v>
      </c>
      <c r="B1202" s="49" t="str">
        <f>IFERROR(__xludf.DUMMYFUNCTION("REGEXEXTRACT(A1202,""^cost\.(.*)\.[^.]+\.[^.]+$"")"),"tech.windmill.bone_meal")</f>
        <v>tech.windmill.bone_meal</v>
      </c>
      <c r="C1202" s="49" t="str">
        <f t="array" ref="C1202">_xlfn.XLOOKUP(
 B1202,
 tblTargets[TargetID],
 tblTargets[DisplayName],
 ""
)</f>
        <v>Windmill -  Bone Meal</v>
      </c>
      <c r="D1202" s="49" t="str">
        <f t="array" ref="D1202">_xlfn.XLOOKUP(
 B1202,
 tblTargets[TargetID],
 tblTargets[TargetType],
 ""
)</f>
        <v>TECH</v>
      </c>
      <c r="E1202" s="49" t="s">
        <v>4214</v>
      </c>
      <c r="F1202" s="87">
        <f>IFERROR(__xludf.DUMMYFUNCTION("VALUE(REGEXEXTRACT(A1202,""([^.]+)$""))"),1.0)</f>
        <v>1</v>
      </c>
      <c r="G1202" s="49">
        <v>20.0</v>
      </c>
      <c r="H1202" s="26" t="b">
        <f>COUNTIFS(
 tblCostChecklist[RequirementID],A1202,
 tblCostChecklist[PlayerPaid],TRUE
)&gt;0</f>
        <v>0</v>
      </c>
      <c r="I1202" s="49">
        <f t="shared" si="1"/>
        <v>7</v>
      </c>
      <c r="J1202" s="49">
        <f t="shared" si="2"/>
        <v>0</v>
      </c>
      <c r="K1202" s="49">
        <f t="shared" si="3"/>
        <v>7</v>
      </c>
      <c r="L1202" s="49" t="b">
        <f t="shared" si="4"/>
        <v>0</v>
      </c>
      <c r="M1202" s="88">
        <f t="shared" si="5"/>
        <v>0</v>
      </c>
    </row>
    <row r="1203" ht="14.25" customHeight="1">
      <c r="A1203" s="49" t="s">
        <v>4218</v>
      </c>
      <c r="B1203" s="49" t="str">
        <f>IFERROR(__xludf.DUMMYFUNCTION("REGEXEXTRACT(A1203,""^cost\.(.*)\.[^.]+\.[^.]+$"")"),"tech.windmill.bone_meal")</f>
        <v>tech.windmill.bone_meal</v>
      </c>
      <c r="C1203" s="49" t="str">
        <f t="array" ref="C1203">_xlfn.XLOOKUP(
 B1203,
 tblTargets[TargetID],
 tblTargets[DisplayName],
 ""
)</f>
        <v>Windmill -  Bone Meal</v>
      </c>
      <c r="D1203" s="49" t="str">
        <f t="array" ref="D1203">_xlfn.XLOOKUP(
 B1203,
 tblTargets[TargetID],
 tblTargets[TargetType],
 ""
)</f>
        <v>TECH</v>
      </c>
      <c r="E1203" s="49" t="s">
        <v>2318</v>
      </c>
      <c r="F1203" s="87">
        <f>IFERROR(__xludf.DUMMYFUNCTION("VALUE(REGEXEXTRACT(A1203,""([^.]+)$""))"),1.0)</f>
        <v>1</v>
      </c>
      <c r="G1203" s="49">
        <v>40.0</v>
      </c>
      <c r="H1203" s="26" t="b">
        <f>COUNTIFS(
 tblCostChecklist[RequirementID],A1203,
 tblCostChecklist[PlayerPaid],TRUE
)&gt;0</f>
        <v>0</v>
      </c>
      <c r="I1203" s="49">
        <f t="shared" si="1"/>
        <v>7</v>
      </c>
      <c r="J1203" s="49">
        <f t="shared" si="2"/>
        <v>0</v>
      </c>
      <c r="K1203" s="49">
        <f t="shared" si="3"/>
        <v>7</v>
      </c>
      <c r="L1203" s="49" t="b">
        <f t="shared" si="4"/>
        <v>0</v>
      </c>
      <c r="M1203" s="88">
        <f t="shared" si="5"/>
        <v>0</v>
      </c>
    </row>
    <row r="1204" ht="14.25" customHeight="1">
      <c r="A1204" s="49" t="s">
        <v>4222</v>
      </c>
      <c r="B1204" s="49" t="str">
        <f>IFERROR(__xludf.DUMMYFUNCTION("REGEXEXTRACT(A1204,""^cost\.(.*)\.[^.]+\.[^.]+$"")"),"tech.windmill.bone_meal")</f>
        <v>tech.windmill.bone_meal</v>
      </c>
      <c r="C1204" s="49" t="str">
        <f t="array" ref="C1204">_xlfn.XLOOKUP(
 B1204,
 tblTargets[TargetID],
 tblTargets[DisplayName],
 ""
)</f>
        <v>Windmill -  Bone Meal</v>
      </c>
      <c r="D1204" s="49" t="str">
        <f t="array" ref="D1204">_xlfn.XLOOKUP(
 B1204,
 tblTargets[TargetID],
 tblTargets[TargetType],
 ""
)</f>
        <v>TECH</v>
      </c>
      <c r="E1204" s="49" t="s">
        <v>4224</v>
      </c>
      <c r="F1204" s="87">
        <f>IFERROR(__xludf.DUMMYFUNCTION("VALUE(REGEXEXTRACT(A1204,""([^.]+)$""))"),1.0)</f>
        <v>1</v>
      </c>
      <c r="G1204" s="49">
        <v>20.0</v>
      </c>
      <c r="H1204" s="26" t="b">
        <f>COUNTIFS(
 tblCostChecklist[RequirementID],A1204,
 tblCostChecklist[PlayerPaid],TRUE
)&gt;0</f>
        <v>0</v>
      </c>
      <c r="I1204" s="49">
        <f t="shared" si="1"/>
        <v>7</v>
      </c>
      <c r="J1204" s="49">
        <f t="shared" si="2"/>
        <v>0</v>
      </c>
      <c r="K1204" s="49">
        <f t="shared" si="3"/>
        <v>7</v>
      </c>
      <c r="L1204" s="49" t="b">
        <f t="shared" si="4"/>
        <v>0</v>
      </c>
      <c r="M1204" s="88">
        <f t="shared" si="5"/>
        <v>0</v>
      </c>
    </row>
    <row r="1205" ht="14.25" customHeight="1">
      <c r="A1205" s="49" t="s">
        <v>4227</v>
      </c>
      <c r="B1205" s="49" t="str">
        <f>IFERROR(__xludf.DUMMYFUNCTION("REGEXEXTRACT(A1205,""^cost\.(.*)\.[^.]+\.[^.]+$"")"),"tech.windmill.bone_meal")</f>
        <v>tech.windmill.bone_meal</v>
      </c>
      <c r="C1205" s="49" t="str">
        <f t="array" ref="C1205">_xlfn.XLOOKUP(
 B1205,
 tblTargets[TargetID],
 tblTargets[DisplayName],
 ""
)</f>
        <v>Windmill -  Bone Meal</v>
      </c>
      <c r="D1205" s="49" t="str">
        <f t="array" ref="D1205">_xlfn.XLOOKUP(
 B1205,
 tblTargets[TargetID],
 tblTargets[TargetType],
 ""
)</f>
        <v>TECH</v>
      </c>
      <c r="E1205" s="49" t="s">
        <v>4228</v>
      </c>
      <c r="F1205" s="87">
        <f>IFERROR(__xludf.DUMMYFUNCTION("VALUE(REGEXEXTRACT(A1205,""([^.]+)$""))"),1.0)</f>
        <v>1</v>
      </c>
      <c r="G1205" s="49">
        <v>15.0</v>
      </c>
      <c r="H1205" s="26" t="b">
        <f>COUNTIFS(
 tblCostChecklist[RequirementID],A1205,
 tblCostChecklist[PlayerPaid],TRUE
)&gt;0</f>
        <v>0</v>
      </c>
      <c r="I1205" s="49">
        <f t="shared" si="1"/>
        <v>7</v>
      </c>
      <c r="J1205" s="49">
        <f t="shared" si="2"/>
        <v>0</v>
      </c>
      <c r="K1205" s="49">
        <f t="shared" si="3"/>
        <v>7</v>
      </c>
      <c r="L1205" s="49" t="b">
        <f t="shared" si="4"/>
        <v>0</v>
      </c>
      <c r="M1205" s="88">
        <f t="shared" si="5"/>
        <v>0</v>
      </c>
    </row>
    <row r="1206" ht="14.25" customHeight="1">
      <c r="A1206" s="49" t="s">
        <v>2208</v>
      </c>
      <c r="B1206" s="49" t="str">
        <f>IFERROR(__xludf.DUMMYFUNCTION("REGEXEXTRACT(A1206,""^cost\.(.*)\.[^.]+\.[^.]+$"")"),"citadel.armory")</f>
        <v>citadel.armory</v>
      </c>
      <c r="C1206" s="49" t="str">
        <f t="array" ref="C1206">_xlfn.XLOOKUP(
 B1206,
 tblTargets[TargetID],
 tblTargets[DisplayName],
 ""
)</f>
        <v>Armory</v>
      </c>
      <c r="D1206" s="49" t="str">
        <f t="array" ref="D1206">_xlfn.XLOOKUP(
 B1206,
 tblTargets[TargetID],
 tblTargets[TargetType],
 ""
)</f>
        <v>CITADEL</v>
      </c>
      <c r="E1206" s="49" t="s">
        <v>278</v>
      </c>
      <c r="F1206" s="87">
        <f>IFERROR(__xludf.DUMMYFUNCTION("VALUE(REGEXEXTRACT(A1206,""([^.]+)$""))"),1.0)</f>
        <v>1</v>
      </c>
      <c r="G1206" s="49">
        <v>500.0</v>
      </c>
      <c r="H1206" s="26" t="b">
        <f>COUNTIFS(
 tblCostChecklist[RequirementID],A1206,
 tblCostChecklist[PlayerPaid],TRUE
)&gt;0</f>
        <v>0</v>
      </c>
      <c r="I1206" s="49">
        <f t="shared" si="1"/>
        <v>6</v>
      </c>
      <c r="J1206" s="49">
        <f t="shared" si="2"/>
        <v>0</v>
      </c>
      <c r="K1206" s="49">
        <f t="shared" si="3"/>
        <v>6</v>
      </c>
      <c r="L1206" s="49" t="b">
        <f t="shared" si="4"/>
        <v>0</v>
      </c>
      <c r="M1206" s="88">
        <f t="shared" si="5"/>
        <v>0</v>
      </c>
    </row>
    <row r="1207" ht="14.25" customHeight="1">
      <c r="A1207" s="49" t="s">
        <v>2209</v>
      </c>
      <c r="B1207" s="49" t="str">
        <f>IFERROR(__xludf.DUMMYFUNCTION("REGEXEXTRACT(A1207,""^cost\.(.*)\.[^.]+\.[^.]+$"")"),"citadel.armory")</f>
        <v>citadel.armory</v>
      </c>
      <c r="C1207" s="49" t="str">
        <f t="array" ref="C1207">_xlfn.XLOOKUP(
 B1207,
 tblTargets[TargetID],
 tblTargets[DisplayName],
 ""
)</f>
        <v>Armory</v>
      </c>
      <c r="D1207" s="49" t="str">
        <f t="array" ref="D1207">_xlfn.XLOOKUP(
 B1207,
 tblTargets[TargetID],
 tblTargets[TargetType],
 ""
)</f>
        <v>CITADEL</v>
      </c>
      <c r="E1207" s="49" t="s">
        <v>119</v>
      </c>
      <c r="F1207" s="87">
        <f>IFERROR(__xludf.DUMMYFUNCTION("VALUE(REGEXEXTRACT(A1207,""([^.]+)$""))"),1.0)</f>
        <v>1</v>
      </c>
      <c r="G1207" s="49">
        <v>500.0</v>
      </c>
      <c r="H1207" s="26" t="b">
        <f>COUNTIFS(
 tblCostChecklist[RequirementID],A1207,
 tblCostChecklist[PlayerPaid],TRUE
)&gt;0</f>
        <v>0</v>
      </c>
      <c r="I1207" s="49">
        <f t="shared" si="1"/>
        <v>6</v>
      </c>
      <c r="J1207" s="49">
        <f t="shared" si="2"/>
        <v>0</v>
      </c>
      <c r="K1207" s="49">
        <f t="shared" si="3"/>
        <v>6</v>
      </c>
      <c r="L1207" s="49" t="b">
        <f t="shared" si="4"/>
        <v>0</v>
      </c>
      <c r="M1207" s="88">
        <f t="shared" si="5"/>
        <v>0</v>
      </c>
    </row>
    <row r="1208" ht="14.25" customHeight="1">
      <c r="A1208" s="49" t="s">
        <v>2210</v>
      </c>
      <c r="B1208" s="49" t="str">
        <f>IFERROR(__xludf.DUMMYFUNCTION("REGEXEXTRACT(A1208,""^cost\.(.*)\.[^.]+\.[^.]+$"")"),"citadel.armory")</f>
        <v>citadel.armory</v>
      </c>
      <c r="C1208" s="49" t="str">
        <f t="array" ref="C1208">_xlfn.XLOOKUP(
 B1208,
 tblTargets[TargetID],
 tblTargets[DisplayName],
 ""
)</f>
        <v>Armory</v>
      </c>
      <c r="D1208" s="49" t="str">
        <f t="array" ref="D1208">_xlfn.XLOOKUP(
 B1208,
 tblTargets[TargetID],
 tblTargets[TargetType],
 ""
)</f>
        <v>CITADEL</v>
      </c>
      <c r="E1208" s="49" t="s">
        <v>132</v>
      </c>
      <c r="F1208" s="87">
        <f>IFERROR(__xludf.DUMMYFUNCTION("VALUE(REGEXEXTRACT(A1208,""([^.]+)$""))"),1.0)</f>
        <v>1</v>
      </c>
      <c r="G1208" s="49">
        <v>15.0</v>
      </c>
      <c r="H1208" s="26" t="b">
        <f>COUNTIFS(
 tblCostChecklist[RequirementID],A1208,
 tblCostChecklist[PlayerPaid],TRUE
)&gt;0</f>
        <v>0</v>
      </c>
      <c r="I1208" s="49">
        <f t="shared" si="1"/>
        <v>6</v>
      </c>
      <c r="J1208" s="49">
        <f t="shared" si="2"/>
        <v>0</v>
      </c>
      <c r="K1208" s="49">
        <f t="shared" si="3"/>
        <v>6</v>
      </c>
      <c r="L1208" s="49" t="b">
        <f t="shared" si="4"/>
        <v>0</v>
      </c>
      <c r="M1208" s="88">
        <f t="shared" si="5"/>
        <v>0</v>
      </c>
    </row>
    <row r="1209" ht="14.25" customHeight="1">
      <c r="A1209" s="49" t="s">
        <v>2211</v>
      </c>
      <c r="B1209" s="49" t="str">
        <f>IFERROR(__xludf.DUMMYFUNCTION("REGEXEXTRACT(A1209,""^cost\.(.*)\.[^.]+\.[^.]+$"")"),"citadel.armory")</f>
        <v>citadel.armory</v>
      </c>
      <c r="C1209" s="49" t="str">
        <f t="array" ref="C1209">_xlfn.XLOOKUP(
 B1209,
 tblTargets[TargetID],
 tblTargets[DisplayName],
 ""
)</f>
        <v>Armory</v>
      </c>
      <c r="D1209" s="49" t="str">
        <f t="array" ref="D1209">_xlfn.XLOOKUP(
 B1209,
 tblTargets[TargetID],
 tblTargets[TargetType],
 ""
)</f>
        <v>CITADEL</v>
      </c>
      <c r="E1209" s="49" t="s">
        <v>6</v>
      </c>
      <c r="F1209" s="87">
        <f>IFERROR(__xludf.DUMMYFUNCTION("VALUE(REGEXEXTRACT(A1209,""([^.]+)$""))"),1.0)</f>
        <v>1</v>
      </c>
      <c r="G1209" s="49">
        <v>3.0</v>
      </c>
      <c r="H1209" s="26" t="b">
        <f>COUNTIFS(
 tblCostChecklist[RequirementID],A1209,
 tblCostChecklist[PlayerPaid],TRUE
)&gt;0</f>
        <v>0</v>
      </c>
      <c r="I1209" s="49">
        <f t="shared" si="1"/>
        <v>6</v>
      </c>
      <c r="J1209" s="49">
        <f t="shared" si="2"/>
        <v>0</v>
      </c>
      <c r="K1209" s="49">
        <f t="shared" si="3"/>
        <v>6</v>
      </c>
      <c r="L1209" s="49" t="b">
        <f t="shared" si="4"/>
        <v>0</v>
      </c>
      <c r="M1209" s="88">
        <f t="shared" si="5"/>
        <v>0</v>
      </c>
    </row>
    <row r="1210" ht="14.25" customHeight="1">
      <c r="A1210" s="49" t="s">
        <v>2212</v>
      </c>
      <c r="B1210" s="49" t="str">
        <f>IFERROR(__xludf.DUMMYFUNCTION("REGEXEXTRACT(A1210,""^cost\.(.*)\.[^.]+\.[^.]+$"")"),"citadel.armory")</f>
        <v>citadel.armory</v>
      </c>
      <c r="C1210" s="49" t="str">
        <f t="array" ref="C1210">_xlfn.XLOOKUP(
 B1210,
 tblTargets[TargetID],
 tblTargets[DisplayName],
 ""
)</f>
        <v>Armory</v>
      </c>
      <c r="D1210" s="49" t="str">
        <f t="array" ref="D1210">_xlfn.XLOOKUP(
 B1210,
 tblTargets[TargetID],
 tblTargets[TargetType],
 ""
)</f>
        <v>CITADEL</v>
      </c>
      <c r="E1210" s="49" t="s">
        <v>392</v>
      </c>
      <c r="F1210" s="87">
        <f>IFERROR(__xludf.DUMMYFUNCTION("VALUE(REGEXEXTRACT(A1210,""([^.]+)$""))"),1.0)</f>
        <v>1</v>
      </c>
      <c r="G1210" s="49">
        <v>100.0</v>
      </c>
      <c r="H1210" s="26" t="b">
        <f>COUNTIFS(
 tblCostChecklist[RequirementID],A1210,
 tblCostChecklist[PlayerPaid],TRUE
)&gt;0</f>
        <v>0</v>
      </c>
      <c r="I1210" s="49">
        <f t="shared" si="1"/>
        <v>6</v>
      </c>
      <c r="J1210" s="49">
        <f t="shared" si="2"/>
        <v>0</v>
      </c>
      <c r="K1210" s="49">
        <f t="shared" si="3"/>
        <v>6</v>
      </c>
      <c r="L1210" s="49" t="b">
        <f t="shared" si="4"/>
        <v>0</v>
      </c>
      <c r="M1210" s="88">
        <f t="shared" si="5"/>
        <v>0</v>
      </c>
    </row>
    <row r="1211" ht="14.25" customHeight="1">
      <c r="A1211" s="49" t="s">
        <v>2213</v>
      </c>
      <c r="B1211" s="49" t="str">
        <f>IFERROR(__xludf.DUMMYFUNCTION("REGEXEXTRACT(A1211,""^cost\.(.*)\.[^.]+\.[^.]+$"")"),"citadel.armory")</f>
        <v>citadel.armory</v>
      </c>
      <c r="C1211" s="49" t="str">
        <f t="array" ref="C1211">_xlfn.XLOOKUP(
 B1211,
 tblTargets[TargetID],
 tblTargets[DisplayName],
 ""
)</f>
        <v>Armory</v>
      </c>
      <c r="D1211" s="49" t="str">
        <f t="array" ref="D1211">_xlfn.XLOOKUP(
 B1211,
 tblTargets[TargetID],
 tblTargets[TargetType],
 ""
)</f>
        <v>CITADEL</v>
      </c>
      <c r="E1211" s="49" t="s">
        <v>237</v>
      </c>
      <c r="F1211" s="87">
        <f>IFERROR(__xludf.DUMMYFUNCTION("VALUE(REGEXEXTRACT(A1211,""([^.]+)$""))"),1.0)</f>
        <v>1</v>
      </c>
      <c r="G1211" s="49">
        <v>500.0</v>
      </c>
      <c r="H1211" s="26" t="b">
        <f>COUNTIFS(
 tblCostChecklist[RequirementID],A1211,
 tblCostChecklist[PlayerPaid],TRUE
)&gt;0</f>
        <v>0</v>
      </c>
      <c r="I1211" s="49">
        <f t="shared" si="1"/>
        <v>6</v>
      </c>
      <c r="J1211" s="49">
        <f t="shared" si="2"/>
        <v>0</v>
      </c>
      <c r="K1211" s="49">
        <f t="shared" si="3"/>
        <v>6</v>
      </c>
      <c r="L1211" s="49" t="b">
        <f t="shared" si="4"/>
        <v>0</v>
      </c>
      <c r="M1211" s="88">
        <f t="shared" si="5"/>
        <v>0</v>
      </c>
    </row>
    <row r="1212" ht="14.25" customHeight="1">
      <c r="A1212" s="49" t="s">
        <v>2214</v>
      </c>
      <c r="B1212" s="49" t="str">
        <f>IFERROR(__xludf.DUMMYFUNCTION("REGEXEXTRACT(A1212,""^cost\.(.*)\.[^.]+\.[^.]+$"")"),"citadel.attic")</f>
        <v>citadel.attic</v>
      </c>
      <c r="C1212" s="49" t="str">
        <f t="array" ref="C1212">_xlfn.XLOOKUP(
 B1212,
 tblTargets[TargetID],
 tblTargets[DisplayName],
 ""
)</f>
        <v>Attic</v>
      </c>
      <c r="D1212" s="49" t="str">
        <f t="array" ref="D1212">_xlfn.XLOOKUP(
 B1212,
 tblTargets[TargetID],
 tblTargets[TargetType],
 ""
)</f>
        <v>CITADEL</v>
      </c>
      <c r="E1212" s="49" t="s">
        <v>278</v>
      </c>
      <c r="F1212" s="87">
        <f>IFERROR(__xludf.DUMMYFUNCTION("VALUE(REGEXEXTRACT(A1212,""([^.]+)$""))"),1.0)</f>
        <v>1</v>
      </c>
      <c r="G1212" s="49">
        <v>400.0</v>
      </c>
      <c r="H1212" s="26" t="b">
        <f>COUNTIFS(
 tblCostChecklist[RequirementID],A1212,
 tblCostChecklist[PlayerPaid],TRUE
)&gt;0</f>
        <v>0</v>
      </c>
      <c r="I1212" s="49">
        <f t="shared" si="1"/>
        <v>5</v>
      </c>
      <c r="J1212" s="49">
        <f t="shared" si="2"/>
        <v>0</v>
      </c>
      <c r="K1212" s="49">
        <f t="shared" si="3"/>
        <v>5</v>
      </c>
      <c r="L1212" s="49" t="b">
        <f t="shared" si="4"/>
        <v>0</v>
      </c>
      <c r="M1212" s="88">
        <f t="shared" si="5"/>
        <v>0</v>
      </c>
    </row>
    <row r="1213" ht="14.25" customHeight="1">
      <c r="A1213" s="49" t="s">
        <v>2215</v>
      </c>
      <c r="B1213" s="49" t="str">
        <f>IFERROR(__xludf.DUMMYFUNCTION("REGEXEXTRACT(A1213,""^cost\.(.*)\.[^.]+\.[^.]+$"")"),"citadel.attic")</f>
        <v>citadel.attic</v>
      </c>
      <c r="C1213" s="49" t="str">
        <f t="array" ref="C1213">_xlfn.XLOOKUP(
 B1213,
 tblTargets[TargetID],
 tblTargets[DisplayName],
 ""
)</f>
        <v>Attic</v>
      </c>
      <c r="D1213" s="49" t="str">
        <f t="array" ref="D1213">_xlfn.XLOOKUP(
 B1213,
 tblTargets[TargetID],
 tblTargets[TargetType],
 ""
)</f>
        <v>CITADEL</v>
      </c>
      <c r="E1213" s="49" t="s">
        <v>119</v>
      </c>
      <c r="F1213" s="87">
        <f>IFERROR(__xludf.DUMMYFUNCTION("VALUE(REGEXEXTRACT(A1213,""([^.]+)$""))"),1.0)</f>
        <v>1</v>
      </c>
      <c r="G1213" s="49">
        <v>400.0</v>
      </c>
      <c r="H1213" s="26" t="b">
        <f>COUNTIFS(
 tblCostChecklist[RequirementID],A1213,
 tblCostChecklist[PlayerPaid],TRUE
)&gt;0</f>
        <v>0</v>
      </c>
      <c r="I1213" s="49">
        <f t="shared" si="1"/>
        <v>5</v>
      </c>
      <c r="J1213" s="49">
        <f t="shared" si="2"/>
        <v>0</v>
      </c>
      <c r="K1213" s="49">
        <f t="shared" si="3"/>
        <v>5</v>
      </c>
      <c r="L1213" s="49" t="b">
        <f t="shared" si="4"/>
        <v>0</v>
      </c>
      <c r="M1213" s="88">
        <f t="shared" si="5"/>
        <v>0</v>
      </c>
    </row>
    <row r="1214" ht="14.25" customHeight="1">
      <c r="A1214" s="49" t="s">
        <v>2216</v>
      </c>
      <c r="B1214" s="49" t="str">
        <f>IFERROR(__xludf.DUMMYFUNCTION("REGEXEXTRACT(A1214,""^cost\.(.*)\.[^.]+\.[^.]+$"")"),"citadel.attic")</f>
        <v>citadel.attic</v>
      </c>
      <c r="C1214" s="49" t="str">
        <f t="array" ref="C1214">_xlfn.XLOOKUP(
 B1214,
 tblTargets[TargetID],
 tblTargets[DisplayName],
 ""
)</f>
        <v>Attic</v>
      </c>
      <c r="D1214" s="49" t="str">
        <f t="array" ref="D1214">_xlfn.XLOOKUP(
 B1214,
 tblTargets[TargetID],
 tblTargets[TargetType],
 ""
)</f>
        <v>CITADEL</v>
      </c>
      <c r="E1214" s="49" t="s">
        <v>132</v>
      </c>
      <c r="F1214" s="87">
        <f>IFERROR(__xludf.DUMMYFUNCTION("VALUE(REGEXEXTRACT(A1214,""([^.]+)$""))"),1.0)</f>
        <v>1</v>
      </c>
      <c r="G1214" s="49">
        <v>10.0</v>
      </c>
      <c r="H1214" s="26" t="b">
        <f>COUNTIFS(
 tblCostChecklist[RequirementID],A1214,
 tblCostChecklist[PlayerPaid],TRUE
)&gt;0</f>
        <v>0</v>
      </c>
      <c r="I1214" s="49">
        <f t="shared" si="1"/>
        <v>5</v>
      </c>
      <c r="J1214" s="49">
        <f t="shared" si="2"/>
        <v>0</v>
      </c>
      <c r="K1214" s="49">
        <f t="shared" si="3"/>
        <v>5</v>
      </c>
      <c r="L1214" s="49" t="b">
        <f t="shared" si="4"/>
        <v>0</v>
      </c>
      <c r="M1214" s="88">
        <f t="shared" si="5"/>
        <v>0</v>
      </c>
    </row>
    <row r="1215" ht="14.25" customHeight="1">
      <c r="A1215" s="49" t="s">
        <v>2217</v>
      </c>
      <c r="B1215" s="49" t="str">
        <f>IFERROR(__xludf.DUMMYFUNCTION("REGEXEXTRACT(A1215,""^cost\.(.*)\.[^.]+\.[^.]+$"")"),"citadel.attic")</f>
        <v>citadel.attic</v>
      </c>
      <c r="C1215" s="49" t="str">
        <f t="array" ref="C1215">_xlfn.XLOOKUP(
 B1215,
 tblTargets[TargetID],
 tblTargets[DisplayName],
 ""
)</f>
        <v>Attic</v>
      </c>
      <c r="D1215" s="49" t="str">
        <f t="array" ref="D1215">_xlfn.XLOOKUP(
 B1215,
 tblTargets[TargetID],
 tblTargets[TargetType],
 ""
)</f>
        <v>CITADEL</v>
      </c>
      <c r="E1215" s="49" t="s">
        <v>6</v>
      </c>
      <c r="F1215" s="87">
        <f>IFERROR(__xludf.DUMMYFUNCTION("VALUE(REGEXEXTRACT(A1215,""([^.]+)$""))"),1.0)</f>
        <v>1</v>
      </c>
      <c r="G1215" s="49">
        <v>2.0</v>
      </c>
      <c r="H1215" s="26" t="b">
        <f>COUNTIFS(
 tblCostChecklist[RequirementID],A1215,
 tblCostChecklist[PlayerPaid],TRUE
)&gt;0</f>
        <v>0</v>
      </c>
      <c r="I1215" s="49">
        <f t="shared" si="1"/>
        <v>5</v>
      </c>
      <c r="J1215" s="49">
        <f t="shared" si="2"/>
        <v>0</v>
      </c>
      <c r="K1215" s="49">
        <f t="shared" si="3"/>
        <v>5</v>
      </c>
      <c r="L1215" s="49" t="b">
        <f t="shared" si="4"/>
        <v>0</v>
      </c>
      <c r="M1215" s="88">
        <f t="shared" si="5"/>
        <v>0</v>
      </c>
    </row>
    <row r="1216" ht="14.25" customHeight="1">
      <c r="A1216" s="49" t="s">
        <v>2218</v>
      </c>
      <c r="B1216" s="49" t="str">
        <f>IFERROR(__xludf.DUMMYFUNCTION("REGEXEXTRACT(A1216,""^cost\.(.*)\.[^.]+\.[^.]+$"")"),"citadel.attic")</f>
        <v>citadel.attic</v>
      </c>
      <c r="C1216" s="49" t="str">
        <f t="array" ref="C1216">_xlfn.XLOOKUP(
 B1216,
 tblTargets[TargetID],
 tblTargets[DisplayName],
 ""
)</f>
        <v>Attic</v>
      </c>
      <c r="D1216" s="49" t="str">
        <f t="array" ref="D1216">_xlfn.XLOOKUP(
 B1216,
 tblTargets[TargetID],
 tblTargets[TargetType],
 ""
)</f>
        <v>CITADEL</v>
      </c>
      <c r="E1216" s="49" t="s">
        <v>237</v>
      </c>
      <c r="F1216" s="87">
        <f>IFERROR(__xludf.DUMMYFUNCTION("VALUE(REGEXEXTRACT(A1216,""([^.]+)$""))"),1.0)</f>
        <v>1</v>
      </c>
      <c r="G1216" s="49">
        <v>400.0</v>
      </c>
      <c r="H1216" s="26" t="b">
        <f>COUNTIFS(
 tblCostChecklist[RequirementID],A1216,
 tblCostChecklist[PlayerPaid],TRUE
)&gt;0</f>
        <v>0</v>
      </c>
      <c r="I1216" s="49">
        <f t="shared" si="1"/>
        <v>5</v>
      </c>
      <c r="J1216" s="49">
        <f t="shared" si="2"/>
        <v>0</v>
      </c>
      <c r="K1216" s="49">
        <f t="shared" si="3"/>
        <v>5</v>
      </c>
      <c r="L1216" s="49" t="b">
        <f t="shared" si="4"/>
        <v>0</v>
      </c>
      <c r="M1216" s="88">
        <f t="shared" si="5"/>
        <v>0</v>
      </c>
    </row>
    <row r="1217" ht="14.25" customHeight="1">
      <c r="A1217" s="49" t="s">
        <v>2219</v>
      </c>
      <c r="B1217" s="49" t="str">
        <f>IFERROR(__xludf.DUMMYFUNCTION("REGEXEXTRACT(A1217,""^cost\.(.*)\.[^.]+\.[^.]+$"")"),"citadel.cheese_cave")</f>
        <v>citadel.cheese_cave</v>
      </c>
      <c r="C1217" s="49" t="str">
        <f t="array" ref="C1217">_xlfn.XLOOKUP(
 B1217,
 tblTargets[TargetID],
 tblTargets[DisplayName],
 ""
)</f>
        <v>Cheese Cave</v>
      </c>
      <c r="D1217" s="49" t="str">
        <f t="array" ref="D1217">_xlfn.XLOOKUP(
 B1217,
 tblTargets[TargetID],
 tblTargets[TargetType],
 ""
)</f>
        <v>CITADEL</v>
      </c>
      <c r="E1217" s="49" t="s">
        <v>119</v>
      </c>
      <c r="F1217" s="87">
        <f>IFERROR(__xludf.DUMMYFUNCTION("VALUE(REGEXEXTRACT(A1217,""([^.]+)$""))"),1.0)</f>
        <v>1</v>
      </c>
      <c r="G1217" s="49">
        <v>1000.0</v>
      </c>
      <c r="H1217" s="26" t="b">
        <f>COUNTIFS(
 tblCostChecklist[RequirementID],A1217,
 tblCostChecklist[PlayerPaid],TRUE
)&gt;0</f>
        <v>0</v>
      </c>
      <c r="I1217" s="49">
        <f t="shared" si="1"/>
        <v>7</v>
      </c>
      <c r="J1217" s="49">
        <f t="shared" si="2"/>
        <v>0</v>
      </c>
      <c r="K1217" s="49">
        <f t="shared" si="3"/>
        <v>7</v>
      </c>
      <c r="L1217" s="49" t="b">
        <f t="shared" si="4"/>
        <v>0</v>
      </c>
      <c r="M1217" s="88">
        <f t="shared" si="5"/>
        <v>0</v>
      </c>
    </row>
    <row r="1218" ht="14.25" customHeight="1">
      <c r="A1218" s="49" t="s">
        <v>2220</v>
      </c>
      <c r="B1218" s="49" t="str">
        <f>IFERROR(__xludf.DUMMYFUNCTION("REGEXEXTRACT(A1218,""^cost\.(.*)\.[^.]+\.[^.]+$"")"),"citadel.cheese_cave")</f>
        <v>citadel.cheese_cave</v>
      </c>
      <c r="C1218" s="49" t="str">
        <f t="array" ref="C1218">_xlfn.XLOOKUP(
 B1218,
 tblTargets[TargetID],
 tblTargets[DisplayName],
 ""
)</f>
        <v>Cheese Cave</v>
      </c>
      <c r="D1218" s="49" t="str">
        <f t="array" ref="D1218">_xlfn.XLOOKUP(
 B1218,
 tblTargets[TargetID],
 tblTargets[TargetType],
 ""
)</f>
        <v>CITADEL</v>
      </c>
      <c r="E1218" s="49" t="s">
        <v>527</v>
      </c>
      <c r="F1218" s="87">
        <f>IFERROR(__xludf.DUMMYFUNCTION("VALUE(REGEXEXTRACT(A1218,""([^.]+)$""))"),1.0)</f>
        <v>1</v>
      </c>
      <c r="G1218" s="49">
        <v>10.0</v>
      </c>
      <c r="H1218" s="26" t="b">
        <f>COUNTIFS(
 tblCostChecklist[RequirementID],A1218,
 tblCostChecklist[PlayerPaid],TRUE
)&gt;0</f>
        <v>0</v>
      </c>
      <c r="I1218" s="49">
        <f t="shared" si="1"/>
        <v>7</v>
      </c>
      <c r="J1218" s="49">
        <f t="shared" si="2"/>
        <v>0</v>
      </c>
      <c r="K1218" s="49">
        <f t="shared" si="3"/>
        <v>7</v>
      </c>
      <c r="L1218" s="49" t="b">
        <f t="shared" si="4"/>
        <v>0</v>
      </c>
      <c r="M1218" s="88">
        <f t="shared" si="5"/>
        <v>0</v>
      </c>
    </row>
    <row r="1219" ht="14.25" customHeight="1">
      <c r="A1219" s="49" t="s">
        <v>2221</v>
      </c>
      <c r="B1219" s="49" t="str">
        <f>IFERROR(__xludf.DUMMYFUNCTION("REGEXEXTRACT(A1219,""^cost\.(.*)\.[^.]+\.[^.]+$"")"),"citadel.cheese_cave")</f>
        <v>citadel.cheese_cave</v>
      </c>
      <c r="C1219" s="49" t="str">
        <f t="array" ref="C1219">_xlfn.XLOOKUP(
 B1219,
 tblTargets[TargetID],
 tblTargets[DisplayName],
 ""
)</f>
        <v>Cheese Cave</v>
      </c>
      <c r="D1219" s="49" t="str">
        <f t="array" ref="D1219">_xlfn.XLOOKUP(
 B1219,
 tblTargets[TargetID],
 tblTargets[TargetType],
 ""
)</f>
        <v>CITADEL</v>
      </c>
      <c r="E1219" s="49" t="s">
        <v>530</v>
      </c>
      <c r="F1219" s="87">
        <f>IFERROR(__xludf.DUMMYFUNCTION("VALUE(REGEXEXTRACT(A1219,""([^.]+)$""))"),1.0)</f>
        <v>1</v>
      </c>
      <c r="G1219" s="49">
        <v>5.0</v>
      </c>
      <c r="H1219" s="26" t="b">
        <f>COUNTIFS(
 tblCostChecklist[RequirementID],A1219,
 tblCostChecklist[PlayerPaid],TRUE
)&gt;0</f>
        <v>0</v>
      </c>
      <c r="I1219" s="49">
        <f t="shared" si="1"/>
        <v>7</v>
      </c>
      <c r="J1219" s="49">
        <f t="shared" si="2"/>
        <v>0</v>
      </c>
      <c r="K1219" s="49">
        <f t="shared" si="3"/>
        <v>7</v>
      </c>
      <c r="L1219" s="49" t="b">
        <f t="shared" si="4"/>
        <v>0</v>
      </c>
      <c r="M1219" s="88">
        <f t="shared" si="5"/>
        <v>0</v>
      </c>
    </row>
    <row r="1220" ht="14.25" customHeight="1">
      <c r="A1220" s="49" t="s">
        <v>2222</v>
      </c>
      <c r="B1220" s="49" t="str">
        <f>IFERROR(__xludf.DUMMYFUNCTION("REGEXEXTRACT(A1220,""^cost\.(.*)\.[^.]+\.[^.]+$"")"),"citadel.cheese_cave")</f>
        <v>citadel.cheese_cave</v>
      </c>
      <c r="C1220" s="49" t="str">
        <f t="array" ref="C1220">_xlfn.XLOOKUP(
 B1220,
 tblTargets[TargetID],
 tblTargets[DisplayName],
 ""
)</f>
        <v>Cheese Cave</v>
      </c>
      <c r="D1220" s="49" t="str">
        <f t="array" ref="D1220">_xlfn.XLOOKUP(
 B1220,
 tblTargets[TargetID],
 tblTargets[TargetType],
 ""
)</f>
        <v>CITADEL</v>
      </c>
      <c r="E1220" s="49" t="s">
        <v>187</v>
      </c>
      <c r="F1220" s="87">
        <f>IFERROR(__xludf.DUMMYFUNCTION("VALUE(REGEXEXTRACT(A1220,""([^.]+)$""))"),1.0)</f>
        <v>1</v>
      </c>
      <c r="G1220" s="49">
        <v>600.0</v>
      </c>
      <c r="H1220" s="26" t="b">
        <f>COUNTIFS(
 tblCostChecklist[RequirementID],A1220,
 tblCostChecklist[PlayerPaid],TRUE
)&gt;0</f>
        <v>0</v>
      </c>
      <c r="I1220" s="49">
        <f t="shared" si="1"/>
        <v>7</v>
      </c>
      <c r="J1220" s="49">
        <f t="shared" si="2"/>
        <v>0</v>
      </c>
      <c r="K1220" s="49">
        <f t="shared" si="3"/>
        <v>7</v>
      </c>
      <c r="L1220" s="49" t="b">
        <f t="shared" si="4"/>
        <v>0</v>
      </c>
      <c r="M1220" s="88">
        <f t="shared" si="5"/>
        <v>0</v>
      </c>
    </row>
    <row r="1221" ht="14.25" customHeight="1">
      <c r="A1221" s="49" t="s">
        <v>2223</v>
      </c>
      <c r="B1221" s="49" t="str">
        <f>IFERROR(__xludf.DUMMYFUNCTION("REGEXEXTRACT(A1221,""^cost\.(.*)\.[^.]+\.[^.]+$"")"),"citadel.cheese_cave")</f>
        <v>citadel.cheese_cave</v>
      </c>
      <c r="C1221" s="49" t="str">
        <f t="array" ref="C1221">_xlfn.XLOOKUP(
 B1221,
 tblTargets[TargetID],
 tblTargets[DisplayName],
 ""
)</f>
        <v>Cheese Cave</v>
      </c>
      <c r="D1221" s="49" t="str">
        <f t="array" ref="D1221">_xlfn.XLOOKUP(
 B1221,
 tblTargets[TargetID],
 tblTargets[TargetType],
 ""
)</f>
        <v>CITADEL</v>
      </c>
      <c r="E1221" s="49" t="s">
        <v>6</v>
      </c>
      <c r="F1221" s="87">
        <f>IFERROR(__xludf.DUMMYFUNCTION("VALUE(REGEXEXTRACT(A1221,""([^.]+)$""))"),1.0)</f>
        <v>1</v>
      </c>
      <c r="G1221" s="49">
        <v>5.0</v>
      </c>
      <c r="H1221" s="26" t="b">
        <f>COUNTIFS(
 tblCostChecklist[RequirementID],A1221,
 tblCostChecklist[PlayerPaid],TRUE
)&gt;0</f>
        <v>0</v>
      </c>
      <c r="I1221" s="49">
        <f t="shared" si="1"/>
        <v>7</v>
      </c>
      <c r="J1221" s="49">
        <f t="shared" si="2"/>
        <v>0</v>
      </c>
      <c r="K1221" s="49">
        <f t="shared" si="3"/>
        <v>7</v>
      </c>
      <c r="L1221" s="49" t="b">
        <f t="shared" si="4"/>
        <v>0</v>
      </c>
      <c r="M1221" s="88">
        <f t="shared" si="5"/>
        <v>0</v>
      </c>
    </row>
    <row r="1222" ht="14.25" customHeight="1">
      <c r="A1222" s="49" t="s">
        <v>2224</v>
      </c>
      <c r="B1222" s="49" t="str">
        <f>IFERROR(__xludf.DUMMYFUNCTION("REGEXEXTRACT(A1222,""^cost\.(.*)\.[^.]+\.[^.]+$"")"),"citadel.cheese_cave")</f>
        <v>citadel.cheese_cave</v>
      </c>
      <c r="C1222" s="49" t="str">
        <f t="array" ref="C1222">_xlfn.XLOOKUP(
 B1222,
 tblTargets[TargetID],
 tblTargets[DisplayName],
 ""
)</f>
        <v>Cheese Cave</v>
      </c>
      <c r="D1222" s="49" t="str">
        <f t="array" ref="D1222">_xlfn.XLOOKUP(
 B1222,
 tblTargets[TargetID],
 tblTargets[TargetType],
 ""
)</f>
        <v>CITADEL</v>
      </c>
      <c r="E1222" s="49" t="s">
        <v>2225</v>
      </c>
      <c r="F1222" s="87">
        <f>IFERROR(__xludf.DUMMYFUNCTION("VALUE(REGEXEXTRACT(A1222,""([^.]+)$""))"),1.0)</f>
        <v>1</v>
      </c>
      <c r="G1222" s="49">
        <v>10.0</v>
      </c>
      <c r="H1222" s="26" t="b">
        <f>COUNTIFS(
 tblCostChecklist[RequirementID],A1222,
 tblCostChecklist[PlayerPaid],TRUE
)&gt;0</f>
        <v>0</v>
      </c>
      <c r="I1222" s="49">
        <f t="shared" si="1"/>
        <v>7</v>
      </c>
      <c r="J1222" s="49">
        <f t="shared" si="2"/>
        <v>0</v>
      </c>
      <c r="K1222" s="49">
        <f t="shared" si="3"/>
        <v>7</v>
      </c>
      <c r="L1222" s="49" t="b">
        <f t="shared" si="4"/>
        <v>0</v>
      </c>
      <c r="M1222" s="88">
        <f t="shared" si="5"/>
        <v>0</v>
      </c>
    </row>
    <row r="1223" ht="14.25" customHeight="1">
      <c r="A1223" s="49" t="s">
        <v>2226</v>
      </c>
      <c r="B1223" s="49" t="str">
        <f>IFERROR(__xludf.DUMMYFUNCTION("REGEXEXTRACT(A1223,""^cost\.(.*)\.[^.]+\.[^.]+$"")"),"citadel.cheese_cave")</f>
        <v>citadel.cheese_cave</v>
      </c>
      <c r="C1223" s="49" t="str">
        <f t="array" ref="C1223">_xlfn.XLOOKUP(
 B1223,
 tblTargets[TargetID],
 tblTargets[DisplayName],
 ""
)</f>
        <v>Cheese Cave</v>
      </c>
      <c r="D1223" s="49" t="str">
        <f t="array" ref="D1223">_xlfn.XLOOKUP(
 B1223,
 tblTargets[TargetID],
 tblTargets[TargetType],
 ""
)</f>
        <v>CITADEL</v>
      </c>
      <c r="E1223" s="49" t="s">
        <v>237</v>
      </c>
      <c r="F1223" s="87">
        <f>IFERROR(__xludf.DUMMYFUNCTION("VALUE(REGEXEXTRACT(A1223,""([^.]+)$""))"),1.0)</f>
        <v>1</v>
      </c>
      <c r="G1223" s="49">
        <v>100.0</v>
      </c>
      <c r="H1223" s="26" t="b">
        <f>COUNTIFS(
 tblCostChecklist[RequirementID],A1223,
 tblCostChecklist[PlayerPaid],TRUE
)&gt;0</f>
        <v>0</v>
      </c>
      <c r="I1223" s="49">
        <f t="shared" si="1"/>
        <v>7</v>
      </c>
      <c r="J1223" s="49">
        <f t="shared" si="2"/>
        <v>0</v>
      </c>
      <c r="K1223" s="49">
        <f t="shared" si="3"/>
        <v>7</v>
      </c>
      <c r="L1223" s="49" t="b">
        <f t="shared" si="4"/>
        <v>0</v>
      </c>
      <c r="M1223" s="88">
        <f t="shared" si="5"/>
        <v>0</v>
      </c>
    </row>
    <row r="1224" ht="14.25" customHeight="1">
      <c r="A1224" s="49" t="s">
        <v>2227</v>
      </c>
      <c r="B1224" s="49" t="str">
        <f>IFERROR(__xludf.DUMMYFUNCTION("REGEXEXTRACT(A1224,""^cost\.(.*)\.[^.]+\.[^.]+$"")"),"citadel.courtyard")</f>
        <v>citadel.courtyard</v>
      </c>
      <c r="C1224" s="49" t="str">
        <f t="array" ref="C1224">_xlfn.XLOOKUP(
 B1224,
 tblTargets[TargetID],
 tblTargets[DisplayName],
 ""
)</f>
        <v>Courtyard</v>
      </c>
      <c r="D1224" s="49" t="str">
        <f t="array" ref="D1224">_xlfn.XLOOKUP(
 B1224,
 tblTargets[TargetID],
 tblTargets[TargetType],
 ""
)</f>
        <v>CITADEL</v>
      </c>
      <c r="E1224" s="49" t="s">
        <v>278</v>
      </c>
      <c r="F1224" s="87">
        <f>IFERROR(__xludf.DUMMYFUNCTION("VALUE(REGEXEXTRACT(A1224,""([^.]+)$""))"),1.0)</f>
        <v>1</v>
      </c>
      <c r="G1224" s="49">
        <v>500.0</v>
      </c>
      <c r="H1224" s="26" t="b">
        <f>COUNTIFS(
 tblCostChecklist[RequirementID],A1224,
 tblCostChecklist[PlayerPaid],TRUE
)&gt;0</f>
        <v>0</v>
      </c>
      <c r="I1224" s="49">
        <f t="shared" si="1"/>
        <v>5</v>
      </c>
      <c r="J1224" s="49">
        <f t="shared" si="2"/>
        <v>0</v>
      </c>
      <c r="K1224" s="49">
        <f t="shared" si="3"/>
        <v>5</v>
      </c>
      <c r="L1224" s="49" t="b">
        <f t="shared" si="4"/>
        <v>0</v>
      </c>
      <c r="M1224" s="88">
        <f t="shared" si="5"/>
        <v>0</v>
      </c>
    </row>
    <row r="1225" ht="14.25" customHeight="1">
      <c r="A1225" s="49" t="s">
        <v>2228</v>
      </c>
      <c r="B1225" s="49" t="str">
        <f>IFERROR(__xludf.DUMMYFUNCTION("REGEXEXTRACT(A1225,""^cost\.(.*)\.[^.]+\.[^.]+$"")"),"citadel.courtyard")</f>
        <v>citadel.courtyard</v>
      </c>
      <c r="C1225" s="49" t="str">
        <f t="array" ref="C1225">_xlfn.XLOOKUP(
 B1225,
 tblTargets[TargetID],
 tblTargets[DisplayName],
 ""
)</f>
        <v>Courtyard</v>
      </c>
      <c r="D1225" s="49" t="str">
        <f t="array" ref="D1225">_xlfn.XLOOKUP(
 B1225,
 tblTargets[TargetID],
 tblTargets[TargetType],
 ""
)</f>
        <v>CITADEL</v>
      </c>
      <c r="E1225" s="49" t="s">
        <v>119</v>
      </c>
      <c r="F1225" s="87">
        <f>IFERROR(__xludf.DUMMYFUNCTION("VALUE(REGEXEXTRACT(A1225,""([^.]+)$""))"),1.0)</f>
        <v>1</v>
      </c>
      <c r="G1225" s="49">
        <v>500.0</v>
      </c>
      <c r="H1225" s="26" t="b">
        <f>COUNTIFS(
 tblCostChecklist[RequirementID],A1225,
 tblCostChecklist[PlayerPaid],TRUE
)&gt;0</f>
        <v>0</v>
      </c>
      <c r="I1225" s="49">
        <f t="shared" si="1"/>
        <v>5</v>
      </c>
      <c r="J1225" s="49">
        <f t="shared" si="2"/>
        <v>0</v>
      </c>
      <c r="K1225" s="49">
        <f t="shared" si="3"/>
        <v>5</v>
      </c>
      <c r="L1225" s="49" t="b">
        <f t="shared" si="4"/>
        <v>0</v>
      </c>
      <c r="M1225" s="88">
        <f t="shared" si="5"/>
        <v>0</v>
      </c>
    </row>
    <row r="1226" ht="14.25" customHeight="1">
      <c r="A1226" s="49" t="s">
        <v>2229</v>
      </c>
      <c r="B1226" s="49" t="str">
        <f>IFERROR(__xludf.DUMMYFUNCTION("REGEXEXTRACT(A1226,""^cost\.(.*)\.[^.]+\.[^.]+$"")"),"citadel.courtyard")</f>
        <v>citadel.courtyard</v>
      </c>
      <c r="C1226" s="49" t="str">
        <f t="array" ref="C1226">_xlfn.XLOOKUP(
 B1226,
 tblTargets[TargetID],
 tblTargets[DisplayName],
 ""
)</f>
        <v>Courtyard</v>
      </c>
      <c r="D1226" s="49" t="str">
        <f t="array" ref="D1226">_xlfn.XLOOKUP(
 B1226,
 tblTargets[TargetID],
 tblTargets[TargetType],
 ""
)</f>
        <v>CITADEL</v>
      </c>
      <c r="E1226" s="49" t="s">
        <v>132</v>
      </c>
      <c r="F1226" s="87">
        <f>IFERROR(__xludf.DUMMYFUNCTION("VALUE(REGEXEXTRACT(A1226,""([^.]+)$""))"),1.0)</f>
        <v>1</v>
      </c>
      <c r="G1226" s="49">
        <v>15.0</v>
      </c>
      <c r="H1226" s="26" t="b">
        <f>COUNTIFS(
 tblCostChecklist[RequirementID],A1226,
 tblCostChecklist[PlayerPaid],TRUE
)&gt;0</f>
        <v>0</v>
      </c>
      <c r="I1226" s="49">
        <f t="shared" si="1"/>
        <v>5</v>
      </c>
      <c r="J1226" s="49">
        <f t="shared" si="2"/>
        <v>0</v>
      </c>
      <c r="K1226" s="49">
        <f t="shared" si="3"/>
        <v>5</v>
      </c>
      <c r="L1226" s="49" t="b">
        <f t="shared" si="4"/>
        <v>0</v>
      </c>
      <c r="M1226" s="88">
        <f t="shared" si="5"/>
        <v>0</v>
      </c>
    </row>
    <row r="1227" ht="14.25" customHeight="1">
      <c r="A1227" s="49" t="s">
        <v>2230</v>
      </c>
      <c r="B1227" s="49" t="str">
        <f>IFERROR(__xludf.DUMMYFUNCTION("REGEXEXTRACT(A1227,""^cost\.(.*)\.[^.]+\.[^.]+$"")"),"citadel.courtyard")</f>
        <v>citadel.courtyard</v>
      </c>
      <c r="C1227" s="49" t="str">
        <f t="array" ref="C1227">_xlfn.XLOOKUP(
 B1227,
 tblTargets[TargetID],
 tblTargets[DisplayName],
 ""
)</f>
        <v>Courtyard</v>
      </c>
      <c r="D1227" s="49" t="str">
        <f t="array" ref="D1227">_xlfn.XLOOKUP(
 B1227,
 tblTargets[TargetID],
 tblTargets[TargetType],
 ""
)</f>
        <v>CITADEL</v>
      </c>
      <c r="E1227" s="49" t="s">
        <v>6</v>
      </c>
      <c r="F1227" s="87">
        <f>IFERROR(__xludf.DUMMYFUNCTION("VALUE(REGEXEXTRACT(A1227,""([^.]+)$""))"),1.0)</f>
        <v>1</v>
      </c>
      <c r="G1227" s="49">
        <v>3.0</v>
      </c>
      <c r="H1227" s="26" t="b">
        <f>COUNTIFS(
 tblCostChecklist[RequirementID],A1227,
 tblCostChecklist[PlayerPaid],TRUE
)&gt;0</f>
        <v>0</v>
      </c>
      <c r="I1227" s="49">
        <f t="shared" si="1"/>
        <v>5</v>
      </c>
      <c r="J1227" s="49">
        <f t="shared" si="2"/>
        <v>0</v>
      </c>
      <c r="K1227" s="49">
        <f t="shared" si="3"/>
        <v>5</v>
      </c>
      <c r="L1227" s="49" t="b">
        <f t="shared" si="4"/>
        <v>0</v>
      </c>
      <c r="M1227" s="88">
        <f t="shared" si="5"/>
        <v>0</v>
      </c>
    </row>
    <row r="1228" ht="14.25" customHeight="1">
      <c r="A1228" s="49" t="s">
        <v>2231</v>
      </c>
      <c r="B1228" s="49" t="str">
        <f>IFERROR(__xludf.DUMMYFUNCTION("REGEXEXTRACT(A1228,""^cost\.(.*)\.[^.]+\.[^.]+$"")"),"citadel.courtyard")</f>
        <v>citadel.courtyard</v>
      </c>
      <c r="C1228" s="49" t="str">
        <f t="array" ref="C1228">_xlfn.XLOOKUP(
 B1228,
 tblTargets[TargetID],
 tblTargets[DisplayName],
 ""
)</f>
        <v>Courtyard</v>
      </c>
      <c r="D1228" s="49" t="str">
        <f t="array" ref="D1228">_xlfn.XLOOKUP(
 B1228,
 tblTargets[TargetID],
 tblTargets[TargetType],
 ""
)</f>
        <v>CITADEL</v>
      </c>
      <c r="E1228" s="49" t="s">
        <v>237</v>
      </c>
      <c r="F1228" s="87">
        <f>IFERROR(__xludf.DUMMYFUNCTION("VALUE(REGEXEXTRACT(A1228,""([^.]+)$""))"),1.0)</f>
        <v>1</v>
      </c>
      <c r="G1228" s="49">
        <v>500.0</v>
      </c>
      <c r="H1228" s="26" t="b">
        <f>COUNTIFS(
 tblCostChecklist[RequirementID],A1228,
 tblCostChecklist[PlayerPaid],TRUE
)&gt;0</f>
        <v>0</v>
      </c>
      <c r="I1228" s="49">
        <f t="shared" si="1"/>
        <v>5</v>
      </c>
      <c r="J1228" s="49">
        <f t="shared" si="2"/>
        <v>0</v>
      </c>
      <c r="K1228" s="49">
        <f t="shared" si="3"/>
        <v>5</v>
      </c>
      <c r="L1228" s="49" t="b">
        <f t="shared" si="4"/>
        <v>0</v>
      </c>
      <c r="M1228" s="88">
        <f t="shared" si="5"/>
        <v>0</v>
      </c>
    </row>
    <row r="1229" ht="14.25" customHeight="1">
      <c r="A1229" s="49" t="s">
        <v>2232</v>
      </c>
      <c r="B1229" s="49" t="str">
        <f>IFERROR(__xludf.DUMMYFUNCTION("REGEXEXTRACT(A1229,""^cost\.(.*)\.[^.]+\.[^.]+$"")"),"citadel.gallery")</f>
        <v>citadel.gallery</v>
      </c>
      <c r="C1229" s="49" t="str">
        <f t="array" ref="C1229">_xlfn.XLOOKUP(
 B1229,
 tblTargets[TargetID],
 tblTargets[DisplayName],
 ""
)</f>
        <v>Gallery</v>
      </c>
      <c r="D1229" s="49" t="str">
        <f t="array" ref="D1229">_xlfn.XLOOKUP(
 B1229,
 tblTargets[TargetID],
 tblTargets[TargetType],
 ""
)</f>
        <v>CITADEL</v>
      </c>
      <c r="E1229" s="49" t="s">
        <v>278</v>
      </c>
      <c r="F1229" s="87">
        <f>IFERROR(__xludf.DUMMYFUNCTION("VALUE(REGEXEXTRACT(A1229,""([^.]+)$""))"),1.0)</f>
        <v>1</v>
      </c>
      <c r="G1229" s="49">
        <v>500.0</v>
      </c>
      <c r="H1229" s="26" t="b">
        <f>COUNTIFS(
 tblCostChecklist[RequirementID],A1229,
 tblCostChecklist[PlayerPaid],TRUE
)&gt;0</f>
        <v>0</v>
      </c>
      <c r="I1229" s="49">
        <f t="shared" si="1"/>
        <v>6</v>
      </c>
      <c r="J1229" s="49">
        <f t="shared" si="2"/>
        <v>0</v>
      </c>
      <c r="K1229" s="49">
        <f t="shared" si="3"/>
        <v>6</v>
      </c>
      <c r="L1229" s="49" t="b">
        <f t="shared" si="4"/>
        <v>0</v>
      </c>
      <c r="M1229" s="88">
        <f t="shared" si="5"/>
        <v>0</v>
      </c>
    </row>
    <row r="1230" ht="14.25" customHeight="1">
      <c r="A1230" s="49" t="s">
        <v>2233</v>
      </c>
      <c r="B1230" s="49" t="str">
        <f>IFERROR(__xludf.DUMMYFUNCTION("REGEXEXTRACT(A1230,""^cost\.(.*)\.[^.]+\.[^.]+$"")"),"citadel.gallery")</f>
        <v>citadel.gallery</v>
      </c>
      <c r="C1230" s="49" t="str">
        <f t="array" ref="C1230">_xlfn.XLOOKUP(
 B1230,
 tblTargets[TargetID],
 tblTargets[DisplayName],
 ""
)</f>
        <v>Gallery</v>
      </c>
      <c r="D1230" s="49" t="str">
        <f t="array" ref="D1230">_xlfn.XLOOKUP(
 B1230,
 tblTargets[TargetID],
 tblTargets[TargetType],
 ""
)</f>
        <v>CITADEL</v>
      </c>
      <c r="E1230" s="49" t="s">
        <v>119</v>
      </c>
      <c r="F1230" s="87">
        <f>IFERROR(__xludf.DUMMYFUNCTION("VALUE(REGEXEXTRACT(A1230,""([^.]+)$""))"),1.0)</f>
        <v>1</v>
      </c>
      <c r="G1230" s="49">
        <v>500.0</v>
      </c>
      <c r="H1230" s="26" t="b">
        <f>COUNTIFS(
 tblCostChecklist[RequirementID],A1230,
 tblCostChecklist[PlayerPaid],TRUE
)&gt;0</f>
        <v>0</v>
      </c>
      <c r="I1230" s="49">
        <f t="shared" si="1"/>
        <v>6</v>
      </c>
      <c r="J1230" s="49">
        <f t="shared" si="2"/>
        <v>0</v>
      </c>
      <c r="K1230" s="49">
        <f t="shared" si="3"/>
        <v>6</v>
      </c>
      <c r="L1230" s="49" t="b">
        <f t="shared" si="4"/>
        <v>0</v>
      </c>
      <c r="M1230" s="88">
        <f t="shared" si="5"/>
        <v>0</v>
      </c>
    </row>
    <row r="1231" ht="14.25" customHeight="1">
      <c r="A1231" s="49" t="s">
        <v>2234</v>
      </c>
      <c r="B1231" s="49" t="str">
        <f>IFERROR(__xludf.DUMMYFUNCTION("REGEXEXTRACT(A1231,""^cost\.(.*)\.[^.]+\.[^.]+$"")"),"citadel.gallery")</f>
        <v>citadel.gallery</v>
      </c>
      <c r="C1231" s="49" t="str">
        <f t="array" ref="C1231">_xlfn.XLOOKUP(
 B1231,
 tblTargets[TargetID],
 tblTargets[DisplayName],
 ""
)</f>
        <v>Gallery</v>
      </c>
      <c r="D1231" s="49" t="str">
        <f t="array" ref="D1231">_xlfn.XLOOKUP(
 B1231,
 tblTargets[TargetID],
 tblTargets[TargetType],
 ""
)</f>
        <v>CITADEL</v>
      </c>
      <c r="E1231" s="49" t="s">
        <v>132</v>
      </c>
      <c r="F1231" s="87">
        <f>IFERROR(__xludf.DUMMYFUNCTION("VALUE(REGEXEXTRACT(A1231,""([^.]+)$""))"),1.0)</f>
        <v>1</v>
      </c>
      <c r="G1231" s="49">
        <v>15.0</v>
      </c>
      <c r="H1231" s="26" t="b">
        <f>COUNTIFS(
 tblCostChecklist[RequirementID],A1231,
 tblCostChecklist[PlayerPaid],TRUE
)&gt;0</f>
        <v>0</v>
      </c>
      <c r="I1231" s="49">
        <f t="shared" si="1"/>
        <v>6</v>
      </c>
      <c r="J1231" s="49">
        <f t="shared" si="2"/>
        <v>0</v>
      </c>
      <c r="K1231" s="49">
        <f t="shared" si="3"/>
        <v>6</v>
      </c>
      <c r="L1231" s="49" t="b">
        <f t="shared" si="4"/>
        <v>0</v>
      </c>
      <c r="M1231" s="88">
        <f t="shared" si="5"/>
        <v>0</v>
      </c>
    </row>
    <row r="1232" ht="14.25" customHeight="1">
      <c r="A1232" s="49" t="s">
        <v>2235</v>
      </c>
      <c r="B1232" s="49" t="str">
        <f>IFERROR(__xludf.DUMMYFUNCTION("REGEXEXTRACT(A1232,""^cost\.(.*)\.[^.]+\.[^.]+$"")"),"citadel.gallery")</f>
        <v>citadel.gallery</v>
      </c>
      <c r="C1232" s="49" t="str">
        <f t="array" ref="C1232">_xlfn.XLOOKUP(
 B1232,
 tblTargets[TargetID],
 tblTargets[DisplayName],
 ""
)</f>
        <v>Gallery</v>
      </c>
      <c r="D1232" s="49" t="str">
        <f t="array" ref="D1232">_xlfn.XLOOKUP(
 B1232,
 tblTargets[TargetID],
 tblTargets[TargetType],
 ""
)</f>
        <v>CITADEL</v>
      </c>
      <c r="E1232" s="49" t="s">
        <v>6</v>
      </c>
      <c r="F1232" s="87">
        <f>IFERROR(__xludf.DUMMYFUNCTION("VALUE(REGEXEXTRACT(A1232,""([^.]+)$""))"),1.0)</f>
        <v>1</v>
      </c>
      <c r="G1232" s="49">
        <v>3.0</v>
      </c>
      <c r="H1232" s="26" t="b">
        <f>COUNTIFS(
 tblCostChecklist[RequirementID],A1232,
 tblCostChecklist[PlayerPaid],TRUE
)&gt;0</f>
        <v>0</v>
      </c>
      <c r="I1232" s="49">
        <f t="shared" si="1"/>
        <v>6</v>
      </c>
      <c r="J1232" s="49">
        <f t="shared" si="2"/>
        <v>0</v>
      </c>
      <c r="K1232" s="49">
        <f t="shared" si="3"/>
        <v>6</v>
      </c>
      <c r="L1232" s="49" t="b">
        <f t="shared" si="4"/>
        <v>0</v>
      </c>
      <c r="M1232" s="88">
        <f t="shared" si="5"/>
        <v>0</v>
      </c>
    </row>
    <row r="1233" ht="14.25" customHeight="1">
      <c r="A1233" s="49" t="s">
        <v>2236</v>
      </c>
      <c r="B1233" s="49" t="str">
        <f>IFERROR(__xludf.DUMMYFUNCTION("REGEXEXTRACT(A1233,""^cost\.(.*)\.[^.]+\.[^.]+$"")"),"citadel.gallery")</f>
        <v>citadel.gallery</v>
      </c>
      <c r="C1233" s="49" t="str">
        <f t="array" ref="C1233">_xlfn.XLOOKUP(
 B1233,
 tblTargets[TargetID],
 tblTargets[DisplayName],
 ""
)</f>
        <v>Gallery</v>
      </c>
      <c r="D1233" s="49" t="str">
        <f t="array" ref="D1233">_xlfn.XLOOKUP(
 B1233,
 tblTargets[TargetID],
 tblTargets[TargetType],
 ""
)</f>
        <v>CITADEL</v>
      </c>
      <c r="E1233" s="49" t="s">
        <v>392</v>
      </c>
      <c r="F1233" s="87">
        <f>IFERROR(__xludf.DUMMYFUNCTION("VALUE(REGEXEXTRACT(A1233,""([^.]+)$""))"),1.0)</f>
        <v>1</v>
      </c>
      <c r="G1233" s="49">
        <v>100.0</v>
      </c>
      <c r="H1233" s="26" t="b">
        <f>COUNTIFS(
 tblCostChecklist[RequirementID],A1233,
 tblCostChecklist[PlayerPaid],TRUE
)&gt;0</f>
        <v>0</v>
      </c>
      <c r="I1233" s="49">
        <f t="shared" si="1"/>
        <v>6</v>
      </c>
      <c r="J1233" s="49">
        <f t="shared" si="2"/>
        <v>0</v>
      </c>
      <c r="K1233" s="49">
        <f t="shared" si="3"/>
        <v>6</v>
      </c>
      <c r="L1233" s="49" t="b">
        <f t="shared" si="4"/>
        <v>0</v>
      </c>
      <c r="M1233" s="88">
        <f t="shared" si="5"/>
        <v>0</v>
      </c>
    </row>
    <row r="1234" ht="14.25" customHeight="1">
      <c r="A1234" s="49" t="s">
        <v>2237</v>
      </c>
      <c r="B1234" s="49" t="str">
        <f>IFERROR(__xludf.DUMMYFUNCTION("REGEXEXTRACT(A1234,""^cost\.(.*)\.[^.]+\.[^.]+$"")"),"citadel.gallery")</f>
        <v>citadel.gallery</v>
      </c>
      <c r="C1234" s="49" t="str">
        <f t="array" ref="C1234">_xlfn.XLOOKUP(
 B1234,
 tblTargets[TargetID],
 tblTargets[DisplayName],
 ""
)</f>
        <v>Gallery</v>
      </c>
      <c r="D1234" s="49" t="str">
        <f t="array" ref="D1234">_xlfn.XLOOKUP(
 B1234,
 tblTargets[TargetID],
 tblTargets[TargetType],
 ""
)</f>
        <v>CITADEL</v>
      </c>
      <c r="E1234" s="49" t="s">
        <v>237</v>
      </c>
      <c r="F1234" s="87">
        <f>IFERROR(__xludf.DUMMYFUNCTION("VALUE(REGEXEXTRACT(A1234,""([^.]+)$""))"),1.0)</f>
        <v>1</v>
      </c>
      <c r="G1234" s="49">
        <v>500.0</v>
      </c>
      <c r="H1234" s="26" t="b">
        <f>COUNTIFS(
 tblCostChecklist[RequirementID],A1234,
 tblCostChecklist[PlayerPaid],TRUE
)&gt;0</f>
        <v>0</v>
      </c>
      <c r="I1234" s="49">
        <f t="shared" si="1"/>
        <v>6</v>
      </c>
      <c r="J1234" s="49">
        <f t="shared" si="2"/>
        <v>0</v>
      </c>
      <c r="K1234" s="49">
        <f t="shared" si="3"/>
        <v>6</v>
      </c>
      <c r="L1234" s="49" t="b">
        <f t="shared" si="4"/>
        <v>0</v>
      </c>
      <c r="M1234" s="88">
        <f t="shared" si="5"/>
        <v>0</v>
      </c>
    </row>
    <row r="1235" ht="14.25" customHeight="1">
      <c r="A1235" s="49" t="s">
        <v>2238</v>
      </c>
      <c r="B1235" s="49" t="str">
        <f>IFERROR(__xludf.DUMMYFUNCTION("REGEXEXTRACT(A1235,""^cost\.(.*)\.[^.]+\.[^.]+$"")"),"citadel.great_hall")</f>
        <v>citadel.great_hall</v>
      </c>
      <c r="C1235" s="49" t="str">
        <f t="array" ref="C1235">_xlfn.XLOOKUP(
 B1235,
 tblTargets[TargetID],
 tblTargets[DisplayName],
 ""
)</f>
        <v>Great Hall</v>
      </c>
      <c r="D1235" s="49" t="str">
        <f t="array" ref="D1235">_xlfn.XLOOKUP(
 B1235,
 tblTargets[TargetID],
 tblTargets[TargetType],
 ""
)</f>
        <v>CITADEL</v>
      </c>
      <c r="E1235" s="49" t="s">
        <v>278</v>
      </c>
      <c r="F1235" s="87">
        <f>IFERROR(__xludf.DUMMYFUNCTION("VALUE(REGEXEXTRACT(A1235,""([^.]+)$""))"),1.0)</f>
        <v>1</v>
      </c>
      <c r="G1235" s="49">
        <v>600.0</v>
      </c>
      <c r="H1235" s="26" t="b">
        <f>COUNTIFS(
 tblCostChecklist[RequirementID],A1235,
 tblCostChecklist[PlayerPaid],TRUE
)&gt;0</f>
        <v>0</v>
      </c>
      <c r="I1235" s="49">
        <f t="shared" si="1"/>
        <v>5</v>
      </c>
      <c r="J1235" s="49">
        <f t="shared" si="2"/>
        <v>0</v>
      </c>
      <c r="K1235" s="49">
        <f t="shared" si="3"/>
        <v>5</v>
      </c>
      <c r="L1235" s="49" t="b">
        <f t="shared" si="4"/>
        <v>0</v>
      </c>
      <c r="M1235" s="88">
        <f t="shared" si="5"/>
        <v>0</v>
      </c>
    </row>
    <row r="1236" ht="14.25" customHeight="1">
      <c r="A1236" s="49" t="s">
        <v>2239</v>
      </c>
      <c r="B1236" s="49" t="str">
        <f>IFERROR(__xludf.DUMMYFUNCTION("REGEXEXTRACT(A1236,""^cost\.(.*)\.[^.]+\.[^.]+$"")"),"citadel.great_hall")</f>
        <v>citadel.great_hall</v>
      </c>
      <c r="C1236" s="49" t="str">
        <f t="array" ref="C1236">_xlfn.XLOOKUP(
 B1236,
 tblTargets[TargetID],
 tblTargets[DisplayName],
 ""
)</f>
        <v>Great Hall</v>
      </c>
      <c r="D1236" s="49" t="str">
        <f t="array" ref="D1236">_xlfn.XLOOKUP(
 B1236,
 tblTargets[TargetID],
 tblTargets[TargetType],
 ""
)</f>
        <v>CITADEL</v>
      </c>
      <c r="E1236" s="49" t="s">
        <v>119</v>
      </c>
      <c r="F1236" s="87">
        <f>IFERROR(__xludf.DUMMYFUNCTION("VALUE(REGEXEXTRACT(A1236,""([^.]+)$""))"),1.0)</f>
        <v>1</v>
      </c>
      <c r="G1236" s="49">
        <v>800.0</v>
      </c>
      <c r="H1236" s="26" t="b">
        <f>COUNTIFS(
 tblCostChecklist[RequirementID],A1236,
 tblCostChecklist[PlayerPaid],TRUE
)&gt;0</f>
        <v>0</v>
      </c>
      <c r="I1236" s="49">
        <f t="shared" si="1"/>
        <v>5</v>
      </c>
      <c r="J1236" s="49">
        <f t="shared" si="2"/>
        <v>0</v>
      </c>
      <c r="K1236" s="49">
        <f t="shared" si="3"/>
        <v>5</v>
      </c>
      <c r="L1236" s="49" t="b">
        <f t="shared" si="4"/>
        <v>0</v>
      </c>
      <c r="M1236" s="88">
        <f t="shared" si="5"/>
        <v>0</v>
      </c>
    </row>
    <row r="1237" ht="14.25" customHeight="1">
      <c r="A1237" s="49" t="s">
        <v>2240</v>
      </c>
      <c r="B1237" s="49" t="str">
        <f>IFERROR(__xludf.DUMMYFUNCTION("REGEXEXTRACT(A1237,""^cost\.(.*)\.[^.]+\.[^.]+$"")"),"citadel.great_hall")</f>
        <v>citadel.great_hall</v>
      </c>
      <c r="C1237" s="49" t="str">
        <f t="array" ref="C1237">_xlfn.XLOOKUP(
 B1237,
 tblTargets[TargetID],
 tblTargets[DisplayName],
 ""
)</f>
        <v>Great Hall</v>
      </c>
      <c r="D1237" s="49" t="str">
        <f t="array" ref="D1237">_xlfn.XLOOKUP(
 B1237,
 tblTargets[TargetID],
 tblTargets[TargetType],
 ""
)</f>
        <v>CITADEL</v>
      </c>
      <c r="E1237" s="49" t="s">
        <v>132</v>
      </c>
      <c r="F1237" s="87">
        <f>IFERROR(__xludf.DUMMYFUNCTION("VALUE(REGEXEXTRACT(A1237,""([^.]+)$""))"),1.0)</f>
        <v>1</v>
      </c>
      <c r="G1237" s="49">
        <v>20.0</v>
      </c>
      <c r="H1237" s="26" t="b">
        <f>COUNTIFS(
 tblCostChecklist[RequirementID],A1237,
 tblCostChecklist[PlayerPaid],TRUE
)&gt;0</f>
        <v>0</v>
      </c>
      <c r="I1237" s="49">
        <f t="shared" si="1"/>
        <v>5</v>
      </c>
      <c r="J1237" s="49">
        <f t="shared" si="2"/>
        <v>0</v>
      </c>
      <c r="K1237" s="49">
        <f t="shared" si="3"/>
        <v>5</v>
      </c>
      <c r="L1237" s="49" t="b">
        <f t="shared" si="4"/>
        <v>0</v>
      </c>
      <c r="M1237" s="88">
        <f t="shared" si="5"/>
        <v>0</v>
      </c>
    </row>
    <row r="1238" ht="14.25" customHeight="1">
      <c r="A1238" s="49" t="s">
        <v>2241</v>
      </c>
      <c r="B1238" s="49" t="str">
        <f>IFERROR(__xludf.DUMMYFUNCTION("REGEXEXTRACT(A1238,""^cost\.(.*)\.[^.]+\.[^.]+$"")"),"citadel.great_hall")</f>
        <v>citadel.great_hall</v>
      </c>
      <c r="C1238" s="49" t="str">
        <f t="array" ref="C1238">_xlfn.XLOOKUP(
 B1238,
 tblTargets[TargetID],
 tblTargets[DisplayName],
 ""
)</f>
        <v>Great Hall</v>
      </c>
      <c r="D1238" s="49" t="str">
        <f t="array" ref="D1238">_xlfn.XLOOKUP(
 B1238,
 tblTargets[TargetID],
 tblTargets[TargetType],
 ""
)</f>
        <v>CITADEL</v>
      </c>
      <c r="E1238" s="49" t="s">
        <v>6</v>
      </c>
      <c r="F1238" s="87">
        <f>IFERROR(__xludf.DUMMYFUNCTION("VALUE(REGEXEXTRACT(A1238,""([^.]+)$""))"),1.0)</f>
        <v>1</v>
      </c>
      <c r="G1238" s="49">
        <v>5.0</v>
      </c>
      <c r="H1238" s="26" t="b">
        <f>COUNTIFS(
 tblCostChecklist[RequirementID],A1238,
 tblCostChecklist[PlayerPaid],TRUE
)&gt;0</f>
        <v>0</v>
      </c>
      <c r="I1238" s="49">
        <f t="shared" si="1"/>
        <v>5</v>
      </c>
      <c r="J1238" s="49">
        <f t="shared" si="2"/>
        <v>0</v>
      </c>
      <c r="K1238" s="49">
        <f t="shared" si="3"/>
        <v>5</v>
      </c>
      <c r="L1238" s="49" t="b">
        <f t="shared" si="4"/>
        <v>0</v>
      </c>
      <c r="M1238" s="88">
        <f t="shared" si="5"/>
        <v>0</v>
      </c>
    </row>
    <row r="1239" ht="14.25" customHeight="1">
      <c r="A1239" s="49" t="s">
        <v>2242</v>
      </c>
      <c r="B1239" s="49" t="str">
        <f>IFERROR(__xludf.DUMMYFUNCTION("REGEXEXTRACT(A1239,""^cost\.(.*)\.[^.]+\.[^.]+$"")"),"citadel.great_hall")</f>
        <v>citadel.great_hall</v>
      </c>
      <c r="C1239" s="49" t="str">
        <f t="array" ref="C1239">_xlfn.XLOOKUP(
 B1239,
 tblTargets[TargetID],
 tblTargets[DisplayName],
 ""
)</f>
        <v>Great Hall</v>
      </c>
      <c r="D1239" s="49" t="str">
        <f t="array" ref="D1239">_xlfn.XLOOKUP(
 B1239,
 tblTargets[TargetID],
 tblTargets[TargetType],
 ""
)</f>
        <v>CITADEL</v>
      </c>
      <c r="E1239" s="49" t="s">
        <v>237</v>
      </c>
      <c r="F1239" s="87">
        <f>IFERROR(__xludf.DUMMYFUNCTION("VALUE(REGEXEXTRACT(A1239,""([^.]+)$""))"),1.0)</f>
        <v>1</v>
      </c>
      <c r="G1239" s="49">
        <v>600.0</v>
      </c>
      <c r="H1239" s="26" t="b">
        <f>COUNTIFS(
 tblCostChecklist[RequirementID],A1239,
 tblCostChecklist[PlayerPaid],TRUE
)&gt;0</f>
        <v>0</v>
      </c>
      <c r="I1239" s="49">
        <f t="shared" si="1"/>
        <v>5</v>
      </c>
      <c r="J1239" s="49">
        <f t="shared" si="2"/>
        <v>0</v>
      </c>
      <c r="K1239" s="49">
        <f t="shared" si="3"/>
        <v>5</v>
      </c>
      <c r="L1239" s="49" t="b">
        <f t="shared" si="4"/>
        <v>0</v>
      </c>
      <c r="M1239" s="88">
        <f t="shared" si="5"/>
        <v>0</v>
      </c>
    </row>
    <row r="1240" ht="14.25" customHeight="1">
      <c r="A1240" s="49" t="s">
        <v>2243</v>
      </c>
      <c r="B1240" s="49" t="str">
        <f>IFERROR(__xludf.DUMMYFUNCTION("REGEXEXTRACT(A1240,""^cost\.(.*)\.[^.]+\.[^.]+$"")"),"citadel.kitchen_and_buttery")</f>
        <v>citadel.kitchen_and_buttery</v>
      </c>
      <c r="C1240" s="49" t="str">
        <f t="array" ref="C1240">_xlfn.XLOOKUP(
 B1240,
 tblTargets[TargetID],
 tblTargets[DisplayName],
 ""
)</f>
        <v>Kitchen and Buttery</v>
      </c>
      <c r="D1240" s="49" t="str">
        <f t="array" ref="D1240">_xlfn.XLOOKUP(
 B1240,
 tblTargets[TargetID],
 tblTargets[TargetType],
 ""
)</f>
        <v>CITADEL</v>
      </c>
      <c r="E1240" s="49" t="s">
        <v>278</v>
      </c>
      <c r="F1240" s="87">
        <f>IFERROR(__xludf.DUMMYFUNCTION("VALUE(REGEXEXTRACT(A1240,""([^.]+)$""))"),1.0)</f>
        <v>1</v>
      </c>
      <c r="G1240" s="49">
        <v>400.0</v>
      </c>
      <c r="H1240" s="26" t="b">
        <f>COUNTIFS(
 tblCostChecklist[RequirementID],A1240,
 tblCostChecklist[PlayerPaid],TRUE
)&gt;0</f>
        <v>0</v>
      </c>
      <c r="I1240" s="49">
        <f t="shared" si="1"/>
        <v>5</v>
      </c>
      <c r="J1240" s="49">
        <f t="shared" si="2"/>
        <v>0</v>
      </c>
      <c r="K1240" s="49">
        <f t="shared" si="3"/>
        <v>5</v>
      </c>
      <c r="L1240" s="49" t="b">
        <f t="shared" si="4"/>
        <v>0</v>
      </c>
      <c r="M1240" s="88">
        <f t="shared" si="5"/>
        <v>0</v>
      </c>
    </row>
    <row r="1241" ht="14.25" customHeight="1">
      <c r="A1241" s="49" t="s">
        <v>2244</v>
      </c>
      <c r="B1241" s="49" t="str">
        <f>IFERROR(__xludf.DUMMYFUNCTION("REGEXEXTRACT(A1241,""^cost\.(.*)\.[^.]+\.[^.]+$"")"),"citadel.kitchen_and_buttery")</f>
        <v>citadel.kitchen_and_buttery</v>
      </c>
      <c r="C1241" s="49" t="str">
        <f t="array" ref="C1241">_xlfn.XLOOKUP(
 B1241,
 tblTargets[TargetID],
 tblTargets[DisplayName],
 ""
)</f>
        <v>Kitchen and Buttery</v>
      </c>
      <c r="D1241" s="49" t="str">
        <f t="array" ref="D1241">_xlfn.XLOOKUP(
 B1241,
 tblTargets[TargetID],
 tblTargets[TargetType],
 ""
)</f>
        <v>CITADEL</v>
      </c>
      <c r="E1241" s="49" t="s">
        <v>119</v>
      </c>
      <c r="F1241" s="87">
        <f>IFERROR(__xludf.DUMMYFUNCTION("VALUE(REGEXEXTRACT(A1241,""([^.]+)$""))"),1.0)</f>
        <v>1</v>
      </c>
      <c r="G1241" s="49">
        <v>400.0</v>
      </c>
      <c r="H1241" s="26" t="b">
        <f>COUNTIFS(
 tblCostChecklist[RequirementID],A1241,
 tblCostChecklist[PlayerPaid],TRUE
)&gt;0</f>
        <v>0</v>
      </c>
      <c r="I1241" s="49">
        <f t="shared" si="1"/>
        <v>5</v>
      </c>
      <c r="J1241" s="49">
        <f t="shared" si="2"/>
        <v>0</v>
      </c>
      <c r="K1241" s="49">
        <f t="shared" si="3"/>
        <v>5</v>
      </c>
      <c r="L1241" s="49" t="b">
        <f t="shared" si="4"/>
        <v>0</v>
      </c>
      <c r="M1241" s="88">
        <f t="shared" si="5"/>
        <v>0</v>
      </c>
    </row>
    <row r="1242" ht="14.25" customHeight="1">
      <c r="A1242" s="49" t="s">
        <v>2245</v>
      </c>
      <c r="B1242" s="49" t="str">
        <f>IFERROR(__xludf.DUMMYFUNCTION("REGEXEXTRACT(A1242,""^cost\.(.*)\.[^.]+\.[^.]+$"")"),"citadel.kitchen_and_buttery")</f>
        <v>citadel.kitchen_and_buttery</v>
      </c>
      <c r="C1242" s="49" t="str">
        <f t="array" ref="C1242">_xlfn.XLOOKUP(
 B1242,
 tblTargets[TargetID],
 tblTargets[DisplayName],
 ""
)</f>
        <v>Kitchen and Buttery</v>
      </c>
      <c r="D1242" s="49" t="str">
        <f t="array" ref="D1242">_xlfn.XLOOKUP(
 B1242,
 tblTargets[TargetID],
 tblTargets[TargetType],
 ""
)</f>
        <v>CITADEL</v>
      </c>
      <c r="E1242" s="49" t="s">
        <v>132</v>
      </c>
      <c r="F1242" s="87">
        <f>IFERROR(__xludf.DUMMYFUNCTION("VALUE(REGEXEXTRACT(A1242,""([^.]+)$""))"),1.0)</f>
        <v>1</v>
      </c>
      <c r="G1242" s="49">
        <v>10.0</v>
      </c>
      <c r="H1242" s="26" t="b">
        <f>COUNTIFS(
 tblCostChecklist[RequirementID],A1242,
 tblCostChecklist[PlayerPaid],TRUE
)&gt;0</f>
        <v>0</v>
      </c>
      <c r="I1242" s="49">
        <f t="shared" si="1"/>
        <v>5</v>
      </c>
      <c r="J1242" s="49">
        <f t="shared" si="2"/>
        <v>0</v>
      </c>
      <c r="K1242" s="49">
        <f t="shared" si="3"/>
        <v>5</v>
      </c>
      <c r="L1242" s="49" t="b">
        <f t="shared" si="4"/>
        <v>0</v>
      </c>
      <c r="M1242" s="88">
        <f t="shared" si="5"/>
        <v>0</v>
      </c>
    </row>
    <row r="1243" ht="14.25" customHeight="1">
      <c r="A1243" s="49" t="s">
        <v>2246</v>
      </c>
      <c r="B1243" s="49" t="str">
        <f>IFERROR(__xludf.DUMMYFUNCTION("REGEXEXTRACT(A1243,""^cost\.(.*)\.[^.]+\.[^.]+$"")"),"citadel.kitchen_and_buttery")</f>
        <v>citadel.kitchen_and_buttery</v>
      </c>
      <c r="C1243" s="49" t="str">
        <f t="array" ref="C1243">_xlfn.XLOOKUP(
 B1243,
 tblTargets[TargetID],
 tblTargets[DisplayName],
 ""
)</f>
        <v>Kitchen and Buttery</v>
      </c>
      <c r="D1243" s="49" t="str">
        <f t="array" ref="D1243">_xlfn.XLOOKUP(
 B1243,
 tblTargets[TargetID],
 tblTargets[TargetType],
 ""
)</f>
        <v>CITADEL</v>
      </c>
      <c r="E1243" s="49" t="s">
        <v>6</v>
      </c>
      <c r="F1243" s="87">
        <f>IFERROR(__xludf.DUMMYFUNCTION("VALUE(REGEXEXTRACT(A1243,""([^.]+)$""))"),1.0)</f>
        <v>1</v>
      </c>
      <c r="G1243" s="49">
        <v>2.0</v>
      </c>
      <c r="H1243" s="26" t="b">
        <f>COUNTIFS(
 tblCostChecklist[RequirementID],A1243,
 tblCostChecklist[PlayerPaid],TRUE
)&gt;0</f>
        <v>0</v>
      </c>
      <c r="I1243" s="49">
        <f t="shared" si="1"/>
        <v>5</v>
      </c>
      <c r="J1243" s="49">
        <f t="shared" si="2"/>
        <v>0</v>
      </c>
      <c r="K1243" s="49">
        <f t="shared" si="3"/>
        <v>5</v>
      </c>
      <c r="L1243" s="49" t="b">
        <f t="shared" si="4"/>
        <v>0</v>
      </c>
      <c r="M1243" s="88">
        <f t="shared" si="5"/>
        <v>0</v>
      </c>
    </row>
    <row r="1244" ht="14.25" customHeight="1">
      <c r="A1244" s="49" t="s">
        <v>2247</v>
      </c>
      <c r="B1244" s="49" t="str">
        <f>IFERROR(__xludf.DUMMYFUNCTION("REGEXEXTRACT(A1244,""^cost\.(.*)\.[^.]+\.[^.]+$"")"),"citadel.kitchen_and_buttery")</f>
        <v>citadel.kitchen_and_buttery</v>
      </c>
      <c r="C1244" s="49" t="str">
        <f t="array" ref="C1244">_xlfn.XLOOKUP(
 B1244,
 tblTargets[TargetID],
 tblTargets[DisplayName],
 ""
)</f>
        <v>Kitchen and Buttery</v>
      </c>
      <c r="D1244" s="49" t="str">
        <f t="array" ref="D1244">_xlfn.XLOOKUP(
 B1244,
 tblTargets[TargetID],
 tblTargets[TargetType],
 ""
)</f>
        <v>CITADEL</v>
      </c>
      <c r="E1244" s="49" t="s">
        <v>237</v>
      </c>
      <c r="F1244" s="87">
        <f>IFERROR(__xludf.DUMMYFUNCTION("VALUE(REGEXEXTRACT(A1244,""([^.]+)$""))"),1.0)</f>
        <v>1</v>
      </c>
      <c r="G1244" s="49">
        <v>400.0</v>
      </c>
      <c r="H1244" s="26" t="b">
        <f>COUNTIFS(
 tblCostChecklist[RequirementID],A1244,
 tblCostChecklist[PlayerPaid],TRUE
)&gt;0</f>
        <v>0</v>
      </c>
      <c r="I1244" s="49">
        <f t="shared" si="1"/>
        <v>5</v>
      </c>
      <c r="J1244" s="49">
        <f t="shared" si="2"/>
        <v>0</v>
      </c>
      <c r="K1244" s="49">
        <f t="shared" si="3"/>
        <v>5</v>
      </c>
      <c r="L1244" s="49" t="b">
        <f t="shared" si="4"/>
        <v>0</v>
      </c>
      <c r="M1244" s="88">
        <f t="shared" si="5"/>
        <v>0</v>
      </c>
    </row>
    <row r="1245" ht="14.25" customHeight="1">
      <c r="A1245" s="49" t="s">
        <v>2248</v>
      </c>
      <c r="B1245" s="49" t="str">
        <f>IFERROR(__xludf.DUMMYFUNCTION("REGEXEXTRACT(A1245,""^cost\.(.*)\.[^.]+\.[^.]+$"")"),"citadel.lair_lvl_1")</f>
        <v>citadel.lair_lvl_1</v>
      </c>
      <c r="C1245" s="49" t="str">
        <f t="array" ref="C1245">_xlfn.XLOOKUP(
 B1245,
 tblTargets[TargetID],
 tblTargets[DisplayName],
 ""
)</f>
        <v>Lair lvl. 1</v>
      </c>
      <c r="D1245" s="49" t="str">
        <f t="array" ref="D1245">_xlfn.XLOOKUP(
 B1245,
 tblTargets[TargetID],
 tblTargets[TargetType],
 ""
)</f>
        <v>CITADEL</v>
      </c>
      <c r="E1245" s="49" t="s">
        <v>1060</v>
      </c>
      <c r="F1245" s="87">
        <f>IFERROR(__xludf.DUMMYFUNCTION("VALUE(REGEXEXTRACT(A1245,""([^.]+)$""))"),1.0)</f>
        <v>1</v>
      </c>
      <c r="G1245" s="49">
        <v>200.0</v>
      </c>
      <c r="H1245" s="26" t="b">
        <f>COUNTIFS(
 tblCostChecklist[RequirementID],A1245,
 tblCostChecklist[PlayerPaid],TRUE
)&gt;0</f>
        <v>0</v>
      </c>
      <c r="I1245" s="49">
        <f t="shared" si="1"/>
        <v>6</v>
      </c>
      <c r="J1245" s="49">
        <f t="shared" si="2"/>
        <v>0</v>
      </c>
      <c r="K1245" s="49">
        <f t="shared" si="3"/>
        <v>6</v>
      </c>
      <c r="L1245" s="49" t="b">
        <f t="shared" si="4"/>
        <v>0</v>
      </c>
      <c r="M1245" s="88">
        <f t="shared" si="5"/>
        <v>0</v>
      </c>
    </row>
    <row r="1246" ht="14.25" customHeight="1">
      <c r="A1246" s="49" t="s">
        <v>2249</v>
      </c>
      <c r="B1246" s="49" t="str">
        <f>IFERROR(__xludf.DUMMYFUNCTION("REGEXEXTRACT(A1246,""^cost\.(.*)\.[^.]+\.[^.]+$"")"),"citadel.lair_lvl_1")</f>
        <v>citadel.lair_lvl_1</v>
      </c>
      <c r="C1246" s="49" t="str">
        <f t="array" ref="C1246">_xlfn.XLOOKUP(
 B1246,
 tblTargets[TargetID],
 tblTargets[DisplayName],
 ""
)</f>
        <v>Lair lvl. 1</v>
      </c>
      <c r="D1246" s="49" t="str">
        <f t="array" ref="D1246">_xlfn.XLOOKUP(
 B1246,
 tblTargets[TargetID],
 tblTargets[TargetType],
 ""
)</f>
        <v>CITADEL</v>
      </c>
      <c r="E1246" s="49" t="s">
        <v>530</v>
      </c>
      <c r="F1246" s="87">
        <f>IFERROR(__xludf.DUMMYFUNCTION("VALUE(REGEXEXTRACT(A1246,""([^.]+)$""))"),1.0)</f>
        <v>1</v>
      </c>
      <c r="G1246" s="49">
        <v>17.0</v>
      </c>
      <c r="H1246" s="26" t="b">
        <f>COUNTIFS(
 tblCostChecklist[RequirementID],A1246,
 tblCostChecklist[PlayerPaid],TRUE
)&gt;0</f>
        <v>0</v>
      </c>
      <c r="I1246" s="49">
        <f t="shared" si="1"/>
        <v>6</v>
      </c>
      <c r="J1246" s="49">
        <f t="shared" si="2"/>
        <v>0</v>
      </c>
      <c r="K1246" s="49">
        <f t="shared" si="3"/>
        <v>6</v>
      </c>
      <c r="L1246" s="49" t="b">
        <f t="shared" si="4"/>
        <v>0</v>
      </c>
      <c r="M1246" s="88">
        <f t="shared" si="5"/>
        <v>0</v>
      </c>
    </row>
    <row r="1247" ht="14.25" customHeight="1">
      <c r="A1247" s="49" t="s">
        <v>2250</v>
      </c>
      <c r="B1247" s="49" t="str">
        <f>IFERROR(__xludf.DUMMYFUNCTION("REGEXEXTRACT(A1247,""^cost\.(.*)\.[^.]+\.[^.]+$"")"),"citadel.lair_lvl_1")</f>
        <v>citadel.lair_lvl_1</v>
      </c>
      <c r="C1247" s="49" t="str">
        <f t="array" ref="C1247">_xlfn.XLOOKUP(
 B1247,
 tblTargets[TargetID],
 tblTargets[DisplayName],
 ""
)</f>
        <v>Lair lvl. 1</v>
      </c>
      <c r="D1247" s="49" t="str">
        <f t="array" ref="D1247">_xlfn.XLOOKUP(
 B1247,
 tblTargets[TargetID],
 tblTargets[TargetType],
 ""
)</f>
        <v>CITADEL</v>
      </c>
      <c r="E1247" s="49" t="s">
        <v>2251</v>
      </c>
      <c r="F1247" s="87">
        <f>IFERROR(__xludf.DUMMYFUNCTION("VALUE(REGEXEXTRACT(A1247,""([^.]+)$""))"),1.0)</f>
        <v>1</v>
      </c>
      <c r="G1247" s="49">
        <v>10.0</v>
      </c>
      <c r="H1247" s="26" t="b">
        <f>COUNTIFS(
 tblCostChecklist[RequirementID],A1247,
 tblCostChecklist[PlayerPaid],TRUE
)&gt;0</f>
        <v>0</v>
      </c>
      <c r="I1247" s="49">
        <f t="shared" si="1"/>
        <v>6</v>
      </c>
      <c r="J1247" s="49">
        <f t="shared" si="2"/>
        <v>0</v>
      </c>
      <c r="K1247" s="49">
        <f t="shared" si="3"/>
        <v>6</v>
      </c>
      <c r="L1247" s="49" t="b">
        <f t="shared" si="4"/>
        <v>0</v>
      </c>
      <c r="M1247" s="88">
        <f t="shared" si="5"/>
        <v>0</v>
      </c>
    </row>
    <row r="1248" ht="14.25" customHeight="1">
      <c r="A1248" s="49" t="s">
        <v>2252</v>
      </c>
      <c r="B1248" s="49" t="str">
        <f>IFERROR(__xludf.DUMMYFUNCTION("REGEXEXTRACT(A1248,""^cost\.(.*)\.[^.]+\.[^.]+$"")"),"citadel.lair_lvl_1")</f>
        <v>citadel.lair_lvl_1</v>
      </c>
      <c r="C1248" s="49" t="str">
        <f t="array" ref="C1248">_xlfn.XLOOKUP(
 B1248,
 tblTargets[TargetID],
 tblTargets[DisplayName],
 ""
)</f>
        <v>Lair lvl. 1</v>
      </c>
      <c r="D1248" s="49" t="str">
        <f t="array" ref="D1248">_xlfn.XLOOKUP(
 B1248,
 tblTargets[TargetID],
 tblTargets[TargetType],
 ""
)</f>
        <v>CITADEL</v>
      </c>
      <c r="E1248" s="49" t="s">
        <v>6</v>
      </c>
      <c r="F1248" s="87">
        <f>IFERROR(__xludf.DUMMYFUNCTION("VALUE(REGEXEXTRACT(A1248,""([^.]+)$""))"),1.0)</f>
        <v>1</v>
      </c>
      <c r="G1248" s="49">
        <v>5.0</v>
      </c>
      <c r="H1248" s="26" t="b">
        <f>COUNTIFS(
 tblCostChecklist[RequirementID],A1248,
 tblCostChecklist[PlayerPaid],TRUE
)&gt;0</f>
        <v>0</v>
      </c>
      <c r="I1248" s="49">
        <f t="shared" si="1"/>
        <v>6</v>
      </c>
      <c r="J1248" s="49">
        <f t="shared" si="2"/>
        <v>0</v>
      </c>
      <c r="K1248" s="49">
        <f t="shared" si="3"/>
        <v>6</v>
      </c>
      <c r="L1248" s="49" t="b">
        <f t="shared" si="4"/>
        <v>0</v>
      </c>
      <c r="M1248" s="88">
        <f t="shared" si="5"/>
        <v>0</v>
      </c>
    </row>
    <row r="1249" ht="14.25" customHeight="1">
      <c r="A1249" s="49" t="s">
        <v>2253</v>
      </c>
      <c r="B1249" s="49" t="str">
        <f>IFERROR(__xludf.DUMMYFUNCTION("REGEXEXTRACT(A1249,""^cost\.(.*)\.[^.]+\.[^.]+$"")"),"citadel.lair_lvl_1")</f>
        <v>citadel.lair_lvl_1</v>
      </c>
      <c r="C1249" s="49" t="str">
        <f t="array" ref="C1249">_xlfn.XLOOKUP(
 B1249,
 tblTargets[TargetID],
 tblTargets[DisplayName],
 ""
)</f>
        <v>Lair lvl. 1</v>
      </c>
      <c r="D1249" s="49" t="str">
        <f t="array" ref="D1249">_xlfn.XLOOKUP(
 B1249,
 tblTargets[TargetID],
 tblTargets[TargetType],
 ""
)</f>
        <v>CITADEL</v>
      </c>
      <c r="E1249" s="49" t="s">
        <v>2011</v>
      </c>
      <c r="F1249" s="87">
        <f>IFERROR(__xludf.DUMMYFUNCTION("VALUE(REGEXEXTRACT(A1249,""([^.]+)$""))"),1.0)</f>
        <v>1</v>
      </c>
      <c r="G1249" s="49">
        <v>3.0</v>
      </c>
      <c r="H1249" s="26" t="b">
        <f>COUNTIFS(
 tblCostChecklist[RequirementID],A1249,
 tblCostChecklist[PlayerPaid],TRUE
)&gt;0</f>
        <v>0</v>
      </c>
      <c r="I1249" s="49">
        <f t="shared" si="1"/>
        <v>6</v>
      </c>
      <c r="J1249" s="49">
        <f t="shared" si="2"/>
        <v>0</v>
      </c>
      <c r="K1249" s="49">
        <f t="shared" si="3"/>
        <v>6</v>
      </c>
      <c r="L1249" s="49" t="b">
        <f t="shared" si="4"/>
        <v>0</v>
      </c>
      <c r="M1249" s="88">
        <f t="shared" si="5"/>
        <v>0</v>
      </c>
    </row>
    <row r="1250" ht="14.25" customHeight="1">
      <c r="A1250" s="49" t="s">
        <v>2254</v>
      </c>
      <c r="B1250" s="49" t="str">
        <f>IFERROR(__xludf.DUMMYFUNCTION("REGEXEXTRACT(A1250,""^cost\.(.*)\.[^.]+\.[^.]+$"")"),"citadel.lair_lvl_1")</f>
        <v>citadel.lair_lvl_1</v>
      </c>
      <c r="C1250" s="49" t="str">
        <f t="array" ref="C1250">_xlfn.XLOOKUP(
 B1250,
 tblTargets[TargetID],
 tblTargets[DisplayName],
 ""
)</f>
        <v>Lair lvl. 1</v>
      </c>
      <c r="D1250" s="49" t="str">
        <f t="array" ref="D1250">_xlfn.XLOOKUP(
 B1250,
 tblTargets[TargetID],
 tblTargets[TargetType],
 ""
)</f>
        <v>CITADEL</v>
      </c>
      <c r="E1250" s="49" t="s">
        <v>244</v>
      </c>
      <c r="F1250" s="87">
        <f>IFERROR(__xludf.DUMMYFUNCTION("VALUE(REGEXEXTRACT(A1250,""([^.]+)$""))"),1.0)</f>
        <v>1</v>
      </c>
      <c r="G1250" s="49">
        <v>300.0</v>
      </c>
      <c r="H1250" s="26" t="b">
        <f>COUNTIFS(
 tblCostChecklist[RequirementID],A1250,
 tblCostChecklist[PlayerPaid],TRUE
)&gt;0</f>
        <v>0</v>
      </c>
      <c r="I1250" s="49">
        <f t="shared" si="1"/>
        <v>6</v>
      </c>
      <c r="J1250" s="49">
        <f t="shared" si="2"/>
        <v>0</v>
      </c>
      <c r="K1250" s="49">
        <f t="shared" si="3"/>
        <v>6</v>
      </c>
      <c r="L1250" s="49" t="b">
        <f t="shared" si="4"/>
        <v>0</v>
      </c>
      <c r="M1250" s="88">
        <f t="shared" si="5"/>
        <v>0</v>
      </c>
    </row>
    <row r="1251" ht="14.25" customHeight="1">
      <c r="A1251" s="49" t="s">
        <v>2255</v>
      </c>
      <c r="B1251" s="49" t="str">
        <f>IFERROR(__xludf.DUMMYFUNCTION("REGEXEXTRACT(A1251,""^cost\.(.*)\.[^.]+\.[^.]+$"")"),"citadel.lair_lvl_2")</f>
        <v>citadel.lair_lvl_2</v>
      </c>
      <c r="C1251" s="49" t="str">
        <f t="array" ref="C1251">_xlfn.XLOOKUP(
 B1251,
 tblTargets[TargetID],
 tblTargets[DisplayName],
 ""
)</f>
        <v>Lair lvl. 2</v>
      </c>
      <c r="D1251" s="49" t="str">
        <f t="array" ref="D1251">_xlfn.XLOOKUP(
 B1251,
 tblTargets[TargetID],
 tblTargets[TargetType],
 ""
)</f>
        <v>CITADEL</v>
      </c>
      <c r="E1251" s="49" t="s">
        <v>1060</v>
      </c>
      <c r="F1251" s="87">
        <f>IFERROR(__xludf.DUMMYFUNCTION("VALUE(REGEXEXTRACT(A1251,""([^.]+)$""))"),1.0)</f>
        <v>1</v>
      </c>
      <c r="G1251" s="49">
        <v>400.0</v>
      </c>
      <c r="H1251" s="26" t="b">
        <f>COUNTIFS(
 tblCostChecklist[RequirementID],A1251,
 tblCostChecklist[PlayerPaid],TRUE
)&gt;0</f>
        <v>0</v>
      </c>
      <c r="I1251" s="49">
        <f t="shared" si="1"/>
        <v>6</v>
      </c>
      <c r="J1251" s="49">
        <f t="shared" si="2"/>
        <v>0</v>
      </c>
      <c r="K1251" s="49">
        <f t="shared" si="3"/>
        <v>6</v>
      </c>
      <c r="L1251" s="49" t="b">
        <f t="shared" si="4"/>
        <v>0</v>
      </c>
      <c r="M1251" s="88">
        <f t="shared" si="5"/>
        <v>0</v>
      </c>
    </row>
    <row r="1252" ht="14.25" customHeight="1">
      <c r="A1252" s="49" t="s">
        <v>2256</v>
      </c>
      <c r="B1252" s="49" t="str">
        <f>IFERROR(__xludf.DUMMYFUNCTION("REGEXEXTRACT(A1252,""^cost\.(.*)\.[^.]+\.[^.]+$"")"),"citadel.lair_lvl_2")</f>
        <v>citadel.lair_lvl_2</v>
      </c>
      <c r="C1252" s="49" t="str">
        <f t="array" ref="C1252">_xlfn.XLOOKUP(
 B1252,
 tblTargets[TargetID],
 tblTargets[DisplayName],
 ""
)</f>
        <v>Lair lvl. 2</v>
      </c>
      <c r="D1252" s="49" t="str">
        <f t="array" ref="D1252">_xlfn.XLOOKUP(
 B1252,
 tblTargets[TargetID],
 tblTargets[TargetType],
 ""
)</f>
        <v>CITADEL</v>
      </c>
      <c r="E1252" s="49" t="s">
        <v>530</v>
      </c>
      <c r="F1252" s="87">
        <f>IFERROR(__xludf.DUMMYFUNCTION("VALUE(REGEXEXTRACT(A1252,""([^.]+)$""))"),1.0)</f>
        <v>1</v>
      </c>
      <c r="G1252" s="49">
        <v>19.0</v>
      </c>
      <c r="H1252" s="26" t="b">
        <f>COUNTIFS(
 tblCostChecklist[RequirementID],A1252,
 tblCostChecklist[PlayerPaid],TRUE
)&gt;0</f>
        <v>0</v>
      </c>
      <c r="I1252" s="49">
        <f t="shared" si="1"/>
        <v>6</v>
      </c>
      <c r="J1252" s="49">
        <f t="shared" si="2"/>
        <v>0</v>
      </c>
      <c r="K1252" s="49">
        <f t="shared" si="3"/>
        <v>6</v>
      </c>
      <c r="L1252" s="49" t="b">
        <f t="shared" si="4"/>
        <v>0</v>
      </c>
      <c r="M1252" s="88">
        <f t="shared" si="5"/>
        <v>0</v>
      </c>
    </row>
    <row r="1253" ht="14.25" customHeight="1">
      <c r="A1253" s="49" t="s">
        <v>2257</v>
      </c>
      <c r="B1253" s="49" t="str">
        <f>IFERROR(__xludf.DUMMYFUNCTION("REGEXEXTRACT(A1253,""^cost\.(.*)\.[^.]+\.[^.]+$"")"),"citadel.lair_lvl_2")</f>
        <v>citadel.lair_lvl_2</v>
      </c>
      <c r="C1253" s="49" t="str">
        <f t="array" ref="C1253">_xlfn.XLOOKUP(
 B1253,
 tblTargets[TargetID],
 tblTargets[DisplayName],
 ""
)</f>
        <v>Lair lvl. 2</v>
      </c>
      <c r="D1253" s="49" t="str">
        <f t="array" ref="D1253">_xlfn.XLOOKUP(
 B1253,
 tblTargets[TargetID],
 tblTargets[TargetType],
 ""
)</f>
        <v>CITADEL</v>
      </c>
      <c r="E1253" s="49" t="s">
        <v>2251</v>
      </c>
      <c r="F1253" s="87">
        <f>IFERROR(__xludf.DUMMYFUNCTION("VALUE(REGEXEXTRACT(A1253,""([^.]+)$""))"),1.0)</f>
        <v>1</v>
      </c>
      <c r="G1253" s="49">
        <v>20.0</v>
      </c>
      <c r="H1253" s="26" t="b">
        <f>COUNTIFS(
 tblCostChecklist[RequirementID],A1253,
 tblCostChecklist[PlayerPaid],TRUE
)&gt;0</f>
        <v>0</v>
      </c>
      <c r="I1253" s="49">
        <f t="shared" si="1"/>
        <v>6</v>
      </c>
      <c r="J1253" s="49">
        <f t="shared" si="2"/>
        <v>0</v>
      </c>
      <c r="K1253" s="49">
        <f t="shared" si="3"/>
        <v>6</v>
      </c>
      <c r="L1253" s="49" t="b">
        <f t="shared" si="4"/>
        <v>0</v>
      </c>
      <c r="M1253" s="88">
        <f t="shared" si="5"/>
        <v>0</v>
      </c>
    </row>
    <row r="1254" ht="14.25" customHeight="1">
      <c r="A1254" s="49" t="s">
        <v>2258</v>
      </c>
      <c r="B1254" s="49" t="str">
        <f>IFERROR(__xludf.DUMMYFUNCTION("REGEXEXTRACT(A1254,""^cost\.(.*)\.[^.]+\.[^.]+$"")"),"citadel.lair_lvl_2")</f>
        <v>citadel.lair_lvl_2</v>
      </c>
      <c r="C1254" s="49" t="str">
        <f t="array" ref="C1254">_xlfn.XLOOKUP(
 B1254,
 tblTargets[TargetID],
 tblTargets[DisplayName],
 ""
)</f>
        <v>Lair lvl. 2</v>
      </c>
      <c r="D1254" s="49" t="str">
        <f t="array" ref="D1254">_xlfn.XLOOKUP(
 B1254,
 tblTargets[TargetID],
 tblTargets[TargetType],
 ""
)</f>
        <v>CITADEL</v>
      </c>
      <c r="E1254" s="49" t="s">
        <v>6</v>
      </c>
      <c r="F1254" s="87">
        <f>IFERROR(__xludf.DUMMYFUNCTION("VALUE(REGEXEXTRACT(A1254,""([^.]+)$""))"),1.0)</f>
        <v>1</v>
      </c>
      <c r="G1254" s="49">
        <v>10.0</v>
      </c>
      <c r="H1254" s="26" t="b">
        <f>COUNTIFS(
 tblCostChecklist[RequirementID],A1254,
 tblCostChecklist[PlayerPaid],TRUE
)&gt;0</f>
        <v>0</v>
      </c>
      <c r="I1254" s="49">
        <f t="shared" si="1"/>
        <v>6</v>
      </c>
      <c r="J1254" s="49">
        <f t="shared" si="2"/>
        <v>0</v>
      </c>
      <c r="K1254" s="49">
        <f t="shared" si="3"/>
        <v>6</v>
      </c>
      <c r="L1254" s="49" t="b">
        <f t="shared" si="4"/>
        <v>0</v>
      </c>
      <c r="M1254" s="88">
        <f t="shared" si="5"/>
        <v>0</v>
      </c>
    </row>
    <row r="1255" ht="14.25" customHeight="1">
      <c r="A1255" s="49" t="s">
        <v>2259</v>
      </c>
      <c r="B1255" s="49" t="str">
        <f>IFERROR(__xludf.DUMMYFUNCTION("REGEXEXTRACT(A1255,""^cost\.(.*)\.[^.]+\.[^.]+$"")"),"citadel.lair_lvl_2")</f>
        <v>citadel.lair_lvl_2</v>
      </c>
      <c r="C1255" s="49" t="str">
        <f t="array" ref="C1255">_xlfn.XLOOKUP(
 B1255,
 tblTargets[TargetID],
 tblTargets[DisplayName],
 ""
)</f>
        <v>Lair lvl. 2</v>
      </c>
      <c r="D1255" s="49" t="str">
        <f t="array" ref="D1255">_xlfn.XLOOKUP(
 B1255,
 tblTargets[TargetID],
 tblTargets[TargetType],
 ""
)</f>
        <v>CITADEL</v>
      </c>
      <c r="E1255" s="49" t="s">
        <v>2011</v>
      </c>
      <c r="F1255" s="87">
        <f>IFERROR(__xludf.DUMMYFUNCTION("VALUE(REGEXEXTRACT(A1255,""([^.]+)$""))"),1.0)</f>
        <v>1</v>
      </c>
      <c r="G1255" s="49">
        <v>6.0</v>
      </c>
      <c r="H1255" s="26" t="b">
        <f>COUNTIFS(
 tblCostChecklist[RequirementID],A1255,
 tblCostChecklist[PlayerPaid],TRUE
)&gt;0</f>
        <v>0</v>
      </c>
      <c r="I1255" s="49">
        <f t="shared" si="1"/>
        <v>6</v>
      </c>
      <c r="J1255" s="49">
        <f t="shared" si="2"/>
        <v>0</v>
      </c>
      <c r="K1255" s="49">
        <f t="shared" si="3"/>
        <v>6</v>
      </c>
      <c r="L1255" s="49" t="b">
        <f t="shared" si="4"/>
        <v>0</v>
      </c>
      <c r="M1255" s="88">
        <f t="shared" si="5"/>
        <v>0</v>
      </c>
    </row>
    <row r="1256" ht="14.25" customHeight="1">
      <c r="A1256" s="49" t="s">
        <v>2260</v>
      </c>
      <c r="B1256" s="49" t="str">
        <f>IFERROR(__xludf.DUMMYFUNCTION("REGEXEXTRACT(A1256,""^cost\.(.*)\.[^.]+\.[^.]+$"")"),"citadel.lair_lvl_2")</f>
        <v>citadel.lair_lvl_2</v>
      </c>
      <c r="C1256" s="49" t="str">
        <f t="array" ref="C1256">_xlfn.XLOOKUP(
 B1256,
 tblTargets[TargetID],
 tblTargets[DisplayName],
 ""
)</f>
        <v>Lair lvl. 2</v>
      </c>
      <c r="D1256" s="49" t="str">
        <f t="array" ref="D1256">_xlfn.XLOOKUP(
 B1256,
 tblTargets[TargetID],
 tblTargets[TargetType],
 ""
)</f>
        <v>CITADEL</v>
      </c>
      <c r="E1256" s="49" t="s">
        <v>244</v>
      </c>
      <c r="F1256" s="87">
        <f>IFERROR(__xludf.DUMMYFUNCTION("VALUE(REGEXEXTRACT(A1256,""([^.]+)$""))"),1.0)</f>
        <v>1</v>
      </c>
      <c r="G1256" s="49">
        <v>600.0</v>
      </c>
      <c r="H1256" s="26" t="b">
        <f>COUNTIFS(
 tblCostChecklist[RequirementID],A1256,
 tblCostChecklist[PlayerPaid],TRUE
)&gt;0</f>
        <v>0</v>
      </c>
      <c r="I1256" s="49">
        <f t="shared" si="1"/>
        <v>6</v>
      </c>
      <c r="J1256" s="49">
        <f t="shared" si="2"/>
        <v>0</v>
      </c>
      <c r="K1256" s="49">
        <f t="shared" si="3"/>
        <v>6</v>
      </c>
      <c r="L1256" s="49" t="b">
        <f t="shared" si="4"/>
        <v>0</v>
      </c>
      <c r="M1256" s="88">
        <f t="shared" si="5"/>
        <v>0</v>
      </c>
    </row>
    <row r="1257" ht="14.25" customHeight="1">
      <c r="A1257" s="49" t="s">
        <v>2261</v>
      </c>
      <c r="B1257" s="49" t="str">
        <f>IFERROR(__xludf.DUMMYFUNCTION("REGEXEXTRACT(A1257,""^cost\.(.*)\.[^.]+\.[^.]+$"")"),"citadel.mushroom_farm")</f>
        <v>citadel.mushroom_farm</v>
      </c>
      <c r="C1257" s="49" t="str">
        <f t="array" ref="C1257">_xlfn.XLOOKUP(
 B1257,
 tblTargets[TargetID],
 tblTargets[DisplayName],
 ""
)</f>
        <v>Mushroom Farm</v>
      </c>
      <c r="D1257" s="49" t="str">
        <f t="array" ref="D1257">_xlfn.XLOOKUP(
 B1257,
 tblTargets[TargetID],
 tblTargets[TargetType],
 ""
)</f>
        <v>CITADEL</v>
      </c>
      <c r="E1257" s="49" t="s">
        <v>278</v>
      </c>
      <c r="F1257" s="87">
        <f>IFERROR(__xludf.DUMMYFUNCTION("VALUE(REGEXEXTRACT(A1257,""([^.]+)$""))"),1.0)</f>
        <v>1</v>
      </c>
      <c r="G1257" s="49">
        <v>400.0</v>
      </c>
      <c r="H1257" s="26" t="b">
        <f>COUNTIFS(
 tblCostChecklist[RequirementID],A1257,
 tblCostChecklist[PlayerPaid],TRUE
)&gt;0</f>
        <v>0</v>
      </c>
      <c r="I1257" s="49">
        <f t="shared" si="1"/>
        <v>5</v>
      </c>
      <c r="J1257" s="49">
        <f t="shared" si="2"/>
        <v>0</v>
      </c>
      <c r="K1257" s="49">
        <f t="shared" si="3"/>
        <v>5</v>
      </c>
      <c r="L1257" s="49" t="b">
        <f t="shared" si="4"/>
        <v>0</v>
      </c>
      <c r="M1257" s="88">
        <f t="shared" si="5"/>
        <v>0</v>
      </c>
    </row>
    <row r="1258" ht="14.25" customHeight="1">
      <c r="A1258" s="49" t="s">
        <v>2262</v>
      </c>
      <c r="B1258" s="49" t="str">
        <f>IFERROR(__xludf.DUMMYFUNCTION("REGEXEXTRACT(A1258,""^cost\.(.*)\.[^.]+\.[^.]+$"")"),"citadel.mushroom_farm")</f>
        <v>citadel.mushroom_farm</v>
      </c>
      <c r="C1258" s="49" t="str">
        <f t="array" ref="C1258">_xlfn.XLOOKUP(
 B1258,
 tblTargets[TargetID],
 tblTargets[DisplayName],
 ""
)</f>
        <v>Mushroom Farm</v>
      </c>
      <c r="D1258" s="49" t="str">
        <f t="array" ref="D1258">_xlfn.XLOOKUP(
 B1258,
 tblTargets[TargetID],
 tblTargets[TargetType],
 ""
)</f>
        <v>CITADEL</v>
      </c>
      <c r="E1258" s="49" t="s">
        <v>119</v>
      </c>
      <c r="F1258" s="87">
        <f>IFERROR(__xludf.DUMMYFUNCTION("VALUE(REGEXEXTRACT(A1258,""([^.]+)$""))"),1.0)</f>
        <v>1</v>
      </c>
      <c r="G1258" s="49">
        <v>400.0</v>
      </c>
      <c r="H1258" s="26" t="b">
        <f>COUNTIFS(
 tblCostChecklist[RequirementID],A1258,
 tblCostChecklist[PlayerPaid],TRUE
)&gt;0</f>
        <v>0</v>
      </c>
      <c r="I1258" s="49">
        <f t="shared" si="1"/>
        <v>5</v>
      </c>
      <c r="J1258" s="49">
        <f t="shared" si="2"/>
        <v>0</v>
      </c>
      <c r="K1258" s="49">
        <f t="shared" si="3"/>
        <v>5</v>
      </c>
      <c r="L1258" s="49" t="b">
        <f t="shared" si="4"/>
        <v>0</v>
      </c>
      <c r="M1258" s="88">
        <f t="shared" si="5"/>
        <v>0</v>
      </c>
    </row>
    <row r="1259" ht="14.25" customHeight="1">
      <c r="A1259" s="49" t="s">
        <v>2263</v>
      </c>
      <c r="B1259" s="49" t="str">
        <f>IFERROR(__xludf.DUMMYFUNCTION("REGEXEXTRACT(A1259,""^cost\.(.*)\.[^.]+\.[^.]+$"")"),"citadel.mushroom_farm")</f>
        <v>citadel.mushroom_farm</v>
      </c>
      <c r="C1259" s="49" t="str">
        <f t="array" ref="C1259">_xlfn.XLOOKUP(
 B1259,
 tblTargets[TargetID],
 tblTargets[DisplayName],
 ""
)</f>
        <v>Mushroom Farm</v>
      </c>
      <c r="D1259" s="49" t="str">
        <f t="array" ref="D1259">_xlfn.XLOOKUP(
 B1259,
 tblTargets[TargetID],
 tblTargets[TargetType],
 ""
)</f>
        <v>CITADEL</v>
      </c>
      <c r="E1259" s="49" t="s">
        <v>132</v>
      </c>
      <c r="F1259" s="87">
        <f>IFERROR(__xludf.DUMMYFUNCTION("VALUE(REGEXEXTRACT(A1259,""([^.]+)$""))"),1.0)</f>
        <v>1</v>
      </c>
      <c r="G1259" s="49">
        <v>10.0</v>
      </c>
      <c r="H1259" s="26" t="b">
        <f>COUNTIFS(
 tblCostChecklist[RequirementID],A1259,
 tblCostChecklist[PlayerPaid],TRUE
)&gt;0</f>
        <v>0</v>
      </c>
      <c r="I1259" s="49">
        <f t="shared" si="1"/>
        <v>5</v>
      </c>
      <c r="J1259" s="49">
        <f t="shared" si="2"/>
        <v>0</v>
      </c>
      <c r="K1259" s="49">
        <f t="shared" si="3"/>
        <v>5</v>
      </c>
      <c r="L1259" s="49" t="b">
        <f t="shared" si="4"/>
        <v>0</v>
      </c>
      <c r="M1259" s="88">
        <f t="shared" si="5"/>
        <v>0</v>
      </c>
    </row>
    <row r="1260" ht="14.25" customHeight="1">
      <c r="A1260" s="49" t="s">
        <v>2264</v>
      </c>
      <c r="B1260" s="49" t="str">
        <f>IFERROR(__xludf.DUMMYFUNCTION("REGEXEXTRACT(A1260,""^cost\.(.*)\.[^.]+\.[^.]+$"")"),"citadel.mushroom_farm")</f>
        <v>citadel.mushroom_farm</v>
      </c>
      <c r="C1260" s="49" t="str">
        <f t="array" ref="C1260">_xlfn.XLOOKUP(
 B1260,
 tblTargets[TargetID],
 tblTargets[DisplayName],
 ""
)</f>
        <v>Mushroom Farm</v>
      </c>
      <c r="D1260" s="49" t="str">
        <f t="array" ref="D1260">_xlfn.XLOOKUP(
 B1260,
 tblTargets[TargetID],
 tblTargets[TargetType],
 ""
)</f>
        <v>CITADEL</v>
      </c>
      <c r="E1260" s="49" t="s">
        <v>6</v>
      </c>
      <c r="F1260" s="87">
        <f>IFERROR(__xludf.DUMMYFUNCTION("VALUE(REGEXEXTRACT(A1260,""([^.]+)$""))"),1.0)</f>
        <v>1</v>
      </c>
      <c r="G1260" s="49">
        <v>2.0</v>
      </c>
      <c r="H1260" s="26" t="b">
        <f>COUNTIFS(
 tblCostChecklist[RequirementID],A1260,
 tblCostChecklist[PlayerPaid],TRUE
)&gt;0</f>
        <v>0</v>
      </c>
      <c r="I1260" s="49">
        <f t="shared" si="1"/>
        <v>5</v>
      </c>
      <c r="J1260" s="49">
        <f t="shared" si="2"/>
        <v>0</v>
      </c>
      <c r="K1260" s="49">
        <f t="shared" si="3"/>
        <v>5</v>
      </c>
      <c r="L1260" s="49" t="b">
        <f t="shared" si="4"/>
        <v>0</v>
      </c>
      <c r="M1260" s="88">
        <f t="shared" si="5"/>
        <v>0</v>
      </c>
    </row>
    <row r="1261" ht="14.25" customHeight="1">
      <c r="A1261" s="49" t="s">
        <v>2265</v>
      </c>
      <c r="B1261" s="49" t="str">
        <f>IFERROR(__xludf.DUMMYFUNCTION("REGEXEXTRACT(A1261,""^cost\.(.*)\.[^.]+\.[^.]+$"")"),"citadel.mushroom_farm")</f>
        <v>citadel.mushroom_farm</v>
      </c>
      <c r="C1261" s="49" t="str">
        <f t="array" ref="C1261">_xlfn.XLOOKUP(
 B1261,
 tblTargets[TargetID],
 tblTargets[DisplayName],
 ""
)</f>
        <v>Mushroom Farm</v>
      </c>
      <c r="D1261" s="49" t="str">
        <f t="array" ref="D1261">_xlfn.XLOOKUP(
 B1261,
 tblTargets[TargetID],
 tblTargets[TargetType],
 ""
)</f>
        <v>CITADEL</v>
      </c>
      <c r="E1261" s="49" t="s">
        <v>237</v>
      </c>
      <c r="F1261" s="87">
        <f>IFERROR(__xludf.DUMMYFUNCTION("VALUE(REGEXEXTRACT(A1261,""([^.]+)$""))"),1.0)</f>
        <v>1</v>
      </c>
      <c r="G1261" s="49">
        <v>400.0</v>
      </c>
      <c r="H1261" s="26" t="b">
        <f>COUNTIFS(
 tblCostChecklist[RequirementID],A1261,
 tblCostChecklist[PlayerPaid],TRUE
)&gt;0</f>
        <v>0</v>
      </c>
      <c r="I1261" s="49">
        <f t="shared" si="1"/>
        <v>5</v>
      </c>
      <c r="J1261" s="49">
        <f t="shared" si="2"/>
        <v>0</v>
      </c>
      <c r="K1261" s="49">
        <f t="shared" si="3"/>
        <v>5</v>
      </c>
      <c r="L1261" s="49" t="b">
        <f t="shared" si="4"/>
        <v>0</v>
      </c>
      <c r="M1261" s="88">
        <f t="shared" si="5"/>
        <v>0</v>
      </c>
    </row>
    <row r="1262" ht="14.25" customHeight="1">
      <c r="A1262" s="49" t="s">
        <v>2266</v>
      </c>
      <c r="B1262" s="49" t="str">
        <f>IFERROR(__xludf.DUMMYFUNCTION("REGEXEXTRACT(A1262,""^cost\.(.*)\.[^.]+\.[^.]+$"")"),"citadel.orangery")</f>
        <v>citadel.orangery</v>
      </c>
      <c r="C1262" s="49" t="str">
        <f t="array" ref="C1262">_xlfn.XLOOKUP(
 B1262,
 tblTargets[TargetID],
 tblTargets[DisplayName],
 ""
)</f>
        <v>Orangery</v>
      </c>
      <c r="D1262" s="49" t="str">
        <f t="array" ref="D1262">_xlfn.XLOOKUP(
 B1262,
 tblTargets[TargetID],
 tblTargets[TargetType],
 ""
)</f>
        <v>CITADEL</v>
      </c>
      <c r="E1262" s="49" t="s">
        <v>278</v>
      </c>
      <c r="F1262" s="87">
        <f>IFERROR(__xludf.DUMMYFUNCTION("VALUE(REGEXEXTRACT(A1262,""([^.]+)$""))"),1.0)</f>
        <v>1</v>
      </c>
      <c r="G1262" s="49">
        <v>400.0</v>
      </c>
      <c r="H1262" s="26" t="b">
        <f>COUNTIFS(
 tblCostChecklist[RequirementID],A1262,
 tblCostChecklist[PlayerPaid],TRUE
)&gt;0</f>
        <v>0</v>
      </c>
      <c r="I1262" s="49">
        <f t="shared" si="1"/>
        <v>5</v>
      </c>
      <c r="J1262" s="49">
        <f t="shared" si="2"/>
        <v>0</v>
      </c>
      <c r="K1262" s="49">
        <f t="shared" si="3"/>
        <v>5</v>
      </c>
      <c r="L1262" s="49" t="b">
        <f t="shared" si="4"/>
        <v>0</v>
      </c>
      <c r="M1262" s="88">
        <f t="shared" si="5"/>
        <v>0</v>
      </c>
    </row>
    <row r="1263" ht="14.25" customHeight="1">
      <c r="A1263" s="49" t="s">
        <v>2267</v>
      </c>
      <c r="B1263" s="49" t="str">
        <f>IFERROR(__xludf.DUMMYFUNCTION("REGEXEXTRACT(A1263,""^cost\.(.*)\.[^.]+\.[^.]+$"")"),"citadel.orangery")</f>
        <v>citadel.orangery</v>
      </c>
      <c r="C1263" s="49" t="str">
        <f t="array" ref="C1263">_xlfn.XLOOKUP(
 B1263,
 tblTargets[TargetID],
 tblTargets[DisplayName],
 ""
)</f>
        <v>Orangery</v>
      </c>
      <c r="D1263" s="49" t="str">
        <f t="array" ref="D1263">_xlfn.XLOOKUP(
 B1263,
 tblTargets[TargetID],
 tblTargets[TargetType],
 ""
)</f>
        <v>CITADEL</v>
      </c>
      <c r="E1263" s="49" t="s">
        <v>119</v>
      </c>
      <c r="F1263" s="87">
        <f>IFERROR(__xludf.DUMMYFUNCTION("VALUE(REGEXEXTRACT(A1263,""([^.]+)$""))"),1.0)</f>
        <v>1</v>
      </c>
      <c r="G1263" s="49">
        <v>400.0</v>
      </c>
      <c r="H1263" s="26" t="b">
        <f>COUNTIFS(
 tblCostChecklist[RequirementID],A1263,
 tblCostChecklist[PlayerPaid],TRUE
)&gt;0</f>
        <v>0</v>
      </c>
      <c r="I1263" s="49">
        <f t="shared" si="1"/>
        <v>5</v>
      </c>
      <c r="J1263" s="49">
        <f t="shared" si="2"/>
        <v>0</v>
      </c>
      <c r="K1263" s="49">
        <f t="shared" si="3"/>
        <v>5</v>
      </c>
      <c r="L1263" s="49" t="b">
        <f t="shared" si="4"/>
        <v>0</v>
      </c>
      <c r="M1263" s="88">
        <f t="shared" si="5"/>
        <v>0</v>
      </c>
    </row>
    <row r="1264" ht="14.25" customHeight="1">
      <c r="A1264" s="49" t="s">
        <v>2268</v>
      </c>
      <c r="B1264" s="49" t="str">
        <f>IFERROR(__xludf.DUMMYFUNCTION("REGEXEXTRACT(A1264,""^cost\.(.*)\.[^.]+\.[^.]+$"")"),"citadel.orangery")</f>
        <v>citadel.orangery</v>
      </c>
      <c r="C1264" s="49" t="str">
        <f t="array" ref="C1264">_xlfn.XLOOKUP(
 B1264,
 tblTargets[TargetID],
 tblTargets[DisplayName],
 ""
)</f>
        <v>Orangery</v>
      </c>
      <c r="D1264" s="49" t="str">
        <f t="array" ref="D1264">_xlfn.XLOOKUP(
 B1264,
 tblTargets[TargetID],
 tblTargets[TargetType],
 ""
)</f>
        <v>CITADEL</v>
      </c>
      <c r="E1264" s="49" t="s">
        <v>132</v>
      </c>
      <c r="F1264" s="87">
        <f>IFERROR(__xludf.DUMMYFUNCTION("VALUE(REGEXEXTRACT(A1264,""([^.]+)$""))"),1.0)</f>
        <v>1</v>
      </c>
      <c r="G1264" s="49">
        <v>10.0</v>
      </c>
      <c r="H1264" s="26" t="b">
        <f>COUNTIFS(
 tblCostChecklist[RequirementID],A1264,
 tblCostChecklist[PlayerPaid],TRUE
)&gt;0</f>
        <v>0</v>
      </c>
      <c r="I1264" s="49">
        <f t="shared" si="1"/>
        <v>5</v>
      </c>
      <c r="J1264" s="49">
        <f t="shared" si="2"/>
        <v>0</v>
      </c>
      <c r="K1264" s="49">
        <f t="shared" si="3"/>
        <v>5</v>
      </c>
      <c r="L1264" s="49" t="b">
        <f t="shared" si="4"/>
        <v>0</v>
      </c>
      <c r="M1264" s="88">
        <f t="shared" si="5"/>
        <v>0</v>
      </c>
    </row>
    <row r="1265" ht="14.25" customHeight="1">
      <c r="A1265" s="49" t="s">
        <v>2269</v>
      </c>
      <c r="B1265" s="49" t="str">
        <f>IFERROR(__xludf.DUMMYFUNCTION("REGEXEXTRACT(A1265,""^cost\.(.*)\.[^.]+\.[^.]+$"")"),"citadel.orangery")</f>
        <v>citadel.orangery</v>
      </c>
      <c r="C1265" s="49" t="str">
        <f t="array" ref="C1265">_xlfn.XLOOKUP(
 B1265,
 tblTargets[TargetID],
 tblTargets[DisplayName],
 ""
)</f>
        <v>Orangery</v>
      </c>
      <c r="D1265" s="49" t="str">
        <f t="array" ref="D1265">_xlfn.XLOOKUP(
 B1265,
 tblTargets[TargetID],
 tblTargets[TargetType],
 ""
)</f>
        <v>CITADEL</v>
      </c>
      <c r="E1265" s="49" t="s">
        <v>6</v>
      </c>
      <c r="F1265" s="87">
        <f>IFERROR(__xludf.DUMMYFUNCTION("VALUE(REGEXEXTRACT(A1265,""([^.]+)$""))"),1.0)</f>
        <v>1</v>
      </c>
      <c r="G1265" s="49">
        <v>2.0</v>
      </c>
      <c r="H1265" s="26" t="b">
        <f>COUNTIFS(
 tblCostChecklist[RequirementID],A1265,
 tblCostChecklist[PlayerPaid],TRUE
)&gt;0</f>
        <v>0</v>
      </c>
      <c r="I1265" s="49">
        <f t="shared" si="1"/>
        <v>5</v>
      </c>
      <c r="J1265" s="49">
        <f t="shared" si="2"/>
        <v>0</v>
      </c>
      <c r="K1265" s="49">
        <f t="shared" si="3"/>
        <v>5</v>
      </c>
      <c r="L1265" s="49" t="b">
        <f t="shared" si="4"/>
        <v>0</v>
      </c>
      <c r="M1265" s="88">
        <f t="shared" si="5"/>
        <v>0</v>
      </c>
    </row>
    <row r="1266" ht="14.25" customHeight="1">
      <c r="A1266" s="49" t="s">
        <v>2270</v>
      </c>
      <c r="B1266" s="49" t="str">
        <f>IFERROR(__xludf.DUMMYFUNCTION("REGEXEXTRACT(A1266,""^cost\.(.*)\.[^.]+\.[^.]+$"")"),"citadel.orangery")</f>
        <v>citadel.orangery</v>
      </c>
      <c r="C1266" s="49" t="str">
        <f t="array" ref="C1266">_xlfn.XLOOKUP(
 B1266,
 tblTargets[TargetID],
 tblTargets[DisplayName],
 ""
)</f>
        <v>Orangery</v>
      </c>
      <c r="D1266" s="49" t="str">
        <f t="array" ref="D1266">_xlfn.XLOOKUP(
 B1266,
 tblTargets[TargetID],
 tblTargets[TargetType],
 ""
)</f>
        <v>CITADEL</v>
      </c>
      <c r="E1266" s="49" t="s">
        <v>237</v>
      </c>
      <c r="F1266" s="87">
        <f>IFERROR(__xludf.DUMMYFUNCTION("VALUE(REGEXEXTRACT(A1266,""([^.]+)$""))"),1.0)</f>
        <v>1</v>
      </c>
      <c r="G1266" s="49">
        <v>400.0</v>
      </c>
      <c r="H1266" s="26" t="b">
        <f>COUNTIFS(
 tblCostChecklist[RequirementID],A1266,
 tblCostChecklist[PlayerPaid],TRUE
)&gt;0</f>
        <v>0</v>
      </c>
      <c r="I1266" s="49">
        <f t="shared" si="1"/>
        <v>5</v>
      </c>
      <c r="J1266" s="49">
        <f t="shared" si="2"/>
        <v>0</v>
      </c>
      <c r="K1266" s="49">
        <f t="shared" si="3"/>
        <v>5</v>
      </c>
      <c r="L1266" s="49" t="b">
        <f t="shared" si="4"/>
        <v>0</v>
      </c>
      <c r="M1266" s="88">
        <f t="shared" si="5"/>
        <v>0</v>
      </c>
    </row>
    <row r="1267" ht="14.25" customHeight="1">
      <c r="A1267" s="49" t="s">
        <v>2271</v>
      </c>
      <c r="B1267" s="49" t="str">
        <f>IFERROR(__xludf.DUMMYFUNCTION("REGEXEXTRACT(A1267,""^cost\.(.*)\.[^.]+\.[^.]+$"")"),"citadel.pantry")</f>
        <v>citadel.pantry</v>
      </c>
      <c r="C1267" s="49" t="str">
        <f t="array" ref="C1267">_xlfn.XLOOKUP(
 B1267,
 tblTargets[TargetID],
 tblTargets[DisplayName],
 ""
)</f>
        <v>Pantry</v>
      </c>
      <c r="D1267" s="49" t="str">
        <f t="array" ref="D1267">_xlfn.XLOOKUP(
 B1267,
 tblTargets[TargetID],
 tblTargets[TargetType],
 ""
)</f>
        <v>CITADEL</v>
      </c>
      <c r="E1267" s="49" t="s">
        <v>278</v>
      </c>
      <c r="F1267" s="87">
        <f>IFERROR(__xludf.DUMMYFUNCTION("VALUE(REGEXEXTRACT(A1267,""([^.]+)$""))"),1.0)</f>
        <v>1</v>
      </c>
      <c r="G1267" s="49">
        <v>400.0</v>
      </c>
      <c r="H1267" s="26" t="b">
        <f>COUNTIFS(
 tblCostChecklist[RequirementID],A1267,
 tblCostChecklist[PlayerPaid],TRUE
)&gt;0</f>
        <v>0</v>
      </c>
      <c r="I1267" s="49">
        <f t="shared" si="1"/>
        <v>5</v>
      </c>
      <c r="J1267" s="49">
        <f t="shared" si="2"/>
        <v>0</v>
      </c>
      <c r="K1267" s="49">
        <f t="shared" si="3"/>
        <v>5</v>
      </c>
      <c r="L1267" s="49" t="b">
        <f t="shared" si="4"/>
        <v>0</v>
      </c>
      <c r="M1267" s="88">
        <f t="shared" si="5"/>
        <v>0</v>
      </c>
    </row>
    <row r="1268" ht="14.25" customHeight="1">
      <c r="A1268" s="49" t="s">
        <v>2272</v>
      </c>
      <c r="B1268" s="49" t="str">
        <f>IFERROR(__xludf.DUMMYFUNCTION("REGEXEXTRACT(A1268,""^cost\.(.*)\.[^.]+\.[^.]+$"")"),"citadel.pantry")</f>
        <v>citadel.pantry</v>
      </c>
      <c r="C1268" s="49" t="str">
        <f t="array" ref="C1268">_xlfn.XLOOKUP(
 B1268,
 tblTargets[TargetID],
 tblTargets[DisplayName],
 ""
)</f>
        <v>Pantry</v>
      </c>
      <c r="D1268" s="49" t="str">
        <f t="array" ref="D1268">_xlfn.XLOOKUP(
 B1268,
 tblTargets[TargetID],
 tblTargets[TargetType],
 ""
)</f>
        <v>CITADEL</v>
      </c>
      <c r="E1268" s="49" t="s">
        <v>119</v>
      </c>
      <c r="F1268" s="87">
        <f>IFERROR(__xludf.DUMMYFUNCTION("VALUE(REGEXEXTRACT(A1268,""([^.]+)$""))"),1.0)</f>
        <v>1</v>
      </c>
      <c r="G1268" s="49">
        <v>400.0</v>
      </c>
      <c r="H1268" s="26" t="b">
        <f>COUNTIFS(
 tblCostChecklist[RequirementID],A1268,
 tblCostChecklist[PlayerPaid],TRUE
)&gt;0</f>
        <v>0</v>
      </c>
      <c r="I1268" s="49">
        <f t="shared" si="1"/>
        <v>5</v>
      </c>
      <c r="J1268" s="49">
        <f t="shared" si="2"/>
        <v>0</v>
      </c>
      <c r="K1268" s="49">
        <f t="shared" si="3"/>
        <v>5</v>
      </c>
      <c r="L1268" s="49" t="b">
        <f t="shared" si="4"/>
        <v>0</v>
      </c>
      <c r="M1268" s="88">
        <f t="shared" si="5"/>
        <v>0</v>
      </c>
    </row>
    <row r="1269" ht="14.25" customHeight="1">
      <c r="A1269" s="49" t="s">
        <v>2273</v>
      </c>
      <c r="B1269" s="49" t="str">
        <f>IFERROR(__xludf.DUMMYFUNCTION("REGEXEXTRACT(A1269,""^cost\.(.*)\.[^.]+\.[^.]+$"")"),"citadel.pantry")</f>
        <v>citadel.pantry</v>
      </c>
      <c r="C1269" s="49" t="str">
        <f t="array" ref="C1269">_xlfn.XLOOKUP(
 B1269,
 tblTargets[TargetID],
 tblTargets[DisplayName],
 ""
)</f>
        <v>Pantry</v>
      </c>
      <c r="D1269" s="49" t="str">
        <f t="array" ref="D1269">_xlfn.XLOOKUP(
 B1269,
 tblTargets[TargetID],
 tblTargets[TargetType],
 ""
)</f>
        <v>CITADEL</v>
      </c>
      <c r="E1269" s="49" t="s">
        <v>132</v>
      </c>
      <c r="F1269" s="87">
        <f>IFERROR(__xludf.DUMMYFUNCTION("VALUE(REGEXEXTRACT(A1269,""([^.]+)$""))"),1.0)</f>
        <v>1</v>
      </c>
      <c r="G1269" s="49">
        <v>10.0</v>
      </c>
      <c r="H1269" s="26" t="b">
        <f>COUNTIFS(
 tblCostChecklist[RequirementID],A1269,
 tblCostChecklist[PlayerPaid],TRUE
)&gt;0</f>
        <v>0</v>
      </c>
      <c r="I1269" s="49">
        <f t="shared" si="1"/>
        <v>5</v>
      </c>
      <c r="J1269" s="49">
        <f t="shared" si="2"/>
        <v>0</v>
      </c>
      <c r="K1269" s="49">
        <f t="shared" si="3"/>
        <v>5</v>
      </c>
      <c r="L1269" s="49" t="b">
        <f t="shared" si="4"/>
        <v>0</v>
      </c>
      <c r="M1269" s="88">
        <f t="shared" si="5"/>
        <v>0</v>
      </c>
    </row>
    <row r="1270" ht="14.25" customHeight="1">
      <c r="A1270" s="49" t="s">
        <v>2274</v>
      </c>
      <c r="B1270" s="49" t="str">
        <f>IFERROR(__xludf.DUMMYFUNCTION("REGEXEXTRACT(A1270,""^cost\.(.*)\.[^.]+\.[^.]+$"")"),"citadel.pantry")</f>
        <v>citadel.pantry</v>
      </c>
      <c r="C1270" s="49" t="str">
        <f t="array" ref="C1270">_xlfn.XLOOKUP(
 B1270,
 tblTargets[TargetID],
 tblTargets[DisplayName],
 ""
)</f>
        <v>Pantry</v>
      </c>
      <c r="D1270" s="49" t="str">
        <f t="array" ref="D1270">_xlfn.XLOOKUP(
 B1270,
 tblTargets[TargetID],
 tblTargets[TargetType],
 ""
)</f>
        <v>CITADEL</v>
      </c>
      <c r="E1270" s="49" t="s">
        <v>6</v>
      </c>
      <c r="F1270" s="87">
        <f>IFERROR(__xludf.DUMMYFUNCTION("VALUE(REGEXEXTRACT(A1270,""([^.]+)$""))"),1.0)</f>
        <v>1</v>
      </c>
      <c r="G1270" s="49">
        <v>2.0</v>
      </c>
      <c r="H1270" s="26" t="b">
        <f>COUNTIFS(
 tblCostChecklist[RequirementID],A1270,
 tblCostChecklist[PlayerPaid],TRUE
)&gt;0</f>
        <v>0</v>
      </c>
      <c r="I1270" s="49">
        <f t="shared" si="1"/>
        <v>5</v>
      </c>
      <c r="J1270" s="49">
        <f t="shared" si="2"/>
        <v>0</v>
      </c>
      <c r="K1270" s="49">
        <f t="shared" si="3"/>
        <v>5</v>
      </c>
      <c r="L1270" s="49" t="b">
        <f t="shared" si="4"/>
        <v>0</v>
      </c>
      <c r="M1270" s="88">
        <f t="shared" si="5"/>
        <v>0</v>
      </c>
    </row>
    <row r="1271" ht="14.25" customHeight="1">
      <c r="A1271" s="49" t="s">
        <v>2275</v>
      </c>
      <c r="B1271" s="49" t="str">
        <f>IFERROR(__xludf.DUMMYFUNCTION("REGEXEXTRACT(A1271,""^cost\.(.*)\.[^.]+\.[^.]+$"")"),"citadel.pantry")</f>
        <v>citadel.pantry</v>
      </c>
      <c r="C1271" s="49" t="str">
        <f t="array" ref="C1271">_xlfn.XLOOKUP(
 B1271,
 tblTargets[TargetID],
 tblTargets[DisplayName],
 ""
)</f>
        <v>Pantry</v>
      </c>
      <c r="D1271" s="49" t="str">
        <f t="array" ref="D1271">_xlfn.XLOOKUP(
 B1271,
 tblTargets[TargetID],
 tblTargets[TargetType],
 ""
)</f>
        <v>CITADEL</v>
      </c>
      <c r="E1271" s="49" t="s">
        <v>237</v>
      </c>
      <c r="F1271" s="87">
        <f>IFERROR(__xludf.DUMMYFUNCTION("VALUE(REGEXEXTRACT(A1271,""([^.]+)$""))"),1.0)</f>
        <v>1</v>
      </c>
      <c r="G1271" s="49">
        <v>400.0</v>
      </c>
      <c r="H1271" s="26" t="b">
        <f>COUNTIFS(
 tblCostChecklist[RequirementID],A1271,
 tblCostChecklist[PlayerPaid],TRUE
)&gt;0</f>
        <v>0</v>
      </c>
      <c r="I1271" s="49">
        <f t="shared" si="1"/>
        <v>5</v>
      </c>
      <c r="J1271" s="49">
        <f t="shared" si="2"/>
        <v>0</v>
      </c>
      <c r="K1271" s="49">
        <f t="shared" si="3"/>
        <v>5</v>
      </c>
      <c r="L1271" s="49" t="b">
        <f t="shared" si="4"/>
        <v>0</v>
      </c>
      <c r="M1271" s="88">
        <f t="shared" si="5"/>
        <v>0</v>
      </c>
    </row>
    <row r="1272" ht="14.25" customHeight="1">
      <c r="A1272" s="49" t="s">
        <v>2276</v>
      </c>
      <c r="B1272" s="49" t="str">
        <f>IFERROR(__xludf.DUMMYFUNCTION("REGEXEXTRACT(A1272,""^cost\.(.*)\.[^.]+\.[^.]+$"")"),"citadel.tavern")</f>
        <v>citadel.tavern</v>
      </c>
      <c r="C1272" s="49" t="str">
        <f t="array" ref="C1272">_xlfn.XLOOKUP(
 B1272,
 tblTargets[TargetID],
 tblTargets[DisplayName],
 ""
)</f>
        <v>Tavern</v>
      </c>
      <c r="D1272" s="49" t="str">
        <f t="array" ref="D1272">_xlfn.XLOOKUP(
 B1272,
 tblTargets[TargetID],
 tblTargets[TargetType],
 ""
)</f>
        <v>CITADEL</v>
      </c>
      <c r="E1272" s="49" t="s">
        <v>278</v>
      </c>
      <c r="F1272" s="87">
        <f>IFERROR(__xludf.DUMMYFUNCTION("VALUE(REGEXEXTRACT(A1272,""([^.]+)$""))"),1.0)</f>
        <v>1</v>
      </c>
      <c r="G1272" s="49">
        <v>400.0</v>
      </c>
      <c r="H1272" s="26" t="b">
        <f>COUNTIFS(
 tblCostChecklist[RequirementID],A1272,
 tblCostChecklist[PlayerPaid],TRUE
)&gt;0</f>
        <v>0</v>
      </c>
      <c r="I1272" s="49">
        <f t="shared" si="1"/>
        <v>5</v>
      </c>
      <c r="J1272" s="49">
        <f t="shared" si="2"/>
        <v>0</v>
      </c>
      <c r="K1272" s="49">
        <f t="shared" si="3"/>
        <v>5</v>
      </c>
      <c r="L1272" s="49" t="b">
        <f t="shared" si="4"/>
        <v>0</v>
      </c>
      <c r="M1272" s="88">
        <f t="shared" si="5"/>
        <v>0</v>
      </c>
    </row>
    <row r="1273" ht="14.25" customHeight="1">
      <c r="A1273" s="49" t="s">
        <v>2277</v>
      </c>
      <c r="B1273" s="49" t="str">
        <f>IFERROR(__xludf.DUMMYFUNCTION("REGEXEXTRACT(A1273,""^cost\.(.*)\.[^.]+\.[^.]+$"")"),"citadel.tavern")</f>
        <v>citadel.tavern</v>
      </c>
      <c r="C1273" s="49" t="str">
        <f t="array" ref="C1273">_xlfn.XLOOKUP(
 B1273,
 tblTargets[TargetID],
 tblTargets[DisplayName],
 ""
)</f>
        <v>Tavern</v>
      </c>
      <c r="D1273" s="49" t="str">
        <f t="array" ref="D1273">_xlfn.XLOOKUP(
 B1273,
 tblTargets[TargetID],
 tblTargets[TargetType],
 ""
)</f>
        <v>CITADEL</v>
      </c>
      <c r="E1273" s="49" t="s">
        <v>119</v>
      </c>
      <c r="F1273" s="87">
        <f>IFERROR(__xludf.DUMMYFUNCTION("VALUE(REGEXEXTRACT(A1273,""([^.]+)$""))"),1.0)</f>
        <v>1</v>
      </c>
      <c r="G1273" s="49">
        <v>400.0</v>
      </c>
      <c r="H1273" s="26" t="b">
        <f>COUNTIFS(
 tblCostChecklist[RequirementID],A1273,
 tblCostChecklist[PlayerPaid],TRUE
)&gt;0</f>
        <v>0</v>
      </c>
      <c r="I1273" s="49">
        <f t="shared" si="1"/>
        <v>5</v>
      </c>
      <c r="J1273" s="49">
        <f t="shared" si="2"/>
        <v>0</v>
      </c>
      <c r="K1273" s="49">
        <f t="shared" si="3"/>
        <v>5</v>
      </c>
      <c r="L1273" s="49" t="b">
        <f t="shared" si="4"/>
        <v>0</v>
      </c>
      <c r="M1273" s="88">
        <f t="shared" si="5"/>
        <v>0</v>
      </c>
    </row>
    <row r="1274" ht="14.25" customHeight="1">
      <c r="A1274" s="49" t="s">
        <v>2278</v>
      </c>
      <c r="B1274" s="49" t="str">
        <f>IFERROR(__xludf.DUMMYFUNCTION("REGEXEXTRACT(A1274,""^cost\.(.*)\.[^.]+\.[^.]+$"")"),"citadel.tavern")</f>
        <v>citadel.tavern</v>
      </c>
      <c r="C1274" s="49" t="str">
        <f t="array" ref="C1274">_xlfn.XLOOKUP(
 B1274,
 tblTargets[TargetID],
 tblTargets[DisplayName],
 ""
)</f>
        <v>Tavern</v>
      </c>
      <c r="D1274" s="49" t="str">
        <f t="array" ref="D1274">_xlfn.XLOOKUP(
 B1274,
 tblTargets[TargetID],
 tblTargets[TargetType],
 ""
)</f>
        <v>CITADEL</v>
      </c>
      <c r="E1274" s="49" t="s">
        <v>132</v>
      </c>
      <c r="F1274" s="87">
        <f>IFERROR(__xludf.DUMMYFUNCTION("VALUE(REGEXEXTRACT(A1274,""([^.]+)$""))"),1.0)</f>
        <v>1</v>
      </c>
      <c r="G1274" s="49">
        <v>10.0</v>
      </c>
      <c r="H1274" s="26" t="b">
        <f>COUNTIFS(
 tblCostChecklist[RequirementID],A1274,
 tblCostChecklist[PlayerPaid],TRUE
)&gt;0</f>
        <v>0</v>
      </c>
      <c r="I1274" s="49">
        <f t="shared" si="1"/>
        <v>5</v>
      </c>
      <c r="J1274" s="49">
        <f t="shared" si="2"/>
        <v>0</v>
      </c>
      <c r="K1274" s="49">
        <f t="shared" si="3"/>
        <v>5</v>
      </c>
      <c r="L1274" s="49" t="b">
        <f t="shared" si="4"/>
        <v>0</v>
      </c>
      <c r="M1274" s="88">
        <f t="shared" si="5"/>
        <v>0</v>
      </c>
    </row>
    <row r="1275" ht="14.25" customHeight="1">
      <c r="A1275" s="49" t="s">
        <v>2279</v>
      </c>
      <c r="B1275" s="49" t="str">
        <f>IFERROR(__xludf.DUMMYFUNCTION("REGEXEXTRACT(A1275,""^cost\.(.*)\.[^.]+\.[^.]+$"")"),"citadel.tavern")</f>
        <v>citadel.tavern</v>
      </c>
      <c r="C1275" s="49" t="str">
        <f t="array" ref="C1275">_xlfn.XLOOKUP(
 B1275,
 tblTargets[TargetID],
 tblTargets[DisplayName],
 ""
)</f>
        <v>Tavern</v>
      </c>
      <c r="D1275" s="49" t="str">
        <f t="array" ref="D1275">_xlfn.XLOOKUP(
 B1275,
 tblTargets[TargetID],
 tblTargets[TargetType],
 ""
)</f>
        <v>CITADEL</v>
      </c>
      <c r="E1275" s="49" t="s">
        <v>6</v>
      </c>
      <c r="F1275" s="87">
        <f>IFERROR(__xludf.DUMMYFUNCTION("VALUE(REGEXEXTRACT(A1275,""([^.]+)$""))"),1.0)</f>
        <v>1</v>
      </c>
      <c r="G1275" s="49">
        <v>2.0</v>
      </c>
      <c r="H1275" s="26" t="b">
        <f>COUNTIFS(
 tblCostChecklist[RequirementID],A1275,
 tblCostChecklist[PlayerPaid],TRUE
)&gt;0</f>
        <v>0</v>
      </c>
      <c r="I1275" s="49">
        <f t="shared" si="1"/>
        <v>5</v>
      </c>
      <c r="J1275" s="49">
        <f t="shared" si="2"/>
        <v>0</v>
      </c>
      <c r="K1275" s="49">
        <f t="shared" si="3"/>
        <v>5</v>
      </c>
      <c r="L1275" s="49" t="b">
        <f t="shared" si="4"/>
        <v>0</v>
      </c>
      <c r="M1275" s="88">
        <f t="shared" si="5"/>
        <v>0</v>
      </c>
    </row>
    <row r="1276" ht="14.25" customHeight="1">
      <c r="A1276" s="49" t="s">
        <v>2280</v>
      </c>
      <c r="B1276" s="49" t="str">
        <f>IFERROR(__xludf.DUMMYFUNCTION("REGEXEXTRACT(A1276,""^cost\.(.*)\.[^.]+\.[^.]+$"")"),"citadel.tavern")</f>
        <v>citadel.tavern</v>
      </c>
      <c r="C1276" s="49" t="str">
        <f t="array" ref="C1276">_xlfn.XLOOKUP(
 B1276,
 tblTargets[TargetID],
 tblTargets[DisplayName],
 ""
)</f>
        <v>Tavern</v>
      </c>
      <c r="D1276" s="49" t="str">
        <f t="array" ref="D1276">_xlfn.XLOOKUP(
 B1276,
 tblTargets[TargetID],
 tblTargets[TargetType],
 ""
)</f>
        <v>CITADEL</v>
      </c>
      <c r="E1276" s="49" t="s">
        <v>237</v>
      </c>
      <c r="F1276" s="87">
        <f>IFERROR(__xludf.DUMMYFUNCTION("VALUE(REGEXEXTRACT(A1276,""([^.]+)$""))"),1.0)</f>
        <v>1</v>
      </c>
      <c r="G1276" s="49">
        <v>400.0</v>
      </c>
      <c r="H1276" s="26" t="b">
        <f>COUNTIFS(
 tblCostChecklist[RequirementID],A1276,
 tblCostChecklist[PlayerPaid],TRUE
)&gt;0</f>
        <v>0</v>
      </c>
      <c r="I1276" s="49">
        <f t="shared" si="1"/>
        <v>5</v>
      </c>
      <c r="J1276" s="49">
        <f t="shared" si="2"/>
        <v>0</v>
      </c>
      <c r="K1276" s="49">
        <f t="shared" si="3"/>
        <v>5</v>
      </c>
      <c r="L1276" s="49" t="b">
        <f t="shared" si="4"/>
        <v>0</v>
      </c>
      <c r="M1276" s="88">
        <f t="shared" si="5"/>
        <v>0</v>
      </c>
    </row>
    <row r="1277" ht="14.25" customHeight="1">
      <c r="A1277" s="49" t="s">
        <v>2281</v>
      </c>
      <c r="B1277" s="49" t="str">
        <f>IFERROR(__xludf.DUMMYFUNCTION("REGEXEXTRACT(A1277,""^cost\.(.*)\.[^.]+\.[^.]+$"")"),"citadel.treasury")</f>
        <v>citadel.treasury</v>
      </c>
      <c r="C1277" s="49" t="str">
        <f t="array" ref="C1277">_xlfn.XLOOKUP(
 B1277,
 tblTargets[TargetID],
 tblTargets[DisplayName],
 ""
)</f>
        <v>Treasury</v>
      </c>
      <c r="D1277" s="49" t="str">
        <f t="array" ref="D1277">_xlfn.XLOOKUP(
 B1277,
 tblTargets[TargetID],
 tblTargets[TargetType],
 ""
)</f>
        <v>CITADEL</v>
      </c>
      <c r="E1277" s="49" t="s">
        <v>278</v>
      </c>
      <c r="F1277" s="87">
        <f>IFERROR(__xludf.DUMMYFUNCTION("VALUE(REGEXEXTRACT(A1277,""([^.]+)$""))"),1.0)</f>
        <v>1</v>
      </c>
      <c r="G1277" s="49">
        <v>600.0</v>
      </c>
      <c r="H1277" s="26" t="b">
        <f>COUNTIFS(
 tblCostChecklist[RequirementID],A1277,
 tblCostChecklist[PlayerPaid],TRUE
)&gt;0</f>
        <v>0</v>
      </c>
      <c r="I1277" s="49">
        <f t="shared" si="1"/>
        <v>6</v>
      </c>
      <c r="J1277" s="49">
        <f t="shared" si="2"/>
        <v>0</v>
      </c>
      <c r="K1277" s="49">
        <f t="shared" si="3"/>
        <v>6</v>
      </c>
      <c r="L1277" s="49" t="b">
        <f t="shared" si="4"/>
        <v>0</v>
      </c>
      <c r="M1277" s="88">
        <f t="shared" si="5"/>
        <v>0</v>
      </c>
    </row>
    <row r="1278" ht="14.25" customHeight="1">
      <c r="A1278" s="49" t="s">
        <v>2282</v>
      </c>
      <c r="B1278" s="49" t="str">
        <f>IFERROR(__xludf.DUMMYFUNCTION("REGEXEXTRACT(A1278,""^cost\.(.*)\.[^.]+\.[^.]+$"")"),"citadel.treasury")</f>
        <v>citadel.treasury</v>
      </c>
      <c r="C1278" s="49" t="str">
        <f t="array" ref="C1278">_xlfn.XLOOKUP(
 B1278,
 tblTargets[TargetID],
 tblTargets[DisplayName],
 ""
)</f>
        <v>Treasury</v>
      </c>
      <c r="D1278" s="49" t="str">
        <f t="array" ref="D1278">_xlfn.XLOOKUP(
 B1278,
 tblTargets[TargetID],
 tblTargets[TargetType],
 ""
)</f>
        <v>CITADEL</v>
      </c>
      <c r="E1278" s="49" t="s">
        <v>119</v>
      </c>
      <c r="F1278" s="87">
        <f>IFERROR(__xludf.DUMMYFUNCTION("VALUE(REGEXEXTRACT(A1278,""([^.]+)$""))"),1.0)</f>
        <v>1</v>
      </c>
      <c r="G1278" s="49">
        <v>600.0</v>
      </c>
      <c r="H1278" s="26" t="b">
        <f>COUNTIFS(
 tblCostChecklist[RequirementID],A1278,
 tblCostChecklist[PlayerPaid],TRUE
)&gt;0</f>
        <v>0</v>
      </c>
      <c r="I1278" s="49">
        <f t="shared" si="1"/>
        <v>6</v>
      </c>
      <c r="J1278" s="49">
        <f t="shared" si="2"/>
        <v>0</v>
      </c>
      <c r="K1278" s="49">
        <f t="shared" si="3"/>
        <v>6</v>
      </c>
      <c r="L1278" s="49" t="b">
        <f t="shared" si="4"/>
        <v>0</v>
      </c>
      <c r="M1278" s="88">
        <f t="shared" si="5"/>
        <v>0</v>
      </c>
    </row>
    <row r="1279" ht="14.25" customHeight="1">
      <c r="A1279" s="49" t="s">
        <v>2283</v>
      </c>
      <c r="B1279" s="49" t="str">
        <f>IFERROR(__xludf.DUMMYFUNCTION("REGEXEXTRACT(A1279,""^cost\.(.*)\.[^.]+\.[^.]+$"")"),"citadel.treasury")</f>
        <v>citadel.treasury</v>
      </c>
      <c r="C1279" s="49" t="str">
        <f t="array" ref="C1279">_xlfn.XLOOKUP(
 B1279,
 tblTargets[TargetID],
 tblTargets[DisplayName],
 ""
)</f>
        <v>Treasury</v>
      </c>
      <c r="D1279" s="49" t="str">
        <f t="array" ref="D1279">_xlfn.XLOOKUP(
 B1279,
 tblTargets[TargetID],
 tblTargets[TargetType],
 ""
)</f>
        <v>CITADEL</v>
      </c>
      <c r="E1279" s="49" t="s">
        <v>132</v>
      </c>
      <c r="F1279" s="87">
        <f>IFERROR(__xludf.DUMMYFUNCTION("VALUE(REGEXEXTRACT(A1279,""([^.]+)$""))"),1.0)</f>
        <v>1</v>
      </c>
      <c r="G1279" s="49">
        <v>20.0</v>
      </c>
      <c r="H1279" s="26" t="b">
        <f>COUNTIFS(
 tblCostChecklist[RequirementID],A1279,
 tblCostChecklist[PlayerPaid],TRUE
)&gt;0</f>
        <v>0</v>
      </c>
      <c r="I1279" s="49">
        <f t="shared" si="1"/>
        <v>6</v>
      </c>
      <c r="J1279" s="49">
        <f t="shared" si="2"/>
        <v>0</v>
      </c>
      <c r="K1279" s="49">
        <f t="shared" si="3"/>
        <v>6</v>
      </c>
      <c r="L1279" s="49" t="b">
        <f t="shared" si="4"/>
        <v>0</v>
      </c>
      <c r="M1279" s="88">
        <f t="shared" si="5"/>
        <v>0</v>
      </c>
    </row>
    <row r="1280" ht="14.25" customHeight="1">
      <c r="A1280" s="49" t="s">
        <v>2284</v>
      </c>
      <c r="B1280" s="49" t="str">
        <f>IFERROR(__xludf.DUMMYFUNCTION("REGEXEXTRACT(A1280,""^cost\.(.*)\.[^.]+\.[^.]+$"")"),"citadel.treasury")</f>
        <v>citadel.treasury</v>
      </c>
      <c r="C1280" s="49" t="str">
        <f t="array" ref="C1280">_xlfn.XLOOKUP(
 B1280,
 tblTargets[TargetID],
 tblTargets[DisplayName],
 ""
)</f>
        <v>Treasury</v>
      </c>
      <c r="D1280" s="49" t="str">
        <f t="array" ref="D1280">_xlfn.XLOOKUP(
 B1280,
 tblTargets[TargetID],
 tblTargets[TargetType],
 ""
)</f>
        <v>CITADEL</v>
      </c>
      <c r="E1280" s="49" t="s">
        <v>6</v>
      </c>
      <c r="F1280" s="87">
        <f>IFERROR(__xludf.DUMMYFUNCTION("VALUE(REGEXEXTRACT(A1280,""([^.]+)$""))"),1.0)</f>
        <v>1</v>
      </c>
      <c r="G1280" s="49">
        <v>3.0</v>
      </c>
      <c r="H1280" s="26" t="b">
        <f>COUNTIFS(
 tblCostChecklist[RequirementID],A1280,
 tblCostChecklist[PlayerPaid],TRUE
)&gt;0</f>
        <v>0</v>
      </c>
      <c r="I1280" s="49">
        <f t="shared" si="1"/>
        <v>6</v>
      </c>
      <c r="J1280" s="49">
        <f t="shared" si="2"/>
        <v>0</v>
      </c>
      <c r="K1280" s="49">
        <f t="shared" si="3"/>
        <v>6</v>
      </c>
      <c r="L1280" s="49" t="b">
        <f t="shared" si="4"/>
        <v>0</v>
      </c>
      <c r="M1280" s="88">
        <f t="shared" si="5"/>
        <v>0</v>
      </c>
    </row>
    <row r="1281" ht="14.25" customHeight="1">
      <c r="A1281" s="49" t="s">
        <v>2285</v>
      </c>
      <c r="B1281" s="49" t="str">
        <f>IFERROR(__xludf.DUMMYFUNCTION("REGEXEXTRACT(A1281,""^cost\.(.*)\.[^.]+\.[^.]+$"")"),"citadel.treasury")</f>
        <v>citadel.treasury</v>
      </c>
      <c r="C1281" s="49" t="str">
        <f t="array" ref="C1281">_xlfn.XLOOKUP(
 B1281,
 tblTargets[TargetID],
 tblTargets[DisplayName],
 ""
)</f>
        <v>Treasury</v>
      </c>
      <c r="D1281" s="49" t="str">
        <f t="array" ref="D1281">_xlfn.XLOOKUP(
 B1281,
 tblTargets[TargetID],
 tblTargets[TargetType],
 ""
)</f>
        <v>CITADEL</v>
      </c>
      <c r="E1281" s="49" t="s">
        <v>392</v>
      </c>
      <c r="F1281" s="87">
        <f>IFERROR(__xludf.DUMMYFUNCTION("VALUE(REGEXEXTRACT(A1281,""([^.]+)$""))"),1.0)</f>
        <v>1</v>
      </c>
      <c r="G1281" s="49">
        <v>300.0</v>
      </c>
      <c r="H1281" s="26" t="b">
        <f>COUNTIFS(
 tblCostChecklist[RequirementID],A1281,
 tblCostChecklist[PlayerPaid],TRUE
)&gt;0</f>
        <v>0</v>
      </c>
      <c r="I1281" s="49">
        <f t="shared" si="1"/>
        <v>6</v>
      </c>
      <c r="J1281" s="49">
        <f t="shared" si="2"/>
        <v>0</v>
      </c>
      <c r="K1281" s="49">
        <f t="shared" si="3"/>
        <v>6</v>
      </c>
      <c r="L1281" s="49" t="b">
        <f t="shared" si="4"/>
        <v>0</v>
      </c>
      <c r="M1281" s="88">
        <f t="shared" si="5"/>
        <v>0</v>
      </c>
    </row>
    <row r="1282" ht="14.25" customHeight="1">
      <c r="A1282" s="49" t="s">
        <v>2286</v>
      </c>
      <c r="B1282" s="49" t="str">
        <f>IFERROR(__xludf.DUMMYFUNCTION("REGEXEXTRACT(A1282,""^cost\.(.*)\.[^.]+\.[^.]+$"")"),"citadel.treasury")</f>
        <v>citadel.treasury</v>
      </c>
      <c r="C1282" s="49" t="str">
        <f t="array" ref="C1282">_xlfn.XLOOKUP(
 B1282,
 tblTargets[TargetID],
 tblTargets[DisplayName],
 ""
)</f>
        <v>Treasury</v>
      </c>
      <c r="D1282" s="49" t="str">
        <f t="array" ref="D1282">_xlfn.XLOOKUP(
 B1282,
 tblTargets[TargetID],
 tblTargets[TargetType],
 ""
)</f>
        <v>CITADEL</v>
      </c>
      <c r="E1282" s="49" t="s">
        <v>237</v>
      </c>
      <c r="F1282" s="87">
        <f>IFERROR(__xludf.DUMMYFUNCTION("VALUE(REGEXEXTRACT(A1282,""([^.]+)$""))"),1.0)</f>
        <v>1</v>
      </c>
      <c r="G1282" s="49">
        <v>600.0</v>
      </c>
      <c r="H1282" s="26" t="b">
        <f>COUNTIFS(
 tblCostChecklist[RequirementID],A1282,
 tblCostChecklist[PlayerPaid],TRUE
)&gt;0</f>
        <v>0</v>
      </c>
      <c r="I1282" s="49">
        <f t="shared" si="1"/>
        <v>6</v>
      </c>
      <c r="J1282" s="49">
        <f t="shared" si="2"/>
        <v>0</v>
      </c>
      <c r="K1282" s="49">
        <f t="shared" si="3"/>
        <v>6</v>
      </c>
      <c r="L1282" s="49" t="b">
        <f t="shared" si="4"/>
        <v>0</v>
      </c>
      <c r="M1282" s="88">
        <f t="shared" si="5"/>
        <v>0</v>
      </c>
    </row>
    <row r="1283" ht="14.25" customHeight="1">
      <c r="A1283" s="49" t="s">
        <v>2347</v>
      </c>
      <c r="B1283" s="49" t="str">
        <f>IFERROR(__xludf.DUMMYFUNCTION("REGEXEXTRACT(A1283,""^cost\.(.*)\.[^.]+\.[^.]+$"")"),"collection.armory_1@1")</f>
        <v>collection.armory_1@1</v>
      </c>
      <c r="C1283" s="49" t="str">
        <f t="array" ref="C1283">_xlfn.XLOOKUP(
 B1283,
 tblTargets[TargetID],
 tblTargets[DisplayName],
 ""
)</f>
        <v>Armory 1 Lv 1</v>
      </c>
      <c r="D1283" s="49" t="str">
        <f t="array" ref="D1283">_xlfn.XLOOKUP(
 B1283,
 tblTargets[TargetID],
 tblTargets[TargetType],
 ""
)</f>
        <v>COLLECTION</v>
      </c>
      <c r="E1283" s="49" t="s">
        <v>2348</v>
      </c>
      <c r="F1283" s="87">
        <f>IFERROR(__xludf.DUMMYFUNCTION("VALUE(REGEXEXTRACT(A1283,""([^.]+)$""))"),1.0)</f>
        <v>1</v>
      </c>
      <c r="G1283" s="49">
        <v>3.0</v>
      </c>
      <c r="H1283" s="26" t="b">
        <f>COUNTIFS(
 tblCostChecklist[RequirementID],A1283,
 tblCostChecklist[PlayerPaid],TRUE
)&gt;0</f>
        <v>0</v>
      </c>
      <c r="I1283" s="49">
        <f t="shared" si="1"/>
        <v>12</v>
      </c>
      <c r="J1283" s="49">
        <f t="shared" si="2"/>
        <v>0</v>
      </c>
      <c r="K1283" s="49">
        <f t="shared" si="3"/>
        <v>12</v>
      </c>
      <c r="L1283" s="49" t="b">
        <f t="shared" si="4"/>
        <v>0</v>
      </c>
      <c r="M1283" s="88">
        <f t="shared" si="5"/>
        <v>0</v>
      </c>
    </row>
    <row r="1284" ht="14.25" customHeight="1">
      <c r="A1284" s="49" t="s">
        <v>2349</v>
      </c>
      <c r="B1284" s="49" t="str">
        <f>IFERROR(__xludf.DUMMYFUNCTION("REGEXEXTRACT(A1284,""^cost\.(.*)\.[^.]+\.[^.]+$"")"),"collection.armory_1@1")</f>
        <v>collection.armory_1@1</v>
      </c>
      <c r="C1284" s="49" t="str">
        <f t="array" ref="C1284">_xlfn.XLOOKUP(
 B1284,
 tblTargets[TargetID],
 tblTargets[DisplayName],
 ""
)</f>
        <v>Armory 1 Lv 1</v>
      </c>
      <c r="D1284" s="49" t="str">
        <f t="array" ref="D1284">_xlfn.XLOOKUP(
 B1284,
 tblTargets[TargetID],
 tblTargets[TargetType],
 ""
)</f>
        <v>COLLECTION</v>
      </c>
      <c r="E1284" s="49" t="s">
        <v>2350</v>
      </c>
      <c r="F1284" s="87">
        <f>IFERROR(__xludf.DUMMYFUNCTION("VALUE(REGEXEXTRACT(A1284,""([^.]+)$""))"),1.0)</f>
        <v>1</v>
      </c>
      <c r="G1284" s="49">
        <v>3.0</v>
      </c>
      <c r="H1284" s="26" t="b">
        <f>COUNTIFS(
 tblCostChecklist[RequirementID],A1284,
 tblCostChecklist[PlayerPaid],TRUE
)&gt;0</f>
        <v>0</v>
      </c>
      <c r="I1284" s="49">
        <f t="shared" si="1"/>
        <v>12</v>
      </c>
      <c r="J1284" s="49">
        <f t="shared" si="2"/>
        <v>0</v>
      </c>
      <c r="K1284" s="49">
        <f t="shared" si="3"/>
        <v>12</v>
      </c>
      <c r="L1284" s="49" t="b">
        <f t="shared" si="4"/>
        <v>0</v>
      </c>
      <c r="M1284" s="88">
        <f t="shared" si="5"/>
        <v>0</v>
      </c>
    </row>
    <row r="1285" ht="14.25" customHeight="1">
      <c r="A1285" s="49" t="s">
        <v>2351</v>
      </c>
      <c r="B1285" s="49" t="str">
        <f>IFERROR(__xludf.DUMMYFUNCTION("REGEXEXTRACT(A1285,""^cost\.(.*)\.[^.]+\.[^.]+$"")"),"collection.armory_1@1")</f>
        <v>collection.armory_1@1</v>
      </c>
      <c r="C1285" s="49" t="str">
        <f t="array" ref="C1285">_xlfn.XLOOKUP(
 B1285,
 tblTargets[TargetID],
 tblTargets[DisplayName],
 ""
)</f>
        <v>Armory 1 Lv 1</v>
      </c>
      <c r="D1285" s="49" t="str">
        <f t="array" ref="D1285">_xlfn.XLOOKUP(
 B1285,
 tblTargets[TargetID],
 tblTargets[TargetType],
 ""
)</f>
        <v>COLLECTION</v>
      </c>
      <c r="E1285" s="49" t="s">
        <v>2352</v>
      </c>
      <c r="F1285" s="87">
        <f>IFERROR(__xludf.DUMMYFUNCTION("VALUE(REGEXEXTRACT(A1285,""([^.]+)$""))"),1.0)</f>
        <v>1</v>
      </c>
      <c r="G1285" s="49">
        <v>3.0</v>
      </c>
      <c r="H1285" s="26" t="b">
        <f>COUNTIFS(
 tblCostChecklist[RequirementID],A1285,
 tblCostChecklist[PlayerPaid],TRUE
)&gt;0</f>
        <v>0</v>
      </c>
      <c r="I1285" s="49">
        <f t="shared" si="1"/>
        <v>12</v>
      </c>
      <c r="J1285" s="49">
        <f t="shared" si="2"/>
        <v>0</v>
      </c>
      <c r="K1285" s="49">
        <f t="shared" si="3"/>
        <v>12</v>
      </c>
      <c r="L1285" s="49" t="b">
        <f t="shared" si="4"/>
        <v>0</v>
      </c>
      <c r="M1285" s="88">
        <f t="shared" si="5"/>
        <v>0</v>
      </c>
    </row>
    <row r="1286" ht="14.25" customHeight="1">
      <c r="A1286" s="49" t="s">
        <v>2353</v>
      </c>
      <c r="B1286" s="49" t="str">
        <f>IFERROR(__xludf.DUMMYFUNCTION("REGEXEXTRACT(A1286,""^cost\.(.*)\.[^.]+\.[^.]+$"")"),"collection.armory_1@1")</f>
        <v>collection.armory_1@1</v>
      </c>
      <c r="C1286" s="49" t="str">
        <f t="array" ref="C1286">_xlfn.XLOOKUP(
 B1286,
 tblTargets[TargetID],
 tblTargets[DisplayName],
 ""
)</f>
        <v>Armory 1 Lv 1</v>
      </c>
      <c r="D1286" s="49" t="str">
        <f t="array" ref="D1286">_xlfn.XLOOKUP(
 B1286,
 tblTargets[TargetID],
 tblTargets[TargetType],
 ""
)</f>
        <v>COLLECTION</v>
      </c>
      <c r="E1286" s="49" t="s">
        <v>2354</v>
      </c>
      <c r="F1286" s="87">
        <f>IFERROR(__xludf.DUMMYFUNCTION("VALUE(REGEXEXTRACT(A1286,""([^.]+)$""))"),1.0)</f>
        <v>1</v>
      </c>
      <c r="G1286" s="49">
        <v>3.0</v>
      </c>
      <c r="H1286" s="26" t="b">
        <f>COUNTIFS(
 tblCostChecklist[RequirementID],A1286,
 tblCostChecklist[PlayerPaid],TRUE
)&gt;0</f>
        <v>0</v>
      </c>
      <c r="I1286" s="49">
        <f t="shared" si="1"/>
        <v>12</v>
      </c>
      <c r="J1286" s="49">
        <f t="shared" si="2"/>
        <v>0</v>
      </c>
      <c r="K1286" s="49">
        <f t="shared" si="3"/>
        <v>12</v>
      </c>
      <c r="L1286" s="49" t="b">
        <f t="shared" si="4"/>
        <v>0</v>
      </c>
      <c r="M1286" s="88">
        <f t="shared" si="5"/>
        <v>0</v>
      </c>
    </row>
    <row r="1287" ht="14.25" customHeight="1">
      <c r="A1287" s="49" t="s">
        <v>2355</v>
      </c>
      <c r="B1287" s="49" t="str">
        <f>IFERROR(__xludf.DUMMYFUNCTION("REGEXEXTRACT(A1287,""^cost\.(.*)\.[^.]+\.[^.]+$"")"),"collection.armory_1@1")</f>
        <v>collection.armory_1@1</v>
      </c>
      <c r="C1287" s="49" t="str">
        <f t="array" ref="C1287">_xlfn.XLOOKUP(
 B1287,
 tblTargets[TargetID],
 tblTargets[DisplayName],
 ""
)</f>
        <v>Armory 1 Lv 1</v>
      </c>
      <c r="D1287" s="49" t="str">
        <f t="array" ref="D1287">_xlfn.XLOOKUP(
 B1287,
 tblTargets[TargetID],
 tblTargets[TargetType],
 ""
)</f>
        <v>COLLECTION</v>
      </c>
      <c r="E1287" s="49" t="s">
        <v>2356</v>
      </c>
      <c r="F1287" s="87">
        <f>IFERROR(__xludf.DUMMYFUNCTION("VALUE(REGEXEXTRACT(A1287,""([^.]+)$""))"),1.0)</f>
        <v>1</v>
      </c>
      <c r="G1287" s="49">
        <v>3.0</v>
      </c>
      <c r="H1287" s="26" t="b">
        <f>COUNTIFS(
 tblCostChecklist[RequirementID],A1287,
 tblCostChecklist[PlayerPaid],TRUE
)&gt;0</f>
        <v>0</v>
      </c>
      <c r="I1287" s="49">
        <f t="shared" si="1"/>
        <v>12</v>
      </c>
      <c r="J1287" s="49">
        <f t="shared" si="2"/>
        <v>0</v>
      </c>
      <c r="K1287" s="49">
        <f t="shared" si="3"/>
        <v>12</v>
      </c>
      <c r="L1287" s="49" t="b">
        <f t="shared" si="4"/>
        <v>0</v>
      </c>
      <c r="M1287" s="88">
        <f t="shared" si="5"/>
        <v>0</v>
      </c>
    </row>
    <row r="1288" ht="14.25" customHeight="1">
      <c r="A1288" s="49" t="s">
        <v>2357</v>
      </c>
      <c r="B1288" s="49" t="str">
        <f>IFERROR(__xludf.DUMMYFUNCTION("REGEXEXTRACT(A1288,""^cost\.(.*)\.[^.]+\.[^.]+$"")"),"collection.armory_1@1")</f>
        <v>collection.armory_1@1</v>
      </c>
      <c r="C1288" s="49" t="str">
        <f t="array" ref="C1288">_xlfn.XLOOKUP(
 B1288,
 tblTargets[TargetID],
 tblTargets[DisplayName],
 ""
)</f>
        <v>Armory 1 Lv 1</v>
      </c>
      <c r="D1288" s="49" t="str">
        <f t="array" ref="D1288">_xlfn.XLOOKUP(
 B1288,
 tblTargets[TargetID],
 tblTargets[TargetType],
 ""
)</f>
        <v>COLLECTION</v>
      </c>
      <c r="E1288" s="49" t="s">
        <v>2358</v>
      </c>
      <c r="F1288" s="87">
        <f>IFERROR(__xludf.DUMMYFUNCTION("VALUE(REGEXEXTRACT(A1288,""([^.]+)$""))"),1.0)</f>
        <v>1</v>
      </c>
      <c r="G1288" s="49">
        <v>3.0</v>
      </c>
      <c r="H1288" s="26" t="b">
        <f>COUNTIFS(
 tblCostChecklist[RequirementID],A1288,
 tblCostChecklist[PlayerPaid],TRUE
)&gt;0</f>
        <v>0</v>
      </c>
      <c r="I1288" s="49">
        <f t="shared" si="1"/>
        <v>12</v>
      </c>
      <c r="J1288" s="49">
        <f t="shared" si="2"/>
        <v>0</v>
      </c>
      <c r="K1288" s="49">
        <f t="shared" si="3"/>
        <v>12</v>
      </c>
      <c r="L1288" s="49" t="b">
        <f t="shared" si="4"/>
        <v>0</v>
      </c>
      <c r="M1288" s="88">
        <f t="shared" si="5"/>
        <v>0</v>
      </c>
    </row>
    <row r="1289" ht="14.25" customHeight="1">
      <c r="A1289" s="49" t="s">
        <v>2359</v>
      </c>
      <c r="B1289" s="49" t="str">
        <f>IFERROR(__xludf.DUMMYFUNCTION("REGEXEXTRACT(A1289,""^cost\.(.*)\.[^.]+\.[^.]+$"")"),"collection.armory_1@1")</f>
        <v>collection.armory_1@1</v>
      </c>
      <c r="C1289" s="49" t="str">
        <f t="array" ref="C1289">_xlfn.XLOOKUP(
 B1289,
 tblTargets[TargetID],
 tblTargets[DisplayName],
 ""
)</f>
        <v>Armory 1 Lv 1</v>
      </c>
      <c r="D1289" s="49" t="str">
        <f t="array" ref="D1289">_xlfn.XLOOKUP(
 B1289,
 tblTargets[TargetID],
 tblTargets[TargetType],
 ""
)</f>
        <v>COLLECTION</v>
      </c>
      <c r="E1289" s="49" t="s">
        <v>2360</v>
      </c>
      <c r="F1289" s="87">
        <f>IFERROR(__xludf.DUMMYFUNCTION("VALUE(REGEXEXTRACT(A1289,""([^.]+)$""))"),1.0)</f>
        <v>1</v>
      </c>
      <c r="G1289" s="49">
        <v>3.0</v>
      </c>
      <c r="H1289" s="26" t="b">
        <f>COUNTIFS(
 tblCostChecklist[RequirementID],A1289,
 tblCostChecklist[PlayerPaid],TRUE
)&gt;0</f>
        <v>0</v>
      </c>
      <c r="I1289" s="49">
        <f t="shared" si="1"/>
        <v>12</v>
      </c>
      <c r="J1289" s="49">
        <f t="shared" si="2"/>
        <v>0</v>
      </c>
      <c r="K1289" s="49">
        <f t="shared" si="3"/>
        <v>12</v>
      </c>
      <c r="L1289" s="49" t="b">
        <f t="shared" si="4"/>
        <v>0</v>
      </c>
      <c r="M1289" s="88">
        <f t="shared" si="5"/>
        <v>0</v>
      </c>
    </row>
    <row r="1290" ht="14.25" customHeight="1">
      <c r="A1290" s="49" t="s">
        <v>2361</v>
      </c>
      <c r="B1290" s="49" t="str">
        <f>IFERROR(__xludf.DUMMYFUNCTION("REGEXEXTRACT(A1290,""^cost\.(.*)\.[^.]+\.[^.]+$"")"),"collection.armory_1@1")</f>
        <v>collection.armory_1@1</v>
      </c>
      <c r="C1290" s="49" t="str">
        <f t="array" ref="C1290">_xlfn.XLOOKUP(
 B1290,
 tblTargets[TargetID],
 tblTargets[DisplayName],
 ""
)</f>
        <v>Armory 1 Lv 1</v>
      </c>
      <c r="D1290" s="49" t="str">
        <f t="array" ref="D1290">_xlfn.XLOOKUP(
 B1290,
 tblTargets[TargetID],
 tblTargets[TargetType],
 ""
)</f>
        <v>COLLECTION</v>
      </c>
      <c r="E1290" s="49" t="s">
        <v>2362</v>
      </c>
      <c r="F1290" s="87">
        <f>IFERROR(__xludf.DUMMYFUNCTION("VALUE(REGEXEXTRACT(A1290,""([^.]+)$""))"),1.0)</f>
        <v>1</v>
      </c>
      <c r="G1290" s="49">
        <v>3.0</v>
      </c>
      <c r="H1290" s="26" t="b">
        <f>COUNTIFS(
 tblCostChecklist[RequirementID],A1290,
 tblCostChecklist[PlayerPaid],TRUE
)&gt;0</f>
        <v>0</v>
      </c>
      <c r="I1290" s="49">
        <f t="shared" si="1"/>
        <v>12</v>
      </c>
      <c r="J1290" s="49">
        <f t="shared" si="2"/>
        <v>0</v>
      </c>
      <c r="K1290" s="49">
        <f t="shared" si="3"/>
        <v>12</v>
      </c>
      <c r="L1290" s="49" t="b">
        <f t="shared" si="4"/>
        <v>0</v>
      </c>
      <c r="M1290" s="88">
        <f t="shared" si="5"/>
        <v>0</v>
      </c>
    </row>
    <row r="1291" ht="14.25" customHeight="1">
      <c r="A1291" s="49" t="s">
        <v>2363</v>
      </c>
      <c r="B1291" s="49" t="str">
        <f>IFERROR(__xludf.DUMMYFUNCTION("REGEXEXTRACT(A1291,""^cost\.(.*)\.[^.]+\.[^.]+$"")"),"collection.armory_1@1")</f>
        <v>collection.armory_1@1</v>
      </c>
      <c r="C1291" s="49" t="str">
        <f t="array" ref="C1291">_xlfn.XLOOKUP(
 B1291,
 tblTargets[TargetID],
 tblTargets[DisplayName],
 ""
)</f>
        <v>Armory 1 Lv 1</v>
      </c>
      <c r="D1291" s="49" t="str">
        <f t="array" ref="D1291">_xlfn.XLOOKUP(
 B1291,
 tblTargets[TargetID],
 tblTargets[TargetType],
 ""
)</f>
        <v>COLLECTION</v>
      </c>
      <c r="E1291" s="49" t="s">
        <v>2364</v>
      </c>
      <c r="F1291" s="87">
        <f>IFERROR(__xludf.DUMMYFUNCTION("VALUE(REGEXEXTRACT(A1291,""([^.]+)$""))"),1.0)</f>
        <v>1</v>
      </c>
      <c r="G1291" s="49">
        <v>3.0</v>
      </c>
      <c r="H1291" s="26" t="b">
        <f>COUNTIFS(
 tblCostChecklist[RequirementID],A1291,
 tblCostChecklist[PlayerPaid],TRUE
)&gt;0</f>
        <v>0</v>
      </c>
      <c r="I1291" s="49">
        <f t="shared" si="1"/>
        <v>12</v>
      </c>
      <c r="J1291" s="49">
        <f t="shared" si="2"/>
        <v>0</v>
      </c>
      <c r="K1291" s="49">
        <f t="shared" si="3"/>
        <v>12</v>
      </c>
      <c r="L1291" s="49" t="b">
        <f t="shared" si="4"/>
        <v>0</v>
      </c>
      <c r="M1291" s="88">
        <f t="shared" si="5"/>
        <v>0</v>
      </c>
    </row>
    <row r="1292" ht="14.25" customHeight="1">
      <c r="A1292" s="49" t="s">
        <v>2365</v>
      </c>
      <c r="B1292" s="49" t="str">
        <f>IFERROR(__xludf.DUMMYFUNCTION("REGEXEXTRACT(A1292,""^cost\.(.*)\.[^.]+\.[^.]+$"")"),"collection.armory_1@1")</f>
        <v>collection.armory_1@1</v>
      </c>
      <c r="C1292" s="49" t="str">
        <f t="array" ref="C1292">_xlfn.XLOOKUP(
 B1292,
 tblTargets[TargetID],
 tblTargets[DisplayName],
 ""
)</f>
        <v>Armory 1 Lv 1</v>
      </c>
      <c r="D1292" s="49" t="str">
        <f t="array" ref="D1292">_xlfn.XLOOKUP(
 B1292,
 tblTargets[TargetID],
 tblTargets[TargetType],
 ""
)</f>
        <v>COLLECTION</v>
      </c>
      <c r="E1292" s="49" t="s">
        <v>2366</v>
      </c>
      <c r="F1292" s="87">
        <f>IFERROR(__xludf.DUMMYFUNCTION("VALUE(REGEXEXTRACT(A1292,""([^.]+)$""))"),1.0)</f>
        <v>1</v>
      </c>
      <c r="G1292" s="49">
        <v>3.0</v>
      </c>
      <c r="H1292" s="26" t="b">
        <f>COUNTIFS(
 tblCostChecklist[RequirementID],A1292,
 tblCostChecklist[PlayerPaid],TRUE
)&gt;0</f>
        <v>0</v>
      </c>
      <c r="I1292" s="49">
        <f t="shared" si="1"/>
        <v>12</v>
      </c>
      <c r="J1292" s="49">
        <f t="shared" si="2"/>
        <v>0</v>
      </c>
      <c r="K1292" s="49">
        <f t="shared" si="3"/>
        <v>12</v>
      </c>
      <c r="L1292" s="49" t="b">
        <f t="shared" si="4"/>
        <v>0</v>
      </c>
      <c r="M1292" s="88">
        <f t="shared" si="5"/>
        <v>0</v>
      </c>
    </row>
    <row r="1293" ht="14.25" customHeight="1">
      <c r="A1293" s="49" t="s">
        <v>2367</v>
      </c>
      <c r="B1293" s="49" t="str">
        <f>IFERROR(__xludf.DUMMYFUNCTION("REGEXEXTRACT(A1293,""^cost\.(.*)\.[^.]+\.[^.]+$"")"),"collection.armory_1@1")</f>
        <v>collection.armory_1@1</v>
      </c>
      <c r="C1293" s="49" t="str">
        <f t="array" ref="C1293">_xlfn.XLOOKUP(
 B1293,
 tblTargets[TargetID],
 tblTargets[DisplayName],
 ""
)</f>
        <v>Armory 1 Lv 1</v>
      </c>
      <c r="D1293" s="49" t="str">
        <f t="array" ref="D1293">_xlfn.XLOOKUP(
 B1293,
 tblTargets[TargetID],
 tblTargets[TargetType],
 ""
)</f>
        <v>COLLECTION</v>
      </c>
      <c r="E1293" s="49" t="s">
        <v>2368</v>
      </c>
      <c r="F1293" s="87">
        <f>IFERROR(__xludf.DUMMYFUNCTION("VALUE(REGEXEXTRACT(A1293,""([^.]+)$""))"),1.0)</f>
        <v>1</v>
      </c>
      <c r="G1293" s="49">
        <v>3.0</v>
      </c>
      <c r="H1293" s="26" t="b">
        <f>COUNTIFS(
 tblCostChecklist[RequirementID],A1293,
 tblCostChecklist[PlayerPaid],TRUE
)&gt;0</f>
        <v>0</v>
      </c>
      <c r="I1293" s="49">
        <f t="shared" si="1"/>
        <v>12</v>
      </c>
      <c r="J1293" s="49">
        <f t="shared" si="2"/>
        <v>0</v>
      </c>
      <c r="K1293" s="49">
        <f t="shared" si="3"/>
        <v>12</v>
      </c>
      <c r="L1293" s="49" t="b">
        <f t="shared" si="4"/>
        <v>0</v>
      </c>
      <c r="M1293" s="88">
        <f t="shared" si="5"/>
        <v>0</v>
      </c>
    </row>
    <row r="1294" ht="14.25" customHeight="1">
      <c r="A1294" s="49" t="s">
        <v>2369</v>
      </c>
      <c r="B1294" s="49" t="str">
        <f>IFERROR(__xludf.DUMMYFUNCTION("REGEXEXTRACT(A1294,""^cost\.(.*)\.[^.]+\.[^.]+$"")"),"collection.armory_1@1")</f>
        <v>collection.armory_1@1</v>
      </c>
      <c r="C1294" s="49" t="str">
        <f t="array" ref="C1294">_xlfn.XLOOKUP(
 B1294,
 tblTargets[TargetID],
 tblTargets[DisplayName],
 ""
)</f>
        <v>Armory 1 Lv 1</v>
      </c>
      <c r="D1294" s="49" t="str">
        <f t="array" ref="D1294">_xlfn.XLOOKUP(
 B1294,
 tblTargets[TargetID],
 tblTargets[TargetType],
 ""
)</f>
        <v>COLLECTION</v>
      </c>
      <c r="E1294" s="49" t="s">
        <v>2370</v>
      </c>
      <c r="F1294" s="87">
        <f>IFERROR(__xludf.DUMMYFUNCTION("VALUE(REGEXEXTRACT(A1294,""([^.]+)$""))"),1.0)</f>
        <v>1</v>
      </c>
      <c r="G1294" s="49">
        <v>3.0</v>
      </c>
      <c r="H1294" s="26" t="b">
        <f>COUNTIFS(
 tblCostChecklist[RequirementID],A1294,
 tblCostChecklist[PlayerPaid],TRUE
)&gt;0</f>
        <v>0</v>
      </c>
      <c r="I1294" s="49">
        <f t="shared" si="1"/>
        <v>12</v>
      </c>
      <c r="J1294" s="49">
        <f t="shared" si="2"/>
        <v>0</v>
      </c>
      <c r="K1294" s="49">
        <f t="shared" si="3"/>
        <v>12</v>
      </c>
      <c r="L1294" s="49" t="b">
        <f t="shared" si="4"/>
        <v>0</v>
      </c>
      <c r="M1294" s="88">
        <f t="shared" si="5"/>
        <v>0</v>
      </c>
    </row>
    <row r="1295" ht="14.25" customHeight="1">
      <c r="A1295" s="49" t="s">
        <v>2371</v>
      </c>
      <c r="B1295" s="49" t="str">
        <f>IFERROR(__xludf.DUMMYFUNCTION("REGEXEXTRACT(A1295,""^cost\.(.*)\.[^.]+\.[^.]+$"")"),"collection.armory_1@2")</f>
        <v>collection.armory_1@2</v>
      </c>
      <c r="C1295" s="49" t="str">
        <f t="array" ref="C1295">_xlfn.XLOOKUP(
 B1295,
 tblTargets[TargetID],
 tblTargets[DisplayName],
 ""
)</f>
        <v>Armory 1 Lv 2</v>
      </c>
      <c r="D1295" s="49" t="str">
        <f t="array" ref="D1295">_xlfn.XLOOKUP(
 B1295,
 tblTargets[TargetID],
 tblTargets[TargetType],
 ""
)</f>
        <v>COLLECTION</v>
      </c>
      <c r="E1295" s="49" t="s">
        <v>2348</v>
      </c>
      <c r="F1295" s="87">
        <f>IFERROR(__xludf.DUMMYFUNCTION("VALUE(REGEXEXTRACT(A1295,""([^.]+)$""))"),1.0)</f>
        <v>1</v>
      </c>
      <c r="G1295" s="49">
        <v>6.0</v>
      </c>
      <c r="H1295" s="26" t="b">
        <f>COUNTIFS(
 tblCostChecklist[RequirementID],A1295,
 tblCostChecklist[PlayerPaid],TRUE
)&gt;0</f>
        <v>0</v>
      </c>
      <c r="I1295" s="49">
        <f t="shared" si="1"/>
        <v>12</v>
      </c>
      <c r="J1295" s="49">
        <f t="shared" si="2"/>
        <v>0</v>
      </c>
      <c r="K1295" s="49">
        <f t="shared" si="3"/>
        <v>12</v>
      </c>
      <c r="L1295" s="49" t="b">
        <f t="shared" si="4"/>
        <v>0</v>
      </c>
      <c r="M1295" s="88">
        <f t="shared" si="5"/>
        <v>0</v>
      </c>
    </row>
    <row r="1296" ht="14.25" customHeight="1">
      <c r="A1296" s="49" t="s">
        <v>2372</v>
      </c>
      <c r="B1296" s="49" t="str">
        <f>IFERROR(__xludf.DUMMYFUNCTION("REGEXEXTRACT(A1296,""^cost\.(.*)\.[^.]+\.[^.]+$"")"),"collection.armory_1@2")</f>
        <v>collection.armory_1@2</v>
      </c>
      <c r="C1296" s="49" t="str">
        <f t="array" ref="C1296">_xlfn.XLOOKUP(
 B1296,
 tblTargets[TargetID],
 tblTargets[DisplayName],
 ""
)</f>
        <v>Armory 1 Lv 2</v>
      </c>
      <c r="D1296" s="49" t="str">
        <f t="array" ref="D1296">_xlfn.XLOOKUP(
 B1296,
 tblTargets[TargetID],
 tblTargets[TargetType],
 ""
)</f>
        <v>COLLECTION</v>
      </c>
      <c r="E1296" s="49" t="s">
        <v>2350</v>
      </c>
      <c r="F1296" s="87">
        <f>IFERROR(__xludf.DUMMYFUNCTION("VALUE(REGEXEXTRACT(A1296,""([^.]+)$""))"),1.0)</f>
        <v>1</v>
      </c>
      <c r="G1296" s="49">
        <v>6.0</v>
      </c>
      <c r="H1296" s="26" t="b">
        <f>COUNTIFS(
 tblCostChecklist[RequirementID],A1296,
 tblCostChecklist[PlayerPaid],TRUE
)&gt;0</f>
        <v>0</v>
      </c>
      <c r="I1296" s="49">
        <f t="shared" si="1"/>
        <v>12</v>
      </c>
      <c r="J1296" s="49">
        <f t="shared" si="2"/>
        <v>0</v>
      </c>
      <c r="K1296" s="49">
        <f t="shared" si="3"/>
        <v>12</v>
      </c>
      <c r="L1296" s="49" t="b">
        <f t="shared" si="4"/>
        <v>0</v>
      </c>
      <c r="M1296" s="88">
        <f t="shared" si="5"/>
        <v>0</v>
      </c>
    </row>
    <row r="1297" ht="14.25" customHeight="1">
      <c r="A1297" s="49" t="s">
        <v>2373</v>
      </c>
      <c r="B1297" s="49" t="str">
        <f>IFERROR(__xludf.DUMMYFUNCTION("REGEXEXTRACT(A1297,""^cost\.(.*)\.[^.]+\.[^.]+$"")"),"collection.armory_1@2")</f>
        <v>collection.armory_1@2</v>
      </c>
      <c r="C1297" s="49" t="str">
        <f t="array" ref="C1297">_xlfn.XLOOKUP(
 B1297,
 tblTargets[TargetID],
 tblTargets[DisplayName],
 ""
)</f>
        <v>Armory 1 Lv 2</v>
      </c>
      <c r="D1297" s="49" t="str">
        <f t="array" ref="D1297">_xlfn.XLOOKUP(
 B1297,
 tblTargets[TargetID],
 tblTargets[TargetType],
 ""
)</f>
        <v>COLLECTION</v>
      </c>
      <c r="E1297" s="49" t="s">
        <v>2352</v>
      </c>
      <c r="F1297" s="87">
        <f>IFERROR(__xludf.DUMMYFUNCTION("VALUE(REGEXEXTRACT(A1297,""([^.]+)$""))"),1.0)</f>
        <v>1</v>
      </c>
      <c r="G1297" s="49">
        <v>6.0</v>
      </c>
      <c r="H1297" s="26" t="b">
        <f>COUNTIFS(
 tblCostChecklist[RequirementID],A1297,
 tblCostChecklist[PlayerPaid],TRUE
)&gt;0</f>
        <v>0</v>
      </c>
      <c r="I1297" s="49">
        <f t="shared" si="1"/>
        <v>12</v>
      </c>
      <c r="J1297" s="49">
        <f t="shared" si="2"/>
        <v>0</v>
      </c>
      <c r="K1297" s="49">
        <f t="shared" si="3"/>
        <v>12</v>
      </c>
      <c r="L1297" s="49" t="b">
        <f t="shared" si="4"/>
        <v>0</v>
      </c>
      <c r="M1297" s="88">
        <f t="shared" si="5"/>
        <v>0</v>
      </c>
    </row>
    <row r="1298" ht="14.25" customHeight="1">
      <c r="A1298" s="49" t="s">
        <v>2374</v>
      </c>
      <c r="B1298" s="49" t="str">
        <f>IFERROR(__xludf.DUMMYFUNCTION("REGEXEXTRACT(A1298,""^cost\.(.*)\.[^.]+\.[^.]+$"")"),"collection.armory_1@2")</f>
        <v>collection.armory_1@2</v>
      </c>
      <c r="C1298" s="49" t="str">
        <f t="array" ref="C1298">_xlfn.XLOOKUP(
 B1298,
 tblTargets[TargetID],
 tblTargets[DisplayName],
 ""
)</f>
        <v>Armory 1 Lv 2</v>
      </c>
      <c r="D1298" s="49" t="str">
        <f t="array" ref="D1298">_xlfn.XLOOKUP(
 B1298,
 tblTargets[TargetID],
 tblTargets[TargetType],
 ""
)</f>
        <v>COLLECTION</v>
      </c>
      <c r="E1298" s="49" t="s">
        <v>2354</v>
      </c>
      <c r="F1298" s="87">
        <f>IFERROR(__xludf.DUMMYFUNCTION("VALUE(REGEXEXTRACT(A1298,""([^.]+)$""))"),1.0)</f>
        <v>1</v>
      </c>
      <c r="G1298" s="49">
        <v>6.0</v>
      </c>
      <c r="H1298" s="26" t="b">
        <f>COUNTIFS(
 tblCostChecklist[RequirementID],A1298,
 tblCostChecklist[PlayerPaid],TRUE
)&gt;0</f>
        <v>0</v>
      </c>
      <c r="I1298" s="49">
        <f t="shared" si="1"/>
        <v>12</v>
      </c>
      <c r="J1298" s="49">
        <f t="shared" si="2"/>
        <v>0</v>
      </c>
      <c r="K1298" s="49">
        <f t="shared" si="3"/>
        <v>12</v>
      </c>
      <c r="L1298" s="49" t="b">
        <f t="shared" si="4"/>
        <v>0</v>
      </c>
      <c r="M1298" s="88">
        <f t="shared" si="5"/>
        <v>0</v>
      </c>
    </row>
    <row r="1299" ht="14.25" customHeight="1">
      <c r="A1299" s="49" t="s">
        <v>2375</v>
      </c>
      <c r="B1299" s="49" t="str">
        <f>IFERROR(__xludf.DUMMYFUNCTION("REGEXEXTRACT(A1299,""^cost\.(.*)\.[^.]+\.[^.]+$"")"),"collection.armory_1@2")</f>
        <v>collection.armory_1@2</v>
      </c>
      <c r="C1299" s="49" t="str">
        <f t="array" ref="C1299">_xlfn.XLOOKUP(
 B1299,
 tblTargets[TargetID],
 tblTargets[DisplayName],
 ""
)</f>
        <v>Armory 1 Lv 2</v>
      </c>
      <c r="D1299" s="49" t="str">
        <f t="array" ref="D1299">_xlfn.XLOOKUP(
 B1299,
 tblTargets[TargetID],
 tblTargets[TargetType],
 ""
)</f>
        <v>COLLECTION</v>
      </c>
      <c r="E1299" s="49" t="s">
        <v>2356</v>
      </c>
      <c r="F1299" s="87">
        <f>IFERROR(__xludf.DUMMYFUNCTION("VALUE(REGEXEXTRACT(A1299,""([^.]+)$""))"),1.0)</f>
        <v>1</v>
      </c>
      <c r="G1299" s="49">
        <v>6.0</v>
      </c>
      <c r="H1299" s="26" t="b">
        <f>COUNTIFS(
 tblCostChecklist[RequirementID],A1299,
 tblCostChecklist[PlayerPaid],TRUE
)&gt;0</f>
        <v>0</v>
      </c>
      <c r="I1299" s="49">
        <f t="shared" si="1"/>
        <v>12</v>
      </c>
      <c r="J1299" s="49">
        <f t="shared" si="2"/>
        <v>0</v>
      </c>
      <c r="K1299" s="49">
        <f t="shared" si="3"/>
        <v>12</v>
      </c>
      <c r="L1299" s="49" t="b">
        <f t="shared" si="4"/>
        <v>0</v>
      </c>
      <c r="M1299" s="88">
        <f t="shared" si="5"/>
        <v>0</v>
      </c>
    </row>
    <row r="1300" ht="14.25" customHeight="1">
      <c r="A1300" s="49" t="s">
        <v>2376</v>
      </c>
      <c r="B1300" s="49" t="str">
        <f>IFERROR(__xludf.DUMMYFUNCTION("REGEXEXTRACT(A1300,""^cost\.(.*)\.[^.]+\.[^.]+$"")"),"collection.armory_1@2")</f>
        <v>collection.armory_1@2</v>
      </c>
      <c r="C1300" s="49" t="str">
        <f t="array" ref="C1300">_xlfn.XLOOKUP(
 B1300,
 tblTargets[TargetID],
 tblTargets[DisplayName],
 ""
)</f>
        <v>Armory 1 Lv 2</v>
      </c>
      <c r="D1300" s="49" t="str">
        <f t="array" ref="D1300">_xlfn.XLOOKUP(
 B1300,
 tblTargets[TargetID],
 tblTargets[TargetType],
 ""
)</f>
        <v>COLLECTION</v>
      </c>
      <c r="E1300" s="49" t="s">
        <v>2358</v>
      </c>
      <c r="F1300" s="87">
        <f>IFERROR(__xludf.DUMMYFUNCTION("VALUE(REGEXEXTRACT(A1300,""([^.]+)$""))"),1.0)</f>
        <v>1</v>
      </c>
      <c r="G1300" s="49">
        <v>6.0</v>
      </c>
      <c r="H1300" s="26" t="b">
        <f>COUNTIFS(
 tblCostChecklist[RequirementID],A1300,
 tblCostChecklist[PlayerPaid],TRUE
)&gt;0</f>
        <v>0</v>
      </c>
      <c r="I1300" s="49">
        <f t="shared" si="1"/>
        <v>12</v>
      </c>
      <c r="J1300" s="49">
        <f t="shared" si="2"/>
        <v>0</v>
      </c>
      <c r="K1300" s="49">
        <f t="shared" si="3"/>
        <v>12</v>
      </c>
      <c r="L1300" s="49" t="b">
        <f t="shared" si="4"/>
        <v>0</v>
      </c>
      <c r="M1300" s="88">
        <f t="shared" si="5"/>
        <v>0</v>
      </c>
    </row>
    <row r="1301" ht="14.25" customHeight="1">
      <c r="A1301" s="49" t="s">
        <v>2377</v>
      </c>
      <c r="B1301" s="49" t="str">
        <f>IFERROR(__xludf.DUMMYFUNCTION("REGEXEXTRACT(A1301,""^cost\.(.*)\.[^.]+\.[^.]+$"")"),"collection.armory_1@2")</f>
        <v>collection.armory_1@2</v>
      </c>
      <c r="C1301" s="49" t="str">
        <f t="array" ref="C1301">_xlfn.XLOOKUP(
 B1301,
 tblTargets[TargetID],
 tblTargets[DisplayName],
 ""
)</f>
        <v>Armory 1 Lv 2</v>
      </c>
      <c r="D1301" s="49" t="str">
        <f t="array" ref="D1301">_xlfn.XLOOKUP(
 B1301,
 tblTargets[TargetID],
 tblTargets[TargetType],
 ""
)</f>
        <v>COLLECTION</v>
      </c>
      <c r="E1301" s="49" t="s">
        <v>2360</v>
      </c>
      <c r="F1301" s="87">
        <f>IFERROR(__xludf.DUMMYFUNCTION("VALUE(REGEXEXTRACT(A1301,""([^.]+)$""))"),1.0)</f>
        <v>1</v>
      </c>
      <c r="G1301" s="49">
        <v>6.0</v>
      </c>
      <c r="H1301" s="26" t="b">
        <f>COUNTIFS(
 tblCostChecklist[RequirementID],A1301,
 tblCostChecklist[PlayerPaid],TRUE
)&gt;0</f>
        <v>0</v>
      </c>
      <c r="I1301" s="49">
        <f t="shared" si="1"/>
        <v>12</v>
      </c>
      <c r="J1301" s="49">
        <f t="shared" si="2"/>
        <v>0</v>
      </c>
      <c r="K1301" s="49">
        <f t="shared" si="3"/>
        <v>12</v>
      </c>
      <c r="L1301" s="49" t="b">
        <f t="shared" si="4"/>
        <v>0</v>
      </c>
      <c r="M1301" s="88">
        <f t="shared" si="5"/>
        <v>0</v>
      </c>
    </row>
    <row r="1302" ht="14.25" customHeight="1">
      <c r="A1302" s="49" t="s">
        <v>2378</v>
      </c>
      <c r="B1302" s="49" t="str">
        <f>IFERROR(__xludf.DUMMYFUNCTION("REGEXEXTRACT(A1302,""^cost\.(.*)\.[^.]+\.[^.]+$"")"),"collection.armory_1@2")</f>
        <v>collection.armory_1@2</v>
      </c>
      <c r="C1302" s="49" t="str">
        <f t="array" ref="C1302">_xlfn.XLOOKUP(
 B1302,
 tblTargets[TargetID],
 tblTargets[DisplayName],
 ""
)</f>
        <v>Armory 1 Lv 2</v>
      </c>
      <c r="D1302" s="49" t="str">
        <f t="array" ref="D1302">_xlfn.XLOOKUP(
 B1302,
 tblTargets[TargetID],
 tblTargets[TargetType],
 ""
)</f>
        <v>COLLECTION</v>
      </c>
      <c r="E1302" s="49" t="s">
        <v>2362</v>
      </c>
      <c r="F1302" s="87">
        <f>IFERROR(__xludf.DUMMYFUNCTION("VALUE(REGEXEXTRACT(A1302,""([^.]+)$""))"),1.0)</f>
        <v>1</v>
      </c>
      <c r="G1302" s="49">
        <v>6.0</v>
      </c>
      <c r="H1302" s="26" t="b">
        <f>COUNTIFS(
 tblCostChecklist[RequirementID],A1302,
 tblCostChecklist[PlayerPaid],TRUE
)&gt;0</f>
        <v>0</v>
      </c>
      <c r="I1302" s="49">
        <f t="shared" si="1"/>
        <v>12</v>
      </c>
      <c r="J1302" s="49">
        <f t="shared" si="2"/>
        <v>0</v>
      </c>
      <c r="K1302" s="49">
        <f t="shared" si="3"/>
        <v>12</v>
      </c>
      <c r="L1302" s="49" t="b">
        <f t="shared" si="4"/>
        <v>0</v>
      </c>
      <c r="M1302" s="88">
        <f t="shared" si="5"/>
        <v>0</v>
      </c>
    </row>
    <row r="1303" ht="14.25" customHeight="1">
      <c r="A1303" s="49" t="s">
        <v>2379</v>
      </c>
      <c r="B1303" s="49" t="str">
        <f>IFERROR(__xludf.DUMMYFUNCTION("REGEXEXTRACT(A1303,""^cost\.(.*)\.[^.]+\.[^.]+$"")"),"collection.armory_1@2")</f>
        <v>collection.armory_1@2</v>
      </c>
      <c r="C1303" s="49" t="str">
        <f t="array" ref="C1303">_xlfn.XLOOKUP(
 B1303,
 tblTargets[TargetID],
 tblTargets[DisplayName],
 ""
)</f>
        <v>Armory 1 Lv 2</v>
      </c>
      <c r="D1303" s="49" t="str">
        <f t="array" ref="D1303">_xlfn.XLOOKUP(
 B1303,
 tblTargets[TargetID],
 tblTargets[TargetType],
 ""
)</f>
        <v>COLLECTION</v>
      </c>
      <c r="E1303" s="49" t="s">
        <v>2364</v>
      </c>
      <c r="F1303" s="87">
        <f>IFERROR(__xludf.DUMMYFUNCTION("VALUE(REGEXEXTRACT(A1303,""([^.]+)$""))"),1.0)</f>
        <v>1</v>
      </c>
      <c r="G1303" s="49">
        <v>6.0</v>
      </c>
      <c r="H1303" s="26" t="b">
        <f>COUNTIFS(
 tblCostChecklist[RequirementID],A1303,
 tblCostChecklist[PlayerPaid],TRUE
)&gt;0</f>
        <v>0</v>
      </c>
      <c r="I1303" s="49">
        <f t="shared" si="1"/>
        <v>12</v>
      </c>
      <c r="J1303" s="49">
        <f t="shared" si="2"/>
        <v>0</v>
      </c>
      <c r="K1303" s="49">
        <f t="shared" si="3"/>
        <v>12</v>
      </c>
      <c r="L1303" s="49" t="b">
        <f t="shared" si="4"/>
        <v>0</v>
      </c>
      <c r="M1303" s="88">
        <f t="shared" si="5"/>
        <v>0</v>
      </c>
    </row>
    <row r="1304" ht="14.25" customHeight="1">
      <c r="A1304" s="49" t="s">
        <v>2380</v>
      </c>
      <c r="B1304" s="49" t="str">
        <f>IFERROR(__xludf.DUMMYFUNCTION("REGEXEXTRACT(A1304,""^cost\.(.*)\.[^.]+\.[^.]+$"")"),"collection.armory_1@2")</f>
        <v>collection.armory_1@2</v>
      </c>
      <c r="C1304" s="49" t="str">
        <f t="array" ref="C1304">_xlfn.XLOOKUP(
 B1304,
 tblTargets[TargetID],
 tblTargets[DisplayName],
 ""
)</f>
        <v>Armory 1 Lv 2</v>
      </c>
      <c r="D1304" s="49" t="str">
        <f t="array" ref="D1304">_xlfn.XLOOKUP(
 B1304,
 tblTargets[TargetID],
 tblTargets[TargetType],
 ""
)</f>
        <v>COLLECTION</v>
      </c>
      <c r="E1304" s="49" t="s">
        <v>2366</v>
      </c>
      <c r="F1304" s="87">
        <f>IFERROR(__xludf.DUMMYFUNCTION("VALUE(REGEXEXTRACT(A1304,""([^.]+)$""))"),1.0)</f>
        <v>1</v>
      </c>
      <c r="G1304" s="49">
        <v>6.0</v>
      </c>
      <c r="H1304" s="26" t="b">
        <f>COUNTIFS(
 tblCostChecklist[RequirementID],A1304,
 tblCostChecklist[PlayerPaid],TRUE
)&gt;0</f>
        <v>0</v>
      </c>
      <c r="I1304" s="49">
        <f t="shared" si="1"/>
        <v>12</v>
      </c>
      <c r="J1304" s="49">
        <f t="shared" si="2"/>
        <v>0</v>
      </c>
      <c r="K1304" s="49">
        <f t="shared" si="3"/>
        <v>12</v>
      </c>
      <c r="L1304" s="49" t="b">
        <f t="shared" si="4"/>
        <v>0</v>
      </c>
      <c r="M1304" s="88">
        <f t="shared" si="5"/>
        <v>0</v>
      </c>
    </row>
    <row r="1305" ht="14.25" customHeight="1">
      <c r="A1305" s="49" t="s">
        <v>2381</v>
      </c>
      <c r="B1305" s="49" t="str">
        <f>IFERROR(__xludf.DUMMYFUNCTION("REGEXEXTRACT(A1305,""^cost\.(.*)\.[^.]+\.[^.]+$"")"),"collection.armory_1@2")</f>
        <v>collection.armory_1@2</v>
      </c>
      <c r="C1305" s="49" t="str">
        <f t="array" ref="C1305">_xlfn.XLOOKUP(
 B1305,
 tblTargets[TargetID],
 tblTargets[DisplayName],
 ""
)</f>
        <v>Armory 1 Lv 2</v>
      </c>
      <c r="D1305" s="49" t="str">
        <f t="array" ref="D1305">_xlfn.XLOOKUP(
 B1305,
 tblTargets[TargetID],
 tblTargets[TargetType],
 ""
)</f>
        <v>COLLECTION</v>
      </c>
      <c r="E1305" s="49" t="s">
        <v>2368</v>
      </c>
      <c r="F1305" s="87">
        <f>IFERROR(__xludf.DUMMYFUNCTION("VALUE(REGEXEXTRACT(A1305,""([^.]+)$""))"),1.0)</f>
        <v>1</v>
      </c>
      <c r="G1305" s="49">
        <v>6.0</v>
      </c>
      <c r="H1305" s="26" t="b">
        <f>COUNTIFS(
 tblCostChecklist[RequirementID],A1305,
 tblCostChecklist[PlayerPaid],TRUE
)&gt;0</f>
        <v>0</v>
      </c>
      <c r="I1305" s="49">
        <f t="shared" si="1"/>
        <v>12</v>
      </c>
      <c r="J1305" s="49">
        <f t="shared" si="2"/>
        <v>0</v>
      </c>
      <c r="K1305" s="49">
        <f t="shared" si="3"/>
        <v>12</v>
      </c>
      <c r="L1305" s="49" t="b">
        <f t="shared" si="4"/>
        <v>0</v>
      </c>
      <c r="M1305" s="88">
        <f t="shared" si="5"/>
        <v>0</v>
      </c>
    </row>
    <row r="1306" ht="14.25" customHeight="1">
      <c r="A1306" s="49" t="s">
        <v>2382</v>
      </c>
      <c r="B1306" s="49" t="str">
        <f>IFERROR(__xludf.DUMMYFUNCTION("REGEXEXTRACT(A1306,""^cost\.(.*)\.[^.]+\.[^.]+$"")"),"collection.armory_1@2")</f>
        <v>collection.armory_1@2</v>
      </c>
      <c r="C1306" s="49" t="str">
        <f t="array" ref="C1306">_xlfn.XLOOKUP(
 B1306,
 tblTargets[TargetID],
 tblTargets[DisplayName],
 ""
)</f>
        <v>Armory 1 Lv 2</v>
      </c>
      <c r="D1306" s="49" t="str">
        <f t="array" ref="D1306">_xlfn.XLOOKUP(
 B1306,
 tblTargets[TargetID],
 tblTargets[TargetType],
 ""
)</f>
        <v>COLLECTION</v>
      </c>
      <c r="E1306" s="49" t="s">
        <v>2370</v>
      </c>
      <c r="F1306" s="87">
        <f>IFERROR(__xludf.DUMMYFUNCTION("VALUE(REGEXEXTRACT(A1306,""([^.]+)$""))"),1.0)</f>
        <v>1</v>
      </c>
      <c r="G1306" s="49">
        <v>6.0</v>
      </c>
      <c r="H1306" s="26" t="b">
        <f>COUNTIFS(
 tblCostChecklist[RequirementID],A1306,
 tblCostChecklist[PlayerPaid],TRUE
)&gt;0</f>
        <v>0</v>
      </c>
      <c r="I1306" s="49">
        <f t="shared" si="1"/>
        <v>12</v>
      </c>
      <c r="J1306" s="49">
        <f t="shared" si="2"/>
        <v>0</v>
      </c>
      <c r="K1306" s="49">
        <f t="shared" si="3"/>
        <v>12</v>
      </c>
      <c r="L1306" s="49" t="b">
        <f t="shared" si="4"/>
        <v>0</v>
      </c>
      <c r="M1306" s="88">
        <f t="shared" si="5"/>
        <v>0</v>
      </c>
    </row>
    <row r="1307" ht="14.25" customHeight="1">
      <c r="A1307" s="49" t="s">
        <v>2383</v>
      </c>
      <c r="B1307" s="49" t="str">
        <f>IFERROR(__xludf.DUMMYFUNCTION("REGEXEXTRACT(A1307,""^cost\.(.*)\.[^.]+\.[^.]+$"")"),"collection.armory_1@3")</f>
        <v>collection.armory_1@3</v>
      </c>
      <c r="C1307" s="49" t="str">
        <f t="array" ref="C1307">_xlfn.XLOOKUP(
 B1307,
 tblTargets[TargetID],
 tblTargets[DisplayName],
 ""
)</f>
        <v>Armory 1 Lv 3</v>
      </c>
      <c r="D1307" s="49" t="str">
        <f t="array" ref="D1307">_xlfn.XLOOKUP(
 B1307,
 tblTargets[TargetID],
 tblTargets[TargetType],
 ""
)</f>
        <v>COLLECTION</v>
      </c>
      <c r="E1307" s="49" t="s">
        <v>2348</v>
      </c>
      <c r="F1307" s="87">
        <f>IFERROR(__xludf.DUMMYFUNCTION("VALUE(REGEXEXTRACT(A1307,""([^.]+)$""))"),1.0)</f>
        <v>1</v>
      </c>
      <c r="G1307" s="49">
        <v>9.0</v>
      </c>
      <c r="H1307" s="26" t="b">
        <f>COUNTIFS(
 tblCostChecklist[RequirementID],A1307,
 tblCostChecklist[PlayerPaid],TRUE
)&gt;0</f>
        <v>0</v>
      </c>
      <c r="I1307" s="49">
        <f t="shared" si="1"/>
        <v>12</v>
      </c>
      <c r="J1307" s="49">
        <f t="shared" si="2"/>
        <v>0</v>
      </c>
      <c r="K1307" s="49">
        <f t="shared" si="3"/>
        <v>12</v>
      </c>
      <c r="L1307" s="49" t="b">
        <f t="shared" si="4"/>
        <v>0</v>
      </c>
      <c r="M1307" s="88">
        <f t="shared" si="5"/>
        <v>0</v>
      </c>
    </row>
    <row r="1308" ht="14.25" customHeight="1">
      <c r="A1308" s="49" t="s">
        <v>2384</v>
      </c>
      <c r="B1308" s="49" t="str">
        <f>IFERROR(__xludf.DUMMYFUNCTION("REGEXEXTRACT(A1308,""^cost\.(.*)\.[^.]+\.[^.]+$"")"),"collection.armory_1@3")</f>
        <v>collection.armory_1@3</v>
      </c>
      <c r="C1308" s="49" t="str">
        <f t="array" ref="C1308">_xlfn.XLOOKUP(
 B1308,
 tblTargets[TargetID],
 tblTargets[DisplayName],
 ""
)</f>
        <v>Armory 1 Lv 3</v>
      </c>
      <c r="D1308" s="49" t="str">
        <f t="array" ref="D1308">_xlfn.XLOOKUP(
 B1308,
 tblTargets[TargetID],
 tblTargets[TargetType],
 ""
)</f>
        <v>COLLECTION</v>
      </c>
      <c r="E1308" s="49" t="s">
        <v>2350</v>
      </c>
      <c r="F1308" s="87">
        <f>IFERROR(__xludf.DUMMYFUNCTION("VALUE(REGEXEXTRACT(A1308,""([^.]+)$""))"),1.0)</f>
        <v>1</v>
      </c>
      <c r="G1308" s="49">
        <v>9.0</v>
      </c>
      <c r="H1308" s="26" t="b">
        <f>COUNTIFS(
 tblCostChecklist[RequirementID],A1308,
 tblCostChecklist[PlayerPaid],TRUE
)&gt;0</f>
        <v>0</v>
      </c>
      <c r="I1308" s="49">
        <f t="shared" si="1"/>
        <v>12</v>
      </c>
      <c r="J1308" s="49">
        <f t="shared" si="2"/>
        <v>0</v>
      </c>
      <c r="K1308" s="49">
        <f t="shared" si="3"/>
        <v>12</v>
      </c>
      <c r="L1308" s="49" t="b">
        <f t="shared" si="4"/>
        <v>0</v>
      </c>
      <c r="M1308" s="88">
        <f t="shared" si="5"/>
        <v>0</v>
      </c>
    </row>
    <row r="1309" ht="14.25" customHeight="1">
      <c r="A1309" s="49" t="s">
        <v>2385</v>
      </c>
      <c r="B1309" s="49" t="str">
        <f>IFERROR(__xludf.DUMMYFUNCTION("REGEXEXTRACT(A1309,""^cost\.(.*)\.[^.]+\.[^.]+$"")"),"collection.armory_1@3")</f>
        <v>collection.armory_1@3</v>
      </c>
      <c r="C1309" s="49" t="str">
        <f t="array" ref="C1309">_xlfn.XLOOKUP(
 B1309,
 tblTargets[TargetID],
 tblTargets[DisplayName],
 ""
)</f>
        <v>Armory 1 Lv 3</v>
      </c>
      <c r="D1309" s="49" t="str">
        <f t="array" ref="D1309">_xlfn.XLOOKUP(
 B1309,
 tblTargets[TargetID],
 tblTargets[TargetType],
 ""
)</f>
        <v>COLLECTION</v>
      </c>
      <c r="E1309" s="49" t="s">
        <v>2352</v>
      </c>
      <c r="F1309" s="87">
        <f>IFERROR(__xludf.DUMMYFUNCTION("VALUE(REGEXEXTRACT(A1309,""([^.]+)$""))"),1.0)</f>
        <v>1</v>
      </c>
      <c r="G1309" s="49">
        <v>9.0</v>
      </c>
      <c r="H1309" s="26" t="b">
        <f>COUNTIFS(
 tblCostChecklist[RequirementID],A1309,
 tblCostChecklist[PlayerPaid],TRUE
)&gt;0</f>
        <v>0</v>
      </c>
      <c r="I1309" s="49">
        <f t="shared" si="1"/>
        <v>12</v>
      </c>
      <c r="J1309" s="49">
        <f t="shared" si="2"/>
        <v>0</v>
      </c>
      <c r="K1309" s="49">
        <f t="shared" si="3"/>
        <v>12</v>
      </c>
      <c r="L1309" s="49" t="b">
        <f t="shared" si="4"/>
        <v>0</v>
      </c>
      <c r="M1309" s="88">
        <f t="shared" si="5"/>
        <v>0</v>
      </c>
    </row>
    <row r="1310" ht="14.25" customHeight="1">
      <c r="A1310" s="49" t="s">
        <v>2386</v>
      </c>
      <c r="B1310" s="49" t="str">
        <f>IFERROR(__xludf.DUMMYFUNCTION("REGEXEXTRACT(A1310,""^cost\.(.*)\.[^.]+\.[^.]+$"")"),"collection.armory_1@3")</f>
        <v>collection.armory_1@3</v>
      </c>
      <c r="C1310" s="49" t="str">
        <f t="array" ref="C1310">_xlfn.XLOOKUP(
 B1310,
 tblTargets[TargetID],
 tblTargets[DisplayName],
 ""
)</f>
        <v>Armory 1 Lv 3</v>
      </c>
      <c r="D1310" s="49" t="str">
        <f t="array" ref="D1310">_xlfn.XLOOKUP(
 B1310,
 tblTargets[TargetID],
 tblTargets[TargetType],
 ""
)</f>
        <v>COLLECTION</v>
      </c>
      <c r="E1310" s="49" t="s">
        <v>2354</v>
      </c>
      <c r="F1310" s="87">
        <f>IFERROR(__xludf.DUMMYFUNCTION("VALUE(REGEXEXTRACT(A1310,""([^.]+)$""))"),1.0)</f>
        <v>1</v>
      </c>
      <c r="G1310" s="49">
        <v>9.0</v>
      </c>
      <c r="H1310" s="26" t="b">
        <f>COUNTIFS(
 tblCostChecklist[RequirementID],A1310,
 tblCostChecklist[PlayerPaid],TRUE
)&gt;0</f>
        <v>0</v>
      </c>
      <c r="I1310" s="49">
        <f t="shared" si="1"/>
        <v>12</v>
      </c>
      <c r="J1310" s="49">
        <f t="shared" si="2"/>
        <v>0</v>
      </c>
      <c r="K1310" s="49">
        <f t="shared" si="3"/>
        <v>12</v>
      </c>
      <c r="L1310" s="49" t="b">
        <f t="shared" si="4"/>
        <v>0</v>
      </c>
      <c r="M1310" s="88">
        <f t="shared" si="5"/>
        <v>0</v>
      </c>
    </row>
    <row r="1311" ht="14.25" customHeight="1">
      <c r="A1311" s="49" t="s">
        <v>2387</v>
      </c>
      <c r="B1311" s="49" t="str">
        <f>IFERROR(__xludf.DUMMYFUNCTION("REGEXEXTRACT(A1311,""^cost\.(.*)\.[^.]+\.[^.]+$"")"),"collection.armory_1@3")</f>
        <v>collection.armory_1@3</v>
      </c>
      <c r="C1311" s="49" t="str">
        <f t="array" ref="C1311">_xlfn.XLOOKUP(
 B1311,
 tblTargets[TargetID],
 tblTargets[DisplayName],
 ""
)</f>
        <v>Armory 1 Lv 3</v>
      </c>
      <c r="D1311" s="49" t="str">
        <f t="array" ref="D1311">_xlfn.XLOOKUP(
 B1311,
 tblTargets[TargetID],
 tblTargets[TargetType],
 ""
)</f>
        <v>COLLECTION</v>
      </c>
      <c r="E1311" s="49" t="s">
        <v>2356</v>
      </c>
      <c r="F1311" s="87">
        <f>IFERROR(__xludf.DUMMYFUNCTION("VALUE(REGEXEXTRACT(A1311,""([^.]+)$""))"),1.0)</f>
        <v>1</v>
      </c>
      <c r="G1311" s="49">
        <v>9.0</v>
      </c>
      <c r="H1311" s="26" t="b">
        <f>COUNTIFS(
 tblCostChecklist[RequirementID],A1311,
 tblCostChecklist[PlayerPaid],TRUE
)&gt;0</f>
        <v>0</v>
      </c>
      <c r="I1311" s="49">
        <f t="shared" si="1"/>
        <v>12</v>
      </c>
      <c r="J1311" s="49">
        <f t="shared" si="2"/>
        <v>0</v>
      </c>
      <c r="K1311" s="49">
        <f t="shared" si="3"/>
        <v>12</v>
      </c>
      <c r="L1311" s="49" t="b">
        <f t="shared" si="4"/>
        <v>0</v>
      </c>
      <c r="M1311" s="88">
        <f t="shared" si="5"/>
        <v>0</v>
      </c>
    </row>
    <row r="1312" ht="14.25" customHeight="1">
      <c r="A1312" s="49" t="s">
        <v>2388</v>
      </c>
      <c r="B1312" s="49" t="str">
        <f>IFERROR(__xludf.DUMMYFUNCTION("REGEXEXTRACT(A1312,""^cost\.(.*)\.[^.]+\.[^.]+$"")"),"collection.armory_1@3")</f>
        <v>collection.armory_1@3</v>
      </c>
      <c r="C1312" s="49" t="str">
        <f t="array" ref="C1312">_xlfn.XLOOKUP(
 B1312,
 tblTargets[TargetID],
 tblTargets[DisplayName],
 ""
)</f>
        <v>Armory 1 Lv 3</v>
      </c>
      <c r="D1312" s="49" t="str">
        <f t="array" ref="D1312">_xlfn.XLOOKUP(
 B1312,
 tblTargets[TargetID],
 tblTargets[TargetType],
 ""
)</f>
        <v>COLLECTION</v>
      </c>
      <c r="E1312" s="49" t="s">
        <v>2358</v>
      </c>
      <c r="F1312" s="87">
        <f>IFERROR(__xludf.DUMMYFUNCTION("VALUE(REGEXEXTRACT(A1312,""([^.]+)$""))"),1.0)</f>
        <v>1</v>
      </c>
      <c r="G1312" s="49">
        <v>9.0</v>
      </c>
      <c r="H1312" s="26" t="b">
        <f>COUNTIFS(
 tblCostChecklist[RequirementID],A1312,
 tblCostChecklist[PlayerPaid],TRUE
)&gt;0</f>
        <v>0</v>
      </c>
      <c r="I1312" s="49">
        <f t="shared" si="1"/>
        <v>12</v>
      </c>
      <c r="J1312" s="49">
        <f t="shared" si="2"/>
        <v>0</v>
      </c>
      <c r="K1312" s="49">
        <f t="shared" si="3"/>
        <v>12</v>
      </c>
      <c r="L1312" s="49" t="b">
        <f t="shared" si="4"/>
        <v>0</v>
      </c>
      <c r="M1312" s="88">
        <f t="shared" si="5"/>
        <v>0</v>
      </c>
    </row>
    <row r="1313" ht="14.25" customHeight="1">
      <c r="A1313" s="49" t="s">
        <v>2389</v>
      </c>
      <c r="B1313" s="49" t="str">
        <f>IFERROR(__xludf.DUMMYFUNCTION("REGEXEXTRACT(A1313,""^cost\.(.*)\.[^.]+\.[^.]+$"")"),"collection.armory_1@3")</f>
        <v>collection.armory_1@3</v>
      </c>
      <c r="C1313" s="49" t="str">
        <f t="array" ref="C1313">_xlfn.XLOOKUP(
 B1313,
 tblTargets[TargetID],
 tblTargets[DisplayName],
 ""
)</f>
        <v>Armory 1 Lv 3</v>
      </c>
      <c r="D1313" s="49" t="str">
        <f t="array" ref="D1313">_xlfn.XLOOKUP(
 B1313,
 tblTargets[TargetID],
 tblTargets[TargetType],
 ""
)</f>
        <v>COLLECTION</v>
      </c>
      <c r="E1313" s="49" t="s">
        <v>2360</v>
      </c>
      <c r="F1313" s="87">
        <f>IFERROR(__xludf.DUMMYFUNCTION("VALUE(REGEXEXTRACT(A1313,""([^.]+)$""))"),1.0)</f>
        <v>1</v>
      </c>
      <c r="G1313" s="49">
        <v>9.0</v>
      </c>
      <c r="H1313" s="26" t="b">
        <f>COUNTIFS(
 tblCostChecklist[RequirementID],A1313,
 tblCostChecklist[PlayerPaid],TRUE
)&gt;0</f>
        <v>0</v>
      </c>
      <c r="I1313" s="49">
        <f t="shared" si="1"/>
        <v>12</v>
      </c>
      <c r="J1313" s="49">
        <f t="shared" si="2"/>
        <v>0</v>
      </c>
      <c r="K1313" s="49">
        <f t="shared" si="3"/>
        <v>12</v>
      </c>
      <c r="L1313" s="49" t="b">
        <f t="shared" si="4"/>
        <v>0</v>
      </c>
      <c r="M1313" s="88">
        <f t="shared" si="5"/>
        <v>0</v>
      </c>
    </row>
    <row r="1314" ht="14.25" customHeight="1">
      <c r="A1314" s="49" t="s">
        <v>2390</v>
      </c>
      <c r="B1314" s="49" t="str">
        <f>IFERROR(__xludf.DUMMYFUNCTION("REGEXEXTRACT(A1314,""^cost\.(.*)\.[^.]+\.[^.]+$"")"),"collection.armory_1@3")</f>
        <v>collection.armory_1@3</v>
      </c>
      <c r="C1314" s="49" t="str">
        <f t="array" ref="C1314">_xlfn.XLOOKUP(
 B1314,
 tblTargets[TargetID],
 tblTargets[DisplayName],
 ""
)</f>
        <v>Armory 1 Lv 3</v>
      </c>
      <c r="D1314" s="49" t="str">
        <f t="array" ref="D1314">_xlfn.XLOOKUP(
 B1314,
 tblTargets[TargetID],
 tblTargets[TargetType],
 ""
)</f>
        <v>COLLECTION</v>
      </c>
      <c r="E1314" s="49" t="s">
        <v>2362</v>
      </c>
      <c r="F1314" s="87">
        <f>IFERROR(__xludf.DUMMYFUNCTION("VALUE(REGEXEXTRACT(A1314,""([^.]+)$""))"),1.0)</f>
        <v>1</v>
      </c>
      <c r="G1314" s="49">
        <v>9.0</v>
      </c>
      <c r="H1314" s="26" t="b">
        <f>COUNTIFS(
 tblCostChecklist[RequirementID],A1314,
 tblCostChecklist[PlayerPaid],TRUE
)&gt;0</f>
        <v>0</v>
      </c>
      <c r="I1314" s="49">
        <f t="shared" si="1"/>
        <v>12</v>
      </c>
      <c r="J1314" s="49">
        <f t="shared" si="2"/>
        <v>0</v>
      </c>
      <c r="K1314" s="49">
        <f t="shared" si="3"/>
        <v>12</v>
      </c>
      <c r="L1314" s="49" t="b">
        <f t="shared" si="4"/>
        <v>0</v>
      </c>
      <c r="M1314" s="88">
        <f t="shared" si="5"/>
        <v>0</v>
      </c>
    </row>
    <row r="1315" ht="14.25" customHeight="1">
      <c r="A1315" s="49" t="s">
        <v>2391</v>
      </c>
      <c r="B1315" s="49" t="str">
        <f>IFERROR(__xludf.DUMMYFUNCTION("REGEXEXTRACT(A1315,""^cost\.(.*)\.[^.]+\.[^.]+$"")"),"collection.armory_1@3")</f>
        <v>collection.armory_1@3</v>
      </c>
      <c r="C1315" s="49" t="str">
        <f t="array" ref="C1315">_xlfn.XLOOKUP(
 B1315,
 tblTargets[TargetID],
 tblTargets[DisplayName],
 ""
)</f>
        <v>Armory 1 Lv 3</v>
      </c>
      <c r="D1315" s="49" t="str">
        <f t="array" ref="D1315">_xlfn.XLOOKUP(
 B1315,
 tblTargets[TargetID],
 tblTargets[TargetType],
 ""
)</f>
        <v>COLLECTION</v>
      </c>
      <c r="E1315" s="49" t="s">
        <v>2364</v>
      </c>
      <c r="F1315" s="87">
        <f>IFERROR(__xludf.DUMMYFUNCTION("VALUE(REGEXEXTRACT(A1315,""([^.]+)$""))"),1.0)</f>
        <v>1</v>
      </c>
      <c r="G1315" s="49">
        <v>9.0</v>
      </c>
      <c r="H1315" s="26" t="b">
        <f>COUNTIFS(
 tblCostChecklist[RequirementID],A1315,
 tblCostChecklist[PlayerPaid],TRUE
)&gt;0</f>
        <v>0</v>
      </c>
      <c r="I1315" s="49">
        <f t="shared" si="1"/>
        <v>12</v>
      </c>
      <c r="J1315" s="49">
        <f t="shared" si="2"/>
        <v>0</v>
      </c>
      <c r="K1315" s="49">
        <f t="shared" si="3"/>
        <v>12</v>
      </c>
      <c r="L1315" s="49" t="b">
        <f t="shared" si="4"/>
        <v>0</v>
      </c>
      <c r="M1315" s="88">
        <f t="shared" si="5"/>
        <v>0</v>
      </c>
    </row>
    <row r="1316" ht="14.25" customHeight="1">
      <c r="A1316" s="49" t="s">
        <v>2392</v>
      </c>
      <c r="B1316" s="49" t="str">
        <f>IFERROR(__xludf.DUMMYFUNCTION("REGEXEXTRACT(A1316,""^cost\.(.*)\.[^.]+\.[^.]+$"")"),"collection.armory_1@3")</f>
        <v>collection.armory_1@3</v>
      </c>
      <c r="C1316" s="49" t="str">
        <f t="array" ref="C1316">_xlfn.XLOOKUP(
 B1316,
 tblTargets[TargetID],
 tblTargets[DisplayName],
 ""
)</f>
        <v>Armory 1 Lv 3</v>
      </c>
      <c r="D1316" s="49" t="str">
        <f t="array" ref="D1316">_xlfn.XLOOKUP(
 B1316,
 tblTargets[TargetID],
 tblTargets[TargetType],
 ""
)</f>
        <v>COLLECTION</v>
      </c>
      <c r="E1316" s="49" t="s">
        <v>2366</v>
      </c>
      <c r="F1316" s="87">
        <f>IFERROR(__xludf.DUMMYFUNCTION("VALUE(REGEXEXTRACT(A1316,""([^.]+)$""))"),1.0)</f>
        <v>1</v>
      </c>
      <c r="G1316" s="49">
        <v>9.0</v>
      </c>
      <c r="H1316" s="26" t="b">
        <f>COUNTIFS(
 tblCostChecklist[RequirementID],A1316,
 tblCostChecklist[PlayerPaid],TRUE
)&gt;0</f>
        <v>0</v>
      </c>
      <c r="I1316" s="49">
        <f t="shared" si="1"/>
        <v>12</v>
      </c>
      <c r="J1316" s="49">
        <f t="shared" si="2"/>
        <v>0</v>
      </c>
      <c r="K1316" s="49">
        <f t="shared" si="3"/>
        <v>12</v>
      </c>
      <c r="L1316" s="49" t="b">
        <f t="shared" si="4"/>
        <v>0</v>
      </c>
      <c r="M1316" s="88">
        <f t="shared" si="5"/>
        <v>0</v>
      </c>
    </row>
    <row r="1317" ht="14.25" customHeight="1">
      <c r="A1317" s="49" t="s">
        <v>2393</v>
      </c>
      <c r="B1317" s="49" t="str">
        <f>IFERROR(__xludf.DUMMYFUNCTION("REGEXEXTRACT(A1317,""^cost\.(.*)\.[^.]+\.[^.]+$"")"),"collection.armory_1@3")</f>
        <v>collection.armory_1@3</v>
      </c>
      <c r="C1317" s="49" t="str">
        <f t="array" ref="C1317">_xlfn.XLOOKUP(
 B1317,
 tblTargets[TargetID],
 tblTargets[DisplayName],
 ""
)</f>
        <v>Armory 1 Lv 3</v>
      </c>
      <c r="D1317" s="49" t="str">
        <f t="array" ref="D1317">_xlfn.XLOOKUP(
 B1317,
 tblTargets[TargetID],
 tblTargets[TargetType],
 ""
)</f>
        <v>COLLECTION</v>
      </c>
      <c r="E1317" s="49" t="s">
        <v>2368</v>
      </c>
      <c r="F1317" s="87">
        <f>IFERROR(__xludf.DUMMYFUNCTION("VALUE(REGEXEXTRACT(A1317,""([^.]+)$""))"),1.0)</f>
        <v>1</v>
      </c>
      <c r="G1317" s="49">
        <v>9.0</v>
      </c>
      <c r="H1317" s="26" t="b">
        <f>COUNTIFS(
 tblCostChecklist[RequirementID],A1317,
 tblCostChecklist[PlayerPaid],TRUE
)&gt;0</f>
        <v>0</v>
      </c>
      <c r="I1317" s="49">
        <f t="shared" si="1"/>
        <v>12</v>
      </c>
      <c r="J1317" s="49">
        <f t="shared" si="2"/>
        <v>0</v>
      </c>
      <c r="K1317" s="49">
        <f t="shared" si="3"/>
        <v>12</v>
      </c>
      <c r="L1317" s="49" t="b">
        <f t="shared" si="4"/>
        <v>0</v>
      </c>
      <c r="M1317" s="88">
        <f t="shared" si="5"/>
        <v>0</v>
      </c>
    </row>
    <row r="1318" ht="14.25" customHeight="1">
      <c r="A1318" s="49" t="s">
        <v>2394</v>
      </c>
      <c r="B1318" s="49" t="str">
        <f>IFERROR(__xludf.DUMMYFUNCTION("REGEXEXTRACT(A1318,""^cost\.(.*)\.[^.]+\.[^.]+$"")"),"collection.armory_1@3")</f>
        <v>collection.armory_1@3</v>
      </c>
      <c r="C1318" s="49" t="str">
        <f t="array" ref="C1318">_xlfn.XLOOKUP(
 B1318,
 tblTargets[TargetID],
 tblTargets[DisplayName],
 ""
)</f>
        <v>Armory 1 Lv 3</v>
      </c>
      <c r="D1318" s="49" t="str">
        <f t="array" ref="D1318">_xlfn.XLOOKUP(
 B1318,
 tblTargets[TargetID],
 tblTargets[TargetType],
 ""
)</f>
        <v>COLLECTION</v>
      </c>
      <c r="E1318" s="49" t="s">
        <v>2370</v>
      </c>
      <c r="F1318" s="87">
        <f>IFERROR(__xludf.DUMMYFUNCTION("VALUE(REGEXEXTRACT(A1318,""([^.]+)$""))"),1.0)</f>
        <v>1</v>
      </c>
      <c r="G1318" s="49">
        <v>9.0</v>
      </c>
      <c r="H1318" s="26" t="b">
        <f>COUNTIFS(
 tblCostChecklist[RequirementID],A1318,
 tblCostChecklist[PlayerPaid],TRUE
)&gt;0</f>
        <v>0</v>
      </c>
      <c r="I1318" s="49">
        <f t="shared" si="1"/>
        <v>12</v>
      </c>
      <c r="J1318" s="49">
        <f t="shared" si="2"/>
        <v>0</v>
      </c>
      <c r="K1318" s="49">
        <f t="shared" si="3"/>
        <v>12</v>
      </c>
      <c r="L1318" s="49" t="b">
        <f t="shared" si="4"/>
        <v>0</v>
      </c>
      <c r="M1318" s="88">
        <f t="shared" si="5"/>
        <v>0</v>
      </c>
    </row>
    <row r="1319" ht="14.25" customHeight="1">
      <c r="A1319" s="49" t="s">
        <v>2395</v>
      </c>
      <c r="B1319" s="49" t="str">
        <f>IFERROR(__xludf.DUMMYFUNCTION("REGEXEXTRACT(A1319,""^cost\.(.*)\.[^.]+\.[^.]+$"")"),"collection.armory_2@1")</f>
        <v>collection.armory_2@1</v>
      </c>
      <c r="C1319" s="49" t="str">
        <f t="array" ref="C1319">_xlfn.XLOOKUP(
 B1319,
 tblTargets[TargetID],
 tblTargets[DisplayName],
 ""
)</f>
        <v>Armory 2 Lv 1</v>
      </c>
      <c r="D1319" s="49" t="str">
        <f t="array" ref="D1319">_xlfn.XLOOKUP(
 B1319,
 tblTargets[TargetID],
 tblTargets[TargetType],
 ""
)</f>
        <v>COLLECTION</v>
      </c>
      <c r="E1319" s="49" t="s">
        <v>2396</v>
      </c>
      <c r="F1319" s="87">
        <f>IFERROR(__xludf.DUMMYFUNCTION("VALUE(REGEXEXTRACT(A1319,""([^.]+)$""))"),1.0)</f>
        <v>1</v>
      </c>
      <c r="G1319" s="49">
        <v>3.0</v>
      </c>
      <c r="H1319" s="26" t="b">
        <f>COUNTIFS(
 tblCostChecklist[RequirementID],A1319,
 tblCostChecklist[PlayerPaid],TRUE
)&gt;0</f>
        <v>0</v>
      </c>
      <c r="I1319" s="49">
        <f t="shared" si="1"/>
        <v>3</v>
      </c>
      <c r="J1319" s="49">
        <f t="shared" si="2"/>
        <v>0</v>
      </c>
      <c r="K1319" s="49">
        <f t="shared" si="3"/>
        <v>3</v>
      </c>
      <c r="L1319" s="49" t="b">
        <f t="shared" si="4"/>
        <v>0</v>
      </c>
      <c r="M1319" s="88">
        <f t="shared" si="5"/>
        <v>0</v>
      </c>
    </row>
    <row r="1320" ht="14.25" customHeight="1">
      <c r="A1320" s="49" t="s">
        <v>2397</v>
      </c>
      <c r="B1320" s="49" t="str">
        <f>IFERROR(__xludf.DUMMYFUNCTION("REGEXEXTRACT(A1320,""^cost\.(.*)\.[^.]+\.[^.]+$"")"),"collection.armory_2@1")</f>
        <v>collection.armory_2@1</v>
      </c>
      <c r="C1320" s="49" t="str">
        <f t="array" ref="C1320">_xlfn.XLOOKUP(
 B1320,
 tblTargets[TargetID],
 tblTargets[DisplayName],
 ""
)</f>
        <v>Armory 2 Lv 1</v>
      </c>
      <c r="D1320" s="49" t="str">
        <f t="array" ref="D1320">_xlfn.XLOOKUP(
 B1320,
 tblTargets[TargetID],
 tblTargets[TargetType],
 ""
)</f>
        <v>COLLECTION</v>
      </c>
      <c r="E1320" s="49" t="s">
        <v>2398</v>
      </c>
      <c r="F1320" s="87">
        <f>IFERROR(__xludf.DUMMYFUNCTION("VALUE(REGEXEXTRACT(A1320,""([^.]+)$""))"),1.0)</f>
        <v>1</v>
      </c>
      <c r="G1320" s="49">
        <v>3.0</v>
      </c>
      <c r="H1320" s="26" t="b">
        <f>COUNTIFS(
 tblCostChecklist[RequirementID],A1320,
 tblCostChecklist[PlayerPaid],TRUE
)&gt;0</f>
        <v>0</v>
      </c>
      <c r="I1320" s="49">
        <f t="shared" si="1"/>
        <v>3</v>
      </c>
      <c r="J1320" s="49">
        <f t="shared" si="2"/>
        <v>0</v>
      </c>
      <c r="K1320" s="49">
        <f t="shared" si="3"/>
        <v>3</v>
      </c>
      <c r="L1320" s="49" t="b">
        <f t="shared" si="4"/>
        <v>0</v>
      </c>
      <c r="M1320" s="88">
        <f t="shared" si="5"/>
        <v>0</v>
      </c>
    </row>
    <row r="1321" ht="14.25" customHeight="1">
      <c r="A1321" s="49" t="s">
        <v>2399</v>
      </c>
      <c r="B1321" s="49" t="str">
        <f>IFERROR(__xludf.DUMMYFUNCTION("REGEXEXTRACT(A1321,""^cost\.(.*)\.[^.]+\.[^.]+$"")"),"collection.armory_2@1")</f>
        <v>collection.armory_2@1</v>
      </c>
      <c r="C1321" s="49" t="str">
        <f t="array" ref="C1321">_xlfn.XLOOKUP(
 B1321,
 tblTargets[TargetID],
 tblTargets[DisplayName],
 ""
)</f>
        <v>Armory 2 Lv 1</v>
      </c>
      <c r="D1321" s="49" t="str">
        <f t="array" ref="D1321">_xlfn.XLOOKUP(
 B1321,
 tblTargets[TargetID],
 tblTargets[TargetType],
 ""
)</f>
        <v>COLLECTION</v>
      </c>
      <c r="E1321" s="49" t="s">
        <v>2400</v>
      </c>
      <c r="F1321" s="87">
        <f>IFERROR(__xludf.DUMMYFUNCTION("VALUE(REGEXEXTRACT(A1321,""([^.]+)$""))"),1.0)</f>
        <v>1</v>
      </c>
      <c r="G1321" s="49">
        <v>3.0</v>
      </c>
      <c r="H1321" s="26" t="b">
        <f>COUNTIFS(
 tblCostChecklist[RequirementID],A1321,
 tblCostChecklist[PlayerPaid],TRUE
)&gt;0</f>
        <v>0</v>
      </c>
      <c r="I1321" s="49">
        <f t="shared" si="1"/>
        <v>3</v>
      </c>
      <c r="J1321" s="49">
        <f t="shared" si="2"/>
        <v>0</v>
      </c>
      <c r="K1321" s="49">
        <f t="shared" si="3"/>
        <v>3</v>
      </c>
      <c r="L1321" s="49" t="b">
        <f t="shared" si="4"/>
        <v>0</v>
      </c>
      <c r="M1321" s="88">
        <f t="shared" si="5"/>
        <v>0</v>
      </c>
    </row>
    <row r="1322" ht="14.25" customHeight="1">
      <c r="A1322" s="49" t="s">
        <v>2401</v>
      </c>
      <c r="B1322" s="49" t="str">
        <f>IFERROR(__xludf.DUMMYFUNCTION("REGEXEXTRACT(A1322,""^cost\.(.*)\.[^.]+\.[^.]+$"")"),"collection.attic@1")</f>
        <v>collection.attic@1</v>
      </c>
      <c r="C1322" s="49" t="str">
        <f t="array" ref="C1322">_xlfn.XLOOKUP(
 B1322,
 tblTargets[TargetID],
 tblTargets[DisplayName],
 ""
)</f>
        <v>Attic Lv 1</v>
      </c>
      <c r="D1322" s="49" t="str">
        <f t="array" ref="D1322">_xlfn.XLOOKUP(
 B1322,
 tblTargets[TargetID],
 tblTargets[TargetType],
 ""
)</f>
        <v>COLLECTION</v>
      </c>
      <c r="E1322" s="49" t="s">
        <v>1066</v>
      </c>
      <c r="F1322" s="87">
        <f>IFERROR(__xludf.DUMMYFUNCTION("VALUE(REGEXEXTRACT(A1322,""([^.]+)$""))"),1.0)</f>
        <v>1</v>
      </c>
      <c r="G1322" s="49">
        <v>3.0</v>
      </c>
      <c r="H1322" s="26" t="b">
        <f>COUNTIFS(
 tblCostChecklist[RequirementID],A1322,
 tblCostChecklist[PlayerPaid],TRUE
)&gt;0</f>
        <v>0</v>
      </c>
      <c r="I1322" s="49">
        <f t="shared" si="1"/>
        <v>9</v>
      </c>
      <c r="J1322" s="49">
        <f t="shared" si="2"/>
        <v>0</v>
      </c>
      <c r="K1322" s="49">
        <f t="shared" si="3"/>
        <v>9</v>
      </c>
      <c r="L1322" s="49" t="b">
        <f t="shared" si="4"/>
        <v>0</v>
      </c>
      <c r="M1322" s="88">
        <f t="shared" si="5"/>
        <v>0</v>
      </c>
    </row>
    <row r="1323" ht="14.25" customHeight="1">
      <c r="A1323" s="49" t="s">
        <v>2402</v>
      </c>
      <c r="B1323" s="49" t="str">
        <f>IFERROR(__xludf.DUMMYFUNCTION("REGEXEXTRACT(A1323,""^cost\.(.*)\.[^.]+\.[^.]+$"")"),"collection.attic@1")</f>
        <v>collection.attic@1</v>
      </c>
      <c r="C1323" s="49" t="str">
        <f t="array" ref="C1323">_xlfn.XLOOKUP(
 B1323,
 tblTargets[TargetID],
 tblTargets[DisplayName],
 ""
)</f>
        <v>Attic Lv 1</v>
      </c>
      <c r="D1323" s="49" t="str">
        <f t="array" ref="D1323">_xlfn.XLOOKUP(
 B1323,
 tblTargets[TargetID],
 tblTargets[TargetType],
 ""
)</f>
        <v>COLLECTION</v>
      </c>
      <c r="E1323" s="49" t="s">
        <v>171</v>
      </c>
      <c r="F1323" s="87">
        <f>IFERROR(__xludf.DUMMYFUNCTION("VALUE(REGEXEXTRACT(A1323,""([^.]+)$""))"),1.0)</f>
        <v>1</v>
      </c>
      <c r="G1323" s="49">
        <v>20.0</v>
      </c>
      <c r="H1323" s="26" t="b">
        <f>COUNTIFS(
 tblCostChecklist[RequirementID],A1323,
 tblCostChecklist[PlayerPaid],TRUE
)&gt;0</f>
        <v>0</v>
      </c>
      <c r="I1323" s="49">
        <f t="shared" si="1"/>
        <v>9</v>
      </c>
      <c r="J1323" s="49">
        <f t="shared" si="2"/>
        <v>0</v>
      </c>
      <c r="K1323" s="49">
        <f t="shared" si="3"/>
        <v>9</v>
      </c>
      <c r="L1323" s="49" t="b">
        <f t="shared" si="4"/>
        <v>0</v>
      </c>
      <c r="M1323" s="88">
        <f t="shared" si="5"/>
        <v>0</v>
      </c>
    </row>
    <row r="1324" ht="14.25" customHeight="1">
      <c r="A1324" s="49" t="s">
        <v>2403</v>
      </c>
      <c r="B1324" s="49" t="str">
        <f>IFERROR(__xludf.DUMMYFUNCTION("REGEXEXTRACT(A1324,""^cost\.(.*)\.[^.]+\.[^.]+$"")"),"collection.attic@1")</f>
        <v>collection.attic@1</v>
      </c>
      <c r="C1324" s="49" t="str">
        <f t="array" ref="C1324">_xlfn.XLOOKUP(
 B1324,
 tblTargets[TargetID],
 tblTargets[DisplayName],
 ""
)</f>
        <v>Attic Lv 1</v>
      </c>
      <c r="D1324" s="49" t="str">
        <f t="array" ref="D1324">_xlfn.XLOOKUP(
 B1324,
 tblTargets[TargetID],
 tblTargets[TargetType],
 ""
)</f>
        <v>COLLECTION</v>
      </c>
      <c r="E1324" s="49" t="s">
        <v>2404</v>
      </c>
      <c r="F1324" s="87">
        <f>IFERROR(__xludf.DUMMYFUNCTION("VALUE(REGEXEXTRACT(A1324,""([^.]+)$""))"),1.0)</f>
        <v>1</v>
      </c>
      <c r="G1324" s="49">
        <v>3.0</v>
      </c>
      <c r="H1324" s="26" t="b">
        <f>COUNTIFS(
 tblCostChecklist[RequirementID],A1324,
 tblCostChecklist[PlayerPaid],TRUE
)&gt;0</f>
        <v>0</v>
      </c>
      <c r="I1324" s="49">
        <f t="shared" si="1"/>
        <v>9</v>
      </c>
      <c r="J1324" s="49">
        <f t="shared" si="2"/>
        <v>0</v>
      </c>
      <c r="K1324" s="49">
        <f t="shared" si="3"/>
        <v>9</v>
      </c>
      <c r="L1324" s="49" t="b">
        <f t="shared" si="4"/>
        <v>0</v>
      </c>
      <c r="M1324" s="88">
        <f t="shared" si="5"/>
        <v>0</v>
      </c>
    </row>
    <row r="1325" ht="14.25" customHeight="1">
      <c r="A1325" s="49" t="s">
        <v>2405</v>
      </c>
      <c r="B1325" s="49" t="str">
        <f>IFERROR(__xludf.DUMMYFUNCTION("REGEXEXTRACT(A1325,""^cost\.(.*)\.[^.]+\.[^.]+$"")"),"collection.attic@1")</f>
        <v>collection.attic@1</v>
      </c>
      <c r="C1325" s="49" t="str">
        <f t="array" ref="C1325">_xlfn.XLOOKUP(
 B1325,
 tblTargets[TargetID],
 tblTargets[DisplayName],
 ""
)</f>
        <v>Attic Lv 1</v>
      </c>
      <c r="D1325" s="49" t="str">
        <f t="array" ref="D1325">_xlfn.XLOOKUP(
 B1325,
 tblTargets[TargetID],
 tblTargets[TargetType],
 ""
)</f>
        <v>COLLECTION</v>
      </c>
      <c r="E1325" s="49" t="s">
        <v>1922</v>
      </c>
      <c r="F1325" s="87">
        <f>IFERROR(__xludf.DUMMYFUNCTION("VALUE(REGEXEXTRACT(A1325,""([^.]+)$""))"),1.0)</f>
        <v>1</v>
      </c>
      <c r="G1325" s="49">
        <v>10.0</v>
      </c>
      <c r="H1325" s="26" t="b">
        <f>COUNTIFS(
 tblCostChecklist[RequirementID],A1325,
 tblCostChecklist[PlayerPaid],TRUE
)&gt;0</f>
        <v>0</v>
      </c>
      <c r="I1325" s="49">
        <f t="shared" si="1"/>
        <v>9</v>
      </c>
      <c r="J1325" s="49">
        <f t="shared" si="2"/>
        <v>0</v>
      </c>
      <c r="K1325" s="49">
        <f t="shared" si="3"/>
        <v>9</v>
      </c>
      <c r="L1325" s="49" t="b">
        <f t="shared" si="4"/>
        <v>0</v>
      </c>
      <c r="M1325" s="88">
        <f t="shared" si="5"/>
        <v>0</v>
      </c>
    </row>
    <row r="1326" ht="14.25" customHeight="1">
      <c r="A1326" s="49" t="s">
        <v>2406</v>
      </c>
      <c r="B1326" s="49" t="str">
        <f>IFERROR(__xludf.DUMMYFUNCTION("REGEXEXTRACT(A1326,""^cost\.(.*)\.[^.]+\.[^.]+$"")"),"collection.attic@1")</f>
        <v>collection.attic@1</v>
      </c>
      <c r="C1326" s="49" t="str">
        <f t="array" ref="C1326">_xlfn.XLOOKUP(
 B1326,
 tblTargets[TargetID],
 tblTargets[DisplayName],
 ""
)</f>
        <v>Attic Lv 1</v>
      </c>
      <c r="D1326" s="49" t="str">
        <f t="array" ref="D1326">_xlfn.XLOOKUP(
 B1326,
 tblTargets[TargetID],
 tblTargets[TargetType],
 ""
)</f>
        <v>COLLECTION</v>
      </c>
      <c r="E1326" s="49" t="s">
        <v>2083</v>
      </c>
      <c r="F1326" s="87">
        <f>IFERROR(__xludf.DUMMYFUNCTION("VALUE(REGEXEXTRACT(A1326,""([^.]+)$""))"),1.0)</f>
        <v>1</v>
      </c>
      <c r="G1326" s="49">
        <v>3.0</v>
      </c>
      <c r="H1326" s="26" t="b">
        <f>COUNTIFS(
 tblCostChecklist[RequirementID],A1326,
 tblCostChecklist[PlayerPaid],TRUE
)&gt;0</f>
        <v>0</v>
      </c>
      <c r="I1326" s="49">
        <f t="shared" si="1"/>
        <v>9</v>
      </c>
      <c r="J1326" s="49">
        <f t="shared" si="2"/>
        <v>0</v>
      </c>
      <c r="K1326" s="49">
        <f t="shared" si="3"/>
        <v>9</v>
      </c>
      <c r="L1326" s="49" t="b">
        <f t="shared" si="4"/>
        <v>0</v>
      </c>
      <c r="M1326" s="88">
        <f t="shared" si="5"/>
        <v>0</v>
      </c>
    </row>
    <row r="1327" ht="14.25" customHeight="1">
      <c r="A1327" s="49" t="s">
        <v>2407</v>
      </c>
      <c r="B1327" s="49" t="str">
        <f>IFERROR(__xludf.DUMMYFUNCTION("REGEXEXTRACT(A1327,""^cost\.(.*)\.[^.]+\.[^.]+$"")"),"collection.attic@1")</f>
        <v>collection.attic@1</v>
      </c>
      <c r="C1327" s="49" t="str">
        <f t="array" ref="C1327">_xlfn.XLOOKUP(
 B1327,
 tblTargets[TargetID],
 tblTargets[DisplayName],
 ""
)</f>
        <v>Attic Lv 1</v>
      </c>
      <c r="D1327" s="49" t="str">
        <f t="array" ref="D1327">_xlfn.XLOOKUP(
 B1327,
 tblTargets[TargetID],
 tblTargets[TargetType],
 ""
)</f>
        <v>COLLECTION</v>
      </c>
      <c r="E1327" s="49" t="s">
        <v>1095</v>
      </c>
      <c r="F1327" s="87">
        <f>IFERROR(__xludf.DUMMYFUNCTION("VALUE(REGEXEXTRACT(A1327,""([^.]+)$""))"),1.0)</f>
        <v>1</v>
      </c>
      <c r="G1327" s="49">
        <v>3.0</v>
      </c>
      <c r="H1327" s="26" t="b">
        <f>COUNTIFS(
 tblCostChecklist[RequirementID],A1327,
 tblCostChecklist[PlayerPaid],TRUE
)&gt;0</f>
        <v>0</v>
      </c>
      <c r="I1327" s="49">
        <f t="shared" si="1"/>
        <v>9</v>
      </c>
      <c r="J1327" s="49">
        <f t="shared" si="2"/>
        <v>0</v>
      </c>
      <c r="K1327" s="49">
        <f t="shared" si="3"/>
        <v>9</v>
      </c>
      <c r="L1327" s="49" t="b">
        <f t="shared" si="4"/>
        <v>0</v>
      </c>
      <c r="M1327" s="88">
        <f t="shared" si="5"/>
        <v>0</v>
      </c>
    </row>
    <row r="1328" ht="14.25" customHeight="1">
      <c r="A1328" s="49" t="s">
        <v>2408</v>
      </c>
      <c r="B1328" s="49" t="str">
        <f>IFERROR(__xludf.DUMMYFUNCTION("REGEXEXTRACT(A1328,""^cost\.(.*)\.[^.]+\.[^.]+$"")"),"collection.attic@1")</f>
        <v>collection.attic@1</v>
      </c>
      <c r="C1328" s="49" t="str">
        <f t="array" ref="C1328">_xlfn.XLOOKUP(
 B1328,
 tblTargets[TargetID],
 tblTargets[DisplayName],
 ""
)</f>
        <v>Attic Lv 1</v>
      </c>
      <c r="D1328" s="49" t="str">
        <f t="array" ref="D1328">_xlfn.XLOOKUP(
 B1328,
 tblTargets[TargetID],
 tblTargets[TargetType],
 ""
)</f>
        <v>COLLECTION</v>
      </c>
      <c r="E1328" s="49" t="s">
        <v>1948</v>
      </c>
      <c r="F1328" s="87">
        <f>IFERROR(__xludf.DUMMYFUNCTION("VALUE(REGEXEXTRACT(A1328,""([^.]+)$""))"),1.0)</f>
        <v>1</v>
      </c>
      <c r="G1328" s="49">
        <v>3.0</v>
      </c>
      <c r="H1328" s="26" t="b">
        <f>COUNTIFS(
 tblCostChecklist[RequirementID],A1328,
 tblCostChecklist[PlayerPaid],TRUE
)&gt;0</f>
        <v>0</v>
      </c>
      <c r="I1328" s="49">
        <f t="shared" si="1"/>
        <v>9</v>
      </c>
      <c r="J1328" s="49">
        <f t="shared" si="2"/>
        <v>0</v>
      </c>
      <c r="K1328" s="49">
        <f t="shared" si="3"/>
        <v>9</v>
      </c>
      <c r="L1328" s="49" t="b">
        <f t="shared" si="4"/>
        <v>0</v>
      </c>
      <c r="M1328" s="88">
        <f t="shared" si="5"/>
        <v>0</v>
      </c>
    </row>
    <row r="1329" ht="14.25" customHeight="1">
      <c r="A1329" s="49" t="s">
        <v>2409</v>
      </c>
      <c r="B1329" s="49" t="str">
        <f>IFERROR(__xludf.DUMMYFUNCTION("REGEXEXTRACT(A1329,""^cost\.(.*)\.[^.]+\.[^.]+$"")"),"collection.attic@1")</f>
        <v>collection.attic@1</v>
      </c>
      <c r="C1329" s="49" t="str">
        <f t="array" ref="C1329">_xlfn.XLOOKUP(
 B1329,
 tblTargets[TargetID],
 tblTargets[DisplayName],
 ""
)</f>
        <v>Attic Lv 1</v>
      </c>
      <c r="D1329" s="49" t="str">
        <f t="array" ref="D1329">_xlfn.XLOOKUP(
 B1329,
 tblTargets[TargetID],
 tblTargets[TargetType],
 ""
)</f>
        <v>COLLECTION</v>
      </c>
      <c r="E1329" s="49" t="s">
        <v>2410</v>
      </c>
      <c r="F1329" s="87">
        <f>IFERROR(__xludf.DUMMYFUNCTION("VALUE(REGEXEXTRACT(A1329,""([^.]+)$""))"),1.0)</f>
        <v>1</v>
      </c>
      <c r="G1329" s="49">
        <v>20.0</v>
      </c>
      <c r="H1329" s="26" t="b">
        <f>COUNTIFS(
 tblCostChecklist[RequirementID],A1329,
 tblCostChecklist[PlayerPaid],TRUE
)&gt;0</f>
        <v>0</v>
      </c>
      <c r="I1329" s="49">
        <f t="shared" si="1"/>
        <v>9</v>
      </c>
      <c r="J1329" s="49">
        <f t="shared" si="2"/>
        <v>0</v>
      </c>
      <c r="K1329" s="49">
        <f t="shared" si="3"/>
        <v>9</v>
      </c>
      <c r="L1329" s="49" t="b">
        <f t="shared" si="4"/>
        <v>0</v>
      </c>
      <c r="M1329" s="88">
        <f t="shared" si="5"/>
        <v>0</v>
      </c>
    </row>
    <row r="1330" ht="14.25" customHeight="1">
      <c r="A1330" s="49" t="s">
        <v>2411</v>
      </c>
      <c r="B1330" s="49" t="str">
        <f>IFERROR(__xludf.DUMMYFUNCTION("REGEXEXTRACT(A1330,""^cost\.(.*)\.[^.]+\.[^.]+$"")"),"collection.attic@1")</f>
        <v>collection.attic@1</v>
      </c>
      <c r="C1330" s="49" t="str">
        <f t="array" ref="C1330">_xlfn.XLOOKUP(
 B1330,
 tblTargets[TargetID],
 tblTargets[DisplayName],
 ""
)</f>
        <v>Attic Lv 1</v>
      </c>
      <c r="D1330" s="49" t="str">
        <f t="array" ref="D1330">_xlfn.XLOOKUP(
 B1330,
 tblTargets[TargetID],
 tblTargets[TargetType],
 ""
)</f>
        <v>COLLECTION</v>
      </c>
      <c r="E1330" s="49" t="s">
        <v>2412</v>
      </c>
      <c r="F1330" s="87">
        <f>IFERROR(__xludf.DUMMYFUNCTION("VALUE(REGEXEXTRACT(A1330,""([^.]+)$""))"),1.0)</f>
        <v>1</v>
      </c>
      <c r="G1330" s="49">
        <v>20.0</v>
      </c>
      <c r="H1330" s="26" t="b">
        <f>COUNTIFS(
 tblCostChecklist[RequirementID],A1330,
 tblCostChecklist[PlayerPaid],TRUE
)&gt;0</f>
        <v>0</v>
      </c>
      <c r="I1330" s="49">
        <f t="shared" si="1"/>
        <v>9</v>
      </c>
      <c r="J1330" s="49">
        <f t="shared" si="2"/>
        <v>0</v>
      </c>
      <c r="K1330" s="49">
        <f t="shared" si="3"/>
        <v>9</v>
      </c>
      <c r="L1330" s="49" t="b">
        <f t="shared" si="4"/>
        <v>0</v>
      </c>
      <c r="M1330" s="88">
        <f t="shared" si="5"/>
        <v>0</v>
      </c>
    </row>
    <row r="1331" ht="14.25" customHeight="1">
      <c r="A1331" s="49" t="s">
        <v>2413</v>
      </c>
      <c r="B1331" s="49" t="str">
        <f>IFERROR(__xludf.DUMMYFUNCTION("REGEXEXTRACT(A1331,""^cost\.(.*)\.[^.]+\.[^.]+$"")"),"collection.attic@2")</f>
        <v>collection.attic@2</v>
      </c>
      <c r="C1331" s="49" t="str">
        <f t="array" ref="C1331">_xlfn.XLOOKUP(
 B1331,
 tblTargets[TargetID],
 tblTargets[DisplayName],
 ""
)</f>
        <v>Attic Lv 2</v>
      </c>
      <c r="D1331" s="49" t="str">
        <f t="array" ref="D1331">_xlfn.XLOOKUP(
 B1331,
 tblTargets[TargetID],
 tblTargets[TargetType],
 ""
)</f>
        <v>COLLECTION</v>
      </c>
      <c r="E1331" s="49" t="s">
        <v>1066</v>
      </c>
      <c r="F1331" s="87">
        <f>IFERROR(__xludf.DUMMYFUNCTION("VALUE(REGEXEXTRACT(A1331,""([^.]+)$""))"),1.0)</f>
        <v>1</v>
      </c>
      <c r="G1331" s="49">
        <v>6.0</v>
      </c>
      <c r="H1331" s="26" t="b">
        <f>COUNTIFS(
 tblCostChecklist[RequirementID],A1331,
 tblCostChecklist[PlayerPaid],TRUE
)&gt;0</f>
        <v>0</v>
      </c>
      <c r="I1331" s="49">
        <f t="shared" si="1"/>
        <v>9</v>
      </c>
      <c r="J1331" s="49">
        <f t="shared" si="2"/>
        <v>0</v>
      </c>
      <c r="K1331" s="49">
        <f t="shared" si="3"/>
        <v>9</v>
      </c>
      <c r="L1331" s="49" t="b">
        <f t="shared" si="4"/>
        <v>0</v>
      </c>
      <c r="M1331" s="88">
        <f t="shared" si="5"/>
        <v>0</v>
      </c>
    </row>
    <row r="1332" ht="14.25" customHeight="1">
      <c r="A1332" s="49" t="s">
        <v>2414</v>
      </c>
      <c r="B1332" s="49" t="str">
        <f>IFERROR(__xludf.DUMMYFUNCTION("REGEXEXTRACT(A1332,""^cost\.(.*)\.[^.]+\.[^.]+$"")"),"collection.attic@2")</f>
        <v>collection.attic@2</v>
      </c>
      <c r="C1332" s="49" t="str">
        <f t="array" ref="C1332">_xlfn.XLOOKUP(
 B1332,
 tblTargets[TargetID],
 tblTargets[DisplayName],
 ""
)</f>
        <v>Attic Lv 2</v>
      </c>
      <c r="D1332" s="49" t="str">
        <f t="array" ref="D1332">_xlfn.XLOOKUP(
 B1332,
 tblTargets[TargetID],
 tblTargets[TargetType],
 ""
)</f>
        <v>COLLECTION</v>
      </c>
      <c r="E1332" s="49" t="s">
        <v>171</v>
      </c>
      <c r="F1332" s="87">
        <f>IFERROR(__xludf.DUMMYFUNCTION("VALUE(REGEXEXTRACT(A1332,""([^.]+)$""))"),1.0)</f>
        <v>1</v>
      </c>
      <c r="G1332" s="49">
        <v>40.0</v>
      </c>
      <c r="H1332" s="26" t="b">
        <f>COUNTIFS(
 tblCostChecklist[RequirementID],A1332,
 tblCostChecklist[PlayerPaid],TRUE
)&gt;0</f>
        <v>0</v>
      </c>
      <c r="I1332" s="49">
        <f t="shared" si="1"/>
        <v>9</v>
      </c>
      <c r="J1332" s="49">
        <f t="shared" si="2"/>
        <v>0</v>
      </c>
      <c r="K1332" s="49">
        <f t="shared" si="3"/>
        <v>9</v>
      </c>
      <c r="L1332" s="49" t="b">
        <f t="shared" si="4"/>
        <v>0</v>
      </c>
      <c r="M1332" s="88">
        <f t="shared" si="5"/>
        <v>0</v>
      </c>
    </row>
    <row r="1333" ht="14.25" customHeight="1">
      <c r="A1333" s="49" t="s">
        <v>2415</v>
      </c>
      <c r="B1333" s="49" t="str">
        <f>IFERROR(__xludf.DUMMYFUNCTION("REGEXEXTRACT(A1333,""^cost\.(.*)\.[^.]+\.[^.]+$"")"),"collection.attic@2")</f>
        <v>collection.attic@2</v>
      </c>
      <c r="C1333" s="49" t="str">
        <f t="array" ref="C1333">_xlfn.XLOOKUP(
 B1333,
 tblTargets[TargetID],
 tblTargets[DisplayName],
 ""
)</f>
        <v>Attic Lv 2</v>
      </c>
      <c r="D1333" s="49" t="str">
        <f t="array" ref="D1333">_xlfn.XLOOKUP(
 B1333,
 tblTargets[TargetID],
 tblTargets[TargetType],
 ""
)</f>
        <v>COLLECTION</v>
      </c>
      <c r="E1333" s="49" t="s">
        <v>2404</v>
      </c>
      <c r="F1333" s="87">
        <f>IFERROR(__xludf.DUMMYFUNCTION("VALUE(REGEXEXTRACT(A1333,""([^.]+)$""))"),1.0)</f>
        <v>1</v>
      </c>
      <c r="G1333" s="49">
        <v>6.0</v>
      </c>
      <c r="H1333" s="26" t="b">
        <f>COUNTIFS(
 tblCostChecklist[RequirementID],A1333,
 tblCostChecklist[PlayerPaid],TRUE
)&gt;0</f>
        <v>0</v>
      </c>
      <c r="I1333" s="49">
        <f t="shared" si="1"/>
        <v>9</v>
      </c>
      <c r="J1333" s="49">
        <f t="shared" si="2"/>
        <v>0</v>
      </c>
      <c r="K1333" s="49">
        <f t="shared" si="3"/>
        <v>9</v>
      </c>
      <c r="L1333" s="49" t="b">
        <f t="shared" si="4"/>
        <v>0</v>
      </c>
      <c r="M1333" s="88">
        <f t="shared" si="5"/>
        <v>0</v>
      </c>
    </row>
    <row r="1334" ht="14.25" customHeight="1">
      <c r="A1334" s="49" t="s">
        <v>2416</v>
      </c>
      <c r="B1334" s="49" t="str">
        <f>IFERROR(__xludf.DUMMYFUNCTION("REGEXEXTRACT(A1334,""^cost\.(.*)\.[^.]+\.[^.]+$"")"),"collection.attic@2")</f>
        <v>collection.attic@2</v>
      </c>
      <c r="C1334" s="49" t="str">
        <f t="array" ref="C1334">_xlfn.XLOOKUP(
 B1334,
 tblTargets[TargetID],
 tblTargets[DisplayName],
 ""
)</f>
        <v>Attic Lv 2</v>
      </c>
      <c r="D1334" s="49" t="str">
        <f t="array" ref="D1334">_xlfn.XLOOKUP(
 B1334,
 tblTargets[TargetID],
 tblTargets[TargetType],
 ""
)</f>
        <v>COLLECTION</v>
      </c>
      <c r="E1334" s="49" t="s">
        <v>1922</v>
      </c>
      <c r="F1334" s="87">
        <f>IFERROR(__xludf.DUMMYFUNCTION("VALUE(REGEXEXTRACT(A1334,""([^.]+)$""))"),1.0)</f>
        <v>1</v>
      </c>
      <c r="G1334" s="49">
        <v>20.0</v>
      </c>
      <c r="H1334" s="26" t="b">
        <f>COUNTIFS(
 tblCostChecklist[RequirementID],A1334,
 tblCostChecklist[PlayerPaid],TRUE
)&gt;0</f>
        <v>0</v>
      </c>
      <c r="I1334" s="49">
        <f t="shared" si="1"/>
        <v>9</v>
      </c>
      <c r="J1334" s="49">
        <f t="shared" si="2"/>
        <v>0</v>
      </c>
      <c r="K1334" s="49">
        <f t="shared" si="3"/>
        <v>9</v>
      </c>
      <c r="L1334" s="49" t="b">
        <f t="shared" si="4"/>
        <v>0</v>
      </c>
      <c r="M1334" s="88">
        <f t="shared" si="5"/>
        <v>0</v>
      </c>
    </row>
    <row r="1335" ht="14.25" customHeight="1">
      <c r="A1335" s="49" t="s">
        <v>2417</v>
      </c>
      <c r="B1335" s="49" t="str">
        <f>IFERROR(__xludf.DUMMYFUNCTION("REGEXEXTRACT(A1335,""^cost\.(.*)\.[^.]+\.[^.]+$"")"),"collection.attic@2")</f>
        <v>collection.attic@2</v>
      </c>
      <c r="C1335" s="49" t="str">
        <f t="array" ref="C1335">_xlfn.XLOOKUP(
 B1335,
 tblTargets[TargetID],
 tblTargets[DisplayName],
 ""
)</f>
        <v>Attic Lv 2</v>
      </c>
      <c r="D1335" s="49" t="str">
        <f t="array" ref="D1335">_xlfn.XLOOKUP(
 B1335,
 tblTargets[TargetID],
 tblTargets[TargetType],
 ""
)</f>
        <v>COLLECTION</v>
      </c>
      <c r="E1335" s="49" t="s">
        <v>2083</v>
      </c>
      <c r="F1335" s="87">
        <f>IFERROR(__xludf.DUMMYFUNCTION("VALUE(REGEXEXTRACT(A1335,""([^.]+)$""))"),1.0)</f>
        <v>1</v>
      </c>
      <c r="G1335" s="49">
        <v>6.0</v>
      </c>
      <c r="H1335" s="26" t="b">
        <f>COUNTIFS(
 tblCostChecklist[RequirementID],A1335,
 tblCostChecklist[PlayerPaid],TRUE
)&gt;0</f>
        <v>0</v>
      </c>
      <c r="I1335" s="49">
        <f t="shared" si="1"/>
        <v>9</v>
      </c>
      <c r="J1335" s="49">
        <f t="shared" si="2"/>
        <v>0</v>
      </c>
      <c r="K1335" s="49">
        <f t="shared" si="3"/>
        <v>9</v>
      </c>
      <c r="L1335" s="49" t="b">
        <f t="shared" si="4"/>
        <v>0</v>
      </c>
      <c r="M1335" s="88">
        <f t="shared" si="5"/>
        <v>0</v>
      </c>
    </row>
    <row r="1336" ht="14.25" customHeight="1">
      <c r="A1336" s="49" t="s">
        <v>2418</v>
      </c>
      <c r="B1336" s="49" t="str">
        <f>IFERROR(__xludf.DUMMYFUNCTION("REGEXEXTRACT(A1336,""^cost\.(.*)\.[^.]+\.[^.]+$"")"),"collection.attic@2")</f>
        <v>collection.attic@2</v>
      </c>
      <c r="C1336" s="49" t="str">
        <f t="array" ref="C1336">_xlfn.XLOOKUP(
 B1336,
 tblTargets[TargetID],
 tblTargets[DisplayName],
 ""
)</f>
        <v>Attic Lv 2</v>
      </c>
      <c r="D1336" s="49" t="str">
        <f t="array" ref="D1336">_xlfn.XLOOKUP(
 B1336,
 tblTargets[TargetID],
 tblTargets[TargetType],
 ""
)</f>
        <v>COLLECTION</v>
      </c>
      <c r="E1336" s="49" t="s">
        <v>1095</v>
      </c>
      <c r="F1336" s="87">
        <f>IFERROR(__xludf.DUMMYFUNCTION("VALUE(REGEXEXTRACT(A1336,""([^.]+)$""))"),1.0)</f>
        <v>1</v>
      </c>
      <c r="G1336" s="49">
        <v>6.0</v>
      </c>
      <c r="H1336" s="26" t="b">
        <f>COUNTIFS(
 tblCostChecklist[RequirementID],A1336,
 tblCostChecklist[PlayerPaid],TRUE
)&gt;0</f>
        <v>0</v>
      </c>
      <c r="I1336" s="49">
        <f t="shared" si="1"/>
        <v>9</v>
      </c>
      <c r="J1336" s="49">
        <f t="shared" si="2"/>
        <v>0</v>
      </c>
      <c r="K1336" s="49">
        <f t="shared" si="3"/>
        <v>9</v>
      </c>
      <c r="L1336" s="49" t="b">
        <f t="shared" si="4"/>
        <v>0</v>
      </c>
      <c r="M1336" s="88">
        <f t="shared" si="5"/>
        <v>0</v>
      </c>
    </row>
    <row r="1337" ht="14.25" customHeight="1">
      <c r="A1337" s="49" t="s">
        <v>2419</v>
      </c>
      <c r="B1337" s="49" t="str">
        <f>IFERROR(__xludf.DUMMYFUNCTION("REGEXEXTRACT(A1337,""^cost\.(.*)\.[^.]+\.[^.]+$"")"),"collection.attic@2")</f>
        <v>collection.attic@2</v>
      </c>
      <c r="C1337" s="49" t="str">
        <f t="array" ref="C1337">_xlfn.XLOOKUP(
 B1337,
 tblTargets[TargetID],
 tblTargets[DisplayName],
 ""
)</f>
        <v>Attic Lv 2</v>
      </c>
      <c r="D1337" s="49" t="str">
        <f t="array" ref="D1337">_xlfn.XLOOKUP(
 B1337,
 tblTargets[TargetID],
 tblTargets[TargetType],
 ""
)</f>
        <v>COLLECTION</v>
      </c>
      <c r="E1337" s="49" t="s">
        <v>1948</v>
      </c>
      <c r="F1337" s="87">
        <f>IFERROR(__xludf.DUMMYFUNCTION("VALUE(REGEXEXTRACT(A1337,""([^.]+)$""))"),1.0)</f>
        <v>1</v>
      </c>
      <c r="G1337" s="49">
        <v>6.0</v>
      </c>
      <c r="H1337" s="26" t="b">
        <f>COUNTIFS(
 tblCostChecklist[RequirementID],A1337,
 tblCostChecklist[PlayerPaid],TRUE
)&gt;0</f>
        <v>0</v>
      </c>
      <c r="I1337" s="49">
        <f t="shared" si="1"/>
        <v>9</v>
      </c>
      <c r="J1337" s="49">
        <f t="shared" si="2"/>
        <v>0</v>
      </c>
      <c r="K1337" s="49">
        <f t="shared" si="3"/>
        <v>9</v>
      </c>
      <c r="L1337" s="49" t="b">
        <f t="shared" si="4"/>
        <v>0</v>
      </c>
      <c r="M1337" s="88">
        <f t="shared" si="5"/>
        <v>0</v>
      </c>
    </row>
    <row r="1338" ht="14.25" customHeight="1">
      <c r="A1338" s="49" t="s">
        <v>2420</v>
      </c>
      <c r="B1338" s="49" t="str">
        <f>IFERROR(__xludf.DUMMYFUNCTION("REGEXEXTRACT(A1338,""^cost\.(.*)\.[^.]+\.[^.]+$"")"),"collection.attic@2")</f>
        <v>collection.attic@2</v>
      </c>
      <c r="C1338" s="49" t="str">
        <f t="array" ref="C1338">_xlfn.XLOOKUP(
 B1338,
 tblTargets[TargetID],
 tblTargets[DisplayName],
 ""
)</f>
        <v>Attic Lv 2</v>
      </c>
      <c r="D1338" s="49" t="str">
        <f t="array" ref="D1338">_xlfn.XLOOKUP(
 B1338,
 tblTargets[TargetID],
 tblTargets[TargetType],
 ""
)</f>
        <v>COLLECTION</v>
      </c>
      <c r="E1338" s="49" t="s">
        <v>2410</v>
      </c>
      <c r="F1338" s="87">
        <f>IFERROR(__xludf.DUMMYFUNCTION("VALUE(REGEXEXTRACT(A1338,""([^.]+)$""))"),1.0)</f>
        <v>1</v>
      </c>
      <c r="G1338" s="49">
        <v>40.0</v>
      </c>
      <c r="H1338" s="26" t="b">
        <f>COUNTIFS(
 tblCostChecklist[RequirementID],A1338,
 tblCostChecklist[PlayerPaid],TRUE
)&gt;0</f>
        <v>0</v>
      </c>
      <c r="I1338" s="49">
        <f t="shared" si="1"/>
        <v>9</v>
      </c>
      <c r="J1338" s="49">
        <f t="shared" si="2"/>
        <v>0</v>
      </c>
      <c r="K1338" s="49">
        <f t="shared" si="3"/>
        <v>9</v>
      </c>
      <c r="L1338" s="49" t="b">
        <f t="shared" si="4"/>
        <v>0</v>
      </c>
      <c r="M1338" s="88">
        <f t="shared" si="5"/>
        <v>0</v>
      </c>
    </row>
    <row r="1339" ht="14.25" customHeight="1">
      <c r="A1339" s="49" t="s">
        <v>2421</v>
      </c>
      <c r="B1339" s="49" t="str">
        <f>IFERROR(__xludf.DUMMYFUNCTION("REGEXEXTRACT(A1339,""^cost\.(.*)\.[^.]+\.[^.]+$"")"),"collection.attic@2")</f>
        <v>collection.attic@2</v>
      </c>
      <c r="C1339" s="49" t="str">
        <f t="array" ref="C1339">_xlfn.XLOOKUP(
 B1339,
 tblTargets[TargetID],
 tblTargets[DisplayName],
 ""
)</f>
        <v>Attic Lv 2</v>
      </c>
      <c r="D1339" s="49" t="str">
        <f t="array" ref="D1339">_xlfn.XLOOKUP(
 B1339,
 tblTargets[TargetID],
 tblTargets[TargetType],
 ""
)</f>
        <v>COLLECTION</v>
      </c>
      <c r="E1339" s="49" t="s">
        <v>2412</v>
      </c>
      <c r="F1339" s="87">
        <f>IFERROR(__xludf.DUMMYFUNCTION("VALUE(REGEXEXTRACT(A1339,""([^.]+)$""))"),1.0)</f>
        <v>1</v>
      </c>
      <c r="G1339" s="49">
        <v>40.0</v>
      </c>
      <c r="H1339" s="26" t="b">
        <f>COUNTIFS(
 tblCostChecklist[RequirementID],A1339,
 tblCostChecklist[PlayerPaid],TRUE
)&gt;0</f>
        <v>0</v>
      </c>
      <c r="I1339" s="49">
        <f t="shared" si="1"/>
        <v>9</v>
      </c>
      <c r="J1339" s="49">
        <f t="shared" si="2"/>
        <v>0</v>
      </c>
      <c r="K1339" s="49">
        <f t="shared" si="3"/>
        <v>9</v>
      </c>
      <c r="L1339" s="49" t="b">
        <f t="shared" si="4"/>
        <v>0</v>
      </c>
      <c r="M1339" s="88">
        <f t="shared" si="5"/>
        <v>0</v>
      </c>
    </row>
    <row r="1340" ht="14.25" customHeight="1">
      <c r="A1340" s="49" t="s">
        <v>2422</v>
      </c>
      <c r="B1340" s="49" t="str">
        <f>IFERROR(__xludf.DUMMYFUNCTION("REGEXEXTRACT(A1340,""^cost\.(.*)\.[^.]+\.[^.]+$"")"),"collection.attic@3")</f>
        <v>collection.attic@3</v>
      </c>
      <c r="C1340" s="49" t="str">
        <f t="array" ref="C1340">_xlfn.XLOOKUP(
 B1340,
 tblTargets[TargetID],
 tblTargets[DisplayName],
 ""
)</f>
        <v>Attic Lv 3</v>
      </c>
      <c r="D1340" s="49" t="str">
        <f t="array" ref="D1340">_xlfn.XLOOKUP(
 B1340,
 tblTargets[TargetID],
 tblTargets[TargetType],
 ""
)</f>
        <v>COLLECTION</v>
      </c>
      <c r="E1340" s="49" t="s">
        <v>1066</v>
      </c>
      <c r="F1340" s="87">
        <f>IFERROR(__xludf.DUMMYFUNCTION("VALUE(REGEXEXTRACT(A1340,""([^.]+)$""))"),1.0)</f>
        <v>1</v>
      </c>
      <c r="G1340" s="49">
        <v>9.0</v>
      </c>
      <c r="H1340" s="26" t="b">
        <f>COUNTIFS(
 tblCostChecklist[RequirementID],A1340,
 tblCostChecklist[PlayerPaid],TRUE
)&gt;0</f>
        <v>0</v>
      </c>
      <c r="I1340" s="49">
        <f t="shared" si="1"/>
        <v>9</v>
      </c>
      <c r="J1340" s="49">
        <f t="shared" si="2"/>
        <v>0</v>
      </c>
      <c r="K1340" s="49">
        <f t="shared" si="3"/>
        <v>9</v>
      </c>
      <c r="L1340" s="49" t="b">
        <f t="shared" si="4"/>
        <v>0</v>
      </c>
      <c r="M1340" s="88">
        <f t="shared" si="5"/>
        <v>0</v>
      </c>
    </row>
    <row r="1341" ht="14.25" customHeight="1">
      <c r="A1341" s="49" t="s">
        <v>2423</v>
      </c>
      <c r="B1341" s="49" t="str">
        <f>IFERROR(__xludf.DUMMYFUNCTION("REGEXEXTRACT(A1341,""^cost\.(.*)\.[^.]+\.[^.]+$"")"),"collection.attic@3")</f>
        <v>collection.attic@3</v>
      </c>
      <c r="C1341" s="49" t="str">
        <f t="array" ref="C1341">_xlfn.XLOOKUP(
 B1341,
 tblTargets[TargetID],
 tblTargets[DisplayName],
 ""
)</f>
        <v>Attic Lv 3</v>
      </c>
      <c r="D1341" s="49" t="str">
        <f t="array" ref="D1341">_xlfn.XLOOKUP(
 B1341,
 tblTargets[TargetID],
 tblTargets[TargetType],
 ""
)</f>
        <v>COLLECTION</v>
      </c>
      <c r="E1341" s="49" t="s">
        <v>171</v>
      </c>
      <c r="F1341" s="87">
        <f>IFERROR(__xludf.DUMMYFUNCTION("VALUE(REGEXEXTRACT(A1341,""([^.]+)$""))"),1.0)</f>
        <v>1</v>
      </c>
      <c r="G1341" s="49">
        <v>60.0</v>
      </c>
      <c r="H1341" s="26" t="b">
        <f>COUNTIFS(
 tblCostChecklist[RequirementID],A1341,
 tblCostChecklist[PlayerPaid],TRUE
)&gt;0</f>
        <v>0</v>
      </c>
      <c r="I1341" s="49">
        <f t="shared" si="1"/>
        <v>9</v>
      </c>
      <c r="J1341" s="49">
        <f t="shared" si="2"/>
        <v>0</v>
      </c>
      <c r="K1341" s="49">
        <f t="shared" si="3"/>
        <v>9</v>
      </c>
      <c r="L1341" s="49" t="b">
        <f t="shared" si="4"/>
        <v>0</v>
      </c>
      <c r="M1341" s="88">
        <f t="shared" si="5"/>
        <v>0</v>
      </c>
    </row>
    <row r="1342" ht="14.25" customHeight="1">
      <c r="A1342" s="49" t="s">
        <v>2424</v>
      </c>
      <c r="B1342" s="49" t="str">
        <f>IFERROR(__xludf.DUMMYFUNCTION("REGEXEXTRACT(A1342,""^cost\.(.*)\.[^.]+\.[^.]+$"")"),"collection.attic@3")</f>
        <v>collection.attic@3</v>
      </c>
      <c r="C1342" s="49" t="str">
        <f t="array" ref="C1342">_xlfn.XLOOKUP(
 B1342,
 tblTargets[TargetID],
 tblTargets[DisplayName],
 ""
)</f>
        <v>Attic Lv 3</v>
      </c>
      <c r="D1342" s="49" t="str">
        <f t="array" ref="D1342">_xlfn.XLOOKUP(
 B1342,
 tblTargets[TargetID],
 tblTargets[TargetType],
 ""
)</f>
        <v>COLLECTION</v>
      </c>
      <c r="E1342" s="49" t="s">
        <v>2404</v>
      </c>
      <c r="F1342" s="87">
        <f>IFERROR(__xludf.DUMMYFUNCTION("VALUE(REGEXEXTRACT(A1342,""([^.]+)$""))"),1.0)</f>
        <v>1</v>
      </c>
      <c r="G1342" s="49">
        <v>9.0</v>
      </c>
      <c r="H1342" s="26" t="b">
        <f>COUNTIFS(
 tblCostChecklist[RequirementID],A1342,
 tblCostChecklist[PlayerPaid],TRUE
)&gt;0</f>
        <v>0</v>
      </c>
      <c r="I1342" s="49">
        <f t="shared" si="1"/>
        <v>9</v>
      </c>
      <c r="J1342" s="49">
        <f t="shared" si="2"/>
        <v>0</v>
      </c>
      <c r="K1342" s="49">
        <f t="shared" si="3"/>
        <v>9</v>
      </c>
      <c r="L1342" s="49" t="b">
        <f t="shared" si="4"/>
        <v>0</v>
      </c>
      <c r="M1342" s="88">
        <f t="shared" si="5"/>
        <v>0</v>
      </c>
    </row>
    <row r="1343" ht="14.25" customHeight="1">
      <c r="A1343" s="49" t="s">
        <v>2425</v>
      </c>
      <c r="B1343" s="49" t="str">
        <f>IFERROR(__xludf.DUMMYFUNCTION("REGEXEXTRACT(A1343,""^cost\.(.*)\.[^.]+\.[^.]+$"")"),"collection.attic@3")</f>
        <v>collection.attic@3</v>
      </c>
      <c r="C1343" s="49" t="str">
        <f t="array" ref="C1343">_xlfn.XLOOKUP(
 B1343,
 tblTargets[TargetID],
 tblTargets[DisplayName],
 ""
)</f>
        <v>Attic Lv 3</v>
      </c>
      <c r="D1343" s="49" t="str">
        <f t="array" ref="D1343">_xlfn.XLOOKUP(
 B1343,
 tblTargets[TargetID],
 tblTargets[TargetType],
 ""
)</f>
        <v>COLLECTION</v>
      </c>
      <c r="E1343" s="49" t="s">
        <v>1922</v>
      </c>
      <c r="F1343" s="87">
        <f>IFERROR(__xludf.DUMMYFUNCTION("VALUE(REGEXEXTRACT(A1343,""([^.]+)$""))"),1.0)</f>
        <v>1</v>
      </c>
      <c r="G1343" s="49">
        <v>30.0</v>
      </c>
      <c r="H1343" s="26" t="b">
        <f>COUNTIFS(
 tblCostChecklist[RequirementID],A1343,
 tblCostChecklist[PlayerPaid],TRUE
)&gt;0</f>
        <v>0</v>
      </c>
      <c r="I1343" s="49">
        <f t="shared" si="1"/>
        <v>9</v>
      </c>
      <c r="J1343" s="49">
        <f t="shared" si="2"/>
        <v>0</v>
      </c>
      <c r="K1343" s="49">
        <f t="shared" si="3"/>
        <v>9</v>
      </c>
      <c r="L1343" s="49" t="b">
        <f t="shared" si="4"/>
        <v>0</v>
      </c>
      <c r="M1343" s="88">
        <f t="shared" si="5"/>
        <v>0</v>
      </c>
    </row>
    <row r="1344" ht="14.25" customHeight="1">
      <c r="A1344" s="49" t="s">
        <v>2426</v>
      </c>
      <c r="B1344" s="49" t="str">
        <f>IFERROR(__xludf.DUMMYFUNCTION("REGEXEXTRACT(A1344,""^cost\.(.*)\.[^.]+\.[^.]+$"")"),"collection.attic@3")</f>
        <v>collection.attic@3</v>
      </c>
      <c r="C1344" s="49" t="str">
        <f t="array" ref="C1344">_xlfn.XLOOKUP(
 B1344,
 tblTargets[TargetID],
 tblTargets[DisplayName],
 ""
)</f>
        <v>Attic Lv 3</v>
      </c>
      <c r="D1344" s="49" t="str">
        <f t="array" ref="D1344">_xlfn.XLOOKUP(
 B1344,
 tblTargets[TargetID],
 tblTargets[TargetType],
 ""
)</f>
        <v>COLLECTION</v>
      </c>
      <c r="E1344" s="49" t="s">
        <v>2083</v>
      </c>
      <c r="F1344" s="87">
        <f>IFERROR(__xludf.DUMMYFUNCTION("VALUE(REGEXEXTRACT(A1344,""([^.]+)$""))"),1.0)</f>
        <v>1</v>
      </c>
      <c r="G1344" s="49">
        <v>9.0</v>
      </c>
      <c r="H1344" s="26" t="b">
        <f>COUNTIFS(
 tblCostChecklist[RequirementID],A1344,
 tblCostChecklist[PlayerPaid],TRUE
)&gt;0</f>
        <v>0</v>
      </c>
      <c r="I1344" s="49">
        <f t="shared" si="1"/>
        <v>9</v>
      </c>
      <c r="J1344" s="49">
        <f t="shared" si="2"/>
        <v>0</v>
      </c>
      <c r="K1344" s="49">
        <f t="shared" si="3"/>
        <v>9</v>
      </c>
      <c r="L1344" s="49" t="b">
        <f t="shared" si="4"/>
        <v>0</v>
      </c>
      <c r="M1344" s="88">
        <f t="shared" si="5"/>
        <v>0</v>
      </c>
    </row>
    <row r="1345" ht="14.25" customHeight="1">
      <c r="A1345" s="49" t="s">
        <v>2427</v>
      </c>
      <c r="B1345" s="49" t="str">
        <f>IFERROR(__xludf.DUMMYFUNCTION("REGEXEXTRACT(A1345,""^cost\.(.*)\.[^.]+\.[^.]+$"")"),"collection.attic@3")</f>
        <v>collection.attic@3</v>
      </c>
      <c r="C1345" s="49" t="str">
        <f t="array" ref="C1345">_xlfn.XLOOKUP(
 B1345,
 tblTargets[TargetID],
 tblTargets[DisplayName],
 ""
)</f>
        <v>Attic Lv 3</v>
      </c>
      <c r="D1345" s="49" t="str">
        <f t="array" ref="D1345">_xlfn.XLOOKUP(
 B1345,
 tblTargets[TargetID],
 tblTargets[TargetType],
 ""
)</f>
        <v>COLLECTION</v>
      </c>
      <c r="E1345" s="49" t="s">
        <v>1095</v>
      </c>
      <c r="F1345" s="87">
        <f>IFERROR(__xludf.DUMMYFUNCTION("VALUE(REGEXEXTRACT(A1345,""([^.]+)$""))"),1.0)</f>
        <v>1</v>
      </c>
      <c r="G1345" s="49">
        <v>9.0</v>
      </c>
      <c r="H1345" s="26" t="b">
        <f>COUNTIFS(
 tblCostChecklist[RequirementID],A1345,
 tblCostChecklist[PlayerPaid],TRUE
)&gt;0</f>
        <v>0</v>
      </c>
      <c r="I1345" s="49">
        <f t="shared" si="1"/>
        <v>9</v>
      </c>
      <c r="J1345" s="49">
        <f t="shared" si="2"/>
        <v>0</v>
      </c>
      <c r="K1345" s="49">
        <f t="shared" si="3"/>
        <v>9</v>
      </c>
      <c r="L1345" s="49" t="b">
        <f t="shared" si="4"/>
        <v>0</v>
      </c>
      <c r="M1345" s="88">
        <f t="shared" si="5"/>
        <v>0</v>
      </c>
    </row>
    <row r="1346" ht="14.25" customHeight="1">
      <c r="A1346" s="49" t="s">
        <v>2428</v>
      </c>
      <c r="B1346" s="49" t="str">
        <f>IFERROR(__xludf.DUMMYFUNCTION("REGEXEXTRACT(A1346,""^cost\.(.*)\.[^.]+\.[^.]+$"")"),"collection.attic@3")</f>
        <v>collection.attic@3</v>
      </c>
      <c r="C1346" s="49" t="str">
        <f t="array" ref="C1346">_xlfn.XLOOKUP(
 B1346,
 tblTargets[TargetID],
 tblTargets[DisplayName],
 ""
)</f>
        <v>Attic Lv 3</v>
      </c>
      <c r="D1346" s="49" t="str">
        <f t="array" ref="D1346">_xlfn.XLOOKUP(
 B1346,
 tblTargets[TargetID],
 tblTargets[TargetType],
 ""
)</f>
        <v>COLLECTION</v>
      </c>
      <c r="E1346" s="49" t="s">
        <v>1948</v>
      </c>
      <c r="F1346" s="87">
        <f>IFERROR(__xludf.DUMMYFUNCTION("VALUE(REGEXEXTRACT(A1346,""([^.]+)$""))"),1.0)</f>
        <v>1</v>
      </c>
      <c r="G1346" s="49">
        <v>9.0</v>
      </c>
      <c r="H1346" s="26" t="b">
        <f>COUNTIFS(
 tblCostChecklist[RequirementID],A1346,
 tblCostChecklist[PlayerPaid],TRUE
)&gt;0</f>
        <v>0</v>
      </c>
      <c r="I1346" s="49">
        <f t="shared" si="1"/>
        <v>9</v>
      </c>
      <c r="J1346" s="49">
        <f t="shared" si="2"/>
        <v>0</v>
      </c>
      <c r="K1346" s="49">
        <f t="shared" si="3"/>
        <v>9</v>
      </c>
      <c r="L1346" s="49" t="b">
        <f t="shared" si="4"/>
        <v>0</v>
      </c>
      <c r="M1346" s="88">
        <f t="shared" si="5"/>
        <v>0</v>
      </c>
    </row>
    <row r="1347" ht="14.25" customHeight="1">
      <c r="A1347" s="49" t="s">
        <v>2429</v>
      </c>
      <c r="B1347" s="49" t="str">
        <f>IFERROR(__xludf.DUMMYFUNCTION("REGEXEXTRACT(A1347,""^cost\.(.*)\.[^.]+\.[^.]+$"")"),"collection.attic@3")</f>
        <v>collection.attic@3</v>
      </c>
      <c r="C1347" s="49" t="str">
        <f t="array" ref="C1347">_xlfn.XLOOKUP(
 B1347,
 tblTargets[TargetID],
 tblTargets[DisplayName],
 ""
)</f>
        <v>Attic Lv 3</v>
      </c>
      <c r="D1347" s="49" t="str">
        <f t="array" ref="D1347">_xlfn.XLOOKUP(
 B1347,
 tblTargets[TargetID],
 tblTargets[TargetType],
 ""
)</f>
        <v>COLLECTION</v>
      </c>
      <c r="E1347" s="49" t="s">
        <v>2410</v>
      </c>
      <c r="F1347" s="87">
        <f>IFERROR(__xludf.DUMMYFUNCTION("VALUE(REGEXEXTRACT(A1347,""([^.]+)$""))"),1.0)</f>
        <v>1</v>
      </c>
      <c r="G1347" s="49">
        <v>60.0</v>
      </c>
      <c r="H1347" s="26" t="b">
        <f>COUNTIFS(
 tblCostChecklist[RequirementID],A1347,
 tblCostChecklist[PlayerPaid],TRUE
)&gt;0</f>
        <v>0</v>
      </c>
      <c r="I1347" s="49">
        <f t="shared" si="1"/>
        <v>9</v>
      </c>
      <c r="J1347" s="49">
        <f t="shared" si="2"/>
        <v>0</v>
      </c>
      <c r="K1347" s="49">
        <f t="shared" si="3"/>
        <v>9</v>
      </c>
      <c r="L1347" s="49" t="b">
        <f t="shared" si="4"/>
        <v>0</v>
      </c>
      <c r="M1347" s="88">
        <f t="shared" si="5"/>
        <v>0</v>
      </c>
    </row>
    <row r="1348" ht="14.25" customHeight="1">
      <c r="A1348" s="49" t="s">
        <v>2430</v>
      </c>
      <c r="B1348" s="49" t="str">
        <f>IFERROR(__xludf.DUMMYFUNCTION("REGEXEXTRACT(A1348,""^cost\.(.*)\.[^.]+\.[^.]+$"")"),"collection.attic@3")</f>
        <v>collection.attic@3</v>
      </c>
      <c r="C1348" s="49" t="str">
        <f t="array" ref="C1348">_xlfn.XLOOKUP(
 B1348,
 tblTargets[TargetID],
 tblTargets[DisplayName],
 ""
)</f>
        <v>Attic Lv 3</v>
      </c>
      <c r="D1348" s="49" t="str">
        <f t="array" ref="D1348">_xlfn.XLOOKUP(
 B1348,
 tblTargets[TargetID],
 tblTargets[TargetType],
 ""
)</f>
        <v>COLLECTION</v>
      </c>
      <c r="E1348" s="49" t="s">
        <v>2412</v>
      </c>
      <c r="F1348" s="87">
        <f>IFERROR(__xludf.DUMMYFUNCTION("VALUE(REGEXEXTRACT(A1348,""([^.]+)$""))"),1.0)</f>
        <v>1</v>
      </c>
      <c r="G1348" s="49">
        <v>60.0</v>
      </c>
      <c r="H1348" s="26" t="b">
        <f>COUNTIFS(
 tblCostChecklist[RequirementID],A1348,
 tblCostChecklist[PlayerPaid],TRUE
)&gt;0</f>
        <v>0</v>
      </c>
      <c r="I1348" s="49">
        <f t="shared" si="1"/>
        <v>9</v>
      </c>
      <c r="J1348" s="49">
        <f t="shared" si="2"/>
        <v>0</v>
      </c>
      <c r="K1348" s="49">
        <f t="shared" si="3"/>
        <v>9</v>
      </c>
      <c r="L1348" s="49" t="b">
        <f t="shared" si="4"/>
        <v>0</v>
      </c>
      <c r="M1348" s="88">
        <f t="shared" si="5"/>
        <v>0</v>
      </c>
    </row>
    <row r="1349" ht="14.25" customHeight="1">
      <c r="A1349" s="49" t="s">
        <v>2431</v>
      </c>
      <c r="B1349" s="49" t="str">
        <f>IFERROR(__xludf.DUMMYFUNCTION("REGEXEXTRACT(A1349,""^cost\.(.*)\.[^.]+\.[^.]+$"")"),"collection.attic@4")</f>
        <v>collection.attic@4</v>
      </c>
      <c r="C1349" s="49" t="str">
        <f t="array" ref="C1349">_xlfn.XLOOKUP(
 B1349,
 tblTargets[TargetID],
 tblTargets[DisplayName],
 ""
)</f>
        <v>Attic Lv 4</v>
      </c>
      <c r="D1349" s="49" t="str">
        <f t="array" ref="D1349">_xlfn.XLOOKUP(
 B1349,
 tblTargets[TargetID],
 tblTargets[TargetType],
 ""
)</f>
        <v>COLLECTION</v>
      </c>
      <c r="E1349" s="49" t="s">
        <v>1066</v>
      </c>
      <c r="F1349" s="87">
        <f>IFERROR(__xludf.DUMMYFUNCTION("VALUE(REGEXEXTRACT(A1349,""([^.]+)$""))"),1.0)</f>
        <v>1</v>
      </c>
      <c r="G1349" s="49">
        <v>12.0</v>
      </c>
      <c r="H1349" s="26" t="b">
        <f>COUNTIFS(
 tblCostChecklist[RequirementID],A1349,
 tblCostChecklist[PlayerPaid],TRUE
)&gt;0</f>
        <v>0</v>
      </c>
      <c r="I1349" s="49">
        <f t="shared" si="1"/>
        <v>9</v>
      </c>
      <c r="J1349" s="49">
        <f t="shared" si="2"/>
        <v>0</v>
      </c>
      <c r="K1349" s="49">
        <f t="shared" si="3"/>
        <v>9</v>
      </c>
      <c r="L1349" s="49" t="b">
        <f t="shared" si="4"/>
        <v>0</v>
      </c>
      <c r="M1349" s="88">
        <f t="shared" si="5"/>
        <v>0</v>
      </c>
    </row>
    <row r="1350" ht="14.25" customHeight="1">
      <c r="A1350" s="49" t="s">
        <v>2432</v>
      </c>
      <c r="B1350" s="49" t="str">
        <f>IFERROR(__xludf.DUMMYFUNCTION("REGEXEXTRACT(A1350,""^cost\.(.*)\.[^.]+\.[^.]+$"")"),"collection.attic@4")</f>
        <v>collection.attic@4</v>
      </c>
      <c r="C1350" s="49" t="str">
        <f t="array" ref="C1350">_xlfn.XLOOKUP(
 B1350,
 tblTargets[TargetID],
 tblTargets[DisplayName],
 ""
)</f>
        <v>Attic Lv 4</v>
      </c>
      <c r="D1350" s="49" t="str">
        <f t="array" ref="D1350">_xlfn.XLOOKUP(
 B1350,
 tblTargets[TargetID],
 tblTargets[TargetType],
 ""
)</f>
        <v>COLLECTION</v>
      </c>
      <c r="E1350" s="49" t="s">
        <v>171</v>
      </c>
      <c r="F1350" s="87">
        <f>IFERROR(__xludf.DUMMYFUNCTION("VALUE(REGEXEXTRACT(A1350,""([^.]+)$""))"),1.0)</f>
        <v>1</v>
      </c>
      <c r="G1350" s="49">
        <v>80.0</v>
      </c>
      <c r="H1350" s="26" t="b">
        <f>COUNTIFS(
 tblCostChecklist[RequirementID],A1350,
 tblCostChecklist[PlayerPaid],TRUE
)&gt;0</f>
        <v>0</v>
      </c>
      <c r="I1350" s="49">
        <f t="shared" si="1"/>
        <v>9</v>
      </c>
      <c r="J1350" s="49">
        <f t="shared" si="2"/>
        <v>0</v>
      </c>
      <c r="K1350" s="49">
        <f t="shared" si="3"/>
        <v>9</v>
      </c>
      <c r="L1350" s="49" t="b">
        <f t="shared" si="4"/>
        <v>0</v>
      </c>
      <c r="M1350" s="88">
        <f t="shared" si="5"/>
        <v>0</v>
      </c>
    </row>
    <row r="1351" ht="14.25" customHeight="1">
      <c r="A1351" s="49" t="s">
        <v>2433</v>
      </c>
      <c r="B1351" s="49" t="str">
        <f>IFERROR(__xludf.DUMMYFUNCTION("REGEXEXTRACT(A1351,""^cost\.(.*)\.[^.]+\.[^.]+$"")"),"collection.attic@4")</f>
        <v>collection.attic@4</v>
      </c>
      <c r="C1351" s="49" t="str">
        <f t="array" ref="C1351">_xlfn.XLOOKUP(
 B1351,
 tblTargets[TargetID],
 tblTargets[DisplayName],
 ""
)</f>
        <v>Attic Lv 4</v>
      </c>
      <c r="D1351" s="49" t="str">
        <f t="array" ref="D1351">_xlfn.XLOOKUP(
 B1351,
 tblTargets[TargetID],
 tblTargets[TargetType],
 ""
)</f>
        <v>COLLECTION</v>
      </c>
      <c r="E1351" s="49" t="s">
        <v>2404</v>
      </c>
      <c r="F1351" s="87">
        <f>IFERROR(__xludf.DUMMYFUNCTION("VALUE(REGEXEXTRACT(A1351,""([^.]+)$""))"),1.0)</f>
        <v>1</v>
      </c>
      <c r="G1351" s="49">
        <v>12.0</v>
      </c>
      <c r="H1351" s="26" t="b">
        <f>COUNTIFS(
 tblCostChecklist[RequirementID],A1351,
 tblCostChecklist[PlayerPaid],TRUE
)&gt;0</f>
        <v>0</v>
      </c>
      <c r="I1351" s="49">
        <f t="shared" si="1"/>
        <v>9</v>
      </c>
      <c r="J1351" s="49">
        <f t="shared" si="2"/>
        <v>0</v>
      </c>
      <c r="K1351" s="49">
        <f t="shared" si="3"/>
        <v>9</v>
      </c>
      <c r="L1351" s="49" t="b">
        <f t="shared" si="4"/>
        <v>0</v>
      </c>
      <c r="M1351" s="88">
        <f t="shared" si="5"/>
        <v>0</v>
      </c>
    </row>
    <row r="1352" ht="14.25" customHeight="1">
      <c r="A1352" s="49" t="s">
        <v>2434</v>
      </c>
      <c r="B1352" s="49" t="str">
        <f>IFERROR(__xludf.DUMMYFUNCTION("REGEXEXTRACT(A1352,""^cost\.(.*)\.[^.]+\.[^.]+$"")"),"collection.attic@4")</f>
        <v>collection.attic@4</v>
      </c>
      <c r="C1352" s="49" t="str">
        <f t="array" ref="C1352">_xlfn.XLOOKUP(
 B1352,
 tblTargets[TargetID],
 tblTargets[DisplayName],
 ""
)</f>
        <v>Attic Lv 4</v>
      </c>
      <c r="D1352" s="49" t="str">
        <f t="array" ref="D1352">_xlfn.XLOOKUP(
 B1352,
 tblTargets[TargetID],
 tblTargets[TargetType],
 ""
)</f>
        <v>COLLECTION</v>
      </c>
      <c r="E1352" s="49" t="s">
        <v>1922</v>
      </c>
      <c r="F1352" s="87">
        <f>IFERROR(__xludf.DUMMYFUNCTION("VALUE(REGEXEXTRACT(A1352,""([^.]+)$""))"),1.0)</f>
        <v>1</v>
      </c>
      <c r="G1352" s="49">
        <v>40.0</v>
      </c>
      <c r="H1352" s="26" t="b">
        <f>COUNTIFS(
 tblCostChecklist[RequirementID],A1352,
 tblCostChecklist[PlayerPaid],TRUE
)&gt;0</f>
        <v>0</v>
      </c>
      <c r="I1352" s="49">
        <f t="shared" si="1"/>
        <v>9</v>
      </c>
      <c r="J1352" s="49">
        <f t="shared" si="2"/>
        <v>0</v>
      </c>
      <c r="K1352" s="49">
        <f t="shared" si="3"/>
        <v>9</v>
      </c>
      <c r="L1352" s="49" t="b">
        <f t="shared" si="4"/>
        <v>0</v>
      </c>
      <c r="M1352" s="88">
        <f t="shared" si="5"/>
        <v>0</v>
      </c>
    </row>
    <row r="1353" ht="14.25" customHeight="1">
      <c r="A1353" s="49" t="s">
        <v>2435</v>
      </c>
      <c r="B1353" s="49" t="str">
        <f>IFERROR(__xludf.DUMMYFUNCTION("REGEXEXTRACT(A1353,""^cost\.(.*)\.[^.]+\.[^.]+$"")"),"collection.attic@4")</f>
        <v>collection.attic@4</v>
      </c>
      <c r="C1353" s="49" t="str">
        <f t="array" ref="C1353">_xlfn.XLOOKUP(
 B1353,
 tblTargets[TargetID],
 tblTargets[DisplayName],
 ""
)</f>
        <v>Attic Lv 4</v>
      </c>
      <c r="D1353" s="49" t="str">
        <f t="array" ref="D1353">_xlfn.XLOOKUP(
 B1353,
 tblTargets[TargetID],
 tblTargets[TargetType],
 ""
)</f>
        <v>COLLECTION</v>
      </c>
      <c r="E1353" s="49" t="s">
        <v>2083</v>
      </c>
      <c r="F1353" s="87">
        <f>IFERROR(__xludf.DUMMYFUNCTION("VALUE(REGEXEXTRACT(A1353,""([^.]+)$""))"),1.0)</f>
        <v>1</v>
      </c>
      <c r="G1353" s="49">
        <v>12.0</v>
      </c>
      <c r="H1353" s="26" t="b">
        <f>COUNTIFS(
 tblCostChecklist[RequirementID],A1353,
 tblCostChecklist[PlayerPaid],TRUE
)&gt;0</f>
        <v>0</v>
      </c>
      <c r="I1353" s="49">
        <f t="shared" si="1"/>
        <v>9</v>
      </c>
      <c r="J1353" s="49">
        <f t="shared" si="2"/>
        <v>0</v>
      </c>
      <c r="K1353" s="49">
        <f t="shared" si="3"/>
        <v>9</v>
      </c>
      <c r="L1353" s="49" t="b">
        <f t="shared" si="4"/>
        <v>0</v>
      </c>
      <c r="M1353" s="88">
        <f t="shared" si="5"/>
        <v>0</v>
      </c>
    </row>
    <row r="1354" ht="14.25" customHeight="1">
      <c r="A1354" s="49" t="s">
        <v>2436</v>
      </c>
      <c r="B1354" s="49" t="str">
        <f>IFERROR(__xludf.DUMMYFUNCTION("REGEXEXTRACT(A1354,""^cost\.(.*)\.[^.]+\.[^.]+$"")"),"collection.attic@4")</f>
        <v>collection.attic@4</v>
      </c>
      <c r="C1354" s="49" t="str">
        <f t="array" ref="C1354">_xlfn.XLOOKUP(
 B1354,
 tblTargets[TargetID],
 tblTargets[DisplayName],
 ""
)</f>
        <v>Attic Lv 4</v>
      </c>
      <c r="D1354" s="49" t="str">
        <f t="array" ref="D1354">_xlfn.XLOOKUP(
 B1354,
 tblTargets[TargetID],
 tblTargets[TargetType],
 ""
)</f>
        <v>COLLECTION</v>
      </c>
      <c r="E1354" s="49" t="s">
        <v>1095</v>
      </c>
      <c r="F1354" s="87">
        <f>IFERROR(__xludf.DUMMYFUNCTION("VALUE(REGEXEXTRACT(A1354,""([^.]+)$""))"),1.0)</f>
        <v>1</v>
      </c>
      <c r="G1354" s="49">
        <v>12.0</v>
      </c>
      <c r="H1354" s="26" t="b">
        <f>COUNTIFS(
 tblCostChecklist[RequirementID],A1354,
 tblCostChecklist[PlayerPaid],TRUE
)&gt;0</f>
        <v>0</v>
      </c>
      <c r="I1354" s="49">
        <f t="shared" si="1"/>
        <v>9</v>
      </c>
      <c r="J1354" s="49">
        <f t="shared" si="2"/>
        <v>0</v>
      </c>
      <c r="K1354" s="49">
        <f t="shared" si="3"/>
        <v>9</v>
      </c>
      <c r="L1354" s="49" t="b">
        <f t="shared" si="4"/>
        <v>0</v>
      </c>
      <c r="M1354" s="88">
        <f t="shared" si="5"/>
        <v>0</v>
      </c>
    </row>
    <row r="1355" ht="14.25" customHeight="1">
      <c r="A1355" s="49" t="s">
        <v>2437</v>
      </c>
      <c r="B1355" s="49" t="str">
        <f>IFERROR(__xludf.DUMMYFUNCTION("REGEXEXTRACT(A1355,""^cost\.(.*)\.[^.]+\.[^.]+$"")"),"collection.attic@4")</f>
        <v>collection.attic@4</v>
      </c>
      <c r="C1355" s="49" t="str">
        <f t="array" ref="C1355">_xlfn.XLOOKUP(
 B1355,
 tblTargets[TargetID],
 tblTargets[DisplayName],
 ""
)</f>
        <v>Attic Lv 4</v>
      </c>
      <c r="D1355" s="49" t="str">
        <f t="array" ref="D1355">_xlfn.XLOOKUP(
 B1355,
 tblTargets[TargetID],
 tblTargets[TargetType],
 ""
)</f>
        <v>COLLECTION</v>
      </c>
      <c r="E1355" s="49" t="s">
        <v>1948</v>
      </c>
      <c r="F1355" s="87">
        <f>IFERROR(__xludf.DUMMYFUNCTION("VALUE(REGEXEXTRACT(A1355,""([^.]+)$""))"),1.0)</f>
        <v>1</v>
      </c>
      <c r="G1355" s="49">
        <v>12.0</v>
      </c>
      <c r="H1355" s="26" t="b">
        <f>COUNTIFS(
 tblCostChecklist[RequirementID],A1355,
 tblCostChecklist[PlayerPaid],TRUE
)&gt;0</f>
        <v>0</v>
      </c>
      <c r="I1355" s="49">
        <f t="shared" si="1"/>
        <v>9</v>
      </c>
      <c r="J1355" s="49">
        <f t="shared" si="2"/>
        <v>0</v>
      </c>
      <c r="K1355" s="49">
        <f t="shared" si="3"/>
        <v>9</v>
      </c>
      <c r="L1355" s="49" t="b">
        <f t="shared" si="4"/>
        <v>0</v>
      </c>
      <c r="M1355" s="88">
        <f t="shared" si="5"/>
        <v>0</v>
      </c>
    </row>
    <row r="1356" ht="14.25" customHeight="1">
      <c r="A1356" s="49" t="s">
        <v>2438</v>
      </c>
      <c r="B1356" s="49" t="str">
        <f>IFERROR(__xludf.DUMMYFUNCTION("REGEXEXTRACT(A1356,""^cost\.(.*)\.[^.]+\.[^.]+$"")"),"collection.attic@4")</f>
        <v>collection.attic@4</v>
      </c>
      <c r="C1356" s="49" t="str">
        <f t="array" ref="C1356">_xlfn.XLOOKUP(
 B1356,
 tblTargets[TargetID],
 tblTargets[DisplayName],
 ""
)</f>
        <v>Attic Lv 4</v>
      </c>
      <c r="D1356" s="49" t="str">
        <f t="array" ref="D1356">_xlfn.XLOOKUP(
 B1356,
 tblTargets[TargetID],
 tblTargets[TargetType],
 ""
)</f>
        <v>COLLECTION</v>
      </c>
      <c r="E1356" s="49" t="s">
        <v>2410</v>
      </c>
      <c r="F1356" s="87">
        <f>IFERROR(__xludf.DUMMYFUNCTION("VALUE(REGEXEXTRACT(A1356,""([^.]+)$""))"),1.0)</f>
        <v>1</v>
      </c>
      <c r="G1356" s="49">
        <v>80.0</v>
      </c>
      <c r="H1356" s="26" t="b">
        <f>COUNTIFS(
 tblCostChecklist[RequirementID],A1356,
 tblCostChecklist[PlayerPaid],TRUE
)&gt;0</f>
        <v>0</v>
      </c>
      <c r="I1356" s="49">
        <f t="shared" si="1"/>
        <v>9</v>
      </c>
      <c r="J1356" s="49">
        <f t="shared" si="2"/>
        <v>0</v>
      </c>
      <c r="K1356" s="49">
        <f t="shared" si="3"/>
        <v>9</v>
      </c>
      <c r="L1356" s="49" t="b">
        <f t="shared" si="4"/>
        <v>0</v>
      </c>
      <c r="M1356" s="88">
        <f t="shared" si="5"/>
        <v>0</v>
      </c>
    </row>
    <row r="1357" ht="14.25" customHeight="1">
      <c r="A1357" s="49" t="s">
        <v>2439</v>
      </c>
      <c r="B1357" s="49" t="str">
        <f>IFERROR(__xludf.DUMMYFUNCTION("REGEXEXTRACT(A1357,""^cost\.(.*)\.[^.]+\.[^.]+$"")"),"collection.attic@4")</f>
        <v>collection.attic@4</v>
      </c>
      <c r="C1357" s="49" t="str">
        <f t="array" ref="C1357">_xlfn.XLOOKUP(
 B1357,
 tblTargets[TargetID],
 tblTargets[DisplayName],
 ""
)</f>
        <v>Attic Lv 4</v>
      </c>
      <c r="D1357" s="49" t="str">
        <f t="array" ref="D1357">_xlfn.XLOOKUP(
 B1357,
 tblTargets[TargetID],
 tblTargets[TargetType],
 ""
)</f>
        <v>COLLECTION</v>
      </c>
      <c r="E1357" s="49" t="s">
        <v>2412</v>
      </c>
      <c r="F1357" s="87">
        <f>IFERROR(__xludf.DUMMYFUNCTION("VALUE(REGEXEXTRACT(A1357,""([^.]+)$""))"),1.0)</f>
        <v>1</v>
      </c>
      <c r="G1357" s="49">
        <v>80.0</v>
      </c>
      <c r="H1357" s="26" t="b">
        <f>COUNTIFS(
 tblCostChecklist[RequirementID],A1357,
 tblCostChecklist[PlayerPaid],TRUE
)&gt;0</f>
        <v>0</v>
      </c>
      <c r="I1357" s="49">
        <f t="shared" si="1"/>
        <v>9</v>
      </c>
      <c r="J1357" s="49">
        <f t="shared" si="2"/>
        <v>0</v>
      </c>
      <c r="K1357" s="49">
        <f t="shared" si="3"/>
        <v>9</v>
      </c>
      <c r="L1357" s="49" t="b">
        <f t="shared" si="4"/>
        <v>0</v>
      </c>
      <c r="M1357" s="88">
        <f t="shared" si="5"/>
        <v>0</v>
      </c>
    </row>
    <row r="1358" ht="14.25" customHeight="1">
      <c r="A1358" s="49" t="s">
        <v>2440</v>
      </c>
      <c r="B1358" s="49" t="str">
        <f>IFERROR(__xludf.DUMMYFUNCTION("REGEXEXTRACT(A1358,""^cost\.(.*)\.[^.]+\.[^.]+$"")"),"collection.attic@5")</f>
        <v>collection.attic@5</v>
      </c>
      <c r="C1358" s="49" t="str">
        <f t="array" ref="C1358">_xlfn.XLOOKUP(
 B1358,
 tblTargets[TargetID],
 tblTargets[DisplayName],
 ""
)</f>
        <v>Attic Lv 5</v>
      </c>
      <c r="D1358" s="49" t="str">
        <f t="array" ref="D1358">_xlfn.XLOOKUP(
 B1358,
 tblTargets[TargetID],
 tblTargets[TargetType],
 ""
)</f>
        <v>COLLECTION</v>
      </c>
      <c r="E1358" s="49" t="s">
        <v>1066</v>
      </c>
      <c r="F1358" s="87">
        <f>IFERROR(__xludf.DUMMYFUNCTION("VALUE(REGEXEXTRACT(A1358,""([^.]+)$""))"),1.0)</f>
        <v>1</v>
      </c>
      <c r="G1358" s="49">
        <v>15.0</v>
      </c>
      <c r="H1358" s="26" t="b">
        <f>COUNTIFS(
 tblCostChecklist[RequirementID],A1358,
 tblCostChecklist[PlayerPaid],TRUE
)&gt;0</f>
        <v>0</v>
      </c>
      <c r="I1358" s="49">
        <f t="shared" si="1"/>
        <v>9</v>
      </c>
      <c r="J1358" s="49">
        <f t="shared" si="2"/>
        <v>0</v>
      </c>
      <c r="K1358" s="49">
        <f t="shared" si="3"/>
        <v>9</v>
      </c>
      <c r="L1358" s="49" t="b">
        <f t="shared" si="4"/>
        <v>0</v>
      </c>
      <c r="M1358" s="88">
        <f t="shared" si="5"/>
        <v>0</v>
      </c>
    </row>
    <row r="1359" ht="14.25" customHeight="1">
      <c r="A1359" s="49" t="s">
        <v>2441</v>
      </c>
      <c r="B1359" s="49" t="str">
        <f>IFERROR(__xludf.DUMMYFUNCTION("REGEXEXTRACT(A1359,""^cost\.(.*)\.[^.]+\.[^.]+$"")"),"collection.attic@5")</f>
        <v>collection.attic@5</v>
      </c>
      <c r="C1359" s="49" t="str">
        <f t="array" ref="C1359">_xlfn.XLOOKUP(
 B1359,
 tblTargets[TargetID],
 tblTargets[DisplayName],
 ""
)</f>
        <v>Attic Lv 5</v>
      </c>
      <c r="D1359" s="49" t="str">
        <f t="array" ref="D1359">_xlfn.XLOOKUP(
 B1359,
 tblTargets[TargetID],
 tblTargets[TargetType],
 ""
)</f>
        <v>COLLECTION</v>
      </c>
      <c r="E1359" s="49" t="s">
        <v>171</v>
      </c>
      <c r="F1359" s="87">
        <f>IFERROR(__xludf.DUMMYFUNCTION("VALUE(REGEXEXTRACT(A1359,""([^.]+)$""))"),1.0)</f>
        <v>1</v>
      </c>
      <c r="G1359" s="49">
        <v>100.0</v>
      </c>
      <c r="H1359" s="26" t="b">
        <f>COUNTIFS(
 tblCostChecklist[RequirementID],A1359,
 tblCostChecklist[PlayerPaid],TRUE
)&gt;0</f>
        <v>0</v>
      </c>
      <c r="I1359" s="49">
        <f t="shared" si="1"/>
        <v>9</v>
      </c>
      <c r="J1359" s="49">
        <f t="shared" si="2"/>
        <v>0</v>
      </c>
      <c r="K1359" s="49">
        <f t="shared" si="3"/>
        <v>9</v>
      </c>
      <c r="L1359" s="49" t="b">
        <f t="shared" si="4"/>
        <v>0</v>
      </c>
      <c r="M1359" s="88">
        <f t="shared" si="5"/>
        <v>0</v>
      </c>
    </row>
    <row r="1360" ht="14.25" customHeight="1">
      <c r="A1360" s="49" t="s">
        <v>2442</v>
      </c>
      <c r="B1360" s="49" t="str">
        <f>IFERROR(__xludf.DUMMYFUNCTION("REGEXEXTRACT(A1360,""^cost\.(.*)\.[^.]+\.[^.]+$"")"),"collection.attic@5")</f>
        <v>collection.attic@5</v>
      </c>
      <c r="C1360" s="49" t="str">
        <f t="array" ref="C1360">_xlfn.XLOOKUP(
 B1360,
 tblTargets[TargetID],
 tblTargets[DisplayName],
 ""
)</f>
        <v>Attic Lv 5</v>
      </c>
      <c r="D1360" s="49" t="str">
        <f t="array" ref="D1360">_xlfn.XLOOKUP(
 B1360,
 tblTargets[TargetID],
 tblTargets[TargetType],
 ""
)</f>
        <v>COLLECTION</v>
      </c>
      <c r="E1360" s="49" t="s">
        <v>2404</v>
      </c>
      <c r="F1360" s="87">
        <f>IFERROR(__xludf.DUMMYFUNCTION("VALUE(REGEXEXTRACT(A1360,""([^.]+)$""))"),1.0)</f>
        <v>1</v>
      </c>
      <c r="G1360" s="49">
        <v>15.0</v>
      </c>
      <c r="H1360" s="26" t="b">
        <f>COUNTIFS(
 tblCostChecklist[RequirementID],A1360,
 tblCostChecklist[PlayerPaid],TRUE
)&gt;0</f>
        <v>0</v>
      </c>
      <c r="I1360" s="49">
        <f t="shared" si="1"/>
        <v>9</v>
      </c>
      <c r="J1360" s="49">
        <f t="shared" si="2"/>
        <v>0</v>
      </c>
      <c r="K1360" s="49">
        <f t="shared" si="3"/>
        <v>9</v>
      </c>
      <c r="L1360" s="49" t="b">
        <f t="shared" si="4"/>
        <v>0</v>
      </c>
      <c r="M1360" s="88">
        <f t="shared" si="5"/>
        <v>0</v>
      </c>
    </row>
    <row r="1361" ht="14.25" customHeight="1">
      <c r="A1361" s="49" t="s">
        <v>2443</v>
      </c>
      <c r="B1361" s="49" t="str">
        <f>IFERROR(__xludf.DUMMYFUNCTION("REGEXEXTRACT(A1361,""^cost\.(.*)\.[^.]+\.[^.]+$"")"),"collection.attic@5")</f>
        <v>collection.attic@5</v>
      </c>
      <c r="C1361" s="49" t="str">
        <f t="array" ref="C1361">_xlfn.XLOOKUP(
 B1361,
 tblTargets[TargetID],
 tblTargets[DisplayName],
 ""
)</f>
        <v>Attic Lv 5</v>
      </c>
      <c r="D1361" s="49" t="str">
        <f t="array" ref="D1361">_xlfn.XLOOKUP(
 B1361,
 tblTargets[TargetID],
 tblTargets[TargetType],
 ""
)</f>
        <v>COLLECTION</v>
      </c>
      <c r="E1361" s="49" t="s">
        <v>1922</v>
      </c>
      <c r="F1361" s="87">
        <f>IFERROR(__xludf.DUMMYFUNCTION("VALUE(REGEXEXTRACT(A1361,""([^.]+)$""))"),1.0)</f>
        <v>1</v>
      </c>
      <c r="G1361" s="49">
        <v>50.0</v>
      </c>
      <c r="H1361" s="26" t="b">
        <f>COUNTIFS(
 tblCostChecklist[RequirementID],A1361,
 tblCostChecklist[PlayerPaid],TRUE
)&gt;0</f>
        <v>0</v>
      </c>
      <c r="I1361" s="49">
        <f t="shared" si="1"/>
        <v>9</v>
      </c>
      <c r="J1361" s="49">
        <f t="shared" si="2"/>
        <v>0</v>
      </c>
      <c r="K1361" s="49">
        <f t="shared" si="3"/>
        <v>9</v>
      </c>
      <c r="L1361" s="49" t="b">
        <f t="shared" si="4"/>
        <v>0</v>
      </c>
      <c r="M1361" s="88">
        <f t="shared" si="5"/>
        <v>0</v>
      </c>
    </row>
    <row r="1362" ht="14.25" customHeight="1">
      <c r="A1362" s="49" t="s">
        <v>2444</v>
      </c>
      <c r="B1362" s="49" t="str">
        <f>IFERROR(__xludf.DUMMYFUNCTION("REGEXEXTRACT(A1362,""^cost\.(.*)\.[^.]+\.[^.]+$"")"),"collection.attic@5")</f>
        <v>collection.attic@5</v>
      </c>
      <c r="C1362" s="49" t="str">
        <f t="array" ref="C1362">_xlfn.XLOOKUP(
 B1362,
 tblTargets[TargetID],
 tblTargets[DisplayName],
 ""
)</f>
        <v>Attic Lv 5</v>
      </c>
      <c r="D1362" s="49" t="str">
        <f t="array" ref="D1362">_xlfn.XLOOKUP(
 B1362,
 tblTargets[TargetID],
 tblTargets[TargetType],
 ""
)</f>
        <v>COLLECTION</v>
      </c>
      <c r="E1362" s="49" t="s">
        <v>2083</v>
      </c>
      <c r="F1362" s="87">
        <f>IFERROR(__xludf.DUMMYFUNCTION("VALUE(REGEXEXTRACT(A1362,""([^.]+)$""))"),1.0)</f>
        <v>1</v>
      </c>
      <c r="G1362" s="49">
        <v>15.0</v>
      </c>
      <c r="H1362" s="26" t="b">
        <f>COUNTIFS(
 tblCostChecklist[RequirementID],A1362,
 tblCostChecklist[PlayerPaid],TRUE
)&gt;0</f>
        <v>0</v>
      </c>
      <c r="I1362" s="49">
        <f t="shared" si="1"/>
        <v>9</v>
      </c>
      <c r="J1362" s="49">
        <f t="shared" si="2"/>
        <v>0</v>
      </c>
      <c r="K1362" s="49">
        <f t="shared" si="3"/>
        <v>9</v>
      </c>
      <c r="L1362" s="49" t="b">
        <f t="shared" si="4"/>
        <v>0</v>
      </c>
      <c r="M1362" s="88">
        <f t="shared" si="5"/>
        <v>0</v>
      </c>
    </row>
    <row r="1363" ht="14.25" customHeight="1">
      <c r="A1363" s="49" t="s">
        <v>2445</v>
      </c>
      <c r="B1363" s="49" t="str">
        <f>IFERROR(__xludf.DUMMYFUNCTION("REGEXEXTRACT(A1363,""^cost\.(.*)\.[^.]+\.[^.]+$"")"),"collection.attic@5")</f>
        <v>collection.attic@5</v>
      </c>
      <c r="C1363" s="49" t="str">
        <f t="array" ref="C1363">_xlfn.XLOOKUP(
 B1363,
 tblTargets[TargetID],
 tblTargets[DisplayName],
 ""
)</f>
        <v>Attic Lv 5</v>
      </c>
      <c r="D1363" s="49" t="str">
        <f t="array" ref="D1363">_xlfn.XLOOKUP(
 B1363,
 tblTargets[TargetID],
 tblTargets[TargetType],
 ""
)</f>
        <v>COLLECTION</v>
      </c>
      <c r="E1363" s="49" t="s">
        <v>1095</v>
      </c>
      <c r="F1363" s="87">
        <f>IFERROR(__xludf.DUMMYFUNCTION("VALUE(REGEXEXTRACT(A1363,""([^.]+)$""))"),1.0)</f>
        <v>1</v>
      </c>
      <c r="G1363" s="49">
        <v>15.0</v>
      </c>
      <c r="H1363" s="26" t="b">
        <f>COUNTIFS(
 tblCostChecklist[RequirementID],A1363,
 tblCostChecklist[PlayerPaid],TRUE
)&gt;0</f>
        <v>0</v>
      </c>
      <c r="I1363" s="49">
        <f t="shared" si="1"/>
        <v>9</v>
      </c>
      <c r="J1363" s="49">
        <f t="shared" si="2"/>
        <v>0</v>
      </c>
      <c r="K1363" s="49">
        <f t="shared" si="3"/>
        <v>9</v>
      </c>
      <c r="L1363" s="49" t="b">
        <f t="shared" si="4"/>
        <v>0</v>
      </c>
      <c r="M1363" s="88">
        <f t="shared" si="5"/>
        <v>0</v>
      </c>
    </row>
    <row r="1364" ht="14.25" customHeight="1">
      <c r="A1364" s="49" t="s">
        <v>2446</v>
      </c>
      <c r="B1364" s="49" t="str">
        <f>IFERROR(__xludf.DUMMYFUNCTION("REGEXEXTRACT(A1364,""^cost\.(.*)\.[^.]+\.[^.]+$"")"),"collection.attic@5")</f>
        <v>collection.attic@5</v>
      </c>
      <c r="C1364" s="49" t="str">
        <f t="array" ref="C1364">_xlfn.XLOOKUP(
 B1364,
 tblTargets[TargetID],
 tblTargets[DisplayName],
 ""
)</f>
        <v>Attic Lv 5</v>
      </c>
      <c r="D1364" s="49" t="str">
        <f t="array" ref="D1364">_xlfn.XLOOKUP(
 B1364,
 tblTargets[TargetID],
 tblTargets[TargetType],
 ""
)</f>
        <v>COLLECTION</v>
      </c>
      <c r="E1364" s="49" t="s">
        <v>1948</v>
      </c>
      <c r="F1364" s="87">
        <f>IFERROR(__xludf.DUMMYFUNCTION("VALUE(REGEXEXTRACT(A1364,""([^.]+)$""))"),1.0)</f>
        <v>1</v>
      </c>
      <c r="G1364" s="49">
        <v>15.0</v>
      </c>
      <c r="H1364" s="26" t="b">
        <f>COUNTIFS(
 tblCostChecklist[RequirementID],A1364,
 tblCostChecklist[PlayerPaid],TRUE
)&gt;0</f>
        <v>0</v>
      </c>
      <c r="I1364" s="49">
        <f t="shared" si="1"/>
        <v>9</v>
      </c>
      <c r="J1364" s="49">
        <f t="shared" si="2"/>
        <v>0</v>
      </c>
      <c r="K1364" s="49">
        <f t="shared" si="3"/>
        <v>9</v>
      </c>
      <c r="L1364" s="49" t="b">
        <f t="shared" si="4"/>
        <v>0</v>
      </c>
      <c r="M1364" s="88">
        <f t="shared" si="5"/>
        <v>0</v>
      </c>
    </row>
    <row r="1365" ht="14.25" customHeight="1">
      <c r="A1365" s="49" t="s">
        <v>2447</v>
      </c>
      <c r="B1365" s="49" t="str">
        <f>IFERROR(__xludf.DUMMYFUNCTION("REGEXEXTRACT(A1365,""^cost\.(.*)\.[^.]+\.[^.]+$"")"),"collection.attic@5")</f>
        <v>collection.attic@5</v>
      </c>
      <c r="C1365" s="49" t="str">
        <f t="array" ref="C1365">_xlfn.XLOOKUP(
 B1365,
 tblTargets[TargetID],
 tblTargets[DisplayName],
 ""
)</f>
        <v>Attic Lv 5</v>
      </c>
      <c r="D1365" s="49" t="str">
        <f t="array" ref="D1365">_xlfn.XLOOKUP(
 B1365,
 tblTargets[TargetID],
 tblTargets[TargetType],
 ""
)</f>
        <v>COLLECTION</v>
      </c>
      <c r="E1365" s="49" t="s">
        <v>2410</v>
      </c>
      <c r="F1365" s="87">
        <f>IFERROR(__xludf.DUMMYFUNCTION("VALUE(REGEXEXTRACT(A1365,""([^.]+)$""))"),1.0)</f>
        <v>1</v>
      </c>
      <c r="G1365" s="49">
        <v>100.0</v>
      </c>
      <c r="H1365" s="26" t="b">
        <f>COUNTIFS(
 tblCostChecklist[RequirementID],A1365,
 tblCostChecklist[PlayerPaid],TRUE
)&gt;0</f>
        <v>0</v>
      </c>
      <c r="I1365" s="49">
        <f t="shared" si="1"/>
        <v>9</v>
      </c>
      <c r="J1365" s="49">
        <f t="shared" si="2"/>
        <v>0</v>
      </c>
      <c r="K1365" s="49">
        <f t="shared" si="3"/>
        <v>9</v>
      </c>
      <c r="L1365" s="49" t="b">
        <f t="shared" si="4"/>
        <v>0</v>
      </c>
      <c r="M1365" s="88">
        <f t="shared" si="5"/>
        <v>0</v>
      </c>
    </row>
    <row r="1366" ht="14.25" customHeight="1">
      <c r="A1366" s="49" t="s">
        <v>2448</v>
      </c>
      <c r="B1366" s="49" t="str">
        <f>IFERROR(__xludf.DUMMYFUNCTION("REGEXEXTRACT(A1366,""^cost\.(.*)\.[^.]+\.[^.]+$"")"),"collection.attic@5")</f>
        <v>collection.attic@5</v>
      </c>
      <c r="C1366" s="49" t="str">
        <f t="array" ref="C1366">_xlfn.XLOOKUP(
 B1366,
 tblTargets[TargetID],
 tblTargets[DisplayName],
 ""
)</f>
        <v>Attic Lv 5</v>
      </c>
      <c r="D1366" s="49" t="str">
        <f t="array" ref="D1366">_xlfn.XLOOKUP(
 B1366,
 tblTargets[TargetID],
 tblTargets[TargetType],
 ""
)</f>
        <v>COLLECTION</v>
      </c>
      <c r="E1366" s="49" t="s">
        <v>2412</v>
      </c>
      <c r="F1366" s="87">
        <f>IFERROR(__xludf.DUMMYFUNCTION("VALUE(REGEXEXTRACT(A1366,""([^.]+)$""))"),1.0)</f>
        <v>1</v>
      </c>
      <c r="G1366" s="49">
        <v>100.0</v>
      </c>
      <c r="H1366" s="26" t="b">
        <f>COUNTIFS(
 tblCostChecklist[RequirementID],A1366,
 tblCostChecklist[PlayerPaid],TRUE
)&gt;0</f>
        <v>0</v>
      </c>
      <c r="I1366" s="49">
        <f t="shared" si="1"/>
        <v>9</v>
      </c>
      <c r="J1366" s="49">
        <f t="shared" si="2"/>
        <v>0</v>
      </c>
      <c r="K1366" s="49">
        <f t="shared" si="3"/>
        <v>9</v>
      </c>
      <c r="L1366" s="49" t="b">
        <f t="shared" si="4"/>
        <v>0</v>
      </c>
      <c r="M1366" s="88">
        <f t="shared" si="5"/>
        <v>0</v>
      </c>
    </row>
    <row r="1367" ht="14.25" customHeight="1">
      <c r="A1367" s="49" t="s">
        <v>2481</v>
      </c>
      <c r="B1367" s="49" t="str">
        <f>IFERROR(__xludf.DUMMYFUNCTION("REGEXEXTRACT(A1367,""^cost\.(.*)\.[^.]+\.[^.]+$"")"),"collection.courtyard_1@1")</f>
        <v>collection.courtyard_1@1</v>
      </c>
      <c r="C1367" s="49" t="str">
        <f t="array" ref="C1367">_xlfn.XLOOKUP(
 B1367,
 tblTargets[TargetID],
 tblTargets[DisplayName],
 ""
)</f>
        <v>Courtyard 1 Lv 1</v>
      </c>
      <c r="D1367" s="49" t="str">
        <f t="array" ref="D1367">_xlfn.XLOOKUP(
 B1367,
 tblTargets[TargetID],
 tblTargets[TargetType],
 ""
)</f>
        <v>COLLECTION</v>
      </c>
      <c r="E1367" s="49" t="s">
        <v>2339</v>
      </c>
      <c r="F1367" s="87">
        <f>IFERROR(__xludf.DUMMYFUNCTION("VALUE(REGEXEXTRACT(A1367,""([^.]+)$""))"),1.0)</f>
        <v>1</v>
      </c>
      <c r="G1367" s="49">
        <v>20.0</v>
      </c>
      <c r="H1367" s="26" t="b">
        <f>COUNTIFS(
 tblCostChecklist[RequirementID],A1367,
 tblCostChecklist[PlayerPaid],TRUE
)&gt;0</f>
        <v>0</v>
      </c>
      <c r="I1367" s="49">
        <f t="shared" si="1"/>
        <v>10</v>
      </c>
      <c r="J1367" s="49">
        <f t="shared" si="2"/>
        <v>0</v>
      </c>
      <c r="K1367" s="49">
        <f t="shared" si="3"/>
        <v>10</v>
      </c>
      <c r="L1367" s="49" t="b">
        <f t="shared" si="4"/>
        <v>0</v>
      </c>
      <c r="M1367" s="88">
        <f t="shared" si="5"/>
        <v>0</v>
      </c>
    </row>
    <row r="1368" ht="14.25" customHeight="1">
      <c r="A1368" s="49" t="s">
        <v>2482</v>
      </c>
      <c r="B1368" s="49" t="str">
        <f>IFERROR(__xludf.DUMMYFUNCTION("REGEXEXTRACT(A1368,""^cost\.(.*)\.[^.]+\.[^.]+$"")"),"collection.courtyard_1@1")</f>
        <v>collection.courtyard_1@1</v>
      </c>
      <c r="C1368" s="49" t="str">
        <f t="array" ref="C1368">_xlfn.XLOOKUP(
 B1368,
 tblTargets[TargetID],
 tblTargets[DisplayName],
 ""
)</f>
        <v>Courtyard 1 Lv 1</v>
      </c>
      <c r="D1368" s="49" t="str">
        <f t="array" ref="D1368">_xlfn.XLOOKUP(
 B1368,
 tblTargets[TargetID],
 tblTargets[TargetType],
 ""
)</f>
        <v>COLLECTION</v>
      </c>
      <c r="E1368" s="49" t="s">
        <v>508</v>
      </c>
      <c r="F1368" s="87">
        <f>IFERROR(__xludf.DUMMYFUNCTION("VALUE(REGEXEXTRACT(A1368,""([^.]+)$""))"),1.0)</f>
        <v>1</v>
      </c>
      <c r="G1368" s="49">
        <v>5.0</v>
      </c>
      <c r="H1368" s="26" t="b">
        <f>COUNTIFS(
 tblCostChecklist[RequirementID],A1368,
 tblCostChecklist[PlayerPaid],TRUE
)&gt;0</f>
        <v>0</v>
      </c>
      <c r="I1368" s="49">
        <f t="shared" si="1"/>
        <v>10</v>
      </c>
      <c r="J1368" s="49">
        <f t="shared" si="2"/>
        <v>0</v>
      </c>
      <c r="K1368" s="49">
        <f t="shared" si="3"/>
        <v>10</v>
      </c>
      <c r="L1368" s="49" t="b">
        <f t="shared" si="4"/>
        <v>0</v>
      </c>
      <c r="M1368" s="88">
        <f t="shared" si="5"/>
        <v>0</v>
      </c>
    </row>
    <row r="1369" ht="14.25" customHeight="1">
      <c r="A1369" s="49" t="s">
        <v>2483</v>
      </c>
      <c r="B1369" s="49" t="str">
        <f>IFERROR(__xludf.DUMMYFUNCTION("REGEXEXTRACT(A1369,""^cost\.(.*)\.[^.]+\.[^.]+$"")"),"collection.courtyard_1@1")</f>
        <v>collection.courtyard_1@1</v>
      </c>
      <c r="C1369" s="49" t="str">
        <f t="array" ref="C1369">_xlfn.XLOOKUP(
 B1369,
 tblTargets[TargetID],
 tblTargets[DisplayName],
 ""
)</f>
        <v>Courtyard 1 Lv 1</v>
      </c>
      <c r="D1369" s="49" t="str">
        <f t="array" ref="D1369">_xlfn.XLOOKUP(
 B1369,
 tblTargets[TargetID],
 tblTargets[TargetType],
 ""
)</f>
        <v>COLLECTION</v>
      </c>
      <c r="E1369" s="49" t="s">
        <v>508</v>
      </c>
      <c r="F1369" s="87">
        <f>IFERROR(__xludf.DUMMYFUNCTION("VALUE(REGEXEXTRACT(A1369,""([^.]+)$""))"),2.0)</f>
        <v>2</v>
      </c>
      <c r="G1369" s="49">
        <v>5.0</v>
      </c>
      <c r="H1369" s="26" t="b">
        <f>COUNTIFS(
 tblCostChecklist[RequirementID],A1369,
 tblCostChecklist[PlayerPaid],TRUE
)&gt;0</f>
        <v>0</v>
      </c>
      <c r="I1369" s="49">
        <f t="shared" si="1"/>
        <v>10</v>
      </c>
      <c r="J1369" s="49">
        <f t="shared" si="2"/>
        <v>0</v>
      </c>
      <c r="K1369" s="49">
        <f t="shared" si="3"/>
        <v>10</v>
      </c>
      <c r="L1369" s="49" t="b">
        <f t="shared" si="4"/>
        <v>0</v>
      </c>
      <c r="M1369" s="88">
        <f t="shared" si="5"/>
        <v>0</v>
      </c>
    </row>
    <row r="1370" ht="14.25" customHeight="1">
      <c r="A1370" s="49" t="s">
        <v>2484</v>
      </c>
      <c r="B1370" s="49" t="str">
        <f>IFERROR(__xludf.DUMMYFUNCTION("REGEXEXTRACT(A1370,""^cost\.(.*)\.[^.]+\.[^.]+$"")"),"collection.courtyard_1@1")</f>
        <v>collection.courtyard_1@1</v>
      </c>
      <c r="C1370" s="49" t="str">
        <f t="array" ref="C1370">_xlfn.XLOOKUP(
 B1370,
 tblTargets[TargetID],
 tblTargets[DisplayName],
 ""
)</f>
        <v>Courtyard 1 Lv 1</v>
      </c>
      <c r="D1370" s="49" t="str">
        <f t="array" ref="D1370">_xlfn.XLOOKUP(
 B1370,
 tblTargets[TargetID],
 tblTargets[TargetType],
 ""
)</f>
        <v>COLLECTION</v>
      </c>
      <c r="E1370" s="49" t="s">
        <v>508</v>
      </c>
      <c r="F1370" s="87">
        <f>IFERROR(__xludf.DUMMYFUNCTION("VALUE(REGEXEXTRACT(A1370,""([^.]+)$""))"),3.0)</f>
        <v>3</v>
      </c>
      <c r="G1370" s="49">
        <v>5.0</v>
      </c>
      <c r="H1370" s="26" t="b">
        <f>COUNTIFS(
 tblCostChecklist[RequirementID],A1370,
 tblCostChecklist[PlayerPaid],TRUE
)&gt;0</f>
        <v>0</v>
      </c>
      <c r="I1370" s="49">
        <f t="shared" si="1"/>
        <v>10</v>
      </c>
      <c r="J1370" s="49">
        <f t="shared" si="2"/>
        <v>0</v>
      </c>
      <c r="K1370" s="49">
        <f t="shared" si="3"/>
        <v>10</v>
      </c>
      <c r="L1370" s="49" t="b">
        <f t="shared" si="4"/>
        <v>0</v>
      </c>
      <c r="M1370" s="88">
        <f t="shared" si="5"/>
        <v>0</v>
      </c>
    </row>
    <row r="1371" ht="14.25" customHeight="1">
      <c r="A1371" s="49" t="s">
        <v>2485</v>
      </c>
      <c r="B1371" s="49" t="str">
        <f>IFERROR(__xludf.DUMMYFUNCTION("REGEXEXTRACT(A1371,""^cost\.(.*)\.[^.]+\.[^.]+$"")"),"collection.courtyard_1@1")</f>
        <v>collection.courtyard_1@1</v>
      </c>
      <c r="C1371" s="49" t="str">
        <f t="array" ref="C1371">_xlfn.XLOOKUP(
 B1371,
 tblTargets[TargetID],
 tblTargets[DisplayName],
 ""
)</f>
        <v>Courtyard 1 Lv 1</v>
      </c>
      <c r="D1371" s="49" t="str">
        <f t="array" ref="D1371">_xlfn.XLOOKUP(
 B1371,
 tblTargets[TargetID],
 tblTargets[TargetType],
 ""
)</f>
        <v>COLLECTION</v>
      </c>
      <c r="E1371" s="49" t="s">
        <v>2486</v>
      </c>
      <c r="F1371" s="87">
        <f>IFERROR(__xludf.DUMMYFUNCTION("VALUE(REGEXEXTRACT(A1371,""([^.]+)$""))"),1.0)</f>
        <v>1</v>
      </c>
      <c r="G1371" s="49">
        <v>15.0</v>
      </c>
      <c r="H1371" s="26" t="b">
        <f>COUNTIFS(
 tblCostChecklist[RequirementID],A1371,
 tblCostChecklist[PlayerPaid],TRUE
)&gt;0</f>
        <v>0</v>
      </c>
      <c r="I1371" s="49">
        <f t="shared" si="1"/>
        <v>10</v>
      </c>
      <c r="J1371" s="49">
        <f t="shared" si="2"/>
        <v>0</v>
      </c>
      <c r="K1371" s="49">
        <f t="shared" si="3"/>
        <v>10</v>
      </c>
      <c r="L1371" s="49" t="b">
        <f t="shared" si="4"/>
        <v>0</v>
      </c>
      <c r="M1371" s="88">
        <f t="shared" si="5"/>
        <v>0</v>
      </c>
    </row>
    <row r="1372" ht="14.25" customHeight="1">
      <c r="A1372" s="49" t="s">
        <v>2487</v>
      </c>
      <c r="B1372" s="49" t="str">
        <f>IFERROR(__xludf.DUMMYFUNCTION("REGEXEXTRACT(A1372,""^cost\.(.*)\.[^.]+\.[^.]+$"")"),"collection.courtyard_1@1")</f>
        <v>collection.courtyard_1@1</v>
      </c>
      <c r="C1372" s="49" t="str">
        <f t="array" ref="C1372">_xlfn.XLOOKUP(
 B1372,
 tblTargets[TargetID],
 tblTargets[DisplayName],
 ""
)</f>
        <v>Courtyard 1 Lv 1</v>
      </c>
      <c r="D1372" s="49" t="str">
        <f t="array" ref="D1372">_xlfn.XLOOKUP(
 B1372,
 tblTargets[TargetID],
 tblTargets[TargetType],
 ""
)</f>
        <v>COLLECTION</v>
      </c>
      <c r="E1372" s="49" t="s">
        <v>2488</v>
      </c>
      <c r="F1372" s="87">
        <f>IFERROR(__xludf.DUMMYFUNCTION("VALUE(REGEXEXTRACT(A1372,""([^.]+)$""))"),1.0)</f>
        <v>1</v>
      </c>
      <c r="G1372" s="49">
        <v>10.0</v>
      </c>
      <c r="H1372" s="26" t="b">
        <f>COUNTIFS(
 tblCostChecklist[RequirementID],A1372,
 tblCostChecklist[PlayerPaid],TRUE
)&gt;0</f>
        <v>0</v>
      </c>
      <c r="I1372" s="49">
        <f t="shared" si="1"/>
        <v>10</v>
      </c>
      <c r="J1372" s="49">
        <f t="shared" si="2"/>
        <v>0</v>
      </c>
      <c r="K1372" s="49">
        <f t="shared" si="3"/>
        <v>10</v>
      </c>
      <c r="L1372" s="49" t="b">
        <f t="shared" si="4"/>
        <v>0</v>
      </c>
      <c r="M1372" s="88">
        <f t="shared" si="5"/>
        <v>0</v>
      </c>
    </row>
    <row r="1373" ht="14.25" customHeight="1">
      <c r="A1373" s="49" t="s">
        <v>2489</v>
      </c>
      <c r="B1373" s="49" t="str">
        <f>IFERROR(__xludf.DUMMYFUNCTION("REGEXEXTRACT(A1373,""^cost\.(.*)\.[^.]+\.[^.]+$"")"),"collection.courtyard_1@1")</f>
        <v>collection.courtyard_1@1</v>
      </c>
      <c r="C1373" s="49" t="str">
        <f t="array" ref="C1373">_xlfn.XLOOKUP(
 B1373,
 tblTargets[TargetID],
 tblTargets[DisplayName],
 ""
)</f>
        <v>Courtyard 1 Lv 1</v>
      </c>
      <c r="D1373" s="49" t="str">
        <f t="array" ref="D1373">_xlfn.XLOOKUP(
 B1373,
 tblTargets[TargetID],
 tblTargets[TargetType],
 ""
)</f>
        <v>COLLECTION</v>
      </c>
      <c r="E1373" s="49" t="s">
        <v>2490</v>
      </c>
      <c r="F1373" s="87">
        <f>IFERROR(__xludf.DUMMYFUNCTION("VALUE(REGEXEXTRACT(A1373,""([^.]+)$""))"),1.0)</f>
        <v>1</v>
      </c>
      <c r="G1373" s="49">
        <v>5.0</v>
      </c>
      <c r="H1373" s="26" t="b">
        <f>COUNTIFS(
 tblCostChecklist[RequirementID],A1373,
 tblCostChecklist[PlayerPaid],TRUE
)&gt;0</f>
        <v>0</v>
      </c>
      <c r="I1373" s="49">
        <f t="shared" si="1"/>
        <v>10</v>
      </c>
      <c r="J1373" s="49">
        <f t="shared" si="2"/>
        <v>0</v>
      </c>
      <c r="K1373" s="49">
        <f t="shared" si="3"/>
        <v>10</v>
      </c>
      <c r="L1373" s="49" t="b">
        <f t="shared" si="4"/>
        <v>0</v>
      </c>
      <c r="M1373" s="88">
        <f t="shared" si="5"/>
        <v>0</v>
      </c>
    </row>
    <row r="1374" ht="14.25" customHeight="1">
      <c r="A1374" s="49" t="s">
        <v>2491</v>
      </c>
      <c r="B1374" s="49" t="str">
        <f>IFERROR(__xludf.DUMMYFUNCTION("REGEXEXTRACT(A1374,""^cost\.(.*)\.[^.]+\.[^.]+$"")"),"collection.courtyard_1@1")</f>
        <v>collection.courtyard_1@1</v>
      </c>
      <c r="C1374" s="49" t="str">
        <f t="array" ref="C1374">_xlfn.XLOOKUP(
 B1374,
 tblTargets[TargetID],
 tblTargets[DisplayName],
 ""
)</f>
        <v>Courtyard 1 Lv 1</v>
      </c>
      <c r="D1374" s="49" t="str">
        <f t="array" ref="D1374">_xlfn.XLOOKUP(
 B1374,
 tblTargets[TargetID],
 tblTargets[TargetType],
 ""
)</f>
        <v>COLLECTION</v>
      </c>
      <c r="E1374" s="49" t="s">
        <v>2490</v>
      </c>
      <c r="F1374" s="87">
        <f>IFERROR(__xludf.DUMMYFUNCTION("VALUE(REGEXEXTRACT(A1374,""([^.]+)$""))"),2.0)</f>
        <v>2</v>
      </c>
      <c r="G1374" s="49">
        <v>5.0</v>
      </c>
      <c r="H1374" s="26" t="b">
        <f>COUNTIFS(
 tblCostChecklist[RequirementID],A1374,
 tblCostChecklist[PlayerPaid],TRUE
)&gt;0</f>
        <v>0</v>
      </c>
      <c r="I1374" s="49">
        <f t="shared" si="1"/>
        <v>10</v>
      </c>
      <c r="J1374" s="49">
        <f t="shared" si="2"/>
        <v>0</v>
      </c>
      <c r="K1374" s="49">
        <f t="shared" si="3"/>
        <v>10</v>
      </c>
      <c r="L1374" s="49" t="b">
        <f t="shared" si="4"/>
        <v>0</v>
      </c>
      <c r="M1374" s="88">
        <f t="shared" si="5"/>
        <v>0</v>
      </c>
    </row>
    <row r="1375" ht="14.25" customHeight="1">
      <c r="A1375" s="49" t="s">
        <v>2492</v>
      </c>
      <c r="B1375" s="49" t="str">
        <f>IFERROR(__xludf.DUMMYFUNCTION("REGEXEXTRACT(A1375,""^cost\.(.*)\.[^.]+\.[^.]+$"")"),"collection.courtyard_1@1")</f>
        <v>collection.courtyard_1@1</v>
      </c>
      <c r="C1375" s="49" t="str">
        <f t="array" ref="C1375">_xlfn.XLOOKUP(
 B1375,
 tblTargets[TargetID],
 tblTargets[DisplayName],
 ""
)</f>
        <v>Courtyard 1 Lv 1</v>
      </c>
      <c r="D1375" s="49" t="str">
        <f t="array" ref="D1375">_xlfn.XLOOKUP(
 B1375,
 tblTargets[TargetID],
 tblTargets[TargetType],
 ""
)</f>
        <v>COLLECTION</v>
      </c>
      <c r="E1375" s="49" t="s">
        <v>2490</v>
      </c>
      <c r="F1375" s="87">
        <f>IFERROR(__xludf.DUMMYFUNCTION("VALUE(REGEXEXTRACT(A1375,""([^.]+)$""))"),3.0)</f>
        <v>3</v>
      </c>
      <c r="G1375" s="49">
        <v>5.0</v>
      </c>
      <c r="H1375" s="26" t="b">
        <f>COUNTIFS(
 tblCostChecklist[RequirementID],A1375,
 tblCostChecklist[PlayerPaid],TRUE
)&gt;0</f>
        <v>0</v>
      </c>
      <c r="I1375" s="49">
        <f t="shared" si="1"/>
        <v>10</v>
      </c>
      <c r="J1375" s="49">
        <f t="shared" si="2"/>
        <v>0</v>
      </c>
      <c r="K1375" s="49">
        <f t="shared" si="3"/>
        <v>10</v>
      </c>
      <c r="L1375" s="49" t="b">
        <f t="shared" si="4"/>
        <v>0</v>
      </c>
      <c r="M1375" s="88">
        <f t="shared" si="5"/>
        <v>0</v>
      </c>
    </row>
    <row r="1376" ht="14.25" customHeight="1">
      <c r="A1376" s="49" t="s">
        <v>2493</v>
      </c>
      <c r="B1376" s="49" t="str">
        <f>IFERROR(__xludf.DUMMYFUNCTION("REGEXEXTRACT(A1376,""^cost\.(.*)\.[^.]+\.[^.]+$"")"),"collection.courtyard_1@1")</f>
        <v>collection.courtyard_1@1</v>
      </c>
      <c r="C1376" s="49" t="str">
        <f t="array" ref="C1376">_xlfn.XLOOKUP(
 B1376,
 tblTargets[TargetID],
 tblTargets[DisplayName],
 ""
)</f>
        <v>Courtyard 1 Lv 1</v>
      </c>
      <c r="D1376" s="49" t="str">
        <f t="array" ref="D1376">_xlfn.XLOOKUP(
 B1376,
 tblTargets[TargetID],
 tblTargets[TargetType],
 ""
)</f>
        <v>COLLECTION</v>
      </c>
      <c r="E1376" s="49" t="s">
        <v>244</v>
      </c>
      <c r="F1376" s="87">
        <f>IFERROR(__xludf.DUMMYFUNCTION("VALUE(REGEXEXTRACT(A1376,""([^.]+)$""))"),1.0)</f>
        <v>1</v>
      </c>
      <c r="G1376" s="49">
        <v>50.0</v>
      </c>
      <c r="H1376" s="26" t="b">
        <f>COUNTIFS(
 tblCostChecklist[RequirementID],A1376,
 tblCostChecklist[PlayerPaid],TRUE
)&gt;0</f>
        <v>0</v>
      </c>
      <c r="I1376" s="49">
        <f t="shared" si="1"/>
        <v>10</v>
      </c>
      <c r="J1376" s="49">
        <f t="shared" si="2"/>
        <v>0</v>
      </c>
      <c r="K1376" s="49">
        <f t="shared" si="3"/>
        <v>10</v>
      </c>
      <c r="L1376" s="49" t="b">
        <f t="shared" si="4"/>
        <v>0</v>
      </c>
      <c r="M1376" s="88">
        <f t="shared" si="5"/>
        <v>0</v>
      </c>
    </row>
    <row r="1377" ht="14.25" customHeight="1">
      <c r="A1377" s="49" t="s">
        <v>2494</v>
      </c>
      <c r="B1377" s="49" t="str">
        <f>IFERROR(__xludf.DUMMYFUNCTION("REGEXEXTRACT(A1377,""^cost\.(.*)\.[^.]+\.[^.]+$"")"),"collection.courtyard_1@2")</f>
        <v>collection.courtyard_1@2</v>
      </c>
      <c r="C1377" s="49" t="str">
        <f t="array" ref="C1377">_xlfn.XLOOKUP(
 B1377,
 tblTargets[TargetID],
 tblTargets[DisplayName],
 ""
)</f>
        <v>Courtyard 1 Lv 2</v>
      </c>
      <c r="D1377" s="49" t="str">
        <f t="array" ref="D1377">_xlfn.XLOOKUP(
 B1377,
 tblTargets[TargetID],
 tblTargets[TargetType],
 ""
)</f>
        <v>COLLECTION</v>
      </c>
      <c r="E1377" s="49" t="s">
        <v>2339</v>
      </c>
      <c r="F1377" s="87">
        <f>IFERROR(__xludf.DUMMYFUNCTION("VALUE(REGEXEXTRACT(A1377,""([^.]+)$""))"),1.0)</f>
        <v>1</v>
      </c>
      <c r="G1377" s="49">
        <v>40.0</v>
      </c>
      <c r="H1377" s="26" t="b">
        <f>COUNTIFS(
 tblCostChecklist[RequirementID],A1377,
 tblCostChecklist[PlayerPaid],TRUE
)&gt;0</f>
        <v>0</v>
      </c>
      <c r="I1377" s="49">
        <f t="shared" si="1"/>
        <v>10</v>
      </c>
      <c r="J1377" s="49">
        <f t="shared" si="2"/>
        <v>0</v>
      </c>
      <c r="K1377" s="49">
        <f t="shared" si="3"/>
        <v>10</v>
      </c>
      <c r="L1377" s="49" t="b">
        <f t="shared" si="4"/>
        <v>0</v>
      </c>
      <c r="M1377" s="88">
        <f t="shared" si="5"/>
        <v>0</v>
      </c>
    </row>
    <row r="1378" ht="14.25" customHeight="1">
      <c r="A1378" s="49" t="s">
        <v>2495</v>
      </c>
      <c r="B1378" s="49" t="str">
        <f>IFERROR(__xludf.DUMMYFUNCTION("REGEXEXTRACT(A1378,""^cost\.(.*)\.[^.]+\.[^.]+$"")"),"collection.courtyard_1@2")</f>
        <v>collection.courtyard_1@2</v>
      </c>
      <c r="C1378" s="49" t="str">
        <f t="array" ref="C1378">_xlfn.XLOOKUP(
 B1378,
 tblTargets[TargetID],
 tblTargets[DisplayName],
 ""
)</f>
        <v>Courtyard 1 Lv 2</v>
      </c>
      <c r="D1378" s="49" t="str">
        <f t="array" ref="D1378">_xlfn.XLOOKUP(
 B1378,
 tblTargets[TargetID],
 tblTargets[TargetType],
 ""
)</f>
        <v>COLLECTION</v>
      </c>
      <c r="E1378" s="49" t="s">
        <v>508</v>
      </c>
      <c r="F1378" s="87">
        <f>IFERROR(__xludf.DUMMYFUNCTION("VALUE(REGEXEXTRACT(A1378,""([^.]+)$""))"),1.0)</f>
        <v>1</v>
      </c>
      <c r="G1378" s="49">
        <v>10.0</v>
      </c>
      <c r="H1378" s="26" t="b">
        <f>COUNTIFS(
 tblCostChecklist[RequirementID],A1378,
 tblCostChecklist[PlayerPaid],TRUE
)&gt;0</f>
        <v>0</v>
      </c>
      <c r="I1378" s="49">
        <f t="shared" si="1"/>
        <v>10</v>
      </c>
      <c r="J1378" s="49">
        <f t="shared" si="2"/>
        <v>0</v>
      </c>
      <c r="K1378" s="49">
        <f t="shared" si="3"/>
        <v>10</v>
      </c>
      <c r="L1378" s="49" t="b">
        <f t="shared" si="4"/>
        <v>0</v>
      </c>
      <c r="M1378" s="88">
        <f t="shared" si="5"/>
        <v>0</v>
      </c>
    </row>
    <row r="1379" ht="14.25" customHeight="1">
      <c r="A1379" s="49" t="s">
        <v>2496</v>
      </c>
      <c r="B1379" s="49" t="str">
        <f>IFERROR(__xludf.DUMMYFUNCTION("REGEXEXTRACT(A1379,""^cost\.(.*)\.[^.]+\.[^.]+$"")"),"collection.courtyard_1@2")</f>
        <v>collection.courtyard_1@2</v>
      </c>
      <c r="C1379" s="49" t="str">
        <f t="array" ref="C1379">_xlfn.XLOOKUP(
 B1379,
 tblTargets[TargetID],
 tblTargets[DisplayName],
 ""
)</f>
        <v>Courtyard 1 Lv 2</v>
      </c>
      <c r="D1379" s="49" t="str">
        <f t="array" ref="D1379">_xlfn.XLOOKUP(
 B1379,
 tblTargets[TargetID],
 tblTargets[TargetType],
 ""
)</f>
        <v>COLLECTION</v>
      </c>
      <c r="E1379" s="49" t="s">
        <v>508</v>
      </c>
      <c r="F1379" s="87">
        <f>IFERROR(__xludf.DUMMYFUNCTION("VALUE(REGEXEXTRACT(A1379,""([^.]+)$""))"),2.0)</f>
        <v>2</v>
      </c>
      <c r="G1379" s="49">
        <v>10.0</v>
      </c>
      <c r="H1379" s="26" t="b">
        <f>COUNTIFS(
 tblCostChecklist[RequirementID],A1379,
 tblCostChecklist[PlayerPaid],TRUE
)&gt;0</f>
        <v>0</v>
      </c>
      <c r="I1379" s="49">
        <f t="shared" si="1"/>
        <v>10</v>
      </c>
      <c r="J1379" s="49">
        <f t="shared" si="2"/>
        <v>0</v>
      </c>
      <c r="K1379" s="49">
        <f t="shared" si="3"/>
        <v>10</v>
      </c>
      <c r="L1379" s="49" t="b">
        <f t="shared" si="4"/>
        <v>0</v>
      </c>
      <c r="M1379" s="88">
        <f t="shared" si="5"/>
        <v>0</v>
      </c>
    </row>
    <row r="1380" ht="14.25" customHeight="1">
      <c r="A1380" s="49" t="s">
        <v>2497</v>
      </c>
      <c r="B1380" s="49" t="str">
        <f>IFERROR(__xludf.DUMMYFUNCTION("REGEXEXTRACT(A1380,""^cost\.(.*)\.[^.]+\.[^.]+$"")"),"collection.courtyard_1@2")</f>
        <v>collection.courtyard_1@2</v>
      </c>
      <c r="C1380" s="49" t="str">
        <f t="array" ref="C1380">_xlfn.XLOOKUP(
 B1380,
 tblTargets[TargetID],
 tblTargets[DisplayName],
 ""
)</f>
        <v>Courtyard 1 Lv 2</v>
      </c>
      <c r="D1380" s="49" t="str">
        <f t="array" ref="D1380">_xlfn.XLOOKUP(
 B1380,
 tblTargets[TargetID],
 tblTargets[TargetType],
 ""
)</f>
        <v>COLLECTION</v>
      </c>
      <c r="E1380" s="49" t="s">
        <v>508</v>
      </c>
      <c r="F1380" s="87">
        <f>IFERROR(__xludf.DUMMYFUNCTION("VALUE(REGEXEXTRACT(A1380,""([^.]+)$""))"),3.0)</f>
        <v>3</v>
      </c>
      <c r="G1380" s="49">
        <v>10.0</v>
      </c>
      <c r="H1380" s="26" t="b">
        <f>COUNTIFS(
 tblCostChecklist[RequirementID],A1380,
 tblCostChecklist[PlayerPaid],TRUE
)&gt;0</f>
        <v>0</v>
      </c>
      <c r="I1380" s="49">
        <f t="shared" si="1"/>
        <v>10</v>
      </c>
      <c r="J1380" s="49">
        <f t="shared" si="2"/>
        <v>0</v>
      </c>
      <c r="K1380" s="49">
        <f t="shared" si="3"/>
        <v>10</v>
      </c>
      <c r="L1380" s="49" t="b">
        <f t="shared" si="4"/>
        <v>0</v>
      </c>
      <c r="M1380" s="88">
        <f t="shared" si="5"/>
        <v>0</v>
      </c>
    </row>
    <row r="1381" ht="14.25" customHeight="1">
      <c r="A1381" s="49" t="s">
        <v>2498</v>
      </c>
      <c r="B1381" s="49" t="str">
        <f>IFERROR(__xludf.DUMMYFUNCTION("REGEXEXTRACT(A1381,""^cost\.(.*)\.[^.]+\.[^.]+$"")"),"collection.courtyard_1@2")</f>
        <v>collection.courtyard_1@2</v>
      </c>
      <c r="C1381" s="49" t="str">
        <f t="array" ref="C1381">_xlfn.XLOOKUP(
 B1381,
 tblTargets[TargetID],
 tblTargets[DisplayName],
 ""
)</f>
        <v>Courtyard 1 Lv 2</v>
      </c>
      <c r="D1381" s="49" t="str">
        <f t="array" ref="D1381">_xlfn.XLOOKUP(
 B1381,
 tblTargets[TargetID],
 tblTargets[TargetType],
 ""
)</f>
        <v>COLLECTION</v>
      </c>
      <c r="E1381" s="49" t="s">
        <v>2486</v>
      </c>
      <c r="F1381" s="87">
        <f>IFERROR(__xludf.DUMMYFUNCTION("VALUE(REGEXEXTRACT(A1381,""([^.]+)$""))"),1.0)</f>
        <v>1</v>
      </c>
      <c r="G1381" s="49">
        <v>30.0</v>
      </c>
      <c r="H1381" s="26" t="b">
        <f>COUNTIFS(
 tblCostChecklist[RequirementID],A1381,
 tblCostChecklist[PlayerPaid],TRUE
)&gt;0</f>
        <v>0</v>
      </c>
      <c r="I1381" s="49">
        <f t="shared" si="1"/>
        <v>10</v>
      </c>
      <c r="J1381" s="49">
        <f t="shared" si="2"/>
        <v>0</v>
      </c>
      <c r="K1381" s="49">
        <f t="shared" si="3"/>
        <v>10</v>
      </c>
      <c r="L1381" s="49" t="b">
        <f t="shared" si="4"/>
        <v>0</v>
      </c>
      <c r="M1381" s="88">
        <f t="shared" si="5"/>
        <v>0</v>
      </c>
    </row>
    <row r="1382" ht="14.25" customHeight="1">
      <c r="A1382" s="49" t="s">
        <v>2499</v>
      </c>
      <c r="B1382" s="49" t="str">
        <f>IFERROR(__xludf.DUMMYFUNCTION("REGEXEXTRACT(A1382,""^cost\.(.*)\.[^.]+\.[^.]+$"")"),"collection.courtyard_1@2")</f>
        <v>collection.courtyard_1@2</v>
      </c>
      <c r="C1382" s="49" t="str">
        <f t="array" ref="C1382">_xlfn.XLOOKUP(
 B1382,
 tblTargets[TargetID],
 tblTargets[DisplayName],
 ""
)</f>
        <v>Courtyard 1 Lv 2</v>
      </c>
      <c r="D1382" s="49" t="str">
        <f t="array" ref="D1382">_xlfn.XLOOKUP(
 B1382,
 tblTargets[TargetID],
 tblTargets[TargetType],
 ""
)</f>
        <v>COLLECTION</v>
      </c>
      <c r="E1382" s="49" t="s">
        <v>2488</v>
      </c>
      <c r="F1382" s="87">
        <f>IFERROR(__xludf.DUMMYFUNCTION("VALUE(REGEXEXTRACT(A1382,""([^.]+)$""))"),1.0)</f>
        <v>1</v>
      </c>
      <c r="G1382" s="49">
        <v>20.0</v>
      </c>
      <c r="H1382" s="26" t="b">
        <f>COUNTIFS(
 tblCostChecklist[RequirementID],A1382,
 tblCostChecklist[PlayerPaid],TRUE
)&gt;0</f>
        <v>0</v>
      </c>
      <c r="I1382" s="49">
        <f t="shared" si="1"/>
        <v>10</v>
      </c>
      <c r="J1382" s="49">
        <f t="shared" si="2"/>
        <v>0</v>
      </c>
      <c r="K1382" s="49">
        <f t="shared" si="3"/>
        <v>10</v>
      </c>
      <c r="L1382" s="49" t="b">
        <f t="shared" si="4"/>
        <v>0</v>
      </c>
      <c r="M1382" s="88">
        <f t="shared" si="5"/>
        <v>0</v>
      </c>
    </row>
    <row r="1383" ht="14.25" customHeight="1">
      <c r="A1383" s="49" t="s">
        <v>2500</v>
      </c>
      <c r="B1383" s="49" t="str">
        <f>IFERROR(__xludf.DUMMYFUNCTION("REGEXEXTRACT(A1383,""^cost\.(.*)\.[^.]+\.[^.]+$"")"),"collection.courtyard_1@2")</f>
        <v>collection.courtyard_1@2</v>
      </c>
      <c r="C1383" s="49" t="str">
        <f t="array" ref="C1383">_xlfn.XLOOKUP(
 B1383,
 tblTargets[TargetID],
 tblTargets[DisplayName],
 ""
)</f>
        <v>Courtyard 1 Lv 2</v>
      </c>
      <c r="D1383" s="49" t="str">
        <f t="array" ref="D1383">_xlfn.XLOOKUP(
 B1383,
 tblTargets[TargetID],
 tblTargets[TargetType],
 ""
)</f>
        <v>COLLECTION</v>
      </c>
      <c r="E1383" s="49" t="s">
        <v>2490</v>
      </c>
      <c r="F1383" s="87">
        <f>IFERROR(__xludf.DUMMYFUNCTION("VALUE(REGEXEXTRACT(A1383,""([^.]+)$""))"),1.0)</f>
        <v>1</v>
      </c>
      <c r="G1383" s="49">
        <v>10.0</v>
      </c>
      <c r="H1383" s="26" t="b">
        <f>COUNTIFS(
 tblCostChecklist[RequirementID],A1383,
 tblCostChecklist[PlayerPaid],TRUE
)&gt;0</f>
        <v>0</v>
      </c>
      <c r="I1383" s="49">
        <f t="shared" si="1"/>
        <v>10</v>
      </c>
      <c r="J1383" s="49">
        <f t="shared" si="2"/>
        <v>0</v>
      </c>
      <c r="K1383" s="49">
        <f t="shared" si="3"/>
        <v>10</v>
      </c>
      <c r="L1383" s="49" t="b">
        <f t="shared" si="4"/>
        <v>0</v>
      </c>
      <c r="M1383" s="88">
        <f t="shared" si="5"/>
        <v>0</v>
      </c>
    </row>
    <row r="1384" ht="14.25" customHeight="1">
      <c r="A1384" s="49" t="s">
        <v>2501</v>
      </c>
      <c r="B1384" s="49" t="str">
        <f>IFERROR(__xludf.DUMMYFUNCTION("REGEXEXTRACT(A1384,""^cost\.(.*)\.[^.]+\.[^.]+$"")"),"collection.courtyard_1@2")</f>
        <v>collection.courtyard_1@2</v>
      </c>
      <c r="C1384" s="49" t="str">
        <f t="array" ref="C1384">_xlfn.XLOOKUP(
 B1384,
 tblTargets[TargetID],
 tblTargets[DisplayName],
 ""
)</f>
        <v>Courtyard 1 Lv 2</v>
      </c>
      <c r="D1384" s="49" t="str">
        <f t="array" ref="D1384">_xlfn.XLOOKUP(
 B1384,
 tblTargets[TargetID],
 tblTargets[TargetType],
 ""
)</f>
        <v>COLLECTION</v>
      </c>
      <c r="E1384" s="49" t="s">
        <v>2490</v>
      </c>
      <c r="F1384" s="87">
        <f>IFERROR(__xludf.DUMMYFUNCTION("VALUE(REGEXEXTRACT(A1384,""([^.]+)$""))"),2.0)</f>
        <v>2</v>
      </c>
      <c r="G1384" s="49">
        <v>10.0</v>
      </c>
      <c r="H1384" s="26" t="b">
        <f>COUNTIFS(
 tblCostChecklist[RequirementID],A1384,
 tblCostChecklist[PlayerPaid],TRUE
)&gt;0</f>
        <v>0</v>
      </c>
      <c r="I1384" s="49">
        <f t="shared" si="1"/>
        <v>10</v>
      </c>
      <c r="J1384" s="49">
        <f t="shared" si="2"/>
        <v>0</v>
      </c>
      <c r="K1384" s="49">
        <f t="shared" si="3"/>
        <v>10</v>
      </c>
      <c r="L1384" s="49" t="b">
        <f t="shared" si="4"/>
        <v>0</v>
      </c>
      <c r="M1384" s="88">
        <f t="shared" si="5"/>
        <v>0</v>
      </c>
    </row>
    <row r="1385" ht="14.25" customHeight="1">
      <c r="A1385" s="49" t="s">
        <v>2502</v>
      </c>
      <c r="B1385" s="49" t="str">
        <f>IFERROR(__xludf.DUMMYFUNCTION("REGEXEXTRACT(A1385,""^cost\.(.*)\.[^.]+\.[^.]+$"")"),"collection.courtyard_1@2")</f>
        <v>collection.courtyard_1@2</v>
      </c>
      <c r="C1385" s="49" t="str">
        <f t="array" ref="C1385">_xlfn.XLOOKUP(
 B1385,
 tblTargets[TargetID],
 tblTargets[DisplayName],
 ""
)</f>
        <v>Courtyard 1 Lv 2</v>
      </c>
      <c r="D1385" s="49" t="str">
        <f t="array" ref="D1385">_xlfn.XLOOKUP(
 B1385,
 tblTargets[TargetID],
 tblTargets[TargetType],
 ""
)</f>
        <v>COLLECTION</v>
      </c>
      <c r="E1385" s="49" t="s">
        <v>2490</v>
      </c>
      <c r="F1385" s="87">
        <f>IFERROR(__xludf.DUMMYFUNCTION("VALUE(REGEXEXTRACT(A1385,""([^.]+)$""))"),3.0)</f>
        <v>3</v>
      </c>
      <c r="G1385" s="49">
        <v>10.0</v>
      </c>
      <c r="H1385" s="26" t="b">
        <f>COUNTIFS(
 tblCostChecklist[RequirementID],A1385,
 tblCostChecklist[PlayerPaid],TRUE
)&gt;0</f>
        <v>0</v>
      </c>
      <c r="I1385" s="49">
        <f t="shared" si="1"/>
        <v>10</v>
      </c>
      <c r="J1385" s="49">
        <f t="shared" si="2"/>
        <v>0</v>
      </c>
      <c r="K1385" s="49">
        <f t="shared" si="3"/>
        <v>10</v>
      </c>
      <c r="L1385" s="49" t="b">
        <f t="shared" si="4"/>
        <v>0</v>
      </c>
      <c r="M1385" s="88">
        <f t="shared" si="5"/>
        <v>0</v>
      </c>
    </row>
    <row r="1386" ht="14.25" customHeight="1">
      <c r="A1386" s="49" t="s">
        <v>2503</v>
      </c>
      <c r="B1386" s="49" t="str">
        <f>IFERROR(__xludf.DUMMYFUNCTION("REGEXEXTRACT(A1386,""^cost\.(.*)\.[^.]+\.[^.]+$"")"),"collection.courtyard_1@2")</f>
        <v>collection.courtyard_1@2</v>
      </c>
      <c r="C1386" s="49" t="str">
        <f t="array" ref="C1386">_xlfn.XLOOKUP(
 B1386,
 tblTargets[TargetID],
 tblTargets[DisplayName],
 ""
)</f>
        <v>Courtyard 1 Lv 2</v>
      </c>
      <c r="D1386" s="49" t="str">
        <f t="array" ref="D1386">_xlfn.XLOOKUP(
 B1386,
 tblTargets[TargetID],
 tblTargets[TargetType],
 ""
)</f>
        <v>COLLECTION</v>
      </c>
      <c r="E1386" s="49" t="s">
        <v>244</v>
      </c>
      <c r="F1386" s="87">
        <f>IFERROR(__xludf.DUMMYFUNCTION("VALUE(REGEXEXTRACT(A1386,""([^.]+)$""))"),1.0)</f>
        <v>1</v>
      </c>
      <c r="G1386" s="49">
        <v>100.0</v>
      </c>
      <c r="H1386" s="26" t="b">
        <f>COUNTIFS(
 tblCostChecklist[RequirementID],A1386,
 tblCostChecklist[PlayerPaid],TRUE
)&gt;0</f>
        <v>0</v>
      </c>
      <c r="I1386" s="49">
        <f t="shared" si="1"/>
        <v>10</v>
      </c>
      <c r="J1386" s="49">
        <f t="shared" si="2"/>
        <v>0</v>
      </c>
      <c r="K1386" s="49">
        <f t="shared" si="3"/>
        <v>10</v>
      </c>
      <c r="L1386" s="49" t="b">
        <f t="shared" si="4"/>
        <v>0</v>
      </c>
      <c r="M1386" s="88">
        <f t="shared" si="5"/>
        <v>0</v>
      </c>
    </row>
    <row r="1387" ht="14.25" customHeight="1">
      <c r="A1387" s="49" t="s">
        <v>2504</v>
      </c>
      <c r="B1387" s="49" t="str">
        <f>IFERROR(__xludf.DUMMYFUNCTION("REGEXEXTRACT(A1387,""^cost\.(.*)\.[^.]+\.[^.]+$"")"),"collection.courtyard_2@1")</f>
        <v>collection.courtyard_2@1</v>
      </c>
      <c r="C1387" s="49" t="str">
        <f t="array" ref="C1387">_xlfn.XLOOKUP(
 B1387,
 tblTargets[TargetID],
 tblTargets[DisplayName],
 ""
)</f>
        <v>Courtyard 2 Lv 1</v>
      </c>
      <c r="D1387" s="49" t="str">
        <f t="array" ref="D1387">_xlfn.XLOOKUP(
 B1387,
 tblTargets[TargetID],
 tblTargets[TargetType],
 ""
)</f>
        <v>COLLECTION</v>
      </c>
      <c r="E1387" s="49" t="s">
        <v>520</v>
      </c>
      <c r="F1387" s="87">
        <f>IFERROR(__xludf.DUMMYFUNCTION("VALUE(REGEXEXTRACT(A1387,""([^.]+)$""))"),1.0)</f>
        <v>1</v>
      </c>
      <c r="G1387" s="49">
        <v>15.0</v>
      </c>
      <c r="H1387" s="26" t="b">
        <f>COUNTIFS(
 tblCostChecklist[RequirementID],A1387,
 tblCostChecklist[PlayerPaid],TRUE
)&gt;0</f>
        <v>0</v>
      </c>
      <c r="I1387" s="49">
        <f t="shared" si="1"/>
        <v>3</v>
      </c>
      <c r="J1387" s="49">
        <f t="shared" si="2"/>
        <v>0</v>
      </c>
      <c r="K1387" s="49">
        <f t="shared" si="3"/>
        <v>3</v>
      </c>
      <c r="L1387" s="49" t="b">
        <f t="shared" si="4"/>
        <v>0</v>
      </c>
      <c r="M1387" s="88">
        <f t="shared" si="5"/>
        <v>0</v>
      </c>
    </row>
    <row r="1388" ht="14.25" customHeight="1">
      <c r="A1388" s="49" t="s">
        <v>2505</v>
      </c>
      <c r="B1388" s="49" t="str">
        <f>IFERROR(__xludf.DUMMYFUNCTION("REGEXEXTRACT(A1388,""^cost\.(.*)\.[^.]+\.[^.]+$"")"),"collection.courtyard_2@1")</f>
        <v>collection.courtyard_2@1</v>
      </c>
      <c r="C1388" s="49" t="str">
        <f t="array" ref="C1388">_xlfn.XLOOKUP(
 B1388,
 tblTargets[TargetID],
 tblTargets[DisplayName],
 ""
)</f>
        <v>Courtyard 2 Lv 1</v>
      </c>
      <c r="D1388" s="49" t="str">
        <f t="array" ref="D1388">_xlfn.XLOOKUP(
 B1388,
 tblTargets[TargetID],
 tblTargets[TargetType],
 ""
)</f>
        <v>COLLECTION</v>
      </c>
      <c r="E1388" s="49" t="s">
        <v>520</v>
      </c>
      <c r="F1388" s="87">
        <f>IFERROR(__xludf.DUMMYFUNCTION("VALUE(REGEXEXTRACT(A1388,""([^.]+)$""))"),2.0)</f>
        <v>2</v>
      </c>
      <c r="G1388" s="49">
        <v>15.0</v>
      </c>
      <c r="H1388" s="26" t="b">
        <f>COUNTIFS(
 tblCostChecklist[RequirementID],A1388,
 tblCostChecklist[PlayerPaid],TRUE
)&gt;0</f>
        <v>0</v>
      </c>
      <c r="I1388" s="49">
        <f t="shared" si="1"/>
        <v>3</v>
      </c>
      <c r="J1388" s="49">
        <f t="shared" si="2"/>
        <v>0</v>
      </c>
      <c r="K1388" s="49">
        <f t="shared" si="3"/>
        <v>3</v>
      </c>
      <c r="L1388" s="49" t="b">
        <f t="shared" si="4"/>
        <v>0</v>
      </c>
      <c r="M1388" s="88">
        <f t="shared" si="5"/>
        <v>0</v>
      </c>
    </row>
    <row r="1389" ht="14.25" customHeight="1">
      <c r="A1389" s="49" t="s">
        <v>2506</v>
      </c>
      <c r="B1389" s="49" t="str">
        <f>IFERROR(__xludf.DUMMYFUNCTION("REGEXEXTRACT(A1389,""^cost\.(.*)\.[^.]+\.[^.]+$"")"),"collection.courtyard_2@1")</f>
        <v>collection.courtyard_2@1</v>
      </c>
      <c r="C1389" s="49" t="str">
        <f t="array" ref="C1389">_xlfn.XLOOKUP(
 B1389,
 tblTargets[TargetID],
 tblTargets[DisplayName],
 ""
)</f>
        <v>Courtyard 2 Lv 1</v>
      </c>
      <c r="D1389" s="49" t="str">
        <f t="array" ref="D1389">_xlfn.XLOOKUP(
 B1389,
 tblTargets[TargetID],
 tblTargets[TargetType],
 ""
)</f>
        <v>COLLECTION</v>
      </c>
      <c r="E1389" s="49" t="s">
        <v>520</v>
      </c>
      <c r="F1389" s="87">
        <f>IFERROR(__xludf.DUMMYFUNCTION("VALUE(REGEXEXTRACT(A1389,""([^.]+)$""))"),3.0)</f>
        <v>3</v>
      </c>
      <c r="G1389" s="49">
        <v>15.0</v>
      </c>
      <c r="H1389" s="26" t="b">
        <f>COUNTIFS(
 tblCostChecklist[RequirementID],A1389,
 tblCostChecklist[PlayerPaid],TRUE
)&gt;0</f>
        <v>0</v>
      </c>
      <c r="I1389" s="49">
        <f t="shared" si="1"/>
        <v>3</v>
      </c>
      <c r="J1389" s="49">
        <f t="shared" si="2"/>
        <v>0</v>
      </c>
      <c r="K1389" s="49">
        <f t="shared" si="3"/>
        <v>3</v>
      </c>
      <c r="L1389" s="49" t="b">
        <f t="shared" si="4"/>
        <v>0</v>
      </c>
      <c r="M1389" s="88">
        <f t="shared" si="5"/>
        <v>0</v>
      </c>
    </row>
    <row r="1390" ht="14.25" customHeight="1">
      <c r="A1390" s="49" t="s">
        <v>2512</v>
      </c>
      <c r="B1390" s="49" t="str">
        <f>IFERROR(__xludf.DUMMYFUNCTION("REGEXEXTRACT(A1390,""^cost\.(.*)\.[^.]+\.[^.]+$"")"),"collection.gallery_1@1")</f>
        <v>collection.gallery_1@1</v>
      </c>
      <c r="C1390" s="49" t="str">
        <f t="array" ref="C1390">_xlfn.XLOOKUP(
 B1390,
 tblTargets[TargetID],
 tblTargets[DisplayName],
 ""
)</f>
        <v>Gallery 1 Lv 1</v>
      </c>
      <c r="D1390" s="49" t="str">
        <f t="array" ref="D1390">_xlfn.XLOOKUP(
 B1390,
 tblTargets[TargetID],
 tblTargets[TargetType],
 ""
)</f>
        <v>COLLECTION</v>
      </c>
      <c r="E1390" s="49" t="s">
        <v>1230</v>
      </c>
      <c r="F1390" s="87">
        <f>IFERROR(__xludf.DUMMYFUNCTION("VALUE(REGEXEXTRACT(A1390,""([^.]+)$""))"),1.0)</f>
        <v>1</v>
      </c>
      <c r="G1390" s="49">
        <v>5.0</v>
      </c>
      <c r="H1390" s="26" t="b">
        <f>COUNTIFS(
 tblCostChecklist[RequirementID],A1390,
 tblCostChecklist[PlayerPaid],TRUE
)&gt;0</f>
        <v>0</v>
      </c>
      <c r="I1390" s="49">
        <f t="shared" si="1"/>
        <v>6</v>
      </c>
      <c r="J1390" s="49">
        <f t="shared" si="2"/>
        <v>0</v>
      </c>
      <c r="K1390" s="49">
        <f t="shared" si="3"/>
        <v>6</v>
      </c>
      <c r="L1390" s="49" t="b">
        <f t="shared" si="4"/>
        <v>0</v>
      </c>
      <c r="M1390" s="88">
        <f t="shared" si="5"/>
        <v>0</v>
      </c>
    </row>
    <row r="1391" ht="14.25" customHeight="1">
      <c r="A1391" s="49" t="s">
        <v>2513</v>
      </c>
      <c r="B1391" s="49" t="str">
        <f>IFERROR(__xludf.DUMMYFUNCTION("REGEXEXTRACT(A1391,""^cost\.(.*)\.[^.]+\.[^.]+$"")"),"collection.gallery_1@1")</f>
        <v>collection.gallery_1@1</v>
      </c>
      <c r="C1391" s="49" t="str">
        <f t="array" ref="C1391">_xlfn.XLOOKUP(
 B1391,
 tblTargets[TargetID],
 tblTargets[DisplayName],
 ""
)</f>
        <v>Gallery 1 Lv 1</v>
      </c>
      <c r="D1391" s="49" t="str">
        <f t="array" ref="D1391">_xlfn.XLOOKUP(
 B1391,
 tblTargets[TargetID],
 tblTargets[TargetType],
 ""
)</f>
        <v>COLLECTION</v>
      </c>
      <c r="E1391" s="49" t="s">
        <v>2514</v>
      </c>
      <c r="F1391" s="87">
        <f>IFERROR(__xludf.DUMMYFUNCTION("VALUE(REGEXEXTRACT(A1391,""([^.]+)$""))"),1.0)</f>
        <v>1</v>
      </c>
      <c r="G1391" s="49">
        <v>10.0</v>
      </c>
      <c r="H1391" s="26" t="b">
        <f>COUNTIFS(
 tblCostChecklist[RequirementID],A1391,
 tblCostChecklist[PlayerPaid],TRUE
)&gt;0</f>
        <v>0</v>
      </c>
      <c r="I1391" s="49">
        <f t="shared" si="1"/>
        <v>6</v>
      </c>
      <c r="J1391" s="49">
        <f t="shared" si="2"/>
        <v>0</v>
      </c>
      <c r="K1391" s="49">
        <f t="shared" si="3"/>
        <v>6</v>
      </c>
      <c r="L1391" s="49" t="b">
        <f t="shared" si="4"/>
        <v>0</v>
      </c>
      <c r="M1391" s="88">
        <f t="shared" si="5"/>
        <v>0</v>
      </c>
    </row>
    <row r="1392" ht="14.25" customHeight="1">
      <c r="A1392" s="49" t="s">
        <v>2515</v>
      </c>
      <c r="B1392" s="49" t="str">
        <f>IFERROR(__xludf.DUMMYFUNCTION("REGEXEXTRACT(A1392,""^cost\.(.*)\.[^.]+\.[^.]+$"")"),"collection.gallery_1@1")</f>
        <v>collection.gallery_1@1</v>
      </c>
      <c r="C1392" s="49" t="str">
        <f t="array" ref="C1392">_xlfn.XLOOKUP(
 B1392,
 tblTargets[TargetID],
 tblTargets[DisplayName],
 ""
)</f>
        <v>Gallery 1 Lv 1</v>
      </c>
      <c r="D1392" s="49" t="str">
        <f t="array" ref="D1392">_xlfn.XLOOKUP(
 B1392,
 tblTargets[TargetID],
 tblTargets[TargetType],
 ""
)</f>
        <v>COLLECTION</v>
      </c>
      <c r="E1392" s="49" t="s">
        <v>2304</v>
      </c>
      <c r="F1392" s="87">
        <f>IFERROR(__xludf.DUMMYFUNCTION("VALUE(REGEXEXTRACT(A1392,""([^.]+)$""))"),1.0)</f>
        <v>1</v>
      </c>
      <c r="G1392" s="49">
        <v>10.0</v>
      </c>
      <c r="H1392" s="26" t="b">
        <f>COUNTIFS(
 tblCostChecklist[RequirementID],A1392,
 tblCostChecklist[PlayerPaid],TRUE
)&gt;0</f>
        <v>0</v>
      </c>
      <c r="I1392" s="49">
        <f t="shared" si="1"/>
        <v>6</v>
      </c>
      <c r="J1392" s="49">
        <f t="shared" si="2"/>
        <v>0</v>
      </c>
      <c r="K1392" s="49">
        <f t="shared" si="3"/>
        <v>6</v>
      </c>
      <c r="L1392" s="49" t="b">
        <f t="shared" si="4"/>
        <v>0</v>
      </c>
      <c r="M1392" s="88">
        <f t="shared" si="5"/>
        <v>0</v>
      </c>
    </row>
    <row r="1393" ht="14.25" customHeight="1">
      <c r="A1393" s="49" t="s">
        <v>2516</v>
      </c>
      <c r="B1393" s="49" t="str">
        <f>IFERROR(__xludf.DUMMYFUNCTION("REGEXEXTRACT(A1393,""^cost\.(.*)\.[^.]+\.[^.]+$"")"),"collection.gallery_1@1")</f>
        <v>collection.gallery_1@1</v>
      </c>
      <c r="C1393" s="49" t="str">
        <f t="array" ref="C1393">_xlfn.XLOOKUP(
 B1393,
 tblTargets[TargetID],
 tblTargets[DisplayName],
 ""
)</f>
        <v>Gallery 1 Lv 1</v>
      </c>
      <c r="D1393" s="49" t="str">
        <f t="array" ref="D1393">_xlfn.XLOOKUP(
 B1393,
 tblTargets[TargetID],
 tblTargets[TargetType],
 ""
)</f>
        <v>COLLECTION</v>
      </c>
      <c r="E1393" s="49" t="s">
        <v>126</v>
      </c>
      <c r="F1393" s="87">
        <f>IFERROR(__xludf.DUMMYFUNCTION("VALUE(REGEXEXTRACT(A1393,""([^.]+)$""))"),1.0)</f>
        <v>1</v>
      </c>
      <c r="G1393" s="49">
        <v>15.0</v>
      </c>
      <c r="H1393" s="26" t="b">
        <f>COUNTIFS(
 tblCostChecklist[RequirementID],A1393,
 tblCostChecklist[PlayerPaid],TRUE
)&gt;0</f>
        <v>0</v>
      </c>
      <c r="I1393" s="49">
        <f t="shared" si="1"/>
        <v>6</v>
      </c>
      <c r="J1393" s="49">
        <f t="shared" si="2"/>
        <v>0</v>
      </c>
      <c r="K1393" s="49">
        <f t="shared" si="3"/>
        <v>6</v>
      </c>
      <c r="L1393" s="49" t="b">
        <f t="shared" si="4"/>
        <v>0</v>
      </c>
      <c r="M1393" s="88">
        <f t="shared" si="5"/>
        <v>0</v>
      </c>
    </row>
    <row r="1394" ht="14.25" customHeight="1">
      <c r="A1394" s="49" t="s">
        <v>2517</v>
      </c>
      <c r="B1394" s="49" t="str">
        <f>IFERROR(__xludf.DUMMYFUNCTION("REGEXEXTRACT(A1394,""^cost\.(.*)\.[^.]+\.[^.]+$"")"),"collection.gallery_1@1")</f>
        <v>collection.gallery_1@1</v>
      </c>
      <c r="C1394" s="49" t="str">
        <f t="array" ref="C1394">_xlfn.XLOOKUP(
 B1394,
 tblTargets[TargetID],
 tblTargets[DisplayName],
 ""
)</f>
        <v>Gallery 1 Lv 1</v>
      </c>
      <c r="D1394" s="49" t="str">
        <f t="array" ref="D1394">_xlfn.XLOOKUP(
 B1394,
 tblTargets[TargetID],
 tblTargets[TargetType],
 ""
)</f>
        <v>COLLECTION</v>
      </c>
      <c r="E1394" s="49" t="s">
        <v>140</v>
      </c>
      <c r="F1394" s="87">
        <f>IFERROR(__xludf.DUMMYFUNCTION("VALUE(REGEXEXTRACT(A1394,""([^.]+)$""))"),1.0)</f>
        <v>1</v>
      </c>
      <c r="G1394" s="49">
        <v>15.0</v>
      </c>
      <c r="H1394" s="26" t="b">
        <f>COUNTIFS(
 tblCostChecklist[RequirementID],A1394,
 tblCostChecklist[PlayerPaid],TRUE
)&gt;0</f>
        <v>0</v>
      </c>
      <c r="I1394" s="49">
        <f t="shared" si="1"/>
        <v>6</v>
      </c>
      <c r="J1394" s="49">
        <f t="shared" si="2"/>
        <v>0</v>
      </c>
      <c r="K1394" s="49">
        <f t="shared" si="3"/>
        <v>6</v>
      </c>
      <c r="L1394" s="49" t="b">
        <f t="shared" si="4"/>
        <v>0</v>
      </c>
      <c r="M1394" s="88">
        <f t="shared" si="5"/>
        <v>0</v>
      </c>
    </row>
    <row r="1395" ht="14.25" customHeight="1">
      <c r="A1395" s="49" t="s">
        <v>2518</v>
      </c>
      <c r="B1395" s="49" t="str">
        <f>IFERROR(__xludf.DUMMYFUNCTION("REGEXEXTRACT(A1395,""^cost\.(.*)\.[^.]+\.[^.]+$"")"),"collection.gallery_1@1")</f>
        <v>collection.gallery_1@1</v>
      </c>
      <c r="C1395" s="49" t="str">
        <f t="array" ref="C1395">_xlfn.XLOOKUP(
 B1395,
 tblTargets[TargetID],
 tblTargets[DisplayName],
 ""
)</f>
        <v>Gallery 1 Lv 1</v>
      </c>
      <c r="D1395" s="49" t="str">
        <f t="array" ref="D1395">_xlfn.XLOOKUP(
 B1395,
 tblTargets[TargetID],
 tblTargets[TargetType],
 ""
)</f>
        <v>COLLECTION</v>
      </c>
      <c r="E1395" s="49" t="s">
        <v>1489</v>
      </c>
      <c r="F1395" s="87">
        <f>IFERROR(__xludf.DUMMYFUNCTION("VALUE(REGEXEXTRACT(A1395,""([^.]+)$""))"),1.0)</f>
        <v>1</v>
      </c>
      <c r="G1395" s="49">
        <v>5.0</v>
      </c>
      <c r="H1395" s="26" t="b">
        <f>COUNTIFS(
 tblCostChecklist[RequirementID],A1395,
 tblCostChecklist[PlayerPaid],TRUE
)&gt;0</f>
        <v>0</v>
      </c>
      <c r="I1395" s="49">
        <f t="shared" si="1"/>
        <v>6</v>
      </c>
      <c r="J1395" s="49">
        <f t="shared" si="2"/>
        <v>0</v>
      </c>
      <c r="K1395" s="49">
        <f t="shared" si="3"/>
        <v>6</v>
      </c>
      <c r="L1395" s="49" t="b">
        <f t="shared" si="4"/>
        <v>0</v>
      </c>
      <c r="M1395" s="88">
        <f t="shared" si="5"/>
        <v>0</v>
      </c>
    </row>
    <row r="1396" ht="14.25" customHeight="1">
      <c r="A1396" s="49" t="s">
        <v>2519</v>
      </c>
      <c r="B1396" s="49" t="str">
        <f>IFERROR(__xludf.DUMMYFUNCTION("REGEXEXTRACT(A1396,""^cost\.(.*)\.[^.]+\.[^.]+$"")"),"collection.gallery_1@2")</f>
        <v>collection.gallery_1@2</v>
      </c>
      <c r="C1396" s="49" t="str">
        <f t="array" ref="C1396">_xlfn.XLOOKUP(
 B1396,
 tblTargets[TargetID],
 tblTargets[DisplayName],
 ""
)</f>
        <v>Gallery 1 Lv 2</v>
      </c>
      <c r="D1396" s="49" t="str">
        <f t="array" ref="D1396">_xlfn.XLOOKUP(
 B1396,
 tblTargets[TargetID],
 tblTargets[TargetType],
 ""
)</f>
        <v>COLLECTION</v>
      </c>
      <c r="E1396" s="49" t="s">
        <v>1230</v>
      </c>
      <c r="F1396" s="87">
        <f>IFERROR(__xludf.DUMMYFUNCTION("VALUE(REGEXEXTRACT(A1396,""([^.]+)$""))"),1.0)</f>
        <v>1</v>
      </c>
      <c r="G1396" s="49">
        <v>10.0</v>
      </c>
      <c r="H1396" s="26" t="b">
        <f>COUNTIFS(
 tblCostChecklist[RequirementID],A1396,
 tblCostChecklist[PlayerPaid],TRUE
)&gt;0</f>
        <v>0</v>
      </c>
      <c r="I1396" s="49">
        <f t="shared" si="1"/>
        <v>6</v>
      </c>
      <c r="J1396" s="49">
        <f t="shared" si="2"/>
        <v>0</v>
      </c>
      <c r="K1396" s="49">
        <f t="shared" si="3"/>
        <v>6</v>
      </c>
      <c r="L1396" s="49" t="b">
        <f t="shared" si="4"/>
        <v>0</v>
      </c>
      <c r="M1396" s="88">
        <f t="shared" si="5"/>
        <v>0</v>
      </c>
    </row>
    <row r="1397" ht="14.25" customHeight="1">
      <c r="A1397" s="49" t="s">
        <v>2520</v>
      </c>
      <c r="B1397" s="49" t="str">
        <f>IFERROR(__xludf.DUMMYFUNCTION("REGEXEXTRACT(A1397,""^cost\.(.*)\.[^.]+\.[^.]+$"")"),"collection.gallery_1@2")</f>
        <v>collection.gallery_1@2</v>
      </c>
      <c r="C1397" s="49" t="str">
        <f t="array" ref="C1397">_xlfn.XLOOKUP(
 B1397,
 tblTargets[TargetID],
 tblTargets[DisplayName],
 ""
)</f>
        <v>Gallery 1 Lv 2</v>
      </c>
      <c r="D1397" s="49" t="str">
        <f t="array" ref="D1397">_xlfn.XLOOKUP(
 B1397,
 tblTargets[TargetID],
 tblTargets[TargetType],
 ""
)</f>
        <v>COLLECTION</v>
      </c>
      <c r="E1397" s="49" t="s">
        <v>2514</v>
      </c>
      <c r="F1397" s="87">
        <f>IFERROR(__xludf.DUMMYFUNCTION("VALUE(REGEXEXTRACT(A1397,""([^.]+)$""))"),1.0)</f>
        <v>1</v>
      </c>
      <c r="G1397" s="49">
        <v>20.0</v>
      </c>
      <c r="H1397" s="26" t="b">
        <f>COUNTIFS(
 tblCostChecklist[RequirementID],A1397,
 tblCostChecklist[PlayerPaid],TRUE
)&gt;0</f>
        <v>0</v>
      </c>
      <c r="I1397" s="49">
        <f t="shared" si="1"/>
        <v>6</v>
      </c>
      <c r="J1397" s="49">
        <f t="shared" si="2"/>
        <v>0</v>
      </c>
      <c r="K1397" s="49">
        <f t="shared" si="3"/>
        <v>6</v>
      </c>
      <c r="L1397" s="49" t="b">
        <f t="shared" si="4"/>
        <v>0</v>
      </c>
      <c r="M1397" s="88">
        <f t="shared" si="5"/>
        <v>0</v>
      </c>
    </row>
    <row r="1398" ht="14.25" customHeight="1">
      <c r="A1398" s="49" t="s">
        <v>2521</v>
      </c>
      <c r="B1398" s="49" t="str">
        <f>IFERROR(__xludf.DUMMYFUNCTION("REGEXEXTRACT(A1398,""^cost\.(.*)\.[^.]+\.[^.]+$"")"),"collection.gallery_1@2")</f>
        <v>collection.gallery_1@2</v>
      </c>
      <c r="C1398" s="49" t="str">
        <f t="array" ref="C1398">_xlfn.XLOOKUP(
 B1398,
 tblTargets[TargetID],
 tblTargets[DisplayName],
 ""
)</f>
        <v>Gallery 1 Lv 2</v>
      </c>
      <c r="D1398" s="49" t="str">
        <f t="array" ref="D1398">_xlfn.XLOOKUP(
 B1398,
 tblTargets[TargetID],
 tblTargets[TargetType],
 ""
)</f>
        <v>COLLECTION</v>
      </c>
      <c r="E1398" s="49" t="s">
        <v>2304</v>
      </c>
      <c r="F1398" s="87">
        <f>IFERROR(__xludf.DUMMYFUNCTION("VALUE(REGEXEXTRACT(A1398,""([^.]+)$""))"),1.0)</f>
        <v>1</v>
      </c>
      <c r="G1398" s="49">
        <v>20.0</v>
      </c>
      <c r="H1398" s="26" t="b">
        <f>COUNTIFS(
 tblCostChecklist[RequirementID],A1398,
 tblCostChecklist[PlayerPaid],TRUE
)&gt;0</f>
        <v>0</v>
      </c>
      <c r="I1398" s="49">
        <f t="shared" si="1"/>
        <v>6</v>
      </c>
      <c r="J1398" s="49">
        <f t="shared" si="2"/>
        <v>0</v>
      </c>
      <c r="K1398" s="49">
        <f t="shared" si="3"/>
        <v>6</v>
      </c>
      <c r="L1398" s="49" t="b">
        <f t="shared" si="4"/>
        <v>0</v>
      </c>
      <c r="M1398" s="88">
        <f t="shared" si="5"/>
        <v>0</v>
      </c>
    </row>
    <row r="1399" ht="14.25" customHeight="1">
      <c r="A1399" s="49" t="s">
        <v>2522</v>
      </c>
      <c r="B1399" s="49" t="str">
        <f>IFERROR(__xludf.DUMMYFUNCTION("REGEXEXTRACT(A1399,""^cost\.(.*)\.[^.]+\.[^.]+$"")"),"collection.gallery_1@2")</f>
        <v>collection.gallery_1@2</v>
      </c>
      <c r="C1399" s="49" t="str">
        <f t="array" ref="C1399">_xlfn.XLOOKUP(
 B1399,
 tblTargets[TargetID],
 tblTargets[DisplayName],
 ""
)</f>
        <v>Gallery 1 Lv 2</v>
      </c>
      <c r="D1399" s="49" t="str">
        <f t="array" ref="D1399">_xlfn.XLOOKUP(
 B1399,
 tblTargets[TargetID],
 tblTargets[TargetType],
 ""
)</f>
        <v>COLLECTION</v>
      </c>
      <c r="E1399" s="49" t="s">
        <v>126</v>
      </c>
      <c r="F1399" s="87">
        <f>IFERROR(__xludf.DUMMYFUNCTION("VALUE(REGEXEXTRACT(A1399,""([^.]+)$""))"),1.0)</f>
        <v>1</v>
      </c>
      <c r="G1399" s="49">
        <v>30.0</v>
      </c>
      <c r="H1399" s="26" t="b">
        <f>COUNTIFS(
 tblCostChecklist[RequirementID],A1399,
 tblCostChecklist[PlayerPaid],TRUE
)&gt;0</f>
        <v>0</v>
      </c>
      <c r="I1399" s="49">
        <f t="shared" si="1"/>
        <v>6</v>
      </c>
      <c r="J1399" s="49">
        <f t="shared" si="2"/>
        <v>0</v>
      </c>
      <c r="K1399" s="49">
        <f t="shared" si="3"/>
        <v>6</v>
      </c>
      <c r="L1399" s="49" t="b">
        <f t="shared" si="4"/>
        <v>0</v>
      </c>
      <c r="M1399" s="88">
        <f t="shared" si="5"/>
        <v>0</v>
      </c>
    </row>
    <row r="1400" ht="14.25" customHeight="1">
      <c r="A1400" s="49" t="s">
        <v>2523</v>
      </c>
      <c r="B1400" s="49" t="str">
        <f>IFERROR(__xludf.DUMMYFUNCTION("REGEXEXTRACT(A1400,""^cost\.(.*)\.[^.]+\.[^.]+$"")"),"collection.gallery_1@2")</f>
        <v>collection.gallery_1@2</v>
      </c>
      <c r="C1400" s="49" t="str">
        <f t="array" ref="C1400">_xlfn.XLOOKUP(
 B1400,
 tblTargets[TargetID],
 tblTargets[DisplayName],
 ""
)</f>
        <v>Gallery 1 Lv 2</v>
      </c>
      <c r="D1400" s="49" t="str">
        <f t="array" ref="D1400">_xlfn.XLOOKUP(
 B1400,
 tblTargets[TargetID],
 tblTargets[TargetType],
 ""
)</f>
        <v>COLLECTION</v>
      </c>
      <c r="E1400" s="49" t="s">
        <v>140</v>
      </c>
      <c r="F1400" s="87">
        <f>IFERROR(__xludf.DUMMYFUNCTION("VALUE(REGEXEXTRACT(A1400,""([^.]+)$""))"),1.0)</f>
        <v>1</v>
      </c>
      <c r="G1400" s="49">
        <v>30.0</v>
      </c>
      <c r="H1400" s="26" t="b">
        <f>COUNTIFS(
 tblCostChecklist[RequirementID],A1400,
 tblCostChecklist[PlayerPaid],TRUE
)&gt;0</f>
        <v>0</v>
      </c>
      <c r="I1400" s="49">
        <f t="shared" si="1"/>
        <v>6</v>
      </c>
      <c r="J1400" s="49">
        <f t="shared" si="2"/>
        <v>0</v>
      </c>
      <c r="K1400" s="49">
        <f t="shared" si="3"/>
        <v>6</v>
      </c>
      <c r="L1400" s="49" t="b">
        <f t="shared" si="4"/>
        <v>0</v>
      </c>
      <c r="M1400" s="88">
        <f t="shared" si="5"/>
        <v>0</v>
      </c>
    </row>
    <row r="1401" ht="14.25" customHeight="1">
      <c r="A1401" s="49" t="s">
        <v>2524</v>
      </c>
      <c r="B1401" s="49" t="str">
        <f>IFERROR(__xludf.DUMMYFUNCTION("REGEXEXTRACT(A1401,""^cost\.(.*)\.[^.]+\.[^.]+$"")"),"collection.gallery_1@2")</f>
        <v>collection.gallery_1@2</v>
      </c>
      <c r="C1401" s="49" t="str">
        <f t="array" ref="C1401">_xlfn.XLOOKUP(
 B1401,
 tblTargets[TargetID],
 tblTargets[DisplayName],
 ""
)</f>
        <v>Gallery 1 Lv 2</v>
      </c>
      <c r="D1401" s="49" t="str">
        <f t="array" ref="D1401">_xlfn.XLOOKUP(
 B1401,
 tblTargets[TargetID],
 tblTargets[TargetType],
 ""
)</f>
        <v>COLLECTION</v>
      </c>
      <c r="E1401" s="49" t="s">
        <v>1489</v>
      </c>
      <c r="F1401" s="87">
        <f>IFERROR(__xludf.DUMMYFUNCTION("VALUE(REGEXEXTRACT(A1401,""([^.]+)$""))"),1.0)</f>
        <v>1</v>
      </c>
      <c r="G1401" s="49">
        <v>10.0</v>
      </c>
      <c r="H1401" s="26" t="b">
        <f>COUNTIFS(
 tblCostChecklist[RequirementID],A1401,
 tblCostChecklist[PlayerPaid],TRUE
)&gt;0</f>
        <v>0</v>
      </c>
      <c r="I1401" s="49">
        <f t="shared" si="1"/>
        <v>6</v>
      </c>
      <c r="J1401" s="49">
        <f t="shared" si="2"/>
        <v>0</v>
      </c>
      <c r="K1401" s="49">
        <f t="shared" si="3"/>
        <v>6</v>
      </c>
      <c r="L1401" s="49" t="b">
        <f t="shared" si="4"/>
        <v>0</v>
      </c>
      <c r="M1401" s="88">
        <f t="shared" si="5"/>
        <v>0</v>
      </c>
    </row>
    <row r="1402" ht="14.25" customHeight="1">
      <c r="A1402" s="49" t="s">
        <v>2525</v>
      </c>
      <c r="B1402" s="49" t="str">
        <f>IFERROR(__xludf.DUMMYFUNCTION("REGEXEXTRACT(A1402,""^cost\.(.*)\.[^.]+\.[^.]+$"")"),"collection.gallery_1@3")</f>
        <v>collection.gallery_1@3</v>
      </c>
      <c r="C1402" s="49" t="str">
        <f t="array" ref="C1402">_xlfn.XLOOKUP(
 B1402,
 tblTargets[TargetID],
 tblTargets[DisplayName],
 ""
)</f>
        <v>Gallery 1 Lv 3</v>
      </c>
      <c r="D1402" s="49" t="str">
        <f t="array" ref="D1402">_xlfn.XLOOKUP(
 B1402,
 tblTargets[TargetID],
 tblTargets[TargetType],
 ""
)</f>
        <v>COLLECTION</v>
      </c>
      <c r="E1402" s="49" t="s">
        <v>1230</v>
      </c>
      <c r="F1402" s="87">
        <f>IFERROR(__xludf.DUMMYFUNCTION("VALUE(REGEXEXTRACT(A1402,""([^.]+)$""))"),1.0)</f>
        <v>1</v>
      </c>
      <c r="G1402" s="49">
        <v>15.0</v>
      </c>
      <c r="H1402" s="26" t="b">
        <f>COUNTIFS(
 tblCostChecklist[RequirementID],A1402,
 tblCostChecklist[PlayerPaid],TRUE
)&gt;0</f>
        <v>0</v>
      </c>
      <c r="I1402" s="49">
        <f t="shared" si="1"/>
        <v>6</v>
      </c>
      <c r="J1402" s="49">
        <f t="shared" si="2"/>
        <v>0</v>
      </c>
      <c r="K1402" s="49">
        <f t="shared" si="3"/>
        <v>6</v>
      </c>
      <c r="L1402" s="49" t="b">
        <f t="shared" si="4"/>
        <v>0</v>
      </c>
      <c r="M1402" s="88">
        <f t="shared" si="5"/>
        <v>0</v>
      </c>
    </row>
    <row r="1403" ht="14.25" customHeight="1">
      <c r="A1403" s="49" t="s">
        <v>2526</v>
      </c>
      <c r="B1403" s="49" t="str">
        <f>IFERROR(__xludf.DUMMYFUNCTION("REGEXEXTRACT(A1403,""^cost\.(.*)\.[^.]+\.[^.]+$"")"),"collection.gallery_1@3")</f>
        <v>collection.gallery_1@3</v>
      </c>
      <c r="C1403" s="49" t="str">
        <f t="array" ref="C1403">_xlfn.XLOOKUP(
 B1403,
 tblTargets[TargetID],
 tblTargets[DisplayName],
 ""
)</f>
        <v>Gallery 1 Lv 3</v>
      </c>
      <c r="D1403" s="49" t="str">
        <f t="array" ref="D1403">_xlfn.XLOOKUP(
 B1403,
 tblTargets[TargetID],
 tblTargets[TargetType],
 ""
)</f>
        <v>COLLECTION</v>
      </c>
      <c r="E1403" s="49" t="s">
        <v>2514</v>
      </c>
      <c r="F1403" s="87">
        <f>IFERROR(__xludf.DUMMYFUNCTION("VALUE(REGEXEXTRACT(A1403,""([^.]+)$""))"),1.0)</f>
        <v>1</v>
      </c>
      <c r="G1403" s="49">
        <v>30.0</v>
      </c>
      <c r="H1403" s="26" t="b">
        <f>COUNTIFS(
 tblCostChecklist[RequirementID],A1403,
 tblCostChecklist[PlayerPaid],TRUE
)&gt;0</f>
        <v>0</v>
      </c>
      <c r="I1403" s="49">
        <f t="shared" si="1"/>
        <v>6</v>
      </c>
      <c r="J1403" s="49">
        <f t="shared" si="2"/>
        <v>0</v>
      </c>
      <c r="K1403" s="49">
        <f t="shared" si="3"/>
        <v>6</v>
      </c>
      <c r="L1403" s="49" t="b">
        <f t="shared" si="4"/>
        <v>0</v>
      </c>
      <c r="M1403" s="88">
        <f t="shared" si="5"/>
        <v>0</v>
      </c>
    </row>
    <row r="1404" ht="14.25" customHeight="1">
      <c r="A1404" s="49" t="s">
        <v>2527</v>
      </c>
      <c r="B1404" s="49" t="str">
        <f>IFERROR(__xludf.DUMMYFUNCTION("REGEXEXTRACT(A1404,""^cost\.(.*)\.[^.]+\.[^.]+$"")"),"collection.gallery_1@3")</f>
        <v>collection.gallery_1@3</v>
      </c>
      <c r="C1404" s="49" t="str">
        <f t="array" ref="C1404">_xlfn.XLOOKUP(
 B1404,
 tblTargets[TargetID],
 tblTargets[DisplayName],
 ""
)</f>
        <v>Gallery 1 Lv 3</v>
      </c>
      <c r="D1404" s="49" t="str">
        <f t="array" ref="D1404">_xlfn.XLOOKUP(
 B1404,
 tblTargets[TargetID],
 tblTargets[TargetType],
 ""
)</f>
        <v>COLLECTION</v>
      </c>
      <c r="E1404" s="49" t="s">
        <v>2304</v>
      </c>
      <c r="F1404" s="87">
        <f>IFERROR(__xludf.DUMMYFUNCTION("VALUE(REGEXEXTRACT(A1404,""([^.]+)$""))"),1.0)</f>
        <v>1</v>
      </c>
      <c r="G1404" s="49">
        <v>30.0</v>
      </c>
      <c r="H1404" s="26" t="b">
        <f>COUNTIFS(
 tblCostChecklist[RequirementID],A1404,
 tblCostChecklist[PlayerPaid],TRUE
)&gt;0</f>
        <v>0</v>
      </c>
      <c r="I1404" s="49">
        <f t="shared" si="1"/>
        <v>6</v>
      </c>
      <c r="J1404" s="49">
        <f t="shared" si="2"/>
        <v>0</v>
      </c>
      <c r="K1404" s="49">
        <f t="shared" si="3"/>
        <v>6</v>
      </c>
      <c r="L1404" s="49" t="b">
        <f t="shared" si="4"/>
        <v>0</v>
      </c>
      <c r="M1404" s="88">
        <f t="shared" si="5"/>
        <v>0</v>
      </c>
    </row>
    <row r="1405" ht="14.25" customHeight="1">
      <c r="A1405" s="49" t="s">
        <v>2528</v>
      </c>
      <c r="B1405" s="49" t="str">
        <f>IFERROR(__xludf.DUMMYFUNCTION("REGEXEXTRACT(A1405,""^cost\.(.*)\.[^.]+\.[^.]+$"")"),"collection.gallery_1@3")</f>
        <v>collection.gallery_1@3</v>
      </c>
      <c r="C1405" s="49" t="str">
        <f t="array" ref="C1405">_xlfn.XLOOKUP(
 B1405,
 tblTargets[TargetID],
 tblTargets[DisplayName],
 ""
)</f>
        <v>Gallery 1 Lv 3</v>
      </c>
      <c r="D1405" s="49" t="str">
        <f t="array" ref="D1405">_xlfn.XLOOKUP(
 B1405,
 tblTargets[TargetID],
 tblTargets[TargetType],
 ""
)</f>
        <v>COLLECTION</v>
      </c>
      <c r="E1405" s="49" t="s">
        <v>126</v>
      </c>
      <c r="F1405" s="87">
        <f>IFERROR(__xludf.DUMMYFUNCTION("VALUE(REGEXEXTRACT(A1405,""([^.]+)$""))"),1.0)</f>
        <v>1</v>
      </c>
      <c r="G1405" s="49">
        <v>45.0</v>
      </c>
      <c r="H1405" s="26" t="b">
        <f>COUNTIFS(
 tblCostChecklist[RequirementID],A1405,
 tblCostChecklist[PlayerPaid],TRUE
)&gt;0</f>
        <v>0</v>
      </c>
      <c r="I1405" s="49">
        <f t="shared" si="1"/>
        <v>6</v>
      </c>
      <c r="J1405" s="49">
        <f t="shared" si="2"/>
        <v>0</v>
      </c>
      <c r="K1405" s="49">
        <f t="shared" si="3"/>
        <v>6</v>
      </c>
      <c r="L1405" s="49" t="b">
        <f t="shared" si="4"/>
        <v>0</v>
      </c>
      <c r="M1405" s="88">
        <f t="shared" si="5"/>
        <v>0</v>
      </c>
    </row>
    <row r="1406" ht="14.25" customHeight="1">
      <c r="A1406" s="49" t="s">
        <v>2529</v>
      </c>
      <c r="B1406" s="49" t="str">
        <f>IFERROR(__xludf.DUMMYFUNCTION("REGEXEXTRACT(A1406,""^cost\.(.*)\.[^.]+\.[^.]+$"")"),"collection.gallery_1@3")</f>
        <v>collection.gallery_1@3</v>
      </c>
      <c r="C1406" s="49" t="str">
        <f t="array" ref="C1406">_xlfn.XLOOKUP(
 B1406,
 tblTargets[TargetID],
 tblTargets[DisplayName],
 ""
)</f>
        <v>Gallery 1 Lv 3</v>
      </c>
      <c r="D1406" s="49" t="str">
        <f t="array" ref="D1406">_xlfn.XLOOKUP(
 B1406,
 tblTargets[TargetID],
 tblTargets[TargetType],
 ""
)</f>
        <v>COLLECTION</v>
      </c>
      <c r="E1406" s="49" t="s">
        <v>140</v>
      </c>
      <c r="F1406" s="87">
        <f>IFERROR(__xludf.DUMMYFUNCTION("VALUE(REGEXEXTRACT(A1406,""([^.]+)$""))"),1.0)</f>
        <v>1</v>
      </c>
      <c r="G1406" s="49">
        <v>45.0</v>
      </c>
      <c r="H1406" s="26" t="b">
        <f>COUNTIFS(
 tblCostChecklist[RequirementID],A1406,
 tblCostChecklist[PlayerPaid],TRUE
)&gt;0</f>
        <v>0</v>
      </c>
      <c r="I1406" s="49">
        <f t="shared" si="1"/>
        <v>6</v>
      </c>
      <c r="J1406" s="49">
        <f t="shared" si="2"/>
        <v>0</v>
      </c>
      <c r="K1406" s="49">
        <f t="shared" si="3"/>
        <v>6</v>
      </c>
      <c r="L1406" s="49" t="b">
        <f t="shared" si="4"/>
        <v>0</v>
      </c>
      <c r="M1406" s="88">
        <f t="shared" si="5"/>
        <v>0</v>
      </c>
    </row>
    <row r="1407" ht="14.25" customHeight="1">
      <c r="A1407" s="49" t="s">
        <v>2530</v>
      </c>
      <c r="B1407" s="49" t="str">
        <f>IFERROR(__xludf.DUMMYFUNCTION("REGEXEXTRACT(A1407,""^cost\.(.*)\.[^.]+\.[^.]+$"")"),"collection.gallery_1@3")</f>
        <v>collection.gallery_1@3</v>
      </c>
      <c r="C1407" s="49" t="str">
        <f t="array" ref="C1407">_xlfn.XLOOKUP(
 B1407,
 tblTargets[TargetID],
 tblTargets[DisplayName],
 ""
)</f>
        <v>Gallery 1 Lv 3</v>
      </c>
      <c r="D1407" s="49" t="str">
        <f t="array" ref="D1407">_xlfn.XLOOKUP(
 B1407,
 tblTargets[TargetID],
 tblTargets[TargetType],
 ""
)</f>
        <v>COLLECTION</v>
      </c>
      <c r="E1407" s="49" t="s">
        <v>1489</v>
      </c>
      <c r="F1407" s="87">
        <f>IFERROR(__xludf.DUMMYFUNCTION("VALUE(REGEXEXTRACT(A1407,""([^.]+)$""))"),1.0)</f>
        <v>1</v>
      </c>
      <c r="G1407" s="49">
        <v>15.0</v>
      </c>
      <c r="H1407" s="26" t="b">
        <f>COUNTIFS(
 tblCostChecklist[RequirementID],A1407,
 tblCostChecklist[PlayerPaid],TRUE
)&gt;0</f>
        <v>0</v>
      </c>
      <c r="I1407" s="49">
        <f t="shared" si="1"/>
        <v>6</v>
      </c>
      <c r="J1407" s="49">
        <f t="shared" si="2"/>
        <v>0</v>
      </c>
      <c r="K1407" s="49">
        <f t="shared" si="3"/>
        <v>6</v>
      </c>
      <c r="L1407" s="49" t="b">
        <f t="shared" si="4"/>
        <v>0</v>
      </c>
      <c r="M1407" s="88">
        <f t="shared" si="5"/>
        <v>0</v>
      </c>
    </row>
    <row r="1408" ht="14.25" customHeight="1">
      <c r="A1408" s="49" t="s">
        <v>2531</v>
      </c>
      <c r="B1408" s="49" t="str">
        <f>IFERROR(__xludf.DUMMYFUNCTION("REGEXEXTRACT(A1408,""^cost\.(.*)\.[^.]+\.[^.]+$"")"),"collection.gallery_1@4")</f>
        <v>collection.gallery_1@4</v>
      </c>
      <c r="C1408" s="49" t="str">
        <f t="array" ref="C1408">_xlfn.XLOOKUP(
 B1408,
 tblTargets[TargetID],
 tblTargets[DisplayName],
 ""
)</f>
        <v>Gallery 1 Lv 4</v>
      </c>
      <c r="D1408" s="49" t="str">
        <f t="array" ref="D1408">_xlfn.XLOOKUP(
 B1408,
 tblTargets[TargetID],
 tblTargets[TargetType],
 ""
)</f>
        <v>COLLECTION</v>
      </c>
      <c r="E1408" s="49" t="s">
        <v>1230</v>
      </c>
      <c r="F1408" s="87">
        <f>IFERROR(__xludf.DUMMYFUNCTION("VALUE(REGEXEXTRACT(A1408,""([^.]+)$""))"),1.0)</f>
        <v>1</v>
      </c>
      <c r="G1408" s="49">
        <v>20.0</v>
      </c>
      <c r="H1408" s="26" t="b">
        <f>COUNTIFS(
 tblCostChecklist[RequirementID],A1408,
 tblCostChecklist[PlayerPaid],TRUE
)&gt;0</f>
        <v>0</v>
      </c>
      <c r="I1408" s="49">
        <f t="shared" si="1"/>
        <v>6</v>
      </c>
      <c r="J1408" s="49">
        <f t="shared" si="2"/>
        <v>0</v>
      </c>
      <c r="K1408" s="49">
        <f t="shared" si="3"/>
        <v>6</v>
      </c>
      <c r="L1408" s="49" t="b">
        <f t="shared" si="4"/>
        <v>0</v>
      </c>
      <c r="M1408" s="88">
        <f t="shared" si="5"/>
        <v>0</v>
      </c>
    </row>
    <row r="1409" ht="14.25" customHeight="1">
      <c r="A1409" s="49" t="s">
        <v>2532</v>
      </c>
      <c r="B1409" s="49" t="str">
        <f>IFERROR(__xludf.DUMMYFUNCTION("REGEXEXTRACT(A1409,""^cost\.(.*)\.[^.]+\.[^.]+$"")"),"collection.gallery_1@4")</f>
        <v>collection.gallery_1@4</v>
      </c>
      <c r="C1409" s="49" t="str">
        <f t="array" ref="C1409">_xlfn.XLOOKUP(
 B1409,
 tblTargets[TargetID],
 tblTargets[DisplayName],
 ""
)</f>
        <v>Gallery 1 Lv 4</v>
      </c>
      <c r="D1409" s="49" t="str">
        <f t="array" ref="D1409">_xlfn.XLOOKUP(
 B1409,
 tblTargets[TargetID],
 tblTargets[TargetType],
 ""
)</f>
        <v>COLLECTION</v>
      </c>
      <c r="E1409" s="49" t="s">
        <v>2514</v>
      </c>
      <c r="F1409" s="87">
        <f>IFERROR(__xludf.DUMMYFUNCTION("VALUE(REGEXEXTRACT(A1409,""([^.]+)$""))"),1.0)</f>
        <v>1</v>
      </c>
      <c r="G1409" s="49">
        <v>40.0</v>
      </c>
      <c r="H1409" s="26" t="b">
        <f>COUNTIFS(
 tblCostChecklist[RequirementID],A1409,
 tblCostChecklist[PlayerPaid],TRUE
)&gt;0</f>
        <v>0</v>
      </c>
      <c r="I1409" s="49">
        <f t="shared" si="1"/>
        <v>6</v>
      </c>
      <c r="J1409" s="49">
        <f t="shared" si="2"/>
        <v>0</v>
      </c>
      <c r="K1409" s="49">
        <f t="shared" si="3"/>
        <v>6</v>
      </c>
      <c r="L1409" s="49" t="b">
        <f t="shared" si="4"/>
        <v>0</v>
      </c>
      <c r="M1409" s="88">
        <f t="shared" si="5"/>
        <v>0</v>
      </c>
    </row>
    <row r="1410" ht="14.25" customHeight="1">
      <c r="A1410" s="49" t="s">
        <v>2533</v>
      </c>
      <c r="B1410" s="49" t="str">
        <f>IFERROR(__xludf.DUMMYFUNCTION("REGEXEXTRACT(A1410,""^cost\.(.*)\.[^.]+\.[^.]+$"")"),"collection.gallery_1@4")</f>
        <v>collection.gallery_1@4</v>
      </c>
      <c r="C1410" s="49" t="str">
        <f t="array" ref="C1410">_xlfn.XLOOKUP(
 B1410,
 tblTargets[TargetID],
 tblTargets[DisplayName],
 ""
)</f>
        <v>Gallery 1 Lv 4</v>
      </c>
      <c r="D1410" s="49" t="str">
        <f t="array" ref="D1410">_xlfn.XLOOKUP(
 B1410,
 tblTargets[TargetID],
 tblTargets[TargetType],
 ""
)</f>
        <v>COLLECTION</v>
      </c>
      <c r="E1410" s="49" t="s">
        <v>2304</v>
      </c>
      <c r="F1410" s="87">
        <f>IFERROR(__xludf.DUMMYFUNCTION("VALUE(REGEXEXTRACT(A1410,""([^.]+)$""))"),1.0)</f>
        <v>1</v>
      </c>
      <c r="G1410" s="49">
        <v>40.0</v>
      </c>
      <c r="H1410" s="26" t="b">
        <f>COUNTIFS(
 tblCostChecklist[RequirementID],A1410,
 tblCostChecklist[PlayerPaid],TRUE
)&gt;0</f>
        <v>0</v>
      </c>
      <c r="I1410" s="49">
        <f t="shared" si="1"/>
        <v>6</v>
      </c>
      <c r="J1410" s="49">
        <f t="shared" si="2"/>
        <v>0</v>
      </c>
      <c r="K1410" s="49">
        <f t="shared" si="3"/>
        <v>6</v>
      </c>
      <c r="L1410" s="49" t="b">
        <f t="shared" si="4"/>
        <v>0</v>
      </c>
      <c r="M1410" s="88">
        <f t="shared" si="5"/>
        <v>0</v>
      </c>
    </row>
    <row r="1411" ht="14.25" customHeight="1">
      <c r="A1411" s="49" t="s">
        <v>2534</v>
      </c>
      <c r="B1411" s="49" t="str">
        <f>IFERROR(__xludf.DUMMYFUNCTION("REGEXEXTRACT(A1411,""^cost\.(.*)\.[^.]+\.[^.]+$"")"),"collection.gallery_1@4")</f>
        <v>collection.gallery_1@4</v>
      </c>
      <c r="C1411" s="49" t="str">
        <f t="array" ref="C1411">_xlfn.XLOOKUP(
 B1411,
 tblTargets[TargetID],
 tblTargets[DisplayName],
 ""
)</f>
        <v>Gallery 1 Lv 4</v>
      </c>
      <c r="D1411" s="49" t="str">
        <f t="array" ref="D1411">_xlfn.XLOOKUP(
 B1411,
 tblTargets[TargetID],
 tblTargets[TargetType],
 ""
)</f>
        <v>COLLECTION</v>
      </c>
      <c r="E1411" s="49" t="s">
        <v>126</v>
      </c>
      <c r="F1411" s="87">
        <f>IFERROR(__xludf.DUMMYFUNCTION("VALUE(REGEXEXTRACT(A1411,""([^.]+)$""))"),1.0)</f>
        <v>1</v>
      </c>
      <c r="G1411" s="49">
        <v>60.0</v>
      </c>
      <c r="H1411" s="26" t="b">
        <f>COUNTIFS(
 tblCostChecklist[RequirementID],A1411,
 tblCostChecklist[PlayerPaid],TRUE
)&gt;0</f>
        <v>0</v>
      </c>
      <c r="I1411" s="49">
        <f t="shared" si="1"/>
        <v>6</v>
      </c>
      <c r="J1411" s="49">
        <f t="shared" si="2"/>
        <v>0</v>
      </c>
      <c r="K1411" s="49">
        <f t="shared" si="3"/>
        <v>6</v>
      </c>
      <c r="L1411" s="49" t="b">
        <f t="shared" si="4"/>
        <v>0</v>
      </c>
      <c r="M1411" s="88">
        <f t="shared" si="5"/>
        <v>0</v>
      </c>
    </row>
    <row r="1412" ht="14.25" customHeight="1">
      <c r="A1412" s="49" t="s">
        <v>2535</v>
      </c>
      <c r="B1412" s="49" t="str">
        <f>IFERROR(__xludf.DUMMYFUNCTION("REGEXEXTRACT(A1412,""^cost\.(.*)\.[^.]+\.[^.]+$"")"),"collection.gallery_1@4")</f>
        <v>collection.gallery_1@4</v>
      </c>
      <c r="C1412" s="49" t="str">
        <f t="array" ref="C1412">_xlfn.XLOOKUP(
 B1412,
 tblTargets[TargetID],
 tblTargets[DisplayName],
 ""
)</f>
        <v>Gallery 1 Lv 4</v>
      </c>
      <c r="D1412" s="49" t="str">
        <f t="array" ref="D1412">_xlfn.XLOOKUP(
 B1412,
 tblTargets[TargetID],
 tblTargets[TargetType],
 ""
)</f>
        <v>COLLECTION</v>
      </c>
      <c r="E1412" s="49" t="s">
        <v>140</v>
      </c>
      <c r="F1412" s="87">
        <f>IFERROR(__xludf.DUMMYFUNCTION("VALUE(REGEXEXTRACT(A1412,""([^.]+)$""))"),1.0)</f>
        <v>1</v>
      </c>
      <c r="G1412" s="49">
        <v>60.0</v>
      </c>
      <c r="H1412" s="26" t="b">
        <f>COUNTIFS(
 tblCostChecklist[RequirementID],A1412,
 tblCostChecklist[PlayerPaid],TRUE
)&gt;0</f>
        <v>0</v>
      </c>
      <c r="I1412" s="49">
        <f t="shared" si="1"/>
        <v>6</v>
      </c>
      <c r="J1412" s="49">
        <f t="shared" si="2"/>
        <v>0</v>
      </c>
      <c r="K1412" s="49">
        <f t="shared" si="3"/>
        <v>6</v>
      </c>
      <c r="L1412" s="49" t="b">
        <f t="shared" si="4"/>
        <v>0</v>
      </c>
      <c r="M1412" s="88">
        <f t="shared" si="5"/>
        <v>0</v>
      </c>
    </row>
    <row r="1413" ht="14.25" customHeight="1">
      <c r="A1413" s="49" t="s">
        <v>2536</v>
      </c>
      <c r="B1413" s="49" t="str">
        <f>IFERROR(__xludf.DUMMYFUNCTION("REGEXEXTRACT(A1413,""^cost\.(.*)\.[^.]+\.[^.]+$"")"),"collection.gallery_1@4")</f>
        <v>collection.gallery_1@4</v>
      </c>
      <c r="C1413" s="49" t="str">
        <f t="array" ref="C1413">_xlfn.XLOOKUP(
 B1413,
 tblTargets[TargetID],
 tblTargets[DisplayName],
 ""
)</f>
        <v>Gallery 1 Lv 4</v>
      </c>
      <c r="D1413" s="49" t="str">
        <f t="array" ref="D1413">_xlfn.XLOOKUP(
 B1413,
 tblTargets[TargetID],
 tblTargets[TargetType],
 ""
)</f>
        <v>COLLECTION</v>
      </c>
      <c r="E1413" s="49" t="s">
        <v>1489</v>
      </c>
      <c r="F1413" s="87">
        <f>IFERROR(__xludf.DUMMYFUNCTION("VALUE(REGEXEXTRACT(A1413,""([^.]+)$""))"),1.0)</f>
        <v>1</v>
      </c>
      <c r="G1413" s="49">
        <v>20.0</v>
      </c>
      <c r="H1413" s="26" t="b">
        <f>COUNTIFS(
 tblCostChecklist[RequirementID],A1413,
 tblCostChecklist[PlayerPaid],TRUE
)&gt;0</f>
        <v>0</v>
      </c>
      <c r="I1413" s="49">
        <f t="shared" si="1"/>
        <v>6</v>
      </c>
      <c r="J1413" s="49">
        <f t="shared" si="2"/>
        <v>0</v>
      </c>
      <c r="K1413" s="49">
        <f t="shared" si="3"/>
        <v>6</v>
      </c>
      <c r="L1413" s="49" t="b">
        <f t="shared" si="4"/>
        <v>0</v>
      </c>
      <c r="M1413" s="88">
        <f t="shared" si="5"/>
        <v>0</v>
      </c>
    </row>
    <row r="1414" ht="14.25" customHeight="1">
      <c r="A1414" s="49" t="s">
        <v>2537</v>
      </c>
      <c r="B1414" s="49" t="str">
        <f>IFERROR(__xludf.DUMMYFUNCTION("REGEXEXTRACT(A1414,""^cost\.(.*)\.[^.]+\.[^.]+$"")"),"collection.gallery_1@5")</f>
        <v>collection.gallery_1@5</v>
      </c>
      <c r="C1414" s="49" t="str">
        <f t="array" ref="C1414">_xlfn.XLOOKUP(
 B1414,
 tblTargets[TargetID],
 tblTargets[DisplayName],
 ""
)</f>
        <v>Gallery 1 Lv 5</v>
      </c>
      <c r="D1414" s="49" t="str">
        <f t="array" ref="D1414">_xlfn.XLOOKUP(
 B1414,
 tblTargets[TargetID],
 tblTargets[TargetType],
 ""
)</f>
        <v>COLLECTION</v>
      </c>
      <c r="E1414" s="49" t="s">
        <v>1230</v>
      </c>
      <c r="F1414" s="87">
        <f>IFERROR(__xludf.DUMMYFUNCTION("VALUE(REGEXEXTRACT(A1414,""([^.]+)$""))"),1.0)</f>
        <v>1</v>
      </c>
      <c r="G1414" s="49">
        <v>25.0</v>
      </c>
      <c r="H1414" s="26" t="b">
        <f>COUNTIFS(
 tblCostChecklist[RequirementID],A1414,
 tblCostChecklist[PlayerPaid],TRUE
)&gt;0</f>
        <v>0</v>
      </c>
      <c r="I1414" s="49">
        <f t="shared" si="1"/>
        <v>6</v>
      </c>
      <c r="J1414" s="49">
        <f t="shared" si="2"/>
        <v>0</v>
      </c>
      <c r="K1414" s="49">
        <f t="shared" si="3"/>
        <v>6</v>
      </c>
      <c r="L1414" s="49" t="b">
        <f t="shared" si="4"/>
        <v>0</v>
      </c>
      <c r="M1414" s="88">
        <f t="shared" si="5"/>
        <v>0</v>
      </c>
    </row>
    <row r="1415" ht="14.25" customHeight="1">
      <c r="A1415" s="49" t="s">
        <v>2538</v>
      </c>
      <c r="B1415" s="49" t="str">
        <f>IFERROR(__xludf.DUMMYFUNCTION("REGEXEXTRACT(A1415,""^cost\.(.*)\.[^.]+\.[^.]+$"")"),"collection.gallery_1@5")</f>
        <v>collection.gallery_1@5</v>
      </c>
      <c r="C1415" s="49" t="str">
        <f t="array" ref="C1415">_xlfn.XLOOKUP(
 B1415,
 tblTargets[TargetID],
 tblTargets[DisplayName],
 ""
)</f>
        <v>Gallery 1 Lv 5</v>
      </c>
      <c r="D1415" s="49" t="str">
        <f t="array" ref="D1415">_xlfn.XLOOKUP(
 B1415,
 tblTargets[TargetID],
 tblTargets[TargetType],
 ""
)</f>
        <v>COLLECTION</v>
      </c>
      <c r="E1415" s="49" t="s">
        <v>2514</v>
      </c>
      <c r="F1415" s="87">
        <f>IFERROR(__xludf.DUMMYFUNCTION("VALUE(REGEXEXTRACT(A1415,""([^.]+)$""))"),1.0)</f>
        <v>1</v>
      </c>
      <c r="G1415" s="49">
        <v>50.0</v>
      </c>
      <c r="H1415" s="26" t="b">
        <f>COUNTIFS(
 tblCostChecklist[RequirementID],A1415,
 tblCostChecklist[PlayerPaid],TRUE
)&gt;0</f>
        <v>0</v>
      </c>
      <c r="I1415" s="49">
        <f t="shared" si="1"/>
        <v>6</v>
      </c>
      <c r="J1415" s="49">
        <f t="shared" si="2"/>
        <v>0</v>
      </c>
      <c r="K1415" s="49">
        <f t="shared" si="3"/>
        <v>6</v>
      </c>
      <c r="L1415" s="49" t="b">
        <f t="shared" si="4"/>
        <v>0</v>
      </c>
      <c r="M1415" s="88">
        <f t="shared" si="5"/>
        <v>0</v>
      </c>
    </row>
    <row r="1416" ht="14.25" customHeight="1">
      <c r="A1416" s="49" t="s">
        <v>2539</v>
      </c>
      <c r="B1416" s="49" t="str">
        <f>IFERROR(__xludf.DUMMYFUNCTION("REGEXEXTRACT(A1416,""^cost\.(.*)\.[^.]+\.[^.]+$"")"),"collection.gallery_1@5")</f>
        <v>collection.gallery_1@5</v>
      </c>
      <c r="C1416" s="49" t="str">
        <f t="array" ref="C1416">_xlfn.XLOOKUP(
 B1416,
 tblTargets[TargetID],
 tblTargets[DisplayName],
 ""
)</f>
        <v>Gallery 1 Lv 5</v>
      </c>
      <c r="D1416" s="49" t="str">
        <f t="array" ref="D1416">_xlfn.XLOOKUP(
 B1416,
 tblTargets[TargetID],
 tblTargets[TargetType],
 ""
)</f>
        <v>COLLECTION</v>
      </c>
      <c r="E1416" s="49" t="s">
        <v>2304</v>
      </c>
      <c r="F1416" s="87">
        <f>IFERROR(__xludf.DUMMYFUNCTION("VALUE(REGEXEXTRACT(A1416,""([^.]+)$""))"),1.0)</f>
        <v>1</v>
      </c>
      <c r="G1416" s="49">
        <v>50.0</v>
      </c>
      <c r="H1416" s="26" t="b">
        <f>COUNTIFS(
 tblCostChecklist[RequirementID],A1416,
 tblCostChecklist[PlayerPaid],TRUE
)&gt;0</f>
        <v>0</v>
      </c>
      <c r="I1416" s="49">
        <f t="shared" si="1"/>
        <v>6</v>
      </c>
      <c r="J1416" s="49">
        <f t="shared" si="2"/>
        <v>0</v>
      </c>
      <c r="K1416" s="49">
        <f t="shared" si="3"/>
        <v>6</v>
      </c>
      <c r="L1416" s="49" t="b">
        <f t="shared" si="4"/>
        <v>0</v>
      </c>
      <c r="M1416" s="88">
        <f t="shared" si="5"/>
        <v>0</v>
      </c>
    </row>
    <row r="1417" ht="14.25" customHeight="1">
      <c r="A1417" s="49" t="s">
        <v>2540</v>
      </c>
      <c r="B1417" s="49" t="str">
        <f>IFERROR(__xludf.DUMMYFUNCTION("REGEXEXTRACT(A1417,""^cost\.(.*)\.[^.]+\.[^.]+$"")"),"collection.gallery_1@5")</f>
        <v>collection.gallery_1@5</v>
      </c>
      <c r="C1417" s="49" t="str">
        <f t="array" ref="C1417">_xlfn.XLOOKUP(
 B1417,
 tblTargets[TargetID],
 tblTargets[DisplayName],
 ""
)</f>
        <v>Gallery 1 Lv 5</v>
      </c>
      <c r="D1417" s="49" t="str">
        <f t="array" ref="D1417">_xlfn.XLOOKUP(
 B1417,
 tblTargets[TargetID],
 tblTargets[TargetType],
 ""
)</f>
        <v>COLLECTION</v>
      </c>
      <c r="E1417" s="49" t="s">
        <v>126</v>
      </c>
      <c r="F1417" s="87">
        <f>IFERROR(__xludf.DUMMYFUNCTION("VALUE(REGEXEXTRACT(A1417,""([^.]+)$""))"),1.0)</f>
        <v>1</v>
      </c>
      <c r="G1417" s="49">
        <v>75.0</v>
      </c>
      <c r="H1417" s="26" t="b">
        <f>COUNTIFS(
 tblCostChecklist[RequirementID],A1417,
 tblCostChecklist[PlayerPaid],TRUE
)&gt;0</f>
        <v>0</v>
      </c>
      <c r="I1417" s="49">
        <f t="shared" si="1"/>
        <v>6</v>
      </c>
      <c r="J1417" s="49">
        <f t="shared" si="2"/>
        <v>0</v>
      </c>
      <c r="K1417" s="49">
        <f t="shared" si="3"/>
        <v>6</v>
      </c>
      <c r="L1417" s="49" t="b">
        <f t="shared" si="4"/>
        <v>0</v>
      </c>
      <c r="M1417" s="88">
        <f t="shared" si="5"/>
        <v>0</v>
      </c>
    </row>
    <row r="1418" ht="14.25" customHeight="1">
      <c r="A1418" s="49" t="s">
        <v>2541</v>
      </c>
      <c r="B1418" s="49" t="str">
        <f>IFERROR(__xludf.DUMMYFUNCTION("REGEXEXTRACT(A1418,""^cost\.(.*)\.[^.]+\.[^.]+$"")"),"collection.gallery_1@5")</f>
        <v>collection.gallery_1@5</v>
      </c>
      <c r="C1418" s="49" t="str">
        <f t="array" ref="C1418">_xlfn.XLOOKUP(
 B1418,
 tblTargets[TargetID],
 tblTargets[DisplayName],
 ""
)</f>
        <v>Gallery 1 Lv 5</v>
      </c>
      <c r="D1418" s="49" t="str">
        <f t="array" ref="D1418">_xlfn.XLOOKUP(
 B1418,
 tblTargets[TargetID],
 tblTargets[TargetType],
 ""
)</f>
        <v>COLLECTION</v>
      </c>
      <c r="E1418" s="49" t="s">
        <v>140</v>
      </c>
      <c r="F1418" s="87">
        <f>IFERROR(__xludf.DUMMYFUNCTION("VALUE(REGEXEXTRACT(A1418,""([^.]+)$""))"),1.0)</f>
        <v>1</v>
      </c>
      <c r="G1418" s="49">
        <v>75.0</v>
      </c>
      <c r="H1418" s="26" t="b">
        <f>COUNTIFS(
 tblCostChecklist[RequirementID],A1418,
 tblCostChecklist[PlayerPaid],TRUE
)&gt;0</f>
        <v>0</v>
      </c>
      <c r="I1418" s="49">
        <f t="shared" si="1"/>
        <v>6</v>
      </c>
      <c r="J1418" s="49">
        <f t="shared" si="2"/>
        <v>0</v>
      </c>
      <c r="K1418" s="49">
        <f t="shared" si="3"/>
        <v>6</v>
      </c>
      <c r="L1418" s="49" t="b">
        <f t="shared" si="4"/>
        <v>0</v>
      </c>
      <c r="M1418" s="88">
        <f t="shared" si="5"/>
        <v>0</v>
      </c>
    </row>
    <row r="1419" ht="14.25" customHeight="1">
      <c r="A1419" s="49" t="s">
        <v>2542</v>
      </c>
      <c r="B1419" s="49" t="str">
        <f>IFERROR(__xludf.DUMMYFUNCTION("REGEXEXTRACT(A1419,""^cost\.(.*)\.[^.]+\.[^.]+$"")"),"collection.gallery_1@5")</f>
        <v>collection.gallery_1@5</v>
      </c>
      <c r="C1419" s="49" t="str">
        <f t="array" ref="C1419">_xlfn.XLOOKUP(
 B1419,
 tblTargets[TargetID],
 tblTargets[DisplayName],
 ""
)</f>
        <v>Gallery 1 Lv 5</v>
      </c>
      <c r="D1419" s="49" t="str">
        <f t="array" ref="D1419">_xlfn.XLOOKUP(
 B1419,
 tblTargets[TargetID],
 tblTargets[TargetType],
 ""
)</f>
        <v>COLLECTION</v>
      </c>
      <c r="E1419" s="49" t="s">
        <v>1489</v>
      </c>
      <c r="F1419" s="87">
        <f>IFERROR(__xludf.DUMMYFUNCTION("VALUE(REGEXEXTRACT(A1419,""([^.]+)$""))"),1.0)</f>
        <v>1</v>
      </c>
      <c r="G1419" s="49">
        <v>25.0</v>
      </c>
      <c r="H1419" s="26" t="b">
        <f>COUNTIFS(
 tblCostChecklist[RequirementID],A1419,
 tblCostChecklist[PlayerPaid],TRUE
)&gt;0</f>
        <v>0</v>
      </c>
      <c r="I1419" s="49">
        <f t="shared" si="1"/>
        <v>6</v>
      </c>
      <c r="J1419" s="49">
        <f t="shared" si="2"/>
        <v>0</v>
      </c>
      <c r="K1419" s="49">
        <f t="shared" si="3"/>
        <v>6</v>
      </c>
      <c r="L1419" s="49" t="b">
        <f t="shared" si="4"/>
        <v>0</v>
      </c>
      <c r="M1419" s="88">
        <f t="shared" si="5"/>
        <v>0</v>
      </c>
    </row>
    <row r="1420" ht="14.25" customHeight="1">
      <c r="A1420" s="49" t="s">
        <v>2543</v>
      </c>
      <c r="B1420" s="49" t="str">
        <f>IFERROR(__xludf.DUMMYFUNCTION("REGEXEXTRACT(A1420,""^cost\.(.*)\.[^.]+\.[^.]+$"")"),"collection.gallery_2@1")</f>
        <v>collection.gallery_2@1</v>
      </c>
      <c r="C1420" s="49" t="str">
        <f t="array" ref="C1420">_xlfn.XLOOKUP(
 B1420,
 tblTargets[TargetID],
 tblTargets[DisplayName],
 ""
)</f>
        <v>Gallery 2 Lv 1</v>
      </c>
      <c r="D1420" s="49" t="str">
        <f t="array" ref="D1420">_xlfn.XLOOKUP(
 B1420,
 tblTargets[TargetID],
 tblTargets[TargetType],
 ""
)</f>
        <v>COLLECTION</v>
      </c>
      <c r="E1420" s="49" t="s">
        <v>2302</v>
      </c>
      <c r="F1420" s="87">
        <f>IFERROR(__xludf.DUMMYFUNCTION("VALUE(REGEXEXTRACT(A1420,""([^.]+)$""))"),1.0)</f>
        <v>1</v>
      </c>
      <c r="G1420" s="49">
        <v>3.0</v>
      </c>
      <c r="H1420" s="26" t="b">
        <f>COUNTIFS(
 tblCostChecklist[RequirementID],A1420,
 tblCostChecklist[PlayerPaid],TRUE
)&gt;0</f>
        <v>0</v>
      </c>
      <c r="I1420" s="49">
        <f t="shared" si="1"/>
        <v>3</v>
      </c>
      <c r="J1420" s="49">
        <f t="shared" si="2"/>
        <v>0</v>
      </c>
      <c r="K1420" s="49">
        <f t="shared" si="3"/>
        <v>3</v>
      </c>
      <c r="L1420" s="49" t="b">
        <f t="shared" si="4"/>
        <v>0</v>
      </c>
      <c r="M1420" s="88">
        <f t="shared" si="5"/>
        <v>0</v>
      </c>
    </row>
    <row r="1421" ht="14.25" customHeight="1">
      <c r="A1421" s="49" t="s">
        <v>2544</v>
      </c>
      <c r="B1421" s="49" t="str">
        <f>IFERROR(__xludf.DUMMYFUNCTION("REGEXEXTRACT(A1421,""^cost\.(.*)\.[^.]+\.[^.]+$"")"),"collection.gallery_2@1")</f>
        <v>collection.gallery_2@1</v>
      </c>
      <c r="C1421" s="49" t="str">
        <f t="array" ref="C1421">_xlfn.XLOOKUP(
 B1421,
 tblTargets[TargetID],
 tblTargets[DisplayName],
 ""
)</f>
        <v>Gallery 2 Lv 1</v>
      </c>
      <c r="D1421" s="49" t="str">
        <f t="array" ref="D1421">_xlfn.XLOOKUP(
 B1421,
 tblTargets[TargetID],
 tblTargets[TargetType],
 ""
)</f>
        <v>COLLECTION</v>
      </c>
      <c r="E1421" s="49" t="s">
        <v>2545</v>
      </c>
      <c r="F1421" s="87">
        <f>IFERROR(__xludf.DUMMYFUNCTION("VALUE(REGEXEXTRACT(A1421,""([^.]+)$""))"),1.0)</f>
        <v>1</v>
      </c>
      <c r="G1421" s="49">
        <v>1.0</v>
      </c>
      <c r="H1421" s="26" t="b">
        <f>COUNTIFS(
 tblCostChecklist[RequirementID],A1421,
 tblCostChecklist[PlayerPaid],TRUE
)&gt;0</f>
        <v>0</v>
      </c>
      <c r="I1421" s="49">
        <f t="shared" si="1"/>
        <v>3</v>
      </c>
      <c r="J1421" s="49">
        <f t="shared" si="2"/>
        <v>0</v>
      </c>
      <c r="K1421" s="49">
        <f t="shared" si="3"/>
        <v>3</v>
      </c>
      <c r="L1421" s="49" t="b">
        <f t="shared" si="4"/>
        <v>0</v>
      </c>
      <c r="M1421" s="88">
        <f t="shared" si="5"/>
        <v>0</v>
      </c>
    </row>
    <row r="1422" ht="14.25" customHeight="1">
      <c r="A1422" s="49" t="s">
        <v>2546</v>
      </c>
      <c r="B1422" s="49" t="str">
        <f>IFERROR(__xludf.DUMMYFUNCTION("REGEXEXTRACT(A1422,""^cost\.(.*)\.[^.]+\.[^.]+$"")"),"collection.gallery_2@1")</f>
        <v>collection.gallery_2@1</v>
      </c>
      <c r="C1422" s="49" t="str">
        <f t="array" ref="C1422">_xlfn.XLOOKUP(
 B1422,
 tblTargets[TargetID],
 tblTargets[DisplayName],
 ""
)</f>
        <v>Gallery 2 Lv 1</v>
      </c>
      <c r="D1422" s="49" t="str">
        <f t="array" ref="D1422">_xlfn.XLOOKUP(
 B1422,
 tblTargets[TargetID],
 tblTargets[TargetType],
 ""
)</f>
        <v>COLLECTION</v>
      </c>
      <c r="E1422" s="49" t="s">
        <v>2461</v>
      </c>
      <c r="F1422" s="87">
        <f>IFERROR(__xludf.DUMMYFUNCTION("VALUE(REGEXEXTRACT(A1422,""([^.]+)$""))"),1.0)</f>
        <v>1</v>
      </c>
      <c r="G1422" s="49">
        <v>3.0</v>
      </c>
      <c r="H1422" s="26" t="b">
        <f>COUNTIFS(
 tblCostChecklist[RequirementID],A1422,
 tblCostChecklist[PlayerPaid],TRUE
)&gt;0</f>
        <v>0</v>
      </c>
      <c r="I1422" s="49">
        <f t="shared" si="1"/>
        <v>3</v>
      </c>
      <c r="J1422" s="49">
        <f t="shared" si="2"/>
        <v>0</v>
      </c>
      <c r="K1422" s="49">
        <f t="shared" si="3"/>
        <v>3</v>
      </c>
      <c r="L1422" s="49" t="b">
        <f t="shared" si="4"/>
        <v>0</v>
      </c>
      <c r="M1422" s="88">
        <f t="shared" si="5"/>
        <v>0</v>
      </c>
    </row>
    <row r="1423" ht="14.25" customHeight="1">
      <c r="A1423" s="49" t="s">
        <v>2547</v>
      </c>
      <c r="B1423" s="49" t="str">
        <f>IFERROR(__xludf.DUMMYFUNCTION("REGEXEXTRACT(A1423,""^cost\.(.*)\.[^.]+\.[^.]+$"")"),"collection.gallery_2@2")</f>
        <v>collection.gallery_2@2</v>
      </c>
      <c r="C1423" s="49" t="str">
        <f t="array" ref="C1423">_xlfn.XLOOKUP(
 B1423,
 tblTargets[TargetID],
 tblTargets[DisplayName],
 ""
)</f>
        <v>Gallery 2 Lv 2</v>
      </c>
      <c r="D1423" s="49" t="str">
        <f t="array" ref="D1423">_xlfn.XLOOKUP(
 B1423,
 tblTargets[TargetID],
 tblTargets[TargetType],
 ""
)</f>
        <v>COLLECTION</v>
      </c>
      <c r="E1423" s="49" t="s">
        <v>2302</v>
      </c>
      <c r="F1423" s="87">
        <f>IFERROR(__xludf.DUMMYFUNCTION("VALUE(REGEXEXTRACT(A1423,""([^.]+)$""))"),1.0)</f>
        <v>1</v>
      </c>
      <c r="G1423" s="49">
        <v>6.0</v>
      </c>
      <c r="H1423" s="26" t="b">
        <f>COUNTIFS(
 tblCostChecklist[RequirementID],A1423,
 tblCostChecklist[PlayerPaid],TRUE
)&gt;0</f>
        <v>0</v>
      </c>
      <c r="I1423" s="49">
        <f t="shared" si="1"/>
        <v>3</v>
      </c>
      <c r="J1423" s="49">
        <f t="shared" si="2"/>
        <v>0</v>
      </c>
      <c r="K1423" s="49">
        <f t="shared" si="3"/>
        <v>3</v>
      </c>
      <c r="L1423" s="49" t="b">
        <f t="shared" si="4"/>
        <v>0</v>
      </c>
      <c r="M1423" s="88">
        <f t="shared" si="5"/>
        <v>0</v>
      </c>
    </row>
    <row r="1424" ht="14.25" customHeight="1">
      <c r="A1424" s="49" t="s">
        <v>2548</v>
      </c>
      <c r="B1424" s="49" t="str">
        <f>IFERROR(__xludf.DUMMYFUNCTION("REGEXEXTRACT(A1424,""^cost\.(.*)\.[^.]+\.[^.]+$"")"),"collection.gallery_2@2")</f>
        <v>collection.gallery_2@2</v>
      </c>
      <c r="C1424" s="49" t="str">
        <f t="array" ref="C1424">_xlfn.XLOOKUP(
 B1424,
 tblTargets[TargetID],
 tblTargets[DisplayName],
 ""
)</f>
        <v>Gallery 2 Lv 2</v>
      </c>
      <c r="D1424" s="49" t="str">
        <f t="array" ref="D1424">_xlfn.XLOOKUP(
 B1424,
 tblTargets[TargetID],
 tblTargets[TargetType],
 ""
)</f>
        <v>COLLECTION</v>
      </c>
      <c r="E1424" s="49" t="s">
        <v>2545</v>
      </c>
      <c r="F1424" s="87">
        <f>IFERROR(__xludf.DUMMYFUNCTION("VALUE(REGEXEXTRACT(A1424,""([^.]+)$""))"),1.0)</f>
        <v>1</v>
      </c>
      <c r="G1424" s="49">
        <v>2.0</v>
      </c>
      <c r="H1424" s="26" t="b">
        <f>COUNTIFS(
 tblCostChecklist[RequirementID],A1424,
 tblCostChecklist[PlayerPaid],TRUE
)&gt;0</f>
        <v>0</v>
      </c>
      <c r="I1424" s="49">
        <f t="shared" si="1"/>
        <v>3</v>
      </c>
      <c r="J1424" s="49">
        <f t="shared" si="2"/>
        <v>0</v>
      </c>
      <c r="K1424" s="49">
        <f t="shared" si="3"/>
        <v>3</v>
      </c>
      <c r="L1424" s="49" t="b">
        <f t="shared" si="4"/>
        <v>0</v>
      </c>
      <c r="M1424" s="88">
        <f t="shared" si="5"/>
        <v>0</v>
      </c>
    </row>
    <row r="1425" ht="14.25" customHeight="1">
      <c r="A1425" s="49" t="s">
        <v>2549</v>
      </c>
      <c r="B1425" s="49" t="str">
        <f>IFERROR(__xludf.DUMMYFUNCTION("REGEXEXTRACT(A1425,""^cost\.(.*)\.[^.]+\.[^.]+$"")"),"collection.gallery_2@2")</f>
        <v>collection.gallery_2@2</v>
      </c>
      <c r="C1425" s="49" t="str">
        <f t="array" ref="C1425">_xlfn.XLOOKUP(
 B1425,
 tblTargets[TargetID],
 tblTargets[DisplayName],
 ""
)</f>
        <v>Gallery 2 Lv 2</v>
      </c>
      <c r="D1425" s="49" t="str">
        <f t="array" ref="D1425">_xlfn.XLOOKUP(
 B1425,
 tblTargets[TargetID],
 tblTargets[TargetType],
 ""
)</f>
        <v>COLLECTION</v>
      </c>
      <c r="E1425" s="49" t="s">
        <v>2461</v>
      </c>
      <c r="F1425" s="87">
        <f>IFERROR(__xludf.DUMMYFUNCTION("VALUE(REGEXEXTRACT(A1425,""([^.]+)$""))"),1.0)</f>
        <v>1</v>
      </c>
      <c r="G1425" s="49">
        <v>6.0</v>
      </c>
      <c r="H1425" s="26" t="b">
        <f>COUNTIFS(
 tblCostChecklist[RequirementID],A1425,
 tblCostChecklist[PlayerPaid],TRUE
)&gt;0</f>
        <v>0</v>
      </c>
      <c r="I1425" s="49">
        <f t="shared" si="1"/>
        <v>3</v>
      </c>
      <c r="J1425" s="49">
        <f t="shared" si="2"/>
        <v>0</v>
      </c>
      <c r="K1425" s="49">
        <f t="shared" si="3"/>
        <v>3</v>
      </c>
      <c r="L1425" s="49" t="b">
        <f t="shared" si="4"/>
        <v>0</v>
      </c>
      <c r="M1425" s="88">
        <f t="shared" si="5"/>
        <v>0</v>
      </c>
    </row>
    <row r="1426" ht="14.25" customHeight="1">
      <c r="A1426" s="49" t="s">
        <v>2550</v>
      </c>
      <c r="B1426" s="49" t="str">
        <f>IFERROR(__xludf.DUMMYFUNCTION("REGEXEXTRACT(A1426,""^cost\.(.*)\.[^.]+\.[^.]+$"")"),"collection.gallery_2@3")</f>
        <v>collection.gallery_2@3</v>
      </c>
      <c r="C1426" s="49" t="str">
        <f t="array" ref="C1426">_xlfn.XLOOKUP(
 B1426,
 tblTargets[TargetID],
 tblTargets[DisplayName],
 ""
)</f>
        <v>Gallery 2 Lv 3</v>
      </c>
      <c r="D1426" s="49" t="str">
        <f t="array" ref="D1426">_xlfn.XLOOKUP(
 B1426,
 tblTargets[TargetID],
 tblTargets[TargetType],
 ""
)</f>
        <v>COLLECTION</v>
      </c>
      <c r="E1426" s="49" t="s">
        <v>2302</v>
      </c>
      <c r="F1426" s="87">
        <f>IFERROR(__xludf.DUMMYFUNCTION("VALUE(REGEXEXTRACT(A1426,""([^.]+)$""))"),1.0)</f>
        <v>1</v>
      </c>
      <c r="G1426" s="49">
        <v>9.0</v>
      </c>
      <c r="H1426" s="26" t="b">
        <f>COUNTIFS(
 tblCostChecklist[RequirementID],A1426,
 tblCostChecklist[PlayerPaid],TRUE
)&gt;0</f>
        <v>0</v>
      </c>
      <c r="I1426" s="49">
        <f t="shared" si="1"/>
        <v>3</v>
      </c>
      <c r="J1426" s="49">
        <f t="shared" si="2"/>
        <v>0</v>
      </c>
      <c r="K1426" s="49">
        <f t="shared" si="3"/>
        <v>3</v>
      </c>
      <c r="L1426" s="49" t="b">
        <f t="shared" si="4"/>
        <v>0</v>
      </c>
      <c r="M1426" s="88">
        <f t="shared" si="5"/>
        <v>0</v>
      </c>
    </row>
    <row r="1427" ht="14.25" customHeight="1">
      <c r="A1427" s="49" t="s">
        <v>2551</v>
      </c>
      <c r="B1427" s="49" t="str">
        <f>IFERROR(__xludf.DUMMYFUNCTION("REGEXEXTRACT(A1427,""^cost\.(.*)\.[^.]+\.[^.]+$"")"),"collection.gallery_2@3")</f>
        <v>collection.gallery_2@3</v>
      </c>
      <c r="C1427" s="49" t="str">
        <f t="array" ref="C1427">_xlfn.XLOOKUP(
 B1427,
 tblTargets[TargetID],
 tblTargets[DisplayName],
 ""
)</f>
        <v>Gallery 2 Lv 3</v>
      </c>
      <c r="D1427" s="49" t="str">
        <f t="array" ref="D1427">_xlfn.XLOOKUP(
 B1427,
 tblTargets[TargetID],
 tblTargets[TargetType],
 ""
)</f>
        <v>COLLECTION</v>
      </c>
      <c r="E1427" s="49" t="s">
        <v>2545</v>
      </c>
      <c r="F1427" s="87">
        <f>IFERROR(__xludf.DUMMYFUNCTION("VALUE(REGEXEXTRACT(A1427,""([^.]+)$""))"),1.0)</f>
        <v>1</v>
      </c>
      <c r="G1427" s="49">
        <v>3.0</v>
      </c>
      <c r="H1427" s="26" t="b">
        <f>COUNTIFS(
 tblCostChecklist[RequirementID],A1427,
 tblCostChecklist[PlayerPaid],TRUE
)&gt;0</f>
        <v>0</v>
      </c>
      <c r="I1427" s="49">
        <f t="shared" si="1"/>
        <v>3</v>
      </c>
      <c r="J1427" s="49">
        <f t="shared" si="2"/>
        <v>0</v>
      </c>
      <c r="K1427" s="49">
        <f t="shared" si="3"/>
        <v>3</v>
      </c>
      <c r="L1427" s="49" t="b">
        <f t="shared" si="4"/>
        <v>0</v>
      </c>
      <c r="M1427" s="88">
        <f t="shared" si="5"/>
        <v>0</v>
      </c>
    </row>
    <row r="1428" ht="14.25" customHeight="1">
      <c r="A1428" s="49" t="s">
        <v>2552</v>
      </c>
      <c r="B1428" s="49" t="str">
        <f>IFERROR(__xludf.DUMMYFUNCTION("REGEXEXTRACT(A1428,""^cost\.(.*)\.[^.]+\.[^.]+$"")"),"collection.gallery_2@3")</f>
        <v>collection.gallery_2@3</v>
      </c>
      <c r="C1428" s="49" t="str">
        <f t="array" ref="C1428">_xlfn.XLOOKUP(
 B1428,
 tblTargets[TargetID],
 tblTargets[DisplayName],
 ""
)</f>
        <v>Gallery 2 Lv 3</v>
      </c>
      <c r="D1428" s="49" t="str">
        <f t="array" ref="D1428">_xlfn.XLOOKUP(
 B1428,
 tblTargets[TargetID],
 tblTargets[TargetType],
 ""
)</f>
        <v>COLLECTION</v>
      </c>
      <c r="E1428" s="49" t="s">
        <v>2461</v>
      </c>
      <c r="F1428" s="87">
        <f>IFERROR(__xludf.DUMMYFUNCTION("VALUE(REGEXEXTRACT(A1428,""([^.]+)$""))"),1.0)</f>
        <v>1</v>
      </c>
      <c r="G1428" s="49">
        <v>9.0</v>
      </c>
      <c r="H1428" s="26" t="b">
        <f>COUNTIFS(
 tblCostChecklist[RequirementID],A1428,
 tblCostChecklist[PlayerPaid],TRUE
)&gt;0</f>
        <v>0</v>
      </c>
      <c r="I1428" s="49">
        <f t="shared" si="1"/>
        <v>3</v>
      </c>
      <c r="J1428" s="49">
        <f t="shared" si="2"/>
        <v>0</v>
      </c>
      <c r="K1428" s="49">
        <f t="shared" si="3"/>
        <v>3</v>
      </c>
      <c r="L1428" s="49" t="b">
        <f t="shared" si="4"/>
        <v>0</v>
      </c>
      <c r="M1428" s="88">
        <f t="shared" si="5"/>
        <v>0</v>
      </c>
    </row>
    <row r="1429" ht="14.25" customHeight="1">
      <c r="A1429" s="49" t="s">
        <v>2553</v>
      </c>
      <c r="B1429" s="49" t="str">
        <f>IFERROR(__xludf.DUMMYFUNCTION("REGEXEXTRACT(A1429,""^cost\.(.*)\.[^.]+\.[^.]+$"")"),"collection.gallery_2@4")</f>
        <v>collection.gallery_2@4</v>
      </c>
      <c r="C1429" s="49" t="str">
        <f t="array" ref="C1429">_xlfn.XLOOKUP(
 B1429,
 tblTargets[TargetID],
 tblTargets[DisplayName],
 ""
)</f>
        <v>Gallery 2 Lv 4</v>
      </c>
      <c r="D1429" s="49" t="str">
        <f t="array" ref="D1429">_xlfn.XLOOKUP(
 B1429,
 tblTargets[TargetID],
 tblTargets[TargetType],
 ""
)</f>
        <v>COLLECTION</v>
      </c>
      <c r="E1429" s="49" t="s">
        <v>2302</v>
      </c>
      <c r="F1429" s="87">
        <f>IFERROR(__xludf.DUMMYFUNCTION("VALUE(REGEXEXTRACT(A1429,""([^.]+)$""))"),1.0)</f>
        <v>1</v>
      </c>
      <c r="G1429" s="49">
        <v>12.0</v>
      </c>
      <c r="H1429" s="26" t="b">
        <f>COUNTIFS(
 tblCostChecklist[RequirementID],A1429,
 tblCostChecklist[PlayerPaid],TRUE
)&gt;0</f>
        <v>0</v>
      </c>
      <c r="I1429" s="49">
        <f t="shared" si="1"/>
        <v>3</v>
      </c>
      <c r="J1429" s="49">
        <f t="shared" si="2"/>
        <v>0</v>
      </c>
      <c r="K1429" s="49">
        <f t="shared" si="3"/>
        <v>3</v>
      </c>
      <c r="L1429" s="49" t="b">
        <f t="shared" si="4"/>
        <v>0</v>
      </c>
      <c r="M1429" s="88">
        <f t="shared" si="5"/>
        <v>0</v>
      </c>
    </row>
    <row r="1430" ht="14.25" customHeight="1">
      <c r="A1430" s="49" t="s">
        <v>2554</v>
      </c>
      <c r="B1430" s="49" t="str">
        <f>IFERROR(__xludf.DUMMYFUNCTION("REGEXEXTRACT(A1430,""^cost\.(.*)\.[^.]+\.[^.]+$"")"),"collection.gallery_2@4")</f>
        <v>collection.gallery_2@4</v>
      </c>
      <c r="C1430" s="49" t="str">
        <f t="array" ref="C1430">_xlfn.XLOOKUP(
 B1430,
 tblTargets[TargetID],
 tblTargets[DisplayName],
 ""
)</f>
        <v>Gallery 2 Lv 4</v>
      </c>
      <c r="D1430" s="49" t="str">
        <f t="array" ref="D1430">_xlfn.XLOOKUP(
 B1430,
 tblTargets[TargetID],
 tblTargets[TargetType],
 ""
)</f>
        <v>COLLECTION</v>
      </c>
      <c r="E1430" s="49" t="s">
        <v>2545</v>
      </c>
      <c r="F1430" s="87">
        <f>IFERROR(__xludf.DUMMYFUNCTION("VALUE(REGEXEXTRACT(A1430,""([^.]+)$""))"),1.0)</f>
        <v>1</v>
      </c>
      <c r="G1430" s="49">
        <v>4.0</v>
      </c>
      <c r="H1430" s="26" t="b">
        <f>COUNTIFS(
 tblCostChecklist[RequirementID],A1430,
 tblCostChecklist[PlayerPaid],TRUE
)&gt;0</f>
        <v>0</v>
      </c>
      <c r="I1430" s="49">
        <f t="shared" si="1"/>
        <v>3</v>
      </c>
      <c r="J1430" s="49">
        <f t="shared" si="2"/>
        <v>0</v>
      </c>
      <c r="K1430" s="49">
        <f t="shared" si="3"/>
        <v>3</v>
      </c>
      <c r="L1430" s="49" t="b">
        <f t="shared" si="4"/>
        <v>0</v>
      </c>
      <c r="M1430" s="88">
        <f t="shared" si="5"/>
        <v>0</v>
      </c>
    </row>
    <row r="1431" ht="14.25" customHeight="1">
      <c r="A1431" s="49" t="s">
        <v>2555</v>
      </c>
      <c r="B1431" s="49" t="str">
        <f>IFERROR(__xludf.DUMMYFUNCTION("REGEXEXTRACT(A1431,""^cost\.(.*)\.[^.]+\.[^.]+$"")"),"collection.gallery_2@4")</f>
        <v>collection.gallery_2@4</v>
      </c>
      <c r="C1431" s="49" t="str">
        <f t="array" ref="C1431">_xlfn.XLOOKUP(
 B1431,
 tblTargets[TargetID],
 tblTargets[DisplayName],
 ""
)</f>
        <v>Gallery 2 Lv 4</v>
      </c>
      <c r="D1431" s="49" t="str">
        <f t="array" ref="D1431">_xlfn.XLOOKUP(
 B1431,
 tblTargets[TargetID],
 tblTargets[TargetType],
 ""
)</f>
        <v>COLLECTION</v>
      </c>
      <c r="E1431" s="49" t="s">
        <v>2461</v>
      </c>
      <c r="F1431" s="87">
        <f>IFERROR(__xludf.DUMMYFUNCTION("VALUE(REGEXEXTRACT(A1431,""([^.]+)$""))"),1.0)</f>
        <v>1</v>
      </c>
      <c r="G1431" s="49">
        <v>12.0</v>
      </c>
      <c r="H1431" s="26" t="b">
        <f>COUNTIFS(
 tblCostChecklist[RequirementID],A1431,
 tblCostChecklist[PlayerPaid],TRUE
)&gt;0</f>
        <v>0</v>
      </c>
      <c r="I1431" s="49">
        <f t="shared" si="1"/>
        <v>3</v>
      </c>
      <c r="J1431" s="49">
        <f t="shared" si="2"/>
        <v>0</v>
      </c>
      <c r="K1431" s="49">
        <f t="shared" si="3"/>
        <v>3</v>
      </c>
      <c r="L1431" s="49" t="b">
        <f t="shared" si="4"/>
        <v>0</v>
      </c>
      <c r="M1431" s="88">
        <f t="shared" si="5"/>
        <v>0</v>
      </c>
    </row>
    <row r="1432" ht="14.25" customHeight="1">
      <c r="A1432" s="49" t="s">
        <v>2556</v>
      </c>
      <c r="B1432" s="49" t="str">
        <f>IFERROR(__xludf.DUMMYFUNCTION("REGEXEXTRACT(A1432,""^cost\.(.*)\.[^.]+\.[^.]+$"")"),"collection.gallery_2@5")</f>
        <v>collection.gallery_2@5</v>
      </c>
      <c r="C1432" s="49" t="str">
        <f t="array" ref="C1432">_xlfn.XLOOKUP(
 B1432,
 tblTargets[TargetID],
 tblTargets[DisplayName],
 ""
)</f>
        <v>Gallery 2 Lv 5</v>
      </c>
      <c r="D1432" s="49" t="str">
        <f t="array" ref="D1432">_xlfn.XLOOKUP(
 B1432,
 tblTargets[TargetID],
 tblTargets[TargetType],
 ""
)</f>
        <v>COLLECTION</v>
      </c>
      <c r="E1432" s="49" t="s">
        <v>2302</v>
      </c>
      <c r="F1432" s="87">
        <f>IFERROR(__xludf.DUMMYFUNCTION("VALUE(REGEXEXTRACT(A1432,""([^.]+)$""))"),1.0)</f>
        <v>1</v>
      </c>
      <c r="G1432" s="49">
        <v>15.0</v>
      </c>
      <c r="H1432" s="26" t="b">
        <f>COUNTIFS(
 tblCostChecklist[RequirementID],A1432,
 tblCostChecklist[PlayerPaid],TRUE
)&gt;0</f>
        <v>0</v>
      </c>
      <c r="I1432" s="49">
        <f t="shared" si="1"/>
        <v>3</v>
      </c>
      <c r="J1432" s="49">
        <f t="shared" si="2"/>
        <v>0</v>
      </c>
      <c r="K1432" s="49">
        <f t="shared" si="3"/>
        <v>3</v>
      </c>
      <c r="L1432" s="49" t="b">
        <f t="shared" si="4"/>
        <v>0</v>
      </c>
      <c r="M1432" s="88">
        <f t="shared" si="5"/>
        <v>0</v>
      </c>
    </row>
    <row r="1433" ht="14.25" customHeight="1">
      <c r="A1433" s="49" t="s">
        <v>2557</v>
      </c>
      <c r="B1433" s="49" t="str">
        <f>IFERROR(__xludf.DUMMYFUNCTION("REGEXEXTRACT(A1433,""^cost\.(.*)\.[^.]+\.[^.]+$"")"),"collection.gallery_2@5")</f>
        <v>collection.gallery_2@5</v>
      </c>
      <c r="C1433" s="49" t="str">
        <f t="array" ref="C1433">_xlfn.XLOOKUP(
 B1433,
 tblTargets[TargetID],
 tblTargets[DisplayName],
 ""
)</f>
        <v>Gallery 2 Lv 5</v>
      </c>
      <c r="D1433" s="49" t="str">
        <f t="array" ref="D1433">_xlfn.XLOOKUP(
 B1433,
 tblTargets[TargetID],
 tblTargets[TargetType],
 ""
)</f>
        <v>COLLECTION</v>
      </c>
      <c r="E1433" s="49" t="s">
        <v>2545</v>
      </c>
      <c r="F1433" s="87">
        <f>IFERROR(__xludf.DUMMYFUNCTION("VALUE(REGEXEXTRACT(A1433,""([^.]+)$""))"),1.0)</f>
        <v>1</v>
      </c>
      <c r="G1433" s="49">
        <v>5.0</v>
      </c>
      <c r="H1433" s="26" t="b">
        <f>COUNTIFS(
 tblCostChecklist[RequirementID],A1433,
 tblCostChecklist[PlayerPaid],TRUE
)&gt;0</f>
        <v>0</v>
      </c>
      <c r="I1433" s="49">
        <f t="shared" si="1"/>
        <v>3</v>
      </c>
      <c r="J1433" s="49">
        <f t="shared" si="2"/>
        <v>0</v>
      </c>
      <c r="K1433" s="49">
        <f t="shared" si="3"/>
        <v>3</v>
      </c>
      <c r="L1433" s="49" t="b">
        <f t="shared" si="4"/>
        <v>0</v>
      </c>
      <c r="M1433" s="88">
        <f t="shared" si="5"/>
        <v>0</v>
      </c>
    </row>
    <row r="1434" ht="14.25" customHeight="1">
      <c r="A1434" s="49" t="s">
        <v>2558</v>
      </c>
      <c r="B1434" s="49" t="str">
        <f>IFERROR(__xludf.DUMMYFUNCTION("REGEXEXTRACT(A1434,""^cost\.(.*)\.[^.]+\.[^.]+$"")"),"collection.gallery_2@5")</f>
        <v>collection.gallery_2@5</v>
      </c>
      <c r="C1434" s="49" t="str">
        <f t="array" ref="C1434">_xlfn.XLOOKUP(
 B1434,
 tblTargets[TargetID],
 tblTargets[DisplayName],
 ""
)</f>
        <v>Gallery 2 Lv 5</v>
      </c>
      <c r="D1434" s="49" t="str">
        <f t="array" ref="D1434">_xlfn.XLOOKUP(
 B1434,
 tblTargets[TargetID],
 tblTargets[TargetType],
 ""
)</f>
        <v>COLLECTION</v>
      </c>
      <c r="E1434" s="49" t="s">
        <v>2461</v>
      </c>
      <c r="F1434" s="87">
        <f>IFERROR(__xludf.DUMMYFUNCTION("VALUE(REGEXEXTRACT(A1434,""([^.]+)$""))"),1.0)</f>
        <v>1</v>
      </c>
      <c r="G1434" s="49">
        <v>15.0</v>
      </c>
      <c r="H1434" s="26" t="b">
        <f>COUNTIFS(
 tblCostChecklist[RequirementID],A1434,
 tblCostChecklist[PlayerPaid],TRUE
)&gt;0</f>
        <v>0</v>
      </c>
      <c r="I1434" s="49">
        <f t="shared" si="1"/>
        <v>3</v>
      </c>
      <c r="J1434" s="49">
        <f t="shared" si="2"/>
        <v>0</v>
      </c>
      <c r="K1434" s="49">
        <f t="shared" si="3"/>
        <v>3</v>
      </c>
      <c r="L1434" s="49" t="b">
        <f t="shared" si="4"/>
        <v>0</v>
      </c>
      <c r="M1434" s="88">
        <f t="shared" si="5"/>
        <v>0</v>
      </c>
    </row>
    <row r="1435" ht="14.25" customHeight="1">
      <c r="A1435" s="49" t="s">
        <v>2559</v>
      </c>
      <c r="B1435" s="49" t="str">
        <f>IFERROR(__xludf.DUMMYFUNCTION("REGEXEXTRACT(A1435,""^cost\.(.*)\.[^.]+\.[^.]+$"")"),"collection.gallery_3@1")</f>
        <v>collection.gallery_3@1</v>
      </c>
      <c r="C1435" s="49" t="str">
        <f t="array" ref="C1435">_xlfn.XLOOKUP(
 B1435,
 tblTargets[TargetID],
 tblTargets[DisplayName],
 ""
)</f>
        <v>Gallery 3 Lv 1</v>
      </c>
      <c r="D1435" s="49" t="str">
        <f t="array" ref="D1435">_xlfn.XLOOKUP(
 B1435,
 tblTargets[TargetID],
 tblTargets[TargetType],
 ""
)</f>
        <v>COLLECTION</v>
      </c>
      <c r="E1435" s="49" t="s">
        <v>1497</v>
      </c>
      <c r="F1435" s="87">
        <f>IFERROR(__xludf.DUMMYFUNCTION("VALUE(REGEXEXTRACT(A1435,""([^.]+)$""))"),1.0)</f>
        <v>1</v>
      </c>
      <c r="G1435" s="49">
        <v>5.0</v>
      </c>
      <c r="H1435" s="26" t="b">
        <f>COUNTIFS(
 tblCostChecklist[RequirementID],A1435,
 tblCostChecklist[PlayerPaid],TRUE
)&gt;0</f>
        <v>0</v>
      </c>
      <c r="I1435" s="49">
        <f t="shared" si="1"/>
        <v>5</v>
      </c>
      <c r="J1435" s="49">
        <f t="shared" si="2"/>
        <v>0</v>
      </c>
      <c r="K1435" s="49">
        <f t="shared" si="3"/>
        <v>5</v>
      </c>
      <c r="L1435" s="49" t="b">
        <f t="shared" si="4"/>
        <v>0</v>
      </c>
      <c r="M1435" s="88">
        <f t="shared" si="5"/>
        <v>0</v>
      </c>
    </row>
    <row r="1436" ht="14.25" customHeight="1">
      <c r="A1436" s="49" t="s">
        <v>2560</v>
      </c>
      <c r="B1436" s="49" t="str">
        <f>IFERROR(__xludf.DUMMYFUNCTION("REGEXEXTRACT(A1436,""^cost\.(.*)\.[^.]+\.[^.]+$"")"),"collection.gallery_3@1")</f>
        <v>collection.gallery_3@1</v>
      </c>
      <c r="C1436" s="49" t="str">
        <f t="array" ref="C1436">_xlfn.XLOOKUP(
 B1436,
 tblTargets[TargetID],
 tblTargets[DisplayName],
 ""
)</f>
        <v>Gallery 3 Lv 1</v>
      </c>
      <c r="D1436" s="49" t="str">
        <f t="array" ref="D1436">_xlfn.XLOOKUP(
 B1436,
 tblTargets[TargetID],
 tblTargets[TargetType],
 ""
)</f>
        <v>COLLECTION</v>
      </c>
      <c r="E1436" s="49" t="s">
        <v>1583</v>
      </c>
      <c r="F1436" s="87">
        <f>IFERROR(__xludf.DUMMYFUNCTION("VALUE(REGEXEXTRACT(A1436,""([^.]+)$""))"),1.0)</f>
        <v>1</v>
      </c>
      <c r="G1436" s="49">
        <v>5.0</v>
      </c>
      <c r="H1436" s="26" t="b">
        <f>COUNTIFS(
 tblCostChecklist[RequirementID],A1436,
 tblCostChecklist[PlayerPaid],TRUE
)&gt;0</f>
        <v>0</v>
      </c>
      <c r="I1436" s="49">
        <f t="shared" si="1"/>
        <v>5</v>
      </c>
      <c r="J1436" s="49">
        <f t="shared" si="2"/>
        <v>0</v>
      </c>
      <c r="K1436" s="49">
        <f t="shared" si="3"/>
        <v>5</v>
      </c>
      <c r="L1436" s="49" t="b">
        <f t="shared" si="4"/>
        <v>0</v>
      </c>
      <c r="M1436" s="88">
        <f t="shared" si="5"/>
        <v>0</v>
      </c>
    </row>
    <row r="1437" ht="14.25" customHeight="1">
      <c r="A1437" s="49" t="s">
        <v>2561</v>
      </c>
      <c r="B1437" s="49" t="str">
        <f>IFERROR(__xludf.DUMMYFUNCTION("REGEXEXTRACT(A1437,""^cost\.(.*)\.[^.]+\.[^.]+$"")"),"collection.gallery_3@1")</f>
        <v>collection.gallery_3@1</v>
      </c>
      <c r="C1437" s="49" t="str">
        <f t="array" ref="C1437">_xlfn.XLOOKUP(
 B1437,
 tblTargets[TargetID],
 tblTargets[DisplayName],
 ""
)</f>
        <v>Gallery 3 Lv 1</v>
      </c>
      <c r="D1437" s="49" t="str">
        <f t="array" ref="D1437">_xlfn.XLOOKUP(
 B1437,
 tblTargets[TargetID],
 tblTargets[TargetType],
 ""
)</f>
        <v>COLLECTION</v>
      </c>
      <c r="E1437" s="49" t="s">
        <v>1282</v>
      </c>
      <c r="F1437" s="87">
        <f>IFERROR(__xludf.DUMMYFUNCTION("VALUE(REGEXEXTRACT(A1437,""([^.]+)$""))"),1.0)</f>
        <v>1</v>
      </c>
      <c r="G1437" s="49">
        <v>5.0</v>
      </c>
      <c r="H1437" s="26" t="b">
        <f>COUNTIFS(
 tblCostChecklist[RequirementID],A1437,
 tblCostChecklist[PlayerPaid],TRUE
)&gt;0</f>
        <v>0</v>
      </c>
      <c r="I1437" s="49">
        <f t="shared" si="1"/>
        <v>5</v>
      </c>
      <c r="J1437" s="49">
        <f t="shared" si="2"/>
        <v>0</v>
      </c>
      <c r="K1437" s="49">
        <f t="shared" si="3"/>
        <v>5</v>
      </c>
      <c r="L1437" s="49" t="b">
        <f t="shared" si="4"/>
        <v>0</v>
      </c>
      <c r="M1437" s="88">
        <f t="shared" si="5"/>
        <v>0</v>
      </c>
    </row>
    <row r="1438" ht="14.25" customHeight="1">
      <c r="A1438" s="49" t="s">
        <v>2562</v>
      </c>
      <c r="B1438" s="49" t="str">
        <f>IFERROR(__xludf.DUMMYFUNCTION("REGEXEXTRACT(A1438,""^cost\.(.*)\.[^.]+\.[^.]+$"")"),"collection.gallery_3@1")</f>
        <v>collection.gallery_3@1</v>
      </c>
      <c r="C1438" s="49" t="str">
        <f t="array" ref="C1438">_xlfn.XLOOKUP(
 B1438,
 tblTargets[TargetID],
 tblTargets[DisplayName],
 ""
)</f>
        <v>Gallery 3 Lv 1</v>
      </c>
      <c r="D1438" s="49" t="str">
        <f t="array" ref="D1438">_xlfn.XLOOKUP(
 B1438,
 tblTargets[TargetID],
 tblTargets[TargetType],
 ""
)</f>
        <v>COLLECTION</v>
      </c>
      <c r="E1438" s="49" t="s">
        <v>1606</v>
      </c>
      <c r="F1438" s="87">
        <f>IFERROR(__xludf.DUMMYFUNCTION("VALUE(REGEXEXTRACT(A1438,""([^.]+)$""))"),1.0)</f>
        <v>1</v>
      </c>
      <c r="G1438" s="49">
        <v>5.0</v>
      </c>
      <c r="H1438" s="26" t="b">
        <f>COUNTIFS(
 tblCostChecklist[RequirementID],A1438,
 tblCostChecklist[PlayerPaid],TRUE
)&gt;0</f>
        <v>0</v>
      </c>
      <c r="I1438" s="49">
        <f t="shared" si="1"/>
        <v>5</v>
      </c>
      <c r="J1438" s="49">
        <f t="shared" si="2"/>
        <v>0</v>
      </c>
      <c r="K1438" s="49">
        <f t="shared" si="3"/>
        <v>5</v>
      </c>
      <c r="L1438" s="49" t="b">
        <f t="shared" si="4"/>
        <v>0</v>
      </c>
      <c r="M1438" s="88">
        <f t="shared" si="5"/>
        <v>0</v>
      </c>
    </row>
    <row r="1439" ht="14.25" customHeight="1">
      <c r="A1439" s="49" t="s">
        <v>2563</v>
      </c>
      <c r="B1439" s="49" t="str">
        <f>IFERROR(__xludf.DUMMYFUNCTION("REGEXEXTRACT(A1439,""^cost\.(.*)\.[^.]+\.[^.]+$"")"),"collection.gallery_3@1")</f>
        <v>collection.gallery_3@1</v>
      </c>
      <c r="C1439" s="49" t="str">
        <f t="array" ref="C1439">_xlfn.XLOOKUP(
 B1439,
 tblTargets[TargetID],
 tblTargets[DisplayName],
 ""
)</f>
        <v>Gallery 3 Lv 1</v>
      </c>
      <c r="D1439" s="49" t="str">
        <f t="array" ref="D1439">_xlfn.XLOOKUP(
 B1439,
 tblTargets[TargetID],
 tblTargets[TargetType],
 ""
)</f>
        <v>COLLECTION</v>
      </c>
      <c r="E1439" s="49" t="s">
        <v>2308</v>
      </c>
      <c r="F1439" s="87">
        <f>IFERROR(__xludf.DUMMYFUNCTION("VALUE(REGEXEXTRACT(A1439,""([^.]+)$""))"),1.0)</f>
        <v>1</v>
      </c>
      <c r="G1439" s="49">
        <v>5.0</v>
      </c>
      <c r="H1439" s="26" t="b">
        <f>COUNTIFS(
 tblCostChecklist[RequirementID],A1439,
 tblCostChecklist[PlayerPaid],TRUE
)&gt;0</f>
        <v>0</v>
      </c>
      <c r="I1439" s="49">
        <f t="shared" si="1"/>
        <v>5</v>
      </c>
      <c r="J1439" s="49">
        <f t="shared" si="2"/>
        <v>0</v>
      </c>
      <c r="K1439" s="49">
        <f t="shared" si="3"/>
        <v>5</v>
      </c>
      <c r="L1439" s="49" t="b">
        <f t="shared" si="4"/>
        <v>0</v>
      </c>
      <c r="M1439" s="88">
        <f t="shared" si="5"/>
        <v>0</v>
      </c>
    </row>
    <row r="1440" ht="14.25" customHeight="1">
      <c r="A1440" s="49" t="s">
        <v>2564</v>
      </c>
      <c r="B1440" s="49" t="str">
        <f>IFERROR(__xludf.DUMMYFUNCTION("REGEXEXTRACT(A1440,""^cost\.(.*)\.[^.]+\.[^.]+$"")"),"collection.gallery_3@2")</f>
        <v>collection.gallery_3@2</v>
      </c>
      <c r="C1440" s="49" t="str">
        <f t="array" ref="C1440">_xlfn.XLOOKUP(
 B1440,
 tblTargets[TargetID],
 tblTargets[DisplayName],
 ""
)</f>
        <v>Gallery 3 Lv 2</v>
      </c>
      <c r="D1440" s="49" t="str">
        <f t="array" ref="D1440">_xlfn.XLOOKUP(
 B1440,
 tblTargets[TargetID],
 tblTargets[TargetType],
 ""
)</f>
        <v>COLLECTION</v>
      </c>
      <c r="E1440" s="49" t="s">
        <v>1497</v>
      </c>
      <c r="F1440" s="87">
        <f>IFERROR(__xludf.DUMMYFUNCTION("VALUE(REGEXEXTRACT(A1440,""([^.]+)$""))"),1.0)</f>
        <v>1</v>
      </c>
      <c r="G1440" s="49">
        <v>10.0</v>
      </c>
      <c r="H1440" s="26" t="b">
        <f>COUNTIFS(
 tblCostChecklist[RequirementID],A1440,
 tblCostChecklist[PlayerPaid],TRUE
)&gt;0</f>
        <v>0</v>
      </c>
      <c r="I1440" s="49">
        <f t="shared" si="1"/>
        <v>5</v>
      </c>
      <c r="J1440" s="49">
        <f t="shared" si="2"/>
        <v>0</v>
      </c>
      <c r="K1440" s="49">
        <f t="shared" si="3"/>
        <v>5</v>
      </c>
      <c r="L1440" s="49" t="b">
        <f t="shared" si="4"/>
        <v>0</v>
      </c>
      <c r="M1440" s="88">
        <f t="shared" si="5"/>
        <v>0</v>
      </c>
    </row>
    <row r="1441" ht="14.25" customHeight="1">
      <c r="A1441" s="49" t="s">
        <v>2565</v>
      </c>
      <c r="B1441" s="49" t="str">
        <f>IFERROR(__xludf.DUMMYFUNCTION("REGEXEXTRACT(A1441,""^cost\.(.*)\.[^.]+\.[^.]+$"")"),"collection.gallery_3@2")</f>
        <v>collection.gallery_3@2</v>
      </c>
      <c r="C1441" s="49" t="str">
        <f t="array" ref="C1441">_xlfn.XLOOKUP(
 B1441,
 tblTargets[TargetID],
 tblTargets[DisplayName],
 ""
)</f>
        <v>Gallery 3 Lv 2</v>
      </c>
      <c r="D1441" s="49" t="str">
        <f t="array" ref="D1441">_xlfn.XLOOKUP(
 B1441,
 tblTargets[TargetID],
 tblTargets[TargetType],
 ""
)</f>
        <v>COLLECTION</v>
      </c>
      <c r="E1441" s="49" t="s">
        <v>1583</v>
      </c>
      <c r="F1441" s="87">
        <f>IFERROR(__xludf.DUMMYFUNCTION("VALUE(REGEXEXTRACT(A1441,""([^.]+)$""))"),1.0)</f>
        <v>1</v>
      </c>
      <c r="G1441" s="49">
        <v>10.0</v>
      </c>
      <c r="H1441" s="26" t="b">
        <f>COUNTIFS(
 tblCostChecklist[RequirementID],A1441,
 tblCostChecklist[PlayerPaid],TRUE
)&gt;0</f>
        <v>0</v>
      </c>
      <c r="I1441" s="49">
        <f t="shared" si="1"/>
        <v>5</v>
      </c>
      <c r="J1441" s="49">
        <f t="shared" si="2"/>
        <v>0</v>
      </c>
      <c r="K1441" s="49">
        <f t="shared" si="3"/>
        <v>5</v>
      </c>
      <c r="L1441" s="49" t="b">
        <f t="shared" si="4"/>
        <v>0</v>
      </c>
      <c r="M1441" s="88">
        <f t="shared" si="5"/>
        <v>0</v>
      </c>
    </row>
    <row r="1442" ht="14.25" customHeight="1">
      <c r="A1442" s="49" t="s">
        <v>2566</v>
      </c>
      <c r="B1442" s="49" t="str">
        <f>IFERROR(__xludf.DUMMYFUNCTION("REGEXEXTRACT(A1442,""^cost\.(.*)\.[^.]+\.[^.]+$"")"),"collection.gallery_3@2")</f>
        <v>collection.gallery_3@2</v>
      </c>
      <c r="C1442" s="49" t="str">
        <f t="array" ref="C1442">_xlfn.XLOOKUP(
 B1442,
 tblTargets[TargetID],
 tblTargets[DisplayName],
 ""
)</f>
        <v>Gallery 3 Lv 2</v>
      </c>
      <c r="D1442" s="49" t="str">
        <f t="array" ref="D1442">_xlfn.XLOOKUP(
 B1442,
 tblTargets[TargetID],
 tblTargets[TargetType],
 ""
)</f>
        <v>COLLECTION</v>
      </c>
      <c r="E1442" s="49" t="s">
        <v>1282</v>
      </c>
      <c r="F1442" s="87">
        <f>IFERROR(__xludf.DUMMYFUNCTION("VALUE(REGEXEXTRACT(A1442,""([^.]+)$""))"),1.0)</f>
        <v>1</v>
      </c>
      <c r="G1442" s="49">
        <v>10.0</v>
      </c>
      <c r="H1442" s="26" t="b">
        <f>COUNTIFS(
 tblCostChecklist[RequirementID],A1442,
 tblCostChecklist[PlayerPaid],TRUE
)&gt;0</f>
        <v>0</v>
      </c>
      <c r="I1442" s="49">
        <f t="shared" si="1"/>
        <v>5</v>
      </c>
      <c r="J1442" s="49">
        <f t="shared" si="2"/>
        <v>0</v>
      </c>
      <c r="K1442" s="49">
        <f t="shared" si="3"/>
        <v>5</v>
      </c>
      <c r="L1442" s="49" t="b">
        <f t="shared" si="4"/>
        <v>0</v>
      </c>
      <c r="M1442" s="88">
        <f t="shared" si="5"/>
        <v>0</v>
      </c>
    </row>
    <row r="1443" ht="14.25" customHeight="1">
      <c r="A1443" s="49" t="s">
        <v>2567</v>
      </c>
      <c r="B1443" s="49" t="str">
        <f>IFERROR(__xludf.DUMMYFUNCTION("REGEXEXTRACT(A1443,""^cost\.(.*)\.[^.]+\.[^.]+$"")"),"collection.gallery_3@2")</f>
        <v>collection.gallery_3@2</v>
      </c>
      <c r="C1443" s="49" t="str">
        <f t="array" ref="C1443">_xlfn.XLOOKUP(
 B1443,
 tblTargets[TargetID],
 tblTargets[DisplayName],
 ""
)</f>
        <v>Gallery 3 Lv 2</v>
      </c>
      <c r="D1443" s="49" t="str">
        <f t="array" ref="D1443">_xlfn.XLOOKUP(
 B1443,
 tblTargets[TargetID],
 tblTargets[TargetType],
 ""
)</f>
        <v>COLLECTION</v>
      </c>
      <c r="E1443" s="49" t="s">
        <v>1606</v>
      </c>
      <c r="F1443" s="87">
        <f>IFERROR(__xludf.DUMMYFUNCTION("VALUE(REGEXEXTRACT(A1443,""([^.]+)$""))"),1.0)</f>
        <v>1</v>
      </c>
      <c r="G1443" s="49">
        <v>10.0</v>
      </c>
      <c r="H1443" s="26" t="b">
        <f>COUNTIFS(
 tblCostChecklist[RequirementID],A1443,
 tblCostChecklist[PlayerPaid],TRUE
)&gt;0</f>
        <v>0</v>
      </c>
      <c r="I1443" s="49">
        <f t="shared" si="1"/>
        <v>5</v>
      </c>
      <c r="J1443" s="49">
        <f t="shared" si="2"/>
        <v>0</v>
      </c>
      <c r="K1443" s="49">
        <f t="shared" si="3"/>
        <v>5</v>
      </c>
      <c r="L1443" s="49" t="b">
        <f t="shared" si="4"/>
        <v>0</v>
      </c>
      <c r="M1443" s="88">
        <f t="shared" si="5"/>
        <v>0</v>
      </c>
    </row>
    <row r="1444" ht="14.25" customHeight="1">
      <c r="A1444" s="49" t="s">
        <v>2568</v>
      </c>
      <c r="B1444" s="49" t="str">
        <f>IFERROR(__xludf.DUMMYFUNCTION("REGEXEXTRACT(A1444,""^cost\.(.*)\.[^.]+\.[^.]+$"")"),"collection.gallery_3@2")</f>
        <v>collection.gallery_3@2</v>
      </c>
      <c r="C1444" s="49" t="str">
        <f t="array" ref="C1444">_xlfn.XLOOKUP(
 B1444,
 tblTargets[TargetID],
 tblTargets[DisplayName],
 ""
)</f>
        <v>Gallery 3 Lv 2</v>
      </c>
      <c r="D1444" s="49" t="str">
        <f t="array" ref="D1444">_xlfn.XLOOKUP(
 B1444,
 tblTargets[TargetID],
 tblTargets[TargetType],
 ""
)</f>
        <v>COLLECTION</v>
      </c>
      <c r="E1444" s="49" t="s">
        <v>2308</v>
      </c>
      <c r="F1444" s="87">
        <f>IFERROR(__xludf.DUMMYFUNCTION("VALUE(REGEXEXTRACT(A1444,""([^.]+)$""))"),1.0)</f>
        <v>1</v>
      </c>
      <c r="G1444" s="49">
        <v>10.0</v>
      </c>
      <c r="H1444" s="26" t="b">
        <f>COUNTIFS(
 tblCostChecklist[RequirementID],A1444,
 tblCostChecklist[PlayerPaid],TRUE
)&gt;0</f>
        <v>0</v>
      </c>
      <c r="I1444" s="49">
        <f t="shared" si="1"/>
        <v>5</v>
      </c>
      <c r="J1444" s="49">
        <f t="shared" si="2"/>
        <v>0</v>
      </c>
      <c r="K1444" s="49">
        <f t="shared" si="3"/>
        <v>5</v>
      </c>
      <c r="L1444" s="49" t="b">
        <f t="shared" si="4"/>
        <v>0</v>
      </c>
      <c r="M1444" s="88">
        <f t="shared" si="5"/>
        <v>0</v>
      </c>
    </row>
    <row r="1445" ht="14.25" customHeight="1">
      <c r="A1445" s="49" t="s">
        <v>2569</v>
      </c>
      <c r="B1445" s="49" t="str">
        <f>IFERROR(__xludf.DUMMYFUNCTION("REGEXEXTRACT(A1445,""^cost\.(.*)\.[^.]+\.[^.]+$"")"),"collection.gallery_3@3")</f>
        <v>collection.gallery_3@3</v>
      </c>
      <c r="C1445" s="49" t="str">
        <f t="array" ref="C1445">_xlfn.XLOOKUP(
 B1445,
 tblTargets[TargetID],
 tblTargets[DisplayName],
 ""
)</f>
        <v>Gallery 3 Lv 3</v>
      </c>
      <c r="D1445" s="49" t="str">
        <f t="array" ref="D1445">_xlfn.XLOOKUP(
 B1445,
 tblTargets[TargetID],
 tblTargets[TargetType],
 ""
)</f>
        <v>COLLECTION</v>
      </c>
      <c r="E1445" s="49" t="s">
        <v>1497</v>
      </c>
      <c r="F1445" s="87">
        <f>IFERROR(__xludf.DUMMYFUNCTION("VALUE(REGEXEXTRACT(A1445,""([^.]+)$""))"),1.0)</f>
        <v>1</v>
      </c>
      <c r="G1445" s="49">
        <v>15.0</v>
      </c>
      <c r="H1445" s="26" t="b">
        <f>COUNTIFS(
 tblCostChecklist[RequirementID],A1445,
 tblCostChecklist[PlayerPaid],TRUE
)&gt;0</f>
        <v>0</v>
      </c>
      <c r="I1445" s="49">
        <f t="shared" si="1"/>
        <v>5</v>
      </c>
      <c r="J1445" s="49">
        <f t="shared" si="2"/>
        <v>0</v>
      </c>
      <c r="K1445" s="49">
        <f t="shared" si="3"/>
        <v>5</v>
      </c>
      <c r="L1445" s="49" t="b">
        <f t="shared" si="4"/>
        <v>0</v>
      </c>
      <c r="M1445" s="88">
        <f t="shared" si="5"/>
        <v>0</v>
      </c>
    </row>
    <row r="1446" ht="14.25" customHeight="1">
      <c r="A1446" s="49" t="s">
        <v>2570</v>
      </c>
      <c r="B1446" s="49" t="str">
        <f>IFERROR(__xludf.DUMMYFUNCTION("REGEXEXTRACT(A1446,""^cost\.(.*)\.[^.]+\.[^.]+$"")"),"collection.gallery_3@3")</f>
        <v>collection.gallery_3@3</v>
      </c>
      <c r="C1446" s="49" t="str">
        <f t="array" ref="C1446">_xlfn.XLOOKUP(
 B1446,
 tblTargets[TargetID],
 tblTargets[DisplayName],
 ""
)</f>
        <v>Gallery 3 Lv 3</v>
      </c>
      <c r="D1446" s="49" t="str">
        <f t="array" ref="D1446">_xlfn.XLOOKUP(
 B1446,
 tblTargets[TargetID],
 tblTargets[TargetType],
 ""
)</f>
        <v>COLLECTION</v>
      </c>
      <c r="E1446" s="49" t="s">
        <v>1583</v>
      </c>
      <c r="F1446" s="87">
        <f>IFERROR(__xludf.DUMMYFUNCTION("VALUE(REGEXEXTRACT(A1446,""([^.]+)$""))"),1.0)</f>
        <v>1</v>
      </c>
      <c r="G1446" s="49">
        <v>15.0</v>
      </c>
      <c r="H1446" s="26" t="b">
        <f>COUNTIFS(
 tblCostChecklist[RequirementID],A1446,
 tblCostChecklist[PlayerPaid],TRUE
)&gt;0</f>
        <v>0</v>
      </c>
      <c r="I1446" s="49">
        <f t="shared" si="1"/>
        <v>5</v>
      </c>
      <c r="J1446" s="49">
        <f t="shared" si="2"/>
        <v>0</v>
      </c>
      <c r="K1446" s="49">
        <f t="shared" si="3"/>
        <v>5</v>
      </c>
      <c r="L1446" s="49" t="b">
        <f t="shared" si="4"/>
        <v>0</v>
      </c>
      <c r="M1446" s="88">
        <f t="shared" si="5"/>
        <v>0</v>
      </c>
    </row>
    <row r="1447" ht="14.25" customHeight="1">
      <c r="A1447" s="49" t="s">
        <v>2571</v>
      </c>
      <c r="B1447" s="49" t="str">
        <f>IFERROR(__xludf.DUMMYFUNCTION("REGEXEXTRACT(A1447,""^cost\.(.*)\.[^.]+\.[^.]+$"")"),"collection.gallery_3@3")</f>
        <v>collection.gallery_3@3</v>
      </c>
      <c r="C1447" s="49" t="str">
        <f t="array" ref="C1447">_xlfn.XLOOKUP(
 B1447,
 tblTargets[TargetID],
 tblTargets[DisplayName],
 ""
)</f>
        <v>Gallery 3 Lv 3</v>
      </c>
      <c r="D1447" s="49" t="str">
        <f t="array" ref="D1447">_xlfn.XLOOKUP(
 B1447,
 tblTargets[TargetID],
 tblTargets[TargetType],
 ""
)</f>
        <v>COLLECTION</v>
      </c>
      <c r="E1447" s="49" t="s">
        <v>1282</v>
      </c>
      <c r="F1447" s="87">
        <f>IFERROR(__xludf.DUMMYFUNCTION("VALUE(REGEXEXTRACT(A1447,""([^.]+)$""))"),1.0)</f>
        <v>1</v>
      </c>
      <c r="G1447" s="49">
        <v>15.0</v>
      </c>
      <c r="H1447" s="26" t="b">
        <f>COUNTIFS(
 tblCostChecklist[RequirementID],A1447,
 tblCostChecklist[PlayerPaid],TRUE
)&gt;0</f>
        <v>0</v>
      </c>
      <c r="I1447" s="49">
        <f t="shared" si="1"/>
        <v>5</v>
      </c>
      <c r="J1447" s="49">
        <f t="shared" si="2"/>
        <v>0</v>
      </c>
      <c r="K1447" s="49">
        <f t="shared" si="3"/>
        <v>5</v>
      </c>
      <c r="L1447" s="49" t="b">
        <f t="shared" si="4"/>
        <v>0</v>
      </c>
      <c r="M1447" s="88">
        <f t="shared" si="5"/>
        <v>0</v>
      </c>
    </row>
    <row r="1448" ht="14.25" customHeight="1">
      <c r="A1448" s="49" t="s">
        <v>2572</v>
      </c>
      <c r="B1448" s="49" t="str">
        <f>IFERROR(__xludf.DUMMYFUNCTION("REGEXEXTRACT(A1448,""^cost\.(.*)\.[^.]+\.[^.]+$"")"),"collection.gallery_3@3")</f>
        <v>collection.gallery_3@3</v>
      </c>
      <c r="C1448" s="49" t="str">
        <f t="array" ref="C1448">_xlfn.XLOOKUP(
 B1448,
 tblTargets[TargetID],
 tblTargets[DisplayName],
 ""
)</f>
        <v>Gallery 3 Lv 3</v>
      </c>
      <c r="D1448" s="49" t="str">
        <f t="array" ref="D1448">_xlfn.XLOOKUP(
 B1448,
 tblTargets[TargetID],
 tblTargets[TargetType],
 ""
)</f>
        <v>COLLECTION</v>
      </c>
      <c r="E1448" s="49" t="s">
        <v>1606</v>
      </c>
      <c r="F1448" s="87">
        <f>IFERROR(__xludf.DUMMYFUNCTION("VALUE(REGEXEXTRACT(A1448,""([^.]+)$""))"),1.0)</f>
        <v>1</v>
      </c>
      <c r="G1448" s="49">
        <v>15.0</v>
      </c>
      <c r="H1448" s="26" t="b">
        <f>COUNTIFS(
 tblCostChecklist[RequirementID],A1448,
 tblCostChecklist[PlayerPaid],TRUE
)&gt;0</f>
        <v>0</v>
      </c>
      <c r="I1448" s="49">
        <f t="shared" si="1"/>
        <v>5</v>
      </c>
      <c r="J1448" s="49">
        <f t="shared" si="2"/>
        <v>0</v>
      </c>
      <c r="K1448" s="49">
        <f t="shared" si="3"/>
        <v>5</v>
      </c>
      <c r="L1448" s="49" t="b">
        <f t="shared" si="4"/>
        <v>0</v>
      </c>
      <c r="M1448" s="88">
        <f t="shared" si="5"/>
        <v>0</v>
      </c>
    </row>
    <row r="1449" ht="14.25" customHeight="1">
      <c r="A1449" s="49" t="s">
        <v>2573</v>
      </c>
      <c r="B1449" s="49" t="str">
        <f>IFERROR(__xludf.DUMMYFUNCTION("REGEXEXTRACT(A1449,""^cost\.(.*)\.[^.]+\.[^.]+$"")"),"collection.gallery_3@3")</f>
        <v>collection.gallery_3@3</v>
      </c>
      <c r="C1449" s="49" t="str">
        <f t="array" ref="C1449">_xlfn.XLOOKUP(
 B1449,
 tblTargets[TargetID],
 tblTargets[DisplayName],
 ""
)</f>
        <v>Gallery 3 Lv 3</v>
      </c>
      <c r="D1449" s="49" t="str">
        <f t="array" ref="D1449">_xlfn.XLOOKUP(
 B1449,
 tblTargets[TargetID],
 tblTargets[TargetType],
 ""
)</f>
        <v>COLLECTION</v>
      </c>
      <c r="E1449" s="49" t="s">
        <v>2308</v>
      </c>
      <c r="F1449" s="87">
        <f>IFERROR(__xludf.DUMMYFUNCTION("VALUE(REGEXEXTRACT(A1449,""([^.]+)$""))"),1.0)</f>
        <v>1</v>
      </c>
      <c r="G1449" s="49">
        <v>15.0</v>
      </c>
      <c r="H1449" s="26" t="b">
        <f>COUNTIFS(
 tblCostChecklist[RequirementID],A1449,
 tblCostChecklist[PlayerPaid],TRUE
)&gt;0</f>
        <v>0</v>
      </c>
      <c r="I1449" s="49">
        <f t="shared" si="1"/>
        <v>5</v>
      </c>
      <c r="J1449" s="49">
        <f t="shared" si="2"/>
        <v>0</v>
      </c>
      <c r="K1449" s="49">
        <f t="shared" si="3"/>
        <v>5</v>
      </c>
      <c r="L1449" s="49" t="b">
        <f t="shared" si="4"/>
        <v>0</v>
      </c>
      <c r="M1449" s="88">
        <f t="shared" si="5"/>
        <v>0</v>
      </c>
    </row>
    <row r="1450" ht="14.25" customHeight="1">
      <c r="A1450" s="49" t="s">
        <v>2574</v>
      </c>
      <c r="B1450" s="49" t="str">
        <f>IFERROR(__xludf.DUMMYFUNCTION("REGEXEXTRACT(A1450,""^cost\.(.*)\.[^.]+\.[^.]+$"")"),"collection.gallery_3@4")</f>
        <v>collection.gallery_3@4</v>
      </c>
      <c r="C1450" s="49" t="str">
        <f t="array" ref="C1450">_xlfn.XLOOKUP(
 B1450,
 tblTargets[TargetID],
 tblTargets[DisplayName],
 ""
)</f>
        <v>Gallery 3 Lv 4</v>
      </c>
      <c r="D1450" s="49" t="str">
        <f t="array" ref="D1450">_xlfn.XLOOKUP(
 B1450,
 tblTargets[TargetID],
 tblTargets[TargetType],
 ""
)</f>
        <v>COLLECTION</v>
      </c>
      <c r="E1450" s="49" t="s">
        <v>1497</v>
      </c>
      <c r="F1450" s="87">
        <f>IFERROR(__xludf.DUMMYFUNCTION("VALUE(REGEXEXTRACT(A1450,""([^.]+)$""))"),1.0)</f>
        <v>1</v>
      </c>
      <c r="G1450" s="49">
        <v>20.0</v>
      </c>
      <c r="H1450" s="26" t="b">
        <f>COUNTIFS(
 tblCostChecklist[RequirementID],A1450,
 tblCostChecklist[PlayerPaid],TRUE
)&gt;0</f>
        <v>0</v>
      </c>
      <c r="I1450" s="49">
        <f t="shared" si="1"/>
        <v>5</v>
      </c>
      <c r="J1450" s="49">
        <f t="shared" si="2"/>
        <v>0</v>
      </c>
      <c r="K1450" s="49">
        <f t="shared" si="3"/>
        <v>5</v>
      </c>
      <c r="L1450" s="49" t="b">
        <f t="shared" si="4"/>
        <v>0</v>
      </c>
      <c r="M1450" s="88">
        <f t="shared" si="5"/>
        <v>0</v>
      </c>
    </row>
    <row r="1451" ht="14.25" customHeight="1">
      <c r="A1451" s="49" t="s">
        <v>2575</v>
      </c>
      <c r="B1451" s="49" t="str">
        <f>IFERROR(__xludf.DUMMYFUNCTION("REGEXEXTRACT(A1451,""^cost\.(.*)\.[^.]+\.[^.]+$"")"),"collection.gallery_3@4")</f>
        <v>collection.gallery_3@4</v>
      </c>
      <c r="C1451" s="49" t="str">
        <f t="array" ref="C1451">_xlfn.XLOOKUP(
 B1451,
 tblTargets[TargetID],
 tblTargets[DisplayName],
 ""
)</f>
        <v>Gallery 3 Lv 4</v>
      </c>
      <c r="D1451" s="49" t="str">
        <f t="array" ref="D1451">_xlfn.XLOOKUP(
 B1451,
 tblTargets[TargetID],
 tblTargets[TargetType],
 ""
)</f>
        <v>COLLECTION</v>
      </c>
      <c r="E1451" s="49" t="s">
        <v>1583</v>
      </c>
      <c r="F1451" s="87">
        <f>IFERROR(__xludf.DUMMYFUNCTION("VALUE(REGEXEXTRACT(A1451,""([^.]+)$""))"),1.0)</f>
        <v>1</v>
      </c>
      <c r="G1451" s="49">
        <v>20.0</v>
      </c>
      <c r="H1451" s="26" t="b">
        <f>COUNTIFS(
 tblCostChecklist[RequirementID],A1451,
 tblCostChecklist[PlayerPaid],TRUE
)&gt;0</f>
        <v>0</v>
      </c>
      <c r="I1451" s="49">
        <f t="shared" si="1"/>
        <v>5</v>
      </c>
      <c r="J1451" s="49">
        <f t="shared" si="2"/>
        <v>0</v>
      </c>
      <c r="K1451" s="49">
        <f t="shared" si="3"/>
        <v>5</v>
      </c>
      <c r="L1451" s="49" t="b">
        <f t="shared" si="4"/>
        <v>0</v>
      </c>
      <c r="M1451" s="88">
        <f t="shared" si="5"/>
        <v>0</v>
      </c>
    </row>
    <row r="1452" ht="14.25" customHeight="1">
      <c r="A1452" s="49" t="s">
        <v>2576</v>
      </c>
      <c r="B1452" s="49" t="str">
        <f>IFERROR(__xludf.DUMMYFUNCTION("REGEXEXTRACT(A1452,""^cost\.(.*)\.[^.]+\.[^.]+$"")"),"collection.gallery_3@4")</f>
        <v>collection.gallery_3@4</v>
      </c>
      <c r="C1452" s="49" t="str">
        <f t="array" ref="C1452">_xlfn.XLOOKUP(
 B1452,
 tblTargets[TargetID],
 tblTargets[DisplayName],
 ""
)</f>
        <v>Gallery 3 Lv 4</v>
      </c>
      <c r="D1452" s="49" t="str">
        <f t="array" ref="D1452">_xlfn.XLOOKUP(
 B1452,
 tblTargets[TargetID],
 tblTargets[TargetType],
 ""
)</f>
        <v>COLLECTION</v>
      </c>
      <c r="E1452" s="49" t="s">
        <v>1282</v>
      </c>
      <c r="F1452" s="87">
        <f>IFERROR(__xludf.DUMMYFUNCTION("VALUE(REGEXEXTRACT(A1452,""([^.]+)$""))"),1.0)</f>
        <v>1</v>
      </c>
      <c r="G1452" s="49">
        <v>20.0</v>
      </c>
      <c r="H1452" s="26" t="b">
        <f>COUNTIFS(
 tblCostChecklist[RequirementID],A1452,
 tblCostChecklist[PlayerPaid],TRUE
)&gt;0</f>
        <v>0</v>
      </c>
      <c r="I1452" s="49">
        <f t="shared" si="1"/>
        <v>5</v>
      </c>
      <c r="J1452" s="49">
        <f t="shared" si="2"/>
        <v>0</v>
      </c>
      <c r="K1452" s="49">
        <f t="shared" si="3"/>
        <v>5</v>
      </c>
      <c r="L1452" s="49" t="b">
        <f t="shared" si="4"/>
        <v>0</v>
      </c>
      <c r="M1452" s="88">
        <f t="shared" si="5"/>
        <v>0</v>
      </c>
    </row>
    <row r="1453" ht="14.25" customHeight="1">
      <c r="A1453" s="49" t="s">
        <v>2577</v>
      </c>
      <c r="B1453" s="49" t="str">
        <f>IFERROR(__xludf.DUMMYFUNCTION("REGEXEXTRACT(A1453,""^cost\.(.*)\.[^.]+\.[^.]+$"")"),"collection.gallery_3@4")</f>
        <v>collection.gallery_3@4</v>
      </c>
      <c r="C1453" s="49" t="str">
        <f t="array" ref="C1453">_xlfn.XLOOKUP(
 B1453,
 tblTargets[TargetID],
 tblTargets[DisplayName],
 ""
)</f>
        <v>Gallery 3 Lv 4</v>
      </c>
      <c r="D1453" s="49" t="str">
        <f t="array" ref="D1453">_xlfn.XLOOKUP(
 B1453,
 tblTargets[TargetID],
 tblTargets[TargetType],
 ""
)</f>
        <v>COLLECTION</v>
      </c>
      <c r="E1453" s="49" t="s">
        <v>1606</v>
      </c>
      <c r="F1453" s="87">
        <f>IFERROR(__xludf.DUMMYFUNCTION("VALUE(REGEXEXTRACT(A1453,""([^.]+)$""))"),1.0)</f>
        <v>1</v>
      </c>
      <c r="G1453" s="49">
        <v>20.0</v>
      </c>
      <c r="H1453" s="26" t="b">
        <f>COUNTIFS(
 tblCostChecklist[RequirementID],A1453,
 tblCostChecklist[PlayerPaid],TRUE
)&gt;0</f>
        <v>0</v>
      </c>
      <c r="I1453" s="49">
        <f t="shared" si="1"/>
        <v>5</v>
      </c>
      <c r="J1453" s="49">
        <f t="shared" si="2"/>
        <v>0</v>
      </c>
      <c r="K1453" s="49">
        <f t="shared" si="3"/>
        <v>5</v>
      </c>
      <c r="L1453" s="49" t="b">
        <f t="shared" si="4"/>
        <v>0</v>
      </c>
      <c r="M1453" s="88">
        <f t="shared" si="5"/>
        <v>0</v>
      </c>
    </row>
    <row r="1454" ht="14.25" customHeight="1">
      <c r="A1454" s="49" t="s">
        <v>2578</v>
      </c>
      <c r="B1454" s="49" t="str">
        <f>IFERROR(__xludf.DUMMYFUNCTION("REGEXEXTRACT(A1454,""^cost\.(.*)\.[^.]+\.[^.]+$"")"),"collection.gallery_3@4")</f>
        <v>collection.gallery_3@4</v>
      </c>
      <c r="C1454" s="49" t="str">
        <f t="array" ref="C1454">_xlfn.XLOOKUP(
 B1454,
 tblTargets[TargetID],
 tblTargets[DisplayName],
 ""
)</f>
        <v>Gallery 3 Lv 4</v>
      </c>
      <c r="D1454" s="49" t="str">
        <f t="array" ref="D1454">_xlfn.XLOOKUP(
 B1454,
 tblTargets[TargetID],
 tblTargets[TargetType],
 ""
)</f>
        <v>COLLECTION</v>
      </c>
      <c r="E1454" s="49" t="s">
        <v>2308</v>
      </c>
      <c r="F1454" s="87">
        <f>IFERROR(__xludf.DUMMYFUNCTION("VALUE(REGEXEXTRACT(A1454,""([^.]+)$""))"),1.0)</f>
        <v>1</v>
      </c>
      <c r="G1454" s="49">
        <v>20.0</v>
      </c>
      <c r="H1454" s="26" t="b">
        <f>COUNTIFS(
 tblCostChecklist[RequirementID],A1454,
 tblCostChecklist[PlayerPaid],TRUE
)&gt;0</f>
        <v>0</v>
      </c>
      <c r="I1454" s="49">
        <f t="shared" si="1"/>
        <v>5</v>
      </c>
      <c r="J1454" s="49">
        <f t="shared" si="2"/>
        <v>0</v>
      </c>
      <c r="K1454" s="49">
        <f t="shared" si="3"/>
        <v>5</v>
      </c>
      <c r="L1454" s="49" t="b">
        <f t="shared" si="4"/>
        <v>0</v>
      </c>
      <c r="M1454" s="88">
        <f t="shared" si="5"/>
        <v>0</v>
      </c>
    </row>
    <row r="1455" ht="14.25" customHeight="1">
      <c r="A1455" s="49" t="s">
        <v>2579</v>
      </c>
      <c r="B1455" s="49" t="str">
        <f>IFERROR(__xludf.DUMMYFUNCTION("REGEXEXTRACT(A1455,""^cost\.(.*)\.[^.]+\.[^.]+$"")"),"collection.gallery_3@5")</f>
        <v>collection.gallery_3@5</v>
      </c>
      <c r="C1455" s="49" t="str">
        <f t="array" ref="C1455">_xlfn.XLOOKUP(
 B1455,
 tblTargets[TargetID],
 tblTargets[DisplayName],
 ""
)</f>
        <v>Gallery 3 Lv 5</v>
      </c>
      <c r="D1455" s="49" t="str">
        <f t="array" ref="D1455">_xlfn.XLOOKUP(
 B1455,
 tblTargets[TargetID],
 tblTargets[TargetType],
 ""
)</f>
        <v>COLLECTION</v>
      </c>
      <c r="E1455" s="49" t="s">
        <v>1497</v>
      </c>
      <c r="F1455" s="87">
        <f>IFERROR(__xludf.DUMMYFUNCTION("VALUE(REGEXEXTRACT(A1455,""([^.]+)$""))"),1.0)</f>
        <v>1</v>
      </c>
      <c r="G1455" s="49">
        <v>25.0</v>
      </c>
      <c r="H1455" s="26" t="b">
        <f>COUNTIFS(
 tblCostChecklist[RequirementID],A1455,
 tblCostChecklist[PlayerPaid],TRUE
)&gt;0</f>
        <v>0</v>
      </c>
      <c r="I1455" s="49">
        <f t="shared" si="1"/>
        <v>5</v>
      </c>
      <c r="J1455" s="49">
        <f t="shared" si="2"/>
        <v>0</v>
      </c>
      <c r="K1455" s="49">
        <f t="shared" si="3"/>
        <v>5</v>
      </c>
      <c r="L1455" s="49" t="b">
        <f t="shared" si="4"/>
        <v>0</v>
      </c>
      <c r="M1455" s="88">
        <f t="shared" si="5"/>
        <v>0</v>
      </c>
    </row>
    <row r="1456" ht="14.25" customHeight="1">
      <c r="A1456" s="49" t="s">
        <v>2580</v>
      </c>
      <c r="B1456" s="49" t="str">
        <f>IFERROR(__xludf.DUMMYFUNCTION("REGEXEXTRACT(A1456,""^cost\.(.*)\.[^.]+\.[^.]+$"")"),"collection.gallery_3@5")</f>
        <v>collection.gallery_3@5</v>
      </c>
      <c r="C1456" s="49" t="str">
        <f t="array" ref="C1456">_xlfn.XLOOKUP(
 B1456,
 tblTargets[TargetID],
 tblTargets[DisplayName],
 ""
)</f>
        <v>Gallery 3 Lv 5</v>
      </c>
      <c r="D1456" s="49" t="str">
        <f t="array" ref="D1456">_xlfn.XLOOKUP(
 B1456,
 tblTargets[TargetID],
 tblTargets[TargetType],
 ""
)</f>
        <v>COLLECTION</v>
      </c>
      <c r="E1456" s="49" t="s">
        <v>1583</v>
      </c>
      <c r="F1456" s="87">
        <f>IFERROR(__xludf.DUMMYFUNCTION("VALUE(REGEXEXTRACT(A1456,""([^.]+)$""))"),1.0)</f>
        <v>1</v>
      </c>
      <c r="G1456" s="49">
        <v>25.0</v>
      </c>
      <c r="H1456" s="26" t="b">
        <f>COUNTIFS(
 tblCostChecklist[RequirementID],A1456,
 tblCostChecklist[PlayerPaid],TRUE
)&gt;0</f>
        <v>0</v>
      </c>
      <c r="I1456" s="49">
        <f t="shared" si="1"/>
        <v>5</v>
      </c>
      <c r="J1456" s="49">
        <f t="shared" si="2"/>
        <v>0</v>
      </c>
      <c r="K1456" s="49">
        <f t="shared" si="3"/>
        <v>5</v>
      </c>
      <c r="L1456" s="49" t="b">
        <f t="shared" si="4"/>
        <v>0</v>
      </c>
      <c r="M1456" s="88">
        <f t="shared" si="5"/>
        <v>0</v>
      </c>
    </row>
    <row r="1457" ht="14.25" customHeight="1">
      <c r="A1457" s="49" t="s">
        <v>2581</v>
      </c>
      <c r="B1457" s="49" t="str">
        <f>IFERROR(__xludf.DUMMYFUNCTION("REGEXEXTRACT(A1457,""^cost\.(.*)\.[^.]+\.[^.]+$"")"),"collection.gallery_3@5")</f>
        <v>collection.gallery_3@5</v>
      </c>
      <c r="C1457" s="49" t="str">
        <f t="array" ref="C1457">_xlfn.XLOOKUP(
 B1457,
 tblTargets[TargetID],
 tblTargets[DisplayName],
 ""
)</f>
        <v>Gallery 3 Lv 5</v>
      </c>
      <c r="D1457" s="49" t="str">
        <f t="array" ref="D1457">_xlfn.XLOOKUP(
 B1457,
 tblTargets[TargetID],
 tblTargets[TargetType],
 ""
)</f>
        <v>COLLECTION</v>
      </c>
      <c r="E1457" s="49" t="s">
        <v>1282</v>
      </c>
      <c r="F1457" s="87">
        <f>IFERROR(__xludf.DUMMYFUNCTION("VALUE(REGEXEXTRACT(A1457,""([^.]+)$""))"),1.0)</f>
        <v>1</v>
      </c>
      <c r="G1457" s="49">
        <v>25.0</v>
      </c>
      <c r="H1457" s="26" t="b">
        <f>COUNTIFS(
 tblCostChecklist[RequirementID],A1457,
 tblCostChecklist[PlayerPaid],TRUE
)&gt;0</f>
        <v>0</v>
      </c>
      <c r="I1457" s="49">
        <f t="shared" si="1"/>
        <v>5</v>
      </c>
      <c r="J1457" s="49">
        <f t="shared" si="2"/>
        <v>0</v>
      </c>
      <c r="K1457" s="49">
        <f t="shared" si="3"/>
        <v>5</v>
      </c>
      <c r="L1457" s="49" t="b">
        <f t="shared" si="4"/>
        <v>0</v>
      </c>
      <c r="M1457" s="88">
        <f t="shared" si="5"/>
        <v>0</v>
      </c>
    </row>
    <row r="1458" ht="14.25" customHeight="1">
      <c r="A1458" s="49" t="s">
        <v>2582</v>
      </c>
      <c r="B1458" s="49" t="str">
        <f>IFERROR(__xludf.DUMMYFUNCTION("REGEXEXTRACT(A1458,""^cost\.(.*)\.[^.]+\.[^.]+$"")"),"collection.gallery_3@5")</f>
        <v>collection.gallery_3@5</v>
      </c>
      <c r="C1458" s="49" t="str">
        <f t="array" ref="C1458">_xlfn.XLOOKUP(
 B1458,
 tblTargets[TargetID],
 tblTargets[DisplayName],
 ""
)</f>
        <v>Gallery 3 Lv 5</v>
      </c>
      <c r="D1458" s="49" t="str">
        <f t="array" ref="D1458">_xlfn.XLOOKUP(
 B1458,
 tblTargets[TargetID],
 tblTargets[TargetType],
 ""
)</f>
        <v>COLLECTION</v>
      </c>
      <c r="E1458" s="49" t="s">
        <v>1606</v>
      </c>
      <c r="F1458" s="87">
        <f>IFERROR(__xludf.DUMMYFUNCTION("VALUE(REGEXEXTRACT(A1458,""([^.]+)$""))"),1.0)</f>
        <v>1</v>
      </c>
      <c r="G1458" s="49">
        <v>25.0</v>
      </c>
      <c r="H1458" s="26" t="b">
        <f>COUNTIFS(
 tblCostChecklist[RequirementID],A1458,
 tblCostChecklist[PlayerPaid],TRUE
)&gt;0</f>
        <v>0</v>
      </c>
      <c r="I1458" s="49">
        <f t="shared" si="1"/>
        <v>5</v>
      </c>
      <c r="J1458" s="49">
        <f t="shared" si="2"/>
        <v>0</v>
      </c>
      <c r="K1458" s="49">
        <f t="shared" si="3"/>
        <v>5</v>
      </c>
      <c r="L1458" s="49" t="b">
        <f t="shared" si="4"/>
        <v>0</v>
      </c>
      <c r="M1458" s="88">
        <f t="shared" si="5"/>
        <v>0</v>
      </c>
    </row>
    <row r="1459" ht="14.25" customHeight="1">
      <c r="A1459" s="49" t="s">
        <v>2583</v>
      </c>
      <c r="B1459" s="49" t="str">
        <f>IFERROR(__xludf.DUMMYFUNCTION("REGEXEXTRACT(A1459,""^cost\.(.*)\.[^.]+\.[^.]+$"")"),"collection.gallery_3@5")</f>
        <v>collection.gallery_3@5</v>
      </c>
      <c r="C1459" s="49" t="str">
        <f t="array" ref="C1459">_xlfn.XLOOKUP(
 B1459,
 tblTargets[TargetID],
 tblTargets[DisplayName],
 ""
)</f>
        <v>Gallery 3 Lv 5</v>
      </c>
      <c r="D1459" s="49" t="str">
        <f t="array" ref="D1459">_xlfn.XLOOKUP(
 B1459,
 tblTargets[TargetID],
 tblTargets[TargetType],
 ""
)</f>
        <v>COLLECTION</v>
      </c>
      <c r="E1459" s="49" t="s">
        <v>2308</v>
      </c>
      <c r="F1459" s="87">
        <f>IFERROR(__xludf.DUMMYFUNCTION("VALUE(REGEXEXTRACT(A1459,""([^.]+)$""))"),1.0)</f>
        <v>1</v>
      </c>
      <c r="G1459" s="49">
        <v>25.0</v>
      </c>
      <c r="H1459" s="26" t="b">
        <f>COUNTIFS(
 tblCostChecklist[RequirementID],A1459,
 tblCostChecklist[PlayerPaid],TRUE
)&gt;0</f>
        <v>0</v>
      </c>
      <c r="I1459" s="49">
        <f t="shared" si="1"/>
        <v>5</v>
      </c>
      <c r="J1459" s="49">
        <f t="shared" si="2"/>
        <v>0</v>
      </c>
      <c r="K1459" s="49">
        <f t="shared" si="3"/>
        <v>5</v>
      </c>
      <c r="L1459" s="49" t="b">
        <f t="shared" si="4"/>
        <v>0</v>
      </c>
      <c r="M1459" s="88">
        <f t="shared" si="5"/>
        <v>0</v>
      </c>
    </row>
    <row r="1460" ht="14.25" customHeight="1">
      <c r="A1460" s="49" t="s">
        <v>2584</v>
      </c>
      <c r="B1460" s="49" t="str">
        <f>IFERROR(__xludf.DUMMYFUNCTION("REGEXEXTRACT(A1460,""^cost\.(.*)\.[^.]+\.[^.]+$"")"),"collection.historical_library_1@1")</f>
        <v>collection.historical_library_1@1</v>
      </c>
      <c r="C1460" s="49" t="str">
        <f t="array" ref="C1460">_xlfn.XLOOKUP(
 B1460,
 tblTargets[TargetID],
 tblTargets[DisplayName],
 ""
)</f>
        <v>Historical Library 1 Lv 1</v>
      </c>
      <c r="D1460" s="49" t="str">
        <f t="array" ref="D1460">_xlfn.XLOOKUP(
 B1460,
 tblTargets[TargetID],
 tblTargets[TargetType],
 ""
)</f>
        <v>COLLECTION</v>
      </c>
      <c r="E1460" s="49" t="s">
        <v>1055</v>
      </c>
      <c r="F1460" s="87">
        <f>IFERROR(__xludf.DUMMYFUNCTION("VALUE(REGEXEXTRACT(A1460,""([^.]+)$""))"),1.0)</f>
        <v>1</v>
      </c>
      <c r="G1460" s="49">
        <v>20.0</v>
      </c>
      <c r="H1460" s="26" t="b">
        <f>COUNTIFS(
 tblCostChecklist[RequirementID],A1460,
 tblCostChecklist[PlayerPaid],TRUE
)&gt;0</f>
        <v>0</v>
      </c>
      <c r="I1460" s="49">
        <f t="shared" si="1"/>
        <v>4</v>
      </c>
      <c r="J1460" s="49">
        <f t="shared" si="2"/>
        <v>0</v>
      </c>
      <c r="K1460" s="49">
        <f t="shared" si="3"/>
        <v>4</v>
      </c>
      <c r="L1460" s="49" t="b">
        <f t="shared" si="4"/>
        <v>0</v>
      </c>
      <c r="M1460" s="88">
        <f t="shared" si="5"/>
        <v>0</v>
      </c>
    </row>
    <row r="1461" ht="14.25" customHeight="1">
      <c r="A1461" s="49" t="s">
        <v>2585</v>
      </c>
      <c r="B1461" s="49" t="str">
        <f>IFERROR(__xludf.DUMMYFUNCTION("REGEXEXTRACT(A1461,""^cost\.(.*)\.[^.]+\.[^.]+$"")"),"collection.historical_library_1@1")</f>
        <v>collection.historical_library_1@1</v>
      </c>
      <c r="C1461" s="49" t="str">
        <f t="array" ref="C1461">_xlfn.XLOOKUP(
 B1461,
 tblTargets[TargetID],
 tblTargets[DisplayName],
 ""
)</f>
        <v>Historical Library 1 Lv 1</v>
      </c>
      <c r="D1461" s="49" t="str">
        <f t="array" ref="D1461">_xlfn.XLOOKUP(
 B1461,
 tblTargets[TargetID],
 tblTargets[TargetType],
 ""
)</f>
        <v>COLLECTION</v>
      </c>
      <c r="E1461" s="49" t="s">
        <v>530</v>
      </c>
      <c r="F1461" s="87">
        <f>IFERROR(__xludf.DUMMYFUNCTION("VALUE(REGEXEXTRACT(A1461,""([^.]+)$""))"),1.0)</f>
        <v>1</v>
      </c>
      <c r="G1461" s="49">
        <v>10.0</v>
      </c>
      <c r="H1461" s="26" t="b">
        <f>COUNTIFS(
 tblCostChecklist[RequirementID],A1461,
 tblCostChecklist[PlayerPaid],TRUE
)&gt;0</f>
        <v>0</v>
      </c>
      <c r="I1461" s="49">
        <f t="shared" si="1"/>
        <v>4</v>
      </c>
      <c r="J1461" s="49">
        <f t="shared" si="2"/>
        <v>0</v>
      </c>
      <c r="K1461" s="49">
        <f t="shared" si="3"/>
        <v>4</v>
      </c>
      <c r="L1461" s="49" t="b">
        <f t="shared" si="4"/>
        <v>0</v>
      </c>
      <c r="M1461" s="88">
        <f t="shared" si="5"/>
        <v>0</v>
      </c>
    </row>
    <row r="1462" ht="14.25" customHeight="1">
      <c r="A1462" s="49" t="s">
        <v>2586</v>
      </c>
      <c r="B1462" s="49" t="str">
        <f>IFERROR(__xludf.DUMMYFUNCTION("REGEXEXTRACT(A1462,""^cost\.(.*)\.[^.]+\.[^.]+$"")"),"collection.historical_library_1@1")</f>
        <v>collection.historical_library_1@1</v>
      </c>
      <c r="C1462" s="49" t="str">
        <f t="array" ref="C1462">_xlfn.XLOOKUP(
 B1462,
 tblTargets[TargetID],
 tblTargets[DisplayName],
 ""
)</f>
        <v>Historical Library 1 Lv 1</v>
      </c>
      <c r="D1462" s="49" t="str">
        <f t="array" ref="D1462">_xlfn.XLOOKUP(
 B1462,
 tblTargets[TargetID],
 tblTargets[TargetType],
 ""
)</f>
        <v>COLLECTION</v>
      </c>
      <c r="E1462" s="49" t="s">
        <v>132</v>
      </c>
      <c r="F1462" s="87">
        <f>IFERROR(__xludf.DUMMYFUNCTION("VALUE(REGEXEXTRACT(A1462,""([^.]+)$""))"),1.0)</f>
        <v>1</v>
      </c>
      <c r="G1462" s="49">
        <v>30.0</v>
      </c>
      <c r="H1462" s="26" t="b">
        <f>COUNTIFS(
 tblCostChecklist[RequirementID],A1462,
 tblCostChecklist[PlayerPaid],TRUE
)&gt;0</f>
        <v>0</v>
      </c>
      <c r="I1462" s="49">
        <f t="shared" si="1"/>
        <v>4</v>
      </c>
      <c r="J1462" s="49">
        <f t="shared" si="2"/>
        <v>0</v>
      </c>
      <c r="K1462" s="49">
        <f t="shared" si="3"/>
        <v>4</v>
      </c>
      <c r="L1462" s="49" t="b">
        <f t="shared" si="4"/>
        <v>0</v>
      </c>
      <c r="M1462" s="88">
        <f t="shared" si="5"/>
        <v>0</v>
      </c>
    </row>
    <row r="1463" ht="14.25" customHeight="1">
      <c r="A1463" s="49" t="s">
        <v>2587</v>
      </c>
      <c r="B1463" s="49" t="str">
        <f>IFERROR(__xludf.DUMMYFUNCTION("REGEXEXTRACT(A1463,""^cost\.(.*)\.[^.]+\.[^.]+$"")"),"collection.historical_library_1@1")</f>
        <v>collection.historical_library_1@1</v>
      </c>
      <c r="C1463" s="49" t="str">
        <f t="array" ref="C1463">_xlfn.XLOOKUP(
 B1463,
 tblTargets[TargetID],
 tblTargets[DisplayName],
 ""
)</f>
        <v>Historical Library 1 Lv 1</v>
      </c>
      <c r="D1463" s="49" t="str">
        <f t="array" ref="D1463">_xlfn.XLOOKUP(
 B1463,
 tblTargets[TargetID],
 tblTargets[TargetType],
 ""
)</f>
        <v>COLLECTION</v>
      </c>
      <c r="E1463" s="49" t="s">
        <v>2007</v>
      </c>
      <c r="F1463" s="87">
        <f>IFERROR(__xludf.DUMMYFUNCTION("VALUE(REGEXEXTRACT(A1463,""([^.]+)$""))"),1.0)</f>
        <v>1</v>
      </c>
      <c r="G1463" s="49">
        <v>1.0</v>
      </c>
      <c r="H1463" s="26" t="b">
        <f>COUNTIFS(
 tblCostChecklist[RequirementID],A1463,
 tblCostChecklist[PlayerPaid],TRUE
)&gt;0</f>
        <v>0</v>
      </c>
      <c r="I1463" s="49">
        <f t="shared" si="1"/>
        <v>4</v>
      </c>
      <c r="J1463" s="49">
        <f t="shared" si="2"/>
        <v>0</v>
      </c>
      <c r="K1463" s="49">
        <f t="shared" si="3"/>
        <v>4</v>
      </c>
      <c r="L1463" s="49" t="b">
        <f t="shared" si="4"/>
        <v>0</v>
      </c>
      <c r="M1463" s="88">
        <f t="shared" si="5"/>
        <v>0</v>
      </c>
    </row>
    <row r="1464" ht="14.25" customHeight="1">
      <c r="A1464" s="49" t="s">
        <v>2588</v>
      </c>
      <c r="B1464" s="49" t="str">
        <f>IFERROR(__xludf.DUMMYFUNCTION("REGEXEXTRACT(A1464,""^cost\.(.*)\.[^.]+\.[^.]+$"")"),"collection.historical_library_1@2")</f>
        <v>collection.historical_library_1@2</v>
      </c>
      <c r="C1464" s="49" t="str">
        <f t="array" ref="C1464">_xlfn.XLOOKUP(
 B1464,
 tblTargets[TargetID],
 tblTargets[DisplayName],
 ""
)</f>
        <v>Historical Library 1 Lv 2</v>
      </c>
      <c r="D1464" s="49" t="str">
        <f t="array" ref="D1464">_xlfn.XLOOKUP(
 B1464,
 tblTargets[TargetID],
 tblTargets[TargetType],
 ""
)</f>
        <v>COLLECTION</v>
      </c>
      <c r="E1464" s="49" t="s">
        <v>1055</v>
      </c>
      <c r="F1464" s="87">
        <f>IFERROR(__xludf.DUMMYFUNCTION("VALUE(REGEXEXTRACT(A1464,""([^.]+)$""))"),1.0)</f>
        <v>1</v>
      </c>
      <c r="G1464" s="49">
        <v>40.0</v>
      </c>
      <c r="H1464" s="26" t="b">
        <f>COUNTIFS(
 tblCostChecklist[RequirementID],A1464,
 tblCostChecklist[PlayerPaid],TRUE
)&gt;0</f>
        <v>0</v>
      </c>
      <c r="I1464" s="49">
        <f t="shared" si="1"/>
        <v>4</v>
      </c>
      <c r="J1464" s="49">
        <f t="shared" si="2"/>
        <v>0</v>
      </c>
      <c r="K1464" s="49">
        <f t="shared" si="3"/>
        <v>4</v>
      </c>
      <c r="L1464" s="49" t="b">
        <f t="shared" si="4"/>
        <v>0</v>
      </c>
      <c r="M1464" s="88">
        <f t="shared" si="5"/>
        <v>0</v>
      </c>
    </row>
    <row r="1465" ht="14.25" customHeight="1">
      <c r="A1465" s="49" t="s">
        <v>2589</v>
      </c>
      <c r="B1465" s="49" t="str">
        <f>IFERROR(__xludf.DUMMYFUNCTION("REGEXEXTRACT(A1465,""^cost\.(.*)\.[^.]+\.[^.]+$"")"),"collection.historical_library_1@2")</f>
        <v>collection.historical_library_1@2</v>
      </c>
      <c r="C1465" s="49" t="str">
        <f t="array" ref="C1465">_xlfn.XLOOKUP(
 B1465,
 tblTargets[TargetID],
 tblTargets[DisplayName],
 ""
)</f>
        <v>Historical Library 1 Lv 2</v>
      </c>
      <c r="D1465" s="49" t="str">
        <f t="array" ref="D1465">_xlfn.XLOOKUP(
 B1465,
 tblTargets[TargetID],
 tblTargets[TargetType],
 ""
)</f>
        <v>COLLECTION</v>
      </c>
      <c r="E1465" s="49" t="s">
        <v>530</v>
      </c>
      <c r="F1465" s="87">
        <f>IFERROR(__xludf.DUMMYFUNCTION("VALUE(REGEXEXTRACT(A1465,""([^.]+)$""))"),1.0)</f>
        <v>1</v>
      </c>
      <c r="G1465" s="49">
        <v>20.0</v>
      </c>
      <c r="H1465" s="26" t="b">
        <f>COUNTIFS(
 tblCostChecklist[RequirementID],A1465,
 tblCostChecklist[PlayerPaid],TRUE
)&gt;0</f>
        <v>0</v>
      </c>
      <c r="I1465" s="49">
        <f t="shared" si="1"/>
        <v>4</v>
      </c>
      <c r="J1465" s="49">
        <f t="shared" si="2"/>
        <v>0</v>
      </c>
      <c r="K1465" s="49">
        <f t="shared" si="3"/>
        <v>4</v>
      </c>
      <c r="L1465" s="49" t="b">
        <f t="shared" si="4"/>
        <v>0</v>
      </c>
      <c r="M1465" s="88">
        <f t="shared" si="5"/>
        <v>0</v>
      </c>
    </row>
    <row r="1466" ht="14.25" customHeight="1">
      <c r="A1466" s="49" t="s">
        <v>2590</v>
      </c>
      <c r="B1466" s="49" t="str">
        <f>IFERROR(__xludf.DUMMYFUNCTION("REGEXEXTRACT(A1466,""^cost\.(.*)\.[^.]+\.[^.]+$"")"),"collection.historical_library_1@2")</f>
        <v>collection.historical_library_1@2</v>
      </c>
      <c r="C1466" s="49" t="str">
        <f t="array" ref="C1466">_xlfn.XLOOKUP(
 B1466,
 tblTargets[TargetID],
 tblTargets[DisplayName],
 ""
)</f>
        <v>Historical Library 1 Lv 2</v>
      </c>
      <c r="D1466" s="49" t="str">
        <f t="array" ref="D1466">_xlfn.XLOOKUP(
 B1466,
 tblTargets[TargetID],
 tblTargets[TargetType],
 ""
)</f>
        <v>COLLECTION</v>
      </c>
      <c r="E1466" s="49" t="s">
        <v>132</v>
      </c>
      <c r="F1466" s="87">
        <f>IFERROR(__xludf.DUMMYFUNCTION("VALUE(REGEXEXTRACT(A1466,""([^.]+)$""))"),1.0)</f>
        <v>1</v>
      </c>
      <c r="G1466" s="49">
        <v>60.0</v>
      </c>
      <c r="H1466" s="26" t="b">
        <f>COUNTIFS(
 tblCostChecklist[RequirementID],A1466,
 tblCostChecklist[PlayerPaid],TRUE
)&gt;0</f>
        <v>0</v>
      </c>
      <c r="I1466" s="49">
        <f t="shared" si="1"/>
        <v>4</v>
      </c>
      <c r="J1466" s="49">
        <f t="shared" si="2"/>
        <v>0</v>
      </c>
      <c r="K1466" s="49">
        <f t="shared" si="3"/>
        <v>4</v>
      </c>
      <c r="L1466" s="49" t="b">
        <f t="shared" si="4"/>
        <v>0</v>
      </c>
      <c r="M1466" s="88">
        <f t="shared" si="5"/>
        <v>0</v>
      </c>
    </row>
    <row r="1467" ht="14.25" customHeight="1">
      <c r="A1467" s="49" t="s">
        <v>2591</v>
      </c>
      <c r="B1467" s="49" t="str">
        <f>IFERROR(__xludf.DUMMYFUNCTION("REGEXEXTRACT(A1467,""^cost\.(.*)\.[^.]+\.[^.]+$"")"),"collection.historical_library_1@2")</f>
        <v>collection.historical_library_1@2</v>
      </c>
      <c r="C1467" s="49" t="str">
        <f t="array" ref="C1467">_xlfn.XLOOKUP(
 B1467,
 tblTargets[TargetID],
 tblTargets[DisplayName],
 ""
)</f>
        <v>Historical Library 1 Lv 2</v>
      </c>
      <c r="D1467" s="49" t="str">
        <f t="array" ref="D1467">_xlfn.XLOOKUP(
 B1467,
 tblTargets[TargetID],
 tblTargets[TargetType],
 ""
)</f>
        <v>COLLECTION</v>
      </c>
      <c r="E1467" s="49" t="s">
        <v>2007</v>
      </c>
      <c r="F1467" s="87">
        <f>IFERROR(__xludf.DUMMYFUNCTION("VALUE(REGEXEXTRACT(A1467,""([^.]+)$""))"),1.0)</f>
        <v>1</v>
      </c>
      <c r="G1467" s="49">
        <v>2.0</v>
      </c>
      <c r="H1467" s="26" t="b">
        <f>COUNTIFS(
 tblCostChecklist[RequirementID],A1467,
 tblCostChecklist[PlayerPaid],TRUE
)&gt;0</f>
        <v>0</v>
      </c>
      <c r="I1467" s="49">
        <f t="shared" si="1"/>
        <v>4</v>
      </c>
      <c r="J1467" s="49">
        <f t="shared" si="2"/>
        <v>0</v>
      </c>
      <c r="K1467" s="49">
        <f t="shared" si="3"/>
        <v>4</v>
      </c>
      <c r="L1467" s="49" t="b">
        <f t="shared" si="4"/>
        <v>0</v>
      </c>
      <c r="M1467" s="88">
        <f t="shared" si="5"/>
        <v>0</v>
      </c>
    </row>
    <row r="1468" ht="14.25" customHeight="1">
      <c r="A1468" s="49" t="s">
        <v>2592</v>
      </c>
      <c r="B1468" s="49" t="str">
        <f>IFERROR(__xludf.DUMMYFUNCTION("REGEXEXTRACT(A1468,""^cost\.(.*)\.[^.]+\.[^.]+$"")"),"collection.historical_library_1@3")</f>
        <v>collection.historical_library_1@3</v>
      </c>
      <c r="C1468" s="49" t="str">
        <f t="array" ref="C1468">_xlfn.XLOOKUP(
 B1468,
 tblTargets[TargetID],
 tblTargets[DisplayName],
 ""
)</f>
        <v>Historical Library 1 Lv 3</v>
      </c>
      <c r="D1468" s="49" t="str">
        <f t="array" ref="D1468">_xlfn.XLOOKUP(
 B1468,
 tblTargets[TargetID],
 tblTargets[TargetType],
 ""
)</f>
        <v>COLLECTION</v>
      </c>
      <c r="E1468" s="49" t="s">
        <v>1055</v>
      </c>
      <c r="F1468" s="87">
        <f>IFERROR(__xludf.DUMMYFUNCTION("VALUE(REGEXEXTRACT(A1468,""([^.]+)$""))"),1.0)</f>
        <v>1</v>
      </c>
      <c r="G1468" s="49">
        <v>60.0</v>
      </c>
      <c r="H1468" s="26" t="b">
        <f>COUNTIFS(
 tblCostChecklist[RequirementID],A1468,
 tblCostChecklist[PlayerPaid],TRUE
)&gt;0</f>
        <v>0</v>
      </c>
      <c r="I1468" s="49">
        <f t="shared" si="1"/>
        <v>4</v>
      </c>
      <c r="J1468" s="49">
        <f t="shared" si="2"/>
        <v>0</v>
      </c>
      <c r="K1468" s="49">
        <f t="shared" si="3"/>
        <v>4</v>
      </c>
      <c r="L1468" s="49" t="b">
        <f t="shared" si="4"/>
        <v>0</v>
      </c>
      <c r="M1468" s="88">
        <f t="shared" si="5"/>
        <v>0</v>
      </c>
    </row>
    <row r="1469" ht="14.25" customHeight="1">
      <c r="A1469" s="49" t="s">
        <v>2593</v>
      </c>
      <c r="B1469" s="49" t="str">
        <f>IFERROR(__xludf.DUMMYFUNCTION("REGEXEXTRACT(A1469,""^cost\.(.*)\.[^.]+\.[^.]+$"")"),"collection.historical_library_1@3")</f>
        <v>collection.historical_library_1@3</v>
      </c>
      <c r="C1469" s="49" t="str">
        <f t="array" ref="C1469">_xlfn.XLOOKUP(
 B1469,
 tblTargets[TargetID],
 tblTargets[DisplayName],
 ""
)</f>
        <v>Historical Library 1 Lv 3</v>
      </c>
      <c r="D1469" s="49" t="str">
        <f t="array" ref="D1469">_xlfn.XLOOKUP(
 B1469,
 tblTargets[TargetID],
 tblTargets[TargetType],
 ""
)</f>
        <v>COLLECTION</v>
      </c>
      <c r="E1469" s="49" t="s">
        <v>530</v>
      </c>
      <c r="F1469" s="87">
        <f>IFERROR(__xludf.DUMMYFUNCTION("VALUE(REGEXEXTRACT(A1469,""([^.]+)$""))"),1.0)</f>
        <v>1</v>
      </c>
      <c r="G1469" s="49">
        <v>30.0</v>
      </c>
      <c r="H1469" s="26" t="b">
        <f>COUNTIFS(
 tblCostChecklist[RequirementID],A1469,
 tblCostChecklist[PlayerPaid],TRUE
)&gt;0</f>
        <v>0</v>
      </c>
      <c r="I1469" s="49">
        <f t="shared" si="1"/>
        <v>4</v>
      </c>
      <c r="J1469" s="49">
        <f t="shared" si="2"/>
        <v>0</v>
      </c>
      <c r="K1469" s="49">
        <f t="shared" si="3"/>
        <v>4</v>
      </c>
      <c r="L1469" s="49" t="b">
        <f t="shared" si="4"/>
        <v>0</v>
      </c>
      <c r="M1469" s="88">
        <f t="shared" si="5"/>
        <v>0</v>
      </c>
    </row>
    <row r="1470" ht="14.25" customHeight="1">
      <c r="A1470" s="49" t="s">
        <v>2594</v>
      </c>
      <c r="B1470" s="49" t="str">
        <f>IFERROR(__xludf.DUMMYFUNCTION("REGEXEXTRACT(A1470,""^cost\.(.*)\.[^.]+\.[^.]+$"")"),"collection.historical_library_1@3")</f>
        <v>collection.historical_library_1@3</v>
      </c>
      <c r="C1470" s="49" t="str">
        <f t="array" ref="C1470">_xlfn.XLOOKUP(
 B1470,
 tblTargets[TargetID],
 tblTargets[DisplayName],
 ""
)</f>
        <v>Historical Library 1 Lv 3</v>
      </c>
      <c r="D1470" s="49" t="str">
        <f t="array" ref="D1470">_xlfn.XLOOKUP(
 B1470,
 tblTargets[TargetID],
 tblTargets[TargetType],
 ""
)</f>
        <v>COLLECTION</v>
      </c>
      <c r="E1470" s="49" t="s">
        <v>132</v>
      </c>
      <c r="F1470" s="87">
        <f>IFERROR(__xludf.DUMMYFUNCTION("VALUE(REGEXEXTRACT(A1470,""([^.]+)$""))"),1.0)</f>
        <v>1</v>
      </c>
      <c r="G1470" s="49">
        <v>90.0</v>
      </c>
      <c r="H1470" s="26" t="b">
        <f>COUNTIFS(
 tblCostChecklist[RequirementID],A1470,
 tblCostChecklist[PlayerPaid],TRUE
)&gt;0</f>
        <v>0</v>
      </c>
      <c r="I1470" s="49">
        <f t="shared" si="1"/>
        <v>4</v>
      </c>
      <c r="J1470" s="49">
        <f t="shared" si="2"/>
        <v>0</v>
      </c>
      <c r="K1470" s="49">
        <f t="shared" si="3"/>
        <v>4</v>
      </c>
      <c r="L1470" s="49" t="b">
        <f t="shared" si="4"/>
        <v>0</v>
      </c>
      <c r="M1470" s="88">
        <f t="shared" si="5"/>
        <v>0</v>
      </c>
    </row>
    <row r="1471" ht="14.25" customHeight="1">
      <c r="A1471" s="49" t="s">
        <v>2595</v>
      </c>
      <c r="B1471" s="49" t="str">
        <f>IFERROR(__xludf.DUMMYFUNCTION("REGEXEXTRACT(A1471,""^cost\.(.*)\.[^.]+\.[^.]+$"")"),"collection.historical_library_1@3")</f>
        <v>collection.historical_library_1@3</v>
      </c>
      <c r="C1471" s="49" t="str">
        <f t="array" ref="C1471">_xlfn.XLOOKUP(
 B1471,
 tblTargets[TargetID],
 tblTargets[DisplayName],
 ""
)</f>
        <v>Historical Library 1 Lv 3</v>
      </c>
      <c r="D1471" s="49" t="str">
        <f t="array" ref="D1471">_xlfn.XLOOKUP(
 B1471,
 tblTargets[TargetID],
 tblTargets[TargetType],
 ""
)</f>
        <v>COLLECTION</v>
      </c>
      <c r="E1471" s="49" t="s">
        <v>2007</v>
      </c>
      <c r="F1471" s="87">
        <f>IFERROR(__xludf.DUMMYFUNCTION("VALUE(REGEXEXTRACT(A1471,""([^.]+)$""))"),1.0)</f>
        <v>1</v>
      </c>
      <c r="G1471" s="49">
        <v>3.0</v>
      </c>
      <c r="H1471" s="26" t="b">
        <f>COUNTIFS(
 tblCostChecklist[RequirementID],A1471,
 tblCostChecklist[PlayerPaid],TRUE
)&gt;0</f>
        <v>0</v>
      </c>
      <c r="I1471" s="49">
        <f t="shared" si="1"/>
        <v>4</v>
      </c>
      <c r="J1471" s="49">
        <f t="shared" si="2"/>
        <v>0</v>
      </c>
      <c r="K1471" s="49">
        <f t="shared" si="3"/>
        <v>4</v>
      </c>
      <c r="L1471" s="49" t="b">
        <f t="shared" si="4"/>
        <v>0</v>
      </c>
      <c r="M1471" s="88">
        <f t="shared" si="5"/>
        <v>0</v>
      </c>
    </row>
    <row r="1472" ht="14.25" customHeight="1">
      <c r="A1472" s="49" t="s">
        <v>2596</v>
      </c>
      <c r="B1472" s="49" t="str">
        <f>IFERROR(__xludf.DUMMYFUNCTION("REGEXEXTRACT(A1472,""^cost\.(.*)\.[^.]+\.[^.]+$"")"),"collection.historical_library_2@1")</f>
        <v>collection.historical_library_2@1</v>
      </c>
      <c r="C1472" s="49" t="str">
        <f t="array" ref="C1472">_xlfn.XLOOKUP(
 B1472,
 tblTargets[TargetID],
 tblTargets[DisplayName],
 ""
)</f>
        <v>Historical Library 2 Lv 1</v>
      </c>
      <c r="D1472" s="49" t="str">
        <f t="array" ref="D1472">_xlfn.XLOOKUP(
 B1472,
 tblTargets[TargetID],
 tblTargets[TargetType],
 ""
)</f>
        <v>COLLECTION</v>
      </c>
      <c r="E1472" s="49" t="s">
        <v>2597</v>
      </c>
      <c r="F1472" s="87">
        <f>IFERROR(__xludf.DUMMYFUNCTION("VALUE(REGEXEXTRACT(A1472,""([^.]+)$""))"),1.0)</f>
        <v>1</v>
      </c>
      <c r="G1472" s="49">
        <v>20.0</v>
      </c>
      <c r="H1472" s="26" t="b">
        <f>COUNTIFS(
 tblCostChecklist[RequirementID],A1472,
 tblCostChecklist[PlayerPaid],TRUE
)&gt;0</f>
        <v>0</v>
      </c>
      <c r="I1472" s="49">
        <f t="shared" si="1"/>
        <v>3</v>
      </c>
      <c r="J1472" s="49">
        <f t="shared" si="2"/>
        <v>0</v>
      </c>
      <c r="K1472" s="49">
        <f t="shared" si="3"/>
        <v>3</v>
      </c>
      <c r="L1472" s="49" t="b">
        <f t="shared" si="4"/>
        <v>0</v>
      </c>
      <c r="M1472" s="88">
        <f t="shared" si="5"/>
        <v>0</v>
      </c>
    </row>
    <row r="1473" ht="14.25" customHeight="1">
      <c r="A1473" s="49" t="s">
        <v>2598</v>
      </c>
      <c r="B1473" s="49" t="str">
        <f>IFERROR(__xludf.DUMMYFUNCTION("REGEXEXTRACT(A1473,""^cost\.(.*)\.[^.]+\.[^.]+$"")"),"collection.historical_library_2@1")</f>
        <v>collection.historical_library_2@1</v>
      </c>
      <c r="C1473" s="49" t="str">
        <f t="array" ref="C1473">_xlfn.XLOOKUP(
 B1473,
 tblTargets[TargetID],
 tblTargets[DisplayName],
 ""
)</f>
        <v>Historical Library 2 Lv 1</v>
      </c>
      <c r="D1473" s="49" t="str">
        <f t="array" ref="D1473">_xlfn.XLOOKUP(
 B1473,
 tblTargets[TargetID],
 tblTargets[TargetType],
 ""
)</f>
        <v>COLLECTION</v>
      </c>
      <c r="E1473" s="49" t="s">
        <v>2599</v>
      </c>
      <c r="F1473" s="87">
        <f>IFERROR(__xludf.DUMMYFUNCTION("VALUE(REGEXEXTRACT(A1473,""([^.]+)$""))"),1.0)</f>
        <v>1</v>
      </c>
      <c r="G1473" s="49">
        <v>10.0</v>
      </c>
      <c r="H1473" s="26" t="b">
        <f>COUNTIFS(
 tblCostChecklist[RequirementID],A1473,
 tblCostChecklist[PlayerPaid],TRUE
)&gt;0</f>
        <v>0</v>
      </c>
      <c r="I1473" s="49">
        <f t="shared" si="1"/>
        <v>3</v>
      </c>
      <c r="J1473" s="49">
        <f t="shared" si="2"/>
        <v>0</v>
      </c>
      <c r="K1473" s="49">
        <f t="shared" si="3"/>
        <v>3</v>
      </c>
      <c r="L1473" s="49" t="b">
        <f t="shared" si="4"/>
        <v>0</v>
      </c>
      <c r="M1473" s="88">
        <f t="shared" si="5"/>
        <v>0</v>
      </c>
    </row>
    <row r="1474" ht="14.25" customHeight="1">
      <c r="A1474" s="49" t="s">
        <v>2600</v>
      </c>
      <c r="B1474" s="49" t="str">
        <f>IFERROR(__xludf.DUMMYFUNCTION("REGEXEXTRACT(A1474,""^cost\.(.*)\.[^.]+\.[^.]+$"")"),"collection.historical_library_2@1")</f>
        <v>collection.historical_library_2@1</v>
      </c>
      <c r="C1474" s="49" t="str">
        <f t="array" ref="C1474">_xlfn.XLOOKUP(
 B1474,
 tblTargets[TargetID],
 tblTargets[DisplayName],
 ""
)</f>
        <v>Historical Library 2 Lv 1</v>
      </c>
      <c r="D1474" s="49" t="str">
        <f t="array" ref="D1474">_xlfn.XLOOKUP(
 B1474,
 tblTargets[TargetID],
 tblTargets[TargetType],
 ""
)</f>
        <v>COLLECTION</v>
      </c>
      <c r="E1474" s="49" t="s">
        <v>2601</v>
      </c>
      <c r="F1474" s="87">
        <f>IFERROR(__xludf.DUMMYFUNCTION("VALUE(REGEXEXTRACT(A1474,""([^.]+)$""))"),1.0)</f>
        <v>1</v>
      </c>
      <c r="G1474" s="49">
        <v>5.0</v>
      </c>
      <c r="H1474" s="26" t="b">
        <f>COUNTIFS(
 tblCostChecklist[RequirementID],A1474,
 tblCostChecklist[PlayerPaid],TRUE
)&gt;0</f>
        <v>0</v>
      </c>
      <c r="I1474" s="49">
        <f t="shared" si="1"/>
        <v>3</v>
      </c>
      <c r="J1474" s="49">
        <f t="shared" si="2"/>
        <v>0</v>
      </c>
      <c r="K1474" s="49">
        <f t="shared" si="3"/>
        <v>3</v>
      </c>
      <c r="L1474" s="49" t="b">
        <f t="shared" si="4"/>
        <v>0</v>
      </c>
      <c r="M1474" s="88">
        <f t="shared" si="5"/>
        <v>0</v>
      </c>
    </row>
    <row r="1475" ht="14.25" customHeight="1">
      <c r="A1475" s="49" t="s">
        <v>2602</v>
      </c>
      <c r="B1475" s="49" t="str">
        <f>IFERROR(__xludf.DUMMYFUNCTION("REGEXEXTRACT(A1475,""^cost\.(.*)\.[^.]+\.[^.]+$"")"),"collection.historical_library_2@2")</f>
        <v>collection.historical_library_2@2</v>
      </c>
      <c r="C1475" s="49" t="str">
        <f t="array" ref="C1475">_xlfn.XLOOKUP(
 B1475,
 tblTargets[TargetID],
 tblTargets[DisplayName],
 ""
)</f>
        <v>Historical Library 2 Lv 2</v>
      </c>
      <c r="D1475" s="49" t="str">
        <f t="array" ref="D1475">_xlfn.XLOOKUP(
 B1475,
 tblTargets[TargetID],
 tblTargets[TargetType],
 ""
)</f>
        <v>COLLECTION</v>
      </c>
      <c r="E1475" s="49" t="s">
        <v>2597</v>
      </c>
      <c r="F1475" s="87">
        <f>IFERROR(__xludf.DUMMYFUNCTION("VALUE(REGEXEXTRACT(A1475,""([^.]+)$""))"),1.0)</f>
        <v>1</v>
      </c>
      <c r="G1475" s="49">
        <v>40.0</v>
      </c>
      <c r="H1475" s="26" t="b">
        <f>COUNTIFS(
 tblCostChecklist[RequirementID],A1475,
 tblCostChecklist[PlayerPaid],TRUE
)&gt;0</f>
        <v>0</v>
      </c>
      <c r="I1475" s="49">
        <f t="shared" si="1"/>
        <v>3</v>
      </c>
      <c r="J1475" s="49">
        <f t="shared" si="2"/>
        <v>0</v>
      </c>
      <c r="K1475" s="49">
        <f t="shared" si="3"/>
        <v>3</v>
      </c>
      <c r="L1475" s="49" t="b">
        <f t="shared" si="4"/>
        <v>0</v>
      </c>
      <c r="M1475" s="88">
        <f t="shared" si="5"/>
        <v>0</v>
      </c>
    </row>
    <row r="1476" ht="14.25" customHeight="1">
      <c r="A1476" s="49" t="s">
        <v>2603</v>
      </c>
      <c r="B1476" s="49" t="str">
        <f>IFERROR(__xludf.DUMMYFUNCTION("REGEXEXTRACT(A1476,""^cost\.(.*)\.[^.]+\.[^.]+$"")"),"collection.historical_library_2@2")</f>
        <v>collection.historical_library_2@2</v>
      </c>
      <c r="C1476" s="49" t="str">
        <f t="array" ref="C1476">_xlfn.XLOOKUP(
 B1476,
 tblTargets[TargetID],
 tblTargets[DisplayName],
 ""
)</f>
        <v>Historical Library 2 Lv 2</v>
      </c>
      <c r="D1476" s="49" t="str">
        <f t="array" ref="D1476">_xlfn.XLOOKUP(
 B1476,
 tblTargets[TargetID],
 tblTargets[TargetType],
 ""
)</f>
        <v>COLLECTION</v>
      </c>
      <c r="E1476" s="49" t="s">
        <v>2599</v>
      </c>
      <c r="F1476" s="87">
        <f>IFERROR(__xludf.DUMMYFUNCTION("VALUE(REGEXEXTRACT(A1476,""([^.]+)$""))"),1.0)</f>
        <v>1</v>
      </c>
      <c r="G1476" s="49">
        <v>20.0</v>
      </c>
      <c r="H1476" s="26" t="b">
        <f>COUNTIFS(
 tblCostChecklist[RequirementID],A1476,
 tblCostChecklist[PlayerPaid],TRUE
)&gt;0</f>
        <v>0</v>
      </c>
      <c r="I1476" s="49">
        <f t="shared" si="1"/>
        <v>3</v>
      </c>
      <c r="J1476" s="49">
        <f t="shared" si="2"/>
        <v>0</v>
      </c>
      <c r="K1476" s="49">
        <f t="shared" si="3"/>
        <v>3</v>
      </c>
      <c r="L1476" s="49" t="b">
        <f t="shared" si="4"/>
        <v>0</v>
      </c>
      <c r="M1476" s="88">
        <f t="shared" si="5"/>
        <v>0</v>
      </c>
    </row>
    <row r="1477" ht="14.25" customHeight="1">
      <c r="A1477" s="49" t="s">
        <v>2604</v>
      </c>
      <c r="B1477" s="49" t="str">
        <f>IFERROR(__xludf.DUMMYFUNCTION("REGEXEXTRACT(A1477,""^cost\.(.*)\.[^.]+\.[^.]+$"")"),"collection.historical_library_2@2")</f>
        <v>collection.historical_library_2@2</v>
      </c>
      <c r="C1477" s="49" t="str">
        <f t="array" ref="C1477">_xlfn.XLOOKUP(
 B1477,
 tblTargets[TargetID],
 tblTargets[DisplayName],
 ""
)</f>
        <v>Historical Library 2 Lv 2</v>
      </c>
      <c r="D1477" s="49" t="str">
        <f t="array" ref="D1477">_xlfn.XLOOKUP(
 B1477,
 tblTargets[TargetID],
 tblTargets[TargetType],
 ""
)</f>
        <v>COLLECTION</v>
      </c>
      <c r="E1477" s="49" t="s">
        <v>2601</v>
      </c>
      <c r="F1477" s="87">
        <f>IFERROR(__xludf.DUMMYFUNCTION("VALUE(REGEXEXTRACT(A1477,""([^.]+)$""))"),1.0)</f>
        <v>1</v>
      </c>
      <c r="G1477" s="49">
        <v>10.0</v>
      </c>
      <c r="H1477" s="26" t="b">
        <f>COUNTIFS(
 tblCostChecklist[RequirementID],A1477,
 tblCostChecklist[PlayerPaid],TRUE
)&gt;0</f>
        <v>0</v>
      </c>
      <c r="I1477" s="49">
        <f t="shared" si="1"/>
        <v>3</v>
      </c>
      <c r="J1477" s="49">
        <f t="shared" si="2"/>
        <v>0</v>
      </c>
      <c r="K1477" s="49">
        <f t="shared" si="3"/>
        <v>3</v>
      </c>
      <c r="L1477" s="49" t="b">
        <f t="shared" si="4"/>
        <v>0</v>
      </c>
      <c r="M1477" s="88">
        <f t="shared" si="5"/>
        <v>0</v>
      </c>
    </row>
    <row r="1478" ht="14.25" customHeight="1">
      <c r="A1478" s="49" t="s">
        <v>2605</v>
      </c>
      <c r="B1478" s="49" t="str">
        <f>IFERROR(__xludf.DUMMYFUNCTION("REGEXEXTRACT(A1478,""^cost\.(.*)\.[^.]+\.[^.]+$"")"),"collection.historical_library_2@3")</f>
        <v>collection.historical_library_2@3</v>
      </c>
      <c r="C1478" s="49" t="str">
        <f t="array" ref="C1478">_xlfn.XLOOKUP(
 B1478,
 tblTargets[TargetID],
 tblTargets[DisplayName],
 ""
)</f>
        <v>Historical Library 2 Lv 3</v>
      </c>
      <c r="D1478" s="49" t="str">
        <f t="array" ref="D1478">_xlfn.XLOOKUP(
 B1478,
 tblTargets[TargetID],
 tblTargets[TargetType],
 ""
)</f>
        <v>COLLECTION</v>
      </c>
      <c r="E1478" s="49" t="s">
        <v>2597</v>
      </c>
      <c r="F1478" s="87">
        <f>IFERROR(__xludf.DUMMYFUNCTION("VALUE(REGEXEXTRACT(A1478,""([^.]+)$""))"),1.0)</f>
        <v>1</v>
      </c>
      <c r="G1478" s="49">
        <v>60.0</v>
      </c>
      <c r="H1478" s="26" t="b">
        <f>COUNTIFS(
 tblCostChecklist[RequirementID],A1478,
 tblCostChecklist[PlayerPaid],TRUE
)&gt;0</f>
        <v>0</v>
      </c>
      <c r="I1478" s="49">
        <f t="shared" si="1"/>
        <v>3</v>
      </c>
      <c r="J1478" s="49">
        <f t="shared" si="2"/>
        <v>0</v>
      </c>
      <c r="K1478" s="49">
        <f t="shared" si="3"/>
        <v>3</v>
      </c>
      <c r="L1478" s="49" t="b">
        <f t="shared" si="4"/>
        <v>0</v>
      </c>
      <c r="M1478" s="88">
        <f t="shared" si="5"/>
        <v>0</v>
      </c>
    </row>
    <row r="1479" ht="14.25" customHeight="1">
      <c r="A1479" s="49" t="s">
        <v>2606</v>
      </c>
      <c r="B1479" s="49" t="str">
        <f>IFERROR(__xludf.DUMMYFUNCTION("REGEXEXTRACT(A1479,""^cost\.(.*)\.[^.]+\.[^.]+$"")"),"collection.historical_library_2@3")</f>
        <v>collection.historical_library_2@3</v>
      </c>
      <c r="C1479" s="49" t="str">
        <f t="array" ref="C1479">_xlfn.XLOOKUP(
 B1479,
 tblTargets[TargetID],
 tblTargets[DisplayName],
 ""
)</f>
        <v>Historical Library 2 Lv 3</v>
      </c>
      <c r="D1479" s="49" t="str">
        <f t="array" ref="D1479">_xlfn.XLOOKUP(
 B1479,
 tblTargets[TargetID],
 tblTargets[TargetType],
 ""
)</f>
        <v>COLLECTION</v>
      </c>
      <c r="E1479" s="49" t="s">
        <v>2599</v>
      </c>
      <c r="F1479" s="87">
        <f>IFERROR(__xludf.DUMMYFUNCTION("VALUE(REGEXEXTRACT(A1479,""([^.]+)$""))"),1.0)</f>
        <v>1</v>
      </c>
      <c r="G1479" s="49">
        <v>30.0</v>
      </c>
      <c r="H1479" s="26" t="b">
        <f>COUNTIFS(
 tblCostChecklist[RequirementID],A1479,
 tblCostChecklist[PlayerPaid],TRUE
)&gt;0</f>
        <v>0</v>
      </c>
      <c r="I1479" s="49">
        <f t="shared" si="1"/>
        <v>3</v>
      </c>
      <c r="J1479" s="49">
        <f t="shared" si="2"/>
        <v>0</v>
      </c>
      <c r="K1479" s="49">
        <f t="shared" si="3"/>
        <v>3</v>
      </c>
      <c r="L1479" s="49" t="b">
        <f t="shared" si="4"/>
        <v>0</v>
      </c>
      <c r="M1479" s="88">
        <f t="shared" si="5"/>
        <v>0</v>
      </c>
    </row>
    <row r="1480" ht="14.25" customHeight="1">
      <c r="A1480" s="49" t="s">
        <v>2607</v>
      </c>
      <c r="B1480" s="49" t="str">
        <f>IFERROR(__xludf.DUMMYFUNCTION("REGEXEXTRACT(A1480,""^cost\.(.*)\.[^.]+\.[^.]+$"")"),"collection.historical_library_2@3")</f>
        <v>collection.historical_library_2@3</v>
      </c>
      <c r="C1480" s="49" t="str">
        <f t="array" ref="C1480">_xlfn.XLOOKUP(
 B1480,
 tblTargets[TargetID],
 tblTargets[DisplayName],
 ""
)</f>
        <v>Historical Library 2 Lv 3</v>
      </c>
      <c r="D1480" s="49" t="str">
        <f t="array" ref="D1480">_xlfn.XLOOKUP(
 B1480,
 tblTargets[TargetID],
 tblTargets[TargetType],
 ""
)</f>
        <v>COLLECTION</v>
      </c>
      <c r="E1480" s="49" t="s">
        <v>2601</v>
      </c>
      <c r="F1480" s="87">
        <f>IFERROR(__xludf.DUMMYFUNCTION("VALUE(REGEXEXTRACT(A1480,""([^.]+)$""))"),1.0)</f>
        <v>1</v>
      </c>
      <c r="G1480" s="49">
        <v>15.0</v>
      </c>
      <c r="H1480" s="26" t="b">
        <f>COUNTIFS(
 tblCostChecklist[RequirementID],A1480,
 tblCostChecklist[PlayerPaid],TRUE
)&gt;0</f>
        <v>0</v>
      </c>
      <c r="I1480" s="49">
        <f t="shared" si="1"/>
        <v>3</v>
      </c>
      <c r="J1480" s="49">
        <f t="shared" si="2"/>
        <v>0</v>
      </c>
      <c r="K1480" s="49">
        <f t="shared" si="3"/>
        <v>3</v>
      </c>
      <c r="L1480" s="49" t="b">
        <f t="shared" si="4"/>
        <v>0</v>
      </c>
      <c r="M1480" s="88">
        <f t="shared" si="5"/>
        <v>0</v>
      </c>
    </row>
    <row r="1481" ht="14.25" customHeight="1">
      <c r="A1481" s="49" t="s">
        <v>2608</v>
      </c>
      <c r="B1481" s="49" t="str">
        <f>IFERROR(__xludf.DUMMYFUNCTION("REGEXEXTRACT(A1481,""^cost\.(.*)\.[^.]+\.[^.]+$"")"),"collection.horse@1")</f>
        <v>collection.horse@1</v>
      </c>
      <c r="C1481" s="49" t="str">
        <f t="array" ref="C1481">_xlfn.XLOOKUP(
 B1481,
 tblTargets[TargetID],
 tblTargets[DisplayName],
 ""
)</f>
        <v>Horse Lv 1</v>
      </c>
      <c r="D1481" s="49" t="str">
        <f t="array" ref="D1481">_xlfn.XLOOKUP(
 B1481,
 tblTargets[TargetID],
 tblTargets[TargetType],
 ""
)</f>
        <v>COLLECTION</v>
      </c>
      <c r="E1481" s="49" t="s">
        <v>119</v>
      </c>
      <c r="F1481" s="87">
        <f>IFERROR(__xludf.DUMMYFUNCTION("VALUE(REGEXEXTRACT(A1481,""([^.]+)$""))"),1.0)</f>
        <v>1</v>
      </c>
      <c r="G1481" s="49">
        <v>3000.0</v>
      </c>
      <c r="H1481" s="26" t="b">
        <f>COUNTIFS(
 tblCostChecklist[RequirementID],A1481,
 tblCostChecklist[PlayerPaid],TRUE
)&gt;0</f>
        <v>0</v>
      </c>
      <c r="I1481" s="49">
        <f t="shared" si="1"/>
        <v>1</v>
      </c>
      <c r="J1481" s="49">
        <f t="shared" si="2"/>
        <v>0</v>
      </c>
      <c r="K1481" s="49">
        <f t="shared" si="3"/>
        <v>1</v>
      </c>
      <c r="L1481" s="49" t="b">
        <f t="shared" si="4"/>
        <v>0</v>
      </c>
      <c r="M1481" s="88">
        <f t="shared" si="5"/>
        <v>0</v>
      </c>
    </row>
    <row r="1482" ht="14.25" customHeight="1">
      <c r="A1482" s="49" t="s">
        <v>2609</v>
      </c>
      <c r="B1482" s="49" t="str">
        <f>IFERROR(__xludf.DUMMYFUNCTION("REGEXEXTRACT(A1482,""^cost\.(.*)\.[^.]+\.[^.]+$"")"),"collection.kitchen_and_buttery_1@1")</f>
        <v>collection.kitchen_and_buttery_1@1</v>
      </c>
      <c r="C1482" s="49" t="str">
        <f t="array" ref="C1482">_xlfn.XLOOKUP(
 B1482,
 tblTargets[TargetID],
 tblTargets[DisplayName],
 ""
)</f>
        <v>Kitchen And Buttery 1 Lv 1</v>
      </c>
      <c r="D1482" s="49" t="str">
        <f t="array" ref="D1482">_xlfn.XLOOKUP(
 B1482,
 tblTargets[TargetID],
 tblTargets[TargetType],
 ""
)</f>
        <v>COLLECTION</v>
      </c>
      <c r="E1482" s="49" t="s">
        <v>2486</v>
      </c>
      <c r="F1482" s="87">
        <f>IFERROR(__xludf.DUMMYFUNCTION("VALUE(REGEXEXTRACT(A1482,""([^.]+)$""))"),1.0)</f>
        <v>1</v>
      </c>
      <c r="G1482" s="49">
        <v>10.0</v>
      </c>
      <c r="H1482" s="26" t="b">
        <f>COUNTIFS(
 tblCostChecklist[RequirementID],A1482,
 tblCostChecklist[PlayerPaid],TRUE
)&gt;0</f>
        <v>0</v>
      </c>
      <c r="I1482" s="49">
        <f t="shared" si="1"/>
        <v>12</v>
      </c>
      <c r="J1482" s="49">
        <f t="shared" si="2"/>
        <v>0</v>
      </c>
      <c r="K1482" s="49">
        <f t="shared" si="3"/>
        <v>12</v>
      </c>
      <c r="L1482" s="49" t="b">
        <f t="shared" si="4"/>
        <v>0</v>
      </c>
      <c r="M1482" s="88">
        <f t="shared" si="5"/>
        <v>0</v>
      </c>
    </row>
    <row r="1483" ht="14.25" customHeight="1">
      <c r="A1483" s="49" t="s">
        <v>2610</v>
      </c>
      <c r="B1483" s="49" t="str">
        <f>IFERROR(__xludf.DUMMYFUNCTION("REGEXEXTRACT(A1483,""^cost\.(.*)\.[^.]+\.[^.]+$"")"),"collection.kitchen_and_buttery_1@1")</f>
        <v>collection.kitchen_and_buttery_1@1</v>
      </c>
      <c r="C1483" s="49" t="str">
        <f t="array" ref="C1483">_xlfn.XLOOKUP(
 B1483,
 tblTargets[TargetID],
 tblTargets[DisplayName],
 ""
)</f>
        <v>Kitchen And Buttery 1 Lv 1</v>
      </c>
      <c r="D1483" s="49" t="str">
        <f t="array" ref="D1483">_xlfn.XLOOKUP(
 B1483,
 tblTargets[TargetID],
 tblTargets[TargetType],
 ""
)</f>
        <v>COLLECTION</v>
      </c>
      <c r="E1483" s="49" t="s">
        <v>2611</v>
      </c>
      <c r="F1483" s="87">
        <f>IFERROR(__xludf.DUMMYFUNCTION("VALUE(REGEXEXTRACT(A1483,""([^.]+)$""))"),1.0)</f>
        <v>1</v>
      </c>
      <c r="G1483" s="49">
        <v>10.0</v>
      </c>
      <c r="H1483" s="26" t="b">
        <f>COUNTIFS(
 tblCostChecklist[RequirementID],A1483,
 tblCostChecklist[PlayerPaid],TRUE
)&gt;0</f>
        <v>0</v>
      </c>
      <c r="I1483" s="49">
        <f t="shared" si="1"/>
        <v>12</v>
      </c>
      <c r="J1483" s="49">
        <f t="shared" si="2"/>
        <v>0</v>
      </c>
      <c r="K1483" s="49">
        <f t="shared" si="3"/>
        <v>12</v>
      </c>
      <c r="L1483" s="49" t="b">
        <f t="shared" si="4"/>
        <v>0</v>
      </c>
      <c r="M1483" s="88">
        <f t="shared" si="5"/>
        <v>0</v>
      </c>
    </row>
    <row r="1484" ht="14.25" customHeight="1">
      <c r="A1484" s="49" t="s">
        <v>2612</v>
      </c>
      <c r="B1484" s="49" t="str">
        <f>IFERROR(__xludf.DUMMYFUNCTION("REGEXEXTRACT(A1484,""^cost\.(.*)\.[^.]+\.[^.]+$"")"),"collection.kitchen_and_buttery_1@1")</f>
        <v>collection.kitchen_and_buttery_1@1</v>
      </c>
      <c r="C1484" s="49" t="str">
        <f t="array" ref="C1484">_xlfn.XLOOKUP(
 B1484,
 tblTargets[TargetID],
 tblTargets[DisplayName],
 ""
)</f>
        <v>Kitchen And Buttery 1 Lv 1</v>
      </c>
      <c r="D1484" s="49" t="str">
        <f t="array" ref="D1484">_xlfn.XLOOKUP(
 B1484,
 tblTargets[TargetID],
 tblTargets[TargetType],
 ""
)</f>
        <v>COLLECTION</v>
      </c>
      <c r="E1484" s="49" t="s">
        <v>588</v>
      </c>
      <c r="F1484" s="87">
        <f>IFERROR(__xludf.DUMMYFUNCTION("VALUE(REGEXEXTRACT(A1484,""([^.]+)$""))"),1.0)</f>
        <v>1</v>
      </c>
      <c r="G1484" s="49">
        <v>15.0</v>
      </c>
      <c r="H1484" s="26" t="b">
        <f>COUNTIFS(
 tblCostChecklist[RequirementID],A1484,
 tblCostChecklist[PlayerPaid],TRUE
)&gt;0</f>
        <v>0</v>
      </c>
      <c r="I1484" s="49">
        <f t="shared" si="1"/>
        <v>12</v>
      </c>
      <c r="J1484" s="49">
        <f t="shared" si="2"/>
        <v>0</v>
      </c>
      <c r="K1484" s="49">
        <f t="shared" si="3"/>
        <v>12</v>
      </c>
      <c r="L1484" s="49" t="b">
        <f t="shared" si="4"/>
        <v>0</v>
      </c>
      <c r="M1484" s="88">
        <f t="shared" si="5"/>
        <v>0</v>
      </c>
    </row>
    <row r="1485" ht="14.25" customHeight="1">
      <c r="A1485" s="49" t="s">
        <v>2613</v>
      </c>
      <c r="B1485" s="49" t="str">
        <f>IFERROR(__xludf.DUMMYFUNCTION("REGEXEXTRACT(A1485,""^cost\.(.*)\.[^.]+\.[^.]+$"")"),"collection.kitchen_and_buttery_1@1")</f>
        <v>collection.kitchen_and_buttery_1@1</v>
      </c>
      <c r="C1485" s="49" t="str">
        <f t="array" ref="C1485">_xlfn.XLOOKUP(
 B1485,
 tblTargets[TargetID],
 tblTargets[DisplayName],
 ""
)</f>
        <v>Kitchen And Buttery 1 Lv 1</v>
      </c>
      <c r="D1485" s="49" t="str">
        <f t="array" ref="D1485">_xlfn.XLOOKUP(
 B1485,
 tblTargets[TargetID],
 tblTargets[TargetType],
 ""
)</f>
        <v>COLLECTION</v>
      </c>
      <c r="E1485" s="49" t="s">
        <v>187</v>
      </c>
      <c r="F1485" s="87">
        <f>IFERROR(__xludf.DUMMYFUNCTION("VALUE(REGEXEXTRACT(A1485,""([^.]+)$""))"),1.0)</f>
        <v>1</v>
      </c>
      <c r="G1485" s="49">
        <v>50.0</v>
      </c>
      <c r="H1485" s="26" t="b">
        <f>COUNTIFS(
 tblCostChecklist[RequirementID],A1485,
 tblCostChecklist[PlayerPaid],TRUE
)&gt;0</f>
        <v>0</v>
      </c>
      <c r="I1485" s="49">
        <f t="shared" si="1"/>
        <v>12</v>
      </c>
      <c r="J1485" s="49">
        <f t="shared" si="2"/>
        <v>0</v>
      </c>
      <c r="K1485" s="49">
        <f t="shared" si="3"/>
        <v>12</v>
      </c>
      <c r="L1485" s="49" t="b">
        <f t="shared" si="4"/>
        <v>0</v>
      </c>
      <c r="M1485" s="88">
        <f t="shared" si="5"/>
        <v>0</v>
      </c>
    </row>
    <row r="1486" ht="14.25" customHeight="1">
      <c r="A1486" s="49" t="s">
        <v>2614</v>
      </c>
      <c r="B1486" s="49" t="str">
        <f>IFERROR(__xludf.DUMMYFUNCTION("REGEXEXTRACT(A1486,""^cost\.(.*)\.[^.]+\.[^.]+$"")"),"collection.kitchen_and_buttery_1@1")</f>
        <v>collection.kitchen_and_buttery_1@1</v>
      </c>
      <c r="C1486" s="49" t="str">
        <f t="array" ref="C1486">_xlfn.XLOOKUP(
 B1486,
 tblTargets[TargetID],
 tblTargets[DisplayName],
 ""
)</f>
        <v>Kitchen And Buttery 1 Lv 1</v>
      </c>
      <c r="D1486" s="49" t="str">
        <f t="array" ref="D1486">_xlfn.XLOOKUP(
 B1486,
 tblTargets[TargetID],
 tblTargets[TargetType],
 ""
)</f>
        <v>COLLECTION</v>
      </c>
      <c r="E1486" s="49" t="s">
        <v>187</v>
      </c>
      <c r="F1486" s="87">
        <f>IFERROR(__xludf.DUMMYFUNCTION("VALUE(REGEXEXTRACT(A1486,""([^.]+)$""))"),2.0)</f>
        <v>2</v>
      </c>
      <c r="G1486" s="49">
        <v>50.0</v>
      </c>
      <c r="H1486" s="26" t="b">
        <f>COUNTIFS(
 tblCostChecklist[RequirementID],A1486,
 tblCostChecklist[PlayerPaid],TRUE
)&gt;0</f>
        <v>0</v>
      </c>
      <c r="I1486" s="49">
        <f t="shared" si="1"/>
        <v>12</v>
      </c>
      <c r="J1486" s="49">
        <f t="shared" si="2"/>
        <v>0</v>
      </c>
      <c r="K1486" s="49">
        <f t="shared" si="3"/>
        <v>12</v>
      </c>
      <c r="L1486" s="49" t="b">
        <f t="shared" si="4"/>
        <v>0</v>
      </c>
      <c r="M1486" s="88">
        <f t="shared" si="5"/>
        <v>0</v>
      </c>
    </row>
    <row r="1487" ht="14.25" customHeight="1">
      <c r="A1487" s="49" t="s">
        <v>2615</v>
      </c>
      <c r="B1487" s="49" t="str">
        <f>IFERROR(__xludf.DUMMYFUNCTION("REGEXEXTRACT(A1487,""^cost\.(.*)\.[^.]+\.[^.]+$"")"),"collection.kitchen_and_buttery_1@1")</f>
        <v>collection.kitchen_and_buttery_1@1</v>
      </c>
      <c r="C1487" s="49" t="str">
        <f t="array" ref="C1487">_xlfn.XLOOKUP(
 B1487,
 tblTargets[TargetID],
 tblTargets[DisplayName],
 ""
)</f>
        <v>Kitchen And Buttery 1 Lv 1</v>
      </c>
      <c r="D1487" s="49" t="str">
        <f t="array" ref="D1487">_xlfn.XLOOKUP(
 B1487,
 tblTargets[TargetID],
 tblTargets[TargetType],
 ""
)</f>
        <v>COLLECTION</v>
      </c>
      <c r="E1487" s="49" t="s">
        <v>187</v>
      </c>
      <c r="F1487" s="87">
        <f>IFERROR(__xludf.DUMMYFUNCTION("VALUE(REGEXEXTRACT(A1487,""([^.]+)$""))"),3.0)</f>
        <v>3</v>
      </c>
      <c r="G1487" s="49">
        <v>50.0</v>
      </c>
      <c r="H1487" s="26" t="b">
        <f>COUNTIFS(
 tblCostChecklist[RequirementID],A1487,
 tblCostChecklist[PlayerPaid],TRUE
)&gt;0</f>
        <v>0</v>
      </c>
      <c r="I1487" s="49">
        <f t="shared" si="1"/>
        <v>12</v>
      </c>
      <c r="J1487" s="49">
        <f t="shared" si="2"/>
        <v>0</v>
      </c>
      <c r="K1487" s="49">
        <f t="shared" si="3"/>
        <v>12</v>
      </c>
      <c r="L1487" s="49" t="b">
        <f t="shared" si="4"/>
        <v>0</v>
      </c>
      <c r="M1487" s="88">
        <f t="shared" si="5"/>
        <v>0</v>
      </c>
    </row>
    <row r="1488" ht="14.25" customHeight="1">
      <c r="A1488" s="49" t="s">
        <v>2616</v>
      </c>
      <c r="B1488" s="49" t="str">
        <f>IFERROR(__xludf.DUMMYFUNCTION("REGEXEXTRACT(A1488,""^cost\.(.*)\.[^.]+\.[^.]+$"")"),"collection.kitchen_and_buttery_1@1")</f>
        <v>collection.kitchen_and_buttery_1@1</v>
      </c>
      <c r="C1488" s="49" t="str">
        <f t="array" ref="C1488">_xlfn.XLOOKUP(
 B1488,
 tblTargets[TargetID],
 tblTargets[DisplayName],
 ""
)</f>
        <v>Kitchen And Buttery 1 Lv 1</v>
      </c>
      <c r="D1488" s="49" t="str">
        <f t="array" ref="D1488">_xlfn.XLOOKUP(
 B1488,
 tblTargets[TargetID],
 tblTargets[TargetType],
 ""
)</f>
        <v>COLLECTION</v>
      </c>
      <c r="E1488" s="49" t="s">
        <v>187</v>
      </c>
      <c r="F1488" s="87">
        <f>IFERROR(__xludf.DUMMYFUNCTION("VALUE(REGEXEXTRACT(A1488,""([^.]+)$""))"),4.0)</f>
        <v>4</v>
      </c>
      <c r="G1488" s="49">
        <v>50.0</v>
      </c>
      <c r="H1488" s="26" t="b">
        <f>COUNTIFS(
 tblCostChecklist[RequirementID],A1488,
 tblCostChecklist[PlayerPaid],TRUE
)&gt;0</f>
        <v>0</v>
      </c>
      <c r="I1488" s="49">
        <f t="shared" si="1"/>
        <v>12</v>
      </c>
      <c r="J1488" s="49">
        <f t="shared" si="2"/>
        <v>0</v>
      </c>
      <c r="K1488" s="49">
        <f t="shared" si="3"/>
        <v>12</v>
      </c>
      <c r="L1488" s="49" t="b">
        <f t="shared" si="4"/>
        <v>0</v>
      </c>
      <c r="M1488" s="88">
        <f t="shared" si="5"/>
        <v>0</v>
      </c>
    </row>
    <row r="1489" ht="14.25" customHeight="1">
      <c r="A1489" s="49" t="s">
        <v>2617</v>
      </c>
      <c r="B1489" s="49" t="str">
        <f>IFERROR(__xludf.DUMMYFUNCTION("REGEXEXTRACT(A1489,""^cost\.(.*)\.[^.]+\.[^.]+$"")"),"collection.kitchen_and_buttery_1@1")</f>
        <v>collection.kitchen_and_buttery_1@1</v>
      </c>
      <c r="C1489" s="49" t="str">
        <f t="array" ref="C1489">_xlfn.XLOOKUP(
 B1489,
 tblTargets[TargetID],
 tblTargets[DisplayName],
 ""
)</f>
        <v>Kitchen And Buttery 1 Lv 1</v>
      </c>
      <c r="D1489" s="49" t="str">
        <f t="array" ref="D1489">_xlfn.XLOOKUP(
 B1489,
 tblTargets[TargetID],
 tblTargets[TargetType],
 ""
)</f>
        <v>COLLECTION</v>
      </c>
      <c r="E1489" s="49" t="s">
        <v>187</v>
      </c>
      <c r="F1489" s="87">
        <f>IFERROR(__xludf.DUMMYFUNCTION("VALUE(REGEXEXTRACT(A1489,""([^.]+)$""))"),5.0)</f>
        <v>5</v>
      </c>
      <c r="G1489" s="49">
        <v>50.0</v>
      </c>
      <c r="H1489" s="26" t="b">
        <f>COUNTIFS(
 tblCostChecklist[RequirementID],A1489,
 tblCostChecklist[PlayerPaid],TRUE
)&gt;0</f>
        <v>0</v>
      </c>
      <c r="I1489" s="49">
        <f t="shared" si="1"/>
        <v>12</v>
      </c>
      <c r="J1489" s="49">
        <f t="shared" si="2"/>
        <v>0</v>
      </c>
      <c r="K1489" s="49">
        <f t="shared" si="3"/>
        <v>12</v>
      </c>
      <c r="L1489" s="49" t="b">
        <f t="shared" si="4"/>
        <v>0</v>
      </c>
      <c r="M1489" s="88">
        <f t="shared" si="5"/>
        <v>0</v>
      </c>
    </row>
    <row r="1490" ht="14.25" customHeight="1">
      <c r="A1490" s="49" t="s">
        <v>2618</v>
      </c>
      <c r="B1490" s="49" t="str">
        <f>IFERROR(__xludf.DUMMYFUNCTION("REGEXEXTRACT(A1490,""^cost\.(.*)\.[^.]+\.[^.]+$"")"),"collection.kitchen_and_buttery_1@1")</f>
        <v>collection.kitchen_and_buttery_1@1</v>
      </c>
      <c r="C1490" s="49" t="str">
        <f t="array" ref="C1490">_xlfn.XLOOKUP(
 B1490,
 tblTargets[TargetID],
 tblTargets[DisplayName],
 ""
)</f>
        <v>Kitchen And Buttery 1 Lv 1</v>
      </c>
      <c r="D1490" s="49" t="str">
        <f t="array" ref="D1490">_xlfn.XLOOKUP(
 B1490,
 tblTargets[TargetID],
 tblTargets[TargetType],
 ""
)</f>
        <v>COLLECTION</v>
      </c>
      <c r="E1490" s="49" t="s">
        <v>187</v>
      </c>
      <c r="F1490" s="87">
        <f>IFERROR(__xludf.DUMMYFUNCTION("VALUE(REGEXEXTRACT(A1490,""([^.]+)$""))"),6.0)</f>
        <v>6</v>
      </c>
      <c r="G1490" s="49">
        <v>50.0</v>
      </c>
      <c r="H1490" s="26" t="b">
        <f>COUNTIFS(
 tblCostChecklist[RequirementID],A1490,
 tblCostChecklist[PlayerPaid],TRUE
)&gt;0</f>
        <v>0</v>
      </c>
      <c r="I1490" s="49">
        <f t="shared" si="1"/>
        <v>12</v>
      </c>
      <c r="J1490" s="49">
        <f t="shared" si="2"/>
        <v>0</v>
      </c>
      <c r="K1490" s="49">
        <f t="shared" si="3"/>
        <v>12</v>
      </c>
      <c r="L1490" s="49" t="b">
        <f t="shared" si="4"/>
        <v>0</v>
      </c>
      <c r="M1490" s="88">
        <f t="shared" si="5"/>
        <v>0</v>
      </c>
    </row>
    <row r="1491" ht="14.25" customHeight="1">
      <c r="A1491" s="49" t="s">
        <v>2619</v>
      </c>
      <c r="B1491" s="49" t="str">
        <f>IFERROR(__xludf.DUMMYFUNCTION("REGEXEXTRACT(A1491,""^cost\.(.*)\.[^.]+\.[^.]+$"")"),"collection.kitchen_and_buttery_1@1")</f>
        <v>collection.kitchen_and_buttery_1@1</v>
      </c>
      <c r="C1491" s="49" t="str">
        <f t="array" ref="C1491">_xlfn.XLOOKUP(
 B1491,
 tblTargets[TargetID],
 tblTargets[DisplayName],
 ""
)</f>
        <v>Kitchen And Buttery 1 Lv 1</v>
      </c>
      <c r="D1491" s="49" t="str">
        <f t="array" ref="D1491">_xlfn.XLOOKUP(
 B1491,
 tblTargets[TargetID],
 tblTargets[TargetType],
 ""
)</f>
        <v>COLLECTION</v>
      </c>
      <c r="E1491" s="49" t="s">
        <v>187</v>
      </c>
      <c r="F1491" s="87">
        <f>IFERROR(__xludf.DUMMYFUNCTION("VALUE(REGEXEXTRACT(A1491,""([^.]+)$""))"),7.0)</f>
        <v>7</v>
      </c>
      <c r="G1491" s="49">
        <v>50.0</v>
      </c>
      <c r="H1491" s="26" t="b">
        <f>COUNTIFS(
 tblCostChecklist[RequirementID],A1491,
 tblCostChecklist[PlayerPaid],TRUE
)&gt;0</f>
        <v>0</v>
      </c>
      <c r="I1491" s="49">
        <f t="shared" si="1"/>
        <v>12</v>
      </c>
      <c r="J1491" s="49">
        <f t="shared" si="2"/>
        <v>0</v>
      </c>
      <c r="K1491" s="49">
        <f t="shared" si="3"/>
        <v>12</v>
      </c>
      <c r="L1491" s="49" t="b">
        <f t="shared" si="4"/>
        <v>0</v>
      </c>
      <c r="M1491" s="88">
        <f t="shared" si="5"/>
        <v>0</v>
      </c>
    </row>
    <row r="1492" ht="14.25" customHeight="1">
      <c r="A1492" s="49" t="s">
        <v>2620</v>
      </c>
      <c r="B1492" s="49" t="str">
        <f>IFERROR(__xludf.DUMMYFUNCTION("REGEXEXTRACT(A1492,""^cost\.(.*)\.[^.]+\.[^.]+$"")"),"collection.kitchen_and_buttery_1@1")</f>
        <v>collection.kitchen_and_buttery_1@1</v>
      </c>
      <c r="C1492" s="49" t="str">
        <f t="array" ref="C1492">_xlfn.XLOOKUP(
 B1492,
 tblTargets[TargetID],
 tblTargets[DisplayName],
 ""
)</f>
        <v>Kitchen And Buttery 1 Lv 1</v>
      </c>
      <c r="D1492" s="49" t="str">
        <f t="array" ref="D1492">_xlfn.XLOOKUP(
 B1492,
 tblTargets[TargetID],
 tblTargets[TargetType],
 ""
)</f>
        <v>COLLECTION</v>
      </c>
      <c r="E1492" s="49" t="s">
        <v>187</v>
      </c>
      <c r="F1492" s="87">
        <f>IFERROR(__xludf.DUMMYFUNCTION("VALUE(REGEXEXTRACT(A1492,""([^.]+)$""))"),8.0)</f>
        <v>8</v>
      </c>
      <c r="G1492" s="49">
        <v>50.0</v>
      </c>
      <c r="H1492" s="26" t="b">
        <f>COUNTIFS(
 tblCostChecklist[RequirementID],A1492,
 tblCostChecklist[PlayerPaid],TRUE
)&gt;0</f>
        <v>0</v>
      </c>
      <c r="I1492" s="49">
        <f t="shared" si="1"/>
        <v>12</v>
      </c>
      <c r="J1492" s="49">
        <f t="shared" si="2"/>
        <v>0</v>
      </c>
      <c r="K1492" s="49">
        <f t="shared" si="3"/>
        <v>12</v>
      </c>
      <c r="L1492" s="49" t="b">
        <f t="shared" si="4"/>
        <v>0</v>
      </c>
      <c r="M1492" s="88">
        <f t="shared" si="5"/>
        <v>0</v>
      </c>
    </row>
    <row r="1493" ht="14.25" customHeight="1">
      <c r="A1493" s="49" t="s">
        <v>2621</v>
      </c>
      <c r="B1493" s="49" t="str">
        <f>IFERROR(__xludf.DUMMYFUNCTION("REGEXEXTRACT(A1493,""^cost\.(.*)\.[^.]+\.[^.]+$"")"),"collection.kitchen_and_buttery_1@1")</f>
        <v>collection.kitchen_and_buttery_1@1</v>
      </c>
      <c r="C1493" s="49" t="str">
        <f t="array" ref="C1493">_xlfn.XLOOKUP(
 B1493,
 tblTargets[TargetID],
 tblTargets[DisplayName],
 ""
)</f>
        <v>Kitchen And Buttery 1 Lv 1</v>
      </c>
      <c r="D1493" s="49" t="str">
        <f t="array" ref="D1493">_xlfn.XLOOKUP(
 B1493,
 tblTargets[TargetID],
 tblTargets[TargetType],
 ""
)</f>
        <v>COLLECTION</v>
      </c>
      <c r="E1493" s="49" t="s">
        <v>711</v>
      </c>
      <c r="F1493" s="87">
        <f>IFERROR(__xludf.DUMMYFUNCTION("VALUE(REGEXEXTRACT(A1493,""([^.]+)$""))"),1.0)</f>
        <v>1</v>
      </c>
      <c r="G1493" s="49">
        <v>15.0</v>
      </c>
      <c r="H1493" s="26" t="b">
        <f>COUNTIFS(
 tblCostChecklist[RequirementID],A1493,
 tblCostChecklist[PlayerPaid],TRUE
)&gt;0</f>
        <v>0</v>
      </c>
      <c r="I1493" s="49">
        <f t="shared" si="1"/>
        <v>12</v>
      </c>
      <c r="J1493" s="49">
        <f t="shared" si="2"/>
        <v>0</v>
      </c>
      <c r="K1493" s="49">
        <f t="shared" si="3"/>
        <v>12</v>
      </c>
      <c r="L1493" s="49" t="b">
        <f t="shared" si="4"/>
        <v>0</v>
      </c>
      <c r="M1493" s="88">
        <f t="shared" si="5"/>
        <v>0</v>
      </c>
    </row>
    <row r="1494" ht="14.25" customHeight="1">
      <c r="A1494" s="49" t="s">
        <v>2622</v>
      </c>
      <c r="B1494" s="49" t="str">
        <f>IFERROR(__xludf.DUMMYFUNCTION("REGEXEXTRACT(A1494,""^cost\.(.*)\.[^.]+\.[^.]+$"")"),"collection.kitchen_and_buttery_1@2")</f>
        <v>collection.kitchen_and_buttery_1@2</v>
      </c>
      <c r="C1494" s="49" t="str">
        <f t="array" ref="C1494">_xlfn.XLOOKUP(
 B1494,
 tblTargets[TargetID],
 tblTargets[DisplayName],
 ""
)</f>
        <v>Kitchen And Buttery 1 Lv 2</v>
      </c>
      <c r="D1494" s="49" t="str">
        <f t="array" ref="D1494">_xlfn.XLOOKUP(
 B1494,
 tblTargets[TargetID],
 tblTargets[TargetType],
 ""
)</f>
        <v>COLLECTION</v>
      </c>
      <c r="E1494" s="49" t="s">
        <v>2486</v>
      </c>
      <c r="F1494" s="87">
        <f>IFERROR(__xludf.DUMMYFUNCTION("VALUE(REGEXEXTRACT(A1494,""([^.]+)$""))"),1.0)</f>
        <v>1</v>
      </c>
      <c r="G1494" s="49">
        <v>20.0</v>
      </c>
      <c r="H1494" s="26" t="b">
        <f>COUNTIFS(
 tblCostChecklist[RequirementID],A1494,
 tblCostChecklist[PlayerPaid],TRUE
)&gt;0</f>
        <v>0</v>
      </c>
      <c r="I1494" s="49">
        <f t="shared" si="1"/>
        <v>12</v>
      </c>
      <c r="J1494" s="49">
        <f t="shared" si="2"/>
        <v>0</v>
      </c>
      <c r="K1494" s="49">
        <f t="shared" si="3"/>
        <v>12</v>
      </c>
      <c r="L1494" s="49" t="b">
        <f t="shared" si="4"/>
        <v>0</v>
      </c>
      <c r="M1494" s="88">
        <f t="shared" si="5"/>
        <v>0</v>
      </c>
    </row>
    <row r="1495" ht="14.25" customHeight="1">
      <c r="A1495" s="49" t="s">
        <v>2623</v>
      </c>
      <c r="B1495" s="49" t="str">
        <f>IFERROR(__xludf.DUMMYFUNCTION("REGEXEXTRACT(A1495,""^cost\.(.*)\.[^.]+\.[^.]+$"")"),"collection.kitchen_and_buttery_1@2")</f>
        <v>collection.kitchen_and_buttery_1@2</v>
      </c>
      <c r="C1495" s="49" t="str">
        <f t="array" ref="C1495">_xlfn.XLOOKUP(
 B1495,
 tblTargets[TargetID],
 tblTargets[DisplayName],
 ""
)</f>
        <v>Kitchen And Buttery 1 Lv 2</v>
      </c>
      <c r="D1495" s="49" t="str">
        <f t="array" ref="D1495">_xlfn.XLOOKUP(
 B1495,
 tblTargets[TargetID],
 tblTargets[TargetType],
 ""
)</f>
        <v>COLLECTION</v>
      </c>
      <c r="E1495" s="49" t="s">
        <v>2611</v>
      </c>
      <c r="F1495" s="87">
        <f>IFERROR(__xludf.DUMMYFUNCTION("VALUE(REGEXEXTRACT(A1495,""([^.]+)$""))"),1.0)</f>
        <v>1</v>
      </c>
      <c r="G1495" s="49">
        <v>20.0</v>
      </c>
      <c r="H1495" s="26" t="b">
        <f>COUNTIFS(
 tblCostChecklist[RequirementID],A1495,
 tblCostChecklist[PlayerPaid],TRUE
)&gt;0</f>
        <v>0</v>
      </c>
      <c r="I1495" s="49">
        <f t="shared" si="1"/>
        <v>12</v>
      </c>
      <c r="J1495" s="49">
        <f t="shared" si="2"/>
        <v>0</v>
      </c>
      <c r="K1495" s="49">
        <f t="shared" si="3"/>
        <v>12</v>
      </c>
      <c r="L1495" s="49" t="b">
        <f t="shared" si="4"/>
        <v>0</v>
      </c>
      <c r="M1495" s="88">
        <f t="shared" si="5"/>
        <v>0</v>
      </c>
    </row>
    <row r="1496" ht="14.25" customHeight="1">
      <c r="A1496" s="49" t="s">
        <v>2624</v>
      </c>
      <c r="B1496" s="49" t="str">
        <f>IFERROR(__xludf.DUMMYFUNCTION("REGEXEXTRACT(A1496,""^cost\.(.*)\.[^.]+\.[^.]+$"")"),"collection.kitchen_and_buttery_1@2")</f>
        <v>collection.kitchen_and_buttery_1@2</v>
      </c>
      <c r="C1496" s="49" t="str">
        <f t="array" ref="C1496">_xlfn.XLOOKUP(
 B1496,
 tblTargets[TargetID],
 tblTargets[DisplayName],
 ""
)</f>
        <v>Kitchen And Buttery 1 Lv 2</v>
      </c>
      <c r="D1496" s="49" t="str">
        <f t="array" ref="D1496">_xlfn.XLOOKUP(
 B1496,
 tblTargets[TargetID],
 tblTargets[TargetType],
 ""
)</f>
        <v>COLLECTION</v>
      </c>
      <c r="E1496" s="49" t="s">
        <v>588</v>
      </c>
      <c r="F1496" s="87">
        <f>IFERROR(__xludf.DUMMYFUNCTION("VALUE(REGEXEXTRACT(A1496,""([^.]+)$""))"),1.0)</f>
        <v>1</v>
      </c>
      <c r="G1496" s="49">
        <v>30.0</v>
      </c>
      <c r="H1496" s="26" t="b">
        <f>COUNTIFS(
 tblCostChecklist[RequirementID],A1496,
 tblCostChecklist[PlayerPaid],TRUE
)&gt;0</f>
        <v>0</v>
      </c>
      <c r="I1496" s="49">
        <f t="shared" si="1"/>
        <v>12</v>
      </c>
      <c r="J1496" s="49">
        <f t="shared" si="2"/>
        <v>0</v>
      </c>
      <c r="K1496" s="49">
        <f t="shared" si="3"/>
        <v>12</v>
      </c>
      <c r="L1496" s="49" t="b">
        <f t="shared" si="4"/>
        <v>0</v>
      </c>
      <c r="M1496" s="88">
        <f t="shared" si="5"/>
        <v>0</v>
      </c>
    </row>
    <row r="1497" ht="14.25" customHeight="1">
      <c r="A1497" s="49" t="s">
        <v>2625</v>
      </c>
      <c r="B1497" s="49" t="str">
        <f>IFERROR(__xludf.DUMMYFUNCTION("REGEXEXTRACT(A1497,""^cost\.(.*)\.[^.]+\.[^.]+$"")"),"collection.kitchen_and_buttery_1@2")</f>
        <v>collection.kitchen_and_buttery_1@2</v>
      </c>
      <c r="C1497" s="49" t="str">
        <f t="array" ref="C1497">_xlfn.XLOOKUP(
 B1497,
 tblTargets[TargetID],
 tblTargets[DisplayName],
 ""
)</f>
        <v>Kitchen And Buttery 1 Lv 2</v>
      </c>
      <c r="D1497" s="49" t="str">
        <f t="array" ref="D1497">_xlfn.XLOOKUP(
 B1497,
 tblTargets[TargetID],
 tblTargets[TargetType],
 ""
)</f>
        <v>COLLECTION</v>
      </c>
      <c r="E1497" s="49" t="s">
        <v>187</v>
      </c>
      <c r="F1497" s="87">
        <f>IFERROR(__xludf.DUMMYFUNCTION("VALUE(REGEXEXTRACT(A1497,""([^.]+)$""))"),1.0)</f>
        <v>1</v>
      </c>
      <c r="G1497" s="49">
        <v>100.0</v>
      </c>
      <c r="H1497" s="26" t="b">
        <f>COUNTIFS(
 tblCostChecklist[RequirementID],A1497,
 tblCostChecklist[PlayerPaid],TRUE
)&gt;0</f>
        <v>0</v>
      </c>
      <c r="I1497" s="49">
        <f t="shared" si="1"/>
        <v>12</v>
      </c>
      <c r="J1497" s="49">
        <f t="shared" si="2"/>
        <v>0</v>
      </c>
      <c r="K1497" s="49">
        <f t="shared" si="3"/>
        <v>12</v>
      </c>
      <c r="L1497" s="49" t="b">
        <f t="shared" si="4"/>
        <v>0</v>
      </c>
      <c r="M1497" s="88">
        <f t="shared" si="5"/>
        <v>0</v>
      </c>
    </row>
    <row r="1498" ht="14.25" customHeight="1">
      <c r="A1498" s="49" t="s">
        <v>2626</v>
      </c>
      <c r="B1498" s="49" t="str">
        <f>IFERROR(__xludf.DUMMYFUNCTION("REGEXEXTRACT(A1498,""^cost\.(.*)\.[^.]+\.[^.]+$"")"),"collection.kitchen_and_buttery_1@2")</f>
        <v>collection.kitchen_and_buttery_1@2</v>
      </c>
      <c r="C1498" s="49" t="str">
        <f t="array" ref="C1498">_xlfn.XLOOKUP(
 B1498,
 tblTargets[TargetID],
 tblTargets[DisplayName],
 ""
)</f>
        <v>Kitchen And Buttery 1 Lv 2</v>
      </c>
      <c r="D1498" s="49" t="str">
        <f t="array" ref="D1498">_xlfn.XLOOKUP(
 B1498,
 tblTargets[TargetID],
 tblTargets[TargetType],
 ""
)</f>
        <v>COLLECTION</v>
      </c>
      <c r="E1498" s="49" t="s">
        <v>187</v>
      </c>
      <c r="F1498" s="87">
        <f>IFERROR(__xludf.DUMMYFUNCTION("VALUE(REGEXEXTRACT(A1498,""([^.]+)$""))"),2.0)</f>
        <v>2</v>
      </c>
      <c r="G1498" s="49">
        <v>100.0</v>
      </c>
      <c r="H1498" s="26" t="b">
        <f>COUNTIFS(
 tblCostChecklist[RequirementID],A1498,
 tblCostChecklist[PlayerPaid],TRUE
)&gt;0</f>
        <v>0</v>
      </c>
      <c r="I1498" s="49">
        <f t="shared" si="1"/>
        <v>12</v>
      </c>
      <c r="J1498" s="49">
        <f t="shared" si="2"/>
        <v>0</v>
      </c>
      <c r="K1498" s="49">
        <f t="shared" si="3"/>
        <v>12</v>
      </c>
      <c r="L1498" s="49" t="b">
        <f t="shared" si="4"/>
        <v>0</v>
      </c>
      <c r="M1498" s="88">
        <f t="shared" si="5"/>
        <v>0</v>
      </c>
    </row>
    <row r="1499" ht="14.25" customHeight="1">
      <c r="A1499" s="49" t="s">
        <v>2627</v>
      </c>
      <c r="B1499" s="49" t="str">
        <f>IFERROR(__xludf.DUMMYFUNCTION("REGEXEXTRACT(A1499,""^cost\.(.*)\.[^.]+\.[^.]+$"")"),"collection.kitchen_and_buttery_1@2")</f>
        <v>collection.kitchen_and_buttery_1@2</v>
      </c>
      <c r="C1499" s="49" t="str">
        <f t="array" ref="C1499">_xlfn.XLOOKUP(
 B1499,
 tblTargets[TargetID],
 tblTargets[DisplayName],
 ""
)</f>
        <v>Kitchen And Buttery 1 Lv 2</v>
      </c>
      <c r="D1499" s="49" t="str">
        <f t="array" ref="D1499">_xlfn.XLOOKUP(
 B1499,
 tblTargets[TargetID],
 tblTargets[TargetType],
 ""
)</f>
        <v>COLLECTION</v>
      </c>
      <c r="E1499" s="49" t="s">
        <v>187</v>
      </c>
      <c r="F1499" s="87">
        <f>IFERROR(__xludf.DUMMYFUNCTION("VALUE(REGEXEXTRACT(A1499,""([^.]+)$""))"),3.0)</f>
        <v>3</v>
      </c>
      <c r="G1499" s="49">
        <v>100.0</v>
      </c>
      <c r="H1499" s="26" t="b">
        <f>COUNTIFS(
 tblCostChecklist[RequirementID],A1499,
 tblCostChecklist[PlayerPaid],TRUE
)&gt;0</f>
        <v>0</v>
      </c>
      <c r="I1499" s="49">
        <f t="shared" si="1"/>
        <v>12</v>
      </c>
      <c r="J1499" s="49">
        <f t="shared" si="2"/>
        <v>0</v>
      </c>
      <c r="K1499" s="49">
        <f t="shared" si="3"/>
        <v>12</v>
      </c>
      <c r="L1499" s="49" t="b">
        <f t="shared" si="4"/>
        <v>0</v>
      </c>
      <c r="M1499" s="88">
        <f t="shared" si="5"/>
        <v>0</v>
      </c>
    </row>
    <row r="1500" ht="14.25" customHeight="1">
      <c r="A1500" s="49" t="s">
        <v>2628</v>
      </c>
      <c r="B1500" s="49" t="str">
        <f>IFERROR(__xludf.DUMMYFUNCTION("REGEXEXTRACT(A1500,""^cost\.(.*)\.[^.]+\.[^.]+$"")"),"collection.kitchen_and_buttery_1@2")</f>
        <v>collection.kitchen_and_buttery_1@2</v>
      </c>
      <c r="C1500" s="49" t="str">
        <f t="array" ref="C1500">_xlfn.XLOOKUP(
 B1500,
 tblTargets[TargetID],
 tblTargets[DisplayName],
 ""
)</f>
        <v>Kitchen And Buttery 1 Lv 2</v>
      </c>
      <c r="D1500" s="49" t="str">
        <f t="array" ref="D1500">_xlfn.XLOOKUP(
 B1500,
 tblTargets[TargetID],
 tblTargets[TargetType],
 ""
)</f>
        <v>COLLECTION</v>
      </c>
      <c r="E1500" s="49" t="s">
        <v>187</v>
      </c>
      <c r="F1500" s="87">
        <f>IFERROR(__xludf.DUMMYFUNCTION("VALUE(REGEXEXTRACT(A1500,""([^.]+)$""))"),4.0)</f>
        <v>4</v>
      </c>
      <c r="G1500" s="49">
        <v>100.0</v>
      </c>
      <c r="H1500" s="26" t="b">
        <f>COUNTIFS(
 tblCostChecklist[RequirementID],A1500,
 tblCostChecklist[PlayerPaid],TRUE
)&gt;0</f>
        <v>0</v>
      </c>
      <c r="I1500" s="49">
        <f t="shared" si="1"/>
        <v>12</v>
      </c>
      <c r="J1500" s="49">
        <f t="shared" si="2"/>
        <v>0</v>
      </c>
      <c r="K1500" s="49">
        <f t="shared" si="3"/>
        <v>12</v>
      </c>
      <c r="L1500" s="49" t="b">
        <f t="shared" si="4"/>
        <v>0</v>
      </c>
      <c r="M1500" s="88">
        <f t="shared" si="5"/>
        <v>0</v>
      </c>
    </row>
    <row r="1501" ht="14.25" customHeight="1">
      <c r="A1501" s="49" t="s">
        <v>2629</v>
      </c>
      <c r="B1501" s="49" t="str">
        <f>IFERROR(__xludf.DUMMYFUNCTION("REGEXEXTRACT(A1501,""^cost\.(.*)\.[^.]+\.[^.]+$"")"),"collection.kitchen_and_buttery_1@2")</f>
        <v>collection.kitchen_and_buttery_1@2</v>
      </c>
      <c r="C1501" s="49" t="str">
        <f t="array" ref="C1501">_xlfn.XLOOKUP(
 B1501,
 tblTargets[TargetID],
 tblTargets[DisplayName],
 ""
)</f>
        <v>Kitchen And Buttery 1 Lv 2</v>
      </c>
      <c r="D1501" s="49" t="str">
        <f t="array" ref="D1501">_xlfn.XLOOKUP(
 B1501,
 tblTargets[TargetID],
 tblTargets[TargetType],
 ""
)</f>
        <v>COLLECTION</v>
      </c>
      <c r="E1501" s="49" t="s">
        <v>187</v>
      </c>
      <c r="F1501" s="87">
        <f>IFERROR(__xludf.DUMMYFUNCTION("VALUE(REGEXEXTRACT(A1501,""([^.]+)$""))"),5.0)</f>
        <v>5</v>
      </c>
      <c r="G1501" s="49">
        <v>100.0</v>
      </c>
      <c r="H1501" s="26" t="b">
        <f>COUNTIFS(
 tblCostChecklist[RequirementID],A1501,
 tblCostChecklist[PlayerPaid],TRUE
)&gt;0</f>
        <v>0</v>
      </c>
      <c r="I1501" s="49">
        <f t="shared" si="1"/>
        <v>12</v>
      </c>
      <c r="J1501" s="49">
        <f t="shared" si="2"/>
        <v>0</v>
      </c>
      <c r="K1501" s="49">
        <f t="shared" si="3"/>
        <v>12</v>
      </c>
      <c r="L1501" s="49" t="b">
        <f t="shared" si="4"/>
        <v>0</v>
      </c>
      <c r="M1501" s="88">
        <f t="shared" si="5"/>
        <v>0</v>
      </c>
    </row>
    <row r="1502" ht="14.25" customHeight="1">
      <c r="A1502" s="49" t="s">
        <v>2630</v>
      </c>
      <c r="B1502" s="49" t="str">
        <f>IFERROR(__xludf.DUMMYFUNCTION("REGEXEXTRACT(A1502,""^cost\.(.*)\.[^.]+\.[^.]+$"")"),"collection.kitchen_and_buttery_1@2")</f>
        <v>collection.kitchen_and_buttery_1@2</v>
      </c>
      <c r="C1502" s="49" t="str">
        <f t="array" ref="C1502">_xlfn.XLOOKUP(
 B1502,
 tblTargets[TargetID],
 tblTargets[DisplayName],
 ""
)</f>
        <v>Kitchen And Buttery 1 Lv 2</v>
      </c>
      <c r="D1502" s="49" t="str">
        <f t="array" ref="D1502">_xlfn.XLOOKUP(
 B1502,
 tblTargets[TargetID],
 tblTargets[TargetType],
 ""
)</f>
        <v>COLLECTION</v>
      </c>
      <c r="E1502" s="49" t="s">
        <v>187</v>
      </c>
      <c r="F1502" s="87">
        <f>IFERROR(__xludf.DUMMYFUNCTION("VALUE(REGEXEXTRACT(A1502,""([^.]+)$""))"),6.0)</f>
        <v>6</v>
      </c>
      <c r="G1502" s="49">
        <v>100.0</v>
      </c>
      <c r="H1502" s="26" t="b">
        <f>COUNTIFS(
 tblCostChecklist[RequirementID],A1502,
 tblCostChecklist[PlayerPaid],TRUE
)&gt;0</f>
        <v>0</v>
      </c>
      <c r="I1502" s="49">
        <f t="shared" si="1"/>
        <v>12</v>
      </c>
      <c r="J1502" s="49">
        <f t="shared" si="2"/>
        <v>0</v>
      </c>
      <c r="K1502" s="49">
        <f t="shared" si="3"/>
        <v>12</v>
      </c>
      <c r="L1502" s="49" t="b">
        <f t="shared" si="4"/>
        <v>0</v>
      </c>
      <c r="M1502" s="88">
        <f t="shared" si="5"/>
        <v>0</v>
      </c>
    </row>
    <row r="1503" ht="14.25" customHeight="1">
      <c r="A1503" s="49" t="s">
        <v>2631</v>
      </c>
      <c r="B1503" s="49" t="str">
        <f>IFERROR(__xludf.DUMMYFUNCTION("REGEXEXTRACT(A1503,""^cost\.(.*)\.[^.]+\.[^.]+$"")"),"collection.kitchen_and_buttery_1@2")</f>
        <v>collection.kitchen_and_buttery_1@2</v>
      </c>
      <c r="C1503" s="49" t="str">
        <f t="array" ref="C1503">_xlfn.XLOOKUP(
 B1503,
 tblTargets[TargetID],
 tblTargets[DisplayName],
 ""
)</f>
        <v>Kitchen And Buttery 1 Lv 2</v>
      </c>
      <c r="D1503" s="49" t="str">
        <f t="array" ref="D1503">_xlfn.XLOOKUP(
 B1503,
 tblTargets[TargetID],
 tblTargets[TargetType],
 ""
)</f>
        <v>COLLECTION</v>
      </c>
      <c r="E1503" s="49" t="s">
        <v>187</v>
      </c>
      <c r="F1503" s="87">
        <f>IFERROR(__xludf.DUMMYFUNCTION("VALUE(REGEXEXTRACT(A1503,""([^.]+)$""))"),7.0)</f>
        <v>7</v>
      </c>
      <c r="G1503" s="49">
        <v>100.0</v>
      </c>
      <c r="H1503" s="26" t="b">
        <f>COUNTIFS(
 tblCostChecklist[RequirementID],A1503,
 tblCostChecklist[PlayerPaid],TRUE
)&gt;0</f>
        <v>0</v>
      </c>
      <c r="I1503" s="49">
        <f t="shared" si="1"/>
        <v>12</v>
      </c>
      <c r="J1503" s="49">
        <f t="shared" si="2"/>
        <v>0</v>
      </c>
      <c r="K1503" s="49">
        <f t="shared" si="3"/>
        <v>12</v>
      </c>
      <c r="L1503" s="49" t="b">
        <f t="shared" si="4"/>
        <v>0</v>
      </c>
      <c r="M1503" s="88">
        <f t="shared" si="5"/>
        <v>0</v>
      </c>
    </row>
    <row r="1504" ht="14.25" customHeight="1">
      <c r="A1504" s="49" t="s">
        <v>2632</v>
      </c>
      <c r="B1504" s="49" t="str">
        <f>IFERROR(__xludf.DUMMYFUNCTION("REGEXEXTRACT(A1504,""^cost\.(.*)\.[^.]+\.[^.]+$"")"),"collection.kitchen_and_buttery_1@2")</f>
        <v>collection.kitchen_and_buttery_1@2</v>
      </c>
      <c r="C1504" s="49" t="str">
        <f t="array" ref="C1504">_xlfn.XLOOKUP(
 B1504,
 tblTargets[TargetID],
 tblTargets[DisplayName],
 ""
)</f>
        <v>Kitchen And Buttery 1 Lv 2</v>
      </c>
      <c r="D1504" s="49" t="str">
        <f t="array" ref="D1504">_xlfn.XLOOKUP(
 B1504,
 tblTargets[TargetID],
 tblTargets[TargetType],
 ""
)</f>
        <v>COLLECTION</v>
      </c>
      <c r="E1504" s="49" t="s">
        <v>187</v>
      </c>
      <c r="F1504" s="87">
        <f>IFERROR(__xludf.DUMMYFUNCTION("VALUE(REGEXEXTRACT(A1504,""([^.]+)$""))"),8.0)</f>
        <v>8</v>
      </c>
      <c r="G1504" s="49">
        <v>100.0</v>
      </c>
      <c r="H1504" s="26" t="b">
        <f>COUNTIFS(
 tblCostChecklist[RequirementID],A1504,
 tblCostChecklist[PlayerPaid],TRUE
)&gt;0</f>
        <v>0</v>
      </c>
      <c r="I1504" s="49">
        <f t="shared" si="1"/>
        <v>12</v>
      </c>
      <c r="J1504" s="49">
        <f t="shared" si="2"/>
        <v>0</v>
      </c>
      <c r="K1504" s="49">
        <f t="shared" si="3"/>
        <v>12</v>
      </c>
      <c r="L1504" s="49" t="b">
        <f t="shared" si="4"/>
        <v>0</v>
      </c>
      <c r="M1504" s="88">
        <f t="shared" si="5"/>
        <v>0</v>
      </c>
    </row>
    <row r="1505" ht="14.25" customHeight="1">
      <c r="A1505" s="49" t="s">
        <v>2633</v>
      </c>
      <c r="B1505" s="49" t="str">
        <f>IFERROR(__xludf.DUMMYFUNCTION("REGEXEXTRACT(A1505,""^cost\.(.*)\.[^.]+\.[^.]+$"")"),"collection.kitchen_and_buttery_1@2")</f>
        <v>collection.kitchen_and_buttery_1@2</v>
      </c>
      <c r="C1505" s="49" t="str">
        <f t="array" ref="C1505">_xlfn.XLOOKUP(
 B1505,
 tblTargets[TargetID],
 tblTargets[DisplayName],
 ""
)</f>
        <v>Kitchen And Buttery 1 Lv 2</v>
      </c>
      <c r="D1505" s="49" t="str">
        <f t="array" ref="D1505">_xlfn.XLOOKUP(
 B1505,
 tblTargets[TargetID],
 tblTargets[TargetType],
 ""
)</f>
        <v>COLLECTION</v>
      </c>
      <c r="E1505" s="49" t="s">
        <v>711</v>
      </c>
      <c r="F1505" s="87">
        <f>IFERROR(__xludf.DUMMYFUNCTION("VALUE(REGEXEXTRACT(A1505,""([^.]+)$""))"),1.0)</f>
        <v>1</v>
      </c>
      <c r="G1505" s="49">
        <v>30.0</v>
      </c>
      <c r="H1505" s="26" t="b">
        <f>COUNTIFS(
 tblCostChecklist[RequirementID],A1505,
 tblCostChecklist[PlayerPaid],TRUE
)&gt;0</f>
        <v>0</v>
      </c>
      <c r="I1505" s="49">
        <f t="shared" si="1"/>
        <v>12</v>
      </c>
      <c r="J1505" s="49">
        <f t="shared" si="2"/>
        <v>0</v>
      </c>
      <c r="K1505" s="49">
        <f t="shared" si="3"/>
        <v>12</v>
      </c>
      <c r="L1505" s="49" t="b">
        <f t="shared" si="4"/>
        <v>0</v>
      </c>
      <c r="M1505" s="88">
        <f t="shared" si="5"/>
        <v>0</v>
      </c>
    </row>
    <row r="1506" ht="14.25" customHeight="1">
      <c r="A1506" s="49" t="s">
        <v>2634</v>
      </c>
      <c r="B1506" s="49" t="str">
        <f>IFERROR(__xludf.DUMMYFUNCTION("REGEXEXTRACT(A1506,""^cost\.(.*)\.[^.]+\.[^.]+$"")"),"collection.kitchen_and_buttery_1@3")</f>
        <v>collection.kitchen_and_buttery_1@3</v>
      </c>
      <c r="C1506" s="49" t="str">
        <f t="array" ref="C1506">_xlfn.XLOOKUP(
 B1506,
 tblTargets[TargetID],
 tblTargets[DisplayName],
 ""
)</f>
        <v>Kitchen And Buttery 1 Lv 3</v>
      </c>
      <c r="D1506" s="49" t="str">
        <f t="array" ref="D1506">_xlfn.XLOOKUP(
 B1506,
 tblTargets[TargetID],
 tblTargets[TargetType],
 ""
)</f>
        <v>COLLECTION</v>
      </c>
      <c r="E1506" s="49" t="s">
        <v>2486</v>
      </c>
      <c r="F1506" s="87">
        <f>IFERROR(__xludf.DUMMYFUNCTION("VALUE(REGEXEXTRACT(A1506,""([^.]+)$""))"),1.0)</f>
        <v>1</v>
      </c>
      <c r="G1506" s="49">
        <v>30.0</v>
      </c>
      <c r="H1506" s="26" t="b">
        <f>COUNTIFS(
 tblCostChecklist[RequirementID],A1506,
 tblCostChecklist[PlayerPaid],TRUE
)&gt;0</f>
        <v>0</v>
      </c>
      <c r="I1506" s="49">
        <f t="shared" si="1"/>
        <v>12</v>
      </c>
      <c r="J1506" s="49">
        <f t="shared" si="2"/>
        <v>0</v>
      </c>
      <c r="K1506" s="49">
        <f t="shared" si="3"/>
        <v>12</v>
      </c>
      <c r="L1506" s="49" t="b">
        <f t="shared" si="4"/>
        <v>0</v>
      </c>
      <c r="M1506" s="88">
        <f t="shared" si="5"/>
        <v>0</v>
      </c>
    </row>
    <row r="1507" ht="14.25" customHeight="1">
      <c r="A1507" s="49" t="s">
        <v>2635</v>
      </c>
      <c r="B1507" s="49" t="str">
        <f>IFERROR(__xludf.DUMMYFUNCTION("REGEXEXTRACT(A1507,""^cost\.(.*)\.[^.]+\.[^.]+$"")"),"collection.kitchen_and_buttery_1@3")</f>
        <v>collection.kitchen_and_buttery_1@3</v>
      </c>
      <c r="C1507" s="49" t="str">
        <f t="array" ref="C1507">_xlfn.XLOOKUP(
 B1507,
 tblTargets[TargetID],
 tblTargets[DisplayName],
 ""
)</f>
        <v>Kitchen And Buttery 1 Lv 3</v>
      </c>
      <c r="D1507" s="49" t="str">
        <f t="array" ref="D1507">_xlfn.XLOOKUP(
 B1507,
 tblTargets[TargetID],
 tblTargets[TargetType],
 ""
)</f>
        <v>COLLECTION</v>
      </c>
      <c r="E1507" s="49" t="s">
        <v>2611</v>
      </c>
      <c r="F1507" s="87">
        <f>IFERROR(__xludf.DUMMYFUNCTION("VALUE(REGEXEXTRACT(A1507,""([^.]+)$""))"),1.0)</f>
        <v>1</v>
      </c>
      <c r="G1507" s="49">
        <v>30.0</v>
      </c>
      <c r="H1507" s="26" t="b">
        <f>COUNTIFS(
 tblCostChecklist[RequirementID],A1507,
 tblCostChecklist[PlayerPaid],TRUE
)&gt;0</f>
        <v>0</v>
      </c>
      <c r="I1507" s="49">
        <f t="shared" si="1"/>
        <v>12</v>
      </c>
      <c r="J1507" s="49">
        <f t="shared" si="2"/>
        <v>0</v>
      </c>
      <c r="K1507" s="49">
        <f t="shared" si="3"/>
        <v>12</v>
      </c>
      <c r="L1507" s="49" t="b">
        <f t="shared" si="4"/>
        <v>0</v>
      </c>
      <c r="M1507" s="88">
        <f t="shared" si="5"/>
        <v>0</v>
      </c>
    </row>
    <row r="1508" ht="14.25" customHeight="1">
      <c r="A1508" s="49" t="s">
        <v>2636</v>
      </c>
      <c r="B1508" s="49" t="str">
        <f>IFERROR(__xludf.DUMMYFUNCTION("REGEXEXTRACT(A1508,""^cost\.(.*)\.[^.]+\.[^.]+$"")"),"collection.kitchen_and_buttery_1@3")</f>
        <v>collection.kitchen_and_buttery_1@3</v>
      </c>
      <c r="C1508" s="49" t="str">
        <f t="array" ref="C1508">_xlfn.XLOOKUP(
 B1508,
 tblTargets[TargetID],
 tblTargets[DisplayName],
 ""
)</f>
        <v>Kitchen And Buttery 1 Lv 3</v>
      </c>
      <c r="D1508" s="49" t="str">
        <f t="array" ref="D1508">_xlfn.XLOOKUP(
 B1508,
 tblTargets[TargetID],
 tblTargets[TargetType],
 ""
)</f>
        <v>COLLECTION</v>
      </c>
      <c r="E1508" s="49" t="s">
        <v>588</v>
      </c>
      <c r="F1508" s="87">
        <f>IFERROR(__xludf.DUMMYFUNCTION("VALUE(REGEXEXTRACT(A1508,""([^.]+)$""))"),1.0)</f>
        <v>1</v>
      </c>
      <c r="G1508" s="49">
        <v>45.0</v>
      </c>
      <c r="H1508" s="26" t="b">
        <f>COUNTIFS(
 tblCostChecklist[RequirementID],A1508,
 tblCostChecklist[PlayerPaid],TRUE
)&gt;0</f>
        <v>0</v>
      </c>
      <c r="I1508" s="49">
        <f t="shared" si="1"/>
        <v>12</v>
      </c>
      <c r="J1508" s="49">
        <f t="shared" si="2"/>
        <v>0</v>
      </c>
      <c r="K1508" s="49">
        <f t="shared" si="3"/>
        <v>12</v>
      </c>
      <c r="L1508" s="49" t="b">
        <f t="shared" si="4"/>
        <v>0</v>
      </c>
      <c r="M1508" s="88">
        <f t="shared" si="5"/>
        <v>0</v>
      </c>
    </row>
    <row r="1509" ht="14.25" customHeight="1">
      <c r="A1509" s="49" t="s">
        <v>2637</v>
      </c>
      <c r="B1509" s="49" t="str">
        <f>IFERROR(__xludf.DUMMYFUNCTION("REGEXEXTRACT(A1509,""^cost\.(.*)\.[^.]+\.[^.]+$"")"),"collection.kitchen_and_buttery_1@3")</f>
        <v>collection.kitchen_and_buttery_1@3</v>
      </c>
      <c r="C1509" s="49" t="str">
        <f t="array" ref="C1509">_xlfn.XLOOKUP(
 B1509,
 tblTargets[TargetID],
 tblTargets[DisplayName],
 ""
)</f>
        <v>Kitchen And Buttery 1 Lv 3</v>
      </c>
      <c r="D1509" s="49" t="str">
        <f t="array" ref="D1509">_xlfn.XLOOKUP(
 B1509,
 tblTargets[TargetID],
 tblTargets[TargetType],
 ""
)</f>
        <v>COLLECTION</v>
      </c>
      <c r="E1509" s="49" t="s">
        <v>187</v>
      </c>
      <c r="F1509" s="87">
        <f>IFERROR(__xludf.DUMMYFUNCTION("VALUE(REGEXEXTRACT(A1509,""([^.]+)$""))"),1.0)</f>
        <v>1</v>
      </c>
      <c r="G1509" s="49">
        <v>150.0</v>
      </c>
      <c r="H1509" s="26" t="b">
        <f>COUNTIFS(
 tblCostChecklist[RequirementID],A1509,
 tblCostChecklist[PlayerPaid],TRUE
)&gt;0</f>
        <v>0</v>
      </c>
      <c r="I1509" s="49">
        <f t="shared" si="1"/>
        <v>12</v>
      </c>
      <c r="J1509" s="49">
        <f t="shared" si="2"/>
        <v>0</v>
      </c>
      <c r="K1509" s="49">
        <f t="shared" si="3"/>
        <v>12</v>
      </c>
      <c r="L1509" s="49" t="b">
        <f t="shared" si="4"/>
        <v>0</v>
      </c>
      <c r="M1509" s="88">
        <f t="shared" si="5"/>
        <v>0</v>
      </c>
    </row>
    <row r="1510" ht="14.25" customHeight="1">
      <c r="A1510" s="49" t="s">
        <v>2638</v>
      </c>
      <c r="B1510" s="49" t="str">
        <f>IFERROR(__xludf.DUMMYFUNCTION("REGEXEXTRACT(A1510,""^cost\.(.*)\.[^.]+\.[^.]+$"")"),"collection.kitchen_and_buttery_1@3")</f>
        <v>collection.kitchen_and_buttery_1@3</v>
      </c>
      <c r="C1510" s="49" t="str">
        <f t="array" ref="C1510">_xlfn.XLOOKUP(
 B1510,
 tblTargets[TargetID],
 tblTargets[DisplayName],
 ""
)</f>
        <v>Kitchen And Buttery 1 Lv 3</v>
      </c>
      <c r="D1510" s="49" t="str">
        <f t="array" ref="D1510">_xlfn.XLOOKUP(
 B1510,
 tblTargets[TargetID],
 tblTargets[TargetType],
 ""
)</f>
        <v>COLLECTION</v>
      </c>
      <c r="E1510" s="49" t="s">
        <v>187</v>
      </c>
      <c r="F1510" s="87">
        <f>IFERROR(__xludf.DUMMYFUNCTION("VALUE(REGEXEXTRACT(A1510,""([^.]+)$""))"),2.0)</f>
        <v>2</v>
      </c>
      <c r="G1510" s="49">
        <v>150.0</v>
      </c>
      <c r="H1510" s="26" t="b">
        <f>COUNTIFS(
 tblCostChecklist[RequirementID],A1510,
 tblCostChecklist[PlayerPaid],TRUE
)&gt;0</f>
        <v>0</v>
      </c>
      <c r="I1510" s="49">
        <f t="shared" si="1"/>
        <v>12</v>
      </c>
      <c r="J1510" s="49">
        <f t="shared" si="2"/>
        <v>0</v>
      </c>
      <c r="K1510" s="49">
        <f t="shared" si="3"/>
        <v>12</v>
      </c>
      <c r="L1510" s="49" t="b">
        <f t="shared" si="4"/>
        <v>0</v>
      </c>
      <c r="M1510" s="88">
        <f t="shared" si="5"/>
        <v>0</v>
      </c>
    </row>
    <row r="1511" ht="14.25" customHeight="1">
      <c r="A1511" s="49" t="s">
        <v>2639</v>
      </c>
      <c r="B1511" s="49" t="str">
        <f>IFERROR(__xludf.DUMMYFUNCTION("REGEXEXTRACT(A1511,""^cost\.(.*)\.[^.]+\.[^.]+$"")"),"collection.kitchen_and_buttery_1@3")</f>
        <v>collection.kitchen_and_buttery_1@3</v>
      </c>
      <c r="C1511" s="49" t="str">
        <f t="array" ref="C1511">_xlfn.XLOOKUP(
 B1511,
 tblTargets[TargetID],
 tblTargets[DisplayName],
 ""
)</f>
        <v>Kitchen And Buttery 1 Lv 3</v>
      </c>
      <c r="D1511" s="49" t="str">
        <f t="array" ref="D1511">_xlfn.XLOOKUP(
 B1511,
 tblTargets[TargetID],
 tblTargets[TargetType],
 ""
)</f>
        <v>COLLECTION</v>
      </c>
      <c r="E1511" s="49" t="s">
        <v>187</v>
      </c>
      <c r="F1511" s="87">
        <f>IFERROR(__xludf.DUMMYFUNCTION("VALUE(REGEXEXTRACT(A1511,""([^.]+)$""))"),3.0)</f>
        <v>3</v>
      </c>
      <c r="G1511" s="49">
        <v>150.0</v>
      </c>
      <c r="H1511" s="26" t="b">
        <f>COUNTIFS(
 tblCostChecklist[RequirementID],A1511,
 tblCostChecklist[PlayerPaid],TRUE
)&gt;0</f>
        <v>0</v>
      </c>
      <c r="I1511" s="49">
        <f t="shared" si="1"/>
        <v>12</v>
      </c>
      <c r="J1511" s="49">
        <f t="shared" si="2"/>
        <v>0</v>
      </c>
      <c r="K1511" s="49">
        <f t="shared" si="3"/>
        <v>12</v>
      </c>
      <c r="L1511" s="49" t="b">
        <f t="shared" si="4"/>
        <v>0</v>
      </c>
      <c r="M1511" s="88">
        <f t="shared" si="5"/>
        <v>0</v>
      </c>
    </row>
    <row r="1512" ht="14.25" customHeight="1">
      <c r="A1512" s="49" t="s">
        <v>2640</v>
      </c>
      <c r="B1512" s="49" t="str">
        <f>IFERROR(__xludf.DUMMYFUNCTION("REGEXEXTRACT(A1512,""^cost\.(.*)\.[^.]+\.[^.]+$"")"),"collection.kitchen_and_buttery_1@3")</f>
        <v>collection.kitchen_and_buttery_1@3</v>
      </c>
      <c r="C1512" s="49" t="str">
        <f t="array" ref="C1512">_xlfn.XLOOKUP(
 B1512,
 tblTargets[TargetID],
 tblTargets[DisplayName],
 ""
)</f>
        <v>Kitchen And Buttery 1 Lv 3</v>
      </c>
      <c r="D1512" s="49" t="str">
        <f t="array" ref="D1512">_xlfn.XLOOKUP(
 B1512,
 tblTargets[TargetID],
 tblTargets[TargetType],
 ""
)</f>
        <v>COLLECTION</v>
      </c>
      <c r="E1512" s="49" t="s">
        <v>187</v>
      </c>
      <c r="F1512" s="87">
        <f>IFERROR(__xludf.DUMMYFUNCTION("VALUE(REGEXEXTRACT(A1512,""([^.]+)$""))"),4.0)</f>
        <v>4</v>
      </c>
      <c r="G1512" s="49">
        <v>150.0</v>
      </c>
      <c r="H1512" s="26" t="b">
        <f>COUNTIFS(
 tblCostChecklist[RequirementID],A1512,
 tblCostChecklist[PlayerPaid],TRUE
)&gt;0</f>
        <v>0</v>
      </c>
      <c r="I1512" s="49">
        <f t="shared" si="1"/>
        <v>12</v>
      </c>
      <c r="J1512" s="49">
        <f t="shared" si="2"/>
        <v>0</v>
      </c>
      <c r="K1512" s="49">
        <f t="shared" si="3"/>
        <v>12</v>
      </c>
      <c r="L1512" s="49" t="b">
        <f t="shared" si="4"/>
        <v>0</v>
      </c>
      <c r="M1512" s="88">
        <f t="shared" si="5"/>
        <v>0</v>
      </c>
    </row>
    <row r="1513" ht="14.25" customHeight="1">
      <c r="A1513" s="49" t="s">
        <v>2641</v>
      </c>
      <c r="B1513" s="49" t="str">
        <f>IFERROR(__xludf.DUMMYFUNCTION("REGEXEXTRACT(A1513,""^cost\.(.*)\.[^.]+\.[^.]+$"")"),"collection.kitchen_and_buttery_1@3")</f>
        <v>collection.kitchen_and_buttery_1@3</v>
      </c>
      <c r="C1513" s="49" t="str">
        <f t="array" ref="C1513">_xlfn.XLOOKUP(
 B1513,
 tblTargets[TargetID],
 tblTargets[DisplayName],
 ""
)</f>
        <v>Kitchen And Buttery 1 Lv 3</v>
      </c>
      <c r="D1513" s="49" t="str">
        <f t="array" ref="D1513">_xlfn.XLOOKUP(
 B1513,
 tblTargets[TargetID],
 tblTargets[TargetType],
 ""
)</f>
        <v>COLLECTION</v>
      </c>
      <c r="E1513" s="49" t="s">
        <v>187</v>
      </c>
      <c r="F1513" s="87">
        <f>IFERROR(__xludf.DUMMYFUNCTION("VALUE(REGEXEXTRACT(A1513,""([^.]+)$""))"),5.0)</f>
        <v>5</v>
      </c>
      <c r="G1513" s="49">
        <v>150.0</v>
      </c>
      <c r="H1513" s="26" t="b">
        <f>COUNTIFS(
 tblCostChecklist[RequirementID],A1513,
 tblCostChecklist[PlayerPaid],TRUE
)&gt;0</f>
        <v>0</v>
      </c>
      <c r="I1513" s="49">
        <f t="shared" si="1"/>
        <v>12</v>
      </c>
      <c r="J1513" s="49">
        <f t="shared" si="2"/>
        <v>0</v>
      </c>
      <c r="K1513" s="49">
        <f t="shared" si="3"/>
        <v>12</v>
      </c>
      <c r="L1513" s="49" t="b">
        <f t="shared" si="4"/>
        <v>0</v>
      </c>
      <c r="M1513" s="88">
        <f t="shared" si="5"/>
        <v>0</v>
      </c>
    </row>
    <row r="1514" ht="14.25" customHeight="1">
      <c r="A1514" s="49" t="s">
        <v>2642</v>
      </c>
      <c r="B1514" s="49" t="str">
        <f>IFERROR(__xludf.DUMMYFUNCTION("REGEXEXTRACT(A1514,""^cost\.(.*)\.[^.]+\.[^.]+$"")"),"collection.kitchen_and_buttery_1@3")</f>
        <v>collection.kitchen_and_buttery_1@3</v>
      </c>
      <c r="C1514" s="49" t="str">
        <f t="array" ref="C1514">_xlfn.XLOOKUP(
 B1514,
 tblTargets[TargetID],
 tblTargets[DisplayName],
 ""
)</f>
        <v>Kitchen And Buttery 1 Lv 3</v>
      </c>
      <c r="D1514" s="49" t="str">
        <f t="array" ref="D1514">_xlfn.XLOOKUP(
 B1514,
 tblTargets[TargetID],
 tblTargets[TargetType],
 ""
)</f>
        <v>COLLECTION</v>
      </c>
      <c r="E1514" s="49" t="s">
        <v>187</v>
      </c>
      <c r="F1514" s="87">
        <f>IFERROR(__xludf.DUMMYFUNCTION("VALUE(REGEXEXTRACT(A1514,""([^.]+)$""))"),6.0)</f>
        <v>6</v>
      </c>
      <c r="G1514" s="49">
        <v>150.0</v>
      </c>
      <c r="H1514" s="26" t="b">
        <f>COUNTIFS(
 tblCostChecklist[RequirementID],A1514,
 tblCostChecklist[PlayerPaid],TRUE
)&gt;0</f>
        <v>0</v>
      </c>
      <c r="I1514" s="49">
        <f t="shared" si="1"/>
        <v>12</v>
      </c>
      <c r="J1514" s="49">
        <f t="shared" si="2"/>
        <v>0</v>
      </c>
      <c r="K1514" s="49">
        <f t="shared" si="3"/>
        <v>12</v>
      </c>
      <c r="L1514" s="49" t="b">
        <f t="shared" si="4"/>
        <v>0</v>
      </c>
      <c r="M1514" s="88">
        <f t="shared" si="5"/>
        <v>0</v>
      </c>
    </row>
    <row r="1515" ht="14.25" customHeight="1">
      <c r="A1515" s="49" t="s">
        <v>2643</v>
      </c>
      <c r="B1515" s="49" t="str">
        <f>IFERROR(__xludf.DUMMYFUNCTION("REGEXEXTRACT(A1515,""^cost\.(.*)\.[^.]+\.[^.]+$"")"),"collection.kitchen_and_buttery_1@3")</f>
        <v>collection.kitchen_and_buttery_1@3</v>
      </c>
      <c r="C1515" s="49" t="str">
        <f t="array" ref="C1515">_xlfn.XLOOKUP(
 B1515,
 tblTargets[TargetID],
 tblTargets[DisplayName],
 ""
)</f>
        <v>Kitchen And Buttery 1 Lv 3</v>
      </c>
      <c r="D1515" s="49" t="str">
        <f t="array" ref="D1515">_xlfn.XLOOKUP(
 B1515,
 tblTargets[TargetID],
 tblTargets[TargetType],
 ""
)</f>
        <v>COLLECTION</v>
      </c>
      <c r="E1515" s="49" t="s">
        <v>187</v>
      </c>
      <c r="F1515" s="87">
        <f>IFERROR(__xludf.DUMMYFUNCTION("VALUE(REGEXEXTRACT(A1515,""([^.]+)$""))"),7.0)</f>
        <v>7</v>
      </c>
      <c r="G1515" s="49">
        <v>150.0</v>
      </c>
      <c r="H1515" s="26" t="b">
        <f>COUNTIFS(
 tblCostChecklist[RequirementID],A1515,
 tblCostChecklist[PlayerPaid],TRUE
)&gt;0</f>
        <v>0</v>
      </c>
      <c r="I1515" s="49">
        <f t="shared" si="1"/>
        <v>12</v>
      </c>
      <c r="J1515" s="49">
        <f t="shared" si="2"/>
        <v>0</v>
      </c>
      <c r="K1515" s="49">
        <f t="shared" si="3"/>
        <v>12</v>
      </c>
      <c r="L1515" s="49" t="b">
        <f t="shared" si="4"/>
        <v>0</v>
      </c>
      <c r="M1515" s="88">
        <f t="shared" si="5"/>
        <v>0</v>
      </c>
    </row>
    <row r="1516" ht="14.25" customHeight="1">
      <c r="A1516" s="49" t="s">
        <v>2644</v>
      </c>
      <c r="B1516" s="49" t="str">
        <f>IFERROR(__xludf.DUMMYFUNCTION("REGEXEXTRACT(A1516,""^cost\.(.*)\.[^.]+\.[^.]+$"")"),"collection.kitchen_and_buttery_1@3")</f>
        <v>collection.kitchen_and_buttery_1@3</v>
      </c>
      <c r="C1516" s="49" t="str">
        <f t="array" ref="C1516">_xlfn.XLOOKUP(
 B1516,
 tblTargets[TargetID],
 tblTargets[DisplayName],
 ""
)</f>
        <v>Kitchen And Buttery 1 Lv 3</v>
      </c>
      <c r="D1516" s="49" t="str">
        <f t="array" ref="D1516">_xlfn.XLOOKUP(
 B1516,
 tblTargets[TargetID],
 tblTargets[TargetType],
 ""
)</f>
        <v>COLLECTION</v>
      </c>
      <c r="E1516" s="49" t="s">
        <v>187</v>
      </c>
      <c r="F1516" s="87">
        <f>IFERROR(__xludf.DUMMYFUNCTION("VALUE(REGEXEXTRACT(A1516,""([^.]+)$""))"),8.0)</f>
        <v>8</v>
      </c>
      <c r="G1516" s="49">
        <v>150.0</v>
      </c>
      <c r="H1516" s="26" t="b">
        <f>COUNTIFS(
 tblCostChecklist[RequirementID],A1516,
 tblCostChecklist[PlayerPaid],TRUE
)&gt;0</f>
        <v>0</v>
      </c>
      <c r="I1516" s="49">
        <f t="shared" si="1"/>
        <v>12</v>
      </c>
      <c r="J1516" s="49">
        <f t="shared" si="2"/>
        <v>0</v>
      </c>
      <c r="K1516" s="49">
        <f t="shared" si="3"/>
        <v>12</v>
      </c>
      <c r="L1516" s="49" t="b">
        <f t="shared" si="4"/>
        <v>0</v>
      </c>
      <c r="M1516" s="88">
        <f t="shared" si="5"/>
        <v>0</v>
      </c>
    </row>
    <row r="1517" ht="14.25" customHeight="1">
      <c r="A1517" s="49" t="s">
        <v>2645</v>
      </c>
      <c r="B1517" s="49" t="str">
        <f>IFERROR(__xludf.DUMMYFUNCTION("REGEXEXTRACT(A1517,""^cost\.(.*)\.[^.]+\.[^.]+$"")"),"collection.kitchen_and_buttery_1@3")</f>
        <v>collection.kitchen_and_buttery_1@3</v>
      </c>
      <c r="C1517" s="49" t="str">
        <f t="array" ref="C1517">_xlfn.XLOOKUP(
 B1517,
 tblTargets[TargetID],
 tblTargets[DisplayName],
 ""
)</f>
        <v>Kitchen And Buttery 1 Lv 3</v>
      </c>
      <c r="D1517" s="49" t="str">
        <f t="array" ref="D1517">_xlfn.XLOOKUP(
 B1517,
 tblTargets[TargetID],
 tblTargets[TargetType],
 ""
)</f>
        <v>COLLECTION</v>
      </c>
      <c r="E1517" s="49" t="s">
        <v>711</v>
      </c>
      <c r="F1517" s="87">
        <f>IFERROR(__xludf.DUMMYFUNCTION("VALUE(REGEXEXTRACT(A1517,""([^.]+)$""))"),1.0)</f>
        <v>1</v>
      </c>
      <c r="G1517" s="49">
        <v>45.0</v>
      </c>
      <c r="H1517" s="26" t="b">
        <f>COUNTIFS(
 tblCostChecklist[RequirementID],A1517,
 tblCostChecklist[PlayerPaid],TRUE
)&gt;0</f>
        <v>0</v>
      </c>
      <c r="I1517" s="49">
        <f t="shared" si="1"/>
        <v>12</v>
      </c>
      <c r="J1517" s="49">
        <f t="shared" si="2"/>
        <v>0</v>
      </c>
      <c r="K1517" s="49">
        <f t="shared" si="3"/>
        <v>12</v>
      </c>
      <c r="L1517" s="49" t="b">
        <f t="shared" si="4"/>
        <v>0</v>
      </c>
      <c r="M1517" s="88">
        <f t="shared" si="5"/>
        <v>0</v>
      </c>
    </row>
    <row r="1518" ht="14.25" customHeight="1">
      <c r="A1518" s="49" t="s">
        <v>2646</v>
      </c>
      <c r="B1518" s="49" t="str">
        <f>IFERROR(__xludf.DUMMYFUNCTION("REGEXEXTRACT(A1518,""^cost\.(.*)\.[^.]+\.[^.]+$"")"),"collection.kitchen_and_buttery_1@4")</f>
        <v>collection.kitchen_and_buttery_1@4</v>
      </c>
      <c r="C1518" s="49" t="str">
        <f t="array" ref="C1518">_xlfn.XLOOKUP(
 B1518,
 tblTargets[TargetID],
 tblTargets[DisplayName],
 ""
)</f>
        <v>Kitchen And Buttery 1 Lv 4</v>
      </c>
      <c r="D1518" s="49" t="str">
        <f t="array" ref="D1518">_xlfn.XLOOKUP(
 B1518,
 tblTargets[TargetID],
 tblTargets[TargetType],
 ""
)</f>
        <v>COLLECTION</v>
      </c>
      <c r="E1518" s="49" t="s">
        <v>2486</v>
      </c>
      <c r="F1518" s="87">
        <f>IFERROR(__xludf.DUMMYFUNCTION("VALUE(REGEXEXTRACT(A1518,""([^.]+)$""))"),1.0)</f>
        <v>1</v>
      </c>
      <c r="G1518" s="49">
        <v>40.0</v>
      </c>
      <c r="H1518" s="26" t="b">
        <f>COUNTIFS(
 tblCostChecklist[RequirementID],A1518,
 tblCostChecklist[PlayerPaid],TRUE
)&gt;0</f>
        <v>0</v>
      </c>
      <c r="I1518" s="49">
        <f t="shared" si="1"/>
        <v>12</v>
      </c>
      <c r="J1518" s="49">
        <f t="shared" si="2"/>
        <v>0</v>
      </c>
      <c r="K1518" s="49">
        <f t="shared" si="3"/>
        <v>12</v>
      </c>
      <c r="L1518" s="49" t="b">
        <f t="shared" si="4"/>
        <v>0</v>
      </c>
      <c r="M1518" s="88">
        <f t="shared" si="5"/>
        <v>0</v>
      </c>
    </row>
    <row r="1519" ht="14.25" customHeight="1">
      <c r="A1519" s="49" t="s">
        <v>2647</v>
      </c>
      <c r="B1519" s="49" t="str">
        <f>IFERROR(__xludf.DUMMYFUNCTION("REGEXEXTRACT(A1519,""^cost\.(.*)\.[^.]+\.[^.]+$"")"),"collection.kitchen_and_buttery_1@4")</f>
        <v>collection.kitchen_and_buttery_1@4</v>
      </c>
      <c r="C1519" s="49" t="str">
        <f t="array" ref="C1519">_xlfn.XLOOKUP(
 B1519,
 tblTargets[TargetID],
 tblTargets[DisplayName],
 ""
)</f>
        <v>Kitchen And Buttery 1 Lv 4</v>
      </c>
      <c r="D1519" s="49" t="str">
        <f t="array" ref="D1519">_xlfn.XLOOKUP(
 B1519,
 tblTargets[TargetID],
 tblTargets[TargetType],
 ""
)</f>
        <v>COLLECTION</v>
      </c>
      <c r="E1519" s="49" t="s">
        <v>2611</v>
      </c>
      <c r="F1519" s="87">
        <f>IFERROR(__xludf.DUMMYFUNCTION("VALUE(REGEXEXTRACT(A1519,""([^.]+)$""))"),1.0)</f>
        <v>1</v>
      </c>
      <c r="G1519" s="49">
        <v>40.0</v>
      </c>
      <c r="H1519" s="26" t="b">
        <f>COUNTIFS(
 tblCostChecklist[RequirementID],A1519,
 tblCostChecklist[PlayerPaid],TRUE
)&gt;0</f>
        <v>0</v>
      </c>
      <c r="I1519" s="49">
        <f t="shared" si="1"/>
        <v>12</v>
      </c>
      <c r="J1519" s="49">
        <f t="shared" si="2"/>
        <v>0</v>
      </c>
      <c r="K1519" s="49">
        <f t="shared" si="3"/>
        <v>12</v>
      </c>
      <c r="L1519" s="49" t="b">
        <f t="shared" si="4"/>
        <v>0</v>
      </c>
      <c r="M1519" s="88">
        <f t="shared" si="5"/>
        <v>0</v>
      </c>
    </row>
    <row r="1520" ht="14.25" customHeight="1">
      <c r="A1520" s="49" t="s">
        <v>2648</v>
      </c>
      <c r="B1520" s="49" t="str">
        <f>IFERROR(__xludf.DUMMYFUNCTION("REGEXEXTRACT(A1520,""^cost\.(.*)\.[^.]+\.[^.]+$"")"),"collection.kitchen_and_buttery_1@4")</f>
        <v>collection.kitchen_and_buttery_1@4</v>
      </c>
      <c r="C1520" s="49" t="str">
        <f t="array" ref="C1520">_xlfn.XLOOKUP(
 B1520,
 tblTargets[TargetID],
 tblTargets[DisplayName],
 ""
)</f>
        <v>Kitchen And Buttery 1 Lv 4</v>
      </c>
      <c r="D1520" s="49" t="str">
        <f t="array" ref="D1520">_xlfn.XLOOKUP(
 B1520,
 tblTargets[TargetID],
 tblTargets[TargetType],
 ""
)</f>
        <v>COLLECTION</v>
      </c>
      <c r="E1520" s="49" t="s">
        <v>588</v>
      </c>
      <c r="F1520" s="87">
        <f>IFERROR(__xludf.DUMMYFUNCTION("VALUE(REGEXEXTRACT(A1520,""([^.]+)$""))"),1.0)</f>
        <v>1</v>
      </c>
      <c r="G1520" s="49">
        <v>60.0</v>
      </c>
      <c r="H1520" s="26" t="b">
        <f>COUNTIFS(
 tblCostChecklist[RequirementID],A1520,
 tblCostChecklist[PlayerPaid],TRUE
)&gt;0</f>
        <v>0</v>
      </c>
      <c r="I1520" s="49">
        <f t="shared" si="1"/>
        <v>12</v>
      </c>
      <c r="J1520" s="49">
        <f t="shared" si="2"/>
        <v>0</v>
      </c>
      <c r="K1520" s="49">
        <f t="shared" si="3"/>
        <v>12</v>
      </c>
      <c r="L1520" s="49" t="b">
        <f t="shared" si="4"/>
        <v>0</v>
      </c>
      <c r="M1520" s="88">
        <f t="shared" si="5"/>
        <v>0</v>
      </c>
    </row>
    <row r="1521" ht="14.25" customHeight="1">
      <c r="A1521" s="49" t="s">
        <v>2649</v>
      </c>
      <c r="B1521" s="49" t="str">
        <f>IFERROR(__xludf.DUMMYFUNCTION("REGEXEXTRACT(A1521,""^cost\.(.*)\.[^.]+\.[^.]+$"")"),"collection.kitchen_and_buttery_1@4")</f>
        <v>collection.kitchen_and_buttery_1@4</v>
      </c>
      <c r="C1521" s="49" t="str">
        <f t="array" ref="C1521">_xlfn.XLOOKUP(
 B1521,
 tblTargets[TargetID],
 tblTargets[DisplayName],
 ""
)</f>
        <v>Kitchen And Buttery 1 Lv 4</v>
      </c>
      <c r="D1521" s="49" t="str">
        <f t="array" ref="D1521">_xlfn.XLOOKUP(
 B1521,
 tblTargets[TargetID],
 tblTargets[TargetType],
 ""
)</f>
        <v>COLLECTION</v>
      </c>
      <c r="E1521" s="49" t="s">
        <v>187</v>
      </c>
      <c r="F1521" s="87">
        <f>IFERROR(__xludf.DUMMYFUNCTION("VALUE(REGEXEXTRACT(A1521,""([^.]+)$""))"),1.0)</f>
        <v>1</v>
      </c>
      <c r="G1521" s="49">
        <v>200.0</v>
      </c>
      <c r="H1521" s="26" t="b">
        <f>COUNTIFS(
 tblCostChecklist[RequirementID],A1521,
 tblCostChecklist[PlayerPaid],TRUE
)&gt;0</f>
        <v>0</v>
      </c>
      <c r="I1521" s="49">
        <f t="shared" si="1"/>
        <v>12</v>
      </c>
      <c r="J1521" s="49">
        <f t="shared" si="2"/>
        <v>0</v>
      </c>
      <c r="K1521" s="49">
        <f t="shared" si="3"/>
        <v>12</v>
      </c>
      <c r="L1521" s="49" t="b">
        <f t="shared" si="4"/>
        <v>0</v>
      </c>
      <c r="M1521" s="88">
        <f t="shared" si="5"/>
        <v>0</v>
      </c>
    </row>
    <row r="1522" ht="14.25" customHeight="1">
      <c r="A1522" s="49" t="s">
        <v>2650</v>
      </c>
      <c r="B1522" s="49" t="str">
        <f>IFERROR(__xludf.DUMMYFUNCTION("REGEXEXTRACT(A1522,""^cost\.(.*)\.[^.]+\.[^.]+$"")"),"collection.kitchen_and_buttery_1@4")</f>
        <v>collection.kitchen_and_buttery_1@4</v>
      </c>
      <c r="C1522" s="49" t="str">
        <f t="array" ref="C1522">_xlfn.XLOOKUP(
 B1522,
 tblTargets[TargetID],
 tblTargets[DisplayName],
 ""
)</f>
        <v>Kitchen And Buttery 1 Lv 4</v>
      </c>
      <c r="D1522" s="49" t="str">
        <f t="array" ref="D1522">_xlfn.XLOOKUP(
 B1522,
 tblTargets[TargetID],
 tblTargets[TargetType],
 ""
)</f>
        <v>COLLECTION</v>
      </c>
      <c r="E1522" s="49" t="s">
        <v>187</v>
      </c>
      <c r="F1522" s="87">
        <f>IFERROR(__xludf.DUMMYFUNCTION("VALUE(REGEXEXTRACT(A1522,""([^.]+)$""))"),2.0)</f>
        <v>2</v>
      </c>
      <c r="G1522" s="49">
        <v>200.0</v>
      </c>
      <c r="H1522" s="26" t="b">
        <f>COUNTIFS(
 tblCostChecklist[RequirementID],A1522,
 tblCostChecklist[PlayerPaid],TRUE
)&gt;0</f>
        <v>0</v>
      </c>
      <c r="I1522" s="49">
        <f t="shared" si="1"/>
        <v>12</v>
      </c>
      <c r="J1522" s="49">
        <f t="shared" si="2"/>
        <v>0</v>
      </c>
      <c r="K1522" s="49">
        <f t="shared" si="3"/>
        <v>12</v>
      </c>
      <c r="L1522" s="49" t="b">
        <f t="shared" si="4"/>
        <v>0</v>
      </c>
      <c r="M1522" s="88">
        <f t="shared" si="5"/>
        <v>0</v>
      </c>
    </row>
    <row r="1523" ht="14.25" customHeight="1">
      <c r="A1523" s="49" t="s">
        <v>2651</v>
      </c>
      <c r="B1523" s="49" t="str">
        <f>IFERROR(__xludf.DUMMYFUNCTION("REGEXEXTRACT(A1523,""^cost\.(.*)\.[^.]+\.[^.]+$"")"),"collection.kitchen_and_buttery_1@4")</f>
        <v>collection.kitchen_and_buttery_1@4</v>
      </c>
      <c r="C1523" s="49" t="str">
        <f t="array" ref="C1523">_xlfn.XLOOKUP(
 B1523,
 tblTargets[TargetID],
 tblTargets[DisplayName],
 ""
)</f>
        <v>Kitchen And Buttery 1 Lv 4</v>
      </c>
      <c r="D1523" s="49" t="str">
        <f t="array" ref="D1523">_xlfn.XLOOKUP(
 B1523,
 tblTargets[TargetID],
 tblTargets[TargetType],
 ""
)</f>
        <v>COLLECTION</v>
      </c>
      <c r="E1523" s="49" t="s">
        <v>187</v>
      </c>
      <c r="F1523" s="87">
        <f>IFERROR(__xludf.DUMMYFUNCTION("VALUE(REGEXEXTRACT(A1523,""([^.]+)$""))"),3.0)</f>
        <v>3</v>
      </c>
      <c r="G1523" s="49">
        <v>200.0</v>
      </c>
      <c r="H1523" s="26" t="b">
        <f>COUNTIFS(
 tblCostChecklist[RequirementID],A1523,
 tblCostChecklist[PlayerPaid],TRUE
)&gt;0</f>
        <v>0</v>
      </c>
      <c r="I1523" s="49">
        <f t="shared" si="1"/>
        <v>12</v>
      </c>
      <c r="J1523" s="49">
        <f t="shared" si="2"/>
        <v>0</v>
      </c>
      <c r="K1523" s="49">
        <f t="shared" si="3"/>
        <v>12</v>
      </c>
      <c r="L1523" s="49" t="b">
        <f t="shared" si="4"/>
        <v>0</v>
      </c>
      <c r="M1523" s="88">
        <f t="shared" si="5"/>
        <v>0</v>
      </c>
    </row>
    <row r="1524" ht="14.25" customHeight="1">
      <c r="A1524" s="49" t="s">
        <v>2652</v>
      </c>
      <c r="B1524" s="49" t="str">
        <f>IFERROR(__xludf.DUMMYFUNCTION("REGEXEXTRACT(A1524,""^cost\.(.*)\.[^.]+\.[^.]+$"")"),"collection.kitchen_and_buttery_1@4")</f>
        <v>collection.kitchen_and_buttery_1@4</v>
      </c>
      <c r="C1524" s="49" t="str">
        <f t="array" ref="C1524">_xlfn.XLOOKUP(
 B1524,
 tblTargets[TargetID],
 tblTargets[DisplayName],
 ""
)</f>
        <v>Kitchen And Buttery 1 Lv 4</v>
      </c>
      <c r="D1524" s="49" t="str">
        <f t="array" ref="D1524">_xlfn.XLOOKUP(
 B1524,
 tblTargets[TargetID],
 tblTargets[TargetType],
 ""
)</f>
        <v>COLLECTION</v>
      </c>
      <c r="E1524" s="49" t="s">
        <v>187</v>
      </c>
      <c r="F1524" s="87">
        <f>IFERROR(__xludf.DUMMYFUNCTION("VALUE(REGEXEXTRACT(A1524,""([^.]+)$""))"),4.0)</f>
        <v>4</v>
      </c>
      <c r="G1524" s="49">
        <v>200.0</v>
      </c>
      <c r="H1524" s="26" t="b">
        <f>COUNTIFS(
 tblCostChecklist[RequirementID],A1524,
 tblCostChecklist[PlayerPaid],TRUE
)&gt;0</f>
        <v>0</v>
      </c>
      <c r="I1524" s="49">
        <f t="shared" si="1"/>
        <v>12</v>
      </c>
      <c r="J1524" s="49">
        <f t="shared" si="2"/>
        <v>0</v>
      </c>
      <c r="K1524" s="49">
        <f t="shared" si="3"/>
        <v>12</v>
      </c>
      <c r="L1524" s="49" t="b">
        <f t="shared" si="4"/>
        <v>0</v>
      </c>
      <c r="M1524" s="88">
        <f t="shared" si="5"/>
        <v>0</v>
      </c>
    </row>
    <row r="1525" ht="14.25" customHeight="1">
      <c r="A1525" s="49" t="s">
        <v>2653</v>
      </c>
      <c r="B1525" s="49" t="str">
        <f>IFERROR(__xludf.DUMMYFUNCTION("REGEXEXTRACT(A1525,""^cost\.(.*)\.[^.]+\.[^.]+$"")"),"collection.kitchen_and_buttery_1@4")</f>
        <v>collection.kitchen_and_buttery_1@4</v>
      </c>
      <c r="C1525" s="49" t="str">
        <f t="array" ref="C1525">_xlfn.XLOOKUP(
 B1525,
 tblTargets[TargetID],
 tblTargets[DisplayName],
 ""
)</f>
        <v>Kitchen And Buttery 1 Lv 4</v>
      </c>
      <c r="D1525" s="49" t="str">
        <f t="array" ref="D1525">_xlfn.XLOOKUP(
 B1525,
 tblTargets[TargetID],
 tblTargets[TargetType],
 ""
)</f>
        <v>COLLECTION</v>
      </c>
      <c r="E1525" s="49" t="s">
        <v>187</v>
      </c>
      <c r="F1525" s="87">
        <f>IFERROR(__xludf.DUMMYFUNCTION("VALUE(REGEXEXTRACT(A1525,""([^.]+)$""))"),5.0)</f>
        <v>5</v>
      </c>
      <c r="G1525" s="49">
        <v>200.0</v>
      </c>
      <c r="H1525" s="26" t="b">
        <f>COUNTIFS(
 tblCostChecklist[RequirementID],A1525,
 tblCostChecklist[PlayerPaid],TRUE
)&gt;0</f>
        <v>0</v>
      </c>
      <c r="I1525" s="49">
        <f t="shared" si="1"/>
        <v>12</v>
      </c>
      <c r="J1525" s="49">
        <f t="shared" si="2"/>
        <v>0</v>
      </c>
      <c r="K1525" s="49">
        <f t="shared" si="3"/>
        <v>12</v>
      </c>
      <c r="L1525" s="49" t="b">
        <f t="shared" si="4"/>
        <v>0</v>
      </c>
      <c r="M1525" s="88">
        <f t="shared" si="5"/>
        <v>0</v>
      </c>
    </row>
    <row r="1526" ht="14.25" customHeight="1">
      <c r="A1526" s="49" t="s">
        <v>2654</v>
      </c>
      <c r="B1526" s="49" t="str">
        <f>IFERROR(__xludf.DUMMYFUNCTION("REGEXEXTRACT(A1526,""^cost\.(.*)\.[^.]+\.[^.]+$"")"),"collection.kitchen_and_buttery_1@4")</f>
        <v>collection.kitchen_and_buttery_1@4</v>
      </c>
      <c r="C1526" s="49" t="str">
        <f t="array" ref="C1526">_xlfn.XLOOKUP(
 B1526,
 tblTargets[TargetID],
 tblTargets[DisplayName],
 ""
)</f>
        <v>Kitchen And Buttery 1 Lv 4</v>
      </c>
      <c r="D1526" s="49" t="str">
        <f t="array" ref="D1526">_xlfn.XLOOKUP(
 B1526,
 tblTargets[TargetID],
 tblTargets[TargetType],
 ""
)</f>
        <v>COLLECTION</v>
      </c>
      <c r="E1526" s="49" t="s">
        <v>187</v>
      </c>
      <c r="F1526" s="87">
        <f>IFERROR(__xludf.DUMMYFUNCTION("VALUE(REGEXEXTRACT(A1526,""([^.]+)$""))"),6.0)</f>
        <v>6</v>
      </c>
      <c r="G1526" s="49">
        <v>200.0</v>
      </c>
      <c r="H1526" s="26" t="b">
        <f>COUNTIFS(
 tblCostChecklist[RequirementID],A1526,
 tblCostChecklist[PlayerPaid],TRUE
)&gt;0</f>
        <v>0</v>
      </c>
      <c r="I1526" s="49">
        <f t="shared" si="1"/>
        <v>12</v>
      </c>
      <c r="J1526" s="49">
        <f t="shared" si="2"/>
        <v>0</v>
      </c>
      <c r="K1526" s="49">
        <f t="shared" si="3"/>
        <v>12</v>
      </c>
      <c r="L1526" s="49" t="b">
        <f t="shared" si="4"/>
        <v>0</v>
      </c>
      <c r="M1526" s="88">
        <f t="shared" si="5"/>
        <v>0</v>
      </c>
    </row>
    <row r="1527" ht="14.25" customHeight="1">
      <c r="A1527" s="49" t="s">
        <v>2655</v>
      </c>
      <c r="B1527" s="49" t="str">
        <f>IFERROR(__xludf.DUMMYFUNCTION("REGEXEXTRACT(A1527,""^cost\.(.*)\.[^.]+\.[^.]+$"")"),"collection.kitchen_and_buttery_1@4")</f>
        <v>collection.kitchen_and_buttery_1@4</v>
      </c>
      <c r="C1527" s="49" t="str">
        <f t="array" ref="C1527">_xlfn.XLOOKUP(
 B1527,
 tblTargets[TargetID],
 tblTargets[DisplayName],
 ""
)</f>
        <v>Kitchen And Buttery 1 Lv 4</v>
      </c>
      <c r="D1527" s="49" t="str">
        <f t="array" ref="D1527">_xlfn.XLOOKUP(
 B1527,
 tblTargets[TargetID],
 tblTargets[TargetType],
 ""
)</f>
        <v>COLLECTION</v>
      </c>
      <c r="E1527" s="49" t="s">
        <v>187</v>
      </c>
      <c r="F1527" s="87">
        <f>IFERROR(__xludf.DUMMYFUNCTION("VALUE(REGEXEXTRACT(A1527,""([^.]+)$""))"),7.0)</f>
        <v>7</v>
      </c>
      <c r="G1527" s="49">
        <v>200.0</v>
      </c>
      <c r="H1527" s="26" t="b">
        <f>COUNTIFS(
 tblCostChecklist[RequirementID],A1527,
 tblCostChecklist[PlayerPaid],TRUE
)&gt;0</f>
        <v>0</v>
      </c>
      <c r="I1527" s="49">
        <f t="shared" si="1"/>
        <v>12</v>
      </c>
      <c r="J1527" s="49">
        <f t="shared" si="2"/>
        <v>0</v>
      </c>
      <c r="K1527" s="49">
        <f t="shared" si="3"/>
        <v>12</v>
      </c>
      <c r="L1527" s="49" t="b">
        <f t="shared" si="4"/>
        <v>0</v>
      </c>
      <c r="M1527" s="88">
        <f t="shared" si="5"/>
        <v>0</v>
      </c>
    </row>
    <row r="1528" ht="14.25" customHeight="1">
      <c r="A1528" s="49" t="s">
        <v>2656</v>
      </c>
      <c r="B1528" s="49" t="str">
        <f>IFERROR(__xludf.DUMMYFUNCTION("REGEXEXTRACT(A1528,""^cost\.(.*)\.[^.]+\.[^.]+$"")"),"collection.kitchen_and_buttery_1@4")</f>
        <v>collection.kitchen_and_buttery_1@4</v>
      </c>
      <c r="C1528" s="49" t="str">
        <f t="array" ref="C1528">_xlfn.XLOOKUP(
 B1528,
 tblTargets[TargetID],
 tblTargets[DisplayName],
 ""
)</f>
        <v>Kitchen And Buttery 1 Lv 4</v>
      </c>
      <c r="D1528" s="49" t="str">
        <f t="array" ref="D1528">_xlfn.XLOOKUP(
 B1528,
 tblTargets[TargetID],
 tblTargets[TargetType],
 ""
)</f>
        <v>COLLECTION</v>
      </c>
      <c r="E1528" s="49" t="s">
        <v>187</v>
      </c>
      <c r="F1528" s="87">
        <f>IFERROR(__xludf.DUMMYFUNCTION("VALUE(REGEXEXTRACT(A1528,""([^.]+)$""))"),8.0)</f>
        <v>8</v>
      </c>
      <c r="G1528" s="49">
        <v>200.0</v>
      </c>
      <c r="H1528" s="26" t="b">
        <f>COUNTIFS(
 tblCostChecklist[RequirementID],A1528,
 tblCostChecklist[PlayerPaid],TRUE
)&gt;0</f>
        <v>0</v>
      </c>
      <c r="I1528" s="49">
        <f t="shared" si="1"/>
        <v>12</v>
      </c>
      <c r="J1528" s="49">
        <f t="shared" si="2"/>
        <v>0</v>
      </c>
      <c r="K1528" s="49">
        <f t="shared" si="3"/>
        <v>12</v>
      </c>
      <c r="L1528" s="49" t="b">
        <f t="shared" si="4"/>
        <v>0</v>
      </c>
      <c r="M1528" s="88">
        <f t="shared" si="5"/>
        <v>0</v>
      </c>
    </row>
    <row r="1529" ht="14.25" customHeight="1">
      <c r="A1529" s="49" t="s">
        <v>2657</v>
      </c>
      <c r="B1529" s="49" t="str">
        <f>IFERROR(__xludf.DUMMYFUNCTION("REGEXEXTRACT(A1529,""^cost\.(.*)\.[^.]+\.[^.]+$"")"),"collection.kitchen_and_buttery_1@4")</f>
        <v>collection.kitchen_and_buttery_1@4</v>
      </c>
      <c r="C1529" s="49" t="str">
        <f t="array" ref="C1529">_xlfn.XLOOKUP(
 B1529,
 tblTargets[TargetID],
 tblTargets[DisplayName],
 ""
)</f>
        <v>Kitchen And Buttery 1 Lv 4</v>
      </c>
      <c r="D1529" s="49" t="str">
        <f t="array" ref="D1529">_xlfn.XLOOKUP(
 B1529,
 tblTargets[TargetID],
 tblTargets[TargetType],
 ""
)</f>
        <v>COLLECTION</v>
      </c>
      <c r="E1529" s="49" t="s">
        <v>711</v>
      </c>
      <c r="F1529" s="87">
        <f>IFERROR(__xludf.DUMMYFUNCTION("VALUE(REGEXEXTRACT(A1529,""([^.]+)$""))"),1.0)</f>
        <v>1</v>
      </c>
      <c r="G1529" s="49">
        <v>60.0</v>
      </c>
      <c r="H1529" s="26" t="b">
        <f>COUNTIFS(
 tblCostChecklist[RequirementID],A1529,
 tblCostChecklist[PlayerPaid],TRUE
)&gt;0</f>
        <v>0</v>
      </c>
      <c r="I1529" s="49">
        <f t="shared" si="1"/>
        <v>12</v>
      </c>
      <c r="J1529" s="49">
        <f t="shared" si="2"/>
        <v>0</v>
      </c>
      <c r="K1529" s="49">
        <f t="shared" si="3"/>
        <v>12</v>
      </c>
      <c r="L1529" s="49" t="b">
        <f t="shared" si="4"/>
        <v>0</v>
      </c>
      <c r="M1529" s="88">
        <f t="shared" si="5"/>
        <v>0</v>
      </c>
    </row>
    <row r="1530" ht="14.25" customHeight="1">
      <c r="A1530" s="49" t="s">
        <v>2658</v>
      </c>
      <c r="B1530" s="49" t="str">
        <f>IFERROR(__xludf.DUMMYFUNCTION("REGEXEXTRACT(A1530,""^cost\.(.*)\.[^.]+\.[^.]+$"")"),"collection.kitchen_and_buttery_1@5")</f>
        <v>collection.kitchen_and_buttery_1@5</v>
      </c>
      <c r="C1530" s="49" t="str">
        <f t="array" ref="C1530">_xlfn.XLOOKUP(
 B1530,
 tblTargets[TargetID],
 tblTargets[DisplayName],
 ""
)</f>
        <v>Kitchen And Buttery 1 Lv 5</v>
      </c>
      <c r="D1530" s="49" t="str">
        <f t="array" ref="D1530">_xlfn.XLOOKUP(
 B1530,
 tblTargets[TargetID],
 tblTargets[TargetType],
 ""
)</f>
        <v>COLLECTION</v>
      </c>
      <c r="E1530" s="49" t="s">
        <v>2486</v>
      </c>
      <c r="F1530" s="87">
        <f>IFERROR(__xludf.DUMMYFUNCTION("VALUE(REGEXEXTRACT(A1530,""([^.]+)$""))"),1.0)</f>
        <v>1</v>
      </c>
      <c r="G1530" s="49">
        <v>50.0</v>
      </c>
      <c r="H1530" s="26" t="b">
        <f>COUNTIFS(
 tblCostChecklist[RequirementID],A1530,
 tblCostChecklist[PlayerPaid],TRUE
)&gt;0</f>
        <v>0</v>
      </c>
      <c r="I1530" s="49">
        <f t="shared" si="1"/>
        <v>12</v>
      </c>
      <c r="J1530" s="49">
        <f t="shared" si="2"/>
        <v>0</v>
      </c>
      <c r="K1530" s="49">
        <f t="shared" si="3"/>
        <v>12</v>
      </c>
      <c r="L1530" s="49" t="b">
        <f t="shared" si="4"/>
        <v>0</v>
      </c>
      <c r="M1530" s="88">
        <f t="shared" si="5"/>
        <v>0</v>
      </c>
    </row>
    <row r="1531" ht="14.25" customHeight="1">
      <c r="A1531" s="49" t="s">
        <v>2659</v>
      </c>
      <c r="B1531" s="49" t="str">
        <f>IFERROR(__xludf.DUMMYFUNCTION("REGEXEXTRACT(A1531,""^cost\.(.*)\.[^.]+\.[^.]+$"")"),"collection.kitchen_and_buttery_1@5")</f>
        <v>collection.kitchen_and_buttery_1@5</v>
      </c>
      <c r="C1531" s="49" t="str">
        <f t="array" ref="C1531">_xlfn.XLOOKUP(
 B1531,
 tblTargets[TargetID],
 tblTargets[DisplayName],
 ""
)</f>
        <v>Kitchen And Buttery 1 Lv 5</v>
      </c>
      <c r="D1531" s="49" t="str">
        <f t="array" ref="D1531">_xlfn.XLOOKUP(
 B1531,
 tblTargets[TargetID],
 tblTargets[TargetType],
 ""
)</f>
        <v>COLLECTION</v>
      </c>
      <c r="E1531" s="49" t="s">
        <v>2611</v>
      </c>
      <c r="F1531" s="87">
        <f>IFERROR(__xludf.DUMMYFUNCTION("VALUE(REGEXEXTRACT(A1531,""([^.]+)$""))"),1.0)</f>
        <v>1</v>
      </c>
      <c r="G1531" s="49">
        <v>50.0</v>
      </c>
      <c r="H1531" s="26" t="b">
        <f>COUNTIFS(
 tblCostChecklist[RequirementID],A1531,
 tblCostChecklist[PlayerPaid],TRUE
)&gt;0</f>
        <v>0</v>
      </c>
      <c r="I1531" s="49">
        <f t="shared" si="1"/>
        <v>12</v>
      </c>
      <c r="J1531" s="49">
        <f t="shared" si="2"/>
        <v>0</v>
      </c>
      <c r="K1531" s="49">
        <f t="shared" si="3"/>
        <v>12</v>
      </c>
      <c r="L1531" s="49" t="b">
        <f t="shared" si="4"/>
        <v>0</v>
      </c>
      <c r="M1531" s="88">
        <f t="shared" si="5"/>
        <v>0</v>
      </c>
    </row>
    <row r="1532" ht="14.25" customHeight="1">
      <c r="A1532" s="49" t="s">
        <v>2660</v>
      </c>
      <c r="B1532" s="49" t="str">
        <f>IFERROR(__xludf.DUMMYFUNCTION("REGEXEXTRACT(A1532,""^cost\.(.*)\.[^.]+\.[^.]+$"")"),"collection.kitchen_and_buttery_1@5")</f>
        <v>collection.kitchen_and_buttery_1@5</v>
      </c>
      <c r="C1532" s="49" t="str">
        <f t="array" ref="C1532">_xlfn.XLOOKUP(
 B1532,
 tblTargets[TargetID],
 tblTargets[DisplayName],
 ""
)</f>
        <v>Kitchen And Buttery 1 Lv 5</v>
      </c>
      <c r="D1532" s="49" t="str">
        <f t="array" ref="D1532">_xlfn.XLOOKUP(
 B1532,
 tblTargets[TargetID],
 tblTargets[TargetType],
 ""
)</f>
        <v>COLLECTION</v>
      </c>
      <c r="E1532" s="49" t="s">
        <v>588</v>
      </c>
      <c r="F1532" s="87">
        <f>IFERROR(__xludf.DUMMYFUNCTION("VALUE(REGEXEXTRACT(A1532,""([^.]+)$""))"),1.0)</f>
        <v>1</v>
      </c>
      <c r="G1532" s="49">
        <v>75.0</v>
      </c>
      <c r="H1532" s="26" t="b">
        <f>COUNTIFS(
 tblCostChecklist[RequirementID],A1532,
 tblCostChecklist[PlayerPaid],TRUE
)&gt;0</f>
        <v>0</v>
      </c>
      <c r="I1532" s="49">
        <f t="shared" si="1"/>
        <v>12</v>
      </c>
      <c r="J1532" s="49">
        <f t="shared" si="2"/>
        <v>0</v>
      </c>
      <c r="K1532" s="49">
        <f t="shared" si="3"/>
        <v>12</v>
      </c>
      <c r="L1532" s="49" t="b">
        <f t="shared" si="4"/>
        <v>0</v>
      </c>
      <c r="M1532" s="88">
        <f t="shared" si="5"/>
        <v>0</v>
      </c>
    </row>
    <row r="1533" ht="14.25" customHeight="1">
      <c r="A1533" s="49" t="s">
        <v>2661</v>
      </c>
      <c r="B1533" s="49" t="str">
        <f>IFERROR(__xludf.DUMMYFUNCTION("REGEXEXTRACT(A1533,""^cost\.(.*)\.[^.]+\.[^.]+$"")"),"collection.kitchen_and_buttery_1@5")</f>
        <v>collection.kitchen_and_buttery_1@5</v>
      </c>
      <c r="C1533" s="49" t="str">
        <f t="array" ref="C1533">_xlfn.XLOOKUP(
 B1533,
 tblTargets[TargetID],
 tblTargets[DisplayName],
 ""
)</f>
        <v>Kitchen And Buttery 1 Lv 5</v>
      </c>
      <c r="D1533" s="49" t="str">
        <f t="array" ref="D1533">_xlfn.XLOOKUP(
 B1533,
 tblTargets[TargetID],
 tblTargets[TargetType],
 ""
)</f>
        <v>COLLECTION</v>
      </c>
      <c r="E1533" s="49" t="s">
        <v>187</v>
      </c>
      <c r="F1533" s="87">
        <f>IFERROR(__xludf.DUMMYFUNCTION("VALUE(REGEXEXTRACT(A1533,""([^.]+)$""))"),1.0)</f>
        <v>1</v>
      </c>
      <c r="G1533" s="49">
        <v>250.0</v>
      </c>
      <c r="H1533" s="26" t="b">
        <f>COUNTIFS(
 tblCostChecklist[RequirementID],A1533,
 tblCostChecklist[PlayerPaid],TRUE
)&gt;0</f>
        <v>0</v>
      </c>
      <c r="I1533" s="49">
        <f t="shared" si="1"/>
        <v>12</v>
      </c>
      <c r="J1533" s="49">
        <f t="shared" si="2"/>
        <v>0</v>
      </c>
      <c r="K1533" s="49">
        <f t="shared" si="3"/>
        <v>12</v>
      </c>
      <c r="L1533" s="49" t="b">
        <f t="shared" si="4"/>
        <v>0</v>
      </c>
      <c r="M1533" s="88">
        <f t="shared" si="5"/>
        <v>0</v>
      </c>
    </row>
    <row r="1534" ht="14.25" customHeight="1">
      <c r="A1534" s="49" t="s">
        <v>2662</v>
      </c>
      <c r="B1534" s="49" t="str">
        <f>IFERROR(__xludf.DUMMYFUNCTION("REGEXEXTRACT(A1534,""^cost\.(.*)\.[^.]+\.[^.]+$"")"),"collection.kitchen_and_buttery_1@5")</f>
        <v>collection.kitchen_and_buttery_1@5</v>
      </c>
      <c r="C1534" s="49" t="str">
        <f t="array" ref="C1534">_xlfn.XLOOKUP(
 B1534,
 tblTargets[TargetID],
 tblTargets[DisplayName],
 ""
)</f>
        <v>Kitchen And Buttery 1 Lv 5</v>
      </c>
      <c r="D1534" s="49" t="str">
        <f t="array" ref="D1534">_xlfn.XLOOKUP(
 B1534,
 tblTargets[TargetID],
 tblTargets[TargetType],
 ""
)</f>
        <v>COLLECTION</v>
      </c>
      <c r="E1534" s="49" t="s">
        <v>187</v>
      </c>
      <c r="F1534" s="87">
        <f>IFERROR(__xludf.DUMMYFUNCTION("VALUE(REGEXEXTRACT(A1534,""([^.]+)$""))"),2.0)</f>
        <v>2</v>
      </c>
      <c r="G1534" s="49">
        <v>250.0</v>
      </c>
      <c r="H1534" s="26" t="b">
        <f>COUNTIFS(
 tblCostChecklist[RequirementID],A1534,
 tblCostChecklist[PlayerPaid],TRUE
)&gt;0</f>
        <v>0</v>
      </c>
      <c r="I1534" s="49">
        <f t="shared" si="1"/>
        <v>12</v>
      </c>
      <c r="J1534" s="49">
        <f t="shared" si="2"/>
        <v>0</v>
      </c>
      <c r="K1534" s="49">
        <f t="shared" si="3"/>
        <v>12</v>
      </c>
      <c r="L1534" s="49" t="b">
        <f t="shared" si="4"/>
        <v>0</v>
      </c>
      <c r="M1534" s="88">
        <f t="shared" si="5"/>
        <v>0</v>
      </c>
    </row>
    <row r="1535" ht="14.25" customHeight="1">
      <c r="A1535" s="49" t="s">
        <v>2663</v>
      </c>
      <c r="B1535" s="49" t="str">
        <f>IFERROR(__xludf.DUMMYFUNCTION("REGEXEXTRACT(A1535,""^cost\.(.*)\.[^.]+\.[^.]+$"")"),"collection.kitchen_and_buttery_1@5")</f>
        <v>collection.kitchen_and_buttery_1@5</v>
      </c>
      <c r="C1535" s="49" t="str">
        <f t="array" ref="C1535">_xlfn.XLOOKUP(
 B1535,
 tblTargets[TargetID],
 tblTargets[DisplayName],
 ""
)</f>
        <v>Kitchen And Buttery 1 Lv 5</v>
      </c>
      <c r="D1535" s="49" t="str">
        <f t="array" ref="D1535">_xlfn.XLOOKUP(
 B1535,
 tblTargets[TargetID],
 tblTargets[TargetType],
 ""
)</f>
        <v>COLLECTION</v>
      </c>
      <c r="E1535" s="49" t="s">
        <v>187</v>
      </c>
      <c r="F1535" s="87">
        <f>IFERROR(__xludf.DUMMYFUNCTION("VALUE(REGEXEXTRACT(A1535,""([^.]+)$""))"),3.0)</f>
        <v>3</v>
      </c>
      <c r="G1535" s="49">
        <v>250.0</v>
      </c>
      <c r="H1535" s="26" t="b">
        <f>COUNTIFS(
 tblCostChecklist[RequirementID],A1535,
 tblCostChecklist[PlayerPaid],TRUE
)&gt;0</f>
        <v>0</v>
      </c>
      <c r="I1535" s="49">
        <f t="shared" si="1"/>
        <v>12</v>
      </c>
      <c r="J1535" s="49">
        <f t="shared" si="2"/>
        <v>0</v>
      </c>
      <c r="K1535" s="49">
        <f t="shared" si="3"/>
        <v>12</v>
      </c>
      <c r="L1535" s="49" t="b">
        <f t="shared" si="4"/>
        <v>0</v>
      </c>
      <c r="M1535" s="88">
        <f t="shared" si="5"/>
        <v>0</v>
      </c>
    </row>
    <row r="1536" ht="14.25" customHeight="1">
      <c r="A1536" s="49" t="s">
        <v>2664</v>
      </c>
      <c r="B1536" s="49" t="str">
        <f>IFERROR(__xludf.DUMMYFUNCTION("REGEXEXTRACT(A1536,""^cost\.(.*)\.[^.]+\.[^.]+$"")"),"collection.kitchen_and_buttery_1@5")</f>
        <v>collection.kitchen_and_buttery_1@5</v>
      </c>
      <c r="C1536" s="49" t="str">
        <f t="array" ref="C1536">_xlfn.XLOOKUP(
 B1536,
 tblTargets[TargetID],
 tblTargets[DisplayName],
 ""
)</f>
        <v>Kitchen And Buttery 1 Lv 5</v>
      </c>
      <c r="D1536" s="49" t="str">
        <f t="array" ref="D1536">_xlfn.XLOOKUP(
 B1536,
 tblTargets[TargetID],
 tblTargets[TargetType],
 ""
)</f>
        <v>COLLECTION</v>
      </c>
      <c r="E1536" s="49" t="s">
        <v>187</v>
      </c>
      <c r="F1536" s="87">
        <f>IFERROR(__xludf.DUMMYFUNCTION("VALUE(REGEXEXTRACT(A1536,""([^.]+)$""))"),4.0)</f>
        <v>4</v>
      </c>
      <c r="G1536" s="49">
        <v>250.0</v>
      </c>
      <c r="H1536" s="26" t="b">
        <f>COUNTIFS(
 tblCostChecklist[RequirementID],A1536,
 tblCostChecklist[PlayerPaid],TRUE
)&gt;0</f>
        <v>0</v>
      </c>
      <c r="I1536" s="49">
        <f t="shared" si="1"/>
        <v>12</v>
      </c>
      <c r="J1536" s="49">
        <f t="shared" si="2"/>
        <v>0</v>
      </c>
      <c r="K1536" s="49">
        <f t="shared" si="3"/>
        <v>12</v>
      </c>
      <c r="L1536" s="49" t="b">
        <f t="shared" si="4"/>
        <v>0</v>
      </c>
      <c r="M1536" s="88">
        <f t="shared" si="5"/>
        <v>0</v>
      </c>
    </row>
    <row r="1537" ht="14.25" customHeight="1">
      <c r="A1537" s="49" t="s">
        <v>2665</v>
      </c>
      <c r="B1537" s="49" t="str">
        <f>IFERROR(__xludf.DUMMYFUNCTION("REGEXEXTRACT(A1537,""^cost\.(.*)\.[^.]+\.[^.]+$"")"),"collection.kitchen_and_buttery_1@5")</f>
        <v>collection.kitchen_and_buttery_1@5</v>
      </c>
      <c r="C1537" s="49" t="str">
        <f t="array" ref="C1537">_xlfn.XLOOKUP(
 B1537,
 tblTargets[TargetID],
 tblTargets[DisplayName],
 ""
)</f>
        <v>Kitchen And Buttery 1 Lv 5</v>
      </c>
      <c r="D1537" s="49" t="str">
        <f t="array" ref="D1537">_xlfn.XLOOKUP(
 B1537,
 tblTargets[TargetID],
 tblTargets[TargetType],
 ""
)</f>
        <v>COLLECTION</v>
      </c>
      <c r="E1537" s="49" t="s">
        <v>187</v>
      </c>
      <c r="F1537" s="87">
        <f>IFERROR(__xludf.DUMMYFUNCTION("VALUE(REGEXEXTRACT(A1537,""([^.]+)$""))"),5.0)</f>
        <v>5</v>
      </c>
      <c r="G1537" s="49">
        <v>250.0</v>
      </c>
      <c r="H1537" s="26" t="b">
        <f>COUNTIFS(
 tblCostChecklist[RequirementID],A1537,
 tblCostChecklist[PlayerPaid],TRUE
)&gt;0</f>
        <v>0</v>
      </c>
      <c r="I1537" s="49">
        <f t="shared" si="1"/>
        <v>12</v>
      </c>
      <c r="J1537" s="49">
        <f t="shared" si="2"/>
        <v>0</v>
      </c>
      <c r="K1537" s="49">
        <f t="shared" si="3"/>
        <v>12</v>
      </c>
      <c r="L1537" s="49" t="b">
        <f t="shared" si="4"/>
        <v>0</v>
      </c>
      <c r="M1537" s="88">
        <f t="shared" si="5"/>
        <v>0</v>
      </c>
    </row>
    <row r="1538" ht="14.25" customHeight="1">
      <c r="A1538" s="49" t="s">
        <v>2666</v>
      </c>
      <c r="B1538" s="49" t="str">
        <f>IFERROR(__xludf.DUMMYFUNCTION("REGEXEXTRACT(A1538,""^cost\.(.*)\.[^.]+\.[^.]+$"")"),"collection.kitchen_and_buttery_1@5")</f>
        <v>collection.kitchen_and_buttery_1@5</v>
      </c>
      <c r="C1538" s="49" t="str">
        <f t="array" ref="C1538">_xlfn.XLOOKUP(
 B1538,
 tblTargets[TargetID],
 tblTargets[DisplayName],
 ""
)</f>
        <v>Kitchen And Buttery 1 Lv 5</v>
      </c>
      <c r="D1538" s="49" t="str">
        <f t="array" ref="D1538">_xlfn.XLOOKUP(
 B1538,
 tblTargets[TargetID],
 tblTargets[TargetType],
 ""
)</f>
        <v>COLLECTION</v>
      </c>
      <c r="E1538" s="49" t="s">
        <v>187</v>
      </c>
      <c r="F1538" s="87">
        <f>IFERROR(__xludf.DUMMYFUNCTION("VALUE(REGEXEXTRACT(A1538,""([^.]+)$""))"),6.0)</f>
        <v>6</v>
      </c>
      <c r="G1538" s="49">
        <v>250.0</v>
      </c>
      <c r="H1538" s="26" t="b">
        <f>COUNTIFS(
 tblCostChecklist[RequirementID],A1538,
 tblCostChecklist[PlayerPaid],TRUE
)&gt;0</f>
        <v>0</v>
      </c>
      <c r="I1538" s="49">
        <f t="shared" si="1"/>
        <v>12</v>
      </c>
      <c r="J1538" s="49">
        <f t="shared" si="2"/>
        <v>0</v>
      </c>
      <c r="K1538" s="49">
        <f t="shared" si="3"/>
        <v>12</v>
      </c>
      <c r="L1538" s="49" t="b">
        <f t="shared" si="4"/>
        <v>0</v>
      </c>
      <c r="M1538" s="88">
        <f t="shared" si="5"/>
        <v>0</v>
      </c>
    </row>
    <row r="1539" ht="14.25" customHeight="1">
      <c r="A1539" s="49" t="s">
        <v>2667</v>
      </c>
      <c r="B1539" s="49" t="str">
        <f>IFERROR(__xludf.DUMMYFUNCTION("REGEXEXTRACT(A1539,""^cost\.(.*)\.[^.]+\.[^.]+$"")"),"collection.kitchen_and_buttery_1@5")</f>
        <v>collection.kitchen_and_buttery_1@5</v>
      </c>
      <c r="C1539" s="49" t="str">
        <f t="array" ref="C1539">_xlfn.XLOOKUP(
 B1539,
 tblTargets[TargetID],
 tblTargets[DisplayName],
 ""
)</f>
        <v>Kitchen And Buttery 1 Lv 5</v>
      </c>
      <c r="D1539" s="49" t="str">
        <f t="array" ref="D1539">_xlfn.XLOOKUP(
 B1539,
 tblTargets[TargetID],
 tblTargets[TargetType],
 ""
)</f>
        <v>COLLECTION</v>
      </c>
      <c r="E1539" s="49" t="s">
        <v>187</v>
      </c>
      <c r="F1539" s="87">
        <f>IFERROR(__xludf.DUMMYFUNCTION("VALUE(REGEXEXTRACT(A1539,""([^.]+)$""))"),7.0)</f>
        <v>7</v>
      </c>
      <c r="G1539" s="49">
        <v>250.0</v>
      </c>
      <c r="H1539" s="26" t="b">
        <f>COUNTIFS(
 tblCostChecklist[RequirementID],A1539,
 tblCostChecklist[PlayerPaid],TRUE
)&gt;0</f>
        <v>0</v>
      </c>
      <c r="I1539" s="49">
        <f t="shared" si="1"/>
        <v>12</v>
      </c>
      <c r="J1539" s="49">
        <f t="shared" si="2"/>
        <v>0</v>
      </c>
      <c r="K1539" s="49">
        <f t="shared" si="3"/>
        <v>12</v>
      </c>
      <c r="L1539" s="49" t="b">
        <f t="shared" si="4"/>
        <v>0</v>
      </c>
      <c r="M1539" s="88">
        <f t="shared" si="5"/>
        <v>0</v>
      </c>
    </row>
    <row r="1540" ht="14.25" customHeight="1">
      <c r="A1540" s="49" t="s">
        <v>2668</v>
      </c>
      <c r="B1540" s="49" t="str">
        <f>IFERROR(__xludf.DUMMYFUNCTION("REGEXEXTRACT(A1540,""^cost\.(.*)\.[^.]+\.[^.]+$"")"),"collection.kitchen_and_buttery_1@5")</f>
        <v>collection.kitchen_and_buttery_1@5</v>
      </c>
      <c r="C1540" s="49" t="str">
        <f t="array" ref="C1540">_xlfn.XLOOKUP(
 B1540,
 tblTargets[TargetID],
 tblTargets[DisplayName],
 ""
)</f>
        <v>Kitchen And Buttery 1 Lv 5</v>
      </c>
      <c r="D1540" s="49" t="str">
        <f t="array" ref="D1540">_xlfn.XLOOKUP(
 B1540,
 tblTargets[TargetID],
 tblTargets[TargetType],
 ""
)</f>
        <v>COLLECTION</v>
      </c>
      <c r="E1540" s="49" t="s">
        <v>187</v>
      </c>
      <c r="F1540" s="87">
        <f>IFERROR(__xludf.DUMMYFUNCTION("VALUE(REGEXEXTRACT(A1540,""([^.]+)$""))"),8.0)</f>
        <v>8</v>
      </c>
      <c r="G1540" s="49">
        <v>250.0</v>
      </c>
      <c r="H1540" s="26" t="b">
        <f>COUNTIFS(
 tblCostChecklist[RequirementID],A1540,
 tblCostChecklist[PlayerPaid],TRUE
)&gt;0</f>
        <v>0</v>
      </c>
      <c r="I1540" s="49">
        <f t="shared" si="1"/>
        <v>12</v>
      </c>
      <c r="J1540" s="49">
        <f t="shared" si="2"/>
        <v>0</v>
      </c>
      <c r="K1540" s="49">
        <f t="shared" si="3"/>
        <v>12</v>
      </c>
      <c r="L1540" s="49" t="b">
        <f t="shared" si="4"/>
        <v>0</v>
      </c>
      <c r="M1540" s="88">
        <f t="shared" si="5"/>
        <v>0</v>
      </c>
    </row>
    <row r="1541" ht="14.25" customHeight="1">
      <c r="A1541" s="49" t="s">
        <v>2669</v>
      </c>
      <c r="B1541" s="49" t="str">
        <f>IFERROR(__xludf.DUMMYFUNCTION("REGEXEXTRACT(A1541,""^cost\.(.*)\.[^.]+\.[^.]+$"")"),"collection.kitchen_and_buttery_1@5")</f>
        <v>collection.kitchen_and_buttery_1@5</v>
      </c>
      <c r="C1541" s="49" t="str">
        <f t="array" ref="C1541">_xlfn.XLOOKUP(
 B1541,
 tblTargets[TargetID],
 tblTargets[DisplayName],
 ""
)</f>
        <v>Kitchen And Buttery 1 Lv 5</v>
      </c>
      <c r="D1541" s="49" t="str">
        <f t="array" ref="D1541">_xlfn.XLOOKUP(
 B1541,
 tblTargets[TargetID],
 tblTargets[TargetType],
 ""
)</f>
        <v>COLLECTION</v>
      </c>
      <c r="E1541" s="49" t="s">
        <v>711</v>
      </c>
      <c r="F1541" s="87">
        <f>IFERROR(__xludf.DUMMYFUNCTION("VALUE(REGEXEXTRACT(A1541,""([^.]+)$""))"),1.0)</f>
        <v>1</v>
      </c>
      <c r="G1541" s="49">
        <v>75.0</v>
      </c>
      <c r="H1541" s="26" t="b">
        <f>COUNTIFS(
 tblCostChecklist[RequirementID],A1541,
 tblCostChecklist[PlayerPaid],TRUE
)&gt;0</f>
        <v>0</v>
      </c>
      <c r="I1541" s="49">
        <f t="shared" si="1"/>
        <v>12</v>
      </c>
      <c r="J1541" s="49">
        <f t="shared" si="2"/>
        <v>0</v>
      </c>
      <c r="K1541" s="49">
        <f t="shared" si="3"/>
        <v>12</v>
      </c>
      <c r="L1541" s="49" t="b">
        <f t="shared" si="4"/>
        <v>0</v>
      </c>
      <c r="M1541" s="88">
        <f t="shared" si="5"/>
        <v>0</v>
      </c>
    </row>
    <row r="1542" ht="14.25" customHeight="1">
      <c r="A1542" s="49" t="s">
        <v>2670</v>
      </c>
      <c r="B1542" s="49" t="str">
        <f>IFERROR(__xludf.DUMMYFUNCTION("REGEXEXTRACT(A1542,""^cost\.(.*)\.[^.]+\.[^.]+$"")"),"collection.kitchen_and_buttery_2@1")</f>
        <v>collection.kitchen_and_buttery_2@1</v>
      </c>
      <c r="C1542" s="49" t="str">
        <f t="array" ref="C1542">_xlfn.XLOOKUP(
 B1542,
 tblTargets[TargetID],
 tblTargets[DisplayName],
 ""
)</f>
        <v>Kitchen And Buttery 2 Lv 1</v>
      </c>
      <c r="D1542" s="49" t="str">
        <f t="array" ref="D1542">_xlfn.XLOOKUP(
 B1542,
 tblTargets[TargetID],
 tblTargets[TargetType],
 ""
)</f>
        <v>COLLECTION</v>
      </c>
      <c r="E1542" s="49" t="s">
        <v>283</v>
      </c>
      <c r="F1542" s="87">
        <f>IFERROR(__xludf.DUMMYFUNCTION("VALUE(REGEXEXTRACT(A1542,""([^.]+)$""))"),1.0)</f>
        <v>1</v>
      </c>
      <c r="G1542" s="49">
        <v>100.0</v>
      </c>
      <c r="H1542" s="26" t="b">
        <f>COUNTIFS(
 tblCostChecklist[RequirementID],A1542,
 tblCostChecklist[PlayerPaid],TRUE
)&gt;0</f>
        <v>0</v>
      </c>
      <c r="I1542" s="49">
        <f t="shared" si="1"/>
        <v>5</v>
      </c>
      <c r="J1542" s="49">
        <f t="shared" si="2"/>
        <v>0</v>
      </c>
      <c r="K1542" s="49">
        <f t="shared" si="3"/>
        <v>5</v>
      </c>
      <c r="L1542" s="49" t="b">
        <f t="shared" si="4"/>
        <v>0</v>
      </c>
      <c r="M1542" s="88">
        <f t="shared" si="5"/>
        <v>0</v>
      </c>
    </row>
    <row r="1543" ht="14.25" customHeight="1">
      <c r="A1543" s="49" t="s">
        <v>2671</v>
      </c>
      <c r="B1543" s="49" t="str">
        <f>IFERROR(__xludf.DUMMYFUNCTION("REGEXEXTRACT(A1543,""^cost\.(.*)\.[^.]+\.[^.]+$"")"),"collection.kitchen_and_buttery_2@1")</f>
        <v>collection.kitchen_and_buttery_2@1</v>
      </c>
      <c r="C1543" s="49" t="str">
        <f t="array" ref="C1543">_xlfn.XLOOKUP(
 B1543,
 tblTargets[TargetID],
 tblTargets[DisplayName],
 ""
)</f>
        <v>Kitchen And Buttery 2 Lv 1</v>
      </c>
      <c r="D1543" s="49" t="str">
        <f t="array" ref="D1543">_xlfn.XLOOKUP(
 B1543,
 tblTargets[TargetID],
 tblTargets[TargetType],
 ""
)</f>
        <v>COLLECTION</v>
      </c>
      <c r="E1543" s="49" t="s">
        <v>588</v>
      </c>
      <c r="F1543" s="87">
        <f>IFERROR(__xludf.DUMMYFUNCTION("VALUE(REGEXEXTRACT(A1543,""([^.]+)$""))"),1.0)</f>
        <v>1</v>
      </c>
      <c r="G1543" s="49">
        <v>20.0</v>
      </c>
      <c r="H1543" s="26" t="b">
        <f>COUNTIFS(
 tblCostChecklist[RequirementID],A1543,
 tblCostChecklist[PlayerPaid],TRUE
)&gt;0</f>
        <v>0</v>
      </c>
      <c r="I1543" s="49">
        <f t="shared" si="1"/>
        <v>5</v>
      </c>
      <c r="J1543" s="49">
        <f t="shared" si="2"/>
        <v>0</v>
      </c>
      <c r="K1543" s="49">
        <f t="shared" si="3"/>
        <v>5</v>
      </c>
      <c r="L1543" s="49" t="b">
        <f t="shared" si="4"/>
        <v>0</v>
      </c>
      <c r="M1543" s="88">
        <f t="shared" si="5"/>
        <v>0</v>
      </c>
    </row>
    <row r="1544" ht="14.25" customHeight="1">
      <c r="A1544" s="49" t="s">
        <v>2672</v>
      </c>
      <c r="B1544" s="49" t="str">
        <f>IFERROR(__xludf.DUMMYFUNCTION("REGEXEXTRACT(A1544,""^cost\.(.*)\.[^.]+\.[^.]+$"")"),"collection.kitchen_and_buttery_2@1")</f>
        <v>collection.kitchen_and_buttery_2@1</v>
      </c>
      <c r="C1544" s="49" t="str">
        <f t="array" ref="C1544">_xlfn.XLOOKUP(
 B1544,
 tblTargets[TargetID],
 tblTargets[DisplayName],
 ""
)</f>
        <v>Kitchen And Buttery 2 Lv 1</v>
      </c>
      <c r="D1544" s="49" t="str">
        <f t="array" ref="D1544">_xlfn.XLOOKUP(
 B1544,
 tblTargets[TargetID],
 tblTargets[TargetType],
 ""
)</f>
        <v>COLLECTION</v>
      </c>
      <c r="E1544" s="49" t="s">
        <v>187</v>
      </c>
      <c r="F1544" s="87">
        <f>IFERROR(__xludf.DUMMYFUNCTION("VALUE(REGEXEXTRACT(A1544,""([^.]+)$""))"),1.0)</f>
        <v>1</v>
      </c>
      <c r="G1544" s="49">
        <v>100.0</v>
      </c>
      <c r="H1544" s="26" t="b">
        <f>COUNTIFS(
 tblCostChecklist[RequirementID],A1544,
 tblCostChecklist[PlayerPaid],TRUE
)&gt;0</f>
        <v>0</v>
      </c>
      <c r="I1544" s="49">
        <f t="shared" si="1"/>
        <v>5</v>
      </c>
      <c r="J1544" s="49">
        <f t="shared" si="2"/>
        <v>0</v>
      </c>
      <c r="K1544" s="49">
        <f t="shared" si="3"/>
        <v>5</v>
      </c>
      <c r="L1544" s="49" t="b">
        <f t="shared" si="4"/>
        <v>0</v>
      </c>
      <c r="M1544" s="88">
        <f t="shared" si="5"/>
        <v>0</v>
      </c>
    </row>
    <row r="1545" ht="14.25" customHeight="1">
      <c r="A1545" s="49" t="s">
        <v>2673</v>
      </c>
      <c r="B1545" s="49" t="str">
        <f>IFERROR(__xludf.DUMMYFUNCTION("REGEXEXTRACT(A1545,""^cost\.(.*)\.[^.]+\.[^.]+$"")"),"collection.kitchen_and_buttery_2@1")</f>
        <v>collection.kitchen_and_buttery_2@1</v>
      </c>
      <c r="C1545" s="49" t="str">
        <f t="array" ref="C1545">_xlfn.XLOOKUP(
 B1545,
 tblTargets[TargetID],
 tblTargets[DisplayName],
 ""
)</f>
        <v>Kitchen And Buttery 2 Lv 1</v>
      </c>
      <c r="D1545" s="49" t="str">
        <f t="array" ref="D1545">_xlfn.XLOOKUP(
 B1545,
 tblTargets[TargetID],
 tblTargets[TargetType],
 ""
)</f>
        <v>COLLECTION</v>
      </c>
      <c r="E1545" s="49" t="s">
        <v>187</v>
      </c>
      <c r="F1545" s="87">
        <f>IFERROR(__xludf.DUMMYFUNCTION("VALUE(REGEXEXTRACT(A1545,""([^.]+)$""))"),2.0)</f>
        <v>2</v>
      </c>
      <c r="G1545" s="49">
        <v>100.0</v>
      </c>
      <c r="H1545" s="26" t="b">
        <f>COUNTIFS(
 tblCostChecklist[RequirementID],A1545,
 tblCostChecklist[PlayerPaid],TRUE
)&gt;0</f>
        <v>0</v>
      </c>
      <c r="I1545" s="49">
        <f t="shared" si="1"/>
        <v>5</v>
      </c>
      <c r="J1545" s="49">
        <f t="shared" si="2"/>
        <v>0</v>
      </c>
      <c r="K1545" s="49">
        <f t="shared" si="3"/>
        <v>5</v>
      </c>
      <c r="L1545" s="49" t="b">
        <f t="shared" si="4"/>
        <v>0</v>
      </c>
      <c r="M1545" s="88">
        <f t="shared" si="5"/>
        <v>0</v>
      </c>
    </row>
    <row r="1546" ht="14.25" customHeight="1">
      <c r="A1546" s="49" t="s">
        <v>2674</v>
      </c>
      <c r="B1546" s="49" t="str">
        <f>IFERROR(__xludf.DUMMYFUNCTION("REGEXEXTRACT(A1546,""^cost\.(.*)\.[^.]+\.[^.]+$"")"),"collection.kitchen_and_buttery_2@1")</f>
        <v>collection.kitchen_and_buttery_2@1</v>
      </c>
      <c r="C1546" s="49" t="str">
        <f t="array" ref="C1546">_xlfn.XLOOKUP(
 B1546,
 tblTargets[TargetID],
 tblTargets[DisplayName],
 ""
)</f>
        <v>Kitchen And Buttery 2 Lv 1</v>
      </c>
      <c r="D1546" s="49" t="str">
        <f t="array" ref="D1546">_xlfn.XLOOKUP(
 B1546,
 tblTargets[TargetID],
 tblTargets[TargetType],
 ""
)</f>
        <v>COLLECTION</v>
      </c>
      <c r="E1546" s="49" t="s">
        <v>187</v>
      </c>
      <c r="F1546" s="87">
        <f>IFERROR(__xludf.DUMMYFUNCTION("VALUE(REGEXEXTRACT(A1546,""([^.]+)$""))"),3.0)</f>
        <v>3</v>
      </c>
      <c r="G1546" s="49">
        <v>200.0</v>
      </c>
      <c r="H1546" s="26" t="b">
        <f>COUNTIFS(
 tblCostChecklist[RequirementID],A1546,
 tblCostChecklist[PlayerPaid],TRUE
)&gt;0</f>
        <v>0</v>
      </c>
      <c r="I1546" s="49">
        <f t="shared" si="1"/>
        <v>5</v>
      </c>
      <c r="J1546" s="49">
        <f t="shared" si="2"/>
        <v>0</v>
      </c>
      <c r="K1546" s="49">
        <f t="shared" si="3"/>
        <v>5</v>
      </c>
      <c r="L1546" s="49" t="b">
        <f t="shared" si="4"/>
        <v>0</v>
      </c>
      <c r="M1546" s="88">
        <f t="shared" si="5"/>
        <v>0</v>
      </c>
    </row>
    <row r="1547" ht="14.25" customHeight="1">
      <c r="A1547" s="49" t="s">
        <v>2675</v>
      </c>
      <c r="B1547" s="49" t="str">
        <f>IFERROR(__xludf.DUMMYFUNCTION("REGEXEXTRACT(A1547,""^cost\.(.*)\.[^.]+\.[^.]+$"")"),"collection.mushroom_farm@1")</f>
        <v>collection.mushroom_farm@1</v>
      </c>
      <c r="C1547" s="49" t="str">
        <f t="array" ref="C1547">_xlfn.XLOOKUP(
 B1547,
 tblTargets[TargetID],
 tblTargets[DisplayName],
 ""
)</f>
        <v>Mushroom Farm Lv 1</v>
      </c>
      <c r="D1547" s="49" t="str">
        <f t="array" ref="D1547">_xlfn.XLOOKUP(
 B1547,
 tblTargets[TargetID],
 tblTargets[TargetType],
 ""
)</f>
        <v>COLLECTION</v>
      </c>
      <c r="E1547" s="49" t="s">
        <v>2323</v>
      </c>
      <c r="F1547" s="87">
        <f>IFERROR(__xludf.DUMMYFUNCTION("VALUE(REGEXEXTRACT(A1547,""([^.]+)$""))"),1.0)</f>
        <v>1</v>
      </c>
      <c r="G1547" s="49">
        <v>10.0</v>
      </c>
      <c r="H1547" s="26" t="b">
        <f>COUNTIFS(
 tblCostChecklist[RequirementID],A1547,
 tblCostChecklist[PlayerPaid],TRUE
)&gt;0</f>
        <v>0</v>
      </c>
      <c r="I1547" s="49">
        <f t="shared" si="1"/>
        <v>6</v>
      </c>
      <c r="J1547" s="49">
        <f t="shared" si="2"/>
        <v>0</v>
      </c>
      <c r="K1547" s="49">
        <f t="shared" si="3"/>
        <v>6</v>
      </c>
      <c r="L1547" s="49" t="b">
        <f t="shared" si="4"/>
        <v>0</v>
      </c>
      <c r="M1547" s="88">
        <f t="shared" si="5"/>
        <v>0</v>
      </c>
    </row>
    <row r="1548" ht="14.25" customHeight="1">
      <c r="A1548" s="49" t="s">
        <v>2676</v>
      </c>
      <c r="B1548" s="49" t="str">
        <f>IFERROR(__xludf.DUMMYFUNCTION("REGEXEXTRACT(A1548,""^cost\.(.*)\.[^.]+\.[^.]+$"")"),"collection.mushroom_farm@1")</f>
        <v>collection.mushroom_farm@1</v>
      </c>
      <c r="C1548" s="49" t="str">
        <f t="array" ref="C1548">_xlfn.XLOOKUP(
 B1548,
 tblTargets[TargetID],
 tblTargets[DisplayName],
 ""
)</f>
        <v>Mushroom Farm Lv 1</v>
      </c>
      <c r="D1548" s="49" t="str">
        <f t="array" ref="D1548">_xlfn.XLOOKUP(
 B1548,
 tblTargets[TargetID],
 tblTargets[TargetType],
 ""
)</f>
        <v>COLLECTION</v>
      </c>
      <c r="E1548" s="49" t="s">
        <v>2323</v>
      </c>
      <c r="F1548" s="87">
        <f>IFERROR(__xludf.DUMMYFUNCTION("VALUE(REGEXEXTRACT(A1548,""([^.]+)$""))"),2.0)</f>
        <v>2</v>
      </c>
      <c r="G1548" s="49">
        <v>10.0</v>
      </c>
      <c r="H1548" s="26" t="b">
        <f>COUNTIFS(
 tblCostChecklist[RequirementID],A1548,
 tblCostChecklist[PlayerPaid],TRUE
)&gt;0</f>
        <v>0</v>
      </c>
      <c r="I1548" s="49">
        <f t="shared" si="1"/>
        <v>6</v>
      </c>
      <c r="J1548" s="49">
        <f t="shared" si="2"/>
        <v>0</v>
      </c>
      <c r="K1548" s="49">
        <f t="shared" si="3"/>
        <v>6</v>
      </c>
      <c r="L1548" s="49" t="b">
        <f t="shared" si="4"/>
        <v>0</v>
      </c>
      <c r="M1548" s="88">
        <f t="shared" si="5"/>
        <v>0</v>
      </c>
    </row>
    <row r="1549" ht="14.25" customHeight="1">
      <c r="A1549" s="49" t="s">
        <v>2677</v>
      </c>
      <c r="B1549" s="49" t="str">
        <f>IFERROR(__xludf.DUMMYFUNCTION("REGEXEXTRACT(A1549,""^cost\.(.*)\.[^.]+\.[^.]+$"")"),"collection.mushroom_farm@1")</f>
        <v>collection.mushroom_farm@1</v>
      </c>
      <c r="C1549" s="49" t="str">
        <f t="array" ref="C1549">_xlfn.XLOOKUP(
 B1549,
 tblTargets[TargetID],
 tblTargets[DisplayName],
 ""
)</f>
        <v>Mushroom Farm Lv 1</v>
      </c>
      <c r="D1549" s="49" t="str">
        <f t="array" ref="D1549">_xlfn.XLOOKUP(
 B1549,
 tblTargets[TargetID],
 tblTargets[TargetType],
 ""
)</f>
        <v>COLLECTION</v>
      </c>
      <c r="E1549" s="49" t="s">
        <v>2323</v>
      </c>
      <c r="F1549" s="87">
        <f>IFERROR(__xludf.DUMMYFUNCTION("VALUE(REGEXEXTRACT(A1549,""([^.]+)$""))"),3.0)</f>
        <v>3</v>
      </c>
      <c r="G1549" s="49">
        <v>10.0</v>
      </c>
      <c r="H1549" s="26" t="b">
        <f>COUNTIFS(
 tblCostChecklist[RequirementID],A1549,
 tblCostChecklist[PlayerPaid],TRUE
)&gt;0</f>
        <v>0</v>
      </c>
      <c r="I1549" s="49">
        <f t="shared" si="1"/>
        <v>6</v>
      </c>
      <c r="J1549" s="49">
        <f t="shared" si="2"/>
        <v>0</v>
      </c>
      <c r="K1549" s="49">
        <f t="shared" si="3"/>
        <v>6</v>
      </c>
      <c r="L1549" s="49" t="b">
        <f t="shared" si="4"/>
        <v>0</v>
      </c>
      <c r="M1549" s="88">
        <f t="shared" si="5"/>
        <v>0</v>
      </c>
    </row>
    <row r="1550" ht="14.25" customHeight="1">
      <c r="A1550" s="49" t="s">
        <v>2678</v>
      </c>
      <c r="B1550" s="49" t="str">
        <f>IFERROR(__xludf.DUMMYFUNCTION("REGEXEXTRACT(A1550,""^cost\.(.*)\.[^.]+\.[^.]+$"")"),"collection.mushroom_farm@1")</f>
        <v>collection.mushroom_farm@1</v>
      </c>
      <c r="C1550" s="49" t="str">
        <f t="array" ref="C1550">_xlfn.XLOOKUP(
 B1550,
 tblTargets[TargetID],
 tblTargets[DisplayName],
 ""
)</f>
        <v>Mushroom Farm Lv 1</v>
      </c>
      <c r="D1550" s="49" t="str">
        <f t="array" ref="D1550">_xlfn.XLOOKUP(
 B1550,
 tblTargets[TargetID],
 tblTargets[TargetType],
 ""
)</f>
        <v>COLLECTION</v>
      </c>
      <c r="E1550" s="49" t="s">
        <v>2323</v>
      </c>
      <c r="F1550" s="87">
        <f>IFERROR(__xludf.DUMMYFUNCTION("VALUE(REGEXEXTRACT(A1550,""([^.]+)$""))"),4.0)</f>
        <v>4</v>
      </c>
      <c r="G1550" s="49">
        <v>10.0</v>
      </c>
      <c r="H1550" s="26" t="b">
        <f>COUNTIFS(
 tblCostChecklist[RequirementID],A1550,
 tblCostChecklist[PlayerPaid],TRUE
)&gt;0</f>
        <v>0</v>
      </c>
      <c r="I1550" s="49">
        <f t="shared" si="1"/>
        <v>6</v>
      </c>
      <c r="J1550" s="49">
        <f t="shared" si="2"/>
        <v>0</v>
      </c>
      <c r="K1550" s="49">
        <f t="shared" si="3"/>
        <v>6</v>
      </c>
      <c r="L1550" s="49" t="b">
        <f t="shared" si="4"/>
        <v>0</v>
      </c>
      <c r="M1550" s="88">
        <f t="shared" si="5"/>
        <v>0</v>
      </c>
    </row>
    <row r="1551" ht="14.25" customHeight="1">
      <c r="A1551" s="49" t="s">
        <v>2679</v>
      </c>
      <c r="B1551" s="49" t="str">
        <f>IFERROR(__xludf.DUMMYFUNCTION("REGEXEXTRACT(A1551,""^cost\.(.*)\.[^.]+\.[^.]+$"")"),"collection.mushroom_farm@1")</f>
        <v>collection.mushroom_farm@1</v>
      </c>
      <c r="C1551" s="49" t="str">
        <f t="array" ref="C1551">_xlfn.XLOOKUP(
 B1551,
 tblTargets[TargetID],
 tblTargets[DisplayName],
 ""
)</f>
        <v>Mushroom Farm Lv 1</v>
      </c>
      <c r="D1551" s="49" t="str">
        <f t="array" ref="D1551">_xlfn.XLOOKUP(
 B1551,
 tblTargets[TargetID],
 tblTargets[TargetType],
 ""
)</f>
        <v>COLLECTION</v>
      </c>
      <c r="E1551" s="49" t="s">
        <v>2323</v>
      </c>
      <c r="F1551" s="87">
        <f>IFERROR(__xludf.DUMMYFUNCTION("VALUE(REGEXEXTRACT(A1551,""([^.]+)$""))"),5.0)</f>
        <v>5</v>
      </c>
      <c r="G1551" s="49">
        <v>10.0</v>
      </c>
      <c r="H1551" s="26" t="b">
        <f>COUNTIFS(
 tblCostChecklist[RequirementID],A1551,
 tblCostChecklist[PlayerPaid],TRUE
)&gt;0</f>
        <v>0</v>
      </c>
      <c r="I1551" s="49">
        <f t="shared" si="1"/>
        <v>6</v>
      </c>
      <c r="J1551" s="49">
        <f t="shared" si="2"/>
        <v>0</v>
      </c>
      <c r="K1551" s="49">
        <f t="shared" si="3"/>
        <v>6</v>
      </c>
      <c r="L1551" s="49" t="b">
        <f t="shared" si="4"/>
        <v>0</v>
      </c>
      <c r="M1551" s="88">
        <f t="shared" si="5"/>
        <v>0</v>
      </c>
    </row>
    <row r="1552" ht="14.25" customHeight="1">
      <c r="A1552" s="49" t="s">
        <v>2680</v>
      </c>
      <c r="B1552" s="49" t="str">
        <f>IFERROR(__xludf.DUMMYFUNCTION("REGEXEXTRACT(A1552,""^cost\.(.*)\.[^.]+\.[^.]+$"")"),"collection.mushroom_farm@1")</f>
        <v>collection.mushroom_farm@1</v>
      </c>
      <c r="C1552" s="49" t="str">
        <f t="array" ref="C1552">_xlfn.XLOOKUP(
 B1552,
 tblTargets[TargetID],
 tblTargets[DisplayName],
 ""
)</f>
        <v>Mushroom Farm Lv 1</v>
      </c>
      <c r="D1552" s="49" t="str">
        <f t="array" ref="D1552">_xlfn.XLOOKUP(
 B1552,
 tblTargets[TargetID],
 tblTargets[TargetType],
 ""
)</f>
        <v>COLLECTION</v>
      </c>
      <c r="E1552" s="49" t="s">
        <v>2323</v>
      </c>
      <c r="F1552" s="87">
        <f>IFERROR(__xludf.DUMMYFUNCTION("VALUE(REGEXEXTRACT(A1552,""([^.]+)$""))"),6.0)</f>
        <v>6</v>
      </c>
      <c r="G1552" s="49">
        <v>10.0</v>
      </c>
      <c r="H1552" s="26" t="b">
        <f>COUNTIFS(
 tblCostChecklist[RequirementID],A1552,
 tblCostChecklist[PlayerPaid],TRUE
)&gt;0</f>
        <v>0</v>
      </c>
      <c r="I1552" s="49">
        <f t="shared" si="1"/>
        <v>6</v>
      </c>
      <c r="J1552" s="49">
        <f t="shared" si="2"/>
        <v>0</v>
      </c>
      <c r="K1552" s="49">
        <f t="shared" si="3"/>
        <v>6</v>
      </c>
      <c r="L1552" s="49" t="b">
        <f t="shared" si="4"/>
        <v>0</v>
      </c>
      <c r="M1552" s="88">
        <f t="shared" si="5"/>
        <v>0</v>
      </c>
    </row>
    <row r="1553" ht="14.25" customHeight="1">
      <c r="A1553" s="49" t="s">
        <v>2681</v>
      </c>
      <c r="B1553" s="49" t="str">
        <f>IFERROR(__xludf.DUMMYFUNCTION("REGEXEXTRACT(A1553,""^cost\.(.*)\.[^.]+\.[^.]+$"")"),"collection.mushroom_farm@2")</f>
        <v>collection.mushroom_farm@2</v>
      </c>
      <c r="C1553" s="49" t="str">
        <f t="array" ref="C1553">_xlfn.XLOOKUP(
 B1553,
 tblTargets[TargetID],
 tblTargets[DisplayName],
 ""
)</f>
        <v>Mushroom Farm Lv 2</v>
      </c>
      <c r="D1553" s="49" t="str">
        <f t="array" ref="D1553">_xlfn.XLOOKUP(
 B1553,
 tblTargets[TargetID],
 tblTargets[TargetType],
 ""
)</f>
        <v>COLLECTION</v>
      </c>
      <c r="E1553" s="49" t="s">
        <v>2323</v>
      </c>
      <c r="F1553" s="87">
        <f>IFERROR(__xludf.DUMMYFUNCTION("VALUE(REGEXEXTRACT(A1553,""([^.]+)$""))"),1.0)</f>
        <v>1</v>
      </c>
      <c r="G1553" s="49">
        <v>20.0</v>
      </c>
      <c r="H1553" s="26" t="b">
        <f>COUNTIFS(
 tblCostChecklist[RequirementID],A1553,
 tblCostChecklist[PlayerPaid],TRUE
)&gt;0</f>
        <v>0</v>
      </c>
      <c r="I1553" s="49">
        <f t="shared" si="1"/>
        <v>6</v>
      </c>
      <c r="J1553" s="49">
        <f t="shared" si="2"/>
        <v>0</v>
      </c>
      <c r="K1553" s="49">
        <f t="shared" si="3"/>
        <v>6</v>
      </c>
      <c r="L1553" s="49" t="b">
        <f t="shared" si="4"/>
        <v>0</v>
      </c>
      <c r="M1553" s="88">
        <f t="shared" si="5"/>
        <v>0</v>
      </c>
    </row>
    <row r="1554" ht="14.25" customHeight="1">
      <c r="A1554" s="49" t="s">
        <v>2682</v>
      </c>
      <c r="B1554" s="49" t="str">
        <f>IFERROR(__xludf.DUMMYFUNCTION("REGEXEXTRACT(A1554,""^cost\.(.*)\.[^.]+\.[^.]+$"")"),"collection.mushroom_farm@2")</f>
        <v>collection.mushroom_farm@2</v>
      </c>
      <c r="C1554" s="49" t="str">
        <f t="array" ref="C1554">_xlfn.XLOOKUP(
 B1554,
 tblTargets[TargetID],
 tblTargets[DisplayName],
 ""
)</f>
        <v>Mushroom Farm Lv 2</v>
      </c>
      <c r="D1554" s="49" t="str">
        <f t="array" ref="D1554">_xlfn.XLOOKUP(
 B1554,
 tblTargets[TargetID],
 tblTargets[TargetType],
 ""
)</f>
        <v>COLLECTION</v>
      </c>
      <c r="E1554" s="49" t="s">
        <v>2323</v>
      </c>
      <c r="F1554" s="87">
        <f>IFERROR(__xludf.DUMMYFUNCTION("VALUE(REGEXEXTRACT(A1554,""([^.]+)$""))"),2.0)</f>
        <v>2</v>
      </c>
      <c r="G1554" s="49">
        <v>20.0</v>
      </c>
      <c r="H1554" s="26" t="b">
        <f>COUNTIFS(
 tblCostChecklist[RequirementID],A1554,
 tblCostChecklist[PlayerPaid],TRUE
)&gt;0</f>
        <v>0</v>
      </c>
      <c r="I1554" s="49">
        <f t="shared" si="1"/>
        <v>6</v>
      </c>
      <c r="J1554" s="49">
        <f t="shared" si="2"/>
        <v>0</v>
      </c>
      <c r="K1554" s="49">
        <f t="shared" si="3"/>
        <v>6</v>
      </c>
      <c r="L1554" s="49" t="b">
        <f t="shared" si="4"/>
        <v>0</v>
      </c>
      <c r="M1554" s="88">
        <f t="shared" si="5"/>
        <v>0</v>
      </c>
    </row>
    <row r="1555" ht="14.25" customHeight="1">
      <c r="A1555" s="49" t="s">
        <v>2683</v>
      </c>
      <c r="B1555" s="49" t="str">
        <f>IFERROR(__xludf.DUMMYFUNCTION("REGEXEXTRACT(A1555,""^cost\.(.*)\.[^.]+\.[^.]+$"")"),"collection.mushroom_farm@2")</f>
        <v>collection.mushroom_farm@2</v>
      </c>
      <c r="C1555" s="49" t="str">
        <f t="array" ref="C1555">_xlfn.XLOOKUP(
 B1555,
 tblTargets[TargetID],
 tblTargets[DisplayName],
 ""
)</f>
        <v>Mushroom Farm Lv 2</v>
      </c>
      <c r="D1555" s="49" t="str">
        <f t="array" ref="D1555">_xlfn.XLOOKUP(
 B1555,
 tblTargets[TargetID],
 tblTargets[TargetType],
 ""
)</f>
        <v>COLLECTION</v>
      </c>
      <c r="E1555" s="49" t="s">
        <v>2323</v>
      </c>
      <c r="F1555" s="87">
        <f>IFERROR(__xludf.DUMMYFUNCTION("VALUE(REGEXEXTRACT(A1555,""([^.]+)$""))"),3.0)</f>
        <v>3</v>
      </c>
      <c r="G1555" s="49">
        <v>20.0</v>
      </c>
      <c r="H1555" s="26" t="b">
        <f>COUNTIFS(
 tblCostChecklist[RequirementID],A1555,
 tblCostChecklist[PlayerPaid],TRUE
)&gt;0</f>
        <v>0</v>
      </c>
      <c r="I1555" s="49">
        <f t="shared" si="1"/>
        <v>6</v>
      </c>
      <c r="J1555" s="49">
        <f t="shared" si="2"/>
        <v>0</v>
      </c>
      <c r="K1555" s="49">
        <f t="shared" si="3"/>
        <v>6</v>
      </c>
      <c r="L1555" s="49" t="b">
        <f t="shared" si="4"/>
        <v>0</v>
      </c>
      <c r="M1555" s="88">
        <f t="shared" si="5"/>
        <v>0</v>
      </c>
    </row>
    <row r="1556" ht="14.25" customHeight="1">
      <c r="A1556" s="49" t="s">
        <v>2684</v>
      </c>
      <c r="B1556" s="49" t="str">
        <f>IFERROR(__xludf.DUMMYFUNCTION("REGEXEXTRACT(A1556,""^cost\.(.*)\.[^.]+\.[^.]+$"")"),"collection.mushroom_farm@2")</f>
        <v>collection.mushroom_farm@2</v>
      </c>
      <c r="C1556" s="49" t="str">
        <f t="array" ref="C1556">_xlfn.XLOOKUP(
 B1556,
 tblTargets[TargetID],
 tblTargets[DisplayName],
 ""
)</f>
        <v>Mushroom Farm Lv 2</v>
      </c>
      <c r="D1556" s="49" t="str">
        <f t="array" ref="D1556">_xlfn.XLOOKUP(
 B1556,
 tblTargets[TargetID],
 tblTargets[TargetType],
 ""
)</f>
        <v>COLLECTION</v>
      </c>
      <c r="E1556" s="49" t="s">
        <v>2323</v>
      </c>
      <c r="F1556" s="87">
        <f>IFERROR(__xludf.DUMMYFUNCTION("VALUE(REGEXEXTRACT(A1556,""([^.]+)$""))"),4.0)</f>
        <v>4</v>
      </c>
      <c r="G1556" s="49">
        <v>20.0</v>
      </c>
      <c r="H1556" s="26" t="b">
        <f>COUNTIFS(
 tblCostChecklist[RequirementID],A1556,
 tblCostChecklist[PlayerPaid],TRUE
)&gt;0</f>
        <v>0</v>
      </c>
      <c r="I1556" s="49">
        <f t="shared" si="1"/>
        <v>6</v>
      </c>
      <c r="J1556" s="49">
        <f t="shared" si="2"/>
        <v>0</v>
      </c>
      <c r="K1556" s="49">
        <f t="shared" si="3"/>
        <v>6</v>
      </c>
      <c r="L1556" s="49" t="b">
        <f t="shared" si="4"/>
        <v>0</v>
      </c>
      <c r="M1556" s="88">
        <f t="shared" si="5"/>
        <v>0</v>
      </c>
    </row>
    <row r="1557" ht="14.25" customHeight="1">
      <c r="A1557" s="49" t="s">
        <v>2685</v>
      </c>
      <c r="B1557" s="49" t="str">
        <f>IFERROR(__xludf.DUMMYFUNCTION("REGEXEXTRACT(A1557,""^cost\.(.*)\.[^.]+\.[^.]+$"")"),"collection.mushroom_farm@2")</f>
        <v>collection.mushroom_farm@2</v>
      </c>
      <c r="C1557" s="49" t="str">
        <f t="array" ref="C1557">_xlfn.XLOOKUP(
 B1557,
 tblTargets[TargetID],
 tblTargets[DisplayName],
 ""
)</f>
        <v>Mushroom Farm Lv 2</v>
      </c>
      <c r="D1557" s="49" t="str">
        <f t="array" ref="D1557">_xlfn.XLOOKUP(
 B1557,
 tblTargets[TargetID],
 tblTargets[TargetType],
 ""
)</f>
        <v>COLLECTION</v>
      </c>
      <c r="E1557" s="49" t="s">
        <v>2323</v>
      </c>
      <c r="F1557" s="87">
        <f>IFERROR(__xludf.DUMMYFUNCTION("VALUE(REGEXEXTRACT(A1557,""([^.]+)$""))"),5.0)</f>
        <v>5</v>
      </c>
      <c r="G1557" s="49">
        <v>20.0</v>
      </c>
      <c r="H1557" s="26" t="b">
        <f>COUNTIFS(
 tblCostChecklist[RequirementID],A1557,
 tblCostChecklist[PlayerPaid],TRUE
)&gt;0</f>
        <v>0</v>
      </c>
      <c r="I1557" s="49">
        <f t="shared" si="1"/>
        <v>6</v>
      </c>
      <c r="J1557" s="49">
        <f t="shared" si="2"/>
        <v>0</v>
      </c>
      <c r="K1557" s="49">
        <f t="shared" si="3"/>
        <v>6</v>
      </c>
      <c r="L1557" s="49" t="b">
        <f t="shared" si="4"/>
        <v>0</v>
      </c>
      <c r="M1557" s="88">
        <f t="shared" si="5"/>
        <v>0</v>
      </c>
    </row>
    <row r="1558" ht="14.25" customHeight="1">
      <c r="A1558" s="49" t="s">
        <v>2686</v>
      </c>
      <c r="B1558" s="49" t="str">
        <f>IFERROR(__xludf.DUMMYFUNCTION("REGEXEXTRACT(A1558,""^cost\.(.*)\.[^.]+\.[^.]+$"")"),"collection.mushroom_farm@2")</f>
        <v>collection.mushroom_farm@2</v>
      </c>
      <c r="C1558" s="49" t="str">
        <f t="array" ref="C1558">_xlfn.XLOOKUP(
 B1558,
 tblTargets[TargetID],
 tblTargets[DisplayName],
 ""
)</f>
        <v>Mushroom Farm Lv 2</v>
      </c>
      <c r="D1558" s="49" t="str">
        <f t="array" ref="D1558">_xlfn.XLOOKUP(
 B1558,
 tblTargets[TargetID],
 tblTargets[TargetType],
 ""
)</f>
        <v>COLLECTION</v>
      </c>
      <c r="E1558" s="49" t="s">
        <v>2323</v>
      </c>
      <c r="F1558" s="87">
        <f>IFERROR(__xludf.DUMMYFUNCTION("VALUE(REGEXEXTRACT(A1558,""([^.]+)$""))"),6.0)</f>
        <v>6</v>
      </c>
      <c r="G1558" s="49">
        <v>20.0</v>
      </c>
      <c r="H1558" s="26" t="b">
        <f>COUNTIFS(
 tblCostChecklist[RequirementID],A1558,
 tblCostChecklist[PlayerPaid],TRUE
)&gt;0</f>
        <v>0</v>
      </c>
      <c r="I1558" s="49">
        <f t="shared" si="1"/>
        <v>6</v>
      </c>
      <c r="J1558" s="49">
        <f t="shared" si="2"/>
        <v>0</v>
      </c>
      <c r="K1558" s="49">
        <f t="shared" si="3"/>
        <v>6</v>
      </c>
      <c r="L1558" s="49" t="b">
        <f t="shared" si="4"/>
        <v>0</v>
      </c>
      <c r="M1558" s="88">
        <f t="shared" si="5"/>
        <v>0</v>
      </c>
    </row>
    <row r="1559" ht="14.25" customHeight="1">
      <c r="A1559" s="49" t="s">
        <v>2687</v>
      </c>
      <c r="B1559" s="49" t="str">
        <f>IFERROR(__xludf.DUMMYFUNCTION("REGEXEXTRACT(A1559,""^cost\.(.*)\.[^.]+\.[^.]+$"")"),"collection.orangery@1")</f>
        <v>collection.orangery@1</v>
      </c>
      <c r="C1559" s="49" t="str">
        <f t="array" ref="C1559">_xlfn.XLOOKUP(
 B1559,
 tblTargets[TargetID],
 tblTargets[DisplayName],
 ""
)</f>
        <v>Orangery Lv 1</v>
      </c>
      <c r="D1559" s="49" t="str">
        <f t="array" ref="D1559">_xlfn.XLOOKUP(
 B1559,
 tblTargets[TargetID],
 tblTargets[TargetType],
 ""
)</f>
        <v>COLLECTION</v>
      </c>
      <c r="E1559" s="49" t="s">
        <v>2299</v>
      </c>
      <c r="F1559" s="87">
        <f>IFERROR(__xludf.DUMMYFUNCTION("VALUE(REGEXEXTRACT(A1559,""([^.]+)$""))"),1.0)</f>
        <v>1</v>
      </c>
      <c r="G1559" s="49">
        <v>10.0</v>
      </c>
      <c r="H1559" s="26" t="b">
        <f>COUNTIFS(
 tblCostChecklist[RequirementID],A1559,
 tblCostChecklist[PlayerPaid],TRUE
)&gt;0</f>
        <v>0</v>
      </c>
      <c r="I1559" s="49">
        <f t="shared" si="1"/>
        <v>8</v>
      </c>
      <c r="J1559" s="49">
        <f t="shared" si="2"/>
        <v>0</v>
      </c>
      <c r="K1559" s="49">
        <f t="shared" si="3"/>
        <v>8</v>
      </c>
      <c r="L1559" s="49" t="b">
        <f t="shared" si="4"/>
        <v>0</v>
      </c>
      <c r="M1559" s="88">
        <f t="shared" si="5"/>
        <v>0</v>
      </c>
    </row>
    <row r="1560" ht="14.25" customHeight="1">
      <c r="A1560" s="49" t="s">
        <v>2688</v>
      </c>
      <c r="B1560" s="49" t="str">
        <f>IFERROR(__xludf.DUMMYFUNCTION("REGEXEXTRACT(A1560,""^cost\.(.*)\.[^.]+\.[^.]+$"")"),"collection.orangery@1")</f>
        <v>collection.orangery@1</v>
      </c>
      <c r="C1560" s="49" t="str">
        <f t="array" ref="C1560">_xlfn.XLOOKUP(
 B1560,
 tblTargets[TargetID],
 tblTargets[DisplayName],
 ""
)</f>
        <v>Orangery Lv 1</v>
      </c>
      <c r="D1560" s="49" t="str">
        <f t="array" ref="D1560">_xlfn.XLOOKUP(
 B1560,
 tblTargets[TargetID],
 tblTargets[TargetType],
 ""
)</f>
        <v>COLLECTION</v>
      </c>
      <c r="E1560" s="49" t="s">
        <v>2299</v>
      </c>
      <c r="F1560" s="87">
        <f>IFERROR(__xludf.DUMMYFUNCTION("VALUE(REGEXEXTRACT(A1560,""([^.]+)$""))"),2.0)</f>
        <v>2</v>
      </c>
      <c r="G1560" s="49">
        <v>10.0</v>
      </c>
      <c r="H1560" s="26" t="b">
        <f>COUNTIFS(
 tblCostChecklist[RequirementID],A1560,
 tblCostChecklist[PlayerPaid],TRUE
)&gt;0</f>
        <v>0</v>
      </c>
      <c r="I1560" s="49">
        <f t="shared" si="1"/>
        <v>8</v>
      </c>
      <c r="J1560" s="49">
        <f t="shared" si="2"/>
        <v>0</v>
      </c>
      <c r="K1560" s="49">
        <f t="shared" si="3"/>
        <v>8</v>
      </c>
      <c r="L1560" s="49" t="b">
        <f t="shared" si="4"/>
        <v>0</v>
      </c>
      <c r="M1560" s="88">
        <f t="shared" si="5"/>
        <v>0</v>
      </c>
    </row>
    <row r="1561" ht="14.25" customHeight="1">
      <c r="A1561" s="49" t="s">
        <v>2689</v>
      </c>
      <c r="B1561" s="49" t="str">
        <f>IFERROR(__xludf.DUMMYFUNCTION("REGEXEXTRACT(A1561,""^cost\.(.*)\.[^.]+\.[^.]+$"")"),"collection.orangery@1")</f>
        <v>collection.orangery@1</v>
      </c>
      <c r="C1561" s="49" t="str">
        <f t="array" ref="C1561">_xlfn.XLOOKUP(
 B1561,
 tblTargets[TargetID],
 tblTargets[DisplayName],
 ""
)</f>
        <v>Orangery Lv 1</v>
      </c>
      <c r="D1561" s="49" t="str">
        <f t="array" ref="D1561">_xlfn.XLOOKUP(
 B1561,
 tblTargets[TargetID],
 tblTargets[TargetType],
 ""
)</f>
        <v>COLLECTION</v>
      </c>
      <c r="E1561" s="49" t="s">
        <v>2299</v>
      </c>
      <c r="F1561" s="87">
        <f>IFERROR(__xludf.DUMMYFUNCTION("VALUE(REGEXEXTRACT(A1561,""([^.]+)$""))"),3.0)</f>
        <v>3</v>
      </c>
      <c r="G1561" s="49">
        <v>10.0</v>
      </c>
      <c r="H1561" s="26" t="b">
        <f>COUNTIFS(
 tblCostChecklist[RequirementID],A1561,
 tblCostChecklist[PlayerPaid],TRUE
)&gt;0</f>
        <v>0</v>
      </c>
      <c r="I1561" s="49">
        <f t="shared" si="1"/>
        <v>8</v>
      </c>
      <c r="J1561" s="49">
        <f t="shared" si="2"/>
        <v>0</v>
      </c>
      <c r="K1561" s="49">
        <f t="shared" si="3"/>
        <v>8</v>
      </c>
      <c r="L1561" s="49" t="b">
        <f t="shared" si="4"/>
        <v>0</v>
      </c>
      <c r="M1561" s="88">
        <f t="shared" si="5"/>
        <v>0</v>
      </c>
    </row>
    <row r="1562" ht="14.25" customHeight="1">
      <c r="A1562" s="49" t="s">
        <v>2690</v>
      </c>
      <c r="B1562" s="49" t="str">
        <f>IFERROR(__xludf.DUMMYFUNCTION("REGEXEXTRACT(A1562,""^cost\.(.*)\.[^.]+\.[^.]+$"")"),"collection.orangery@1")</f>
        <v>collection.orangery@1</v>
      </c>
      <c r="C1562" s="49" t="str">
        <f t="array" ref="C1562">_xlfn.XLOOKUP(
 B1562,
 tblTargets[TargetID],
 tblTargets[DisplayName],
 ""
)</f>
        <v>Orangery Lv 1</v>
      </c>
      <c r="D1562" s="49" t="str">
        <f t="array" ref="D1562">_xlfn.XLOOKUP(
 B1562,
 tblTargets[TargetID],
 tblTargets[TargetType],
 ""
)</f>
        <v>COLLECTION</v>
      </c>
      <c r="E1562" s="49" t="s">
        <v>2299</v>
      </c>
      <c r="F1562" s="87">
        <f>IFERROR(__xludf.DUMMYFUNCTION("VALUE(REGEXEXTRACT(A1562,""([^.]+)$""))"),4.0)</f>
        <v>4</v>
      </c>
      <c r="G1562" s="49">
        <v>10.0</v>
      </c>
      <c r="H1562" s="26" t="b">
        <f>COUNTIFS(
 tblCostChecklist[RequirementID],A1562,
 tblCostChecklist[PlayerPaid],TRUE
)&gt;0</f>
        <v>0</v>
      </c>
      <c r="I1562" s="49">
        <f t="shared" si="1"/>
        <v>8</v>
      </c>
      <c r="J1562" s="49">
        <f t="shared" si="2"/>
        <v>0</v>
      </c>
      <c r="K1562" s="49">
        <f t="shared" si="3"/>
        <v>8</v>
      </c>
      <c r="L1562" s="49" t="b">
        <f t="shared" si="4"/>
        <v>0</v>
      </c>
      <c r="M1562" s="88">
        <f t="shared" si="5"/>
        <v>0</v>
      </c>
    </row>
    <row r="1563" ht="14.25" customHeight="1">
      <c r="A1563" s="49" t="s">
        <v>2691</v>
      </c>
      <c r="B1563" s="49" t="str">
        <f>IFERROR(__xludf.DUMMYFUNCTION("REGEXEXTRACT(A1563,""^cost\.(.*)\.[^.]+\.[^.]+$"")"),"collection.orangery@1")</f>
        <v>collection.orangery@1</v>
      </c>
      <c r="C1563" s="49" t="str">
        <f t="array" ref="C1563">_xlfn.XLOOKUP(
 B1563,
 tblTargets[TargetID],
 tblTargets[DisplayName],
 ""
)</f>
        <v>Orangery Lv 1</v>
      </c>
      <c r="D1563" s="49" t="str">
        <f t="array" ref="D1563">_xlfn.XLOOKUP(
 B1563,
 tblTargets[TargetID],
 tblTargets[TargetType],
 ""
)</f>
        <v>COLLECTION</v>
      </c>
      <c r="E1563" s="49" t="s">
        <v>2299</v>
      </c>
      <c r="F1563" s="87">
        <f>IFERROR(__xludf.DUMMYFUNCTION("VALUE(REGEXEXTRACT(A1563,""([^.]+)$""))"),5.0)</f>
        <v>5</v>
      </c>
      <c r="G1563" s="49">
        <v>10.0</v>
      </c>
      <c r="H1563" s="26" t="b">
        <f>COUNTIFS(
 tblCostChecklist[RequirementID],A1563,
 tblCostChecklist[PlayerPaid],TRUE
)&gt;0</f>
        <v>0</v>
      </c>
      <c r="I1563" s="49">
        <f t="shared" si="1"/>
        <v>8</v>
      </c>
      <c r="J1563" s="49">
        <f t="shared" si="2"/>
        <v>0</v>
      </c>
      <c r="K1563" s="49">
        <f t="shared" si="3"/>
        <v>8</v>
      </c>
      <c r="L1563" s="49" t="b">
        <f t="shared" si="4"/>
        <v>0</v>
      </c>
      <c r="M1563" s="88">
        <f t="shared" si="5"/>
        <v>0</v>
      </c>
    </row>
    <row r="1564" ht="14.25" customHeight="1">
      <c r="A1564" s="49" t="s">
        <v>2692</v>
      </c>
      <c r="B1564" s="49" t="str">
        <f>IFERROR(__xludf.DUMMYFUNCTION("REGEXEXTRACT(A1564,""^cost\.(.*)\.[^.]+\.[^.]+$"")"),"collection.orangery@1")</f>
        <v>collection.orangery@1</v>
      </c>
      <c r="C1564" s="49" t="str">
        <f t="array" ref="C1564">_xlfn.XLOOKUP(
 B1564,
 tblTargets[TargetID],
 tblTargets[DisplayName],
 ""
)</f>
        <v>Orangery Lv 1</v>
      </c>
      <c r="D1564" s="49" t="str">
        <f t="array" ref="D1564">_xlfn.XLOOKUP(
 B1564,
 tblTargets[TargetID],
 tblTargets[TargetType],
 ""
)</f>
        <v>COLLECTION</v>
      </c>
      <c r="E1564" s="49" t="s">
        <v>2299</v>
      </c>
      <c r="F1564" s="87">
        <f>IFERROR(__xludf.DUMMYFUNCTION("VALUE(REGEXEXTRACT(A1564,""([^.]+)$""))"),6.0)</f>
        <v>6</v>
      </c>
      <c r="G1564" s="49">
        <v>10.0</v>
      </c>
      <c r="H1564" s="26" t="b">
        <f>COUNTIFS(
 tblCostChecklist[RequirementID],A1564,
 tblCostChecklist[PlayerPaid],TRUE
)&gt;0</f>
        <v>0</v>
      </c>
      <c r="I1564" s="49">
        <f t="shared" si="1"/>
        <v>8</v>
      </c>
      <c r="J1564" s="49">
        <f t="shared" si="2"/>
        <v>0</v>
      </c>
      <c r="K1564" s="49">
        <f t="shared" si="3"/>
        <v>8</v>
      </c>
      <c r="L1564" s="49" t="b">
        <f t="shared" si="4"/>
        <v>0</v>
      </c>
      <c r="M1564" s="88">
        <f t="shared" si="5"/>
        <v>0</v>
      </c>
    </row>
    <row r="1565" ht="14.25" customHeight="1">
      <c r="A1565" s="49" t="s">
        <v>2693</v>
      </c>
      <c r="B1565" s="49" t="str">
        <f>IFERROR(__xludf.DUMMYFUNCTION("REGEXEXTRACT(A1565,""^cost\.(.*)\.[^.]+\.[^.]+$"")"),"collection.orangery@1")</f>
        <v>collection.orangery@1</v>
      </c>
      <c r="C1565" s="49" t="str">
        <f t="array" ref="C1565">_xlfn.XLOOKUP(
 B1565,
 tblTargets[TargetID],
 tblTargets[DisplayName],
 ""
)</f>
        <v>Orangery Lv 1</v>
      </c>
      <c r="D1565" s="49" t="str">
        <f t="array" ref="D1565">_xlfn.XLOOKUP(
 B1565,
 tblTargets[TargetID],
 tblTargets[TargetType],
 ""
)</f>
        <v>COLLECTION</v>
      </c>
      <c r="E1565" s="49" t="s">
        <v>237</v>
      </c>
      <c r="F1565" s="87">
        <f>IFERROR(__xludf.DUMMYFUNCTION("VALUE(REGEXEXTRACT(A1565,""([^.]+)$""))"),1.0)</f>
        <v>1</v>
      </c>
      <c r="G1565" s="49">
        <v>50.0</v>
      </c>
      <c r="H1565" s="26" t="b">
        <f>COUNTIFS(
 tblCostChecklist[RequirementID],A1565,
 tblCostChecklist[PlayerPaid],TRUE
)&gt;0</f>
        <v>0</v>
      </c>
      <c r="I1565" s="49">
        <f t="shared" si="1"/>
        <v>8</v>
      </c>
      <c r="J1565" s="49">
        <f t="shared" si="2"/>
        <v>0</v>
      </c>
      <c r="K1565" s="49">
        <f t="shared" si="3"/>
        <v>8</v>
      </c>
      <c r="L1565" s="49" t="b">
        <f t="shared" si="4"/>
        <v>0</v>
      </c>
      <c r="M1565" s="88">
        <f t="shared" si="5"/>
        <v>0</v>
      </c>
    </row>
    <row r="1566" ht="14.25" customHeight="1">
      <c r="A1566" s="49" t="s">
        <v>2694</v>
      </c>
      <c r="B1566" s="49" t="str">
        <f>IFERROR(__xludf.DUMMYFUNCTION("REGEXEXTRACT(A1566,""^cost\.(.*)\.[^.]+\.[^.]+$"")"),"collection.orangery@1")</f>
        <v>collection.orangery@1</v>
      </c>
      <c r="C1566" s="49" t="str">
        <f t="array" ref="C1566">_xlfn.XLOOKUP(
 B1566,
 tblTargets[TargetID],
 tblTargets[DisplayName],
 ""
)</f>
        <v>Orangery Lv 1</v>
      </c>
      <c r="D1566" s="49" t="str">
        <f t="array" ref="D1566">_xlfn.XLOOKUP(
 B1566,
 tblTargets[TargetID],
 tblTargets[TargetType],
 ""
)</f>
        <v>COLLECTION</v>
      </c>
      <c r="E1566" s="49" t="s">
        <v>237</v>
      </c>
      <c r="F1566" s="87">
        <f>IFERROR(__xludf.DUMMYFUNCTION("VALUE(REGEXEXTRACT(A1566,""([^.]+)$""))"),2.0)</f>
        <v>2</v>
      </c>
      <c r="G1566" s="49">
        <v>50.0</v>
      </c>
      <c r="H1566" s="26" t="b">
        <f>COUNTIFS(
 tblCostChecklist[RequirementID],A1566,
 tblCostChecklist[PlayerPaid],TRUE
)&gt;0</f>
        <v>0</v>
      </c>
      <c r="I1566" s="49">
        <f t="shared" si="1"/>
        <v>8</v>
      </c>
      <c r="J1566" s="49">
        <f t="shared" si="2"/>
        <v>0</v>
      </c>
      <c r="K1566" s="49">
        <f t="shared" si="3"/>
        <v>8</v>
      </c>
      <c r="L1566" s="49" t="b">
        <f t="shared" si="4"/>
        <v>0</v>
      </c>
      <c r="M1566" s="88">
        <f t="shared" si="5"/>
        <v>0</v>
      </c>
    </row>
    <row r="1567" ht="14.25" customHeight="1">
      <c r="A1567" s="49" t="s">
        <v>2695</v>
      </c>
      <c r="B1567" s="49" t="str">
        <f>IFERROR(__xludf.DUMMYFUNCTION("REGEXEXTRACT(A1567,""^cost\.(.*)\.[^.]+\.[^.]+$"")"),"collection.orangery@2")</f>
        <v>collection.orangery@2</v>
      </c>
      <c r="C1567" s="49" t="str">
        <f t="array" ref="C1567">_xlfn.XLOOKUP(
 B1567,
 tblTargets[TargetID],
 tblTargets[DisplayName],
 ""
)</f>
        <v>Orangery Lv 2</v>
      </c>
      <c r="D1567" s="49" t="str">
        <f t="array" ref="D1567">_xlfn.XLOOKUP(
 B1567,
 tblTargets[TargetID],
 tblTargets[TargetType],
 ""
)</f>
        <v>COLLECTION</v>
      </c>
      <c r="E1567" s="49" t="s">
        <v>2299</v>
      </c>
      <c r="F1567" s="87">
        <f>IFERROR(__xludf.DUMMYFUNCTION("VALUE(REGEXEXTRACT(A1567,""([^.]+)$""))"),1.0)</f>
        <v>1</v>
      </c>
      <c r="G1567" s="49">
        <v>20.0</v>
      </c>
      <c r="H1567" s="26" t="b">
        <f>COUNTIFS(
 tblCostChecklist[RequirementID],A1567,
 tblCostChecklist[PlayerPaid],TRUE
)&gt;0</f>
        <v>0</v>
      </c>
      <c r="I1567" s="49">
        <f t="shared" si="1"/>
        <v>8</v>
      </c>
      <c r="J1567" s="49">
        <f t="shared" si="2"/>
        <v>0</v>
      </c>
      <c r="K1567" s="49">
        <f t="shared" si="3"/>
        <v>8</v>
      </c>
      <c r="L1567" s="49" t="b">
        <f t="shared" si="4"/>
        <v>0</v>
      </c>
      <c r="M1567" s="88">
        <f t="shared" si="5"/>
        <v>0</v>
      </c>
    </row>
    <row r="1568" ht="14.25" customHeight="1">
      <c r="A1568" s="49" t="s">
        <v>2696</v>
      </c>
      <c r="B1568" s="49" t="str">
        <f>IFERROR(__xludf.DUMMYFUNCTION("REGEXEXTRACT(A1568,""^cost\.(.*)\.[^.]+\.[^.]+$"")"),"collection.orangery@2")</f>
        <v>collection.orangery@2</v>
      </c>
      <c r="C1568" s="49" t="str">
        <f t="array" ref="C1568">_xlfn.XLOOKUP(
 B1568,
 tblTargets[TargetID],
 tblTargets[DisplayName],
 ""
)</f>
        <v>Orangery Lv 2</v>
      </c>
      <c r="D1568" s="49" t="str">
        <f t="array" ref="D1568">_xlfn.XLOOKUP(
 B1568,
 tblTargets[TargetID],
 tblTargets[TargetType],
 ""
)</f>
        <v>COLLECTION</v>
      </c>
      <c r="E1568" s="49" t="s">
        <v>2299</v>
      </c>
      <c r="F1568" s="87">
        <f>IFERROR(__xludf.DUMMYFUNCTION("VALUE(REGEXEXTRACT(A1568,""([^.]+)$""))"),2.0)</f>
        <v>2</v>
      </c>
      <c r="G1568" s="49">
        <v>20.0</v>
      </c>
      <c r="H1568" s="26" t="b">
        <f>COUNTIFS(
 tblCostChecklist[RequirementID],A1568,
 tblCostChecklist[PlayerPaid],TRUE
)&gt;0</f>
        <v>0</v>
      </c>
      <c r="I1568" s="49">
        <f t="shared" si="1"/>
        <v>8</v>
      </c>
      <c r="J1568" s="49">
        <f t="shared" si="2"/>
        <v>0</v>
      </c>
      <c r="K1568" s="49">
        <f t="shared" si="3"/>
        <v>8</v>
      </c>
      <c r="L1568" s="49" t="b">
        <f t="shared" si="4"/>
        <v>0</v>
      </c>
      <c r="M1568" s="88">
        <f t="shared" si="5"/>
        <v>0</v>
      </c>
    </row>
    <row r="1569" ht="14.25" customHeight="1">
      <c r="A1569" s="49" t="s">
        <v>2697</v>
      </c>
      <c r="B1569" s="49" t="str">
        <f>IFERROR(__xludf.DUMMYFUNCTION("REGEXEXTRACT(A1569,""^cost\.(.*)\.[^.]+\.[^.]+$"")"),"collection.orangery@2")</f>
        <v>collection.orangery@2</v>
      </c>
      <c r="C1569" s="49" t="str">
        <f t="array" ref="C1569">_xlfn.XLOOKUP(
 B1569,
 tblTargets[TargetID],
 tblTargets[DisplayName],
 ""
)</f>
        <v>Orangery Lv 2</v>
      </c>
      <c r="D1569" s="49" t="str">
        <f t="array" ref="D1569">_xlfn.XLOOKUP(
 B1569,
 tblTargets[TargetID],
 tblTargets[TargetType],
 ""
)</f>
        <v>COLLECTION</v>
      </c>
      <c r="E1569" s="49" t="s">
        <v>2299</v>
      </c>
      <c r="F1569" s="87">
        <f>IFERROR(__xludf.DUMMYFUNCTION("VALUE(REGEXEXTRACT(A1569,""([^.]+)$""))"),3.0)</f>
        <v>3</v>
      </c>
      <c r="G1569" s="49">
        <v>20.0</v>
      </c>
      <c r="H1569" s="26" t="b">
        <f>COUNTIFS(
 tblCostChecklist[RequirementID],A1569,
 tblCostChecklist[PlayerPaid],TRUE
)&gt;0</f>
        <v>0</v>
      </c>
      <c r="I1569" s="49">
        <f t="shared" si="1"/>
        <v>8</v>
      </c>
      <c r="J1569" s="49">
        <f t="shared" si="2"/>
        <v>0</v>
      </c>
      <c r="K1569" s="49">
        <f t="shared" si="3"/>
        <v>8</v>
      </c>
      <c r="L1569" s="49" t="b">
        <f t="shared" si="4"/>
        <v>0</v>
      </c>
      <c r="M1569" s="88">
        <f t="shared" si="5"/>
        <v>0</v>
      </c>
    </row>
    <row r="1570" ht="14.25" customHeight="1">
      <c r="A1570" s="49" t="s">
        <v>2698</v>
      </c>
      <c r="B1570" s="49" t="str">
        <f>IFERROR(__xludf.DUMMYFUNCTION("REGEXEXTRACT(A1570,""^cost\.(.*)\.[^.]+\.[^.]+$"")"),"collection.orangery@2")</f>
        <v>collection.orangery@2</v>
      </c>
      <c r="C1570" s="49" t="str">
        <f t="array" ref="C1570">_xlfn.XLOOKUP(
 B1570,
 tblTargets[TargetID],
 tblTargets[DisplayName],
 ""
)</f>
        <v>Orangery Lv 2</v>
      </c>
      <c r="D1570" s="49" t="str">
        <f t="array" ref="D1570">_xlfn.XLOOKUP(
 B1570,
 tblTargets[TargetID],
 tblTargets[TargetType],
 ""
)</f>
        <v>COLLECTION</v>
      </c>
      <c r="E1570" s="49" t="s">
        <v>2299</v>
      </c>
      <c r="F1570" s="87">
        <f>IFERROR(__xludf.DUMMYFUNCTION("VALUE(REGEXEXTRACT(A1570,""([^.]+)$""))"),4.0)</f>
        <v>4</v>
      </c>
      <c r="G1570" s="49">
        <v>20.0</v>
      </c>
      <c r="H1570" s="26" t="b">
        <f>COUNTIFS(
 tblCostChecklist[RequirementID],A1570,
 tblCostChecklist[PlayerPaid],TRUE
)&gt;0</f>
        <v>0</v>
      </c>
      <c r="I1570" s="49">
        <f t="shared" si="1"/>
        <v>8</v>
      </c>
      <c r="J1570" s="49">
        <f t="shared" si="2"/>
        <v>0</v>
      </c>
      <c r="K1570" s="49">
        <f t="shared" si="3"/>
        <v>8</v>
      </c>
      <c r="L1570" s="49" t="b">
        <f t="shared" si="4"/>
        <v>0</v>
      </c>
      <c r="M1570" s="88">
        <f t="shared" si="5"/>
        <v>0</v>
      </c>
    </row>
    <row r="1571" ht="14.25" customHeight="1">
      <c r="A1571" s="49" t="s">
        <v>2699</v>
      </c>
      <c r="B1571" s="49" t="str">
        <f>IFERROR(__xludf.DUMMYFUNCTION("REGEXEXTRACT(A1571,""^cost\.(.*)\.[^.]+\.[^.]+$"")"),"collection.orangery@2")</f>
        <v>collection.orangery@2</v>
      </c>
      <c r="C1571" s="49" t="str">
        <f t="array" ref="C1571">_xlfn.XLOOKUP(
 B1571,
 tblTargets[TargetID],
 tblTargets[DisplayName],
 ""
)</f>
        <v>Orangery Lv 2</v>
      </c>
      <c r="D1571" s="49" t="str">
        <f t="array" ref="D1571">_xlfn.XLOOKUP(
 B1571,
 tblTargets[TargetID],
 tblTargets[TargetType],
 ""
)</f>
        <v>COLLECTION</v>
      </c>
      <c r="E1571" s="49" t="s">
        <v>2299</v>
      </c>
      <c r="F1571" s="87">
        <f>IFERROR(__xludf.DUMMYFUNCTION("VALUE(REGEXEXTRACT(A1571,""([^.]+)$""))"),5.0)</f>
        <v>5</v>
      </c>
      <c r="G1571" s="49">
        <v>20.0</v>
      </c>
      <c r="H1571" s="26" t="b">
        <f>COUNTIFS(
 tblCostChecklist[RequirementID],A1571,
 tblCostChecklist[PlayerPaid],TRUE
)&gt;0</f>
        <v>0</v>
      </c>
      <c r="I1571" s="49">
        <f t="shared" si="1"/>
        <v>8</v>
      </c>
      <c r="J1571" s="49">
        <f t="shared" si="2"/>
        <v>0</v>
      </c>
      <c r="K1571" s="49">
        <f t="shared" si="3"/>
        <v>8</v>
      </c>
      <c r="L1571" s="49" t="b">
        <f t="shared" si="4"/>
        <v>0</v>
      </c>
      <c r="M1571" s="88">
        <f t="shared" si="5"/>
        <v>0</v>
      </c>
    </row>
    <row r="1572" ht="14.25" customHeight="1">
      <c r="A1572" s="49" t="s">
        <v>2700</v>
      </c>
      <c r="B1572" s="49" t="str">
        <f>IFERROR(__xludf.DUMMYFUNCTION("REGEXEXTRACT(A1572,""^cost\.(.*)\.[^.]+\.[^.]+$"")"),"collection.orangery@2")</f>
        <v>collection.orangery@2</v>
      </c>
      <c r="C1572" s="49" t="str">
        <f t="array" ref="C1572">_xlfn.XLOOKUP(
 B1572,
 tblTargets[TargetID],
 tblTargets[DisplayName],
 ""
)</f>
        <v>Orangery Lv 2</v>
      </c>
      <c r="D1572" s="49" t="str">
        <f t="array" ref="D1572">_xlfn.XLOOKUP(
 B1572,
 tblTargets[TargetID],
 tblTargets[TargetType],
 ""
)</f>
        <v>COLLECTION</v>
      </c>
      <c r="E1572" s="49" t="s">
        <v>2299</v>
      </c>
      <c r="F1572" s="87">
        <f>IFERROR(__xludf.DUMMYFUNCTION("VALUE(REGEXEXTRACT(A1572,""([^.]+)$""))"),6.0)</f>
        <v>6</v>
      </c>
      <c r="G1572" s="49">
        <v>20.0</v>
      </c>
      <c r="H1572" s="26" t="b">
        <f>COUNTIFS(
 tblCostChecklist[RequirementID],A1572,
 tblCostChecklist[PlayerPaid],TRUE
)&gt;0</f>
        <v>0</v>
      </c>
      <c r="I1572" s="49">
        <f t="shared" si="1"/>
        <v>8</v>
      </c>
      <c r="J1572" s="49">
        <f t="shared" si="2"/>
        <v>0</v>
      </c>
      <c r="K1572" s="49">
        <f t="shared" si="3"/>
        <v>8</v>
      </c>
      <c r="L1572" s="49" t="b">
        <f t="shared" si="4"/>
        <v>0</v>
      </c>
      <c r="M1572" s="88">
        <f t="shared" si="5"/>
        <v>0</v>
      </c>
    </row>
    <row r="1573" ht="14.25" customHeight="1">
      <c r="A1573" s="49" t="s">
        <v>2701</v>
      </c>
      <c r="B1573" s="49" t="str">
        <f>IFERROR(__xludf.DUMMYFUNCTION("REGEXEXTRACT(A1573,""^cost\.(.*)\.[^.]+\.[^.]+$"")"),"collection.orangery@2")</f>
        <v>collection.orangery@2</v>
      </c>
      <c r="C1573" s="49" t="str">
        <f t="array" ref="C1573">_xlfn.XLOOKUP(
 B1573,
 tblTargets[TargetID],
 tblTargets[DisplayName],
 ""
)</f>
        <v>Orangery Lv 2</v>
      </c>
      <c r="D1573" s="49" t="str">
        <f t="array" ref="D1573">_xlfn.XLOOKUP(
 B1573,
 tblTargets[TargetID],
 tblTargets[TargetType],
 ""
)</f>
        <v>COLLECTION</v>
      </c>
      <c r="E1573" s="49" t="s">
        <v>237</v>
      </c>
      <c r="F1573" s="87">
        <f>IFERROR(__xludf.DUMMYFUNCTION("VALUE(REGEXEXTRACT(A1573,""([^.]+)$""))"),1.0)</f>
        <v>1</v>
      </c>
      <c r="G1573" s="49">
        <v>100.0</v>
      </c>
      <c r="H1573" s="26" t="b">
        <f>COUNTIFS(
 tblCostChecklist[RequirementID],A1573,
 tblCostChecklist[PlayerPaid],TRUE
)&gt;0</f>
        <v>0</v>
      </c>
      <c r="I1573" s="49">
        <f t="shared" si="1"/>
        <v>8</v>
      </c>
      <c r="J1573" s="49">
        <f t="shared" si="2"/>
        <v>0</v>
      </c>
      <c r="K1573" s="49">
        <f t="shared" si="3"/>
        <v>8</v>
      </c>
      <c r="L1573" s="49" t="b">
        <f t="shared" si="4"/>
        <v>0</v>
      </c>
      <c r="M1573" s="88">
        <f t="shared" si="5"/>
        <v>0</v>
      </c>
    </row>
    <row r="1574" ht="14.25" customHeight="1">
      <c r="A1574" s="49" t="s">
        <v>2702</v>
      </c>
      <c r="B1574" s="49" t="str">
        <f>IFERROR(__xludf.DUMMYFUNCTION("REGEXEXTRACT(A1574,""^cost\.(.*)\.[^.]+\.[^.]+$"")"),"collection.orangery@2")</f>
        <v>collection.orangery@2</v>
      </c>
      <c r="C1574" s="49" t="str">
        <f t="array" ref="C1574">_xlfn.XLOOKUP(
 B1574,
 tblTargets[TargetID],
 tblTargets[DisplayName],
 ""
)</f>
        <v>Orangery Lv 2</v>
      </c>
      <c r="D1574" s="49" t="str">
        <f t="array" ref="D1574">_xlfn.XLOOKUP(
 B1574,
 tblTargets[TargetID],
 tblTargets[TargetType],
 ""
)</f>
        <v>COLLECTION</v>
      </c>
      <c r="E1574" s="49" t="s">
        <v>237</v>
      </c>
      <c r="F1574" s="87">
        <f>IFERROR(__xludf.DUMMYFUNCTION("VALUE(REGEXEXTRACT(A1574,""([^.]+)$""))"),2.0)</f>
        <v>2</v>
      </c>
      <c r="G1574" s="49">
        <v>100.0</v>
      </c>
      <c r="H1574" s="26" t="b">
        <f>COUNTIFS(
 tblCostChecklist[RequirementID],A1574,
 tblCostChecklist[PlayerPaid],TRUE
)&gt;0</f>
        <v>0</v>
      </c>
      <c r="I1574" s="49">
        <f t="shared" si="1"/>
        <v>8</v>
      </c>
      <c r="J1574" s="49">
        <f t="shared" si="2"/>
        <v>0</v>
      </c>
      <c r="K1574" s="49">
        <f t="shared" si="3"/>
        <v>8</v>
      </c>
      <c r="L1574" s="49" t="b">
        <f t="shared" si="4"/>
        <v>0</v>
      </c>
      <c r="M1574" s="88">
        <f t="shared" si="5"/>
        <v>0</v>
      </c>
    </row>
    <row r="1575" ht="14.25" customHeight="1">
      <c r="A1575" s="49" t="s">
        <v>2703</v>
      </c>
      <c r="B1575" s="49" t="str">
        <f>IFERROR(__xludf.DUMMYFUNCTION("REGEXEXTRACT(A1575,""^cost\.(.*)\.[^.]+\.[^.]+$"")"),"collection.pantry_1@1")</f>
        <v>collection.pantry_1@1</v>
      </c>
      <c r="C1575" s="49" t="str">
        <f t="array" ref="C1575">_xlfn.XLOOKUP(
 B1575,
 tblTargets[TargetID],
 tblTargets[DisplayName],
 ""
)</f>
        <v>Pantry 1 Lv 1</v>
      </c>
      <c r="D1575" s="49" t="str">
        <f t="array" ref="D1575">_xlfn.XLOOKUP(
 B1575,
 tblTargets[TargetID],
 tblTargets[TargetType],
 ""
)</f>
        <v>COLLECTION</v>
      </c>
      <c r="E1575" s="49" t="s">
        <v>2704</v>
      </c>
      <c r="F1575" s="87">
        <f>IFERROR(__xludf.DUMMYFUNCTION("VALUE(REGEXEXTRACT(A1575,""([^.]+)$""))"),1.0)</f>
        <v>1</v>
      </c>
      <c r="G1575" s="49">
        <v>5.0</v>
      </c>
      <c r="H1575" s="26" t="b">
        <f>COUNTIFS(
 tblCostChecklist[RequirementID],A1575,
 tblCostChecklist[PlayerPaid],TRUE
)&gt;0</f>
        <v>0</v>
      </c>
      <c r="I1575" s="49">
        <f t="shared" si="1"/>
        <v>12</v>
      </c>
      <c r="J1575" s="49">
        <f t="shared" si="2"/>
        <v>0</v>
      </c>
      <c r="K1575" s="49">
        <f t="shared" si="3"/>
        <v>12</v>
      </c>
      <c r="L1575" s="49" t="b">
        <f t="shared" si="4"/>
        <v>0</v>
      </c>
      <c r="M1575" s="88">
        <f t="shared" si="5"/>
        <v>0</v>
      </c>
    </row>
    <row r="1576" ht="14.25" customHeight="1">
      <c r="A1576" s="49" t="s">
        <v>2705</v>
      </c>
      <c r="B1576" s="49" t="str">
        <f>IFERROR(__xludf.DUMMYFUNCTION("REGEXEXTRACT(A1576,""^cost\.(.*)\.[^.]+\.[^.]+$"")"),"collection.pantry_1@1")</f>
        <v>collection.pantry_1@1</v>
      </c>
      <c r="C1576" s="49" t="str">
        <f t="array" ref="C1576">_xlfn.XLOOKUP(
 B1576,
 tblTargets[TargetID],
 tblTargets[DisplayName],
 ""
)</f>
        <v>Pantry 1 Lv 1</v>
      </c>
      <c r="D1576" s="49" t="str">
        <f t="array" ref="D1576">_xlfn.XLOOKUP(
 B1576,
 tblTargets[TargetID],
 tblTargets[TargetType],
 ""
)</f>
        <v>COLLECTION</v>
      </c>
      <c r="E1576" s="49" t="s">
        <v>367</v>
      </c>
      <c r="F1576" s="87">
        <f>IFERROR(__xludf.DUMMYFUNCTION("VALUE(REGEXEXTRACT(A1576,""([^.]+)$""))"),1.0)</f>
        <v>1</v>
      </c>
      <c r="G1576" s="49">
        <v>10.0</v>
      </c>
      <c r="H1576" s="26" t="b">
        <f>COUNTIFS(
 tblCostChecklist[RequirementID],A1576,
 tblCostChecklist[PlayerPaid],TRUE
)&gt;0</f>
        <v>0</v>
      </c>
      <c r="I1576" s="49">
        <f t="shared" si="1"/>
        <v>12</v>
      </c>
      <c r="J1576" s="49">
        <f t="shared" si="2"/>
        <v>0</v>
      </c>
      <c r="K1576" s="49">
        <f t="shared" si="3"/>
        <v>12</v>
      </c>
      <c r="L1576" s="49" t="b">
        <f t="shared" si="4"/>
        <v>0</v>
      </c>
      <c r="M1576" s="88">
        <f t="shared" si="5"/>
        <v>0</v>
      </c>
    </row>
    <row r="1577" ht="14.25" customHeight="1">
      <c r="A1577" s="49" t="s">
        <v>2706</v>
      </c>
      <c r="B1577" s="49" t="str">
        <f>IFERROR(__xludf.DUMMYFUNCTION("REGEXEXTRACT(A1577,""^cost\.(.*)\.[^.]+\.[^.]+$"")"),"collection.pantry_1@1")</f>
        <v>collection.pantry_1@1</v>
      </c>
      <c r="C1577" s="49" t="str">
        <f t="array" ref="C1577">_xlfn.XLOOKUP(
 B1577,
 tblTargets[TargetID],
 tblTargets[DisplayName],
 ""
)</f>
        <v>Pantry 1 Lv 1</v>
      </c>
      <c r="D1577" s="49" t="str">
        <f t="array" ref="D1577">_xlfn.XLOOKUP(
 B1577,
 tblTargets[TargetID],
 tblTargets[TargetType],
 ""
)</f>
        <v>COLLECTION</v>
      </c>
      <c r="E1577" s="49" t="s">
        <v>2707</v>
      </c>
      <c r="F1577" s="87">
        <f>IFERROR(__xludf.DUMMYFUNCTION("VALUE(REGEXEXTRACT(A1577,""([^.]+)$""))"),1.0)</f>
        <v>1</v>
      </c>
      <c r="G1577" s="49">
        <v>10.0</v>
      </c>
      <c r="H1577" s="26" t="b">
        <f>COUNTIFS(
 tblCostChecklist[RequirementID],A1577,
 tblCostChecklist[PlayerPaid],TRUE
)&gt;0</f>
        <v>0</v>
      </c>
      <c r="I1577" s="49">
        <f t="shared" si="1"/>
        <v>12</v>
      </c>
      <c r="J1577" s="49">
        <f t="shared" si="2"/>
        <v>0</v>
      </c>
      <c r="K1577" s="49">
        <f t="shared" si="3"/>
        <v>12</v>
      </c>
      <c r="L1577" s="49" t="b">
        <f t="shared" si="4"/>
        <v>0</v>
      </c>
      <c r="M1577" s="88">
        <f t="shared" si="5"/>
        <v>0</v>
      </c>
    </row>
    <row r="1578" ht="14.25" customHeight="1">
      <c r="A1578" s="49" t="s">
        <v>2708</v>
      </c>
      <c r="B1578" s="49" t="str">
        <f>IFERROR(__xludf.DUMMYFUNCTION("REGEXEXTRACT(A1578,""^cost\.(.*)\.[^.]+\.[^.]+$"")"),"collection.pantry_1@1")</f>
        <v>collection.pantry_1@1</v>
      </c>
      <c r="C1578" s="49" t="str">
        <f t="array" ref="C1578">_xlfn.XLOOKUP(
 B1578,
 tblTargets[TargetID],
 tblTargets[DisplayName],
 ""
)</f>
        <v>Pantry 1 Lv 1</v>
      </c>
      <c r="D1578" s="49" t="str">
        <f t="array" ref="D1578">_xlfn.XLOOKUP(
 B1578,
 tblTargets[TargetID],
 tblTargets[TargetType],
 ""
)</f>
        <v>COLLECTION</v>
      </c>
      <c r="E1578" s="49" t="s">
        <v>2709</v>
      </c>
      <c r="F1578" s="87">
        <f>IFERROR(__xludf.DUMMYFUNCTION("VALUE(REGEXEXTRACT(A1578,""([^.]+)$""))"),1.0)</f>
        <v>1</v>
      </c>
      <c r="G1578" s="49">
        <v>40.0</v>
      </c>
      <c r="H1578" s="26" t="b">
        <f>COUNTIFS(
 tblCostChecklist[RequirementID],A1578,
 tblCostChecklist[PlayerPaid],TRUE
)&gt;0</f>
        <v>0</v>
      </c>
      <c r="I1578" s="49">
        <f t="shared" si="1"/>
        <v>12</v>
      </c>
      <c r="J1578" s="49">
        <f t="shared" si="2"/>
        <v>0</v>
      </c>
      <c r="K1578" s="49">
        <f t="shared" si="3"/>
        <v>12</v>
      </c>
      <c r="L1578" s="49" t="b">
        <f t="shared" si="4"/>
        <v>0</v>
      </c>
      <c r="M1578" s="88">
        <f t="shared" si="5"/>
        <v>0</v>
      </c>
    </row>
    <row r="1579" ht="14.25" customHeight="1">
      <c r="A1579" s="49" t="s">
        <v>2710</v>
      </c>
      <c r="B1579" s="49" t="str">
        <f>IFERROR(__xludf.DUMMYFUNCTION("REGEXEXTRACT(A1579,""^cost\.(.*)\.[^.]+\.[^.]+$"")"),"collection.pantry_1@1")</f>
        <v>collection.pantry_1@1</v>
      </c>
      <c r="C1579" s="49" t="str">
        <f t="array" ref="C1579">_xlfn.XLOOKUP(
 B1579,
 tblTargets[TargetID],
 tblTargets[DisplayName],
 ""
)</f>
        <v>Pantry 1 Lv 1</v>
      </c>
      <c r="D1579" s="49" t="str">
        <f t="array" ref="D1579">_xlfn.XLOOKUP(
 B1579,
 tblTargets[TargetID],
 tblTargets[TargetType],
 ""
)</f>
        <v>COLLECTION</v>
      </c>
      <c r="E1579" s="49" t="s">
        <v>360</v>
      </c>
      <c r="F1579" s="87">
        <f>IFERROR(__xludf.DUMMYFUNCTION("VALUE(REGEXEXTRACT(A1579,""([^.]+)$""))"),1.0)</f>
        <v>1</v>
      </c>
      <c r="G1579" s="49">
        <v>10.0</v>
      </c>
      <c r="H1579" s="26" t="b">
        <f>COUNTIFS(
 tblCostChecklist[RequirementID],A1579,
 tblCostChecklist[PlayerPaid],TRUE
)&gt;0</f>
        <v>0</v>
      </c>
      <c r="I1579" s="49">
        <f t="shared" si="1"/>
        <v>12</v>
      </c>
      <c r="J1579" s="49">
        <f t="shared" si="2"/>
        <v>0</v>
      </c>
      <c r="K1579" s="49">
        <f t="shared" si="3"/>
        <v>12</v>
      </c>
      <c r="L1579" s="49" t="b">
        <f t="shared" si="4"/>
        <v>0</v>
      </c>
      <c r="M1579" s="88">
        <f t="shared" si="5"/>
        <v>0</v>
      </c>
    </row>
    <row r="1580" ht="14.25" customHeight="1">
      <c r="A1580" s="49" t="s">
        <v>2711</v>
      </c>
      <c r="B1580" s="49" t="str">
        <f>IFERROR(__xludf.DUMMYFUNCTION("REGEXEXTRACT(A1580,""^cost\.(.*)\.[^.]+\.[^.]+$"")"),"collection.pantry_1@1")</f>
        <v>collection.pantry_1@1</v>
      </c>
      <c r="C1580" s="49" t="str">
        <f t="array" ref="C1580">_xlfn.XLOOKUP(
 B1580,
 tblTargets[TargetID],
 tblTargets[DisplayName],
 ""
)</f>
        <v>Pantry 1 Lv 1</v>
      </c>
      <c r="D1580" s="49" t="str">
        <f t="array" ref="D1580">_xlfn.XLOOKUP(
 B1580,
 tblTargets[TargetID],
 tblTargets[TargetType],
 ""
)</f>
        <v>COLLECTION</v>
      </c>
      <c r="E1580" s="49" t="s">
        <v>423</v>
      </c>
      <c r="F1580" s="87">
        <f>IFERROR(__xludf.DUMMYFUNCTION("VALUE(REGEXEXTRACT(A1580,""([^.]+)$""))"),1.0)</f>
        <v>1</v>
      </c>
      <c r="G1580" s="49">
        <v>10.0</v>
      </c>
      <c r="H1580" s="26" t="b">
        <f>COUNTIFS(
 tblCostChecklist[RequirementID],A1580,
 tblCostChecklist[PlayerPaid],TRUE
)&gt;0</f>
        <v>0</v>
      </c>
      <c r="I1580" s="49">
        <f t="shared" si="1"/>
        <v>12</v>
      </c>
      <c r="J1580" s="49">
        <f t="shared" si="2"/>
        <v>0</v>
      </c>
      <c r="K1580" s="49">
        <f t="shared" si="3"/>
        <v>12</v>
      </c>
      <c r="L1580" s="49" t="b">
        <f t="shared" si="4"/>
        <v>0</v>
      </c>
      <c r="M1580" s="88">
        <f t="shared" si="5"/>
        <v>0</v>
      </c>
    </row>
    <row r="1581" ht="14.25" customHeight="1">
      <c r="A1581" s="49" t="s">
        <v>2712</v>
      </c>
      <c r="B1581" s="49" t="str">
        <f>IFERROR(__xludf.DUMMYFUNCTION("REGEXEXTRACT(A1581,""^cost\.(.*)\.[^.]+\.[^.]+$"")"),"collection.pantry_1@1")</f>
        <v>collection.pantry_1@1</v>
      </c>
      <c r="C1581" s="49" t="str">
        <f t="array" ref="C1581">_xlfn.XLOOKUP(
 B1581,
 tblTargets[TargetID],
 tblTargets[DisplayName],
 ""
)</f>
        <v>Pantry 1 Lv 1</v>
      </c>
      <c r="D1581" s="49" t="str">
        <f t="array" ref="D1581">_xlfn.XLOOKUP(
 B1581,
 tblTargets[TargetID],
 tblTargets[TargetType],
 ""
)</f>
        <v>COLLECTION</v>
      </c>
      <c r="E1581" s="49" t="s">
        <v>701</v>
      </c>
      <c r="F1581" s="87">
        <f>IFERROR(__xludf.DUMMYFUNCTION("VALUE(REGEXEXTRACT(A1581,""([^.]+)$""))"),1.0)</f>
        <v>1</v>
      </c>
      <c r="G1581" s="49">
        <v>40.0</v>
      </c>
      <c r="H1581" s="26" t="b">
        <f>COUNTIFS(
 tblCostChecklist[RequirementID],A1581,
 tblCostChecklist[PlayerPaid],TRUE
)&gt;0</f>
        <v>0</v>
      </c>
      <c r="I1581" s="49">
        <f t="shared" si="1"/>
        <v>12</v>
      </c>
      <c r="J1581" s="49">
        <f t="shared" si="2"/>
        <v>0</v>
      </c>
      <c r="K1581" s="49">
        <f t="shared" si="3"/>
        <v>12</v>
      </c>
      <c r="L1581" s="49" t="b">
        <f t="shared" si="4"/>
        <v>0</v>
      </c>
      <c r="M1581" s="88">
        <f t="shared" si="5"/>
        <v>0</v>
      </c>
    </row>
    <row r="1582" ht="14.25" customHeight="1">
      <c r="A1582" s="49" t="s">
        <v>2713</v>
      </c>
      <c r="B1582" s="49" t="str">
        <f>IFERROR(__xludf.DUMMYFUNCTION("REGEXEXTRACT(A1582,""^cost\.(.*)\.[^.]+\.[^.]+$"")"),"collection.pantry_1@1")</f>
        <v>collection.pantry_1@1</v>
      </c>
      <c r="C1582" s="49" t="str">
        <f t="array" ref="C1582">_xlfn.XLOOKUP(
 B1582,
 tblTargets[TargetID],
 tblTargets[DisplayName],
 ""
)</f>
        <v>Pantry 1 Lv 1</v>
      </c>
      <c r="D1582" s="49" t="str">
        <f t="array" ref="D1582">_xlfn.XLOOKUP(
 B1582,
 tblTargets[TargetID],
 tblTargets[TargetType],
 ""
)</f>
        <v>COLLECTION</v>
      </c>
      <c r="E1582" s="49" t="s">
        <v>2714</v>
      </c>
      <c r="F1582" s="87">
        <f>IFERROR(__xludf.DUMMYFUNCTION("VALUE(REGEXEXTRACT(A1582,""([^.]+)$""))"),1.0)</f>
        <v>1</v>
      </c>
      <c r="G1582" s="49">
        <v>10.0</v>
      </c>
      <c r="H1582" s="26" t="b">
        <f>COUNTIFS(
 tblCostChecklist[RequirementID],A1582,
 tblCostChecklist[PlayerPaid],TRUE
)&gt;0</f>
        <v>0</v>
      </c>
      <c r="I1582" s="49">
        <f t="shared" si="1"/>
        <v>12</v>
      </c>
      <c r="J1582" s="49">
        <f t="shared" si="2"/>
        <v>0</v>
      </c>
      <c r="K1582" s="49">
        <f t="shared" si="3"/>
        <v>12</v>
      </c>
      <c r="L1582" s="49" t="b">
        <f t="shared" si="4"/>
        <v>0</v>
      </c>
      <c r="M1582" s="88">
        <f t="shared" si="5"/>
        <v>0</v>
      </c>
    </row>
    <row r="1583" ht="14.25" customHeight="1">
      <c r="A1583" s="49" t="s">
        <v>2715</v>
      </c>
      <c r="B1583" s="49" t="str">
        <f>IFERROR(__xludf.DUMMYFUNCTION("REGEXEXTRACT(A1583,""^cost\.(.*)\.[^.]+\.[^.]+$"")"),"collection.pantry_1@1")</f>
        <v>collection.pantry_1@1</v>
      </c>
      <c r="C1583" s="49" t="str">
        <f t="array" ref="C1583">_xlfn.XLOOKUP(
 B1583,
 tblTargets[TargetID],
 tblTargets[DisplayName],
 ""
)</f>
        <v>Pantry 1 Lv 1</v>
      </c>
      <c r="D1583" s="49" t="str">
        <f t="array" ref="D1583">_xlfn.XLOOKUP(
 B1583,
 tblTargets[TargetID],
 tblTargets[TargetType],
 ""
)</f>
        <v>COLLECTION</v>
      </c>
      <c r="E1583" s="49" t="s">
        <v>152</v>
      </c>
      <c r="F1583" s="87">
        <f>IFERROR(__xludf.DUMMYFUNCTION("VALUE(REGEXEXTRACT(A1583,""([^.]+)$""))"),1.0)</f>
        <v>1</v>
      </c>
      <c r="G1583" s="49">
        <v>10.0</v>
      </c>
      <c r="H1583" s="26" t="b">
        <f>COUNTIFS(
 tblCostChecklist[RequirementID],A1583,
 tblCostChecklist[PlayerPaid],TRUE
)&gt;0</f>
        <v>0</v>
      </c>
      <c r="I1583" s="49">
        <f t="shared" si="1"/>
        <v>12</v>
      </c>
      <c r="J1583" s="49">
        <f t="shared" si="2"/>
        <v>0</v>
      </c>
      <c r="K1583" s="49">
        <f t="shared" si="3"/>
        <v>12</v>
      </c>
      <c r="L1583" s="49" t="b">
        <f t="shared" si="4"/>
        <v>0</v>
      </c>
      <c r="M1583" s="88">
        <f t="shared" si="5"/>
        <v>0</v>
      </c>
    </row>
    <row r="1584" ht="14.25" customHeight="1">
      <c r="A1584" s="49" t="s">
        <v>2716</v>
      </c>
      <c r="B1584" s="49" t="str">
        <f>IFERROR(__xludf.DUMMYFUNCTION("REGEXEXTRACT(A1584,""^cost\.(.*)\.[^.]+\.[^.]+$"")"),"collection.pantry_1@1")</f>
        <v>collection.pantry_1@1</v>
      </c>
      <c r="C1584" s="49" t="str">
        <f t="array" ref="C1584">_xlfn.XLOOKUP(
 B1584,
 tblTargets[TargetID],
 tblTargets[DisplayName],
 ""
)</f>
        <v>Pantry 1 Lv 1</v>
      </c>
      <c r="D1584" s="49" t="str">
        <f t="array" ref="D1584">_xlfn.XLOOKUP(
 B1584,
 tblTargets[TargetID],
 tblTargets[TargetType],
 ""
)</f>
        <v>COLLECTION</v>
      </c>
      <c r="E1584" s="49" t="s">
        <v>443</v>
      </c>
      <c r="F1584" s="87">
        <f>IFERROR(__xludf.DUMMYFUNCTION("VALUE(REGEXEXTRACT(A1584,""([^.]+)$""))"),1.0)</f>
        <v>1</v>
      </c>
      <c r="G1584" s="49">
        <v>5.0</v>
      </c>
      <c r="H1584" s="26" t="b">
        <f>COUNTIFS(
 tblCostChecklist[RequirementID],A1584,
 tblCostChecklist[PlayerPaid],TRUE
)&gt;0</f>
        <v>0</v>
      </c>
      <c r="I1584" s="49">
        <f t="shared" si="1"/>
        <v>12</v>
      </c>
      <c r="J1584" s="49">
        <f t="shared" si="2"/>
        <v>0</v>
      </c>
      <c r="K1584" s="49">
        <f t="shared" si="3"/>
        <v>12</v>
      </c>
      <c r="L1584" s="49" t="b">
        <f t="shared" si="4"/>
        <v>0</v>
      </c>
      <c r="M1584" s="88">
        <f t="shared" si="5"/>
        <v>0</v>
      </c>
    </row>
    <row r="1585" ht="14.25" customHeight="1">
      <c r="A1585" s="49" t="s">
        <v>2717</v>
      </c>
      <c r="B1585" s="49" t="str">
        <f>IFERROR(__xludf.DUMMYFUNCTION("REGEXEXTRACT(A1585,""^cost\.(.*)\.[^.]+\.[^.]+$"")"),"collection.pantry_1@1")</f>
        <v>collection.pantry_1@1</v>
      </c>
      <c r="C1585" s="49" t="str">
        <f t="array" ref="C1585">_xlfn.XLOOKUP(
 B1585,
 tblTargets[TargetID],
 tblTargets[DisplayName],
 ""
)</f>
        <v>Pantry 1 Lv 1</v>
      </c>
      <c r="D1585" s="49" t="str">
        <f t="array" ref="D1585">_xlfn.XLOOKUP(
 B1585,
 tblTargets[TargetID],
 tblTargets[TargetType],
 ""
)</f>
        <v>COLLECTION</v>
      </c>
      <c r="E1585" s="49" t="s">
        <v>158</v>
      </c>
      <c r="F1585" s="87">
        <f>IFERROR(__xludf.DUMMYFUNCTION("VALUE(REGEXEXTRACT(A1585,""([^.]+)$""))"),1.0)</f>
        <v>1</v>
      </c>
      <c r="G1585" s="49">
        <v>10.0</v>
      </c>
      <c r="H1585" s="26" t="b">
        <f>COUNTIFS(
 tblCostChecklist[RequirementID],A1585,
 tblCostChecklist[PlayerPaid],TRUE
)&gt;0</f>
        <v>0</v>
      </c>
      <c r="I1585" s="49">
        <f t="shared" si="1"/>
        <v>12</v>
      </c>
      <c r="J1585" s="49">
        <f t="shared" si="2"/>
        <v>0</v>
      </c>
      <c r="K1585" s="49">
        <f t="shared" si="3"/>
        <v>12</v>
      </c>
      <c r="L1585" s="49" t="b">
        <f t="shared" si="4"/>
        <v>0</v>
      </c>
      <c r="M1585" s="88">
        <f t="shared" si="5"/>
        <v>0</v>
      </c>
    </row>
    <row r="1586" ht="14.25" customHeight="1">
      <c r="A1586" s="49" t="s">
        <v>2718</v>
      </c>
      <c r="B1586" s="49" t="str">
        <f>IFERROR(__xludf.DUMMYFUNCTION("REGEXEXTRACT(A1586,""^cost\.(.*)\.[^.]+\.[^.]+$"")"),"collection.pantry_1@1")</f>
        <v>collection.pantry_1@1</v>
      </c>
      <c r="C1586" s="49" t="str">
        <f t="array" ref="C1586">_xlfn.XLOOKUP(
 B1586,
 tblTargets[TargetID],
 tblTargets[DisplayName],
 ""
)</f>
        <v>Pantry 1 Lv 1</v>
      </c>
      <c r="D1586" s="49" t="str">
        <f t="array" ref="D1586">_xlfn.XLOOKUP(
 B1586,
 tblTargets[TargetID],
 tblTargets[TargetType],
 ""
)</f>
        <v>COLLECTION</v>
      </c>
      <c r="E1586" s="49" t="s">
        <v>2719</v>
      </c>
      <c r="F1586" s="87">
        <f>IFERROR(__xludf.DUMMYFUNCTION("VALUE(REGEXEXTRACT(A1586,""([^.]+)$""))"),1.0)</f>
        <v>1</v>
      </c>
      <c r="G1586" s="49">
        <v>5.0</v>
      </c>
      <c r="H1586" s="26" t="b">
        <f>COUNTIFS(
 tblCostChecklist[RequirementID],A1586,
 tblCostChecklist[PlayerPaid],TRUE
)&gt;0</f>
        <v>0</v>
      </c>
      <c r="I1586" s="49">
        <f t="shared" si="1"/>
        <v>12</v>
      </c>
      <c r="J1586" s="49">
        <f t="shared" si="2"/>
        <v>0</v>
      </c>
      <c r="K1586" s="49">
        <f t="shared" si="3"/>
        <v>12</v>
      </c>
      <c r="L1586" s="49" t="b">
        <f t="shared" si="4"/>
        <v>0</v>
      </c>
      <c r="M1586" s="88">
        <f t="shared" si="5"/>
        <v>0</v>
      </c>
    </row>
    <row r="1587" ht="14.25" customHeight="1">
      <c r="A1587" s="49" t="s">
        <v>2720</v>
      </c>
      <c r="B1587" s="49" t="str">
        <f>IFERROR(__xludf.DUMMYFUNCTION("REGEXEXTRACT(A1587,""^cost\.(.*)\.[^.]+\.[^.]+$"")"),"collection.pantry_1@2")</f>
        <v>collection.pantry_1@2</v>
      </c>
      <c r="C1587" s="49" t="str">
        <f t="array" ref="C1587">_xlfn.XLOOKUP(
 B1587,
 tblTargets[TargetID],
 tblTargets[DisplayName],
 ""
)</f>
        <v>Pantry 1 Lv 2</v>
      </c>
      <c r="D1587" s="49" t="str">
        <f t="array" ref="D1587">_xlfn.XLOOKUP(
 B1587,
 tblTargets[TargetID],
 tblTargets[TargetType],
 ""
)</f>
        <v>COLLECTION</v>
      </c>
      <c r="E1587" s="49" t="s">
        <v>2704</v>
      </c>
      <c r="F1587" s="87">
        <f>IFERROR(__xludf.DUMMYFUNCTION("VALUE(REGEXEXTRACT(A1587,""([^.]+)$""))"),1.0)</f>
        <v>1</v>
      </c>
      <c r="G1587" s="49">
        <v>10.0</v>
      </c>
      <c r="H1587" s="26" t="b">
        <f>COUNTIFS(
 tblCostChecklist[RequirementID],A1587,
 tblCostChecklist[PlayerPaid],TRUE
)&gt;0</f>
        <v>0</v>
      </c>
      <c r="I1587" s="49">
        <f t="shared" si="1"/>
        <v>12</v>
      </c>
      <c r="J1587" s="49">
        <f t="shared" si="2"/>
        <v>0</v>
      </c>
      <c r="K1587" s="49">
        <f t="shared" si="3"/>
        <v>12</v>
      </c>
      <c r="L1587" s="49" t="b">
        <f t="shared" si="4"/>
        <v>0</v>
      </c>
      <c r="M1587" s="88">
        <f t="shared" si="5"/>
        <v>0</v>
      </c>
    </row>
    <row r="1588" ht="14.25" customHeight="1">
      <c r="A1588" s="49" t="s">
        <v>2721</v>
      </c>
      <c r="B1588" s="49" t="str">
        <f>IFERROR(__xludf.DUMMYFUNCTION("REGEXEXTRACT(A1588,""^cost\.(.*)\.[^.]+\.[^.]+$"")"),"collection.pantry_1@2")</f>
        <v>collection.pantry_1@2</v>
      </c>
      <c r="C1588" s="49" t="str">
        <f t="array" ref="C1588">_xlfn.XLOOKUP(
 B1588,
 tblTargets[TargetID],
 tblTargets[DisplayName],
 ""
)</f>
        <v>Pantry 1 Lv 2</v>
      </c>
      <c r="D1588" s="49" t="str">
        <f t="array" ref="D1588">_xlfn.XLOOKUP(
 B1588,
 tblTargets[TargetID],
 tblTargets[TargetType],
 ""
)</f>
        <v>COLLECTION</v>
      </c>
      <c r="E1588" s="49" t="s">
        <v>367</v>
      </c>
      <c r="F1588" s="87">
        <f>IFERROR(__xludf.DUMMYFUNCTION("VALUE(REGEXEXTRACT(A1588,""([^.]+)$""))"),1.0)</f>
        <v>1</v>
      </c>
      <c r="G1588" s="49">
        <v>20.0</v>
      </c>
      <c r="H1588" s="26" t="b">
        <f>COUNTIFS(
 tblCostChecklist[RequirementID],A1588,
 tblCostChecklist[PlayerPaid],TRUE
)&gt;0</f>
        <v>0</v>
      </c>
      <c r="I1588" s="49">
        <f t="shared" si="1"/>
        <v>12</v>
      </c>
      <c r="J1588" s="49">
        <f t="shared" si="2"/>
        <v>0</v>
      </c>
      <c r="K1588" s="49">
        <f t="shared" si="3"/>
        <v>12</v>
      </c>
      <c r="L1588" s="49" t="b">
        <f t="shared" si="4"/>
        <v>0</v>
      </c>
      <c r="M1588" s="88">
        <f t="shared" si="5"/>
        <v>0</v>
      </c>
    </row>
    <row r="1589" ht="14.25" customHeight="1">
      <c r="A1589" s="49" t="s">
        <v>2722</v>
      </c>
      <c r="B1589" s="49" t="str">
        <f>IFERROR(__xludf.DUMMYFUNCTION("REGEXEXTRACT(A1589,""^cost\.(.*)\.[^.]+\.[^.]+$"")"),"collection.pantry_1@2")</f>
        <v>collection.pantry_1@2</v>
      </c>
      <c r="C1589" s="49" t="str">
        <f t="array" ref="C1589">_xlfn.XLOOKUP(
 B1589,
 tblTargets[TargetID],
 tblTargets[DisplayName],
 ""
)</f>
        <v>Pantry 1 Lv 2</v>
      </c>
      <c r="D1589" s="49" t="str">
        <f t="array" ref="D1589">_xlfn.XLOOKUP(
 B1589,
 tblTargets[TargetID],
 tblTargets[TargetType],
 ""
)</f>
        <v>COLLECTION</v>
      </c>
      <c r="E1589" s="49" t="s">
        <v>2707</v>
      </c>
      <c r="F1589" s="87">
        <f>IFERROR(__xludf.DUMMYFUNCTION("VALUE(REGEXEXTRACT(A1589,""([^.]+)$""))"),1.0)</f>
        <v>1</v>
      </c>
      <c r="G1589" s="49">
        <v>20.0</v>
      </c>
      <c r="H1589" s="26" t="b">
        <f>COUNTIFS(
 tblCostChecklist[RequirementID],A1589,
 tblCostChecklist[PlayerPaid],TRUE
)&gt;0</f>
        <v>0</v>
      </c>
      <c r="I1589" s="49">
        <f t="shared" si="1"/>
        <v>12</v>
      </c>
      <c r="J1589" s="49">
        <f t="shared" si="2"/>
        <v>0</v>
      </c>
      <c r="K1589" s="49">
        <f t="shared" si="3"/>
        <v>12</v>
      </c>
      <c r="L1589" s="49" t="b">
        <f t="shared" si="4"/>
        <v>0</v>
      </c>
      <c r="M1589" s="88">
        <f t="shared" si="5"/>
        <v>0</v>
      </c>
    </row>
    <row r="1590" ht="14.25" customHeight="1">
      <c r="A1590" s="49" t="s">
        <v>2723</v>
      </c>
      <c r="B1590" s="49" t="str">
        <f>IFERROR(__xludf.DUMMYFUNCTION("REGEXEXTRACT(A1590,""^cost\.(.*)\.[^.]+\.[^.]+$"")"),"collection.pantry_1@2")</f>
        <v>collection.pantry_1@2</v>
      </c>
      <c r="C1590" s="49" t="str">
        <f t="array" ref="C1590">_xlfn.XLOOKUP(
 B1590,
 tblTargets[TargetID],
 tblTargets[DisplayName],
 ""
)</f>
        <v>Pantry 1 Lv 2</v>
      </c>
      <c r="D1590" s="49" t="str">
        <f t="array" ref="D1590">_xlfn.XLOOKUP(
 B1590,
 tblTargets[TargetID],
 tblTargets[TargetType],
 ""
)</f>
        <v>COLLECTION</v>
      </c>
      <c r="E1590" s="49" t="s">
        <v>2709</v>
      </c>
      <c r="F1590" s="87">
        <f>IFERROR(__xludf.DUMMYFUNCTION("VALUE(REGEXEXTRACT(A1590,""([^.]+)$""))"),1.0)</f>
        <v>1</v>
      </c>
      <c r="G1590" s="49">
        <v>80.0</v>
      </c>
      <c r="H1590" s="26" t="b">
        <f>COUNTIFS(
 tblCostChecklist[RequirementID],A1590,
 tblCostChecklist[PlayerPaid],TRUE
)&gt;0</f>
        <v>0</v>
      </c>
      <c r="I1590" s="49">
        <f t="shared" si="1"/>
        <v>12</v>
      </c>
      <c r="J1590" s="49">
        <f t="shared" si="2"/>
        <v>0</v>
      </c>
      <c r="K1590" s="49">
        <f t="shared" si="3"/>
        <v>12</v>
      </c>
      <c r="L1590" s="49" t="b">
        <f t="shared" si="4"/>
        <v>0</v>
      </c>
      <c r="M1590" s="88">
        <f t="shared" si="5"/>
        <v>0</v>
      </c>
    </row>
    <row r="1591" ht="14.25" customHeight="1">
      <c r="A1591" s="49" t="s">
        <v>2724</v>
      </c>
      <c r="B1591" s="49" t="str">
        <f>IFERROR(__xludf.DUMMYFUNCTION("REGEXEXTRACT(A1591,""^cost\.(.*)\.[^.]+\.[^.]+$"")"),"collection.pantry_1@2")</f>
        <v>collection.pantry_1@2</v>
      </c>
      <c r="C1591" s="49" t="str">
        <f t="array" ref="C1591">_xlfn.XLOOKUP(
 B1591,
 tblTargets[TargetID],
 tblTargets[DisplayName],
 ""
)</f>
        <v>Pantry 1 Lv 2</v>
      </c>
      <c r="D1591" s="49" t="str">
        <f t="array" ref="D1591">_xlfn.XLOOKUP(
 B1591,
 tblTargets[TargetID],
 tblTargets[TargetType],
 ""
)</f>
        <v>COLLECTION</v>
      </c>
      <c r="E1591" s="49" t="s">
        <v>360</v>
      </c>
      <c r="F1591" s="87">
        <f>IFERROR(__xludf.DUMMYFUNCTION("VALUE(REGEXEXTRACT(A1591,""([^.]+)$""))"),1.0)</f>
        <v>1</v>
      </c>
      <c r="G1591" s="49">
        <v>20.0</v>
      </c>
      <c r="H1591" s="26" t="b">
        <f>COUNTIFS(
 tblCostChecklist[RequirementID],A1591,
 tblCostChecklist[PlayerPaid],TRUE
)&gt;0</f>
        <v>0</v>
      </c>
      <c r="I1591" s="49">
        <f t="shared" si="1"/>
        <v>12</v>
      </c>
      <c r="J1591" s="49">
        <f t="shared" si="2"/>
        <v>0</v>
      </c>
      <c r="K1591" s="49">
        <f t="shared" si="3"/>
        <v>12</v>
      </c>
      <c r="L1591" s="49" t="b">
        <f t="shared" si="4"/>
        <v>0</v>
      </c>
      <c r="M1591" s="88">
        <f t="shared" si="5"/>
        <v>0</v>
      </c>
    </row>
    <row r="1592" ht="14.25" customHeight="1">
      <c r="A1592" s="49" t="s">
        <v>2725</v>
      </c>
      <c r="B1592" s="49" t="str">
        <f>IFERROR(__xludf.DUMMYFUNCTION("REGEXEXTRACT(A1592,""^cost\.(.*)\.[^.]+\.[^.]+$"")"),"collection.pantry_1@2")</f>
        <v>collection.pantry_1@2</v>
      </c>
      <c r="C1592" s="49" t="str">
        <f t="array" ref="C1592">_xlfn.XLOOKUP(
 B1592,
 tblTargets[TargetID],
 tblTargets[DisplayName],
 ""
)</f>
        <v>Pantry 1 Lv 2</v>
      </c>
      <c r="D1592" s="49" t="str">
        <f t="array" ref="D1592">_xlfn.XLOOKUP(
 B1592,
 tblTargets[TargetID],
 tblTargets[TargetType],
 ""
)</f>
        <v>COLLECTION</v>
      </c>
      <c r="E1592" s="49" t="s">
        <v>423</v>
      </c>
      <c r="F1592" s="87">
        <f>IFERROR(__xludf.DUMMYFUNCTION("VALUE(REGEXEXTRACT(A1592,""([^.]+)$""))"),1.0)</f>
        <v>1</v>
      </c>
      <c r="G1592" s="49">
        <v>20.0</v>
      </c>
      <c r="H1592" s="26" t="b">
        <f>COUNTIFS(
 tblCostChecklist[RequirementID],A1592,
 tblCostChecklist[PlayerPaid],TRUE
)&gt;0</f>
        <v>0</v>
      </c>
      <c r="I1592" s="49">
        <f t="shared" si="1"/>
        <v>12</v>
      </c>
      <c r="J1592" s="49">
        <f t="shared" si="2"/>
        <v>0</v>
      </c>
      <c r="K1592" s="49">
        <f t="shared" si="3"/>
        <v>12</v>
      </c>
      <c r="L1592" s="49" t="b">
        <f t="shared" si="4"/>
        <v>0</v>
      </c>
      <c r="M1592" s="88">
        <f t="shared" si="5"/>
        <v>0</v>
      </c>
    </row>
    <row r="1593" ht="14.25" customHeight="1">
      <c r="A1593" s="49" t="s">
        <v>2726</v>
      </c>
      <c r="B1593" s="49" t="str">
        <f>IFERROR(__xludf.DUMMYFUNCTION("REGEXEXTRACT(A1593,""^cost\.(.*)\.[^.]+\.[^.]+$"")"),"collection.pantry_1@2")</f>
        <v>collection.pantry_1@2</v>
      </c>
      <c r="C1593" s="49" t="str">
        <f t="array" ref="C1593">_xlfn.XLOOKUP(
 B1593,
 tblTargets[TargetID],
 tblTargets[DisplayName],
 ""
)</f>
        <v>Pantry 1 Lv 2</v>
      </c>
      <c r="D1593" s="49" t="str">
        <f t="array" ref="D1593">_xlfn.XLOOKUP(
 B1593,
 tblTargets[TargetID],
 tblTargets[TargetType],
 ""
)</f>
        <v>COLLECTION</v>
      </c>
      <c r="E1593" s="49" t="s">
        <v>701</v>
      </c>
      <c r="F1593" s="87">
        <f>IFERROR(__xludf.DUMMYFUNCTION("VALUE(REGEXEXTRACT(A1593,""([^.]+)$""))"),1.0)</f>
        <v>1</v>
      </c>
      <c r="G1593" s="49">
        <v>80.0</v>
      </c>
      <c r="H1593" s="26" t="b">
        <f>COUNTIFS(
 tblCostChecklist[RequirementID],A1593,
 tblCostChecklist[PlayerPaid],TRUE
)&gt;0</f>
        <v>0</v>
      </c>
      <c r="I1593" s="49">
        <f t="shared" si="1"/>
        <v>12</v>
      </c>
      <c r="J1593" s="49">
        <f t="shared" si="2"/>
        <v>0</v>
      </c>
      <c r="K1593" s="49">
        <f t="shared" si="3"/>
        <v>12</v>
      </c>
      <c r="L1593" s="49" t="b">
        <f t="shared" si="4"/>
        <v>0</v>
      </c>
      <c r="M1593" s="88">
        <f t="shared" si="5"/>
        <v>0</v>
      </c>
    </row>
    <row r="1594" ht="14.25" customHeight="1">
      <c r="A1594" s="49" t="s">
        <v>2727</v>
      </c>
      <c r="B1594" s="49" t="str">
        <f>IFERROR(__xludf.DUMMYFUNCTION("REGEXEXTRACT(A1594,""^cost\.(.*)\.[^.]+\.[^.]+$"")"),"collection.pantry_1@2")</f>
        <v>collection.pantry_1@2</v>
      </c>
      <c r="C1594" s="49" t="str">
        <f t="array" ref="C1594">_xlfn.XLOOKUP(
 B1594,
 tblTargets[TargetID],
 tblTargets[DisplayName],
 ""
)</f>
        <v>Pantry 1 Lv 2</v>
      </c>
      <c r="D1594" s="49" t="str">
        <f t="array" ref="D1594">_xlfn.XLOOKUP(
 B1594,
 tblTargets[TargetID],
 tblTargets[TargetType],
 ""
)</f>
        <v>COLLECTION</v>
      </c>
      <c r="E1594" s="49" t="s">
        <v>2714</v>
      </c>
      <c r="F1594" s="87">
        <f>IFERROR(__xludf.DUMMYFUNCTION("VALUE(REGEXEXTRACT(A1594,""([^.]+)$""))"),1.0)</f>
        <v>1</v>
      </c>
      <c r="G1594" s="49">
        <v>20.0</v>
      </c>
      <c r="H1594" s="26" t="b">
        <f>COUNTIFS(
 tblCostChecklist[RequirementID],A1594,
 tblCostChecklist[PlayerPaid],TRUE
)&gt;0</f>
        <v>0</v>
      </c>
      <c r="I1594" s="49">
        <f t="shared" si="1"/>
        <v>12</v>
      </c>
      <c r="J1594" s="49">
        <f t="shared" si="2"/>
        <v>0</v>
      </c>
      <c r="K1594" s="49">
        <f t="shared" si="3"/>
        <v>12</v>
      </c>
      <c r="L1594" s="49" t="b">
        <f t="shared" si="4"/>
        <v>0</v>
      </c>
      <c r="M1594" s="88">
        <f t="shared" si="5"/>
        <v>0</v>
      </c>
    </row>
    <row r="1595" ht="14.25" customHeight="1">
      <c r="A1595" s="49" t="s">
        <v>2728</v>
      </c>
      <c r="B1595" s="49" t="str">
        <f>IFERROR(__xludf.DUMMYFUNCTION("REGEXEXTRACT(A1595,""^cost\.(.*)\.[^.]+\.[^.]+$"")"),"collection.pantry_1@2")</f>
        <v>collection.pantry_1@2</v>
      </c>
      <c r="C1595" s="49" t="str">
        <f t="array" ref="C1595">_xlfn.XLOOKUP(
 B1595,
 tblTargets[TargetID],
 tblTargets[DisplayName],
 ""
)</f>
        <v>Pantry 1 Lv 2</v>
      </c>
      <c r="D1595" s="49" t="str">
        <f t="array" ref="D1595">_xlfn.XLOOKUP(
 B1595,
 tblTargets[TargetID],
 tblTargets[TargetType],
 ""
)</f>
        <v>COLLECTION</v>
      </c>
      <c r="E1595" s="49" t="s">
        <v>152</v>
      </c>
      <c r="F1595" s="87">
        <f>IFERROR(__xludf.DUMMYFUNCTION("VALUE(REGEXEXTRACT(A1595,""([^.]+)$""))"),1.0)</f>
        <v>1</v>
      </c>
      <c r="G1595" s="49">
        <v>20.0</v>
      </c>
      <c r="H1595" s="26" t="b">
        <f>COUNTIFS(
 tblCostChecklist[RequirementID],A1595,
 tblCostChecklist[PlayerPaid],TRUE
)&gt;0</f>
        <v>0</v>
      </c>
      <c r="I1595" s="49">
        <f t="shared" si="1"/>
        <v>12</v>
      </c>
      <c r="J1595" s="49">
        <f t="shared" si="2"/>
        <v>0</v>
      </c>
      <c r="K1595" s="49">
        <f t="shared" si="3"/>
        <v>12</v>
      </c>
      <c r="L1595" s="49" t="b">
        <f t="shared" si="4"/>
        <v>0</v>
      </c>
      <c r="M1595" s="88">
        <f t="shared" si="5"/>
        <v>0</v>
      </c>
    </row>
    <row r="1596" ht="14.25" customHeight="1">
      <c r="A1596" s="49" t="s">
        <v>2729</v>
      </c>
      <c r="B1596" s="49" t="str">
        <f>IFERROR(__xludf.DUMMYFUNCTION("REGEXEXTRACT(A1596,""^cost\.(.*)\.[^.]+\.[^.]+$"")"),"collection.pantry_1@2")</f>
        <v>collection.pantry_1@2</v>
      </c>
      <c r="C1596" s="49" t="str">
        <f t="array" ref="C1596">_xlfn.XLOOKUP(
 B1596,
 tblTargets[TargetID],
 tblTargets[DisplayName],
 ""
)</f>
        <v>Pantry 1 Lv 2</v>
      </c>
      <c r="D1596" s="49" t="str">
        <f t="array" ref="D1596">_xlfn.XLOOKUP(
 B1596,
 tblTargets[TargetID],
 tblTargets[TargetType],
 ""
)</f>
        <v>COLLECTION</v>
      </c>
      <c r="E1596" s="49" t="s">
        <v>443</v>
      </c>
      <c r="F1596" s="87">
        <f>IFERROR(__xludf.DUMMYFUNCTION("VALUE(REGEXEXTRACT(A1596,""([^.]+)$""))"),1.0)</f>
        <v>1</v>
      </c>
      <c r="G1596" s="49">
        <v>10.0</v>
      </c>
      <c r="H1596" s="26" t="b">
        <f>COUNTIFS(
 tblCostChecklist[RequirementID],A1596,
 tblCostChecklist[PlayerPaid],TRUE
)&gt;0</f>
        <v>0</v>
      </c>
      <c r="I1596" s="49">
        <f t="shared" si="1"/>
        <v>12</v>
      </c>
      <c r="J1596" s="49">
        <f t="shared" si="2"/>
        <v>0</v>
      </c>
      <c r="K1596" s="49">
        <f t="shared" si="3"/>
        <v>12</v>
      </c>
      <c r="L1596" s="49" t="b">
        <f t="shared" si="4"/>
        <v>0</v>
      </c>
      <c r="M1596" s="88">
        <f t="shared" si="5"/>
        <v>0</v>
      </c>
    </row>
    <row r="1597" ht="14.25" customHeight="1">
      <c r="A1597" s="49" t="s">
        <v>2730</v>
      </c>
      <c r="B1597" s="49" t="str">
        <f>IFERROR(__xludf.DUMMYFUNCTION("REGEXEXTRACT(A1597,""^cost\.(.*)\.[^.]+\.[^.]+$"")"),"collection.pantry_1@2")</f>
        <v>collection.pantry_1@2</v>
      </c>
      <c r="C1597" s="49" t="str">
        <f t="array" ref="C1597">_xlfn.XLOOKUP(
 B1597,
 tblTargets[TargetID],
 tblTargets[DisplayName],
 ""
)</f>
        <v>Pantry 1 Lv 2</v>
      </c>
      <c r="D1597" s="49" t="str">
        <f t="array" ref="D1597">_xlfn.XLOOKUP(
 B1597,
 tblTargets[TargetID],
 tblTargets[TargetType],
 ""
)</f>
        <v>COLLECTION</v>
      </c>
      <c r="E1597" s="49" t="s">
        <v>158</v>
      </c>
      <c r="F1597" s="87">
        <f>IFERROR(__xludf.DUMMYFUNCTION("VALUE(REGEXEXTRACT(A1597,""([^.]+)$""))"),1.0)</f>
        <v>1</v>
      </c>
      <c r="G1597" s="49">
        <v>20.0</v>
      </c>
      <c r="H1597" s="26" t="b">
        <f>COUNTIFS(
 tblCostChecklist[RequirementID],A1597,
 tblCostChecklist[PlayerPaid],TRUE
)&gt;0</f>
        <v>0</v>
      </c>
      <c r="I1597" s="49">
        <f t="shared" si="1"/>
        <v>12</v>
      </c>
      <c r="J1597" s="49">
        <f t="shared" si="2"/>
        <v>0</v>
      </c>
      <c r="K1597" s="49">
        <f t="shared" si="3"/>
        <v>12</v>
      </c>
      <c r="L1597" s="49" t="b">
        <f t="shared" si="4"/>
        <v>0</v>
      </c>
      <c r="M1597" s="88">
        <f t="shared" si="5"/>
        <v>0</v>
      </c>
    </row>
    <row r="1598" ht="14.25" customHeight="1">
      <c r="A1598" s="49" t="s">
        <v>2731</v>
      </c>
      <c r="B1598" s="49" t="str">
        <f>IFERROR(__xludf.DUMMYFUNCTION("REGEXEXTRACT(A1598,""^cost\.(.*)\.[^.]+\.[^.]+$"")"),"collection.pantry_1@2")</f>
        <v>collection.pantry_1@2</v>
      </c>
      <c r="C1598" s="49" t="str">
        <f t="array" ref="C1598">_xlfn.XLOOKUP(
 B1598,
 tblTargets[TargetID],
 tblTargets[DisplayName],
 ""
)</f>
        <v>Pantry 1 Lv 2</v>
      </c>
      <c r="D1598" s="49" t="str">
        <f t="array" ref="D1598">_xlfn.XLOOKUP(
 B1598,
 tblTargets[TargetID],
 tblTargets[TargetType],
 ""
)</f>
        <v>COLLECTION</v>
      </c>
      <c r="E1598" s="49" t="s">
        <v>2719</v>
      </c>
      <c r="F1598" s="87">
        <f>IFERROR(__xludf.DUMMYFUNCTION("VALUE(REGEXEXTRACT(A1598,""([^.]+)$""))"),1.0)</f>
        <v>1</v>
      </c>
      <c r="G1598" s="49">
        <v>10.0</v>
      </c>
      <c r="H1598" s="26" t="b">
        <f>COUNTIFS(
 tblCostChecklist[RequirementID],A1598,
 tblCostChecklist[PlayerPaid],TRUE
)&gt;0</f>
        <v>0</v>
      </c>
      <c r="I1598" s="49">
        <f t="shared" si="1"/>
        <v>12</v>
      </c>
      <c r="J1598" s="49">
        <f t="shared" si="2"/>
        <v>0</v>
      </c>
      <c r="K1598" s="49">
        <f t="shared" si="3"/>
        <v>12</v>
      </c>
      <c r="L1598" s="49" t="b">
        <f t="shared" si="4"/>
        <v>0</v>
      </c>
      <c r="M1598" s="88">
        <f t="shared" si="5"/>
        <v>0</v>
      </c>
    </row>
    <row r="1599" ht="14.25" customHeight="1">
      <c r="A1599" s="49" t="s">
        <v>2732</v>
      </c>
      <c r="B1599" s="49" t="str">
        <f>IFERROR(__xludf.DUMMYFUNCTION("REGEXEXTRACT(A1599,""^cost\.(.*)\.[^.]+\.[^.]+$"")"),"collection.pantry_1@3")</f>
        <v>collection.pantry_1@3</v>
      </c>
      <c r="C1599" s="49" t="str">
        <f t="array" ref="C1599">_xlfn.XLOOKUP(
 B1599,
 tblTargets[TargetID],
 tblTargets[DisplayName],
 ""
)</f>
        <v>Pantry 1 Lv 3</v>
      </c>
      <c r="D1599" s="49" t="str">
        <f t="array" ref="D1599">_xlfn.XLOOKUP(
 B1599,
 tblTargets[TargetID],
 tblTargets[TargetType],
 ""
)</f>
        <v>COLLECTION</v>
      </c>
      <c r="E1599" s="49" t="s">
        <v>2704</v>
      </c>
      <c r="F1599" s="87">
        <f>IFERROR(__xludf.DUMMYFUNCTION("VALUE(REGEXEXTRACT(A1599,""([^.]+)$""))"),1.0)</f>
        <v>1</v>
      </c>
      <c r="G1599" s="49">
        <v>15.0</v>
      </c>
      <c r="H1599" s="26" t="b">
        <f>COUNTIFS(
 tblCostChecklist[RequirementID],A1599,
 tblCostChecklist[PlayerPaid],TRUE
)&gt;0</f>
        <v>0</v>
      </c>
      <c r="I1599" s="49">
        <f t="shared" si="1"/>
        <v>12</v>
      </c>
      <c r="J1599" s="49">
        <f t="shared" si="2"/>
        <v>0</v>
      </c>
      <c r="K1599" s="49">
        <f t="shared" si="3"/>
        <v>12</v>
      </c>
      <c r="L1599" s="49" t="b">
        <f t="shared" si="4"/>
        <v>0</v>
      </c>
      <c r="M1599" s="88">
        <f t="shared" si="5"/>
        <v>0</v>
      </c>
    </row>
    <row r="1600" ht="14.25" customHeight="1">
      <c r="A1600" s="49" t="s">
        <v>2733</v>
      </c>
      <c r="B1600" s="49" t="str">
        <f>IFERROR(__xludf.DUMMYFUNCTION("REGEXEXTRACT(A1600,""^cost\.(.*)\.[^.]+\.[^.]+$"")"),"collection.pantry_1@3")</f>
        <v>collection.pantry_1@3</v>
      </c>
      <c r="C1600" s="49" t="str">
        <f t="array" ref="C1600">_xlfn.XLOOKUP(
 B1600,
 tblTargets[TargetID],
 tblTargets[DisplayName],
 ""
)</f>
        <v>Pantry 1 Lv 3</v>
      </c>
      <c r="D1600" s="49" t="str">
        <f t="array" ref="D1600">_xlfn.XLOOKUP(
 B1600,
 tblTargets[TargetID],
 tblTargets[TargetType],
 ""
)</f>
        <v>COLLECTION</v>
      </c>
      <c r="E1600" s="49" t="s">
        <v>367</v>
      </c>
      <c r="F1600" s="87">
        <f>IFERROR(__xludf.DUMMYFUNCTION("VALUE(REGEXEXTRACT(A1600,""([^.]+)$""))"),1.0)</f>
        <v>1</v>
      </c>
      <c r="G1600" s="49">
        <v>30.0</v>
      </c>
      <c r="H1600" s="26" t="b">
        <f>COUNTIFS(
 tblCostChecklist[RequirementID],A1600,
 tblCostChecklist[PlayerPaid],TRUE
)&gt;0</f>
        <v>0</v>
      </c>
      <c r="I1600" s="49">
        <f t="shared" si="1"/>
        <v>12</v>
      </c>
      <c r="J1600" s="49">
        <f t="shared" si="2"/>
        <v>0</v>
      </c>
      <c r="K1600" s="49">
        <f t="shared" si="3"/>
        <v>12</v>
      </c>
      <c r="L1600" s="49" t="b">
        <f t="shared" si="4"/>
        <v>0</v>
      </c>
      <c r="M1600" s="88">
        <f t="shared" si="5"/>
        <v>0</v>
      </c>
    </row>
    <row r="1601" ht="14.25" customHeight="1">
      <c r="A1601" s="49" t="s">
        <v>2734</v>
      </c>
      <c r="B1601" s="49" t="str">
        <f>IFERROR(__xludf.DUMMYFUNCTION("REGEXEXTRACT(A1601,""^cost\.(.*)\.[^.]+\.[^.]+$"")"),"collection.pantry_1@3")</f>
        <v>collection.pantry_1@3</v>
      </c>
      <c r="C1601" s="49" t="str">
        <f t="array" ref="C1601">_xlfn.XLOOKUP(
 B1601,
 tblTargets[TargetID],
 tblTargets[DisplayName],
 ""
)</f>
        <v>Pantry 1 Lv 3</v>
      </c>
      <c r="D1601" s="49" t="str">
        <f t="array" ref="D1601">_xlfn.XLOOKUP(
 B1601,
 tblTargets[TargetID],
 tblTargets[TargetType],
 ""
)</f>
        <v>COLLECTION</v>
      </c>
      <c r="E1601" s="49" t="s">
        <v>2707</v>
      </c>
      <c r="F1601" s="87">
        <f>IFERROR(__xludf.DUMMYFUNCTION("VALUE(REGEXEXTRACT(A1601,""([^.]+)$""))"),1.0)</f>
        <v>1</v>
      </c>
      <c r="G1601" s="49">
        <v>30.0</v>
      </c>
      <c r="H1601" s="26" t="b">
        <f>COUNTIFS(
 tblCostChecklist[RequirementID],A1601,
 tblCostChecklist[PlayerPaid],TRUE
)&gt;0</f>
        <v>0</v>
      </c>
      <c r="I1601" s="49">
        <f t="shared" si="1"/>
        <v>12</v>
      </c>
      <c r="J1601" s="49">
        <f t="shared" si="2"/>
        <v>0</v>
      </c>
      <c r="K1601" s="49">
        <f t="shared" si="3"/>
        <v>12</v>
      </c>
      <c r="L1601" s="49" t="b">
        <f t="shared" si="4"/>
        <v>0</v>
      </c>
      <c r="M1601" s="88">
        <f t="shared" si="5"/>
        <v>0</v>
      </c>
    </row>
    <row r="1602" ht="14.25" customHeight="1">
      <c r="A1602" s="49" t="s">
        <v>2735</v>
      </c>
      <c r="B1602" s="49" t="str">
        <f>IFERROR(__xludf.DUMMYFUNCTION("REGEXEXTRACT(A1602,""^cost\.(.*)\.[^.]+\.[^.]+$"")"),"collection.pantry_1@3")</f>
        <v>collection.pantry_1@3</v>
      </c>
      <c r="C1602" s="49" t="str">
        <f t="array" ref="C1602">_xlfn.XLOOKUP(
 B1602,
 tblTargets[TargetID],
 tblTargets[DisplayName],
 ""
)</f>
        <v>Pantry 1 Lv 3</v>
      </c>
      <c r="D1602" s="49" t="str">
        <f t="array" ref="D1602">_xlfn.XLOOKUP(
 B1602,
 tblTargets[TargetID],
 tblTargets[TargetType],
 ""
)</f>
        <v>COLLECTION</v>
      </c>
      <c r="E1602" s="49" t="s">
        <v>2709</v>
      </c>
      <c r="F1602" s="87">
        <f>IFERROR(__xludf.DUMMYFUNCTION("VALUE(REGEXEXTRACT(A1602,""([^.]+)$""))"),1.0)</f>
        <v>1</v>
      </c>
      <c r="G1602" s="49">
        <v>120.0</v>
      </c>
      <c r="H1602" s="26" t="b">
        <f>COUNTIFS(
 tblCostChecklist[RequirementID],A1602,
 tblCostChecklist[PlayerPaid],TRUE
)&gt;0</f>
        <v>0</v>
      </c>
      <c r="I1602" s="49">
        <f t="shared" si="1"/>
        <v>12</v>
      </c>
      <c r="J1602" s="49">
        <f t="shared" si="2"/>
        <v>0</v>
      </c>
      <c r="K1602" s="49">
        <f t="shared" si="3"/>
        <v>12</v>
      </c>
      <c r="L1602" s="49" t="b">
        <f t="shared" si="4"/>
        <v>0</v>
      </c>
      <c r="M1602" s="88">
        <f t="shared" si="5"/>
        <v>0</v>
      </c>
    </row>
    <row r="1603" ht="14.25" customHeight="1">
      <c r="A1603" s="49" t="s">
        <v>2736</v>
      </c>
      <c r="B1603" s="49" t="str">
        <f>IFERROR(__xludf.DUMMYFUNCTION("REGEXEXTRACT(A1603,""^cost\.(.*)\.[^.]+\.[^.]+$"")"),"collection.pantry_1@3")</f>
        <v>collection.pantry_1@3</v>
      </c>
      <c r="C1603" s="49" t="str">
        <f t="array" ref="C1603">_xlfn.XLOOKUP(
 B1603,
 tblTargets[TargetID],
 tblTargets[DisplayName],
 ""
)</f>
        <v>Pantry 1 Lv 3</v>
      </c>
      <c r="D1603" s="49" t="str">
        <f t="array" ref="D1603">_xlfn.XLOOKUP(
 B1603,
 tblTargets[TargetID],
 tblTargets[TargetType],
 ""
)</f>
        <v>COLLECTION</v>
      </c>
      <c r="E1603" s="49" t="s">
        <v>360</v>
      </c>
      <c r="F1603" s="87">
        <f>IFERROR(__xludf.DUMMYFUNCTION("VALUE(REGEXEXTRACT(A1603,""([^.]+)$""))"),1.0)</f>
        <v>1</v>
      </c>
      <c r="G1603" s="49">
        <v>30.0</v>
      </c>
      <c r="H1603" s="26" t="b">
        <f>COUNTIFS(
 tblCostChecklist[RequirementID],A1603,
 tblCostChecklist[PlayerPaid],TRUE
)&gt;0</f>
        <v>0</v>
      </c>
      <c r="I1603" s="49">
        <f t="shared" si="1"/>
        <v>12</v>
      </c>
      <c r="J1603" s="49">
        <f t="shared" si="2"/>
        <v>0</v>
      </c>
      <c r="K1603" s="49">
        <f t="shared" si="3"/>
        <v>12</v>
      </c>
      <c r="L1603" s="49" t="b">
        <f t="shared" si="4"/>
        <v>0</v>
      </c>
      <c r="M1603" s="88">
        <f t="shared" si="5"/>
        <v>0</v>
      </c>
    </row>
    <row r="1604" ht="14.25" customHeight="1">
      <c r="A1604" s="49" t="s">
        <v>2737</v>
      </c>
      <c r="B1604" s="49" t="str">
        <f>IFERROR(__xludf.DUMMYFUNCTION("REGEXEXTRACT(A1604,""^cost\.(.*)\.[^.]+\.[^.]+$"")"),"collection.pantry_1@3")</f>
        <v>collection.pantry_1@3</v>
      </c>
      <c r="C1604" s="49" t="str">
        <f t="array" ref="C1604">_xlfn.XLOOKUP(
 B1604,
 tblTargets[TargetID],
 tblTargets[DisplayName],
 ""
)</f>
        <v>Pantry 1 Lv 3</v>
      </c>
      <c r="D1604" s="49" t="str">
        <f t="array" ref="D1604">_xlfn.XLOOKUP(
 B1604,
 tblTargets[TargetID],
 tblTargets[TargetType],
 ""
)</f>
        <v>COLLECTION</v>
      </c>
      <c r="E1604" s="49" t="s">
        <v>423</v>
      </c>
      <c r="F1604" s="87">
        <f>IFERROR(__xludf.DUMMYFUNCTION("VALUE(REGEXEXTRACT(A1604,""([^.]+)$""))"),1.0)</f>
        <v>1</v>
      </c>
      <c r="G1604" s="49">
        <v>30.0</v>
      </c>
      <c r="H1604" s="26" t="b">
        <f>COUNTIFS(
 tblCostChecklist[RequirementID],A1604,
 tblCostChecklist[PlayerPaid],TRUE
)&gt;0</f>
        <v>0</v>
      </c>
      <c r="I1604" s="49">
        <f t="shared" si="1"/>
        <v>12</v>
      </c>
      <c r="J1604" s="49">
        <f t="shared" si="2"/>
        <v>0</v>
      </c>
      <c r="K1604" s="49">
        <f t="shared" si="3"/>
        <v>12</v>
      </c>
      <c r="L1604" s="49" t="b">
        <f t="shared" si="4"/>
        <v>0</v>
      </c>
      <c r="M1604" s="88">
        <f t="shared" si="5"/>
        <v>0</v>
      </c>
    </row>
    <row r="1605" ht="14.25" customHeight="1">
      <c r="A1605" s="49" t="s">
        <v>2738</v>
      </c>
      <c r="B1605" s="49" t="str">
        <f>IFERROR(__xludf.DUMMYFUNCTION("REGEXEXTRACT(A1605,""^cost\.(.*)\.[^.]+\.[^.]+$"")"),"collection.pantry_1@3")</f>
        <v>collection.pantry_1@3</v>
      </c>
      <c r="C1605" s="49" t="str">
        <f t="array" ref="C1605">_xlfn.XLOOKUP(
 B1605,
 tblTargets[TargetID],
 tblTargets[DisplayName],
 ""
)</f>
        <v>Pantry 1 Lv 3</v>
      </c>
      <c r="D1605" s="49" t="str">
        <f t="array" ref="D1605">_xlfn.XLOOKUP(
 B1605,
 tblTargets[TargetID],
 tblTargets[TargetType],
 ""
)</f>
        <v>COLLECTION</v>
      </c>
      <c r="E1605" s="49" t="s">
        <v>701</v>
      </c>
      <c r="F1605" s="87">
        <f>IFERROR(__xludf.DUMMYFUNCTION("VALUE(REGEXEXTRACT(A1605,""([^.]+)$""))"),1.0)</f>
        <v>1</v>
      </c>
      <c r="G1605" s="49">
        <v>120.0</v>
      </c>
      <c r="H1605" s="26" t="b">
        <f>COUNTIFS(
 tblCostChecklist[RequirementID],A1605,
 tblCostChecklist[PlayerPaid],TRUE
)&gt;0</f>
        <v>0</v>
      </c>
      <c r="I1605" s="49">
        <f t="shared" si="1"/>
        <v>12</v>
      </c>
      <c r="J1605" s="49">
        <f t="shared" si="2"/>
        <v>0</v>
      </c>
      <c r="K1605" s="49">
        <f t="shared" si="3"/>
        <v>12</v>
      </c>
      <c r="L1605" s="49" t="b">
        <f t="shared" si="4"/>
        <v>0</v>
      </c>
      <c r="M1605" s="88">
        <f t="shared" si="5"/>
        <v>0</v>
      </c>
    </row>
    <row r="1606" ht="14.25" customHeight="1">
      <c r="A1606" s="49" t="s">
        <v>2739</v>
      </c>
      <c r="B1606" s="49" t="str">
        <f>IFERROR(__xludf.DUMMYFUNCTION("REGEXEXTRACT(A1606,""^cost\.(.*)\.[^.]+\.[^.]+$"")"),"collection.pantry_1@3")</f>
        <v>collection.pantry_1@3</v>
      </c>
      <c r="C1606" s="49" t="str">
        <f t="array" ref="C1606">_xlfn.XLOOKUP(
 B1606,
 tblTargets[TargetID],
 tblTargets[DisplayName],
 ""
)</f>
        <v>Pantry 1 Lv 3</v>
      </c>
      <c r="D1606" s="49" t="str">
        <f t="array" ref="D1606">_xlfn.XLOOKUP(
 B1606,
 tblTargets[TargetID],
 tblTargets[TargetType],
 ""
)</f>
        <v>COLLECTION</v>
      </c>
      <c r="E1606" s="49" t="s">
        <v>2714</v>
      </c>
      <c r="F1606" s="87">
        <f>IFERROR(__xludf.DUMMYFUNCTION("VALUE(REGEXEXTRACT(A1606,""([^.]+)$""))"),1.0)</f>
        <v>1</v>
      </c>
      <c r="G1606" s="49">
        <v>30.0</v>
      </c>
      <c r="H1606" s="26" t="b">
        <f>COUNTIFS(
 tblCostChecklist[RequirementID],A1606,
 tblCostChecklist[PlayerPaid],TRUE
)&gt;0</f>
        <v>0</v>
      </c>
      <c r="I1606" s="49">
        <f t="shared" si="1"/>
        <v>12</v>
      </c>
      <c r="J1606" s="49">
        <f t="shared" si="2"/>
        <v>0</v>
      </c>
      <c r="K1606" s="49">
        <f t="shared" si="3"/>
        <v>12</v>
      </c>
      <c r="L1606" s="49" t="b">
        <f t="shared" si="4"/>
        <v>0</v>
      </c>
      <c r="M1606" s="88">
        <f t="shared" si="5"/>
        <v>0</v>
      </c>
    </row>
    <row r="1607" ht="14.25" customHeight="1">
      <c r="A1607" s="49" t="s">
        <v>2740</v>
      </c>
      <c r="B1607" s="49" t="str">
        <f>IFERROR(__xludf.DUMMYFUNCTION("REGEXEXTRACT(A1607,""^cost\.(.*)\.[^.]+\.[^.]+$"")"),"collection.pantry_1@3")</f>
        <v>collection.pantry_1@3</v>
      </c>
      <c r="C1607" s="49" t="str">
        <f t="array" ref="C1607">_xlfn.XLOOKUP(
 B1607,
 tblTargets[TargetID],
 tblTargets[DisplayName],
 ""
)</f>
        <v>Pantry 1 Lv 3</v>
      </c>
      <c r="D1607" s="49" t="str">
        <f t="array" ref="D1607">_xlfn.XLOOKUP(
 B1607,
 tblTargets[TargetID],
 tblTargets[TargetType],
 ""
)</f>
        <v>COLLECTION</v>
      </c>
      <c r="E1607" s="49" t="s">
        <v>152</v>
      </c>
      <c r="F1607" s="87">
        <f>IFERROR(__xludf.DUMMYFUNCTION("VALUE(REGEXEXTRACT(A1607,""([^.]+)$""))"),1.0)</f>
        <v>1</v>
      </c>
      <c r="G1607" s="49">
        <v>30.0</v>
      </c>
      <c r="H1607" s="26" t="b">
        <f>COUNTIFS(
 tblCostChecklist[RequirementID],A1607,
 tblCostChecklist[PlayerPaid],TRUE
)&gt;0</f>
        <v>0</v>
      </c>
      <c r="I1607" s="49">
        <f t="shared" si="1"/>
        <v>12</v>
      </c>
      <c r="J1607" s="49">
        <f t="shared" si="2"/>
        <v>0</v>
      </c>
      <c r="K1607" s="49">
        <f t="shared" si="3"/>
        <v>12</v>
      </c>
      <c r="L1607" s="49" t="b">
        <f t="shared" si="4"/>
        <v>0</v>
      </c>
      <c r="M1607" s="88">
        <f t="shared" si="5"/>
        <v>0</v>
      </c>
    </row>
    <row r="1608" ht="14.25" customHeight="1">
      <c r="A1608" s="49" t="s">
        <v>2741</v>
      </c>
      <c r="B1608" s="49" t="str">
        <f>IFERROR(__xludf.DUMMYFUNCTION("REGEXEXTRACT(A1608,""^cost\.(.*)\.[^.]+\.[^.]+$"")"),"collection.pantry_1@3")</f>
        <v>collection.pantry_1@3</v>
      </c>
      <c r="C1608" s="49" t="str">
        <f t="array" ref="C1608">_xlfn.XLOOKUP(
 B1608,
 tblTargets[TargetID],
 tblTargets[DisplayName],
 ""
)</f>
        <v>Pantry 1 Lv 3</v>
      </c>
      <c r="D1608" s="49" t="str">
        <f t="array" ref="D1608">_xlfn.XLOOKUP(
 B1608,
 tblTargets[TargetID],
 tblTargets[TargetType],
 ""
)</f>
        <v>COLLECTION</v>
      </c>
      <c r="E1608" s="49" t="s">
        <v>443</v>
      </c>
      <c r="F1608" s="87">
        <f>IFERROR(__xludf.DUMMYFUNCTION("VALUE(REGEXEXTRACT(A1608,""([^.]+)$""))"),1.0)</f>
        <v>1</v>
      </c>
      <c r="G1608" s="49">
        <v>15.0</v>
      </c>
      <c r="H1608" s="26" t="b">
        <f>COUNTIFS(
 tblCostChecklist[RequirementID],A1608,
 tblCostChecklist[PlayerPaid],TRUE
)&gt;0</f>
        <v>0</v>
      </c>
      <c r="I1608" s="49">
        <f t="shared" si="1"/>
        <v>12</v>
      </c>
      <c r="J1608" s="49">
        <f t="shared" si="2"/>
        <v>0</v>
      </c>
      <c r="K1608" s="49">
        <f t="shared" si="3"/>
        <v>12</v>
      </c>
      <c r="L1608" s="49" t="b">
        <f t="shared" si="4"/>
        <v>0</v>
      </c>
      <c r="M1608" s="88">
        <f t="shared" si="5"/>
        <v>0</v>
      </c>
    </row>
    <row r="1609" ht="14.25" customHeight="1">
      <c r="A1609" s="49" t="s">
        <v>2742</v>
      </c>
      <c r="B1609" s="49" t="str">
        <f>IFERROR(__xludf.DUMMYFUNCTION("REGEXEXTRACT(A1609,""^cost\.(.*)\.[^.]+\.[^.]+$"")"),"collection.pantry_1@3")</f>
        <v>collection.pantry_1@3</v>
      </c>
      <c r="C1609" s="49" t="str">
        <f t="array" ref="C1609">_xlfn.XLOOKUP(
 B1609,
 tblTargets[TargetID],
 tblTargets[DisplayName],
 ""
)</f>
        <v>Pantry 1 Lv 3</v>
      </c>
      <c r="D1609" s="49" t="str">
        <f t="array" ref="D1609">_xlfn.XLOOKUP(
 B1609,
 tblTargets[TargetID],
 tblTargets[TargetType],
 ""
)</f>
        <v>COLLECTION</v>
      </c>
      <c r="E1609" s="49" t="s">
        <v>158</v>
      </c>
      <c r="F1609" s="87">
        <f>IFERROR(__xludf.DUMMYFUNCTION("VALUE(REGEXEXTRACT(A1609,""([^.]+)$""))"),1.0)</f>
        <v>1</v>
      </c>
      <c r="G1609" s="49">
        <v>30.0</v>
      </c>
      <c r="H1609" s="26" t="b">
        <f>COUNTIFS(
 tblCostChecklist[RequirementID],A1609,
 tblCostChecklist[PlayerPaid],TRUE
)&gt;0</f>
        <v>0</v>
      </c>
      <c r="I1609" s="49">
        <f t="shared" si="1"/>
        <v>12</v>
      </c>
      <c r="J1609" s="49">
        <f t="shared" si="2"/>
        <v>0</v>
      </c>
      <c r="K1609" s="49">
        <f t="shared" si="3"/>
        <v>12</v>
      </c>
      <c r="L1609" s="49" t="b">
        <f t="shared" si="4"/>
        <v>0</v>
      </c>
      <c r="M1609" s="88">
        <f t="shared" si="5"/>
        <v>0</v>
      </c>
    </row>
    <row r="1610" ht="14.25" customHeight="1">
      <c r="A1610" s="49" t="s">
        <v>2743</v>
      </c>
      <c r="B1610" s="49" t="str">
        <f>IFERROR(__xludf.DUMMYFUNCTION("REGEXEXTRACT(A1610,""^cost\.(.*)\.[^.]+\.[^.]+$"")"),"collection.pantry_1@3")</f>
        <v>collection.pantry_1@3</v>
      </c>
      <c r="C1610" s="49" t="str">
        <f t="array" ref="C1610">_xlfn.XLOOKUP(
 B1610,
 tblTargets[TargetID],
 tblTargets[DisplayName],
 ""
)</f>
        <v>Pantry 1 Lv 3</v>
      </c>
      <c r="D1610" s="49" t="str">
        <f t="array" ref="D1610">_xlfn.XLOOKUP(
 B1610,
 tblTargets[TargetID],
 tblTargets[TargetType],
 ""
)</f>
        <v>COLLECTION</v>
      </c>
      <c r="E1610" s="49" t="s">
        <v>2719</v>
      </c>
      <c r="F1610" s="87">
        <f>IFERROR(__xludf.DUMMYFUNCTION("VALUE(REGEXEXTRACT(A1610,""([^.]+)$""))"),1.0)</f>
        <v>1</v>
      </c>
      <c r="G1610" s="49">
        <v>15.0</v>
      </c>
      <c r="H1610" s="26" t="b">
        <f>COUNTIFS(
 tblCostChecklist[RequirementID],A1610,
 tblCostChecklist[PlayerPaid],TRUE
)&gt;0</f>
        <v>0</v>
      </c>
      <c r="I1610" s="49">
        <f t="shared" si="1"/>
        <v>12</v>
      </c>
      <c r="J1610" s="49">
        <f t="shared" si="2"/>
        <v>0</v>
      </c>
      <c r="K1610" s="49">
        <f t="shared" si="3"/>
        <v>12</v>
      </c>
      <c r="L1610" s="49" t="b">
        <f t="shared" si="4"/>
        <v>0</v>
      </c>
      <c r="M1610" s="88">
        <f t="shared" si="5"/>
        <v>0</v>
      </c>
    </row>
    <row r="1611" ht="14.25" customHeight="1">
      <c r="A1611" s="49" t="s">
        <v>2744</v>
      </c>
      <c r="B1611" s="49" t="str">
        <f>IFERROR(__xludf.DUMMYFUNCTION("REGEXEXTRACT(A1611,""^cost\.(.*)\.[^.]+\.[^.]+$"")"),"collection.pantry_1@4")</f>
        <v>collection.pantry_1@4</v>
      </c>
      <c r="C1611" s="49" t="str">
        <f t="array" ref="C1611">_xlfn.XLOOKUP(
 B1611,
 tblTargets[TargetID],
 tblTargets[DisplayName],
 ""
)</f>
        <v>Pantry 1 Lv 4</v>
      </c>
      <c r="D1611" s="49" t="str">
        <f t="array" ref="D1611">_xlfn.XLOOKUP(
 B1611,
 tblTargets[TargetID],
 tblTargets[TargetType],
 ""
)</f>
        <v>COLLECTION</v>
      </c>
      <c r="E1611" s="49" t="s">
        <v>2704</v>
      </c>
      <c r="F1611" s="87">
        <f>IFERROR(__xludf.DUMMYFUNCTION("VALUE(REGEXEXTRACT(A1611,""([^.]+)$""))"),1.0)</f>
        <v>1</v>
      </c>
      <c r="G1611" s="49">
        <v>20.0</v>
      </c>
      <c r="H1611" s="26" t="b">
        <f>COUNTIFS(
 tblCostChecklist[RequirementID],A1611,
 tblCostChecklist[PlayerPaid],TRUE
)&gt;0</f>
        <v>0</v>
      </c>
      <c r="I1611" s="49">
        <f t="shared" si="1"/>
        <v>12</v>
      </c>
      <c r="J1611" s="49">
        <f t="shared" si="2"/>
        <v>0</v>
      </c>
      <c r="K1611" s="49">
        <f t="shared" si="3"/>
        <v>12</v>
      </c>
      <c r="L1611" s="49" t="b">
        <f t="shared" si="4"/>
        <v>0</v>
      </c>
      <c r="M1611" s="88">
        <f t="shared" si="5"/>
        <v>0</v>
      </c>
    </row>
    <row r="1612" ht="14.25" customHeight="1">
      <c r="A1612" s="49" t="s">
        <v>2745</v>
      </c>
      <c r="B1612" s="49" t="str">
        <f>IFERROR(__xludf.DUMMYFUNCTION("REGEXEXTRACT(A1612,""^cost\.(.*)\.[^.]+\.[^.]+$"")"),"collection.pantry_1@4")</f>
        <v>collection.pantry_1@4</v>
      </c>
      <c r="C1612" s="49" t="str">
        <f t="array" ref="C1612">_xlfn.XLOOKUP(
 B1612,
 tblTargets[TargetID],
 tblTargets[DisplayName],
 ""
)</f>
        <v>Pantry 1 Lv 4</v>
      </c>
      <c r="D1612" s="49" t="str">
        <f t="array" ref="D1612">_xlfn.XLOOKUP(
 B1612,
 tblTargets[TargetID],
 tblTargets[TargetType],
 ""
)</f>
        <v>COLLECTION</v>
      </c>
      <c r="E1612" s="49" t="s">
        <v>367</v>
      </c>
      <c r="F1612" s="87">
        <f>IFERROR(__xludf.DUMMYFUNCTION("VALUE(REGEXEXTRACT(A1612,""([^.]+)$""))"),1.0)</f>
        <v>1</v>
      </c>
      <c r="G1612" s="49">
        <v>40.0</v>
      </c>
      <c r="H1612" s="26" t="b">
        <f>COUNTIFS(
 tblCostChecklist[RequirementID],A1612,
 tblCostChecklist[PlayerPaid],TRUE
)&gt;0</f>
        <v>0</v>
      </c>
      <c r="I1612" s="49">
        <f t="shared" si="1"/>
        <v>12</v>
      </c>
      <c r="J1612" s="49">
        <f t="shared" si="2"/>
        <v>0</v>
      </c>
      <c r="K1612" s="49">
        <f t="shared" si="3"/>
        <v>12</v>
      </c>
      <c r="L1612" s="49" t="b">
        <f t="shared" si="4"/>
        <v>0</v>
      </c>
      <c r="M1612" s="88">
        <f t="shared" si="5"/>
        <v>0</v>
      </c>
    </row>
    <row r="1613" ht="14.25" customHeight="1">
      <c r="A1613" s="49" t="s">
        <v>2746</v>
      </c>
      <c r="B1613" s="49" t="str">
        <f>IFERROR(__xludf.DUMMYFUNCTION("REGEXEXTRACT(A1613,""^cost\.(.*)\.[^.]+\.[^.]+$"")"),"collection.pantry_1@4")</f>
        <v>collection.pantry_1@4</v>
      </c>
      <c r="C1613" s="49" t="str">
        <f t="array" ref="C1613">_xlfn.XLOOKUP(
 B1613,
 tblTargets[TargetID],
 tblTargets[DisplayName],
 ""
)</f>
        <v>Pantry 1 Lv 4</v>
      </c>
      <c r="D1613" s="49" t="str">
        <f t="array" ref="D1613">_xlfn.XLOOKUP(
 B1613,
 tblTargets[TargetID],
 tblTargets[TargetType],
 ""
)</f>
        <v>COLLECTION</v>
      </c>
      <c r="E1613" s="49" t="s">
        <v>2707</v>
      </c>
      <c r="F1613" s="87">
        <f>IFERROR(__xludf.DUMMYFUNCTION("VALUE(REGEXEXTRACT(A1613,""([^.]+)$""))"),1.0)</f>
        <v>1</v>
      </c>
      <c r="G1613" s="49">
        <v>40.0</v>
      </c>
      <c r="H1613" s="26" t="b">
        <f>COUNTIFS(
 tblCostChecklist[RequirementID],A1613,
 tblCostChecklist[PlayerPaid],TRUE
)&gt;0</f>
        <v>0</v>
      </c>
      <c r="I1613" s="49">
        <f t="shared" si="1"/>
        <v>12</v>
      </c>
      <c r="J1613" s="49">
        <f t="shared" si="2"/>
        <v>0</v>
      </c>
      <c r="K1613" s="49">
        <f t="shared" si="3"/>
        <v>12</v>
      </c>
      <c r="L1613" s="49" t="b">
        <f t="shared" si="4"/>
        <v>0</v>
      </c>
      <c r="M1613" s="88">
        <f t="shared" si="5"/>
        <v>0</v>
      </c>
    </row>
    <row r="1614" ht="14.25" customHeight="1">
      <c r="A1614" s="49" t="s">
        <v>2747</v>
      </c>
      <c r="B1614" s="49" t="str">
        <f>IFERROR(__xludf.DUMMYFUNCTION("REGEXEXTRACT(A1614,""^cost\.(.*)\.[^.]+\.[^.]+$"")"),"collection.pantry_1@4")</f>
        <v>collection.pantry_1@4</v>
      </c>
      <c r="C1614" s="49" t="str">
        <f t="array" ref="C1614">_xlfn.XLOOKUP(
 B1614,
 tblTargets[TargetID],
 tblTargets[DisplayName],
 ""
)</f>
        <v>Pantry 1 Lv 4</v>
      </c>
      <c r="D1614" s="49" t="str">
        <f t="array" ref="D1614">_xlfn.XLOOKUP(
 B1614,
 tblTargets[TargetID],
 tblTargets[TargetType],
 ""
)</f>
        <v>COLLECTION</v>
      </c>
      <c r="E1614" s="49" t="s">
        <v>2709</v>
      </c>
      <c r="F1614" s="87">
        <f>IFERROR(__xludf.DUMMYFUNCTION("VALUE(REGEXEXTRACT(A1614,""([^.]+)$""))"),1.0)</f>
        <v>1</v>
      </c>
      <c r="G1614" s="49">
        <v>160.0</v>
      </c>
      <c r="H1614" s="26" t="b">
        <f>COUNTIFS(
 tblCostChecklist[RequirementID],A1614,
 tblCostChecklist[PlayerPaid],TRUE
)&gt;0</f>
        <v>0</v>
      </c>
      <c r="I1614" s="49">
        <f t="shared" si="1"/>
        <v>12</v>
      </c>
      <c r="J1614" s="49">
        <f t="shared" si="2"/>
        <v>0</v>
      </c>
      <c r="K1614" s="49">
        <f t="shared" si="3"/>
        <v>12</v>
      </c>
      <c r="L1614" s="49" t="b">
        <f t="shared" si="4"/>
        <v>0</v>
      </c>
      <c r="M1614" s="88">
        <f t="shared" si="5"/>
        <v>0</v>
      </c>
    </row>
    <row r="1615" ht="14.25" customHeight="1">
      <c r="A1615" s="49" t="s">
        <v>2748</v>
      </c>
      <c r="B1615" s="49" t="str">
        <f>IFERROR(__xludf.DUMMYFUNCTION("REGEXEXTRACT(A1615,""^cost\.(.*)\.[^.]+\.[^.]+$"")"),"collection.pantry_1@4")</f>
        <v>collection.pantry_1@4</v>
      </c>
      <c r="C1615" s="49" t="str">
        <f t="array" ref="C1615">_xlfn.XLOOKUP(
 B1615,
 tblTargets[TargetID],
 tblTargets[DisplayName],
 ""
)</f>
        <v>Pantry 1 Lv 4</v>
      </c>
      <c r="D1615" s="49" t="str">
        <f t="array" ref="D1615">_xlfn.XLOOKUP(
 B1615,
 tblTargets[TargetID],
 tblTargets[TargetType],
 ""
)</f>
        <v>COLLECTION</v>
      </c>
      <c r="E1615" s="49" t="s">
        <v>360</v>
      </c>
      <c r="F1615" s="87">
        <f>IFERROR(__xludf.DUMMYFUNCTION("VALUE(REGEXEXTRACT(A1615,""([^.]+)$""))"),1.0)</f>
        <v>1</v>
      </c>
      <c r="G1615" s="49">
        <v>40.0</v>
      </c>
      <c r="H1615" s="26" t="b">
        <f>COUNTIFS(
 tblCostChecklist[RequirementID],A1615,
 tblCostChecklist[PlayerPaid],TRUE
)&gt;0</f>
        <v>0</v>
      </c>
      <c r="I1615" s="49">
        <f t="shared" si="1"/>
        <v>12</v>
      </c>
      <c r="J1615" s="49">
        <f t="shared" si="2"/>
        <v>0</v>
      </c>
      <c r="K1615" s="49">
        <f t="shared" si="3"/>
        <v>12</v>
      </c>
      <c r="L1615" s="49" t="b">
        <f t="shared" si="4"/>
        <v>0</v>
      </c>
      <c r="M1615" s="88">
        <f t="shared" si="5"/>
        <v>0</v>
      </c>
    </row>
    <row r="1616" ht="14.25" customHeight="1">
      <c r="A1616" s="49" t="s">
        <v>2749</v>
      </c>
      <c r="B1616" s="49" t="str">
        <f>IFERROR(__xludf.DUMMYFUNCTION("REGEXEXTRACT(A1616,""^cost\.(.*)\.[^.]+\.[^.]+$"")"),"collection.pantry_1@4")</f>
        <v>collection.pantry_1@4</v>
      </c>
      <c r="C1616" s="49" t="str">
        <f t="array" ref="C1616">_xlfn.XLOOKUP(
 B1616,
 tblTargets[TargetID],
 tblTargets[DisplayName],
 ""
)</f>
        <v>Pantry 1 Lv 4</v>
      </c>
      <c r="D1616" s="49" t="str">
        <f t="array" ref="D1616">_xlfn.XLOOKUP(
 B1616,
 tblTargets[TargetID],
 tblTargets[TargetType],
 ""
)</f>
        <v>COLLECTION</v>
      </c>
      <c r="E1616" s="49" t="s">
        <v>423</v>
      </c>
      <c r="F1616" s="87">
        <f>IFERROR(__xludf.DUMMYFUNCTION("VALUE(REGEXEXTRACT(A1616,""([^.]+)$""))"),1.0)</f>
        <v>1</v>
      </c>
      <c r="G1616" s="49">
        <v>40.0</v>
      </c>
      <c r="H1616" s="26" t="b">
        <f>COUNTIFS(
 tblCostChecklist[RequirementID],A1616,
 tblCostChecklist[PlayerPaid],TRUE
)&gt;0</f>
        <v>0</v>
      </c>
      <c r="I1616" s="49">
        <f t="shared" si="1"/>
        <v>12</v>
      </c>
      <c r="J1616" s="49">
        <f t="shared" si="2"/>
        <v>0</v>
      </c>
      <c r="K1616" s="49">
        <f t="shared" si="3"/>
        <v>12</v>
      </c>
      <c r="L1616" s="49" t="b">
        <f t="shared" si="4"/>
        <v>0</v>
      </c>
      <c r="M1616" s="88">
        <f t="shared" si="5"/>
        <v>0</v>
      </c>
    </row>
    <row r="1617" ht="14.25" customHeight="1">
      <c r="A1617" s="49" t="s">
        <v>2750</v>
      </c>
      <c r="B1617" s="49" t="str">
        <f>IFERROR(__xludf.DUMMYFUNCTION("REGEXEXTRACT(A1617,""^cost\.(.*)\.[^.]+\.[^.]+$"")"),"collection.pantry_1@4")</f>
        <v>collection.pantry_1@4</v>
      </c>
      <c r="C1617" s="49" t="str">
        <f t="array" ref="C1617">_xlfn.XLOOKUP(
 B1617,
 tblTargets[TargetID],
 tblTargets[DisplayName],
 ""
)</f>
        <v>Pantry 1 Lv 4</v>
      </c>
      <c r="D1617" s="49" t="str">
        <f t="array" ref="D1617">_xlfn.XLOOKUP(
 B1617,
 tblTargets[TargetID],
 tblTargets[TargetType],
 ""
)</f>
        <v>COLLECTION</v>
      </c>
      <c r="E1617" s="49" t="s">
        <v>701</v>
      </c>
      <c r="F1617" s="87">
        <f>IFERROR(__xludf.DUMMYFUNCTION("VALUE(REGEXEXTRACT(A1617,""([^.]+)$""))"),1.0)</f>
        <v>1</v>
      </c>
      <c r="G1617" s="49">
        <v>160.0</v>
      </c>
      <c r="H1617" s="26" t="b">
        <f>COUNTIFS(
 tblCostChecklist[RequirementID],A1617,
 tblCostChecklist[PlayerPaid],TRUE
)&gt;0</f>
        <v>0</v>
      </c>
      <c r="I1617" s="49">
        <f t="shared" si="1"/>
        <v>12</v>
      </c>
      <c r="J1617" s="49">
        <f t="shared" si="2"/>
        <v>0</v>
      </c>
      <c r="K1617" s="49">
        <f t="shared" si="3"/>
        <v>12</v>
      </c>
      <c r="L1617" s="49" t="b">
        <f t="shared" si="4"/>
        <v>0</v>
      </c>
      <c r="M1617" s="88">
        <f t="shared" si="5"/>
        <v>0</v>
      </c>
    </row>
    <row r="1618" ht="14.25" customHeight="1">
      <c r="A1618" s="49" t="s">
        <v>2751</v>
      </c>
      <c r="B1618" s="49" t="str">
        <f>IFERROR(__xludf.DUMMYFUNCTION("REGEXEXTRACT(A1618,""^cost\.(.*)\.[^.]+\.[^.]+$"")"),"collection.pantry_1@4")</f>
        <v>collection.pantry_1@4</v>
      </c>
      <c r="C1618" s="49" t="str">
        <f t="array" ref="C1618">_xlfn.XLOOKUP(
 B1618,
 tblTargets[TargetID],
 tblTargets[DisplayName],
 ""
)</f>
        <v>Pantry 1 Lv 4</v>
      </c>
      <c r="D1618" s="49" t="str">
        <f t="array" ref="D1618">_xlfn.XLOOKUP(
 B1618,
 tblTargets[TargetID],
 tblTargets[TargetType],
 ""
)</f>
        <v>COLLECTION</v>
      </c>
      <c r="E1618" s="49" t="s">
        <v>2714</v>
      </c>
      <c r="F1618" s="87">
        <f>IFERROR(__xludf.DUMMYFUNCTION("VALUE(REGEXEXTRACT(A1618,""([^.]+)$""))"),1.0)</f>
        <v>1</v>
      </c>
      <c r="G1618" s="49">
        <v>40.0</v>
      </c>
      <c r="H1618" s="26" t="b">
        <f>COUNTIFS(
 tblCostChecklist[RequirementID],A1618,
 tblCostChecklist[PlayerPaid],TRUE
)&gt;0</f>
        <v>0</v>
      </c>
      <c r="I1618" s="49">
        <f t="shared" si="1"/>
        <v>12</v>
      </c>
      <c r="J1618" s="49">
        <f t="shared" si="2"/>
        <v>0</v>
      </c>
      <c r="K1618" s="49">
        <f t="shared" si="3"/>
        <v>12</v>
      </c>
      <c r="L1618" s="49" t="b">
        <f t="shared" si="4"/>
        <v>0</v>
      </c>
      <c r="M1618" s="88">
        <f t="shared" si="5"/>
        <v>0</v>
      </c>
    </row>
    <row r="1619" ht="14.25" customHeight="1">
      <c r="A1619" s="49" t="s">
        <v>2752</v>
      </c>
      <c r="B1619" s="49" t="str">
        <f>IFERROR(__xludf.DUMMYFUNCTION("REGEXEXTRACT(A1619,""^cost\.(.*)\.[^.]+\.[^.]+$"")"),"collection.pantry_1@4")</f>
        <v>collection.pantry_1@4</v>
      </c>
      <c r="C1619" s="49" t="str">
        <f t="array" ref="C1619">_xlfn.XLOOKUP(
 B1619,
 tblTargets[TargetID],
 tblTargets[DisplayName],
 ""
)</f>
        <v>Pantry 1 Lv 4</v>
      </c>
      <c r="D1619" s="49" t="str">
        <f t="array" ref="D1619">_xlfn.XLOOKUP(
 B1619,
 tblTargets[TargetID],
 tblTargets[TargetType],
 ""
)</f>
        <v>COLLECTION</v>
      </c>
      <c r="E1619" s="49" t="s">
        <v>152</v>
      </c>
      <c r="F1619" s="87">
        <f>IFERROR(__xludf.DUMMYFUNCTION("VALUE(REGEXEXTRACT(A1619,""([^.]+)$""))"),1.0)</f>
        <v>1</v>
      </c>
      <c r="G1619" s="49">
        <v>40.0</v>
      </c>
      <c r="H1619" s="26" t="b">
        <f>COUNTIFS(
 tblCostChecklist[RequirementID],A1619,
 tblCostChecklist[PlayerPaid],TRUE
)&gt;0</f>
        <v>0</v>
      </c>
      <c r="I1619" s="49">
        <f t="shared" si="1"/>
        <v>12</v>
      </c>
      <c r="J1619" s="49">
        <f t="shared" si="2"/>
        <v>0</v>
      </c>
      <c r="K1619" s="49">
        <f t="shared" si="3"/>
        <v>12</v>
      </c>
      <c r="L1619" s="49" t="b">
        <f t="shared" si="4"/>
        <v>0</v>
      </c>
      <c r="M1619" s="88">
        <f t="shared" si="5"/>
        <v>0</v>
      </c>
    </row>
    <row r="1620" ht="14.25" customHeight="1">
      <c r="A1620" s="49" t="s">
        <v>2753</v>
      </c>
      <c r="B1620" s="49" t="str">
        <f>IFERROR(__xludf.DUMMYFUNCTION("REGEXEXTRACT(A1620,""^cost\.(.*)\.[^.]+\.[^.]+$"")"),"collection.pantry_1@4")</f>
        <v>collection.pantry_1@4</v>
      </c>
      <c r="C1620" s="49" t="str">
        <f t="array" ref="C1620">_xlfn.XLOOKUP(
 B1620,
 tblTargets[TargetID],
 tblTargets[DisplayName],
 ""
)</f>
        <v>Pantry 1 Lv 4</v>
      </c>
      <c r="D1620" s="49" t="str">
        <f t="array" ref="D1620">_xlfn.XLOOKUP(
 B1620,
 tblTargets[TargetID],
 tblTargets[TargetType],
 ""
)</f>
        <v>COLLECTION</v>
      </c>
      <c r="E1620" s="49" t="s">
        <v>443</v>
      </c>
      <c r="F1620" s="87">
        <f>IFERROR(__xludf.DUMMYFUNCTION("VALUE(REGEXEXTRACT(A1620,""([^.]+)$""))"),1.0)</f>
        <v>1</v>
      </c>
      <c r="G1620" s="49">
        <v>20.0</v>
      </c>
      <c r="H1620" s="26" t="b">
        <f>COUNTIFS(
 tblCostChecklist[RequirementID],A1620,
 tblCostChecklist[PlayerPaid],TRUE
)&gt;0</f>
        <v>0</v>
      </c>
      <c r="I1620" s="49">
        <f t="shared" si="1"/>
        <v>12</v>
      </c>
      <c r="J1620" s="49">
        <f t="shared" si="2"/>
        <v>0</v>
      </c>
      <c r="K1620" s="49">
        <f t="shared" si="3"/>
        <v>12</v>
      </c>
      <c r="L1620" s="49" t="b">
        <f t="shared" si="4"/>
        <v>0</v>
      </c>
      <c r="M1620" s="88">
        <f t="shared" si="5"/>
        <v>0</v>
      </c>
    </row>
    <row r="1621" ht="14.25" customHeight="1">
      <c r="A1621" s="49" t="s">
        <v>2754</v>
      </c>
      <c r="B1621" s="49" t="str">
        <f>IFERROR(__xludf.DUMMYFUNCTION("REGEXEXTRACT(A1621,""^cost\.(.*)\.[^.]+\.[^.]+$"")"),"collection.pantry_1@4")</f>
        <v>collection.pantry_1@4</v>
      </c>
      <c r="C1621" s="49" t="str">
        <f t="array" ref="C1621">_xlfn.XLOOKUP(
 B1621,
 tblTargets[TargetID],
 tblTargets[DisplayName],
 ""
)</f>
        <v>Pantry 1 Lv 4</v>
      </c>
      <c r="D1621" s="49" t="str">
        <f t="array" ref="D1621">_xlfn.XLOOKUP(
 B1621,
 tblTargets[TargetID],
 tblTargets[TargetType],
 ""
)</f>
        <v>COLLECTION</v>
      </c>
      <c r="E1621" s="49" t="s">
        <v>158</v>
      </c>
      <c r="F1621" s="87">
        <f>IFERROR(__xludf.DUMMYFUNCTION("VALUE(REGEXEXTRACT(A1621,""([^.]+)$""))"),1.0)</f>
        <v>1</v>
      </c>
      <c r="G1621" s="49">
        <v>40.0</v>
      </c>
      <c r="H1621" s="26" t="b">
        <f>COUNTIFS(
 tblCostChecklist[RequirementID],A1621,
 tblCostChecklist[PlayerPaid],TRUE
)&gt;0</f>
        <v>0</v>
      </c>
      <c r="I1621" s="49">
        <f t="shared" si="1"/>
        <v>12</v>
      </c>
      <c r="J1621" s="49">
        <f t="shared" si="2"/>
        <v>0</v>
      </c>
      <c r="K1621" s="49">
        <f t="shared" si="3"/>
        <v>12</v>
      </c>
      <c r="L1621" s="49" t="b">
        <f t="shared" si="4"/>
        <v>0</v>
      </c>
      <c r="M1621" s="88">
        <f t="shared" si="5"/>
        <v>0</v>
      </c>
    </row>
    <row r="1622" ht="14.25" customHeight="1">
      <c r="A1622" s="49" t="s">
        <v>2755</v>
      </c>
      <c r="B1622" s="49" t="str">
        <f>IFERROR(__xludf.DUMMYFUNCTION("REGEXEXTRACT(A1622,""^cost\.(.*)\.[^.]+\.[^.]+$"")"),"collection.pantry_1@4")</f>
        <v>collection.pantry_1@4</v>
      </c>
      <c r="C1622" s="49" t="str">
        <f t="array" ref="C1622">_xlfn.XLOOKUP(
 B1622,
 tblTargets[TargetID],
 tblTargets[DisplayName],
 ""
)</f>
        <v>Pantry 1 Lv 4</v>
      </c>
      <c r="D1622" s="49" t="str">
        <f t="array" ref="D1622">_xlfn.XLOOKUP(
 B1622,
 tblTargets[TargetID],
 tblTargets[TargetType],
 ""
)</f>
        <v>COLLECTION</v>
      </c>
      <c r="E1622" s="49" t="s">
        <v>2719</v>
      </c>
      <c r="F1622" s="87">
        <f>IFERROR(__xludf.DUMMYFUNCTION("VALUE(REGEXEXTRACT(A1622,""([^.]+)$""))"),1.0)</f>
        <v>1</v>
      </c>
      <c r="G1622" s="49">
        <v>20.0</v>
      </c>
      <c r="H1622" s="26" t="b">
        <f>COUNTIFS(
 tblCostChecklist[RequirementID],A1622,
 tblCostChecklist[PlayerPaid],TRUE
)&gt;0</f>
        <v>0</v>
      </c>
      <c r="I1622" s="49">
        <f t="shared" si="1"/>
        <v>12</v>
      </c>
      <c r="J1622" s="49">
        <f t="shared" si="2"/>
        <v>0</v>
      </c>
      <c r="K1622" s="49">
        <f t="shared" si="3"/>
        <v>12</v>
      </c>
      <c r="L1622" s="49" t="b">
        <f t="shared" si="4"/>
        <v>0</v>
      </c>
      <c r="M1622" s="88">
        <f t="shared" si="5"/>
        <v>0</v>
      </c>
    </row>
    <row r="1623" ht="14.25" customHeight="1">
      <c r="A1623" s="49" t="s">
        <v>2756</v>
      </c>
      <c r="B1623" s="49" t="str">
        <f>IFERROR(__xludf.DUMMYFUNCTION("REGEXEXTRACT(A1623,""^cost\.(.*)\.[^.]+\.[^.]+$"")"),"collection.pantry_1@5")</f>
        <v>collection.pantry_1@5</v>
      </c>
      <c r="C1623" s="49" t="str">
        <f t="array" ref="C1623">_xlfn.XLOOKUP(
 B1623,
 tblTargets[TargetID],
 tblTargets[DisplayName],
 ""
)</f>
        <v>Pantry 1 Lv 5</v>
      </c>
      <c r="D1623" s="49" t="str">
        <f t="array" ref="D1623">_xlfn.XLOOKUP(
 B1623,
 tblTargets[TargetID],
 tblTargets[TargetType],
 ""
)</f>
        <v>COLLECTION</v>
      </c>
      <c r="E1623" s="49" t="s">
        <v>2704</v>
      </c>
      <c r="F1623" s="87">
        <f>IFERROR(__xludf.DUMMYFUNCTION("VALUE(REGEXEXTRACT(A1623,""([^.]+)$""))"),1.0)</f>
        <v>1</v>
      </c>
      <c r="G1623" s="49">
        <v>25.0</v>
      </c>
      <c r="H1623" s="26" t="b">
        <f>COUNTIFS(
 tblCostChecklist[RequirementID],A1623,
 tblCostChecklist[PlayerPaid],TRUE
)&gt;0</f>
        <v>0</v>
      </c>
      <c r="I1623" s="49">
        <f t="shared" si="1"/>
        <v>12</v>
      </c>
      <c r="J1623" s="49">
        <f t="shared" si="2"/>
        <v>0</v>
      </c>
      <c r="K1623" s="49">
        <f t="shared" si="3"/>
        <v>12</v>
      </c>
      <c r="L1623" s="49" t="b">
        <f t="shared" si="4"/>
        <v>0</v>
      </c>
      <c r="M1623" s="88">
        <f t="shared" si="5"/>
        <v>0</v>
      </c>
    </row>
    <row r="1624" ht="14.25" customHeight="1">
      <c r="A1624" s="49" t="s">
        <v>2757</v>
      </c>
      <c r="B1624" s="49" t="str">
        <f>IFERROR(__xludf.DUMMYFUNCTION("REGEXEXTRACT(A1624,""^cost\.(.*)\.[^.]+\.[^.]+$"")"),"collection.pantry_1@5")</f>
        <v>collection.pantry_1@5</v>
      </c>
      <c r="C1624" s="49" t="str">
        <f t="array" ref="C1624">_xlfn.XLOOKUP(
 B1624,
 tblTargets[TargetID],
 tblTargets[DisplayName],
 ""
)</f>
        <v>Pantry 1 Lv 5</v>
      </c>
      <c r="D1624" s="49" t="str">
        <f t="array" ref="D1624">_xlfn.XLOOKUP(
 B1624,
 tblTargets[TargetID],
 tblTargets[TargetType],
 ""
)</f>
        <v>COLLECTION</v>
      </c>
      <c r="E1624" s="49" t="s">
        <v>367</v>
      </c>
      <c r="F1624" s="87">
        <f>IFERROR(__xludf.DUMMYFUNCTION("VALUE(REGEXEXTRACT(A1624,""([^.]+)$""))"),1.0)</f>
        <v>1</v>
      </c>
      <c r="G1624" s="49">
        <v>50.0</v>
      </c>
      <c r="H1624" s="26" t="b">
        <f>COUNTIFS(
 tblCostChecklist[RequirementID],A1624,
 tblCostChecklist[PlayerPaid],TRUE
)&gt;0</f>
        <v>0</v>
      </c>
      <c r="I1624" s="49">
        <f t="shared" si="1"/>
        <v>12</v>
      </c>
      <c r="J1624" s="49">
        <f t="shared" si="2"/>
        <v>0</v>
      </c>
      <c r="K1624" s="49">
        <f t="shared" si="3"/>
        <v>12</v>
      </c>
      <c r="L1624" s="49" t="b">
        <f t="shared" si="4"/>
        <v>0</v>
      </c>
      <c r="M1624" s="88">
        <f t="shared" si="5"/>
        <v>0</v>
      </c>
    </row>
    <row r="1625" ht="14.25" customHeight="1">
      <c r="A1625" s="49" t="s">
        <v>2758</v>
      </c>
      <c r="B1625" s="49" t="str">
        <f>IFERROR(__xludf.DUMMYFUNCTION("REGEXEXTRACT(A1625,""^cost\.(.*)\.[^.]+\.[^.]+$"")"),"collection.pantry_1@5")</f>
        <v>collection.pantry_1@5</v>
      </c>
      <c r="C1625" s="49" t="str">
        <f t="array" ref="C1625">_xlfn.XLOOKUP(
 B1625,
 tblTargets[TargetID],
 tblTargets[DisplayName],
 ""
)</f>
        <v>Pantry 1 Lv 5</v>
      </c>
      <c r="D1625" s="49" t="str">
        <f t="array" ref="D1625">_xlfn.XLOOKUP(
 B1625,
 tblTargets[TargetID],
 tblTargets[TargetType],
 ""
)</f>
        <v>COLLECTION</v>
      </c>
      <c r="E1625" s="49" t="s">
        <v>2707</v>
      </c>
      <c r="F1625" s="87">
        <f>IFERROR(__xludf.DUMMYFUNCTION("VALUE(REGEXEXTRACT(A1625,""([^.]+)$""))"),1.0)</f>
        <v>1</v>
      </c>
      <c r="G1625" s="49">
        <v>50.0</v>
      </c>
      <c r="H1625" s="26" t="b">
        <f>COUNTIFS(
 tblCostChecklist[RequirementID],A1625,
 tblCostChecklist[PlayerPaid],TRUE
)&gt;0</f>
        <v>0</v>
      </c>
      <c r="I1625" s="49">
        <f t="shared" si="1"/>
        <v>12</v>
      </c>
      <c r="J1625" s="49">
        <f t="shared" si="2"/>
        <v>0</v>
      </c>
      <c r="K1625" s="49">
        <f t="shared" si="3"/>
        <v>12</v>
      </c>
      <c r="L1625" s="49" t="b">
        <f t="shared" si="4"/>
        <v>0</v>
      </c>
      <c r="M1625" s="88">
        <f t="shared" si="5"/>
        <v>0</v>
      </c>
    </row>
    <row r="1626" ht="14.25" customHeight="1">
      <c r="A1626" s="49" t="s">
        <v>2759</v>
      </c>
      <c r="B1626" s="49" t="str">
        <f>IFERROR(__xludf.DUMMYFUNCTION("REGEXEXTRACT(A1626,""^cost\.(.*)\.[^.]+\.[^.]+$"")"),"collection.pantry_1@5")</f>
        <v>collection.pantry_1@5</v>
      </c>
      <c r="C1626" s="49" t="str">
        <f t="array" ref="C1626">_xlfn.XLOOKUP(
 B1626,
 tblTargets[TargetID],
 tblTargets[DisplayName],
 ""
)</f>
        <v>Pantry 1 Lv 5</v>
      </c>
      <c r="D1626" s="49" t="str">
        <f t="array" ref="D1626">_xlfn.XLOOKUP(
 B1626,
 tblTargets[TargetID],
 tblTargets[TargetType],
 ""
)</f>
        <v>COLLECTION</v>
      </c>
      <c r="E1626" s="49" t="s">
        <v>2709</v>
      </c>
      <c r="F1626" s="87">
        <f>IFERROR(__xludf.DUMMYFUNCTION("VALUE(REGEXEXTRACT(A1626,""([^.]+)$""))"),1.0)</f>
        <v>1</v>
      </c>
      <c r="G1626" s="49">
        <v>200.0</v>
      </c>
      <c r="H1626" s="26" t="b">
        <f>COUNTIFS(
 tblCostChecklist[RequirementID],A1626,
 tblCostChecklist[PlayerPaid],TRUE
)&gt;0</f>
        <v>0</v>
      </c>
      <c r="I1626" s="49">
        <f t="shared" si="1"/>
        <v>12</v>
      </c>
      <c r="J1626" s="49">
        <f t="shared" si="2"/>
        <v>0</v>
      </c>
      <c r="K1626" s="49">
        <f t="shared" si="3"/>
        <v>12</v>
      </c>
      <c r="L1626" s="49" t="b">
        <f t="shared" si="4"/>
        <v>0</v>
      </c>
      <c r="M1626" s="88">
        <f t="shared" si="5"/>
        <v>0</v>
      </c>
    </row>
    <row r="1627" ht="14.25" customHeight="1">
      <c r="A1627" s="49" t="s">
        <v>2760</v>
      </c>
      <c r="B1627" s="49" t="str">
        <f>IFERROR(__xludf.DUMMYFUNCTION("REGEXEXTRACT(A1627,""^cost\.(.*)\.[^.]+\.[^.]+$"")"),"collection.pantry_1@5")</f>
        <v>collection.pantry_1@5</v>
      </c>
      <c r="C1627" s="49" t="str">
        <f t="array" ref="C1627">_xlfn.XLOOKUP(
 B1627,
 tblTargets[TargetID],
 tblTargets[DisplayName],
 ""
)</f>
        <v>Pantry 1 Lv 5</v>
      </c>
      <c r="D1627" s="49" t="str">
        <f t="array" ref="D1627">_xlfn.XLOOKUP(
 B1627,
 tblTargets[TargetID],
 tblTargets[TargetType],
 ""
)</f>
        <v>COLLECTION</v>
      </c>
      <c r="E1627" s="49" t="s">
        <v>360</v>
      </c>
      <c r="F1627" s="87">
        <f>IFERROR(__xludf.DUMMYFUNCTION("VALUE(REGEXEXTRACT(A1627,""([^.]+)$""))"),1.0)</f>
        <v>1</v>
      </c>
      <c r="G1627" s="49">
        <v>50.0</v>
      </c>
      <c r="H1627" s="26" t="b">
        <f>COUNTIFS(
 tblCostChecklist[RequirementID],A1627,
 tblCostChecklist[PlayerPaid],TRUE
)&gt;0</f>
        <v>0</v>
      </c>
      <c r="I1627" s="49">
        <f t="shared" si="1"/>
        <v>12</v>
      </c>
      <c r="J1627" s="49">
        <f t="shared" si="2"/>
        <v>0</v>
      </c>
      <c r="K1627" s="49">
        <f t="shared" si="3"/>
        <v>12</v>
      </c>
      <c r="L1627" s="49" t="b">
        <f t="shared" si="4"/>
        <v>0</v>
      </c>
      <c r="M1627" s="88">
        <f t="shared" si="5"/>
        <v>0</v>
      </c>
    </row>
    <row r="1628" ht="14.25" customHeight="1">
      <c r="A1628" s="49" t="s">
        <v>2761</v>
      </c>
      <c r="B1628" s="49" t="str">
        <f>IFERROR(__xludf.DUMMYFUNCTION("REGEXEXTRACT(A1628,""^cost\.(.*)\.[^.]+\.[^.]+$"")"),"collection.pantry_1@5")</f>
        <v>collection.pantry_1@5</v>
      </c>
      <c r="C1628" s="49" t="str">
        <f t="array" ref="C1628">_xlfn.XLOOKUP(
 B1628,
 tblTargets[TargetID],
 tblTargets[DisplayName],
 ""
)</f>
        <v>Pantry 1 Lv 5</v>
      </c>
      <c r="D1628" s="49" t="str">
        <f t="array" ref="D1628">_xlfn.XLOOKUP(
 B1628,
 tblTargets[TargetID],
 tblTargets[TargetType],
 ""
)</f>
        <v>COLLECTION</v>
      </c>
      <c r="E1628" s="49" t="s">
        <v>423</v>
      </c>
      <c r="F1628" s="87">
        <f>IFERROR(__xludf.DUMMYFUNCTION("VALUE(REGEXEXTRACT(A1628,""([^.]+)$""))"),1.0)</f>
        <v>1</v>
      </c>
      <c r="G1628" s="49">
        <v>50.0</v>
      </c>
      <c r="H1628" s="26" t="b">
        <f>COUNTIFS(
 tblCostChecklist[RequirementID],A1628,
 tblCostChecklist[PlayerPaid],TRUE
)&gt;0</f>
        <v>0</v>
      </c>
      <c r="I1628" s="49">
        <f t="shared" si="1"/>
        <v>12</v>
      </c>
      <c r="J1628" s="49">
        <f t="shared" si="2"/>
        <v>0</v>
      </c>
      <c r="K1628" s="49">
        <f t="shared" si="3"/>
        <v>12</v>
      </c>
      <c r="L1628" s="49" t="b">
        <f t="shared" si="4"/>
        <v>0</v>
      </c>
      <c r="M1628" s="88">
        <f t="shared" si="5"/>
        <v>0</v>
      </c>
    </row>
    <row r="1629" ht="14.25" customHeight="1">
      <c r="A1629" s="49" t="s">
        <v>2762</v>
      </c>
      <c r="B1629" s="49" t="str">
        <f>IFERROR(__xludf.DUMMYFUNCTION("REGEXEXTRACT(A1629,""^cost\.(.*)\.[^.]+\.[^.]+$"")"),"collection.pantry_1@5")</f>
        <v>collection.pantry_1@5</v>
      </c>
      <c r="C1629" s="49" t="str">
        <f t="array" ref="C1629">_xlfn.XLOOKUP(
 B1629,
 tblTargets[TargetID],
 tblTargets[DisplayName],
 ""
)</f>
        <v>Pantry 1 Lv 5</v>
      </c>
      <c r="D1629" s="49" t="str">
        <f t="array" ref="D1629">_xlfn.XLOOKUP(
 B1629,
 tblTargets[TargetID],
 tblTargets[TargetType],
 ""
)</f>
        <v>COLLECTION</v>
      </c>
      <c r="E1629" s="49" t="s">
        <v>701</v>
      </c>
      <c r="F1629" s="87">
        <f>IFERROR(__xludf.DUMMYFUNCTION("VALUE(REGEXEXTRACT(A1629,""([^.]+)$""))"),1.0)</f>
        <v>1</v>
      </c>
      <c r="G1629" s="49">
        <v>200.0</v>
      </c>
      <c r="H1629" s="26" t="b">
        <f>COUNTIFS(
 tblCostChecklist[RequirementID],A1629,
 tblCostChecklist[PlayerPaid],TRUE
)&gt;0</f>
        <v>0</v>
      </c>
      <c r="I1629" s="49">
        <f t="shared" si="1"/>
        <v>12</v>
      </c>
      <c r="J1629" s="49">
        <f t="shared" si="2"/>
        <v>0</v>
      </c>
      <c r="K1629" s="49">
        <f t="shared" si="3"/>
        <v>12</v>
      </c>
      <c r="L1629" s="49" t="b">
        <f t="shared" si="4"/>
        <v>0</v>
      </c>
      <c r="M1629" s="88">
        <f t="shared" si="5"/>
        <v>0</v>
      </c>
    </row>
    <row r="1630" ht="14.25" customHeight="1">
      <c r="A1630" s="49" t="s">
        <v>2763</v>
      </c>
      <c r="B1630" s="49" t="str">
        <f>IFERROR(__xludf.DUMMYFUNCTION("REGEXEXTRACT(A1630,""^cost\.(.*)\.[^.]+\.[^.]+$"")"),"collection.pantry_1@5")</f>
        <v>collection.pantry_1@5</v>
      </c>
      <c r="C1630" s="49" t="str">
        <f t="array" ref="C1630">_xlfn.XLOOKUP(
 B1630,
 tblTargets[TargetID],
 tblTargets[DisplayName],
 ""
)</f>
        <v>Pantry 1 Lv 5</v>
      </c>
      <c r="D1630" s="49" t="str">
        <f t="array" ref="D1630">_xlfn.XLOOKUP(
 B1630,
 tblTargets[TargetID],
 tblTargets[TargetType],
 ""
)</f>
        <v>COLLECTION</v>
      </c>
      <c r="E1630" s="49" t="s">
        <v>2714</v>
      </c>
      <c r="F1630" s="87">
        <f>IFERROR(__xludf.DUMMYFUNCTION("VALUE(REGEXEXTRACT(A1630,""([^.]+)$""))"),1.0)</f>
        <v>1</v>
      </c>
      <c r="G1630" s="49">
        <v>50.0</v>
      </c>
      <c r="H1630" s="26" t="b">
        <f>COUNTIFS(
 tblCostChecklist[RequirementID],A1630,
 tblCostChecklist[PlayerPaid],TRUE
)&gt;0</f>
        <v>0</v>
      </c>
      <c r="I1630" s="49">
        <f t="shared" si="1"/>
        <v>12</v>
      </c>
      <c r="J1630" s="49">
        <f t="shared" si="2"/>
        <v>0</v>
      </c>
      <c r="K1630" s="49">
        <f t="shared" si="3"/>
        <v>12</v>
      </c>
      <c r="L1630" s="49" t="b">
        <f t="shared" si="4"/>
        <v>0</v>
      </c>
      <c r="M1630" s="88">
        <f t="shared" si="5"/>
        <v>0</v>
      </c>
    </row>
    <row r="1631" ht="14.25" customHeight="1">
      <c r="A1631" s="49" t="s">
        <v>2764</v>
      </c>
      <c r="B1631" s="49" t="str">
        <f>IFERROR(__xludf.DUMMYFUNCTION("REGEXEXTRACT(A1631,""^cost\.(.*)\.[^.]+\.[^.]+$"")"),"collection.pantry_1@5")</f>
        <v>collection.pantry_1@5</v>
      </c>
      <c r="C1631" s="49" t="str">
        <f t="array" ref="C1631">_xlfn.XLOOKUP(
 B1631,
 tblTargets[TargetID],
 tblTargets[DisplayName],
 ""
)</f>
        <v>Pantry 1 Lv 5</v>
      </c>
      <c r="D1631" s="49" t="str">
        <f t="array" ref="D1631">_xlfn.XLOOKUP(
 B1631,
 tblTargets[TargetID],
 tblTargets[TargetType],
 ""
)</f>
        <v>COLLECTION</v>
      </c>
      <c r="E1631" s="49" t="s">
        <v>152</v>
      </c>
      <c r="F1631" s="87">
        <f>IFERROR(__xludf.DUMMYFUNCTION("VALUE(REGEXEXTRACT(A1631,""([^.]+)$""))"),1.0)</f>
        <v>1</v>
      </c>
      <c r="G1631" s="49">
        <v>50.0</v>
      </c>
      <c r="H1631" s="26" t="b">
        <f>COUNTIFS(
 tblCostChecklist[RequirementID],A1631,
 tblCostChecklist[PlayerPaid],TRUE
)&gt;0</f>
        <v>0</v>
      </c>
      <c r="I1631" s="49">
        <f t="shared" si="1"/>
        <v>12</v>
      </c>
      <c r="J1631" s="49">
        <f t="shared" si="2"/>
        <v>0</v>
      </c>
      <c r="K1631" s="49">
        <f t="shared" si="3"/>
        <v>12</v>
      </c>
      <c r="L1631" s="49" t="b">
        <f t="shared" si="4"/>
        <v>0</v>
      </c>
      <c r="M1631" s="88">
        <f t="shared" si="5"/>
        <v>0</v>
      </c>
    </row>
    <row r="1632" ht="14.25" customHeight="1">
      <c r="A1632" s="49" t="s">
        <v>2765</v>
      </c>
      <c r="B1632" s="49" t="str">
        <f>IFERROR(__xludf.DUMMYFUNCTION("REGEXEXTRACT(A1632,""^cost\.(.*)\.[^.]+\.[^.]+$"")"),"collection.pantry_1@5")</f>
        <v>collection.pantry_1@5</v>
      </c>
      <c r="C1632" s="49" t="str">
        <f t="array" ref="C1632">_xlfn.XLOOKUP(
 B1632,
 tblTargets[TargetID],
 tblTargets[DisplayName],
 ""
)</f>
        <v>Pantry 1 Lv 5</v>
      </c>
      <c r="D1632" s="49" t="str">
        <f t="array" ref="D1632">_xlfn.XLOOKUP(
 B1632,
 tblTargets[TargetID],
 tblTargets[TargetType],
 ""
)</f>
        <v>COLLECTION</v>
      </c>
      <c r="E1632" s="49" t="s">
        <v>443</v>
      </c>
      <c r="F1632" s="87">
        <f>IFERROR(__xludf.DUMMYFUNCTION("VALUE(REGEXEXTRACT(A1632,""([^.]+)$""))"),1.0)</f>
        <v>1</v>
      </c>
      <c r="G1632" s="49">
        <v>25.0</v>
      </c>
      <c r="H1632" s="26" t="b">
        <f>COUNTIFS(
 tblCostChecklist[RequirementID],A1632,
 tblCostChecklist[PlayerPaid],TRUE
)&gt;0</f>
        <v>0</v>
      </c>
      <c r="I1632" s="49">
        <f t="shared" si="1"/>
        <v>12</v>
      </c>
      <c r="J1632" s="49">
        <f t="shared" si="2"/>
        <v>0</v>
      </c>
      <c r="K1632" s="49">
        <f t="shared" si="3"/>
        <v>12</v>
      </c>
      <c r="L1632" s="49" t="b">
        <f t="shared" si="4"/>
        <v>0</v>
      </c>
      <c r="M1632" s="88">
        <f t="shared" si="5"/>
        <v>0</v>
      </c>
    </row>
    <row r="1633" ht="14.25" customHeight="1">
      <c r="A1633" s="49" t="s">
        <v>2766</v>
      </c>
      <c r="B1633" s="49" t="str">
        <f>IFERROR(__xludf.DUMMYFUNCTION("REGEXEXTRACT(A1633,""^cost\.(.*)\.[^.]+\.[^.]+$"")"),"collection.pantry_1@5")</f>
        <v>collection.pantry_1@5</v>
      </c>
      <c r="C1633" s="49" t="str">
        <f t="array" ref="C1633">_xlfn.XLOOKUP(
 B1633,
 tblTargets[TargetID],
 tblTargets[DisplayName],
 ""
)</f>
        <v>Pantry 1 Lv 5</v>
      </c>
      <c r="D1633" s="49" t="str">
        <f t="array" ref="D1633">_xlfn.XLOOKUP(
 B1633,
 tblTargets[TargetID],
 tblTargets[TargetType],
 ""
)</f>
        <v>COLLECTION</v>
      </c>
      <c r="E1633" s="49" t="s">
        <v>158</v>
      </c>
      <c r="F1633" s="87">
        <f>IFERROR(__xludf.DUMMYFUNCTION("VALUE(REGEXEXTRACT(A1633,""([^.]+)$""))"),1.0)</f>
        <v>1</v>
      </c>
      <c r="G1633" s="49">
        <v>50.0</v>
      </c>
      <c r="H1633" s="26" t="b">
        <f>COUNTIFS(
 tblCostChecklist[RequirementID],A1633,
 tblCostChecklist[PlayerPaid],TRUE
)&gt;0</f>
        <v>0</v>
      </c>
      <c r="I1633" s="49">
        <f t="shared" si="1"/>
        <v>12</v>
      </c>
      <c r="J1633" s="49">
        <f t="shared" si="2"/>
        <v>0</v>
      </c>
      <c r="K1633" s="49">
        <f t="shared" si="3"/>
        <v>12</v>
      </c>
      <c r="L1633" s="49" t="b">
        <f t="shared" si="4"/>
        <v>0</v>
      </c>
      <c r="M1633" s="88">
        <f t="shared" si="5"/>
        <v>0</v>
      </c>
    </row>
    <row r="1634" ht="14.25" customHeight="1">
      <c r="A1634" s="49" t="s">
        <v>2767</v>
      </c>
      <c r="B1634" s="49" t="str">
        <f>IFERROR(__xludf.DUMMYFUNCTION("REGEXEXTRACT(A1634,""^cost\.(.*)\.[^.]+\.[^.]+$"")"),"collection.pantry_1@5")</f>
        <v>collection.pantry_1@5</v>
      </c>
      <c r="C1634" s="49" t="str">
        <f t="array" ref="C1634">_xlfn.XLOOKUP(
 B1634,
 tblTargets[TargetID],
 tblTargets[DisplayName],
 ""
)</f>
        <v>Pantry 1 Lv 5</v>
      </c>
      <c r="D1634" s="49" t="str">
        <f t="array" ref="D1634">_xlfn.XLOOKUP(
 B1634,
 tblTargets[TargetID],
 tblTargets[TargetType],
 ""
)</f>
        <v>COLLECTION</v>
      </c>
      <c r="E1634" s="49" t="s">
        <v>2719</v>
      </c>
      <c r="F1634" s="87">
        <f>IFERROR(__xludf.DUMMYFUNCTION("VALUE(REGEXEXTRACT(A1634,""([^.]+)$""))"),1.0)</f>
        <v>1</v>
      </c>
      <c r="G1634" s="49">
        <v>25.0</v>
      </c>
      <c r="H1634" s="26" t="b">
        <f>COUNTIFS(
 tblCostChecklist[RequirementID],A1634,
 tblCostChecklist[PlayerPaid],TRUE
)&gt;0</f>
        <v>0</v>
      </c>
      <c r="I1634" s="49">
        <f t="shared" si="1"/>
        <v>12</v>
      </c>
      <c r="J1634" s="49">
        <f t="shared" si="2"/>
        <v>0</v>
      </c>
      <c r="K1634" s="49">
        <f t="shared" si="3"/>
        <v>12</v>
      </c>
      <c r="L1634" s="49" t="b">
        <f t="shared" si="4"/>
        <v>0</v>
      </c>
      <c r="M1634" s="88">
        <f t="shared" si="5"/>
        <v>0</v>
      </c>
    </row>
    <row r="1635" ht="14.25" customHeight="1">
      <c r="A1635" s="49" t="s">
        <v>2768</v>
      </c>
      <c r="B1635" s="49" t="str">
        <f>IFERROR(__xludf.DUMMYFUNCTION("REGEXEXTRACT(A1635,""^cost\.(.*)\.[^.]+\.[^.]+$"")"),"collection.pantry_2@1")</f>
        <v>collection.pantry_2@1</v>
      </c>
      <c r="C1635" s="49" t="str">
        <f t="array" ref="C1635">_xlfn.XLOOKUP(
 B1635,
 tblTargets[TargetID],
 tblTargets[DisplayName],
 ""
)</f>
        <v>Pantry 2 Lv 1</v>
      </c>
      <c r="D1635" s="49" t="str">
        <f t="array" ref="D1635">_xlfn.XLOOKUP(
 B1635,
 tblTargets[TargetID],
 tblTargets[TargetType],
 ""
)</f>
        <v>COLLECTION</v>
      </c>
      <c r="E1635" s="49" t="s">
        <v>187</v>
      </c>
      <c r="F1635" s="87">
        <f>IFERROR(__xludf.DUMMYFUNCTION("VALUE(REGEXEXTRACT(A1635,""([^.]+)$""))"),1.0)</f>
        <v>1</v>
      </c>
      <c r="G1635" s="49">
        <v>100.0</v>
      </c>
      <c r="H1635" s="26" t="b">
        <f>COUNTIFS(
 tblCostChecklist[RequirementID],A1635,
 tblCostChecklist[PlayerPaid],TRUE
)&gt;0</f>
        <v>0</v>
      </c>
      <c r="I1635" s="49">
        <f t="shared" si="1"/>
        <v>4</v>
      </c>
      <c r="J1635" s="49">
        <f t="shared" si="2"/>
        <v>0</v>
      </c>
      <c r="K1635" s="49">
        <f t="shared" si="3"/>
        <v>4</v>
      </c>
      <c r="L1635" s="49" t="b">
        <f t="shared" si="4"/>
        <v>0</v>
      </c>
      <c r="M1635" s="88">
        <f t="shared" si="5"/>
        <v>0</v>
      </c>
    </row>
    <row r="1636" ht="14.25" customHeight="1">
      <c r="A1636" s="49" t="s">
        <v>2769</v>
      </c>
      <c r="B1636" s="49" t="str">
        <f>IFERROR(__xludf.DUMMYFUNCTION("REGEXEXTRACT(A1636,""^cost\.(.*)\.[^.]+\.[^.]+$"")"),"collection.pantry_2@1")</f>
        <v>collection.pantry_2@1</v>
      </c>
      <c r="C1636" s="49" t="str">
        <f t="array" ref="C1636">_xlfn.XLOOKUP(
 B1636,
 tblTargets[TargetID],
 tblTargets[DisplayName],
 ""
)</f>
        <v>Pantry 2 Lv 1</v>
      </c>
      <c r="D1636" s="49" t="str">
        <f t="array" ref="D1636">_xlfn.XLOOKUP(
 B1636,
 tblTargets[TargetID],
 tblTargets[TargetType],
 ""
)</f>
        <v>COLLECTION</v>
      </c>
      <c r="E1636" s="49" t="s">
        <v>187</v>
      </c>
      <c r="F1636" s="87">
        <f>IFERROR(__xludf.DUMMYFUNCTION("VALUE(REGEXEXTRACT(A1636,""([^.]+)$""))"),2.0)</f>
        <v>2</v>
      </c>
      <c r="G1636" s="49">
        <v>100.0</v>
      </c>
      <c r="H1636" s="26" t="b">
        <f>COUNTIFS(
 tblCostChecklist[RequirementID],A1636,
 tblCostChecklist[PlayerPaid],TRUE
)&gt;0</f>
        <v>0</v>
      </c>
      <c r="I1636" s="49">
        <f t="shared" si="1"/>
        <v>4</v>
      </c>
      <c r="J1636" s="49">
        <f t="shared" si="2"/>
        <v>0</v>
      </c>
      <c r="K1636" s="49">
        <f t="shared" si="3"/>
        <v>4</v>
      </c>
      <c r="L1636" s="49" t="b">
        <f t="shared" si="4"/>
        <v>0</v>
      </c>
      <c r="M1636" s="88">
        <f t="shared" si="5"/>
        <v>0</v>
      </c>
    </row>
    <row r="1637" ht="14.25" customHeight="1">
      <c r="A1637" s="49" t="s">
        <v>2770</v>
      </c>
      <c r="B1637" s="49" t="str">
        <f>IFERROR(__xludf.DUMMYFUNCTION("REGEXEXTRACT(A1637,""^cost\.(.*)\.[^.]+\.[^.]+$"")"),"collection.pantry_2@1")</f>
        <v>collection.pantry_2@1</v>
      </c>
      <c r="C1637" s="49" t="str">
        <f t="array" ref="C1637">_xlfn.XLOOKUP(
 B1637,
 tblTargets[TargetID],
 tblTargets[DisplayName],
 ""
)</f>
        <v>Pantry 2 Lv 1</v>
      </c>
      <c r="D1637" s="49" t="str">
        <f t="array" ref="D1637">_xlfn.XLOOKUP(
 B1637,
 tblTargets[TargetID],
 tblTargets[TargetType],
 ""
)</f>
        <v>COLLECTION</v>
      </c>
      <c r="E1637" s="49" t="s">
        <v>392</v>
      </c>
      <c r="F1637" s="87">
        <f>IFERROR(__xludf.DUMMYFUNCTION("VALUE(REGEXEXTRACT(A1637,""([^.]+)$""))"),1.0)</f>
        <v>1</v>
      </c>
      <c r="G1637" s="49">
        <v>100.0</v>
      </c>
      <c r="H1637" s="26" t="b">
        <f>COUNTIFS(
 tblCostChecklist[RequirementID],A1637,
 tblCostChecklist[PlayerPaid],TRUE
)&gt;0</f>
        <v>0</v>
      </c>
      <c r="I1637" s="49">
        <f t="shared" si="1"/>
        <v>4</v>
      </c>
      <c r="J1637" s="49">
        <f t="shared" si="2"/>
        <v>0</v>
      </c>
      <c r="K1637" s="49">
        <f t="shared" si="3"/>
        <v>4</v>
      </c>
      <c r="L1637" s="49" t="b">
        <f t="shared" si="4"/>
        <v>0</v>
      </c>
      <c r="M1637" s="88">
        <f t="shared" si="5"/>
        <v>0</v>
      </c>
    </row>
    <row r="1638" ht="14.25" customHeight="1">
      <c r="A1638" s="49" t="s">
        <v>2771</v>
      </c>
      <c r="B1638" s="49" t="str">
        <f>IFERROR(__xludf.DUMMYFUNCTION("REGEXEXTRACT(A1638,""^cost\.(.*)\.[^.]+\.[^.]+$"")"),"collection.pantry_2@1")</f>
        <v>collection.pantry_2@1</v>
      </c>
      <c r="C1638" s="49" t="str">
        <f t="array" ref="C1638">_xlfn.XLOOKUP(
 B1638,
 tblTargets[TargetID],
 tblTargets[DisplayName],
 ""
)</f>
        <v>Pantry 2 Lv 1</v>
      </c>
      <c r="D1638" s="49" t="str">
        <f t="array" ref="D1638">_xlfn.XLOOKUP(
 B1638,
 tblTargets[TargetID],
 tblTargets[TargetType],
 ""
)</f>
        <v>COLLECTION</v>
      </c>
      <c r="E1638" s="49" t="s">
        <v>237</v>
      </c>
      <c r="F1638" s="87">
        <f>IFERROR(__xludf.DUMMYFUNCTION("VALUE(REGEXEXTRACT(A1638,""([^.]+)$""))"),1.0)</f>
        <v>1</v>
      </c>
      <c r="G1638" s="49">
        <v>100.0</v>
      </c>
      <c r="H1638" s="26" t="b">
        <f>COUNTIFS(
 tblCostChecklist[RequirementID],A1638,
 tblCostChecklist[PlayerPaid],TRUE
)&gt;0</f>
        <v>0</v>
      </c>
      <c r="I1638" s="49">
        <f t="shared" si="1"/>
        <v>4</v>
      </c>
      <c r="J1638" s="49">
        <f t="shared" si="2"/>
        <v>0</v>
      </c>
      <c r="K1638" s="49">
        <f t="shared" si="3"/>
        <v>4</v>
      </c>
      <c r="L1638" s="49" t="b">
        <f t="shared" si="4"/>
        <v>0</v>
      </c>
      <c r="M1638" s="88">
        <f t="shared" si="5"/>
        <v>0</v>
      </c>
    </row>
    <row r="1639" ht="14.25" customHeight="1">
      <c r="A1639" s="49" t="s">
        <v>2772</v>
      </c>
      <c r="B1639" s="49" t="str">
        <f>IFERROR(__xludf.DUMMYFUNCTION("REGEXEXTRACT(A1639,""^cost\.(.*)\.[^.]+\.[^.]+$"")"),"collection.pantry_2@2")</f>
        <v>collection.pantry_2@2</v>
      </c>
      <c r="C1639" s="49" t="str">
        <f t="array" ref="C1639">_xlfn.XLOOKUP(
 B1639,
 tblTargets[TargetID],
 tblTargets[DisplayName],
 ""
)</f>
        <v>Pantry 2 Lv 2</v>
      </c>
      <c r="D1639" s="49" t="str">
        <f t="array" ref="D1639">_xlfn.XLOOKUP(
 B1639,
 tblTargets[TargetID],
 tblTargets[TargetType],
 ""
)</f>
        <v>COLLECTION</v>
      </c>
      <c r="E1639" s="49" t="s">
        <v>187</v>
      </c>
      <c r="F1639" s="87">
        <f>IFERROR(__xludf.DUMMYFUNCTION("VALUE(REGEXEXTRACT(A1639,""([^.]+)$""))"),1.0)</f>
        <v>1</v>
      </c>
      <c r="G1639" s="49">
        <v>200.0</v>
      </c>
      <c r="H1639" s="26" t="b">
        <f>COUNTIFS(
 tblCostChecklist[RequirementID],A1639,
 tblCostChecklist[PlayerPaid],TRUE
)&gt;0</f>
        <v>0</v>
      </c>
      <c r="I1639" s="49">
        <f t="shared" si="1"/>
        <v>4</v>
      </c>
      <c r="J1639" s="49">
        <f t="shared" si="2"/>
        <v>0</v>
      </c>
      <c r="K1639" s="49">
        <f t="shared" si="3"/>
        <v>4</v>
      </c>
      <c r="L1639" s="49" t="b">
        <f t="shared" si="4"/>
        <v>0</v>
      </c>
      <c r="M1639" s="88">
        <f t="shared" si="5"/>
        <v>0</v>
      </c>
    </row>
    <row r="1640" ht="14.25" customHeight="1">
      <c r="A1640" s="49" t="s">
        <v>2773</v>
      </c>
      <c r="B1640" s="49" t="str">
        <f>IFERROR(__xludf.DUMMYFUNCTION("REGEXEXTRACT(A1640,""^cost\.(.*)\.[^.]+\.[^.]+$"")"),"collection.pantry_2@2")</f>
        <v>collection.pantry_2@2</v>
      </c>
      <c r="C1640" s="49" t="str">
        <f t="array" ref="C1640">_xlfn.XLOOKUP(
 B1640,
 tblTargets[TargetID],
 tblTargets[DisplayName],
 ""
)</f>
        <v>Pantry 2 Lv 2</v>
      </c>
      <c r="D1640" s="49" t="str">
        <f t="array" ref="D1640">_xlfn.XLOOKUP(
 B1640,
 tblTargets[TargetID],
 tblTargets[TargetType],
 ""
)</f>
        <v>COLLECTION</v>
      </c>
      <c r="E1640" s="49" t="s">
        <v>187</v>
      </c>
      <c r="F1640" s="87">
        <f>IFERROR(__xludf.DUMMYFUNCTION("VALUE(REGEXEXTRACT(A1640,""([^.]+)$""))"),2.0)</f>
        <v>2</v>
      </c>
      <c r="G1640" s="49">
        <v>200.0</v>
      </c>
      <c r="H1640" s="26" t="b">
        <f>COUNTIFS(
 tblCostChecklist[RequirementID],A1640,
 tblCostChecklist[PlayerPaid],TRUE
)&gt;0</f>
        <v>0</v>
      </c>
      <c r="I1640" s="49">
        <f t="shared" si="1"/>
        <v>4</v>
      </c>
      <c r="J1640" s="49">
        <f t="shared" si="2"/>
        <v>0</v>
      </c>
      <c r="K1640" s="49">
        <f t="shared" si="3"/>
        <v>4</v>
      </c>
      <c r="L1640" s="49" t="b">
        <f t="shared" si="4"/>
        <v>0</v>
      </c>
      <c r="M1640" s="88">
        <f t="shared" si="5"/>
        <v>0</v>
      </c>
    </row>
    <row r="1641" ht="14.25" customHeight="1">
      <c r="A1641" s="49" t="s">
        <v>2774</v>
      </c>
      <c r="B1641" s="49" t="str">
        <f>IFERROR(__xludf.DUMMYFUNCTION("REGEXEXTRACT(A1641,""^cost\.(.*)\.[^.]+\.[^.]+$"")"),"collection.pantry_2@2")</f>
        <v>collection.pantry_2@2</v>
      </c>
      <c r="C1641" s="49" t="str">
        <f t="array" ref="C1641">_xlfn.XLOOKUP(
 B1641,
 tblTargets[TargetID],
 tblTargets[DisplayName],
 ""
)</f>
        <v>Pantry 2 Lv 2</v>
      </c>
      <c r="D1641" s="49" t="str">
        <f t="array" ref="D1641">_xlfn.XLOOKUP(
 B1641,
 tblTargets[TargetID],
 tblTargets[TargetType],
 ""
)</f>
        <v>COLLECTION</v>
      </c>
      <c r="E1641" s="49" t="s">
        <v>392</v>
      </c>
      <c r="F1641" s="87">
        <f>IFERROR(__xludf.DUMMYFUNCTION("VALUE(REGEXEXTRACT(A1641,""([^.]+)$""))"),1.0)</f>
        <v>1</v>
      </c>
      <c r="G1641" s="49">
        <v>200.0</v>
      </c>
      <c r="H1641" s="26" t="b">
        <f>COUNTIFS(
 tblCostChecklist[RequirementID],A1641,
 tblCostChecklist[PlayerPaid],TRUE
)&gt;0</f>
        <v>0</v>
      </c>
      <c r="I1641" s="49">
        <f t="shared" si="1"/>
        <v>4</v>
      </c>
      <c r="J1641" s="49">
        <f t="shared" si="2"/>
        <v>0</v>
      </c>
      <c r="K1641" s="49">
        <f t="shared" si="3"/>
        <v>4</v>
      </c>
      <c r="L1641" s="49" t="b">
        <f t="shared" si="4"/>
        <v>0</v>
      </c>
      <c r="M1641" s="88">
        <f t="shared" si="5"/>
        <v>0</v>
      </c>
    </row>
    <row r="1642" ht="14.25" customHeight="1">
      <c r="A1642" s="49" t="s">
        <v>2776</v>
      </c>
      <c r="B1642" s="49" t="str">
        <f>IFERROR(__xludf.DUMMYFUNCTION("REGEXEXTRACT(A1642,""^cost\.(.*)\.[^.]+\.[^.]+$"")"),"collection.pantry_2@2")</f>
        <v>collection.pantry_2@2</v>
      </c>
      <c r="C1642" s="49" t="str">
        <f t="array" ref="C1642">_xlfn.XLOOKUP(
 B1642,
 tblTargets[TargetID],
 tblTargets[DisplayName],
 ""
)</f>
        <v>Pantry 2 Lv 2</v>
      </c>
      <c r="D1642" s="49" t="str">
        <f t="array" ref="D1642">_xlfn.XLOOKUP(
 B1642,
 tblTargets[TargetID],
 tblTargets[TargetType],
 ""
)</f>
        <v>COLLECTION</v>
      </c>
      <c r="E1642" s="49" t="s">
        <v>237</v>
      </c>
      <c r="F1642" s="87">
        <f>IFERROR(__xludf.DUMMYFUNCTION("VALUE(REGEXEXTRACT(A1642,""([^.]+)$""))"),1.0)</f>
        <v>1</v>
      </c>
      <c r="G1642" s="49">
        <v>200.0</v>
      </c>
      <c r="H1642" s="26" t="b">
        <f>COUNTIFS(
 tblCostChecklist[RequirementID],A1642,
 tblCostChecklist[PlayerPaid],TRUE
)&gt;0</f>
        <v>0</v>
      </c>
      <c r="I1642" s="49">
        <f t="shared" si="1"/>
        <v>4</v>
      </c>
      <c r="J1642" s="49">
        <f t="shared" si="2"/>
        <v>0</v>
      </c>
      <c r="K1642" s="49">
        <f t="shared" si="3"/>
        <v>4</v>
      </c>
      <c r="L1642" s="49" t="b">
        <f t="shared" si="4"/>
        <v>0</v>
      </c>
      <c r="M1642" s="88">
        <f t="shared" si="5"/>
        <v>0</v>
      </c>
    </row>
    <row r="1643" ht="14.25" customHeight="1">
      <c r="A1643" s="49" t="s">
        <v>2778</v>
      </c>
      <c r="B1643" s="49" t="str">
        <f>IFERROR(__xludf.DUMMYFUNCTION("REGEXEXTRACT(A1643,""^cost\.(.*)\.[^.]+\.[^.]+$"")"),"collection.pantry_2@3")</f>
        <v>collection.pantry_2@3</v>
      </c>
      <c r="C1643" s="49" t="str">
        <f t="array" ref="C1643">_xlfn.XLOOKUP(
 B1643,
 tblTargets[TargetID],
 tblTargets[DisplayName],
 ""
)</f>
        <v>Pantry 2 Lv 3</v>
      </c>
      <c r="D1643" s="49" t="str">
        <f t="array" ref="D1643">_xlfn.XLOOKUP(
 B1643,
 tblTargets[TargetID],
 tblTargets[TargetType],
 ""
)</f>
        <v>COLLECTION</v>
      </c>
      <c r="E1643" s="49" t="s">
        <v>187</v>
      </c>
      <c r="F1643" s="87">
        <f>IFERROR(__xludf.DUMMYFUNCTION("VALUE(REGEXEXTRACT(A1643,""([^.]+)$""))"),1.0)</f>
        <v>1</v>
      </c>
      <c r="G1643" s="49">
        <v>300.0</v>
      </c>
      <c r="H1643" s="26" t="b">
        <f>COUNTIFS(
 tblCostChecklist[RequirementID],A1643,
 tblCostChecklist[PlayerPaid],TRUE
)&gt;0</f>
        <v>0</v>
      </c>
      <c r="I1643" s="49">
        <f t="shared" si="1"/>
        <v>4</v>
      </c>
      <c r="J1643" s="49">
        <f t="shared" si="2"/>
        <v>0</v>
      </c>
      <c r="K1643" s="49">
        <f t="shared" si="3"/>
        <v>4</v>
      </c>
      <c r="L1643" s="49" t="b">
        <f t="shared" si="4"/>
        <v>0</v>
      </c>
      <c r="M1643" s="88">
        <f t="shared" si="5"/>
        <v>0</v>
      </c>
    </row>
    <row r="1644" ht="14.25" customHeight="1">
      <c r="A1644" s="49" t="s">
        <v>2780</v>
      </c>
      <c r="B1644" s="49" t="str">
        <f>IFERROR(__xludf.DUMMYFUNCTION("REGEXEXTRACT(A1644,""^cost\.(.*)\.[^.]+\.[^.]+$"")"),"collection.pantry_2@3")</f>
        <v>collection.pantry_2@3</v>
      </c>
      <c r="C1644" s="49" t="str">
        <f t="array" ref="C1644">_xlfn.XLOOKUP(
 B1644,
 tblTargets[TargetID],
 tblTargets[DisplayName],
 ""
)</f>
        <v>Pantry 2 Lv 3</v>
      </c>
      <c r="D1644" s="49" t="str">
        <f t="array" ref="D1644">_xlfn.XLOOKUP(
 B1644,
 tblTargets[TargetID],
 tblTargets[TargetType],
 ""
)</f>
        <v>COLLECTION</v>
      </c>
      <c r="E1644" s="49" t="s">
        <v>187</v>
      </c>
      <c r="F1644" s="87">
        <f>IFERROR(__xludf.DUMMYFUNCTION("VALUE(REGEXEXTRACT(A1644,""([^.]+)$""))"),2.0)</f>
        <v>2</v>
      </c>
      <c r="G1644" s="49">
        <v>300.0</v>
      </c>
      <c r="H1644" s="26" t="b">
        <f>COUNTIFS(
 tblCostChecklist[RequirementID],A1644,
 tblCostChecklist[PlayerPaid],TRUE
)&gt;0</f>
        <v>0</v>
      </c>
      <c r="I1644" s="49">
        <f t="shared" si="1"/>
        <v>4</v>
      </c>
      <c r="J1644" s="49">
        <f t="shared" si="2"/>
        <v>0</v>
      </c>
      <c r="K1644" s="49">
        <f t="shared" si="3"/>
        <v>4</v>
      </c>
      <c r="L1644" s="49" t="b">
        <f t="shared" si="4"/>
        <v>0</v>
      </c>
      <c r="M1644" s="88">
        <f t="shared" si="5"/>
        <v>0</v>
      </c>
    </row>
    <row r="1645" ht="14.25" customHeight="1">
      <c r="A1645" s="49" t="s">
        <v>2782</v>
      </c>
      <c r="B1645" s="49" t="str">
        <f>IFERROR(__xludf.DUMMYFUNCTION("REGEXEXTRACT(A1645,""^cost\.(.*)\.[^.]+\.[^.]+$"")"),"collection.pantry_2@3")</f>
        <v>collection.pantry_2@3</v>
      </c>
      <c r="C1645" s="49" t="str">
        <f t="array" ref="C1645">_xlfn.XLOOKUP(
 B1645,
 tblTargets[TargetID],
 tblTargets[DisplayName],
 ""
)</f>
        <v>Pantry 2 Lv 3</v>
      </c>
      <c r="D1645" s="49" t="str">
        <f t="array" ref="D1645">_xlfn.XLOOKUP(
 B1645,
 tblTargets[TargetID],
 tblTargets[TargetType],
 ""
)</f>
        <v>COLLECTION</v>
      </c>
      <c r="E1645" s="49" t="s">
        <v>392</v>
      </c>
      <c r="F1645" s="87">
        <f>IFERROR(__xludf.DUMMYFUNCTION("VALUE(REGEXEXTRACT(A1645,""([^.]+)$""))"),1.0)</f>
        <v>1</v>
      </c>
      <c r="G1645" s="49">
        <v>300.0</v>
      </c>
      <c r="H1645" s="26" t="b">
        <f>COUNTIFS(
 tblCostChecklist[RequirementID],A1645,
 tblCostChecklist[PlayerPaid],TRUE
)&gt;0</f>
        <v>0</v>
      </c>
      <c r="I1645" s="49">
        <f t="shared" si="1"/>
        <v>4</v>
      </c>
      <c r="J1645" s="49">
        <f t="shared" si="2"/>
        <v>0</v>
      </c>
      <c r="K1645" s="49">
        <f t="shared" si="3"/>
        <v>4</v>
      </c>
      <c r="L1645" s="49" t="b">
        <f t="shared" si="4"/>
        <v>0</v>
      </c>
      <c r="M1645" s="88">
        <f t="shared" si="5"/>
        <v>0</v>
      </c>
    </row>
    <row r="1646" ht="14.25" customHeight="1">
      <c r="A1646" s="49" t="s">
        <v>2784</v>
      </c>
      <c r="B1646" s="49" t="str">
        <f>IFERROR(__xludf.DUMMYFUNCTION("REGEXEXTRACT(A1646,""^cost\.(.*)\.[^.]+\.[^.]+$"")"),"collection.pantry_2@3")</f>
        <v>collection.pantry_2@3</v>
      </c>
      <c r="C1646" s="49" t="str">
        <f t="array" ref="C1646">_xlfn.XLOOKUP(
 B1646,
 tblTargets[TargetID],
 tblTargets[DisplayName],
 ""
)</f>
        <v>Pantry 2 Lv 3</v>
      </c>
      <c r="D1646" s="49" t="str">
        <f t="array" ref="D1646">_xlfn.XLOOKUP(
 B1646,
 tblTargets[TargetID],
 tblTargets[TargetType],
 ""
)</f>
        <v>COLLECTION</v>
      </c>
      <c r="E1646" s="49" t="s">
        <v>237</v>
      </c>
      <c r="F1646" s="87">
        <f>IFERROR(__xludf.DUMMYFUNCTION("VALUE(REGEXEXTRACT(A1646,""([^.]+)$""))"),1.0)</f>
        <v>1</v>
      </c>
      <c r="G1646" s="49">
        <v>300.0</v>
      </c>
      <c r="H1646" s="26" t="b">
        <f>COUNTIFS(
 tblCostChecklist[RequirementID],A1646,
 tblCostChecklist[PlayerPaid],TRUE
)&gt;0</f>
        <v>0</v>
      </c>
      <c r="I1646" s="49">
        <f t="shared" si="1"/>
        <v>4</v>
      </c>
      <c r="J1646" s="49">
        <f t="shared" si="2"/>
        <v>0</v>
      </c>
      <c r="K1646" s="49">
        <f t="shared" si="3"/>
        <v>4</v>
      </c>
      <c r="L1646" s="49" t="b">
        <f t="shared" si="4"/>
        <v>0</v>
      </c>
      <c r="M1646" s="88">
        <f t="shared" si="5"/>
        <v>0</v>
      </c>
    </row>
    <row r="1647" ht="14.25" customHeight="1">
      <c r="A1647" s="49" t="s">
        <v>2787</v>
      </c>
      <c r="B1647" s="49" t="str">
        <f>IFERROR(__xludf.DUMMYFUNCTION("REGEXEXTRACT(A1647,""^cost\.(.*)\.[^.]+\.[^.]+$"")"),"collection.pantry_2@4")</f>
        <v>collection.pantry_2@4</v>
      </c>
      <c r="C1647" s="49" t="str">
        <f t="array" ref="C1647">_xlfn.XLOOKUP(
 B1647,
 tblTargets[TargetID],
 tblTargets[DisplayName],
 ""
)</f>
        <v>Pantry 2 Lv 4</v>
      </c>
      <c r="D1647" s="49" t="str">
        <f t="array" ref="D1647">_xlfn.XLOOKUP(
 B1647,
 tblTargets[TargetID],
 tblTargets[TargetType],
 ""
)</f>
        <v>COLLECTION</v>
      </c>
      <c r="E1647" s="49" t="s">
        <v>187</v>
      </c>
      <c r="F1647" s="87">
        <f>IFERROR(__xludf.DUMMYFUNCTION("VALUE(REGEXEXTRACT(A1647,""([^.]+)$""))"),1.0)</f>
        <v>1</v>
      </c>
      <c r="G1647" s="49">
        <v>400.0</v>
      </c>
      <c r="H1647" s="26" t="b">
        <f>COUNTIFS(
 tblCostChecklist[RequirementID],A1647,
 tblCostChecklist[PlayerPaid],TRUE
)&gt;0</f>
        <v>0</v>
      </c>
      <c r="I1647" s="49">
        <f t="shared" si="1"/>
        <v>4</v>
      </c>
      <c r="J1647" s="49">
        <f t="shared" si="2"/>
        <v>0</v>
      </c>
      <c r="K1647" s="49">
        <f t="shared" si="3"/>
        <v>4</v>
      </c>
      <c r="L1647" s="49" t="b">
        <f t="shared" si="4"/>
        <v>0</v>
      </c>
      <c r="M1647" s="88">
        <f t="shared" si="5"/>
        <v>0</v>
      </c>
    </row>
    <row r="1648" ht="14.25" customHeight="1">
      <c r="A1648" s="49" t="s">
        <v>2789</v>
      </c>
      <c r="B1648" s="49" t="str">
        <f>IFERROR(__xludf.DUMMYFUNCTION("REGEXEXTRACT(A1648,""^cost\.(.*)\.[^.]+\.[^.]+$"")"),"collection.pantry_2@4")</f>
        <v>collection.pantry_2@4</v>
      </c>
      <c r="C1648" s="49" t="str">
        <f t="array" ref="C1648">_xlfn.XLOOKUP(
 B1648,
 tblTargets[TargetID],
 tblTargets[DisplayName],
 ""
)</f>
        <v>Pantry 2 Lv 4</v>
      </c>
      <c r="D1648" s="49" t="str">
        <f t="array" ref="D1648">_xlfn.XLOOKUP(
 B1648,
 tblTargets[TargetID],
 tblTargets[TargetType],
 ""
)</f>
        <v>COLLECTION</v>
      </c>
      <c r="E1648" s="49" t="s">
        <v>187</v>
      </c>
      <c r="F1648" s="87">
        <f>IFERROR(__xludf.DUMMYFUNCTION("VALUE(REGEXEXTRACT(A1648,""([^.]+)$""))"),2.0)</f>
        <v>2</v>
      </c>
      <c r="G1648" s="49">
        <v>400.0</v>
      </c>
      <c r="H1648" s="26" t="b">
        <f>COUNTIFS(
 tblCostChecklist[RequirementID],A1648,
 tblCostChecklist[PlayerPaid],TRUE
)&gt;0</f>
        <v>0</v>
      </c>
      <c r="I1648" s="49">
        <f t="shared" si="1"/>
        <v>4</v>
      </c>
      <c r="J1648" s="49">
        <f t="shared" si="2"/>
        <v>0</v>
      </c>
      <c r="K1648" s="49">
        <f t="shared" si="3"/>
        <v>4</v>
      </c>
      <c r="L1648" s="49" t="b">
        <f t="shared" si="4"/>
        <v>0</v>
      </c>
      <c r="M1648" s="88">
        <f t="shared" si="5"/>
        <v>0</v>
      </c>
    </row>
    <row r="1649" ht="14.25" customHeight="1">
      <c r="A1649" s="49" t="s">
        <v>2791</v>
      </c>
      <c r="B1649" s="49" t="str">
        <f>IFERROR(__xludf.DUMMYFUNCTION("REGEXEXTRACT(A1649,""^cost\.(.*)\.[^.]+\.[^.]+$"")"),"collection.pantry_2@4")</f>
        <v>collection.pantry_2@4</v>
      </c>
      <c r="C1649" s="49" t="str">
        <f t="array" ref="C1649">_xlfn.XLOOKUP(
 B1649,
 tblTargets[TargetID],
 tblTargets[DisplayName],
 ""
)</f>
        <v>Pantry 2 Lv 4</v>
      </c>
      <c r="D1649" s="49" t="str">
        <f t="array" ref="D1649">_xlfn.XLOOKUP(
 B1649,
 tblTargets[TargetID],
 tblTargets[TargetType],
 ""
)</f>
        <v>COLLECTION</v>
      </c>
      <c r="E1649" s="49" t="s">
        <v>392</v>
      </c>
      <c r="F1649" s="87">
        <f>IFERROR(__xludf.DUMMYFUNCTION("VALUE(REGEXEXTRACT(A1649,""([^.]+)$""))"),1.0)</f>
        <v>1</v>
      </c>
      <c r="G1649" s="49">
        <v>400.0</v>
      </c>
      <c r="H1649" s="26" t="b">
        <f>COUNTIFS(
 tblCostChecklist[RequirementID],A1649,
 tblCostChecklist[PlayerPaid],TRUE
)&gt;0</f>
        <v>0</v>
      </c>
      <c r="I1649" s="49">
        <f t="shared" si="1"/>
        <v>4</v>
      </c>
      <c r="J1649" s="49">
        <f t="shared" si="2"/>
        <v>0</v>
      </c>
      <c r="K1649" s="49">
        <f t="shared" si="3"/>
        <v>4</v>
      </c>
      <c r="L1649" s="49" t="b">
        <f t="shared" si="4"/>
        <v>0</v>
      </c>
      <c r="M1649" s="88">
        <f t="shared" si="5"/>
        <v>0</v>
      </c>
    </row>
    <row r="1650" ht="14.25" customHeight="1">
      <c r="A1650" s="49" t="s">
        <v>2793</v>
      </c>
      <c r="B1650" s="49" t="str">
        <f>IFERROR(__xludf.DUMMYFUNCTION("REGEXEXTRACT(A1650,""^cost\.(.*)\.[^.]+\.[^.]+$"")"),"collection.pantry_2@4")</f>
        <v>collection.pantry_2@4</v>
      </c>
      <c r="C1650" s="49" t="str">
        <f t="array" ref="C1650">_xlfn.XLOOKUP(
 B1650,
 tblTargets[TargetID],
 tblTargets[DisplayName],
 ""
)</f>
        <v>Pantry 2 Lv 4</v>
      </c>
      <c r="D1650" s="49" t="str">
        <f t="array" ref="D1650">_xlfn.XLOOKUP(
 B1650,
 tblTargets[TargetID],
 tblTargets[TargetType],
 ""
)</f>
        <v>COLLECTION</v>
      </c>
      <c r="E1650" s="49" t="s">
        <v>237</v>
      </c>
      <c r="F1650" s="87">
        <f>IFERROR(__xludf.DUMMYFUNCTION("VALUE(REGEXEXTRACT(A1650,""([^.]+)$""))"),1.0)</f>
        <v>1</v>
      </c>
      <c r="G1650" s="49">
        <v>400.0</v>
      </c>
      <c r="H1650" s="26" t="b">
        <f>COUNTIFS(
 tblCostChecklist[RequirementID],A1650,
 tblCostChecklist[PlayerPaid],TRUE
)&gt;0</f>
        <v>0</v>
      </c>
      <c r="I1650" s="49">
        <f t="shared" si="1"/>
        <v>4</v>
      </c>
      <c r="J1650" s="49">
        <f t="shared" si="2"/>
        <v>0</v>
      </c>
      <c r="K1650" s="49">
        <f t="shared" si="3"/>
        <v>4</v>
      </c>
      <c r="L1650" s="49" t="b">
        <f t="shared" si="4"/>
        <v>0</v>
      </c>
      <c r="M1650" s="88">
        <f t="shared" si="5"/>
        <v>0</v>
      </c>
    </row>
    <row r="1651" ht="14.25" customHeight="1">
      <c r="A1651" s="49" t="s">
        <v>2795</v>
      </c>
      <c r="B1651" s="49" t="str">
        <f>IFERROR(__xludf.DUMMYFUNCTION("REGEXEXTRACT(A1651,""^cost\.(.*)\.[^.]+\.[^.]+$"")"),"collection.pantry_2@5")</f>
        <v>collection.pantry_2@5</v>
      </c>
      <c r="C1651" s="49" t="str">
        <f t="array" ref="C1651">_xlfn.XLOOKUP(
 B1651,
 tblTargets[TargetID],
 tblTargets[DisplayName],
 ""
)</f>
        <v>Pantry 2 Lv 5</v>
      </c>
      <c r="D1651" s="49" t="str">
        <f t="array" ref="D1651">_xlfn.XLOOKUP(
 B1651,
 tblTargets[TargetID],
 tblTargets[TargetType],
 ""
)</f>
        <v>COLLECTION</v>
      </c>
      <c r="E1651" s="49" t="s">
        <v>187</v>
      </c>
      <c r="F1651" s="87">
        <f>IFERROR(__xludf.DUMMYFUNCTION("VALUE(REGEXEXTRACT(A1651,""([^.]+)$""))"),1.0)</f>
        <v>1</v>
      </c>
      <c r="G1651" s="49">
        <v>500.0</v>
      </c>
      <c r="H1651" s="26" t="b">
        <f>COUNTIFS(
 tblCostChecklist[RequirementID],A1651,
 tblCostChecklist[PlayerPaid],TRUE
)&gt;0</f>
        <v>0</v>
      </c>
      <c r="I1651" s="49">
        <f t="shared" si="1"/>
        <v>4</v>
      </c>
      <c r="J1651" s="49">
        <f t="shared" si="2"/>
        <v>0</v>
      </c>
      <c r="K1651" s="49">
        <f t="shared" si="3"/>
        <v>4</v>
      </c>
      <c r="L1651" s="49" t="b">
        <f t="shared" si="4"/>
        <v>0</v>
      </c>
      <c r="M1651" s="88">
        <f t="shared" si="5"/>
        <v>0</v>
      </c>
    </row>
    <row r="1652" ht="14.25" customHeight="1">
      <c r="A1652" s="49" t="s">
        <v>2797</v>
      </c>
      <c r="B1652" s="49" t="str">
        <f>IFERROR(__xludf.DUMMYFUNCTION("REGEXEXTRACT(A1652,""^cost\.(.*)\.[^.]+\.[^.]+$"")"),"collection.pantry_2@5")</f>
        <v>collection.pantry_2@5</v>
      </c>
      <c r="C1652" s="49" t="str">
        <f t="array" ref="C1652">_xlfn.XLOOKUP(
 B1652,
 tblTargets[TargetID],
 tblTargets[DisplayName],
 ""
)</f>
        <v>Pantry 2 Lv 5</v>
      </c>
      <c r="D1652" s="49" t="str">
        <f t="array" ref="D1652">_xlfn.XLOOKUP(
 B1652,
 tblTargets[TargetID],
 tblTargets[TargetType],
 ""
)</f>
        <v>COLLECTION</v>
      </c>
      <c r="E1652" s="49" t="s">
        <v>187</v>
      </c>
      <c r="F1652" s="87">
        <f>IFERROR(__xludf.DUMMYFUNCTION("VALUE(REGEXEXTRACT(A1652,""([^.]+)$""))"),2.0)</f>
        <v>2</v>
      </c>
      <c r="G1652" s="49">
        <v>500.0</v>
      </c>
      <c r="H1652" s="26" t="b">
        <f>COUNTIFS(
 tblCostChecklist[RequirementID],A1652,
 tblCostChecklist[PlayerPaid],TRUE
)&gt;0</f>
        <v>0</v>
      </c>
      <c r="I1652" s="49">
        <f t="shared" si="1"/>
        <v>4</v>
      </c>
      <c r="J1652" s="49">
        <f t="shared" si="2"/>
        <v>0</v>
      </c>
      <c r="K1652" s="49">
        <f t="shared" si="3"/>
        <v>4</v>
      </c>
      <c r="L1652" s="49" t="b">
        <f t="shared" si="4"/>
        <v>0</v>
      </c>
      <c r="M1652" s="88">
        <f t="shared" si="5"/>
        <v>0</v>
      </c>
    </row>
    <row r="1653" ht="14.25" customHeight="1">
      <c r="A1653" s="49" t="s">
        <v>2799</v>
      </c>
      <c r="B1653" s="49" t="str">
        <f>IFERROR(__xludf.DUMMYFUNCTION("REGEXEXTRACT(A1653,""^cost\.(.*)\.[^.]+\.[^.]+$"")"),"collection.pantry_2@5")</f>
        <v>collection.pantry_2@5</v>
      </c>
      <c r="C1653" s="49" t="str">
        <f t="array" ref="C1653">_xlfn.XLOOKUP(
 B1653,
 tblTargets[TargetID],
 tblTargets[DisplayName],
 ""
)</f>
        <v>Pantry 2 Lv 5</v>
      </c>
      <c r="D1653" s="49" t="str">
        <f t="array" ref="D1653">_xlfn.XLOOKUP(
 B1653,
 tblTargets[TargetID],
 tblTargets[TargetType],
 ""
)</f>
        <v>COLLECTION</v>
      </c>
      <c r="E1653" s="49" t="s">
        <v>392</v>
      </c>
      <c r="F1653" s="87">
        <f>IFERROR(__xludf.DUMMYFUNCTION("VALUE(REGEXEXTRACT(A1653,""([^.]+)$""))"),1.0)</f>
        <v>1</v>
      </c>
      <c r="G1653" s="49">
        <v>500.0</v>
      </c>
      <c r="H1653" s="26" t="b">
        <f>COUNTIFS(
 tblCostChecklist[RequirementID],A1653,
 tblCostChecklist[PlayerPaid],TRUE
)&gt;0</f>
        <v>0</v>
      </c>
      <c r="I1653" s="49">
        <f t="shared" si="1"/>
        <v>4</v>
      </c>
      <c r="J1653" s="49">
        <f t="shared" si="2"/>
        <v>0</v>
      </c>
      <c r="K1653" s="49">
        <f t="shared" si="3"/>
        <v>4</v>
      </c>
      <c r="L1653" s="49" t="b">
        <f t="shared" si="4"/>
        <v>0</v>
      </c>
      <c r="M1653" s="88">
        <f t="shared" si="5"/>
        <v>0</v>
      </c>
    </row>
    <row r="1654" ht="14.25" customHeight="1">
      <c r="A1654" s="49" t="s">
        <v>2801</v>
      </c>
      <c r="B1654" s="49" t="str">
        <f>IFERROR(__xludf.DUMMYFUNCTION("REGEXEXTRACT(A1654,""^cost\.(.*)\.[^.]+\.[^.]+$"")"),"collection.pantry_2@5")</f>
        <v>collection.pantry_2@5</v>
      </c>
      <c r="C1654" s="49" t="str">
        <f t="array" ref="C1654">_xlfn.XLOOKUP(
 B1654,
 tblTargets[TargetID],
 tblTargets[DisplayName],
 ""
)</f>
        <v>Pantry 2 Lv 5</v>
      </c>
      <c r="D1654" s="49" t="str">
        <f t="array" ref="D1654">_xlfn.XLOOKUP(
 B1654,
 tblTargets[TargetID],
 tblTargets[TargetType],
 ""
)</f>
        <v>COLLECTION</v>
      </c>
      <c r="E1654" s="49" t="s">
        <v>237</v>
      </c>
      <c r="F1654" s="87">
        <f>IFERROR(__xludf.DUMMYFUNCTION("VALUE(REGEXEXTRACT(A1654,""([^.]+)$""))"),1.0)</f>
        <v>1</v>
      </c>
      <c r="G1654" s="49">
        <v>500.0</v>
      </c>
      <c r="H1654" s="26" t="b">
        <f>COUNTIFS(
 tblCostChecklist[RequirementID],A1654,
 tblCostChecklist[PlayerPaid],TRUE
)&gt;0</f>
        <v>0</v>
      </c>
      <c r="I1654" s="49">
        <f t="shared" si="1"/>
        <v>4</v>
      </c>
      <c r="J1654" s="49">
        <f t="shared" si="2"/>
        <v>0</v>
      </c>
      <c r="K1654" s="49">
        <f t="shared" si="3"/>
        <v>4</v>
      </c>
      <c r="L1654" s="49" t="b">
        <f t="shared" si="4"/>
        <v>0</v>
      </c>
      <c r="M1654" s="88">
        <f t="shared" si="5"/>
        <v>0</v>
      </c>
    </row>
    <row r="1655" ht="14.25" customHeight="1">
      <c r="A1655" s="49" t="s">
        <v>2803</v>
      </c>
      <c r="B1655" s="49" t="str">
        <f>IFERROR(__xludf.DUMMYFUNCTION("REGEXEXTRACT(A1655,""^cost\.(.*)\.[^.]+\.[^.]+$"")"),"collection.pantry_3@1")</f>
        <v>collection.pantry_3@1</v>
      </c>
      <c r="C1655" s="49" t="str">
        <f t="array" ref="C1655">_xlfn.XLOOKUP(
 B1655,
 tblTargets[TargetID],
 tblTargets[DisplayName],
 ""
)</f>
        <v>Pantry 3 Lv 1</v>
      </c>
      <c r="D1655" s="49" t="str">
        <f t="array" ref="D1655">_xlfn.XLOOKUP(
 B1655,
 tblTargets[TargetID],
 tblTargets[TargetType],
 ""
)</f>
        <v>COLLECTION</v>
      </c>
      <c r="E1655" s="49" t="s">
        <v>283</v>
      </c>
      <c r="F1655" s="87">
        <f>IFERROR(__xludf.DUMMYFUNCTION("VALUE(REGEXEXTRACT(A1655,""([^.]+)$""))"),1.0)</f>
        <v>1</v>
      </c>
      <c r="G1655" s="49">
        <v>100.0</v>
      </c>
      <c r="H1655" s="26" t="b">
        <f>COUNTIFS(
 tblCostChecklist[RequirementID],A1655,
 tblCostChecklist[PlayerPaid],TRUE
)&gt;0</f>
        <v>0</v>
      </c>
      <c r="I1655" s="49">
        <f t="shared" si="1"/>
        <v>4</v>
      </c>
      <c r="J1655" s="49">
        <f t="shared" si="2"/>
        <v>0</v>
      </c>
      <c r="K1655" s="49">
        <f t="shared" si="3"/>
        <v>4</v>
      </c>
      <c r="L1655" s="49" t="b">
        <f t="shared" si="4"/>
        <v>0</v>
      </c>
      <c r="M1655" s="88">
        <f t="shared" si="5"/>
        <v>0</v>
      </c>
    </row>
    <row r="1656" ht="14.25" customHeight="1">
      <c r="A1656" s="49" t="s">
        <v>2805</v>
      </c>
      <c r="B1656" s="49" t="str">
        <f>IFERROR(__xludf.DUMMYFUNCTION("REGEXEXTRACT(A1656,""^cost\.(.*)\.[^.]+\.[^.]+$"")"),"collection.pantry_3@1")</f>
        <v>collection.pantry_3@1</v>
      </c>
      <c r="C1656" s="49" t="str">
        <f t="array" ref="C1656">_xlfn.XLOOKUP(
 B1656,
 tblTargets[TargetID],
 tblTargets[DisplayName],
 ""
)</f>
        <v>Pantry 3 Lv 1</v>
      </c>
      <c r="D1656" s="49" t="str">
        <f t="array" ref="D1656">_xlfn.XLOOKUP(
 B1656,
 tblTargets[TargetID],
 tblTargets[TargetType],
 ""
)</f>
        <v>COLLECTION</v>
      </c>
      <c r="E1656" s="49" t="s">
        <v>113</v>
      </c>
      <c r="F1656" s="87">
        <f>IFERROR(__xludf.DUMMYFUNCTION("VALUE(REGEXEXTRACT(A1656,""([^.]+)$""))"),1.0)</f>
        <v>1</v>
      </c>
      <c r="G1656" s="49">
        <v>100.0</v>
      </c>
      <c r="H1656" s="26" t="b">
        <f>COUNTIFS(
 tblCostChecklist[RequirementID],A1656,
 tblCostChecklist[PlayerPaid],TRUE
)&gt;0</f>
        <v>0</v>
      </c>
      <c r="I1656" s="49">
        <f t="shared" si="1"/>
        <v>4</v>
      </c>
      <c r="J1656" s="49">
        <f t="shared" si="2"/>
        <v>0</v>
      </c>
      <c r="K1656" s="49">
        <f t="shared" si="3"/>
        <v>4</v>
      </c>
      <c r="L1656" s="49" t="b">
        <f t="shared" si="4"/>
        <v>0</v>
      </c>
      <c r="M1656" s="88">
        <f t="shared" si="5"/>
        <v>0</v>
      </c>
    </row>
    <row r="1657" ht="14.25" customHeight="1">
      <c r="A1657" s="49" t="s">
        <v>2807</v>
      </c>
      <c r="B1657" s="49" t="str">
        <f>IFERROR(__xludf.DUMMYFUNCTION("REGEXEXTRACT(A1657,""^cost\.(.*)\.[^.]+\.[^.]+$"")"),"collection.pantry_3@1")</f>
        <v>collection.pantry_3@1</v>
      </c>
      <c r="C1657" s="49" t="str">
        <f t="array" ref="C1657">_xlfn.XLOOKUP(
 B1657,
 tblTargets[TargetID],
 tblTargets[DisplayName],
 ""
)</f>
        <v>Pantry 3 Lv 1</v>
      </c>
      <c r="D1657" s="49" t="str">
        <f t="array" ref="D1657">_xlfn.XLOOKUP(
 B1657,
 tblTargets[TargetID],
 tblTargets[TargetType],
 ""
)</f>
        <v>COLLECTION</v>
      </c>
      <c r="E1657" s="49" t="s">
        <v>318</v>
      </c>
      <c r="F1657" s="87">
        <f>IFERROR(__xludf.DUMMYFUNCTION("VALUE(REGEXEXTRACT(A1657,""([^.]+)$""))"),1.0)</f>
        <v>1</v>
      </c>
      <c r="G1657" s="49">
        <v>100.0</v>
      </c>
      <c r="H1657" s="26" t="b">
        <f>COUNTIFS(
 tblCostChecklist[RequirementID],A1657,
 tblCostChecklist[PlayerPaid],TRUE
)&gt;0</f>
        <v>0</v>
      </c>
      <c r="I1657" s="49">
        <f t="shared" si="1"/>
        <v>4</v>
      </c>
      <c r="J1657" s="49">
        <f t="shared" si="2"/>
        <v>0</v>
      </c>
      <c r="K1657" s="49">
        <f t="shared" si="3"/>
        <v>4</v>
      </c>
      <c r="L1657" s="49" t="b">
        <f t="shared" si="4"/>
        <v>0</v>
      </c>
      <c r="M1657" s="88">
        <f t="shared" si="5"/>
        <v>0</v>
      </c>
    </row>
    <row r="1658" ht="14.25" customHeight="1">
      <c r="A1658" s="49" t="s">
        <v>2809</v>
      </c>
      <c r="B1658" s="49" t="str">
        <f>IFERROR(__xludf.DUMMYFUNCTION("REGEXEXTRACT(A1658,""^cost\.(.*)\.[^.]+\.[^.]+$"")"),"collection.pantry_3@1")</f>
        <v>collection.pantry_3@1</v>
      </c>
      <c r="C1658" s="49" t="str">
        <f t="array" ref="C1658">_xlfn.XLOOKUP(
 B1658,
 tblTargets[TargetID],
 tblTargets[DisplayName],
 ""
)</f>
        <v>Pantry 3 Lv 1</v>
      </c>
      <c r="D1658" s="49" t="str">
        <f t="array" ref="D1658">_xlfn.XLOOKUP(
 B1658,
 tblTargets[TargetID],
 tblTargets[TargetType],
 ""
)</f>
        <v>COLLECTION</v>
      </c>
      <c r="E1658" s="49" t="s">
        <v>2811</v>
      </c>
      <c r="F1658" s="87">
        <f>IFERROR(__xludf.DUMMYFUNCTION("VALUE(REGEXEXTRACT(A1658,""([^.]+)$""))"),1.0)</f>
        <v>1</v>
      </c>
      <c r="G1658" s="49">
        <v>100.0</v>
      </c>
      <c r="H1658" s="26" t="b">
        <f>COUNTIFS(
 tblCostChecklist[RequirementID],A1658,
 tblCostChecklist[PlayerPaid],TRUE
)&gt;0</f>
        <v>0</v>
      </c>
      <c r="I1658" s="49">
        <f t="shared" si="1"/>
        <v>4</v>
      </c>
      <c r="J1658" s="49">
        <f t="shared" si="2"/>
        <v>0</v>
      </c>
      <c r="K1658" s="49">
        <f t="shared" si="3"/>
        <v>4</v>
      </c>
      <c r="L1658" s="49" t="b">
        <f t="shared" si="4"/>
        <v>0</v>
      </c>
      <c r="M1658" s="88">
        <f t="shared" si="5"/>
        <v>0</v>
      </c>
    </row>
    <row r="1659" ht="14.25" customHeight="1">
      <c r="A1659" s="49" t="s">
        <v>2812</v>
      </c>
      <c r="B1659" s="49" t="str">
        <f>IFERROR(__xludf.DUMMYFUNCTION("REGEXEXTRACT(A1659,""^cost\.(.*)\.[^.]+\.[^.]+$"")"),"collection.pantry_3@2")</f>
        <v>collection.pantry_3@2</v>
      </c>
      <c r="C1659" s="49" t="str">
        <f t="array" ref="C1659">_xlfn.XLOOKUP(
 B1659,
 tblTargets[TargetID],
 tblTargets[DisplayName],
 ""
)</f>
        <v>Pantry 3 Lv 2</v>
      </c>
      <c r="D1659" s="49" t="str">
        <f t="array" ref="D1659">_xlfn.XLOOKUP(
 B1659,
 tblTargets[TargetID],
 tblTargets[TargetType],
 ""
)</f>
        <v>COLLECTION</v>
      </c>
      <c r="E1659" s="49" t="s">
        <v>283</v>
      </c>
      <c r="F1659" s="87">
        <f>IFERROR(__xludf.DUMMYFUNCTION("VALUE(REGEXEXTRACT(A1659,""([^.]+)$""))"),1.0)</f>
        <v>1</v>
      </c>
      <c r="G1659" s="49">
        <v>200.0</v>
      </c>
      <c r="H1659" s="26" t="b">
        <f>COUNTIFS(
 tblCostChecklist[RequirementID],A1659,
 tblCostChecklist[PlayerPaid],TRUE
)&gt;0</f>
        <v>0</v>
      </c>
      <c r="I1659" s="49">
        <f t="shared" si="1"/>
        <v>4</v>
      </c>
      <c r="J1659" s="49">
        <f t="shared" si="2"/>
        <v>0</v>
      </c>
      <c r="K1659" s="49">
        <f t="shared" si="3"/>
        <v>4</v>
      </c>
      <c r="L1659" s="49" t="b">
        <f t="shared" si="4"/>
        <v>0</v>
      </c>
      <c r="M1659" s="88">
        <f t="shared" si="5"/>
        <v>0</v>
      </c>
    </row>
    <row r="1660" ht="14.25" customHeight="1">
      <c r="A1660" s="49" t="s">
        <v>2815</v>
      </c>
      <c r="B1660" s="49" t="str">
        <f>IFERROR(__xludf.DUMMYFUNCTION("REGEXEXTRACT(A1660,""^cost\.(.*)\.[^.]+\.[^.]+$"")"),"collection.pantry_3@2")</f>
        <v>collection.pantry_3@2</v>
      </c>
      <c r="C1660" s="49" t="str">
        <f t="array" ref="C1660">_xlfn.XLOOKUP(
 B1660,
 tblTargets[TargetID],
 tblTargets[DisplayName],
 ""
)</f>
        <v>Pantry 3 Lv 2</v>
      </c>
      <c r="D1660" s="49" t="str">
        <f t="array" ref="D1660">_xlfn.XLOOKUP(
 B1660,
 tblTargets[TargetID],
 tblTargets[TargetType],
 ""
)</f>
        <v>COLLECTION</v>
      </c>
      <c r="E1660" s="49" t="s">
        <v>113</v>
      </c>
      <c r="F1660" s="87">
        <f>IFERROR(__xludf.DUMMYFUNCTION("VALUE(REGEXEXTRACT(A1660,""([^.]+)$""))"),1.0)</f>
        <v>1</v>
      </c>
      <c r="G1660" s="49">
        <v>200.0</v>
      </c>
      <c r="H1660" s="26" t="b">
        <f>COUNTIFS(
 tblCostChecklist[RequirementID],A1660,
 tblCostChecklist[PlayerPaid],TRUE
)&gt;0</f>
        <v>0</v>
      </c>
      <c r="I1660" s="49">
        <f t="shared" si="1"/>
        <v>4</v>
      </c>
      <c r="J1660" s="49">
        <f t="shared" si="2"/>
        <v>0</v>
      </c>
      <c r="K1660" s="49">
        <f t="shared" si="3"/>
        <v>4</v>
      </c>
      <c r="L1660" s="49" t="b">
        <f t="shared" si="4"/>
        <v>0</v>
      </c>
      <c r="M1660" s="88">
        <f t="shared" si="5"/>
        <v>0</v>
      </c>
    </row>
    <row r="1661" ht="14.25" customHeight="1">
      <c r="A1661" s="49" t="s">
        <v>2817</v>
      </c>
      <c r="B1661" s="49" t="str">
        <f>IFERROR(__xludf.DUMMYFUNCTION("REGEXEXTRACT(A1661,""^cost\.(.*)\.[^.]+\.[^.]+$"")"),"collection.pantry_3@2")</f>
        <v>collection.pantry_3@2</v>
      </c>
      <c r="C1661" s="49" t="str">
        <f t="array" ref="C1661">_xlfn.XLOOKUP(
 B1661,
 tblTargets[TargetID],
 tblTargets[DisplayName],
 ""
)</f>
        <v>Pantry 3 Lv 2</v>
      </c>
      <c r="D1661" s="49" t="str">
        <f t="array" ref="D1661">_xlfn.XLOOKUP(
 B1661,
 tblTargets[TargetID],
 tblTargets[TargetType],
 ""
)</f>
        <v>COLLECTION</v>
      </c>
      <c r="E1661" s="49" t="s">
        <v>318</v>
      </c>
      <c r="F1661" s="87">
        <f>IFERROR(__xludf.DUMMYFUNCTION("VALUE(REGEXEXTRACT(A1661,""([^.]+)$""))"),1.0)</f>
        <v>1</v>
      </c>
      <c r="G1661" s="49">
        <v>200.0</v>
      </c>
      <c r="H1661" s="26" t="b">
        <f>COUNTIFS(
 tblCostChecklist[RequirementID],A1661,
 tblCostChecklist[PlayerPaid],TRUE
)&gt;0</f>
        <v>0</v>
      </c>
      <c r="I1661" s="49">
        <f t="shared" si="1"/>
        <v>4</v>
      </c>
      <c r="J1661" s="49">
        <f t="shared" si="2"/>
        <v>0</v>
      </c>
      <c r="K1661" s="49">
        <f t="shared" si="3"/>
        <v>4</v>
      </c>
      <c r="L1661" s="49" t="b">
        <f t="shared" si="4"/>
        <v>0</v>
      </c>
      <c r="M1661" s="88">
        <f t="shared" si="5"/>
        <v>0</v>
      </c>
    </row>
    <row r="1662" ht="14.25" customHeight="1">
      <c r="A1662" s="49" t="s">
        <v>2819</v>
      </c>
      <c r="B1662" s="49" t="str">
        <f>IFERROR(__xludf.DUMMYFUNCTION("REGEXEXTRACT(A1662,""^cost\.(.*)\.[^.]+\.[^.]+$"")"),"collection.pantry_3@2")</f>
        <v>collection.pantry_3@2</v>
      </c>
      <c r="C1662" s="49" t="str">
        <f t="array" ref="C1662">_xlfn.XLOOKUP(
 B1662,
 tblTargets[TargetID],
 tblTargets[DisplayName],
 ""
)</f>
        <v>Pantry 3 Lv 2</v>
      </c>
      <c r="D1662" s="49" t="str">
        <f t="array" ref="D1662">_xlfn.XLOOKUP(
 B1662,
 tblTargets[TargetID],
 tblTargets[TargetType],
 ""
)</f>
        <v>COLLECTION</v>
      </c>
      <c r="E1662" s="49" t="s">
        <v>2811</v>
      </c>
      <c r="F1662" s="87">
        <f>IFERROR(__xludf.DUMMYFUNCTION("VALUE(REGEXEXTRACT(A1662,""([^.]+)$""))"),1.0)</f>
        <v>1</v>
      </c>
      <c r="G1662" s="49">
        <v>200.0</v>
      </c>
      <c r="H1662" s="26" t="b">
        <f>COUNTIFS(
 tblCostChecklist[RequirementID],A1662,
 tblCostChecklist[PlayerPaid],TRUE
)&gt;0</f>
        <v>0</v>
      </c>
      <c r="I1662" s="49">
        <f t="shared" si="1"/>
        <v>4</v>
      </c>
      <c r="J1662" s="49">
        <f t="shared" si="2"/>
        <v>0</v>
      </c>
      <c r="K1662" s="49">
        <f t="shared" si="3"/>
        <v>4</v>
      </c>
      <c r="L1662" s="49" t="b">
        <f t="shared" si="4"/>
        <v>0</v>
      </c>
      <c r="M1662" s="88">
        <f t="shared" si="5"/>
        <v>0</v>
      </c>
    </row>
    <row r="1663" ht="14.25" customHeight="1">
      <c r="A1663" s="49" t="s">
        <v>2821</v>
      </c>
      <c r="B1663" s="49" t="str">
        <f>IFERROR(__xludf.DUMMYFUNCTION("REGEXEXTRACT(A1663,""^cost\.(.*)\.[^.]+\.[^.]+$"")"),"collection.pantry_3@3")</f>
        <v>collection.pantry_3@3</v>
      </c>
      <c r="C1663" s="49" t="str">
        <f t="array" ref="C1663">_xlfn.XLOOKUP(
 B1663,
 tblTargets[TargetID],
 tblTargets[DisplayName],
 ""
)</f>
        <v>Pantry 3 Lv 3</v>
      </c>
      <c r="D1663" s="49" t="str">
        <f t="array" ref="D1663">_xlfn.XLOOKUP(
 B1663,
 tblTargets[TargetID],
 tblTargets[TargetType],
 ""
)</f>
        <v>COLLECTION</v>
      </c>
      <c r="E1663" s="49" t="s">
        <v>283</v>
      </c>
      <c r="F1663" s="87">
        <f>IFERROR(__xludf.DUMMYFUNCTION("VALUE(REGEXEXTRACT(A1663,""([^.]+)$""))"),1.0)</f>
        <v>1</v>
      </c>
      <c r="G1663" s="49">
        <v>300.0</v>
      </c>
      <c r="H1663" s="26" t="b">
        <f>COUNTIFS(
 tblCostChecklist[RequirementID],A1663,
 tblCostChecklist[PlayerPaid],TRUE
)&gt;0</f>
        <v>0</v>
      </c>
      <c r="I1663" s="49">
        <f t="shared" si="1"/>
        <v>4</v>
      </c>
      <c r="J1663" s="49">
        <f t="shared" si="2"/>
        <v>0</v>
      </c>
      <c r="K1663" s="49">
        <f t="shared" si="3"/>
        <v>4</v>
      </c>
      <c r="L1663" s="49" t="b">
        <f t="shared" si="4"/>
        <v>0</v>
      </c>
      <c r="M1663" s="88">
        <f t="shared" si="5"/>
        <v>0</v>
      </c>
    </row>
    <row r="1664" ht="14.25" customHeight="1">
      <c r="A1664" s="49" t="s">
        <v>2823</v>
      </c>
      <c r="B1664" s="49" t="str">
        <f>IFERROR(__xludf.DUMMYFUNCTION("REGEXEXTRACT(A1664,""^cost\.(.*)\.[^.]+\.[^.]+$"")"),"collection.pantry_3@3")</f>
        <v>collection.pantry_3@3</v>
      </c>
      <c r="C1664" s="49" t="str">
        <f t="array" ref="C1664">_xlfn.XLOOKUP(
 B1664,
 tblTargets[TargetID],
 tblTargets[DisplayName],
 ""
)</f>
        <v>Pantry 3 Lv 3</v>
      </c>
      <c r="D1664" s="49" t="str">
        <f t="array" ref="D1664">_xlfn.XLOOKUP(
 B1664,
 tblTargets[TargetID],
 tblTargets[TargetType],
 ""
)</f>
        <v>COLLECTION</v>
      </c>
      <c r="E1664" s="49" t="s">
        <v>113</v>
      </c>
      <c r="F1664" s="87">
        <f>IFERROR(__xludf.DUMMYFUNCTION("VALUE(REGEXEXTRACT(A1664,""([^.]+)$""))"),1.0)</f>
        <v>1</v>
      </c>
      <c r="G1664" s="49">
        <v>300.0</v>
      </c>
      <c r="H1664" s="26" t="b">
        <f>COUNTIFS(
 tblCostChecklist[RequirementID],A1664,
 tblCostChecklist[PlayerPaid],TRUE
)&gt;0</f>
        <v>0</v>
      </c>
      <c r="I1664" s="49">
        <f t="shared" si="1"/>
        <v>4</v>
      </c>
      <c r="J1664" s="49">
        <f t="shared" si="2"/>
        <v>0</v>
      </c>
      <c r="K1664" s="49">
        <f t="shared" si="3"/>
        <v>4</v>
      </c>
      <c r="L1664" s="49" t="b">
        <f t="shared" si="4"/>
        <v>0</v>
      </c>
      <c r="M1664" s="88">
        <f t="shared" si="5"/>
        <v>0</v>
      </c>
    </row>
    <row r="1665" ht="14.25" customHeight="1">
      <c r="A1665" s="49" t="s">
        <v>2825</v>
      </c>
      <c r="B1665" s="49" t="str">
        <f>IFERROR(__xludf.DUMMYFUNCTION("REGEXEXTRACT(A1665,""^cost\.(.*)\.[^.]+\.[^.]+$"")"),"collection.pantry_3@3")</f>
        <v>collection.pantry_3@3</v>
      </c>
      <c r="C1665" s="49" t="str">
        <f t="array" ref="C1665">_xlfn.XLOOKUP(
 B1665,
 tblTargets[TargetID],
 tblTargets[DisplayName],
 ""
)</f>
        <v>Pantry 3 Lv 3</v>
      </c>
      <c r="D1665" s="49" t="str">
        <f t="array" ref="D1665">_xlfn.XLOOKUP(
 B1665,
 tblTargets[TargetID],
 tblTargets[TargetType],
 ""
)</f>
        <v>COLLECTION</v>
      </c>
      <c r="E1665" s="49" t="s">
        <v>318</v>
      </c>
      <c r="F1665" s="87">
        <f>IFERROR(__xludf.DUMMYFUNCTION("VALUE(REGEXEXTRACT(A1665,""([^.]+)$""))"),1.0)</f>
        <v>1</v>
      </c>
      <c r="G1665" s="49">
        <v>300.0</v>
      </c>
      <c r="H1665" s="26" t="b">
        <f>COUNTIFS(
 tblCostChecklist[RequirementID],A1665,
 tblCostChecklist[PlayerPaid],TRUE
)&gt;0</f>
        <v>0</v>
      </c>
      <c r="I1665" s="49">
        <f t="shared" si="1"/>
        <v>4</v>
      </c>
      <c r="J1665" s="49">
        <f t="shared" si="2"/>
        <v>0</v>
      </c>
      <c r="K1665" s="49">
        <f t="shared" si="3"/>
        <v>4</v>
      </c>
      <c r="L1665" s="49" t="b">
        <f t="shared" si="4"/>
        <v>0</v>
      </c>
      <c r="M1665" s="88">
        <f t="shared" si="5"/>
        <v>0</v>
      </c>
    </row>
    <row r="1666" ht="14.25" customHeight="1">
      <c r="A1666" s="49" t="s">
        <v>2827</v>
      </c>
      <c r="B1666" s="49" t="str">
        <f>IFERROR(__xludf.DUMMYFUNCTION("REGEXEXTRACT(A1666,""^cost\.(.*)\.[^.]+\.[^.]+$"")"),"collection.pantry_3@3")</f>
        <v>collection.pantry_3@3</v>
      </c>
      <c r="C1666" s="49" t="str">
        <f t="array" ref="C1666">_xlfn.XLOOKUP(
 B1666,
 tblTargets[TargetID],
 tblTargets[DisplayName],
 ""
)</f>
        <v>Pantry 3 Lv 3</v>
      </c>
      <c r="D1666" s="49" t="str">
        <f t="array" ref="D1666">_xlfn.XLOOKUP(
 B1666,
 tblTargets[TargetID],
 tblTargets[TargetType],
 ""
)</f>
        <v>COLLECTION</v>
      </c>
      <c r="E1666" s="49" t="s">
        <v>2811</v>
      </c>
      <c r="F1666" s="87">
        <f>IFERROR(__xludf.DUMMYFUNCTION("VALUE(REGEXEXTRACT(A1666,""([^.]+)$""))"),1.0)</f>
        <v>1</v>
      </c>
      <c r="G1666" s="49">
        <v>300.0</v>
      </c>
      <c r="H1666" s="26" t="b">
        <f>COUNTIFS(
 tblCostChecklist[RequirementID],A1666,
 tblCostChecklist[PlayerPaid],TRUE
)&gt;0</f>
        <v>0</v>
      </c>
      <c r="I1666" s="49">
        <f t="shared" si="1"/>
        <v>4</v>
      </c>
      <c r="J1666" s="49">
        <f t="shared" si="2"/>
        <v>0</v>
      </c>
      <c r="K1666" s="49">
        <f t="shared" si="3"/>
        <v>4</v>
      </c>
      <c r="L1666" s="49" t="b">
        <f t="shared" si="4"/>
        <v>0</v>
      </c>
      <c r="M1666" s="88">
        <f t="shared" si="5"/>
        <v>0</v>
      </c>
    </row>
    <row r="1667" ht="14.25" customHeight="1">
      <c r="A1667" s="49" t="s">
        <v>2829</v>
      </c>
      <c r="B1667" s="49" t="str">
        <f>IFERROR(__xludf.DUMMYFUNCTION("REGEXEXTRACT(A1667,""^cost\.(.*)\.[^.]+\.[^.]+$"")"),"collection.pantry_3@4")</f>
        <v>collection.pantry_3@4</v>
      </c>
      <c r="C1667" s="49" t="str">
        <f t="array" ref="C1667">_xlfn.XLOOKUP(
 B1667,
 tblTargets[TargetID],
 tblTargets[DisplayName],
 ""
)</f>
        <v>Pantry 3 Lv 4</v>
      </c>
      <c r="D1667" s="49" t="str">
        <f t="array" ref="D1667">_xlfn.XLOOKUP(
 B1667,
 tblTargets[TargetID],
 tblTargets[TargetType],
 ""
)</f>
        <v>COLLECTION</v>
      </c>
      <c r="E1667" s="49" t="s">
        <v>283</v>
      </c>
      <c r="F1667" s="87">
        <f>IFERROR(__xludf.DUMMYFUNCTION("VALUE(REGEXEXTRACT(A1667,""([^.]+)$""))"),1.0)</f>
        <v>1</v>
      </c>
      <c r="G1667" s="49">
        <v>400.0</v>
      </c>
      <c r="H1667" s="26" t="b">
        <f>COUNTIFS(
 tblCostChecklist[RequirementID],A1667,
 tblCostChecklist[PlayerPaid],TRUE
)&gt;0</f>
        <v>0</v>
      </c>
      <c r="I1667" s="49">
        <f t="shared" si="1"/>
        <v>4</v>
      </c>
      <c r="J1667" s="49">
        <f t="shared" si="2"/>
        <v>0</v>
      </c>
      <c r="K1667" s="49">
        <f t="shared" si="3"/>
        <v>4</v>
      </c>
      <c r="L1667" s="49" t="b">
        <f t="shared" si="4"/>
        <v>0</v>
      </c>
      <c r="M1667" s="88">
        <f t="shared" si="5"/>
        <v>0</v>
      </c>
    </row>
    <row r="1668" ht="14.25" customHeight="1">
      <c r="A1668" s="49" t="s">
        <v>2831</v>
      </c>
      <c r="B1668" s="49" t="str">
        <f>IFERROR(__xludf.DUMMYFUNCTION("REGEXEXTRACT(A1668,""^cost\.(.*)\.[^.]+\.[^.]+$"")"),"collection.pantry_3@4")</f>
        <v>collection.pantry_3@4</v>
      </c>
      <c r="C1668" s="49" t="str">
        <f t="array" ref="C1668">_xlfn.XLOOKUP(
 B1668,
 tblTargets[TargetID],
 tblTargets[DisplayName],
 ""
)</f>
        <v>Pantry 3 Lv 4</v>
      </c>
      <c r="D1668" s="49" t="str">
        <f t="array" ref="D1668">_xlfn.XLOOKUP(
 B1668,
 tblTargets[TargetID],
 tblTargets[TargetType],
 ""
)</f>
        <v>COLLECTION</v>
      </c>
      <c r="E1668" s="49" t="s">
        <v>113</v>
      </c>
      <c r="F1668" s="87">
        <f>IFERROR(__xludf.DUMMYFUNCTION("VALUE(REGEXEXTRACT(A1668,""([^.]+)$""))"),1.0)</f>
        <v>1</v>
      </c>
      <c r="G1668" s="49">
        <v>400.0</v>
      </c>
      <c r="H1668" s="26" t="b">
        <f>COUNTIFS(
 tblCostChecklist[RequirementID],A1668,
 tblCostChecklist[PlayerPaid],TRUE
)&gt;0</f>
        <v>0</v>
      </c>
      <c r="I1668" s="49">
        <f t="shared" si="1"/>
        <v>4</v>
      </c>
      <c r="J1668" s="49">
        <f t="shared" si="2"/>
        <v>0</v>
      </c>
      <c r="K1668" s="49">
        <f t="shared" si="3"/>
        <v>4</v>
      </c>
      <c r="L1668" s="49" t="b">
        <f t="shared" si="4"/>
        <v>0</v>
      </c>
      <c r="M1668" s="88">
        <f t="shared" si="5"/>
        <v>0</v>
      </c>
    </row>
    <row r="1669" ht="14.25" customHeight="1">
      <c r="A1669" s="49" t="s">
        <v>2833</v>
      </c>
      <c r="B1669" s="49" t="str">
        <f>IFERROR(__xludf.DUMMYFUNCTION("REGEXEXTRACT(A1669,""^cost\.(.*)\.[^.]+\.[^.]+$"")"),"collection.pantry_3@4")</f>
        <v>collection.pantry_3@4</v>
      </c>
      <c r="C1669" s="49" t="str">
        <f t="array" ref="C1669">_xlfn.XLOOKUP(
 B1669,
 tblTargets[TargetID],
 tblTargets[DisplayName],
 ""
)</f>
        <v>Pantry 3 Lv 4</v>
      </c>
      <c r="D1669" s="49" t="str">
        <f t="array" ref="D1669">_xlfn.XLOOKUP(
 B1669,
 tblTargets[TargetID],
 tblTargets[TargetType],
 ""
)</f>
        <v>COLLECTION</v>
      </c>
      <c r="E1669" s="49" t="s">
        <v>318</v>
      </c>
      <c r="F1669" s="87">
        <f>IFERROR(__xludf.DUMMYFUNCTION("VALUE(REGEXEXTRACT(A1669,""([^.]+)$""))"),1.0)</f>
        <v>1</v>
      </c>
      <c r="G1669" s="49">
        <v>400.0</v>
      </c>
      <c r="H1669" s="26" t="b">
        <f>COUNTIFS(
 tblCostChecklist[RequirementID],A1669,
 tblCostChecklist[PlayerPaid],TRUE
)&gt;0</f>
        <v>0</v>
      </c>
      <c r="I1669" s="49">
        <f t="shared" si="1"/>
        <v>4</v>
      </c>
      <c r="J1669" s="49">
        <f t="shared" si="2"/>
        <v>0</v>
      </c>
      <c r="K1669" s="49">
        <f t="shared" si="3"/>
        <v>4</v>
      </c>
      <c r="L1669" s="49" t="b">
        <f t="shared" si="4"/>
        <v>0</v>
      </c>
      <c r="M1669" s="88">
        <f t="shared" si="5"/>
        <v>0</v>
      </c>
    </row>
    <row r="1670" ht="14.25" customHeight="1">
      <c r="A1670" s="49" t="s">
        <v>2835</v>
      </c>
      <c r="B1670" s="49" t="str">
        <f>IFERROR(__xludf.DUMMYFUNCTION("REGEXEXTRACT(A1670,""^cost\.(.*)\.[^.]+\.[^.]+$"")"),"collection.pantry_3@4")</f>
        <v>collection.pantry_3@4</v>
      </c>
      <c r="C1670" s="49" t="str">
        <f t="array" ref="C1670">_xlfn.XLOOKUP(
 B1670,
 tblTargets[TargetID],
 tblTargets[DisplayName],
 ""
)</f>
        <v>Pantry 3 Lv 4</v>
      </c>
      <c r="D1670" s="49" t="str">
        <f t="array" ref="D1670">_xlfn.XLOOKUP(
 B1670,
 tblTargets[TargetID],
 tblTargets[TargetType],
 ""
)</f>
        <v>COLLECTION</v>
      </c>
      <c r="E1670" s="49" t="s">
        <v>2811</v>
      </c>
      <c r="F1670" s="87">
        <f>IFERROR(__xludf.DUMMYFUNCTION("VALUE(REGEXEXTRACT(A1670,""([^.]+)$""))"),1.0)</f>
        <v>1</v>
      </c>
      <c r="G1670" s="49">
        <v>400.0</v>
      </c>
      <c r="H1670" s="26" t="b">
        <f>COUNTIFS(
 tblCostChecklist[RequirementID],A1670,
 tblCostChecklist[PlayerPaid],TRUE
)&gt;0</f>
        <v>0</v>
      </c>
      <c r="I1670" s="49">
        <f t="shared" si="1"/>
        <v>4</v>
      </c>
      <c r="J1670" s="49">
        <f t="shared" si="2"/>
        <v>0</v>
      </c>
      <c r="K1670" s="49">
        <f t="shared" si="3"/>
        <v>4</v>
      </c>
      <c r="L1670" s="49" t="b">
        <f t="shared" si="4"/>
        <v>0</v>
      </c>
      <c r="M1670" s="88">
        <f t="shared" si="5"/>
        <v>0</v>
      </c>
    </row>
    <row r="1671" ht="14.25" customHeight="1">
      <c r="A1671" s="49" t="s">
        <v>2837</v>
      </c>
      <c r="B1671" s="49" t="str">
        <f>IFERROR(__xludf.DUMMYFUNCTION("REGEXEXTRACT(A1671,""^cost\.(.*)\.[^.]+\.[^.]+$"")"),"collection.pantry_3@5")</f>
        <v>collection.pantry_3@5</v>
      </c>
      <c r="C1671" s="49" t="str">
        <f t="array" ref="C1671">_xlfn.XLOOKUP(
 B1671,
 tblTargets[TargetID],
 tblTargets[DisplayName],
 ""
)</f>
        <v>Pantry 3 Lv 5</v>
      </c>
      <c r="D1671" s="49" t="str">
        <f t="array" ref="D1671">_xlfn.XLOOKUP(
 B1671,
 tblTargets[TargetID],
 tblTargets[TargetType],
 ""
)</f>
        <v>COLLECTION</v>
      </c>
      <c r="E1671" s="49" t="s">
        <v>283</v>
      </c>
      <c r="F1671" s="87">
        <f>IFERROR(__xludf.DUMMYFUNCTION("VALUE(REGEXEXTRACT(A1671,""([^.]+)$""))"),1.0)</f>
        <v>1</v>
      </c>
      <c r="G1671" s="49">
        <v>500.0</v>
      </c>
      <c r="H1671" s="26" t="b">
        <f>COUNTIFS(
 tblCostChecklist[RequirementID],A1671,
 tblCostChecklist[PlayerPaid],TRUE
)&gt;0</f>
        <v>0</v>
      </c>
      <c r="I1671" s="49">
        <f t="shared" si="1"/>
        <v>4</v>
      </c>
      <c r="J1671" s="49">
        <f t="shared" si="2"/>
        <v>0</v>
      </c>
      <c r="K1671" s="49">
        <f t="shared" si="3"/>
        <v>4</v>
      </c>
      <c r="L1671" s="49" t="b">
        <f t="shared" si="4"/>
        <v>0</v>
      </c>
      <c r="M1671" s="88">
        <f t="shared" si="5"/>
        <v>0</v>
      </c>
    </row>
    <row r="1672" ht="14.25" customHeight="1">
      <c r="A1672" s="49" t="s">
        <v>2839</v>
      </c>
      <c r="B1672" s="49" t="str">
        <f>IFERROR(__xludf.DUMMYFUNCTION("REGEXEXTRACT(A1672,""^cost\.(.*)\.[^.]+\.[^.]+$"")"),"collection.pantry_3@5")</f>
        <v>collection.pantry_3@5</v>
      </c>
      <c r="C1672" s="49" t="str">
        <f t="array" ref="C1672">_xlfn.XLOOKUP(
 B1672,
 tblTargets[TargetID],
 tblTargets[DisplayName],
 ""
)</f>
        <v>Pantry 3 Lv 5</v>
      </c>
      <c r="D1672" s="49" t="str">
        <f t="array" ref="D1672">_xlfn.XLOOKUP(
 B1672,
 tblTargets[TargetID],
 tblTargets[TargetType],
 ""
)</f>
        <v>COLLECTION</v>
      </c>
      <c r="E1672" s="49" t="s">
        <v>113</v>
      </c>
      <c r="F1672" s="87">
        <f>IFERROR(__xludf.DUMMYFUNCTION("VALUE(REGEXEXTRACT(A1672,""([^.]+)$""))"),1.0)</f>
        <v>1</v>
      </c>
      <c r="G1672" s="49">
        <v>500.0</v>
      </c>
      <c r="H1672" s="26" t="b">
        <f>COUNTIFS(
 tblCostChecklist[RequirementID],A1672,
 tblCostChecklist[PlayerPaid],TRUE
)&gt;0</f>
        <v>0</v>
      </c>
      <c r="I1672" s="49">
        <f t="shared" si="1"/>
        <v>4</v>
      </c>
      <c r="J1672" s="49">
        <f t="shared" si="2"/>
        <v>0</v>
      </c>
      <c r="K1672" s="49">
        <f t="shared" si="3"/>
        <v>4</v>
      </c>
      <c r="L1672" s="49" t="b">
        <f t="shared" si="4"/>
        <v>0</v>
      </c>
      <c r="M1672" s="88">
        <f t="shared" si="5"/>
        <v>0</v>
      </c>
    </row>
    <row r="1673" ht="14.25" customHeight="1">
      <c r="A1673" s="49" t="s">
        <v>2841</v>
      </c>
      <c r="B1673" s="49" t="str">
        <f>IFERROR(__xludf.DUMMYFUNCTION("REGEXEXTRACT(A1673,""^cost\.(.*)\.[^.]+\.[^.]+$"")"),"collection.pantry_3@5")</f>
        <v>collection.pantry_3@5</v>
      </c>
      <c r="C1673" s="49" t="str">
        <f t="array" ref="C1673">_xlfn.XLOOKUP(
 B1673,
 tblTargets[TargetID],
 tblTargets[DisplayName],
 ""
)</f>
        <v>Pantry 3 Lv 5</v>
      </c>
      <c r="D1673" s="49" t="str">
        <f t="array" ref="D1673">_xlfn.XLOOKUP(
 B1673,
 tblTargets[TargetID],
 tblTargets[TargetType],
 ""
)</f>
        <v>COLLECTION</v>
      </c>
      <c r="E1673" s="49" t="s">
        <v>318</v>
      </c>
      <c r="F1673" s="87">
        <f>IFERROR(__xludf.DUMMYFUNCTION("VALUE(REGEXEXTRACT(A1673,""([^.]+)$""))"),1.0)</f>
        <v>1</v>
      </c>
      <c r="G1673" s="49">
        <v>500.0</v>
      </c>
      <c r="H1673" s="26" t="b">
        <f>COUNTIFS(
 tblCostChecklist[RequirementID],A1673,
 tblCostChecklist[PlayerPaid],TRUE
)&gt;0</f>
        <v>0</v>
      </c>
      <c r="I1673" s="49">
        <f t="shared" si="1"/>
        <v>4</v>
      </c>
      <c r="J1673" s="49">
        <f t="shared" si="2"/>
        <v>0</v>
      </c>
      <c r="K1673" s="49">
        <f t="shared" si="3"/>
        <v>4</v>
      </c>
      <c r="L1673" s="49" t="b">
        <f t="shared" si="4"/>
        <v>0</v>
      </c>
      <c r="M1673" s="88">
        <f t="shared" si="5"/>
        <v>0</v>
      </c>
    </row>
    <row r="1674" ht="14.25" customHeight="1">
      <c r="A1674" s="49" t="s">
        <v>2843</v>
      </c>
      <c r="B1674" s="49" t="str">
        <f>IFERROR(__xludf.DUMMYFUNCTION("REGEXEXTRACT(A1674,""^cost\.(.*)\.[^.]+\.[^.]+$"")"),"collection.pantry_3@5")</f>
        <v>collection.pantry_3@5</v>
      </c>
      <c r="C1674" s="49" t="str">
        <f t="array" ref="C1674">_xlfn.XLOOKUP(
 B1674,
 tblTargets[TargetID],
 tblTargets[DisplayName],
 ""
)</f>
        <v>Pantry 3 Lv 5</v>
      </c>
      <c r="D1674" s="49" t="str">
        <f t="array" ref="D1674">_xlfn.XLOOKUP(
 B1674,
 tblTargets[TargetID],
 tblTargets[TargetType],
 ""
)</f>
        <v>COLLECTION</v>
      </c>
      <c r="E1674" s="49" t="s">
        <v>2811</v>
      </c>
      <c r="F1674" s="87">
        <f>IFERROR(__xludf.DUMMYFUNCTION("VALUE(REGEXEXTRACT(A1674,""([^.]+)$""))"),1.0)</f>
        <v>1</v>
      </c>
      <c r="G1674" s="49">
        <v>500.0</v>
      </c>
      <c r="H1674" s="26" t="b">
        <f>COUNTIFS(
 tblCostChecklist[RequirementID],A1674,
 tblCostChecklist[PlayerPaid],TRUE
)&gt;0</f>
        <v>0</v>
      </c>
      <c r="I1674" s="49">
        <f t="shared" si="1"/>
        <v>4</v>
      </c>
      <c r="J1674" s="49">
        <f t="shared" si="2"/>
        <v>0</v>
      </c>
      <c r="K1674" s="49">
        <f t="shared" si="3"/>
        <v>4</v>
      </c>
      <c r="L1674" s="49" t="b">
        <f t="shared" si="4"/>
        <v>0</v>
      </c>
      <c r="M1674" s="88">
        <f t="shared" si="5"/>
        <v>0</v>
      </c>
    </row>
    <row r="1675" ht="14.25" customHeight="1">
      <c r="A1675" s="49" t="s">
        <v>2845</v>
      </c>
      <c r="B1675" s="49" t="str">
        <f>IFERROR(__xludf.DUMMYFUNCTION("REGEXEXTRACT(A1675,""^cost\.(.*)\.[^.]+\.[^.]+$"")"),"collection.pantry_4@1")</f>
        <v>collection.pantry_4@1</v>
      </c>
      <c r="C1675" s="49" t="str">
        <f t="array" ref="C1675">_xlfn.XLOOKUP(
 B1675,
 tblTargets[TargetID],
 tblTargets[DisplayName],
 ""
)</f>
        <v>Pantry 4 Lv 1</v>
      </c>
      <c r="D1675" s="49" t="str">
        <f t="array" ref="D1675">_xlfn.XLOOKUP(
 B1675,
 tblTargets[TargetID],
 tblTargets[TargetType],
 ""
)</f>
        <v>COLLECTION</v>
      </c>
      <c r="E1675" s="49" t="s">
        <v>452</v>
      </c>
      <c r="F1675" s="87">
        <f>IFERROR(__xludf.DUMMYFUNCTION("VALUE(REGEXEXTRACT(A1675,""([^.]+)$""))"),1.0)</f>
        <v>1</v>
      </c>
      <c r="G1675" s="49">
        <v>20.0</v>
      </c>
      <c r="H1675" s="26" t="b">
        <f>COUNTIFS(
 tblCostChecklist[RequirementID],A1675,
 tblCostChecklist[PlayerPaid],TRUE
)&gt;0</f>
        <v>0</v>
      </c>
      <c r="I1675" s="49">
        <f t="shared" si="1"/>
        <v>3</v>
      </c>
      <c r="J1675" s="49">
        <f t="shared" si="2"/>
        <v>0</v>
      </c>
      <c r="K1675" s="49">
        <f t="shared" si="3"/>
        <v>3</v>
      </c>
      <c r="L1675" s="49" t="b">
        <f t="shared" si="4"/>
        <v>0</v>
      </c>
      <c r="M1675" s="88">
        <f t="shared" si="5"/>
        <v>0</v>
      </c>
    </row>
    <row r="1676" ht="14.25" customHeight="1">
      <c r="A1676" s="49" t="s">
        <v>2847</v>
      </c>
      <c r="B1676" s="49" t="str">
        <f>IFERROR(__xludf.DUMMYFUNCTION("REGEXEXTRACT(A1676,""^cost\.(.*)\.[^.]+\.[^.]+$"")"),"collection.pantry_4@1")</f>
        <v>collection.pantry_4@1</v>
      </c>
      <c r="C1676" s="49" t="str">
        <f t="array" ref="C1676">_xlfn.XLOOKUP(
 B1676,
 tblTargets[TargetID],
 tblTargets[DisplayName],
 ""
)</f>
        <v>Pantry 4 Lv 1</v>
      </c>
      <c r="D1676" s="49" t="str">
        <f t="array" ref="D1676">_xlfn.XLOOKUP(
 B1676,
 tblTargets[TargetID],
 tblTargets[TargetType],
 ""
)</f>
        <v>COLLECTION</v>
      </c>
      <c r="E1676" s="49" t="s">
        <v>533</v>
      </c>
      <c r="F1676" s="87">
        <f>IFERROR(__xludf.DUMMYFUNCTION("VALUE(REGEXEXTRACT(A1676,""([^.]+)$""))"),1.0)</f>
        <v>1</v>
      </c>
      <c r="G1676" s="49">
        <v>20.0</v>
      </c>
      <c r="H1676" s="26" t="b">
        <f>COUNTIFS(
 tblCostChecklist[RequirementID],A1676,
 tblCostChecklist[PlayerPaid],TRUE
)&gt;0</f>
        <v>0</v>
      </c>
      <c r="I1676" s="49">
        <f t="shared" si="1"/>
        <v>3</v>
      </c>
      <c r="J1676" s="49">
        <f t="shared" si="2"/>
        <v>0</v>
      </c>
      <c r="K1676" s="49">
        <f t="shared" si="3"/>
        <v>3</v>
      </c>
      <c r="L1676" s="49" t="b">
        <f t="shared" si="4"/>
        <v>0</v>
      </c>
      <c r="M1676" s="88">
        <f t="shared" si="5"/>
        <v>0</v>
      </c>
    </row>
    <row r="1677" ht="14.25" customHeight="1">
      <c r="A1677" s="49" t="s">
        <v>2848</v>
      </c>
      <c r="B1677" s="49" t="str">
        <f>IFERROR(__xludf.DUMMYFUNCTION("REGEXEXTRACT(A1677,""^cost\.(.*)\.[^.]+\.[^.]+$"")"),"collection.pantry_4@1")</f>
        <v>collection.pantry_4@1</v>
      </c>
      <c r="C1677" s="49" t="str">
        <f t="array" ref="C1677">_xlfn.XLOOKUP(
 B1677,
 tblTargets[TargetID],
 tblTargets[DisplayName],
 ""
)</f>
        <v>Pantry 4 Lv 1</v>
      </c>
      <c r="D1677" s="49" t="str">
        <f t="array" ref="D1677">_xlfn.XLOOKUP(
 B1677,
 tblTargets[TargetID],
 tblTargets[TargetType],
 ""
)</f>
        <v>COLLECTION</v>
      </c>
      <c r="E1677" s="49" t="s">
        <v>2849</v>
      </c>
      <c r="F1677" s="87">
        <f>IFERROR(__xludf.DUMMYFUNCTION("VALUE(REGEXEXTRACT(A1677,""([^.]+)$""))"),1.0)</f>
        <v>1</v>
      </c>
      <c r="G1677" s="49">
        <v>10.0</v>
      </c>
      <c r="H1677" s="26" t="b">
        <f>COUNTIFS(
 tblCostChecklist[RequirementID],A1677,
 tblCostChecklist[PlayerPaid],TRUE
)&gt;0</f>
        <v>0</v>
      </c>
      <c r="I1677" s="49">
        <f t="shared" si="1"/>
        <v>3</v>
      </c>
      <c r="J1677" s="49">
        <f t="shared" si="2"/>
        <v>0</v>
      </c>
      <c r="K1677" s="49">
        <f t="shared" si="3"/>
        <v>3</v>
      </c>
      <c r="L1677" s="49" t="b">
        <f t="shared" si="4"/>
        <v>0</v>
      </c>
      <c r="M1677" s="88">
        <f t="shared" si="5"/>
        <v>0</v>
      </c>
    </row>
    <row r="1678" ht="14.25" customHeight="1">
      <c r="A1678" s="49" t="s">
        <v>2861</v>
      </c>
      <c r="B1678" s="49" t="str">
        <f>IFERROR(__xludf.DUMMYFUNCTION("REGEXEXTRACT(A1678,""^cost\.(.*)\.[^.]+\.[^.]+$"")"),"collection.statue@1")</f>
        <v>collection.statue@1</v>
      </c>
      <c r="C1678" s="49" t="str">
        <f t="array" ref="C1678">_xlfn.XLOOKUP(
 B1678,
 tblTargets[TargetID],
 tblTargets[DisplayName],
 ""
)</f>
        <v>Statue Lv 1</v>
      </c>
      <c r="D1678" s="49" t="str">
        <f t="array" ref="D1678">_xlfn.XLOOKUP(
 B1678,
 tblTargets[TargetID],
 tblTargets[TargetType],
 ""
)</f>
        <v>COLLECTION</v>
      </c>
      <c r="E1678" s="49" t="s">
        <v>237</v>
      </c>
      <c r="F1678" s="87">
        <f>IFERROR(__xludf.DUMMYFUNCTION("VALUE(REGEXEXTRACT(A1678,""([^.]+)$""))"),1.0)</f>
        <v>1</v>
      </c>
      <c r="G1678" s="49">
        <v>200.0</v>
      </c>
      <c r="H1678" s="26" t="b">
        <f>COUNTIFS(
 tblCostChecklist[RequirementID],A1678,
 tblCostChecklist[PlayerPaid],TRUE
)&gt;0</f>
        <v>0</v>
      </c>
      <c r="I1678" s="49">
        <f t="shared" si="1"/>
        <v>1</v>
      </c>
      <c r="J1678" s="49">
        <f t="shared" si="2"/>
        <v>0</v>
      </c>
      <c r="K1678" s="49">
        <f t="shared" si="3"/>
        <v>1</v>
      </c>
      <c r="L1678" s="49" t="b">
        <f t="shared" si="4"/>
        <v>0</v>
      </c>
      <c r="M1678" s="88">
        <f t="shared" si="5"/>
        <v>0</v>
      </c>
    </row>
    <row r="1679" ht="14.25" customHeight="1">
      <c r="A1679" s="49" t="s">
        <v>2863</v>
      </c>
      <c r="B1679" s="49" t="str">
        <f>IFERROR(__xludf.DUMMYFUNCTION("REGEXEXTRACT(A1679,""^cost\.(.*)\.[^.]+\.[^.]+$"")"),"collection.tavern@1")</f>
        <v>collection.tavern@1</v>
      </c>
      <c r="C1679" s="49" t="str">
        <f t="array" ref="C1679">_xlfn.XLOOKUP(
 B1679,
 tblTargets[TargetID],
 tblTargets[DisplayName],
 ""
)</f>
        <v>Tavern Lv 1</v>
      </c>
      <c r="D1679" s="49" t="str">
        <f t="array" ref="D1679">_xlfn.XLOOKUP(
 B1679,
 tblTargets[TargetID],
 tblTargets[TargetType],
 ""
)</f>
        <v>COLLECTION</v>
      </c>
      <c r="E1679" s="49" t="s">
        <v>2864</v>
      </c>
      <c r="F1679" s="87">
        <f>IFERROR(__xludf.DUMMYFUNCTION("VALUE(REGEXEXTRACT(A1679,""([^.]+)$""))"),1.0)</f>
        <v>1</v>
      </c>
      <c r="G1679" s="49">
        <v>10.0</v>
      </c>
      <c r="H1679" s="26" t="b">
        <f>COUNTIFS(
 tblCostChecklist[RequirementID],A1679,
 tblCostChecklist[PlayerPaid],TRUE
)&gt;0</f>
        <v>0</v>
      </c>
      <c r="I1679" s="49">
        <f t="shared" si="1"/>
        <v>9</v>
      </c>
      <c r="J1679" s="49">
        <f t="shared" si="2"/>
        <v>0</v>
      </c>
      <c r="K1679" s="49">
        <f t="shared" si="3"/>
        <v>9</v>
      </c>
      <c r="L1679" s="49" t="b">
        <f t="shared" si="4"/>
        <v>0</v>
      </c>
      <c r="M1679" s="88">
        <f t="shared" si="5"/>
        <v>0</v>
      </c>
    </row>
    <row r="1680" ht="14.25" customHeight="1">
      <c r="A1680" s="49" t="s">
        <v>2866</v>
      </c>
      <c r="B1680" s="49" t="str">
        <f>IFERROR(__xludf.DUMMYFUNCTION("REGEXEXTRACT(A1680,""^cost\.(.*)\.[^.]+\.[^.]+$"")"),"collection.tavern@1")</f>
        <v>collection.tavern@1</v>
      </c>
      <c r="C1680" s="49" t="str">
        <f t="array" ref="C1680">_xlfn.XLOOKUP(
 B1680,
 tblTargets[TargetID],
 tblTargets[DisplayName],
 ""
)</f>
        <v>Tavern Lv 1</v>
      </c>
      <c r="D1680" s="49" t="str">
        <f t="array" ref="D1680">_xlfn.XLOOKUP(
 B1680,
 tblTargets[TargetID],
 tblTargets[TargetType],
 ""
)</f>
        <v>COLLECTION</v>
      </c>
      <c r="E1680" s="49" t="s">
        <v>2868</v>
      </c>
      <c r="F1680" s="87">
        <f>IFERROR(__xludf.DUMMYFUNCTION("VALUE(REGEXEXTRACT(A1680,""([^.]+)$""))"),1.0)</f>
        <v>1</v>
      </c>
      <c r="G1680" s="49">
        <v>10.0</v>
      </c>
      <c r="H1680" s="26" t="b">
        <f>COUNTIFS(
 tblCostChecklist[RequirementID],A1680,
 tblCostChecklist[PlayerPaid],TRUE
)&gt;0</f>
        <v>0</v>
      </c>
      <c r="I1680" s="49">
        <f t="shared" si="1"/>
        <v>9</v>
      </c>
      <c r="J1680" s="49">
        <f t="shared" si="2"/>
        <v>0</v>
      </c>
      <c r="K1680" s="49">
        <f t="shared" si="3"/>
        <v>9</v>
      </c>
      <c r="L1680" s="49" t="b">
        <f t="shared" si="4"/>
        <v>0</v>
      </c>
      <c r="M1680" s="88">
        <f t="shared" si="5"/>
        <v>0</v>
      </c>
    </row>
    <row r="1681" ht="14.25" customHeight="1">
      <c r="A1681" s="49" t="s">
        <v>2869</v>
      </c>
      <c r="B1681" s="49" t="str">
        <f>IFERROR(__xludf.DUMMYFUNCTION("REGEXEXTRACT(A1681,""^cost\.(.*)\.[^.]+\.[^.]+$"")"),"collection.tavern@1")</f>
        <v>collection.tavern@1</v>
      </c>
      <c r="C1681" s="49" t="str">
        <f t="array" ref="C1681">_xlfn.XLOOKUP(
 B1681,
 tblTargets[TargetID],
 tblTargets[DisplayName],
 ""
)</f>
        <v>Tavern Lv 1</v>
      </c>
      <c r="D1681" s="49" t="str">
        <f t="array" ref="D1681">_xlfn.XLOOKUP(
 B1681,
 tblTargets[TargetID],
 tblTargets[TargetType],
 ""
)</f>
        <v>COLLECTION</v>
      </c>
      <c r="E1681" s="49" t="s">
        <v>2871</v>
      </c>
      <c r="F1681" s="87">
        <f>IFERROR(__xludf.DUMMYFUNCTION("VALUE(REGEXEXTRACT(A1681,""([^.]+)$""))"),1.0)</f>
        <v>1</v>
      </c>
      <c r="G1681" s="49">
        <v>10.0</v>
      </c>
      <c r="H1681" s="26" t="b">
        <f>COUNTIFS(
 tblCostChecklist[RequirementID],A1681,
 tblCostChecklist[PlayerPaid],TRUE
)&gt;0</f>
        <v>0</v>
      </c>
      <c r="I1681" s="49">
        <f t="shared" si="1"/>
        <v>9</v>
      </c>
      <c r="J1681" s="49">
        <f t="shared" si="2"/>
        <v>0</v>
      </c>
      <c r="K1681" s="49">
        <f t="shared" si="3"/>
        <v>9</v>
      </c>
      <c r="L1681" s="49" t="b">
        <f t="shared" si="4"/>
        <v>0</v>
      </c>
      <c r="M1681" s="88">
        <f t="shared" si="5"/>
        <v>0</v>
      </c>
    </row>
    <row r="1682" ht="14.25" customHeight="1">
      <c r="A1682" s="49" t="s">
        <v>2872</v>
      </c>
      <c r="B1682" s="49" t="str">
        <f>IFERROR(__xludf.DUMMYFUNCTION("REGEXEXTRACT(A1682,""^cost\.(.*)\.[^.]+\.[^.]+$"")"),"collection.tavern@1")</f>
        <v>collection.tavern@1</v>
      </c>
      <c r="C1682" s="49" t="str">
        <f t="array" ref="C1682">_xlfn.XLOOKUP(
 B1682,
 tblTargets[TargetID],
 tblTargets[DisplayName],
 ""
)</f>
        <v>Tavern Lv 1</v>
      </c>
      <c r="D1682" s="49" t="str">
        <f t="array" ref="D1682">_xlfn.XLOOKUP(
 B1682,
 tblTargets[TargetID],
 tblTargets[TargetType],
 ""
)</f>
        <v>COLLECTION</v>
      </c>
      <c r="E1682" s="49" t="s">
        <v>2874</v>
      </c>
      <c r="F1682" s="87">
        <f>IFERROR(__xludf.DUMMYFUNCTION("VALUE(REGEXEXTRACT(A1682,""([^.]+)$""))"),1.0)</f>
        <v>1</v>
      </c>
      <c r="G1682" s="49">
        <v>20.0</v>
      </c>
      <c r="H1682" s="26" t="b">
        <f>COUNTIFS(
 tblCostChecklist[RequirementID],A1682,
 tblCostChecklist[PlayerPaid],TRUE
)&gt;0</f>
        <v>0</v>
      </c>
      <c r="I1682" s="49">
        <f t="shared" si="1"/>
        <v>9</v>
      </c>
      <c r="J1682" s="49">
        <f t="shared" si="2"/>
        <v>0</v>
      </c>
      <c r="K1682" s="49">
        <f t="shared" si="3"/>
        <v>9</v>
      </c>
      <c r="L1682" s="49" t="b">
        <f t="shared" si="4"/>
        <v>0</v>
      </c>
      <c r="M1682" s="88">
        <f t="shared" si="5"/>
        <v>0</v>
      </c>
    </row>
    <row r="1683" ht="14.25" customHeight="1">
      <c r="A1683" s="49" t="s">
        <v>2876</v>
      </c>
      <c r="B1683" s="49" t="str">
        <f>IFERROR(__xludf.DUMMYFUNCTION("REGEXEXTRACT(A1683,""^cost\.(.*)\.[^.]+\.[^.]+$"")"),"collection.tavern@1")</f>
        <v>collection.tavern@1</v>
      </c>
      <c r="C1683" s="49" t="str">
        <f t="array" ref="C1683">_xlfn.XLOOKUP(
 B1683,
 tblTargets[TargetID],
 tblTargets[DisplayName],
 ""
)</f>
        <v>Tavern Lv 1</v>
      </c>
      <c r="D1683" s="49" t="str">
        <f t="array" ref="D1683">_xlfn.XLOOKUP(
 B1683,
 tblTargets[TargetID],
 tblTargets[TargetType],
 ""
)</f>
        <v>COLLECTION</v>
      </c>
      <c r="E1683" s="49" t="s">
        <v>2877</v>
      </c>
      <c r="F1683" s="87">
        <f>IFERROR(__xludf.DUMMYFUNCTION("VALUE(REGEXEXTRACT(A1683,""([^.]+)$""))"),1.0)</f>
        <v>1</v>
      </c>
      <c r="G1683" s="49">
        <v>10.0</v>
      </c>
      <c r="H1683" s="26" t="b">
        <f>COUNTIFS(
 tblCostChecklist[RequirementID],A1683,
 tblCostChecklist[PlayerPaid],TRUE
)&gt;0</f>
        <v>0</v>
      </c>
      <c r="I1683" s="49">
        <f t="shared" si="1"/>
        <v>9</v>
      </c>
      <c r="J1683" s="49">
        <f t="shared" si="2"/>
        <v>0</v>
      </c>
      <c r="K1683" s="49">
        <f t="shared" si="3"/>
        <v>9</v>
      </c>
      <c r="L1683" s="49" t="b">
        <f t="shared" si="4"/>
        <v>0</v>
      </c>
      <c r="M1683" s="88">
        <f t="shared" si="5"/>
        <v>0</v>
      </c>
    </row>
    <row r="1684" ht="14.25" customHeight="1">
      <c r="A1684" s="49" t="s">
        <v>2879</v>
      </c>
      <c r="B1684" s="49" t="str">
        <f>IFERROR(__xludf.DUMMYFUNCTION("REGEXEXTRACT(A1684,""^cost\.(.*)\.[^.]+\.[^.]+$"")"),"collection.tavern@1")</f>
        <v>collection.tavern@1</v>
      </c>
      <c r="C1684" s="49" t="str">
        <f t="array" ref="C1684">_xlfn.XLOOKUP(
 B1684,
 tblTargets[TargetID],
 tblTargets[DisplayName],
 ""
)</f>
        <v>Tavern Lv 1</v>
      </c>
      <c r="D1684" s="49" t="str">
        <f t="array" ref="D1684">_xlfn.XLOOKUP(
 B1684,
 tblTargets[TargetID],
 tblTargets[TargetType],
 ""
)</f>
        <v>COLLECTION</v>
      </c>
      <c r="E1684" s="49" t="s">
        <v>576</v>
      </c>
      <c r="F1684" s="87">
        <f>IFERROR(__xludf.DUMMYFUNCTION("VALUE(REGEXEXTRACT(A1684,""([^.]+)$""))"),1.0)</f>
        <v>1</v>
      </c>
      <c r="G1684" s="49">
        <v>10.0</v>
      </c>
      <c r="H1684" s="26" t="b">
        <f>COUNTIFS(
 tblCostChecklist[RequirementID],A1684,
 tblCostChecklist[PlayerPaid],TRUE
)&gt;0</f>
        <v>0</v>
      </c>
      <c r="I1684" s="49">
        <f t="shared" si="1"/>
        <v>9</v>
      </c>
      <c r="J1684" s="49">
        <f t="shared" si="2"/>
        <v>0</v>
      </c>
      <c r="K1684" s="49">
        <f t="shared" si="3"/>
        <v>9</v>
      </c>
      <c r="L1684" s="49" t="b">
        <f t="shared" si="4"/>
        <v>0</v>
      </c>
      <c r="M1684" s="88">
        <f t="shared" si="5"/>
        <v>0</v>
      </c>
    </row>
    <row r="1685" ht="14.25" customHeight="1">
      <c r="A1685" s="49" t="s">
        <v>2881</v>
      </c>
      <c r="B1685" s="49" t="str">
        <f>IFERROR(__xludf.DUMMYFUNCTION("REGEXEXTRACT(A1685,""^cost\.(.*)\.[^.]+\.[^.]+$"")"),"collection.tavern@1")</f>
        <v>collection.tavern@1</v>
      </c>
      <c r="C1685" s="49" t="str">
        <f t="array" ref="C1685">_xlfn.XLOOKUP(
 B1685,
 tblTargets[TargetID],
 tblTargets[DisplayName],
 ""
)</f>
        <v>Tavern Lv 1</v>
      </c>
      <c r="D1685" s="49" t="str">
        <f t="array" ref="D1685">_xlfn.XLOOKUP(
 B1685,
 tblTargets[TargetID],
 tblTargets[TargetType],
 ""
)</f>
        <v>COLLECTION</v>
      </c>
      <c r="E1685" s="49" t="s">
        <v>2882</v>
      </c>
      <c r="F1685" s="87">
        <f>IFERROR(__xludf.DUMMYFUNCTION("VALUE(REGEXEXTRACT(A1685,""([^.]+)$""))"),1.0)</f>
        <v>1</v>
      </c>
      <c r="G1685" s="49">
        <v>10.0</v>
      </c>
      <c r="H1685" s="26" t="b">
        <f>COUNTIFS(
 tblCostChecklist[RequirementID],A1685,
 tblCostChecklist[PlayerPaid],TRUE
)&gt;0</f>
        <v>0</v>
      </c>
      <c r="I1685" s="49">
        <f t="shared" si="1"/>
        <v>9</v>
      </c>
      <c r="J1685" s="49">
        <f t="shared" si="2"/>
        <v>0</v>
      </c>
      <c r="K1685" s="49">
        <f t="shared" si="3"/>
        <v>9</v>
      </c>
      <c r="L1685" s="49" t="b">
        <f t="shared" si="4"/>
        <v>0</v>
      </c>
      <c r="M1685" s="88">
        <f t="shared" si="5"/>
        <v>0</v>
      </c>
    </row>
    <row r="1686" ht="14.25" customHeight="1">
      <c r="A1686" s="49" t="s">
        <v>2884</v>
      </c>
      <c r="B1686" s="49" t="str">
        <f>IFERROR(__xludf.DUMMYFUNCTION("REGEXEXTRACT(A1686,""^cost\.(.*)\.[^.]+\.[^.]+$"")"),"collection.tavern@1")</f>
        <v>collection.tavern@1</v>
      </c>
      <c r="C1686" s="49" t="str">
        <f t="array" ref="C1686">_xlfn.XLOOKUP(
 B1686,
 tblTargets[TargetID],
 tblTargets[DisplayName],
 ""
)</f>
        <v>Tavern Lv 1</v>
      </c>
      <c r="D1686" s="49" t="str">
        <f t="array" ref="D1686">_xlfn.XLOOKUP(
 B1686,
 tblTargets[TargetID],
 tblTargets[TargetType],
 ""
)</f>
        <v>COLLECTION</v>
      </c>
      <c r="E1686" s="49" t="s">
        <v>405</v>
      </c>
      <c r="F1686" s="87">
        <f>IFERROR(__xludf.DUMMYFUNCTION("VALUE(REGEXEXTRACT(A1686,""([^.]+)$""))"),1.0)</f>
        <v>1</v>
      </c>
      <c r="G1686" s="49">
        <v>10.0</v>
      </c>
      <c r="H1686" s="26" t="b">
        <f>COUNTIFS(
 tblCostChecklist[RequirementID],A1686,
 tblCostChecklist[PlayerPaid],TRUE
)&gt;0</f>
        <v>0</v>
      </c>
      <c r="I1686" s="49">
        <f t="shared" si="1"/>
        <v>9</v>
      </c>
      <c r="J1686" s="49">
        <f t="shared" si="2"/>
        <v>0</v>
      </c>
      <c r="K1686" s="49">
        <f t="shared" si="3"/>
        <v>9</v>
      </c>
      <c r="L1686" s="49" t="b">
        <f t="shared" si="4"/>
        <v>0</v>
      </c>
      <c r="M1686" s="88">
        <f t="shared" si="5"/>
        <v>0</v>
      </c>
    </row>
    <row r="1687" ht="14.25" customHeight="1">
      <c r="A1687" s="49" t="s">
        <v>2886</v>
      </c>
      <c r="B1687" s="49" t="str">
        <f>IFERROR(__xludf.DUMMYFUNCTION("REGEXEXTRACT(A1687,""^cost\.(.*)\.[^.]+\.[^.]+$"")"),"collection.tavern@1")</f>
        <v>collection.tavern@1</v>
      </c>
      <c r="C1687" s="49" t="str">
        <f t="array" ref="C1687">_xlfn.XLOOKUP(
 B1687,
 tblTargets[TargetID],
 tblTargets[DisplayName],
 ""
)</f>
        <v>Tavern Lv 1</v>
      </c>
      <c r="D1687" s="49" t="str">
        <f t="array" ref="D1687">_xlfn.XLOOKUP(
 B1687,
 tblTargets[TargetID],
 tblTargets[TargetType],
 ""
)</f>
        <v>COLLECTION</v>
      </c>
      <c r="E1687" s="49" t="s">
        <v>2887</v>
      </c>
      <c r="F1687" s="87">
        <f>IFERROR(__xludf.DUMMYFUNCTION("VALUE(REGEXEXTRACT(A1687,""([^.]+)$""))"),1.0)</f>
        <v>1</v>
      </c>
      <c r="G1687" s="49">
        <v>10.0</v>
      </c>
      <c r="H1687" s="26" t="b">
        <f>COUNTIFS(
 tblCostChecklist[RequirementID],A1687,
 tblCostChecklist[PlayerPaid],TRUE
)&gt;0</f>
        <v>0</v>
      </c>
      <c r="I1687" s="49">
        <f t="shared" si="1"/>
        <v>9</v>
      </c>
      <c r="J1687" s="49">
        <f t="shared" si="2"/>
        <v>0</v>
      </c>
      <c r="K1687" s="49">
        <f t="shared" si="3"/>
        <v>9</v>
      </c>
      <c r="L1687" s="49" t="b">
        <f t="shared" si="4"/>
        <v>0</v>
      </c>
      <c r="M1687" s="88">
        <f t="shared" si="5"/>
        <v>0</v>
      </c>
    </row>
    <row r="1688" ht="14.25" customHeight="1">
      <c r="A1688" s="49" t="s">
        <v>2889</v>
      </c>
      <c r="B1688" s="49" t="str">
        <f>IFERROR(__xludf.DUMMYFUNCTION("REGEXEXTRACT(A1688,""^cost\.(.*)\.[^.]+\.[^.]+$"")"),"collection.tavern@2")</f>
        <v>collection.tavern@2</v>
      </c>
      <c r="C1688" s="49" t="str">
        <f t="array" ref="C1688">_xlfn.XLOOKUP(
 B1688,
 tblTargets[TargetID],
 tblTargets[DisplayName],
 ""
)</f>
        <v>Tavern Lv 2</v>
      </c>
      <c r="D1688" s="49" t="str">
        <f t="array" ref="D1688">_xlfn.XLOOKUP(
 B1688,
 tblTargets[TargetID],
 tblTargets[TargetType],
 ""
)</f>
        <v>COLLECTION</v>
      </c>
      <c r="E1688" s="49" t="s">
        <v>2864</v>
      </c>
      <c r="F1688" s="87">
        <f>IFERROR(__xludf.DUMMYFUNCTION("VALUE(REGEXEXTRACT(A1688,""([^.]+)$""))"),1.0)</f>
        <v>1</v>
      </c>
      <c r="G1688" s="49">
        <v>20.0</v>
      </c>
      <c r="H1688" s="26" t="b">
        <f>COUNTIFS(
 tblCostChecklist[RequirementID],A1688,
 tblCostChecklist[PlayerPaid],TRUE
)&gt;0</f>
        <v>0</v>
      </c>
      <c r="I1688" s="49">
        <f t="shared" si="1"/>
        <v>9</v>
      </c>
      <c r="J1688" s="49">
        <f t="shared" si="2"/>
        <v>0</v>
      </c>
      <c r="K1688" s="49">
        <f t="shared" si="3"/>
        <v>9</v>
      </c>
      <c r="L1688" s="49" t="b">
        <f t="shared" si="4"/>
        <v>0</v>
      </c>
      <c r="M1688" s="88">
        <f t="shared" si="5"/>
        <v>0</v>
      </c>
    </row>
    <row r="1689" ht="14.25" customHeight="1">
      <c r="A1689" s="49" t="s">
        <v>2891</v>
      </c>
      <c r="B1689" s="49" t="str">
        <f>IFERROR(__xludf.DUMMYFUNCTION("REGEXEXTRACT(A1689,""^cost\.(.*)\.[^.]+\.[^.]+$"")"),"collection.tavern@2")</f>
        <v>collection.tavern@2</v>
      </c>
      <c r="C1689" s="49" t="str">
        <f t="array" ref="C1689">_xlfn.XLOOKUP(
 B1689,
 tblTargets[TargetID],
 tblTargets[DisplayName],
 ""
)</f>
        <v>Tavern Lv 2</v>
      </c>
      <c r="D1689" s="49" t="str">
        <f t="array" ref="D1689">_xlfn.XLOOKUP(
 B1689,
 tblTargets[TargetID],
 tblTargets[TargetType],
 ""
)</f>
        <v>COLLECTION</v>
      </c>
      <c r="E1689" s="49" t="s">
        <v>2868</v>
      </c>
      <c r="F1689" s="87">
        <f>IFERROR(__xludf.DUMMYFUNCTION("VALUE(REGEXEXTRACT(A1689,""([^.]+)$""))"),1.0)</f>
        <v>1</v>
      </c>
      <c r="G1689" s="49">
        <v>20.0</v>
      </c>
      <c r="H1689" s="26" t="b">
        <f>COUNTIFS(
 tblCostChecklist[RequirementID],A1689,
 tblCostChecklist[PlayerPaid],TRUE
)&gt;0</f>
        <v>0</v>
      </c>
      <c r="I1689" s="49">
        <f t="shared" si="1"/>
        <v>9</v>
      </c>
      <c r="J1689" s="49">
        <f t="shared" si="2"/>
        <v>0</v>
      </c>
      <c r="K1689" s="49">
        <f t="shared" si="3"/>
        <v>9</v>
      </c>
      <c r="L1689" s="49" t="b">
        <f t="shared" si="4"/>
        <v>0</v>
      </c>
      <c r="M1689" s="88">
        <f t="shared" si="5"/>
        <v>0</v>
      </c>
    </row>
    <row r="1690" ht="14.25" customHeight="1">
      <c r="A1690" s="49" t="s">
        <v>2892</v>
      </c>
      <c r="B1690" s="49" t="str">
        <f>IFERROR(__xludf.DUMMYFUNCTION("REGEXEXTRACT(A1690,""^cost\.(.*)\.[^.]+\.[^.]+$"")"),"collection.tavern@2")</f>
        <v>collection.tavern@2</v>
      </c>
      <c r="C1690" s="49" t="str">
        <f t="array" ref="C1690">_xlfn.XLOOKUP(
 B1690,
 tblTargets[TargetID],
 tblTargets[DisplayName],
 ""
)</f>
        <v>Tavern Lv 2</v>
      </c>
      <c r="D1690" s="49" t="str">
        <f t="array" ref="D1690">_xlfn.XLOOKUP(
 B1690,
 tblTargets[TargetID],
 tblTargets[TargetType],
 ""
)</f>
        <v>COLLECTION</v>
      </c>
      <c r="E1690" s="49" t="s">
        <v>2871</v>
      </c>
      <c r="F1690" s="87">
        <f>IFERROR(__xludf.DUMMYFUNCTION("VALUE(REGEXEXTRACT(A1690,""([^.]+)$""))"),1.0)</f>
        <v>1</v>
      </c>
      <c r="G1690" s="49">
        <v>20.0</v>
      </c>
      <c r="H1690" s="26" t="b">
        <f>COUNTIFS(
 tblCostChecklist[RequirementID],A1690,
 tblCostChecklist[PlayerPaid],TRUE
)&gt;0</f>
        <v>0</v>
      </c>
      <c r="I1690" s="49">
        <f t="shared" si="1"/>
        <v>9</v>
      </c>
      <c r="J1690" s="49">
        <f t="shared" si="2"/>
        <v>0</v>
      </c>
      <c r="K1690" s="49">
        <f t="shared" si="3"/>
        <v>9</v>
      </c>
      <c r="L1690" s="49" t="b">
        <f t="shared" si="4"/>
        <v>0</v>
      </c>
      <c r="M1690" s="88">
        <f t="shared" si="5"/>
        <v>0</v>
      </c>
    </row>
    <row r="1691" ht="14.25" customHeight="1">
      <c r="A1691" s="49" t="s">
        <v>2894</v>
      </c>
      <c r="B1691" s="49" t="str">
        <f>IFERROR(__xludf.DUMMYFUNCTION("REGEXEXTRACT(A1691,""^cost\.(.*)\.[^.]+\.[^.]+$"")"),"collection.tavern@2")</f>
        <v>collection.tavern@2</v>
      </c>
      <c r="C1691" s="49" t="str">
        <f t="array" ref="C1691">_xlfn.XLOOKUP(
 B1691,
 tblTargets[TargetID],
 tblTargets[DisplayName],
 ""
)</f>
        <v>Tavern Lv 2</v>
      </c>
      <c r="D1691" s="49" t="str">
        <f t="array" ref="D1691">_xlfn.XLOOKUP(
 B1691,
 tblTargets[TargetID],
 tblTargets[TargetType],
 ""
)</f>
        <v>COLLECTION</v>
      </c>
      <c r="E1691" s="49" t="s">
        <v>2874</v>
      </c>
      <c r="F1691" s="87">
        <f>IFERROR(__xludf.DUMMYFUNCTION("VALUE(REGEXEXTRACT(A1691,""([^.]+)$""))"),1.0)</f>
        <v>1</v>
      </c>
      <c r="G1691" s="49">
        <v>40.0</v>
      </c>
      <c r="H1691" s="26" t="b">
        <f>COUNTIFS(
 tblCostChecklist[RequirementID],A1691,
 tblCostChecklist[PlayerPaid],TRUE
)&gt;0</f>
        <v>0</v>
      </c>
      <c r="I1691" s="49">
        <f t="shared" si="1"/>
        <v>9</v>
      </c>
      <c r="J1691" s="49">
        <f t="shared" si="2"/>
        <v>0</v>
      </c>
      <c r="K1691" s="49">
        <f t="shared" si="3"/>
        <v>9</v>
      </c>
      <c r="L1691" s="49" t="b">
        <f t="shared" si="4"/>
        <v>0</v>
      </c>
      <c r="M1691" s="88">
        <f t="shared" si="5"/>
        <v>0</v>
      </c>
    </row>
    <row r="1692" ht="14.25" customHeight="1">
      <c r="A1692" s="49" t="s">
        <v>2896</v>
      </c>
      <c r="B1692" s="49" t="str">
        <f>IFERROR(__xludf.DUMMYFUNCTION("REGEXEXTRACT(A1692,""^cost\.(.*)\.[^.]+\.[^.]+$"")"),"collection.tavern@2")</f>
        <v>collection.tavern@2</v>
      </c>
      <c r="C1692" s="49" t="str">
        <f t="array" ref="C1692">_xlfn.XLOOKUP(
 B1692,
 tblTargets[TargetID],
 tblTargets[DisplayName],
 ""
)</f>
        <v>Tavern Lv 2</v>
      </c>
      <c r="D1692" s="49" t="str">
        <f t="array" ref="D1692">_xlfn.XLOOKUP(
 B1692,
 tblTargets[TargetID],
 tblTargets[TargetType],
 ""
)</f>
        <v>COLLECTION</v>
      </c>
      <c r="E1692" s="49" t="s">
        <v>2877</v>
      </c>
      <c r="F1692" s="87">
        <f>IFERROR(__xludf.DUMMYFUNCTION("VALUE(REGEXEXTRACT(A1692,""([^.]+)$""))"),1.0)</f>
        <v>1</v>
      </c>
      <c r="G1692" s="49">
        <v>20.0</v>
      </c>
      <c r="H1692" s="26" t="b">
        <f>COUNTIFS(
 tblCostChecklist[RequirementID],A1692,
 tblCostChecklist[PlayerPaid],TRUE
)&gt;0</f>
        <v>0</v>
      </c>
      <c r="I1692" s="49">
        <f t="shared" si="1"/>
        <v>9</v>
      </c>
      <c r="J1692" s="49">
        <f t="shared" si="2"/>
        <v>0</v>
      </c>
      <c r="K1692" s="49">
        <f t="shared" si="3"/>
        <v>9</v>
      </c>
      <c r="L1692" s="49" t="b">
        <f t="shared" si="4"/>
        <v>0</v>
      </c>
      <c r="M1692" s="88">
        <f t="shared" si="5"/>
        <v>0</v>
      </c>
    </row>
    <row r="1693" ht="14.25" customHeight="1">
      <c r="A1693" s="49" t="s">
        <v>2899</v>
      </c>
      <c r="B1693" s="49" t="str">
        <f>IFERROR(__xludf.DUMMYFUNCTION("REGEXEXTRACT(A1693,""^cost\.(.*)\.[^.]+\.[^.]+$"")"),"collection.tavern@2")</f>
        <v>collection.tavern@2</v>
      </c>
      <c r="C1693" s="49" t="str">
        <f t="array" ref="C1693">_xlfn.XLOOKUP(
 B1693,
 tblTargets[TargetID],
 tblTargets[DisplayName],
 ""
)</f>
        <v>Tavern Lv 2</v>
      </c>
      <c r="D1693" s="49" t="str">
        <f t="array" ref="D1693">_xlfn.XLOOKUP(
 B1693,
 tblTargets[TargetID],
 tblTargets[TargetType],
 ""
)</f>
        <v>COLLECTION</v>
      </c>
      <c r="E1693" s="49" t="s">
        <v>576</v>
      </c>
      <c r="F1693" s="87">
        <f>IFERROR(__xludf.DUMMYFUNCTION("VALUE(REGEXEXTRACT(A1693,""([^.]+)$""))"),1.0)</f>
        <v>1</v>
      </c>
      <c r="G1693" s="49">
        <v>20.0</v>
      </c>
      <c r="H1693" s="26" t="b">
        <f>COUNTIFS(
 tblCostChecklist[RequirementID],A1693,
 tblCostChecklist[PlayerPaid],TRUE
)&gt;0</f>
        <v>0</v>
      </c>
      <c r="I1693" s="49">
        <f t="shared" si="1"/>
        <v>9</v>
      </c>
      <c r="J1693" s="49">
        <f t="shared" si="2"/>
        <v>0</v>
      </c>
      <c r="K1693" s="49">
        <f t="shared" si="3"/>
        <v>9</v>
      </c>
      <c r="L1693" s="49" t="b">
        <f t="shared" si="4"/>
        <v>0</v>
      </c>
      <c r="M1693" s="88">
        <f t="shared" si="5"/>
        <v>0</v>
      </c>
    </row>
    <row r="1694" ht="14.25" customHeight="1">
      <c r="A1694" s="49" t="s">
        <v>2901</v>
      </c>
      <c r="B1694" s="49" t="str">
        <f>IFERROR(__xludf.DUMMYFUNCTION("REGEXEXTRACT(A1694,""^cost\.(.*)\.[^.]+\.[^.]+$"")"),"collection.tavern@2")</f>
        <v>collection.tavern@2</v>
      </c>
      <c r="C1694" s="49" t="str">
        <f t="array" ref="C1694">_xlfn.XLOOKUP(
 B1694,
 tblTargets[TargetID],
 tblTargets[DisplayName],
 ""
)</f>
        <v>Tavern Lv 2</v>
      </c>
      <c r="D1694" s="49" t="str">
        <f t="array" ref="D1694">_xlfn.XLOOKUP(
 B1694,
 tblTargets[TargetID],
 tblTargets[TargetType],
 ""
)</f>
        <v>COLLECTION</v>
      </c>
      <c r="E1694" s="49" t="s">
        <v>2882</v>
      </c>
      <c r="F1694" s="87">
        <f>IFERROR(__xludf.DUMMYFUNCTION("VALUE(REGEXEXTRACT(A1694,""([^.]+)$""))"),1.0)</f>
        <v>1</v>
      </c>
      <c r="G1694" s="49">
        <v>20.0</v>
      </c>
      <c r="H1694" s="26" t="b">
        <f>COUNTIFS(
 tblCostChecklist[RequirementID],A1694,
 tblCostChecklist[PlayerPaid],TRUE
)&gt;0</f>
        <v>0</v>
      </c>
      <c r="I1694" s="49">
        <f t="shared" si="1"/>
        <v>9</v>
      </c>
      <c r="J1694" s="49">
        <f t="shared" si="2"/>
        <v>0</v>
      </c>
      <c r="K1694" s="49">
        <f t="shared" si="3"/>
        <v>9</v>
      </c>
      <c r="L1694" s="49" t="b">
        <f t="shared" si="4"/>
        <v>0</v>
      </c>
      <c r="M1694" s="88">
        <f t="shared" si="5"/>
        <v>0</v>
      </c>
    </row>
    <row r="1695" ht="14.25" customHeight="1">
      <c r="A1695" s="49" t="s">
        <v>2903</v>
      </c>
      <c r="B1695" s="49" t="str">
        <f>IFERROR(__xludf.DUMMYFUNCTION("REGEXEXTRACT(A1695,""^cost\.(.*)\.[^.]+\.[^.]+$"")"),"collection.tavern@2")</f>
        <v>collection.tavern@2</v>
      </c>
      <c r="C1695" s="49" t="str">
        <f t="array" ref="C1695">_xlfn.XLOOKUP(
 B1695,
 tblTargets[TargetID],
 tblTargets[DisplayName],
 ""
)</f>
        <v>Tavern Lv 2</v>
      </c>
      <c r="D1695" s="49" t="str">
        <f t="array" ref="D1695">_xlfn.XLOOKUP(
 B1695,
 tblTargets[TargetID],
 tblTargets[TargetType],
 ""
)</f>
        <v>COLLECTION</v>
      </c>
      <c r="E1695" s="49" t="s">
        <v>405</v>
      </c>
      <c r="F1695" s="87">
        <f>IFERROR(__xludf.DUMMYFUNCTION("VALUE(REGEXEXTRACT(A1695,""([^.]+)$""))"),1.0)</f>
        <v>1</v>
      </c>
      <c r="G1695" s="49">
        <v>20.0</v>
      </c>
      <c r="H1695" s="26" t="b">
        <f>COUNTIFS(
 tblCostChecklist[RequirementID],A1695,
 tblCostChecklist[PlayerPaid],TRUE
)&gt;0</f>
        <v>0</v>
      </c>
      <c r="I1695" s="49">
        <f t="shared" si="1"/>
        <v>9</v>
      </c>
      <c r="J1695" s="49">
        <f t="shared" si="2"/>
        <v>0</v>
      </c>
      <c r="K1695" s="49">
        <f t="shared" si="3"/>
        <v>9</v>
      </c>
      <c r="L1695" s="49" t="b">
        <f t="shared" si="4"/>
        <v>0</v>
      </c>
      <c r="M1695" s="88">
        <f t="shared" si="5"/>
        <v>0</v>
      </c>
    </row>
    <row r="1696" ht="14.25" customHeight="1">
      <c r="A1696" s="49" t="s">
        <v>2905</v>
      </c>
      <c r="B1696" s="49" t="str">
        <f>IFERROR(__xludf.DUMMYFUNCTION("REGEXEXTRACT(A1696,""^cost\.(.*)\.[^.]+\.[^.]+$"")"),"collection.tavern@2")</f>
        <v>collection.tavern@2</v>
      </c>
      <c r="C1696" s="49" t="str">
        <f t="array" ref="C1696">_xlfn.XLOOKUP(
 B1696,
 tblTargets[TargetID],
 tblTargets[DisplayName],
 ""
)</f>
        <v>Tavern Lv 2</v>
      </c>
      <c r="D1696" s="49" t="str">
        <f t="array" ref="D1696">_xlfn.XLOOKUP(
 B1696,
 tblTargets[TargetID],
 tblTargets[TargetType],
 ""
)</f>
        <v>COLLECTION</v>
      </c>
      <c r="E1696" s="49" t="s">
        <v>2887</v>
      </c>
      <c r="F1696" s="87">
        <f>IFERROR(__xludf.DUMMYFUNCTION("VALUE(REGEXEXTRACT(A1696,""([^.]+)$""))"),1.0)</f>
        <v>1</v>
      </c>
      <c r="G1696" s="49">
        <v>20.0</v>
      </c>
      <c r="H1696" s="26" t="b">
        <f>COUNTIFS(
 tblCostChecklist[RequirementID],A1696,
 tblCostChecklist[PlayerPaid],TRUE
)&gt;0</f>
        <v>0</v>
      </c>
      <c r="I1696" s="49">
        <f t="shared" si="1"/>
        <v>9</v>
      </c>
      <c r="J1696" s="49">
        <f t="shared" si="2"/>
        <v>0</v>
      </c>
      <c r="K1696" s="49">
        <f t="shared" si="3"/>
        <v>9</v>
      </c>
      <c r="L1696" s="49" t="b">
        <f t="shared" si="4"/>
        <v>0</v>
      </c>
      <c r="M1696" s="88">
        <f t="shared" si="5"/>
        <v>0</v>
      </c>
    </row>
    <row r="1697" ht="14.25" customHeight="1">
      <c r="A1697" s="49" t="s">
        <v>2907</v>
      </c>
      <c r="B1697" s="49" t="str">
        <f>IFERROR(__xludf.DUMMYFUNCTION("REGEXEXTRACT(A1697,""^cost\.(.*)\.[^.]+\.[^.]+$"")"),"collection.treasury_1@1")</f>
        <v>collection.treasury_1@1</v>
      </c>
      <c r="C1697" s="49" t="str">
        <f t="array" ref="C1697">_xlfn.XLOOKUP(
 B1697,
 tblTargets[TargetID],
 tblTargets[DisplayName],
 ""
)</f>
        <v>Treasury 1 Lv 1</v>
      </c>
      <c r="D1697" s="49" t="str">
        <f t="array" ref="D1697">_xlfn.XLOOKUP(
 B1697,
 tblTargets[TargetID],
 tblTargets[TargetType],
 ""
)</f>
        <v>COLLECTION</v>
      </c>
      <c r="E1697" s="49" t="s">
        <v>119</v>
      </c>
      <c r="F1697" s="87">
        <f>IFERROR(__xludf.DUMMYFUNCTION("VALUE(REGEXEXTRACT(A1697,""([^.]+)$""))"),1.0)</f>
        <v>1</v>
      </c>
      <c r="G1697" s="49">
        <v>1000.0</v>
      </c>
      <c r="H1697" s="26" t="b">
        <f>COUNTIFS(
 tblCostChecklist[RequirementID],A1697,
 tblCostChecklist[PlayerPaid],TRUE
)&gt;0</f>
        <v>0</v>
      </c>
      <c r="I1697" s="49">
        <f t="shared" si="1"/>
        <v>8</v>
      </c>
      <c r="J1697" s="49">
        <f t="shared" si="2"/>
        <v>0</v>
      </c>
      <c r="K1697" s="49">
        <f t="shared" si="3"/>
        <v>8</v>
      </c>
      <c r="L1697" s="49" t="b">
        <f t="shared" si="4"/>
        <v>0</v>
      </c>
      <c r="M1697" s="88">
        <f t="shared" si="5"/>
        <v>0</v>
      </c>
    </row>
    <row r="1698" ht="14.25" customHeight="1">
      <c r="A1698" s="49" t="s">
        <v>2909</v>
      </c>
      <c r="B1698" s="49" t="str">
        <f>IFERROR(__xludf.DUMMYFUNCTION("REGEXEXTRACT(A1698,""^cost\.(.*)\.[^.]+\.[^.]+$"")"),"collection.treasury_1@1")</f>
        <v>collection.treasury_1@1</v>
      </c>
      <c r="C1698" s="49" t="str">
        <f t="array" ref="C1698">_xlfn.XLOOKUP(
 B1698,
 tblTargets[TargetID],
 tblTargets[DisplayName],
 ""
)</f>
        <v>Treasury 1 Lv 1</v>
      </c>
      <c r="D1698" s="49" t="str">
        <f t="array" ref="D1698">_xlfn.XLOOKUP(
 B1698,
 tblTargets[TargetID],
 tblTargets[TargetType],
 ""
)</f>
        <v>COLLECTION</v>
      </c>
      <c r="E1698" s="49" t="s">
        <v>119</v>
      </c>
      <c r="F1698" s="87">
        <f>IFERROR(__xludf.DUMMYFUNCTION("VALUE(REGEXEXTRACT(A1698,""([^.]+)$""))"),2.0)</f>
        <v>2</v>
      </c>
      <c r="G1698" s="49">
        <v>1000.0</v>
      </c>
      <c r="H1698" s="26" t="b">
        <f>COUNTIFS(
 tblCostChecklist[RequirementID],A1698,
 tblCostChecklist[PlayerPaid],TRUE
)&gt;0</f>
        <v>0</v>
      </c>
      <c r="I1698" s="49">
        <f t="shared" si="1"/>
        <v>8</v>
      </c>
      <c r="J1698" s="49">
        <f t="shared" si="2"/>
        <v>0</v>
      </c>
      <c r="K1698" s="49">
        <f t="shared" si="3"/>
        <v>8</v>
      </c>
      <c r="L1698" s="49" t="b">
        <f t="shared" si="4"/>
        <v>0</v>
      </c>
      <c r="M1698" s="88">
        <f t="shared" si="5"/>
        <v>0</v>
      </c>
    </row>
    <row r="1699" ht="14.25" customHeight="1">
      <c r="A1699" s="49" t="s">
        <v>2912</v>
      </c>
      <c r="B1699" s="49" t="str">
        <f>IFERROR(__xludf.DUMMYFUNCTION("REGEXEXTRACT(A1699,""^cost\.(.*)\.[^.]+\.[^.]+$"")"),"collection.treasury_1@1")</f>
        <v>collection.treasury_1@1</v>
      </c>
      <c r="C1699" s="49" t="str">
        <f t="array" ref="C1699">_xlfn.XLOOKUP(
 B1699,
 tblTargets[TargetID],
 tblTargets[DisplayName],
 ""
)</f>
        <v>Treasury 1 Lv 1</v>
      </c>
      <c r="D1699" s="49" t="str">
        <f t="array" ref="D1699">_xlfn.XLOOKUP(
 B1699,
 tblTargets[TargetID],
 tblTargets[TargetType],
 ""
)</f>
        <v>COLLECTION</v>
      </c>
      <c r="E1699" s="49" t="s">
        <v>1060</v>
      </c>
      <c r="F1699" s="87">
        <f>IFERROR(__xludf.DUMMYFUNCTION("VALUE(REGEXEXTRACT(A1699,""([^.]+)$""))"),1.0)</f>
        <v>1</v>
      </c>
      <c r="G1699" s="49">
        <v>250.0</v>
      </c>
      <c r="H1699" s="26" t="b">
        <f>COUNTIFS(
 tblCostChecklist[RequirementID],A1699,
 tblCostChecklist[PlayerPaid],TRUE
)&gt;0</f>
        <v>0</v>
      </c>
      <c r="I1699" s="49">
        <f t="shared" si="1"/>
        <v>8</v>
      </c>
      <c r="J1699" s="49">
        <f t="shared" si="2"/>
        <v>0</v>
      </c>
      <c r="K1699" s="49">
        <f t="shared" si="3"/>
        <v>8</v>
      </c>
      <c r="L1699" s="49" t="b">
        <f t="shared" si="4"/>
        <v>0</v>
      </c>
      <c r="M1699" s="88">
        <f t="shared" si="5"/>
        <v>0</v>
      </c>
    </row>
    <row r="1700" ht="14.25" customHeight="1">
      <c r="A1700" s="49" t="s">
        <v>2914</v>
      </c>
      <c r="B1700" s="49" t="str">
        <f>IFERROR(__xludf.DUMMYFUNCTION("REGEXEXTRACT(A1700,""^cost\.(.*)\.[^.]+\.[^.]+$"")"),"collection.treasury_1@1")</f>
        <v>collection.treasury_1@1</v>
      </c>
      <c r="C1700" s="49" t="str">
        <f t="array" ref="C1700">_xlfn.XLOOKUP(
 B1700,
 tblTargets[TargetID],
 tblTargets[DisplayName],
 ""
)</f>
        <v>Treasury 1 Lv 1</v>
      </c>
      <c r="D1700" s="49" t="str">
        <f t="array" ref="D1700">_xlfn.XLOOKUP(
 B1700,
 tblTargets[TargetID],
 tblTargets[TargetType],
 ""
)</f>
        <v>COLLECTION</v>
      </c>
      <c r="E1700" s="49" t="s">
        <v>2915</v>
      </c>
      <c r="F1700" s="87">
        <f>IFERROR(__xludf.DUMMYFUNCTION("VALUE(REGEXEXTRACT(A1700,""([^.]+)$""))"),1.0)</f>
        <v>1</v>
      </c>
      <c r="G1700" s="49">
        <v>250.0</v>
      </c>
      <c r="H1700" s="26" t="b">
        <f>COUNTIFS(
 tblCostChecklist[RequirementID],A1700,
 tblCostChecklist[PlayerPaid],TRUE
)&gt;0</f>
        <v>0</v>
      </c>
      <c r="I1700" s="49">
        <f t="shared" si="1"/>
        <v>8</v>
      </c>
      <c r="J1700" s="49">
        <f t="shared" si="2"/>
        <v>0</v>
      </c>
      <c r="K1700" s="49">
        <f t="shared" si="3"/>
        <v>8</v>
      </c>
      <c r="L1700" s="49" t="b">
        <f t="shared" si="4"/>
        <v>0</v>
      </c>
      <c r="M1700" s="88">
        <f t="shared" si="5"/>
        <v>0</v>
      </c>
    </row>
    <row r="1701" ht="14.25" customHeight="1">
      <c r="A1701" s="49" t="s">
        <v>2917</v>
      </c>
      <c r="B1701" s="49" t="str">
        <f>IFERROR(__xludf.DUMMYFUNCTION("REGEXEXTRACT(A1701,""^cost\.(.*)\.[^.]+\.[^.]+$"")"),"collection.treasury_1@1")</f>
        <v>collection.treasury_1@1</v>
      </c>
      <c r="C1701" s="49" t="str">
        <f t="array" ref="C1701">_xlfn.XLOOKUP(
 B1701,
 tblTargets[TargetID],
 tblTargets[DisplayName],
 ""
)</f>
        <v>Treasury 1 Lv 1</v>
      </c>
      <c r="D1701" s="49" t="str">
        <f t="array" ref="D1701">_xlfn.XLOOKUP(
 B1701,
 tblTargets[TargetID],
 tblTargets[TargetType],
 ""
)</f>
        <v>COLLECTION</v>
      </c>
      <c r="E1701" s="49" t="s">
        <v>412</v>
      </c>
      <c r="F1701" s="87">
        <f>IFERROR(__xludf.DUMMYFUNCTION("VALUE(REGEXEXTRACT(A1701,""([^.]+)$""))"),1.0)</f>
        <v>1</v>
      </c>
      <c r="G1701" s="49">
        <v>10.0</v>
      </c>
      <c r="H1701" s="26" t="b">
        <f>COUNTIFS(
 tblCostChecklist[RequirementID],A1701,
 tblCostChecklist[PlayerPaid],TRUE
)&gt;0</f>
        <v>0</v>
      </c>
      <c r="I1701" s="49">
        <f t="shared" si="1"/>
        <v>8</v>
      </c>
      <c r="J1701" s="49">
        <f t="shared" si="2"/>
        <v>0</v>
      </c>
      <c r="K1701" s="49">
        <f t="shared" si="3"/>
        <v>8</v>
      </c>
      <c r="L1701" s="49" t="b">
        <f t="shared" si="4"/>
        <v>0</v>
      </c>
      <c r="M1701" s="88">
        <f t="shared" si="5"/>
        <v>0</v>
      </c>
    </row>
    <row r="1702" ht="14.25" customHeight="1">
      <c r="A1702" s="49" t="s">
        <v>2919</v>
      </c>
      <c r="B1702" s="49" t="str">
        <f>IFERROR(__xludf.DUMMYFUNCTION("REGEXEXTRACT(A1702,""^cost\.(.*)\.[^.]+\.[^.]+$"")"),"collection.treasury_1@1")</f>
        <v>collection.treasury_1@1</v>
      </c>
      <c r="C1702" s="49" t="str">
        <f t="array" ref="C1702">_xlfn.XLOOKUP(
 B1702,
 tblTargets[TargetID],
 tblTargets[DisplayName],
 ""
)</f>
        <v>Treasury 1 Lv 1</v>
      </c>
      <c r="D1702" s="49" t="str">
        <f t="array" ref="D1702">_xlfn.XLOOKUP(
 B1702,
 tblTargets[TargetID],
 tblTargets[TargetType],
 ""
)</f>
        <v>COLLECTION</v>
      </c>
      <c r="E1702" s="49" t="s">
        <v>426</v>
      </c>
      <c r="F1702" s="87">
        <f>IFERROR(__xludf.DUMMYFUNCTION("VALUE(REGEXEXTRACT(A1702,""([^.]+)$""))"),1.0)</f>
        <v>1</v>
      </c>
      <c r="G1702" s="49">
        <v>5.0</v>
      </c>
      <c r="H1702" s="26" t="b">
        <f>COUNTIFS(
 tblCostChecklist[RequirementID],A1702,
 tblCostChecklist[PlayerPaid],TRUE
)&gt;0</f>
        <v>0</v>
      </c>
      <c r="I1702" s="49">
        <f t="shared" si="1"/>
        <v>8</v>
      </c>
      <c r="J1702" s="49">
        <f t="shared" si="2"/>
        <v>0</v>
      </c>
      <c r="K1702" s="49">
        <f t="shared" si="3"/>
        <v>8</v>
      </c>
      <c r="L1702" s="49" t="b">
        <f t="shared" si="4"/>
        <v>0</v>
      </c>
      <c r="M1702" s="88">
        <f t="shared" si="5"/>
        <v>0</v>
      </c>
    </row>
    <row r="1703" ht="14.25" customHeight="1">
      <c r="A1703" s="49" t="s">
        <v>2921</v>
      </c>
      <c r="B1703" s="49" t="str">
        <f>IFERROR(__xludf.DUMMYFUNCTION("REGEXEXTRACT(A1703,""^cost\.(.*)\.[^.]+\.[^.]+$"")"),"collection.treasury_1@1")</f>
        <v>collection.treasury_1@1</v>
      </c>
      <c r="C1703" s="49" t="str">
        <f t="array" ref="C1703">_xlfn.XLOOKUP(
 B1703,
 tblTargets[TargetID],
 tblTargets[DisplayName],
 ""
)</f>
        <v>Treasury 1 Lv 1</v>
      </c>
      <c r="D1703" s="49" t="str">
        <f t="array" ref="D1703">_xlfn.XLOOKUP(
 B1703,
 tblTargets[TargetID],
 tblTargets[TargetType],
 ""
)</f>
        <v>COLLECTION</v>
      </c>
      <c r="E1703" s="49" t="s">
        <v>6</v>
      </c>
      <c r="F1703" s="87">
        <f>IFERROR(__xludf.DUMMYFUNCTION("VALUE(REGEXEXTRACT(A1703,""([^.]+)$""))"),1.0)</f>
        <v>1</v>
      </c>
      <c r="G1703" s="49">
        <v>5.0</v>
      </c>
      <c r="H1703" s="26" t="b">
        <f>COUNTIFS(
 tblCostChecklist[RequirementID],A1703,
 tblCostChecklist[PlayerPaid],TRUE
)&gt;0</f>
        <v>0</v>
      </c>
      <c r="I1703" s="49">
        <f t="shared" si="1"/>
        <v>8</v>
      </c>
      <c r="J1703" s="49">
        <f t="shared" si="2"/>
        <v>0</v>
      </c>
      <c r="K1703" s="49">
        <f t="shared" si="3"/>
        <v>8</v>
      </c>
      <c r="L1703" s="49" t="b">
        <f t="shared" si="4"/>
        <v>0</v>
      </c>
      <c r="M1703" s="88">
        <f t="shared" si="5"/>
        <v>0</v>
      </c>
    </row>
    <row r="1704" ht="14.25" customHeight="1">
      <c r="A1704" s="49" t="s">
        <v>2923</v>
      </c>
      <c r="B1704" s="49" t="str">
        <f>IFERROR(__xludf.DUMMYFUNCTION("REGEXEXTRACT(A1704,""^cost\.(.*)\.[^.]+\.[^.]+$"")"),"collection.treasury_1@1")</f>
        <v>collection.treasury_1@1</v>
      </c>
      <c r="C1704" s="49" t="str">
        <f t="array" ref="C1704">_xlfn.XLOOKUP(
 B1704,
 tblTargets[TargetID],
 tblTargets[DisplayName],
 ""
)</f>
        <v>Treasury 1 Lv 1</v>
      </c>
      <c r="D1704" s="49" t="str">
        <f t="array" ref="D1704">_xlfn.XLOOKUP(
 B1704,
 tblTargets[TargetID],
 tblTargets[TargetType],
 ""
)</f>
        <v>COLLECTION</v>
      </c>
      <c r="E1704" s="49" t="s">
        <v>2011</v>
      </c>
      <c r="F1704" s="87">
        <f>IFERROR(__xludf.DUMMYFUNCTION("VALUE(REGEXEXTRACT(A1704,""([^.]+)$""))"),1.0)</f>
        <v>1</v>
      </c>
      <c r="G1704" s="49">
        <v>10.0</v>
      </c>
      <c r="H1704" s="26" t="b">
        <f>COUNTIFS(
 tblCostChecklist[RequirementID],A1704,
 tblCostChecklist[PlayerPaid],TRUE
)&gt;0</f>
        <v>0</v>
      </c>
      <c r="I1704" s="49">
        <f t="shared" si="1"/>
        <v>8</v>
      </c>
      <c r="J1704" s="49">
        <f t="shared" si="2"/>
        <v>0</v>
      </c>
      <c r="K1704" s="49">
        <f t="shared" si="3"/>
        <v>8</v>
      </c>
      <c r="L1704" s="49" t="b">
        <f t="shared" si="4"/>
        <v>0</v>
      </c>
      <c r="M1704" s="88">
        <f t="shared" si="5"/>
        <v>0</v>
      </c>
    </row>
    <row r="1705" ht="14.25" customHeight="1">
      <c r="A1705" s="49" t="s">
        <v>2925</v>
      </c>
      <c r="B1705" s="49" t="str">
        <f>IFERROR(__xludf.DUMMYFUNCTION("REGEXEXTRACT(A1705,""^cost\.(.*)\.[^.]+\.[^.]+$"")"),"collection.treasury_1@2")</f>
        <v>collection.treasury_1@2</v>
      </c>
      <c r="C1705" s="49" t="str">
        <f t="array" ref="C1705">_xlfn.XLOOKUP(
 B1705,
 tblTargets[TargetID],
 tblTargets[DisplayName],
 ""
)</f>
        <v>Treasury 1 Lv 2</v>
      </c>
      <c r="D1705" s="49" t="str">
        <f t="array" ref="D1705">_xlfn.XLOOKUP(
 B1705,
 tblTargets[TargetID],
 tblTargets[TargetType],
 ""
)</f>
        <v>COLLECTION</v>
      </c>
      <c r="E1705" s="49" t="s">
        <v>119</v>
      </c>
      <c r="F1705" s="87">
        <f>IFERROR(__xludf.DUMMYFUNCTION("VALUE(REGEXEXTRACT(A1705,""([^.]+)$""))"),1.0)</f>
        <v>1</v>
      </c>
      <c r="G1705" s="49">
        <v>2000.0</v>
      </c>
      <c r="H1705" s="26" t="b">
        <f>COUNTIFS(
 tblCostChecklist[RequirementID],A1705,
 tblCostChecklist[PlayerPaid],TRUE
)&gt;0</f>
        <v>0</v>
      </c>
      <c r="I1705" s="49">
        <f t="shared" si="1"/>
        <v>8</v>
      </c>
      <c r="J1705" s="49">
        <f t="shared" si="2"/>
        <v>0</v>
      </c>
      <c r="K1705" s="49">
        <f t="shared" si="3"/>
        <v>8</v>
      </c>
      <c r="L1705" s="49" t="b">
        <f t="shared" si="4"/>
        <v>0</v>
      </c>
      <c r="M1705" s="88">
        <f t="shared" si="5"/>
        <v>0</v>
      </c>
    </row>
    <row r="1706" ht="14.25" customHeight="1">
      <c r="A1706" s="49" t="s">
        <v>2927</v>
      </c>
      <c r="B1706" s="49" t="str">
        <f>IFERROR(__xludf.DUMMYFUNCTION("REGEXEXTRACT(A1706,""^cost\.(.*)\.[^.]+\.[^.]+$"")"),"collection.treasury_1@2")</f>
        <v>collection.treasury_1@2</v>
      </c>
      <c r="C1706" s="49" t="str">
        <f t="array" ref="C1706">_xlfn.XLOOKUP(
 B1706,
 tblTargets[TargetID],
 tblTargets[DisplayName],
 ""
)</f>
        <v>Treasury 1 Lv 2</v>
      </c>
      <c r="D1706" s="49" t="str">
        <f t="array" ref="D1706">_xlfn.XLOOKUP(
 B1706,
 tblTargets[TargetID],
 tblTargets[TargetType],
 ""
)</f>
        <v>COLLECTION</v>
      </c>
      <c r="E1706" s="49" t="s">
        <v>119</v>
      </c>
      <c r="F1706" s="87">
        <f>IFERROR(__xludf.DUMMYFUNCTION("VALUE(REGEXEXTRACT(A1706,""([^.]+)$""))"),2.0)</f>
        <v>2</v>
      </c>
      <c r="G1706" s="49">
        <v>2000.0</v>
      </c>
      <c r="H1706" s="26" t="b">
        <f>COUNTIFS(
 tblCostChecklist[RequirementID],A1706,
 tblCostChecklist[PlayerPaid],TRUE
)&gt;0</f>
        <v>0</v>
      </c>
      <c r="I1706" s="49">
        <f t="shared" si="1"/>
        <v>8</v>
      </c>
      <c r="J1706" s="49">
        <f t="shared" si="2"/>
        <v>0</v>
      </c>
      <c r="K1706" s="49">
        <f t="shared" si="3"/>
        <v>8</v>
      </c>
      <c r="L1706" s="49" t="b">
        <f t="shared" si="4"/>
        <v>0</v>
      </c>
      <c r="M1706" s="88">
        <f t="shared" si="5"/>
        <v>0</v>
      </c>
    </row>
    <row r="1707" ht="14.25" customHeight="1">
      <c r="A1707" s="49" t="s">
        <v>2929</v>
      </c>
      <c r="B1707" s="49" t="str">
        <f>IFERROR(__xludf.DUMMYFUNCTION("REGEXEXTRACT(A1707,""^cost\.(.*)\.[^.]+\.[^.]+$"")"),"collection.treasury_1@2")</f>
        <v>collection.treasury_1@2</v>
      </c>
      <c r="C1707" s="49" t="str">
        <f t="array" ref="C1707">_xlfn.XLOOKUP(
 B1707,
 tblTargets[TargetID],
 tblTargets[DisplayName],
 ""
)</f>
        <v>Treasury 1 Lv 2</v>
      </c>
      <c r="D1707" s="49" t="str">
        <f t="array" ref="D1707">_xlfn.XLOOKUP(
 B1707,
 tblTargets[TargetID],
 tblTargets[TargetType],
 ""
)</f>
        <v>COLLECTION</v>
      </c>
      <c r="E1707" s="49" t="s">
        <v>1060</v>
      </c>
      <c r="F1707" s="87">
        <f>IFERROR(__xludf.DUMMYFUNCTION("VALUE(REGEXEXTRACT(A1707,""([^.]+)$""))"),1.0)</f>
        <v>1</v>
      </c>
      <c r="G1707" s="49">
        <v>500.0</v>
      </c>
      <c r="H1707" s="26" t="b">
        <f>COUNTIFS(
 tblCostChecklist[RequirementID],A1707,
 tblCostChecklist[PlayerPaid],TRUE
)&gt;0</f>
        <v>0</v>
      </c>
      <c r="I1707" s="49">
        <f t="shared" si="1"/>
        <v>8</v>
      </c>
      <c r="J1707" s="49">
        <f t="shared" si="2"/>
        <v>0</v>
      </c>
      <c r="K1707" s="49">
        <f t="shared" si="3"/>
        <v>8</v>
      </c>
      <c r="L1707" s="49" t="b">
        <f t="shared" si="4"/>
        <v>0</v>
      </c>
      <c r="M1707" s="88">
        <f t="shared" si="5"/>
        <v>0</v>
      </c>
    </row>
    <row r="1708" ht="14.25" customHeight="1">
      <c r="A1708" s="49" t="s">
        <v>2931</v>
      </c>
      <c r="B1708" s="49" t="str">
        <f>IFERROR(__xludf.DUMMYFUNCTION("REGEXEXTRACT(A1708,""^cost\.(.*)\.[^.]+\.[^.]+$"")"),"collection.treasury_1@2")</f>
        <v>collection.treasury_1@2</v>
      </c>
      <c r="C1708" s="49" t="str">
        <f t="array" ref="C1708">_xlfn.XLOOKUP(
 B1708,
 tblTargets[TargetID],
 tblTargets[DisplayName],
 ""
)</f>
        <v>Treasury 1 Lv 2</v>
      </c>
      <c r="D1708" s="49" t="str">
        <f t="array" ref="D1708">_xlfn.XLOOKUP(
 B1708,
 tblTargets[TargetID],
 tblTargets[TargetType],
 ""
)</f>
        <v>COLLECTION</v>
      </c>
      <c r="E1708" s="49" t="s">
        <v>2915</v>
      </c>
      <c r="F1708" s="87">
        <f>IFERROR(__xludf.DUMMYFUNCTION("VALUE(REGEXEXTRACT(A1708,""([^.]+)$""))"),1.0)</f>
        <v>1</v>
      </c>
      <c r="G1708" s="49">
        <v>500.0</v>
      </c>
      <c r="H1708" s="26" t="b">
        <f>COUNTIFS(
 tblCostChecklist[RequirementID],A1708,
 tblCostChecklist[PlayerPaid],TRUE
)&gt;0</f>
        <v>0</v>
      </c>
      <c r="I1708" s="49">
        <f t="shared" si="1"/>
        <v>8</v>
      </c>
      <c r="J1708" s="49">
        <f t="shared" si="2"/>
        <v>0</v>
      </c>
      <c r="K1708" s="49">
        <f t="shared" si="3"/>
        <v>8</v>
      </c>
      <c r="L1708" s="49" t="b">
        <f t="shared" si="4"/>
        <v>0</v>
      </c>
      <c r="M1708" s="88">
        <f t="shared" si="5"/>
        <v>0</v>
      </c>
    </row>
    <row r="1709" ht="14.25" customHeight="1">
      <c r="A1709" s="49" t="s">
        <v>2933</v>
      </c>
      <c r="B1709" s="49" t="str">
        <f>IFERROR(__xludf.DUMMYFUNCTION("REGEXEXTRACT(A1709,""^cost\.(.*)\.[^.]+\.[^.]+$"")"),"collection.treasury_1@2")</f>
        <v>collection.treasury_1@2</v>
      </c>
      <c r="C1709" s="49" t="str">
        <f t="array" ref="C1709">_xlfn.XLOOKUP(
 B1709,
 tblTargets[TargetID],
 tblTargets[DisplayName],
 ""
)</f>
        <v>Treasury 1 Lv 2</v>
      </c>
      <c r="D1709" s="49" t="str">
        <f t="array" ref="D1709">_xlfn.XLOOKUP(
 B1709,
 tblTargets[TargetID],
 tblTargets[TargetType],
 ""
)</f>
        <v>COLLECTION</v>
      </c>
      <c r="E1709" s="49" t="s">
        <v>412</v>
      </c>
      <c r="F1709" s="87">
        <f>IFERROR(__xludf.DUMMYFUNCTION("VALUE(REGEXEXTRACT(A1709,""([^.]+)$""))"),1.0)</f>
        <v>1</v>
      </c>
      <c r="G1709" s="49">
        <v>20.0</v>
      </c>
      <c r="H1709" s="26" t="b">
        <f>COUNTIFS(
 tblCostChecklist[RequirementID],A1709,
 tblCostChecklist[PlayerPaid],TRUE
)&gt;0</f>
        <v>0</v>
      </c>
      <c r="I1709" s="49">
        <f t="shared" si="1"/>
        <v>8</v>
      </c>
      <c r="J1709" s="49">
        <f t="shared" si="2"/>
        <v>0</v>
      </c>
      <c r="K1709" s="49">
        <f t="shared" si="3"/>
        <v>8</v>
      </c>
      <c r="L1709" s="49" t="b">
        <f t="shared" si="4"/>
        <v>0</v>
      </c>
      <c r="M1709" s="88">
        <f t="shared" si="5"/>
        <v>0</v>
      </c>
    </row>
    <row r="1710" ht="14.25" customHeight="1">
      <c r="A1710" s="49" t="s">
        <v>2935</v>
      </c>
      <c r="B1710" s="49" t="str">
        <f>IFERROR(__xludf.DUMMYFUNCTION("REGEXEXTRACT(A1710,""^cost\.(.*)\.[^.]+\.[^.]+$"")"),"collection.treasury_1@2")</f>
        <v>collection.treasury_1@2</v>
      </c>
      <c r="C1710" s="49" t="str">
        <f t="array" ref="C1710">_xlfn.XLOOKUP(
 B1710,
 tblTargets[TargetID],
 tblTargets[DisplayName],
 ""
)</f>
        <v>Treasury 1 Lv 2</v>
      </c>
      <c r="D1710" s="49" t="str">
        <f t="array" ref="D1710">_xlfn.XLOOKUP(
 B1710,
 tblTargets[TargetID],
 tblTargets[TargetType],
 ""
)</f>
        <v>COLLECTION</v>
      </c>
      <c r="E1710" s="49" t="s">
        <v>426</v>
      </c>
      <c r="F1710" s="87">
        <f>IFERROR(__xludf.DUMMYFUNCTION("VALUE(REGEXEXTRACT(A1710,""([^.]+)$""))"),1.0)</f>
        <v>1</v>
      </c>
      <c r="G1710" s="49">
        <v>10.0</v>
      </c>
      <c r="H1710" s="26" t="b">
        <f>COUNTIFS(
 tblCostChecklist[RequirementID],A1710,
 tblCostChecklist[PlayerPaid],TRUE
)&gt;0</f>
        <v>0</v>
      </c>
      <c r="I1710" s="49">
        <f t="shared" si="1"/>
        <v>8</v>
      </c>
      <c r="J1710" s="49">
        <f t="shared" si="2"/>
        <v>0</v>
      </c>
      <c r="K1710" s="49">
        <f t="shared" si="3"/>
        <v>8</v>
      </c>
      <c r="L1710" s="49" t="b">
        <f t="shared" si="4"/>
        <v>0</v>
      </c>
      <c r="M1710" s="88">
        <f t="shared" si="5"/>
        <v>0</v>
      </c>
    </row>
    <row r="1711" ht="14.25" customHeight="1">
      <c r="A1711" s="49" t="s">
        <v>2937</v>
      </c>
      <c r="B1711" s="49" t="str">
        <f>IFERROR(__xludf.DUMMYFUNCTION("REGEXEXTRACT(A1711,""^cost\.(.*)\.[^.]+\.[^.]+$"")"),"collection.treasury_1@2")</f>
        <v>collection.treasury_1@2</v>
      </c>
      <c r="C1711" s="49" t="str">
        <f t="array" ref="C1711">_xlfn.XLOOKUP(
 B1711,
 tblTargets[TargetID],
 tblTargets[DisplayName],
 ""
)</f>
        <v>Treasury 1 Lv 2</v>
      </c>
      <c r="D1711" s="49" t="str">
        <f t="array" ref="D1711">_xlfn.XLOOKUP(
 B1711,
 tblTargets[TargetID],
 tblTargets[TargetType],
 ""
)</f>
        <v>COLLECTION</v>
      </c>
      <c r="E1711" s="49" t="s">
        <v>6</v>
      </c>
      <c r="F1711" s="87">
        <f>IFERROR(__xludf.DUMMYFUNCTION("VALUE(REGEXEXTRACT(A1711,""([^.]+)$""))"),1.0)</f>
        <v>1</v>
      </c>
      <c r="G1711" s="49">
        <v>10.0</v>
      </c>
      <c r="H1711" s="26" t="b">
        <f>COUNTIFS(
 tblCostChecklist[RequirementID],A1711,
 tblCostChecklist[PlayerPaid],TRUE
)&gt;0</f>
        <v>0</v>
      </c>
      <c r="I1711" s="49">
        <f t="shared" si="1"/>
        <v>8</v>
      </c>
      <c r="J1711" s="49">
        <f t="shared" si="2"/>
        <v>0</v>
      </c>
      <c r="K1711" s="49">
        <f t="shared" si="3"/>
        <v>8</v>
      </c>
      <c r="L1711" s="49" t="b">
        <f t="shared" si="4"/>
        <v>0</v>
      </c>
      <c r="M1711" s="88">
        <f t="shared" si="5"/>
        <v>0</v>
      </c>
    </row>
    <row r="1712" ht="14.25" customHeight="1">
      <c r="A1712" s="49" t="s">
        <v>2939</v>
      </c>
      <c r="B1712" s="49" t="str">
        <f>IFERROR(__xludf.DUMMYFUNCTION("REGEXEXTRACT(A1712,""^cost\.(.*)\.[^.]+\.[^.]+$"")"),"collection.treasury_1@2")</f>
        <v>collection.treasury_1@2</v>
      </c>
      <c r="C1712" s="49" t="str">
        <f t="array" ref="C1712">_xlfn.XLOOKUP(
 B1712,
 tblTargets[TargetID],
 tblTargets[DisplayName],
 ""
)</f>
        <v>Treasury 1 Lv 2</v>
      </c>
      <c r="D1712" s="49" t="str">
        <f t="array" ref="D1712">_xlfn.XLOOKUP(
 B1712,
 tblTargets[TargetID],
 tblTargets[TargetType],
 ""
)</f>
        <v>COLLECTION</v>
      </c>
      <c r="E1712" s="49" t="s">
        <v>2011</v>
      </c>
      <c r="F1712" s="87">
        <f>IFERROR(__xludf.DUMMYFUNCTION("VALUE(REGEXEXTRACT(A1712,""([^.]+)$""))"),1.0)</f>
        <v>1</v>
      </c>
      <c r="G1712" s="49">
        <v>20.0</v>
      </c>
      <c r="H1712" s="26" t="b">
        <f>COUNTIFS(
 tblCostChecklist[RequirementID],A1712,
 tblCostChecklist[PlayerPaid],TRUE
)&gt;0</f>
        <v>0</v>
      </c>
      <c r="I1712" s="49">
        <f t="shared" si="1"/>
        <v>8</v>
      </c>
      <c r="J1712" s="49">
        <f t="shared" si="2"/>
        <v>0</v>
      </c>
      <c r="K1712" s="49">
        <f t="shared" si="3"/>
        <v>8</v>
      </c>
      <c r="L1712" s="49" t="b">
        <f t="shared" si="4"/>
        <v>0</v>
      </c>
      <c r="M1712" s="88">
        <f t="shared" si="5"/>
        <v>0</v>
      </c>
    </row>
    <row r="1713" ht="14.25" customHeight="1">
      <c r="A1713" s="49" t="s">
        <v>2942</v>
      </c>
      <c r="B1713" s="49" t="str">
        <f>IFERROR(__xludf.DUMMYFUNCTION("REGEXEXTRACT(A1713,""^cost\.(.*)\.[^.]+\.[^.]+$"")"),"collection.treasury_1@3")</f>
        <v>collection.treasury_1@3</v>
      </c>
      <c r="C1713" s="49" t="str">
        <f t="array" ref="C1713">_xlfn.XLOOKUP(
 B1713,
 tblTargets[TargetID],
 tblTargets[DisplayName],
 ""
)</f>
        <v>Treasury 1 Lv 3</v>
      </c>
      <c r="D1713" s="49" t="str">
        <f t="array" ref="D1713">_xlfn.XLOOKUP(
 B1713,
 tblTargets[TargetID],
 tblTargets[TargetType],
 ""
)</f>
        <v>COLLECTION</v>
      </c>
      <c r="E1713" s="49" t="s">
        <v>119</v>
      </c>
      <c r="F1713" s="87">
        <f>IFERROR(__xludf.DUMMYFUNCTION("VALUE(REGEXEXTRACT(A1713,""([^.]+)$""))"),1.0)</f>
        <v>1</v>
      </c>
      <c r="G1713" s="49">
        <v>3000.0</v>
      </c>
      <c r="H1713" s="26" t="b">
        <f>COUNTIFS(
 tblCostChecklist[RequirementID],A1713,
 tblCostChecklist[PlayerPaid],TRUE
)&gt;0</f>
        <v>0</v>
      </c>
      <c r="I1713" s="49">
        <f t="shared" si="1"/>
        <v>8</v>
      </c>
      <c r="J1713" s="49">
        <f t="shared" si="2"/>
        <v>0</v>
      </c>
      <c r="K1713" s="49">
        <f t="shared" si="3"/>
        <v>8</v>
      </c>
      <c r="L1713" s="49" t="b">
        <f t="shared" si="4"/>
        <v>0</v>
      </c>
      <c r="M1713" s="88">
        <f t="shared" si="5"/>
        <v>0</v>
      </c>
    </row>
    <row r="1714" ht="14.25" customHeight="1">
      <c r="A1714" s="49" t="s">
        <v>2944</v>
      </c>
      <c r="B1714" s="49" t="str">
        <f>IFERROR(__xludf.DUMMYFUNCTION("REGEXEXTRACT(A1714,""^cost\.(.*)\.[^.]+\.[^.]+$"")"),"collection.treasury_1@3")</f>
        <v>collection.treasury_1@3</v>
      </c>
      <c r="C1714" s="49" t="str">
        <f t="array" ref="C1714">_xlfn.XLOOKUP(
 B1714,
 tblTargets[TargetID],
 tblTargets[DisplayName],
 ""
)</f>
        <v>Treasury 1 Lv 3</v>
      </c>
      <c r="D1714" s="49" t="str">
        <f t="array" ref="D1714">_xlfn.XLOOKUP(
 B1714,
 tblTargets[TargetID],
 tblTargets[TargetType],
 ""
)</f>
        <v>COLLECTION</v>
      </c>
      <c r="E1714" s="49" t="s">
        <v>119</v>
      </c>
      <c r="F1714" s="87">
        <f>IFERROR(__xludf.DUMMYFUNCTION("VALUE(REGEXEXTRACT(A1714,""([^.]+)$""))"),2.0)</f>
        <v>2</v>
      </c>
      <c r="G1714" s="49">
        <v>3000.0</v>
      </c>
      <c r="H1714" s="26" t="b">
        <f>COUNTIFS(
 tblCostChecklist[RequirementID],A1714,
 tblCostChecklist[PlayerPaid],TRUE
)&gt;0</f>
        <v>0</v>
      </c>
      <c r="I1714" s="49">
        <f t="shared" si="1"/>
        <v>8</v>
      </c>
      <c r="J1714" s="49">
        <f t="shared" si="2"/>
        <v>0</v>
      </c>
      <c r="K1714" s="49">
        <f t="shared" si="3"/>
        <v>8</v>
      </c>
      <c r="L1714" s="49" t="b">
        <f t="shared" si="4"/>
        <v>0</v>
      </c>
      <c r="M1714" s="88">
        <f t="shared" si="5"/>
        <v>0</v>
      </c>
    </row>
    <row r="1715" ht="14.25" customHeight="1">
      <c r="A1715" s="49" t="s">
        <v>2946</v>
      </c>
      <c r="B1715" s="49" t="str">
        <f>IFERROR(__xludf.DUMMYFUNCTION("REGEXEXTRACT(A1715,""^cost\.(.*)\.[^.]+\.[^.]+$"")"),"collection.treasury_1@3")</f>
        <v>collection.treasury_1@3</v>
      </c>
      <c r="C1715" s="49" t="str">
        <f t="array" ref="C1715">_xlfn.XLOOKUP(
 B1715,
 tblTargets[TargetID],
 tblTargets[DisplayName],
 ""
)</f>
        <v>Treasury 1 Lv 3</v>
      </c>
      <c r="D1715" s="49" t="str">
        <f t="array" ref="D1715">_xlfn.XLOOKUP(
 B1715,
 tblTargets[TargetID],
 tblTargets[TargetType],
 ""
)</f>
        <v>COLLECTION</v>
      </c>
      <c r="E1715" s="49" t="s">
        <v>1060</v>
      </c>
      <c r="F1715" s="87">
        <f>IFERROR(__xludf.DUMMYFUNCTION("VALUE(REGEXEXTRACT(A1715,""([^.]+)$""))"),1.0)</f>
        <v>1</v>
      </c>
      <c r="G1715" s="49">
        <v>750.0</v>
      </c>
      <c r="H1715" s="26" t="b">
        <f>COUNTIFS(
 tblCostChecklist[RequirementID],A1715,
 tblCostChecklist[PlayerPaid],TRUE
)&gt;0</f>
        <v>0</v>
      </c>
      <c r="I1715" s="49">
        <f t="shared" si="1"/>
        <v>8</v>
      </c>
      <c r="J1715" s="49">
        <f t="shared" si="2"/>
        <v>0</v>
      </c>
      <c r="K1715" s="49">
        <f t="shared" si="3"/>
        <v>8</v>
      </c>
      <c r="L1715" s="49" t="b">
        <f t="shared" si="4"/>
        <v>0</v>
      </c>
      <c r="M1715" s="88">
        <f t="shared" si="5"/>
        <v>0</v>
      </c>
    </row>
    <row r="1716" ht="14.25" customHeight="1">
      <c r="A1716" s="49" t="s">
        <v>2949</v>
      </c>
      <c r="B1716" s="49" t="str">
        <f>IFERROR(__xludf.DUMMYFUNCTION("REGEXEXTRACT(A1716,""^cost\.(.*)\.[^.]+\.[^.]+$"")"),"collection.treasury_1@3")</f>
        <v>collection.treasury_1@3</v>
      </c>
      <c r="C1716" s="49" t="str">
        <f t="array" ref="C1716">_xlfn.XLOOKUP(
 B1716,
 tblTargets[TargetID],
 tblTargets[DisplayName],
 ""
)</f>
        <v>Treasury 1 Lv 3</v>
      </c>
      <c r="D1716" s="49" t="str">
        <f t="array" ref="D1716">_xlfn.XLOOKUP(
 B1716,
 tblTargets[TargetID],
 tblTargets[TargetType],
 ""
)</f>
        <v>COLLECTION</v>
      </c>
      <c r="E1716" s="49" t="s">
        <v>2915</v>
      </c>
      <c r="F1716" s="87">
        <f>IFERROR(__xludf.DUMMYFUNCTION("VALUE(REGEXEXTRACT(A1716,""([^.]+)$""))"),1.0)</f>
        <v>1</v>
      </c>
      <c r="G1716" s="49">
        <v>750.0</v>
      </c>
      <c r="H1716" s="26" t="b">
        <f>COUNTIFS(
 tblCostChecklist[RequirementID],A1716,
 tblCostChecklist[PlayerPaid],TRUE
)&gt;0</f>
        <v>0</v>
      </c>
      <c r="I1716" s="49">
        <f t="shared" si="1"/>
        <v>8</v>
      </c>
      <c r="J1716" s="49">
        <f t="shared" si="2"/>
        <v>0</v>
      </c>
      <c r="K1716" s="49">
        <f t="shared" si="3"/>
        <v>8</v>
      </c>
      <c r="L1716" s="49" t="b">
        <f t="shared" si="4"/>
        <v>0</v>
      </c>
      <c r="M1716" s="88">
        <f t="shared" si="5"/>
        <v>0</v>
      </c>
    </row>
    <row r="1717" ht="14.25" customHeight="1">
      <c r="A1717" s="49" t="s">
        <v>2951</v>
      </c>
      <c r="B1717" s="49" t="str">
        <f>IFERROR(__xludf.DUMMYFUNCTION("REGEXEXTRACT(A1717,""^cost\.(.*)\.[^.]+\.[^.]+$"")"),"collection.treasury_1@3")</f>
        <v>collection.treasury_1@3</v>
      </c>
      <c r="C1717" s="49" t="str">
        <f t="array" ref="C1717">_xlfn.XLOOKUP(
 B1717,
 tblTargets[TargetID],
 tblTargets[DisplayName],
 ""
)</f>
        <v>Treasury 1 Lv 3</v>
      </c>
      <c r="D1717" s="49" t="str">
        <f t="array" ref="D1717">_xlfn.XLOOKUP(
 B1717,
 tblTargets[TargetID],
 tblTargets[TargetType],
 ""
)</f>
        <v>COLLECTION</v>
      </c>
      <c r="E1717" s="49" t="s">
        <v>412</v>
      </c>
      <c r="F1717" s="87">
        <f>IFERROR(__xludf.DUMMYFUNCTION("VALUE(REGEXEXTRACT(A1717,""([^.]+)$""))"),1.0)</f>
        <v>1</v>
      </c>
      <c r="G1717" s="49">
        <v>30.0</v>
      </c>
      <c r="H1717" s="26" t="b">
        <f>COUNTIFS(
 tblCostChecklist[RequirementID],A1717,
 tblCostChecklist[PlayerPaid],TRUE
)&gt;0</f>
        <v>0</v>
      </c>
      <c r="I1717" s="49">
        <f t="shared" si="1"/>
        <v>8</v>
      </c>
      <c r="J1717" s="49">
        <f t="shared" si="2"/>
        <v>0</v>
      </c>
      <c r="K1717" s="49">
        <f t="shared" si="3"/>
        <v>8</v>
      </c>
      <c r="L1717" s="49" t="b">
        <f t="shared" si="4"/>
        <v>0</v>
      </c>
      <c r="M1717" s="88">
        <f t="shared" si="5"/>
        <v>0</v>
      </c>
    </row>
    <row r="1718" ht="14.25" customHeight="1">
      <c r="A1718" s="49" t="s">
        <v>2953</v>
      </c>
      <c r="B1718" s="49" t="str">
        <f>IFERROR(__xludf.DUMMYFUNCTION("REGEXEXTRACT(A1718,""^cost\.(.*)\.[^.]+\.[^.]+$"")"),"collection.treasury_1@3")</f>
        <v>collection.treasury_1@3</v>
      </c>
      <c r="C1718" s="49" t="str">
        <f t="array" ref="C1718">_xlfn.XLOOKUP(
 B1718,
 tblTargets[TargetID],
 tblTargets[DisplayName],
 ""
)</f>
        <v>Treasury 1 Lv 3</v>
      </c>
      <c r="D1718" s="49" t="str">
        <f t="array" ref="D1718">_xlfn.XLOOKUP(
 B1718,
 tblTargets[TargetID],
 tblTargets[TargetType],
 ""
)</f>
        <v>COLLECTION</v>
      </c>
      <c r="E1718" s="49" t="s">
        <v>426</v>
      </c>
      <c r="F1718" s="87">
        <f>IFERROR(__xludf.DUMMYFUNCTION("VALUE(REGEXEXTRACT(A1718,""([^.]+)$""))"),1.0)</f>
        <v>1</v>
      </c>
      <c r="G1718" s="49">
        <v>15.0</v>
      </c>
      <c r="H1718" s="26" t="b">
        <f>COUNTIFS(
 tblCostChecklist[RequirementID],A1718,
 tblCostChecklist[PlayerPaid],TRUE
)&gt;0</f>
        <v>0</v>
      </c>
      <c r="I1718" s="49">
        <f t="shared" si="1"/>
        <v>8</v>
      </c>
      <c r="J1718" s="49">
        <f t="shared" si="2"/>
        <v>0</v>
      </c>
      <c r="K1718" s="49">
        <f t="shared" si="3"/>
        <v>8</v>
      </c>
      <c r="L1718" s="49" t="b">
        <f t="shared" si="4"/>
        <v>0</v>
      </c>
      <c r="M1718" s="88">
        <f t="shared" si="5"/>
        <v>0</v>
      </c>
    </row>
    <row r="1719" ht="14.25" customHeight="1">
      <c r="A1719" s="49" t="s">
        <v>2956</v>
      </c>
      <c r="B1719" s="49" t="str">
        <f>IFERROR(__xludf.DUMMYFUNCTION("REGEXEXTRACT(A1719,""^cost\.(.*)\.[^.]+\.[^.]+$"")"),"collection.treasury_1@3")</f>
        <v>collection.treasury_1@3</v>
      </c>
      <c r="C1719" s="49" t="str">
        <f t="array" ref="C1719">_xlfn.XLOOKUP(
 B1719,
 tblTargets[TargetID],
 tblTargets[DisplayName],
 ""
)</f>
        <v>Treasury 1 Lv 3</v>
      </c>
      <c r="D1719" s="49" t="str">
        <f t="array" ref="D1719">_xlfn.XLOOKUP(
 B1719,
 tblTargets[TargetID],
 tblTargets[TargetType],
 ""
)</f>
        <v>COLLECTION</v>
      </c>
      <c r="E1719" s="49" t="s">
        <v>6</v>
      </c>
      <c r="F1719" s="87">
        <f>IFERROR(__xludf.DUMMYFUNCTION("VALUE(REGEXEXTRACT(A1719,""([^.]+)$""))"),1.0)</f>
        <v>1</v>
      </c>
      <c r="G1719" s="49">
        <v>15.0</v>
      </c>
      <c r="H1719" s="26" t="b">
        <f>COUNTIFS(
 tblCostChecklist[RequirementID],A1719,
 tblCostChecklist[PlayerPaid],TRUE
)&gt;0</f>
        <v>0</v>
      </c>
      <c r="I1719" s="49">
        <f t="shared" si="1"/>
        <v>8</v>
      </c>
      <c r="J1719" s="49">
        <f t="shared" si="2"/>
        <v>0</v>
      </c>
      <c r="K1719" s="49">
        <f t="shared" si="3"/>
        <v>8</v>
      </c>
      <c r="L1719" s="49" t="b">
        <f t="shared" si="4"/>
        <v>0</v>
      </c>
      <c r="M1719" s="88">
        <f t="shared" si="5"/>
        <v>0</v>
      </c>
    </row>
    <row r="1720" ht="14.25" customHeight="1">
      <c r="A1720" s="49" t="s">
        <v>2958</v>
      </c>
      <c r="B1720" s="49" t="str">
        <f>IFERROR(__xludf.DUMMYFUNCTION("REGEXEXTRACT(A1720,""^cost\.(.*)\.[^.]+\.[^.]+$"")"),"collection.treasury_1@3")</f>
        <v>collection.treasury_1@3</v>
      </c>
      <c r="C1720" s="49" t="str">
        <f t="array" ref="C1720">_xlfn.XLOOKUP(
 B1720,
 tblTargets[TargetID],
 tblTargets[DisplayName],
 ""
)</f>
        <v>Treasury 1 Lv 3</v>
      </c>
      <c r="D1720" s="49" t="str">
        <f t="array" ref="D1720">_xlfn.XLOOKUP(
 B1720,
 tblTargets[TargetID],
 tblTargets[TargetType],
 ""
)</f>
        <v>COLLECTION</v>
      </c>
      <c r="E1720" s="49" t="s">
        <v>2011</v>
      </c>
      <c r="F1720" s="87">
        <f>IFERROR(__xludf.DUMMYFUNCTION("VALUE(REGEXEXTRACT(A1720,""([^.]+)$""))"),1.0)</f>
        <v>1</v>
      </c>
      <c r="G1720" s="49">
        <v>30.0</v>
      </c>
      <c r="H1720" s="26" t="b">
        <f>COUNTIFS(
 tblCostChecklist[RequirementID],A1720,
 tblCostChecklist[PlayerPaid],TRUE
)&gt;0</f>
        <v>0</v>
      </c>
      <c r="I1720" s="49">
        <f t="shared" si="1"/>
        <v>8</v>
      </c>
      <c r="J1720" s="49">
        <f t="shared" si="2"/>
        <v>0</v>
      </c>
      <c r="K1720" s="49">
        <f t="shared" si="3"/>
        <v>8</v>
      </c>
      <c r="L1720" s="49" t="b">
        <f t="shared" si="4"/>
        <v>0</v>
      </c>
      <c r="M1720" s="88">
        <f t="shared" si="5"/>
        <v>0</v>
      </c>
    </row>
    <row r="1721" ht="14.25" customHeight="1">
      <c r="A1721" s="49" t="s">
        <v>2960</v>
      </c>
      <c r="B1721" s="49" t="str">
        <f>IFERROR(__xludf.DUMMYFUNCTION("REGEXEXTRACT(A1721,""^cost\.(.*)\.[^.]+\.[^.]+$"")"),"collection.treasury_1@4")</f>
        <v>collection.treasury_1@4</v>
      </c>
      <c r="C1721" s="49" t="str">
        <f t="array" ref="C1721">_xlfn.XLOOKUP(
 B1721,
 tblTargets[TargetID],
 tblTargets[DisplayName],
 ""
)</f>
        <v>Treasury 1 Lv 4</v>
      </c>
      <c r="D1721" s="49" t="str">
        <f t="array" ref="D1721">_xlfn.XLOOKUP(
 B1721,
 tblTargets[TargetID],
 tblTargets[TargetType],
 ""
)</f>
        <v>COLLECTION</v>
      </c>
      <c r="E1721" s="49" t="s">
        <v>119</v>
      </c>
      <c r="F1721" s="87">
        <f>IFERROR(__xludf.DUMMYFUNCTION("VALUE(REGEXEXTRACT(A1721,""([^.]+)$""))"),1.0)</f>
        <v>1</v>
      </c>
      <c r="G1721" s="49">
        <v>4000.0</v>
      </c>
      <c r="H1721" s="26" t="b">
        <f>COUNTIFS(
 tblCostChecklist[RequirementID],A1721,
 tblCostChecklist[PlayerPaid],TRUE
)&gt;0</f>
        <v>0</v>
      </c>
      <c r="I1721" s="49">
        <f t="shared" si="1"/>
        <v>8</v>
      </c>
      <c r="J1721" s="49">
        <f t="shared" si="2"/>
        <v>0</v>
      </c>
      <c r="K1721" s="49">
        <f t="shared" si="3"/>
        <v>8</v>
      </c>
      <c r="L1721" s="49" t="b">
        <f t="shared" si="4"/>
        <v>0</v>
      </c>
      <c r="M1721" s="88">
        <f t="shared" si="5"/>
        <v>0</v>
      </c>
    </row>
    <row r="1722" ht="14.25" customHeight="1">
      <c r="A1722" s="49" t="s">
        <v>2962</v>
      </c>
      <c r="B1722" s="49" t="str">
        <f>IFERROR(__xludf.DUMMYFUNCTION("REGEXEXTRACT(A1722,""^cost\.(.*)\.[^.]+\.[^.]+$"")"),"collection.treasury_1@4")</f>
        <v>collection.treasury_1@4</v>
      </c>
      <c r="C1722" s="49" t="str">
        <f t="array" ref="C1722">_xlfn.XLOOKUP(
 B1722,
 tblTargets[TargetID],
 tblTargets[DisplayName],
 ""
)</f>
        <v>Treasury 1 Lv 4</v>
      </c>
      <c r="D1722" s="49" t="str">
        <f t="array" ref="D1722">_xlfn.XLOOKUP(
 B1722,
 tblTargets[TargetID],
 tblTargets[TargetType],
 ""
)</f>
        <v>COLLECTION</v>
      </c>
      <c r="E1722" s="49" t="s">
        <v>119</v>
      </c>
      <c r="F1722" s="87">
        <f>IFERROR(__xludf.DUMMYFUNCTION("VALUE(REGEXEXTRACT(A1722,""([^.]+)$""))"),2.0)</f>
        <v>2</v>
      </c>
      <c r="G1722" s="49">
        <v>4000.0</v>
      </c>
      <c r="H1722" s="26" t="b">
        <f>COUNTIFS(
 tblCostChecklist[RequirementID],A1722,
 tblCostChecklist[PlayerPaid],TRUE
)&gt;0</f>
        <v>0</v>
      </c>
      <c r="I1722" s="49">
        <f t="shared" si="1"/>
        <v>8</v>
      </c>
      <c r="J1722" s="49">
        <f t="shared" si="2"/>
        <v>0</v>
      </c>
      <c r="K1722" s="49">
        <f t="shared" si="3"/>
        <v>8</v>
      </c>
      <c r="L1722" s="49" t="b">
        <f t="shared" si="4"/>
        <v>0</v>
      </c>
      <c r="M1722" s="88">
        <f t="shared" si="5"/>
        <v>0</v>
      </c>
    </row>
    <row r="1723" ht="14.25" customHeight="1">
      <c r="A1723" s="49" t="s">
        <v>2965</v>
      </c>
      <c r="B1723" s="49" t="str">
        <f>IFERROR(__xludf.DUMMYFUNCTION("REGEXEXTRACT(A1723,""^cost\.(.*)\.[^.]+\.[^.]+$"")"),"collection.treasury_1@4")</f>
        <v>collection.treasury_1@4</v>
      </c>
      <c r="C1723" s="49" t="str">
        <f t="array" ref="C1723">_xlfn.XLOOKUP(
 B1723,
 tblTargets[TargetID],
 tblTargets[DisplayName],
 ""
)</f>
        <v>Treasury 1 Lv 4</v>
      </c>
      <c r="D1723" s="49" t="str">
        <f t="array" ref="D1723">_xlfn.XLOOKUP(
 B1723,
 tblTargets[TargetID],
 tblTargets[TargetType],
 ""
)</f>
        <v>COLLECTION</v>
      </c>
      <c r="E1723" s="49" t="s">
        <v>1060</v>
      </c>
      <c r="F1723" s="87">
        <f>IFERROR(__xludf.DUMMYFUNCTION("VALUE(REGEXEXTRACT(A1723,""([^.]+)$""))"),1.0)</f>
        <v>1</v>
      </c>
      <c r="G1723" s="49">
        <v>1000.0</v>
      </c>
      <c r="H1723" s="26" t="b">
        <f>COUNTIFS(
 tblCostChecklist[RequirementID],A1723,
 tblCostChecklist[PlayerPaid],TRUE
)&gt;0</f>
        <v>0</v>
      </c>
      <c r="I1723" s="49">
        <f t="shared" si="1"/>
        <v>8</v>
      </c>
      <c r="J1723" s="49">
        <f t="shared" si="2"/>
        <v>0</v>
      </c>
      <c r="K1723" s="49">
        <f t="shared" si="3"/>
        <v>8</v>
      </c>
      <c r="L1723" s="49" t="b">
        <f t="shared" si="4"/>
        <v>0</v>
      </c>
      <c r="M1723" s="88">
        <f t="shared" si="5"/>
        <v>0</v>
      </c>
    </row>
    <row r="1724" ht="14.25" customHeight="1">
      <c r="A1724" s="49" t="s">
        <v>2967</v>
      </c>
      <c r="B1724" s="49" t="str">
        <f>IFERROR(__xludf.DUMMYFUNCTION("REGEXEXTRACT(A1724,""^cost\.(.*)\.[^.]+\.[^.]+$"")"),"collection.treasury_1@4")</f>
        <v>collection.treasury_1@4</v>
      </c>
      <c r="C1724" s="49" t="str">
        <f t="array" ref="C1724">_xlfn.XLOOKUP(
 B1724,
 tblTargets[TargetID],
 tblTargets[DisplayName],
 ""
)</f>
        <v>Treasury 1 Lv 4</v>
      </c>
      <c r="D1724" s="49" t="str">
        <f t="array" ref="D1724">_xlfn.XLOOKUP(
 B1724,
 tblTargets[TargetID],
 tblTargets[TargetType],
 ""
)</f>
        <v>COLLECTION</v>
      </c>
      <c r="E1724" s="49" t="s">
        <v>2915</v>
      </c>
      <c r="F1724" s="87">
        <f>IFERROR(__xludf.DUMMYFUNCTION("VALUE(REGEXEXTRACT(A1724,""([^.]+)$""))"),1.0)</f>
        <v>1</v>
      </c>
      <c r="G1724" s="49">
        <v>1000.0</v>
      </c>
      <c r="H1724" s="26" t="b">
        <f>COUNTIFS(
 tblCostChecklist[RequirementID],A1724,
 tblCostChecklist[PlayerPaid],TRUE
)&gt;0</f>
        <v>0</v>
      </c>
      <c r="I1724" s="49">
        <f t="shared" si="1"/>
        <v>8</v>
      </c>
      <c r="J1724" s="49">
        <f t="shared" si="2"/>
        <v>0</v>
      </c>
      <c r="K1724" s="49">
        <f t="shared" si="3"/>
        <v>8</v>
      </c>
      <c r="L1724" s="49" t="b">
        <f t="shared" si="4"/>
        <v>0</v>
      </c>
      <c r="M1724" s="88">
        <f t="shared" si="5"/>
        <v>0</v>
      </c>
    </row>
    <row r="1725" ht="14.25" customHeight="1">
      <c r="A1725" s="49" t="s">
        <v>2969</v>
      </c>
      <c r="B1725" s="49" t="str">
        <f>IFERROR(__xludf.DUMMYFUNCTION("REGEXEXTRACT(A1725,""^cost\.(.*)\.[^.]+\.[^.]+$"")"),"collection.treasury_1@4")</f>
        <v>collection.treasury_1@4</v>
      </c>
      <c r="C1725" s="49" t="str">
        <f t="array" ref="C1725">_xlfn.XLOOKUP(
 B1725,
 tblTargets[TargetID],
 tblTargets[DisplayName],
 ""
)</f>
        <v>Treasury 1 Lv 4</v>
      </c>
      <c r="D1725" s="49" t="str">
        <f t="array" ref="D1725">_xlfn.XLOOKUP(
 B1725,
 tblTargets[TargetID],
 tblTargets[TargetType],
 ""
)</f>
        <v>COLLECTION</v>
      </c>
      <c r="E1725" s="49" t="s">
        <v>412</v>
      </c>
      <c r="F1725" s="87">
        <f>IFERROR(__xludf.DUMMYFUNCTION("VALUE(REGEXEXTRACT(A1725,""([^.]+)$""))"),1.0)</f>
        <v>1</v>
      </c>
      <c r="G1725" s="49">
        <v>40.0</v>
      </c>
      <c r="H1725" s="26" t="b">
        <f>COUNTIFS(
 tblCostChecklist[RequirementID],A1725,
 tblCostChecklist[PlayerPaid],TRUE
)&gt;0</f>
        <v>0</v>
      </c>
      <c r="I1725" s="49">
        <f t="shared" si="1"/>
        <v>8</v>
      </c>
      <c r="J1725" s="49">
        <f t="shared" si="2"/>
        <v>0</v>
      </c>
      <c r="K1725" s="49">
        <f t="shared" si="3"/>
        <v>8</v>
      </c>
      <c r="L1725" s="49" t="b">
        <f t="shared" si="4"/>
        <v>0</v>
      </c>
      <c r="M1725" s="88">
        <f t="shared" si="5"/>
        <v>0</v>
      </c>
    </row>
    <row r="1726" ht="14.25" customHeight="1">
      <c r="A1726" s="49" t="s">
        <v>2971</v>
      </c>
      <c r="B1726" s="49" t="str">
        <f>IFERROR(__xludf.DUMMYFUNCTION("REGEXEXTRACT(A1726,""^cost\.(.*)\.[^.]+\.[^.]+$"")"),"collection.treasury_1@4")</f>
        <v>collection.treasury_1@4</v>
      </c>
      <c r="C1726" s="49" t="str">
        <f t="array" ref="C1726">_xlfn.XLOOKUP(
 B1726,
 tblTargets[TargetID],
 tblTargets[DisplayName],
 ""
)</f>
        <v>Treasury 1 Lv 4</v>
      </c>
      <c r="D1726" s="49" t="str">
        <f t="array" ref="D1726">_xlfn.XLOOKUP(
 B1726,
 tblTargets[TargetID],
 tblTargets[TargetType],
 ""
)</f>
        <v>COLLECTION</v>
      </c>
      <c r="E1726" s="49" t="s">
        <v>426</v>
      </c>
      <c r="F1726" s="87">
        <f>IFERROR(__xludf.DUMMYFUNCTION("VALUE(REGEXEXTRACT(A1726,""([^.]+)$""))"),1.0)</f>
        <v>1</v>
      </c>
      <c r="G1726" s="49">
        <v>20.0</v>
      </c>
      <c r="H1726" s="26" t="b">
        <f>COUNTIFS(
 tblCostChecklist[RequirementID],A1726,
 tblCostChecklist[PlayerPaid],TRUE
)&gt;0</f>
        <v>0</v>
      </c>
      <c r="I1726" s="49">
        <f t="shared" si="1"/>
        <v>8</v>
      </c>
      <c r="J1726" s="49">
        <f t="shared" si="2"/>
        <v>0</v>
      </c>
      <c r="K1726" s="49">
        <f t="shared" si="3"/>
        <v>8</v>
      </c>
      <c r="L1726" s="49" t="b">
        <f t="shared" si="4"/>
        <v>0</v>
      </c>
      <c r="M1726" s="88">
        <f t="shared" si="5"/>
        <v>0</v>
      </c>
    </row>
    <row r="1727" ht="14.25" customHeight="1">
      <c r="A1727" s="49" t="s">
        <v>2973</v>
      </c>
      <c r="B1727" s="49" t="str">
        <f>IFERROR(__xludf.DUMMYFUNCTION("REGEXEXTRACT(A1727,""^cost\.(.*)\.[^.]+\.[^.]+$"")"),"collection.treasury_1@4")</f>
        <v>collection.treasury_1@4</v>
      </c>
      <c r="C1727" s="49" t="str">
        <f t="array" ref="C1727">_xlfn.XLOOKUP(
 B1727,
 tblTargets[TargetID],
 tblTargets[DisplayName],
 ""
)</f>
        <v>Treasury 1 Lv 4</v>
      </c>
      <c r="D1727" s="49" t="str">
        <f t="array" ref="D1727">_xlfn.XLOOKUP(
 B1727,
 tblTargets[TargetID],
 tblTargets[TargetType],
 ""
)</f>
        <v>COLLECTION</v>
      </c>
      <c r="E1727" s="49" t="s">
        <v>6</v>
      </c>
      <c r="F1727" s="87">
        <f>IFERROR(__xludf.DUMMYFUNCTION("VALUE(REGEXEXTRACT(A1727,""([^.]+)$""))"),1.0)</f>
        <v>1</v>
      </c>
      <c r="G1727" s="49">
        <v>20.0</v>
      </c>
      <c r="H1727" s="26" t="b">
        <f>COUNTIFS(
 tblCostChecklist[RequirementID],A1727,
 tblCostChecklist[PlayerPaid],TRUE
)&gt;0</f>
        <v>0</v>
      </c>
      <c r="I1727" s="49">
        <f t="shared" si="1"/>
        <v>8</v>
      </c>
      <c r="J1727" s="49">
        <f t="shared" si="2"/>
        <v>0</v>
      </c>
      <c r="K1727" s="49">
        <f t="shared" si="3"/>
        <v>8</v>
      </c>
      <c r="L1727" s="49" t="b">
        <f t="shared" si="4"/>
        <v>0</v>
      </c>
      <c r="M1727" s="88">
        <f t="shared" si="5"/>
        <v>0</v>
      </c>
    </row>
    <row r="1728" ht="14.25" customHeight="1">
      <c r="A1728" s="49" t="s">
        <v>2975</v>
      </c>
      <c r="B1728" s="49" t="str">
        <f>IFERROR(__xludf.DUMMYFUNCTION("REGEXEXTRACT(A1728,""^cost\.(.*)\.[^.]+\.[^.]+$"")"),"collection.treasury_1@4")</f>
        <v>collection.treasury_1@4</v>
      </c>
      <c r="C1728" s="49" t="str">
        <f t="array" ref="C1728">_xlfn.XLOOKUP(
 B1728,
 tblTargets[TargetID],
 tblTargets[DisplayName],
 ""
)</f>
        <v>Treasury 1 Lv 4</v>
      </c>
      <c r="D1728" s="49" t="str">
        <f t="array" ref="D1728">_xlfn.XLOOKUP(
 B1728,
 tblTargets[TargetID],
 tblTargets[TargetType],
 ""
)</f>
        <v>COLLECTION</v>
      </c>
      <c r="E1728" s="49" t="s">
        <v>2011</v>
      </c>
      <c r="F1728" s="87">
        <f>IFERROR(__xludf.DUMMYFUNCTION("VALUE(REGEXEXTRACT(A1728,""([^.]+)$""))"),1.0)</f>
        <v>1</v>
      </c>
      <c r="G1728" s="49">
        <v>40.0</v>
      </c>
      <c r="H1728" s="26" t="b">
        <f>COUNTIFS(
 tblCostChecklist[RequirementID],A1728,
 tblCostChecklist[PlayerPaid],TRUE
)&gt;0</f>
        <v>0</v>
      </c>
      <c r="I1728" s="49">
        <f t="shared" si="1"/>
        <v>8</v>
      </c>
      <c r="J1728" s="49">
        <f t="shared" si="2"/>
        <v>0</v>
      </c>
      <c r="K1728" s="49">
        <f t="shared" si="3"/>
        <v>8</v>
      </c>
      <c r="L1728" s="49" t="b">
        <f t="shared" si="4"/>
        <v>0</v>
      </c>
      <c r="M1728" s="88">
        <f t="shared" si="5"/>
        <v>0</v>
      </c>
    </row>
    <row r="1729" ht="14.25" customHeight="1">
      <c r="A1729" s="49" t="s">
        <v>2978</v>
      </c>
      <c r="B1729" s="49" t="str">
        <f>IFERROR(__xludf.DUMMYFUNCTION("REGEXEXTRACT(A1729,""^cost\.(.*)\.[^.]+\.[^.]+$"")"),"collection.treasury_1@5")</f>
        <v>collection.treasury_1@5</v>
      </c>
      <c r="C1729" s="49" t="str">
        <f t="array" ref="C1729">_xlfn.XLOOKUP(
 B1729,
 tblTargets[TargetID],
 tblTargets[DisplayName],
 ""
)</f>
        <v>Treasury 1 Lv 5</v>
      </c>
      <c r="D1729" s="49" t="str">
        <f t="array" ref="D1729">_xlfn.XLOOKUP(
 B1729,
 tblTargets[TargetID],
 tblTargets[TargetType],
 ""
)</f>
        <v>COLLECTION</v>
      </c>
      <c r="E1729" s="49" t="s">
        <v>119</v>
      </c>
      <c r="F1729" s="87">
        <f>IFERROR(__xludf.DUMMYFUNCTION("VALUE(REGEXEXTRACT(A1729,""([^.]+)$""))"),1.0)</f>
        <v>1</v>
      </c>
      <c r="G1729" s="49">
        <v>5000.0</v>
      </c>
      <c r="H1729" s="26" t="b">
        <f>COUNTIFS(
 tblCostChecklist[RequirementID],A1729,
 tblCostChecklist[PlayerPaid],TRUE
)&gt;0</f>
        <v>0</v>
      </c>
      <c r="I1729" s="49">
        <f t="shared" si="1"/>
        <v>8</v>
      </c>
      <c r="J1729" s="49">
        <f t="shared" si="2"/>
        <v>0</v>
      </c>
      <c r="K1729" s="49">
        <f t="shared" si="3"/>
        <v>8</v>
      </c>
      <c r="L1729" s="49" t="b">
        <f t="shared" si="4"/>
        <v>0</v>
      </c>
      <c r="M1729" s="88">
        <f t="shared" si="5"/>
        <v>0</v>
      </c>
    </row>
    <row r="1730" ht="14.25" customHeight="1">
      <c r="A1730" s="49" t="s">
        <v>2980</v>
      </c>
      <c r="B1730" s="49" t="str">
        <f>IFERROR(__xludf.DUMMYFUNCTION("REGEXEXTRACT(A1730,""^cost\.(.*)\.[^.]+\.[^.]+$"")"),"collection.treasury_1@5")</f>
        <v>collection.treasury_1@5</v>
      </c>
      <c r="C1730" s="49" t="str">
        <f t="array" ref="C1730">_xlfn.XLOOKUP(
 B1730,
 tblTargets[TargetID],
 tblTargets[DisplayName],
 ""
)</f>
        <v>Treasury 1 Lv 5</v>
      </c>
      <c r="D1730" s="49" t="str">
        <f t="array" ref="D1730">_xlfn.XLOOKUP(
 B1730,
 tblTargets[TargetID],
 tblTargets[TargetType],
 ""
)</f>
        <v>COLLECTION</v>
      </c>
      <c r="E1730" s="49" t="s">
        <v>119</v>
      </c>
      <c r="F1730" s="87">
        <f>IFERROR(__xludf.DUMMYFUNCTION("VALUE(REGEXEXTRACT(A1730,""([^.]+)$""))"),2.0)</f>
        <v>2</v>
      </c>
      <c r="G1730" s="49">
        <v>5000.0</v>
      </c>
      <c r="H1730" s="26" t="b">
        <f>COUNTIFS(
 tblCostChecklist[RequirementID],A1730,
 tblCostChecklist[PlayerPaid],TRUE
)&gt;0</f>
        <v>0</v>
      </c>
      <c r="I1730" s="49">
        <f t="shared" si="1"/>
        <v>8</v>
      </c>
      <c r="J1730" s="49">
        <f t="shared" si="2"/>
        <v>0</v>
      </c>
      <c r="K1730" s="49">
        <f t="shared" si="3"/>
        <v>8</v>
      </c>
      <c r="L1730" s="49" t="b">
        <f t="shared" si="4"/>
        <v>0</v>
      </c>
      <c r="M1730" s="88">
        <f t="shared" si="5"/>
        <v>0</v>
      </c>
    </row>
    <row r="1731" ht="14.25" customHeight="1">
      <c r="A1731" s="49" t="s">
        <v>2982</v>
      </c>
      <c r="B1731" s="49" t="str">
        <f>IFERROR(__xludf.DUMMYFUNCTION("REGEXEXTRACT(A1731,""^cost\.(.*)\.[^.]+\.[^.]+$"")"),"collection.treasury_1@5")</f>
        <v>collection.treasury_1@5</v>
      </c>
      <c r="C1731" s="49" t="str">
        <f t="array" ref="C1731">_xlfn.XLOOKUP(
 B1731,
 tblTargets[TargetID],
 tblTargets[DisplayName],
 ""
)</f>
        <v>Treasury 1 Lv 5</v>
      </c>
      <c r="D1731" s="49" t="str">
        <f t="array" ref="D1731">_xlfn.XLOOKUP(
 B1731,
 tblTargets[TargetID],
 tblTargets[TargetType],
 ""
)</f>
        <v>COLLECTION</v>
      </c>
      <c r="E1731" s="49" t="s">
        <v>1060</v>
      </c>
      <c r="F1731" s="87">
        <f>IFERROR(__xludf.DUMMYFUNCTION("VALUE(REGEXEXTRACT(A1731,""([^.]+)$""))"),1.0)</f>
        <v>1</v>
      </c>
      <c r="G1731" s="49">
        <v>1250.0</v>
      </c>
      <c r="H1731" s="26" t="b">
        <f>COUNTIFS(
 tblCostChecklist[RequirementID],A1731,
 tblCostChecklist[PlayerPaid],TRUE
)&gt;0</f>
        <v>0</v>
      </c>
      <c r="I1731" s="49">
        <f t="shared" si="1"/>
        <v>8</v>
      </c>
      <c r="J1731" s="49">
        <f t="shared" si="2"/>
        <v>0</v>
      </c>
      <c r="K1731" s="49">
        <f t="shared" si="3"/>
        <v>8</v>
      </c>
      <c r="L1731" s="49" t="b">
        <f t="shared" si="4"/>
        <v>0</v>
      </c>
      <c r="M1731" s="88">
        <f t="shared" si="5"/>
        <v>0</v>
      </c>
    </row>
    <row r="1732" ht="14.25" customHeight="1">
      <c r="A1732" s="49" t="s">
        <v>2984</v>
      </c>
      <c r="B1732" s="49" t="str">
        <f>IFERROR(__xludf.DUMMYFUNCTION("REGEXEXTRACT(A1732,""^cost\.(.*)\.[^.]+\.[^.]+$"")"),"collection.treasury_1@5")</f>
        <v>collection.treasury_1@5</v>
      </c>
      <c r="C1732" s="49" t="str">
        <f t="array" ref="C1732">_xlfn.XLOOKUP(
 B1732,
 tblTargets[TargetID],
 tblTargets[DisplayName],
 ""
)</f>
        <v>Treasury 1 Lv 5</v>
      </c>
      <c r="D1732" s="49" t="str">
        <f t="array" ref="D1732">_xlfn.XLOOKUP(
 B1732,
 tblTargets[TargetID],
 tblTargets[TargetType],
 ""
)</f>
        <v>COLLECTION</v>
      </c>
      <c r="E1732" s="49" t="s">
        <v>2915</v>
      </c>
      <c r="F1732" s="87">
        <f>IFERROR(__xludf.DUMMYFUNCTION("VALUE(REGEXEXTRACT(A1732,""([^.]+)$""))"),1.0)</f>
        <v>1</v>
      </c>
      <c r="G1732" s="49">
        <v>1250.0</v>
      </c>
      <c r="H1732" s="26" t="b">
        <f>COUNTIFS(
 tblCostChecklist[RequirementID],A1732,
 tblCostChecklist[PlayerPaid],TRUE
)&gt;0</f>
        <v>0</v>
      </c>
      <c r="I1732" s="49">
        <f t="shared" si="1"/>
        <v>8</v>
      </c>
      <c r="J1732" s="49">
        <f t="shared" si="2"/>
        <v>0</v>
      </c>
      <c r="K1732" s="49">
        <f t="shared" si="3"/>
        <v>8</v>
      </c>
      <c r="L1732" s="49" t="b">
        <f t="shared" si="4"/>
        <v>0</v>
      </c>
      <c r="M1732" s="88">
        <f t="shared" si="5"/>
        <v>0</v>
      </c>
    </row>
    <row r="1733" ht="14.25" customHeight="1">
      <c r="A1733" s="49" t="s">
        <v>2987</v>
      </c>
      <c r="B1733" s="49" t="str">
        <f>IFERROR(__xludf.DUMMYFUNCTION("REGEXEXTRACT(A1733,""^cost\.(.*)\.[^.]+\.[^.]+$"")"),"collection.treasury_1@5")</f>
        <v>collection.treasury_1@5</v>
      </c>
      <c r="C1733" s="49" t="str">
        <f t="array" ref="C1733">_xlfn.XLOOKUP(
 B1733,
 tblTargets[TargetID],
 tblTargets[DisplayName],
 ""
)</f>
        <v>Treasury 1 Lv 5</v>
      </c>
      <c r="D1733" s="49" t="str">
        <f t="array" ref="D1733">_xlfn.XLOOKUP(
 B1733,
 tblTargets[TargetID],
 tblTargets[TargetType],
 ""
)</f>
        <v>COLLECTION</v>
      </c>
      <c r="E1733" s="49" t="s">
        <v>412</v>
      </c>
      <c r="F1733" s="87">
        <f>IFERROR(__xludf.DUMMYFUNCTION("VALUE(REGEXEXTRACT(A1733,""([^.]+)$""))"),1.0)</f>
        <v>1</v>
      </c>
      <c r="G1733" s="49">
        <v>50.0</v>
      </c>
      <c r="H1733" s="26" t="b">
        <f>COUNTIFS(
 tblCostChecklist[RequirementID],A1733,
 tblCostChecklist[PlayerPaid],TRUE
)&gt;0</f>
        <v>0</v>
      </c>
      <c r="I1733" s="49">
        <f t="shared" si="1"/>
        <v>8</v>
      </c>
      <c r="J1733" s="49">
        <f t="shared" si="2"/>
        <v>0</v>
      </c>
      <c r="K1733" s="49">
        <f t="shared" si="3"/>
        <v>8</v>
      </c>
      <c r="L1733" s="49" t="b">
        <f t="shared" si="4"/>
        <v>0</v>
      </c>
      <c r="M1733" s="88">
        <f t="shared" si="5"/>
        <v>0</v>
      </c>
    </row>
    <row r="1734" ht="14.25" customHeight="1">
      <c r="A1734" s="49" t="s">
        <v>2989</v>
      </c>
      <c r="B1734" s="49" t="str">
        <f>IFERROR(__xludf.DUMMYFUNCTION("REGEXEXTRACT(A1734,""^cost\.(.*)\.[^.]+\.[^.]+$"")"),"collection.treasury_1@5")</f>
        <v>collection.treasury_1@5</v>
      </c>
      <c r="C1734" s="49" t="str">
        <f t="array" ref="C1734">_xlfn.XLOOKUP(
 B1734,
 tblTargets[TargetID],
 tblTargets[DisplayName],
 ""
)</f>
        <v>Treasury 1 Lv 5</v>
      </c>
      <c r="D1734" s="49" t="str">
        <f t="array" ref="D1734">_xlfn.XLOOKUP(
 B1734,
 tblTargets[TargetID],
 tblTargets[TargetType],
 ""
)</f>
        <v>COLLECTION</v>
      </c>
      <c r="E1734" s="49" t="s">
        <v>426</v>
      </c>
      <c r="F1734" s="87">
        <f>IFERROR(__xludf.DUMMYFUNCTION("VALUE(REGEXEXTRACT(A1734,""([^.]+)$""))"),1.0)</f>
        <v>1</v>
      </c>
      <c r="G1734" s="49">
        <v>25.0</v>
      </c>
      <c r="H1734" s="26" t="b">
        <f>COUNTIFS(
 tblCostChecklist[RequirementID],A1734,
 tblCostChecklist[PlayerPaid],TRUE
)&gt;0</f>
        <v>0</v>
      </c>
      <c r="I1734" s="49">
        <f t="shared" si="1"/>
        <v>8</v>
      </c>
      <c r="J1734" s="49">
        <f t="shared" si="2"/>
        <v>0</v>
      </c>
      <c r="K1734" s="49">
        <f t="shared" si="3"/>
        <v>8</v>
      </c>
      <c r="L1734" s="49" t="b">
        <f t="shared" si="4"/>
        <v>0</v>
      </c>
      <c r="M1734" s="88">
        <f t="shared" si="5"/>
        <v>0</v>
      </c>
    </row>
    <row r="1735" ht="14.25" customHeight="1">
      <c r="A1735" s="49" t="s">
        <v>2991</v>
      </c>
      <c r="B1735" s="49" t="str">
        <f>IFERROR(__xludf.DUMMYFUNCTION("REGEXEXTRACT(A1735,""^cost\.(.*)\.[^.]+\.[^.]+$"")"),"collection.treasury_1@5")</f>
        <v>collection.treasury_1@5</v>
      </c>
      <c r="C1735" s="49" t="str">
        <f t="array" ref="C1735">_xlfn.XLOOKUP(
 B1735,
 tblTargets[TargetID],
 tblTargets[DisplayName],
 ""
)</f>
        <v>Treasury 1 Lv 5</v>
      </c>
      <c r="D1735" s="49" t="str">
        <f t="array" ref="D1735">_xlfn.XLOOKUP(
 B1735,
 tblTargets[TargetID],
 tblTargets[TargetType],
 ""
)</f>
        <v>COLLECTION</v>
      </c>
      <c r="E1735" s="49" t="s">
        <v>6</v>
      </c>
      <c r="F1735" s="87">
        <f>IFERROR(__xludf.DUMMYFUNCTION("VALUE(REGEXEXTRACT(A1735,""([^.]+)$""))"),1.0)</f>
        <v>1</v>
      </c>
      <c r="G1735" s="49">
        <v>25.0</v>
      </c>
      <c r="H1735" s="26" t="b">
        <f>COUNTIFS(
 tblCostChecklist[RequirementID],A1735,
 tblCostChecklist[PlayerPaid],TRUE
)&gt;0</f>
        <v>0</v>
      </c>
      <c r="I1735" s="49">
        <f t="shared" si="1"/>
        <v>8</v>
      </c>
      <c r="J1735" s="49">
        <f t="shared" si="2"/>
        <v>0</v>
      </c>
      <c r="K1735" s="49">
        <f t="shared" si="3"/>
        <v>8</v>
      </c>
      <c r="L1735" s="49" t="b">
        <f t="shared" si="4"/>
        <v>0</v>
      </c>
      <c r="M1735" s="88">
        <f t="shared" si="5"/>
        <v>0</v>
      </c>
    </row>
    <row r="1736" ht="14.25" customHeight="1">
      <c r="A1736" s="49" t="s">
        <v>2993</v>
      </c>
      <c r="B1736" s="49" t="str">
        <f>IFERROR(__xludf.DUMMYFUNCTION("REGEXEXTRACT(A1736,""^cost\.(.*)\.[^.]+\.[^.]+$"")"),"collection.treasury_1@5")</f>
        <v>collection.treasury_1@5</v>
      </c>
      <c r="C1736" s="49" t="str">
        <f t="array" ref="C1736">_xlfn.XLOOKUP(
 B1736,
 tblTargets[TargetID],
 tblTargets[DisplayName],
 ""
)</f>
        <v>Treasury 1 Lv 5</v>
      </c>
      <c r="D1736" s="49" t="str">
        <f t="array" ref="D1736">_xlfn.XLOOKUP(
 B1736,
 tblTargets[TargetID],
 tblTargets[TargetType],
 ""
)</f>
        <v>COLLECTION</v>
      </c>
      <c r="E1736" s="49" t="s">
        <v>2011</v>
      </c>
      <c r="F1736" s="87">
        <f>IFERROR(__xludf.DUMMYFUNCTION("VALUE(REGEXEXTRACT(A1736,""([^.]+)$""))"),1.0)</f>
        <v>1</v>
      </c>
      <c r="G1736" s="49">
        <v>50.0</v>
      </c>
      <c r="H1736" s="26" t="b">
        <f>COUNTIFS(
 tblCostChecklist[RequirementID],A1736,
 tblCostChecklist[PlayerPaid],TRUE
)&gt;0</f>
        <v>0</v>
      </c>
      <c r="I1736" s="49">
        <f t="shared" si="1"/>
        <v>8</v>
      </c>
      <c r="J1736" s="49">
        <f t="shared" si="2"/>
        <v>0</v>
      </c>
      <c r="K1736" s="49">
        <f t="shared" si="3"/>
        <v>8</v>
      </c>
      <c r="L1736" s="49" t="b">
        <f t="shared" si="4"/>
        <v>0</v>
      </c>
      <c r="M1736" s="88">
        <f t="shared" si="5"/>
        <v>0</v>
      </c>
    </row>
    <row r="1737" ht="14.25" customHeight="1">
      <c r="A1737" s="49" t="s">
        <v>2995</v>
      </c>
      <c r="B1737" s="49" t="str">
        <f>IFERROR(__xludf.DUMMYFUNCTION("REGEXEXTRACT(A1737,""^cost\.(.*)\.[^.]+\.[^.]+$"")"),"collection.treasury_2@1")</f>
        <v>collection.treasury_2@1</v>
      </c>
      <c r="C1737" s="49" t="str">
        <f t="array" ref="C1737">_xlfn.XLOOKUP(
 B1737,
 tblTargets[TargetID],
 tblTargets[DisplayName],
 ""
)</f>
        <v>Treasury 2 Lv 1</v>
      </c>
      <c r="D1737" s="49" t="str">
        <f t="array" ref="D1737">_xlfn.XLOOKUP(
 B1737,
 tblTargets[TargetID],
 tblTargets[TargetType],
 ""
)</f>
        <v>COLLECTION</v>
      </c>
      <c r="E1737" s="49" t="s">
        <v>2997</v>
      </c>
      <c r="F1737" s="87">
        <f>IFERROR(__xludf.DUMMYFUNCTION("VALUE(REGEXEXTRACT(A1737,""([^.]+)$""))"),1.0)</f>
        <v>1</v>
      </c>
      <c r="G1737" s="49">
        <v>3.0</v>
      </c>
      <c r="H1737" s="26" t="b">
        <f>COUNTIFS(
 tblCostChecklist[RequirementID],A1737,
 tblCostChecklist[PlayerPaid],TRUE
)&gt;0</f>
        <v>0</v>
      </c>
      <c r="I1737" s="49">
        <f t="shared" si="1"/>
        <v>5</v>
      </c>
      <c r="J1737" s="49">
        <f t="shared" si="2"/>
        <v>0</v>
      </c>
      <c r="K1737" s="49">
        <f t="shared" si="3"/>
        <v>5</v>
      </c>
      <c r="L1737" s="49" t="b">
        <f t="shared" si="4"/>
        <v>0</v>
      </c>
      <c r="M1737" s="88">
        <f t="shared" si="5"/>
        <v>0</v>
      </c>
    </row>
    <row r="1738" ht="14.25" customHeight="1">
      <c r="A1738" s="49" t="s">
        <v>2998</v>
      </c>
      <c r="B1738" s="49" t="str">
        <f>IFERROR(__xludf.DUMMYFUNCTION("REGEXEXTRACT(A1738,""^cost\.(.*)\.[^.]+\.[^.]+$"")"),"collection.treasury_2@1")</f>
        <v>collection.treasury_2@1</v>
      </c>
      <c r="C1738" s="49" t="str">
        <f t="array" ref="C1738">_xlfn.XLOOKUP(
 B1738,
 tblTargets[TargetID],
 tblTargets[DisplayName],
 ""
)</f>
        <v>Treasury 2 Lv 1</v>
      </c>
      <c r="D1738" s="49" t="str">
        <f t="array" ref="D1738">_xlfn.XLOOKUP(
 B1738,
 tblTargets[TargetID],
 tblTargets[TargetType],
 ""
)</f>
        <v>COLLECTION</v>
      </c>
      <c r="E1738" s="49" t="s">
        <v>3000</v>
      </c>
      <c r="F1738" s="87">
        <f>IFERROR(__xludf.DUMMYFUNCTION("VALUE(REGEXEXTRACT(A1738,""([^.]+)$""))"),1.0)</f>
        <v>1</v>
      </c>
      <c r="G1738" s="49">
        <v>3.0</v>
      </c>
      <c r="H1738" s="26" t="b">
        <f>COUNTIFS(
 tblCostChecklist[RequirementID],A1738,
 tblCostChecklist[PlayerPaid],TRUE
)&gt;0</f>
        <v>0</v>
      </c>
      <c r="I1738" s="49">
        <f t="shared" si="1"/>
        <v>5</v>
      </c>
      <c r="J1738" s="49">
        <f t="shared" si="2"/>
        <v>0</v>
      </c>
      <c r="K1738" s="49">
        <f t="shared" si="3"/>
        <v>5</v>
      </c>
      <c r="L1738" s="49" t="b">
        <f t="shared" si="4"/>
        <v>0</v>
      </c>
      <c r="M1738" s="88">
        <f t="shared" si="5"/>
        <v>0</v>
      </c>
    </row>
    <row r="1739" ht="14.25" customHeight="1">
      <c r="A1739" s="49" t="s">
        <v>3002</v>
      </c>
      <c r="B1739" s="49" t="str">
        <f>IFERROR(__xludf.DUMMYFUNCTION("REGEXEXTRACT(A1739,""^cost\.(.*)\.[^.]+\.[^.]+$"")"),"collection.treasury_2@1")</f>
        <v>collection.treasury_2@1</v>
      </c>
      <c r="C1739" s="49" t="str">
        <f t="array" ref="C1739">_xlfn.XLOOKUP(
 B1739,
 tblTargets[TargetID],
 tblTargets[DisplayName],
 ""
)</f>
        <v>Treasury 2 Lv 1</v>
      </c>
      <c r="D1739" s="49" t="str">
        <f t="array" ref="D1739">_xlfn.XLOOKUP(
 B1739,
 tblTargets[TargetID],
 tblTargets[TargetType],
 ""
)</f>
        <v>COLLECTION</v>
      </c>
      <c r="E1739" s="49" t="s">
        <v>3003</v>
      </c>
      <c r="F1739" s="87">
        <f>IFERROR(__xludf.DUMMYFUNCTION("VALUE(REGEXEXTRACT(A1739,""([^.]+)$""))"),1.0)</f>
        <v>1</v>
      </c>
      <c r="G1739" s="49">
        <v>3.0</v>
      </c>
      <c r="H1739" s="26" t="b">
        <f>COUNTIFS(
 tblCostChecklist[RequirementID],A1739,
 tblCostChecklist[PlayerPaid],TRUE
)&gt;0</f>
        <v>0</v>
      </c>
      <c r="I1739" s="49">
        <f t="shared" si="1"/>
        <v>5</v>
      </c>
      <c r="J1739" s="49">
        <f t="shared" si="2"/>
        <v>0</v>
      </c>
      <c r="K1739" s="49">
        <f t="shared" si="3"/>
        <v>5</v>
      </c>
      <c r="L1739" s="49" t="b">
        <f t="shared" si="4"/>
        <v>0</v>
      </c>
      <c r="M1739" s="88">
        <f t="shared" si="5"/>
        <v>0</v>
      </c>
    </row>
    <row r="1740" ht="14.25" customHeight="1">
      <c r="A1740" s="49" t="s">
        <v>3005</v>
      </c>
      <c r="B1740" s="49" t="str">
        <f>IFERROR(__xludf.DUMMYFUNCTION("REGEXEXTRACT(A1740,""^cost\.(.*)\.[^.]+\.[^.]+$"")"),"collection.treasury_2@1")</f>
        <v>collection.treasury_2@1</v>
      </c>
      <c r="C1740" s="49" t="str">
        <f t="array" ref="C1740">_xlfn.XLOOKUP(
 B1740,
 tblTargets[TargetID],
 tblTargets[DisplayName],
 ""
)</f>
        <v>Treasury 2 Lv 1</v>
      </c>
      <c r="D1740" s="49" t="str">
        <f t="array" ref="D1740">_xlfn.XLOOKUP(
 B1740,
 tblTargets[TargetID],
 tblTargets[TargetType],
 ""
)</f>
        <v>COLLECTION</v>
      </c>
      <c r="E1740" s="49" t="s">
        <v>3006</v>
      </c>
      <c r="F1740" s="87">
        <f>IFERROR(__xludf.DUMMYFUNCTION("VALUE(REGEXEXTRACT(A1740,""([^.]+)$""))"),1.0)</f>
        <v>1</v>
      </c>
      <c r="G1740" s="49">
        <v>3.0</v>
      </c>
      <c r="H1740" s="26" t="b">
        <f>COUNTIFS(
 tblCostChecklist[RequirementID],A1740,
 tblCostChecklist[PlayerPaid],TRUE
)&gt;0</f>
        <v>0</v>
      </c>
      <c r="I1740" s="49">
        <f t="shared" si="1"/>
        <v>5</v>
      </c>
      <c r="J1740" s="49">
        <f t="shared" si="2"/>
        <v>0</v>
      </c>
      <c r="K1740" s="49">
        <f t="shared" si="3"/>
        <v>5</v>
      </c>
      <c r="L1740" s="49" t="b">
        <f t="shared" si="4"/>
        <v>0</v>
      </c>
      <c r="M1740" s="88">
        <f t="shared" si="5"/>
        <v>0</v>
      </c>
    </row>
    <row r="1741" ht="14.25" customHeight="1">
      <c r="A1741" s="49" t="s">
        <v>3008</v>
      </c>
      <c r="B1741" s="49" t="str">
        <f>IFERROR(__xludf.DUMMYFUNCTION("REGEXEXTRACT(A1741,""^cost\.(.*)\.[^.]+\.[^.]+$"")"),"collection.treasury_2@1")</f>
        <v>collection.treasury_2@1</v>
      </c>
      <c r="C1741" s="49" t="str">
        <f t="array" ref="C1741">_xlfn.XLOOKUP(
 B1741,
 tblTargets[TargetID],
 tblTargets[DisplayName],
 ""
)</f>
        <v>Treasury 2 Lv 1</v>
      </c>
      <c r="D1741" s="49" t="str">
        <f t="array" ref="D1741">_xlfn.XLOOKUP(
 B1741,
 tblTargets[TargetID],
 tblTargets[TargetType],
 ""
)</f>
        <v>COLLECTION</v>
      </c>
      <c r="E1741" s="49" t="s">
        <v>3009</v>
      </c>
      <c r="F1741" s="87">
        <f>IFERROR(__xludf.DUMMYFUNCTION("VALUE(REGEXEXTRACT(A1741,""([^.]+)$""))"),1.0)</f>
        <v>1</v>
      </c>
      <c r="G1741" s="49">
        <v>3.0</v>
      </c>
      <c r="H1741" s="26" t="b">
        <f>COUNTIFS(
 tblCostChecklist[RequirementID],A1741,
 tblCostChecklist[PlayerPaid],TRUE
)&gt;0</f>
        <v>0</v>
      </c>
      <c r="I1741" s="49">
        <f t="shared" si="1"/>
        <v>5</v>
      </c>
      <c r="J1741" s="49">
        <f t="shared" si="2"/>
        <v>0</v>
      </c>
      <c r="K1741" s="49">
        <f t="shared" si="3"/>
        <v>5</v>
      </c>
      <c r="L1741" s="49" t="b">
        <f t="shared" si="4"/>
        <v>0</v>
      </c>
      <c r="M1741" s="88">
        <f t="shared" si="5"/>
        <v>0</v>
      </c>
    </row>
    <row r="1742" ht="14.25" customHeight="1">
      <c r="A1742" s="49" t="s">
        <v>3011</v>
      </c>
      <c r="B1742" s="49" t="str">
        <f>IFERROR(__xludf.DUMMYFUNCTION("REGEXEXTRACT(A1742,""^cost\.(.*)\.[^.]+\.[^.]+$"")"),"collection.treasury_2@2")</f>
        <v>collection.treasury_2@2</v>
      </c>
      <c r="C1742" s="49" t="str">
        <f t="array" ref="C1742">_xlfn.XLOOKUP(
 B1742,
 tblTargets[TargetID],
 tblTargets[DisplayName],
 ""
)</f>
        <v>Treasury 2 Lv 2</v>
      </c>
      <c r="D1742" s="49" t="str">
        <f t="array" ref="D1742">_xlfn.XLOOKUP(
 B1742,
 tblTargets[TargetID],
 tblTargets[TargetType],
 ""
)</f>
        <v>COLLECTION</v>
      </c>
      <c r="E1742" s="49" t="s">
        <v>2997</v>
      </c>
      <c r="F1742" s="87">
        <f>IFERROR(__xludf.DUMMYFUNCTION("VALUE(REGEXEXTRACT(A1742,""([^.]+)$""))"),1.0)</f>
        <v>1</v>
      </c>
      <c r="G1742" s="49">
        <v>6.0</v>
      </c>
      <c r="H1742" s="26" t="b">
        <f>COUNTIFS(
 tblCostChecklist[RequirementID],A1742,
 tblCostChecklist[PlayerPaid],TRUE
)&gt;0</f>
        <v>0</v>
      </c>
      <c r="I1742" s="49">
        <f t="shared" si="1"/>
        <v>5</v>
      </c>
      <c r="J1742" s="49">
        <f t="shared" si="2"/>
        <v>0</v>
      </c>
      <c r="K1742" s="49">
        <f t="shared" si="3"/>
        <v>5</v>
      </c>
      <c r="L1742" s="49" t="b">
        <f t="shared" si="4"/>
        <v>0</v>
      </c>
      <c r="M1742" s="88">
        <f t="shared" si="5"/>
        <v>0</v>
      </c>
    </row>
    <row r="1743" ht="14.25" customHeight="1">
      <c r="A1743" s="49" t="s">
        <v>3013</v>
      </c>
      <c r="B1743" s="49" t="str">
        <f>IFERROR(__xludf.DUMMYFUNCTION("REGEXEXTRACT(A1743,""^cost\.(.*)\.[^.]+\.[^.]+$"")"),"collection.treasury_2@2")</f>
        <v>collection.treasury_2@2</v>
      </c>
      <c r="C1743" s="49" t="str">
        <f t="array" ref="C1743">_xlfn.XLOOKUP(
 B1743,
 tblTargets[TargetID],
 tblTargets[DisplayName],
 ""
)</f>
        <v>Treasury 2 Lv 2</v>
      </c>
      <c r="D1743" s="49" t="str">
        <f t="array" ref="D1743">_xlfn.XLOOKUP(
 B1743,
 tblTargets[TargetID],
 tblTargets[TargetType],
 ""
)</f>
        <v>COLLECTION</v>
      </c>
      <c r="E1743" s="49" t="s">
        <v>3000</v>
      </c>
      <c r="F1743" s="87">
        <f>IFERROR(__xludf.DUMMYFUNCTION("VALUE(REGEXEXTRACT(A1743,""([^.]+)$""))"),1.0)</f>
        <v>1</v>
      </c>
      <c r="G1743" s="49">
        <v>6.0</v>
      </c>
      <c r="H1743" s="26" t="b">
        <f>COUNTIFS(
 tblCostChecklist[RequirementID],A1743,
 tblCostChecklist[PlayerPaid],TRUE
)&gt;0</f>
        <v>0</v>
      </c>
      <c r="I1743" s="49">
        <f t="shared" si="1"/>
        <v>5</v>
      </c>
      <c r="J1743" s="49">
        <f t="shared" si="2"/>
        <v>0</v>
      </c>
      <c r="K1743" s="49">
        <f t="shared" si="3"/>
        <v>5</v>
      </c>
      <c r="L1743" s="49" t="b">
        <f t="shared" si="4"/>
        <v>0</v>
      </c>
      <c r="M1743" s="88">
        <f t="shared" si="5"/>
        <v>0</v>
      </c>
    </row>
    <row r="1744" ht="14.25" customHeight="1">
      <c r="A1744" s="49" t="s">
        <v>3015</v>
      </c>
      <c r="B1744" s="49" t="str">
        <f>IFERROR(__xludf.DUMMYFUNCTION("REGEXEXTRACT(A1744,""^cost\.(.*)\.[^.]+\.[^.]+$"")"),"collection.treasury_2@2")</f>
        <v>collection.treasury_2@2</v>
      </c>
      <c r="C1744" s="49" t="str">
        <f t="array" ref="C1744">_xlfn.XLOOKUP(
 B1744,
 tblTargets[TargetID],
 tblTargets[DisplayName],
 ""
)</f>
        <v>Treasury 2 Lv 2</v>
      </c>
      <c r="D1744" s="49" t="str">
        <f t="array" ref="D1744">_xlfn.XLOOKUP(
 B1744,
 tblTargets[TargetID],
 tblTargets[TargetType],
 ""
)</f>
        <v>COLLECTION</v>
      </c>
      <c r="E1744" s="49" t="s">
        <v>3003</v>
      </c>
      <c r="F1744" s="87">
        <f>IFERROR(__xludf.DUMMYFUNCTION("VALUE(REGEXEXTRACT(A1744,""([^.]+)$""))"),1.0)</f>
        <v>1</v>
      </c>
      <c r="G1744" s="49">
        <v>6.0</v>
      </c>
      <c r="H1744" s="26" t="b">
        <f>COUNTIFS(
 tblCostChecklist[RequirementID],A1744,
 tblCostChecklist[PlayerPaid],TRUE
)&gt;0</f>
        <v>0</v>
      </c>
      <c r="I1744" s="49">
        <f t="shared" si="1"/>
        <v>5</v>
      </c>
      <c r="J1744" s="49">
        <f t="shared" si="2"/>
        <v>0</v>
      </c>
      <c r="K1744" s="49">
        <f t="shared" si="3"/>
        <v>5</v>
      </c>
      <c r="L1744" s="49" t="b">
        <f t="shared" si="4"/>
        <v>0</v>
      </c>
      <c r="M1744" s="88">
        <f t="shared" si="5"/>
        <v>0</v>
      </c>
    </row>
    <row r="1745" ht="14.25" customHeight="1">
      <c r="A1745" s="49" t="s">
        <v>3018</v>
      </c>
      <c r="B1745" s="49" t="str">
        <f>IFERROR(__xludf.DUMMYFUNCTION("REGEXEXTRACT(A1745,""^cost\.(.*)\.[^.]+\.[^.]+$"")"),"collection.treasury_2@2")</f>
        <v>collection.treasury_2@2</v>
      </c>
      <c r="C1745" s="49" t="str">
        <f t="array" ref="C1745">_xlfn.XLOOKUP(
 B1745,
 tblTargets[TargetID],
 tblTargets[DisplayName],
 ""
)</f>
        <v>Treasury 2 Lv 2</v>
      </c>
      <c r="D1745" s="49" t="str">
        <f t="array" ref="D1745">_xlfn.XLOOKUP(
 B1745,
 tblTargets[TargetID],
 tblTargets[TargetType],
 ""
)</f>
        <v>COLLECTION</v>
      </c>
      <c r="E1745" s="49" t="s">
        <v>3006</v>
      </c>
      <c r="F1745" s="87">
        <f>IFERROR(__xludf.DUMMYFUNCTION("VALUE(REGEXEXTRACT(A1745,""([^.]+)$""))"),1.0)</f>
        <v>1</v>
      </c>
      <c r="G1745" s="49">
        <v>6.0</v>
      </c>
      <c r="H1745" s="26" t="b">
        <f>COUNTIFS(
 tblCostChecklist[RequirementID],A1745,
 tblCostChecklist[PlayerPaid],TRUE
)&gt;0</f>
        <v>0</v>
      </c>
      <c r="I1745" s="49">
        <f t="shared" si="1"/>
        <v>5</v>
      </c>
      <c r="J1745" s="49">
        <f t="shared" si="2"/>
        <v>0</v>
      </c>
      <c r="K1745" s="49">
        <f t="shared" si="3"/>
        <v>5</v>
      </c>
      <c r="L1745" s="49" t="b">
        <f t="shared" si="4"/>
        <v>0</v>
      </c>
      <c r="M1745" s="88">
        <f t="shared" si="5"/>
        <v>0</v>
      </c>
    </row>
    <row r="1746" ht="14.25" customHeight="1">
      <c r="A1746" s="49" t="s">
        <v>3020</v>
      </c>
      <c r="B1746" s="49" t="str">
        <f>IFERROR(__xludf.DUMMYFUNCTION("REGEXEXTRACT(A1746,""^cost\.(.*)\.[^.]+\.[^.]+$"")"),"collection.treasury_2@2")</f>
        <v>collection.treasury_2@2</v>
      </c>
      <c r="C1746" s="49" t="str">
        <f t="array" ref="C1746">_xlfn.XLOOKUP(
 B1746,
 tblTargets[TargetID],
 tblTargets[DisplayName],
 ""
)</f>
        <v>Treasury 2 Lv 2</v>
      </c>
      <c r="D1746" s="49" t="str">
        <f t="array" ref="D1746">_xlfn.XLOOKUP(
 B1746,
 tblTargets[TargetID],
 tblTargets[TargetType],
 ""
)</f>
        <v>COLLECTION</v>
      </c>
      <c r="E1746" s="49" t="s">
        <v>3009</v>
      </c>
      <c r="F1746" s="87">
        <f>IFERROR(__xludf.DUMMYFUNCTION("VALUE(REGEXEXTRACT(A1746,""([^.]+)$""))"),1.0)</f>
        <v>1</v>
      </c>
      <c r="G1746" s="49">
        <v>6.0</v>
      </c>
      <c r="H1746" s="26" t="b">
        <f>COUNTIFS(
 tblCostChecklist[RequirementID],A1746,
 tblCostChecklist[PlayerPaid],TRUE
)&gt;0</f>
        <v>0</v>
      </c>
      <c r="I1746" s="49">
        <f t="shared" si="1"/>
        <v>5</v>
      </c>
      <c r="J1746" s="49">
        <f t="shared" si="2"/>
        <v>0</v>
      </c>
      <c r="K1746" s="49">
        <f t="shared" si="3"/>
        <v>5</v>
      </c>
      <c r="L1746" s="49" t="b">
        <f t="shared" si="4"/>
        <v>0</v>
      </c>
      <c r="M1746" s="88">
        <f t="shared" si="5"/>
        <v>0</v>
      </c>
    </row>
    <row r="1747" ht="14.25" customHeight="1">
      <c r="A1747" s="49" t="s">
        <v>3022</v>
      </c>
      <c r="B1747" s="49" t="str">
        <f>IFERROR(__xludf.DUMMYFUNCTION("REGEXEXTRACT(A1747,""^cost\.(.*)\.[^.]+\.[^.]+$"")"),"collection.treasury_2@3")</f>
        <v>collection.treasury_2@3</v>
      </c>
      <c r="C1747" s="49" t="str">
        <f t="array" ref="C1747">_xlfn.XLOOKUP(
 B1747,
 tblTargets[TargetID],
 tblTargets[DisplayName],
 ""
)</f>
        <v>Treasury 2 Lv 3</v>
      </c>
      <c r="D1747" s="49" t="str">
        <f t="array" ref="D1747">_xlfn.XLOOKUP(
 B1747,
 tblTargets[TargetID],
 tblTargets[TargetType],
 ""
)</f>
        <v>COLLECTION</v>
      </c>
      <c r="E1747" s="49" t="s">
        <v>2997</v>
      </c>
      <c r="F1747" s="87">
        <f>IFERROR(__xludf.DUMMYFUNCTION("VALUE(REGEXEXTRACT(A1747,""([^.]+)$""))"),1.0)</f>
        <v>1</v>
      </c>
      <c r="G1747" s="49">
        <v>9.0</v>
      </c>
      <c r="H1747" s="26" t="b">
        <f>COUNTIFS(
 tblCostChecklist[RequirementID],A1747,
 tblCostChecklist[PlayerPaid],TRUE
)&gt;0</f>
        <v>0</v>
      </c>
      <c r="I1747" s="49">
        <f t="shared" si="1"/>
        <v>5</v>
      </c>
      <c r="J1747" s="49">
        <f t="shared" si="2"/>
        <v>0</v>
      </c>
      <c r="K1747" s="49">
        <f t="shared" si="3"/>
        <v>5</v>
      </c>
      <c r="L1747" s="49" t="b">
        <f t="shared" si="4"/>
        <v>0</v>
      </c>
      <c r="M1747" s="88">
        <f t="shared" si="5"/>
        <v>0</v>
      </c>
    </row>
    <row r="1748" ht="14.25" customHeight="1">
      <c r="A1748" s="49" t="s">
        <v>3024</v>
      </c>
      <c r="B1748" s="49" t="str">
        <f>IFERROR(__xludf.DUMMYFUNCTION("REGEXEXTRACT(A1748,""^cost\.(.*)\.[^.]+\.[^.]+$"")"),"collection.treasury_2@3")</f>
        <v>collection.treasury_2@3</v>
      </c>
      <c r="C1748" s="49" t="str">
        <f t="array" ref="C1748">_xlfn.XLOOKUP(
 B1748,
 tblTargets[TargetID],
 tblTargets[DisplayName],
 ""
)</f>
        <v>Treasury 2 Lv 3</v>
      </c>
      <c r="D1748" s="49" t="str">
        <f t="array" ref="D1748">_xlfn.XLOOKUP(
 B1748,
 tblTargets[TargetID],
 tblTargets[TargetType],
 ""
)</f>
        <v>COLLECTION</v>
      </c>
      <c r="E1748" s="49" t="s">
        <v>3000</v>
      </c>
      <c r="F1748" s="87">
        <f>IFERROR(__xludf.DUMMYFUNCTION("VALUE(REGEXEXTRACT(A1748,""([^.]+)$""))"),1.0)</f>
        <v>1</v>
      </c>
      <c r="G1748" s="49">
        <v>9.0</v>
      </c>
      <c r="H1748" s="26" t="b">
        <f>COUNTIFS(
 tblCostChecklist[RequirementID],A1748,
 tblCostChecklist[PlayerPaid],TRUE
)&gt;0</f>
        <v>0</v>
      </c>
      <c r="I1748" s="49">
        <f t="shared" si="1"/>
        <v>5</v>
      </c>
      <c r="J1748" s="49">
        <f t="shared" si="2"/>
        <v>0</v>
      </c>
      <c r="K1748" s="49">
        <f t="shared" si="3"/>
        <v>5</v>
      </c>
      <c r="L1748" s="49" t="b">
        <f t="shared" si="4"/>
        <v>0</v>
      </c>
      <c r="M1748" s="88">
        <f t="shared" si="5"/>
        <v>0</v>
      </c>
    </row>
    <row r="1749" ht="14.25" customHeight="1">
      <c r="A1749" s="49" t="s">
        <v>3026</v>
      </c>
      <c r="B1749" s="49" t="str">
        <f>IFERROR(__xludf.DUMMYFUNCTION("REGEXEXTRACT(A1749,""^cost\.(.*)\.[^.]+\.[^.]+$"")"),"collection.treasury_2@3")</f>
        <v>collection.treasury_2@3</v>
      </c>
      <c r="C1749" s="49" t="str">
        <f t="array" ref="C1749">_xlfn.XLOOKUP(
 B1749,
 tblTargets[TargetID],
 tblTargets[DisplayName],
 ""
)</f>
        <v>Treasury 2 Lv 3</v>
      </c>
      <c r="D1749" s="49" t="str">
        <f t="array" ref="D1749">_xlfn.XLOOKUP(
 B1749,
 tblTargets[TargetID],
 tblTargets[TargetType],
 ""
)</f>
        <v>COLLECTION</v>
      </c>
      <c r="E1749" s="49" t="s">
        <v>3003</v>
      </c>
      <c r="F1749" s="87">
        <f>IFERROR(__xludf.DUMMYFUNCTION("VALUE(REGEXEXTRACT(A1749,""([^.]+)$""))"),1.0)</f>
        <v>1</v>
      </c>
      <c r="G1749" s="49">
        <v>9.0</v>
      </c>
      <c r="H1749" s="26" t="b">
        <f>COUNTIFS(
 tblCostChecklist[RequirementID],A1749,
 tblCostChecklist[PlayerPaid],TRUE
)&gt;0</f>
        <v>0</v>
      </c>
      <c r="I1749" s="49">
        <f t="shared" si="1"/>
        <v>5</v>
      </c>
      <c r="J1749" s="49">
        <f t="shared" si="2"/>
        <v>0</v>
      </c>
      <c r="K1749" s="49">
        <f t="shared" si="3"/>
        <v>5</v>
      </c>
      <c r="L1749" s="49" t="b">
        <f t="shared" si="4"/>
        <v>0</v>
      </c>
      <c r="M1749" s="88">
        <f t="shared" si="5"/>
        <v>0</v>
      </c>
    </row>
    <row r="1750" ht="14.25" customHeight="1">
      <c r="A1750" s="49" t="s">
        <v>3028</v>
      </c>
      <c r="B1750" s="49" t="str">
        <f>IFERROR(__xludf.DUMMYFUNCTION("REGEXEXTRACT(A1750,""^cost\.(.*)\.[^.]+\.[^.]+$"")"),"collection.treasury_2@3")</f>
        <v>collection.treasury_2@3</v>
      </c>
      <c r="C1750" s="49" t="str">
        <f t="array" ref="C1750">_xlfn.XLOOKUP(
 B1750,
 tblTargets[TargetID],
 tblTargets[DisplayName],
 ""
)</f>
        <v>Treasury 2 Lv 3</v>
      </c>
      <c r="D1750" s="49" t="str">
        <f t="array" ref="D1750">_xlfn.XLOOKUP(
 B1750,
 tblTargets[TargetID],
 tblTargets[TargetType],
 ""
)</f>
        <v>COLLECTION</v>
      </c>
      <c r="E1750" s="49" t="s">
        <v>3006</v>
      </c>
      <c r="F1750" s="87">
        <f>IFERROR(__xludf.DUMMYFUNCTION("VALUE(REGEXEXTRACT(A1750,""([^.]+)$""))"),1.0)</f>
        <v>1</v>
      </c>
      <c r="G1750" s="49">
        <v>9.0</v>
      </c>
      <c r="H1750" s="26" t="b">
        <f>COUNTIFS(
 tblCostChecklist[RequirementID],A1750,
 tblCostChecklist[PlayerPaid],TRUE
)&gt;0</f>
        <v>0</v>
      </c>
      <c r="I1750" s="49">
        <f t="shared" si="1"/>
        <v>5</v>
      </c>
      <c r="J1750" s="49">
        <f t="shared" si="2"/>
        <v>0</v>
      </c>
      <c r="K1750" s="49">
        <f t="shared" si="3"/>
        <v>5</v>
      </c>
      <c r="L1750" s="49" t="b">
        <f t="shared" si="4"/>
        <v>0</v>
      </c>
      <c r="M1750" s="88">
        <f t="shared" si="5"/>
        <v>0</v>
      </c>
    </row>
    <row r="1751" ht="14.25" customHeight="1">
      <c r="A1751" s="49" t="s">
        <v>3030</v>
      </c>
      <c r="B1751" s="49" t="str">
        <f>IFERROR(__xludf.DUMMYFUNCTION("REGEXEXTRACT(A1751,""^cost\.(.*)\.[^.]+\.[^.]+$"")"),"collection.treasury_2@3")</f>
        <v>collection.treasury_2@3</v>
      </c>
      <c r="C1751" s="49" t="str">
        <f t="array" ref="C1751">_xlfn.XLOOKUP(
 B1751,
 tblTargets[TargetID],
 tblTargets[DisplayName],
 ""
)</f>
        <v>Treasury 2 Lv 3</v>
      </c>
      <c r="D1751" s="49" t="str">
        <f t="array" ref="D1751">_xlfn.XLOOKUP(
 B1751,
 tblTargets[TargetID],
 tblTargets[TargetType],
 ""
)</f>
        <v>COLLECTION</v>
      </c>
      <c r="E1751" s="49" t="s">
        <v>3009</v>
      </c>
      <c r="F1751" s="87">
        <f>IFERROR(__xludf.DUMMYFUNCTION("VALUE(REGEXEXTRACT(A1751,""([^.]+)$""))"),1.0)</f>
        <v>1</v>
      </c>
      <c r="G1751" s="49">
        <v>9.0</v>
      </c>
      <c r="H1751" s="26" t="b">
        <f>COUNTIFS(
 tblCostChecklist[RequirementID],A1751,
 tblCostChecklist[PlayerPaid],TRUE
)&gt;0</f>
        <v>0</v>
      </c>
      <c r="I1751" s="49">
        <f t="shared" si="1"/>
        <v>5</v>
      </c>
      <c r="J1751" s="49">
        <f t="shared" si="2"/>
        <v>0</v>
      </c>
      <c r="K1751" s="49">
        <f t="shared" si="3"/>
        <v>5</v>
      </c>
      <c r="L1751" s="49" t="b">
        <f t="shared" si="4"/>
        <v>0</v>
      </c>
      <c r="M1751" s="88">
        <f t="shared" si="5"/>
        <v>0</v>
      </c>
    </row>
    <row r="1752" ht="14.25" customHeight="1">
      <c r="A1752" s="49" t="s">
        <v>3032</v>
      </c>
      <c r="B1752" s="49" t="str">
        <f>IFERROR(__xludf.DUMMYFUNCTION("REGEXEXTRACT(A1752,""^cost\.(.*)\.[^.]+\.[^.]+$"")"),"collection.treasury_3@1")</f>
        <v>collection.treasury_3@1</v>
      </c>
      <c r="C1752" s="49" t="str">
        <f t="array" ref="C1752">_xlfn.XLOOKUP(
 B1752,
 tblTargets[TargetID],
 tblTargets[DisplayName],
 ""
)</f>
        <v>Treasury 3 Lv 1</v>
      </c>
      <c r="D1752" s="49" t="str">
        <f t="array" ref="D1752">_xlfn.XLOOKUP(
 B1752,
 tblTargets[TargetID],
 tblTargets[TargetType],
 ""
)</f>
        <v>COLLECTION</v>
      </c>
      <c r="E1752" s="49" t="s">
        <v>2458</v>
      </c>
      <c r="F1752" s="87">
        <f>IFERROR(__xludf.DUMMYFUNCTION("VALUE(REGEXEXTRACT(A1752,""([^.]+)$""))"),1.0)</f>
        <v>1</v>
      </c>
      <c r="G1752" s="49">
        <v>3.0</v>
      </c>
      <c r="H1752" s="26" t="b">
        <f>COUNTIFS(
 tblCostChecklist[RequirementID],A1752,
 tblCostChecklist[PlayerPaid],TRUE
)&gt;0</f>
        <v>0</v>
      </c>
      <c r="I1752" s="49">
        <f t="shared" si="1"/>
        <v>5</v>
      </c>
      <c r="J1752" s="49">
        <f t="shared" si="2"/>
        <v>0</v>
      </c>
      <c r="K1752" s="49">
        <f t="shared" si="3"/>
        <v>5</v>
      </c>
      <c r="L1752" s="49" t="b">
        <f t="shared" si="4"/>
        <v>0</v>
      </c>
      <c r="M1752" s="88">
        <f t="shared" si="5"/>
        <v>0</v>
      </c>
    </row>
    <row r="1753" ht="14.25" customHeight="1">
      <c r="A1753" s="49" t="s">
        <v>3034</v>
      </c>
      <c r="B1753" s="49" t="str">
        <f>IFERROR(__xludf.DUMMYFUNCTION("REGEXEXTRACT(A1753,""^cost\.(.*)\.[^.]+\.[^.]+$"")"),"collection.treasury_3@1")</f>
        <v>collection.treasury_3@1</v>
      </c>
      <c r="C1753" s="49" t="str">
        <f t="array" ref="C1753">_xlfn.XLOOKUP(
 B1753,
 tblTargets[TargetID],
 tblTargets[DisplayName],
 ""
)</f>
        <v>Treasury 3 Lv 1</v>
      </c>
      <c r="D1753" s="49" t="str">
        <f t="array" ref="D1753">_xlfn.XLOOKUP(
 B1753,
 tblTargets[TargetID],
 tblTargets[TargetType],
 ""
)</f>
        <v>COLLECTION</v>
      </c>
      <c r="E1753" s="49" t="s">
        <v>3035</v>
      </c>
      <c r="F1753" s="87">
        <f>IFERROR(__xludf.DUMMYFUNCTION("VALUE(REGEXEXTRACT(A1753,""([^.]+)$""))"),1.0)</f>
        <v>1</v>
      </c>
      <c r="G1753" s="49">
        <v>1.0</v>
      </c>
      <c r="H1753" s="26" t="b">
        <f>COUNTIFS(
 tblCostChecklist[RequirementID],A1753,
 tblCostChecklist[PlayerPaid],TRUE
)&gt;0</f>
        <v>0</v>
      </c>
      <c r="I1753" s="49">
        <f t="shared" si="1"/>
        <v>5</v>
      </c>
      <c r="J1753" s="49">
        <f t="shared" si="2"/>
        <v>0</v>
      </c>
      <c r="K1753" s="49">
        <f t="shared" si="3"/>
        <v>5</v>
      </c>
      <c r="L1753" s="49" t="b">
        <f t="shared" si="4"/>
        <v>0</v>
      </c>
      <c r="M1753" s="88">
        <f t="shared" si="5"/>
        <v>0</v>
      </c>
    </row>
    <row r="1754" ht="14.25" customHeight="1">
      <c r="A1754" s="49" t="s">
        <v>3037</v>
      </c>
      <c r="B1754" s="49" t="str">
        <f>IFERROR(__xludf.DUMMYFUNCTION("REGEXEXTRACT(A1754,""^cost\.(.*)\.[^.]+\.[^.]+$"")"),"collection.treasury_3@1")</f>
        <v>collection.treasury_3@1</v>
      </c>
      <c r="C1754" s="49" t="str">
        <f t="array" ref="C1754">_xlfn.XLOOKUP(
 B1754,
 tblTargets[TargetID],
 tblTargets[DisplayName],
 ""
)</f>
        <v>Treasury 3 Lv 1</v>
      </c>
      <c r="D1754" s="49" t="str">
        <f t="array" ref="D1754">_xlfn.XLOOKUP(
 B1754,
 tblTargets[TargetID],
 tblTargets[TargetType],
 ""
)</f>
        <v>COLLECTION</v>
      </c>
      <c r="E1754" s="49" t="s">
        <v>3035</v>
      </c>
      <c r="F1754" s="87">
        <f>IFERROR(__xludf.DUMMYFUNCTION("VALUE(REGEXEXTRACT(A1754,""([^.]+)$""))"),2.0)</f>
        <v>2</v>
      </c>
      <c r="G1754" s="49">
        <v>1.0</v>
      </c>
      <c r="H1754" s="26" t="b">
        <f>COUNTIFS(
 tblCostChecklist[RequirementID],A1754,
 tblCostChecklist[PlayerPaid],TRUE
)&gt;0</f>
        <v>0</v>
      </c>
      <c r="I1754" s="49">
        <f t="shared" si="1"/>
        <v>5</v>
      </c>
      <c r="J1754" s="49">
        <f t="shared" si="2"/>
        <v>0</v>
      </c>
      <c r="K1754" s="49">
        <f t="shared" si="3"/>
        <v>5</v>
      </c>
      <c r="L1754" s="49" t="b">
        <f t="shared" si="4"/>
        <v>0</v>
      </c>
      <c r="M1754" s="88">
        <f t="shared" si="5"/>
        <v>0</v>
      </c>
    </row>
    <row r="1755" ht="14.25" customHeight="1">
      <c r="A1755" s="49" t="s">
        <v>3039</v>
      </c>
      <c r="B1755" s="49" t="str">
        <f>IFERROR(__xludf.DUMMYFUNCTION("REGEXEXTRACT(A1755,""^cost\.(.*)\.[^.]+\.[^.]+$"")"),"collection.treasury_3@1")</f>
        <v>collection.treasury_3@1</v>
      </c>
      <c r="C1755" s="49" t="str">
        <f t="array" ref="C1755">_xlfn.XLOOKUP(
 B1755,
 tblTargets[TargetID],
 tblTargets[DisplayName],
 ""
)</f>
        <v>Treasury 3 Lv 1</v>
      </c>
      <c r="D1755" s="49" t="str">
        <f t="array" ref="D1755">_xlfn.XLOOKUP(
 B1755,
 tblTargets[TargetID],
 tblTargets[TargetType],
 ""
)</f>
        <v>COLLECTION</v>
      </c>
      <c r="E1755" s="49" t="s">
        <v>3040</v>
      </c>
      <c r="F1755" s="87">
        <f>IFERROR(__xludf.DUMMYFUNCTION("VALUE(REGEXEXTRACT(A1755,""([^.]+)$""))"),1.0)</f>
        <v>1</v>
      </c>
      <c r="G1755" s="49">
        <v>1.0</v>
      </c>
      <c r="H1755" s="26" t="b">
        <f>COUNTIFS(
 tblCostChecklist[RequirementID],A1755,
 tblCostChecklist[PlayerPaid],TRUE
)&gt;0</f>
        <v>0</v>
      </c>
      <c r="I1755" s="49">
        <f t="shared" si="1"/>
        <v>5</v>
      </c>
      <c r="J1755" s="49">
        <f t="shared" si="2"/>
        <v>0</v>
      </c>
      <c r="K1755" s="49">
        <f t="shared" si="3"/>
        <v>5</v>
      </c>
      <c r="L1755" s="49" t="b">
        <f t="shared" si="4"/>
        <v>0</v>
      </c>
      <c r="M1755" s="88">
        <f t="shared" si="5"/>
        <v>0</v>
      </c>
    </row>
    <row r="1756" ht="14.25" customHeight="1">
      <c r="A1756" s="49" t="s">
        <v>3042</v>
      </c>
      <c r="B1756" s="49" t="str">
        <f>IFERROR(__xludf.DUMMYFUNCTION("REGEXEXTRACT(A1756,""^cost\.(.*)\.[^.]+\.[^.]+$"")"),"collection.treasury_3@1")</f>
        <v>collection.treasury_3@1</v>
      </c>
      <c r="C1756" s="49" t="str">
        <f t="array" ref="C1756">_xlfn.XLOOKUP(
 B1756,
 tblTargets[TargetID],
 tblTargets[DisplayName],
 ""
)</f>
        <v>Treasury 3 Lv 1</v>
      </c>
      <c r="D1756" s="49" t="str">
        <f t="array" ref="D1756">_xlfn.XLOOKUP(
 B1756,
 tblTargets[TargetID],
 tblTargets[TargetType],
 ""
)</f>
        <v>COLLECTION</v>
      </c>
      <c r="E1756" s="49" t="s">
        <v>3043</v>
      </c>
      <c r="F1756" s="87">
        <f>IFERROR(__xludf.DUMMYFUNCTION("VALUE(REGEXEXTRACT(A1756,""([^.]+)$""))"),1.0)</f>
        <v>1</v>
      </c>
      <c r="G1756" s="49">
        <v>1.0</v>
      </c>
      <c r="H1756" s="26" t="b">
        <f>COUNTIFS(
 tblCostChecklist[RequirementID],A1756,
 tblCostChecklist[PlayerPaid],TRUE
)&gt;0</f>
        <v>0</v>
      </c>
      <c r="I1756" s="49">
        <f t="shared" si="1"/>
        <v>5</v>
      </c>
      <c r="J1756" s="49">
        <f t="shared" si="2"/>
        <v>0</v>
      </c>
      <c r="K1756" s="49">
        <f t="shared" si="3"/>
        <v>5</v>
      </c>
      <c r="L1756" s="49" t="b">
        <f t="shared" si="4"/>
        <v>0</v>
      </c>
      <c r="M1756" s="88">
        <f t="shared" si="5"/>
        <v>0</v>
      </c>
    </row>
    <row r="1757" ht="14.25" customHeight="1">
      <c r="A1757" s="49" t="s">
        <v>3045</v>
      </c>
      <c r="B1757" s="49" t="str">
        <f>IFERROR(__xludf.DUMMYFUNCTION("REGEXEXTRACT(A1757,""^cost\.(.*)\.[^.]+\.[^.]+$"")"),"craftifact.astrolabe")</f>
        <v>craftifact.astrolabe</v>
      </c>
      <c r="C1757" s="49" t="str">
        <f t="array" ref="C1757">_xlfn.XLOOKUP(
 B1757,
 tblTargets[TargetID],
 tblTargets[DisplayName],
 ""
)</f>
        <v>Astrolabe</v>
      </c>
      <c r="D1757" s="49" t="str">
        <f t="array" ref="D1757">_xlfn.XLOOKUP(
 B1757,
 tblTargets[TargetID],
 tblTargets[TargetType],
 ""
)</f>
        <v>CRAFTIFACT</v>
      </c>
      <c r="E1757" s="49" t="s">
        <v>1055</v>
      </c>
      <c r="F1757" s="87">
        <f>IFERROR(__xludf.DUMMYFUNCTION("VALUE(REGEXEXTRACT(A1757,""([^.]+)$""))"),1.0)</f>
        <v>1</v>
      </c>
      <c r="G1757" s="49">
        <v>15.0</v>
      </c>
      <c r="H1757" s="26" t="b">
        <f>COUNTIFS(
 tblCostChecklist[RequirementID],A1757,
 tblCostChecklist[PlayerPaid],TRUE
)&gt;0</f>
        <v>0</v>
      </c>
      <c r="I1757" s="49">
        <f t="shared" si="1"/>
        <v>5</v>
      </c>
      <c r="J1757" s="49">
        <f t="shared" si="2"/>
        <v>0</v>
      </c>
      <c r="K1757" s="49">
        <f t="shared" si="3"/>
        <v>5</v>
      </c>
      <c r="L1757" s="49" t="b">
        <f t="shared" si="4"/>
        <v>0</v>
      </c>
      <c r="M1757" s="88">
        <f t="shared" si="5"/>
        <v>0</v>
      </c>
    </row>
    <row r="1758" ht="14.25" customHeight="1">
      <c r="A1758" s="49" t="s">
        <v>3048</v>
      </c>
      <c r="B1758" s="49" t="str">
        <f>IFERROR(__xludf.DUMMYFUNCTION("REGEXEXTRACT(A1758,""^cost\.(.*)\.[^.]+\.[^.]+$"")"),"craftifact.astrolabe")</f>
        <v>craftifact.astrolabe</v>
      </c>
      <c r="C1758" s="49" t="str">
        <f t="array" ref="C1758">_xlfn.XLOOKUP(
 B1758,
 tblTargets[TargetID],
 tblTargets[DisplayName],
 ""
)</f>
        <v>Astrolabe</v>
      </c>
      <c r="D1758" s="49" t="str">
        <f t="array" ref="D1758">_xlfn.XLOOKUP(
 B1758,
 tblTargets[TargetID],
 tblTargets[TargetType],
 ""
)</f>
        <v>CRAFTIFACT</v>
      </c>
      <c r="E1758" s="49" t="s">
        <v>119</v>
      </c>
      <c r="F1758" s="87">
        <f>IFERROR(__xludf.DUMMYFUNCTION("VALUE(REGEXEXTRACT(A1758,""([^.]+)$""))"),1.0)</f>
        <v>1</v>
      </c>
      <c r="G1758" s="49">
        <v>1000.0</v>
      </c>
      <c r="H1758" s="26" t="b">
        <f>COUNTIFS(
 tblCostChecklist[RequirementID],A1758,
 tblCostChecklist[PlayerPaid],TRUE
)&gt;0</f>
        <v>0</v>
      </c>
      <c r="I1758" s="49">
        <f t="shared" si="1"/>
        <v>5</v>
      </c>
      <c r="J1758" s="49">
        <f t="shared" si="2"/>
        <v>0</v>
      </c>
      <c r="K1758" s="49">
        <f t="shared" si="3"/>
        <v>5</v>
      </c>
      <c r="L1758" s="49" t="b">
        <f t="shared" si="4"/>
        <v>0</v>
      </c>
      <c r="M1758" s="88">
        <f t="shared" si="5"/>
        <v>0</v>
      </c>
    </row>
    <row r="1759" ht="14.25" customHeight="1">
      <c r="A1759" s="49" t="s">
        <v>3051</v>
      </c>
      <c r="B1759" s="49" t="str">
        <f>IFERROR(__xludf.DUMMYFUNCTION("REGEXEXTRACT(A1759,""^cost\.(.*)\.[^.]+\.[^.]+$"")"),"craftifact.astrolabe")</f>
        <v>craftifact.astrolabe</v>
      </c>
      <c r="C1759" s="49" t="str">
        <f t="array" ref="C1759">_xlfn.XLOOKUP(
 B1759,
 tblTargets[TargetID],
 tblTargets[DisplayName],
 ""
)</f>
        <v>Astrolabe</v>
      </c>
      <c r="D1759" s="49" t="str">
        <f t="array" ref="D1759">_xlfn.XLOOKUP(
 B1759,
 tblTargets[TargetID],
 tblTargets[TargetType],
 ""
)</f>
        <v>CRAFTIFACT</v>
      </c>
      <c r="E1759" s="49" t="s">
        <v>1078</v>
      </c>
      <c r="F1759" s="87">
        <f>IFERROR(__xludf.DUMMYFUNCTION("VALUE(REGEXEXTRACT(A1759,""([^.]+)$""))"),1.0)</f>
        <v>1</v>
      </c>
      <c r="G1759" s="49">
        <v>10.0</v>
      </c>
      <c r="H1759" s="26" t="b">
        <f>COUNTIFS(
 tblCostChecklist[RequirementID],A1759,
 tblCostChecklist[PlayerPaid],TRUE
)&gt;0</f>
        <v>0</v>
      </c>
      <c r="I1759" s="49">
        <f t="shared" si="1"/>
        <v>5</v>
      </c>
      <c r="J1759" s="49">
        <f t="shared" si="2"/>
        <v>0</v>
      </c>
      <c r="K1759" s="49">
        <f t="shared" si="3"/>
        <v>5</v>
      </c>
      <c r="L1759" s="49" t="b">
        <f t="shared" si="4"/>
        <v>0</v>
      </c>
      <c r="M1759" s="88">
        <f t="shared" si="5"/>
        <v>0</v>
      </c>
    </row>
    <row r="1760" ht="14.25" customHeight="1">
      <c r="A1760" s="49" t="s">
        <v>3053</v>
      </c>
      <c r="B1760" s="49" t="str">
        <f>IFERROR(__xludf.DUMMYFUNCTION("REGEXEXTRACT(A1760,""^cost\.(.*)\.[^.]+\.[^.]+$"")"),"craftifact.astrolabe")</f>
        <v>craftifact.astrolabe</v>
      </c>
      <c r="C1760" s="49" t="str">
        <f t="array" ref="C1760">_xlfn.XLOOKUP(
 B1760,
 tblTargets[TargetID],
 tblTargets[DisplayName],
 ""
)</f>
        <v>Astrolabe</v>
      </c>
      <c r="D1760" s="49" t="str">
        <f t="array" ref="D1760">_xlfn.XLOOKUP(
 B1760,
 tblTargets[TargetID],
 tblTargets[TargetType],
 ""
)</f>
        <v>CRAFTIFACT</v>
      </c>
      <c r="E1760" s="49" t="s">
        <v>132</v>
      </c>
      <c r="F1760" s="87">
        <f>IFERROR(__xludf.DUMMYFUNCTION("VALUE(REGEXEXTRACT(A1760,""([^.]+)$""))"),1.0)</f>
        <v>1</v>
      </c>
      <c r="G1760" s="49">
        <v>40.0</v>
      </c>
      <c r="H1760" s="26" t="b">
        <f>COUNTIFS(
 tblCostChecklist[RequirementID],A1760,
 tblCostChecklist[PlayerPaid],TRUE
)&gt;0</f>
        <v>0</v>
      </c>
      <c r="I1760" s="49">
        <f t="shared" si="1"/>
        <v>5</v>
      </c>
      <c r="J1760" s="49">
        <f t="shared" si="2"/>
        <v>0</v>
      </c>
      <c r="K1760" s="49">
        <f t="shared" si="3"/>
        <v>5</v>
      </c>
      <c r="L1760" s="49" t="b">
        <f t="shared" si="4"/>
        <v>0</v>
      </c>
      <c r="M1760" s="88">
        <f t="shared" si="5"/>
        <v>0</v>
      </c>
    </row>
    <row r="1761" ht="14.25" customHeight="1">
      <c r="A1761" s="49" t="s">
        <v>3055</v>
      </c>
      <c r="B1761" s="49" t="str">
        <f>IFERROR(__xludf.DUMMYFUNCTION("REGEXEXTRACT(A1761,""^cost\.(.*)\.[^.]+\.[^.]+$"")"),"craftifact.astrolabe")</f>
        <v>craftifact.astrolabe</v>
      </c>
      <c r="C1761" s="49" t="str">
        <f t="array" ref="C1761">_xlfn.XLOOKUP(
 B1761,
 tblTargets[TargetID],
 tblTargets[DisplayName],
 ""
)</f>
        <v>Astrolabe</v>
      </c>
      <c r="D1761" s="49" t="str">
        <f t="array" ref="D1761">_xlfn.XLOOKUP(
 B1761,
 tblTargets[TargetID],
 tblTargets[TargetType],
 ""
)</f>
        <v>CRAFTIFACT</v>
      </c>
      <c r="E1761" s="49" t="s">
        <v>6</v>
      </c>
      <c r="F1761" s="87">
        <f>IFERROR(__xludf.DUMMYFUNCTION("VALUE(REGEXEXTRACT(A1761,""([^.]+)$""))"),1.0)</f>
        <v>1</v>
      </c>
      <c r="G1761" s="49">
        <v>10.0</v>
      </c>
      <c r="H1761" s="26" t="b">
        <f>COUNTIFS(
 tblCostChecklist[RequirementID],A1761,
 tblCostChecklist[PlayerPaid],TRUE
)&gt;0</f>
        <v>0</v>
      </c>
      <c r="I1761" s="49">
        <f t="shared" si="1"/>
        <v>5</v>
      </c>
      <c r="J1761" s="49">
        <f t="shared" si="2"/>
        <v>0</v>
      </c>
      <c r="K1761" s="49">
        <f t="shared" si="3"/>
        <v>5</v>
      </c>
      <c r="L1761" s="49" t="b">
        <f t="shared" si="4"/>
        <v>0</v>
      </c>
      <c r="M1761" s="88">
        <f t="shared" si="5"/>
        <v>0</v>
      </c>
    </row>
    <row r="1762" ht="14.25" customHeight="1">
      <c r="A1762" s="49" t="s">
        <v>3057</v>
      </c>
      <c r="B1762" s="49" t="str">
        <f>IFERROR(__xludf.DUMMYFUNCTION("REGEXEXTRACT(A1762,""^cost\.(.*)\.[^.]+\.[^.]+$"")"),"craftifact.barometer")</f>
        <v>craftifact.barometer</v>
      </c>
      <c r="C1762" s="49" t="str">
        <f t="array" ref="C1762">_xlfn.XLOOKUP(
 B1762,
 tblTargets[TargetID],
 tblTargets[DisplayName],
 ""
)</f>
        <v>Barometer</v>
      </c>
      <c r="D1762" s="49" t="str">
        <f t="array" ref="D1762">_xlfn.XLOOKUP(
 B1762,
 tblTargets[TargetID],
 tblTargets[TargetType],
 ""
)</f>
        <v>CRAFTIFACT</v>
      </c>
      <c r="E1762" s="49" t="s">
        <v>1055</v>
      </c>
      <c r="F1762" s="87">
        <f>IFERROR(__xludf.DUMMYFUNCTION("VALUE(REGEXEXTRACT(A1762,""([^.]+)$""))"),1.0)</f>
        <v>1</v>
      </c>
      <c r="G1762" s="49">
        <v>40.0</v>
      </c>
      <c r="H1762" s="26" t="b">
        <f>COUNTIFS(
 tblCostChecklist[RequirementID],A1762,
 tblCostChecklist[PlayerPaid],TRUE
)&gt;0</f>
        <v>0</v>
      </c>
      <c r="I1762" s="49">
        <f t="shared" si="1"/>
        <v>5</v>
      </c>
      <c r="J1762" s="49">
        <f t="shared" si="2"/>
        <v>0</v>
      </c>
      <c r="K1762" s="49">
        <f t="shared" si="3"/>
        <v>5</v>
      </c>
      <c r="L1762" s="49" t="b">
        <f t="shared" si="4"/>
        <v>0</v>
      </c>
      <c r="M1762" s="88">
        <f t="shared" si="5"/>
        <v>0</v>
      </c>
    </row>
    <row r="1763" ht="14.25" customHeight="1">
      <c r="A1763" s="49" t="s">
        <v>3059</v>
      </c>
      <c r="B1763" s="49" t="str">
        <f>IFERROR(__xludf.DUMMYFUNCTION("REGEXEXTRACT(A1763,""^cost\.(.*)\.[^.]+\.[^.]+$"")"),"craftifact.barometer")</f>
        <v>craftifact.barometer</v>
      </c>
      <c r="C1763" s="49" t="str">
        <f t="array" ref="C1763">_xlfn.XLOOKUP(
 B1763,
 tblTargets[TargetID],
 tblTargets[DisplayName],
 ""
)</f>
        <v>Barometer</v>
      </c>
      <c r="D1763" s="49" t="str">
        <f t="array" ref="D1763">_xlfn.XLOOKUP(
 B1763,
 tblTargets[TargetID],
 tblTargets[TargetType],
 ""
)</f>
        <v>CRAFTIFACT</v>
      </c>
      <c r="E1763" s="49" t="s">
        <v>119</v>
      </c>
      <c r="F1763" s="87">
        <f>IFERROR(__xludf.DUMMYFUNCTION("VALUE(REGEXEXTRACT(A1763,""([^.]+)$""))"),1.0)</f>
        <v>1</v>
      </c>
      <c r="G1763" s="49">
        <v>1000.0</v>
      </c>
      <c r="H1763" s="26" t="b">
        <f>COUNTIFS(
 tblCostChecklist[RequirementID],A1763,
 tblCostChecklist[PlayerPaid],TRUE
)&gt;0</f>
        <v>0</v>
      </c>
      <c r="I1763" s="49">
        <f t="shared" si="1"/>
        <v>5</v>
      </c>
      <c r="J1763" s="49">
        <f t="shared" si="2"/>
        <v>0</v>
      </c>
      <c r="K1763" s="49">
        <f t="shared" si="3"/>
        <v>5</v>
      </c>
      <c r="L1763" s="49" t="b">
        <f t="shared" si="4"/>
        <v>0</v>
      </c>
      <c r="M1763" s="88">
        <f t="shared" si="5"/>
        <v>0</v>
      </c>
    </row>
    <row r="1764" ht="14.25" customHeight="1">
      <c r="A1764" s="49" t="s">
        <v>3061</v>
      </c>
      <c r="B1764" s="49" t="str">
        <f>IFERROR(__xludf.DUMMYFUNCTION("REGEXEXTRACT(A1764,""^cost\.(.*)\.[^.]+\.[^.]+$"")"),"craftifact.barometer")</f>
        <v>craftifact.barometer</v>
      </c>
      <c r="C1764" s="49" t="str">
        <f t="array" ref="C1764">_xlfn.XLOOKUP(
 B1764,
 tblTargets[TargetID],
 tblTargets[DisplayName],
 ""
)</f>
        <v>Barometer</v>
      </c>
      <c r="D1764" s="49" t="str">
        <f t="array" ref="D1764">_xlfn.XLOOKUP(
 B1764,
 tblTargets[TargetID],
 tblTargets[TargetType],
 ""
)</f>
        <v>CRAFTIFACT</v>
      </c>
      <c r="E1764" s="49" t="s">
        <v>360</v>
      </c>
      <c r="F1764" s="87">
        <f>IFERROR(__xludf.DUMMYFUNCTION("VALUE(REGEXEXTRACT(A1764,""([^.]+)$""))"),1.0)</f>
        <v>1</v>
      </c>
      <c r="G1764" s="49">
        <v>20.0</v>
      </c>
      <c r="H1764" s="26" t="b">
        <f>COUNTIFS(
 tblCostChecklist[RequirementID],A1764,
 tblCostChecklist[PlayerPaid],TRUE
)&gt;0</f>
        <v>0</v>
      </c>
      <c r="I1764" s="49">
        <f t="shared" si="1"/>
        <v>5</v>
      </c>
      <c r="J1764" s="49">
        <f t="shared" si="2"/>
        <v>0</v>
      </c>
      <c r="K1764" s="49">
        <f t="shared" si="3"/>
        <v>5</v>
      </c>
      <c r="L1764" s="49" t="b">
        <f t="shared" si="4"/>
        <v>0</v>
      </c>
      <c r="M1764" s="88">
        <f t="shared" si="5"/>
        <v>0</v>
      </c>
    </row>
    <row r="1765" ht="14.25" customHeight="1">
      <c r="A1765" s="49" t="s">
        <v>3063</v>
      </c>
      <c r="B1765" s="49" t="str">
        <f>IFERROR(__xludf.DUMMYFUNCTION("REGEXEXTRACT(A1765,""^cost\.(.*)\.[^.]+\.[^.]+$"")"),"craftifact.barometer")</f>
        <v>craftifact.barometer</v>
      </c>
      <c r="C1765" s="49" t="str">
        <f t="array" ref="C1765">_xlfn.XLOOKUP(
 B1765,
 tblTargets[TargetID],
 tblTargets[DisplayName],
 ""
)</f>
        <v>Barometer</v>
      </c>
      <c r="D1765" s="49" t="str">
        <f t="array" ref="D1765">_xlfn.XLOOKUP(
 B1765,
 tblTargets[TargetID],
 tblTargets[TargetType],
 ""
)</f>
        <v>CRAFTIFACT</v>
      </c>
      <c r="E1765" s="49" t="s">
        <v>1456</v>
      </c>
      <c r="F1765" s="87">
        <f>IFERROR(__xludf.DUMMYFUNCTION("VALUE(REGEXEXTRACT(A1765,""([^.]+)$""))"),1.0)</f>
        <v>1</v>
      </c>
      <c r="G1765" s="49">
        <v>25.0</v>
      </c>
      <c r="H1765" s="26" t="b">
        <f>COUNTIFS(
 tblCostChecklist[RequirementID],A1765,
 tblCostChecklist[PlayerPaid],TRUE
)&gt;0</f>
        <v>0</v>
      </c>
      <c r="I1765" s="49">
        <f t="shared" si="1"/>
        <v>5</v>
      </c>
      <c r="J1765" s="49">
        <f t="shared" si="2"/>
        <v>0</v>
      </c>
      <c r="K1765" s="49">
        <f t="shared" si="3"/>
        <v>5</v>
      </c>
      <c r="L1765" s="49" t="b">
        <f t="shared" si="4"/>
        <v>0</v>
      </c>
      <c r="M1765" s="88">
        <f t="shared" si="5"/>
        <v>0</v>
      </c>
    </row>
    <row r="1766" ht="14.25" customHeight="1">
      <c r="A1766" s="49" t="s">
        <v>3065</v>
      </c>
      <c r="B1766" s="49" t="str">
        <f>IFERROR(__xludf.DUMMYFUNCTION("REGEXEXTRACT(A1766,""^cost\.(.*)\.[^.]+\.[^.]+$"")"),"craftifact.barometer")</f>
        <v>craftifact.barometer</v>
      </c>
      <c r="C1766" s="49" t="str">
        <f t="array" ref="C1766">_xlfn.XLOOKUP(
 B1766,
 tblTargets[TargetID],
 tblTargets[DisplayName],
 ""
)</f>
        <v>Barometer</v>
      </c>
      <c r="D1766" s="49" t="str">
        <f t="array" ref="D1766">_xlfn.XLOOKUP(
 B1766,
 tblTargets[TargetID],
 tblTargets[TargetType],
 ""
)</f>
        <v>CRAFTIFACT</v>
      </c>
      <c r="E1766" s="49" t="s">
        <v>423</v>
      </c>
      <c r="F1766" s="87">
        <f>IFERROR(__xludf.DUMMYFUNCTION("VALUE(REGEXEXTRACT(A1766,""([^.]+)$""))"),1.0)</f>
        <v>1</v>
      </c>
      <c r="G1766" s="49">
        <v>20.0</v>
      </c>
      <c r="H1766" s="26" t="b">
        <f>COUNTIFS(
 tblCostChecklist[RequirementID],A1766,
 tblCostChecklist[PlayerPaid],TRUE
)&gt;0</f>
        <v>0</v>
      </c>
      <c r="I1766" s="49">
        <f t="shared" si="1"/>
        <v>5</v>
      </c>
      <c r="J1766" s="49">
        <f t="shared" si="2"/>
        <v>0</v>
      </c>
      <c r="K1766" s="49">
        <f t="shared" si="3"/>
        <v>5</v>
      </c>
      <c r="L1766" s="49" t="b">
        <f t="shared" si="4"/>
        <v>0</v>
      </c>
      <c r="M1766" s="88">
        <f t="shared" si="5"/>
        <v>0</v>
      </c>
    </row>
    <row r="1767" ht="14.25" customHeight="1">
      <c r="A1767" s="49" t="s">
        <v>3067</v>
      </c>
      <c r="B1767" s="49" t="str">
        <f>IFERROR(__xludf.DUMMYFUNCTION("REGEXEXTRACT(A1767,""^cost\.(.*)\.[^.]+\.[^.]+$"")"),"craftifact.cinema_projector")</f>
        <v>craftifact.cinema_projector</v>
      </c>
      <c r="C1767" s="49" t="str">
        <f t="array" ref="C1767">_xlfn.XLOOKUP(
 B1767,
 tblTargets[TargetID],
 tblTargets[DisplayName],
 ""
)</f>
        <v>Cinema Projector</v>
      </c>
      <c r="D1767" s="49" t="str">
        <f t="array" ref="D1767">_xlfn.XLOOKUP(
 B1767,
 tblTargets[TargetID],
 tblTargets[TargetType],
 ""
)</f>
        <v>CRAFTIFACT</v>
      </c>
      <c r="E1767" s="49" t="s">
        <v>1055</v>
      </c>
      <c r="F1767" s="87">
        <f>IFERROR(__xludf.DUMMYFUNCTION("VALUE(REGEXEXTRACT(A1767,""([^.]+)$""))"),1.0)</f>
        <v>1</v>
      </c>
      <c r="G1767" s="49">
        <v>80.0</v>
      </c>
      <c r="H1767" s="26" t="b">
        <f>COUNTIFS(
 tblCostChecklist[RequirementID],A1767,
 tblCostChecklist[PlayerPaid],TRUE
)&gt;0</f>
        <v>0</v>
      </c>
      <c r="I1767" s="49">
        <f t="shared" si="1"/>
        <v>7</v>
      </c>
      <c r="J1767" s="49">
        <f t="shared" si="2"/>
        <v>0</v>
      </c>
      <c r="K1767" s="49">
        <f t="shared" si="3"/>
        <v>7</v>
      </c>
      <c r="L1767" s="49" t="b">
        <f t="shared" si="4"/>
        <v>0</v>
      </c>
      <c r="M1767" s="88">
        <f t="shared" si="5"/>
        <v>0</v>
      </c>
    </row>
    <row r="1768" ht="14.25" customHeight="1">
      <c r="A1768" s="49" t="s">
        <v>3069</v>
      </c>
      <c r="B1768" s="49" t="str">
        <f>IFERROR(__xludf.DUMMYFUNCTION("REGEXEXTRACT(A1768,""^cost\.(.*)\.[^.]+\.[^.]+$"")"),"craftifact.cinema_projector")</f>
        <v>craftifact.cinema_projector</v>
      </c>
      <c r="C1768" s="49" t="str">
        <f t="array" ref="C1768">_xlfn.XLOOKUP(
 B1768,
 tblTargets[TargetID],
 tblTargets[DisplayName],
 ""
)</f>
        <v>Cinema Projector</v>
      </c>
      <c r="D1768" s="49" t="str">
        <f t="array" ref="D1768">_xlfn.XLOOKUP(
 B1768,
 tblTargets[TargetID],
 tblTargets[TargetType],
 ""
)</f>
        <v>CRAFTIFACT</v>
      </c>
      <c r="E1768" s="49" t="s">
        <v>2297</v>
      </c>
      <c r="F1768" s="87">
        <f>IFERROR(__xludf.DUMMYFUNCTION("VALUE(REGEXEXTRACT(A1768,""([^.]+)$""))"),1.0)</f>
        <v>1</v>
      </c>
      <c r="G1768" s="49">
        <v>10.0</v>
      </c>
      <c r="H1768" s="26" t="b">
        <f>COUNTIFS(
 tblCostChecklist[RequirementID],A1768,
 tblCostChecklist[PlayerPaid],TRUE
)&gt;0</f>
        <v>0</v>
      </c>
      <c r="I1768" s="49">
        <f t="shared" si="1"/>
        <v>7</v>
      </c>
      <c r="J1768" s="49">
        <f t="shared" si="2"/>
        <v>0</v>
      </c>
      <c r="K1768" s="49">
        <f t="shared" si="3"/>
        <v>7</v>
      </c>
      <c r="L1768" s="49" t="b">
        <f t="shared" si="4"/>
        <v>0</v>
      </c>
      <c r="M1768" s="88">
        <f t="shared" si="5"/>
        <v>0</v>
      </c>
    </row>
    <row r="1769" ht="14.25" customHeight="1">
      <c r="A1769" s="49" t="s">
        <v>3072</v>
      </c>
      <c r="B1769" s="49" t="str">
        <f>IFERROR(__xludf.DUMMYFUNCTION("REGEXEXTRACT(A1769,""^cost\.(.*)\.[^.]+\.[^.]+$"")"),"craftifact.cinema_projector")</f>
        <v>craftifact.cinema_projector</v>
      </c>
      <c r="C1769" s="49" t="str">
        <f t="array" ref="C1769">_xlfn.XLOOKUP(
 B1769,
 tblTargets[TargetID],
 tblTargets[DisplayName],
 ""
)</f>
        <v>Cinema Projector</v>
      </c>
      <c r="D1769" s="49" t="str">
        <f t="array" ref="D1769">_xlfn.XLOOKUP(
 B1769,
 tblTargets[TargetID],
 tblTargets[TargetType],
 ""
)</f>
        <v>CRAFTIFACT</v>
      </c>
      <c r="E1769" s="49" t="s">
        <v>113</v>
      </c>
      <c r="F1769" s="87">
        <f>IFERROR(__xludf.DUMMYFUNCTION("VALUE(REGEXEXTRACT(A1769,""([^.]+)$""))"),1.0)</f>
        <v>1</v>
      </c>
      <c r="G1769" s="49">
        <v>30.0</v>
      </c>
      <c r="H1769" s="26" t="b">
        <f>COUNTIFS(
 tblCostChecklist[RequirementID],A1769,
 tblCostChecklist[PlayerPaid],TRUE
)&gt;0</f>
        <v>0</v>
      </c>
      <c r="I1769" s="49">
        <f t="shared" si="1"/>
        <v>7</v>
      </c>
      <c r="J1769" s="49">
        <f t="shared" si="2"/>
        <v>0</v>
      </c>
      <c r="K1769" s="49">
        <f t="shared" si="3"/>
        <v>7</v>
      </c>
      <c r="L1769" s="49" t="b">
        <f t="shared" si="4"/>
        <v>0</v>
      </c>
      <c r="M1769" s="88">
        <f t="shared" si="5"/>
        <v>0</v>
      </c>
    </row>
    <row r="1770" ht="14.25" customHeight="1">
      <c r="A1770" s="49" t="s">
        <v>3074</v>
      </c>
      <c r="B1770" s="49" t="str">
        <f>IFERROR(__xludf.DUMMYFUNCTION("REGEXEXTRACT(A1770,""^cost\.(.*)\.[^.]+\.[^.]+$"")"),"craftifact.cinema_projector")</f>
        <v>craftifact.cinema_projector</v>
      </c>
      <c r="C1770" s="49" t="str">
        <f t="array" ref="C1770">_xlfn.XLOOKUP(
 B1770,
 tblTargets[TargetID],
 tblTargets[DisplayName],
 ""
)</f>
        <v>Cinema Projector</v>
      </c>
      <c r="D1770" s="49" t="str">
        <f t="array" ref="D1770">_xlfn.XLOOKUP(
 B1770,
 tblTargets[TargetID],
 tblTargets[TargetType],
 ""
)</f>
        <v>CRAFTIFACT</v>
      </c>
      <c r="E1770" s="49" t="s">
        <v>360</v>
      </c>
      <c r="F1770" s="87">
        <f>IFERROR(__xludf.DUMMYFUNCTION("VALUE(REGEXEXTRACT(A1770,""([^.]+)$""))"),1.0)</f>
        <v>1</v>
      </c>
      <c r="G1770" s="49">
        <v>30.0</v>
      </c>
      <c r="H1770" s="26" t="b">
        <f>COUNTIFS(
 tblCostChecklist[RequirementID],A1770,
 tblCostChecklist[PlayerPaid],TRUE
)&gt;0</f>
        <v>0</v>
      </c>
      <c r="I1770" s="49">
        <f t="shared" si="1"/>
        <v>7</v>
      </c>
      <c r="J1770" s="49">
        <f t="shared" si="2"/>
        <v>0</v>
      </c>
      <c r="K1770" s="49">
        <f t="shared" si="3"/>
        <v>7</v>
      </c>
      <c r="L1770" s="49" t="b">
        <f t="shared" si="4"/>
        <v>0</v>
      </c>
      <c r="M1770" s="88">
        <f t="shared" si="5"/>
        <v>0</v>
      </c>
    </row>
    <row r="1771" ht="14.25" customHeight="1">
      <c r="A1771" s="49" t="s">
        <v>3076</v>
      </c>
      <c r="B1771" s="49" t="str">
        <f>IFERROR(__xludf.DUMMYFUNCTION("REGEXEXTRACT(A1771,""^cost\.(.*)\.[^.]+\.[^.]+$"")"),"craftifact.cinema_projector")</f>
        <v>craftifact.cinema_projector</v>
      </c>
      <c r="C1771" s="49" t="str">
        <f t="array" ref="C1771">_xlfn.XLOOKUP(
 B1771,
 tblTargets[TargetID],
 tblTargets[DisplayName],
 ""
)</f>
        <v>Cinema Projector</v>
      </c>
      <c r="D1771" s="49" t="str">
        <f t="array" ref="D1771">_xlfn.XLOOKUP(
 B1771,
 tblTargets[TargetID],
 tblTargets[TargetType],
 ""
)</f>
        <v>CRAFTIFACT</v>
      </c>
      <c r="E1771" s="49" t="s">
        <v>1078</v>
      </c>
      <c r="F1771" s="87">
        <f>IFERROR(__xludf.DUMMYFUNCTION("VALUE(REGEXEXTRACT(A1771,""([^.]+)$""))"),1.0)</f>
        <v>1</v>
      </c>
      <c r="G1771" s="49">
        <v>30.0</v>
      </c>
      <c r="H1771" s="26" t="b">
        <f>COUNTIFS(
 tblCostChecklist[RequirementID],A1771,
 tblCostChecklist[PlayerPaid],TRUE
)&gt;0</f>
        <v>0</v>
      </c>
      <c r="I1771" s="49">
        <f t="shared" si="1"/>
        <v>7</v>
      </c>
      <c r="J1771" s="49">
        <f t="shared" si="2"/>
        <v>0</v>
      </c>
      <c r="K1771" s="49">
        <f t="shared" si="3"/>
        <v>7</v>
      </c>
      <c r="L1771" s="49" t="b">
        <f t="shared" si="4"/>
        <v>0</v>
      </c>
      <c r="M1771" s="88">
        <f t="shared" si="5"/>
        <v>0</v>
      </c>
    </row>
    <row r="1772" ht="14.25" customHeight="1">
      <c r="A1772" s="49" t="s">
        <v>3078</v>
      </c>
      <c r="B1772" s="49" t="str">
        <f>IFERROR(__xludf.DUMMYFUNCTION("REGEXEXTRACT(A1772,""^cost\.(.*)\.[^.]+\.[^.]+$"")"),"craftifact.cinema_projector")</f>
        <v>craftifact.cinema_projector</v>
      </c>
      <c r="C1772" s="49" t="str">
        <f t="array" ref="C1772">_xlfn.XLOOKUP(
 B1772,
 tblTargets[TargetID],
 tblTargets[DisplayName],
 ""
)</f>
        <v>Cinema Projector</v>
      </c>
      <c r="D1772" s="49" t="str">
        <f t="array" ref="D1772">_xlfn.XLOOKUP(
 B1772,
 tblTargets[TargetID],
 tblTargets[TargetType],
 ""
)</f>
        <v>CRAFTIFACT</v>
      </c>
      <c r="E1772" s="49" t="s">
        <v>140</v>
      </c>
      <c r="F1772" s="87">
        <f>IFERROR(__xludf.DUMMYFUNCTION("VALUE(REGEXEXTRACT(A1772,""([^.]+)$""))"),1.0)</f>
        <v>1</v>
      </c>
      <c r="G1772" s="49">
        <v>30.0</v>
      </c>
      <c r="H1772" s="26" t="b">
        <f>COUNTIFS(
 tblCostChecklist[RequirementID],A1772,
 tblCostChecklist[PlayerPaid],TRUE
)&gt;0</f>
        <v>0</v>
      </c>
      <c r="I1772" s="49">
        <f t="shared" si="1"/>
        <v>7</v>
      </c>
      <c r="J1772" s="49">
        <f t="shared" si="2"/>
        <v>0</v>
      </c>
      <c r="K1772" s="49">
        <f t="shared" si="3"/>
        <v>7</v>
      </c>
      <c r="L1772" s="49" t="b">
        <f t="shared" si="4"/>
        <v>0</v>
      </c>
      <c r="M1772" s="88">
        <f t="shared" si="5"/>
        <v>0</v>
      </c>
    </row>
    <row r="1773" ht="14.25" customHeight="1">
      <c r="A1773" s="49" t="s">
        <v>3080</v>
      </c>
      <c r="B1773" s="49" t="str">
        <f>IFERROR(__xludf.DUMMYFUNCTION("REGEXEXTRACT(A1773,""^cost\.(.*)\.[^.]+\.[^.]+$"")"),"craftifact.cinema_projector")</f>
        <v>craftifact.cinema_projector</v>
      </c>
      <c r="C1773" s="49" t="str">
        <f t="array" ref="C1773">_xlfn.XLOOKUP(
 B1773,
 tblTargets[TargetID],
 tblTargets[DisplayName],
 ""
)</f>
        <v>Cinema Projector</v>
      </c>
      <c r="D1773" s="49" t="str">
        <f t="array" ref="D1773">_xlfn.XLOOKUP(
 B1773,
 tblTargets[TargetID],
 tblTargets[TargetType],
 ""
)</f>
        <v>CRAFTIFACT</v>
      </c>
      <c r="E1773" s="49" t="s">
        <v>152</v>
      </c>
      <c r="F1773" s="87">
        <f>IFERROR(__xludf.DUMMYFUNCTION("VALUE(REGEXEXTRACT(A1773,""([^.]+)$""))"),1.0)</f>
        <v>1</v>
      </c>
      <c r="G1773" s="49">
        <v>10.0</v>
      </c>
      <c r="H1773" s="26" t="b">
        <f>COUNTIFS(
 tblCostChecklist[RequirementID],A1773,
 tblCostChecklist[PlayerPaid],TRUE
)&gt;0</f>
        <v>0</v>
      </c>
      <c r="I1773" s="49">
        <f t="shared" si="1"/>
        <v>7</v>
      </c>
      <c r="J1773" s="49">
        <f t="shared" si="2"/>
        <v>0</v>
      </c>
      <c r="K1773" s="49">
        <f t="shared" si="3"/>
        <v>7</v>
      </c>
      <c r="L1773" s="49" t="b">
        <f t="shared" si="4"/>
        <v>0</v>
      </c>
      <c r="M1773" s="88">
        <f t="shared" si="5"/>
        <v>0</v>
      </c>
    </row>
    <row r="1774" ht="14.25" customHeight="1">
      <c r="A1774" s="49" t="s">
        <v>3082</v>
      </c>
      <c r="B1774" s="49" t="str">
        <f>IFERROR(__xludf.DUMMYFUNCTION("REGEXEXTRACT(A1774,""^cost\.(.*)\.[^.]+\.[^.]+$"")"),"craftifact.dagger")</f>
        <v>craftifact.dagger</v>
      </c>
      <c r="C1774" s="49" t="str">
        <f t="array" ref="C1774">_xlfn.XLOOKUP(
 B1774,
 tblTargets[TargetID],
 tblTargets[DisplayName],
 ""
)</f>
        <v>Dagger</v>
      </c>
      <c r="D1774" s="49" t="str">
        <f t="array" ref="D1774">_xlfn.XLOOKUP(
 B1774,
 tblTargets[TargetID],
 tblTargets[TargetType],
 ""
)</f>
        <v>CRAFTIFACT</v>
      </c>
      <c r="E1774" s="49" t="s">
        <v>1060</v>
      </c>
      <c r="F1774" s="87">
        <f>IFERROR(__xludf.DUMMYFUNCTION("VALUE(REGEXEXTRACT(A1774,""([^.]+)$""))"),1.0)</f>
        <v>1</v>
      </c>
      <c r="G1774" s="49">
        <v>100.0</v>
      </c>
      <c r="H1774" s="26" t="b">
        <f>COUNTIFS(
 tblCostChecklist[RequirementID],A1774,
 tblCostChecklist[PlayerPaid],TRUE
)&gt;0</f>
        <v>0</v>
      </c>
      <c r="I1774" s="49">
        <f t="shared" si="1"/>
        <v>6</v>
      </c>
      <c r="J1774" s="49">
        <f t="shared" si="2"/>
        <v>0</v>
      </c>
      <c r="K1774" s="49">
        <f t="shared" si="3"/>
        <v>6</v>
      </c>
      <c r="L1774" s="49" t="b">
        <f t="shared" si="4"/>
        <v>0</v>
      </c>
      <c r="M1774" s="88">
        <f t="shared" si="5"/>
        <v>0</v>
      </c>
    </row>
    <row r="1775" ht="14.25" customHeight="1">
      <c r="A1775" s="49" t="s">
        <v>3084</v>
      </c>
      <c r="B1775" s="49" t="str">
        <f>IFERROR(__xludf.DUMMYFUNCTION("REGEXEXTRACT(A1775,""^cost\.(.*)\.[^.]+\.[^.]+$"")"),"craftifact.dagger")</f>
        <v>craftifact.dagger</v>
      </c>
      <c r="C1775" s="49" t="str">
        <f t="array" ref="C1775">_xlfn.XLOOKUP(
 B1775,
 tblTargets[TargetID],
 tblTargets[DisplayName],
 ""
)</f>
        <v>Dagger</v>
      </c>
      <c r="D1775" s="49" t="str">
        <f t="array" ref="D1775">_xlfn.XLOOKUP(
 B1775,
 tblTargets[TargetID],
 tblTargets[TargetType],
 ""
)</f>
        <v>CRAFTIFACT</v>
      </c>
      <c r="E1775" s="49" t="s">
        <v>412</v>
      </c>
      <c r="F1775" s="87">
        <f>IFERROR(__xludf.DUMMYFUNCTION("VALUE(REGEXEXTRACT(A1775,""([^.]+)$""))"),1.0)</f>
        <v>1</v>
      </c>
      <c r="G1775" s="49">
        <v>10.0</v>
      </c>
      <c r="H1775" s="26" t="b">
        <f>COUNTIFS(
 tblCostChecklist[RequirementID],A1775,
 tblCostChecklist[PlayerPaid],TRUE
)&gt;0</f>
        <v>0</v>
      </c>
      <c r="I1775" s="49">
        <f t="shared" si="1"/>
        <v>6</v>
      </c>
      <c r="J1775" s="49">
        <f t="shared" si="2"/>
        <v>0</v>
      </c>
      <c r="K1775" s="49">
        <f t="shared" si="3"/>
        <v>6</v>
      </c>
      <c r="L1775" s="49" t="b">
        <f t="shared" si="4"/>
        <v>0</v>
      </c>
      <c r="M1775" s="88">
        <f t="shared" si="5"/>
        <v>0</v>
      </c>
    </row>
    <row r="1776" ht="14.25" customHeight="1">
      <c r="A1776" s="49" t="s">
        <v>3087</v>
      </c>
      <c r="B1776" s="49" t="str">
        <f>IFERROR(__xludf.DUMMYFUNCTION("REGEXEXTRACT(A1776,""^cost\.(.*)\.[^.]+\.[^.]+$"")"),"craftifact.dagger")</f>
        <v>craftifact.dagger</v>
      </c>
      <c r="C1776" s="49" t="str">
        <f t="array" ref="C1776">_xlfn.XLOOKUP(
 B1776,
 tblTargets[TargetID],
 tblTargets[DisplayName],
 ""
)</f>
        <v>Dagger</v>
      </c>
      <c r="D1776" s="49" t="str">
        <f t="array" ref="D1776">_xlfn.XLOOKUP(
 B1776,
 tblTargets[TargetID],
 tblTargets[TargetType],
 ""
)</f>
        <v>CRAFTIFACT</v>
      </c>
      <c r="E1776" s="49" t="s">
        <v>2135</v>
      </c>
      <c r="F1776" s="87">
        <f>IFERROR(__xludf.DUMMYFUNCTION("VALUE(REGEXEXTRACT(A1776,""([^.]+)$""))"),1.0)</f>
        <v>1</v>
      </c>
      <c r="G1776" s="49">
        <v>30.0</v>
      </c>
      <c r="H1776" s="26" t="b">
        <f>COUNTIFS(
 tblCostChecklist[RequirementID],A1776,
 tblCostChecklist[PlayerPaid],TRUE
)&gt;0</f>
        <v>0</v>
      </c>
      <c r="I1776" s="49">
        <f t="shared" si="1"/>
        <v>6</v>
      </c>
      <c r="J1776" s="49">
        <f t="shared" si="2"/>
        <v>0</v>
      </c>
      <c r="K1776" s="49">
        <f t="shared" si="3"/>
        <v>6</v>
      </c>
      <c r="L1776" s="49" t="b">
        <f t="shared" si="4"/>
        <v>0</v>
      </c>
      <c r="M1776" s="88">
        <f t="shared" si="5"/>
        <v>0</v>
      </c>
    </row>
    <row r="1777" ht="14.25" customHeight="1">
      <c r="A1777" s="49" t="s">
        <v>3089</v>
      </c>
      <c r="B1777" s="49" t="str">
        <f>IFERROR(__xludf.DUMMYFUNCTION("REGEXEXTRACT(A1777,""^cost\.(.*)\.[^.]+\.[^.]+$"")"),"craftifact.dagger")</f>
        <v>craftifact.dagger</v>
      </c>
      <c r="C1777" s="49" t="str">
        <f t="array" ref="C1777">_xlfn.XLOOKUP(
 B1777,
 tblTargets[TargetID],
 tblTargets[DisplayName],
 ""
)</f>
        <v>Dagger</v>
      </c>
      <c r="D1777" s="49" t="str">
        <f t="array" ref="D1777">_xlfn.XLOOKUP(
 B1777,
 tblTargets[TargetID],
 tblTargets[TargetType],
 ""
)</f>
        <v>CRAFTIFACT</v>
      </c>
      <c r="E1777" s="49" t="s">
        <v>132</v>
      </c>
      <c r="F1777" s="87">
        <f>IFERROR(__xludf.DUMMYFUNCTION("VALUE(REGEXEXTRACT(A1777,""([^.]+)$""))"),1.0)</f>
        <v>1</v>
      </c>
      <c r="G1777" s="49">
        <v>20.0</v>
      </c>
      <c r="H1777" s="26" t="b">
        <f>COUNTIFS(
 tblCostChecklist[RequirementID],A1777,
 tblCostChecklist[PlayerPaid],TRUE
)&gt;0</f>
        <v>0</v>
      </c>
      <c r="I1777" s="49">
        <f t="shared" si="1"/>
        <v>6</v>
      </c>
      <c r="J1777" s="49">
        <f t="shared" si="2"/>
        <v>0</v>
      </c>
      <c r="K1777" s="49">
        <f t="shared" si="3"/>
        <v>6</v>
      </c>
      <c r="L1777" s="49" t="b">
        <f t="shared" si="4"/>
        <v>0</v>
      </c>
      <c r="M1777" s="88">
        <f t="shared" si="5"/>
        <v>0</v>
      </c>
    </row>
    <row r="1778" ht="14.25" customHeight="1">
      <c r="A1778" s="49" t="s">
        <v>3092</v>
      </c>
      <c r="B1778" s="49" t="str">
        <f>IFERROR(__xludf.DUMMYFUNCTION("REGEXEXTRACT(A1778,""^cost\.(.*)\.[^.]+\.[^.]+$"")"),"craftifact.dagger")</f>
        <v>craftifact.dagger</v>
      </c>
      <c r="C1778" s="49" t="str">
        <f t="array" ref="C1778">_xlfn.XLOOKUP(
 B1778,
 tblTargets[TargetID],
 tblTargets[DisplayName],
 ""
)</f>
        <v>Dagger</v>
      </c>
      <c r="D1778" s="49" t="str">
        <f t="array" ref="D1778">_xlfn.XLOOKUP(
 B1778,
 tblTargets[TargetID],
 tblTargets[TargetType],
 ""
)</f>
        <v>CRAFTIFACT</v>
      </c>
      <c r="E1778" s="49" t="s">
        <v>6</v>
      </c>
      <c r="F1778" s="87">
        <f>IFERROR(__xludf.DUMMYFUNCTION("VALUE(REGEXEXTRACT(A1778,""([^.]+)$""))"),1.0)</f>
        <v>1</v>
      </c>
      <c r="G1778" s="49">
        <v>5.0</v>
      </c>
      <c r="H1778" s="26" t="b">
        <f>COUNTIFS(
 tblCostChecklist[RequirementID],A1778,
 tblCostChecklist[PlayerPaid],TRUE
)&gt;0</f>
        <v>0</v>
      </c>
      <c r="I1778" s="49">
        <f t="shared" si="1"/>
        <v>6</v>
      </c>
      <c r="J1778" s="49">
        <f t="shared" si="2"/>
        <v>0</v>
      </c>
      <c r="K1778" s="49">
        <f t="shared" si="3"/>
        <v>6</v>
      </c>
      <c r="L1778" s="49" t="b">
        <f t="shared" si="4"/>
        <v>0</v>
      </c>
      <c r="M1778" s="88">
        <f t="shared" si="5"/>
        <v>0</v>
      </c>
    </row>
    <row r="1779" ht="14.25" customHeight="1">
      <c r="A1779" s="49" t="s">
        <v>3094</v>
      </c>
      <c r="B1779" s="49" t="str">
        <f>IFERROR(__xludf.DUMMYFUNCTION("REGEXEXTRACT(A1779,""^cost\.(.*)\.[^.]+\.[^.]+$"")"),"craftifact.dagger")</f>
        <v>craftifact.dagger</v>
      </c>
      <c r="C1779" s="49" t="str">
        <f t="array" ref="C1779">_xlfn.XLOOKUP(
 B1779,
 tblTargets[TargetID],
 tblTargets[DisplayName],
 ""
)</f>
        <v>Dagger</v>
      </c>
      <c r="D1779" s="49" t="str">
        <f t="array" ref="D1779">_xlfn.XLOOKUP(
 B1779,
 tblTargets[TargetID],
 tblTargets[TargetType],
 ""
)</f>
        <v>CRAFTIFACT</v>
      </c>
      <c r="E1779" s="49" t="s">
        <v>2007</v>
      </c>
      <c r="F1779" s="87">
        <f>IFERROR(__xludf.DUMMYFUNCTION("VALUE(REGEXEXTRACT(A1779,""([^.]+)$""))"),1.0)</f>
        <v>1</v>
      </c>
      <c r="G1779" s="49">
        <v>1.0</v>
      </c>
      <c r="H1779" s="26" t="b">
        <f>COUNTIFS(
 tblCostChecklist[RequirementID],A1779,
 tblCostChecklist[PlayerPaid],TRUE
)&gt;0</f>
        <v>0</v>
      </c>
      <c r="I1779" s="49">
        <f t="shared" si="1"/>
        <v>6</v>
      </c>
      <c r="J1779" s="49">
        <f t="shared" si="2"/>
        <v>0</v>
      </c>
      <c r="K1779" s="49">
        <f t="shared" si="3"/>
        <v>6</v>
      </c>
      <c r="L1779" s="49" t="b">
        <f t="shared" si="4"/>
        <v>0</v>
      </c>
      <c r="M1779" s="88">
        <f t="shared" si="5"/>
        <v>0</v>
      </c>
    </row>
    <row r="1780" ht="14.25" customHeight="1">
      <c r="A1780" s="49" t="s">
        <v>3096</v>
      </c>
      <c r="B1780" s="49" t="str">
        <f>IFERROR(__xludf.DUMMYFUNCTION("REGEXEXTRACT(A1780,""^cost\.(.*)\.[^.]+\.[^.]+$"")"),"craftifact.emerald_tablet")</f>
        <v>craftifact.emerald_tablet</v>
      </c>
      <c r="C1780" s="49" t="str">
        <f t="array" ref="C1780">_xlfn.XLOOKUP(
 B1780,
 tblTargets[TargetID],
 tblTargets[DisplayName],
 ""
)</f>
        <v>Emerald Tablet</v>
      </c>
      <c r="D1780" s="49" t="str">
        <f t="array" ref="D1780">_xlfn.XLOOKUP(
 B1780,
 tblTargets[TargetID],
 tblTargets[TargetType],
 ""
)</f>
        <v>CRAFTIFACT</v>
      </c>
      <c r="E1780" s="49" t="s">
        <v>3098</v>
      </c>
      <c r="F1780" s="87">
        <f>IFERROR(__xludf.DUMMYFUNCTION("VALUE(REGEXEXTRACT(A1780,""([^.]+)$""))"),1.0)</f>
        <v>1</v>
      </c>
      <c r="G1780" s="49">
        <v>15.0</v>
      </c>
      <c r="H1780" s="26" t="b">
        <f>COUNTIFS(
 tblCostChecklist[RequirementID],A1780,
 tblCostChecklist[PlayerPaid],TRUE
)&gt;0</f>
        <v>0</v>
      </c>
      <c r="I1780" s="49">
        <f t="shared" si="1"/>
        <v>2</v>
      </c>
      <c r="J1780" s="49">
        <f t="shared" si="2"/>
        <v>0</v>
      </c>
      <c r="K1780" s="49">
        <f t="shared" si="3"/>
        <v>2</v>
      </c>
      <c r="L1780" s="49" t="b">
        <f t="shared" si="4"/>
        <v>0</v>
      </c>
      <c r="M1780" s="88">
        <f t="shared" si="5"/>
        <v>0</v>
      </c>
    </row>
    <row r="1781" ht="14.25" customHeight="1">
      <c r="A1781" s="49" t="s">
        <v>3100</v>
      </c>
      <c r="B1781" s="49" t="str">
        <f>IFERROR(__xludf.DUMMYFUNCTION("REGEXEXTRACT(A1781,""^cost\.(.*)\.[^.]+\.[^.]+$"")"),"craftifact.emerald_tablet")</f>
        <v>craftifact.emerald_tablet</v>
      </c>
      <c r="C1781" s="49" t="str">
        <f t="array" ref="C1781">_xlfn.XLOOKUP(
 B1781,
 tblTargets[TargetID],
 tblTargets[DisplayName],
 ""
)</f>
        <v>Emerald Tablet</v>
      </c>
      <c r="D1781" s="49" t="str">
        <f t="array" ref="D1781">_xlfn.XLOOKUP(
 B1781,
 tblTargets[TargetID],
 tblTargets[TargetType],
 ""
)</f>
        <v>CRAFTIFACT</v>
      </c>
      <c r="E1781" s="49" t="s">
        <v>132</v>
      </c>
      <c r="F1781" s="87">
        <f>IFERROR(__xludf.DUMMYFUNCTION("VALUE(REGEXEXTRACT(A1781,""([^.]+)$""))"),1.0)</f>
        <v>1</v>
      </c>
      <c r="G1781" s="49">
        <v>30.0</v>
      </c>
      <c r="H1781" s="26" t="b">
        <f>COUNTIFS(
 tblCostChecklist[RequirementID],A1781,
 tblCostChecklist[PlayerPaid],TRUE
)&gt;0</f>
        <v>0</v>
      </c>
      <c r="I1781" s="49">
        <f t="shared" si="1"/>
        <v>2</v>
      </c>
      <c r="J1781" s="49">
        <f t="shared" si="2"/>
        <v>0</v>
      </c>
      <c r="K1781" s="49">
        <f t="shared" si="3"/>
        <v>2</v>
      </c>
      <c r="L1781" s="49" t="b">
        <f t="shared" si="4"/>
        <v>0</v>
      </c>
      <c r="M1781" s="88">
        <f t="shared" si="5"/>
        <v>0</v>
      </c>
    </row>
    <row r="1782" ht="14.25" customHeight="1">
      <c r="A1782" s="49" t="s">
        <v>3102</v>
      </c>
      <c r="B1782" s="49" t="str">
        <f>IFERROR(__xludf.DUMMYFUNCTION("REGEXEXTRACT(A1782,""^cost\.(.*)\.[^.]+\.[^.]+$"")"),"craftifact.flamethrower")</f>
        <v>craftifact.flamethrower</v>
      </c>
      <c r="C1782" s="49" t="str">
        <f t="array" ref="C1782">_xlfn.XLOOKUP(
 B1782,
 tblTargets[TargetID],
 tblTargets[DisplayName],
 ""
)</f>
        <v>Flamethrower</v>
      </c>
      <c r="D1782" s="49" t="str">
        <f t="array" ref="D1782">_xlfn.XLOOKUP(
 B1782,
 tblTargets[TargetID],
 tblTargets[TargetType],
 ""
)</f>
        <v>CRAFTIFACT</v>
      </c>
      <c r="E1782" s="49" t="s">
        <v>1230</v>
      </c>
      <c r="F1782" s="87">
        <f>IFERROR(__xludf.DUMMYFUNCTION("VALUE(REGEXEXTRACT(A1782,""([^.]+)$""))"),1.0)</f>
        <v>1</v>
      </c>
      <c r="G1782" s="49">
        <v>10.0</v>
      </c>
      <c r="H1782" s="26" t="b">
        <f>COUNTIFS(
 tblCostChecklist[RequirementID],A1782,
 tblCostChecklist[PlayerPaid],TRUE
)&gt;0</f>
        <v>0</v>
      </c>
      <c r="I1782" s="49">
        <f t="shared" si="1"/>
        <v>8</v>
      </c>
      <c r="J1782" s="49">
        <f t="shared" si="2"/>
        <v>0</v>
      </c>
      <c r="K1782" s="49">
        <f t="shared" si="3"/>
        <v>8</v>
      </c>
      <c r="L1782" s="49" t="b">
        <f t="shared" si="4"/>
        <v>0</v>
      </c>
      <c r="M1782" s="88">
        <f t="shared" si="5"/>
        <v>0</v>
      </c>
    </row>
    <row r="1783" ht="14.25" customHeight="1">
      <c r="A1783" s="49" t="s">
        <v>3104</v>
      </c>
      <c r="B1783" s="49" t="str">
        <f>IFERROR(__xludf.DUMMYFUNCTION("REGEXEXTRACT(A1783,""^cost\.(.*)\.[^.]+\.[^.]+$"")"),"craftifact.flamethrower")</f>
        <v>craftifact.flamethrower</v>
      </c>
      <c r="C1783" s="49" t="str">
        <f t="array" ref="C1783">_xlfn.XLOOKUP(
 B1783,
 tblTargets[TargetID],
 tblTargets[DisplayName],
 ""
)</f>
        <v>Flamethrower</v>
      </c>
      <c r="D1783" s="49" t="str">
        <f t="array" ref="D1783">_xlfn.XLOOKUP(
 B1783,
 tblTargets[TargetID],
 tblTargets[TargetType],
 ""
)</f>
        <v>CRAFTIFACT</v>
      </c>
      <c r="E1783" s="49" t="s">
        <v>1055</v>
      </c>
      <c r="F1783" s="87">
        <f>IFERROR(__xludf.DUMMYFUNCTION("VALUE(REGEXEXTRACT(A1783,""([^.]+)$""))"),1.0)</f>
        <v>1</v>
      </c>
      <c r="G1783" s="49">
        <v>30.0</v>
      </c>
      <c r="H1783" s="26" t="b">
        <f>COUNTIFS(
 tblCostChecklist[RequirementID],A1783,
 tblCostChecklist[PlayerPaid],TRUE
)&gt;0</f>
        <v>0</v>
      </c>
      <c r="I1783" s="49">
        <f t="shared" si="1"/>
        <v>8</v>
      </c>
      <c r="J1783" s="49">
        <f t="shared" si="2"/>
        <v>0</v>
      </c>
      <c r="K1783" s="49">
        <f t="shared" si="3"/>
        <v>8</v>
      </c>
      <c r="L1783" s="49" t="b">
        <f t="shared" si="4"/>
        <v>0</v>
      </c>
      <c r="M1783" s="88">
        <f t="shared" si="5"/>
        <v>0</v>
      </c>
    </row>
    <row r="1784" ht="14.25" customHeight="1">
      <c r="A1784" s="49" t="s">
        <v>3106</v>
      </c>
      <c r="B1784" s="49" t="str">
        <f>IFERROR(__xludf.DUMMYFUNCTION("REGEXEXTRACT(A1784,""^cost\.(.*)\.[^.]+\.[^.]+$"")"),"craftifact.flamethrower")</f>
        <v>craftifact.flamethrower</v>
      </c>
      <c r="C1784" s="49" t="str">
        <f t="array" ref="C1784">_xlfn.XLOOKUP(
 B1784,
 tblTargets[TargetID],
 tblTargets[DisplayName],
 ""
)</f>
        <v>Flamethrower</v>
      </c>
      <c r="D1784" s="49" t="str">
        <f t="array" ref="D1784">_xlfn.XLOOKUP(
 B1784,
 tblTargets[TargetID],
 tblTargets[TargetType],
 ""
)</f>
        <v>CRAFTIFACT</v>
      </c>
      <c r="E1784" s="49" t="s">
        <v>2297</v>
      </c>
      <c r="F1784" s="87">
        <f>IFERROR(__xludf.DUMMYFUNCTION("VALUE(REGEXEXTRACT(A1784,""([^.]+)$""))"),1.0)</f>
        <v>1</v>
      </c>
      <c r="G1784" s="49">
        <v>10.0</v>
      </c>
      <c r="H1784" s="26" t="b">
        <f>COUNTIFS(
 tblCostChecklist[RequirementID],A1784,
 tblCostChecklist[PlayerPaid],TRUE
)&gt;0</f>
        <v>0</v>
      </c>
      <c r="I1784" s="49">
        <f t="shared" si="1"/>
        <v>8</v>
      </c>
      <c r="J1784" s="49">
        <f t="shared" si="2"/>
        <v>0</v>
      </c>
      <c r="K1784" s="49">
        <f t="shared" si="3"/>
        <v>8</v>
      </c>
      <c r="L1784" s="49" t="b">
        <f t="shared" si="4"/>
        <v>0</v>
      </c>
      <c r="M1784" s="88">
        <f t="shared" si="5"/>
        <v>0</v>
      </c>
    </row>
    <row r="1785" ht="14.25" customHeight="1">
      <c r="A1785" s="49" t="s">
        <v>3108</v>
      </c>
      <c r="B1785" s="49" t="str">
        <f>IFERROR(__xludf.DUMMYFUNCTION("REGEXEXTRACT(A1785,""^cost\.(.*)\.[^.]+\.[^.]+$"")"),"craftifact.flamethrower")</f>
        <v>craftifact.flamethrower</v>
      </c>
      <c r="C1785" s="49" t="str">
        <f t="array" ref="C1785">_xlfn.XLOOKUP(
 B1785,
 tblTargets[TargetID],
 tblTargets[DisplayName],
 ""
)</f>
        <v>Flamethrower</v>
      </c>
      <c r="D1785" s="49" t="str">
        <f t="array" ref="D1785">_xlfn.XLOOKUP(
 B1785,
 tblTargets[TargetID],
 tblTargets[TargetType],
 ""
)</f>
        <v>CRAFTIFACT</v>
      </c>
      <c r="E1785" s="49" t="s">
        <v>113</v>
      </c>
      <c r="F1785" s="87">
        <f>IFERROR(__xludf.DUMMYFUNCTION("VALUE(REGEXEXTRACT(A1785,""([^.]+)$""))"),1.0)</f>
        <v>1</v>
      </c>
      <c r="G1785" s="49">
        <v>40.0</v>
      </c>
      <c r="H1785" s="26" t="b">
        <f>COUNTIFS(
 tblCostChecklist[RequirementID],A1785,
 tblCostChecklist[PlayerPaid],TRUE
)&gt;0</f>
        <v>0</v>
      </c>
      <c r="I1785" s="49">
        <f t="shared" si="1"/>
        <v>8</v>
      </c>
      <c r="J1785" s="49">
        <f t="shared" si="2"/>
        <v>0</v>
      </c>
      <c r="K1785" s="49">
        <f t="shared" si="3"/>
        <v>8</v>
      </c>
      <c r="L1785" s="49" t="b">
        <f t="shared" si="4"/>
        <v>0</v>
      </c>
      <c r="M1785" s="88">
        <f t="shared" si="5"/>
        <v>0</v>
      </c>
    </row>
    <row r="1786" ht="14.25" customHeight="1">
      <c r="A1786" s="49" t="s">
        <v>3110</v>
      </c>
      <c r="B1786" s="49" t="str">
        <f>IFERROR(__xludf.DUMMYFUNCTION("REGEXEXTRACT(A1786,""^cost\.(.*)\.[^.]+\.[^.]+$"")"),"craftifact.flamethrower")</f>
        <v>craftifact.flamethrower</v>
      </c>
      <c r="C1786" s="49" t="str">
        <f t="array" ref="C1786">_xlfn.XLOOKUP(
 B1786,
 tblTargets[TargetID],
 tblTargets[DisplayName],
 ""
)</f>
        <v>Flamethrower</v>
      </c>
      <c r="D1786" s="49" t="str">
        <f t="array" ref="D1786">_xlfn.XLOOKUP(
 B1786,
 tblTargets[TargetID],
 tblTargets[TargetType],
 ""
)</f>
        <v>CRAFTIFACT</v>
      </c>
      <c r="E1786" s="49" t="s">
        <v>360</v>
      </c>
      <c r="F1786" s="87">
        <f>IFERROR(__xludf.DUMMYFUNCTION("VALUE(REGEXEXTRACT(A1786,""([^.]+)$""))"),1.0)</f>
        <v>1</v>
      </c>
      <c r="G1786" s="49">
        <v>10.0</v>
      </c>
      <c r="H1786" s="26" t="b">
        <f>COUNTIFS(
 tblCostChecklist[RequirementID],A1786,
 tblCostChecklist[PlayerPaid],TRUE
)&gt;0</f>
        <v>0</v>
      </c>
      <c r="I1786" s="49">
        <f t="shared" si="1"/>
        <v>8</v>
      </c>
      <c r="J1786" s="49">
        <f t="shared" si="2"/>
        <v>0</v>
      </c>
      <c r="K1786" s="49">
        <f t="shared" si="3"/>
        <v>8</v>
      </c>
      <c r="L1786" s="49" t="b">
        <f t="shared" si="4"/>
        <v>0</v>
      </c>
      <c r="M1786" s="88">
        <f t="shared" si="5"/>
        <v>0</v>
      </c>
    </row>
    <row r="1787" ht="14.25" customHeight="1">
      <c r="A1787" s="49" t="s">
        <v>3112</v>
      </c>
      <c r="B1787" s="49" t="str">
        <f>IFERROR(__xludf.DUMMYFUNCTION("REGEXEXTRACT(A1787,""^cost\.(.*)\.[^.]+\.[^.]+$"")"),"craftifact.flamethrower")</f>
        <v>craftifact.flamethrower</v>
      </c>
      <c r="C1787" s="49" t="str">
        <f t="array" ref="C1787">_xlfn.XLOOKUP(
 B1787,
 tblTargets[TargetID],
 tblTargets[DisplayName],
 ""
)</f>
        <v>Flamethrower</v>
      </c>
      <c r="D1787" s="49" t="str">
        <f t="array" ref="D1787">_xlfn.XLOOKUP(
 B1787,
 tblTargets[TargetID],
 tblTargets[TargetType],
 ""
)</f>
        <v>CRAFTIFACT</v>
      </c>
      <c r="E1787" s="49" t="s">
        <v>1078</v>
      </c>
      <c r="F1787" s="87">
        <f>IFERROR(__xludf.DUMMYFUNCTION("VALUE(REGEXEXTRACT(A1787,""([^.]+)$""))"),1.0)</f>
        <v>1</v>
      </c>
      <c r="G1787" s="49">
        <v>5.0</v>
      </c>
      <c r="H1787" s="26" t="b">
        <f>COUNTIFS(
 tblCostChecklist[RequirementID],A1787,
 tblCostChecklist[PlayerPaid],TRUE
)&gt;0</f>
        <v>0</v>
      </c>
      <c r="I1787" s="49">
        <f t="shared" si="1"/>
        <v>8</v>
      </c>
      <c r="J1787" s="49">
        <f t="shared" si="2"/>
        <v>0</v>
      </c>
      <c r="K1787" s="49">
        <f t="shared" si="3"/>
        <v>8</v>
      </c>
      <c r="L1787" s="49" t="b">
        <f t="shared" si="4"/>
        <v>0</v>
      </c>
      <c r="M1787" s="88">
        <f t="shared" si="5"/>
        <v>0</v>
      </c>
    </row>
    <row r="1788" ht="14.25" customHeight="1">
      <c r="A1788" s="49" t="s">
        <v>3114</v>
      </c>
      <c r="B1788" s="49" t="str">
        <f>IFERROR(__xludf.DUMMYFUNCTION("REGEXEXTRACT(A1788,""^cost\.(.*)\.[^.]+\.[^.]+$"")"),"craftifact.flamethrower")</f>
        <v>craftifact.flamethrower</v>
      </c>
      <c r="C1788" s="49" t="str">
        <f t="array" ref="C1788">_xlfn.XLOOKUP(
 B1788,
 tblTargets[TargetID],
 tblTargets[DisplayName],
 ""
)</f>
        <v>Flamethrower</v>
      </c>
      <c r="D1788" s="49" t="str">
        <f t="array" ref="D1788">_xlfn.XLOOKUP(
 B1788,
 tblTargets[TargetID],
 tblTargets[TargetType],
 ""
)</f>
        <v>CRAFTIFACT</v>
      </c>
      <c r="E1788" s="49" t="s">
        <v>588</v>
      </c>
      <c r="F1788" s="87">
        <f>IFERROR(__xludf.DUMMYFUNCTION("VALUE(REGEXEXTRACT(A1788,""([^.]+)$""))"),1.0)</f>
        <v>1</v>
      </c>
      <c r="G1788" s="49">
        <v>20.0</v>
      </c>
      <c r="H1788" s="26" t="b">
        <f>COUNTIFS(
 tblCostChecklist[RequirementID],A1788,
 tblCostChecklist[PlayerPaid],TRUE
)&gt;0</f>
        <v>0</v>
      </c>
      <c r="I1788" s="49">
        <f t="shared" si="1"/>
        <v>8</v>
      </c>
      <c r="J1788" s="49">
        <f t="shared" si="2"/>
        <v>0</v>
      </c>
      <c r="K1788" s="49">
        <f t="shared" si="3"/>
        <v>8</v>
      </c>
      <c r="L1788" s="49" t="b">
        <f t="shared" si="4"/>
        <v>0</v>
      </c>
      <c r="M1788" s="88">
        <f t="shared" si="5"/>
        <v>0</v>
      </c>
    </row>
    <row r="1789" ht="14.25" customHeight="1">
      <c r="A1789" s="49" t="s">
        <v>3116</v>
      </c>
      <c r="B1789" s="49" t="str">
        <f>IFERROR(__xludf.DUMMYFUNCTION("REGEXEXTRACT(A1789,""^cost\.(.*)\.[^.]+\.[^.]+$"")"),"craftifact.flamethrower")</f>
        <v>craftifact.flamethrower</v>
      </c>
      <c r="C1789" s="49" t="str">
        <f t="array" ref="C1789">_xlfn.XLOOKUP(
 B1789,
 tblTargets[TargetID],
 tblTargets[DisplayName],
 ""
)</f>
        <v>Flamethrower</v>
      </c>
      <c r="D1789" s="49" t="str">
        <f t="array" ref="D1789">_xlfn.XLOOKUP(
 B1789,
 tblTargets[TargetID],
 tblTargets[TargetType],
 ""
)</f>
        <v>CRAFTIFACT</v>
      </c>
      <c r="E1789" s="49" t="s">
        <v>2786</v>
      </c>
      <c r="F1789" s="87">
        <f>IFERROR(__xludf.DUMMYFUNCTION("VALUE(REGEXEXTRACT(A1789,""([^.]+)$""))"),1.0)</f>
        <v>1</v>
      </c>
      <c r="G1789" s="49">
        <v>20.0</v>
      </c>
      <c r="H1789" s="26" t="b">
        <f>COUNTIFS(
 tblCostChecklist[RequirementID],A1789,
 tblCostChecklist[PlayerPaid],TRUE
)&gt;0</f>
        <v>0</v>
      </c>
      <c r="I1789" s="49">
        <f t="shared" si="1"/>
        <v>8</v>
      </c>
      <c r="J1789" s="49">
        <f t="shared" si="2"/>
        <v>0</v>
      </c>
      <c r="K1789" s="49">
        <f t="shared" si="3"/>
        <v>8</v>
      </c>
      <c r="L1789" s="49" t="b">
        <f t="shared" si="4"/>
        <v>0</v>
      </c>
      <c r="M1789" s="88">
        <f t="shared" si="5"/>
        <v>0</v>
      </c>
    </row>
    <row r="1790" ht="14.25" customHeight="1">
      <c r="A1790" s="49" t="s">
        <v>3118</v>
      </c>
      <c r="B1790" s="49" t="str">
        <f>IFERROR(__xludf.DUMMYFUNCTION("REGEXEXTRACT(A1790,""^cost\.(.*)\.[^.]+\.[^.]+$"")"),"craftifact.guild_banner")</f>
        <v>craftifact.guild_banner</v>
      </c>
      <c r="C1790" s="49" t="str">
        <f t="array" ref="C1790">_xlfn.XLOOKUP(
 B1790,
 tblTargets[TargetID],
 tblTargets[DisplayName],
 ""
)</f>
        <v>Guild Banner</v>
      </c>
      <c r="D1790" s="49" t="str">
        <f t="array" ref="D1790">_xlfn.XLOOKUP(
 B1790,
 tblTargets[TargetID],
 tblTargets[TargetType],
 ""
)</f>
        <v>CRAFTIFACT</v>
      </c>
      <c r="E1790" s="49" t="s">
        <v>152</v>
      </c>
      <c r="F1790" s="87">
        <f>IFERROR(__xludf.DUMMYFUNCTION("VALUE(REGEXEXTRACT(A1790,""([^.]+)$""))"),1.0)</f>
        <v>1</v>
      </c>
      <c r="G1790" s="49">
        <v>100.0</v>
      </c>
      <c r="H1790" s="26" t="b">
        <f>COUNTIFS(
 tblCostChecklist[RequirementID],A1790,
 tblCostChecklist[PlayerPaid],TRUE
)&gt;0</f>
        <v>0</v>
      </c>
      <c r="I1790" s="49">
        <f t="shared" si="1"/>
        <v>1</v>
      </c>
      <c r="J1790" s="49">
        <f t="shared" si="2"/>
        <v>0</v>
      </c>
      <c r="K1790" s="49">
        <f t="shared" si="3"/>
        <v>1</v>
      </c>
      <c r="L1790" s="49" t="b">
        <f t="shared" si="4"/>
        <v>0</v>
      </c>
      <c r="M1790" s="88">
        <f t="shared" si="5"/>
        <v>0</v>
      </c>
    </row>
    <row r="1791" ht="14.25" customHeight="1">
      <c r="A1791" s="49" t="s">
        <v>3120</v>
      </c>
      <c r="B1791" s="49" t="str">
        <f>IFERROR(__xludf.DUMMYFUNCTION("REGEXEXTRACT(A1791,""^cost\.(.*)\.[^.]+\.[^.]+$"")"),"craftifact.guild_codex")</f>
        <v>craftifact.guild_codex</v>
      </c>
      <c r="C1791" s="49" t="str">
        <f t="array" ref="C1791">_xlfn.XLOOKUP(
 B1791,
 tblTargets[TargetID],
 tblTargets[DisplayName],
 ""
)</f>
        <v>Guild Codex</v>
      </c>
      <c r="D1791" s="49" t="str">
        <f t="array" ref="D1791">_xlfn.XLOOKUP(
 B1791,
 tblTargets[TargetID],
 tblTargets[TargetType],
 ""
)</f>
        <v>CRAFTIFACT</v>
      </c>
      <c r="E1791" s="49" t="s">
        <v>423</v>
      </c>
      <c r="F1791" s="87">
        <f>IFERROR(__xludf.DUMMYFUNCTION("VALUE(REGEXEXTRACT(A1791,""([^.]+)$""))"),1.0)</f>
        <v>1</v>
      </c>
      <c r="G1791" s="49">
        <v>100.0</v>
      </c>
      <c r="H1791" s="26" t="b">
        <f>COUNTIFS(
 tblCostChecklist[RequirementID],A1791,
 tblCostChecklist[PlayerPaid],TRUE
)&gt;0</f>
        <v>0</v>
      </c>
      <c r="I1791" s="49">
        <f t="shared" si="1"/>
        <v>1</v>
      </c>
      <c r="J1791" s="49">
        <f t="shared" si="2"/>
        <v>0</v>
      </c>
      <c r="K1791" s="49">
        <f t="shared" si="3"/>
        <v>1</v>
      </c>
      <c r="L1791" s="49" t="b">
        <f t="shared" si="4"/>
        <v>0</v>
      </c>
      <c r="M1791" s="88">
        <f t="shared" si="5"/>
        <v>0</v>
      </c>
    </row>
    <row r="1792" ht="14.25" customHeight="1">
      <c r="A1792" s="49" t="s">
        <v>3122</v>
      </c>
      <c r="B1792" s="49" t="str">
        <f>IFERROR(__xludf.DUMMYFUNCTION("REGEXEXTRACT(A1792,""^cost\.(.*)\.[^.]+\.[^.]+$"")"),"craftifact.guild_supplies")</f>
        <v>craftifact.guild_supplies</v>
      </c>
      <c r="C1792" s="49" t="str">
        <f t="array" ref="C1792">_xlfn.XLOOKUP(
 B1792,
 tblTargets[TargetID],
 tblTargets[DisplayName],
 ""
)</f>
        <v>Guild Supplies</v>
      </c>
      <c r="D1792" s="49" t="str">
        <f t="array" ref="D1792">_xlfn.XLOOKUP(
 B1792,
 tblTargets[TargetID],
 tblTargets[TargetType],
 ""
)</f>
        <v>CRAFTIFACT</v>
      </c>
      <c r="E1792" s="49" t="s">
        <v>2707</v>
      </c>
      <c r="F1792" s="87">
        <f>IFERROR(__xludf.DUMMYFUNCTION("VALUE(REGEXEXTRACT(A1792,""([^.]+)$""))"),1.0)</f>
        <v>1</v>
      </c>
      <c r="G1792" s="49">
        <v>50.0</v>
      </c>
      <c r="H1792" s="26" t="b">
        <f>COUNTIFS(
 tblCostChecklist[RequirementID],A1792,
 tblCostChecklist[PlayerPaid],TRUE
)&gt;0</f>
        <v>0</v>
      </c>
      <c r="I1792" s="49">
        <f t="shared" si="1"/>
        <v>7</v>
      </c>
      <c r="J1792" s="49">
        <f t="shared" si="2"/>
        <v>0</v>
      </c>
      <c r="K1792" s="49">
        <f t="shared" si="3"/>
        <v>7</v>
      </c>
      <c r="L1792" s="49" t="b">
        <f t="shared" si="4"/>
        <v>0</v>
      </c>
      <c r="M1792" s="88">
        <f t="shared" si="5"/>
        <v>0</v>
      </c>
    </row>
    <row r="1793" ht="14.25" customHeight="1">
      <c r="A1793" s="49" t="s">
        <v>3124</v>
      </c>
      <c r="B1793" s="49" t="str">
        <f>IFERROR(__xludf.DUMMYFUNCTION("REGEXEXTRACT(A1793,""^cost\.(.*)\.[^.]+\.[^.]+$"")"),"craftifact.guild_supplies")</f>
        <v>craftifact.guild_supplies</v>
      </c>
      <c r="C1793" s="49" t="str">
        <f t="array" ref="C1793">_xlfn.XLOOKUP(
 B1793,
 tblTargets[TargetID],
 tblTargets[DisplayName],
 ""
)</f>
        <v>Guild Supplies</v>
      </c>
      <c r="D1793" s="49" t="str">
        <f t="array" ref="D1793">_xlfn.XLOOKUP(
 B1793,
 tblTargets[TargetID],
 tblTargets[TargetType],
 ""
)</f>
        <v>CRAFTIFACT</v>
      </c>
      <c r="E1793" s="49" t="s">
        <v>2709</v>
      </c>
      <c r="F1793" s="87">
        <f>IFERROR(__xludf.DUMMYFUNCTION("VALUE(REGEXEXTRACT(A1793,""([^.]+)$""))"),1.0)</f>
        <v>1</v>
      </c>
      <c r="G1793" s="49">
        <v>25.0</v>
      </c>
      <c r="H1793" s="26" t="b">
        <f>COUNTIFS(
 tblCostChecklist[RequirementID],A1793,
 tblCostChecklist[PlayerPaid],TRUE
)&gt;0</f>
        <v>0</v>
      </c>
      <c r="I1793" s="49">
        <f t="shared" si="1"/>
        <v>7</v>
      </c>
      <c r="J1793" s="49">
        <f t="shared" si="2"/>
        <v>0</v>
      </c>
      <c r="K1793" s="49">
        <f t="shared" si="3"/>
        <v>7</v>
      </c>
      <c r="L1793" s="49" t="b">
        <f t="shared" si="4"/>
        <v>0</v>
      </c>
      <c r="M1793" s="88">
        <f t="shared" si="5"/>
        <v>0</v>
      </c>
    </row>
    <row r="1794" ht="14.25" customHeight="1">
      <c r="A1794" s="49" t="s">
        <v>3126</v>
      </c>
      <c r="B1794" s="49" t="str">
        <f>IFERROR(__xludf.DUMMYFUNCTION("REGEXEXTRACT(A1794,""^cost\.(.*)\.[^.]+\.[^.]+$"")"),"craftifact.guild_supplies")</f>
        <v>craftifact.guild_supplies</v>
      </c>
      <c r="C1794" s="49" t="str">
        <f t="array" ref="C1794">_xlfn.XLOOKUP(
 B1794,
 tblTargets[TargetID],
 tblTargets[DisplayName],
 ""
)</f>
        <v>Guild Supplies</v>
      </c>
      <c r="D1794" s="49" t="str">
        <f t="array" ref="D1794">_xlfn.XLOOKUP(
 B1794,
 tblTargets[TargetID],
 tblTargets[TargetType],
 ""
)</f>
        <v>CRAFTIFACT</v>
      </c>
      <c r="E1794" s="49" t="s">
        <v>360</v>
      </c>
      <c r="F1794" s="87">
        <f>IFERROR(__xludf.DUMMYFUNCTION("VALUE(REGEXEXTRACT(A1794,""([^.]+)$""))"),1.0)</f>
        <v>1</v>
      </c>
      <c r="G1794" s="49">
        <v>25.0</v>
      </c>
      <c r="H1794" s="26" t="b">
        <f>COUNTIFS(
 tblCostChecklist[RequirementID],A1794,
 tblCostChecklist[PlayerPaid],TRUE
)&gt;0</f>
        <v>0</v>
      </c>
      <c r="I1794" s="49">
        <f t="shared" si="1"/>
        <v>7</v>
      </c>
      <c r="J1794" s="49">
        <f t="shared" si="2"/>
        <v>0</v>
      </c>
      <c r="K1794" s="49">
        <f t="shared" si="3"/>
        <v>7</v>
      </c>
      <c r="L1794" s="49" t="b">
        <f t="shared" si="4"/>
        <v>0</v>
      </c>
      <c r="M1794" s="88">
        <f t="shared" si="5"/>
        <v>0</v>
      </c>
    </row>
    <row r="1795" ht="14.25" customHeight="1">
      <c r="A1795" s="49" t="s">
        <v>3128</v>
      </c>
      <c r="B1795" s="49" t="str">
        <f>IFERROR(__xludf.DUMMYFUNCTION("REGEXEXTRACT(A1795,""^cost\.(.*)\.[^.]+\.[^.]+$"")"),"craftifact.guild_supplies")</f>
        <v>craftifact.guild_supplies</v>
      </c>
      <c r="C1795" s="49" t="str">
        <f t="array" ref="C1795">_xlfn.XLOOKUP(
 B1795,
 tblTargets[TargetID],
 tblTargets[DisplayName],
 ""
)</f>
        <v>Guild Supplies</v>
      </c>
      <c r="D1795" s="49" t="str">
        <f t="array" ref="D1795">_xlfn.XLOOKUP(
 B1795,
 tblTargets[TargetID],
 tblTargets[TargetType],
 ""
)</f>
        <v>CRAFTIFACT</v>
      </c>
      <c r="E1795" s="49" t="s">
        <v>2486</v>
      </c>
      <c r="F1795" s="87">
        <f>IFERROR(__xludf.DUMMYFUNCTION("VALUE(REGEXEXTRACT(A1795,""([^.]+)$""))"),1.0)</f>
        <v>1</v>
      </c>
      <c r="G1795" s="49">
        <v>50.0</v>
      </c>
      <c r="H1795" s="26" t="b">
        <f>COUNTIFS(
 tblCostChecklist[RequirementID],A1795,
 tblCostChecklist[PlayerPaid],TRUE
)&gt;0</f>
        <v>0</v>
      </c>
      <c r="I1795" s="49">
        <f t="shared" si="1"/>
        <v>7</v>
      </c>
      <c r="J1795" s="49">
        <f t="shared" si="2"/>
        <v>0</v>
      </c>
      <c r="K1795" s="49">
        <f t="shared" si="3"/>
        <v>7</v>
      </c>
      <c r="L1795" s="49" t="b">
        <f t="shared" si="4"/>
        <v>0</v>
      </c>
      <c r="M1795" s="88">
        <f t="shared" si="5"/>
        <v>0</v>
      </c>
    </row>
    <row r="1796" ht="14.25" customHeight="1">
      <c r="A1796" s="49" t="s">
        <v>3130</v>
      </c>
      <c r="B1796" s="49" t="str">
        <f>IFERROR(__xludf.DUMMYFUNCTION("REGEXEXTRACT(A1796,""^cost\.(.*)\.[^.]+\.[^.]+$"")"),"craftifact.guild_supplies")</f>
        <v>craftifact.guild_supplies</v>
      </c>
      <c r="C1796" s="49" t="str">
        <f t="array" ref="C1796">_xlfn.XLOOKUP(
 B1796,
 tblTargets[TargetID],
 tblTargets[DisplayName],
 ""
)</f>
        <v>Guild Supplies</v>
      </c>
      <c r="D1796" s="49" t="str">
        <f t="array" ref="D1796">_xlfn.XLOOKUP(
 B1796,
 tblTargets[TargetID],
 tblTargets[TargetType],
 ""
)</f>
        <v>CRAFTIFACT</v>
      </c>
      <c r="E1796" s="49" t="s">
        <v>588</v>
      </c>
      <c r="F1796" s="87">
        <f>IFERROR(__xludf.DUMMYFUNCTION("VALUE(REGEXEXTRACT(A1796,""([^.]+)$""))"),1.0)</f>
        <v>1</v>
      </c>
      <c r="G1796" s="49">
        <v>50.0</v>
      </c>
      <c r="H1796" s="26" t="b">
        <f>COUNTIFS(
 tblCostChecklist[RequirementID],A1796,
 tblCostChecklist[PlayerPaid],TRUE
)&gt;0</f>
        <v>0</v>
      </c>
      <c r="I1796" s="49">
        <f t="shared" si="1"/>
        <v>7</v>
      </c>
      <c r="J1796" s="49">
        <f t="shared" si="2"/>
        <v>0</v>
      </c>
      <c r="K1796" s="49">
        <f t="shared" si="3"/>
        <v>7</v>
      </c>
      <c r="L1796" s="49" t="b">
        <f t="shared" si="4"/>
        <v>0</v>
      </c>
      <c r="M1796" s="88">
        <f t="shared" si="5"/>
        <v>0</v>
      </c>
    </row>
    <row r="1797" ht="14.25" customHeight="1">
      <c r="A1797" s="49" t="s">
        <v>3133</v>
      </c>
      <c r="B1797" s="49" t="str">
        <f>IFERROR(__xludf.DUMMYFUNCTION("REGEXEXTRACT(A1797,""^cost\.(.*)\.[^.]+\.[^.]+$"")"),"craftifact.guild_supplies")</f>
        <v>craftifact.guild_supplies</v>
      </c>
      <c r="C1797" s="49" t="str">
        <f t="array" ref="C1797">_xlfn.XLOOKUP(
 B1797,
 tblTargets[TargetID],
 tblTargets[DisplayName],
 ""
)</f>
        <v>Guild Supplies</v>
      </c>
      <c r="D1797" s="49" t="str">
        <f t="array" ref="D1797">_xlfn.XLOOKUP(
 B1797,
 tblTargets[TargetID],
 tblTargets[TargetType],
 ""
)</f>
        <v>CRAFTIFACT</v>
      </c>
      <c r="E1797" s="49" t="s">
        <v>701</v>
      </c>
      <c r="F1797" s="87">
        <f>IFERROR(__xludf.DUMMYFUNCTION("VALUE(REGEXEXTRACT(A1797,""([^.]+)$""))"),1.0)</f>
        <v>1</v>
      </c>
      <c r="G1797" s="49">
        <v>25.0</v>
      </c>
      <c r="H1797" s="26" t="b">
        <f>COUNTIFS(
 tblCostChecklist[RequirementID],A1797,
 tblCostChecklist[PlayerPaid],TRUE
)&gt;0</f>
        <v>0</v>
      </c>
      <c r="I1797" s="49">
        <f t="shared" si="1"/>
        <v>7</v>
      </c>
      <c r="J1797" s="49">
        <f t="shared" si="2"/>
        <v>0</v>
      </c>
      <c r="K1797" s="49">
        <f t="shared" si="3"/>
        <v>7</v>
      </c>
      <c r="L1797" s="49" t="b">
        <f t="shared" si="4"/>
        <v>0</v>
      </c>
      <c r="M1797" s="88">
        <f t="shared" si="5"/>
        <v>0</v>
      </c>
    </row>
    <row r="1798" ht="14.25" customHeight="1">
      <c r="A1798" s="49" t="s">
        <v>3135</v>
      </c>
      <c r="B1798" s="49" t="str">
        <f>IFERROR(__xludf.DUMMYFUNCTION("REGEXEXTRACT(A1798,""^cost\.(.*)\.[^.]+\.[^.]+$"")"),"craftifact.guild_supplies")</f>
        <v>craftifact.guild_supplies</v>
      </c>
      <c r="C1798" s="49" t="str">
        <f t="array" ref="C1798">_xlfn.XLOOKUP(
 B1798,
 tblTargets[TargetID],
 tblTargets[DisplayName],
 ""
)</f>
        <v>Guild Supplies</v>
      </c>
      <c r="D1798" s="49" t="str">
        <f t="array" ref="D1798">_xlfn.XLOOKUP(
 B1798,
 tblTargets[TargetID],
 tblTargets[TargetType],
 ""
)</f>
        <v>CRAFTIFACT</v>
      </c>
      <c r="E1798" s="49" t="s">
        <v>2719</v>
      </c>
      <c r="F1798" s="87">
        <f>IFERROR(__xludf.DUMMYFUNCTION("VALUE(REGEXEXTRACT(A1798,""([^.]+)$""))"),1.0)</f>
        <v>1</v>
      </c>
      <c r="G1798" s="49">
        <v>25.0</v>
      </c>
      <c r="H1798" s="26" t="b">
        <f>COUNTIFS(
 tblCostChecklist[RequirementID],A1798,
 tblCostChecklist[PlayerPaid],TRUE
)&gt;0</f>
        <v>0</v>
      </c>
      <c r="I1798" s="49">
        <f t="shared" si="1"/>
        <v>7</v>
      </c>
      <c r="J1798" s="49">
        <f t="shared" si="2"/>
        <v>0</v>
      </c>
      <c r="K1798" s="49">
        <f t="shared" si="3"/>
        <v>7</v>
      </c>
      <c r="L1798" s="49" t="b">
        <f t="shared" si="4"/>
        <v>0</v>
      </c>
      <c r="M1798" s="88">
        <f t="shared" si="5"/>
        <v>0</v>
      </c>
    </row>
    <row r="1799" ht="14.25" customHeight="1">
      <c r="A1799" s="49" t="s">
        <v>3137</v>
      </c>
      <c r="B1799" s="49" t="str">
        <f>IFERROR(__xludf.DUMMYFUNCTION("REGEXEXTRACT(A1799,""^cost\.(.*)\.[^.]+\.[^.]+$"")"),"craftifact.hat_of_concentration")</f>
        <v>craftifact.hat_of_concentration</v>
      </c>
      <c r="C1799" s="49" t="str">
        <f t="array" ref="C1799">_xlfn.XLOOKUP(
 B1799,
 tblTargets[TargetID],
 tblTargets[DisplayName],
 ""
)</f>
        <v>Hat Of Concentration</v>
      </c>
      <c r="D1799" s="49" t="str">
        <f t="array" ref="D1799">_xlfn.XLOOKUP(
 B1799,
 tblTargets[TargetID],
 tblTargets[TargetType],
 ""
)</f>
        <v>CRAFTIFACT</v>
      </c>
      <c r="E1799" s="49" t="s">
        <v>2339</v>
      </c>
      <c r="F1799" s="87">
        <f>IFERROR(__xludf.DUMMYFUNCTION("VALUE(REGEXEXTRACT(A1799,""([^.]+)$""))"),1.0)</f>
        <v>1</v>
      </c>
      <c r="G1799" s="49">
        <v>20.0</v>
      </c>
      <c r="H1799" s="26" t="b">
        <f>COUNTIFS(
 tblCostChecklist[RequirementID],A1799,
 tblCostChecklist[PlayerPaid],TRUE
)&gt;0</f>
        <v>0</v>
      </c>
      <c r="I1799" s="49">
        <f t="shared" si="1"/>
        <v>7</v>
      </c>
      <c r="J1799" s="49">
        <f t="shared" si="2"/>
        <v>0</v>
      </c>
      <c r="K1799" s="49">
        <f t="shared" si="3"/>
        <v>7</v>
      </c>
      <c r="L1799" s="49" t="b">
        <f t="shared" si="4"/>
        <v>0</v>
      </c>
      <c r="M1799" s="88">
        <f t="shared" si="5"/>
        <v>0</v>
      </c>
    </row>
    <row r="1800" ht="14.25" customHeight="1">
      <c r="A1800" s="49" t="s">
        <v>3140</v>
      </c>
      <c r="B1800" s="49" t="str">
        <f>IFERROR(__xludf.DUMMYFUNCTION("REGEXEXTRACT(A1800,""^cost\.(.*)\.[^.]+\.[^.]+$"")"),"craftifact.hat_of_concentration")</f>
        <v>craftifact.hat_of_concentration</v>
      </c>
      <c r="C1800" s="49" t="str">
        <f t="array" ref="C1800">_xlfn.XLOOKUP(
 B1800,
 tblTargets[TargetID],
 tblTargets[DisplayName],
 ""
)</f>
        <v>Hat Of Concentration</v>
      </c>
      <c r="D1800" s="49" t="str">
        <f t="array" ref="D1800">_xlfn.XLOOKUP(
 B1800,
 tblTargets[TargetID],
 tblTargets[TargetType],
 ""
)</f>
        <v>CRAFTIFACT</v>
      </c>
      <c r="E1800" s="49" t="s">
        <v>530</v>
      </c>
      <c r="F1800" s="87">
        <f>IFERROR(__xludf.DUMMYFUNCTION("VALUE(REGEXEXTRACT(A1800,""([^.]+)$""))"),1.0)</f>
        <v>1</v>
      </c>
      <c r="G1800" s="49">
        <v>20.0</v>
      </c>
      <c r="H1800" s="26" t="b">
        <f>COUNTIFS(
 tblCostChecklist[RequirementID],A1800,
 tblCostChecklist[PlayerPaid],TRUE
)&gt;0</f>
        <v>0</v>
      </c>
      <c r="I1800" s="49">
        <f t="shared" si="1"/>
        <v>7</v>
      </c>
      <c r="J1800" s="49">
        <f t="shared" si="2"/>
        <v>0</v>
      </c>
      <c r="K1800" s="49">
        <f t="shared" si="3"/>
        <v>7</v>
      </c>
      <c r="L1800" s="49" t="b">
        <f t="shared" si="4"/>
        <v>0</v>
      </c>
      <c r="M1800" s="88">
        <f t="shared" si="5"/>
        <v>0</v>
      </c>
    </row>
    <row r="1801" ht="14.25" customHeight="1">
      <c r="A1801" s="49" t="s">
        <v>3142</v>
      </c>
      <c r="B1801" s="49" t="str">
        <f>IFERROR(__xludf.DUMMYFUNCTION("REGEXEXTRACT(A1801,""^cost\.(.*)\.[^.]+\.[^.]+$"")"),"craftifact.hat_of_concentration")</f>
        <v>craftifact.hat_of_concentration</v>
      </c>
      <c r="C1801" s="49" t="str">
        <f t="array" ref="C1801">_xlfn.XLOOKUP(
 B1801,
 tblTargets[TargetID],
 tblTargets[DisplayName],
 ""
)</f>
        <v>Hat Of Concentration</v>
      </c>
      <c r="D1801" s="49" t="str">
        <f t="array" ref="D1801">_xlfn.XLOOKUP(
 B1801,
 tblTargets[TargetID],
 tblTargets[TargetType],
 ""
)</f>
        <v>CRAFTIFACT</v>
      </c>
      <c r="E1801" s="49" t="s">
        <v>508</v>
      </c>
      <c r="F1801" s="87">
        <f>IFERROR(__xludf.DUMMYFUNCTION("VALUE(REGEXEXTRACT(A1801,""([^.]+)$""))"),1.0)</f>
        <v>1</v>
      </c>
      <c r="G1801" s="49">
        <v>10.0</v>
      </c>
      <c r="H1801" s="26" t="b">
        <f>COUNTIFS(
 tblCostChecklist[RequirementID],A1801,
 tblCostChecklist[PlayerPaid],TRUE
)&gt;0</f>
        <v>0</v>
      </c>
      <c r="I1801" s="49">
        <f t="shared" si="1"/>
        <v>7</v>
      </c>
      <c r="J1801" s="49">
        <f t="shared" si="2"/>
        <v>0</v>
      </c>
      <c r="K1801" s="49">
        <f t="shared" si="3"/>
        <v>7</v>
      </c>
      <c r="L1801" s="49" t="b">
        <f t="shared" si="4"/>
        <v>0</v>
      </c>
      <c r="M1801" s="88">
        <f t="shared" si="5"/>
        <v>0</v>
      </c>
    </row>
    <row r="1802" ht="14.25" customHeight="1">
      <c r="A1802" s="49" t="s">
        <v>3145</v>
      </c>
      <c r="B1802" s="49" t="str">
        <f>IFERROR(__xludf.DUMMYFUNCTION("REGEXEXTRACT(A1802,""^cost\.(.*)\.[^.]+\.[^.]+$"")"),"craftifact.hat_of_concentration")</f>
        <v>craftifact.hat_of_concentration</v>
      </c>
      <c r="C1802" s="49" t="str">
        <f t="array" ref="C1802">_xlfn.XLOOKUP(
 B1802,
 tblTargets[TargetID],
 tblTargets[DisplayName],
 ""
)</f>
        <v>Hat Of Concentration</v>
      </c>
      <c r="D1802" s="49" t="str">
        <f t="array" ref="D1802">_xlfn.XLOOKUP(
 B1802,
 tblTargets[TargetID],
 tblTargets[TargetType],
 ""
)</f>
        <v>CRAFTIFACT</v>
      </c>
      <c r="E1802" s="49" t="s">
        <v>1456</v>
      </c>
      <c r="F1802" s="87">
        <f>IFERROR(__xludf.DUMMYFUNCTION("VALUE(REGEXEXTRACT(A1802,""([^.]+)$""))"),1.0)</f>
        <v>1</v>
      </c>
      <c r="G1802" s="49">
        <v>10.0</v>
      </c>
      <c r="H1802" s="26" t="b">
        <f>COUNTIFS(
 tblCostChecklist[RequirementID],A1802,
 tblCostChecklist[PlayerPaid],TRUE
)&gt;0</f>
        <v>0</v>
      </c>
      <c r="I1802" s="49">
        <f t="shared" si="1"/>
        <v>7</v>
      </c>
      <c r="J1802" s="49">
        <f t="shared" si="2"/>
        <v>0</v>
      </c>
      <c r="K1802" s="49">
        <f t="shared" si="3"/>
        <v>7</v>
      </c>
      <c r="L1802" s="49" t="b">
        <f t="shared" si="4"/>
        <v>0</v>
      </c>
      <c r="M1802" s="88">
        <f t="shared" si="5"/>
        <v>0</v>
      </c>
    </row>
    <row r="1803" ht="14.25" customHeight="1">
      <c r="A1803" s="49" t="s">
        <v>3148</v>
      </c>
      <c r="B1803" s="49" t="str">
        <f>IFERROR(__xludf.DUMMYFUNCTION("REGEXEXTRACT(A1803,""^cost\.(.*)\.[^.]+\.[^.]+$"")"),"craftifact.hat_of_concentration")</f>
        <v>craftifact.hat_of_concentration</v>
      </c>
      <c r="C1803" s="49" t="str">
        <f t="array" ref="C1803">_xlfn.XLOOKUP(
 B1803,
 tblTargets[TargetID],
 tblTargets[DisplayName],
 ""
)</f>
        <v>Hat Of Concentration</v>
      </c>
      <c r="D1803" s="49" t="str">
        <f t="array" ref="D1803">_xlfn.XLOOKUP(
 B1803,
 tblTargets[TargetID],
 tblTargets[TargetType],
 ""
)</f>
        <v>CRAFTIFACT</v>
      </c>
      <c r="E1803" s="49" t="s">
        <v>152</v>
      </c>
      <c r="F1803" s="87">
        <f>IFERROR(__xludf.DUMMYFUNCTION("VALUE(REGEXEXTRACT(A1803,""([^.]+)$""))"),1.0)</f>
        <v>1</v>
      </c>
      <c r="G1803" s="49">
        <v>10.0</v>
      </c>
      <c r="H1803" s="26" t="b">
        <f>COUNTIFS(
 tblCostChecklist[RequirementID],A1803,
 tblCostChecklist[PlayerPaid],TRUE
)&gt;0</f>
        <v>0</v>
      </c>
      <c r="I1803" s="49">
        <f t="shared" si="1"/>
        <v>7</v>
      </c>
      <c r="J1803" s="49">
        <f t="shared" si="2"/>
        <v>0</v>
      </c>
      <c r="K1803" s="49">
        <f t="shared" si="3"/>
        <v>7</v>
      </c>
      <c r="L1803" s="49" t="b">
        <f t="shared" si="4"/>
        <v>0</v>
      </c>
      <c r="M1803" s="88">
        <f t="shared" si="5"/>
        <v>0</v>
      </c>
    </row>
    <row r="1804" ht="14.25" customHeight="1">
      <c r="A1804" s="49" t="s">
        <v>3150</v>
      </c>
      <c r="B1804" s="49" t="str">
        <f>IFERROR(__xludf.DUMMYFUNCTION("REGEXEXTRACT(A1804,""^cost\.(.*)\.[^.]+\.[^.]+$"")"),"craftifact.hat_of_concentration")</f>
        <v>craftifact.hat_of_concentration</v>
      </c>
      <c r="C1804" s="49" t="str">
        <f t="array" ref="C1804">_xlfn.XLOOKUP(
 B1804,
 tblTargets[TargetID],
 tblTargets[DisplayName],
 ""
)</f>
        <v>Hat Of Concentration</v>
      </c>
      <c r="D1804" s="49" t="str">
        <f t="array" ref="D1804">_xlfn.XLOOKUP(
 B1804,
 tblTargets[TargetID],
 tblTargets[TargetType],
 ""
)</f>
        <v>CRAFTIFACT</v>
      </c>
      <c r="E1804" s="49" t="s">
        <v>2461</v>
      </c>
      <c r="F1804" s="87">
        <f>IFERROR(__xludf.DUMMYFUNCTION("VALUE(REGEXEXTRACT(A1804,""([^.]+)$""))"),1.0)</f>
        <v>1</v>
      </c>
      <c r="G1804" s="49">
        <v>2.0</v>
      </c>
      <c r="H1804" s="26" t="b">
        <f>COUNTIFS(
 tblCostChecklist[RequirementID],A1804,
 tblCostChecklist[PlayerPaid],TRUE
)&gt;0</f>
        <v>0</v>
      </c>
      <c r="I1804" s="49">
        <f t="shared" si="1"/>
        <v>7</v>
      </c>
      <c r="J1804" s="49">
        <f t="shared" si="2"/>
        <v>0</v>
      </c>
      <c r="K1804" s="49">
        <f t="shared" si="3"/>
        <v>7</v>
      </c>
      <c r="L1804" s="49" t="b">
        <f t="shared" si="4"/>
        <v>0</v>
      </c>
      <c r="M1804" s="88">
        <f t="shared" si="5"/>
        <v>0</v>
      </c>
    </row>
    <row r="1805" ht="14.25" customHeight="1">
      <c r="A1805" s="49" t="s">
        <v>3152</v>
      </c>
      <c r="B1805" s="49" t="str">
        <f>IFERROR(__xludf.DUMMYFUNCTION("REGEXEXTRACT(A1805,""^cost\.(.*)\.[^.]+\.[^.]+$"")"),"craftifact.hat_of_concentration")</f>
        <v>craftifact.hat_of_concentration</v>
      </c>
      <c r="C1805" s="49" t="str">
        <f t="array" ref="C1805">_xlfn.XLOOKUP(
 B1805,
 tblTargets[TargetID],
 tblTargets[DisplayName],
 ""
)</f>
        <v>Hat Of Concentration</v>
      </c>
      <c r="D1805" s="49" t="str">
        <f t="array" ref="D1805">_xlfn.XLOOKUP(
 B1805,
 tblTargets[TargetID],
 tblTargets[TargetType],
 ""
)</f>
        <v>CRAFTIFACT</v>
      </c>
      <c r="E1805" s="49" t="s">
        <v>3153</v>
      </c>
      <c r="F1805" s="87">
        <f>IFERROR(__xludf.DUMMYFUNCTION("VALUE(REGEXEXTRACT(A1805,""([^.]+)$""))"),1.0)</f>
        <v>1</v>
      </c>
      <c r="G1805" s="49">
        <v>12.0</v>
      </c>
      <c r="H1805" s="26" t="b">
        <f>COUNTIFS(
 tblCostChecklist[RequirementID],A1805,
 tblCostChecklist[PlayerPaid],TRUE
)&gt;0</f>
        <v>0</v>
      </c>
      <c r="I1805" s="49">
        <f t="shared" si="1"/>
        <v>7</v>
      </c>
      <c r="J1805" s="49">
        <f t="shared" si="2"/>
        <v>0</v>
      </c>
      <c r="K1805" s="49">
        <f t="shared" si="3"/>
        <v>7</v>
      </c>
      <c r="L1805" s="49" t="b">
        <f t="shared" si="4"/>
        <v>0</v>
      </c>
      <c r="M1805" s="88">
        <f t="shared" si="5"/>
        <v>0</v>
      </c>
    </row>
    <row r="1806" ht="14.25" customHeight="1">
      <c r="A1806" s="49" t="s">
        <v>3155</v>
      </c>
      <c r="B1806" s="49" t="str">
        <f>IFERROR(__xludf.DUMMYFUNCTION("REGEXEXTRACT(A1806,""^cost\.(.*)\.[^.]+\.[^.]+$"")"),"craftifact.helmet")</f>
        <v>craftifact.helmet</v>
      </c>
      <c r="C1806" s="49" t="str">
        <f t="array" ref="C1806">_xlfn.XLOOKUP(
 B1806,
 tblTargets[TargetID],
 tblTargets[DisplayName],
 ""
)</f>
        <v>Helmet</v>
      </c>
      <c r="D1806" s="49" t="str">
        <f t="array" ref="D1806">_xlfn.XLOOKUP(
 B1806,
 tblTargets[TargetID],
 tblTargets[TargetType],
 ""
)</f>
        <v>CRAFTIFACT</v>
      </c>
      <c r="E1806" s="49" t="s">
        <v>1060</v>
      </c>
      <c r="F1806" s="87">
        <f>IFERROR(__xludf.DUMMYFUNCTION("VALUE(REGEXEXTRACT(A1806,""([^.]+)$""))"),1.0)</f>
        <v>1</v>
      </c>
      <c r="G1806" s="49">
        <v>100.0</v>
      </c>
      <c r="H1806" s="26" t="b">
        <f>COUNTIFS(
 tblCostChecklist[RequirementID],A1806,
 tblCostChecklist[PlayerPaid],TRUE
)&gt;0</f>
        <v>0</v>
      </c>
      <c r="I1806" s="49">
        <f t="shared" si="1"/>
        <v>4</v>
      </c>
      <c r="J1806" s="49">
        <f t="shared" si="2"/>
        <v>0</v>
      </c>
      <c r="K1806" s="49">
        <f t="shared" si="3"/>
        <v>4</v>
      </c>
      <c r="L1806" s="49" t="b">
        <f t="shared" si="4"/>
        <v>0</v>
      </c>
      <c r="M1806" s="88">
        <f t="shared" si="5"/>
        <v>0</v>
      </c>
    </row>
    <row r="1807" ht="14.25" customHeight="1">
      <c r="A1807" s="49" t="s">
        <v>3157</v>
      </c>
      <c r="B1807" s="49" t="str">
        <f>IFERROR(__xludf.DUMMYFUNCTION("REGEXEXTRACT(A1807,""^cost\.(.*)\.[^.]+\.[^.]+$"")"),"craftifact.helmet")</f>
        <v>craftifact.helmet</v>
      </c>
      <c r="C1807" s="49" t="str">
        <f t="array" ref="C1807">_xlfn.XLOOKUP(
 B1807,
 tblTargets[TargetID],
 tblTargets[DisplayName],
 ""
)</f>
        <v>Helmet</v>
      </c>
      <c r="D1807" s="49" t="str">
        <f t="array" ref="D1807">_xlfn.XLOOKUP(
 B1807,
 tblTargets[TargetID],
 tblTargets[TargetType],
 ""
)</f>
        <v>CRAFTIFACT</v>
      </c>
      <c r="E1807" s="49" t="s">
        <v>2135</v>
      </c>
      <c r="F1807" s="87">
        <f>IFERROR(__xludf.DUMMYFUNCTION("VALUE(REGEXEXTRACT(A1807,""([^.]+)$""))"),1.0)</f>
        <v>1</v>
      </c>
      <c r="G1807" s="49">
        <v>40.0</v>
      </c>
      <c r="H1807" s="26" t="b">
        <f>COUNTIFS(
 tblCostChecklist[RequirementID],A1807,
 tblCostChecklist[PlayerPaid],TRUE
)&gt;0</f>
        <v>0</v>
      </c>
      <c r="I1807" s="49">
        <f t="shared" si="1"/>
        <v>4</v>
      </c>
      <c r="J1807" s="49">
        <f t="shared" si="2"/>
        <v>0</v>
      </c>
      <c r="K1807" s="49">
        <f t="shared" si="3"/>
        <v>4</v>
      </c>
      <c r="L1807" s="49" t="b">
        <f t="shared" si="4"/>
        <v>0</v>
      </c>
      <c r="M1807" s="88">
        <f t="shared" si="5"/>
        <v>0</v>
      </c>
    </row>
    <row r="1808" ht="14.25" customHeight="1">
      <c r="A1808" s="49" t="s">
        <v>3159</v>
      </c>
      <c r="B1808" s="49" t="str">
        <f>IFERROR(__xludf.DUMMYFUNCTION("REGEXEXTRACT(A1808,""^cost\.(.*)\.[^.]+\.[^.]+$"")"),"craftifact.helmet")</f>
        <v>craftifact.helmet</v>
      </c>
      <c r="C1808" s="49" t="str">
        <f t="array" ref="C1808">_xlfn.XLOOKUP(
 B1808,
 tblTargets[TargetID],
 tblTargets[DisplayName],
 ""
)</f>
        <v>Helmet</v>
      </c>
      <c r="D1808" s="49" t="str">
        <f t="array" ref="D1808">_xlfn.XLOOKUP(
 B1808,
 tblTargets[TargetID],
 tblTargets[TargetType],
 ""
)</f>
        <v>CRAFTIFACT</v>
      </c>
      <c r="E1808" s="49" t="s">
        <v>132</v>
      </c>
      <c r="F1808" s="87">
        <f>IFERROR(__xludf.DUMMYFUNCTION("VALUE(REGEXEXTRACT(A1808,""([^.]+)$""))"),1.0)</f>
        <v>1</v>
      </c>
      <c r="G1808" s="49">
        <v>20.0</v>
      </c>
      <c r="H1808" s="26" t="b">
        <f>COUNTIFS(
 tblCostChecklist[RequirementID],A1808,
 tblCostChecklist[PlayerPaid],TRUE
)&gt;0</f>
        <v>0</v>
      </c>
      <c r="I1808" s="49">
        <f t="shared" si="1"/>
        <v>4</v>
      </c>
      <c r="J1808" s="49">
        <f t="shared" si="2"/>
        <v>0</v>
      </c>
      <c r="K1808" s="49">
        <f t="shared" si="3"/>
        <v>4</v>
      </c>
      <c r="L1808" s="49" t="b">
        <f t="shared" si="4"/>
        <v>0</v>
      </c>
      <c r="M1808" s="88">
        <f t="shared" si="5"/>
        <v>0</v>
      </c>
    </row>
    <row r="1809" ht="14.25" customHeight="1">
      <c r="A1809" s="49" t="s">
        <v>3169</v>
      </c>
      <c r="B1809" s="49" t="str">
        <f>IFERROR(__xludf.DUMMYFUNCTION("REGEXEXTRACT(A1809,""^cost\.(.*)\.[^.]+\.[^.]+$"")"),"craftifact.helmet")</f>
        <v>craftifact.helmet</v>
      </c>
      <c r="C1809" s="49" t="str">
        <f t="array" ref="C1809">_xlfn.XLOOKUP(
 B1809,
 tblTargets[TargetID],
 tblTargets[DisplayName],
 ""
)</f>
        <v>Helmet</v>
      </c>
      <c r="D1809" s="49" t="str">
        <f t="array" ref="D1809">_xlfn.XLOOKUP(
 B1809,
 tblTargets[TargetID],
 tblTargets[TargetType],
 ""
)</f>
        <v>CRAFTIFACT</v>
      </c>
      <c r="E1809" s="49" t="s">
        <v>2007</v>
      </c>
      <c r="F1809" s="87">
        <f>IFERROR(__xludf.DUMMYFUNCTION("VALUE(REGEXEXTRACT(A1809,""([^.]+)$""))"),1.0)</f>
        <v>1</v>
      </c>
      <c r="G1809" s="49">
        <v>1.0</v>
      </c>
      <c r="H1809" s="26" t="b">
        <f>COUNTIFS(
 tblCostChecklist[RequirementID],A1809,
 tblCostChecklist[PlayerPaid],TRUE
)&gt;0</f>
        <v>0</v>
      </c>
      <c r="I1809" s="49">
        <f t="shared" si="1"/>
        <v>4</v>
      </c>
      <c r="J1809" s="49">
        <f t="shared" si="2"/>
        <v>0</v>
      </c>
      <c r="K1809" s="49">
        <f t="shared" si="3"/>
        <v>4</v>
      </c>
      <c r="L1809" s="49" t="b">
        <f t="shared" si="4"/>
        <v>0</v>
      </c>
      <c r="M1809" s="88">
        <f t="shared" si="5"/>
        <v>0</v>
      </c>
    </row>
    <row r="1810" ht="14.25" customHeight="1">
      <c r="A1810" s="49" t="s">
        <v>3170</v>
      </c>
      <c r="B1810" s="49" t="str">
        <f>IFERROR(__xludf.DUMMYFUNCTION("REGEXEXTRACT(A1810,""^cost\.(.*)\.[^.]+\.[^.]+$"")"),"craftifact.historical_library")</f>
        <v>craftifact.historical_library</v>
      </c>
      <c r="C1810" s="49" t="str">
        <f t="array" ref="C1810">_xlfn.XLOOKUP(
 B1810,
 tblTargets[TargetID],
 tblTargets[DisplayName],
 ""
)</f>
        <v>Historical Library</v>
      </c>
      <c r="D1810" s="49" t="str">
        <f t="array" ref="D1810">_xlfn.XLOOKUP(
 B1810,
 tblTargets[TargetID],
 tblTargets[TargetType],
 ""
)</f>
        <v>CRAFTIFACT</v>
      </c>
      <c r="E1810" s="49" t="s">
        <v>1055</v>
      </c>
      <c r="F1810" s="87">
        <f>IFERROR(__xludf.DUMMYFUNCTION("VALUE(REGEXEXTRACT(A1810,""([^.]+)$""))"),1.0)</f>
        <v>1</v>
      </c>
      <c r="G1810" s="49">
        <v>15.0</v>
      </c>
      <c r="H1810" s="26" t="b">
        <f>COUNTIFS(
 tblCostChecklist[RequirementID],A1810,
 tblCostChecklist[PlayerPaid],TRUE
)&gt;0</f>
        <v>0</v>
      </c>
      <c r="I1810" s="49">
        <f t="shared" si="1"/>
        <v>4</v>
      </c>
      <c r="J1810" s="49">
        <f t="shared" si="2"/>
        <v>0</v>
      </c>
      <c r="K1810" s="49">
        <f t="shared" si="3"/>
        <v>4</v>
      </c>
      <c r="L1810" s="49" t="b">
        <f t="shared" si="4"/>
        <v>0</v>
      </c>
      <c r="M1810" s="88">
        <f t="shared" si="5"/>
        <v>0</v>
      </c>
    </row>
    <row r="1811" ht="14.25" customHeight="1">
      <c r="A1811" s="49" t="s">
        <v>3172</v>
      </c>
      <c r="B1811" s="49" t="str">
        <f>IFERROR(__xludf.DUMMYFUNCTION("REGEXEXTRACT(A1811,""^cost\.(.*)\.[^.]+\.[^.]+$"")"),"craftifact.historical_library")</f>
        <v>craftifact.historical_library</v>
      </c>
      <c r="C1811" s="49" t="str">
        <f t="array" ref="C1811">_xlfn.XLOOKUP(
 B1811,
 tblTargets[TargetID],
 tblTargets[DisplayName],
 ""
)</f>
        <v>Historical Library</v>
      </c>
      <c r="D1811" s="49" t="str">
        <f t="array" ref="D1811">_xlfn.XLOOKUP(
 B1811,
 tblTargets[TargetID],
 tblTargets[TargetType],
 ""
)</f>
        <v>CRAFTIFACT</v>
      </c>
      <c r="E1811" s="49" t="s">
        <v>530</v>
      </c>
      <c r="F1811" s="87">
        <f>IFERROR(__xludf.DUMMYFUNCTION("VALUE(REGEXEXTRACT(A1811,""([^.]+)$""))"),1.0)</f>
        <v>1</v>
      </c>
      <c r="G1811" s="49">
        <v>9.0</v>
      </c>
      <c r="H1811" s="26" t="b">
        <f>COUNTIFS(
 tblCostChecklist[RequirementID],A1811,
 tblCostChecklist[PlayerPaid],TRUE
)&gt;0</f>
        <v>0</v>
      </c>
      <c r="I1811" s="49">
        <f t="shared" si="1"/>
        <v>4</v>
      </c>
      <c r="J1811" s="49">
        <f t="shared" si="2"/>
        <v>0</v>
      </c>
      <c r="K1811" s="49">
        <f t="shared" si="3"/>
        <v>4</v>
      </c>
      <c r="L1811" s="49" t="b">
        <f t="shared" si="4"/>
        <v>0</v>
      </c>
      <c r="M1811" s="88">
        <f t="shared" si="5"/>
        <v>0</v>
      </c>
    </row>
    <row r="1812" ht="14.25" customHeight="1">
      <c r="A1812" s="49" t="s">
        <v>3174</v>
      </c>
      <c r="B1812" s="49" t="str">
        <f>IFERROR(__xludf.DUMMYFUNCTION("REGEXEXTRACT(A1812,""^cost\.(.*)\.[^.]+\.[^.]+$"")"),"craftifact.historical_library")</f>
        <v>craftifact.historical_library</v>
      </c>
      <c r="C1812" s="49" t="str">
        <f t="array" ref="C1812">_xlfn.XLOOKUP(
 B1812,
 tblTargets[TargetID],
 tblTargets[DisplayName],
 ""
)</f>
        <v>Historical Library</v>
      </c>
      <c r="D1812" s="49" t="str">
        <f t="array" ref="D1812">_xlfn.XLOOKUP(
 B1812,
 tblTargets[TargetID],
 tblTargets[TargetType],
 ""
)</f>
        <v>CRAFTIFACT</v>
      </c>
      <c r="E1812" s="49" t="s">
        <v>132</v>
      </c>
      <c r="F1812" s="87">
        <f>IFERROR(__xludf.DUMMYFUNCTION("VALUE(REGEXEXTRACT(A1812,""([^.]+)$""))"),1.0)</f>
        <v>1</v>
      </c>
      <c r="G1812" s="49">
        <v>40.0</v>
      </c>
      <c r="H1812" s="26" t="b">
        <f>COUNTIFS(
 tblCostChecklist[RequirementID],A1812,
 tblCostChecklist[PlayerPaid],TRUE
)&gt;0</f>
        <v>0</v>
      </c>
      <c r="I1812" s="49">
        <f t="shared" si="1"/>
        <v>4</v>
      </c>
      <c r="J1812" s="49">
        <f t="shared" si="2"/>
        <v>0</v>
      </c>
      <c r="K1812" s="49">
        <f t="shared" si="3"/>
        <v>4</v>
      </c>
      <c r="L1812" s="49" t="b">
        <f t="shared" si="4"/>
        <v>0</v>
      </c>
      <c r="M1812" s="88">
        <f t="shared" si="5"/>
        <v>0</v>
      </c>
    </row>
    <row r="1813" ht="14.25" customHeight="1">
      <c r="A1813" s="49" t="s">
        <v>3176</v>
      </c>
      <c r="B1813" s="49" t="str">
        <f>IFERROR(__xludf.DUMMYFUNCTION("REGEXEXTRACT(A1813,""^cost\.(.*)\.[^.]+\.[^.]+$"")"),"craftifact.historical_library")</f>
        <v>craftifact.historical_library</v>
      </c>
      <c r="C1813" s="49" t="str">
        <f t="array" ref="C1813">_xlfn.XLOOKUP(
 B1813,
 tblTargets[TargetID],
 tblTargets[DisplayName],
 ""
)</f>
        <v>Historical Library</v>
      </c>
      <c r="D1813" s="49" t="str">
        <f t="array" ref="D1813">_xlfn.XLOOKUP(
 B1813,
 tblTargets[TargetID],
 tblTargets[TargetType],
 ""
)</f>
        <v>CRAFTIFACT</v>
      </c>
      <c r="E1813" s="49" t="s">
        <v>2007</v>
      </c>
      <c r="F1813" s="87">
        <f>IFERROR(__xludf.DUMMYFUNCTION("VALUE(REGEXEXTRACT(A1813,""([^.]+)$""))"),1.0)</f>
        <v>1</v>
      </c>
      <c r="G1813" s="49">
        <v>12.0</v>
      </c>
      <c r="H1813" s="26" t="b">
        <f>COUNTIFS(
 tblCostChecklist[RequirementID],A1813,
 tblCostChecklist[PlayerPaid],TRUE
)&gt;0</f>
        <v>0</v>
      </c>
      <c r="I1813" s="49">
        <f t="shared" si="1"/>
        <v>4</v>
      </c>
      <c r="J1813" s="49">
        <f t="shared" si="2"/>
        <v>0</v>
      </c>
      <c r="K1813" s="49">
        <f t="shared" si="3"/>
        <v>4</v>
      </c>
      <c r="L1813" s="49" t="b">
        <f t="shared" si="4"/>
        <v>0</v>
      </c>
      <c r="M1813" s="88">
        <f t="shared" si="5"/>
        <v>0</v>
      </c>
    </row>
    <row r="1814" ht="14.25" customHeight="1">
      <c r="A1814" s="49" t="s">
        <v>3178</v>
      </c>
      <c r="B1814" s="49" t="str">
        <f>IFERROR(__xludf.DUMMYFUNCTION("REGEXEXTRACT(A1814,""^cost\.(.*)\.[^.]+\.[^.]+$"")"),"craftifact.hotei_statuette")</f>
        <v>craftifact.hotei_statuette</v>
      </c>
      <c r="C1814" s="49" t="str">
        <f t="array" ref="C1814">_xlfn.XLOOKUP(
 B1814,
 tblTargets[TargetID],
 tblTargets[DisplayName],
 ""
)</f>
        <v>Hotei Statuette</v>
      </c>
      <c r="D1814" s="49" t="str">
        <f t="array" ref="D1814">_xlfn.XLOOKUP(
 B1814,
 tblTargets[TargetID],
 tblTargets[TargetType],
 ""
)</f>
        <v>CRAFTIFACT</v>
      </c>
      <c r="E1814" s="49" t="s">
        <v>283</v>
      </c>
      <c r="F1814" s="87">
        <f>IFERROR(__xludf.DUMMYFUNCTION("VALUE(REGEXEXTRACT(A1814,""([^.]+)$""))"),1.0)</f>
        <v>1</v>
      </c>
      <c r="G1814" s="49">
        <v>200.0</v>
      </c>
      <c r="H1814" s="26" t="b">
        <f>COUNTIFS(
 tblCostChecklist[RequirementID],A1814,
 tblCostChecklist[PlayerPaid],TRUE
)&gt;0</f>
        <v>0</v>
      </c>
      <c r="I1814" s="49">
        <f t="shared" si="1"/>
        <v>3</v>
      </c>
      <c r="J1814" s="49">
        <f t="shared" si="2"/>
        <v>0</v>
      </c>
      <c r="K1814" s="49">
        <f t="shared" si="3"/>
        <v>3</v>
      </c>
      <c r="L1814" s="49" t="b">
        <f t="shared" si="4"/>
        <v>0</v>
      </c>
      <c r="M1814" s="88">
        <f t="shared" si="5"/>
        <v>0</v>
      </c>
    </row>
    <row r="1815" ht="14.25" customHeight="1">
      <c r="A1815" s="49" t="s">
        <v>3180</v>
      </c>
      <c r="B1815" s="49" t="str">
        <f>IFERROR(__xludf.DUMMYFUNCTION("REGEXEXTRACT(A1815,""^cost\.(.*)\.[^.]+\.[^.]+$"")"),"craftifact.hotei_statuette")</f>
        <v>craftifact.hotei_statuette</v>
      </c>
      <c r="C1815" s="49" t="str">
        <f t="array" ref="C1815">_xlfn.XLOOKUP(
 B1815,
 tblTargets[TargetID],
 tblTargets[DisplayName],
 ""
)</f>
        <v>Hotei Statuette</v>
      </c>
      <c r="D1815" s="49" t="str">
        <f t="array" ref="D1815">_xlfn.XLOOKUP(
 B1815,
 tblTargets[TargetID],
 tblTargets[TargetType],
 ""
)</f>
        <v>CRAFTIFACT</v>
      </c>
      <c r="E1815" s="49" t="s">
        <v>119</v>
      </c>
      <c r="F1815" s="87">
        <f>IFERROR(__xludf.DUMMYFUNCTION("VALUE(REGEXEXTRACT(A1815,""([^.]+)$""))"),1.0)</f>
        <v>1</v>
      </c>
      <c r="G1815" s="49">
        <v>200.0</v>
      </c>
      <c r="H1815" s="26" t="b">
        <f>COUNTIFS(
 tblCostChecklist[RequirementID],A1815,
 tblCostChecklist[PlayerPaid],TRUE
)&gt;0</f>
        <v>0</v>
      </c>
      <c r="I1815" s="49">
        <f t="shared" si="1"/>
        <v>3</v>
      </c>
      <c r="J1815" s="49">
        <f t="shared" si="2"/>
        <v>0</v>
      </c>
      <c r="K1815" s="49">
        <f t="shared" si="3"/>
        <v>3</v>
      </c>
      <c r="L1815" s="49" t="b">
        <f t="shared" si="4"/>
        <v>0</v>
      </c>
      <c r="M1815" s="88">
        <f t="shared" si="5"/>
        <v>0</v>
      </c>
    </row>
    <row r="1816" ht="14.25" customHeight="1">
      <c r="A1816" s="49" t="s">
        <v>3182</v>
      </c>
      <c r="B1816" s="49" t="str">
        <f>IFERROR(__xludf.DUMMYFUNCTION("REGEXEXTRACT(A1816,""^cost\.(.*)\.[^.]+\.[^.]+$"")"),"craftifact.hotei_statuette")</f>
        <v>craftifact.hotei_statuette</v>
      </c>
      <c r="C1816" s="49" t="str">
        <f t="array" ref="C1816">_xlfn.XLOOKUP(
 B1816,
 tblTargets[TargetID],
 tblTargets[DisplayName],
 ""
)</f>
        <v>Hotei Statuette</v>
      </c>
      <c r="D1816" s="49" t="str">
        <f t="array" ref="D1816">_xlfn.XLOOKUP(
 B1816,
 tblTargets[TargetID],
 tblTargets[TargetType],
 ""
)</f>
        <v>CRAFTIFACT</v>
      </c>
      <c r="E1816" s="49" t="s">
        <v>412</v>
      </c>
      <c r="F1816" s="87">
        <f>IFERROR(__xludf.DUMMYFUNCTION("VALUE(REGEXEXTRACT(A1816,""([^.]+)$""))"),1.0)</f>
        <v>1</v>
      </c>
      <c r="G1816" s="49">
        <v>200.0</v>
      </c>
      <c r="H1816" s="26" t="b">
        <f>COUNTIFS(
 tblCostChecklist[RequirementID],A1816,
 tblCostChecklist[PlayerPaid],TRUE
)&gt;0</f>
        <v>0</v>
      </c>
      <c r="I1816" s="49">
        <f t="shared" si="1"/>
        <v>3</v>
      </c>
      <c r="J1816" s="49">
        <f t="shared" si="2"/>
        <v>0</v>
      </c>
      <c r="K1816" s="49">
        <f t="shared" si="3"/>
        <v>3</v>
      </c>
      <c r="L1816" s="49" t="b">
        <f t="shared" si="4"/>
        <v>0</v>
      </c>
      <c r="M1816" s="88">
        <f t="shared" si="5"/>
        <v>0</v>
      </c>
    </row>
    <row r="1817" ht="14.25" customHeight="1">
      <c r="A1817" s="49" t="s">
        <v>3184</v>
      </c>
      <c r="B1817" s="49" t="str">
        <f>IFERROR(__xludf.DUMMYFUNCTION("REGEXEXTRACT(A1817,""^cost\.(.*)\.[^.]+\.[^.]+$"")"),"craftifact.metal_detector")</f>
        <v>craftifact.metal_detector</v>
      </c>
      <c r="C1817" s="49" t="str">
        <f t="array" ref="C1817">_xlfn.XLOOKUP(
 B1817,
 tblTargets[TargetID],
 tblTargets[DisplayName],
 ""
)</f>
        <v>Metal Detector</v>
      </c>
      <c r="D1817" s="49" t="str">
        <f t="array" ref="D1817">_xlfn.XLOOKUP(
 B1817,
 tblTargets[TargetID],
 tblTargets[TargetType],
 ""
)</f>
        <v>CRAFTIFACT</v>
      </c>
      <c r="E1817" s="49" t="s">
        <v>1230</v>
      </c>
      <c r="F1817" s="87">
        <f>IFERROR(__xludf.DUMMYFUNCTION("VALUE(REGEXEXTRACT(A1817,""([^.]+)$""))"),1.0)</f>
        <v>1</v>
      </c>
      <c r="G1817" s="49">
        <v>20.0</v>
      </c>
      <c r="H1817" s="26" t="b">
        <f>COUNTIFS(
 tblCostChecklist[RequirementID],A1817,
 tblCostChecklist[PlayerPaid],TRUE
)&gt;0</f>
        <v>0</v>
      </c>
      <c r="I1817" s="49">
        <f t="shared" si="1"/>
        <v>8</v>
      </c>
      <c r="J1817" s="49">
        <f t="shared" si="2"/>
        <v>0</v>
      </c>
      <c r="K1817" s="49">
        <f t="shared" si="3"/>
        <v>8</v>
      </c>
      <c r="L1817" s="49" t="b">
        <f t="shared" si="4"/>
        <v>0</v>
      </c>
      <c r="M1817" s="88">
        <f t="shared" si="5"/>
        <v>0</v>
      </c>
    </row>
    <row r="1818" ht="14.25" customHeight="1">
      <c r="A1818" s="49" t="s">
        <v>3186</v>
      </c>
      <c r="B1818" s="49" t="str">
        <f>IFERROR(__xludf.DUMMYFUNCTION("REGEXEXTRACT(A1818,""^cost\.(.*)\.[^.]+\.[^.]+$"")"),"craftifact.metal_detector")</f>
        <v>craftifact.metal_detector</v>
      </c>
      <c r="C1818" s="49" t="str">
        <f t="array" ref="C1818">_xlfn.XLOOKUP(
 B1818,
 tblTargets[TargetID],
 tblTargets[DisplayName],
 ""
)</f>
        <v>Metal Detector</v>
      </c>
      <c r="D1818" s="49" t="str">
        <f t="array" ref="D1818">_xlfn.XLOOKUP(
 B1818,
 tblTargets[TargetID],
 tblTargets[TargetType],
 ""
)</f>
        <v>CRAFTIFACT</v>
      </c>
      <c r="E1818" s="49" t="s">
        <v>1055</v>
      </c>
      <c r="F1818" s="87">
        <f>IFERROR(__xludf.DUMMYFUNCTION("VALUE(REGEXEXTRACT(A1818,""([^.]+)$""))"),1.0)</f>
        <v>1</v>
      </c>
      <c r="G1818" s="49">
        <v>30.0</v>
      </c>
      <c r="H1818" s="26" t="b">
        <f>COUNTIFS(
 tblCostChecklist[RequirementID],A1818,
 tblCostChecklist[PlayerPaid],TRUE
)&gt;0</f>
        <v>0</v>
      </c>
      <c r="I1818" s="49">
        <f t="shared" si="1"/>
        <v>8</v>
      </c>
      <c r="J1818" s="49">
        <f t="shared" si="2"/>
        <v>0</v>
      </c>
      <c r="K1818" s="49">
        <f t="shared" si="3"/>
        <v>8</v>
      </c>
      <c r="L1818" s="49" t="b">
        <f t="shared" si="4"/>
        <v>0</v>
      </c>
      <c r="M1818" s="88">
        <f t="shared" si="5"/>
        <v>0</v>
      </c>
    </row>
    <row r="1819" ht="14.25" customHeight="1">
      <c r="A1819" s="49" t="s">
        <v>3188</v>
      </c>
      <c r="B1819" s="49" t="str">
        <f>IFERROR(__xludf.DUMMYFUNCTION("REGEXEXTRACT(A1819,""^cost\.(.*)\.[^.]+\.[^.]+$"")"),"craftifact.metal_detector")</f>
        <v>craftifact.metal_detector</v>
      </c>
      <c r="C1819" s="49" t="str">
        <f t="array" ref="C1819">_xlfn.XLOOKUP(
 B1819,
 tblTargets[TargetID],
 tblTargets[DisplayName],
 ""
)</f>
        <v>Metal Detector</v>
      </c>
      <c r="D1819" s="49" t="str">
        <f t="array" ref="D1819">_xlfn.XLOOKUP(
 B1819,
 tblTargets[TargetID],
 tblTargets[TargetType],
 ""
)</f>
        <v>CRAFTIFACT</v>
      </c>
      <c r="E1819" s="49" t="s">
        <v>2297</v>
      </c>
      <c r="F1819" s="87">
        <f>IFERROR(__xludf.DUMMYFUNCTION("VALUE(REGEXEXTRACT(A1819,""([^.]+)$""))"),1.0)</f>
        <v>1</v>
      </c>
      <c r="G1819" s="49">
        <v>10.0</v>
      </c>
      <c r="H1819" s="26" t="b">
        <f>COUNTIFS(
 tblCostChecklist[RequirementID],A1819,
 tblCostChecklist[PlayerPaid],TRUE
)&gt;0</f>
        <v>0</v>
      </c>
      <c r="I1819" s="49">
        <f t="shared" si="1"/>
        <v>8</v>
      </c>
      <c r="J1819" s="49">
        <f t="shared" si="2"/>
        <v>0</v>
      </c>
      <c r="K1819" s="49">
        <f t="shared" si="3"/>
        <v>8</v>
      </c>
      <c r="L1819" s="49" t="b">
        <f t="shared" si="4"/>
        <v>0</v>
      </c>
      <c r="M1819" s="88">
        <f t="shared" si="5"/>
        <v>0</v>
      </c>
    </row>
    <row r="1820" ht="14.25" customHeight="1">
      <c r="A1820" s="49" t="s">
        <v>3190</v>
      </c>
      <c r="B1820" s="49" t="str">
        <f>IFERROR(__xludf.DUMMYFUNCTION("REGEXEXTRACT(A1820,""^cost\.(.*)\.[^.]+\.[^.]+$"")"),"craftifact.metal_detector")</f>
        <v>craftifact.metal_detector</v>
      </c>
      <c r="C1820" s="49" t="str">
        <f t="array" ref="C1820">_xlfn.XLOOKUP(
 B1820,
 tblTargets[TargetID],
 tblTargets[DisplayName],
 ""
)</f>
        <v>Metal Detector</v>
      </c>
      <c r="D1820" s="49" t="str">
        <f t="array" ref="D1820">_xlfn.XLOOKUP(
 B1820,
 tblTargets[TargetID],
 tblTargets[TargetType],
 ""
)</f>
        <v>CRAFTIFACT</v>
      </c>
      <c r="E1820" s="49" t="s">
        <v>113</v>
      </c>
      <c r="F1820" s="87">
        <f>IFERROR(__xludf.DUMMYFUNCTION("VALUE(REGEXEXTRACT(A1820,""([^.]+)$""))"),1.0)</f>
        <v>1</v>
      </c>
      <c r="G1820" s="49">
        <v>20.0</v>
      </c>
      <c r="H1820" s="26" t="b">
        <f>COUNTIFS(
 tblCostChecklist[RequirementID],A1820,
 tblCostChecklist[PlayerPaid],TRUE
)&gt;0</f>
        <v>0</v>
      </c>
      <c r="I1820" s="49">
        <f t="shared" si="1"/>
        <v>8</v>
      </c>
      <c r="J1820" s="49">
        <f t="shared" si="2"/>
        <v>0</v>
      </c>
      <c r="K1820" s="49">
        <f t="shared" si="3"/>
        <v>8</v>
      </c>
      <c r="L1820" s="49" t="b">
        <f t="shared" si="4"/>
        <v>0</v>
      </c>
      <c r="M1820" s="88">
        <f t="shared" si="5"/>
        <v>0</v>
      </c>
    </row>
    <row r="1821" ht="14.25" customHeight="1">
      <c r="A1821" s="49" t="s">
        <v>3192</v>
      </c>
      <c r="B1821" s="49" t="str">
        <f>IFERROR(__xludf.DUMMYFUNCTION("REGEXEXTRACT(A1821,""^cost\.(.*)\.[^.]+\.[^.]+$"")"),"craftifact.metal_detector")</f>
        <v>craftifact.metal_detector</v>
      </c>
      <c r="C1821" s="49" t="str">
        <f t="array" ref="C1821">_xlfn.XLOOKUP(
 B1821,
 tblTargets[TargetID],
 tblTargets[DisplayName],
 ""
)</f>
        <v>Metal Detector</v>
      </c>
      <c r="D1821" s="49" t="str">
        <f t="array" ref="D1821">_xlfn.XLOOKUP(
 B1821,
 tblTargets[TargetID],
 tblTargets[TargetType],
 ""
)</f>
        <v>CRAFTIFACT</v>
      </c>
      <c r="E1821" s="49" t="s">
        <v>1456</v>
      </c>
      <c r="F1821" s="87">
        <f>IFERROR(__xludf.DUMMYFUNCTION("VALUE(REGEXEXTRACT(A1821,""([^.]+)$""))"),1.0)</f>
        <v>1</v>
      </c>
      <c r="G1821" s="49">
        <v>5.0</v>
      </c>
      <c r="H1821" s="26" t="b">
        <f>COUNTIFS(
 tblCostChecklist[RequirementID],A1821,
 tblCostChecklist[PlayerPaid],TRUE
)&gt;0</f>
        <v>0</v>
      </c>
      <c r="I1821" s="49">
        <f t="shared" si="1"/>
        <v>8</v>
      </c>
      <c r="J1821" s="49">
        <f t="shared" si="2"/>
        <v>0</v>
      </c>
      <c r="K1821" s="49">
        <f t="shared" si="3"/>
        <v>8</v>
      </c>
      <c r="L1821" s="49" t="b">
        <f t="shared" si="4"/>
        <v>0</v>
      </c>
      <c r="M1821" s="88">
        <f t="shared" si="5"/>
        <v>0</v>
      </c>
    </row>
    <row r="1822" ht="14.25" customHeight="1">
      <c r="A1822" s="49" t="s">
        <v>3194</v>
      </c>
      <c r="B1822" s="49" t="str">
        <f>IFERROR(__xludf.DUMMYFUNCTION("REGEXEXTRACT(A1822,""^cost\.(.*)\.[^.]+\.[^.]+$"")"),"craftifact.metal_detector")</f>
        <v>craftifact.metal_detector</v>
      </c>
      <c r="C1822" s="49" t="str">
        <f t="array" ref="C1822">_xlfn.XLOOKUP(
 B1822,
 tblTargets[TargetID],
 tblTargets[DisplayName],
 ""
)</f>
        <v>Metal Detector</v>
      </c>
      <c r="D1822" s="49" t="str">
        <f t="array" ref="D1822">_xlfn.XLOOKUP(
 B1822,
 tblTargets[TargetID],
 tblTargets[TargetType],
 ""
)</f>
        <v>CRAFTIFACT</v>
      </c>
      <c r="E1822" s="49" t="s">
        <v>126</v>
      </c>
      <c r="F1822" s="87">
        <f>IFERROR(__xludf.DUMMYFUNCTION("VALUE(REGEXEXTRACT(A1822,""([^.]+)$""))"),1.0)</f>
        <v>1</v>
      </c>
      <c r="G1822" s="49">
        <v>30.0</v>
      </c>
      <c r="H1822" s="26" t="b">
        <f>COUNTIFS(
 tblCostChecklist[RequirementID],A1822,
 tblCostChecklist[PlayerPaid],TRUE
)&gt;0</f>
        <v>0</v>
      </c>
      <c r="I1822" s="49">
        <f t="shared" si="1"/>
        <v>8</v>
      </c>
      <c r="J1822" s="49">
        <f t="shared" si="2"/>
        <v>0</v>
      </c>
      <c r="K1822" s="49">
        <f t="shared" si="3"/>
        <v>8</v>
      </c>
      <c r="L1822" s="49" t="b">
        <f t="shared" si="4"/>
        <v>0</v>
      </c>
      <c r="M1822" s="88">
        <f t="shared" si="5"/>
        <v>0</v>
      </c>
    </row>
    <row r="1823" ht="14.25" customHeight="1">
      <c r="A1823" s="49" t="s">
        <v>3196</v>
      </c>
      <c r="B1823" s="49" t="str">
        <f>IFERROR(__xludf.DUMMYFUNCTION("REGEXEXTRACT(A1823,""^cost\.(.*)\.[^.]+\.[^.]+$"")"),"craftifact.metal_detector")</f>
        <v>craftifact.metal_detector</v>
      </c>
      <c r="C1823" s="49" t="str">
        <f t="array" ref="C1823">_xlfn.XLOOKUP(
 B1823,
 tblTargets[TargetID],
 tblTargets[DisplayName],
 ""
)</f>
        <v>Metal Detector</v>
      </c>
      <c r="D1823" s="49" t="str">
        <f t="array" ref="D1823">_xlfn.XLOOKUP(
 B1823,
 tblTargets[TargetID],
 tblTargets[TargetType],
 ""
)</f>
        <v>CRAFTIFACT</v>
      </c>
      <c r="E1823" s="49" t="s">
        <v>140</v>
      </c>
      <c r="F1823" s="87">
        <f>IFERROR(__xludf.DUMMYFUNCTION("VALUE(REGEXEXTRACT(A1823,""([^.]+)$""))"),1.0)</f>
        <v>1</v>
      </c>
      <c r="G1823" s="49">
        <v>10.0</v>
      </c>
      <c r="H1823" s="26" t="b">
        <f>COUNTIFS(
 tblCostChecklist[RequirementID],A1823,
 tblCostChecklist[PlayerPaid],TRUE
)&gt;0</f>
        <v>0</v>
      </c>
      <c r="I1823" s="49">
        <f t="shared" si="1"/>
        <v>8</v>
      </c>
      <c r="J1823" s="49">
        <f t="shared" si="2"/>
        <v>0</v>
      </c>
      <c r="K1823" s="49">
        <f t="shared" si="3"/>
        <v>8</v>
      </c>
      <c r="L1823" s="49" t="b">
        <f t="shared" si="4"/>
        <v>0</v>
      </c>
      <c r="M1823" s="88">
        <f t="shared" si="5"/>
        <v>0</v>
      </c>
    </row>
    <row r="1824" ht="14.25" customHeight="1">
      <c r="A1824" s="49" t="s">
        <v>3198</v>
      </c>
      <c r="B1824" s="49" t="str">
        <f>IFERROR(__xludf.DUMMYFUNCTION("REGEXEXTRACT(A1824,""^cost\.(.*)\.[^.]+\.[^.]+$"")"),"craftifact.metal_detector")</f>
        <v>craftifact.metal_detector</v>
      </c>
      <c r="C1824" s="49" t="str">
        <f t="array" ref="C1824">_xlfn.XLOOKUP(
 B1824,
 tblTargets[TargetID],
 tblTargets[DisplayName],
 ""
)</f>
        <v>Metal Detector</v>
      </c>
      <c r="D1824" s="49" t="str">
        <f t="array" ref="D1824">_xlfn.XLOOKUP(
 B1824,
 tblTargets[TargetID],
 tblTargets[TargetType],
 ""
)</f>
        <v>CRAFTIFACT</v>
      </c>
      <c r="E1824" s="49" t="s">
        <v>2786</v>
      </c>
      <c r="F1824" s="87">
        <f>IFERROR(__xludf.DUMMYFUNCTION("VALUE(REGEXEXTRACT(A1824,""([^.]+)$""))"),1.0)</f>
        <v>1</v>
      </c>
      <c r="G1824" s="49">
        <v>10.0</v>
      </c>
      <c r="H1824" s="26" t="b">
        <f>COUNTIFS(
 tblCostChecklist[RequirementID],A1824,
 tblCostChecklist[PlayerPaid],TRUE
)&gt;0</f>
        <v>0</v>
      </c>
      <c r="I1824" s="49">
        <f t="shared" si="1"/>
        <v>8</v>
      </c>
      <c r="J1824" s="49">
        <f t="shared" si="2"/>
        <v>0</v>
      </c>
      <c r="K1824" s="49">
        <f t="shared" si="3"/>
        <v>8</v>
      </c>
      <c r="L1824" s="49" t="b">
        <f t="shared" si="4"/>
        <v>0</v>
      </c>
      <c r="M1824" s="88">
        <f t="shared" si="5"/>
        <v>0</v>
      </c>
    </row>
    <row r="1825" ht="14.25" customHeight="1">
      <c r="A1825" s="49" t="s">
        <v>3200</v>
      </c>
      <c r="B1825" s="49" t="str">
        <f>IFERROR(__xludf.DUMMYFUNCTION("REGEXEXTRACT(A1825,""^cost\.(.*)\.[^.]+\.[^.]+$"")"),"craftifact.necklace_for_haruka")</f>
        <v>craftifact.necklace_for_haruka</v>
      </c>
      <c r="C1825" s="49" t="str">
        <f t="array" ref="C1825">_xlfn.XLOOKUP(
 B1825,
 tblTargets[TargetID],
 tblTargets[DisplayName],
 ""
)</f>
        <v>Necklace For Haruka</v>
      </c>
      <c r="D1825" s="49" t="str">
        <f t="array" ref="D1825">_xlfn.XLOOKUP(
 B1825,
 tblTargets[TargetID],
 tblTargets[TargetType],
 ""
)</f>
        <v>CRAFTIFACT</v>
      </c>
      <c r="E1825" s="49" t="s">
        <v>426</v>
      </c>
      <c r="F1825" s="87">
        <f>IFERROR(__xludf.DUMMYFUNCTION("VALUE(REGEXEXTRACT(A1825,""([^.]+)$""))"),1.0)</f>
        <v>1</v>
      </c>
      <c r="G1825" s="49">
        <v>50.0</v>
      </c>
      <c r="H1825" s="26" t="b">
        <f>COUNTIFS(
 tblCostChecklist[RequirementID],A1825,
 tblCostChecklist[PlayerPaid],TRUE
)&gt;0</f>
        <v>0</v>
      </c>
      <c r="I1825" s="49">
        <f t="shared" si="1"/>
        <v>2</v>
      </c>
      <c r="J1825" s="49">
        <f t="shared" si="2"/>
        <v>0</v>
      </c>
      <c r="K1825" s="49">
        <f t="shared" si="3"/>
        <v>2</v>
      </c>
      <c r="L1825" s="49" t="b">
        <f t="shared" si="4"/>
        <v>0</v>
      </c>
      <c r="M1825" s="88">
        <f t="shared" si="5"/>
        <v>0</v>
      </c>
    </row>
    <row r="1826" ht="14.25" customHeight="1">
      <c r="A1826" s="49" t="s">
        <v>3202</v>
      </c>
      <c r="B1826" s="49" t="str">
        <f>IFERROR(__xludf.DUMMYFUNCTION("REGEXEXTRACT(A1826,""^cost\.(.*)\.[^.]+\.[^.]+$"")"),"craftifact.necklace_for_haruka")</f>
        <v>craftifact.necklace_for_haruka</v>
      </c>
      <c r="C1826" s="49" t="str">
        <f t="array" ref="C1826">_xlfn.XLOOKUP(
 B1826,
 tblTargets[TargetID],
 tblTargets[DisplayName],
 ""
)</f>
        <v>Necklace For Haruka</v>
      </c>
      <c r="D1826" s="49" t="str">
        <f t="array" ref="D1826">_xlfn.XLOOKUP(
 B1826,
 tblTargets[TargetID],
 tblTargets[TargetType],
 ""
)</f>
        <v>CRAFTIFACT</v>
      </c>
      <c r="E1826" s="49" t="s">
        <v>158</v>
      </c>
      <c r="F1826" s="87">
        <f>IFERROR(__xludf.DUMMYFUNCTION("VALUE(REGEXEXTRACT(A1826,""([^.]+)$""))"),1.0)</f>
        <v>1</v>
      </c>
      <c r="G1826" s="49">
        <v>1.0</v>
      </c>
      <c r="H1826" s="26" t="b">
        <f>COUNTIFS(
 tblCostChecklist[RequirementID],A1826,
 tblCostChecklist[PlayerPaid],TRUE
)&gt;0</f>
        <v>0</v>
      </c>
      <c r="I1826" s="49">
        <f t="shared" si="1"/>
        <v>2</v>
      </c>
      <c r="J1826" s="49">
        <f t="shared" si="2"/>
        <v>0</v>
      </c>
      <c r="K1826" s="49">
        <f t="shared" si="3"/>
        <v>2</v>
      </c>
      <c r="L1826" s="49" t="b">
        <f t="shared" si="4"/>
        <v>0</v>
      </c>
      <c r="M1826" s="88">
        <f t="shared" si="5"/>
        <v>0</v>
      </c>
    </row>
    <row r="1827" ht="14.25" customHeight="1">
      <c r="A1827" s="49" t="s">
        <v>3204</v>
      </c>
      <c r="B1827" s="49" t="str">
        <f>IFERROR(__xludf.DUMMYFUNCTION("REGEXEXTRACT(A1827,""^cost\.(.*)\.[^.]+\.[^.]+$"")"),"craftifact.safe")</f>
        <v>craftifact.safe</v>
      </c>
      <c r="C1827" s="49" t="str">
        <f t="array" ref="C1827">_xlfn.XLOOKUP(
 B1827,
 tblTargets[TargetID],
 tblTargets[DisplayName],
 ""
)</f>
        <v>Safe</v>
      </c>
      <c r="D1827" s="49" t="str">
        <f t="array" ref="D1827">_xlfn.XLOOKUP(
 B1827,
 tblTargets[TargetID],
 tblTargets[TargetType],
 ""
)</f>
        <v>CRAFTIFACT</v>
      </c>
      <c r="E1827" s="49" t="s">
        <v>1055</v>
      </c>
      <c r="F1827" s="87">
        <f>IFERROR(__xludf.DUMMYFUNCTION("VALUE(REGEXEXTRACT(A1827,""([^.]+)$""))"),1.0)</f>
        <v>1</v>
      </c>
      <c r="G1827" s="49">
        <v>30.0</v>
      </c>
      <c r="H1827" s="26" t="b">
        <f>COUNTIFS(
 tblCostChecklist[RequirementID],A1827,
 tblCostChecklist[PlayerPaid],TRUE
)&gt;0</f>
        <v>0</v>
      </c>
      <c r="I1827" s="49">
        <f t="shared" si="1"/>
        <v>5</v>
      </c>
      <c r="J1827" s="49">
        <f t="shared" si="2"/>
        <v>0</v>
      </c>
      <c r="K1827" s="49">
        <f t="shared" si="3"/>
        <v>5</v>
      </c>
      <c r="L1827" s="49" t="b">
        <f t="shared" si="4"/>
        <v>0</v>
      </c>
      <c r="M1827" s="88">
        <f t="shared" si="5"/>
        <v>0</v>
      </c>
    </row>
    <row r="1828" ht="14.25" customHeight="1">
      <c r="A1828" s="49" t="s">
        <v>3206</v>
      </c>
      <c r="B1828" s="49" t="str">
        <f>IFERROR(__xludf.DUMMYFUNCTION("REGEXEXTRACT(A1828,""^cost\.(.*)\.[^.]+\.[^.]+$"")"),"craftifact.safe")</f>
        <v>craftifact.safe</v>
      </c>
      <c r="C1828" s="49" t="str">
        <f t="array" ref="C1828">_xlfn.XLOOKUP(
 B1828,
 tblTargets[TargetID],
 tblTargets[DisplayName],
 ""
)</f>
        <v>Safe</v>
      </c>
      <c r="D1828" s="49" t="str">
        <f t="array" ref="D1828">_xlfn.XLOOKUP(
 B1828,
 tblTargets[TargetID],
 tblTargets[TargetType],
 ""
)</f>
        <v>CRAFTIFACT</v>
      </c>
      <c r="E1828" s="49" t="s">
        <v>119</v>
      </c>
      <c r="F1828" s="87">
        <f>IFERROR(__xludf.DUMMYFUNCTION("VALUE(REGEXEXTRACT(A1828,""([^.]+)$""))"),1.0)</f>
        <v>1</v>
      </c>
      <c r="G1828" s="49">
        <v>500.0</v>
      </c>
      <c r="H1828" s="26" t="b">
        <f>COUNTIFS(
 tblCostChecklist[RequirementID],A1828,
 tblCostChecklist[PlayerPaid],TRUE
)&gt;0</f>
        <v>0</v>
      </c>
      <c r="I1828" s="49">
        <f t="shared" si="1"/>
        <v>5</v>
      </c>
      <c r="J1828" s="49">
        <f t="shared" si="2"/>
        <v>0</v>
      </c>
      <c r="K1828" s="49">
        <f t="shared" si="3"/>
        <v>5</v>
      </c>
      <c r="L1828" s="49" t="b">
        <f t="shared" si="4"/>
        <v>0</v>
      </c>
      <c r="M1828" s="88">
        <f t="shared" si="5"/>
        <v>0</v>
      </c>
    </row>
    <row r="1829" ht="14.25" customHeight="1">
      <c r="A1829" s="49" t="s">
        <v>3208</v>
      </c>
      <c r="B1829" s="49" t="str">
        <f>IFERROR(__xludf.DUMMYFUNCTION("REGEXEXTRACT(A1829,""^cost\.(.*)\.[^.]+\.[^.]+$"")"),"craftifact.safe")</f>
        <v>craftifact.safe</v>
      </c>
      <c r="C1829" s="49" t="str">
        <f t="array" ref="C1829">_xlfn.XLOOKUP(
 B1829,
 tblTargets[TargetID],
 tblTargets[DisplayName],
 ""
)</f>
        <v>Safe</v>
      </c>
      <c r="D1829" s="49" t="str">
        <f t="array" ref="D1829">_xlfn.XLOOKUP(
 B1829,
 tblTargets[TargetID],
 tblTargets[TargetType],
 ""
)</f>
        <v>CRAFTIFACT</v>
      </c>
      <c r="E1829" s="49" t="s">
        <v>1078</v>
      </c>
      <c r="F1829" s="87">
        <f>IFERROR(__xludf.DUMMYFUNCTION("VALUE(REGEXEXTRACT(A1829,""([^.]+)$""))"),1.0)</f>
        <v>1</v>
      </c>
      <c r="G1829" s="49">
        <v>10.0</v>
      </c>
      <c r="H1829" s="26" t="b">
        <f>COUNTIFS(
 tblCostChecklist[RequirementID],A1829,
 tblCostChecklist[PlayerPaid],TRUE
)&gt;0</f>
        <v>0</v>
      </c>
      <c r="I1829" s="49">
        <f t="shared" si="1"/>
        <v>5</v>
      </c>
      <c r="J1829" s="49">
        <f t="shared" si="2"/>
        <v>0</v>
      </c>
      <c r="K1829" s="49">
        <f t="shared" si="3"/>
        <v>5</v>
      </c>
      <c r="L1829" s="49" t="b">
        <f t="shared" si="4"/>
        <v>0</v>
      </c>
      <c r="M1829" s="88">
        <f t="shared" si="5"/>
        <v>0</v>
      </c>
    </row>
    <row r="1830" ht="14.25" customHeight="1">
      <c r="A1830" s="49" t="s">
        <v>3209</v>
      </c>
      <c r="B1830" s="49" t="str">
        <f>IFERROR(__xludf.DUMMYFUNCTION("REGEXEXTRACT(A1830,""^cost\.(.*)\.[^.]+\.[^.]+$"")"),"craftifact.safe")</f>
        <v>craftifact.safe</v>
      </c>
      <c r="C1830" s="49" t="str">
        <f t="array" ref="C1830">_xlfn.XLOOKUP(
 B1830,
 tblTargets[TargetID],
 tblTargets[DisplayName],
 ""
)</f>
        <v>Safe</v>
      </c>
      <c r="D1830" s="49" t="str">
        <f t="array" ref="D1830">_xlfn.XLOOKUP(
 B1830,
 tblTargets[TargetID],
 tblTargets[TargetType],
 ""
)</f>
        <v>CRAFTIFACT</v>
      </c>
      <c r="E1830" s="49" t="s">
        <v>2135</v>
      </c>
      <c r="F1830" s="87">
        <f>IFERROR(__xludf.DUMMYFUNCTION("VALUE(REGEXEXTRACT(A1830,""([^.]+)$""))"),1.0)</f>
        <v>1</v>
      </c>
      <c r="G1830" s="49">
        <v>50.0</v>
      </c>
      <c r="H1830" s="26" t="b">
        <f>COUNTIFS(
 tblCostChecklist[RequirementID],A1830,
 tblCostChecklist[PlayerPaid],TRUE
)&gt;0</f>
        <v>0</v>
      </c>
      <c r="I1830" s="49">
        <f t="shared" si="1"/>
        <v>5</v>
      </c>
      <c r="J1830" s="49">
        <f t="shared" si="2"/>
        <v>0</v>
      </c>
      <c r="K1830" s="49">
        <f t="shared" si="3"/>
        <v>5</v>
      </c>
      <c r="L1830" s="49" t="b">
        <f t="shared" si="4"/>
        <v>0</v>
      </c>
      <c r="M1830" s="88">
        <f t="shared" si="5"/>
        <v>0</v>
      </c>
    </row>
    <row r="1831" ht="14.25" customHeight="1">
      <c r="A1831" s="49" t="s">
        <v>3212</v>
      </c>
      <c r="B1831" s="49" t="str">
        <f>IFERROR(__xludf.DUMMYFUNCTION("REGEXEXTRACT(A1831,""^cost\.(.*)\.[^.]+\.[^.]+$"")"),"craftifact.safe")</f>
        <v>craftifact.safe</v>
      </c>
      <c r="C1831" s="49" t="str">
        <f t="array" ref="C1831">_xlfn.XLOOKUP(
 B1831,
 tblTargets[TargetID],
 tblTargets[DisplayName],
 ""
)</f>
        <v>Safe</v>
      </c>
      <c r="D1831" s="49" t="str">
        <f t="array" ref="D1831">_xlfn.XLOOKUP(
 B1831,
 tblTargets[TargetID],
 tblTargets[TargetType],
 ""
)</f>
        <v>CRAFTIFACT</v>
      </c>
      <c r="E1831" s="49" t="s">
        <v>392</v>
      </c>
      <c r="F1831" s="87">
        <f>IFERROR(__xludf.DUMMYFUNCTION("VALUE(REGEXEXTRACT(A1831,""([^.]+)$""))"),1.0)</f>
        <v>1</v>
      </c>
      <c r="G1831" s="49">
        <v>500.0</v>
      </c>
      <c r="H1831" s="26" t="b">
        <f>COUNTIFS(
 tblCostChecklist[RequirementID],A1831,
 tblCostChecklist[PlayerPaid],TRUE
)&gt;0</f>
        <v>0</v>
      </c>
      <c r="I1831" s="49">
        <f t="shared" si="1"/>
        <v>5</v>
      </c>
      <c r="J1831" s="49">
        <f t="shared" si="2"/>
        <v>0</v>
      </c>
      <c r="K1831" s="49">
        <f t="shared" si="3"/>
        <v>5</v>
      </c>
      <c r="L1831" s="49" t="b">
        <f t="shared" si="4"/>
        <v>0</v>
      </c>
      <c r="M1831" s="88">
        <f t="shared" si="5"/>
        <v>0</v>
      </c>
    </row>
    <row r="1832" ht="14.25" customHeight="1">
      <c r="A1832" s="49" t="s">
        <v>3214</v>
      </c>
      <c r="B1832" s="49" t="str">
        <f>IFERROR(__xludf.DUMMYFUNCTION("REGEXEXTRACT(A1832,""^cost\.(.*)\.[^.]+\.[^.]+$"")"),"craftifact.solver_1_prototype")</f>
        <v>craftifact.solver_1_prototype</v>
      </c>
      <c r="C1832" s="49" t="str">
        <f t="array" ref="C1832">_xlfn.XLOOKUP(
 B1832,
 tblTargets[TargetID],
 tblTargets[DisplayName],
 ""
)</f>
        <v>Solver 1 Prototype</v>
      </c>
      <c r="D1832" s="49" t="str">
        <f t="array" ref="D1832">_xlfn.XLOOKUP(
 B1832,
 tblTargets[TargetID],
 tblTargets[TargetType],
 ""
)</f>
        <v>CRAFTIFACT</v>
      </c>
      <c r="E1832" s="49" t="s">
        <v>1055</v>
      </c>
      <c r="F1832" s="87">
        <f>IFERROR(__xludf.DUMMYFUNCTION("VALUE(REGEXEXTRACT(A1832,""([^.]+)$""))"),1.0)</f>
        <v>1</v>
      </c>
      <c r="G1832" s="49">
        <v>32.0</v>
      </c>
      <c r="H1832" s="26" t="b">
        <f>COUNTIFS(
 tblCostChecklist[RequirementID],A1832,
 tblCostChecklist[PlayerPaid],TRUE
)&gt;0</f>
        <v>0</v>
      </c>
      <c r="I1832" s="49">
        <f t="shared" si="1"/>
        <v>6</v>
      </c>
      <c r="J1832" s="49">
        <f t="shared" si="2"/>
        <v>0</v>
      </c>
      <c r="K1832" s="49">
        <f t="shared" si="3"/>
        <v>6</v>
      </c>
      <c r="L1832" s="49" t="b">
        <f t="shared" si="4"/>
        <v>0</v>
      </c>
      <c r="M1832" s="88">
        <f t="shared" si="5"/>
        <v>0</v>
      </c>
    </row>
    <row r="1833" ht="14.25" customHeight="1">
      <c r="A1833" s="49" t="s">
        <v>3216</v>
      </c>
      <c r="B1833" s="49" t="str">
        <f>IFERROR(__xludf.DUMMYFUNCTION("REGEXEXTRACT(A1833,""^cost\.(.*)\.[^.]+\.[^.]+$"")"),"craftifact.solver_1_prototype")</f>
        <v>craftifact.solver_1_prototype</v>
      </c>
      <c r="C1833" s="49" t="str">
        <f t="array" ref="C1833">_xlfn.XLOOKUP(
 B1833,
 tblTargets[TargetID],
 tblTargets[DisplayName],
 ""
)</f>
        <v>Solver 1 Prototype</v>
      </c>
      <c r="D1833" s="49" t="str">
        <f t="array" ref="D1833">_xlfn.XLOOKUP(
 B1833,
 tblTargets[TargetID],
 tblTargets[TargetType],
 ""
)</f>
        <v>CRAFTIFACT</v>
      </c>
      <c r="E1833" s="49" t="s">
        <v>412</v>
      </c>
      <c r="F1833" s="87">
        <f>IFERROR(__xludf.DUMMYFUNCTION("VALUE(REGEXEXTRACT(A1833,""([^.]+)$""))"),1.0)</f>
        <v>1</v>
      </c>
      <c r="G1833" s="49">
        <v>16.0</v>
      </c>
      <c r="H1833" s="26" t="b">
        <f>COUNTIFS(
 tblCostChecklist[RequirementID],A1833,
 tblCostChecklist[PlayerPaid],TRUE
)&gt;0</f>
        <v>0</v>
      </c>
      <c r="I1833" s="49">
        <f t="shared" si="1"/>
        <v>6</v>
      </c>
      <c r="J1833" s="49">
        <f t="shared" si="2"/>
        <v>0</v>
      </c>
      <c r="K1833" s="49">
        <f t="shared" si="3"/>
        <v>6</v>
      </c>
      <c r="L1833" s="49" t="b">
        <f t="shared" si="4"/>
        <v>0</v>
      </c>
      <c r="M1833" s="88">
        <f t="shared" si="5"/>
        <v>0</v>
      </c>
    </row>
    <row r="1834" ht="14.25" customHeight="1">
      <c r="A1834" s="49" t="s">
        <v>3218</v>
      </c>
      <c r="B1834" s="49" t="str">
        <f>IFERROR(__xludf.DUMMYFUNCTION("REGEXEXTRACT(A1834,""^cost\.(.*)\.[^.]+\.[^.]+$"")"),"craftifact.solver_1_prototype")</f>
        <v>craftifact.solver_1_prototype</v>
      </c>
      <c r="C1834" s="49" t="str">
        <f t="array" ref="C1834">_xlfn.XLOOKUP(
 B1834,
 tblTargets[TargetID],
 tblTargets[DisplayName],
 ""
)</f>
        <v>Solver 1 Prototype</v>
      </c>
      <c r="D1834" s="49" t="str">
        <f t="array" ref="D1834">_xlfn.XLOOKUP(
 B1834,
 tblTargets[TargetID],
 tblTargets[TargetType],
 ""
)</f>
        <v>CRAFTIFACT</v>
      </c>
      <c r="E1834" s="49" t="s">
        <v>1375</v>
      </c>
      <c r="F1834" s="87">
        <f>IFERROR(__xludf.DUMMYFUNCTION("VALUE(REGEXEXTRACT(A1834,""([^.]+)$""))"),1.0)</f>
        <v>1</v>
      </c>
      <c r="G1834" s="49">
        <v>8.0</v>
      </c>
      <c r="H1834" s="26" t="b">
        <f>COUNTIFS(
 tblCostChecklist[RequirementID],A1834,
 tblCostChecklist[PlayerPaid],TRUE
)&gt;0</f>
        <v>0</v>
      </c>
      <c r="I1834" s="49">
        <f t="shared" si="1"/>
        <v>6</v>
      </c>
      <c r="J1834" s="49">
        <f t="shared" si="2"/>
        <v>0</v>
      </c>
      <c r="K1834" s="49">
        <f t="shared" si="3"/>
        <v>6</v>
      </c>
      <c r="L1834" s="49" t="b">
        <f t="shared" si="4"/>
        <v>0</v>
      </c>
      <c r="M1834" s="88">
        <f t="shared" si="5"/>
        <v>0</v>
      </c>
    </row>
    <row r="1835" ht="14.25" customHeight="1">
      <c r="A1835" s="49" t="s">
        <v>3220</v>
      </c>
      <c r="B1835" s="49" t="str">
        <f>IFERROR(__xludf.DUMMYFUNCTION("REGEXEXTRACT(A1835,""^cost\.(.*)\.[^.]+\.[^.]+$"")"),"craftifact.solver_1_prototype")</f>
        <v>craftifact.solver_1_prototype</v>
      </c>
      <c r="C1835" s="49" t="str">
        <f t="array" ref="C1835">_xlfn.XLOOKUP(
 B1835,
 tblTargets[TargetID],
 tblTargets[DisplayName],
 ""
)</f>
        <v>Solver 1 Prototype</v>
      </c>
      <c r="D1835" s="49" t="str">
        <f t="array" ref="D1835">_xlfn.XLOOKUP(
 B1835,
 tblTargets[TargetID],
 tblTargets[TargetType],
 ""
)</f>
        <v>CRAFTIFACT</v>
      </c>
      <c r="E1835" s="49" t="s">
        <v>1078</v>
      </c>
      <c r="F1835" s="87">
        <f>IFERROR(__xludf.DUMMYFUNCTION("VALUE(REGEXEXTRACT(A1835,""([^.]+)$""))"),1.0)</f>
        <v>1</v>
      </c>
      <c r="G1835" s="49">
        <v>16.0</v>
      </c>
      <c r="H1835" s="26" t="b">
        <f>COUNTIFS(
 tblCostChecklist[RequirementID],A1835,
 tblCostChecklist[PlayerPaid],TRUE
)&gt;0</f>
        <v>0</v>
      </c>
      <c r="I1835" s="49">
        <f t="shared" si="1"/>
        <v>6</v>
      </c>
      <c r="J1835" s="49">
        <f t="shared" si="2"/>
        <v>0</v>
      </c>
      <c r="K1835" s="49">
        <f t="shared" si="3"/>
        <v>6</v>
      </c>
      <c r="L1835" s="49" t="b">
        <f t="shared" si="4"/>
        <v>0</v>
      </c>
      <c r="M1835" s="88">
        <f t="shared" si="5"/>
        <v>0</v>
      </c>
    </row>
    <row r="1836" ht="14.25" customHeight="1">
      <c r="A1836" s="49" t="s">
        <v>3222</v>
      </c>
      <c r="B1836" s="49" t="str">
        <f>IFERROR(__xludf.DUMMYFUNCTION("REGEXEXTRACT(A1836,""^cost\.(.*)\.[^.]+\.[^.]+$"")"),"craftifact.solver_1_prototype")</f>
        <v>craftifact.solver_1_prototype</v>
      </c>
      <c r="C1836" s="49" t="str">
        <f t="array" ref="C1836">_xlfn.XLOOKUP(
 B1836,
 tblTargets[TargetID],
 tblTargets[DisplayName],
 ""
)</f>
        <v>Solver 1 Prototype</v>
      </c>
      <c r="D1836" s="49" t="str">
        <f t="array" ref="D1836">_xlfn.XLOOKUP(
 B1836,
 tblTargets[TargetID],
 tblTargets[TargetType],
 ""
)</f>
        <v>CRAFTIFACT</v>
      </c>
      <c r="E1836" s="49" t="s">
        <v>1537</v>
      </c>
      <c r="F1836" s="87">
        <f>IFERROR(__xludf.DUMMYFUNCTION("VALUE(REGEXEXTRACT(A1836,""([^.]+)$""))"),1.0)</f>
        <v>1</v>
      </c>
      <c r="G1836" s="49">
        <v>4.0</v>
      </c>
      <c r="H1836" s="26" t="b">
        <f>COUNTIFS(
 tblCostChecklist[RequirementID],A1836,
 tblCostChecklist[PlayerPaid],TRUE
)&gt;0</f>
        <v>0</v>
      </c>
      <c r="I1836" s="49">
        <f t="shared" si="1"/>
        <v>6</v>
      </c>
      <c r="J1836" s="49">
        <f t="shared" si="2"/>
        <v>0</v>
      </c>
      <c r="K1836" s="49">
        <f t="shared" si="3"/>
        <v>6</v>
      </c>
      <c r="L1836" s="49" t="b">
        <f t="shared" si="4"/>
        <v>0</v>
      </c>
      <c r="M1836" s="88">
        <f t="shared" si="5"/>
        <v>0</v>
      </c>
    </row>
    <row r="1837" ht="14.25" customHeight="1">
      <c r="A1837" s="49" t="s">
        <v>3224</v>
      </c>
      <c r="B1837" s="49" t="str">
        <f>IFERROR(__xludf.DUMMYFUNCTION("REGEXEXTRACT(A1837,""^cost\.(.*)\.[^.]+\.[^.]+$"")"),"craftifact.solver_1_prototype")</f>
        <v>craftifact.solver_1_prototype</v>
      </c>
      <c r="C1837" s="49" t="str">
        <f t="array" ref="C1837">_xlfn.XLOOKUP(
 B1837,
 tblTargets[TargetID],
 tblTargets[DisplayName],
 ""
)</f>
        <v>Solver 1 Prototype</v>
      </c>
      <c r="D1837" s="49" t="str">
        <f t="array" ref="D1837">_xlfn.XLOOKUP(
 B1837,
 tblTargets[TargetID],
 tblTargets[TargetType],
 ""
)</f>
        <v>CRAFTIFACT</v>
      </c>
      <c r="E1837" s="49" t="s">
        <v>2786</v>
      </c>
      <c r="F1837" s="87">
        <f>IFERROR(__xludf.DUMMYFUNCTION("VALUE(REGEXEXTRACT(A1837,""([^.]+)$""))"),1.0)</f>
        <v>1</v>
      </c>
      <c r="G1837" s="49">
        <v>40.0</v>
      </c>
      <c r="H1837" s="26" t="b">
        <f>COUNTIFS(
 tblCostChecklist[RequirementID],A1837,
 tblCostChecklist[PlayerPaid],TRUE
)&gt;0</f>
        <v>0</v>
      </c>
      <c r="I1837" s="49">
        <f t="shared" si="1"/>
        <v>6</v>
      </c>
      <c r="J1837" s="49">
        <f t="shared" si="2"/>
        <v>0</v>
      </c>
      <c r="K1837" s="49">
        <f t="shared" si="3"/>
        <v>6</v>
      </c>
      <c r="L1837" s="49" t="b">
        <f t="shared" si="4"/>
        <v>0</v>
      </c>
      <c r="M1837" s="88">
        <f t="shared" si="5"/>
        <v>0</v>
      </c>
    </row>
    <row r="1838" ht="14.25" customHeight="1">
      <c r="A1838" s="49" t="s">
        <v>3227</v>
      </c>
      <c r="B1838" s="49" t="str">
        <f>IFERROR(__xludf.DUMMYFUNCTION("REGEXEXTRACT(A1838,""^cost\.(.*)\.[^.]+\.[^.]+$"")"),"craftifact.telescope")</f>
        <v>craftifact.telescope</v>
      </c>
      <c r="C1838" s="49" t="str">
        <f t="array" ref="C1838">_xlfn.XLOOKUP(
 B1838,
 tblTargets[TargetID],
 tblTargets[DisplayName],
 ""
)</f>
        <v>Telescope</v>
      </c>
      <c r="D1838" s="49" t="str">
        <f t="array" ref="D1838">_xlfn.XLOOKUP(
 B1838,
 tblTargets[TargetID],
 tblTargets[TargetType],
 ""
)</f>
        <v>CRAFTIFACT</v>
      </c>
      <c r="E1838" s="49" t="s">
        <v>1055</v>
      </c>
      <c r="F1838" s="87">
        <f>IFERROR(__xludf.DUMMYFUNCTION("VALUE(REGEXEXTRACT(A1838,""([^.]+)$""))"),1.0)</f>
        <v>1</v>
      </c>
      <c r="G1838" s="49">
        <v>40.0</v>
      </c>
      <c r="H1838" s="26" t="b">
        <f>COUNTIFS(
 tblCostChecklist[RequirementID],A1838,
 tblCostChecklist[PlayerPaid],TRUE
)&gt;0</f>
        <v>0</v>
      </c>
      <c r="I1838" s="49">
        <f t="shared" si="1"/>
        <v>4</v>
      </c>
      <c r="J1838" s="49">
        <f t="shared" si="2"/>
        <v>0</v>
      </c>
      <c r="K1838" s="49">
        <f t="shared" si="3"/>
        <v>4</v>
      </c>
      <c r="L1838" s="49" t="b">
        <f t="shared" si="4"/>
        <v>0</v>
      </c>
      <c r="M1838" s="88">
        <f t="shared" si="5"/>
        <v>0</v>
      </c>
    </row>
    <row r="1839" ht="14.25" customHeight="1">
      <c r="A1839" s="49" t="s">
        <v>3229</v>
      </c>
      <c r="B1839" s="49" t="str">
        <f>IFERROR(__xludf.DUMMYFUNCTION("REGEXEXTRACT(A1839,""^cost\.(.*)\.[^.]+\.[^.]+$"")"),"craftifact.telescope")</f>
        <v>craftifact.telescope</v>
      </c>
      <c r="C1839" s="49" t="str">
        <f t="array" ref="C1839">_xlfn.XLOOKUP(
 B1839,
 tblTargets[TargetID],
 tblTargets[DisplayName],
 ""
)</f>
        <v>Telescope</v>
      </c>
      <c r="D1839" s="49" t="str">
        <f t="array" ref="D1839">_xlfn.XLOOKUP(
 B1839,
 tblTargets[TargetID],
 tblTargets[TargetType],
 ""
)</f>
        <v>CRAFTIFACT</v>
      </c>
      <c r="E1839" s="49" t="s">
        <v>360</v>
      </c>
      <c r="F1839" s="87">
        <f>IFERROR(__xludf.DUMMYFUNCTION("VALUE(REGEXEXTRACT(A1839,""([^.]+)$""))"),1.0)</f>
        <v>1</v>
      </c>
      <c r="G1839" s="49">
        <v>60.0</v>
      </c>
      <c r="H1839" s="26" t="b">
        <f>COUNTIFS(
 tblCostChecklist[RequirementID],A1839,
 tblCostChecklist[PlayerPaid],TRUE
)&gt;0</f>
        <v>0</v>
      </c>
      <c r="I1839" s="49">
        <f t="shared" si="1"/>
        <v>4</v>
      </c>
      <c r="J1839" s="49">
        <f t="shared" si="2"/>
        <v>0</v>
      </c>
      <c r="K1839" s="49">
        <f t="shared" si="3"/>
        <v>4</v>
      </c>
      <c r="L1839" s="49" t="b">
        <f t="shared" si="4"/>
        <v>0</v>
      </c>
      <c r="M1839" s="88">
        <f t="shared" si="5"/>
        <v>0</v>
      </c>
    </row>
    <row r="1840" ht="14.25" customHeight="1">
      <c r="A1840" s="49" t="s">
        <v>3231</v>
      </c>
      <c r="B1840" s="49" t="str">
        <f>IFERROR(__xludf.DUMMYFUNCTION("REGEXEXTRACT(A1840,""^cost\.(.*)\.[^.]+\.[^.]+$"")"),"craftifact.telescope")</f>
        <v>craftifact.telescope</v>
      </c>
      <c r="C1840" s="49" t="str">
        <f t="array" ref="C1840">_xlfn.XLOOKUP(
 B1840,
 tblTargets[TargetID],
 tblTargets[DisplayName],
 ""
)</f>
        <v>Telescope</v>
      </c>
      <c r="D1840" s="49" t="str">
        <f t="array" ref="D1840">_xlfn.XLOOKUP(
 B1840,
 tblTargets[TargetID],
 tblTargets[TargetType],
 ""
)</f>
        <v>CRAFTIFACT</v>
      </c>
      <c r="E1840" s="49" t="s">
        <v>1078</v>
      </c>
      <c r="F1840" s="87">
        <f>IFERROR(__xludf.DUMMYFUNCTION("VALUE(REGEXEXTRACT(A1840,""([^.]+)$""))"),1.0)</f>
        <v>1</v>
      </c>
      <c r="G1840" s="49">
        <v>20.0</v>
      </c>
      <c r="H1840" s="26" t="b">
        <f>COUNTIFS(
 tblCostChecklist[RequirementID],A1840,
 tblCostChecklist[PlayerPaid],TRUE
)&gt;0</f>
        <v>0</v>
      </c>
      <c r="I1840" s="49">
        <f t="shared" si="1"/>
        <v>4</v>
      </c>
      <c r="J1840" s="49">
        <f t="shared" si="2"/>
        <v>0</v>
      </c>
      <c r="K1840" s="49">
        <f t="shared" si="3"/>
        <v>4</v>
      </c>
      <c r="L1840" s="49" t="b">
        <f t="shared" si="4"/>
        <v>0</v>
      </c>
      <c r="M1840" s="88">
        <f t="shared" si="5"/>
        <v>0</v>
      </c>
    </row>
    <row r="1841" ht="14.25" customHeight="1">
      <c r="A1841" s="49" t="s">
        <v>3233</v>
      </c>
      <c r="B1841" s="49" t="str">
        <f>IFERROR(__xludf.DUMMYFUNCTION("REGEXEXTRACT(A1841,""^cost\.(.*)\.[^.]+\.[^.]+$"")"),"craftifact.telescope")</f>
        <v>craftifact.telescope</v>
      </c>
      <c r="C1841" s="49" t="str">
        <f t="array" ref="C1841">_xlfn.XLOOKUP(
 B1841,
 tblTargets[TargetID],
 tblTargets[DisplayName],
 ""
)</f>
        <v>Telescope</v>
      </c>
      <c r="D1841" s="49" t="str">
        <f t="array" ref="D1841">_xlfn.XLOOKUP(
 B1841,
 tblTargets[TargetID],
 tblTargets[TargetType],
 ""
)</f>
        <v>CRAFTIFACT</v>
      </c>
      <c r="E1841" s="49" t="s">
        <v>6</v>
      </c>
      <c r="F1841" s="87">
        <f>IFERROR(__xludf.DUMMYFUNCTION("VALUE(REGEXEXTRACT(A1841,""([^.]+)$""))"),1.0)</f>
        <v>1</v>
      </c>
      <c r="G1841" s="49">
        <v>5.0</v>
      </c>
      <c r="H1841" s="26" t="b">
        <f>COUNTIFS(
 tblCostChecklist[RequirementID],A1841,
 tblCostChecklist[PlayerPaid],TRUE
)&gt;0</f>
        <v>0</v>
      </c>
      <c r="I1841" s="49">
        <f t="shared" si="1"/>
        <v>4</v>
      </c>
      <c r="J1841" s="49">
        <f t="shared" si="2"/>
        <v>0</v>
      </c>
      <c r="K1841" s="49">
        <f t="shared" si="3"/>
        <v>4</v>
      </c>
      <c r="L1841" s="49" t="b">
        <f t="shared" si="4"/>
        <v>0</v>
      </c>
      <c r="M1841" s="88">
        <f t="shared" si="5"/>
        <v>0</v>
      </c>
    </row>
    <row r="1842" ht="14.25" customHeight="1">
      <c r="A1842" s="49" t="s">
        <v>3235</v>
      </c>
      <c r="B1842" s="49" t="str">
        <f>IFERROR(__xludf.DUMMYFUNCTION("REGEXEXTRACT(A1842,""^cost\.(.*)\.[^.]+\.[^.]+$"")"),"craftifact.tetrachloroaurate")</f>
        <v>craftifact.tetrachloroaurate</v>
      </c>
      <c r="C1842" s="49" t="str">
        <f t="array" ref="C1842">_xlfn.XLOOKUP(
 B1842,
 tblTargets[TargetID],
 tblTargets[DisplayName],
 ""
)</f>
        <v>Tetrachloroaurate</v>
      </c>
      <c r="D1842" s="49" t="str">
        <f t="array" ref="D1842">_xlfn.XLOOKUP(
 B1842,
 tblTargets[TargetID],
 tblTargets[TargetType],
 ""
)</f>
        <v>CRAFTIFACT</v>
      </c>
      <c r="E1842" s="49" t="s">
        <v>2297</v>
      </c>
      <c r="F1842" s="87">
        <f>IFERROR(__xludf.DUMMYFUNCTION("VALUE(REGEXEXTRACT(A1842,""([^.]+)$""))"),1.0)</f>
        <v>1</v>
      </c>
      <c r="G1842" s="49">
        <v>30.0</v>
      </c>
      <c r="H1842" s="26" t="b">
        <f>COUNTIFS(
 tblCostChecklist[RequirementID],A1842,
 tblCostChecklist[PlayerPaid],TRUE
)&gt;0</f>
        <v>0</v>
      </c>
      <c r="I1842" s="49">
        <f t="shared" si="1"/>
        <v>5</v>
      </c>
      <c r="J1842" s="49">
        <f t="shared" si="2"/>
        <v>0</v>
      </c>
      <c r="K1842" s="49">
        <f t="shared" si="3"/>
        <v>5</v>
      </c>
      <c r="L1842" s="49" t="b">
        <f t="shared" si="4"/>
        <v>0</v>
      </c>
      <c r="M1842" s="88">
        <f t="shared" si="5"/>
        <v>0</v>
      </c>
    </row>
    <row r="1843" ht="14.25" customHeight="1">
      <c r="A1843" s="49" t="s">
        <v>3238</v>
      </c>
      <c r="B1843" s="49" t="str">
        <f>IFERROR(__xludf.DUMMYFUNCTION("REGEXEXTRACT(A1843,""^cost\.(.*)\.[^.]+\.[^.]+$"")"),"craftifact.tetrachloroaurate")</f>
        <v>craftifact.tetrachloroaurate</v>
      </c>
      <c r="C1843" s="49" t="str">
        <f t="array" ref="C1843">_xlfn.XLOOKUP(
 B1843,
 tblTargets[TargetID],
 tblTargets[DisplayName],
 ""
)</f>
        <v>Tetrachloroaurate</v>
      </c>
      <c r="D1843" s="49" t="str">
        <f t="array" ref="D1843">_xlfn.XLOOKUP(
 B1843,
 tblTargets[TargetID],
 tblTargets[TargetType],
 ""
)</f>
        <v>CRAFTIFACT</v>
      </c>
      <c r="E1843" s="49" t="s">
        <v>113</v>
      </c>
      <c r="F1843" s="87">
        <f>IFERROR(__xludf.DUMMYFUNCTION("VALUE(REGEXEXTRACT(A1843,""([^.]+)$""))"),1.0)</f>
        <v>1</v>
      </c>
      <c r="G1843" s="49">
        <v>50.0</v>
      </c>
      <c r="H1843" s="26" t="b">
        <f>COUNTIFS(
 tblCostChecklist[RequirementID],A1843,
 tblCostChecklist[PlayerPaid],TRUE
)&gt;0</f>
        <v>0</v>
      </c>
      <c r="I1843" s="49">
        <f t="shared" si="1"/>
        <v>5</v>
      </c>
      <c r="J1843" s="49">
        <f t="shared" si="2"/>
        <v>0</v>
      </c>
      <c r="K1843" s="49">
        <f t="shared" si="3"/>
        <v>5</v>
      </c>
      <c r="L1843" s="49" t="b">
        <f t="shared" si="4"/>
        <v>0</v>
      </c>
      <c r="M1843" s="88">
        <f t="shared" si="5"/>
        <v>0</v>
      </c>
    </row>
    <row r="1844" ht="14.25" customHeight="1">
      <c r="A1844" s="49" t="s">
        <v>3240</v>
      </c>
      <c r="B1844" s="49" t="str">
        <f>IFERROR(__xludf.DUMMYFUNCTION("REGEXEXTRACT(A1844,""^cost\.(.*)\.[^.]+\.[^.]+$"")"),"craftifact.tetrachloroaurate")</f>
        <v>craftifact.tetrachloroaurate</v>
      </c>
      <c r="C1844" s="49" t="str">
        <f t="array" ref="C1844">_xlfn.XLOOKUP(
 B1844,
 tblTargets[TargetID],
 tblTargets[DisplayName],
 ""
)</f>
        <v>Tetrachloroaurate</v>
      </c>
      <c r="D1844" s="49" t="str">
        <f t="array" ref="D1844">_xlfn.XLOOKUP(
 B1844,
 tblTargets[TargetID],
 tblTargets[TargetType],
 ""
)</f>
        <v>CRAFTIFACT</v>
      </c>
      <c r="E1844" s="49" t="s">
        <v>360</v>
      </c>
      <c r="F1844" s="87">
        <f>IFERROR(__xludf.DUMMYFUNCTION("VALUE(REGEXEXTRACT(A1844,""([^.]+)$""))"),1.0)</f>
        <v>1</v>
      </c>
      <c r="G1844" s="49">
        <v>30.0</v>
      </c>
      <c r="H1844" s="26" t="b">
        <f>COUNTIFS(
 tblCostChecklist[RequirementID],A1844,
 tblCostChecklist[PlayerPaid],TRUE
)&gt;0</f>
        <v>0</v>
      </c>
      <c r="I1844" s="49">
        <f t="shared" si="1"/>
        <v>5</v>
      </c>
      <c r="J1844" s="49">
        <f t="shared" si="2"/>
        <v>0</v>
      </c>
      <c r="K1844" s="49">
        <f t="shared" si="3"/>
        <v>5</v>
      </c>
      <c r="L1844" s="49" t="b">
        <f t="shared" si="4"/>
        <v>0</v>
      </c>
      <c r="M1844" s="88">
        <f t="shared" si="5"/>
        <v>0</v>
      </c>
    </row>
    <row r="1845" ht="14.25" customHeight="1">
      <c r="A1845" s="49" t="s">
        <v>3242</v>
      </c>
      <c r="B1845" s="49" t="str">
        <f>IFERROR(__xludf.DUMMYFUNCTION("REGEXEXTRACT(A1845,""^cost\.(.*)\.[^.]+\.[^.]+$"")"),"craftifact.tetrachloroaurate")</f>
        <v>craftifact.tetrachloroaurate</v>
      </c>
      <c r="C1845" s="49" t="str">
        <f t="array" ref="C1845">_xlfn.XLOOKUP(
 B1845,
 tblTargets[TargetID],
 tblTargets[DisplayName],
 ""
)</f>
        <v>Tetrachloroaurate</v>
      </c>
      <c r="D1845" s="49" t="str">
        <f t="array" ref="D1845">_xlfn.XLOOKUP(
 B1845,
 tblTargets[TargetID],
 tblTargets[TargetType],
 ""
)</f>
        <v>CRAFTIFACT</v>
      </c>
      <c r="E1845" s="49" t="s">
        <v>412</v>
      </c>
      <c r="F1845" s="87">
        <f>IFERROR(__xludf.DUMMYFUNCTION("VALUE(REGEXEXTRACT(A1845,""([^.]+)$""))"),1.0)</f>
        <v>1</v>
      </c>
      <c r="G1845" s="49">
        <v>50.0</v>
      </c>
      <c r="H1845" s="26" t="b">
        <f>COUNTIFS(
 tblCostChecklist[RequirementID],A1845,
 tblCostChecklist[PlayerPaid],TRUE
)&gt;0</f>
        <v>0</v>
      </c>
      <c r="I1845" s="49">
        <f t="shared" si="1"/>
        <v>5</v>
      </c>
      <c r="J1845" s="49">
        <f t="shared" si="2"/>
        <v>0</v>
      </c>
      <c r="K1845" s="49">
        <f t="shared" si="3"/>
        <v>5</v>
      </c>
      <c r="L1845" s="49" t="b">
        <f t="shared" si="4"/>
        <v>0</v>
      </c>
      <c r="M1845" s="88">
        <f t="shared" si="5"/>
        <v>0</v>
      </c>
    </row>
    <row r="1846" ht="14.25" customHeight="1">
      <c r="A1846" s="49" t="s">
        <v>3245</v>
      </c>
      <c r="B1846" s="49" t="str">
        <f>IFERROR(__xludf.DUMMYFUNCTION("REGEXEXTRACT(A1846,""^cost\.(.*)\.[^.]+\.[^.]+$"")"),"craftifact.tetrachloroaurate")</f>
        <v>craftifact.tetrachloroaurate</v>
      </c>
      <c r="C1846" s="49" t="str">
        <f t="array" ref="C1846">_xlfn.XLOOKUP(
 B1846,
 tblTargets[TargetID],
 tblTargets[DisplayName],
 ""
)</f>
        <v>Tetrachloroaurate</v>
      </c>
      <c r="D1846" s="49" t="str">
        <f t="array" ref="D1846">_xlfn.XLOOKUP(
 B1846,
 tblTargets[TargetID],
 tblTargets[TargetType],
 ""
)</f>
        <v>CRAFTIFACT</v>
      </c>
      <c r="E1846" s="49" t="s">
        <v>140</v>
      </c>
      <c r="F1846" s="87">
        <f>IFERROR(__xludf.DUMMYFUNCTION("VALUE(REGEXEXTRACT(A1846,""([^.]+)$""))"),1.0)</f>
        <v>1</v>
      </c>
      <c r="G1846" s="49">
        <v>40.0</v>
      </c>
      <c r="H1846" s="26" t="b">
        <f>COUNTIFS(
 tblCostChecklist[RequirementID],A1846,
 tblCostChecklist[PlayerPaid],TRUE
)&gt;0</f>
        <v>0</v>
      </c>
      <c r="I1846" s="49">
        <f t="shared" si="1"/>
        <v>5</v>
      </c>
      <c r="J1846" s="49">
        <f t="shared" si="2"/>
        <v>0</v>
      </c>
      <c r="K1846" s="49">
        <f t="shared" si="3"/>
        <v>5</v>
      </c>
      <c r="L1846" s="49" t="b">
        <f t="shared" si="4"/>
        <v>0</v>
      </c>
      <c r="M1846" s="88">
        <f t="shared" si="5"/>
        <v>0</v>
      </c>
    </row>
    <row r="1847" ht="14.25" customHeight="1">
      <c r="A1847" s="49" t="s">
        <v>3247</v>
      </c>
      <c r="B1847" s="49" t="str">
        <f>IFERROR(__xludf.DUMMYFUNCTION("REGEXEXTRACT(A1847,""^cost\.(.*)\.[^.]+\.[^.]+$"")"),"craftifact.trigonometry")</f>
        <v>craftifact.trigonometry</v>
      </c>
      <c r="C1847" s="49" t="str">
        <f t="array" ref="C1847">_xlfn.XLOOKUP(
 B1847,
 tblTargets[TargetID],
 tblTargets[DisplayName],
 ""
)</f>
        <v>Trigonometry</v>
      </c>
      <c r="D1847" s="49" t="str">
        <f t="array" ref="D1847">_xlfn.XLOOKUP(
 B1847,
 tblTargets[TargetID],
 tblTargets[TargetType],
 ""
)</f>
        <v>CRAFTIFACT</v>
      </c>
      <c r="E1847" s="49" t="s">
        <v>132</v>
      </c>
      <c r="F1847" s="87">
        <f>IFERROR(__xludf.DUMMYFUNCTION("VALUE(REGEXEXTRACT(A1847,""([^.]+)$""))"),1.0)</f>
        <v>1</v>
      </c>
      <c r="G1847" s="49">
        <v>60.0</v>
      </c>
      <c r="H1847" s="26" t="b">
        <f>COUNTIFS(
 tblCostChecklist[RequirementID],A1847,
 tblCostChecklist[PlayerPaid],TRUE
)&gt;0</f>
        <v>0</v>
      </c>
      <c r="I1847" s="49">
        <f t="shared" si="1"/>
        <v>2</v>
      </c>
      <c r="J1847" s="49">
        <f t="shared" si="2"/>
        <v>0</v>
      </c>
      <c r="K1847" s="49">
        <f t="shared" si="3"/>
        <v>2</v>
      </c>
      <c r="L1847" s="49" t="b">
        <f t="shared" si="4"/>
        <v>0</v>
      </c>
      <c r="M1847" s="88">
        <f t="shared" si="5"/>
        <v>0</v>
      </c>
    </row>
    <row r="1848" ht="14.25" customHeight="1">
      <c r="A1848" s="49" t="s">
        <v>3249</v>
      </c>
      <c r="B1848" s="49" t="str">
        <f>IFERROR(__xludf.DUMMYFUNCTION("REGEXEXTRACT(A1848,""^cost\.(.*)\.[^.]+\.[^.]+$"")"),"craftifact.trigonometry")</f>
        <v>craftifact.trigonometry</v>
      </c>
      <c r="C1848" s="49" t="str">
        <f t="array" ref="C1848">_xlfn.XLOOKUP(
 B1848,
 tblTargets[TargetID],
 tblTargets[DisplayName],
 ""
)</f>
        <v>Trigonometry</v>
      </c>
      <c r="D1848" s="49" t="str">
        <f t="array" ref="D1848">_xlfn.XLOOKUP(
 B1848,
 tblTargets[TargetID],
 tblTargets[TargetType],
 ""
)</f>
        <v>CRAFTIFACT</v>
      </c>
      <c r="E1848" s="49" t="s">
        <v>2007</v>
      </c>
      <c r="F1848" s="87">
        <f>IFERROR(__xludf.DUMMYFUNCTION("VALUE(REGEXEXTRACT(A1848,""([^.]+)$""))"),1.0)</f>
        <v>1</v>
      </c>
      <c r="G1848" s="49">
        <v>1.0</v>
      </c>
      <c r="H1848" s="26" t="b">
        <f>COUNTIFS(
 tblCostChecklist[RequirementID],A1848,
 tblCostChecklist[PlayerPaid],TRUE
)&gt;0</f>
        <v>0</v>
      </c>
      <c r="I1848" s="49">
        <f t="shared" si="1"/>
        <v>2</v>
      </c>
      <c r="J1848" s="49">
        <f t="shared" si="2"/>
        <v>0</v>
      </c>
      <c r="K1848" s="49">
        <f t="shared" si="3"/>
        <v>2</v>
      </c>
      <c r="L1848" s="49" t="b">
        <f t="shared" si="4"/>
        <v>0</v>
      </c>
      <c r="M1848" s="88">
        <f t="shared" si="5"/>
        <v>0</v>
      </c>
    </row>
    <row r="1849" ht="14.25" customHeight="1">
      <c r="A1849" s="49" t="s">
        <v>3261</v>
      </c>
      <c r="B1849" s="49" t="str">
        <f>IFERROR(__xludf.DUMMYFUNCTION("REGEXEXTRACT(A1849,""^cost\.(.*)\.[^.]+\.[^.]+$"")"),"quest.ahead_of_time_chapter_1.finished")</f>
        <v>quest.ahead_of_time_chapter_1.finished</v>
      </c>
      <c r="C1849" s="49" t="str">
        <f t="array" ref="C1849">_xlfn.XLOOKUP(
 B1849,
 tblTargets[TargetID],
 tblTargets[DisplayName],
 ""
)</f>
        <v>Ahead of Time Chapter 1 Finished</v>
      </c>
      <c r="D1849" s="49" t="str">
        <f t="array" ref="D1849">_xlfn.XLOOKUP(
 B1849,
 tblTargets[TargetID],
 tblTargets[TargetType],
 ""
)</f>
        <v>QUEST</v>
      </c>
      <c r="E1849" s="49" t="s">
        <v>3262</v>
      </c>
      <c r="F1849" s="87">
        <f>IFERROR(__xludf.DUMMYFUNCTION("VALUE(REGEXEXTRACT(A1849,""([^.]+)$""))"),1.0)</f>
        <v>1</v>
      </c>
      <c r="G1849" s="49">
        <v>1.0</v>
      </c>
      <c r="H1849" s="26" t="b">
        <f>COUNTIFS(
 tblCostChecklist[RequirementID],A1849,
 tblCostChecklist[PlayerPaid],TRUE
)&gt;0</f>
        <v>0</v>
      </c>
      <c r="I1849" s="49">
        <f t="shared" si="1"/>
        <v>7</v>
      </c>
      <c r="J1849" s="49">
        <f t="shared" si="2"/>
        <v>0</v>
      </c>
      <c r="K1849" s="49">
        <f t="shared" si="3"/>
        <v>7</v>
      </c>
      <c r="L1849" s="49" t="b">
        <f t="shared" si="4"/>
        <v>0</v>
      </c>
      <c r="M1849" s="88">
        <f t="shared" si="5"/>
        <v>0</v>
      </c>
    </row>
    <row r="1850" ht="14.25" customHeight="1">
      <c r="A1850" s="49" t="s">
        <v>3254</v>
      </c>
      <c r="B1850" s="49" t="str">
        <f>IFERROR(__xludf.DUMMYFUNCTION("REGEXEXTRACT(A1850,""^cost\.(.*)\.[^.]+\.[^.]+$"")"),"quest.ahead_of_time_chapter_1.finished")</f>
        <v>quest.ahead_of_time_chapter_1.finished</v>
      </c>
      <c r="C1850" s="49" t="str">
        <f t="array" ref="C1850">_xlfn.XLOOKUP(
 B1850,
 tblTargets[TargetID],
 tblTargets[DisplayName],
 ""
)</f>
        <v>Ahead of Time Chapter 1 Finished</v>
      </c>
      <c r="D1850" s="49" t="str">
        <f t="array" ref="D1850">_xlfn.XLOOKUP(
 B1850,
 tblTargets[TargetID],
 tblTargets[TargetType],
 ""
)</f>
        <v>QUEST</v>
      </c>
      <c r="E1850" s="49" t="s">
        <v>2545</v>
      </c>
      <c r="F1850" s="87">
        <f>IFERROR(__xludf.DUMMYFUNCTION("VALUE(REGEXEXTRACT(A1850,""([^.]+)$""))"),1.0)</f>
        <v>1</v>
      </c>
      <c r="G1850" s="49">
        <v>1.0</v>
      </c>
      <c r="H1850" s="26" t="b">
        <f>COUNTIFS(
 tblCostChecklist[RequirementID],A1850,
 tblCostChecklist[PlayerPaid],TRUE
)&gt;0</f>
        <v>0</v>
      </c>
      <c r="I1850" s="49">
        <f t="shared" si="1"/>
        <v>7</v>
      </c>
      <c r="J1850" s="49">
        <f t="shared" si="2"/>
        <v>0</v>
      </c>
      <c r="K1850" s="49">
        <f t="shared" si="3"/>
        <v>7</v>
      </c>
      <c r="L1850" s="49" t="b">
        <f t="shared" si="4"/>
        <v>0</v>
      </c>
      <c r="M1850" s="88">
        <f t="shared" si="5"/>
        <v>0</v>
      </c>
    </row>
    <row r="1851" ht="14.25" customHeight="1">
      <c r="A1851" s="49" t="s">
        <v>3256</v>
      </c>
      <c r="B1851" s="49" t="str">
        <f>IFERROR(__xludf.DUMMYFUNCTION("REGEXEXTRACT(A1851,""^cost\.(.*)\.[^.]+\.[^.]+$"")"),"quest.ahead_of_time_chapter_1.finished")</f>
        <v>quest.ahead_of_time_chapter_1.finished</v>
      </c>
      <c r="C1851" s="49" t="str">
        <f t="array" ref="C1851">_xlfn.XLOOKUP(
 B1851,
 tblTargets[TargetID],
 tblTargets[DisplayName],
 ""
)</f>
        <v>Ahead of Time Chapter 1 Finished</v>
      </c>
      <c r="D1851" s="49" t="str">
        <f t="array" ref="D1851">_xlfn.XLOOKUP(
 B1851,
 tblTargets[TargetID],
 tblTargets[TargetType],
 ""
)</f>
        <v>QUEST</v>
      </c>
      <c r="E1851" s="49" t="s">
        <v>3257</v>
      </c>
      <c r="F1851" s="87">
        <f>IFERROR(__xludf.DUMMYFUNCTION("VALUE(REGEXEXTRACT(A1851,""([^.]+)$""))"),1.0)</f>
        <v>1</v>
      </c>
      <c r="G1851" s="49">
        <v>1.0</v>
      </c>
      <c r="H1851" s="26" t="b">
        <f>COUNTIFS(
 tblCostChecklist[RequirementID],A1851,
 tblCostChecklist[PlayerPaid],TRUE
)&gt;0</f>
        <v>0</v>
      </c>
      <c r="I1851" s="49">
        <f t="shared" si="1"/>
        <v>7</v>
      </c>
      <c r="J1851" s="49">
        <f t="shared" si="2"/>
        <v>0</v>
      </c>
      <c r="K1851" s="49">
        <f t="shared" si="3"/>
        <v>7</v>
      </c>
      <c r="L1851" s="49" t="b">
        <f t="shared" si="4"/>
        <v>0</v>
      </c>
      <c r="M1851" s="88">
        <f t="shared" si="5"/>
        <v>0</v>
      </c>
    </row>
    <row r="1852" ht="14.25" customHeight="1">
      <c r="A1852" s="49" t="s">
        <v>3259</v>
      </c>
      <c r="B1852" s="49" t="str">
        <f>IFERROR(__xludf.DUMMYFUNCTION("REGEXEXTRACT(A1852,""^cost\.(.*)\.[^.]+\.[^.]+$"")"),"quest.ahead_of_time_chapter_1.finished")</f>
        <v>quest.ahead_of_time_chapter_1.finished</v>
      </c>
      <c r="C1852" s="49" t="str">
        <f t="array" ref="C1852">_xlfn.XLOOKUP(
 B1852,
 tblTargets[TargetID],
 tblTargets[DisplayName],
 ""
)</f>
        <v>Ahead of Time Chapter 1 Finished</v>
      </c>
      <c r="D1852" s="49" t="str">
        <f t="array" ref="D1852">_xlfn.XLOOKUP(
 B1852,
 tblTargets[TargetID],
 tblTargets[TargetType],
 ""
)</f>
        <v>QUEST</v>
      </c>
      <c r="E1852" s="49" t="s">
        <v>2877</v>
      </c>
      <c r="F1852" s="87">
        <f>IFERROR(__xludf.DUMMYFUNCTION("VALUE(REGEXEXTRACT(A1852,""([^.]+)$""))"),1.0)</f>
        <v>1</v>
      </c>
      <c r="G1852" s="49">
        <v>1.0</v>
      </c>
      <c r="H1852" s="26" t="b">
        <f>COUNTIFS(
 tblCostChecklist[RequirementID],A1852,
 tblCostChecklist[PlayerPaid],TRUE
)&gt;0</f>
        <v>0</v>
      </c>
      <c r="I1852" s="49">
        <f t="shared" si="1"/>
        <v>7</v>
      </c>
      <c r="J1852" s="49">
        <f t="shared" si="2"/>
        <v>0</v>
      </c>
      <c r="K1852" s="49">
        <f t="shared" si="3"/>
        <v>7</v>
      </c>
      <c r="L1852" s="49" t="b">
        <f t="shared" si="4"/>
        <v>0</v>
      </c>
      <c r="M1852" s="88">
        <f t="shared" si="5"/>
        <v>0</v>
      </c>
    </row>
    <row r="1853" ht="14.25" customHeight="1">
      <c r="A1853" s="49" t="s">
        <v>3251</v>
      </c>
      <c r="B1853" s="49" t="str">
        <f>IFERROR(__xludf.DUMMYFUNCTION("REGEXEXTRACT(A1853,""^cost\.(.*)\.[^.]+\.[^.]+$"")"),"quest.ahead_of_time_chapter_1.finished")</f>
        <v>quest.ahead_of_time_chapter_1.finished</v>
      </c>
      <c r="C1853" s="49" t="str">
        <f t="array" ref="C1853">_xlfn.XLOOKUP(
 B1853,
 tblTargets[TargetID],
 tblTargets[DisplayName],
 ""
)</f>
        <v>Ahead of Time Chapter 1 Finished</v>
      </c>
      <c r="D1853" s="49" t="str">
        <f t="array" ref="D1853">_xlfn.XLOOKUP(
 B1853,
 tblTargets[TargetID],
 tblTargets[TargetType],
 ""
)</f>
        <v>QUEST</v>
      </c>
      <c r="E1853" s="49" t="s">
        <v>3252</v>
      </c>
      <c r="F1853" s="87">
        <f>IFERROR(__xludf.DUMMYFUNCTION("VALUE(REGEXEXTRACT(A1853,""([^.]+)$""))"),1.0)</f>
        <v>1</v>
      </c>
      <c r="G1853" s="49">
        <v>1.0</v>
      </c>
      <c r="H1853" s="26" t="b">
        <f>COUNTIFS(
 tblCostChecklist[RequirementID],A1853,
 tblCostChecklist[PlayerPaid],TRUE
)&gt;0</f>
        <v>0</v>
      </c>
      <c r="I1853" s="49">
        <f t="shared" si="1"/>
        <v>7</v>
      </c>
      <c r="J1853" s="49">
        <f t="shared" si="2"/>
        <v>0</v>
      </c>
      <c r="K1853" s="49">
        <f t="shared" si="3"/>
        <v>7</v>
      </c>
      <c r="L1853" s="49" t="b">
        <f t="shared" si="4"/>
        <v>0</v>
      </c>
      <c r="M1853" s="88">
        <f t="shared" si="5"/>
        <v>0</v>
      </c>
    </row>
    <row r="1854" ht="14.25" customHeight="1">
      <c r="A1854" s="49" t="s">
        <v>3267</v>
      </c>
      <c r="B1854" s="49" t="str">
        <f>IFERROR(__xludf.DUMMYFUNCTION("REGEXEXTRACT(A1854,""^cost\.(.*)\.[^.]+\.[^.]+$"")"),"quest.ahead_of_time_chapter_1.finished")</f>
        <v>quest.ahead_of_time_chapter_1.finished</v>
      </c>
      <c r="C1854" s="49" t="str">
        <f t="array" ref="C1854">_xlfn.XLOOKUP(
 B1854,
 tblTargets[TargetID],
 tblTargets[DisplayName],
 ""
)</f>
        <v>Ahead of Time Chapter 1 Finished</v>
      </c>
      <c r="D1854" s="49" t="str">
        <f t="array" ref="D1854">_xlfn.XLOOKUP(
 B1854,
 tblTargets[TargetID],
 tblTargets[TargetType],
 ""
)</f>
        <v>QUEST</v>
      </c>
      <c r="E1854" s="49" t="s">
        <v>3268</v>
      </c>
      <c r="F1854" s="87">
        <f>IFERROR(__xludf.DUMMYFUNCTION("VALUE(REGEXEXTRACT(A1854,""([^.]+)$""))"),1.0)</f>
        <v>1</v>
      </c>
      <c r="G1854" s="49">
        <v>1.0</v>
      </c>
      <c r="H1854" s="26" t="b">
        <f>COUNTIFS(
 tblCostChecklist[RequirementID],A1854,
 tblCostChecklist[PlayerPaid],TRUE
)&gt;0</f>
        <v>0</v>
      </c>
      <c r="I1854" s="49">
        <f t="shared" si="1"/>
        <v>7</v>
      </c>
      <c r="J1854" s="49">
        <f t="shared" si="2"/>
        <v>0</v>
      </c>
      <c r="K1854" s="49">
        <f t="shared" si="3"/>
        <v>7</v>
      </c>
      <c r="L1854" s="49" t="b">
        <f t="shared" si="4"/>
        <v>0</v>
      </c>
      <c r="M1854" s="88">
        <f t="shared" si="5"/>
        <v>0</v>
      </c>
    </row>
    <row r="1855" ht="14.25" customHeight="1">
      <c r="A1855" s="49" t="s">
        <v>3264</v>
      </c>
      <c r="B1855" s="49" t="str">
        <f>IFERROR(__xludf.DUMMYFUNCTION("REGEXEXTRACT(A1855,""^cost\.(.*)\.[^.]+\.[^.]+$"")"),"quest.ahead_of_time_chapter_1.finished")</f>
        <v>quest.ahead_of_time_chapter_1.finished</v>
      </c>
      <c r="C1855" s="49" t="str">
        <f t="array" ref="C1855">_xlfn.XLOOKUP(
 B1855,
 tblTargets[TargetID],
 tblTargets[DisplayName],
 ""
)</f>
        <v>Ahead of Time Chapter 1 Finished</v>
      </c>
      <c r="D1855" s="49" t="str">
        <f t="array" ref="D1855">_xlfn.XLOOKUP(
 B1855,
 tblTargets[TargetID],
 tblTargets[TargetType],
 ""
)</f>
        <v>QUEST</v>
      </c>
      <c r="E1855" s="49" t="s">
        <v>3265</v>
      </c>
      <c r="F1855" s="87">
        <f>IFERROR(__xludf.DUMMYFUNCTION("VALUE(REGEXEXTRACT(A1855,""([^.]+)$""))"),1.0)</f>
        <v>1</v>
      </c>
      <c r="G1855" s="49">
        <v>2.0</v>
      </c>
      <c r="H1855" s="26" t="b">
        <f>COUNTIFS(
 tblCostChecklist[RequirementID],A1855,
 tblCostChecklist[PlayerPaid],TRUE
)&gt;0</f>
        <v>0</v>
      </c>
      <c r="I1855" s="49">
        <f t="shared" si="1"/>
        <v>7</v>
      </c>
      <c r="J1855" s="49">
        <f t="shared" si="2"/>
        <v>0</v>
      </c>
      <c r="K1855" s="49">
        <f t="shared" si="3"/>
        <v>7</v>
      </c>
      <c r="L1855" s="49" t="b">
        <f t="shared" si="4"/>
        <v>0</v>
      </c>
      <c r="M1855" s="88">
        <f t="shared" si="5"/>
        <v>0</v>
      </c>
    </row>
    <row r="1856" ht="14.25" customHeight="1">
      <c r="A1856" s="49" t="s">
        <v>3295</v>
      </c>
      <c r="B1856" s="49" t="str">
        <f>IFERROR(__xludf.DUMMYFUNCTION("REGEXEXTRACT(A1856,""^cost\.(.*)\.[^.]+\.[^.]+$"")"),"quest.culinary_battle.finished")</f>
        <v>quest.culinary_battle.finished</v>
      </c>
      <c r="C1856" s="49" t="str">
        <f t="array" ref="C1856">_xlfn.XLOOKUP(
 B1856,
 tblTargets[TargetID],
 tblTargets[DisplayName],
 ""
)</f>
        <v>Culinary Battle Finished</v>
      </c>
      <c r="D1856" s="49" t="str">
        <f t="array" ref="D1856">_xlfn.XLOOKUP(
 B1856,
 tblTargets[TargetID],
 tblTargets[TargetType],
 ""
)</f>
        <v>QUEST</v>
      </c>
      <c r="E1856" s="49" t="s">
        <v>3146</v>
      </c>
      <c r="F1856" s="87">
        <f>IFERROR(__xludf.DUMMYFUNCTION("VALUE(REGEXEXTRACT(A1856,""([^.]+)$""))"),1.0)</f>
        <v>1</v>
      </c>
      <c r="G1856" s="49">
        <v>2.0</v>
      </c>
      <c r="H1856" s="26" t="b">
        <f>COUNTIFS(
 tblCostChecklist[RequirementID],A1856,
 tblCostChecklist[PlayerPaid],TRUE
)&gt;0</f>
        <v>0</v>
      </c>
      <c r="I1856" s="49">
        <f t="shared" si="1"/>
        <v>14</v>
      </c>
      <c r="J1856" s="49">
        <f t="shared" si="2"/>
        <v>0</v>
      </c>
      <c r="K1856" s="49">
        <f t="shared" si="3"/>
        <v>14</v>
      </c>
      <c r="L1856" s="49" t="b">
        <f t="shared" si="4"/>
        <v>0</v>
      </c>
      <c r="M1856" s="88">
        <f t="shared" si="5"/>
        <v>0</v>
      </c>
    </row>
    <row r="1857" ht="14.25" customHeight="1">
      <c r="A1857" s="49" t="s">
        <v>3284</v>
      </c>
      <c r="B1857" s="49" t="str">
        <f>IFERROR(__xludf.DUMMYFUNCTION("REGEXEXTRACT(A1857,""^cost\.(.*)\.[^.]+\.[^.]+$"")"),"quest.culinary_battle.finished")</f>
        <v>quest.culinary_battle.finished</v>
      </c>
      <c r="C1857" s="49" t="str">
        <f t="array" ref="C1857">_xlfn.XLOOKUP(
 B1857,
 tblTargets[TargetID],
 tblTargets[DisplayName],
 ""
)</f>
        <v>Culinary Battle Finished</v>
      </c>
      <c r="D1857" s="49" t="str">
        <f t="array" ref="D1857">_xlfn.XLOOKUP(
 B1857,
 tblTargets[TargetID],
 tblTargets[TargetType],
 ""
)</f>
        <v>QUEST</v>
      </c>
      <c r="E1857" s="49" t="s">
        <v>3143</v>
      </c>
      <c r="F1857" s="87">
        <f>IFERROR(__xludf.DUMMYFUNCTION("VALUE(REGEXEXTRACT(A1857,""([^.]+)$""))"),1.0)</f>
        <v>1</v>
      </c>
      <c r="G1857" s="49">
        <v>2.0</v>
      </c>
      <c r="H1857" s="26" t="b">
        <f>COUNTIFS(
 tblCostChecklist[RequirementID],A1857,
 tblCostChecklist[PlayerPaid],TRUE
)&gt;0</f>
        <v>0</v>
      </c>
      <c r="I1857" s="49">
        <f t="shared" si="1"/>
        <v>14</v>
      </c>
      <c r="J1857" s="49">
        <f t="shared" si="2"/>
        <v>0</v>
      </c>
      <c r="K1857" s="49">
        <f t="shared" si="3"/>
        <v>14</v>
      </c>
      <c r="L1857" s="49" t="b">
        <f t="shared" si="4"/>
        <v>0</v>
      </c>
      <c r="M1857" s="88">
        <f t="shared" si="5"/>
        <v>0</v>
      </c>
    </row>
    <row r="1858" ht="14.25" customHeight="1">
      <c r="A1858" s="49" t="s">
        <v>3278</v>
      </c>
      <c r="B1858" s="49" t="str">
        <f>IFERROR(__xludf.DUMMYFUNCTION("REGEXEXTRACT(A1858,""^cost\.(.*)\.[^.]+\.[^.]+$"")"),"quest.culinary_battle.finished")</f>
        <v>quest.culinary_battle.finished</v>
      </c>
      <c r="C1858" s="49" t="str">
        <f t="array" ref="C1858">_xlfn.XLOOKUP(
 B1858,
 tblTargets[TargetID],
 tblTargets[DisplayName],
 ""
)</f>
        <v>Culinary Battle Finished</v>
      </c>
      <c r="D1858" s="49" t="str">
        <f t="array" ref="D1858">_xlfn.XLOOKUP(
 B1858,
 tblTargets[TargetID],
 tblTargets[TargetType],
 ""
)</f>
        <v>QUEST</v>
      </c>
      <c r="E1858" s="49" t="s">
        <v>3279</v>
      </c>
      <c r="F1858" s="87">
        <f>IFERROR(__xludf.DUMMYFUNCTION("VALUE(REGEXEXTRACT(A1858,""([^.]+)$""))"),1.0)</f>
        <v>1</v>
      </c>
      <c r="G1858" s="49">
        <v>2.0</v>
      </c>
      <c r="H1858" s="26" t="b">
        <f>COUNTIFS(
 tblCostChecklist[RequirementID],A1858,
 tblCostChecklist[PlayerPaid],TRUE
)&gt;0</f>
        <v>0</v>
      </c>
      <c r="I1858" s="49">
        <f t="shared" si="1"/>
        <v>14</v>
      </c>
      <c r="J1858" s="49">
        <f t="shared" si="2"/>
        <v>0</v>
      </c>
      <c r="K1858" s="49">
        <f t="shared" si="3"/>
        <v>14</v>
      </c>
      <c r="L1858" s="49" t="b">
        <f t="shared" si="4"/>
        <v>0</v>
      </c>
      <c r="M1858" s="88">
        <f t="shared" si="5"/>
        <v>0</v>
      </c>
    </row>
    <row r="1859" ht="14.25" customHeight="1">
      <c r="A1859" s="49" t="s">
        <v>3273</v>
      </c>
      <c r="B1859" s="49" t="str">
        <f>IFERROR(__xludf.DUMMYFUNCTION("REGEXEXTRACT(A1859,""^cost\.(.*)\.[^.]+\.[^.]+$"")"),"quest.culinary_battle.finished")</f>
        <v>quest.culinary_battle.finished</v>
      </c>
      <c r="C1859" s="49" t="str">
        <f t="array" ref="C1859">_xlfn.XLOOKUP(
 B1859,
 tblTargets[TargetID],
 tblTargets[DisplayName],
 ""
)</f>
        <v>Culinary Battle Finished</v>
      </c>
      <c r="D1859" s="49" t="str">
        <f t="array" ref="D1859">_xlfn.XLOOKUP(
 B1859,
 tblTargets[TargetID],
 tblTargets[TargetType],
 ""
)</f>
        <v>QUEST</v>
      </c>
      <c r="E1859" s="49" t="s">
        <v>554</v>
      </c>
      <c r="F1859" s="87">
        <f>IFERROR(__xludf.DUMMYFUNCTION("VALUE(REGEXEXTRACT(A1859,""([^.]+)$""))"),1.0)</f>
        <v>1</v>
      </c>
      <c r="G1859" s="49">
        <v>2.0</v>
      </c>
      <c r="H1859" s="26" t="b">
        <f>COUNTIFS(
 tblCostChecklist[RequirementID],A1859,
 tblCostChecklist[PlayerPaid],TRUE
)&gt;0</f>
        <v>0</v>
      </c>
      <c r="I1859" s="49">
        <f t="shared" si="1"/>
        <v>14</v>
      </c>
      <c r="J1859" s="49">
        <f t="shared" si="2"/>
        <v>0</v>
      </c>
      <c r="K1859" s="49">
        <f t="shared" si="3"/>
        <v>14</v>
      </c>
      <c r="L1859" s="49" t="b">
        <f t="shared" si="4"/>
        <v>0</v>
      </c>
      <c r="M1859" s="88">
        <f t="shared" si="5"/>
        <v>0</v>
      </c>
    </row>
    <row r="1860" ht="14.25" customHeight="1">
      <c r="A1860" s="49" t="s">
        <v>3286</v>
      </c>
      <c r="B1860" s="49" t="str">
        <f>IFERROR(__xludf.DUMMYFUNCTION("REGEXEXTRACT(A1860,""^cost\.(.*)\.[^.]+\.[^.]+$"")"),"quest.culinary_battle.finished")</f>
        <v>quest.culinary_battle.finished</v>
      </c>
      <c r="C1860" s="49" t="str">
        <f t="array" ref="C1860">_xlfn.XLOOKUP(
 B1860,
 tblTargets[TargetID],
 tblTargets[DisplayName],
 ""
)</f>
        <v>Culinary Battle Finished</v>
      </c>
      <c r="D1860" s="49" t="str">
        <f t="array" ref="D1860">_xlfn.XLOOKUP(
 B1860,
 tblTargets[TargetID],
 tblTargets[TargetType],
 ""
)</f>
        <v>QUEST</v>
      </c>
      <c r="E1860" s="49" t="s">
        <v>2871</v>
      </c>
      <c r="F1860" s="87">
        <f>IFERROR(__xludf.DUMMYFUNCTION("VALUE(REGEXEXTRACT(A1860,""([^.]+)$""))"),1.0)</f>
        <v>1</v>
      </c>
      <c r="G1860" s="49">
        <v>2.0</v>
      </c>
      <c r="H1860" s="26" t="b">
        <f>COUNTIFS(
 tblCostChecklist[RequirementID],A1860,
 tblCostChecklist[PlayerPaid],TRUE
)&gt;0</f>
        <v>0</v>
      </c>
      <c r="I1860" s="49">
        <f t="shared" si="1"/>
        <v>14</v>
      </c>
      <c r="J1860" s="49">
        <f t="shared" si="2"/>
        <v>0</v>
      </c>
      <c r="K1860" s="49">
        <f t="shared" si="3"/>
        <v>14</v>
      </c>
      <c r="L1860" s="49" t="b">
        <f t="shared" si="4"/>
        <v>0</v>
      </c>
      <c r="M1860" s="88">
        <f t="shared" si="5"/>
        <v>0</v>
      </c>
    </row>
    <row r="1861" ht="14.25" customHeight="1">
      <c r="A1861" s="49" t="s">
        <v>3303</v>
      </c>
      <c r="B1861" s="49" t="str">
        <f>IFERROR(__xludf.DUMMYFUNCTION("REGEXEXTRACT(A1861,""^cost\.(.*)\.[^.]+\.[^.]+$"")"),"quest.culinary_battle.finished")</f>
        <v>quest.culinary_battle.finished</v>
      </c>
      <c r="C1861" s="49" t="str">
        <f t="array" ref="C1861">_xlfn.XLOOKUP(
 B1861,
 tblTargets[TargetID],
 tblTargets[DisplayName],
 ""
)</f>
        <v>Culinary Battle Finished</v>
      </c>
      <c r="D1861" s="49" t="str">
        <f t="array" ref="D1861">_xlfn.XLOOKUP(
 B1861,
 tblTargets[TargetID],
 tblTargets[TargetType],
 ""
)</f>
        <v>QUEST</v>
      </c>
      <c r="E1861" s="49" t="s">
        <v>405</v>
      </c>
      <c r="F1861" s="87">
        <f>IFERROR(__xludf.DUMMYFUNCTION("VALUE(REGEXEXTRACT(A1861,""([^.]+)$""))"),1.0)</f>
        <v>1</v>
      </c>
      <c r="G1861" s="49">
        <v>2.0</v>
      </c>
      <c r="H1861" s="26" t="b">
        <f>COUNTIFS(
 tblCostChecklist[RequirementID],A1861,
 tblCostChecklist[PlayerPaid],TRUE
)&gt;0</f>
        <v>0</v>
      </c>
      <c r="I1861" s="49">
        <f t="shared" si="1"/>
        <v>14</v>
      </c>
      <c r="J1861" s="49">
        <f t="shared" si="2"/>
        <v>0</v>
      </c>
      <c r="K1861" s="49">
        <f t="shared" si="3"/>
        <v>14</v>
      </c>
      <c r="L1861" s="49" t="b">
        <f t="shared" si="4"/>
        <v>0</v>
      </c>
      <c r="M1861" s="88">
        <f t="shared" si="5"/>
        <v>0</v>
      </c>
    </row>
    <row r="1862" ht="14.25" customHeight="1">
      <c r="A1862" s="49" t="s">
        <v>3300</v>
      </c>
      <c r="B1862" s="49" t="str">
        <f>IFERROR(__xludf.DUMMYFUNCTION("REGEXEXTRACT(A1862,""^cost\.(.*)\.[^.]+\.[^.]+$"")"),"quest.culinary_battle.finished")</f>
        <v>quest.culinary_battle.finished</v>
      </c>
      <c r="C1862" s="49" t="str">
        <f t="array" ref="C1862">_xlfn.XLOOKUP(
 B1862,
 tblTargets[TargetID],
 tblTargets[DisplayName],
 ""
)</f>
        <v>Culinary Battle Finished</v>
      </c>
      <c r="D1862" s="49" t="str">
        <f t="array" ref="D1862">_xlfn.XLOOKUP(
 B1862,
 tblTargets[TargetID],
 tblTargets[TargetType],
 ""
)</f>
        <v>QUEST</v>
      </c>
      <c r="E1862" s="49" t="s">
        <v>576</v>
      </c>
      <c r="F1862" s="87">
        <f>IFERROR(__xludf.DUMMYFUNCTION("VALUE(REGEXEXTRACT(A1862,""([^.]+)$""))"),1.0)</f>
        <v>1</v>
      </c>
      <c r="G1862" s="49">
        <v>2.0</v>
      </c>
      <c r="H1862" s="26" t="b">
        <f>COUNTIFS(
 tblCostChecklist[RequirementID],A1862,
 tblCostChecklist[PlayerPaid],TRUE
)&gt;0</f>
        <v>0</v>
      </c>
      <c r="I1862" s="49">
        <f t="shared" si="1"/>
        <v>14</v>
      </c>
      <c r="J1862" s="49">
        <f t="shared" si="2"/>
        <v>0</v>
      </c>
      <c r="K1862" s="49">
        <f t="shared" si="3"/>
        <v>14</v>
      </c>
      <c r="L1862" s="49" t="b">
        <f t="shared" si="4"/>
        <v>0</v>
      </c>
      <c r="M1862" s="88">
        <f t="shared" si="5"/>
        <v>0</v>
      </c>
    </row>
    <row r="1863" ht="14.25" customHeight="1">
      <c r="A1863" s="49" t="s">
        <v>3281</v>
      </c>
      <c r="B1863" s="49" t="str">
        <f>IFERROR(__xludf.DUMMYFUNCTION("REGEXEXTRACT(A1863,""^cost\.(.*)\.[^.]+\.[^.]+$"")"),"quest.culinary_battle.finished")</f>
        <v>quest.culinary_battle.finished</v>
      </c>
      <c r="C1863" s="49" t="str">
        <f t="array" ref="C1863">_xlfn.XLOOKUP(
 B1863,
 tblTargets[TargetID],
 tblTargets[DisplayName],
 ""
)</f>
        <v>Culinary Battle Finished</v>
      </c>
      <c r="D1863" s="49" t="str">
        <f t="array" ref="D1863">_xlfn.XLOOKUP(
 B1863,
 tblTargets[TargetID],
 tblTargets[TargetType],
 ""
)</f>
        <v>QUEST</v>
      </c>
      <c r="E1863" s="49" t="s">
        <v>3282</v>
      </c>
      <c r="F1863" s="87">
        <f>IFERROR(__xludf.DUMMYFUNCTION("VALUE(REGEXEXTRACT(A1863,""([^.]+)$""))"),1.0)</f>
        <v>1</v>
      </c>
      <c r="G1863" s="49">
        <v>2.0</v>
      </c>
      <c r="H1863" s="26" t="b">
        <f>COUNTIFS(
 tblCostChecklist[RequirementID],A1863,
 tblCostChecklist[PlayerPaid],TRUE
)&gt;0</f>
        <v>0</v>
      </c>
      <c r="I1863" s="49">
        <f t="shared" si="1"/>
        <v>14</v>
      </c>
      <c r="J1863" s="49">
        <f t="shared" si="2"/>
        <v>0</v>
      </c>
      <c r="K1863" s="49">
        <f t="shared" si="3"/>
        <v>14</v>
      </c>
      <c r="L1863" s="49" t="b">
        <f t="shared" si="4"/>
        <v>0</v>
      </c>
      <c r="M1863" s="88">
        <f t="shared" si="5"/>
        <v>0</v>
      </c>
    </row>
    <row r="1864" ht="14.25" customHeight="1">
      <c r="A1864" s="49" t="s">
        <v>3275</v>
      </c>
      <c r="B1864" s="49" t="str">
        <f>IFERROR(__xludf.DUMMYFUNCTION("REGEXEXTRACT(A1864,""^cost\.(.*)\.[^.]+\.[^.]+$"")"),"quest.culinary_battle.finished")</f>
        <v>quest.culinary_battle.finished</v>
      </c>
      <c r="C1864" s="49" t="str">
        <f t="array" ref="C1864">_xlfn.XLOOKUP(
 B1864,
 tblTargets[TargetID],
 tblTargets[DisplayName],
 ""
)</f>
        <v>Culinary Battle Finished</v>
      </c>
      <c r="D1864" s="49" t="str">
        <f t="array" ref="D1864">_xlfn.XLOOKUP(
 B1864,
 tblTargets[TargetID],
 tblTargets[TargetType],
 ""
)</f>
        <v>QUEST</v>
      </c>
      <c r="E1864" s="49" t="s">
        <v>2864</v>
      </c>
      <c r="F1864" s="87">
        <f>IFERROR(__xludf.DUMMYFUNCTION("VALUE(REGEXEXTRACT(A1864,""([^.]+)$""))"),1.0)</f>
        <v>1</v>
      </c>
      <c r="G1864" s="49">
        <v>2.0</v>
      </c>
      <c r="H1864" s="26" t="b">
        <f>COUNTIFS(
 tblCostChecklist[RequirementID],A1864,
 tblCostChecklist[PlayerPaid],TRUE
)&gt;0</f>
        <v>0</v>
      </c>
      <c r="I1864" s="49">
        <f t="shared" si="1"/>
        <v>14</v>
      </c>
      <c r="J1864" s="49">
        <f t="shared" si="2"/>
        <v>0</v>
      </c>
      <c r="K1864" s="49">
        <f t="shared" si="3"/>
        <v>14</v>
      </c>
      <c r="L1864" s="49" t="b">
        <f t="shared" si="4"/>
        <v>0</v>
      </c>
      <c r="M1864" s="88">
        <f t="shared" si="5"/>
        <v>0</v>
      </c>
    </row>
    <row r="1865" ht="14.25" customHeight="1">
      <c r="A1865" s="49" t="s">
        <v>3270</v>
      </c>
      <c r="B1865" s="49" t="str">
        <f>IFERROR(__xludf.DUMMYFUNCTION("REGEXEXTRACT(A1865,""^cost\.(.*)\.[^.]+\.[^.]+$"")"),"quest.culinary_battle.finished")</f>
        <v>quest.culinary_battle.finished</v>
      </c>
      <c r="C1865" s="49" t="str">
        <f t="array" ref="C1865">_xlfn.XLOOKUP(
 B1865,
 tblTargets[TargetID],
 tblTargets[DisplayName],
 ""
)</f>
        <v>Culinary Battle Finished</v>
      </c>
      <c r="D1865" s="49" t="str">
        <f t="array" ref="D1865">_xlfn.XLOOKUP(
 B1865,
 tblTargets[TargetID],
 tblTargets[TargetType],
 ""
)</f>
        <v>QUEST</v>
      </c>
      <c r="E1865" s="49" t="s">
        <v>3272</v>
      </c>
      <c r="F1865" s="87">
        <f>IFERROR(__xludf.DUMMYFUNCTION("VALUE(REGEXEXTRACT(A1865,""([^.]+)$""))"),1.0)</f>
        <v>1</v>
      </c>
      <c r="G1865" s="49">
        <v>2.0</v>
      </c>
      <c r="H1865" s="26" t="b">
        <f>COUNTIFS(
 tblCostChecklist[RequirementID],A1865,
 tblCostChecklist[PlayerPaid],TRUE
)&gt;0</f>
        <v>0</v>
      </c>
      <c r="I1865" s="49">
        <f t="shared" si="1"/>
        <v>14</v>
      </c>
      <c r="J1865" s="49">
        <f t="shared" si="2"/>
        <v>0</v>
      </c>
      <c r="K1865" s="49">
        <f t="shared" si="3"/>
        <v>14</v>
      </c>
      <c r="L1865" s="49" t="b">
        <f t="shared" si="4"/>
        <v>0</v>
      </c>
      <c r="M1865" s="88">
        <f t="shared" si="5"/>
        <v>0</v>
      </c>
    </row>
    <row r="1866" ht="14.25" customHeight="1">
      <c r="A1866" s="49" t="s">
        <v>3297</v>
      </c>
      <c r="B1866" s="49" t="str">
        <f>IFERROR(__xludf.DUMMYFUNCTION("REGEXEXTRACT(A1866,""^cost\.(.*)\.[^.]+\.[^.]+$"")"),"quest.culinary_battle.finished")</f>
        <v>quest.culinary_battle.finished</v>
      </c>
      <c r="C1866" s="49" t="str">
        <f t="array" ref="C1866">_xlfn.XLOOKUP(
 B1866,
 tblTargets[TargetID],
 tblTargets[DisplayName],
 ""
)</f>
        <v>Culinary Battle Finished</v>
      </c>
      <c r="D1866" s="49" t="str">
        <f t="array" ref="D1866">_xlfn.XLOOKUP(
 B1866,
 tblTargets[TargetID],
 tblTargets[TargetType],
 ""
)</f>
        <v>QUEST</v>
      </c>
      <c r="E1866" s="49" t="s">
        <v>3299</v>
      </c>
      <c r="F1866" s="87">
        <f>IFERROR(__xludf.DUMMYFUNCTION("VALUE(REGEXEXTRACT(A1866,""([^.]+)$""))"),1.0)</f>
        <v>1</v>
      </c>
      <c r="G1866" s="49">
        <v>2.0</v>
      </c>
      <c r="H1866" s="26" t="b">
        <f>COUNTIFS(
 tblCostChecklist[RequirementID],A1866,
 tblCostChecklist[PlayerPaid],TRUE
)&gt;0</f>
        <v>0</v>
      </c>
      <c r="I1866" s="49">
        <f t="shared" si="1"/>
        <v>14</v>
      </c>
      <c r="J1866" s="49">
        <f t="shared" si="2"/>
        <v>0</v>
      </c>
      <c r="K1866" s="49">
        <f t="shared" si="3"/>
        <v>14</v>
      </c>
      <c r="L1866" s="49" t="b">
        <f t="shared" si="4"/>
        <v>0</v>
      </c>
      <c r="M1866" s="88">
        <f t="shared" si="5"/>
        <v>0</v>
      </c>
    </row>
    <row r="1867" ht="14.25" customHeight="1">
      <c r="A1867" s="49" t="s">
        <v>3289</v>
      </c>
      <c r="B1867" s="49" t="str">
        <f>IFERROR(__xludf.DUMMYFUNCTION("REGEXEXTRACT(A1867,""^cost\.(.*)\.[^.]+\.[^.]+$"")"),"quest.culinary_battle.finished")</f>
        <v>quest.culinary_battle.finished</v>
      </c>
      <c r="C1867" s="49" t="str">
        <f t="array" ref="C1867">_xlfn.XLOOKUP(
 B1867,
 tblTargets[TargetID],
 tblTargets[DisplayName],
 ""
)</f>
        <v>Culinary Battle Finished</v>
      </c>
      <c r="D1867" s="49" t="str">
        <f t="array" ref="D1867">_xlfn.XLOOKUP(
 B1867,
 tblTargets[TargetID],
 tblTargets[TargetType],
 ""
)</f>
        <v>QUEST</v>
      </c>
      <c r="E1867" s="49" t="s">
        <v>3290</v>
      </c>
      <c r="F1867" s="87">
        <f>IFERROR(__xludf.DUMMYFUNCTION("VALUE(REGEXEXTRACT(A1867,""([^.]+)$""))"),1.0)</f>
        <v>1</v>
      </c>
      <c r="G1867" s="49">
        <v>2.0</v>
      </c>
      <c r="H1867" s="26" t="b">
        <f>COUNTIFS(
 tblCostChecklist[RequirementID],A1867,
 tblCostChecklist[PlayerPaid],TRUE
)&gt;0</f>
        <v>0</v>
      </c>
      <c r="I1867" s="49">
        <f t="shared" si="1"/>
        <v>14</v>
      </c>
      <c r="J1867" s="49">
        <f t="shared" si="2"/>
        <v>0</v>
      </c>
      <c r="K1867" s="49">
        <f t="shared" si="3"/>
        <v>14</v>
      </c>
      <c r="L1867" s="49" t="b">
        <f t="shared" si="4"/>
        <v>0</v>
      </c>
      <c r="M1867" s="88">
        <f t="shared" si="5"/>
        <v>0</v>
      </c>
    </row>
    <row r="1868" ht="14.25" customHeight="1">
      <c r="A1868" s="49" t="s">
        <v>3305</v>
      </c>
      <c r="B1868" s="49" t="str">
        <f>IFERROR(__xludf.DUMMYFUNCTION("REGEXEXTRACT(A1868,""^cost\.(.*)\.[^.]+\.[^.]+$"")"),"quest.culinary_battle.finished")</f>
        <v>quest.culinary_battle.finished</v>
      </c>
      <c r="C1868" s="49" t="str">
        <f t="array" ref="C1868">_xlfn.XLOOKUP(
 B1868,
 tblTargets[TargetID],
 tblTargets[DisplayName],
 ""
)</f>
        <v>Culinary Battle Finished</v>
      </c>
      <c r="D1868" s="49" t="str">
        <f t="array" ref="D1868">_xlfn.XLOOKUP(
 B1868,
 tblTargets[TargetID],
 tblTargets[TargetType],
 ""
)</f>
        <v>QUEST</v>
      </c>
      <c r="E1868" s="49" t="s">
        <v>2887</v>
      </c>
      <c r="F1868" s="87">
        <f>IFERROR(__xludf.DUMMYFUNCTION("VALUE(REGEXEXTRACT(A1868,""([^.]+)$""))"),1.0)</f>
        <v>1</v>
      </c>
      <c r="G1868" s="49">
        <v>2.0</v>
      </c>
      <c r="H1868" s="26" t="b">
        <f>COUNTIFS(
 tblCostChecklist[RequirementID],A1868,
 tblCostChecklist[PlayerPaid],TRUE
)&gt;0</f>
        <v>0</v>
      </c>
      <c r="I1868" s="49">
        <f t="shared" si="1"/>
        <v>14</v>
      </c>
      <c r="J1868" s="49">
        <f t="shared" si="2"/>
        <v>0</v>
      </c>
      <c r="K1868" s="49">
        <f t="shared" si="3"/>
        <v>14</v>
      </c>
      <c r="L1868" s="49" t="b">
        <f t="shared" si="4"/>
        <v>0</v>
      </c>
      <c r="M1868" s="88">
        <f t="shared" si="5"/>
        <v>0</v>
      </c>
    </row>
    <row r="1869" ht="14.25" customHeight="1">
      <c r="A1869" s="49" t="s">
        <v>3292</v>
      </c>
      <c r="B1869" s="49" t="str">
        <f>IFERROR(__xludf.DUMMYFUNCTION("REGEXEXTRACT(A1869,""^cost\.(.*)\.[^.]+\.[^.]+$"")"),"quest.culinary_battle.finished")</f>
        <v>quest.culinary_battle.finished</v>
      </c>
      <c r="C1869" s="49" t="str">
        <f t="array" ref="C1869">_xlfn.XLOOKUP(
 B1869,
 tblTargets[TargetID],
 tblTargets[DisplayName],
 ""
)</f>
        <v>Culinary Battle Finished</v>
      </c>
      <c r="D1869" s="49" t="str">
        <f t="array" ref="D1869">_xlfn.XLOOKUP(
 B1869,
 tblTargets[TargetID],
 tblTargets[TargetType],
 ""
)</f>
        <v>QUEST</v>
      </c>
      <c r="E1869" s="49" t="s">
        <v>3293</v>
      </c>
      <c r="F1869" s="87">
        <f>IFERROR(__xludf.DUMMYFUNCTION("VALUE(REGEXEXTRACT(A1869,""([^.]+)$""))"),1.0)</f>
        <v>1</v>
      </c>
      <c r="G1869" s="49">
        <v>2.0</v>
      </c>
      <c r="H1869" s="26" t="b">
        <f>COUNTIFS(
 tblCostChecklist[RequirementID],A1869,
 tblCostChecklist[PlayerPaid],TRUE
)&gt;0</f>
        <v>0</v>
      </c>
      <c r="I1869" s="49">
        <f t="shared" si="1"/>
        <v>14</v>
      </c>
      <c r="J1869" s="49">
        <f t="shared" si="2"/>
        <v>0</v>
      </c>
      <c r="K1869" s="49">
        <f t="shared" si="3"/>
        <v>14</v>
      </c>
      <c r="L1869" s="49" t="b">
        <f t="shared" si="4"/>
        <v>0</v>
      </c>
      <c r="M1869" s="88">
        <f t="shared" si="5"/>
        <v>0</v>
      </c>
    </row>
    <row r="1870" ht="14.25" customHeight="1">
      <c r="A1870" s="49" t="s">
        <v>3359</v>
      </c>
      <c r="B1870" s="49" t="str">
        <f>IFERROR(__xludf.DUMMYFUNCTION("REGEXEXTRACT(A1870,""^cost\.(.*)\.[^.]+\.[^.]+$"")"),"quest.festival.finished")</f>
        <v>quest.festival.finished</v>
      </c>
      <c r="C1870" s="49" t="str">
        <f t="array" ref="C1870">_xlfn.XLOOKUP(
 B1870,
 tblTargets[TargetID],
 tblTargets[DisplayName],
 ""
)</f>
        <v>Festival Finished</v>
      </c>
      <c r="D1870" s="49" t="str">
        <f t="array" ref="D1870">_xlfn.XLOOKUP(
 B1870,
 tblTargets[TargetID],
 tblTargets[TargetType],
 ""
)</f>
        <v>QUEST</v>
      </c>
      <c r="E1870" s="49" t="s">
        <v>2083</v>
      </c>
      <c r="F1870" s="87">
        <f>IFERROR(__xludf.DUMMYFUNCTION("VALUE(REGEXEXTRACT(A1870,""([^.]+)$""))"),1.0)</f>
        <v>1</v>
      </c>
      <c r="G1870" s="49">
        <v>5.0</v>
      </c>
      <c r="H1870" s="26" t="b">
        <f>COUNTIFS(
 tblCostChecklist[RequirementID],A1870,
 tblCostChecklist[PlayerPaid],TRUE
)&gt;0</f>
        <v>0</v>
      </c>
      <c r="I1870" s="49">
        <f t="shared" si="1"/>
        <v>6</v>
      </c>
      <c r="J1870" s="49">
        <f t="shared" si="2"/>
        <v>0</v>
      </c>
      <c r="K1870" s="49">
        <f t="shared" si="3"/>
        <v>6</v>
      </c>
      <c r="L1870" s="49" t="b">
        <f t="shared" si="4"/>
        <v>0</v>
      </c>
      <c r="M1870" s="88">
        <f t="shared" si="5"/>
        <v>0</v>
      </c>
    </row>
    <row r="1871" ht="14.25" customHeight="1">
      <c r="A1871" s="49" t="s">
        <v>3355</v>
      </c>
      <c r="B1871" s="49" t="str">
        <f>IFERROR(__xludf.DUMMYFUNCTION("REGEXEXTRACT(A1871,""^cost\.(.*)\.[^.]+\.[^.]+$"")"),"quest.festival.finished")</f>
        <v>quest.festival.finished</v>
      </c>
      <c r="C1871" s="49" t="str">
        <f t="array" ref="C1871">_xlfn.XLOOKUP(
 B1871,
 tblTargets[TargetID],
 tblTargets[DisplayName],
 ""
)</f>
        <v>Festival Finished</v>
      </c>
      <c r="D1871" s="49" t="str">
        <f t="array" ref="D1871">_xlfn.XLOOKUP(
 B1871,
 tblTargets[TargetID],
 tblTargets[TargetType],
 ""
)</f>
        <v>QUEST</v>
      </c>
      <c r="E1871" s="49" t="s">
        <v>2404</v>
      </c>
      <c r="F1871" s="87">
        <f>IFERROR(__xludf.DUMMYFUNCTION("VALUE(REGEXEXTRACT(A1871,""([^.]+)$""))"),1.0)</f>
        <v>1</v>
      </c>
      <c r="G1871" s="49">
        <v>10.0</v>
      </c>
      <c r="H1871" s="26" t="b">
        <f>COUNTIFS(
 tblCostChecklist[RequirementID],A1871,
 tblCostChecklist[PlayerPaid],TRUE
)&gt;0</f>
        <v>0</v>
      </c>
      <c r="I1871" s="49">
        <f t="shared" si="1"/>
        <v>6</v>
      </c>
      <c r="J1871" s="49">
        <f t="shared" si="2"/>
        <v>0</v>
      </c>
      <c r="K1871" s="49">
        <f t="shared" si="3"/>
        <v>6</v>
      </c>
      <c r="L1871" s="49" t="b">
        <f t="shared" si="4"/>
        <v>0</v>
      </c>
      <c r="M1871" s="88">
        <f t="shared" si="5"/>
        <v>0</v>
      </c>
    </row>
    <row r="1872" ht="14.25" customHeight="1">
      <c r="A1872" s="49" t="s">
        <v>3363</v>
      </c>
      <c r="B1872" s="49" t="str">
        <f>IFERROR(__xludf.DUMMYFUNCTION("REGEXEXTRACT(A1872,""^cost\.(.*)\.[^.]+\.[^.]+$"")"),"quest.festival.finished")</f>
        <v>quest.festival.finished</v>
      </c>
      <c r="C1872" s="49" t="str">
        <f t="array" ref="C1872">_xlfn.XLOOKUP(
 B1872,
 tblTargets[TargetID],
 tblTargets[DisplayName],
 ""
)</f>
        <v>Festival Finished</v>
      </c>
      <c r="D1872" s="49" t="str">
        <f t="array" ref="D1872">_xlfn.XLOOKUP(
 B1872,
 tblTargets[TargetID],
 tblTargets[TargetType],
 ""
)</f>
        <v>QUEST</v>
      </c>
      <c r="E1872" s="49" t="s">
        <v>405</v>
      </c>
      <c r="F1872" s="87">
        <f>IFERROR(__xludf.DUMMYFUNCTION("VALUE(REGEXEXTRACT(A1872,""([^.]+)$""))"),1.0)</f>
        <v>1</v>
      </c>
      <c r="G1872" s="49">
        <v>10.0</v>
      </c>
      <c r="H1872" s="26" t="b">
        <f>COUNTIFS(
 tblCostChecklist[RequirementID],A1872,
 tblCostChecklist[PlayerPaid],TRUE
)&gt;0</f>
        <v>0</v>
      </c>
      <c r="I1872" s="49">
        <f t="shared" si="1"/>
        <v>6</v>
      </c>
      <c r="J1872" s="49">
        <f t="shared" si="2"/>
        <v>0</v>
      </c>
      <c r="K1872" s="49">
        <f t="shared" si="3"/>
        <v>6</v>
      </c>
      <c r="L1872" s="49" t="b">
        <f t="shared" si="4"/>
        <v>0</v>
      </c>
      <c r="M1872" s="88">
        <f t="shared" si="5"/>
        <v>0</v>
      </c>
    </row>
    <row r="1873" ht="14.25" customHeight="1">
      <c r="A1873" s="49" t="s">
        <v>3361</v>
      </c>
      <c r="B1873" s="49" t="str">
        <f>IFERROR(__xludf.DUMMYFUNCTION("REGEXEXTRACT(A1873,""^cost\.(.*)\.[^.]+\.[^.]+$"")"),"quest.festival.finished")</f>
        <v>quest.festival.finished</v>
      </c>
      <c r="C1873" s="49" t="str">
        <f t="array" ref="C1873">_xlfn.XLOOKUP(
 B1873,
 tblTargets[TargetID],
 tblTargets[DisplayName],
 ""
)</f>
        <v>Festival Finished</v>
      </c>
      <c r="D1873" s="49" t="str">
        <f t="array" ref="D1873">_xlfn.XLOOKUP(
 B1873,
 tblTargets[TargetID],
 tblTargets[TargetType],
 ""
)</f>
        <v>QUEST</v>
      </c>
      <c r="E1873" s="49" t="s">
        <v>576</v>
      </c>
      <c r="F1873" s="87">
        <f>IFERROR(__xludf.DUMMYFUNCTION("VALUE(REGEXEXTRACT(A1873,""([^.]+)$""))"),1.0)</f>
        <v>1</v>
      </c>
      <c r="G1873" s="49">
        <v>5.0</v>
      </c>
      <c r="H1873" s="26" t="b">
        <f>COUNTIFS(
 tblCostChecklist[RequirementID],A1873,
 tblCostChecklist[PlayerPaid],TRUE
)&gt;0</f>
        <v>0</v>
      </c>
      <c r="I1873" s="49">
        <f t="shared" si="1"/>
        <v>6</v>
      </c>
      <c r="J1873" s="49">
        <f t="shared" si="2"/>
        <v>0</v>
      </c>
      <c r="K1873" s="49">
        <f t="shared" si="3"/>
        <v>6</v>
      </c>
      <c r="L1873" s="49" t="b">
        <f t="shared" si="4"/>
        <v>0</v>
      </c>
      <c r="M1873" s="88">
        <f t="shared" si="5"/>
        <v>0</v>
      </c>
    </row>
    <row r="1874" ht="14.25" customHeight="1">
      <c r="A1874" s="49" t="s">
        <v>3353</v>
      </c>
      <c r="B1874" s="49" t="str">
        <f>IFERROR(__xludf.DUMMYFUNCTION("REGEXEXTRACT(A1874,""^cost\.(.*)\.[^.]+\.[^.]+$"")"),"quest.festival.finished")</f>
        <v>quest.festival.finished</v>
      </c>
      <c r="C1874" s="49" t="str">
        <f t="array" ref="C1874">_xlfn.XLOOKUP(
 B1874,
 tblTargets[TargetID],
 tblTargets[DisplayName],
 ""
)</f>
        <v>Festival Finished</v>
      </c>
      <c r="D1874" s="49" t="str">
        <f t="array" ref="D1874">_xlfn.XLOOKUP(
 B1874,
 tblTargets[TargetID],
 tblTargets[TargetType],
 ""
)</f>
        <v>QUEST</v>
      </c>
      <c r="E1874" s="49" t="s">
        <v>2864</v>
      </c>
      <c r="F1874" s="87">
        <f>IFERROR(__xludf.DUMMYFUNCTION("VALUE(REGEXEXTRACT(A1874,""([^.]+)$""))"),1.0)</f>
        <v>1</v>
      </c>
      <c r="G1874" s="49">
        <v>5.0</v>
      </c>
      <c r="H1874" s="26" t="b">
        <f>COUNTIFS(
 tblCostChecklist[RequirementID],A1874,
 tblCostChecklist[PlayerPaid],TRUE
)&gt;0</f>
        <v>0</v>
      </c>
      <c r="I1874" s="49">
        <f t="shared" si="1"/>
        <v>6</v>
      </c>
      <c r="J1874" s="49">
        <f t="shared" si="2"/>
        <v>0</v>
      </c>
      <c r="K1874" s="49">
        <f t="shared" si="3"/>
        <v>6</v>
      </c>
      <c r="L1874" s="49" t="b">
        <f t="shared" si="4"/>
        <v>0</v>
      </c>
      <c r="M1874" s="88">
        <f t="shared" si="5"/>
        <v>0</v>
      </c>
    </row>
    <row r="1875" ht="14.25" customHeight="1">
      <c r="A1875" s="49" t="s">
        <v>3357</v>
      </c>
      <c r="B1875" s="49" t="str">
        <f>IFERROR(__xludf.DUMMYFUNCTION("REGEXEXTRACT(A1875,""^cost\.(.*)\.[^.]+\.[^.]+$"")"),"quest.festival.finished")</f>
        <v>quest.festival.finished</v>
      </c>
      <c r="C1875" s="49" t="str">
        <f t="array" ref="C1875">_xlfn.XLOOKUP(
 B1875,
 tblTargets[TargetID],
 tblTargets[DisplayName],
 ""
)</f>
        <v>Festival Finished</v>
      </c>
      <c r="D1875" s="49" t="str">
        <f t="array" ref="D1875">_xlfn.XLOOKUP(
 B1875,
 tblTargets[TargetID],
 tblTargets[TargetType],
 ""
)</f>
        <v>QUEST</v>
      </c>
      <c r="E1875" s="49" t="s">
        <v>2486</v>
      </c>
      <c r="F1875" s="87">
        <f>IFERROR(__xludf.DUMMYFUNCTION("VALUE(REGEXEXTRACT(A1875,""([^.]+)$""))"),1.0)</f>
        <v>1</v>
      </c>
      <c r="G1875" s="49">
        <v>5.0</v>
      </c>
      <c r="H1875" s="26" t="b">
        <f>COUNTIFS(
 tblCostChecklist[RequirementID],A1875,
 tblCostChecklist[PlayerPaid],TRUE
)&gt;0</f>
        <v>0</v>
      </c>
      <c r="I1875" s="49">
        <f t="shared" si="1"/>
        <v>6</v>
      </c>
      <c r="J1875" s="49">
        <f t="shared" si="2"/>
        <v>0</v>
      </c>
      <c r="K1875" s="49">
        <f t="shared" si="3"/>
        <v>6</v>
      </c>
      <c r="L1875" s="49" t="b">
        <f t="shared" si="4"/>
        <v>0</v>
      </c>
      <c r="M1875" s="88">
        <f t="shared" si="5"/>
        <v>0</v>
      </c>
    </row>
    <row r="1876" ht="14.25" customHeight="1">
      <c r="A1876" s="49" t="s">
        <v>3345</v>
      </c>
      <c r="B1876" s="49" t="str">
        <f>IFERROR(__xludf.DUMMYFUNCTION("REGEXEXTRACT(A1876,""^cost\.(.*)\.[^.]+\.[^.]+$"")"),"quest.festival_returns.finished")</f>
        <v>quest.festival_returns.finished</v>
      </c>
      <c r="C1876" s="49" t="str">
        <f t="array" ref="C1876">_xlfn.XLOOKUP(
 B1876,
 tblTargets[TargetID],
 tblTargets[DisplayName],
 ""
)</f>
        <v>Festival Returns Finished</v>
      </c>
      <c r="D1876" s="49" t="str">
        <f t="array" ref="D1876">_xlfn.XLOOKUP(
 B1876,
 tblTargets[TargetID],
 tblTargets[TargetType],
 ""
)</f>
        <v>QUEST</v>
      </c>
      <c r="E1876" s="49" t="s">
        <v>2083</v>
      </c>
      <c r="F1876" s="87">
        <f>IFERROR(__xludf.DUMMYFUNCTION("VALUE(REGEXEXTRACT(A1876,""([^.]+)$""))"),1.0)</f>
        <v>1</v>
      </c>
      <c r="G1876" s="49">
        <v>10.0</v>
      </c>
      <c r="H1876" s="26" t="b">
        <f>COUNTIFS(
 tblCostChecklist[RequirementID],A1876,
 tblCostChecklist[PlayerPaid],TRUE
)&gt;0</f>
        <v>0</v>
      </c>
      <c r="I1876" s="49">
        <f t="shared" si="1"/>
        <v>9</v>
      </c>
      <c r="J1876" s="49">
        <f t="shared" si="2"/>
        <v>0</v>
      </c>
      <c r="K1876" s="49">
        <f t="shared" si="3"/>
        <v>9</v>
      </c>
      <c r="L1876" s="49" t="b">
        <f t="shared" si="4"/>
        <v>0</v>
      </c>
      <c r="M1876" s="88">
        <f t="shared" si="5"/>
        <v>0</v>
      </c>
    </row>
    <row r="1877" ht="14.25" customHeight="1">
      <c r="A1877" s="49" t="s">
        <v>3341</v>
      </c>
      <c r="B1877" s="49" t="str">
        <f>IFERROR(__xludf.DUMMYFUNCTION("REGEXEXTRACT(A1877,""^cost\.(.*)\.[^.]+\.[^.]+$"")"),"quest.festival_returns.finished")</f>
        <v>quest.festival_returns.finished</v>
      </c>
      <c r="C1877" s="49" t="str">
        <f t="array" ref="C1877">_xlfn.XLOOKUP(
 B1877,
 tblTargets[TargetID],
 tblTargets[DisplayName],
 ""
)</f>
        <v>Festival Returns Finished</v>
      </c>
      <c r="D1877" s="49" t="str">
        <f t="array" ref="D1877">_xlfn.XLOOKUP(
 B1877,
 tblTargets[TargetID],
 tblTargets[TargetType],
 ""
)</f>
        <v>QUEST</v>
      </c>
      <c r="E1877" s="49" t="s">
        <v>2404</v>
      </c>
      <c r="F1877" s="87">
        <f>IFERROR(__xludf.DUMMYFUNCTION("VALUE(REGEXEXTRACT(A1877,""([^.]+)$""))"),1.0)</f>
        <v>1</v>
      </c>
      <c r="G1877" s="49">
        <v>10.0</v>
      </c>
      <c r="H1877" s="26" t="b">
        <f>COUNTIFS(
 tblCostChecklist[RequirementID],A1877,
 tblCostChecklist[PlayerPaid],TRUE
)&gt;0</f>
        <v>0</v>
      </c>
      <c r="I1877" s="49">
        <f t="shared" si="1"/>
        <v>9</v>
      </c>
      <c r="J1877" s="49">
        <f t="shared" si="2"/>
        <v>0</v>
      </c>
      <c r="K1877" s="49">
        <f t="shared" si="3"/>
        <v>9</v>
      </c>
      <c r="L1877" s="49" t="b">
        <f t="shared" si="4"/>
        <v>0</v>
      </c>
      <c r="M1877" s="88">
        <f t="shared" si="5"/>
        <v>0</v>
      </c>
    </row>
    <row r="1878" ht="14.25" customHeight="1">
      <c r="A1878" s="49" t="s">
        <v>3339</v>
      </c>
      <c r="B1878" s="49" t="str">
        <f>IFERROR(__xludf.DUMMYFUNCTION("REGEXEXTRACT(A1878,""^cost\.(.*)\.[^.]+\.[^.]+$"")"),"quest.festival_returns.finished")</f>
        <v>quest.festival_returns.finished</v>
      </c>
      <c r="C1878" s="49" t="str">
        <f t="array" ref="C1878">_xlfn.XLOOKUP(
 B1878,
 tblTargets[TargetID],
 tblTargets[DisplayName],
 ""
)</f>
        <v>Festival Returns Finished</v>
      </c>
      <c r="D1878" s="49" t="str">
        <f t="array" ref="D1878">_xlfn.XLOOKUP(
 B1878,
 tblTargets[TargetID],
 tblTargets[TargetType],
 ""
)</f>
        <v>QUEST</v>
      </c>
      <c r="E1878" s="49" t="s">
        <v>1066</v>
      </c>
      <c r="F1878" s="87">
        <f>IFERROR(__xludf.DUMMYFUNCTION("VALUE(REGEXEXTRACT(A1878,""([^.]+)$""))"),1.0)</f>
        <v>1</v>
      </c>
      <c r="G1878" s="49">
        <v>10.0</v>
      </c>
      <c r="H1878" s="26" t="b">
        <f>COUNTIFS(
 tblCostChecklist[RequirementID],A1878,
 tblCostChecklist[PlayerPaid],TRUE
)&gt;0</f>
        <v>0</v>
      </c>
      <c r="I1878" s="49">
        <f t="shared" si="1"/>
        <v>9</v>
      </c>
      <c r="J1878" s="49">
        <f t="shared" si="2"/>
        <v>0</v>
      </c>
      <c r="K1878" s="49">
        <f t="shared" si="3"/>
        <v>9</v>
      </c>
      <c r="L1878" s="49" t="b">
        <f t="shared" si="4"/>
        <v>0</v>
      </c>
      <c r="M1878" s="88">
        <f t="shared" si="5"/>
        <v>0</v>
      </c>
    </row>
    <row r="1879" ht="14.25" customHeight="1">
      <c r="A1879" s="49" t="s">
        <v>3347</v>
      </c>
      <c r="B1879" s="49" t="str">
        <f>IFERROR(__xludf.DUMMYFUNCTION("REGEXEXTRACT(A1879,""^cost\.(.*)\.[^.]+\.[^.]+$"")"),"quest.festival_returns.finished")</f>
        <v>quest.festival_returns.finished</v>
      </c>
      <c r="C1879" s="49" t="str">
        <f t="array" ref="C1879">_xlfn.XLOOKUP(
 B1879,
 tblTargets[TargetID],
 tblTargets[DisplayName],
 ""
)</f>
        <v>Festival Returns Finished</v>
      </c>
      <c r="D1879" s="49" t="str">
        <f t="array" ref="D1879">_xlfn.XLOOKUP(
 B1879,
 tblTargets[TargetID],
 tblTargets[TargetType],
 ""
)</f>
        <v>QUEST</v>
      </c>
      <c r="E1879" s="49" t="s">
        <v>3146</v>
      </c>
      <c r="F1879" s="87">
        <f>IFERROR(__xludf.DUMMYFUNCTION("VALUE(REGEXEXTRACT(A1879,""([^.]+)$""))"),1.0)</f>
        <v>1</v>
      </c>
      <c r="G1879" s="49">
        <v>10.0</v>
      </c>
      <c r="H1879" s="26" t="b">
        <f>COUNTIFS(
 tblCostChecklist[RequirementID],A1879,
 tblCostChecklist[PlayerPaid],TRUE
)&gt;0</f>
        <v>0</v>
      </c>
      <c r="I1879" s="49">
        <f t="shared" si="1"/>
        <v>9</v>
      </c>
      <c r="J1879" s="49">
        <f t="shared" si="2"/>
        <v>0</v>
      </c>
      <c r="K1879" s="49">
        <f t="shared" si="3"/>
        <v>9</v>
      </c>
      <c r="L1879" s="49" t="b">
        <f t="shared" si="4"/>
        <v>0</v>
      </c>
      <c r="M1879" s="88">
        <f t="shared" si="5"/>
        <v>0</v>
      </c>
    </row>
    <row r="1880" ht="14.25" customHeight="1">
      <c r="A1880" s="49" t="s">
        <v>3337</v>
      </c>
      <c r="B1880" s="49" t="str">
        <f>IFERROR(__xludf.DUMMYFUNCTION("REGEXEXTRACT(A1880,""^cost\.(.*)\.[^.]+\.[^.]+$"")"),"quest.festival_returns.finished")</f>
        <v>quest.festival_returns.finished</v>
      </c>
      <c r="C1880" s="49" t="str">
        <f t="array" ref="C1880">_xlfn.XLOOKUP(
 B1880,
 tblTargets[TargetID],
 tblTargets[DisplayName],
 ""
)</f>
        <v>Festival Returns Finished</v>
      </c>
      <c r="D1880" s="49" t="str">
        <f t="array" ref="D1880">_xlfn.XLOOKUP(
 B1880,
 tblTargets[TargetID],
 tblTargets[TargetType],
 ""
)</f>
        <v>QUEST</v>
      </c>
      <c r="E1880" s="49" t="s">
        <v>3279</v>
      </c>
      <c r="F1880" s="87">
        <f>IFERROR(__xludf.DUMMYFUNCTION("VALUE(REGEXEXTRACT(A1880,""([^.]+)$""))"),1.0)</f>
        <v>1</v>
      </c>
      <c r="G1880" s="49">
        <v>10.0</v>
      </c>
      <c r="H1880" s="26" t="b">
        <f>COUNTIFS(
 tblCostChecklist[RequirementID],A1880,
 tblCostChecklist[PlayerPaid],TRUE
)&gt;0</f>
        <v>0</v>
      </c>
      <c r="I1880" s="49">
        <f t="shared" si="1"/>
        <v>9</v>
      </c>
      <c r="J1880" s="49">
        <f t="shared" si="2"/>
        <v>0</v>
      </c>
      <c r="K1880" s="49">
        <f t="shared" si="3"/>
        <v>9</v>
      </c>
      <c r="L1880" s="49" t="b">
        <f t="shared" si="4"/>
        <v>0</v>
      </c>
      <c r="M1880" s="88">
        <f t="shared" si="5"/>
        <v>0</v>
      </c>
    </row>
    <row r="1881" ht="14.25" customHeight="1">
      <c r="A1881" s="49" t="s">
        <v>3335</v>
      </c>
      <c r="B1881" s="49" t="str">
        <f>IFERROR(__xludf.DUMMYFUNCTION("REGEXEXTRACT(A1881,""^cost\.(.*)\.[^.]+\.[^.]+$"")"),"quest.festival_returns.finished")</f>
        <v>quest.festival_returns.finished</v>
      </c>
      <c r="C1881" s="49" t="str">
        <f t="array" ref="C1881">_xlfn.XLOOKUP(
 B1881,
 tblTargets[TargetID],
 tblTargets[DisplayName],
 ""
)</f>
        <v>Festival Returns Finished</v>
      </c>
      <c r="D1881" s="49" t="str">
        <f t="array" ref="D1881">_xlfn.XLOOKUP(
 B1881,
 tblTargets[TargetID],
 tblTargets[TargetType],
 ""
)</f>
        <v>QUEST</v>
      </c>
      <c r="E1881" s="49" t="s">
        <v>554</v>
      </c>
      <c r="F1881" s="87">
        <f>IFERROR(__xludf.DUMMYFUNCTION("VALUE(REGEXEXTRACT(A1881,""([^.]+)$""))"),1.0)</f>
        <v>1</v>
      </c>
      <c r="G1881" s="49">
        <v>10.0</v>
      </c>
      <c r="H1881" s="26" t="b">
        <f>COUNTIFS(
 tblCostChecklist[RequirementID],A1881,
 tblCostChecklist[PlayerPaid],TRUE
)&gt;0</f>
        <v>0</v>
      </c>
      <c r="I1881" s="49">
        <f t="shared" si="1"/>
        <v>9</v>
      </c>
      <c r="J1881" s="49">
        <f t="shared" si="2"/>
        <v>0</v>
      </c>
      <c r="K1881" s="49">
        <f t="shared" si="3"/>
        <v>9</v>
      </c>
      <c r="L1881" s="49" t="b">
        <f t="shared" si="4"/>
        <v>0</v>
      </c>
      <c r="M1881" s="88">
        <f t="shared" si="5"/>
        <v>0</v>
      </c>
    </row>
    <row r="1882" ht="14.25" customHeight="1">
      <c r="A1882" s="49" t="s">
        <v>3349</v>
      </c>
      <c r="B1882" s="49" t="str">
        <f>IFERROR(__xludf.DUMMYFUNCTION("REGEXEXTRACT(A1882,""^cost\.(.*)\.[^.]+\.[^.]+$"")"),"quest.festival_returns.finished")</f>
        <v>quest.festival_returns.finished</v>
      </c>
      <c r="C1882" s="49" t="str">
        <f t="array" ref="C1882">_xlfn.XLOOKUP(
 B1882,
 tblTargets[TargetID],
 tblTargets[DisplayName],
 ""
)</f>
        <v>Festival Returns Finished</v>
      </c>
      <c r="D1882" s="49" t="str">
        <f t="array" ref="D1882">_xlfn.XLOOKUP(
 B1882,
 tblTargets[TargetID],
 tblTargets[TargetType],
 ""
)</f>
        <v>QUEST</v>
      </c>
      <c r="E1882" s="49" t="s">
        <v>3299</v>
      </c>
      <c r="F1882" s="87">
        <f>IFERROR(__xludf.DUMMYFUNCTION("VALUE(REGEXEXTRACT(A1882,""([^.]+)$""))"),1.0)</f>
        <v>1</v>
      </c>
      <c r="G1882" s="49">
        <v>10.0</v>
      </c>
      <c r="H1882" s="26" t="b">
        <f>COUNTIFS(
 tblCostChecklist[RequirementID],A1882,
 tblCostChecklist[PlayerPaid],TRUE
)&gt;0</f>
        <v>0</v>
      </c>
      <c r="I1882" s="49">
        <f t="shared" si="1"/>
        <v>9</v>
      </c>
      <c r="J1882" s="49">
        <f t="shared" si="2"/>
        <v>0</v>
      </c>
      <c r="K1882" s="49">
        <f t="shared" si="3"/>
        <v>9</v>
      </c>
      <c r="L1882" s="49" t="b">
        <f t="shared" si="4"/>
        <v>0</v>
      </c>
      <c r="M1882" s="88">
        <f t="shared" si="5"/>
        <v>0</v>
      </c>
    </row>
    <row r="1883" ht="14.25" customHeight="1">
      <c r="A1883" s="49" t="s">
        <v>3333</v>
      </c>
      <c r="B1883" s="49" t="str">
        <f>IFERROR(__xludf.DUMMYFUNCTION("REGEXEXTRACT(A1883,""^cost\.(.*)\.[^.]+\.[^.]+$"")"),"quest.festival_returns.finished")</f>
        <v>quest.festival_returns.finished</v>
      </c>
      <c r="C1883" s="49" t="str">
        <f t="array" ref="C1883">_xlfn.XLOOKUP(
 B1883,
 tblTargets[TargetID],
 tblTargets[DisplayName],
 ""
)</f>
        <v>Festival Returns Finished</v>
      </c>
      <c r="D1883" s="49" t="str">
        <f t="array" ref="D1883">_xlfn.XLOOKUP(
 B1883,
 tblTargets[TargetID],
 tblTargets[TargetType],
 ""
)</f>
        <v>QUEST</v>
      </c>
      <c r="E1883" s="49" t="s">
        <v>3272</v>
      </c>
      <c r="F1883" s="87">
        <f>IFERROR(__xludf.DUMMYFUNCTION("VALUE(REGEXEXTRACT(A1883,""([^.]+)$""))"),1.0)</f>
        <v>1</v>
      </c>
      <c r="G1883" s="49">
        <v>20.0</v>
      </c>
      <c r="H1883" s="26" t="b">
        <f>COUNTIFS(
 tblCostChecklist[RequirementID],A1883,
 tblCostChecklist[PlayerPaid],TRUE
)&gt;0</f>
        <v>0</v>
      </c>
      <c r="I1883" s="49">
        <f t="shared" si="1"/>
        <v>9</v>
      </c>
      <c r="J1883" s="49">
        <f t="shared" si="2"/>
        <v>0</v>
      </c>
      <c r="K1883" s="49">
        <f t="shared" si="3"/>
        <v>9</v>
      </c>
      <c r="L1883" s="49" t="b">
        <f t="shared" si="4"/>
        <v>0</v>
      </c>
      <c r="M1883" s="88">
        <f t="shared" si="5"/>
        <v>0</v>
      </c>
    </row>
    <row r="1884" ht="14.25" customHeight="1">
      <c r="A1884" s="49" t="s">
        <v>3351</v>
      </c>
      <c r="B1884" s="49" t="str">
        <f>IFERROR(__xludf.DUMMYFUNCTION("REGEXEXTRACT(A1884,""^cost\.(.*)\.[^.]+\.[^.]+$"")"),"quest.festival_returns.finished")</f>
        <v>quest.festival_returns.finished</v>
      </c>
      <c r="C1884" s="49" t="str">
        <f t="array" ref="C1884">_xlfn.XLOOKUP(
 B1884,
 tblTargets[TargetID],
 tblTargets[DisplayName],
 ""
)</f>
        <v>Festival Returns Finished</v>
      </c>
      <c r="D1884" s="49" t="str">
        <f t="array" ref="D1884">_xlfn.XLOOKUP(
 B1884,
 tblTargets[TargetID],
 tblTargets[TargetType],
 ""
)</f>
        <v>QUEST</v>
      </c>
      <c r="E1884" s="49" t="s">
        <v>609</v>
      </c>
      <c r="F1884" s="87">
        <f>IFERROR(__xludf.DUMMYFUNCTION("VALUE(REGEXEXTRACT(A1884,""([^.]+)$""))"),1.0)</f>
        <v>1</v>
      </c>
      <c r="G1884" s="49">
        <v>10.0</v>
      </c>
      <c r="H1884" s="26" t="b">
        <f>COUNTIFS(
 tblCostChecklist[RequirementID],A1884,
 tblCostChecklist[PlayerPaid],TRUE
)&gt;0</f>
        <v>0</v>
      </c>
      <c r="I1884" s="49">
        <f t="shared" si="1"/>
        <v>9</v>
      </c>
      <c r="J1884" s="49">
        <f t="shared" si="2"/>
        <v>0</v>
      </c>
      <c r="K1884" s="49">
        <f t="shared" si="3"/>
        <v>9</v>
      </c>
      <c r="L1884" s="49" t="b">
        <f t="shared" si="4"/>
        <v>0</v>
      </c>
      <c r="M1884" s="88">
        <f t="shared" si="5"/>
        <v>0</v>
      </c>
    </row>
    <row r="1885" ht="14.25" customHeight="1">
      <c r="A1885" s="49" t="s">
        <v>3324</v>
      </c>
      <c r="B1885" s="49" t="str">
        <f>IFERROR(__xludf.DUMMYFUNCTION("REGEXEXTRACT(A1885,""^cost\.(.*)\.[^.]+\.[^.]+$"")"),"quest.festival_of_beans.finished")</f>
        <v>quest.festival_of_beans.finished</v>
      </c>
      <c r="C1885" s="49" t="str">
        <f t="array" ref="C1885">_xlfn.XLOOKUP(
 B1885,
 tblTargets[TargetID],
 tblTargets[DisplayName],
 ""
)</f>
        <v>Festival of Beans Finished</v>
      </c>
      <c r="D1885" s="49" t="str">
        <f t="array" ref="D1885">_xlfn.XLOOKUP(
 B1885,
 tblTargets[TargetID],
 tblTargets[TargetType],
 ""
)</f>
        <v>QUEST</v>
      </c>
      <c r="E1885" s="49" t="s">
        <v>629</v>
      </c>
      <c r="F1885" s="87">
        <f>IFERROR(__xludf.DUMMYFUNCTION("VALUE(REGEXEXTRACT(A1885,""([^.]+)$""))"),1.0)</f>
        <v>1</v>
      </c>
      <c r="G1885" s="49">
        <v>100.0</v>
      </c>
      <c r="H1885" s="26" t="b">
        <f>COUNTIFS(
 tblCostChecklist[RequirementID],A1885,
 tblCostChecklist[PlayerPaid],TRUE
)&gt;0</f>
        <v>0</v>
      </c>
      <c r="I1885" s="49">
        <f t="shared" si="1"/>
        <v>11</v>
      </c>
      <c r="J1885" s="49">
        <f t="shared" si="2"/>
        <v>0</v>
      </c>
      <c r="K1885" s="49">
        <f t="shared" si="3"/>
        <v>11</v>
      </c>
      <c r="L1885" s="49" t="b">
        <f t="shared" si="4"/>
        <v>0</v>
      </c>
      <c r="M1885" s="88">
        <f t="shared" si="5"/>
        <v>0</v>
      </c>
    </row>
    <row r="1886" ht="14.25" customHeight="1">
      <c r="A1886" s="49" t="s">
        <v>3314</v>
      </c>
      <c r="B1886" s="49" t="str">
        <f>IFERROR(__xludf.DUMMYFUNCTION("REGEXEXTRACT(A1886,""^cost\.(.*)\.[^.]+\.[^.]+$"")"),"quest.festival_of_beans.finished")</f>
        <v>quest.festival_of_beans.finished</v>
      </c>
      <c r="C1886" s="49" t="str">
        <f t="array" ref="C1886">_xlfn.XLOOKUP(
 B1886,
 tblTargets[TargetID],
 tblTargets[DisplayName],
 ""
)</f>
        <v>Festival of Beans Finished</v>
      </c>
      <c r="D1886" s="49" t="str">
        <f t="array" ref="D1886">_xlfn.XLOOKUP(
 B1886,
 tblTargets[TargetID],
 tblTargets[TargetType],
 ""
)</f>
        <v>QUEST</v>
      </c>
      <c r="E1886" s="49" t="s">
        <v>2083</v>
      </c>
      <c r="F1886" s="87">
        <f>IFERROR(__xludf.DUMMYFUNCTION("VALUE(REGEXEXTRACT(A1886,""([^.]+)$""))"),1.0)</f>
        <v>1</v>
      </c>
      <c r="G1886" s="49">
        <v>10.0</v>
      </c>
      <c r="H1886" s="26" t="b">
        <f>COUNTIFS(
 tblCostChecklist[RequirementID],A1886,
 tblCostChecklist[PlayerPaid],TRUE
)&gt;0</f>
        <v>0</v>
      </c>
      <c r="I1886" s="49">
        <f t="shared" si="1"/>
        <v>11</v>
      </c>
      <c r="J1886" s="49">
        <f t="shared" si="2"/>
        <v>0</v>
      </c>
      <c r="K1886" s="49">
        <f t="shared" si="3"/>
        <v>11</v>
      </c>
      <c r="L1886" s="49" t="b">
        <f t="shared" si="4"/>
        <v>0</v>
      </c>
      <c r="M1886" s="88">
        <f t="shared" si="5"/>
        <v>0</v>
      </c>
    </row>
    <row r="1887" ht="14.25" customHeight="1">
      <c r="A1887" s="49" t="s">
        <v>3310</v>
      </c>
      <c r="B1887" s="49" t="str">
        <f>IFERROR(__xludf.DUMMYFUNCTION("REGEXEXTRACT(A1887,""^cost\.(.*)\.[^.]+\.[^.]+$"")"),"quest.festival_of_beans.finished")</f>
        <v>quest.festival_of_beans.finished</v>
      </c>
      <c r="C1887" s="49" t="str">
        <f t="array" ref="C1887">_xlfn.XLOOKUP(
 B1887,
 tblTargets[TargetID],
 tblTargets[DisplayName],
 ""
)</f>
        <v>Festival of Beans Finished</v>
      </c>
      <c r="D1887" s="49" t="str">
        <f t="array" ref="D1887">_xlfn.XLOOKUP(
 B1887,
 tblTargets[TargetID],
 tblTargets[TargetType],
 ""
)</f>
        <v>QUEST</v>
      </c>
      <c r="E1887" s="49" t="s">
        <v>2404</v>
      </c>
      <c r="F1887" s="87">
        <f>IFERROR(__xludf.DUMMYFUNCTION("VALUE(REGEXEXTRACT(A1887,""([^.]+)$""))"),1.0)</f>
        <v>1</v>
      </c>
      <c r="G1887" s="49">
        <v>10.0</v>
      </c>
      <c r="H1887" s="26" t="b">
        <f>COUNTIFS(
 tblCostChecklist[RequirementID],A1887,
 tblCostChecklist[PlayerPaid],TRUE
)&gt;0</f>
        <v>0</v>
      </c>
      <c r="I1887" s="49">
        <f t="shared" si="1"/>
        <v>11</v>
      </c>
      <c r="J1887" s="49">
        <f t="shared" si="2"/>
        <v>0</v>
      </c>
      <c r="K1887" s="49">
        <f t="shared" si="3"/>
        <v>11</v>
      </c>
      <c r="L1887" s="49" t="b">
        <f t="shared" si="4"/>
        <v>0</v>
      </c>
      <c r="M1887" s="88">
        <f t="shared" si="5"/>
        <v>0</v>
      </c>
    </row>
    <row r="1888" ht="14.25" customHeight="1">
      <c r="A1888" s="49" t="s">
        <v>3319</v>
      </c>
      <c r="B1888" s="49" t="str">
        <f>IFERROR(__xludf.DUMMYFUNCTION("REGEXEXTRACT(A1888,""^cost\.(.*)\.[^.]+\.[^.]+$"")"),"quest.festival_of_beans.finished")</f>
        <v>quest.festival_of_beans.finished</v>
      </c>
      <c r="C1888" s="49" t="str">
        <f t="array" ref="C1888">_xlfn.XLOOKUP(
 B1888,
 tblTargets[TargetID],
 tblTargets[DisplayName],
 ""
)</f>
        <v>Festival of Beans Finished</v>
      </c>
      <c r="D1888" s="49" t="str">
        <f t="array" ref="D1888">_xlfn.XLOOKUP(
 B1888,
 tblTargets[TargetID],
 tblTargets[TargetType],
 ""
)</f>
        <v>QUEST</v>
      </c>
      <c r="E1888" s="49" t="s">
        <v>3320</v>
      </c>
      <c r="F1888" s="87">
        <f>IFERROR(__xludf.DUMMYFUNCTION("VALUE(REGEXEXTRACT(A1888,""([^.]+)$""))"),1.0)</f>
        <v>1</v>
      </c>
      <c r="G1888" s="49">
        <v>10.0</v>
      </c>
      <c r="H1888" s="26" t="b">
        <f>COUNTIFS(
 tblCostChecklist[RequirementID],A1888,
 tblCostChecklist[PlayerPaid],TRUE
)&gt;0</f>
        <v>0</v>
      </c>
      <c r="I1888" s="49">
        <f t="shared" si="1"/>
        <v>11</v>
      </c>
      <c r="J1888" s="49">
        <f t="shared" si="2"/>
        <v>0</v>
      </c>
      <c r="K1888" s="49">
        <f t="shared" si="3"/>
        <v>11</v>
      </c>
      <c r="L1888" s="49" t="b">
        <f t="shared" si="4"/>
        <v>0</v>
      </c>
      <c r="M1888" s="88">
        <f t="shared" si="5"/>
        <v>0</v>
      </c>
    </row>
    <row r="1889" ht="14.25" customHeight="1">
      <c r="A1889" s="49" t="s">
        <v>3328</v>
      </c>
      <c r="B1889" s="49" t="str">
        <f>IFERROR(__xludf.DUMMYFUNCTION("REGEXEXTRACT(A1889,""^cost\.(.*)\.[^.]+\.[^.]+$"")"),"quest.festival_of_beans.finished")</f>
        <v>quest.festival_of_beans.finished</v>
      </c>
      <c r="C1889" s="49" t="str">
        <f t="array" ref="C1889">_xlfn.XLOOKUP(
 B1889,
 tblTargets[TargetID],
 tblTargets[DisplayName],
 ""
)</f>
        <v>Festival of Beans Finished</v>
      </c>
      <c r="D1889" s="49" t="str">
        <f t="array" ref="D1889">_xlfn.XLOOKUP(
 B1889,
 tblTargets[TargetID],
 tblTargets[TargetType],
 ""
)</f>
        <v>QUEST</v>
      </c>
      <c r="E1889" s="49" t="s">
        <v>3225</v>
      </c>
      <c r="F1889" s="87">
        <f>IFERROR(__xludf.DUMMYFUNCTION("VALUE(REGEXEXTRACT(A1889,""([^.]+)$""))"),1.0)</f>
        <v>1</v>
      </c>
      <c r="G1889" s="49">
        <v>10.0</v>
      </c>
      <c r="H1889" s="26" t="b">
        <f>COUNTIFS(
 tblCostChecklist[RequirementID],A1889,
 tblCostChecklist[PlayerPaid],TRUE
)&gt;0</f>
        <v>0</v>
      </c>
      <c r="I1889" s="49">
        <f t="shared" si="1"/>
        <v>11</v>
      </c>
      <c r="J1889" s="49">
        <f t="shared" si="2"/>
        <v>0</v>
      </c>
      <c r="K1889" s="49">
        <f t="shared" si="3"/>
        <v>11</v>
      </c>
      <c r="L1889" s="49" t="b">
        <f t="shared" si="4"/>
        <v>0</v>
      </c>
      <c r="M1889" s="88">
        <f t="shared" si="5"/>
        <v>0</v>
      </c>
    </row>
    <row r="1890" ht="14.25" customHeight="1">
      <c r="A1890" s="49" t="s">
        <v>3312</v>
      </c>
      <c r="B1890" s="49" t="str">
        <f>IFERROR(__xludf.DUMMYFUNCTION("REGEXEXTRACT(A1890,""^cost\.(.*)\.[^.]+\.[^.]+$"")"),"quest.festival_of_beans.finished")</f>
        <v>quest.festival_of_beans.finished</v>
      </c>
      <c r="C1890" s="49" t="str">
        <f t="array" ref="C1890">_xlfn.XLOOKUP(
 B1890,
 tblTargets[TargetID],
 tblTargets[DisplayName],
 ""
)</f>
        <v>Festival of Beans Finished</v>
      </c>
      <c r="D1890" s="49" t="str">
        <f t="array" ref="D1890">_xlfn.XLOOKUP(
 B1890,
 tblTargets[TargetID],
 tblTargets[TargetType],
 ""
)</f>
        <v>QUEST</v>
      </c>
      <c r="E1890" s="49" t="s">
        <v>2251</v>
      </c>
      <c r="F1890" s="87">
        <f>IFERROR(__xludf.DUMMYFUNCTION("VALUE(REGEXEXTRACT(A1890,""([^.]+)$""))"),1.0)</f>
        <v>1</v>
      </c>
      <c r="G1890" s="49">
        <v>10.0</v>
      </c>
      <c r="H1890" s="26" t="b">
        <f>COUNTIFS(
 tblCostChecklist[RequirementID],A1890,
 tblCostChecklist[PlayerPaid],TRUE
)&gt;0</f>
        <v>0</v>
      </c>
      <c r="I1890" s="49">
        <f t="shared" si="1"/>
        <v>11</v>
      </c>
      <c r="J1890" s="49">
        <f t="shared" si="2"/>
        <v>0</v>
      </c>
      <c r="K1890" s="49">
        <f t="shared" si="3"/>
        <v>11</v>
      </c>
      <c r="L1890" s="49" t="b">
        <f t="shared" si="4"/>
        <v>0</v>
      </c>
      <c r="M1890" s="88">
        <f t="shared" si="5"/>
        <v>0</v>
      </c>
    </row>
    <row r="1891" ht="14.25" customHeight="1">
      <c r="A1891" s="49" t="s">
        <v>3331</v>
      </c>
      <c r="B1891" s="49" t="str">
        <f>IFERROR(__xludf.DUMMYFUNCTION("REGEXEXTRACT(A1891,""^cost\.(.*)\.[^.]+\.[^.]+$"")"),"quest.festival_of_beans.finished")</f>
        <v>quest.festival_of_beans.finished</v>
      </c>
      <c r="C1891" s="49" t="str">
        <f t="array" ref="C1891">_xlfn.XLOOKUP(
 B1891,
 tblTargets[TargetID],
 tblTargets[DisplayName],
 ""
)</f>
        <v>Festival of Beans Finished</v>
      </c>
      <c r="D1891" s="49" t="str">
        <f t="array" ref="D1891">_xlfn.XLOOKUP(
 B1891,
 tblTargets[TargetID],
 tblTargets[TargetType],
 ""
)</f>
        <v>QUEST</v>
      </c>
      <c r="E1891" s="49" t="s">
        <v>3268</v>
      </c>
      <c r="F1891" s="87">
        <f>IFERROR(__xludf.DUMMYFUNCTION("VALUE(REGEXEXTRACT(A1891,""([^.]+)$""))"),1.0)</f>
        <v>1</v>
      </c>
      <c r="G1891" s="49">
        <v>10.0</v>
      </c>
      <c r="H1891" s="26" t="b">
        <f>COUNTIFS(
 tblCostChecklist[RequirementID],A1891,
 tblCostChecklist[PlayerPaid],TRUE
)&gt;0</f>
        <v>0</v>
      </c>
      <c r="I1891" s="49">
        <f t="shared" si="1"/>
        <v>11</v>
      </c>
      <c r="J1891" s="49">
        <f t="shared" si="2"/>
        <v>0</v>
      </c>
      <c r="K1891" s="49">
        <f t="shared" si="3"/>
        <v>11</v>
      </c>
      <c r="L1891" s="49" t="b">
        <f t="shared" si="4"/>
        <v>0</v>
      </c>
      <c r="M1891" s="88">
        <f t="shared" si="5"/>
        <v>0</v>
      </c>
    </row>
    <row r="1892" ht="14.25" customHeight="1">
      <c r="A1892" s="49" t="s">
        <v>3322</v>
      </c>
      <c r="B1892" s="49" t="str">
        <f>IFERROR(__xludf.DUMMYFUNCTION("REGEXEXTRACT(A1892,""^cost\.(.*)\.[^.]+\.[^.]+$"")"),"quest.festival_of_beans.finished")</f>
        <v>quest.festival_of_beans.finished</v>
      </c>
      <c r="C1892" s="49" t="str">
        <f t="array" ref="C1892">_xlfn.XLOOKUP(
 B1892,
 tblTargets[TargetID],
 tblTargets[DisplayName],
 ""
)</f>
        <v>Festival of Beans Finished</v>
      </c>
      <c r="D1892" s="49" t="str">
        <f t="array" ref="D1892">_xlfn.XLOOKUP(
 B1892,
 tblTargets[TargetID],
 tblTargets[TargetType],
 ""
)</f>
        <v>QUEST</v>
      </c>
      <c r="E1892" s="49" t="s">
        <v>711</v>
      </c>
      <c r="F1892" s="87">
        <f>IFERROR(__xludf.DUMMYFUNCTION("VALUE(REGEXEXTRACT(A1892,""([^.]+)$""))"),1.0)</f>
        <v>1</v>
      </c>
      <c r="G1892" s="49">
        <v>10.0</v>
      </c>
      <c r="H1892" s="26" t="b">
        <f>COUNTIFS(
 tblCostChecklist[RequirementID],A1892,
 tblCostChecklist[PlayerPaid],TRUE
)&gt;0</f>
        <v>0</v>
      </c>
      <c r="I1892" s="49">
        <f t="shared" si="1"/>
        <v>11</v>
      </c>
      <c r="J1892" s="49">
        <f t="shared" si="2"/>
        <v>0</v>
      </c>
      <c r="K1892" s="49">
        <f t="shared" si="3"/>
        <v>11</v>
      </c>
      <c r="L1892" s="49" t="b">
        <f t="shared" si="4"/>
        <v>0</v>
      </c>
      <c r="M1892" s="88">
        <f t="shared" si="5"/>
        <v>0</v>
      </c>
    </row>
    <row r="1893" ht="14.25" customHeight="1">
      <c r="A1893" s="49" t="s">
        <v>3316</v>
      </c>
      <c r="B1893" s="49" t="str">
        <f>IFERROR(__xludf.DUMMYFUNCTION("REGEXEXTRACT(A1893,""^cost\.(.*)\.[^.]+\.[^.]+$"")"),"quest.festival_of_beans.finished")</f>
        <v>quest.festival_of_beans.finished</v>
      </c>
      <c r="C1893" s="49" t="str">
        <f t="array" ref="C1893">_xlfn.XLOOKUP(
 B1893,
 tblTargets[TargetID],
 tblTargets[DisplayName],
 ""
)</f>
        <v>Festival of Beans Finished</v>
      </c>
      <c r="D1893" s="49" t="str">
        <f t="array" ref="D1893">_xlfn.XLOOKUP(
 B1893,
 tblTargets[TargetID],
 tblTargets[TargetType],
 ""
)</f>
        <v>QUEST</v>
      </c>
      <c r="E1893" s="49" t="s">
        <v>3317</v>
      </c>
      <c r="F1893" s="87">
        <f>IFERROR(__xludf.DUMMYFUNCTION("VALUE(REGEXEXTRACT(A1893,""([^.]+)$""))"),1.0)</f>
        <v>1</v>
      </c>
      <c r="G1893" s="49">
        <v>10.0</v>
      </c>
      <c r="H1893" s="26" t="b">
        <f>COUNTIFS(
 tblCostChecklist[RequirementID],A1893,
 tblCostChecklist[PlayerPaid],TRUE
)&gt;0</f>
        <v>0</v>
      </c>
      <c r="I1893" s="49">
        <f t="shared" si="1"/>
        <v>11</v>
      </c>
      <c r="J1893" s="49">
        <f t="shared" si="2"/>
        <v>0</v>
      </c>
      <c r="K1893" s="49">
        <f t="shared" si="3"/>
        <v>11</v>
      </c>
      <c r="L1893" s="49" t="b">
        <f t="shared" si="4"/>
        <v>0</v>
      </c>
      <c r="M1893" s="88">
        <f t="shared" si="5"/>
        <v>0</v>
      </c>
    </row>
    <row r="1894" ht="14.25" customHeight="1">
      <c r="A1894" s="49" t="s">
        <v>3326</v>
      </c>
      <c r="B1894" s="49" t="str">
        <f>IFERROR(__xludf.DUMMYFUNCTION("REGEXEXTRACT(A1894,""^cost\.(.*)\.[^.]+\.[^.]+$"")"),"quest.festival_of_beans.finished")</f>
        <v>quest.festival_of_beans.finished</v>
      </c>
      <c r="C1894" s="49" t="str">
        <f t="array" ref="C1894">_xlfn.XLOOKUP(
 B1894,
 tblTargets[TargetID],
 tblTargets[DisplayName],
 ""
)</f>
        <v>Festival of Beans Finished</v>
      </c>
      <c r="D1894" s="49" t="str">
        <f t="array" ref="D1894">_xlfn.XLOOKUP(
 B1894,
 tblTargets[TargetID],
 tblTargets[TargetType],
 ""
)</f>
        <v>QUEST</v>
      </c>
      <c r="E1894" s="49" t="s">
        <v>405</v>
      </c>
      <c r="F1894" s="87">
        <f>IFERROR(__xludf.DUMMYFUNCTION("VALUE(REGEXEXTRACT(A1894,""([^.]+)$""))"),1.0)</f>
        <v>1</v>
      </c>
      <c r="G1894" s="49">
        <v>10.0</v>
      </c>
      <c r="H1894" s="26" t="b">
        <f>COUNTIFS(
 tblCostChecklist[RequirementID],A1894,
 tblCostChecklist[PlayerPaid],TRUE
)&gt;0</f>
        <v>0</v>
      </c>
      <c r="I1894" s="49">
        <f t="shared" si="1"/>
        <v>11</v>
      </c>
      <c r="J1894" s="49">
        <f t="shared" si="2"/>
        <v>0</v>
      </c>
      <c r="K1894" s="49">
        <f t="shared" si="3"/>
        <v>11</v>
      </c>
      <c r="L1894" s="49" t="b">
        <f t="shared" si="4"/>
        <v>0</v>
      </c>
      <c r="M1894" s="88">
        <f t="shared" si="5"/>
        <v>0</v>
      </c>
    </row>
    <row r="1895" ht="14.25" customHeight="1">
      <c r="A1895" s="49" t="s">
        <v>3307</v>
      </c>
      <c r="B1895" s="49" t="str">
        <f>IFERROR(__xludf.DUMMYFUNCTION("REGEXEXTRACT(A1895,""^cost\.(.*)\.[^.]+\.[^.]+$"")"),"quest.festival_of_beans.finished")</f>
        <v>quest.festival_of_beans.finished</v>
      </c>
      <c r="C1895" s="49" t="str">
        <f t="array" ref="C1895">_xlfn.XLOOKUP(
 B1895,
 tblTargets[TargetID],
 tblTargets[DisplayName],
 ""
)</f>
        <v>Festival of Beans Finished</v>
      </c>
      <c r="D1895" s="49" t="str">
        <f t="array" ref="D1895">_xlfn.XLOOKUP(
 B1895,
 tblTargets[TargetID],
 tblTargets[TargetType],
 ""
)</f>
        <v>QUEST</v>
      </c>
      <c r="E1895" s="49" t="s">
        <v>3099</v>
      </c>
      <c r="F1895" s="87">
        <f>IFERROR(__xludf.DUMMYFUNCTION("VALUE(REGEXEXTRACT(A1895,""([^.]+)$""))"),1.0)</f>
        <v>1</v>
      </c>
      <c r="G1895" s="49">
        <v>20.0</v>
      </c>
      <c r="H1895" s="26" t="b">
        <f>COUNTIFS(
 tblCostChecklist[RequirementID],A1895,
 tblCostChecklist[PlayerPaid],TRUE
)&gt;0</f>
        <v>0</v>
      </c>
      <c r="I1895" s="49">
        <f t="shared" si="1"/>
        <v>11</v>
      </c>
      <c r="J1895" s="49">
        <f t="shared" si="2"/>
        <v>0</v>
      </c>
      <c r="K1895" s="49">
        <f t="shared" si="3"/>
        <v>11</v>
      </c>
      <c r="L1895" s="49" t="b">
        <f t="shared" si="4"/>
        <v>0</v>
      </c>
      <c r="M1895" s="88">
        <f t="shared" si="5"/>
        <v>0</v>
      </c>
    </row>
    <row r="1896" ht="14.25" customHeight="1">
      <c r="A1896" s="49" t="s">
        <v>3365</v>
      </c>
      <c r="B1896" s="49" t="str">
        <f>IFERROR(__xludf.DUMMYFUNCTION("REGEXEXTRACT(A1896,""^cost\.(.*)\.[^.]+\.[^.]+$"")"),"quest.green_potion.finished")</f>
        <v>quest.green_potion.finished</v>
      </c>
      <c r="C1896" s="49" t="str">
        <f t="array" ref="C1896">_xlfn.XLOOKUP(
 B1896,
 tblTargets[TargetID],
 tblTargets[DisplayName],
 ""
)</f>
        <v>Green Potion Finished</v>
      </c>
      <c r="D1896" s="49" t="str">
        <f t="array" ref="D1896">_xlfn.XLOOKUP(
 B1896,
 tblTargets[TargetID],
 tblTargets[TargetType],
 ""
)</f>
        <v>QUEST</v>
      </c>
      <c r="E1896" s="49" t="s">
        <v>140</v>
      </c>
      <c r="F1896" s="87">
        <f>IFERROR(__xludf.DUMMYFUNCTION("VALUE(REGEXEXTRACT(A1896,""([^.]+)$""))"),1.0)</f>
        <v>1</v>
      </c>
      <c r="G1896" s="49">
        <v>2.0</v>
      </c>
      <c r="H1896" s="26" t="b">
        <f>COUNTIFS(
 tblCostChecklist[RequirementID],A1896,
 tblCostChecklist[PlayerPaid],TRUE
)&gt;0</f>
        <v>0</v>
      </c>
      <c r="I1896" s="49">
        <f t="shared" si="1"/>
        <v>1</v>
      </c>
      <c r="J1896" s="49">
        <f t="shared" si="2"/>
        <v>0</v>
      </c>
      <c r="K1896" s="49">
        <f t="shared" si="3"/>
        <v>1</v>
      </c>
      <c r="L1896" s="49" t="b">
        <f t="shared" si="4"/>
        <v>0</v>
      </c>
      <c r="M1896" s="88">
        <f t="shared" si="5"/>
        <v>0</v>
      </c>
    </row>
    <row r="1897" ht="14.25" customHeight="1">
      <c r="A1897" s="49" t="s">
        <v>3370</v>
      </c>
      <c r="B1897" s="49" t="str">
        <f>IFERROR(__xludf.DUMMYFUNCTION("REGEXEXTRACT(A1897,""^cost\.(.*)\.[^.]+\.[^.]+$"")"),"quest.magic_beans.finished")</f>
        <v>quest.magic_beans.finished</v>
      </c>
      <c r="C1897" s="49" t="str">
        <f t="array" ref="C1897">_xlfn.XLOOKUP(
 B1897,
 tblTargets[TargetID],
 tblTargets[DisplayName],
 ""
)</f>
        <v>Magic Beans Finished</v>
      </c>
      <c r="D1897" s="49" t="str">
        <f t="array" ref="D1897">_xlfn.XLOOKUP(
 B1897,
 tblTargets[TargetID],
 tblTargets[TargetType],
 ""
)</f>
        <v>QUEST</v>
      </c>
      <c r="E1897" s="49" t="s">
        <v>3225</v>
      </c>
      <c r="F1897" s="87">
        <f>IFERROR(__xludf.DUMMYFUNCTION("VALUE(REGEXEXTRACT(A1897,""([^.]+)$""))"),1.0)</f>
        <v>1</v>
      </c>
      <c r="G1897" s="49">
        <v>1.0</v>
      </c>
      <c r="H1897" s="26" t="b">
        <f>COUNTIFS(
 tblCostChecklist[RequirementID],A1897,
 tblCostChecklist[PlayerPaid],TRUE
)&gt;0</f>
        <v>0</v>
      </c>
      <c r="I1897" s="49">
        <f t="shared" si="1"/>
        <v>3</v>
      </c>
      <c r="J1897" s="49">
        <f t="shared" si="2"/>
        <v>0</v>
      </c>
      <c r="K1897" s="49">
        <f t="shared" si="3"/>
        <v>3</v>
      </c>
      <c r="L1897" s="49" t="b">
        <f t="shared" si="4"/>
        <v>0</v>
      </c>
      <c r="M1897" s="88">
        <f t="shared" si="5"/>
        <v>0</v>
      </c>
    </row>
    <row r="1898" ht="14.25" customHeight="1">
      <c r="A1898" s="49" t="s">
        <v>3367</v>
      </c>
      <c r="B1898" s="49" t="str">
        <f>IFERROR(__xludf.DUMMYFUNCTION("REGEXEXTRACT(A1898,""^cost\.(.*)\.[^.]+\.[^.]+$"")"),"quest.magic_beans.finished")</f>
        <v>quest.magic_beans.finished</v>
      </c>
      <c r="C1898" s="49" t="str">
        <f t="array" ref="C1898">_xlfn.XLOOKUP(
 B1898,
 tblTargets[TargetID],
 tblTargets[DisplayName],
 ""
)</f>
        <v>Magic Beans Finished</v>
      </c>
      <c r="D1898" s="49" t="str">
        <f t="array" ref="D1898">_xlfn.XLOOKUP(
 B1898,
 tblTargets[TargetID],
 tblTargets[TargetType],
 ""
)</f>
        <v>QUEST</v>
      </c>
      <c r="E1898" s="49" t="s">
        <v>2251</v>
      </c>
      <c r="F1898" s="87">
        <f>IFERROR(__xludf.DUMMYFUNCTION("VALUE(REGEXEXTRACT(A1898,""([^.]+)$""))"),1.0)</f>
        <v>1</v>
      </c>
      <c r="G1898" s="49">
        <v>1.0</v>
      </c>
      <c r="H1898" s="26" t="b">
        <f>COUNTIFS(
 tblCostChecklist[RequirementID],A1898,
 tblCostChecklist[PlayerPaid],TRUE
)&gt;0</f>
        <v>0</v>
      </c>
      <c r="I1898" s="49">
        <f t="shared" si="1"/>
        <v>3</v>
      </c>
      <c r="J1898" s="49">
        <f t="shared" si="2"/>
        <v>0</v>
      </c>
      <c r="K1898" s="49">
        <f t="shared" si="3"/>
        <v>3</v>
      </c>
      <c r="L1898" s="49" t="b">
        <f t="shared" si="4"/>
        <v>0</v>
      </c>
      <c r="M1898" s="88">
        <f t="shared" si="5"/>
        <v>0</v>
      </c>
    </row>
    <row r="1899" ht="14.25" customHeight="1">
      <c r="A1899" s="49" t="s">
        <v>3368</v>
      </c>
      <c r="B1899" s="49" t="str">
        <f>IFERROR(__xludf.DUMMYFUNCTION("REGEXEXTRACT(A1899,""^cost\.(.*)\.[^.]+\.[^.]+$"")"),"quest.magic_beans.finished")</f>
        <v>quest.magic_beans.finished</v>
      </c>
      <c r="C1899" s="49" t="str">
        <f t="array" ref="C1899">_xlfn.XLOOKUP(
 B1899,
 tblTargets[TargetID],
 tblTargets[DisplayName],
 ""
)</f>
        <v>Magic Beans Finished</v>
      </c>
      <c r="D1899" s="49" t="str">
        <f t="array" ref="D1899">_xlfn.XLOOKUP(
 B1899,
 tblTargets[TargetID],
 tblTargets[TargetType],
 ""
)</f>
        <v>QUEST</v>
      </c>
      <c r="E1899" s="49" t="s">
        <v>2887</v>
      </c>
      <c r="F1899" s="87">
        <f>IFERROR(__xludf.DUMMYFUNCTION("VALUE(REGEXEXTRACT(A1899,""([^.]+)$""))"),1.0)</f>
        <v>1</v>
      </c>
      <c r="G1899" s="49">
        <v>1.0</v>
      </c>
      <c r="H1899" s="26" t="b">
        <f>COUNTIFS(
 tblCostChecklist[RequirementID],A1899,
 tblCostChecklist[PlayerPaid],TRUE
)&gt;0</f>
        <v>0</v>
      </c>
      <c r="I1899" s="49">
        <f t="shared" si="1"/>
        <v>3</v>
      </c>
      <c r="J1899" s="49">
        <f t="shared" si="2"/>
        <v>0</v>
      </c>
      <c r="K1899" s="49">
        <f t="shared" si="3"/>
        <v>3</v>
      </c>
      <c r="L1899" s="49" t="b">
        <f t="shared" si="4"/>
        <v>0</v>
      </c>
      <c r="M1899" s="88">
        <f t="shared" si="5"/>
        <v>0</v>
      </c>
    </row>
    <row r="1900" ht="14.25" customHeight="1">
      <c r="A1900" s="49" t="s">
        <v>3386</v>
      </c>
      <c r="B1900" s="49" t="str">
        <f>IFERROR(__xludf.DUMMYFUNCTION("REGEXEXTRACT(A1900,""^cost\.(.*)\.[^.]+\.[^.]+$"")"),"quest.once_upon_a_forest_chapter_5.finished")</f>
        <v>quest.once_upon_a_forest_chapter_5.finished</v>
      </c>
      <c r="C1900" s="49" t="str">
        <f t="array" ref="C1900">_xlfn.XLOOKUP(
 B1900,
 tblTargets[TargetID],
 tblTargets[DisplayName],
 ""
)</f>
        <v>Once Upon a Forest Chapter 5 Finished</v>
      </c>
      <c r="D1900" s="49" t="str">
        <f t="array" ref="D1900">_xlfn.XLOOKUP(
 B1900,
 tblTargets[TargetID],
 tblTargets[TargetType],
 ""
)</f>
        <v>QUEST</v>
      </c>
      <c r="E1900" s="49" t="s">
        <v>2868</v>
      </c>
      <c r="F1900" s="87">
        <f>IFERROR(__xludf.DUMMYFUNCTION("VALUE(REGEXEXTRACT(A1900,""([^.]+)$""))"),1.0)</f>
        <v>1</v>
      </c>
      <c r="G1900" s="49">
        <v>2.0</v>
      </c>
      <c r="H1900" s="26" t="b">
        <f>COUNTIFS(
 tblCostChecklist[RequirementID],A1900,
 tblCostChecklist[PlayerPaid],TRUE
)&gt;0</f>
        <v>0</v>
      </c>
      <c r="I1900" s="49">
        <f t="shared" si="1"/>
        <v>4</v>
      </c>
      <c r="J1900" s="49">
        <f t="shared" si="2"/>
        <v>0</v>
      </c>
      <c r="K1900" s="49">
        <f t="shared" si="3"/>
        <v>4</v>
      </c>
      <c r="L1900" s="49" t="b">
        <f t="shared" si="4"/>
        <v>0</v>
      </c>
      <c r="M1900" s="88">
        <f t="shared" si="5"/>
        <v>0</v>
      </c>
    </row>
    <row r="1901" ht="14.25" customHeight="1">
      <c r="A1901" s="49" t="s">
        <v>3390</v>
      </c>
      <c r="B1901" s="49" t="str">
        <f>IFERROR(__xludf.DUMMYFUNCTION("REGEXEXTRACT(A1901,""^cost\.(.*)\.[^.]+\.[^.]+$"")"),"quest.once_upon_a_forest_chapter_5.finished")</f>
        <v>quest.once_upon_a_forest_chapter_5.finished</v>
      </c>
      <c r="C1901" s="49" t="str">
        <f t="array" ref="C1901">_xlfn.XLOOKUP(
 B1901,
 tblTargets[TargetID],
 tblTargets[DisplayName],
 ""
)</f>
        <v>Once Upon a Forest Chapter 5 Finished</v>
      </c>
      <c r="D1901" s="49" t="str">
        <f t="array" ref="D1901">_xlfn.XLOOKUP(
 B1901,
 tblTargets[TargetID],
 tblTargets[TargetType],
 ""
)</f>
        <v>QUEST</v>
      </c>
      <c r="E1901" s="49" t="s">
        <v>2882</v>
      </c>
      <c r="F1901" s="87">
        <f>IFERROR(__xludf.DUMMYFUNCTION("VALUE(REGEXEXTRACT(A1901,""([^.]+)$""))"),1.0)</f>
        <v>1</v>
      </c>
      <c r="G1901" s="49">
        <v>2.0</v>
      </c>
      <c r="H1901" s="26" t="b">
        <f>COUNTIFS(
 tblCostChecklist[RequirementID],A1901,
 tblCostChecklist[PlayerPaid],TRUE
)&gt;0</f>
        <v>0</v>
      </c>
      <c r="I1901" s="49">
        <f t="shared" si="1"/>
        <v>4</v>
      </c>
      <c r="J1901" s="49">
        <f t="shared" si="2"/>
        <v>0</v>
      </c>
      <c r="K1901" s="49">
        <f t="shared" si="3"/>
        <v>4</v>
      </c>
      <c r="L1901" s="49" t="b">
        <f t="shared" si="4"/>
        <v>0</v>
      </c>
      <c r="M1901" s="88">
        <f t="shared" si="5"/>
        <v>0</v>
      </c>
    </row>
    <row r="1902" ht="14.25" customHeight="1">
      <c r="A1902" s="49" t="s">
        <v>3388</v>
      </c>
      <c r="B1902" s="49" t="str">
        <f>IFERROR(__xludf.DUMMYFUNCTION("REGEXEXTRACT(A1902,""^cost\.(.*)\.[^.]+\.[^.]+$"")"),"quest.once_upon_a_forest_chapter_5.finished")</f>
        <v>quest.once_upon_a_forest_chapter_5.finished</v>
      </c>
      <c r="C1902" s="49" t="str">
        <f t="array" ref="C1902">_xlfn.XLOOKUP(
 B1902,
 tblTargets[TargetID],
 tblTargets[DisplayName],
 ""
)</f>
        <v>Once Upon a Forest Chapter 5 Finished</v>
      </c>
      <c r="D1902" s="49" t="str">
        <f t="array" ref="D1902">_xlfn.XLOOKUP(
 B1902,
 tblTargets[TargetID],
 tblTargets[TargetType],
 ""
)</f>
        <v>QUEST</v>
      </c>
      <c r="E1902" s="49" t="s">
        <v>152</v>
      </c>
      <c r="F1902" s="87">
        <f>IFERROR(__xludf.DUMMYFUNCTION("VALUE(REGEXEXTRACT(A1902,""([^.]+)$""))"),1.0)</f>
        <v>1</v>
      </c>
      <c r="G1902" s="49">
        <v>2.0</v>
      </c>
      <c r="H1902" s="26" t="b">
        <f>COUNTIFS(
 tblCostChecklist[RequirementID],A1902,
 tblCostChecklist[PlayerPaid],TRUE
)&gt;0</f>
        <v>0</v>
      </c>
      <c r="I1902" s="49">
        <f t="shared" si="1"/>
        <v>4</v>
      </c>
      <c r="J1902" s="49">
        <f t="shared" si="2"/>
        <v>0</v>
      </c>
      <c r="K1902" s="49">
        <f t="shared" si="3"/>
        <v>4</v>
      </c>
      <c r="L1902" s="49" t="b">
        <f t="shared" si="4"/>
        <v>0</v>
      </c>
      <c r="M1902" s="88">
        <f t="shared" si="5"/>
        <v>0</v>
      </c>
    </row>
    <row r="1903" ht="14.25" customHeight="1">
      <c r="A1903" s="49" t="s">
        <v>3392</v>
      </c>
      <c r="B1903" s="49" t="str">
        <f>IFERROR(__xludf.DUMMYFUNCTION("REGEXEXTRACT(A1903,""^cost\.(.*)\.[^.]+\.[^.]+$"")"),"quest.once_upon_a_forest_chapter_5.finished")</f>
        <v>quest.once_upon_a_forest_chapter_5.finished</v>
      </c>
      <c r="C1903" s="49" t="str">
        <f t="array" ref="C1903">_xlfn.XLOOKUP(
 B1903,
 tblTargets[TargetID],
 tblTargets[DisplayName],
 ""
)</f>
        <v>Once Upon a Forest Chapter 5 Finished</v>
      </c>
      <c r="D1903" s="49" t="str">
        <f t="array" ref="D1903">_xlfn.XLOOKUP(
 B1903,
 tblTargets[TargetID],
 tblTargets[TargetType],
 ""
)</f>
        <v>QUEST</v>
      </c>
      <c r="E1903" s="49" t="s">
        <v>158</v>
      </c>
      <c r="F1903" s="87">
        <f>IFERROR(__xludf.DUMMYFUNCTION("VALUE(REGEXEXTRACT(A1903,""([^.]+)$""))"),1.0)</f>
        <v>1</v>
      </c>
      <c r="G1903" s="49">
        <v>4.0</v>
      </c>
      <c r="H1903" s="26" t="b">
        <f>COUNTIFS(
 tblCostChecklist[RequirementID],A1903,
 tblCostChecklist[PlayerPaid],TRUE
)&gt;0</f>
        <v>0</v>
      </c>
      <c r="I1903" s="49">
        <f t="shared" si="1"/>
        <v>4</v>
      </c>
      <c r="J1903" s="49">
        <f t="shared" si="2"/>
        <v>0</v>
      </c>
      <c r="K1903" s="49">
        <f t="shared" si="3"/>
        <v>4</v>
      </c>
      <c r="L1903" s="49" t="b">
        <f t="shared" si="4"/>
        <v>0</v>
      </c>
      <c r="M1903" s="88">
        <f t="shared" si="5"/>
        <v>0</v>
      </c>
    </row>
    <row r="1904" ht="14.25" customHeight="1">
      <c r="A1904" s="49" t="s">
        <v>3398</v>
      </c>
      <c r="B1904" s="49" t="str">
        <f>IFERROR(__xludf.DUMMYFUNCTION("REGEXEXTRACT(A1904,""^cost\.(.*)\.[^.]+\.[^.]+$"")"),"quest.once_upon_a_forest_chapter_8.finished")</f>
        <v>quest.once_upon_a_forest_chapter_8.finished</v>
      </c>
      <c r="C1904" s="49" t="str">
        <f t="array" ref="C1904">_xlfn.XLOOKUP(
 B1904,
 tblTargets[TargetID],
 tblTargets[DisplayName],
 ""
)</f>
        <v>Once Upon a Forest Chapter 8 Finished</v>
      </c>
      <c r="D1904" s="49" t="str">
        <f t="array" ref="D1904">_xlfn.XLOOKUP(
 B1904,
 tblTargets[TargetID],
 tblTargets[TargetType],
 ""
)</f>
        <v>QUEST</v>
      </c>
      <c r="E1904" s="49" t="s">
        <v>461</v>
      </c>
      <c r="F1904" s="87">
        <f>IFERROR(__xludf.DUMMYFUNCTION("VALUE(REGEXEXTRACT(A1904,""([^.]+)$""))"),1.0)</f>
        <v>1</v>
      </c>
      <c r="G1904" s="49">
        <v>10.0</v>
      </c>
      <c r="H1904" s="26" t="b">
        <f>COUNTIFS(
 tblCostChecklist[RequirementID],A1904,
 tblCostChecklist[PlayerPaid],TRUE
)&gt;0</f>
        <v>0</v>
      </c>
      <c r="I1904" s="49">
        <f t="shared" si="1"/>
        <v>3</v>
      </c>
      <c r="J1904" s="49">
        <f t="shared" si="2"/>
        <v>0</v>
      </c>
      <c r="K1904" s="49">
        <f t="shared" si="3"/>
        <v>3</v>
      </c>
      <c r="L1904" s="49" t="b">
        <f t="shared" si="4"/>
        <v>0</v>
      </c>
      <c r="M1904" s="88">
        <f t="shared" si="5"/>
        <v>0</v>
      </c>
    </row>
    <row r="1905" ht="14.25" customHeight="1">
      <c r="A1905" s="49" t="s">
        <v>3396</v>
      </c>
      <c r="B1905" s="49" t="str">
        <f>IFERROR(__xludf.DUMMYFUNCTION("REGEXEXTRACT(A1905,""^cost\.(.*)\.[^.]+\.[^.]+$"")"),"quest.once_upon_a_forest_chapter_8.finished")</f>
        <v>quest.once_upon_a_forest_chapter_8.finished</v>
      </c>
      <c r="C1905" s="49" t="str">
        <f t="array" ref="C1905">_xlfn.XLOOKUP(
 B1905,
 tblTargets[TargetID],
 tblTargets[DisplayName],
 ""
)</f>
        <v>Once Upon a Forest Chapter 8 Finished</v>
      </c>
      <c r="D1905" s="49" t="str">
        <f t="array" ref="D1905">_xlfn.XLOOKUP(
 B1905,
 tblTargets[TargetID],
 tblTargets[TargetType],
 ""
)</f>
        <v>QUEST</v>
      </c>
      <c r="E1905" s="49" t="s">
        <v>701</v>
      </c>
      <c r="F1905" s="87">
        <f>IFERROR(__xludf.DUMMYFUNCTION("VALUE(REGEXEXTRACT(A1905,""([^.]+)$""))"),1.0)</f>
        <v>1</v>
      </c>
      <c r="G1905" s="49">
        <v>10.0</v>
      </c>
      <c r="H1905" s="26" t="b">
        <f>COUNTIFS(
 tblCostChecklist[RequirementID],A1905,
 tblCostChecklist[PlayerPaid],TRUE
)&gt;0</f>
        <v>0</v>
      </c>
      <c r="I1905" s="49">
        <f t="shared" si="1"/>
        <v>3</v>
      </c>
      <c r="J1905" s="49">
        <f t="shared" si="2"/>
        <v>0</v>
      </c>
      <c r="K1905" s="49">
        <f t="shared" si="3"/>
        <v>3</v>
      </c>
      <c r="L1905" s="49" t="b">
        <f t="shared" si="4"/>
        <v>0</v>
      </c>
      <c r="M1905" s="88">
        <f t="shared" si="5"/>
        <v>0</v>
      </c>
    </row>
    <row r="1906" ht="14.25" customHeight="1">
      <c r="A1906" s="49" t="s">
        <v>3394</v>
      </c>
      <c r="B1906" s="49" t="str">
        <f>IFERROR(__xludf.DUMMYFUNCTION("REGEXEXTRACT(A1906,""^cost\.(.*)\.[^.]+\.[^.]+$"")"),"quest.once_upon_a_forest_chapter_8.finished")</f>
        <v>quest.once_upon_a_forest_chapter_8.finished</v>
      </c>
      <c r="C1906" s="49" t="str">
        <f t="array" ref="C1906">_xlfn.XLOOKUP(
 B1906,
 tblTargets[TargetID],
 tblTargets[DisplayName],
 ""
)</f>
        <v>Once Upon a Forest Chapter 8 Finished</v>
      </c>
      <c r="D1906" s="49" t="str">
        <f t="array" ref="D1906">_xlfn.XLOOKUP(
 B1906,
 tblTargets[TargetID],
 tblTargets[TargetType],
 ""
)</f>
        <v>QUEST</v>
      </c>
      <c r="E1906" s="49" t="s">
        <v>119</v>
      </c>
      <c r="F1906" s="87">
        <f>IFERROR(__xludf.DUMMYFUNCTION("VALUE(REGEXEXTRACT(A1906,""([^.]+)$""))"),1.0)</f>
        <v>1</v>
      </c>
      <c r="G1906" s="49">
        <v>1000.0</v>
      </c>
      <c r="H1906" s="26" t="b">
        <f>COUNTIFS(
 tblCostChecklist[RequirementID],A1906,
 tblCostChecklist[PlayerPaid],TRUE
)&gt;0</f>
        <v>0</v>
      </c>
      <c r="I1906" s="49">
        <f t="shared" si="1"/>
        <v>3</v>
      </c>
      <c r="J1906" s="49">
        <f t="shared" si="2"/>
        <v>0</v>
      </c>
      <c r="K1906" s="49">
        <f t="shared" si="3"/>
        <v>3</v>
      </c>
      <c r="L1906" s="49" t="b">
        <f t="shared" si="4"/>
        <v>0</v>
      </c>
      <c r="M1906" s="88">
        <f t="shared" si="5"/>
        <v>0</v>
      </c>
    </row>
    <row r="1907" ht="14.25" customHeight="1">
      <c r="A1907" s="49" t="s">
        <v>3382</v>
      </c>
      <c r="B1907" s="49" t="str">
        <f>IFERROR(__xludf.DUMMYFUNCTION("REGEXEXTRACT(A1907,""^cost\.(.*)\.[^.]+\.[^.]+$"")"),"quest.once_upon_a_forest_chapter_13.finished")</f>
        <v>quest.once_upon_a_forest_chapter_13.finished</v>
      </c>
      <c r="C1907" s="49" t="str">
        <f t="array" ref="C1907">_xlfn.XLOOKUP(
 B1907,
 tblTargets[TargetID],
 tblTargets[DisplayName],
 ""
)</f>
        <v>Once Upon a Forest Chapter 13 Finished</v>
      </c>
      <c r="D1907" s="49" t="str">
        <f t="array" ref="D1907">_xlfn.XLOOKUP(
 B1907,
 tblTargets[TargetID],
 tblTargets[TargetType],
 ""
)</f>
        <v>QUEST</v>
      </c>
      <c r="E1907" s="49" t="s">
        <v>3384</v>
      </c>
      <c r="F1907" s="87">
        <f>IFERROR(__xludf.DUMMYFUNCTION("VALUE(REGEXEXTRACT(A1907,""([^.]+)$""))"),1.0)</f>
        <v>1</v>
      </c>
      <c r="G1907" s="49">
        <v>10.0</v>
      </c>
      <c r="H1907" s="26" t="b">
        <f>COUNTIFS(
 tblCostChecklist[RequirementID],A1907,
 tblCostChecklist[PlayerPaid],TRUE
)&gt;0</f>
        <v>0</v>
      </c>
      <c r="I1907" s="49">
        <f t="shared" si="1"/>
        <v>6</v>
      </c>
      <c r="J1907" s="49">
        <f t="shared" si="2"/>
        <v>0</v>
      </c>
      <c r="K1907" s="49">
        <f t="shared" si="3"/>
        <v>6</v>
      </c>
      <c r="L1907" s="49" t="b">
        <f t="shared" si="4"/>
        <v>0</v>
      </c>
      <c r="M1907" s="88">
        <f t="shared" si="5"/>
        <v>0</v>
      </c>
    </row>
    <row r="1908" ht="14.25" customHeight="1">
      <c r="A1908" s="49" t="s">
        <v>3373</v>
      </c>
      <c r="B1908" s="49" t="str">
        <f>IFERROR(__xludf.DUMMYFUNCTION("REGEXEXTRACT(A1908,""^cost\.(.*)\.[^.]+\.[^.]+$"")"),"quest.once_upon_a_forest_chapter_13.finished")</f>
        <v>quest.once_upon_a_forest_chapter_13.finished</v>
      </c>
      <c r="C1908" s="49" t="str">
        <f t="array" ref="C1908">_xlfn.XLOOKUP(
 B1908,
 tblTargets[TargetID],
 tblTargets[DisplayName],
 ""
)</f>
        <v>Once Upon a Forest Chapter 13 Finished</v>
      </c>
      <c r="D1908" s="49" t="str">
        <f t="array" ref="D1908">_xlfn.XLOOKUP(
 B1908,
 tblTargets[TargetID],
 tblTargets[TargetType],
 ""
)</f>
        <v>QUEST</v>
      </c>
      <c r="E1908" s="49" t="s">
        <v>3272</v>
      </c>
      <c r="F1908" s="87">
        <f>IFERROR(__xludf.DUMMYFUNCTION("VALUE(REGEXEXTRACT(A1908,""([^.]+)$""))"),1.0)</f>
        <v>1</v>
      </c>
      <c r="G1908" s="49">
        <v>10.0</v>
      </c>
      <c r="H1908" s="26" t="b">
        <f>COUNTIFS(
 tblCostChecklist[RequirementID],A1908,
 tblCostChecklist[PlayerPaid],TRUE
)&gt;0</f>
        <v>0</v>
      </c>
      <c r="I1908" s="49">
        <f t="shared" si="1"/>
        <v>6</v>
      </c>
      <c r="J1908" s="49">
        <f t="shared" si="2"/>
        <v>0</v>
      </c>
      <c r="K1908" s="49">
        <f t="shared" si="3"/>
        <v>6</v>
      </c>
      <c r="L1908" s="49" t="b">
        <f t="shared" si="4"/>
        <v>0</v>
      </c>
      <c r="M1908" s="88">
        <f t="shared" si="5"/>
        <v>0</v>
      </c>
    </row>
    <row r="1909" ht="14.25" customHeight="1">
      <c r="A1909" s="49" t="s">
        <v>3375</v>
      </c>
      <c r="B1909" s="49" t="str">
        <f>IFERROR(__xludf.DUMMYFUNCTION("REGEXEXTRACT(A1909,""^cost\.(.*)\.[^.]+\.[^.]+$"")"),"quest.once_upon_a_forest_chapter_13.finished")</f>
        <v>quest.once_upon_a_forest_chapter_13.finished</v>
      </c>
      <c r="C1909" s="49" t="str">
        <f t="array" ref="C1909">_xlfn.XLOOKUP(
 B1909,
 tblTargets[TargetID],
 tblTargets[DisplayName],
 ""
)</f>
        <v>Once Upon a Forest Chapter 13 Finished</v>
      </c>
      <c r="D1909" s="49" t="str">
        <f t="array" ref="D1909">_xlfn.XLOOKUP(
 B1909,
 tblTargets[TargetID],
 tblTargets[TargetType],
 ""
)</f>
        <v>QUEST</v>
      </c>
      <c r="E1909" s="49" t="s">
        <v>2864</v>
      </c>
      <c r="F1909" s="87">
        <f>IFERROR(__xludf.DUMMYFUNCTION("VALUE(REGEXEXTRACT(A1909,""([^.]+)$""))"),1.0)</f>
        <v>1</v>
      </c>
      <c r="G1909" s="49">
        <v>5.0</v>
      </c>
      <c r="H1909" s="26" t="b">
        <f>COUNTIFS(
 tblCostChecklist[RequirementID],A1909,
 tblCostChecklist[PlayerPaid],TRUE
)&gt;0</f>
        <v>0</v>
      </c>
      <c r="I1909" s="49">
        <f t="shared" si="1"/>
        <v>6</v>
      </c>
      <c r="J1909" s="49">
        <f t="shared" si="2"/>
        <v>0</v>
      </c>
      <c r="K1909" s="49">
        <f t="shared" si="3"/>
        <v>6</v>
      </c>
      <c r="L1909" s="49" t="b">
        <f t="shared" si="4"/>
        <v>0</v>
      </c>
      <c r="M1909" s="88">
        <f t="shared" si="5"/>
        <v>0</v>
      </c>
    </row>
    <row r="1910" ht="14.25" customHeight="1">
      <c r="A1910" s="49" t="s">
        <v>3378</v>
      </c>
      <c r="B1910" s="49" t="str">
        <f>IFERROR(__xludf.DUMMYFUNCTION("REGEXEXTRACT(A1910,""^cost\.(.*)\.[^.]+\.[^.]+$"")"),"quest.once_upon_a_forest_chapter_13.finished")</f>
        <v>quest.once_upon_a_forest_chapter_13.finished</v>
      </c>
      <c r="C1910" s="49" t="str">
        <f t="array" ref="C1910">_xlfn.XLOOKUP(
 B1910,
 tblTargets[TargetID],
 tblTargets[DisplayName],
 ""
)</f>
        <v>Once Upon a Forest Chapter 13 Finished</v>
      </c>
      <c r="D1910" s="49" t="str">
        <f t="array" ref="D1910">_xlfn.XLOOKUP(
 B1910,
 tblTargets[TargetID],
 tblTargets[TargetType],
 ""
)</f>
        <v>QUEST</v>
      </c>
      <c r="E1910" s="49" t="s">
        <v>2611</v>
      </c>
      <c r="F1910" s="87">
        <f>IFERROR(__xludf.DUMMYFUNCTION("VALUE(REGEXEXTRACT(A1910,""([^.]+)$""))"),1.0)</f>
        <v>1</v>
      </c>
      <c r="G1910" s="49">
        <v>5.0</v>
      </c>
      <c r="H1910" s="26" t="b">
        <f>COUNTIFS(
 tblCostChecklist[RequirementID],A1910,
 tblCostChecklist[PlayerPaid],TRUE
)&gt;0</f>
        <v>0</v>
      </c>
      <c r="I1910" s="49">
        <f t="shared" si="1"/>
        <v>6</v>
      </c>
      <c r="J1910" s="49">
        <f t="shared" si="2"/>
        <v>0</v>
      </c>
      <c r="K1910" s="49">
        <f t="shared" si="3"/>
        <v>6</v>
      </c>
      <c r="L1910" s="49" t="b">
        <f t="shared" si="4"/>
        <v>0</v>
      </c>
      <c r="M1910" s="88">
        <f t="shared" si="5"/>
        <v>0</v>
      </c>
    </row>
    <row r="1911" ht="14.25" customHeight="1">
      <c r="A1911" s="49" t="s">
        <v>3377</v>
      </c>
      <c r="B1911" s="49" t="str">
        <f>IFERROR(__xludf.DUMMYFUNCTION("REGEXEXTRACT(A1911,""^cost\.(.*)\.[^.]+\.[^.]+$"")"),"quest.once_upon_a_forest_chapter_13.finished")</f>
        <v>quest.once_upon_a_forest_chapter_13.finished</v>
      </c>
      <c r="C1911" s="49" t="str">
        <f t="array" ref="C1911">_xlfn.XLOOKUP(
 B1911,
 tblTargets[TargetID],
 tblTargets[DisplayName],
 ""
)</f>
        <v>Once Upon a Forest Chapter 13 Finished</v>
      </c>
      <c r="D1911" s="49" t="str">
        <f t="array" ref="D1911">_xlfn.XLOOKUP(
 B1911,
 tblTargets[TargetID],
 tblTargets[TargetType],
 ""
)</f>
        <v>QUEST</v>
      </c>
      <c r="E1911" s="49" t="s">
        <v>2486</v>
      </c>
      <c r="F1911" s="87">
        <f>IFERROR(__xludf.DUMMYFUNCTION("VALUE(REGEXEXTRACT(A1911,""([^.]+)$""))"),1.0)</f>
        <v>1</v>
      </c>
      <c r="G1911" s="49">
        <v>5.0</v>
      </c>
      <c r="H1911" s="26" t="b">
        <f>COUNTIFS(
 tblCostChecklist[RequirementID],A1911,
 tblCostChecklist[PlayerPaid],TRUE
)&gt;0</f>
        <v>0</v>
      </c>
      <c r="I1911" s="49">
        <f t="shared" si="1"/>
        <v>6</v>
      </c>
      <c r="J1911" s="49">
        <f t="shared" si="2"/>
        <v>0</v>
      </c>
      <c r="K1911" s="49">
        <f t="shared" si="3"/>
        <v>6</v>
      </c>
      <c r="L1911" s="49" t="b">
        <f t="shared" si="4"/>
        <v>0</v>
      </c>
      <c r="M1911" s="88">
        <f t="shared" si="5"/>
        <v>0</v>
      </c>
    </row>
    <row r="1912" ht="14.25" customHeight="1">
      <c r="A1912" s="49" t="s">
        <v>3380</v>
      </c>
      <c r="B1912" s="49" t="str">
        <f>IFERROR(__xludf.DUMMYFUNCTION("REGEXEXTRACT(A1912,""^cost\.(.*)\.[^.]+\.[^.]+$"")"),"quest.once_upon_a_forest_chapter_13.finished")</f>
        <v>quest.once_upon_a_forest_chapter_13.finished</v>
      </c>
      <c r="C1912" s="49" t="str">
        <f t="array" ref="C1912">_xlfn.XLOOKUP(
 B1912,
 tblTargets[TargetID],
 tblTargets[DisplayName],
 ""
)</f>
        <v>Once Upon a Forest Chapter 13 Finished</v>
      </c>
      <c r="D1912" s="49" t="str">
        <f t="array" ref="D1912">_xlfn.XLOOKUP(
 B1912,
 tblTargets[TargetID],
 tblTargets[TargetType],
 ""
)</f>
        <v>QUEST</v>
      </c>
      <c r="E1912" s="49" t="s">
        <v>2874</v>
      </c>
      <c r="F1912" s="87">
        <f>IFERROR(__xludf.DUMMYFUNCTION("VALUE(REGEXEXTRACT(A1912,""([^.]+)$""))"),1.0)</f>
        <v>1</v>
      </c>
      <c r="G1912" s="49">
        <v>10.0</v>
      </c>
      <c r="H1912" s="26" t="b">
        <f>COUNTIFS(
 tblCostChecklist[RequirementID],A1912,
 tblCostChecklist[PlayerPaid],TRUE
)&gt;0</f>
        <v>0</v>
      </c>
      <c r="I1912" s="49">
        <f t="shared" si="1"/>
        <v>6</v>
      </c>
      <c r="J1912" s="49">
        <f t="shared" si="2"/>
        <v>0</v>
      </c>
      <c r="K1912" s="49">
        <f t="shared" si="3"/>
        <v>6</v>
      </c>
      <c r="L1912" s="49" t="b">
        <f t="shared" si="4"/>
        <v>0</v>
      </c>
      <c r="M1912" s="88">
        <f t="shared" si="5"/>
        <v>0</v>
      </c>
    </row>
    <row r="1913" ht="14.25" customHeight="1">
      <c r="A1913" s="49" t="s">
        <v>3400</v>
      </c>
      <c r="B1913" s="49" t="str">
        <f>IFERROR(__xludf.DUMMYFUNCTION("REGEXEXTRACT(A1913,""^cost\.(.*)\.[^.]+\.[^.]+$"")"),"quest.shoguns_katana_chapter_1.finished")</f>
        <v>quest.shoguns_katana_chapter_1.finished</v>
      </c>
      <c r="C1913" s="49" t="str">
        <f t="array" ref="C1913">_xlfn.XLOOKUP(
 B1913,
 tblTargets[TargetID],
 tblTargets[DisplayName],
 ""
)</f>
        <v>Shogun's Katana Chapter 1 Finished</v>
      </c>
      <c r="D1913" s="49" t="str">
        <f t="array" ref="D1913">_xlfn.XLOOKUP(
 B1913,
 tblTargets[TargetID],
 tblTargets[TargetType],
 ""
)</f>
        <v>QUEST</v>
      </c>
      <c r="E1913" s="49" t="s">
        <v>2599</v>
      </c>
      <c r="F1913" s="87">
        <f>IFERROR(__xludf.DUMMYFUNCTION("VALUE(REGEXEXTRACT(A1913,""([^.]+)$""))"),1.0)</f>
        <v>1</v>
      </c>
      <c r="G1913" s="49">
        <v>1.0</v>
      </c>
      <c r="H1913" s="26" t="b">
        <f>COUNTIFS(
 tblCostChecklist[RequirementID],A1913,
 tblCostChecklist[PlayerPaid],TRUE
)&gt;0</f>
        <v>0</v>
      </c>
      <c r="I1913" s="49">
        <f t="shared" si="1"/>
        <v>1</v>
      </c>
      <c r="J1913" s="49">
        <f t="shared" si="2"/>
        <v>0</v>
      </c>
      <c r="K1913" s="49">
        <f t="shared" si="3"/>
        <v>1</v>
      </c>
      <c r="L1913" s="49" t="b">
        <f t="shared" si="4"/>
        <v>0</v>
      </c>
      <c r="M1913" s="88">
        <f t="shared" si="5"/>
        <v>0</v>
      </c>
    </row>
    <row r="1914" ht="14.25" customHeight="1">
      <c r="A1914" s="49" t="s">
        <v>3402</v>
      </c>
      <c r="B1914" s="49" t="str">
        <f>IFERROR(__xludf.DUMMYFUNCTION("REGEXEXTRACT(A1914,""^cost\.(.*)\.[^.]+\.[^.]+$"")"),"quest.shoguns_katana_chapter_2.finished")</f>
        <v>quest.shoguns_katana_chapter_2.finished</v>
      </c>
      <c r="C1914" s="49" t="str">
        <f t="array" ref="C1914">_xlfn.XLOOKUP(
 B1914,
 tblTargets[TargetID],
 tblTargets[DisplayName],
 ""
)</f>
        <v>Shogun's Katana Chapter 2 Finished</v>
      </c>
      <c r="D1914" s="49" t="str">
        <f t="array" ref="D1914">_xlfn.XLOOKUP(
 B1914,
 tblTargets[TargetID],
 tblTargets[TargetType],
 ""
)</f>
        <v>QUEST</v>
      </c>
      <c r="E1914" s="49" t="s">
        <v>2601</v>
      </c>
      <c r="F1914" s="87">
        <f>IFERROR(__xludf.DUMMYFUNCTION("VALUE(REGEXEXTRACT(A1914,""([^.]+)$""))"),1.0)</f>
        <v>1</v>
      </c>
      <c r="G1914" s="49">
        <v>1.0</v>
      </c>
      <c r="H1914" s="26" t="b">
        <f>COUNTIFS(
 tblCostChecklist[RequirementID],A1914,
 tblCostChecklist[PlayerPaid],TRUE
)&gt;0</f>
        <v>0</v>
      </c>
      <c r="I1914" s="49">
        <f t="shared" si="1"/>
        <v>1</v>
      </c>
      <c r="J1914" s="49">
        <f t="shared" si="2"/>
        <v>0</v>
      </c>
      <c r="K1914" s="49">
        <f t="shared" si="3"/>
        <v>1</v>
      </c>
      <c r="L1914" s="49" t="b">
        <f t="shared" si="4"/>
        <v>0</v>
      </c>
      <c r="M1914" s="88">
        <f t="shared" si="5"/>
        <v>0</v>
      </c>
    </row>
    <row r="1915" ht="14.25" customHeight="1">
      <c r="A1915" s="49" t="s">
        <v>3404</v>
      </c>
      <c r="B1915" s="49" t="str">
        <f>IFERROR(__xludf.DUMMYFUNCTION("REGEXEXTRACT(A1915,""^cost\.(.*)\.[^.]+\.[^.]+$"")"),"quest.shoguns_katana_chapter_3.finished")</f>
        <v>quest.shoguns_katana_chapter_3.finished</v>
      </c>
      <c r="C1915" s="49" t="str">
        <f t="array" ref="C1915">_xlfn.XLOOKUP(
 B1915,
 tblTargets[TargetID],
 tblTargets[DisplayName],
 ""
)</f>
        <v>Shogun's Katana Chapter 3 Finished</v>
      </c>
      <c r="D1915" s="49" t="str">
        <f t="array" ref="D1915">_xlfn.XLOOKUP(
 B1915,
 tblTargets[TargetID],
 tblTargets[TargetType],
 ""
)</f>
        <v>QUEST</v>
      </c>
      <c r="E1915" s="49" t="s">
        <v>3405</v>
      </c>
      <c r="F1915" s="87">
        <f>IFERROR(__xludf.DUMMYFUNCTION("VALUE(REGEXEXTRACT(A1915,""([^.]+)$""))"),1.0)</f>
        <v>1</v>
      </c>
      <c r="G1915" s="49">
        <v>1.0</v>
      </c>
      <c r="H1915" s="26" t="b">
        <f>COUNTIFS(
 tblCostChecklist[RequirementID],A1915,
 tblCostChecklist[PlayerPaid],TRUE
)&gt;0</f>
        <v>0</v>
      </c>
      <c r="I1915" s="49">
        <f t="shared" si="1"/>
        <v>1</v>
      </c>
      <c r="J1915" s="49">
        <f t="shared" si="2"/>
        <v>0</v>
      </c>
      <c r="K1915" s="49">
        <f t="shared" si="3"/>
        <v>1</v>
      </c>
      <c r="L1915" s="49" t="b">
        <f t="shared" si="4"/>
        <v>0</v>
      </c>
      <c r="M1915" s="88">
        <f t="shared" si="5"/>
        <v>0</v>
      </c>
    </row>
    <row r="1916" ht="14.25" customHeight="1">
      <c r="A1916" s="49" t="s">
        <v>3407</v>
      </c>
      <c r="B1916" s="49" t="str">
        <f>IFERROR(__xludf.DUMMYFUNCTION("REGEXEXTRACT(A1916,""^cost\.(.*)\.[^.]+\.[^.]+$"")"),"quest.shoguns_katana_chapter_4.finished")</f>
        <v>quest.shoguns_katana_chapter_4.finished</v>
      </c>
      <c r="C1916" s="49" t="str">
        <f t="array" ref="C1916">_xlfn.XLOOKUP(
 B1916,
 tblTargets[TargetID],
 tblTargets[DisplayName],
 ""
)</f>
        <v>Shogun's Katana Chapter 4 Finished</v>
      </c>
      <c r="D1916" s="49" t="str">
        <f t="array" ref="D1916">_xlfn.XLOOKUP(
 B1916,
 tblTargets[TargetID],
 tblTargets[TargetType],
 ""
)</f>
        <v>QUEST</v>
      </c>
      <c r="E1916" s="49" t="s">
        <v>3405</v>
      </c>
      <c r="F1916" s="87">
        <f>IFERROR(__xludf.DUMMYFUNCTION("VALUE(REGEXEXTRACT(A1916,""([^.]+)$""))"),1.0)</f>
        <v>1</v>
      </c>
      <c r="G1916" s="49">
        <v>1.0</v>
      </c>
      <c r="H1916" s="26" t="b">
        <f>COUNTIFS(
 tblCostChecklist[RequirementID],A1916,
 tblCostChecklist[PlayerPaid],TRUE
)&gt;0</f>
        <v>0</v>
      </c>
      <c r="I1916" s="49">
        <f t="shared" si="1"/>
        <v>1</v>
      </c>
      <c r="J1916" s="49">
        <f t="shared" si="2"/>
        <v>0</v>
      </c>
      <c r="K1916" s="49">
        <f t="shared" si="3"/>
        <v>1</v>
      </c>
      <c r="L1916" s="49" t="b">
        <f t="shared" si="4"/>
        <v>0</v>
      </c>
      <c r="M1916" s="88">
        <f t="shared" si="5"/>
        <v>0</v>
      </c>
    </row>
    <row r="1917" ht="14.25" customHeight="1">
      <c r="A1917" s="49" t="s">
        <v>3408</v>
      </c>
      <c r="B1917" s="49" t="str">
        <f>IFERROR(__xludf.DUMMYFUNCTION("REGEXEXTRACT(A1917,""^cost\.(.*)\.[^.]+\.[^.]+$"")"),"quest.shoguns_katana_chapter_5.finished")</f>
        <v>quest.shoguns_katana_chapter_5.finished</v>
      </c>
      <c r="C1917" s="49" t="str">
        <f t="array" ref="C1917">_xlfn.XLOOKUP(
 B1917,
 tblTargets[TargetID],
 tblTargets[DisplayName],
 ""
)</f>
        <v>Shogun's Katana Chapter 5 Finished</v>
      </c>
      <c r="D1917" s="49" t="str">
        <f t="array" ref="D1917">_xlfn.XLOOKUP(
 B1917,
 tblTargets[TargetID],
 tblTargets[TargetType],
 ""
)</f>
        <v>QUEST</v>
      </c>
      <c r="E1917" s="49" t="s">
        <v>3405</v>
      </c>
      <c r="F1917" s="87">
        <f>IFERROR(__xludf.DUMMYFUNCTION("VALUE(REGEXEXTRACT(A1917,""([^.]+)$""))"),1.0)</f>
        <v>1</v>
      </c>
      <c r="G1917" s="49">
        <v>1.0</v>
      </c>
      <c r="H1917" s="26" t="b">
        <f>COUNTIFS(
 tblCostChecklist[RequirementID],A1917,
 tblCostChecklist[PlayerPaid],TRUE
)&gt;0</f>
        <v>0</v>
      </c>
      <c r="I1917" s="49">
        <f t="shared" si="1"/>
        <v>1</v>
      </c>
      <c r="J1917" s="49">
        <f t="shared" si="2"/>
        <v>0</v>
      </c>
      <c r="K1917" s="49">
        <f t="shared" si="3"/>
        <v>1</v>
      </c>
      <c r="L1917" s="49" t="b">
        <f t="shared" si="4"/>
        <v>0</v>
      </c>
      <c r="M1917" s="88">
        <f t="shared" si="5"/>
        <v>0</v>
      </c>
    </row>
    <row r="1918" ht="14.25" customHeight="1">
      <c r="A1918" s="49" t="s">
        <v>3410</v>
      </c>
      <c r="B1918" s="49" t="str">
        <f>IFERROR(__xludf.DUMMYFUNCTION("REGEXEXTRACT(A1918,""^cost\.(.*)\.[^.]+\.[^.]+$"")"),"quest.shoguns_katana_chapter_6.finished")</f>
        <v>quest.shoguns_katana_chapter_6.finished</v>
      </c>
      <c r="C1918" s="49" t="str">
        <f t="array" ref="C1918">_xlfn.XLOOKUP(
 B1918,
 tblTargets[TargetID],
 tblTargets[DisplayName],
 ""
)</f>
        <v>Shogun's Katana Chapter 6 Finished</v>
      </c>
      <c r="D1918" s="49" t="str">
        <f t="array" ref="D1918">_xlfn.XLOOKUP(
 B1918,
 tblTargets[TargetID],
 tblTargets[TargetType],
 ""
)</f>
        <v>QUEST</v>
      </c>
      <c r="E1918" s="49" t="s">
        <v>3411</v>
      </c>
      <c r="F1918" s="87">
        <f>IFERROR(__xludf.DUMMYFUNCTION("VALUE(REGEXEXTRACT(A1918,""([^.]+)$""))"),1.0)</f>
        <v>1</v>
      </c>
      <c r="G1918" s="49">
        <v>1.0</v>
      </c>
      <c r="H1918" s="26" t="b">
        <f>COUNTIFS(
 tblCostChecklist[RequirementID],A1918,
 tblCostChecklist[PlayerPaid],TRUE
)&gt;0</f>
        <v>0</v>
      </c>
      <c r="I1918" s="49">
        <f t="shared" si="1"/>
        <v>1</v>
      </c>
      <c r="J1918" s="49">
        <f t="shared" si="2"/>
        <v>0</v>
      </c>
      <c r="K1918" s="49">
        <f t="shared" si="3"/>
        <v>1</v>
      </c>
      <c r="L1918" s="49" t="b">
        <f t="shared" si="4"/>
        <v>0</v>
      </c>
      <c r="M1918" s="88">
        <f t="shared" si="5"/>
        <v>0</v>
      </c>
    </row>
    <row r="1919" ht="14.25" customHeight="1">
      <c r="A1919" s="49" t="s">
        <v>3413</v>
      </c>
      <c r="B1919" s="49" t="str">
        <f>IFERROR(__xludf.DUMMYFUNCTION("REGEXEXTRACT(A1919,""^cost\.(.*)\.[^.]+\.[^.]+$"")"),"quest.shoguns_katana_chapter_7.finished")</f>
        <v>quest.shoguns_katana_chapter_7.finished</v>
      </c>
      <c r="C1919" s="49" t="str">
        <f t="array" ref="C1919">_xlfn.XLOOKUP(
 B1919,
 tblTargets[TargetID],
 tblTargets[DisplayName],
 ""
)</f>
        <v>Shogun's Katana Chapter 7 Finished</v>
      </c>
      <c r="D1919" s="49" t="str">
        <f t="array" ref="D1919">_xlfn.XLOOKUP(
 B1919,
 tblTargets[TargetID],
 tblTargets[TargetType],
 ""
)</f>
        <v>QUEST</v>
      </c>
      <c r="E1919" s="49" t="s">
        <v>3411</v>
      </c>
      <c r="F1919" s="87">
        <f>IFERROR(__xludf.DUMMYFUNCTION("VALUE(REGEXEXTRACT(A1919,""([^.]+)$""))"),1.0)</f>
        <v>1</v>
      </c>
      <c r="G1919" s="49">
        <v>1.0</v>
      </c>
      <c r="H1919" s="26" t="b">
        <f>COUNTIFS(
 tblCostChecklist[RequirementID],A1919,
 tblCostChecklist[PlayerPaid],TRUE
)&gt;0</f>
        <v>0</v>
      </c>
      <c r="I1919" s="49">
        <f t="shared" si="1"/>
        <v>1</v>
      </c>
      <c r="J1919" s="49">
        <f t="shared" si="2"/>
        <v>0</v>
      </c>
      <c r="K1919" s="49">
        <f t="shared" si="3"/>
        <v>1</v>
      </c>
      <c r="L1919" s="49" t="b">
        <f t="shared" si="4"/>
        <v>0</v>
      </c>
      <c r="M1919" s="88">
        <f t="shared" si="5"/>
        <v>0</v>
      </c>
    </row>
    <row r="1920" ht="14.25" customHeight="1">
      <c r="A1920" s="49" t="s">
        <v>3415</v>
      </c>
      <c r="B1920" s="49" t="str">
        <f>IFERROR(__xludf.DUMMYFUNCTION("REGEXEXTRACT(A1920,""^cost\.(.*)\.[^.]+\.[^.]+$"")"),"quest.the_ordinary_days_of_an_adventurer_chapter_2.finished")</f>
        <v>quest.the_ordinary_days_of_an_adventurer_chapter_2.finished</v>
      </c>
      <c r="C1920" s="49" t="str">
        <f t="array" ref="C1920">_xlfn.XLOOKUP(
 B1920,
 tblTargets[TargetID],
 tblTargets[DisplayName],
 ""
)</f>
        <v>The Ordinary Days of an Adventurer Chapter 2 Finished</v>
      </c>
      <c r="D1920" s="49" t="str">
        <f t="array" ref="D1920">_xlfn.XLOOKUP(
 B1920,
 tblTargets[TargetID],
 tblTargets[TargetType],
 ""
)</f>
        <v>QUEST</v>
      </c>
      <c r="E1920" s="49" t="s">
        <v>520</v>
      </c>
      <c r="F1920" s="87">
        <f>IFERROR(__xludf.DUMMYFUNCTION("VALUE(REGEXEXTRACT(A1920,""([^.]+)$""))"),1.0)</f>
        <v>1</v>
      </c>
      <c r="G1920" s="49">
        <v>25.0</v>
      </c>
      <c r="H1920" s="26" t="b">
        <f>COUNTIFS(
 tblCostChecklist[RequirementID],A1920,
 tblCostChecklist[PlayerPaid],TRUE
)&gt;0</f>
        <v>0</v>
      </c>
      <c r="I1920" s="49">
        <f t="shared" si="1"/>
        <v>3</v>
      </c>
      <c r="J1920" s="49">
        <f t="shared" si="2"/>
        <v>0</v>
      </c>
      <c r="K1920" s="49">
        <f t="shared" si="3"/>
        <v>3</v>
      </c>
      <c r="L1920" s="49" t="b">
        <f t="shared" si="4"/>
        <v>0</v>
      </c>
      <c r="M1920" s="88">
        <f t="shared" si="5"/>
        <v>0</v>
      </c>
    </row>
    <row r="1921" ht="14.25" customHeight="1">
      <c r="A1921" s="49" t="s">
        <v>3419</v>
      </c>
      <c r="B1921" s="49" t="str">
        <f>IFERROR(__xludf.DUMMYFUNCTION("REGEXEXTRACT(A1921,""^cost\.(.*)\.[^.]+\.[^.]+$"")"),"quest.the_ordinary_days_of_an_adventurer_chapter_2.finished")</f>
        <v>quest.the_ordinary_days_of_an_adventurer_chapter_2.finished</v>
      </c>
      <c r="C1921" s="49" t="str">
        <f t="array" ref="C1921">_xlfn.XLOOKUP(
 B1921,
 tblTargets[TargetID],
 tblTargets[DisplayName],
 ""
)</f>
        <v>The Ordinary Days of an Adventurer Chapter 2 Finished</v>
      </c>
      <c r="D1921" s="49" t="str">
        <f t="array" ref="D1921">_xlfn.XLOOKUP(
 B1921,
 tblTargets[TargetID],
 tblTargets[TargetType],
 ""
)</f>
        <v>QUEST</v>
      </c>
      <c r="E1921" s="49" t="s">
        <v>711</v>
      </c>
      <c r="F1921" s="87">
        <f>IFERROR(__xludf.DUMMYFUNCTION("VALUE(REGEXEXTRACT(A1921,""([^.]+)$""))"),1.0)</f>
        <v>1</v>
      </c>
      <c r="G1921" s="49">
        <v>5.0</v>
      </c>
      <c r="H1921" s="26" t="b">
        <f>COUNTIFS(
 tblCostChecklist[RequirementID],A1921,
 tblCostChecklist[PlayerPaid],TRUE
)&gt;0</f>
        <v>0</v>
      </c>
      <c r="I1921" s="49">
        <f t="shared" si="1"/>
        <v>3</v>
      </c>
      <c r="J1921" s="49">
        <f t="shared" si="2"/>
        <v>0</v>
      </c>
      <c r="K1921" s="49">
        <f t="shared" si="3"/>
        <v>3</v>
      </c>
      <c r="L1921" s="49" t="b">
        <f t="shared" si="4"/>
        <v>0</v>
      </c>
      <c r="M1921" s="88">
        <f t="shared" si="5"/>
        <v>0</v>
      </c>
    </row>
    <row r="1922" ht="14.25" customHeight="1">
      <c r="A1922" s="49" t="s">
        <v>3417</v>
      </c>
      <c r="B1922" s="49" t="str">
        <f>IFERROR(__xludf.DUMMYFUNCTION("REGEXEXTRACT(A1922,""^cost\.(.*)\.[^.]+\.[^.]+$"")"),"quest.the_ordinary_days_of_an_adventurer_chapter_2.finished")</f>
        <v>quest.the_ordinary_days_of_an_adventurer_chapter_2.finished</v>
      </c>
      <c r="C1922" s="49" t="str">
        <f t="array" ref="C1922">_xlfn.XLOOKUP(
 B1922,
 tblTargets[TargetID],
 tblTargets[DisplayName],
 ""
)</f>
        <v>The Ordinary Days of an Adventurer Chapter 2 Finished</v>
      </c>
      <c r="D1922" s="49" t="str">
        <f t="array" ref="D1922">_xlfn.XLOOKUP(
 B1922,
 tblTargets[TargetID],
 tblTargets[TargetType],
 ""
)</f>
        <v>QUEST</v>
      </c>
      <c r="E1922" s="49" t="s">
        <v>2251</v>
      </c>
      <c r="F1922" s="87">
        <f>IFERROR(__xludf.DUMMYFUNCTION("VALUE(REGEXEXTRACT(A1922,""([^.]+)$""))"),1.0)</f>
        <v>1</v>
      </c>
      <c r="G1922" s="49">
        <v>3.0</v>
      </c>
      <c r="H1922" s="26" t="b">
        <f>COUNTIFS(
 tblCostChecklist[RequirementID],A1922,
 tblCostChecklist[PlayerPaid],TRUE
)&gt;0</f>
        <v>0</v>
      </c>
      <c r="I1922" s="49">
        <f t="shared" si="1"/>
        <v>3</v>
      </c>
      <c r="J1922" s="49">
        <f t="shared" si="2"/>
        <v>0</v>
      </c>
      <c r="K1922" s="49">
        <f t="shared" si="3"/>
        <v>3</v>
      </c>
      <c r="L1922" s="49" t="b">
        <f t="shared" si="4"/>
        <v>0</v>
      </c>
      <c r="M1922" s="88">
        <f t="shared" si="5"/>
        <v>0</v>
      </c>
    </row>
    <row r="1923" ht="14.25" customHeight="1">
      <c r="A1923" s="49" t="s">
        <v>3426</v>
      </c>
      <c r="B1923" s="49" t="str">
        <f>IFERROR(__xludf.DUMMYFUNCTION("REGEXEXTRACT(A1923,""^cost\.(.*)\.[^.]+\.[^.]+$"")"),"quest.the_ordinary_days_of_an_adventurer_chapter_5.finished")</f>
        <v>quest.the_ordinary_days_of_an_adventurer_chapter_5.finished</v>
      </c>
      <c r="C1923" s="49" t="str">
        <f t="array" ref="C1923">_xlfn.XLOOKUP(
 B1923,
 tblTargets[TargetID],
 tblTargets[DisplayName],
 ""
)</f>
        <v>The Ordinary Days of an Adventurer Chapter 5 Finished</v>
      </c>
      <c r="D1923" s="49" t="str">
        <f t="array" ref="D1923">_xlfn.XLOOKUP(
 B1923,
 tblTargets[TargetID],
 tblTargets[TargetType],
 ""
)</f>
        <v>QUEST</v>
      </c>
      <c r="E1923" s="49" t="s">
        <v>2709</v>
      </c>
      <c r="F1923" s="87">
        <f>IFERROR(__xludf.DUMMYFUNCTION("VALUE(REGEXEXTRACT(A1923,""([^.]+)$""))"),1.0)</f>
        <v>1</v>
      </c>
      <c r="G1923" s="49">
        <v>150.0</v>
      </c>
      <c r="H1923" s="26" t="b">
        <f>COUNTIFS(
 tblCostChecklist[RequirementID],A1923,
 tblCostChecklist[PlayerPaid],TRUE
)&gt;0</f>
        <v>0</v>
      </c>
      <c r="I1923" s="49">
        <f t="shared" si="1"/>
        <v>5</v>
      </c>
      <c r="J1923" s="49">
        <f t="shared" si="2"/>
        <v>0</v>
      </c>
      <c r="K1923" s="49">
        <f t="shared" si="3"/>
        <v>5</v>
      </c>
      <c r="L1923" s="49" t="b">
        <f t="shared" si="4"/>
        <v>0</v>
      </c>
      <c r="M1923" s="88">
        <f t="shared" si="5"/>
        <v>0</v>
      </c>
    </row>
    <row r="1924" ht="14.25" customHeight="1">
      <c r="A1924" s="49" t="s">
        <v>3423</v>
      </c>
      <c r="B1924" s="49" t="str">
        <f>IFERROR(__xludf.DUMMYFUNCTION("REGEXEXTRACT(A1924,""^cost\.(.*)\.[^.]+\.[^.]+$"")"),"quest.the_ordinary_days_of_an_adventurer_chapter_5.finished")</f>
        <v>quest.the_ordinary_days_of_an_adventurer_chapter_5.finished</v>
      </c>
      <c r="C1924" s="49" t="str">
        <f t="array" ref="C1924">_xlfn.XLOOKUP(
 B1924,
 tblTargets[TargetID],
 tblTargets[DisplayName],
 ""
)</f>
        <v>The Ordinary Days of an Adventurer Chapter 5 Finished</v>
      </c>
      <c r="D1924" s="49" t="str">
        <f t="array" ref="D1924">_xlfn.XLOOKUP(
 B1924,
 tblTargets[TargetID],
 tblTargets[TargetType],
 ""
)</f>
        <v>QUEST</v>
      </c>
      <c r="E1924" s="49" t="s">
        <v>452</v>
      </c>
      <c r="F1924" s="87">
        <f>IFERROR(__xludf.DUMMYFUNCTION("VALUE(REGEXEXTRACT(A1924,""([^.]+)$""))"),1.0)</f>
        <v>1</v>
      </c>
      <c r="G1924" s="49">
        <v>30.0</v>
      </c>
      <c r="H1924" s="26" t="b">
        <f>COUNTIFS(
 tblCostChecklist[RequirementID],A1924,
 tblCostChecklist[PlayerPaid],TRUE
)&gt;0</f>
        <v>0</v>
      </c>
      <c r="I1924" s="49">
        <f t="shared" si="1"/>
        <v>5</v>
      </c>
      <c r="J1924" s="49">
        <f t="shared" si="2"/>
        <v>0</v>
      </c>
      <c r="K1924" s="49">
        <f t="shared" si="3"/>
        <v>5</v>
      </c>
      <c r="L1924" s="49" t="b">
        <f t="shared" si="4"/>
        <v>0</v>
      </c>
      <c r="M1924" s="88">
        <f t="shared" si="5"/>
        <v>0</v>
      </c>
    </row>
    <row r="1925" ht="14.25" customHeight="1">
      <c r="A1925" s="49" t="s">
        <v>3429</v>
      </c>
      <c r="B1925" s="49" t="str">
        <f>IFERROR(__xludf.DUMMYFUNCTION("REGEXEXTRACT(A1925,""^cost\.(.*)\.[^.]+\.[^.]+$"")"),"quest.the_ordinary_days_of_an_adventurer_chapter_5.finished")</f>
        <v>quest.the_ordinary_days_of_an_adventurer_chapter_5.finished</v>
      </c>
      <c r="C1925" s="49" t="str">
        <f t="array" ref="C1925">_xlfn.XLOOKUP(
 B1925,
 tblTargets[TargetID],
 tblTargets[DisplayName],
 ""
)</f>
        <v>The Ordinary Days of an Adventurer Chapter 5 Finished</v>
      </c>
      <c r="D1925" s="49" t="str">
        <f t="array" ref="D1925">_xlfn.XLOOKUP(
 B1925,
 tblTargets[TargetID],
 tblTargets[TargetType],
 ""
)</f>
        <v>QUEST</v>
      </c>
      <c r="E1925" s="49" t="s">
        <v>2714</v>
      </c>
      <c r="F1925" s="87">
        <f>IFERROR(__xludf.DUMMYFUNCTION("VALUE(REGEXEXTRACT(A1925,""([^.]+)$""))"),1.0)</f>
        <v>1</v>
      </c>
      <c r="G1925" s="49">
        <v>20.0</v>
      </c>
      <c r="H1925" s="26" t="b">
        <f>COUNTIFS(
 tblCostChecklist[RequirementID],A1925,
 tblCostChecklist[PlayerPaid],TRUE
)&gt;0</f>
        <v>0</v>
      </c>
      <c r="I1925" s="49">
        <f t="shared" si="1"/>
        <v>5</v>
      </c>
      <c r="J1925" s="49">
        <f t="shared" si="2"/>
        <v>0</v>
      </c>
      <c r="K1925" s="49">
        <f t="shared" si="3"/>
        <v>5</v>
      </c>
      <c r="L1925" s="49" t="b">
        <f t="shared" si="4"/>
        <v>0</v>
      </c>
      <c r="M1925" s="88">
        <f t="shared" si="5"/>
        <v>0</v>
      </c>
    </row>
    <row r="1926" ht="14.25" customHeight="1">
      <c r="A1926" s="49" t="s">
        <v>3421</v>
      </c>
      <c r="B1926" s="49" t="str">
        <f>IFERROR(__xludf.DUMMYFUNCTION("REGEXEXTRACT(A1926,""^cost\.(.*)\.[^.]+\.[^.]+$"")"),"quest.the_ordinary_days_of_an_adventurer_chapter_5.finished")</f>
        <v>quest.the_ordinary_days_of_an_adventurer_chapter_5.finished</v>
      </c>
      <c r="C1926" s="49" t="str">
        <f t="array" ref="C1926">_xlfn.XLOOKUP(
 B1926,
 tblTargets[TargetID],
 tblTargets[DisplayName],
 ""
)</f>
        <v>The Ordinary Days of an Adventurer Chapter 5 Finished</v>
      </c>
      <c r="D1926" s="49" t="str">
        <f t="array" ref="D1926">_xlfn.XLOOKUP(
 B1926,
 tblTargets[TargetID],
 tblTargets[TargetType],
 ""
)</f>
        <v>QUEST</v>
      </c>
      <c r="E1926" s="49" t="s">
        <v>2707</v>
      </c>
      <c r="F1926" s="87">
        <f>IFERROR(__xludf.DUMMYFUNCTION("VALUE(REGEXEXTRACT(A1926,""([^.]+)$""))"),1.0)</f>
        <v>1</v>
      </c>
      <c r="G1926" s="49">
        <v>20.0</v>
      </c>
      <c r="H1926" s="26" t="b">
        <f>COUNTIFS(
 tblCostChecklist[RequirementID],A1926,
 tblCostChecklist[PlayerPaid],TRUE
)&gt;0</f>
        <v>0</v>
      </c>
      <c r="I1926" s="49">
        <f t="shared" si="1"/>
        <v>5</v>
      </c>
      <c r="J1926" s="49">
        <f t="shared" si="2"/>
        <v>0</v>
      </c>
      <c r="K1926" s="49">
        <f t="shared" si="3"/>
        <v>5</v>
      </c>
      <c r="L1926" s="49" t="b">
        <f t="shared" si="4"/>
        <v>0</v>
      </c>
      <c r="M1926" s="88">
        <f t="shared" si="5"/>
        <v>0</v>
      </c>
    </row>
    <row r="1927" ht="14.25" customHeight="1">
      <c r="A1927" s="49" t="s">
        <v>3427</v>
      </c>
      <c r="B1927" s="49" t="str">
        <f>IFERROR(__xludf.DUMMYFUNCTION("REGEXEXTRACT(A1927,""^cost\.(.*)\.[^.]+\.[^.]+$"")"),"quest.the_ordinary_days_of_an_adventurer_chapter_5.finished")</f>
        <v>quest.the_ordinary_days_of_an_adventurer_chapter_5.finished</v>
      </c>
      <c r="C1927" s="49" t="str">
        <f t="array" ref="C1927">_xlfn.XLOOKUP(
 B1927,
 tblTargets[TargetID],
 tblTargets[DisplayName],
 ""
)</f>
        <v>The Ordinary Days of an Adventurer Chapter 5 Finished</v>
      </c>
      <c r="D1927" s="49" t="str">
        <f t="array" ref="D1927">_xlfn.XLOOKUP(
 B1927,
 tblTargets[TargetID],
 tblTargets[TargetType],
 ""
)</f>
        <v>QUEST</v>
      </c>
      <c r="E1927" s="49" t="s">
        <v>588</v>
      </c>
      <c r="F1927" s="87">
        <f>IFERROR(__xludf.DUMMYFUNCTION("VALUE(REGEXEXTRACT(A1927,""([^.]+)$""))"),1.0)</f>
        <v>1</v>
      </c>
      <c r="G1927" s="49">
        <v>20.0</v>
      </c>
      <c r="H1927" s="26" t="b">
        <f>COUNTIFS(
 tblCostChecklist[RequirementID],A1927,
 tblCostChecklist[PlayerPaid],TRUE
)&gt;0</f>
        <v>0</v>
      </c>
      <c r="I1927" s="49">
        <f t="shared" si="1"/>
        <v>5</v>
      </c>
      <c r="J1927" s="49">
        <f t="shared" si="2"/>
        <v>0</v>
      </c>
      <c r="K1927" s="49">
        <f t="shared" si="3"/>
        <v>5</v>
      </c>
      <c r="L1927" s="49" t="b">
        <f t="shared" si="4"/>
        <v>0</v>
      </c>
      <c r="M1927" s="88">
        <f t="shared" si="5"/>
        <v>0</v>
      </c>
    </row>
    <row r="1928" ht="14.25" customHeight="1">
      <c r="A1928" s="49" t="s">
        <v>3431</v>
      </c>
      <c r="B1928" s="49" t="str">
        <f>IFERROR(__xludf.DUMMYFUNCTION("REGEXEXTRACT(A1928,""^cost\.(.*)\.[^.]+\.[^.]+$"")"),"quest.the_ordinary_days_of_an_adventurer_chapter_6.finished")</f>
        <v>quest.the_ordinary_days_of_an_adventurer_chapter_6.finished</v>
      </c>
      <c r="C1928" s="49" t="str">
        <f t="array" ref="C1928">_xlfn.XLOOKUP(
 B1928,
 tblTargets[TargetID],
 tblTargets[DisplayName],
 ""
)</f>
        <v>The Ordinary Days of an Adventurer Chapter 6 Finished</v>
      </c>
      <c r="D1928" s="49" t="str">
        <f t="array" ref="D1928">_xlfn.XLOOKUP(
 B1928,
 tblTargets[TargetID],
 tblTargets[TargetType],
 ""
)</f>
        <v>QUEST</v>
      </c>
      <c r="E1928" s="49" t="s">
        <v>2849</v>
      </c>
      <c r="F1928" s="87">
        <f>IFERROR(__xludf.DUMMYFUNCTION("VALUE(REGEXEXTRACT(A1928,""([^.]+)$""))"),1.0)</f>
        <v>1</v>
      </c>
      <c r="G1928" s="49">
        <v>1.0</v>
      </c>
      <c r="H1928" s="26" t="b">
        <f>COUNTIFS(
 tblCostChecklist[RequirementID],A1928,
 tblCostChecklist[PlayerPaid],TRUE
)&gt;0</f>
        <v>0</v>
      </c>
      <c r="I1928" s="49">
        <f t="shared" si="1"/>
        <v>1</v>
      </c>
      <c r="J1928" s="49">
        <f t="shared" si="2"/>
        <v>0</v>
      </c>
      <c r="K1928" s="49">
        <f t="shared" si="3"/>
        <v>1</v>
      </c>
      <c r="L1928" s="49" t="b">
        <f t="shared" si="4"/>
        <v>0</v>
      </c>
      <c r="M1928" s="88">
        <f t="shared" si="5"/>
        <v>0</v>
      </c>
    </row>
    <row r="1929" ht="14.25" customHeight="1">
      <c r="A1929" s="49" t="s">
        <v>2473</v>
      </c>
      <c r="B1929" s="49" t="str">
        <f>IFERROR(__xludf.DUMMYFUNCTION("REGEXEXTRACT(A1929,""^cost\.(.*)\.[^.]+\.[^.]+$"")"),"collection.broken_lever@1")</f>
        <v>collection.broken_lever@1</v>
      </c>
      <c r="C1929" s="49" t="str">
        <f t="array" ref="C1929">_xlfn.XLOOKUP(
 B1929,
 tblTargets[TargetID],
 tblTargets[DisplayName],
 ""
)</f>
        <v>Broken Lever</v>
      </c>
      <c r="D1929" s="49" t="str">
        <f t="array" ref="D1929">_xlfn.XLOOKUP(
 B1929,
 tblTargets[TargetID],
 tblTargets[TargetType],
 ""
)</f>
        <v>COLLECTION</v>
      </c>
      <c r="E1929" s="49" t="s">
        <v>1078</v>
      </c>
      <c r="F1929" s="87">
        <f>IFERROR(__xludf.DUMMYFUNCTION("VALUE(REGEXEXTRACT(A1929,""([^.]+)$""))"),1.0)</f>
        <v>1</v>
      </c>
      <c r="G1929" s="49">
        <v>5.0</v>
      </c>
      <c r="H1929" s="26" t="b">
        <f>COUNTIFS(
 tblCostChecklist[RequirementID],A1929,
 tblCostChecklist[PlayerPaid],TRUE
)&gt;0</f>
        <v>0</v>
      </c>
      <c r="I1929" s="49">
        <f t="shared" si="1"/>
        <v>1</v>
      </c>
      <c r="J1929" s="49">
        <f t="shared" si="2"/>
        <v>0</v>
      </c>
      <c r="K1929" s="49">
        <f t="shared" si="3"/>
        <v>1</v>
      </c>
      <c r="L1929" s="49" t="b">
        <f t="shared" si="4"/>
        <v>0</v>
      </c>
      <c r="M1929" s="88">
        <f t="shared" si="5"/>
        <v>0</v>
      </c>
    </row>
    <row r="1930" ht="14.25" customHeight="1">
      <c r="A1930" s="49" t="s">
        <v>2477</v>
      </c>
      <c r="B1930" s="49" t="str">
        <f>IFERROR(__xludf.DUMMYFUNCTION("REGEXEXTRACT(A1930,""^cost\.(.*)\.[^.]+\.[^.]+$"")"),"collection.collapsed_staircase@1")</f>
        <v>collection.collapsed_staircase@1</v>
      </c>
      <c r="C1930" s="49" t="str">
        <f t="array" ref="C1930">_xlfn.XLOOKUP(
 B1930,
 tblTargets[TargetID],
 tblTargets[DisplayName],
 ""
)</f>
        <v>Collapsed Staircase</v>
      </c>
      <c r="D1930" s="49" t="str">
        <f t="array" ref="D1930">_xlfn.XLOOKUP(
 B1930,
 tblTargets[TargetID],
 tblTargets[TargetType],
 ""
)</f>
        <v>COLLECTION</v>
      </c>
      <c r="E1930" s="49" t="s">
        <v>278</v>
      </c>
      <c r="F1930" s="87">
        <f>IFERROR(__xludf.DUMMYFUNCTION("VALUE(REGEXEXTRACT(A1930,""([^.]+)$""))"),1.0)</f>
        <v>1</v>
      </c>
      <c r="G1930" s="49">
        <v>50.0</v>
      </c>
      <c r="H1930" s="26" t="b">
        <f>COUNTIFS(
 tblCostChecklist[RequirementID],A1930,
 tblCostChecklist[PlayerPaid],TRUE
)&gt;0</f>
        <v>0</v>
      </c>
      <c r="I1930" s="49">
        <f t="shared" si="1"/>
        <v>4</v>
      </c>
      <c r="J1930" s="49">
        <f t="shared" si="2"/>
        <v>0</v>
      </c>
      <c r="K1930" s="49">
        <f t="shared" si="3"/>
        <v>4</v>
      </c>
      <c r="L1930" s="49" t="b">
        <f t="shared" si="4"/>
        <v>0</v>
      </c>
      <c r="M1930" s="88">
        <f t="shared" si="5"/>
        <v>0</v>
      </c>
    </row>
    <row r="1931" ht="14.25" customHeight="1">
      <c r="A1931" s="49" t="s">
        <v>2480</v>
      </c>
      <c r="B1931" s="49" t="str">
        <f>IFERROR(__xludf.DUMMYFUNCTION("REGEXEXTRACT(A1931,""^cost\.(.*)\.[^.]+\.[^.]+$"")"),"collection.collapsed_staircase@1")</f>
        <v>collection.collapsed_staircase@1</v>
      </c>
      <c r="C1931" s="49" t="str">
        <f t="array" ref="C1931">_xlfn.XLOOKUP(
 B1931,
 tblTargets[TargetID],
 tblTargets[DisplayName],
 ""
)</f>
        <v>Collapsed Staircase</v>
      </c>
      <c r="D1931" s="49" t="str">
        <f t="array" ref="D1931">_xlfn.XLOOKUP(
 B1931,
 tblTargets[TargetID],
 tblTargets[TargetType],
 ""
)</f>
        <v>COLLECTION</v>
      </c>
      <c r="E1931" s="49" t="s">
        <v>237</v>
      </c>
      <c r="F1931" s="87">
        <f>IFERROR(__xludf.DUMMYFUNCTION("VALUE(REGEXEXTRACT(A1931,""([^.]+)$""))"),1.0)</f>
        <v>1</v>
      </c>
      <c r="G1931" s="49">
        <v>150.0</v>
      </c>
      <c r="H1931" s="26" t="b">
        <f>COUNTIFS(
 tblCostChecklist[RequirementID],A1931,
 tblCostChecklist[PlayerPaid],TRUE
)&gt;0</f>
        <v>0</v>
      </c>
      <c r="I1931" s="49">
        <f t="shared" si="1"/>
        <v>4</v>
      </c>
      <c r="J1931" s="49">
        <f t="shared" si="2"/>
        <v>0</v>
      </c>
      <c r="K1931" s="49">
        <f t="shared" si="3"/>
        <v>4</v>
      </c>
      <c r="L1931" s="49" t="b">
        <f t="shared" si="4"/>
        <v>0</v>
      </c>
      <c r="M1931" s="88">
        <f t="shared" si="5"/>
        <v>0</v>
      </c>
    </row>
    <row r="1932" ht="14.25" customHeight="1">
      <c r="A1932" s="49" t="s">
        <v>2479</v>
      </c>
      <c r="B1932" s="49" t="str">
        <f>IFERROR(__xludf.DUMMYFUNCTION("REGEXEXTRACT(A1932,""^cost\.(.*)\.[^.]+\.[^.]+$"")"),"collection.collapsed_staircase@1")</f>
        <v>collection.collapsed_staircase@1</v>
      </c>
      <c r="C1932" s="49" t="str">
        <f t="array" ref="C1932">_xlfn.XLOOKUP(
 B1932,
 tblTargets[TargetID],
 tblTargets[DisplayName],
 ""
)</f>
        <v>Collapsed Staircase</v>
      </c>
      <c r="D1932" s="49" t="str">
        <f t="array" ref="D1932">_xlfn.XLOOKUP(
 B1932,
 tblTargets[TargetID],
 tblTargets[TargetType],
 ""
)</f>
        <v>COLLECTION</v>
      </c>
      <c r="E1932" s="49" t="s">
        <v>2337</v>
      </c>
      <c r="F1932" s="87">
        <f>IFERROR(__xludf.DUMMYFUNCTION("VALUE(REGEXEXTRACT(A1932,""([^.]+)$""))"),1.0)</f>
        <v>1</v>
      </c>
      <c r="G1932" s="49">
        <v>10.0</v>
      </c>
      <c r="H1932" s="26" t="b">
        <f>COUNTIFS(
 tblCostChecklist[RequirementID],A1932,
 tblCostChecklist[PlayerPaid],TRUE
)&gt;0</f>
        <v>0</v>
      </c>
      <c r="I1932" s="49">
        <f t="shared" si="1"/>
        <v>4</v>
      </c>
      <c r="J1932" s="49">
        <f t="shared" si="2"/>
        <v>0</v>
      </c>
      <c r="K1932" s="49">
        <f t="shared" si="3"/>
        <v>4</v>
      </c>
      <c r="L1932" s="49" t="b">
        <f t="shared" si="4"/>
        <v>0</v>
      </c>
      <c r="M1932" s="88">
        <f t="shared" si="5"/>
        <v>0</v>
      </c>
    </row>
    <row r="1933" ht="14.25" customHeight="1">
      <c r="A1933" s="49" t="s">
        <v>2478</v>
      </c>
      <c r="B1933" s="49" t="str">
        <f>IFERROR(__xludf.DUMMYFUNCTION("REGEXEXTRACT(A1933,""^cost\.(.*)\.[^.]+\.[^.]+$"")"),"collection.collapsed_staircase@1")</f>
        <v>collection.collapsed_staircase@1</v>
      </c>
      <c r="C1933" s="49" t="str">
        <f t="array" ref="C1933">_xlfn.XLOOKUP(
 B1933,
 tblTargets[TargetID],
 tblTargets[DisplayName],
 ""
)</f>
        <v>Collapsed Staircase</v>
      </c>
      <c r="D1933" s="49" t="str">
        <f t="array" ref="D1933">_xlfn.XLOOKUP(
 B1933,
 tblTargets[TargetID],
 tblTargets[TargetType],
 ""
)</f>
        <v>COLLECTION</v>
      </c>
      <c r="E1933" s="49" t="s">
        <v>1055</v>
      </c>
      <c r="F1933" s="87">
        <f>IFERROR(__xludf.DUMMYFUNCTION("VALUE(REGEXEXTRACT(A1933,""([^.]+)$""))"),1.0)</f>
        <v>1</v>
      </c>
      <c r="G1933" s="49">
        <v>5.0</v>
      </c>
      <c r="H1933" s="26" t="b">
        <f>COUNTIFS(
 tblCostChecklist[RequirementID],A1933,
 tblCostChecklist[PlayerPaid],TRUE
)&gt;0</f>
        <v>0</v>
      </c>
      <c r="I1933" s="49">
        <f t="shared" si="1"/>
        <v>4</v>
      </c>
      <c r="J1933" s="49">
        <f t="shared" si="2"/>
        <v>0</v>
      </c>
      <c r="K1933" s="49">
        <f t="shared" si="3"/>
        <v>4</v>
      </c>
      <c r="L1933" s="49" t="b">
        <f t="shared" si="4"/>
        <v>0</v>
      </c>
      <c r="M1933" s="88">
        <f t="shared" si="5"/>
        <v>0</v>
      </c>
    </row>
    <row r="1934" ht="14.25" customHeight="1">
      <c r="A1934" s="49" t="s">
        <v>2851</v>
      </c>
      <c r="B1934" s="49" t="str">
        <f>IFERROR(__xludf.DUMMYFUNCTION("REGEXEXTRACT(A1934,""^cost\.(.*)\.[^.]+\.[^.]+$"")"),"collection.rotten_ladder@1")</f>
        <v>collection.rotten_ladder@1</v>
      </c>
      <c r="C1934" s="49" t="str">
        <f t="array" ref="C1934">_xlfn.XLOOKUP(
 B1934,
 tblTargets[TargetID],
 tblTargets[DisplayName],
 ""
)</f>
        <v>Rotten Ladder</v>
      </c>
      <c r="D1934" s="49" t="str">
        <f t="array" ref="D1934">_xlfn.XLOOKUP(
 B1934,
 tblTargets[TargetID],
 tblTargets[TargetType],
 ""
)</f>
        <v>COLLECTION</v>
      </c>
      <c r="E1934" s="49" t="s">
        <v>187</v>
      </c>
      <c r="F1934" s="87">
        <f>IFERROR(__xludf.DUMMYFUNCTION("VALUE(REGEXEXTRACT(A1934,""([^.]+)$""))"),1.0)</f>
        <v>1</v>
      </c>
      <c r="G1934" s="49">
        <v>200.0</v>
      </c>
      <c r="H1934" s="26" t="b">
        <f>COUNTIFS(
 tblCostChecklist[RequirementID],A1934,
 tblCostChecklist[PlayerPaid],TRUE
)&gt;0</f>
        <v>0</v>
      </c>
      <c r="I1934" s="49">
        <f t="shared" si="1"/>
        <v>1</v>
      </c>
      <c r="J1934" s="49">
        <f t="shared" si="2"/>
        <v>0</v>
      </c>
      <c r="K1934" s="49">
        <f t="shared" si="3"/>
        <v>1</v>
      </c>
      <c r="L1934" s="49" t="b">
        <f t="shared" si="4"/>
        <v>0</v>
      </c>
      <c r="M1934" s="88">
        <f t="shared" si="5"/>
        <v>0</v>
      </c>
    </row>
    <row r="1935" ht="14.25" customHeight="1">
      <c r="A1935" s="49" t="s">
        <v>2476</v>
      </c>
      <c r="B1935" s="49" t="str">
        <f>IFERROR(__xludf.DUMMYFUNCTION("REGEXEXTRACT(A1935,""^cost\.(.*)\.[^.]+\.[^.]+$"")"),"collection.cave_in_bone_dragon@1")</f>
        <v>collection.cave_in_bone_dragon@1</v>
      </c>
      <c r="C1935" s="49" t="str">
        <f t="array" ref="C1935">_xlfn.XLOOKUP(
 B1935,
 tblTargets[TargetID],
 tblTargets[DisplayName],
 ""
)</f>
        <v>Cave-in Bone Dragon</v>
      </c>
      <c r="D1935" s="49" t="str">
        <f t="array" ref="D1935">_xlfn.XLOOKUP(
 B1935,
 tblTargets[TargetID],
 tblTargets[TargetType],
 ""
)</f>
        <v>COLLECTION</v>
      </c>
      <c r="E1935" s="49" t="s">
        <v>561</v>
      </c>
      <c r="F1935" s="87">
        <f>IFERROR(__xludf.DUMMYFUNCTION("VALUE(REGEXEXTRACT(A1935,""([^.]+)$""))"),1.0)</f>
        <v>1</v>
      </c>
      <c r="G1935" s="49">
        <v>30.0</v>
      </c>
      <c r="H1935" s="26" t="b">
        <f>COUNTIFS(
 tblCostChecklist[RequirementID],A1935,
 tblCostChecklist[PlayerPaid],TRUE
)&gt;0</f>
        <v>0</v>
      </c>
      <c r="I1935" s="49">
        <f t="shared" si="1"/>
        <v>1</v>
      </c>
      <c r="J1935" s="49">
        <f t="shared" si="2"/>
        <v>0</v>
      </c>
      <c r="K1935" s="49">
        <f t="shared" si="3"/>
        <v>1</v>
      </c>
      <c r="L1935" s="49" t="b">
        <f t="shared" si="4"/>
        <v>0</v>
      </c>
      <c r="M1935" s="88">
        <f t="shared" si="5"/>
        <v>0</v>
      </c>
    </row>
    <row r="1936" ht="14.25" customHeight="1">
      <c r="A1936" s="49" t="s">
        <v>2475</v>
      </c>
      <c r="B1936" s="49" t="str">
        <f>IFERROR(__xludf.DUMMYFUNCTION("REGEXEXTRACT(A1936,""^cost\.(.*)\.[^.]+\.[^.]+$"")"),"collection.cave_in_alchemist_hall@1")</f>
        <v>collection.cave_in_alchemist_hall@1</v>
      </c>
      <c r="C1936" s="49" t="str">
        <f t="array" ref="C1936">_xlfn.XLOOKUP(
 B1936,
 tblTargets[TargetID],
 tblTargets[DisplayName],
 ""
)</f>
        <v>Cave-in Alchemist Hall</v>
      </c>
      <c r="D1936" s="49" t="str">
        <f t="array" ref="D1936">_xlfn.XLOOKUP(
 B1936,
 tblTargets[TargetID],
 tblTargets[TargetType],
 ""
)</f>
        <v>COLLECTION</v>
      </c>
      <c r="E1936" s="49" t="s">
        <v>561</v>
      </c>
      <c r="F1936" s="87">
        <f>IFERROR(__xludf.DUMMYFUNCTION("VALUE(REGEXEXTRACT(A1936,""([^.]+)$""))"),1.0)</f>
        <v>1</v>
      </c>
      <c r="G1936" s="49">
        <v>30.0</v>
      </c>
      <c r="H1936" s="26" t="b">
        <f>COUNTIFS(
 tblCostChecklist[RequirementID],A1936,
 tblCostChecklist[PlayerPaid],TRUE
)&gt;0</f>
        <v>0</v>
      </c>
      <c r="I1936" s="49">
        <f t="shared" si="1"/>
        <v>1</v>
      </c>
      <c r="J1936" s="49">
        <f t="shared" si="2"/>
        <v>0</v>
      </c>
      <c r="K1936" s="49">
        <f t="shared" si="3"/>
        <v>1</v>
      </c>
      <c r="L1936" s="49" t="b">
        <f t="shared" si="4"/>
        <v>0</v>
      </c>
      <c r="M1936" s="88">
        <f t="shared" si="5"/>
        <v>0</v>
      </c>
    </row>
    <row r="1937" ht="14.25" customHeight="1">
      <c r="A1937" s="49" t="s">
        <v>2449</v>
      </c>
      <c r="B1937" s="49" t="str">
        <f>IFERROR(__xludf.DUMMYFUNCTION("REGEXEXTRACT(A1937,""^cost\.(.*)\.[^.]+\.[^.]+$"")"),"collection.bone_dragon@1")</f>
        <v>collection.bone_dragon@1</v>
      </c>
      <c r="C1937" s="49" t="str">
        <f t="array" ref="C1937">_xlfn.XLOOKUP(
 B1937,
 tblTargets[TargetID],
 tblTargets[DisplayName],
 ""
)</f>
        <v>Bone Dragon Lv 1</v>
      </c>
      <c r="D1937" s="49" t="str">
        <f t="array" ref="D1937">_xlfn.XLOOKUP(
 B1937,
 tblTargets[TargetID],
 tblTargets[TargetType],
 ""
)</f>
        <v>COLLECTION</v>
      </c>
      <c r="E1937" s="49" t="s">
        <v>2318</v>
      </c>
      <c r="F1937" s="87">
        <f>IFERROR(__xludf.DUMMYFUNCTION("VALUE(REGEXEXTRACT(A1937,""([^.]+)$""))"),1.0)</f>
        <v>1</v>
      </c>
      <c r="G1937" s="49">
        <v>30.0</v>
      </c>
      <c r="H1937" s="26" t="b">
        <f>COUNTIFS(
 tblCostChecklist[RequirementID],A1937,
 tblCostChecklist[PlayerPaid],TRUE
)&gt;0</f>
        <v>0</v>
      </c>
      <c r="I1937" s="49">
        <f t="shared" si="1"/>
        <v>11</v>
      </c>
      <c r="J1937" s="49">
        <f t="shared" si="2"/>
        <v>0</v>
      </c>
      <c r="K1937" s="49">
        <f t="shared" si="3"/>
        <v>11</v>
      </c>
      <c r="L1937" s="49" t="b">
        <f t="shared" si="4"/>
        <v>0</v>
      </c>
      <c r="M1937" s="88">
        <f t="shared" si="5"/>
        <v>0</v>
      </c>
    </row>
    <row r="1938" ht="14.25" customHeight="1">
      <c r="A1938" s="49" t="s">
        <v>2460</v>
      </c>
      <c r="B1938" s="49" t="str">
        <f>IFERROR(__xludf.DUMMYFUNCTION("REGEXEXTRACT(A1938,""^cost\.(.*)\.[^.]+\.[^.]+$"")"),"collection.bone_dragon@1")</f>
        <v>collection.bone_dragon@1</v>
      </c>
      <c r="C1938" s="49" t="str">
        <f t="array" ref="C1938">_xlfn.XLOOKUP(
 B1938,
 tblTargets[TargetID],
 tblTargets[DisplayName],
 ""
)</f>
        <v>Bone Dragon Lv 1</v>
      </c>
      <c r="D1938" s="49" t="str">
        <f t="array" ref="D1938">_xlfn.XLOOKUP(
 B1938,
 tblTargets[TargetID],
 tblTargets[TargetType],
 ""
)</f>
        <v>COLLECTION</v>
      </c>
      <c r="E1938" s="49" t="s">
        <v>2461</v>
      </c>
      <c r="F1938" s="87">
        <f>IFERROR(__xludf.DUMMYFUNCTION("VALUE(REGEXEXTRACT(A1938,""([^.]+)$""))"),1.0)</f>
        <v>1</v>
      </c>
      <c r="G1938" s="49">
        <v>10.0</v>
      </c>
      <c r="H1938" s="26" t="b">
        <f>COUNTIFS(
 tblCostChecklist[RequirementID],A1938,
 tblCostChecklist[PlayerPaid],TRUE
)&gt;0</f>
        <v>0</v>
      </c>
      <c r="I1938" s="49">
        <f t="shared" si="1"/>
        <v>11</v>
      </c>
      <c r="J1938" s="49">
        <f t="shared" si="2"/>
        <v>0</v>
      </c>
      <c r="K1938" s="49">
        <f t="shared" si="3"/>
        <v>11</v>
      </c>
      <c r="L1938" s="49" t="b">
        <f t="shared" si="4"/>
        <v>0</v>
      </c>
      <c r="M1938" s="88">
        <f t="shared" si="5"/>
        <v>0</v>
      </c>
    </row>
    <row r="1939" ht="14.25" customHeight="1">
      <c r="A1939" s="49" t="s">
        <v>2455</v>
      </c>
      <c r="B1939" s="49" t="str">
        <f>IFERROR(__xludf.DUMMYFUNCTION("REGEXEXTRACT(A1939,""^cost\.(.*)\.[^.]+\.[^.]+$"")"),"collection.bone_dragon@1")</f>
        <v>collection.bone_dragon@1</v>
      </c>
      <c r="C1939" s="49" t="str">
        <f t="array" ref="C1939">_xlfn.XLOOKUP(
 B1939,
 tblTargets[TargetID],
 tblTargets[DisplayName],
 ""
)</f>
        <v>Bone Dragon Lv 1</v>
      </c>
      <c r="D1939" s="49" t="str">
        <f t="array" ref="D1939">_xlfn.XLOOKUP(
 B1939,
 tblTargets[TargetID],
 tblTargets[TargetType],
 ""
)</f>
        <v>COLLECTION</v>
      </c>
      <c r="E1939" s="49" t="s">
        <v>2337</v>
      </c>
      <c r="F1939" s="87">
        <f>IFERROR(__xludf.DUMMYFUNCTION("VALUE(REGEXEXTRACT(A1939,""([^.]+)$""))"),1.0)</f>
        <v>1</v>
      </c>
      <c r="G1939" s="49">
        <v>11.0</v>
      </c>
      <c r="H1939" s="26" t="b">
        <f>COUNTIFS(
 tblCostChecklist[RequirementID],A1939,
 tblCostChecklist[PlayerPaid],TRUE
)&gt;0</f>
        <v>0</v>
      </c>
      <c r="I1939" s="49">
        <f t="shared" si="1"/>
        <v>11</v>
      </c>
      <c r="J1939" s="49">
        <f t="shared" si="2"/>
        <v>0</v>
      </c>
      <c r="K1939" s="49">
        <f t="shared" si="3"/>
        <v>11</v>
      </c>
      <c r="L1939" s="49" t="b">
        <f t="shared" si="4"/>
        <v>0</v>
      </c>
      <c r="M1939" s="88">
        <f t="shared" si="5"/>
        <v>0</v>
      </c>
    </row>
    <row r="1940" ht="14.25" customHeight="1">
      <c r="A1940" s="49" t="s">
        <v>2457</v>
      </c>
      <c r="B1940" s="49" t="str">
        <f>IFERROR(__xludf.DUMMYFUNCTION("REGEXEXTRACT(A1940,""^cost\.(.*)\.[^.]+\.[^.]+$"")"),"collection.bone_dragon@1")</f>
        <v>collection.bone_dragon@1</v>
      </c>
      <c r="C1940" s="49" t="str">
        <f t="array" ref="C1940">_xlfn.XLOOKUP(
 B1940,
 tblTargets[TargetID],
 tblTargets[DisplayName],
 ""
)</f>
        <v>Bone Dragon Lv 1</v>
      </c>
      <c r="D1940" s="49" t="str">
        <f t="array" ref="D1940">_xlfn.XLOOKUP(
 B1940,
 tblTargets[TargetID],
 tblTargets[TargetType],
 ""
)</f>
        <v>COLLECTION</v>
      </c>
      <c r="E1940" s="49" t="s">
        <v>2458</v>
      </c>
      <c r="F1940" s="87">
        <f>IFERROR(__xludf.DUMMYFUNCTION("VALUE(REGEXEXTRACT(A1940,""([^.]+)$""))"),1.0)</f>
        <v>1</v>
      </c>
      <c r="G1940" s="49">
        <v>2.0</v>
      </c>
      <c r="H1940" s="26" t="b">
        <f>COUNTIFS(
 tblCostChecklist[RequirementID],A1940,
 tblCostChecklist[PlayerPaid],TRUE
)&gt;0</f>
        <v>0</v>
      </c>
      <c r="I1940" s="49">
        <f t="shared" si="1"/>
        <v>11</v>
      </c>
      <c r="J1940" s="49">
        <f t="shared" si="2"/>
        <v>0</v>
      </c>
      <c r="K1940" s="49">
        <f t="shared" si="3"/>
        <v>11</v>
      </c>
      <c r="L1940" s="49" t="b">
        <f t="shared" si="4"/>
        <v>0</v>
      </c>
      <c r="M1940" s="88">
        <f t="shared" si="5"/>
        <v>0</v>
      </c>
    </row>
    <row r="1941" ht="14.25" customHeight="1">
      <c r="A1941" s="49" t="s">
        <v>2450</v>
      </c>
      <c r="B1941" s="49" t="str">
        <f>IFERROR(__xludf.DUMMYFUNCTION("REGEXEXTRACT(A1941,""^cost\.(.*)\.[^.]+\.[^.]+$"")"),"collection.bone_dragon@1")</f>
        <v>collection.bone_dragon@1</v>
      </c>
      <c r="C1941" s="49" t="str">
        <f t="array" ref="C1941">_xlfn.XLOOKUP(
 B1941,
 tblTargets[TargetID],
 tblTargets[DisplayName],
 ""
)</f>
        <v>Bone Dragon Lv 1</v>
      </c>
      <c r="D1941" s="49" t="str">
        <f t="array" ref="D1941">_xlfn.XLOOKUP(
 B1941,
 tblTargets[TargetID],
 tblTargets[TargetType],
 ""
)</f>
        <v>COLLECTION</v>
      </c>
      <c r="E1941" s="49" t="s">
        <v>2318</v>
      </c>
      <c r="F1941" s="87">
        <f>IFERROR(__xludf.DUMMYFUNCTION("VALUE(REGEXEXTRACT(A1941,""([^.]+)$""))"),2.0)</f>
        <v>2</v>
      </c>
      <c r="G1941" s="49">
        <v>150.0</v>
      </c>
      <c r="H1941" s="26" t="b">
        <f>COUNTIFS(
 tblCostChecklist[RequirementID],A1941,
 tblCostChecklist[PlayerPaid],TRUE
)&gt;0</f>
        <v>0</v>
      </c>
      <c r="I1941" s="49">
        <f t="shared" si="1"/>
        <v>11</v>
      </c>
      <c r="J1941" s="49">
        <f t="shared" si="2"/>
        <v>0</v>
      </c>
      <c r="K1941" s="49">
        <f t="shared" si="3"/>
        <v>11</v>
      </c>
      <c r="L1941" s="49" t="b">
        <f t="shared" si="4"/>
        <v>0</v>
      </c>
      <c r="M1941" s="88">
        <f t="shared" si="5"/>
        <v>0</v>
      </c>
    </row>
    <row r="1942" ht="14.25" customHeight="1">
      <c r="A1942" s="49" t="s">
        <v>2451</v>
      </c>
      <c r="B1942" s="49" t="str">
        <f>IFERROR(__xludf.DUMMYFUNCTION("REGEXEXTRACT(A1942,""^cost\.(.*)\.[^.]+\.[^.]+$"")"),"collection.bone_dragon@1")</f>
        <v>collection.bone_dragon@1</v>
      </c>
      <c r="C1942" s="49" t="str">
        <f t="array" ref="C1942">_xlfn.XLOOKUP(
 B1942,
 tblTargets[TargetID],
 tblTargets[DisplayName],
 ""
)</f>
        <v>Bone Dragon Lv 1</v>
      </c>
      <c r="D1942" s="49" t="str">
        <f t="array" ref="D1942">_xlfn.XLOOKUP(
 B1942,
 tblTargets[TargetID],
 tblTargets[TargetType],
 ""
)</f>
        <v>COLLECTION</v>
      </c>
      <c r="E1942" s="49" t="s">
        <v>2318</v>
      </c>
      <c r="F1942" s="87">
        <f>IFERROR(__xludf.DUMMYFUNCTION("VALUE(REGEXEXTRACT(A1942,""([^.]+)$""))"),3.0)</f>
        <v>3</v>
      </c>
      <c r="G1942" s="49">
        <v>30.0</v>
      </c>
      <c r="H1942" s="26" t="b">
        <f>COUNTIFS(
 tblCostChecklist[RequirementID],A1942,
 tblCostChecklist[PlayerPaid],TRUE
)&gt;0</f>
        <v>0</v>
      </c>
      <c r="I1942" s="49">
        <f t="shared" si="1"/>
        <v>11</v>
      </c>
      <c r="J1942" s="49">
        <f t="shared" si="2"/>
        <v>0</v>
      </c>
      <c r="K1942" s="49">
        <f t="shared" si="3"/>
        <v>11</v>
      </c>
      <c r="L1942" s="49" t="b">
        <f t="shared" si="4"/>
        <v>0</v>
      </c>
      <c r="M1942" s="88">
        <f t="shared" si="5"/>
        <v>0</v>
      </c>
    </row>
    <row r="1943" ht="14.25" customHeight="1">
      <c r="A1943" s="49" t="s">
        <v>2452</v>
      </c>
      <c r="B1943" s="49" t="str">
        <f>IFERROR(__xludf.DUMMYFUNCTION("REGEXEXTRACT(A1943,""^cost\.(.*)\.[^.]+\.[^.]+$"")"),"collection.bone_dragon@1")</f>
        <v>collection.bone_dragon@1</v>
      </c>
      <c r="C1943" s="49" t="str">
        <f t="array" ref="C1943">_xlfn.XLOOKUP(
 B1943,
 tblTargets[TargetID],
 tblTargets[DisplayName],
 ""
)</f>
        <v>Bone Dragon Lv 1</v>
      </c>
      <c r="D1943" s="49" t="str">
        <f t="array" ref="D1943">_xlfn.XLOOKUP(
 B1943,
 tblTargets[TargetID],
 tblTargets[TargetType],
 ""
)</f>
        <v>COLLECTION</v>
      </c>
      <c r="E1943" s="49" t="s">
        <v>2318</v>
      </c>
      <c r="F1943" s="87">
        <f>IFERROR(__xludf.DUMMYFUNCTION("VALUE(REGEXEXTRACT(A1943,""([^.]+)$""))"),4.0)</f>
        <v>4</v>
      </c>
      <c r="G1943" s="49">
        <v>30.0</v>
      </c>
      <c r="H1943" s="26" t="b">
        <f>COUNTIFS(
 tblCostChecklist[RequirementID],A1943,
 tblCostChecklist[PlayerPaid],TRUE
)&gt;0</f>
        <v>0</v>
      </c>
      <c r="I1943" s="49">
        <f t="shared" si="1"/>
        <v>11</v>
      </c>
      <c r="J1943" s="49">
        <f t="shared" si="2"/>
        <v>0</v>
      </c>
      <c r="K1943" s="49">
        <f t="shared" si="3"/>
        <v>11</v>
      </c>
      <c r="L1943" s="49" t="b">
        <f t="shared" si="4"/>
        <v>0</v>
      </c>
      <c r="M1943" s="88">
        <f t="shared" si="5"/>
        <v>0</v>
      </c>
    </row>
    <row r="1944" ht="14.25" customHeight="1">
      <c r="A1944" s="49" t="s">
        <v>2453</v>
      </c>
      <c r="B1944" s="49" t="str">
        <f>IFERROR(__xludf.DUMMYFUNCTION("REGEXEXTRACT(A1944,""^cost\.(.*)\.[^.]+\.[^.]+$"")"),"collection.bone_dragon@1")</f>
        <v>collection.bone_dragon@1</v>
      </c>
      <c r="C1944" s="49" t="str">
        <f t="array" ref="C1944">_xlfn.XLOOKUP(
 B1944,
 tblTargets[TargetID],
 tblTargets[DisplayName],
 ""
)</f>
        <v>Bone Dragon Lv 1</v>
      </c>
      <c r="D1944" s="49" t="str">
        <f t="array" ref="D1944">_xlfn.XLOOKUP(
 B1944,
 tblTargets[TargetID],
 tblTargets[TargetType],
 ""
)</f>
        <v>COLLECTION</v>
      </c>
      <c r="E1944" s="49" t="s">
        <v>2318</v>
      </c>
      <c r="F1944" s="87">
        <f>IFERROR(__xludf.DUMMYFUNCTION("VALUE(REGEXEXTRACT(A1944,""([^.]+)$""))"),5.0)</f>
        <v>5</v>
      </c>
      <c r="G1944" s="49">
        <v>30.0</v>
      </c>
      <c r="H1944" s="26" t="b">
        <f>COUNTIFS(
 tblCostChecklist[RequirementID],A1944,
 tblCostChecklist[PlayerPaid],TRUE
)&gt;0</f>
        <v>0</v>
      </c>
      <c r="I1944" s="49">
        <f t="shared" si="1"/>
        <v>11</v>
      </c>
      <c r="J1944" s="49">
        <f t="shared" si="2"/>
        <v>0</v>
      </c>
      <c r="K1944" s="49">
        <f t="shared" si="3"/>
        <v>11</v>
      </c>
      <c r="L1944" s="49" t="b">
        <f t="shared" si="4"/>
        <v>0</v>
      </c>
      <c r="M1944" s="88">
        <f t="shared" si="5"/>
        <v>0</v>
      </c>
    </row>
    <row r="1945" ht="14.25" customHeight="1">
      <c r="A1945" s="49" t="s">
        <v>2454</v>
      </c>
      <c r="B1945" s="49" t="str">
        <f>IFERROR(__xludf.DUMMYFUNCTION("REGEXEXTRACT(A1945,""^cost\.(.*)\.[^.]+\.[^.]+$"")"),"collection.bone_dragon@1")</f>
        <v>collection.bone_dragon@1</v>
      </c>
      <c r="C1945" s="49" t="str">
        <f t="array" ref="C1945">_xlfn.XLOOKUP(
 B1945,
 tblTargets[TargetID],
 tblTargets[DisplayName],
 ""
)</f>
        <v>Bone Dragon Lv 1</v>
      </c>
      <c r="D1945" s="49" t="str">
        <f t="array" ref="D1945">_xlfn.XLOOKUP(
 B1945,
 tblTargets[TargetID],
 tblTargets[TargetType],
 ""
)</f>
        <v>COLLECTION</v>
      </c>
      <c r="E1945" s="49" t="s">
        <v>2318</v>
      </c>
      <c r="F1945" s="87">
        <f>IFERROR(__xludf.DUMMYFUNCTION("VALUE(REGEXEXTRACT(A1945,""([^.]+)$""))"),6.0)</f>
        <v>6</v>
      </c>
      <c r="G1945" s="49">
        <v>30.0</v>
      </c>
      <c r="H1945" s="26" t="b">
        <f>COUNTIFS(
 tblCostChecklist[RequirementID],A1945,
 tblCostChecklist[PlayerPaid],TRUE
)&gt;0</f>
        <v>0</v>
      </c>
      <c r="I1945" s="49">
        <f t="shared" si="1"/>
        <v>11</v>
      </c>
      <c r="J1945" s="49">
        <f t="shared" si="2"/>
        <v>0</v>
      </c>
      <c r="K1945" s="49">
        <f t="shared" si="3"/>
        <v>11</v>
      </c>
      <c r="L1945" s="49" t="b">
        <f t="shared" si="4"/>
        <v>0</v>
      </c>
      <c r="M1945" s="88">
        <f t="shared" si="5"/>
        <v>0</v>
      </c>
    </row>
    <row r="1946" ht="14.25" customHeight="1">
      <c r="A1946" s="49" t="s">
        <v>2456</v>
      </c>
      <c r="B1946" s="49" t="str">
        <f>IFERROR(__xludf.DUMMYFUNCTION("REGEXEXTRACT(A1946,""^cost\.(.*)\.[^.]+\.[^.]+$"")"),"collection.bone_dragon@1")</f>
        <v>collection.bone_dragon@1</v>
      </c>
      <c r="C1946" s="49" t="str">
        <f t="array" ref="C1946">_xlfn.XLOOKUP(
 B1946,
 tblTargets[TargetID],
 tblTargets[DisplayName],
 ""
)</f>
        <v>Bone Dragon Lv 1</v>
      </c>
      <c r="D1946" s="49" t="str">
        <f t="array" ref="D1946">_xlfn.XLOOKUP(
 B1946,
 tblTargets[TargetID],
 tblTargets[TargetType],
 ""
)</f>
        <v>COLLECTION</v>
      </c>
      <c r="E1946" s="49" t="s">
        <v>1060</v>
      </c>
      <c r="F1946" s="87">
        <f>IFERROR(__xludf.DUMMYFUNCTION("VALUE(REGEXEXTRACT(A1946,""([^.]+)$""))"),1.0)</f>
        <v>1</v>
      </c>
      <c r="G1946" s="49">
        <v>555.0</v>
      </c>
      <c r="H1946" s="26" t="b">
        <f>COUNTIFS(
 tblCostChecklist[RequirementID],A1946,
 tblCostChecklist[PlayerPaid],TRUE
)&gt;0</f>
        <v>0</v>
      </c>
      <c r="I1946" s="49">
        <f t="shared" si="1"/>
        <v>11</v>
      </c>
      <c r="J1946" s="49">
        <f t="shared" si="2"/>
        <v>0</v>
      </c>
      <c r="K1946" s="49">
        <f t="shared" si="3"/>
        <v>11</v>
      </c>
      <c r="L1946" s="49" t="b">
        <f t="shared" si="4"/>
        <v>0</v>
      </c>
      <c r="M1946" s="88">
        <f t="shared" si="5"/>
        <v>0</v>
      </c>
    </row>
    <row r="1947" ht="14.25" customHeight="1">
      <c r="A1947" s="49" t="s">
        <v>2459</v>
      </c>
      <c r="B1947" s="49" t="str">
        <f>IFERROR(__xludf.DUMMYFUNCTION("REGEXEXTRACT(A1947,""^cost\.(.*)\.[^.]+\.[^.]+$"")"),"collection.bone_dragon@1")</f>
        <v>collection.bone_dragon@1</v>
      </c>
      <c r="C1947" s="49" t="str">
        <f t="array" ref="C1947">_xlfn.XLOOKUP(
 B1947,
 tblTargets[TargetID],
 tblTargets[DisplayName],
 ""
)</f>
        <v>Bone Dragon Lv 1</v>
      </c>
      <c r="D1947" s="49" t="str">
        <f t="array" ref="D1947">_xlfn.XLOOKUP(
 B1947,
 tblTargets[TargetID],
 tblTargets[TargetType],
 ""
)</f>
        <v>COLLECTION</v>
      </c>
      <c r="E1947" s="49" t="s">
        <v>530</v>
      </c>
      <c r="F1947" s="87">
        <f>IFERROR(__xludf.DUMMYFUNCTION("VALUE(REGEXEXTRACT(A1947,""([^.]+)$""))"),1.0)</f>
        <v>1</v>
      </c>
      <c r="G1947" s="49">
        <v>5.0</v>
      </c>
      <c r="H1947" s="26" t="b">
        <f>COUNTIFS(
 tblCostChecklist[RequirementID],A1947,
 tblCostChecklist[PlayerPaid],TRUE
)&gt;0</f>
        <v>0</v>
      </c>
      <c r="I1947" s="49">
        <f t="shared" si="1"/>
        <v>11</v>
      </c>
      <c r="J1947" s="49">
        <f t="shared" si="2"/>
        <v>0</v>
      </c>
      <c r="K1947" s="49">
        <f t="shared" si="3"/>
        <v>11</v>
      </c>
      <c r="L1947" s="49" t="b">
        <f t="shared" si="4"/>
        <v>0</v>
      </c>
      <c r="M1947" s="88">
        <f t="shared" si="5"/>
        <v>0</v>
      </c>
    </row>
    <row r="1948" ht="14.25" customHeight="1">
      <c r="A1948" s="49" t="s">
        <v>2462</v>
      </c>
      <c r="B1948" s="49" t="str">
        <f>IFERROR(__xludf.DUMMYFUNCTION("REGEXEXTRACT(A1948,""^cost\.(.*)\.[^.]+\.[^.]+$"")"),"collection.bone_dragon@2")</f>
        <v>collection.bone_dragon@2</v>
      </c>
      <c r="C1948" s="49" t="str">
        <f t="array" ref="C1948">_xlfn.XLOOKUP(
 B1948,
 tblTargets[TargetID],
 tblTargets[DisplayName],
 ""
)</f>
        <v>Bone Dragon Lv 2</v>
      </c>
      <c r="D1948" s="49" t="str">
        <f t="array" ref="D1948">_xlfn.XLOOKUP(
 B1948,
 tblTargets[TargetID],
 tblTargets[TargetType],
 ""
)</f>
        <v>COLLECTION</v>
      </c>
      <c r="E1948" s="49" t="s">
        <v>2318</v>
      </c>
      <c r="F1948" s="87">
        <f>IFERROR(__xludf.DUMMYFUNCTION("VALUE(REGEXEXTRACT(A1948,""([^.]+)$""))"),1.0)</f>
        <v>1</v>
      </c>
      <c r="G1948" s="49">
        <v>60.0</v>
      </c>
      <c r="H1948" s="26" t="b">
        <f>COUNTIFS(
 tblCostChecklist[RequirementID],A1948,
 tblCostChecklist[PlayerPaid],TRUE
)&gt;0</f>
        <v>0</v>
      </c>
      <c r="I1948" s="49">
        <f t="shared" si="1"/>
        <v>11</v>
      </c>
      <c r="J1948" s="49">
        <f t="shared" si="2"/>
        <v>0</v>
      </c>
      <c r="K1948" s="49">
        <f t="shared" si="3"/>
        <v>11</v>
      </c>
      <c r="L1948" s="49" t="b">
        <f t="shared" si="4"/>
        <v>0</v>
      </c>
      <c r="M1948" s="88">
        <f t="shared" si="5"/>
        <v>0</v>
      </c>
    </row>
    <row r="1949" ht="14.25" customHeight="1">
      <c r="A1949" s="49" t="s">
        <v>2472</v>
      </c>
      <c r="B1949" s="49" t="str">
        <f>IFERROR(__xludf.DUMMYFUNCTION("REGEXEXTRACT(A1949,""^cost\.(.*)\.[^.]+\.[^.]+$"")"),"collection.bone_dragon@2")</f>
        <v>collection.bone_dragon@2</v>
      </c>
      <c r="C1949" s="49" t="str">
        <f t="array" ref="C1949">_xlfn.XLOOKUP(
 B1949,
 tblTargets[TargetID],
 tblTargets[DisplayName],
 ""
)</f>
        <v>Bone Dragon Lv 2</v>
      </c>
      <c r="D1949" s="49" t="str">
        <f t="array" ref="D1949">_xlfn.XLOOKUP(
 B1949,
 tblTargets[TargetID],
 tblTargets[TargetType],
 ""
)</f>
        <v>COLLECTION</v>
      </c>
      <c r="E1949" s="49" t="s">
        <v>2461</v>
      </c>
      <c r="F1949" s="87">
        <f>IFERROR(__xludf.DUMMYFUNCTION("VALUE(REGEXEXTRACT(A1949,""([^.]+)$""))"),1.0)</f>
        <v>1</v>
      </c>
      <c r="G1949" s="49">
        <v>20.0</v>
      </c>
      <c r="H1949" s="26" t="b">
        <f>COUNTIFS(
 tblCostChecklist[RequirementID],A1949,
 tblCostChecklist[PlayerPaid],TRUE
)&gt;0</f>
        <v>0</v>
      </c>
      <c r="I1949" s="49">
        <f t="shared" si="1"/>
        <v>11</v>
      </c>
      <c r="J1949" s="49">
        <f t="shared" si="2"/>
        <v>0</v>
      </c>
      <c r="K1949" s="49">
        <f t="shared" si="3"/>
        <v>11</v>
      </c>
      <c r="L1949" s="49" t="b">
        <f t="shared" si="4"/>
        <v>0</v>
      </c>
      <c r="M1949" s="88">
        <f t="shared" si="5"/>
        <v>0</v>
      </c>
    </row>
    <row r="1950" ht="14.25" customHeight="1">
      <c r="A1950" s="49" t="s">
        <v>2468</v>
      </c>
      <c r="B1950" s="49" t="str">
        <f>IFERROR(__xludf.DUMMYFUNCTION("REGEXEXTRACT(A1950,""^cost\.(.*)\.[^.]+\.[^.]+$"")"),"collection.bone_dragon@2")</f>
        <v>collection.bone_dragon@2</v>
      </c>
      <c r="C1950" s="49" t="str">
        <f t="array" ref="C1950">_xlfn.XLOOKUP(
 B1950,
 tblTargets[TargetID],
 tblTargets[DisplayName],
 ""
)</f>
        <v>Bone Dragon Lv 2</v>
      </c>
      <c r="D1950" s="49" t="str">
        <f t="array" ref="D1950">_xlfn.XLOOKUP(
 B1950,
 tblTargets[TargetID],
 tblTargets[TargetType],
 ""
)</f>
        <v>COLLECTION</v>
      </c>
      <c r="E1950" s="49" t="s">
        <v>2337</v>
      </c>
      <c r="F1950" s="87">
        <f>IFERROR(__xludf.DUMMYFUNCTION("VALUE(REGEXEXTRACT(A1950,""([^.]+)$""))"),1.0)</f>
        <v>1</v>
      </c>
      <c r="G1950" s="49">
        <v>22.0</v>
      </c>
      <c r="H1950" s="26" t="b">
        <f>COUNTIFS(
 tblCostChecklist[RequirementID],A1950,
 tblCostChecklist[PlayerPaid],TRUE
)&gt;0</f>
        <v>0</v>
      </c>
      <c r="I1950" s="49">
        <f t="shared" si="1"/>
        <v>11</v>
      </c>
      <c r="J1950" s="49">
        <f t="shared" si="2"/>
        <v>0</v>
      </c>
      <c r="K1950" s="49">
        <f t="shared" si="3"/>
        <v>11</v>
      </c>
      <c r="L1950" s="49" t="b">
        <f t="shared" si="4"/>
        <v>0</v>
      </c>
      <c r="M1950" s="88">
        <f t="shared" si="5"/>
        <v>0</v>
      </c>
    </row>
    <row r="1951" ht="14.25" customHeight="1">
      <c r="A1951" s="49" t="s">
        <v>2470</v>
      </c>
      <c r="B1951" s="49" t="str">
        <f>IFERROR(__xludf.DUMMYFUNCTION("REGEXEXTRACT(A1951,""^cost\.(.*)\.[^.]+\.[^.]+$"")"),"collection.bone_dragon@2")</f>
        <v>collection.bone_dragon@2</v>
      </c>
      <c r="C1951" s="49" t="str">
        <f t="array" ref="C1951">_xlfn.XLOOKUP(
 B1951,
 tblTargets[TargetID],
 tblTargets[DisplayName],
 ""
)</f>
        <v>Bone Dragon Lv 2</v>
      </c>
      <c r="D1951" s="49" t="str">
        <f t="array" ref="D1951">_xlfn.XLOOKUP(
 B1951,
 tblTargets[TargetID],
 tblTargets[TargetType],
 ""
)</f>
        <v>COLLECTION</v>
      </c>
      <c r="E1951" s="49" t="s">
        <v>2458</v>
      </c>
      <c r="F1951" s="87">
        <f>IFERROR(__xludf.DUMMYFUNCTION("VALUE(REGEXEXTRACT(A1951,""([^.]+)$""))"),1.0)</f>
        <v>1</v>
      </c>
      <c r="G1951" s="49">
        <v>4.0</v>
      </c>
      <c r="H1951" s="26" t="b">
        <f>COUNTIFS(
 tblCostChecklist[RequirementID],A1951,
 tblCostChecklist[PlayerPaid],TRUE
)&gt;0</f>
        <v>0</v>
      </c>
      <c r="I1951" s="49">
        <f t="shared" si="1"/>
        <v>11</v>
      </c>
      <c r="J1951" s="49">
        <f t="shared" si="2"/>
        <v>0</v>
      </c>
      <c r="K1951" s="49">
        <f t="shared" si="3"/>
        <v>11</v>
      </c>
      <c r="L1951" s="49" t="b">
        <f t="shared" si="4"/>
        <v>0</v>
      </c>
      <c r="M1951" s="88">
        <f t="shared" si="5"/>
        <v>0</v>
      </c>
    </row>
    <row r="1952" ht="14.25" customHeight="1">
      <c r="A1952" s="49" t="s">
        <v>2463</v>
      </c>
      <c r="B1952" s="49" t="str">
        <f>IFERROR(__xludf.DUMMYFUNCTION("REGEXEXTRACT(A1952,""^cost\.(.*)\.[^.]+\.[^.]+$"")"),"collection.bone_dragon@2")</f>
        <v>collection.bone_dragon@2</v>
      </c>
      <c r="C1952" s="49" t="str">
        <f t="array" ref="C1952">_xlfn.XLOOKUP(
 B1952,
 tblTargets[TargetID],
 tblTargets[DisplayName],
 ""
)</f>
        <v>Bone Dragon Lv 2</v>
      </c>
      <c r="D1952" s="49" t="str">
        <f t="array" ref="D1952">_xlfn.XLOOKUP(
 B1952,
 tblTargets[TargetID],
 tblTargets[TargetType],
 ""
)</f>
        <v>COLLECTION</v>
      </c>
      <c r="E1952" s="49" t="s">
        <v>2318</v>
      </c>
      <c r="F1952" s="87">
        <f>IFERROR(__xludf.DUMMYFUNCTION("VALUE(REGEXEXTRACT(A1952,""([^.]+)$""))"),2.0)</f>
        <v>2</v>
      </c>
      <c r="G1952" s="49">
        <v>300.0</v>
      </c>
      <c r="H1952" s="26" t="b">
        <f>COUNTIFS(
 tblCostChecklist[RequirementID],A1952,
 tblCostChecklist[PlayerPaid],TRUE
)&gt;0</f>
        <v>0</v>
      </c>
      <c r="I1952" s="49">
        <f t="shared" si="1"/>
        <v>11</v>
      </c>
      <c r="J1952" s="49">
        <f t="shared" si="2"/>
        <v>0</v>
      </c>
      <c r="K1952" s="49">
        <f t="shared" si="3"/>
        <v>11</v>
      </c>
      <c r="L1952" s="49" t="b">
        <f t="shared" si="4"/>
        <v>0</v>
      </c>
      <c r="M1952" s="88">
        <f t="shared" si="5"/>
        <v>0</v>
      </c>
    </row>
    <row r="1953" ht="14.25" customHeight="1">
      <c r="A1953" s="49" t="s">
        <v>2464</v>
      </c>
      <c r="B1953" s="49" t="str">
        <f>IFERROR(__xludf.DUMMYFUNCTION("REGEXEXTRACT(A1953,""^cost\.(.*)\.[^.]+\.[^.]+$"")"),"collection.bone_dragon@2")</f>
        <v>collection.bone_dragon@2</v>
      </c>
      <c r="C1953" s="49" t="str">
        <f t="array" ref="C1953">_xlfn.XLOOKUP(
 B1953,
 tblTargets[TargetID],
 tblTargets[DisplayName],
 ""
)</f>
        <v>Bone Dragon Lv 2</v>
      </c>
      <c r="D1953" s="49" t="str">
        <f t="array" ref="D1953">_xlfn.XLOOKUP(
 B1953,
 tblTargets[TargetID],
 tblTargets[TargetType],
 ""
)</f>
        <v>COLLECTION</v>
      </c>
      <c r="E1953" s="49" t="s">
        <v>2318</v>
      </c>
      <c r="F1953" s="87">
        <f>IFERROR(__xludf.DUMMYFUNCTION("VALUE(REGEXEXTRACT(A1953,""([^.]+)$""))"),3.0)</f>
        <v>3</v>
      </c>
      <c r="G1953" s="49">
        <v>60.0</v>
      </c>
      <c r="H1953" s="26" t="b">
        <f>COUNTIFS(
 tblCostChecklist[RequirementID],A1953,
 tblCostChecklist[PlayerPaid],TRUE
)&gt;0</f>
        <v>0</v>
      </c>
      <c r="I1953" s="49">
        <f t="shared" si="1"/>
        <v>11</v>
      </c>
      <c r="J1953" s="49">
        <f t="shared" si="2"/>
        <v>0</v>
      </c>
      <c r="K1953" s="49">
        <f t="shared" si="3"/>
        <v>11</v>
      </c>
      <c r="L1953" s="49" t="b">
        <f t="shared" si="4"/>
        <v>0</v>
      </c>
      <c r="M1953" s="88">
        <f t="shared" si="5"/>
        <v>0</v>
      </c>
    </row>
    <row r="1954" ht="14.25" customHeight="1">
      <c r="A1954" s="49" t="s">
        <v>2465</v>
      </c>
      <c r="B1954" s="49" t="str">
        <f>IFERROR(__xludf.DUMMYFUNCTION("REGEXEXTRACT(A1954,""^cost\.(.*)\.[^.]+\.[^.]+$"")"),"collection.bone_dragon@2")</f>
        <v>collection.bone_dragon@2</v>
      </c>
      <c r="C1954" s="49" t="str">
        <f t="array" ref="C1954">_xlfn.XLOOKUP(
 B1954,
 tblTargets[TargetID],
 tblTargets[DisplayName],
 ""
)</f>
        <v>Bone Dragon Lv 2</v>
      </c>
      <c r="D1954" s="49" t="str">
        <f t="array" ref="D1954">_xlfn.XLOOKUP(
 B1954,
 tblTargets[TargetID],
 tblTargets[TargetType],
 ""
)</f>
        <v>COLLECTION</v>
      </c>
      <c r="E1954" s="49" t="s">
        <v>2318</v>
      </c>
      <c r="F1954" s="87">
        <f>IFERROR(__xludf.DUMMYFUNCTION("VALUE(REGEXEXTRACT(A1954,""([^.]+)$""))"),4.0)</f>
        <v>4</v>
      </c>
      <c r="G1954" s="49">
        <v>60.0</v>
      </c>
      <c r="H1954" s="26" t="b">
        <f>COUNTIFS(
 tblCostChecklist[RequirementID],A1954,
 tblCostChecklist[PlayerPaid],TRUE
)&gt;0</f>
        <v>0</v>
      </c>
      <c r="I1954" s="49">
        <f t="shared" si="1"/>
        <v>11</v>
      </c>
      <c r="J1954" s="49">
        <f t="shared" si="2"/>
        <v>0</v>
      </c>
      <c r="K1954" s="49">
        <f t="shared" si="3"/>
        <v>11</v>
      </c>
      <c r="L1954" s="49" t="b">
        <f t="shared" si="4"/>
        <v>0</v>
      </c>
      <c r="M1954" s="88">
        <f t="shared" si="5"/>
        <v>0</v>
      </c>
    </row>
    <row r="1955" ht="14.25" customHeight="1">
      <c r="A1955" s="49" t="s">
        <v>2466</v>
      </c>
      <c r="B1955" s="49" t="str">
        <f>IFERROR(__xludf.DUMMYFUNCTION("REGEXEXTRACT(A1955,""^cost\.(.*)\.[^.]+\.[^.]+$"")"),"collection.bone_dragon@2")</f>
        <v>collection.bone_dragon@2</v>
      </c>
      <c r="C1955" s="49" t="str">
        <f t="array" ref="C1955">_xlfn.XLOOKUP(
 B1955,
 tblTargets[TargetID],
 tblTargets[DisplayName],
 ""
)</f>
        <v>Bone Dragon Lv 2</v>
      </c>
      <c r="D1955" s="49" t="str">
        <f t="array" ref="D1955">_xlfn.XLOOKUP(
 B1955,
 tblTargets[TargetID],
 tblTargets[TargetType],
 ""
)</f>
        <v>COLLECTION</v>
      </c>
      <c r="E1955" s="49" t="s">
        <v>2318</v>
      </c>
      <c r="F1955" s="87">
        <f>IFERROR(__xludf.DUMMYFUNCTION("VALUE(REGEXEXTRACT(A1955,""([^.]+)$""))"),5.0)</f>
        <v>5</v>
      </c>
      <c r="G1955" s="49">
        <v>60.0</v>
      </c>
      <c r="H1955" s="26" t="b">
        <f>COUNTIFS(
 tblCostChecklist[RequirementID],A1955,
 tblCostChecklist[PlayerPaid],TRUE
)&gt;0</f>
        <v>0</v>
      </c>
      <c r="I1955" s="49">
        <f t="shared" si="1"/>
        <v>11</v>
      </c>
      <c r="J1955" s="49">
        <f t="shared" si="2"/>
        <v>0</v>
      </c>
      <c r="K1955" s="49">
        <f t="shared" si="3"/>
        <v>11</v>
      </c>
      <c r="L1955" s="49" t="b">
        <f t="shared" si="4"/>
        <v>0</v>
      </c>
      <c r="M1955" s="88">
        <f t="shared" si="5"/>
        <v>0</v>
      </c>
    </row>
    <row r="1956" ht="14.25" customHeight="1">
      <c r="A1956" s="49" t="s">
        <v>2467</v>
      </c>
      <c r="B1956" s="49" t="str">
        <f>IFERROR(__xludf.DUMMYFUNCTION("REGEXEXTRACT(A1956,""^cost\.(.*)\.[^.]+\.[^.]+$"")"),"collection.bone_dragon@2")</f>
        <v>collection.bone_dragon@2</v>
      </c>
      <c r="C1956" s="49" t="str">
        <f t="array" ref="C1956">_xlfn.XLOOKUP(
 B1956,
 tblTargets[TargetID],
 tblTargets[DisplayName],
 ""
)</f>
        <v>Bone Dragon Lv 2</v>
      </c>
      <c r="D1956" s="49" t="str">
        <f t="array" ref="D1956">_xlfn.XLOOKUP(
 B1956,
 tblTargets[TargetID],
 tblTargets[TargetType],
 ""
)</f>
        <v>COLLECTION</v>
      </c>
      <c r="E1956" s="49" t="s">
        <v>2318</v>
      </c>
      <c r="F1956" s="87">
        <f>IFERROR(__xludf.DUMMYFUNCTION("VALUE(REGEXEXTRACT(A1956,""([^.]+)$""))"),6.0)</f>
        <v>6</v>
      </c>
      <c r="G1956" s="49">
        <v>60.0</v>
      </c>
      <c r="H1956" s="26" t="b">
        <f>COUNTIFS(
 tblCostChecklist[RequirementID],A1956,
 tblCostChecklist[PlayerPaid],TRUE
)&gt;0</f>
        <v>0</v>
      </c>
      <c r="I1956" s="49">
        <f t="shared" si="1"/>
        <v>11</v>
      </c>
      <c r="J1956" s="49">
        <f t="shared" si="2"/>
        <v>0</v>
      </c>
      <c r="K1956" s="49">
        <f t="shared" si="3"/>
        <v>11</v>
      </c>
      <c r="L1956" s="49" t="b">
        <f t="shared" si="4"/>
        <v>0</v>
      </c>
      <c r="M1956" s="88">
        <f t="shared" si="5"/>
        <v>0</v>
      </c>
    </row>
    <row r="1957" ht="14.25" customHeight="1">
      <c r="A1957" s="49" t="s">
        <v>2469</v>
      </c>
      <c r="B1957" s="49" t="str">
        <f>IFERROR(__xludf.DUMMYFUNCTION("REGEXEXTRACT(A1957,""^cost\.(.*)\.[^.]+\.[^.]+$"")"),"collection.bone_dragon@2")</f>
        <v>collection.bone_dragon@2</v>
      </c>
      <c r="C1957" s="49" t="str">
        <f t="array" ref="C1957">_xlfn.XLOOKUP(
 B1957,
 tblTargets[TargetID],
 tblTargets[DisplayName],
 ""
)</f>
        <v>Bone Dragon Lv 2</v>
      </c>
      <c r="D1957" s="49" t="str">
        <f t="array" ref="D1957">_xlfn.XLOOKUP(
 B1957,
 tblTargets[TargetID],
 tblTargets[TargetType],
 ""
)</f>
        <v>COLLECTION</v>
      </c>
      <c r="E1957" s="49" t="s">
        <v>1060</v>
      </c>
      <c r="F1957" s="87">
        <f>IFERROR(__xludf.DUMMYFUNCTION("VALUE(REGEXEXTRACT(A1957,""([^.]+)$""))"),1.0)</f>
        <v>1</v>
      </c>
      <c r="G1957" s="49">
        <v>1110.0</v>
      </c>
      <c r="H1957" s="26" t="b">
        <f>COUNTIFS(
 tblCostChecklist[RequirementID],A1957,
 tblCostChecklist[PlayerPaid],TRUE
)&gt;0</f>
        <v>0</v>
      </c>
      <c r="I1957" s="49">
        <f t="shared" si="1"/>
        <v>11</v>
      </c>
      <c r="J1957" s="49">
        <f t="shared" si="2"/>
        <v>0</v>
      </c>
      <c r="K1957" s="49">
        <f t="shared" si="3"/>
        <v>11</v>
      </c>
      <c r="L1957" s="49" t="b">
        <f t="shared" si="4"/>
        <v>0</v>
      </c>
      <c r="M1957" s="88">
        <f t="shared" si="5"/>
        <v>0</v>
      </c>
    </row>
    <row r="1958" ht="14.25" customHeight="1">
      <c r="A1958" s="49" t="s">
        <v>2471</v>
      </c>
      <c r="B1958" s="49" t="str">
        <f>IFERROR(__xludf.DUMMYFUNCTION("REGEXEXTRACT(A1958,""^cost\.(.*)\.[^.]+\.[^.]+$"")"),"collection.bone_dragon@2")</f>
        <v>collection.bone_dragon@2</v>
      </c>
      <c r="C1958" s="49" t="str">
        <f t="array" ref="C1958">_xlfn.XLOOKUP(
 B1958,
 tblTargets[TargetID],
 tblTargets[DisplayName],
 ""
)</f>
        <v>Bone Dragon Lv 2</v>
      </c>
      <c r="D1958" s="49" t="str">
        <f t="array" ref="D1958">_xlfn.XLOOKUP(
 B1958,
 tblTargets[TargetID],
 tblTargets[TargetType],
 ""
)</f>
        <v>COLLECTION</v>
      </c>
      <c r="E1958" s="49" t="s">
        <v>530</v>
      </c>
      <c r="F1958" s="87">
        <f>IFERROR(__xludf.DUMMYFUNCTION("VALUE(REGEXEXTRACT(A1958,""([^.]+)$""))"),1.0)</f>
        <v>1</v>
      </c>
      <c r="G1958" s="49">
        <v>10.0</v>
      </c>
      <c r="H1958" s="26" t="b">
        <f>COUNTIFS(
 tblCostChecklist[RequirementID],A1958,
 tblCostChecklist[PlayerPaid],TRUE
)&gt;0</f>
        <v>0</v>
      </c>
      <c r="I1958" s="49">
        <f t="shared" si="1"/>
        <v>11</v>
      </c>
      <c r="J1958" s="49">
        <f t="shared" si="2"/>
        <v>0</v>
      </c>
      <c r="K1958" s="49">
        <f t="shared" si="3"/>
        <v>11</v>
      </c>
      <c r="L1958" s="49" t="b">
        <f t="shared" si="4"/>
        <v>0</v>
      </c>
      <c r="M1958" s="88">
        <f t="shared" si="5"/>
        <v>0</v>
      </c>
    </row>
    <row r="1959" ht="14.25" customHeight="1">
      <c r="A1959" s="49" t="s">
        <v>2298</v>
      </c>
      <c r="B1959" s="49" t="str">
        <f>IFERROR(__xludf.DUMMYFUNCTION("REGEXEXTRACT(A1959,""^cost\.(.*)\.[^.]+\.[^.]+$"")"),"collection.alchemist_hall_1@1")</f>
        <v>collection.alchemist_hall_1@1</v>
      </c>
      <c r="C1959" s="49" t="str">
        <f t="array" ref="C1959">_xlfn.XLOOKUP(
 B1959,
 tblTargets[TargetID],
 tblTargets[DisplayName],
 ""
)</f>
        <v>Alchemist Hall Lv 1</v>
      </c>
      <c r="D1959" s="49" t="str">
        <f t="array" ref="D1959">_xlfn.XLOOKUP(
 B1959,
 tblTargets[TargetID],
 tblTargets[TargetType],
 ""
)</f>
        <v>COLLECTION</v>
      </c>
      <c r="E1959" s="49" t="s">
        <v>2299</v>
      </c>
      <c r="F1959" s="87">
        <f>IFERROR(__xludf.DUMMYFUNCTION("VALUE(REGEXEXTRACT(A1959,""([^.]+)$""))"),1.0)</f>
        <v>1</v>
      </c>
      <c r="G1959" s="49">
        <v>20.0</v>
      </c>
      <c r="H1959" s="26" t="b">
        <f>COUNTIFS(
 tblCostChecklist[RequirementID],A1959,
 tblCostChecklist[PlayerPaid],TRUE
)&gt;0</f>
        <v>0</v>
      </c>
      <c r="I1959" s="49">
        <f t="shared" si="1"/>
        <v>8</v>
      </c>
      <c r="J1959" s="49">
        <f t="shared" si="2"/>
        <v>0</v>
      </c>
      <c r="K1959" s="49">
        <f t="shared" si="3"/>
        <v>8</v>
      </c>
      <c r="L1959" s="49" t="b">
        <f t="shared" si="4"/>
        <v>0</v>
      </c>
      <c r="M1959" s="88">
        <f t="shared" si="5"/>
        <v>0</v>
      </c>
    </row>
    <row r="1960" ht="14.25" customHeight="1">
      <c r="A1960" s="49" t="s">
        <v>2296</v>
      </c>
      <c r="B1960" s="49" t="str">
        <f>IFERROR(__xludf.DUMMYFUNCTION("REGEXEXTRACT(A1960,""^cost\.(.*)\.[^.]+\.[^.]+$"")"),"collection.alchemist_hall_1@1")</f>
        <v>collection.alchemist_hall_1@1</v>
      </c>
      <c r="C1960" s="49" t="str">
        <f t="array" ref="C1960">_xlfn.XLOOKUP(
 B1960,
 tblTargets[TargetID],
 tblTargets[DisplayName],
 ""
)</f>
        <v>Alchemist Hall Lv 1</v>
      </c>
      <c r="D1960" s="49" t="str">
        <f t="array" ref="D1960">_xlfn.XLOOKUP(
 B1960,
 tblTargets[TargetID],
 tblTargets[TargetType],
 ""
)</f>
        <v>COLLECTION</v>
      </c>
      <c r="E1960" s="49" t="s">
        <v>2297</v>
      </c>
      <c r="F1960" s="87">
        <f>IFERROR(__xludf.DUMMYFUNCTION("VALUE(REGEXEXTRACT(A1960,""([^.]+)$""))"),1.0)</f>
        <v>1</v>
      </c>
      <c r="G1960" s="49">
        <v>20.0</v>
      </c>
      <c r="H1960" s="26" t="b">
        <f>COUNTIFS(
 tblCostChecklist[RequirementID],A1960,
 tblCostChecklist[PlayerPaid],TRUE
)&gt;0</f>
        <v>0</v>
      </c>
      <c r="I1960" s="49">
        <f t="shared" si="1"/>
        <v>8</v>
      </c>
      <c r="J1960" s="49">
        <f t="shared" si="2"/>
        <v>0</v>
      </c>
      <c r="K1960" s="49">
        <f t="shared" si="3"/>
        <v>8</v>
      </c>
      <c r="L1960" s="49" t="b">
        <f t="shared" si="4"/>
        <v>0</v>
      </c>
      <c r="M1960" s="88">
        <f t="shared" si="5"/>
        <v>0</v>
      </c>
    </row>
    <row r="1961" ht="14.25" customHeight="1">
      <c r="A1961" s="49" t="s">
        <v>2305</v>
      </c>
      <c r="B1961" s="49" t="str">
        <f>IFERROR(__xludf.DUMMYFUNCTION("REGEXEXTRACT(A1961,""^cost\.(.*)\.[^.]+\.[^.]+$"")"),"collection.alchemist_hall_1@1")</f>
        <v>collection.alchemist_hall_1@1</v>
      </c>
      <c r="C1961" s="49" t="str">
        <f t="array" ref="C1961">_xlfn.XLOOKUP(
 B1961,
 tblTargets[TargetID],
 tblTargets[DisplayName],
 ""
)</f>
        <v>Alchemist Hall Lv 1</v>
      </c>
      <c r="D1961" s="49" t="str">
        <f t="array" ref="D1961">_xlfn.XLOOKUP(
 B1961,
 tblTargets[TargetID],
 tblTargets[TargetType],
 ""
)</f>
        <v>COLLECTION</v>
      </c>
      <c r="E1961" s="49" t="s">
        <v>1456</v>
      </c>
      <c r="F1961" s="87">
        <f>IFERROR(__xludf.DUMMYFUNCTION("VALUE(REGEXEXTRACT(A1961,""([^.]+)$""))"),1.0)</f>
        <v>1</v>
      </c>
      <c r="G1961" s="49">
        <v>20.0</v>
      </c>
      <c r="H1961" s="26" t="b">
        <f>COUNTIFS(
 tblCostChecklist[RequirementID],A1961,
 tblCostChecklist[PlayerPaid],TRUE
)&gt;0</f>
        <v>0</v>
      </c>
      <c r="I1961" s="49">
        <f t="shared" si="1"/>
        <v>8</v>
      </c>
      <c r="J1961" s="49">
        <f t="shared" si="2"/>
        <v>0</v>
      </c>
      <c r="K1961" s="49">
        <f t="shared" si="3"/>
        <v>8</v>
      </c>
      <c r="L1961" s="49" t="b">
        <f t="shared" si="4"/>
        <v>0</v>
      </c>
      <c r="M1961" s="88">
        <f t="shared" si="5"/>
        <v>0</v>
      </c>
    </row>
    <row r="1962" ht="14.25" customHeight="1">
      <c r="A1962" s="49" t="s">
        <v>2301</v>
      </c>
      <c r="B1962" s="49" t="str">
        <f>IFERROR(__xludf.DUMMYFUNCTION("REGEXEXTRACT(A1962,""^cost\.(.*)\.[^.]+\.[^.]+$"")"),"collection.alchemist_hall_1@1")</f>
        <v>collection.alchemist_hall_1@1</v>
      </c>
      <c r="C1962" s="49" t="str">
        <f t="array" ref="C1962">_xlfn.XLOOKUP(
 B1962,
 tblTargets[TargetID],
 tblTargets[DisplayName],
 ""
)</f>
        <v>Alchemist Hall Lv 1</v>
      </c>
      <c r="D1962" s="49" t="str">
        <f t="array" ref="D1962">_xlfn.XLOOKUP(
 B1962,
 tblTargets[TargetID],
 tblTargets[TargetType],
 ""
)</f>
        <v>COLLECTION</v>
      </c>
      <c r="E1962" s="49" t="s">
        <v>2302</v>
      </c>
      <c r="F1962" s="87">
        <f>IFERROR(__xludf.DUMMYFUNCTION("VALUE(REGEXEXTRACT(A1962,""([^.]+)$""))"),1.0)</f>
        <v>1</v>
      </c>
      <c r="G1962" s="49">
        <v>10.0</v>
      </c>
      <c r="H1962" s="26" t="b">
        <f>COUNTIFS(
 tblCostChecklist[RequirementID],A1962,
 tblCostChecklist[PlayerPaid],TRUE
)&gt;0</f>
        <v>0</v>
      </c>
      <c r="I1962" s="49">
        <f t="shared" si="1"/>
        <v>8</v>
      </c>
      <c r="J1962" s="49">
        <f t="shared" si="2"/>
        <v>0</v>
      </c>
      <c r="K1962" s="49">
        <f t="shared" si="3"/>
        <v>8</v>
      </c>
      <c r="L1962" s="49" t="b">
        <f t="shared" si="4"/>
        <v>0</v>
      </c>
      <c r="M1962" s="88">
        <f t="shared" si="5"/>
        <v>0</v>
      </c>
    </row>
    <row r="1963" ht="14.25" customHeight="1">
      <c r="A1963" s="49" t="s">
        <v>2303</v>
      </c>
      <c r="B1963" s="49" t="str">
        <f>IFERROR(__xludf.DUMMYFUNCTION("REGEXEXTRACT(A1963,""^cost\.(.*)\.[^.]+\.[^.]+$"")"),"collection.alchemist_hall_1@1")</f>
        <v>collection.alchemist_hall_1@1</v>
      </c>
      <c r="C1963" s="49" t="str">
        <f t="array" ref="C1963">_xlfn.XLOOKUP(
 B1963,
 tblTargets[TargetID],
 tblTargets[DisplayName],
 ""
)</f>
        <v>Alchemist Hall Lv 1</v>
      </c>
      <c r="D1963" s="49" t="str">
        <f t="array" ref="D1963">_xlfn.XLOOKUP(
 B1963,
 tblTargets[TargetID],
 tblTargets[TargetType],
 ""
)</f>
        <v>COLLECTION</v>
      </c>
      <c r="E1963" s="49" t="s">
        <v>2304</v>
      </c>
      <c r="F1963" s="87">
        <f>IFERROR(__xludf.DUMMYFUNCTION("VALUE(REGEXEXTRACT(A1963,""([^.]+)$""))"),1.0)</f>
        <v>1</v>
      </c>
      <c r="G1963" s="49">
        <v>20.0</v>
      </c>
      <c r="H1963" s="26" t="b">
        <f>COUNTIFS(
 tblCostChecklist[RequirementID],A1963,
 tblCostChecklist[PlayerPaid],TRUE
)&gt;0</f>
        <v>0</v>
      </c>
      <c r="I1963" s="49">
        <f t="shared" si="1"/>
        <v>8</v>
      </c>
      <c r="J1963" s="49">
        <f t="shared" si="2"/>
        <v>0</v>
      </c>
      <c r="K1963" s="49">
        <f t="shared" si="3"/>
        <v>8</v>
      </c>
      <c r="L1963" s="49" t="b">
        <f t="shared" si="4"/>
        <v>0</v>
      </c>
      <c r="M1963" s="88">
        <f t="shared" si="5"/>
        <v>0</v>
      </c>
    </row>
    <row r="1964" ht="14.25" customHeight="1">
      <c r="A1964" s="49" t="s">
        <v>2300</v>
      </c>
      <c r="B1964" s="49" t="str">
        <f>IFERROR(__xludf.DUMMYFUNCTION("REGEXEXTRACT(A1964,""^cost\.(.*)\.[^.]+\.[^.]+$"")"),"collection.alchemist_hall_1@1")</f>
        <v>collection.alchemist_hall_1@1</v>
      </c>
      <c r="C1964" s="49" t="str">
        <f t="array" ref="C1964">_xlfn.XLOOKUP(
 B1964,
 tblTargets[TargetID],
 tblTargets[DisplayName],
 ""
)</f>
        <v>Alchemist Hall Lv 1</v>
      </c>
      <c r="D1964" s="49" t="str">
        <f t="array" ref="D1964">_xlfn.XLOOKUP(
 B1964,
 tblTargets[TargetID],
 tblTargets[TargetType],
 ""
)</f>
        <v>COLLECTION</v>
      </c>
      <c r="E1964" s="49" t="s">
        <v>530</v>
      </c>
      <c r="F1964" s="87">
        <f>IFERROR(__xludf.DUMMYFUNCTION("VALUE(REGEXEXTRACT(A1964,""([^.]+)$""))"),1.0)</f>
        <v>1</v>
      </c>
      <c r="G1964" s="49">
        <v>5.0</v>
      </c>
      <c r="H1964" s="26" t="b">
        <f>COUNTIFS(
 tblCostChecklist[RequirementID],A1964,
 tblCostChecklist[PlayerPaid],TRUE
)&gt;0</f>
        <v>0</v>
      </c>
      <c r="I1964" s="49">
        <f t="shared" si="1"/>
        <v>8</v>
      </c>
      <c r="J1964" s="49">
        <f t="shared" si="2"/>
        <v>0</v>
      </c>
      <c r="K1964" s="49">
        <f t="shared" si="3"/>
        <v>8</v>
      </c>
      <c r="L1964" s="49" t="b">
        <f t="shared" si="4"/>
        <v>0</v>
      </c>
      <c r="M1964" s="88">
        <f t="shared" si="5"/>
        <v>0</v>
      </c>
    </row>
    <row r="1965" ht="14.25" customHeight="1">
      <c r="A1965" s="49" t="s">
        <v>2307</v>
      </c>
      <c r="B1965" s="49" t="str">
        <f>IFERROR(__xludf.DUMMYFUNCTION("REGEXEXTRACT(A1965,""^cost\.(.*)\.[^.]+\.[^.]+$"")"),"collection.alchemist_hall_1@1")</f>
        <v>collection.alchemist_hall_1@1</v>
      </c>
      <c r="C1965" s="49" t="str">
        <f t="array" ref="C1965">_xlfn.XLOOKUP(
 B1965,
 tblTargets[TargetID],
 tblTargets[DisplayName],
 ""
)</f>
        <v>Alchemist Hall Lv 1</v>
      </c>
      <c r="D1965" s="49" t="str">
        <f t="array" ref="D1965">_xlfn.XLOOKUP(
 B1965,
 tblTargets[TargetID],
 tblTargets[TargetType],
 ""
)</f>
        <v>COLLECTION</v>
      </c>
      <c r="E1965" s="49" t="s">
        <v>2308</v>
      </c>
      <c r="F1965" s="87">
        <f>IFERROR(__xludf.DUMMYFUNCTION("VALUE(REGEXEXTRACT(A1965,""([^.]+)$""))"),1.0)</f>
        <v>1</v>
      </c>
      <c r="G1965" s="49">
        <v>10.0</v>
      </c>
      <c r="H1965" s="26" t="b">
        <f>COUNTIFS(
 tblCostChecklist[RequirementID],A1965,
 tblCostChecklist[PlayerPaid],TRUE
)&gt;0</f>
        <v>0</v>
      </c>
      <c r="I1965" s="49">
        <f t="shared" si="1"/>
        <v>8</v>
      </c>
      <c r="J1965" s="49">
        <f t="shared" si="2"/>
        <v>0</v>
      </c>
      <c r="K1965" s="49">
        <f t="shared" si="3"/>
        <v>8</v>
      </c>
      <c r="L1965" s="49" t="b">
        <f t="shared" si="4"/>
        <v>0</v>
      </c>
      <c r="M1965" s="88">
        <f t="shared" si="5"/>
        <v>0</v>
      </c>
    </row>
    <row r="1966" ht="14.25" customHeight="1">
      <c r="A1966" s="49" t="s">
        <v>2306</v>
      </c>
      <c r="B1966" s="49" t="str">
        <f>IFERROR(__xludf.DUMMYFUNCTION("REGEXEXTRACT(A1966,""^cost\.(.*)\.[^.]+\.[^.]+$"")"),"collection.alchemist_hall_1@1")</f>
        <v>collection.alchemist_hall_1@1</v>
      </c>
      <c r="C1966" s="49" t="str">
        <f t="array" ref="C1966">_xlfn.XLOOKUP(
 B1966,
 tblTargets[TargetID],
 tblTargets[DisplayName],
 ""
)</f>
        <v>Alchemist Hall Lv 1</v>
      </c>
      <c r="D1966" s="49" t="str">
        <f t="array" ref="D1966">_xlfn.XLOOKUP(
 B1966,
 tblTargets[TargetID],
 tblTargets[TargetType],
 ""
)</f>
        <v>COLLECTION</v>
      </c>
      <c r="E1966" s="49" t="s">
        <v>140</v>
      </c>
      <c r="F1966" s="87">
        <f>IFERROR(__xludf.DUMMYFUNCTION("VALUE(REGEXEXTRACT(A1966,""([^.]+)$""))"),1.0)</f>
        <v>1</v>
      </c>
      <c r="G1966" s="49">
        <v>111.0</v>
      </c>
      <c r="H1966" s="26" t="b">
        <f>COUNTIFS(
 tblCostChecklist[RequirementID],A1966,
 tblCostChecklist[PlayerPaid],TRUE
)&gt;0</f>
        <v>0</v>
      </c>
      <c r="I1966" s="49">
        <f t="shared" si="1"/>
        <v>8</v>
      </c>
      <c r="J1966" s="49">
        <f t="shared" si="2"/>
        <v>0</v>
      </c>
      <c r="K1966" s="49">
        <f t="shared" si="3"/>
        <v>8</v>
      </c>
      <c r="L1966" s="49" t="b">
        <f t="shared" si="4"/>
        <v>0</v>
      </c>
      <c r="M1966" s="88">
        <f t="shared" si="5"/>
        <v>0</v>
      </c>
    </row>
    <row r="1967" ht="14.25" customHeight="1">
      <c r="A1967" s="49" t="s">
        <v>2310</v>
      </c>
      <c r="B1967" s="49" t="str">
        <f>IFERROR(__xludf.DUMMYFUNCTION("REGEXEXTRACT(A1967,""^cost\.(.*)\.[^.]+\.[^.]+$"")"),"collection.alchemist_hall_1@2")</f>
        <v>collection.alchemist_hall_1@2</v>
      </c>
      <c r="C1967" s="49" t="str">
        <f t="array" ref="C1967">_xlfn.XLOOKUP(
 B1967,
 tblTargets[TargetID],
 tblTargets[DisplayName],
 ""
)</f>
        <v>Alchemist Hall Lv 2</v>
      </c>
      <c r="D1967" s="49" t="str">
        <f t="array" ref="D1967">_xlfn.XLOOKUP(
 B1967,
 tblTargets[TargetID],
 tblTargets[TargetType],
 ""
)</f>
        <v>COLLECTION</v>
      </c>
      <c r="E1967" s="49" t="s">
        <v>2299</v>
      </c>
      <c r="F1967" s="87">
        <f>IFERROR(__xludf.DUMMYFUNCTION("VALUE(REGEXEXTRACT(A1967,""([^.]+)$""))"),1.0)</f>
        <v>1</v>
      </c>
      <c r="G1967" s="49">
        <v>40.0</v>
      </c>
      <c r="H1967" s="26" t="b">
        <f>COUNTIFS(
 tblCostChecklist[RequirementID],A1967,
 tblCostChecklist[PlayerPaid],TRUE
)&gt;0</f>
        <v>0</v>
      </c>
      <c r="I1967" s="49">
        <f t="shared" si="1"/>
        <v>8</v>
      </c>
      <c r="J1967" s="49">
        <f t="shared" si="2"/>
        <v>0</v>
      </c>
      <c r="K1967" s="49">
        <f t="shared" si="3"/>
        <v>8</v>
      </c>
      <c r="L1967" s="49" t="b">
        <f t="shared" si="4"/>
        <v>0</v>
      </c>
      <c r="M1967" s="88">
        <f t="shared" si="5"/>
        <v>0</v>
      </c>
    </row>
    <row r="1968" ht="14.25" customHeight="1">
      <c r="A1968" s="49" t="s">
        <v>2309</v>
      </c>
      <c r="B1968" s="49" t="str">
        <f>IFERROR(__xludf.DUMMYFUNCTION("REGEXEXTRACT(A1968,""^cost\.(.*)\.[^.]+\.[^.]+$"")"),"collection.alchemist_hall_1@2")</f>
        <v>collection.alchemist_hall_1@2</v>
      </c>
      <c r="C1968" s="49" t="str">
        <f t="array" ref="C1968">_xlfn.XLOOKUP(
 B1968,
 tblTargets[TargetID],
 tblTargets[DisplayName],
 ""
)</f>
        <v>Alchemist Hall Lv 2</v>
      </c>
      <c r="D1968" s="49" t="str">
        <f t="array" ref="D1968">_xlfn.XLOOKUP(
 B1968,
 tblTargets[TargetID],
 tblTargets[TargetType],
 ""
)</f>
        <v>COLLECTION</v>
      </c>
      <c r="E1968" s="49" t="s">
        <v>2297</v>
      </c>
      <c r="F1968" s="87">
        <f>IFERROR(__xludf.DUMMYFUNCTION("VALUE(REGEXEXTRACT(A1968,""([^.]+)$""))"),1.0)</f>
        <v>1</v>
      </c>
      <c r="G1968" s="49">
        <v>40.0</v>
      </c>
      <c r="H1968" s="26" t="b">
        <f>COUNTIFS(
 tblCostChecklist[RequirementID],A1968,
 tblCostChecklist[PlayerPaid],TRUE
)&gt;0</f>
        <v>0</v>
      </c>
      <c r="I1968" s="49">
        <f t="shared" si="1"/>
        <v>8</v>
      </c>
      <c r="J1968" s="49">
        <f t="shared" si="2"/>
        <v>0</v>
      </c>
      <c r="K1968" s="49">
        <f t="shared" si="3"/>
        <v>8</v>
      </c>
      <c r="L1968" s="49" t="b">
        <f t="shared" si="4"/>
        <v>0</v>
      </c>
      <c r="M1968" s="88">
        <f t="shared" si="5"/>
        <v>0</v>
      </c>
    </row>
    <row r="1969" ht="14.25" customHeight="1">
      <c r="A1969" s="49" t="s">
        <v>2314</v>
      </c>
      <c r="B1969" s="49" t="str">
        <f>IFERROR(__xludf.DUMMYFUNCTION("REGEXEXTRACT(A1969,""^cost\.(.*)\.[^.]+\.[^.]+$"")"),"collection.alchemist_hall_1@2")</f>
        <v>collection.alchemist_hall_1@2</v>
      </c>
      <c r="C1969" s="49" t="str">
        <f t="array" ref="C1969">_xlfn.XLOOKUP(
 B1969,
 tblTargets[TargetID],
 tblTargets[DisplayName],
 ""
)</f>
        <v>Alchemist Hall Lv 2</v>
      </c>
      <c r="D1969" s="49" t="str">
        <f t="array" ref="D1969">_xlfn.XLOOKUP(
 B1969,
 tblTargets[TargetID],
 tblTargets[TargetType],
 ""
)</f>
        <v>COLLECTION</v>
      </c>
      <c r="E1969" s="49" t="s">
        <v>1456</v>
      </c>
      <c r="F1969" s="87">
        <f>IFERROR(__xludf.DUMMYFUNCTION("VALUE(REGEXEXTRACT(A1969,""([^.]+)$""))"),1.0)</f>
        <v>1</v>
      </c>
      <c r="G1969" s="49">
        <v>40.0</v>
      </c>
      <c r="H1969" s="26" t="b">
        <f>COUNTIFS(
 tblCostChecklist[RequirementID],A1969,
 tblCostChecklist[PlayerPaid],TRUE
)&gt;0</f>
        <v>0</v>
      </c>
      <c r="I1969" s="49">
        <f t="shared" si="1"/>
        <v>8</v>
      </c>
      <c r="J1969" s="49">
        <f t="shared" si="2"/>
        <v>0</v>
      </c>
      <c r="K1969" s="49">
        <f t="shared" si="3"/>
        <v>8</v>
      </c>
      <c r="L1969" s="49" t="b">
        <f t="shared" si="4"/>
        <v>0</v>
      </c>
      <c r="M1969" s="88">
        <f t="shared" si="5"/>
        <v>0</v>
      </c>
    </row>
    <row r="1970" ht="14.25" customHeight="1">
      <c r="A1970" s="49" t="s">
        <v>2312</v>
      </c>
      <c r="B1970" s="49" t="str">
        <f>IFERROR(__xludf.DUMMYFUNCTION("REGEXEXTRACT(A1970,""^cost\.(.*)\.[^.]+\.[^.]+$"")"),"collection.alchemist_hall_1@2")</f>
        <v>collection.alchemist_hall_1@2</v>
      </c>
      <c r="C1970" s="49" t="str">
        <f t="array" ref="C1970">_xlfn.XLOOKUP(
 B1970,
 tblTargets[TargetID],
 tblTargets[DisplayName],
 ""
)</f>
        <v>Alchemist Hall Lv 2</v>
      </c>
      <c r="D1970" s="49" t="str">
        <f t="array" ref="D1970">_xlfn.XLOOKUP(
 B1970,
 tblTargets[TargetID],
 tblTargets[TargetType],
 ""
)</f>
        <v>COLLECTION</v>
      </c>
      <c r="E1970" s="49" t="s">
        <v>2302</v>
      </c>
      <c r="F1970" s="87">
        <f>IFERROR(__xludf.DUMMYFUNCTION("VALUE(REGEXEXTRACT(A1970,""([^.]+)$""))"),1.0)</f>
        <v>1</v>
      </c>
      <c r="G1970" s="49">
        <v>20.0</v>
      </c>
      <c r="H1970" s="26" t="b">
        <f>COUNTIFS(
 tblCostChecklist[RequirementID],A1970,
 tblCostChecklist[PlayerPaid],TRUE
)&gt;0</f>
        <v>0</v>
      </c>
      <c r="I1970" s="49">
        <f t="shared" si="1"/>
        <v>8</v>
      </c>
      <c r="J1970" s="49">
        <f t="shared" si="2"/>
        <v>0</v>
      </c>
      <c r="K1970" s="49">
        <f t="shared" si="3"/>
        <v>8</v>
      </c>
      <c r="L1970" s="49" t="b">
        <f t="shared" si="4"/>
        <v>0</v>
      </c>
      <c r="M1970" s="88">
        <f t="shared" si="5"/>
        <v>0</v>
      </c>
    </row>
    <row r="1971" ht="14.25" customHeight="1">
      <c r="A1971" s="49" t="s">
        <v>2313</v>
      </c>
      <c r="B1971" s="49" t="str">
        <f>IFERROR(__xludf.DUMMYFUNCTION("REGEXEXTRACT(A1971,""^cost\.(.*)\.[^.]+\.[^.]+$"")"),"collection.alchemist_hall_1@2")</f>
        <v>collection.alchemist_hall_1@2</v>
      </c>
      <c r="C1971" s="49" t="str">
        <f t="array" ref="C1971">_xlfn.XLOOKUP(
 B1971,
 tblTargets[TargetID],
 tblTargets[DisplayName],
 ""
)</f>
        <v>Alchemist Hall Lv 2</v>
      </c>
      <c r="D1971" s="49" t="str">
        <f t="array" ref="D1971">_xlfn.XLOOKUP(
 B1971,
 tblTargets[TargetID],
 tblTargets[TargetType],
 ""
)</f>
        <v>COLLECTION</v>
      </c>
      <c r="E1971" s="49" t="s">
        <v>2304</v>
      </c>
      <c r="F1971" s="87">
        <f>IFERROR(__xludf.DUMMYFUNCTION("VALUE(REGEXEXTRACT(A1971,""([^.]+)$""))"),1.0)</f>
        <v>1</v>
      </c>
      <c r="G1971" s="49">
        <v>40.0</v>
      </c>
      <c r="H1971" s="26" t="b">
        <f>COUNTIFS(
 tblCostChecklist[RequirementID],A1971,
 tblCostChecklist[PlayerPaid],TRUE
)&gt;0</f>
        <v>0</v>
      </c>
      <c r="I1971" s="49">
        <f t="shared" si="1"/>
        <v>8</v>
      </c>
      <c r="J1971" s="49">
        <f t="shared" si="2"/>
        <v>0</v>
      </c>
      <c r="K1971" s="49">
        <f t="shared" si="3"/>
        <v>8</v>
      </c>
      <c r="L1971" s="49" t="b">
        <f t="shared" si="4"/>
        <v>0</v>
      </c>
      <c r="M1971" s="88">
        <f t="shared" si="5"/>
        <v>0</v>
      </c>
    </row>
    <row r="1972" ht="14.25" customHeight="1">
      <c r="A1972" s="49" t="s">
        <v>2311</v>
      </c>
      <c r="B1972" s="49" t="str">
        <f>IFERROR(__xludf.DUMMYFUNCTION("REGEXEXTRACT(A1972,""^cost\.(.*)\.[^.]+\.[^.]+$"")"),"collection.alchemist_hall_1@2")</f>
        <v>collection.alchemist_hall_1@2</v>
      </c>
      <c r="C1972" s="49" t="str">
        <f t="array" ref="C1972">_xlfn.XLOOKUP(
 B1972,
 tblTargets[TargetID],
 tblTargets[DisplayName],
 ""
)</f>
        <v>Alchemist Hall Lv 2</v>
      </c>
      <c r="D1972" s="49" t="str">
        <f t="array" ref="D1972">_xlfn.XLOOKUP(
 B1972,
 tblTargets[TargetID],
 tblTargets[TargetType],
 ""
)</f>
        <v>COLLECTION</v>
      </c>
      <c r="E1972" s="49" t="s">
        <v>530</v>
      </c>
      <c r="F1972" s="87">
        <f>IFERROR(__xludf.DUMMYFUNCTION("VALUE(REGEXEXTRACT(A1972,""([^.]+)$""))"),1.0)</f>
        <v>1</v>
      </c>
      <c r="G1972" s="49">
        <v>10.0</v>
      </c>
      <c r="H1972" s="26" t="b">
        <f>COUNTIFS(
 tblCostChecklist[RequirementID],A1972,
 tblCostChecklist[PlayerPaid],TRUE
)&gt;0</f>
        <v>0</v>
      </c>
      <c r="I1972" s="49">
        <f t="shared" si="1"/>
        <v>8</v>
      </c>
      <c r="J1972" s="49">
        <f t="shared" si="2"/>
        <v>0</v>
      </c>
      <c r="K1972" s="49">
        <f t="shared" si="3"/>
        <v>8</v>
      </c>
      <c r="L1972" s="49" t="b">
        <f t="shared" si="4"/>
        <v>0</v>
      </c>
      <c r="M1972" s="88">
        <f t="shared" si="5"/>
        <v>0</v>
      </c>
    </row>
    <row r="1973" ht="14.25" customHeight="1">
      <c r="A1973" s="49" t="s">
        <v>2316</v>
      </c>
      <c r="B1973" s="49" t="str">
        <f>IFERROR(__xludf.DUMMYFUNCTION("REGEXEXTRACT(A1973,""^cost\.(.*)\.[^.]+\.[^.]+$"")"),"collection.alchemist_hall_1@2")</f>
        <v>collection.alchemist_hall_1@2</v>
      </c>
      <c r="C1973" s="49" t="str">
        <f t="array" ref="C1973">_xlfn.XLOOKUP(
 B1973,
 tblTargets[TargetID],
 tblTargets[DisplayName],
 ""
)</f>
        <v>Alchemist Hall Lv 2</v>
      </c>
      <c r="D1973" s="49" t="str">
        <f t="array" ref="D1973">_xlfn.XLOOKUP(
 B1973,
 tblTargets[TargetID],
 tblTargets[TargetType],
 ""
)</f>
        <v>COLLECTION</v>
      </c>
      <c r="E1973" s="49" t="s">
        <v>2308</v>
      </c>
      <c r="F1973" s="87">
        <f>IFERROR(__xludf.DUMMYFUNCTION("VALUE(REGEXEXTRACT(A1973,""([^.]+)$""))"),1.0)</f>
        <v>1</v>
      </c>
      <c r="G1973" s="49">
        <v>20.0</v>
      </c>
      <c r="H1973" s="26" t="b">
        <f>COUNTIFS(
 tblCostChecklist[RequirementID],A1973,
 tblCostChecklist[PlayerPaid],TRUE
)&gt;0</f>
        <v>0</v>
      </c>
      <c r="I1973" s="49">
        <f t="shared" si="1"/>
        <v>8</v>
      </c>
      <c r="J1973" s="49">
        <f t="shared" si="2"/>
        <v>0</v>
      </c>
      <c r="K1973" s="49">
        <f t="shared" si="3"/>
        <v>8</v>
      </c>
      <c r="L1973" s="49" t="b">
        <f t="shared" si="4"/>
        <v>0</v>
      </c>
      <c r="M1973" s="88">
        <f t="shared" si="5"/>
        <v>0</v>
      </c>
    </row>
    <row r="1974" ht="14.25" customHeight="1">
      <c r="A1974" s="49" t="s">
        <v>2315</v>
      </c>
      <c r="B1974" s="49" t="str">
        <f>IFERROR(__xludf.DUMMYFUNCTION("REGEXEXTRACT(A1974,""^cost\.(.*)\.[^.]+\.[^.]+$"")"),"collection.alchemist_hall_1@2")</f>
        <v>collection.alchemist_hall_1@2</v>
      </c>
      <c r="C1974" s="49" t="str">
        <f t="array" ref="C1974">_xlfn.XLOOKUP(
 B1974,
 tblTargets[TargetID],
 tblTargets[DisplayName],
 ""
)</f>
        <v>Alchemist Hall Lv 2</v>
      </c>
      <c r="D1974" s="49" t="str">
        <f t="array" ref="D1974">_xlfn.XLOOKUP(
 B1974,
 tblTargets[TargetID],
 tblTargets[TargetType],
 ""
)</f>
        <v>COLLECTION</v>
      </c>
      <c r="E1974" s="49" t="s">
        <v>140</v>
      </c>
      <c r="F1974" s="87">
        <f>IFERROR(__xludf.DUMMYFUNCTION("VALUE(REGEXEXTRACT(A1974,""([^.]+)$""))"),1.0)</f>
        <v>1</v>
      </c>
      <c r="G1974" s="49">
        <v>222.0</v>
      </c>
      <c r="H1974" s="26" t="b">
        <f>COUNTIFS(
 tblCostChecklist[RequirementID],A1974,
 tblCostChecklist[PlayerPaid],TRUE
)&gt;0</f>
        <v>0</v>
      </c>
      <c r="I1974" s="49">
        <f t="shared" si="1"/>
        <v>8</v>
      </c>
      <c r="J1974" s="49">
        <f t="shared" si="2"/>
        <v>0</v>
      </c>
      <c r="K1974" s="49">
        <f t="shared" si="3"/>
        <v>8</v>
      </c>
      <c r="L1974" s="49" t="b">
        <f t="shared" si="4"/>
        <v>0</v>
      </c>
      <c r="M1974" s="88">
        <f t="shared" si="5"/>
        <v>0</v>
      </c>
    </row>
    <row r="1975" ht="14.25" customHeight="1">
      <c r="A1975" s="49" t="s">
        <v>2320</v>
      </c>
      <c r="B1975" s="49" t="str">
        <f>IFERROR(__xludf.DUMMYFUNCTION("REGEXEXTRACT(A1975,""^cost\.(.*)\.[^.]+\.[^.]+$"")"),"collection.alchemist_hall_2@1")</f>
        <v>collection.alchemist_hall_2@1</v>
      </c>
      <c r="C1975" s="49" t="str">
        <f t="array" ref="C1975">_xlfn.XLOOKUP(
 B1975,
 tblTargets[TargetID],
 tblTargets[DisplayName],
 ""
)</f>
        <v>Alchemist Hall Lv 1</v>
      </c>
      <c r="D1975" s="49" t="str">
        <f t="array" ref="D1975">_xlfn.XLOOKUP(
 B1975,
 tblTargets[TargetID],
 tblTargets[TargetType],
 ""
)</f>
        <v>COLLECTION</v>
      </c>
      <c r="E1975" s="49" t="s">
        <v>508</v>
      </c>
      <c r="F1975" s="87">
        <f>IFERROR(__xludf.DUMMYFUNCTION("VALUE(REGEXEXTRACT(A1975,""([^.]+)$""))"),1.0)</f>
        <v>1</v>
      </c>
      <c r="G1975" s="49">
        <v>10.0</v>
      </c>
      <c r="H1975" s="26" t="b">
        <f>COUNTIFS(
 tblCostChecklist[RequirementID],A1975,
 tblCostChecklist[PlayerPaid],TRUE
)&gt;0</f>
        <v>0</v>
      </c>
      <c r="I1975" s="49">
        <f t="shared" si="1"/>
        <v>8</v>
      </c>
      <c r="J1975" s="49">
        <f t="shared" si="2"/>
        <v>0</v>
      </c>
      <c r="K1975" s="49">
        <f t="shared" si="3"/>
        <v>8</v>
      </c>
      <c r="L1975" s="49" t="b">
        <f t="shared" si="4"/>
        <v>0</v>
      </c>
      <c r="M1975" s="88">
        <f t="shared" si="5"/>
        <v>0</v>
      </c>
    </row>
    <row r="1976" ht="14.25" customHeight="1">
      <c r="A1976" s="49" t="s">
        <v>2321</v>
      </c>
      <c r="B1976" s="49" t="str">
        <f>IFERROR(__xludf.DUMMYFUNCTION("REGEXEXTRACT(A1976,""^cost\.(.*)\.[^.]+\.[^.]+$"")"),"collection.alchemist_hall_2@1")</f>
        <v>collection.alchemist_hall_2@1</v>
      </c>
      <c r="C1976" s="49" t="str">
        <f t="array" ref="C1976">_xlfn.XLOOKUP(
 B1976,
 tblTargets[TargetID],
 tblTargets[DisplayName],
 ""
)</f>
        <v>Alchemist Hall Lv 1</v>
      </c>
      <c r="D1976" s="49" t="str">
        <f t="array" ref="D1976">_xlfn.XLOOKUP(
 B1976,
 tblTargets[TargetID],
 tblTargets[TargetType],
 ""
)</f>
        <v>COLLECTION</v>
      </c>
      <c r="E1976" s="49" t="s">
        <v>508</v>
      </c>
      <c r="F1976" s="87">
        <f>IFERROR(__xludf.DUMMYFUNCTION("VALUE(REGEXEXTRACT(A1976,""([^.]+)$""))"),2.0)</f>
        <v>2</v>
      </c>
      <c r="G1976" s="49">
        <v>10.0</v>
      </c>
      <c r="H1976" s="26" t="b">
        <f>COUNTIFS(
 tblCostChecklist[RequirementID],A1976,
 tblCostChecklist[PlayerPaid],TRUE
)&gt;0</f>
        <v>0</v>
      </c>
      <c r="I1976" s="49">
        <f t="shared" si="1"/>
        <v>8</v>
      </c>
      <c r="J1976" s="49">
        <f t="shared" si="2"/>
        <v>0</v>
      </c>
      <c r="K1976" s="49">
        <f t="shared" si="3"/>
        <v>8</v>
      </c>
      <c r="L1976" s="49" t="b">
        <f t="shared" si="4"/>
        <v>0</v>
      </c>
      <c r="M1976" s="88">
        <f t="shared" si="5"/>
        <v>0</v>
      </c>
    </row>
    <row r="1977" ht="14.25" customHeight="1">
      <c r="A1977" s="49" t="s">
        <v>2322</v>
      </c>
      <c r="B1977" s="49" t="str">
        <f>IFERROR(__xludf.DUMMYFUNCTION("REGEXEXTRACT(A1977,""^cost\.(.*)\.[^.]+\.[^.]+$"")"),"collection.alchemist_hall_2@1")</f>
        <v>collection.alchemist_hall_2@1</v>
      </c>
      <c r="C1977" s="49" t="str">
        <f t="array" ref="C1977">_xlfn.XLOOKUP(
 B1977,
 tblTargets[TargetID],
 tblTargets[DisplayName],
 ""
)</f>
        <v>Alchemist Hall Lv 1</v>
      </c>
      <c r="D1977" s="49" t="str">
        <f t="array" ref="D1977">_xlfn.XLOOKUP(
 B1977,
 tblTargets[TargetID],
 tblTargets[TargetType],
 ""
)</f>
        <v>COLLECTION</v>
      </c>
      <c r="E1977" s="49" t="s">
        <v>2323</v>
      </c>
      <c r="F1977" s="87">
        <f>IFERROR(__xludf.DUMMYFUNCTION("VALUE(REGEXEXTRACT(A1977,""([^.]+)$""))"),1.0)</f>
        <v>1</v>
      </c>
      <c r="G1977" s="49">
        <v>20.0</v>
      </c>
      <c r="H1977" s="26" t="b">
        <f>COUNTIFS(
 tblCostChecklist[RequirementID],A1977,
 tblCostChecklist[PlayerPaid],TRUE
)&gt;0</f>
        <v>0</v>
      </c>
      <c r="I1977" s="49">
        <f t="shared" si="1"/>
        <v>8</v>
      </c>
      <c r="J1977" s="49">
        <f t="shared" si="2"/>
        <v>0</v>
      </c>
      <c r="K1977" s="49">
        <f t="shared" si="3"/>
        <v>8</v>
      </c>
      <c r="L1977" s="49" t="b">
        <f t="shared" si="4"/>
        <v>0</v>
      </c>
      <c r="M1977" s="88">
        <f t="shared" si="5"/>
        <v>0</v>
      </c>
    </row>
    <row r="1978" ht="14.25" customHeight="1">
      <c r="A1978" s="49" t="s">
        <v>2317</v>
      </c>
      <c r="B1978" s="49" t="str">
        <f>IFERROR(__xludf.DUMMYFUNCTION("REGEXEXTRACT(A1978,""^cost\.(.*)\.[^.]+\.[^.]+$"")"),"collection.alchemist_hall_2@1")</f>
        <v>collection.alchemist_hall_2@1</v>
      </c>
      <c r="C1978" s="49" t="str">
        <f t="array" ref="C1978">_xlfn.XLOOKUP(
 B1978,
 tblTargets[TargetID],
 tblTargets[DisplayName],
 ""
)</f>
        <v>Alchemist Hall Lv 1</v>
      </c>
      <c r="D1978" s="49" t="str">
        <f t="array" ref="D1978">_xlfn.XLOOKUP(
 B1978,
 tblTargets[TargetID],
 tblTargets[TargetType],
 ""
)</f>
        <v>COLLECTION</v>
      </c>
      <c r="E1978" s="49" t="s">
        <v>2318</v>
      </c>
      <c r="F1978" s="87">
        <f>IFERROR(__xludf.DUMMYFUNCTION("VALUE(REGEXEXTRACT(A1978,""([^.]+)$""))"),1.0)</f>
        <v>1</v>
      </c>
      <c r="G1978" s="49">
        <v>24.0</v>
      </c>
      <c r="H1978" s="26" t="b">
        <f>COUNTIFS(
 tblCostChecklist[RequirementID],A1978,
 tblCostChecklist[PlayerPaid],TRUE
)&gt;0</f>
        <v>0</v>
      </c>
      <c r="I1978" s="49">
        <f t="shared" si="1"/>
        <v>8</v>
      </c>
      <c r="J1978" s="49">
        <f t="shared" si="2"/>
        <v>0</v>
      </c>
      <c r="K1978" s="49">
        <f t="shared" si="3"/>
        <v>8</v>
      </c>
      <c r="L1978" s="49" t="b">
        <f t="shared" si="4"/>
        <v>0</v>
      </c>
      <c r="M1978" s="88">
        <f t="shared" si="5"/>
        <v>0</v>
      </c>
    </row>
    <row r="1979" ht="14.25" customHeight="1">
      <c r="A1979" s="49" t="s">
        <v>2319</v>
      </c>
      <c r="B1979" s="49" t="str">
        <f>IFERROR(__xludf.DUMMYFUNCTION("REGEXEXTRACT(A1979,""^cost\.(.*)\.[^.]+\.[^.]+$"")"),"collection.alchemist_hall_2@1")</f>
        <v>collection.alchemist_hall_2@1</v>
      </c>
      <c r="C1979" s="49" t="str">
        <f t="array" ref="C1979">_xlfn.XLOOKUP(
 B1979,
 tblTargets[TargetID],
 tblTargets[DisplayName],
 ""
)</f>
        <v>Alchemist Hall Lv 1</v>
      </c>
      <c r="D1979" s="49" t="str">
        <f t="array" ref="D1979">_xlfn.XLOOKUP(
 B1979,
 tblTargets[TargetID],
 tblTargets[TargetType],
 ""
)</f>
        <v>COLLECTION</v>
      </c>
      <c r="E1979" s="49" t="s">
        <v>2318</v>
      </c>
      <c r="F1979" s="87">
        <f>IFERROR(__xludf.DUMMYFUNCTION("VALUE(REGEXEXTRACT(A1979,""([^.]+)$""))"),2.0)</f>
        <v>2</v>
      </c>
      <c r="G1979" s="49">
        <v>24.0</v>
      </c>
      <c r="H1979" s="26" t="b">
        <f>COUNTIFS(
 tblCostChecklist[RequirementID],A1979,
 tblCostChecklist[PlayerPaid],TRUE
)&gt;0</f>
        <v>0</v>
      </c>
      <c r="I1979" s="49">
        <f t="shared" si="1"/>
        <v>8</v>
      </c>
      <c r="J1979" s="49">
        <f t="shared" si="2"/>
        <v>0</v>
      </c>
      <c r="K1979" s="49">
        <f t="shared" si="3"/>
        <v>8</v>
      </c>
      <c r="L1979" s="49" t="b">
        <f t="shared" si="4"/>
        <v>0</v>
      </c>
      <c r="M1979" s="88">
        <f t="shared" si="5"/>
        <v>0</v>
      </c>
    </row>
    <row r="1980" ht="14.25" customHeight="1">
      <c r="A1980" s="49" t="s">
        <v>2324</v>
      </c>
      <c r="B1980" s="49" t="str">
        <f>IFERROR(__xludf.DUMMYFUNCTION("REGEXEXTRACT(A1980,""^cost\.(.*)\.[^.]+\.[^.]+$"")"),"collection.alchemist_hall_2@1")</f>
        <v>collection.alchemist_hall_2@1</v>
      </c>
      <c r="C1980" s="49" t="str">
        <f t="array" ref="C1980">_xlfn.XLOOKUP(
 B1980,
 tblTargets[TargetID],
 tblTargets[DisplayName],
 ""
)</f>
        <v>Alchemist Hall Lv 1</v>
      </c>
      <c r="D1980" s="49" t="str">
        <f t="array" ref="D1980">_xlfn.XLOOKUP(
 B1980,
 tblTargets[TargetID],
 tblTargets[TargetType],
 ""
)</f>
        <v>COLLECTION</v>
      </c>
      <c r="E1980" s="49" t="s">
        <v>132</v>
      </c>
      <c r="F1980" s="87">
        <f>IFERROR(__xludf.DUMMYFUNCTION("VALUE(REGEXEXTRACT(A1980,""([^.]+)$""))"),1.0)</f>
        <v>1</v>
      </c>
      <c r="G1980" s="49">
        <v>20.0</v>
      </c>
      <c r="H1980" s="26" t="b">
        <f>COUNTIFS(
 tblCostChecklist[RequirementID],A1980,
 tblCostChecklist[PlayerPaid],TRUE
)&gt;0</f>
        <v>0</v>
      </c>
      <c r="I1980" s="49">
        <f t="shared" si="1"/>
        <v>8</v>
      </c>
      <c r="J1980" s="49">
        <f t="shared" si="2"/>
        <v>0</v>
      </c>
      <c r="K1980" s="49">
        <f t="shared" si="3"/>
        <v>8</v>
      </c>
      <c r="L1980" s="49" t="b">
        <f t="shared" si="4"/>
        <v>0</v>
      </c>
      <c r="M1980" s="88">
        <f t="shared" si="5"/>
        <v>0</v>
      </c>
    </row>
    <row r="1981" ht="14.25" customHeight="1">
      <c r="A1981" s="49" t="s">
        <v>2326</v>
      </c>
      <c r="B1981" s="49" t="str">
        <f>IFERROR(__xludf.DUMMYFUNCTION("REGEXEXTRACT(A1981,""^cost\.(.*)\.[^.]+\.[^.]+$"")"),"collection.alchemist_hall_2@1")</f>
        <v>collection.alchemist_hall_2@1</v>
      </c>
      <c r="C1981" s="49" t="str">
        <f t="array" ref="C1981">_xlfn.XLOOKUP(
 B1981,
 tblTargets[TargetID],
 tblTargets[DisplayName],
 ""
)</f>
        <v>Alchemist Hall Lv 1</v>
      </c>
      <c r="D1981" s="49" t="str">
        <f t="array" ref="D1981">_xlfn.XLOOKUP(
 B1981,
 tblTargets[TargetID],
 tblTargets[TargetType],
 ""
)</f>
        <v>COLLECTION</v>
      </c>
      <c r="E1981" s="49" t="s">
        <v>2007</v>
      </c>
      <c r="F1981" s="87">
        <f>IFERROR(__xludf.DUMMYFUNCTION("VALUE(REGEXEXTRACT(A1981,""([^.]+)$""))"),1.0)</f>
        <v>1</v>
      </c>
      <c r="G1981" s="49">
        <v>1.0</v>
      </c>
      <c r="H1981" s="26" t="b">
        <f>COUNTIFS(
 tblCostChecklist[RequirementID],A1981,
 tblCostChecklist[PlayerPaid],TRUE
)&gt;0</f>
        <v>0</v>
      </c>
      <c r="I1981" s="49">
        <f t="shared" si="1"/>
        <v>8</v>
      </c>
      <c r="J1981" s="49">
        <f t="shared" si="2"/>
        <v>0</v>
      </c>
      <c r="K1981" s="49">
        <f t="shared" si="3"/>
        <v>8</v>
      </c>
      <c r="L1981" s="49" t="b">
        <f t="shared" si="4"/>
        <v>0</v>
      </c>
      <c r="M1981" s="88">
        <f t="shared" si="5"/>
        <v>0</v>
      </c>
    </row>
    <row r="1982" ht="14.25" customHeight="1">
      <c r="A1982" s="49" t="s">
        <v>2325</v>
      </c>
      <c r="B1982" s="49" t="str">
        <f>IFERROR(__xludf.DUMMYFUNCTION("REGEXEXTRACT(A1982,""^cost\.(.*)\.[^.]+\.[^.]+$"")"),"collection.alchemist_hall_2@1")</f>
        <v>collection.alchemist_hall_2@1</v>
      </c>
      <c r="C1982" s="49" t="str">
        <f t="array" ref="C1982">_xlfn.XLOOKUP(
 B1982,
 tblTargets[TargetID],
 tblTargets[DisplayName],
 ""
)</f>
        <v>Alchemist Hall Lv 1</v>
      </c>
      <c r="D1982" s="49" t="str">
        <f t="array" ref="D1982">_xlfn.XLOOKUP(
 B1982,
 tblTargets[TargetID],
 tblTargets[TargetType],
 ""
)</f>
        <v>COLLECTION</v>
      </c>
      <c r="E1982" s="49" t="s">
        <v>1282</v>
      </c>
      <c r="F1982" s="87">
        <f>IFERROR(__xludf.DUMMYFUNCTION("VALUE(REGEXEXTRACT(A1982,""([^.]+)$""))"),1.0)</f>
        <v>1</v>
      </c>
      <c r="G1982" s="49">
        <v>10.0</v>
      </c>
      <c r="H1982" s="26" t="b">
        <f>COUNTIFS(
 tblCostChecklist[RequirementID],A1982,
 tblCostChecklist[PlayerPaid],TRUE
)&gt;0</f>
        <v>0</v>
      </c>
      <c r="I1982" s="49">
        <f t="shared" si="1"/>
        <v>8</v>
      </c>
      <c r="J1982" s="49">
        <f t="shared" si="2"/>
        <v>0</v>
      </c>
      <c r="K1982" s="49">
        <f t="shared" si="3"/>
        <v>8</v>
      </c>
      <c r="L1982" s="49" t="b">
        <f t="shared" si="4"/>
        <v>0</v>
      </c>
      <c r="M1982" s="88">
        <f t="shared" si="5"/>
        <v>0</v>
      </c>
    </row>
    <row r="1983" ht="14.25" customHeight="1">
      <c r="A1983" s="49" t="s">
        <v>2329</v>
      </c>
      <c r="B1983" s="49" t="str">
        <f>IFERROR(__xludf.DUMMYFUNCTION("REGEXEXTRACT(A1983,""^cost\.(.*)\.[^.]+\.[^.]+$"")"),"collection.alchemist_hall_2@2")</f>
        <v>collection.alchemist_hall_2@2</v>
      </c>
      <c r="C1983" s="49" t="str">
        <f t="array" ref="C1983">_xlfn.XLOOKUP(
 B1983,
 tblTargets[TargetID],
 tblTargets[DisplayName],
 ""
)</f>
        <v>Alchemist Hall Lv 2</v>
      </c>
      <c r="D1983" s="49" t="str">
        <f t="array" ref="D1983">_xlfn.XLOOKUP(
 B1983,
 tblTargets[TargetID],
 tblTargets[TargetType],
 ""
)</f>
        <v>COLLECTION</v>
      </c>
      <c r="E1983" s="49" t="s">
        <v>508</v>
      </c>
      <c r="F1983" s="87">
        <f>IFERROR(__xludf.DUMMYFUNCTION("VALUE(REGEXEXTRACT(A1983,""([^.]+)$""))"),1.0)</f>
        <v>1</v>
      </c>
      <c r="G1983" s="49">
        <v>20.0</v>
      </c>
      <c r="H1983" s="26" t="b">
        <f>COUNTIFS(
 tblCostChecklist[RequirementID],A1983,
 tblCostChecklist[PlayerPaid],TRUE
)&gt;0</f>
        <v>0</v>
      </c>
      <c r="I1983" s="49">
        <f t="shared" si="1"/>
        <v>8</v>
      </c>
      <c r="J1983" s="49">
        <f t="shared" si="2"/>
        <v>0</v>
      </c>
      <c r="K1983" s="49">
        <f t="shared" si="3"/>
        <v>8</v>
      </c>
      <c r="L1983" s="49" t="b">
        <f t="shared" si="4"/>
        <v>0</v>
      </c>
      <c r="M1983" s="88">
        <f t="shared" si="5"/>
        <v>0</v>
      </c>
    </row>
    <row r="1984" ht="14.25" customHeight="1">
      <c r="A1984" s="49" t="s">
        <v>2330</v>
      </c>
      <c r="B1984" s="49" t="str">
        <f>IFERROR(__xludf.DUMMYFUNCTION("REGEXEXTRACT(A1984,""^cost\.(.*)\.[^.]+\.[^.]+$"")"),"collection.alchemist_hall_2@2")</f>
        <v>collection.alchemist_hall_2@2</v>
      </c>
      <c r="C1984" s="49" t="str">
        <f t="array" ref="C1984">_xlfn.XLOOKUP(
 B1984,
 tblTargets[TargetID],
 tblTargets[DisplayName],
 ""
)</f>
        <v>Alchemist Hall Lv 2</v>
      </c>
      <c r="D1984" s="49" t="str">
        <f t="array" ref="D1984">_xlfn.XLOOKUP(
 B1984,
 tblTargets[TargetID],
 tblTargets[TargetType],
 ""
)</f>
        <v>COLLECTION</v>
      </c>
      <c r="E1984" s="49" t="s">
        <v>508</v>
      </c>
      <c r="F1984" s="87">
        <f>IFERROR(__xludf.DUMMYFUNCTION("VALUE(REGEXEXTRACT(A1984,""([^.]+)$""))"),2.0)</f>
        <v>2</v>
      </c>
      <c r="G1984" s="49">
        <v>20.0</v>
      </c>
      <c r="H1984" s="26" t="b">
        <f>COUNTIFS(
 tblCostChecklist[RequirementID],A1984,
 tblCostChecklist[PlayerPaid],TRUE
)&gt;0</f>
        <v>0</v>
      </c>
      <c r="I1984" s="49">
        <f t="shared" si="1"/>
        <v>8</v>
      </c>
      <c r="J1984" s="49">
        <f t="shared" si="2"/>
        <v>0</v>
      </c>
      <c r="K1984" s="49">
        <f t="shared" si="3"/>
        <v>8</v>
      </c>
      <c r="L1984" s="49" t="b">
        <f t="shared" si="4"/>
        <v>0</v>
      </c>
      <c r="M1984" s="88">
        <f t="shared" si="5"/>
        <v>0</v>
      </c>
    </row>
    <row r="1985" ht="14.25" customHeight="1">
      <c r="A1985" s="49" t="s">
        <v>2331</v>
      </c>
      <c r="B1985" s="49" t="str">
        <f>IFERROR(__xludf.DUMMYFUNCTION("REGEXEXTRACT(A1985,""^cost\.(.*)\.[^.]+\.[^.]+$"")"),"collection.alchemist_hall_2@2")</f>
        <v>collection.alchemist_hall_2@2</v>
      </c>
      <c r="C1985" s="49" t="str">
        <f t="array" ref="C1985">_xlfn.XLOOKUP(
 B1985,
 tblTargets[TargetID],
 tblTargets[DisplayName],
 ""
)</f>
        <v>Alchemist Hall Lv 2</v>
      </c>
      <c r="D1985" s="49" t="str">
        <f t="array" ref="D1985">_xlfn.XLOOKUP(
 B1985,
 tblTargets[TargetID],
 tblTargets[TargetType],
 ""
)</f>
        <v>COLLECTION</v>
      </c>
      <c r="E1985" s="49" t="s">
        <v>2323</v>
      </c>
      <c r="F1985" s="87">
        <f>IFERROR(__xludf.DUMMYFUNCTION("VALUE(REGEXEXTRACT(A1985,""([^.]+)$""))"),1.0)</f>
        <v>1</v>
      </c>
      <c r="G1985" s="49">
        <v>40.0</v>
      </c>
      <c r="H1985" s="26" t="b">
        <f>COUNTIFS(
 tblCostChecklist[RequirementID],A1985,
 tblCostChecklist[PlayerPaid],TRUE
)&gt;0</f>
        <v>0</v>
      </c>
      <c r="I1985" s="49">
        <f t="shared" si="1"/>
        <v>8</v>
      </c>
      <c r="J1985" s="49">
        <f t="shared" si="2"/>
        <v>0</v>
      </c>
      <c r="K1985" s="49">
        <f t="shared" si="3"/>
        <v>8</v>
      </c>
      <c r="L1985" s="49" t="b">
        <f t="shared" si="4"/>
        <v>0</v>
      </c>
      <c r="M1985" s="88">
        <f t="shared" si="5"/>
        <v>0</v>
      </c>
    </row>
    <row r="1986" ht="14.25" customHeight="1">
      <c r="A1986" s="49" t="s">
        <v>2327</v>
      </c>
      <c r="B1986" s="49" t="str">
        <f>IFERROR(__xludf.DUMMYFUNCTION("REGEXEXTRACT(A1986,""^cost\.(.*)\.[^.]+\.[^.]+$"")"),"collection.alchemist_hall_2@2")</f>
        <v>collection.alchemist_hall_2@2</v>
      </c>
      <c r="C1986" s="49" t="str">
        <f t="array" ref="C1986">_xlfn.XLOOKUP(
 B1986,
 tblTargets[TargetID],
 tblTargets[DisplayName],
 ""
)</f>
        <v>Alchemist Hall Lv 2</v>
      </c>
      <c r="D1986" s="49" t="str">
        <f t="array" ref="D1986">_xlfn.XLOOKUP(
 B1986,
 tblTargets[TargetID],
 tblTargets[TargetType],
 ""
)</f>
        <v>COLLECTION</v>
      </c>
      <c r="E1986" s="49" t="s">
        <v>2318</v>
      </c>
      <c r="F1986" s="87">
        <f>IFERROR(__xludf.DUMMYFUNCTION("VALUE(REGEXEXTRACT(A1986,""([^.]+)$""))"),1.0)</f>
        <v>1</v>
      </c>
      <c r="G1986" s="49">
        <v>48.0</v>
      </c>
      <c r="H1986" s="26" t="b">
        <f>COUNTIFS(
 tblCostChecklist[RequirementID],A1986,
 tblCostChecklist[PlayerPaid],TRUE
)&gt;0</f>
        <v>0</v>
      </c>
      <c r="I1986" s="49">
        <f t="shared" si="1"/>
        <v>8</v>
      </c>
      <c r="J1986" s="49">
        <f t="shared" si="2"/>
        <v>0</v>
      </c>
      <c r="K1986" s="49">
        <f t="shared" si="3"/>
        <v>8</v>
      </c>
      <c r="L1986" s="49" t="b">
        <f t="shared" si="4"/>
        <v>0</v>
      </c>
      <c r="M1986" s="88">
        <f t="shared" si="5"/>
        <v>0</v>
      </c>
    </row>
    <row r="1987" ht="14.25" customHeight="1">
      <c r="A1987" s="49" t="s">
        <v>2328</v>
      </c>
      <c r="B1987" s="49" t="str">
        <f>IFERROR(__xludf.DUMMYFUNCTION("REGEXEXTRACT(A1987,""^cost\.(.*)\.[^.]+\.[^.]+$"")"),"collection.alchemist_hall_2@2")</f>
        <v>collection.alchemist_hall_2@2</v>
      </c>
      <c r="C1987" s="49" t="str">
        <f t="array" ref="C1987">_xlfn.XLOOKUP(
 B1987,
 tblTargets[TargetID],
 tblTargets[DisplayName],
 ""
)</f>
        <v>Alchemist Hall Lv 2</v>
      </c>
      <c r="D1987" s="49" t="str">
        <f t="array" ref="D1987">_xlfn.XLOOKUP(
 B1987,
 tblTargets[TargetID],
 tblTargets[TargetType],
 ""
)</f>
        <v>COLLECTION</v>
      </c>
      <c r="E1987" s="49" t="s">
        <v>2318</v>
      </c>
      <c r="F1987" s="87">
        <f>IFERROR(__xludf.DUMMYFUNCTION("VALUE(REGEXEXTRACT(A1987,""([^.]+)$""))"),2.0)</f>
        <v>2</v>
      </c>
      <c r="G1987" s="49">
        <v>48.0</v>
      </c>
      <c r="H1987" s="26" t="b">
        <f>COUNTIFS(
 tblCostChecklist[RequirementID],A1987,
 tblCostChecklist[PlayerPaid],TRUE
)&gt;0</f>
        <v>0</v>
      </c>
      <c r="I1987" s="49">
        <f t="shared" si="1"/>
        <v>8</v>
      </c>
      <c r="J1987" s="49">
        <f t="shared" si="2"/>
        <v>0</v>
      </c>
      <c r="K1987" s="49">
        <f t="shared" si="3"/>
        <v>8</v>
      </c>
      <c r="L1987" s="49" t="b">
        <f t="shared" si="4"/>
        <v>0</v>
      </c>
      <c r="M1987" s="88">
        <f t="shared" si="5"/>
        <v>0</v>
      </c>
    </row>
    <row r="1988" ht="14.25" customHeight="1">
      <c r="A1988" s="49" t="s">
        <v>2332</v>
      </c>
      <c r="B1988" s="49" t="str">
        <f>IFERROR(__xludf.DUMMYFUNCTION("REGEXEXTRACT(A1988,""^cost\.(.*)\.[^.]+\.[^.]+$"")"),"collection.alchemist_hall_2@2")</f>
        <v>collection.alchemist_hall_2@2</v>
      </c>
      <c r="C1988" s="49" t="str">
        <f t="array" ref="C1988">_xlfn.XLOOKUP(
 B1988,
 tblTargets[TargetID],
 tblTargets[DisplayName],
 ""
)</f>
        <v>Alchemist Hall Lv 2</v>
      </c>
      <c r="D1988" s="49" t="str">
        <f t="array" ref="D1988">_xlfn.XLOOKUP(
 B1988,
 tblTargets[TargetID],
 tblTargets[TargetType],
 ""
)</f>
        <v>COLLECTION</v>
      </c>
      <c r="E1988" s="49" t="s">
        <v>132</v>
      </c>
      <c r="F1988" s="87">
        <f>IFERROR(__xludf.DUMMYFUNCTION("VALUE(REGEXEXTRACT(A1988,""([^.]+)$""))"),1.0)</f>
        <v>1</v>
      </c>
      <c r="G1988" s="49">
        <v>40.0</v>
      </c>
      <c r="H1988" s="26" t="b">
        <f>COUNTIFS(
 tblCostChecklist[RequirementID],A1988,
 tblCostChecklist[PlayerPaid],TRUE
)&gt;0</f>
        <v>0</v>
      </c>
      <c r="I1988" s="49">
        <f t="shared" si="1"/>
        <v>8</v>
      </c>
      <c r="J1988" s="49">
        <f t="shared" si="2"/>
        <v>0</v>
      </c>
      <c r="K1988" s="49">
        <f t="shared" si="3"/>
        <v>8</v>
      </c>
      <c r="L1988" s="49" t="b">
        <f t="shared" si="4"/>
        <v>0</v>
      </c>
      <c r="M1988" s="88">
        <f t="shared" si="5"/>
        <v>0</v>
      </c>
    </row>
    <row r="1989" ht="14.25" customHeight="1">
      <c r="A1989" s="49" t="s">
        <v>2334</v>
      </c>
      <c r="B1989" s="49" t="str">
        <f>IFERROR(__xludf.DUMMYFUNCTION("REGEXEXTRACT(A1989,""^cost\.(.*)\.[^.]+\.[^.]+$"")"),"collection.alchemist_hall_2@2")</f>
        <v>collection.alchemist_hall_2@2</v>
      </c>
      <c r="C1989" s="49" t="str">
        <f t="array" ref="C1989">_xlfn.XLOOKUP(
 B1989,
 tblTargets[TargetID],
 tblTargets[DisplayName],
 ""
)</f>
        <v>Alchemist Hall Lv 2</v>
      </c>
      <c r="D1989" s="49" t="str">
        <f t="array" ref="D1989">_xlfn.XLOOKUP(
 B1989,
 tblTargets[TargetID],
 tblTargets[TargetType],
 ""
)</f>
        <v>COLLECTION</v>
      </c>
      <c r="E1989" s="49" t="s">
        <v>2007</v>
      </c>
      <c r="F1989" s="87">
        <f>IFERROR(__xludf.DUMMYFUNCTION("VALUE(REGEXEXTRACT(A1989,""([^.]+)$""))"),1.0)</f>
        <v>1</v>
      </c>
      <c r="G1989" s="49">
        <v>2.0</v>
      </c>
      <c r="H1989" s="26" t="b">
        <f>COUNTIFS(
 tblCostChecklist[RequirementID],A1989,
 tblCostChecklist[PlayerPaid],TRUE
)&gt;0</f>
        <v>0</v>
      </c>
      <c r="I1989" s="49">
        <f t="shared" si="1"/>
        <v>8</v>
      </c>
      <c r="J1989" s="49">
        <f t="shared" si="2"/>
        <v>0</v>
      </c>
      <c r="K1989" s="49">
        <f t="shared" si="3"/>
        <v>8</v>
      </c>
      <c r="L1989" s="49" t="b">
        <f t="shared" si="4"/>
        <v>0</v>
      </c>
      <c r="M1989" s="88">
        <f t="shared" si="5"/>
        <v>0</v>
      </c>
    </row>
    <row r="1990" ht="14.25" customHeight="1">
      <c r="A1990" s="49" t="s">
        <v>2333</v>
      </c>
      <c r="B1990" s="49" t="str">
        <f>IFERROR(__xludf.DUMMYFUNCTION("REGEXEXTRACT(A1990,""^cost\.(.*)\.[^.]+\.[^.]+$"")"),"collection.alchemist_hall_2@2")</f>
        <v>collection.alchemist_hall_2@2</v>
      </c>
      <c r="C1990" s="49" t="str">
        <f t="array" ref="C1990">_xlfn.XLOOKUP(
 B1990,
 tblTargets[TargetID],
 tblTargets[DisplayName],
 ""
)</f>
        <v>Alchemist Hall Lv 2</v>
      </c>
      <c r="D1990" s="49" t="str">
        <f t="array" ref="D1990">_xlfn.XLOOKUP(
 B1990,
 tblTargets[TargetID],
 tblTargets[TargetType],
 ""
)</f>
        <v>COLLECTION</v>
      </c>
      <c r="E1990" s="49" t="s">
        <v>1282</v>
      </c>
      <c r="F1990" s="87">
        <f>IFERROR(__xludf.DUMMYFUNCTION("VALUE(REGEXEXTRACT(A1990,""([^.]+)$""))"),1.0)</f>
        <v>1</v>
      </c>
      <c r="G1990" s="49">
        <v>20.0</v>
      </c>
      <c r="H1990" s="26" t="b">
        <f>COUNTIFS(
 tblCostChecklist[RequirementID],A1990,
 tblCostChecklist[PlayerPaid],TRUE
)&gt;0</f>
        <v>0</v>
      </c>
      <c r="I1990" s="49">
        <f t="shared" si="1"/>
        <v>8</v>
      </c>
      <c r="J1990" s="49">
        <f t="shared" si="2"/>
        <v>0</v>
      </c>
      <c r="K1990" s="49">
        <f t="shared" si="3"/>
        <v>8</v>
      </c>
      <c r="L1990" s="49" t="b">
        <f t="shared" si="4"/>
        <v>0</v>
      </c>
      <c r="M1990" s="88">
        <f t="shared" si="5"/>
        <v>0</v>
      </c>
    </row>
    <row r="1991" ht="14.25" customHeight="1">
      <c r="A1991" s="49" t="s">
        <v>2336</v>
      </c>
      <c r="B1991" s="49" t="str">
        <f>IFERROR(__xludf.DUMMYFUNCTION("REGEXEXTRACT(A1991,""^cost\.(.*)\.[^.]+\.[^.]+$"")"),"collection.alchemist_hall_3@1")</f>
        <v>collection.alchemist_hall_3@1</v>
      </c>
      <c r="C1991" s="49" t="str">
        <f t="array" ref="C1991">_xlfn.XLOOKUP(
 B1991,
 tblTargets[TargetID],
 tblTargets[DisplayName],
 ""
)</f>
        <v>Alchemist Hall Lv 1</v>
      </c>
      <c r="D1991" s="49" t="str">
        <f t="array" ref="D1991">_xlfn.XLOOKUP(
 B1991,
 tblTargets[TargetID],
 tblTargets[TargetType],
 ""
)</f>
        <v>COLLECTION</v>
      </c>
      <c r="E1991" s="49" t="s">
        <v>2337</v>
      </c>
      <c r="F1991" s="87">
        <f>IFERROR(__xludf.DUMMYFUNCTION("VALUE(REGEXEXTRACT(A1991,""([^.]+)$""))"),1.0)</f>
        <v>1</v>
      </c>
      <c r="G1991" s="49">
        <v>12.0</v>
      </c>
      <c r="H1991" s="26" t="b">
        <f>COUNTIFS(
 tblCostChecklist[RequirementID],A1991,
 tblCostChecklist[PlayerPaid],TRUE
)&gt;0</f>
        <v>0</v>
      </c>
      <c r="I1991" s="49">
        <f t="shared" si="1"/>
        <v>5</v>
      </c>
      <c r="J1991" s="49">
        <f t="shared" si="2"/>
        <v>0</v>
      </c>
      <c r="K1991" s="49">
        <f t="shared" si="3"/>
        <v>5</v>
      </c>
      <c r="L1991" s="49" t="b">
        <f t="shared" si="4"/>
        <v>0</v>
      </c>
      <c r="M1991" s="88">
        <f t="shared" si="5"/>
        <v>0</v>
      </c>
    </row>
    <row r="1992" ht="14.25" customHeight="1">
      <c r="A1992" s="49" t="s">
        <v>2338</v>
      </c>
      <c r="B1992" s="49" t="str">
        <f>IFERROR(__xludf.DUMMYFUNCTION("REGEXEXTRACT(A1992,""^cost\.(.*)\.[^.]+\.[^.]+$"")"),"collection.alchemist_hall_3@1")</f>
        <v>collection.alchemist_hall_3@1</v>
      </c>
      <c r="C1992" s="49" t="str">
        <f t="array" ref="C1992">_xlfn.XLOOKUP(
 B1992,
 tblTargets[TargetID],
 tblTargets[DisplayName],
 ""
)</f>
        <v>Alchemist Hall Lv 1</v>
      </c>
      <c r="D1992" s="49" t="str">
        <f t="array" ref="D1992">_xlfn.XLOOKUP(
 B1992,
 tblTargets[TargetID],
 tblTargets[TargetType],
 ""
)</f>
        <v>COLLECTION</v>
      </c>
      <c r="E1992" s="49" t="s">
        <v>2339</v>
      </c>
      <c r="F1992" s="87">
        <f>IFERROR(__xludf.DUMMYFUNCTION("VALUE(REGEXEXTRACT(A1992,""([^.]+)$""))"),1.0)</f>
        <v>1</v>
      </c>
      <c r="G1992" s="49">
        <v>24.0</v>
      </c>
      <c r="H1992" s="26" t="b">
        <f>COUNTIFS(
 tblCostChecklist[RequirementID],A1992,
 tblCostChecklist[PlayerPaid],TRUE
)&gt;0</f>
        <v>0</v>
      </c>
      <c r="I1992" s="49">
        <f t="shared" si="1"/>
        <v>5</v>
      </c>
      <c r="J1992" s="49">
        <f t="shared" si="2"/>
        <v>0</v>
      </c>
      <c r="K1992" s="49">
        <f t="shared" si="3"/>
        <v>5</v>
      </c>
      <c r="L1992" s="49" t="b">
        <f t="shared" si="4"/>
        <v>0</v>
      </c>
      <c r="M1992" s="88">
        <f t="shared" si="5"/>
        <v>0</v>
      </c>
    </row>
    <row r="1993" ht="14.25" customHeight="1">
      <c r="A1993" s="49" t="s">
        <v>2340</v>
      </c>
      <c r="B1993" s="49" t="str">
        <f>IFERROR(__xludf.DUMMYFUNCTION("REGEXEXTRACT(A1993,""^cost\.(.*)\.[^.]+\.[^.]+$"")"),"collection.alchemist_hall_3@1")</f>
        <v>collection.alchemist_hall_3@1</v>
      </c>
      <c r="C1993" s="49" t="str">
        <f t="array" ref="C1993">_xlfn.XLOOKUP(
 B1993,
 tblTargets[TargetID],
 tblTargets[DisplayName],
 ""
)</f>
        <v>Alchemist Hall Lv 1</v>
      </c>
      <c r="D1993" s="49" t="str">
        <f t="array" ref="D1993">_xlfn.XLOOKUP(
 B1993,
 tblTargets[TargetID],
 tblTargets[TargetType],
 ""
)</f>
        <v>COLLECTION</v>
      </c>
      <c r="E1993" s="49" t="s">
        <v>2339</v>
      </c>
      <c r="F1993" s="87">
        <f>IFERROR(__xludf.DUMMYFUNCTION("VALUE(REGEXEXTRACT(A1993,""([^.]+)$""))"),2.0)</f>
        <v>2</v>
      </c>
      <c r="G1993" s="49">
        <v>24.0</v>
      </c>
      <c r="H1993" s="26" t="b">
        <f>COUNTIFS(
 tblCostChecklist[RequirementID],A1993,
 tblCostChecklist[PlayerPaid],TRUE
)&gt;0</f>
        <v>0</v>
      </c>
      <c r="I1993" s="49">
        <f t="shared" si="1"/>
        <v>5</v>
      </c>
      <c r="J1993" s="49">
        <f t="shared" si="2"/>
        <v>0</v>
      </c>
      <c r="K1993" s="49">
        <f t="shared" si="3"/>
        <v>5</v>
      </c>
      <c r="L1993" s="49" t="b">
        <f t="shared" si="4"/>
        <v>0</v>
      </c>
      <c r="M1993" s="88">
        <f t="shared" si="5"/>
        <v>0</v>
      </c>
    </row>
    <row r="1994" ht="14.25" customHeight="1">
      <c r="A1994" s="49" t="s">
        <v>2341</v>
      </c>
      <c r="B1994" s="49" t="str">
        <f>IFERROR(__xludf.DUMMYFUNCTION("REGEXEXTRACT(A1994,""^cost\.(.*)\.[^.]+\.[^.]+$"")"),"collection.alchemist_hall_3@1")</f>
        <v>collection.alchemist_hall_3@1</v>
      </c>
      <c r="C1994" s="49" t="str">
        <f t="array" ref="C1994">_xlfn.XLOOKUP(
 B1994,
 tblTargets[TargetID],
 tblTargets[DisplayName],
 ""
)</f>
        <v>Alchemist Hall Lv 1</v>
      </c>
      <c r="D1994" s="49" t="str">
        <f t="array" ref="D1994">_xlfn.XLOOKUP(
 B1994,
 tblTargets[TargetID],
 tblTargets[TargetType],
 ""
)</f>
        <v>COLLECTION</v>
      </c>
      <c r="E1994" s="49" t="s">
        <v>530</v>
      </c>
      <c r="F1994" s="87">
        <f>IFERROR(__xludf.DUMMYFUNCTION("VALUE(REGEXEXTRACT(A1994,""([^.]+)$""))"),1.0)</f>
        <v>1</v>
      </c>
      <c r="G1994" s="49">
        <v>10.0</v>
      </c>
      <c r="H1994" s="26" t="b">
        <f>COUNTIFS(
 tblCostChecklist[RequirementID],A1994,
 tblCostChecklist[PlayerPaid],TRUE
)&gt;0</f>
        <v>0</v>
      </c>
      <c r="I1994" s="49">
        <f t="shared" si="1"/>
        <v>5</v>
      </c>
      <c r="J1994" s="49">
        <f t="shared" si="2"/>
        <v>0</v>
      </c>
      <c r="K1994" s="49">
        <f t="shared" si="3"/>
        <v>5</v>
      </c>
      <c r="L1994" s="49" t="b">
        <f t="shared" si="4"/>
        <v>0</v>
      </c>
      <c r="M1994" s="88">
        <f t="shared" si="5"/>
        <v>0</v>
      </c>
    </row>
    <row r="1995" ht="14.25" customHeight="1">
      <c r="A1995" s="49" t="s">
        <v>2335</v>
      </c>
      <c r="B1995" s="49" t="str">
        <f>IFERROR(__xludf.DUMMYFUNCTION("REGEXEXTRACT(A1995,""^cost\.(.*)\.[^.]+\.[^.]+$"")"),"collection.alchemist_hall_3@1")</f>
        <v>collection.alchemist_hall_3@1</v>
      </c>
      <c r="C1995" s="49" t="str">
        <f t="array" ref="C1995">_xlfn.XLOOKUP(
 B1995,
 tblTargets[TargetID],
 tblTargets[DisplayName],
 ""
)</f>
        <v>Alchemist Hall Lv 1</v>
      </c>
      <c r="D1995" s="49" t="str">
        <f t="array" ref="D1995">_xlfn.XLOOKUP(
 B1995,
 tblTargets[TargetID],
 tblTargets[TargetType],
 ""
)</f>
        <v>COLLECTION</v>
      </c>
      <c r="E1995" s="49" t="s">
        <v>1497</v>
      </c>
      <c r="F1995" s="87">
        <f>IFERROR(__xludf.DUMMYFUNCTION("VALUE(REGEXEXTRACT(A1995,""([^.]+)$""))"),1.0)</f>
        <v>1</v>
      </c>
      <c r="G1995" s="49">
        <v>10.0</v>
      </c>
      <c r="H1995" s="26" t="b">
        <f>COUNTIFS(
 tblCostChecklist[RequirementID],A1995,
 tblCostChecklist[PlayerPaid],TRUE
)&gt;0</f>
        <v>0</v>
      </c>
      <c r="I1995" s="49">
        <f t="shared" si="1"/>
        <v>5</v>
      </c>
      <c r="J1995" s="49">
        <f t="shared" si="2"/>
        <v>0</v>
      </c>
      <c r="K1995" s="49">
        <f t="shared" si="3"/>
        <v>5</v>
      </c>
      <c r="L1995" s="49" t="b">
        <f t="shared" si="4"/>
        <v>0</v>
      </c>
      <c r="M1995" s="88">
        <f t="shared" si="5"/>
        <v>0</v>
      </c>
    </row>
    <row r="1996" ht="14.25" customHeight="1">
      <c r="A1996" s="49" t="s">
        <v>2343</v>
      </c>
      <c r="B1996" s="49" t="str">
        <f>IFERROR(__xludf.DUMMYFUNCTION("REGEXEXTRACT(A1996,""^cost\.(.*)\.[^.]+\.[^.]+$"")"),"collection.alchemist_hall_3@2")</f>
        <v>collection.alchemist_hall_3@2</v>
      </c>
      <c r="C1996" s="49" t="str">
        <f t="array" ref="C1996">_xlfn.XLOOKUP(
 B1996,
 tblTargets[TargetID],
 tblTargets[DisplayName],
 ""
)</f>
        <v>Alchemist Hall Lv 2</v>
      </c>
      <c r="D1996" s="49" t="str">
        <f t="array" ref="D1996">_xlfn.XLOOKUP(
 B1996,
 tblTargets[TargetID],
 tblTargets[TargetType],
 ""
)</f>
        <v>COLLECTION</v>
      </c>
      <c r="E1996" s="49" t="s">
        <v>2337</v>
      </c>
      <c r="F1996" s="87">
        <f>IFERROR(__xludf.DUMMYFUNCTION("VALUE(REGEXEXTRACT(A1996,""([^.]+)$""))"),1.0)</f>
        <v>1</v>
      </c>
      <c r="G1996" s="49">
        <v>24.0</v>
      </c>
      <c r="H1996" s="26" t="b">
        <f>COUNTIFS(
 tblCostChecklist[RequirementID],A1996,
 tblCostChecklist[PlayerPaid],TRUE
)&gt;0</f>
        <v>0</v>
      </c>
      <c r="I1996" s="49">
        <f t="shared" si="1"/>
        <v>5</v>
      </c>
      <c r="J1996" s="49">
        <f t="shared" si="2"/>
        <v>0</v>
      </c>
      <c r="K1996" s="49">
        <f t="shared" si="3"/>
        <v>5</v>
      </c>
      <c r="L1996" s="49" t="b">
        <f t="shared" si="4"/>
        <v>0</v>
      </c>
      <c r="M1996" s="88">
        <f t="shared" si="5"/>
        <v>0</v>
      </c>
    </row>
    <row r="1997" ht="14.25" customHeight="1">
      <c r="A1997" s="49" t="s">
        <v>2344</v>
      </c>
      <c r="B1997" s="49" t="str">
        <f>IFERROR(__xludf.DUMMYFUNCTION("REGEXEXTRACT(A1997,""^cost\.(.*)\.[^.]+\.[^.]+$"")"),"collection.alchemist_hall_3@2")</f>
        <v>collection.alchemist_hall_3@2</v>
      </c>
      <c r="C1997" s="49" t="str">
        <f t="array" ref="C1997">_xlfn.XLOOKUP(
 B1997,
 tblTargets[TargetID],
 tblTargets[DisplayName],
 ""
)</f>
        <v>Alchemist Hall Lv 2</v>
      </c>
      <c r="D1997" s="49" t="str">
        <f t="array" ref="D1997">_xlfn.XLOOKUP(
 B1997,
 tblTargets[TargetID],
 tblTargets[TargetType],
 ""
)</f>
        <v>COLLECTION</v>
      </c>
      <c r="E1997" s="49" t="s">
        <v>2339</v>
      </c>
      <c r="F1997" s="87">
        <f>IFERROR(__xludf.DUMMYFUNCTION("VALUE(REGEXEXTRACT(A1997,""([^.]+)$""))"),1.0)</f>
        <v>1</v>
      </c>
      <c r="G1997" s="49">
        <v>48.0</v>
      </c>
      <c r="H1997" s="26" t="b">
        <f>COUNTIFS(
 tblCostChecklist[RequirementID],A1997,
 tblCostChecklist[PlayerPaid],TRUE
)&gt;0</f>
        <v>0</v>
      </c>
      <c r="I1997" s="49">
        <f t="shared" si="1"/>
        <v>5</v>
      </c>
      <c r="J1997" s="49">
        <f t="shared" si="2"/>
        <v>0</v>
      </c>
      <c r="K1997" s="49">
        <f t="shared" si="3"/>
        <v>5</v>
      </c>
      <c r="L1997" s="49" t="b">
        <f t="shared" si="4"/>
        <v>0</v>
      </c>
      <c r="M1997" s="88">
        <f t="shared" si="5"/>
        <v>0</v>
      </c>
    </row>
    <row r="1998" ht="14.25" customHeight="1">
      <c r="A1998" s="49" t="s">
        <v>2345</v>
      </c>
      <c r="B1998" s="49" t="str">
        <f>IFERROR(__xludf.DUMMYFUNCTION("REGEXEXTRACT(A1998,""^cost\.(.*)\.[^.]+\.[^.]+$"")"),"collection.alchemist_hall_3@2")</f>
        <v>collection.alchemist_hall_3@2</v>
      </c>
      <c r="C1998" s="49" t="str">
        <f t="array" ref="C1998">_xlfn.XLOOKUP(
 B1998,
 tblTargets[TargetID],
 tblTargets[DisplayName],
 ""
)</f>
        <v>Alchemist Hall Lv 2</v>
      </c>
      <c r="D1998" s="49" t="str">
        <f t="array" ref="D1998">_xlfn.XLOOKUP(
 B1998,
 tblTargets[TargetID],
 tblTargets[TargetType],
 ""
)</f>
        <v>COLLECTION</v>
      </c>
      <c r="E1998" s="49" t="s">
        <v>2339</v>
      </c>
      <c r="F1998" s="87">
        <f>IFERROR(__xludf.DUMMYFUNCTION("VALUE(REGEXEXTRACT(A1998,""([^.]+)$""))"),2.0)</f>
        <v>2</v>
      </c>
      <c r="G1998" s="49">
        <v>48.0</v>
      </c>
      <c r="H1998" s="26" t="b">
        <f>COUNTIFS(
 tblCostChecklist[RequirementID],A1998,
 tblCostChecklist[PlayerPaid],TRUE
)&gt;0</f>
        <v>0</v>
      </c>
      <c r="I1998" s="49">
        <f t="shared" si="1"/>
        <v>5</v>
      </c>
      <c r="J1998" s="49">
        <f t="shared" si="2"/>
        <v>0</v>
      </c>
      <c r="K1998" s="49">
        <f t="shared" si="3"/>
        <v>5</v>
      </c>
      <c r="L1998" s="49" t="b">
        <f t="shared" si="4"/>
        <v>0</v>
      </c>
      <c r="M1998" s="88">
        <f t="shared" si="5"/>
        <v>0</v>
      </c>
    </row>
    <row r="1999" ht="14.25" customHeight="1">
      <c r="A1999" s="49" t="s">
        <v>2346</v>
      </c>
      <c r="B1999" s="49" t="str">
        <f>IFERROR(__xludf.DUMMYFUNCTION("REGEXEXTRACT(A1999,""^cost\.(.*)\.[^.]+\.[^.]+$"")"),"collection.alchemist_hall_3@2")</f>
        <v>collection.alchemist_hall_3@2</v>
      </c>
      <c r="C1999" s="49" t="str">
        <f t="array" ref="C1999">_xlfn.XLOOKUP(
 B1999,
 tblTargets[TargetID],
 tblTargets[DisplayName],
 ""
)</f>
        <v>Alchemist Hall Lv 2</v>
      </c>
      <c r="D1999" s="49" t="str">
        <f t="array" ref="D1999">_xlfn.XLOOKUP(
 B1999,
 tblTargets[TargetID],
 tblTargets[TargetType],
 ""
)</f>
        <v>COLLECTION</v>
      </c>
      <c r="E1999" s="49" t="s">
        <v>530</v>
      </c>
      <c r="F1999" s="87">
        <f>IFERROR(__xludf.DUMMYFUNCTION("VALUE(REGEXEXTRACT(A1999,""([^.]+)$""))"),1.0)</f>
        <v>1</v>
      </c>
      <c r="G1999" s="49">
        <v>20.0</v>
      </c>
      <c r="H1999" s="26" t="b">
        <f>COUNTIFS(
 tblCostChecklist[RequirementID],A1999,
 tblCostChecklist[PlayerPaid],TRUE
)&gt;0</f>
        <v>0</v>
      </c>
      <c r="I1999" s="49">
        <f t="shared" si="1"/>
        <v>5</v>
      </c>
      <c r="J1999" s="49">
        <f t="shared" si="2"/>
        <v>0</v>
      </c>
      <c r="K1999" s="49">
        <f t="shared" si="3"/>
        <v>5</v>
      </c>
      <c r="L1999" s="49" t="b">
        <f t="shared" si="4"/>
        <v>0</v>
      </c>
      <c r="M1999" s="88">
        <f t="shared" si="5"/>
        <v>0</v>
      </c>
    </row>
    <row r="2000" ht="14.25" customHeight="1">
      <c r="A2000" s="49" t="s">
        <v>2342</v>
      </c>
      <c r="B2000" s="49" t="str">
        <f>IFERROR(__xludf.DUMMYFUNCTION("REGEXEXTRACT(A2000,""^cost\.(.*)\.[^.]+\.[^.]+$"")"),"collection.alchemist_hall_3@2")</f>
        <v>collection.alchemist_hall_3@2</v>
      </c>
      <c r="C2000" s="49" t="str">
        <f t="array" ref="C2000">_xlfn.XLOOKUP(
 B2000,
 tblTargets[TargetID],
 tblTargets[DisplayName],
 ""
)</f>
        <v>Alchemist Hall Lv 2</v>
      </c>
      <c r="D2000" s="49" t="str">
        <f t="array" ref="D2000">_xlfn.XLOOKUP(
 B2000,
 tblTargets[TargetID],
 tblTargets[TargetType],
 ""
)</f>
        <v>COLLECTION</v>
      </c>
      <c r="E2000" s="49" t="s">
        <v>1497</v>
      </c>
      <c r="F2000" s="87">
        <f>IFERROR(__xludf.DUMMYFUNCTION("VALUE(REGEXEXTRACT(A2000,""([^.]+)$""))"),1.0)</f>
        <v>1</v>
      </c>
      <c r="G2000" s="49">
        <v>20.0</v>
      </c>
      <c r="H2000" s="26" t="b">
        <f>COUNTIFS(
 tblCostChecklist[RequirementID],A2000,
 tblCostChecklist[PlayerPaid],TRUE
)&gt;0</f>
        <v>0</v>
      </c>
      <c r="I2000" s="49">
        <f t="shared" si="1"/>
        <v>5</v>
      </c>
      <c r="J2000" s="49">
        <f t="shared" si="2"/>
        <v>0</v>
      </c>
      <c r="K2000" s="49">
        <f t="shared" si="3"/>
        <v>5</v>
      </c>
      <c r="L2000" s="49" t="b">
        <f t="shared" si="4"/>
        <v>0</v>
      </c>
      <c r="M2000" s="88">
        <f t="shared" si="5"/>
        <v>0</v>
      </c>
    </row>
    <row r="2001" ht="14.25" customHeight="1">
      <c r="A2001" s="49" t="s">
        <v>2474</v>
      </c>
      <c r="B2001" s="49" t="str">
        <f>IFERROR(__xludf.DUMMYFUNCTION("REGEXEXTRACT(A2001,""^cost\.(.*)\.[^.]+\.[^.]+$"")"),"collection.broken_minecart@1")</f>
        <v>collection.broken_minecart@1</v>
      </c>
      <c r="C2001" s="49" t="str">
        <f t="array" ref="C2001">_xlfn.XLOOKUP(
 B2001,
 tblTargets[TargetID],
 tblTargets[DisplayName],
 ""
)</f>
        <v>Broken Minecart</v>
      </c>
      <c r="D2001" s="49" t="str">
        <f t="array" ref="D2001">_xlfn.XLOOKUP(
 B2001,
 tblTargets[TargetID],
 tblTargets[TargetType],
 ""
)</f>
        <v>COLLECTION</v>
      </c>
      <c r="E2001" s="49" t="s">
        <v>2135</v>
      </c>
      <c r="F2001" s="87">
        <f>IFERROR(__xludf.DUMMYFUNCTION("VALUE(REGEXEXTRACT(A2001,""([^.]+)$""))"),1.0)</f>
        <v>1</v>
      </c>
      <c r="G2001" s="49">
        <v>20.0</v>
      </c>
      <c r="H2001" s="26" t="b">
        <f>COUNTIFS(
 tblCostChecklist[RequirementID],A2001,
 tblCostChecklist[PlayerPaid],TRUE
)&gt;0</f>
        <v>0</v>
      </c>
      <c r="I2001" s="49">
        <f t="shared" si="1"/>
        <v>1</v>
      </c>
      <c r="J2001" s="49">
        <f t="shared" si="2"/>
        <v>0</v>
      </c>
      <c r="K2001" s="49">
        <f t="shared" si="3"/>
        <v>1</v>
      </c>
      <c r="L2001" s="49" t="b">
        <f t="shared" si="4"/>
        <v>0</v>
      </c>
      <c r="M2001" s="88">
        <f t="shared" si="5"/>
        <v>0</v>
      </c>
    </row>
    <row r="2002" ht="14.25" customHeight="1">
      <c r="A2002" s="49" t="s">
        <v>2509</v>
      </c>
      <c r="B2002" s="49" t="str">
        <f>IFERROR(__xludf.DUMMYFUNCTION("REGEXEXTRACT(A2002,""^cost\.(.*)\.[^.]+\.[^.]+$"")"),"collection.crystal_cave@1")</f>
        <v>collection.crystal_cave@1</v>
      </c>
      <c r="C2002" s="49" t="str">
        <f t="array" ref="C2002">_xlfn.XLOOKUP(
 B2002,
 tblTargets[TargetID],
 tblTargets[DisplayName],
 ""
)</f>
        <v>Crystal Cave</v>
      </c>
      <c r="D2002" s="49" t="str">
        <f t="array" ref="D2002">_xlfn.XLOOKUP(
 B2002,
 tblTargets[TargetID],
 tblTargets[TargetType],
 ""
)</f>
        <v>COLLECTION</v>
      </c>
      <c r="E2002" s="49" t="s">
        <v>1282</v>
      </c>
      <c r="F2002" s="87">
        <f>IFERROR(__xludf.DUMMYFUNCTION("VALUE(REGEXEXTRACT(A2002,""([^.]+)$""))"),1.0)</f>
        <v>1</v>
      </c>
      <c r="G2002" s="49">
        <v>20.0</v>
      </c>
      <c r="H2002" s="26" t="b">
        <f>COUNTIFS(
 tblCostChecklist[RequirementID],A2002,
 tblCostChecklist[PlayerPaid],TRUE
)&gt;0</f>
        <v>0</v>
      </c>
      <c r="I2002" s="49">
        <f t="shared" si="1"/>
        <v>5</v>
      </c>
      <c r="J2002" s="49">
        <f t="shared" si="2"/>
        <v>0</v>
      </c>
      <c r="K2002" s="49">
        <f t="shared" si="3"/>
        <v>5</v>
      </c>
      <c r="L2002" s="49" t="b">
        <f t="shared" si="4"/>
        <v>0</v>
      </c>
      <c r="M2002" s="88">
        <f t="shared" si="5"/>
        <v>0</v>
      </c>
    </row>
    <row r="2003" ht="14.25" customHeight="1">
      <c r="A2003" s="49" t="s">
        <v>2507</v>
      </c>
      <c r="B2003" s="49" t="str">
        <f>IFERROR(__xludf.DUMMYFUNCTION("REGEXEXTRACT(A2003,""^cost\.(.*)\.[^.]+\.[^.]+$"")"),"collection.crystal_cave@1")</f>
        <v>collection.crystal_cave@1</v>
      </c>
      <c r="C2003" s="49" t="str">
        <f t="array" ref="C2003">_xlfn.XLOOKUP(
 B2003,
 tblTargets[TargetID],
 tblTargets[DisplayName],
 ""
)</f>
        <v>Crystal Cave</v>
      </c>
      <c r="D2003" s="49" t="str">
        <f t="array" ref="D2003">_xlfn.XLOOKUP(
 B2003,
 tblTargets[TargetID],
 tblTargets[TargetType],
 ""
)</f>
        <v>COLLECTION</v>
      </c>
      <c r="E2003" s="49" t="s">
        <v>1497</v>
      </c>
      <c r="F2003" s="87">
        <f>IFERROR(__xludf.DUMMYFUNCTION("VALUE(REGEXEXTRACT(A2003,""([^.]+)$""))"),1.0)</f>
        <v>1</v>
      </c>
      <c r="G2003" s="49">
        <v>20.0</v>
      </c>
      <c r="H2003" s="26" t="b">
        <f>COUNTIFS(
 tblCostChecklist[RequirementID],A2003,
 tblCostChecklist[PlayerPaid],TRUE
)&gt;0</f>
        <v>0</v>
      </c>
      <c r="I2003" s="49">
        <f t="shared" si="1"/>
        <v>5</v>
      </c>
      <c r="J2003" s="49">
        <f t="shared" si="2"/>
        <v>0</v>
      </c>
      <c r="K2003" s="49">
        <f t="shared" si="3"/>
        <v>5</v>
      </c>
      <c r="L2003" s="49" t="b">
        <f t="shared" si="4"/>
        <v>0</v>
      </c>
      <c r="M2003" s="88">
        <f t="shared" si="5"/>
        <v>0</v>
      </c>
    </row>
    <row r="2004" ht="14.25" customHeight="1">
      <c r="A2004" s="49" t="s">
        <v>2508</v>
      </c>
      <c r="B2004" s="49" t="str">
        <f>IFERROR(__xludf.DUMMYFUNCTION("REGEXEXTRACT(A2004,""^cost\.(.*)\.[^.]+\.[^.]+$"")"),"collection.crystal_cave@1")</f>
        <v>collection.crystal_cave@1</v>
      </c>
      <c r="C2004" s="49" t="str">
        <f t="array" ref="C2004">_xlfn.XLOOKUP(
 B2004,
 tblTargets[TargetID],
 tblTargets[DisplayName],
 ""
)</f>
        <v>Crystal Cave</v>
      </c>
      <c r="D2004" s="49" t="str">
        <f t="array" ref="D2004">_xlfn.XLOOKUP(
 B2004,
 tblTargets[TargetID],
 tblTargets[TargetType],
 ""
)</f>
        <v>COLLECTION</v>
      </c>
      <c r="E2004" s="49" t="s">
        <v>1583</v>
      </c>
      <c r="F2004" s="87">
        <f>IFERROR(__xludf.DUMMYFUNCTION("VALUE(REGEXEXTRACT(A2004,""([^.]+)$""))"),1.0)</f>
        <v>1</v>
      </c>
      <c r="G2004" s="49">
        <v>20.0</v>
      </c>
      <c r="H2004" s="26" t="b">
        <f>COUNTIFS(
 tblCostChecklist[RequirementID],A2004,
 tblCostChecklist[PlayerPaid],TRUE
)&gt;0</f>
        <v>0</v>
      </c>
      <c r="I2004" s="49">
        <f t="shared" si="1"/>
        <v>5</v>
      </c>
      <c r="J2004" s="49">
        <f t="shared" si="2"/>
        <v>0</v>
      </c>
      <c r="K2004" s="49">
        <f t="shared" si="3"/>
        <v>5</v>
      </c>
      <c r="L2004" s="49" t="b">
        <f t="shared" si="4"/>
        <v>0</v>
      </c>
      <c r="M2004" s="88">
        <f t="shared" si="5"/>
        <v>0</v>
      </c>
    </row>
    <row r="2005" ht="14.25" customHeight="1">
      <c r="A2005" s="49" t="s">
        <v>2510</v>
      </c>
      <c r="B2005" s="49" t="str">
        <f>IFERROR(__xludf.DUMMYFUNCTION("REGEXEXTRACT(A2005,""^cost\.(.*)\.[^.]+\.[^.]+$"")"),"collection.crystal_cave@1")</f>
        <v>collection.crystal_cave@1</v>
      </c>
      <c r="C2005" s="49" t="str">
        <f t="array" ref="C2005">_xlfn.XLOOKUP(
 B2005,
 tblTargets[TargetID],
 tblTargets[DisplayName],
 ""
)</f>
        <v>Crystal Cave</v>
      </c>
      <c r="D2005" s="49" t="str">
        <f t="array" ref="D2005">_xlfn.XLOOKUP(
 B2005,
 tblTargets[TargetID],
 tblTargets[TargetType],
 ""
)</f>
        <v>COLLECTION</v>
      </c>
      <c r="E2005" s="49" t="s">
        <v>1606</v>
      </c>
      <c r="F2005" s="87">
        <f>IFERROR(__xludf.DUMMYFUNCTION("VALUE(REGEXEXTRACT(A2005,""([^.]+)$""))"),1.0)</f>
        <v>1</v>
      </c>
      <c r="G2005" s="49">
        <v>20.0</v>
      </c>
      <c r="H2005" s="26" t="b">
        <f>COUNTIFS(
 tblCostChecklist[RequirementID],A2005,
 tblCostChecklist[PlayerPaid],TRUE
)&gt;0</f>
        <v>0</v>
      </c>
      <c r="I2005" s="49">
        <f t="shared" si="1"/>
        <v>5</v>
      </c>
      <c r="J2005" s="49">
        <f t="shared" si="2"/>
        <v>0</v>
      </c>
      <c r="K2005" s="49">
        <f t="shared" si="3"/>
        <v>5</v>
      </c>
      <c r="L2005" s="49" t="b">
        <f t="shared" si="4"/>
        <v>0</v>
      </c>
      <c r="M2005" s="88">
        <f t="shared" si="5"/>
        <v>0</v>
      </c>
    </row>
    <row r="2006" ht="14.25" customHeight="1">
      <c r="A2006" s="49" t="s">
        <v>2511</v>
      </c>
      <c r="B2006" s="49" t="str">
        <f>IFERROR(__xludf.DUMMYFUNCTION("REGEXEXTRACT(A2006,""^cost\.(.*)\.[^.]+\.[^.]+$"")"),"collection.crystal_cave@1")</f>
        <v>collection.crystal_cave@1</v>
      </c>
      <c r="C2006" s="49" t="str">
        <f t="array" ref="C2006">_xlfn.XLOOKUP(
 B2006,
 tblTargets[TargetID],
 tblTargets[DisplayName],
 ""
)</f>
        <v>Crystal Cave</v>
      </c>
      <c r="D2006" s="49" t="str">
        <f t="array" ref="D2006">_xlfn.XLOOKUP(
 B2006,
 tblTargets[TargetID],
 tblTargets[TargetType],
 ""
)</f>
        <v>COLLECTION</v>
      </c>
      <c r="E2006" s="49" t="s">
        <v>2308</v>
      </c>
      <c r="F2006" s="87">
        <f>IFERROR(__xludf.DUMMYFUNCTION("VALUE(REGEXEXTRACT(A2006,""([^.]+)$""))"),1.0)</f>
        <v>1</v>
      </c>
      <c r="G2006" s="49">
        <v>20.0</v>
      </c>
      <c r="H2006" s="26" t="b">
        <f>COUNTIFS(
 tblCostChecklist[RequirementID],A2006,
 tblCostChecklist[PlayerPaid],TRUE
)&gt;0</f>
        <v>0</v>
      </c>
      <c r="I2006" s="49">
        <f t="shared" si="1"/>
        <v>5</v>
      </c>
      <c r="J2006" s="49">
        <f t="shared" si="2"/>
        <v>0</v>
      </c>
      <c r="K2006" s="49">
        <f t="shared" si="3"/>
        <v>5</v>
      </c>
      <c r="L2006" s="49" t="b">
        <f t="shared" si="4"/>
        <v>0</v>
      </c>
      <c r="M2006" s="88">
        <f t="shared" si="5"/>
        <v>0</v>
      </c>
    </row>
    <row r="2007" ht="14.25" customHeight="1">
      <c r="A2007" s="49" t="s">
        <v>2853</v>
      </c>
      <c r="B2007" s="49" t="str">
        <f>IFERROR(__xludf.DUMMYFUNCTION("REGEXEXTRACT(A2007,""^cost\.(.*)\.[^.]+\.[^.]+$"")"),"collection.staircase@1")</f>
        <v>collection.staircase@1</v>
      </c>
      <c r="C2007" s="49" t="str">
        <f t="array" ref="C2007">_xlfn.XLOOKUP(
 B2007,
 tblTargets[TargetID],
 tblTargets[DisplayName],
 ""
)</f>
        <v>Collection Staircase</v>
      </c>
      <c r="D2007" s="49" t="str">
        <f t="array" ref="D2007">_xlfn.XLOOKUP(
 B2007,
 tblTargets[TargetID],
 tblTargets[TargetType],
 ""
)</f>
        <v>COLLECTION</v>
      </c>
      <c r="E2007" s="49" t="s">
        <v>278</v>
      </c>
      <c r="F2007" s="87">
        <f>IFERROR(__xludf.DUMMYFUNCTION("VALUE(REGEXEXTRACT(A2007,""([^.]+)$""))"),1.0)</f>
        <v>1</v>
      </c>
      <c r="G2007" s="49">
        <v>50.0</v>
      </c>
      <c r="H2007" s="26" t="b">
        <f>COUNTIFS(
 tblCostChecklist[RequirementID],A2007,
 tblCostChecklist[PlayerPaid],TRUE
)&gt;0</f>
        <v>0</v>
      </c>
      <c r="I2007" s="49">
        <f t="shared" si="1"/>
        <v>4</v>
      </c>
      <c r="J2007" s="49">
        <f t="shared" si="2"/>
        <v>0</v>
      </c>
      <c r="K2007" s="49">
        <f t="shared" si="3"/>
        <v>4</v>
      </c>
      <c r="L2007" s="49" t="b">
        <f t="shared" si="4"/>
        <v>0</v>
      </c>
      <c r="M2007" s="88">
        <f t="shared" si="5"/>
        <v>0</v>
      </c>
    </row>
    <row r="2008" ht="14.25" customHeight="1">
      <c r="A2008" s="49" t="s">
        <v>2859</v>
      </c>
      <c r="B2008" s="49" t="str">
        <f>IFERROR(__xludf.DUMMYFUNCTION("REGEXEXTRACT(A2008,""^cost\.(.*)\.[^.]+\.[^.]+$"")"),"collection.staircase@1")</f>
        <v>collection.staircase@1</v>
      </c>
      <c r="C2008" s="49" t="str">
        <f t="array" ref="C2008">_xlfn.XLOOKUP(
 B2008,
 tblTargets[TargetID],
 tblTargets[DisplayName],
 ""
)</f>
        <v>Collection Staircase</v>
      </c>
      <c r="D2008" s="49" t="str">
        <f t="array" ref="D2008">_xlfn.XLOOKUP(
 B2008,
 tblTargets[TargetID],
 tblTargets[TargetType],
 ""
)</f>
        <v>COLLECTION</v>
      </c>
      <c r="E2008" s="49" t="s">
        <v>237</v>
      </c>
      <c r="F2008" s="87">
        <f>IFERROR(__xludf.DUMMYFUNCTION("VALUE(REGEXEXTRACT(A2008,""([^.]+)$""))"),1.0)</f>
        <v>1</v>
      </c>
      <c r="G2008" s="49">
        <v>150.0</v>
      </c>
      <c r="H2008" s="26" t="b">
        <f>COUNTIFS(
 tblCostChecklist[RequirementID],A2008,
 tblCostChecklist[PlayerPaid],TRUE
)&gt;0</f>
        <v>0</v>
      </c>
      <c r="I2008" s="49">
        <f t="shared" si="1"/>
        <v>4</v>
      </c>
      <c r="J2008" s="49">
        <f t="shared" si="2"/>
        <v>0</v>
      </c>
      <c r="K2008" s="49">
        <f t="shared" si="3"/>
        <v>4</v>
      </c>
      <c r="L2008" s="49" t="b">
        <f t="shared" si="4"/>
        <v>0</v>
      </c>
      <c r="M2008" s="88">
        <f t="shared" si="5"/>
        <v>0</v>
      </c>
    </row>
    <row r="2009" ht="14.25" customHeight="1">
      <c r="A2009" s="49" t="s">
        <v>2857</v>
      </c>
      <c r="B2009" s="49" t="str">
        <f>IFERROR(__xludf.DUMMYFUNCTION("REGEXEXTRACT(A2009,""^cost\.(.*)\.[^.]+\.[^.]+$"")"),"collection.staircase@1")</f>
        <v>collection.staircase@1</v>
      </c>
      <c r="C2009" s="49" t="str">
        <f t="array" ref="C2009">_xlfn.XLOOKUP(
 B2009,
 tblTargets[TargetID],
 tblTargets[DisplayName],
 ""
)</f>
        <v>Collection Staircase</v>
      </c>
      <c r="D2009" s="49" t="str">
        <f t="array" ref="D2009">_xlfn.XLOOKUP(
 B2009,
 tblTargets[TargetID],
 tblTargets[TargetType],
 ""
)</f>
        <v>COLLECTION</v>
      </c>
      <c r="E2009" s="49" t="s">
        <v>2337</v>
      </c>
      <c r="F2009" s="87">
        <f>IFERROR(__xludf.DUMMYFUNCTION("VALUE(REGEXEXTRACT(A2009,""([^.]+)$""))"),1.0)</f>
        <v>1</v>
      </c>
      <c r="G2009" s="49">
        <v>10.0</v>
      </c>
      <c r="H2009" s="26" t="b">
        <f>COUNTIFS(
 tblCostChecklist[RequirementID],A2009,
 tblCostChecklist[PlayerPaid],TRUE
)&gt;0</f>
        <v>0</v>
      </c>
      <c r="I2009" s="49">
        <f t="shared" si="1"/>
        <v>4</v>
      </c>
      <c r="J2009" s="49">
        <f t="shared" si="2"/>
        <v>0</v>
      </c>
      <c r="K2009" s="49">
        <f t="shared" si="3"/>
        <v>4</v>
      </c>
      <c r="L2009" s="49" t="b">
        <f t="shared" si="4"/>
        <v>0</v>
      </c>
      <c r="M2009" s="88">
        <f t="shared" si="5"/>
        <v>0</v>
      </c>
    </row>
    <row r="2010" ht="14.25" customHeight="1">
      <c r="A2010" s="49" t="s">
        <v>2855</v>
      </c>
      <c r="B2010" s="49" t="str">
        <f>IFERROR(__xludf.DUMMYFUNCTION("REGEXEXTRACT(A2010,""^cost\.(.*)\.[^.]+\.[^.]+$"")"),"collection.staircase@1")</f>
        <v>collection.staircase@1</v>
      </c>
      <c r="C2010" s="49" t="str">
        <f t="array" ref="C2010">_xlfn.XLOOKUP(
 B2010,
 tblTargets[TargetID],
 tblTargets[DisplayName],
 ""
)</f>
        <v>Collection Staircase</v>
      </c>
      <c r="D2010" s="49" t="str">
        <f t="array" ref="D2010">_xlfn.XLOOKUP(
 B2010,
 tblTargets[TargetID],
 tblTargets[TargetType],
 ""
)</f>
        <v>COLLECTION</v>
      </c>
      <c r="E2010" s="49" t="s">
        <v>1055</v>
      </c>
      <c r="F2010" s="87">
        <f>IFERROR(__xludf.DUMMYFUNCTION("VALUE(REGEXEXTRACT(A2010,""([^.]+)$""))"),1.0)</f>
        <v>1</v>
      </c>
      <c r="G2010" s="49">
        <v>5.0</v>
      </c>
      <c r="H2010" s="26" t="b">
        <f>COUNTIFS(
 tblCostChecklist[RequirementID],A2010,
 tblCostChecklist[PlayerPaid],TRUE
)&gt;0</f>
        <v>0</v>
      </c>
      <c r="I2010" s="49">
        <f t="shared" si="1"/>
        <v>4</v>
      </c>
      <c r="J2010" s="49">
        <f t="shared" si="2"/>
        <v>0</v>
      </c>
      <c r="K2010" s="49">
        <f t="shared" si="3"/>
        <v>4</v>
      </c>
      <c r="L2010" s="49" t="b">
        <f t="shared" si="4"/>
        <v>0</v>
      </c>
      <c r="M2010" s="88">
        <f t="shared" si="5"/>
        <v>0</v>
      </c>
    </row>
    <row r="2011" ht="14.25" customHeight="1">
      <c r="A2011" s="127" t="s">
        <v>4646</v>
      </c>
      <c r="B2011" s="49" t="str">
        <f>IFERROR(__xludf.DUMMYFUNCTION("REGEXEXTRACT(A2011,""^cost\.(.*)\.[^.]+\.[^.]+$"")"),"tech.tailor.armor_for_a_hero_lvl_4+")</f>
        <v>tech.tailor.armor_for_a_hero_lvl_4+</v>
      </c>
      <c r="C2011" s="49" t="str">
        <f t="array" ref="C2011">_xlfn.XLOOKUP(
 B2011,
 tblTargets[TargetID],
 tblTargets[DisplayName],
 ""
)</f>
        <v>Tailor - Armor For A Hero Lvl 4+</v>
      </c>
      <c r="D2011" s="49" t="str">
        <f t="array" ref="D2011">_xlfn.XLOOKUP(
 B2011,
 tblTargets[TargetID],
 tblTargets[TargetType],
 ""
)</f>
        <v>TECH</v>
      </c>
      <c r="E2011" s="114" t="s">
        <v>2354</v>
      </c>
      <c r="F2011" s="87">
        <f>IFERROR(__xludf.DUMMYFUNCTION("VALUE(REGEXEXTRACT(A2011,""([^.]+)$""))"),1.0)</f>
        <v>1</v>
      </c>
      <c r="G2011" s="114">
        <v>1.0</v>
      </c>
      <c r="H2011" s="26" t="b">
        <f>COUNTIFS(
 tblCostChecklist[RequirementID],A2011,
 tblCostChecklist[PlayerPaid],TRUE
)&gt;0</f>
        <v>0</v>
      </c>
      <c r="I2011" s="49">
        <f t="shared" si="1"/>
        <v>10</v>
      </c>
      <c r="J2011" s="49">
        <f t="shared" si="2"/>
        <v>0</v>
      </c>
      <c r="K2011" s="49">
        <f t="shared" si="3"/>
        <v>10</v>
      </c>
      <c r="L2011" s="49" t="b">
        <f t="shared" si="4"/>
        <v>0</v>
      </c>
      <c r="M2011" s="88">
        <f t="shared" si="5"/>
        <v>0</v>
      </c>
    </row>
  </sheetData>
  <customSheetViews>
    <customSheetView guid="{9440D7F6-2F62-4389-BA16-285CFC54C3B8}" filter="1" showAutoFilter="1">
      <autoFilter ref="$A$1:$M$2011"/>
    </customSheetView>
  </customSheetView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55.5"/>
    <col customWidth="1" min="3" max="3" width="8.63"/>
    <col customWidth="1" min="4" max="4" width="26.0"/>
    <col customWidth="1" min="5" max="5" width="25.25"/>
    <col customWidth="1" min="6" max="26" width="8.63"/>
  </cols>
  <sheetData>
    <row r="1" ht="14.25" customHeight="1">
      <c r="A1" s="32" t="s">
        <v>38</v>
      </c>
      <c r="B1" s="12" t="s">
        <v>467</v>
      </c>
      <c r="D1" s="18" t="str">
        <f>IFERROR(__xludf.DUMMYFUNCTION("VSTACK(
 FILTER(
  {Dependencies!A2:A1000,Dependencies!B2:B1000},
  Dependencies!A2:A1000&lt;&gt;""""
 ),
 FILTER(
  {QuestObjectives!A2:A1000,QuestObjectives!E2:E1000},
  QuestObjectives!A2:A1000&lt;&gt;""""
 )
)"),"building.airship.maxed")</f>
        <v>building.airship.maxed</v>
      </c>
      <c r="E1" s="18" t="str">
        <f>IFERROR(__xludf.DUMMYFUNCTION("""COMPUTED_VALUE"""),"building.airship@2")</f>
        <v>building.airship@2</v>
      </c>
    </row>
    <row r="2" ht="14.25" customHeight="1">
      <c r="A2" s="26" t="s">
        <v>623</v>
      </c>
      <c r="B2" s="26" t="s">
        <v>58</v>
      </c>
      <c r="D2" s="18" t="str">
        <f>IFERROR(__xludf.DUMMYFUNCTION("""COMPUTED_VALUE"""),"building.airship@1")</f>
        <v>building.airship@1</v>
      </c>
      <c r="E2" s="18" t="str">
        <f>IFERROR(__xludf.DUMMYFUNCTION("""COMPUTED_VALUE"""),"building.bridge@1")</f>
        <v>building.bridge@1</v>
      </c>
    </row>
    <row r="3" ht="14.25" customHeight="1">
      <c r="A3" s="26" t="s">
        <v>47</v>
      </c>
      <c r="B3" s="26" t="s">
        <v>96</v>
      </c>
      <c r="D3" s="18" t="str">
        <f>IFERROR(__xludf.DUMMYFUNCTION("""COMPUTED_VALUE"""),"building.airship@1")</f>
        <v>building.airship@1</v>
      </c>
      <c r="E3" s="18" t="str">
        <f>IFERROR(__xludf.DUMMYFUNCTION("""COMPUTED_VALUE"""),"state.character_level@40")</f>
        <v>state.character_level@40</v>
      </c>
    </row>
    <row r="4" ht="14.25" customHeight="1">
      <c r="A4" s="26" t="s">
        <v>47</v>
      </c>
      <c r="B4" s="26" t="s">
        <v>1424</v>
      </c>
      <c r="D4" s="18" t="str">
        <f>IFERROR(__xludf.DUMMYFUNCTION("""COMPUTED_VALUE"""),"building.airship@2")</f>
        <v>building.airship@2</v>
      </c>
      <c r="E4" s="18" t="str">
        <f>IFERROR(__xludf.DUMMYFUNCTION("""COMPUTED_VALUE"""),"state.character_level@40")</f>
        <v>state.character_level@40</v>
      </c>
    </row>
    <row r="5" ht="14.25" customHeight="1">
      <c r="A5" s="26" t="s">
        <v>58</v>
      </c>
      <c r="B5" s="26" t="s">
        <v>1424</v>
      </c>
      <c r="D5" s="18" t="str">
        <f>IFERROR(__xludf.DUMMYFUNCTION("""COMPUTED_VALUE"""),"building.airship@2")</f>
        <v>building.airship@2</v>
      </c>
      <c r="E5" s="18" t="str">
        <f>IFERROR(__xludf.DUMMYFUNCTION("""COMPUTED_VALUE"""),"building.airship@1")</f>
        <v>building.airship@1</v>
      </c>
    </row>
    <row r="6" ht="14.25" customHeight="1">
      <c r="A6" s="26" t="s">
        <v>58</v>
      </c>
      <c r="B6" s="26" t="s">
        <v>47</v>
      </c>
      <c r="D6" s="18" t="str">
        <f>IFERROR(__xludf.DUMMYFUNCTION("""COMPUTED_VALUE"""),"building.alchemists_hut.maxed")</f>
        <v>building.alchemists_hut.maxed</v>
      </c>
      <c r="E6" s="18" t="str">
        <f>IFERROR(__xludf.DUMMYFUNCTION("""COMPUTED_VALUE"""),"building.alchemists_hut@6")</f>
        <v>building.alchemists_hut@6</v>
      </c>
    </row>
    <row r="7" ht="14.25" customHeight="1">
      <c r="A7" s="26" t="s">
        <v>637</v>
      </c>
      <c r="B7" s="26" t="s">
        <v>81</v>
      </c>
      <c r="D7" s="18" t="str">
        <f>IFERROR(__xludf.DUMMYFUNCTION("""COMPUTED_VALUE"""),"building.alchemists_hut@1")</f>
        <v>building.alchemists_hut@1</v>
      </c>
      <c r="E7" s="18" t="str">
        <f>IFERROR(__xludf.DUMMYFUNCTION("""COMPUTED_VALUE"""),"state.character_level@6")</f>
        <v>state.character_level@6</v>
      </c>
    </row>
    <row r="8" ht="14.25" customHeight="1">
      <c r="A8" s="26" t="s">
        <v>62</v>
      </c>
      <c r="B8" s="26" t="s">
        <v>1433</v>
      </c>
      <c r="D8" s="18" t="str">
        <f>IFERROR(__xludf.DUMMYFUNCTION("""COMPUTED_VALUE"""),"building.alchemists_hut@2")</f>
        <v>building.alchemists_hut@2</v>
      </c>
      <c r="E8" s="18" t="str">
        <f>IFERROR(__xludf.DUMMYFUNCTION("""COMPUTED_VALUE"""),"building.guild@2")</f>
        <v>building.guild@2</v>
      </c>
    </row>
    <row r="9" ht="14.25" customHeight="1">
      <c r="A9" s="26" t="s">
        <v>65</v>
      </c>
      <c r="B9" s="26" t="s">
        <v>282</v>
      </c>
      <c r="D9" s="18" t="str">
        <f>IFERROR(__xludf.DUMMYFUNCTION("""COMPUTED_VALUE"""),"building.alchemists_hut@2")</f>
        <v>building.alchemists_hut@2</v>
      </c>
      <c r="E9" s="18" t="str">
        <f>IFERROR(__xludf.DUMMYFUNCTION("""COMPUTED_VALUE"""),"building.alchemists_hut@1")</f>
        <v>building.alchemists_hut@1</v>
      </c>
    </row>
    <row r="10" ht="14.25" customHeight="1">
      <c r="A10" s="26" t="s">
        <v>65</v>
      </c>
      <c r="B10" s="26" t="s">
        <v>62</v>
      </c>
      <c r="D10" s="18" t="str">
        <f>IFERROR(__xludf.DUMMYFUNCTION("""COMPUTED_VALUE"""),"building.alchemists_hut@3")</f>
        <v>building.alchemists_hut@3</v>
      </c>
      <c r="E10" s="18" t="str">
        <f>IFERROR(__xludf.DUMMYFUNCTION("""COMPUTED_VALUE"""),"building.guild@3")</f>
        <v>building.guild@3</v>
      </c>
    </row>
    <row r="11" ht="14.25" customHeight="1">
      <c r="A11" s="26" t="s">
        <v>68</v>
      </c>
      <c r="B11" s="26" t="s">
        <v>291</v>
      </c>
      <c r="D11" s="18" t="str">
        <f>IFERROR(__xludf.DUMMYFUNCTION("""COMPUTED_VALUE"""),"building.alchemists_hut@3")</f>
        <v>building.alchemists_hut@3</v>
      </c>
      <c r="E11" s="18" t="str">
        <f>IFERROR(__xludf.DUMMYFUNCTION("""COMPUTED_VALUE"""),"building.alchemists_hut@2")</f>
        <v>building.alchemists_hut@2</v>
      </c>
    </row>
    <row r="12" ht="14.25" customHeight="1">
      <c r="A12" s="26" t="s">
        <v>68</v>
      </c>
      <c r="B12" s="26" t="s">
        <v>65</v>
      </c>
      <c r="D12" s="18" t="str">
        <f>IFERROR(__xludf.DUMMYFUNCTION("""COMPUTED_VALUE"""),"building.alchemists_hut@4")</f>
        <v>building.alchemists_hut@4</v>
      </c>
      <c r="E12" s="18" t="str">
        <f>IFERROR(__xludf.DUMMYFUNCTION("""COMPUTED_VALUE"""),"building.guild@4")</f>
        <v>building.guild@4</v>
      </c>
    </row>
    <row r="13" ht="14.25" customHeight="1">
      <c r="A13" s="26" t="s">
        <v>71</v>
      </c>
      <c r="B13" s="26" t="s">
        <v>295</v>
      </c>
      <c r="D13" s="18" t="str">
        <f>IFERROR(__xludf.DUMMYFUNCTION("""COMPUTED_VALUE"""),"building.alchemists_hut@4")</f>
        <v>building.alchemists_hut@4</v>
      </c>
      <c r="E13" s="18" t="str">
        <f>IFERROR(__xludf.DUMMYFUNCTION("""COMPUTED_VALUE"""),"building.alchemists_hut@3")</f>
        <v>building.alchemists_hut@3</v>
      </c>
    </row>
    <row r="14" ht="14.25" customHeight="1">
      <c r="A14" s="26" t="s">
        <v>71</v>
      </c>
      <c r="B14" s="26" t="s">
        <v>68</v>
      </c>
      <c r="D14" s="18" t="str">
        <f>IFERROR(__xludf.DUMMYFUNCTION("""COMPUTED_VALUE"""),"building.alchemists_hut@4")</f>
        <v>building.alchemists_hut@4</v>
      </c>
      <c r="E14" s="18" t="str">
        <f>IFERROR(__xludf.DUMMYFUNCTION("""COMPUTED_VALUE"""),"building.guild@3")</f>
        <v>building.guild@3</v>
      </c>
    </row>
    <row r="15" ht="14.25" customHeight="1">
      <c r="A15" s="26" t="s">
        <v>71</v>
      </c>
      <c r="B15" s="26" t="s">
        <v>291</v>
      </c>
      <c r="D15" s="18" t="str">
        <f>IFERROR(__xludf.DUMMYFUNCTION("""COMPUTED_VALUE"""),"building.alchemists_hut@5")</f>
        <v>building.alchemists_hut@5</v>
      </c>
      <c r="E15" s="18" t="str">
        <f>IFERROR(__xludf.DUMMYFUNCTION("""COMPUTED_VALUE"""),"building.guild@5")</f>
        <v>building.guild@5</v>
      </c>
    </row>
    <row r="16" ht="14.25" customHeight="1">
      <c r="A16" s="26" t="s">
        <v>77</v>
      </c>
      <c r="B16" s="26" t="s">
        <v>302</v>
      </c>
      <c r="D16" s="18" t="str">
        <f>IFERROR(__xludf.DUMMYFUNCTION("""COMPUTED_VALUE"""),"building.alchemists_hut@5")</f>
        <v>building.alchemists_hut@5</v>
      </c>
      <c r="E16" s="18" t="str">
        <f>IFERROR(__xludf.DUMMYFUNCTION("""COMPUTED_VALUE"""),"building.alchemists_hut@4")</f>
        <v>building.alchemists_hut@4</v>
      </c>
    </row>
    <row r="17" ht="14.25" customHeight="1">
      <c r="A17" s="26" t="s">
        <v>77</v>
      </c>
      <c r="B17" s="26" t="s">
        <v>71</v>
      </c>
      <c r="D17" s="18" t="str">
        <f>IFERROR(__xludf.DUMMYFUNCTION("""COMPUTED_VALUE"""),"building.alchemists_hut@6")</f>
        <v>building.alchemists_hut@6</v>
      </c>
      <c r="E17" s="18" t="str">
        <f>IFERROR(__xludf.DUMMYFUNCTION("""COMPUTED_VALUE"""),"building.alchemists_hut@5")</f>
        <v>building.alchemists_hut@5</v>
      </c>
    </row>
    <row r="18" ht="14.25" customHeight="1">
      <c r="A18" s="26" t="s">
        <v>81</v>
      </c>
      <c r="B18" s="26" t="s">
        <v>77</v>
      </c>
      <c r="D18" s="18" t="str">
        <f>IFERROR(__xludf.DUMMYFUNCTION("""COMPUTED_VALUE"""),"building.alchemists_hut@6")</f>
        <v>building.alchemists_hut@6</v>
      </c>
      <c r="E18" s="18" t="str">
        <f>IFERROR(__xludf.DUMMYFUNCTION("""COMPUTED_VALUE"""),"state.character_level@32")</f>
        <v>state.character_level@32</v>
      </c>
    </row>
    <row r="19" ht="14.25" customHeight="1">
      <c r="A19" s="26" t="s">
        <v>81</v>
      </c>
      <c r="B19" s="26" t="s">
        <v>1420</v>
      </c>
      <c r="D19" s="18" t="str">
        <f>IFERROR(__xludf.DUMMYFUNCTION("""COMPUTED_VALUE"""),"building.bonsai@1")</f>
        <v>building.bonsai@1</v>
      </c>
      <c r="E19" s="18" t="str">
        <f>IFERROR(__xludf.DUMMYFUNCTION("""COMPUTED_VALUE"""),"state.character_level@21")</f>
        <v>state.character_level@21</v>
      </c>
    </row>
    <row r="20" ht="14.25" customHeight="1">
      <c r="A20" s="26" t="s">
        <v>85</v>
      </c>
      <c r="B20" s="26" t="s">
        <v>1402</v>
      </c>
      <c r="D20" s="18" t="str">
        <f>IFERROR(__xludf.DUMMYFUNCTION("""COMPUTED_VALUE"""),"building.bonsai@2")</f>
        <v>building.bonsai@2</v>
      </c>
      <c r="E20" s="18" t="str">
        <f>IFERROR(__xludf.DUMMYFUNCTION("""COMPUTED_VALUE"""),"building.bonsai@1")</f>
        <v>building.bonsai@1</v>
      </c>
    </row>
    <row r="21" ht="14.25" customHeight="1">
      <c r="A21" s="26" t="s">
        <v>90</v>
      </c>
      <c r="B21" s="26" t="s">
        <v>85</v>
      </c>
      <c r="D21" s="18" t="str">
        <f>IFERROR(__xludf.DUMMYFUNCTION("""COMPUTED_VALUE"""),"building.bridge.maxed")</f>
        <v>building.bridge.maxed</v>
      </c>
      <c r="E21" s="18" t="str">
        <f>IFERROR(__xludf.DUMMYFUNCTION("""COMPUTED_VALUE"""),"building.bridge@1")</f>
        <v>building.bridge@1</v>
      </c>
    </row>
    <row r="22" ht="14.25" customHeight="1">
      <c r="A22" s="26" t="s">
        <v>659</v>
      </c>
      <c r="B22" s="26" t="s">
        <v>96</v>
      </c>
      <c r="D22" s="18" t="str">
        <f>IFERROR(__xludf.DUMMYFUNCTION("""COMPUTED_VALUE"""),"building.bridge@1")</f>
        <v>building.bridge@1</v>
      </c>
      <c r="E22" s="18" t="str">
        <f>IFERROR(__xludf.DUMMYFUNCTION("""COMPUTED_VALUE"""),"state.character_level@30")</f>
        <v>state.character_level@30</v>
      </c>
    </row>
    <row r="23" ht="14.25" customHeight="1">
      <c r="A23" s="26" t="s">
        <v>96</v>
      </c>
      <c r="B23" s="26" t="s">
        <v>1415</v>
      </c>
      <c r="D23" s="18" t="str">
        <f>IFERROR(__xludf.DUMMYFUNCTION("""COMPUTED_VALUE"""),"building.caravan@1")</f>
        <v>building.caravan@1</v>
      </c>
      <c r="E23" s="18" t="str">
        <f>IFERROR(__xludf.DUMMYFUNCTION("""COMPUTED_VALUE"""),"building.bridge@1")</f>
        <v>building.bridge@1</v>
      </c>
    </row>
    <row r="24" ht="14.25" customHeight="1">
      <c r="A24" s="26" t="s">
        <v>103</v>
      </c>
      <c r="B24" s="26" t="s">
        <v>96</v>
      </c>
      <c r="D24" s="18" t="str">
        <f>IFERROR(__xludf.DUMMYFUNCTION("""COMPUTED_VALUE"""),"building.caravan@1")</f>
        <v>building.caravan@1</v>
      </c>
      <c r="E24" s="18" t="str">
        <f>IFERROR(__xludf.DUMMYFUNCTION("""COMPUTED_VALUE"""),"state.character_level@30")</f>
        <v>state.character_level@30</v>
      </c>
    </row>
    <row r="25" ht="14.25" customHeight="1">
      <c r="A25" s="26" t="s">
        <v>103</v>
      </c>
      <c r="B25" s="26" t="s">
        <v>1415</v>
      </c>
      <c r="D25" s="18" t="str">
        <f>IFERROR(__xludf.DUMMYFUNCTION("""COMPUTED_VALUE"""),"building.caravan@2")</f>
        <v>building.caravan@2</v>
      </c>
      <c r="E25" s="18" t="str">
        <f>IFERROR(__xludf.DUMMYFUNCTION("""COMPUTED_VALUE"""),"building.caravan@1")</f>
        <v>building.caravan@1</v>
      </c>
    </row>
    <row r="26" ht="14.25" customHeight="1">
      <c r="A26" s="26" t="s">
        <v>112</v>
      </c>
      <c r="B26" s="26" t="s">
        <v>103</v>
      </c>
      <c r="D26" s="18" t="str">
        <f>IFERROR(__xludf.DUMMYFUNCTION("""COMPUTED_VALUE"""),"building.caravan@3")</f>
        <v>building.caravan@3</v>
      </c>
      <c r="E26" s="18" t="str">
        <f>IFERROR(__xludf.DUMMYFUNCTION("""COMPUTED_VALUE"""),"building.caravan@2")</f>
        <v>building.caravan@2</v>
      </c>
    </row>
    <row r="27" ht="14.25" customHeight="1">
      <c r="A27" s="26" t="s">
        <v>116</v>
      </c>
      <c r="B27" s="26" t="s">
        <v>112</v>
      </c>
      <c r="D27" s="18" t="str">
        <f>IFERROR(__xludf.DUMMYFUNCTION("""COMPUTED_VALUE"""),"building.caravan@4")</f>
        <v>building.caravan@4</v>
      </c>
      <c r="E27" s="18" t="str">
        <f>IFERROR(__xludf.DUMMYFUNCTION("""COMPUTED_VALUE"""),"building.caravan@3")</f>
        <v>building.caravan@3</v>
      </c>
    </row>
    <row r="28" ht="14.25" customHeight="1">
      <c r="A28" s="26" t="s">
        <v>122</v>
      </c>
      <c r="B28" s="26" t="s">
        <v>116</v>
      </c>
      <c r="D28" s="18" t="str">
        <f>IFERROR(__xludf.DUMMYFUNCTION("""COMPUTED_VALUE"""),"building.chicken@1")</f>
        <v>building.chicken@1</v>
      </c>
      <c r="E28" s="18" t="str">
        <f>IFERROR(__xludf.DUMMYFUNCTION("""COMPUTED_VALUE"""),"state.character_level@15")</f>
        <v>state.character_level@15</v>
      </c>
    </row>
    <row r="29" ht="14.25" customHeight="1">
      <c r="A29" s="26" t="s">
        <v>127</v>
      </c>
      <c r="B29" s="26" t="s">
        <v>1393</v>
      </c>
      <c r="D29" s="18" t="str">
        <f>IFERROR(__xludf.DUMMYFUNCTION("""COMPUTED_VALUE"""),"building.chicken@2")</f>
        <v>building.chicken@2</v>
      </c>
      <c r="E29" s="18" t="str">
        <f>IFERROR(__xludf.DUMMYFUNCTION("""COMPUTED_VALUE"""),"building.chicken@1")</f>
        <v>building.chicken@1</v>
      </c>
    </row>
    <row r="30" ht="14.25" customHeight="1">
      <c r="A30" s="26" t="s">
        <v>131</v>
      </c>
      <c r="B30" s="26" t="s">
        <v>127</v>
      </c>
      <c r="D30" s="18" t="str">
        <f>IFERROR(__xludf.DUMMYFUNCTION("""COMPUTED_VALUE"""),"building.dairy.maxed")</f>
        <v>building.dairy.maxed</v>
      </c>
      <c r="E30" s="18" t="str">
        <f>IFERROR(__xludf.DUMMYFUNCTION("""COMPUTED_VALUE"""),"building.dairy@2")</f>
        <v>building.dairy@2</v>
      </c>
    </row>
    <row r="31" ht="14.25" customHeight="1">
      <c r="A31" s="26" t="s">
        <v>679</v>
      </c>
      <c r="B31" s="26" t="s">
        <v>145</v>
      </c>
      <c r="D31" s="18" t="str">
        <f>IFERROR(__xludf.DUMMYFUNCTION("""COMPUTED_VALUE"""),"building.dairy@1")</f>
        <v>building.dairy@1</v>
      </c>
      <c r="E31" s="18" t="str">
        <f>IFERROR(__xludf.DUMMYFUNCTION("""COMPUTED_VALUE"""),"state.character_level@15")</f>
        <v>state.character_level@15</v>
      </c>
    </row>
    <row r="32" ht="14.25" customHeight="1">
      <c r="A32" s="26" t="s">
        <v>138</v>
      </c>
      <c r="B32" s="26" t="s">
        <v>1393</v>
      </c>
      <c r="D32" s="18" t="str">
        <f>IFERROR(__xludf.DUMMYFUNCTION("""COMPUTED_VALUE"""),"building.dairy@1")</f>
        <v>building.dairy@1</v>
      </c>
      <c r="E32" s="18" t="str">
        <f>IFERROR(__xludf.DUMMYFUNCTION("""COMPUTED_VALUE"""),"quest.the_ordinary_days_of_an_adventurer_chapter_5.finished")</f>
        <v>quest.the_ordinary_days_of_an_adventurer_chapter_5.finished</v>
      </c>
    </row>
    <row r="33" ht="14.25" customHeight="1">
      <c r="A33" s="26" t="s">
        <v>138</v>
      </c>
      <c r="B33" s="26" t="s">
        <v>1323</v>
      </c>
      <c r="D33" s="18" t="str">
        <f>IFERROR(__xludf.DUMMYFUNCTION("""COMPUTED_VALUE"""),"building.dairy@2")</f>
        <v>building.dairy@2</v>
      </c>
      <c r="E33" s="18" t="str">
        <f>IFERROR(__xludf.DUMMYFUNCTION("""COMPUTED_VALUE"""),"building.dairy@1")</f>
        <v>building.dairy@1</v>
      </c>
    </row>
    <row r="34" ht="14.25" customHeight="1">
      <c r="A34" s="26" t="s">
        <v>145</v>
      </c>
      <c r="B34" s="26" t="s">
        <v>138</v>
      </c>
      <c r="D34" s="18" t="str">
        <f>IFERROR(__xludf.DUMMYFUNCTION("""COMPUTED_VALUE"""),"building.dungeon.maxed")</f>
        <v>building.dungeon.maxed</v>
      </c>
      <c r="E34" s="18" t="str">
        <f>IFERROR(__xludf.DUMMYFUNCTION("""COMPUTED_VALUE"""),"building.dungeon@5")</f>
        <v>building.dungeon@5</v>
      </c>
    </row>
    <row r="35" ht="14.25" customHeight="1">
      <c r="A35" s="26" t="s">
        <v>687</v>
      </c>
      <c r="B35" s="26" t="s">
        <v>177</v>
      </c>
      <c r="D35" s="18" t="str">
        <f>IFERROR(__xludf.DUMMYFUNCTION("""COMPUTED_VALUE"""),"building.dungeon@1")</f>
        <v>building.dungeon@1</v>
      </c>
      <c r="E35" s="18" t="str">
        <f>IFERROR(__xludf.DUMMYFUNCTION("""COMPUTED_VALUE"""),"state.character_level@10")</f>
        <v>state.character_level@10</v>
      </c>
    </row>
    <row r="36" ht="14.25" customHeight="1">
      <c r="A36" s="26" t="s">
        <v>151</v>
      </c>
      <c r="B36" s="26" t="s">
        <v>1382</v>
      </c>
      <c r="D36" s="18" t="str">
        <f>IFERROR(__xludf.DUMMYFUNCTION("""COMPUTED_VALUE"""),"building.dungeon@2")</f>
        <v>building.dungeon@2</v>
      </c>
      <c r="E36" s="18" t="str">
        <f>IFERROR(__xludf.DUMMYFUNCTION("""COMPUTED_VALUE"""),"building.dungeon@1")</f>
        <v>building.dungeon@1</v>
      </c>
    </row>
    <row r="37" ht="14.25" customHeight="1">
      <c r="A37" s="26" t="s">
        <v>159</v>
      </c>
      <c r="B37" s="26" t="s">
        <v>151</v>
      </c>
      <c r="D37" s="18" t="str">
        <f>IFERROR(__xludf.DUMMYFUNCTION("""COMPUTED_VALUE"""),"building.dungeon@2")</f>
        <v>building.dungeon@2</v>
      </c>
      <c r="E37" s="18" t="str">
        <f>IFERROR(__xludf.DUMMYFUNCTION("""COMPUTED_VALUE"""),"state.character_level@20")</f>
        <v>state.character_level@20</v>
      </c>
    </row>
    <row r="38" ht="14.25" customHeight="1">
      <c r="A38" s="26" t="s">
        <v>159</v>
      </c>
      <c r="B38" s="26" t="s">
        <v>1400</v>
      </c>
      <c r="D38" s="18" t="str">
        <f>IFERROR(__xludf.DUMMYFUNCTION("""COMPUTED_VALUE"""),"building.dungeon@3")</f>
        <v>building.dungeon@3</v>
      </c>
      <c r="E38" s="18" t="str">
        <f>IFERROR(__xludf.DUMMYFUNCTION("""COMPUTED_VALUE"""),"building.dungeon@2")</f>
        <v>building.dungeon@2</v>
      </c>
    </row>
    <row r="39" ht="14.25" customHeight="1">
      <c r="A39" s="26" t="s">
        <v>165</v>
      </c>
      <c r="B39" s="26" t="s">
        <v>159</v>
      </c>
      <c r="D39" s="18" t="str">
        <f>IFERROR(__xludf.DUMMYFUNCTION("""COMPUTED_VALUE"""),"building.dungeon@3")</f>
        <v>building.dungeon@3</v>
      </c>
      <c r="E39" s="18" t="str">
        <f>IFERROR(__xludf.DUMMYFUNCTION("""COMPUTED_VALUE"""),"state.character_level@30")</f>
        <v>state.character_level@30</v>
      </c>
    </row>
    <row r="40" ht="14.25" customHeight="1">
      <c r="A40" s="26" t="s">
        <v>165</v>
      </c>
      <c r="B40" s="26" t="s">
        <v>1415</v>
      </c>
      <c r="D40" s="18" t="str">
        <f>IFERROR(__xludf.DUMMYFUNCTION("""COMPUTED_VALUE"""),"building.dungeon@4")</f>
        <v>building.dungeon@4</v>
      </c>
      <c r="E40" s="18" t="str">
        <f>IFERROR(__xludf.DUMMYFUNCTION("""COMPUTED_VALUE"""),"building.dungeon@3")</f>
        <v>building.dungeon@3</v>
      </c>
    </row>
    <row r="41" ht="14.25" customHeight="1">
      <c r="A41" s="26" t="s">
        <v>172</v>
      </c>
      <c r="B41" s="26" t="s">
        <v>165</v>
      </c>
      <c r="D41" s="18" t="str">
        <f>IFERROR(__xludf.DUMMYFUNCTION("""COMPUTED_VALUE"""),"building.dungeon@4")</f>
        <v>building.dungeon@4</v>
      </c>
      <c r="E41" s="18" t="str">
        <f>IFERROR(__xludf.DUMMYFUNCTION("""COMPUTED_VALUE"""),"state.character_level@40")</f>
        <v>state.character_level@40</v>
      </c>
    </row>
    <row r="42" ht="14.25" customHeight="1">
      <c r="A42" s="26" t="s">
        <v>172</v>
      </c>
      <c r="B42" s="26" t="s">
        <v>1424</v>
      </c>
      <c r="D42" s="18" t="str">
        <f>IFERROR(__xludf.DUMMYFUNCTION("""COMPUTED_VALUE"""),"building.dungeon@5")</f>
        <v>building.dungeon@5</v>
      </c>
      <c r="E42" s="18" t="str">
        <f>IFERROR(__xludf.DUMMYFUNCTION("""COMPUTED_VALUE"""),"building.dungeon@4")</f>
        <v>building.dungeon@4</v>
      </c>
    </row>
    <row r="43" ht="14.25" customHeight="1">
      <c r="A43" s="26" t="s">
        <v>177</v>
      </c>
      <c r="B43" s="26" t="s">
        <v>172</v>
      </c>
      <c r="D43" s="18" t="str">
        <f>IFERROR(__xludf.DUMMYFUNCTION("""COMPUTED_VALUE"""),"building.dungeon@5")</f>
        <v>building.dungeon@5</v>
      </c>
      <c r="E43" s="18" t="str">
        <f>IFERROR(__xludf.DUMMYFUNCTION("""COMPUTED_VALUE"""),"state.character_level@50")</f>
        <v>state.character_level@50</v>
      </c>
    </row>
    <row r="44" ht="14.25" customHeight="1">
      <c r="A44" s="26" t="s">
        <v>177</v>
      </c>
      <c r="B44" s="26" t="s">
        <v>1429</v>
      </c>
      <c r="D44" s="18" t="str">
        <f>IFERROR(__xludf.DUMMYFUNCTION("""COMPUTED_VALUE"""),"building.dungeon@6")</f>
        <v>building.dungeon@6</v>
      </c>
      <c r="E44" s="18" t="str">
        <f>IFERROR(__xludf.DUMMYFUNCTION("""COMPUTED_VALUE"""),"building.dungeon@5")</f>
        <v>building.dungeon@5</v>
      </c>
    </row>
    <row r="45" ht="14.25" customHeight="1">
      <c r="A45" s="26" t="s">
        <v>182</v>
      </c>
      <c r="B45" s="21" t="s">
        <v>177</v>
      </c>
      <c r="D45" s="18" t="str">
        <f>IFERROR(__xludf.DUMMYFUNCTION("""COMPUTED_VALUE"""),"building.dungeon@6")</f>
        <v>building.dungeon@6</v>
      </c>
      <c r="E45" s="18" t="str">
        <f>IFERROR(__xludf.DUMMYFUNCTION("""COMPUTED_VALUE"""),"quest.the_ordinary_days_of_an_adventurer_chapter_1.accepted")</f>
        <v>quest.the_ordinary_days_of_an_adventurer_chapter_1.accepted</v>
      </c>
    </row>
    <row r="46" ht="14.25" customHeight="1">
      <c r="A46" s="26" t="s">
        <v>182</v>
      </c>
      <c r="B46" s="26" t="s">
        <v>1303</v>
      </c>
      <c r="D46" s="18" t="str">
        <f>IFERROR(__xludf.DUMMYFUNCTION("""COMPUTED_VALUE"""),"building.fermentory.maxed")</f>
        <v>building.fermentory.maxed</v>
      </c>
      <c r="E46" s="18" t="str">
        <f>IFERROR(__xludf.DUMMYFUNCTION("""COMPUTED_VALUE"""),"building.fermentory@6")</f>
        <v>building.fermentory@6</v>
      </c>
    </row>
    <row r="47" ht="14.25" customHeight="1">
      <c r="A47" s="26" t="s">
        <v>705</v>
      </c>
      <c r="B47" s="26" t="s">
        <v>214</v>
      </c>
      <c r="D47" s="18" t="str">
        <f>IFERROR(__xludf.DUMMYFUNCTION("""COMPUTED_VALUE"""),"building.fermentory@1")</f>
        <v>building.fermentory@1</v>
      </c>
      <c r="E47" s="18" t="str">
        <f>IFERROR(__xludf.DUMMYFUNCTION("""COMPUTED_VALUE"""),"quest.magic_beans.finished")</f>
        <v>quest.magic_beans.finished</v>
      </c>
    </row>
    <row r="48" ht="14.25" customHeight="1">
      <c r="A48" s="26" t="s">
        <v>188</v>
      </c>
      <c r="B48" s="26" t="s">
        <v>1057</v>
      </c>
      <c r="D48" s="18" t="str">
        <f>IFERROR(__xludf.DUMMYFUNCTION("""COMPUTED_VALUE"""),"building.fermentory@1")</f>
        <v>building.fermentory@1</v>
      </c>
      <c r="E48" s="18" t="str">
        <f>IFERROR(__xludf.DUMMYFUNCTION("""COMPUTED_VALUE"""),"state.character_level@55")</f>
        <v>state.character_level@55</v>
      </c>
    </row>
    <row r="49" ht="14.25" customHeight="1">
      <c r="A49" s="26" t="s">
        <v>188</v>
      </c>
      <c r="B49" s="26" t="s">
        <v>1431</v>
      </c>
      <c r="D49" s="18" t="str">
        <f>IFERROR(__xludf.DUMMYFUNCTION("""COMPUTED_VALUE"""),"building.fermentory@2")</f>
        <v>building.fermentory@2</v>
      </c>
      <c r="E49" s="18" t="str">
        <f>IFERROR(__xludf.DUMMYFUNCTION("""COMPUTED_VALUE"""),"building.fermentory@1")</f>
        <v>building.fermentory@1</v>
      </c>
    </row>
    <row r="50" ht="14.25" customHeight="1">
      <c r="A50" s="26" t="s">
        <v>195</v>
      </c>
      <c r="B50" s="26" t="s">
        <v>188</v>
      </c>
      <c r="D50" s="18" t="str">
        <f>IFERROR(__xludf.DUMMYFUNCTION("""COMPUTED_VALUE"""),"building.fermentory@3")</f>
        <v>building.fermentory@3</v>
      </c>
      <c r="E50" s="18" t="str">
        <f>IFERROR(__xludf.DUMMYFUNCTION("""COMPUTED_VALUE"""),"building.fermentory@2")</f>
        <v>building.fermentory@2</v>
      </c>
    </row>
    <row r="51" ht="14.25" customHeight="1">
      <c r="A51" s="26" t="s">
        <v>199</v>
      </c>
      <c r="B51" s="26" t="s">
        <v>195</v>
      </c>
      <c r="D51" s="18" t="str">
        <f>IFERROR(__xludf.DUMMYFUNCTION("""COMPUTED_VALUE"""),"building.fermentory@4")</f>
        <v>building.fermentory@4</v>
      </c>
      <c r="E51" s="18" t="str">
        <f>IFERROR(__xludf.DUMMYFUNCTION("""COMPUTED_VALUE"""),"building.fermentory@3")</f>
        <v>building.fermentory@3</v>
      </c>
    </row>
    <row r="52" ht="14.25" customHeight="1">
      <c r="A52" s="26" t="s">
        <v>205</v>
      </c>
      <c r="B52" s="26" t="s">
        <v>199</v>
      </c>
      <c r="D52" s="18" t="str">
        <f>IFERROR(__xludf.DUMMYFUNCTION("""COMPUTED_VALUE"""),"building.fermentory@5")</f>
        <v>building.fermentory@5</v>
      </c>
      <c r="E52" s="18" t="str">
        <f>IFERROR(__xludf.DUMMYFUNCTION("""COMPUTED_VALUE"""),"building.fermentory@4")</f>
        <v>building.fermentory@4</v>
      </c>
    </row>
    <row r="53" ht="14.25" customHeight="1">
      <c r="A53" s="26" t="s">
        <v>208</v>
      </c>
      <c r="B53" s="26" t="s">
        <v>205</v>
      </c>
      <c r="D53" s="18" t="str">
        <f>IFERROR(__xludf.DUMMYFUNCTION("""COMPUTED_VALUE"""),"building.fermentory@6")</f>
        <v>building.fermentory@6</v>
      </c>
      <c r="E53" s="18" t="str">
        <f>IFERROR(__xludf.DUMMYFUNCTION("""COMPUTED_VALUE"""),"building.fermentory@5")</f>
        <v>building.fermentory@5</v>
      </c>
    </row>
    <row r="54" ht="14.25" customHeight="1">
      <c r="A54" s="26" t="s">
        <v>214</v>
      </c>
      <c r="B54" s="26" t="s">
        <v>208</v>
      </c>
      <c r="D54" s="18" t="str">
        <f>IFERROR(__xludf.DUMMYFUNCTION("""COMPUTED_VALUE"""),"building.field.maxed")</f>
        <v>building.field.maxed</v>
      </c>
      <c r="E54" s="18" t="str">
        <f>IFERROR(__xludf.DUMMYFUNCTION("""COMPUTED_VALUE"""),"building.field@2")</f>
        <v>building.field@2</v>
      </c>
    </row>
    <row r="55" ht="14.25" customHeight="1">
      <c r="A55" s="26" t="s">
        <v>725</v>
      </c>
      <c r="B55" s="26" t="s">
        <v>225</v>
      </c>
      <c r="D55" s="18" t="str">
        <f>IFERROR(__xludf.DUMMYFUNCTION("""COMPUTED_VALUE"""),"building.field@1")</f>
        <v>building.field@1</v>
      </c>
      <c r="E55" s="18" t="str">
        <f>IFERROR(__xludf.DUMMYFUNCTION("""COMPUTED_VALUE"""),"state.character_level@7")</f>
        <v>state.character_level@7</v>
      </c>
    </row>
    <row r="56" ht="14.25" customHeight="1">
      <c r="A56" s="26" t="s">
        <v>219</v>
      </c>
      <c r="B56" s="26" t="s">
        <v>1435</v>
      </c>
      <c r="D56" s="18" t="str">
        <f>IFERROR(__xludf.DUMMYFUNCTION("""COMPUTED_VALUE"""),"building.field@2")</f>
        <v>building.field@2</v>
      </c>
      <c r="E56" s="18" t="str">
        <f>IFERROR(__xludf.DUMMYFUNCTION("""COMPUTED_VALUE"""),"building.field@1")</f>
        <v>building.field@1</v>
      </c>
    </row>
    <row r="57" ht="14.25" customHeight="1">
      <c r="A57" s="26" t="s">
        <v>225</v>
      </c>
      <c r="B57" s="26" t="s">
        <v>219</v>
      </c>
      <c r="D57" s="18" t="str">
        <f>IFERROR(__xludf.DUMMYFUNCTION("""COMPUTED_VALUE"""),"building.food_stall.maxed")</f>
        <v>building.food_stall.maxed</v>
      </c>
      <c r="E57" s="18" t="str">
        <f>IFERROR(__xludf.DUMMYFUNCTION("""COMPUTED_VALUE"""),"building.food_stall@3")</f>
        <v>building.food_stall@3</v>
      </c>
    </row>
    <row r="58" ht="14.25" customHeight="1">
      <c r="A58" s="26" t="s">
        <v>734</v>
      </c>
      <c r="B58" s="26" t="s">
        <v>239</v>
      </c>
      <c r="D58" s="18" t="str">
        <f>IFERROR(__xludf.DUMMYFUNCTION("""COMPUTED_VALUE"""),"building.food_stall@1")</f>
        <v>building.food_stall@1</v>
      </c>
      <c r="E58" s="18" t="str">
        <f>IFERROR(__xludf.DUMMYFUNCTION("""COMPUTED_VALUE"""),"state.character_level@8")</f>
        <v>state.character_level@8</v>
      </c>
    </row>
    <row r="59" ht="14.25" customHeight="1">
      <c r="A59" s="26" t="s">
        <v>230</v>
      </c>
      <c r="B59" s="26" t="s">
        <v>1438</v>
      </c>
      <c r="D59" s="18" t="str">
        <f>IFERROR(__xludf.DUMMYFUNCTION("""COMPUTED_VALUE"""),"building.food_stall@2")</f>
        <v>building.food_stall@2</v>
      </c>
      <c r="E59" s="18" t="str">
        <f>IFERROR(__xludf.DUMMYFUNCTION("""COMPUTED_VALUE"""),"building.guild@2")</f>
        <v>building.guild@2</v>
      </c>
    </row>
    <row r="60" ht="14.25" customHeight="1">
      <c r="A60" s="26" t="s">
        <v>234</v>
      </c>
      <c r="B60" s="26" t="s">
        <v>282</v>
      </c>
      <c r="D60" s="18" t="str">
        <f>IFERROR(__xludf.DUMMYFUNCTION("""COMPUTED_VALUE"""),"building.food_stall@2")</f>
        <v>building.food_stall@2</v>
      </c>
      <c r="E60" s="18" t="str">
        <f>IFERROR(__xludf.DUMMYFUNCTION("""COMPUTED_VALUE"""),"building.food_stall@1")</f>
        <v>building.food_stall@1</v>
      </c>
    </row>
    <row r="61" ht="14.25" customHeight="1">
      <c r="A61" s="26" t="s">
        <v>234</v>
      </c>
      <c r="B61" s="26" t="s">
        <v>230</v>
      </c>
      <c r="D61" s="18" t="str">
        <f>IFERROR(__xludf.DUMMYFUNCTION("""COMPUTED_VALUE"""),"building.food_stall@2")</f>
        <v>building.food_stall@2</v>
      </c>
      <c r="E61" s="18" t="str">
        <f>IFERROR(__xludf.DUMMYFUNCTION("""COMPUTED_VALUE"""),"state.character_level@24")</f>
        <v>state.character_level@24</v>
      </c>
    </row>
    <row r="62" ht="14.25" customHeight="1">
      <c r="A62" s="26" t="s">
        <v>234</v>
      </c>
      <c r="B62" s="26" t="s">
        <v>1409</v>
      </c>
      <c r="D62" s="18" t="str">
        <f>IFERROR(__xludf.DUMMYFUNCTION("""COMPUTED_VALUE"""),"building.food_stall@3")</f>
        <v>building.food_stall@3</v>
      </c>
      <c r="E62" s="18" t="str">
        <f>IFERROR(__xludf.DUMMYFUNCTION("""COMPUTED_VALUE"""),"building.food_stall@2")</f>
        <v>building.food_stall@2</v>
      </c>
    </row>
    <row r="63" ht="14.25" customHeight="1">
      <c r="A63" s="26" t="s">
        <v>239</v>
      </c>
      <c r="B63" s="26" t="s">
        <v>234</v>
      </c>
      <c r="D63" s="18" t="str">
        <f>IFERROR(__xludf.DUMMYFUNCTION("""COMPUTED_VALUE"""),"building.furnace.maxed")</f>
        <v>building.furnace.maxed</v>
      </c>
      <c r="E63" s="18" t="str">
        <f>IFERROR(__xludf.DUMMYFUNCTION("""COMPUTED_VALUE"""),"building.furnace@3")</f>
        <v>building.furnace@3</v>
      </c>
    </row>
    <row r="64" ht="14.25" customHeight="1">
      <c r="A64" s="26" t="s">
        <v>744</v>
      </c>
      <c r="B64" s="26" t="s">
        <v>251</v>
      </c>
      <c r="D64" s="18" t="str">
        <f>IFERROR(__xludf.DUMMYFUNCTION("""COMPUTED_VALUE"""),"building.furnace@1")</f>
        <v>building.furnace@1</v>
      </c>
      <c r="E64" s="18" t="str">
        <f>IFERROR(__xludf.DUMMYFUNCTION("""COMPUTED_VALUE"""),"state.character_level@8")</f>
        <v>state.character_level@8</v>
      </c>
    </row>
    <row r="65" ht="14.25" customHeight="1">
      <c r="A65" s="26" t="s">
        <v>243</v>
      </c>
      <c r="B65" s="26" t="s">
        <v>1438</v>
      </c>
      <c r="D65" s="18" t="str">
        <f>IFERROR(__xludf.DUMMYFUNCTION("""COMPUTED_VALUE"""),"building.furnace@2")</f>
        <v>building.furnace@2</v>
      </c>
      <c r="E65" s="18" t="str">
        <f>IFERROR(__xludf.DUMMYFUNCTION("""COMPUTED_VALUE"""),"building.furnace@1")</f>
        <v>building.furnace@1</v>
      </c>
    </row>
    <row r="66" ht="14.25" customHeight="1">
      <c r="A66" s="26" t="s">
        <v>246</v>
      </c>
      <c r="B66" s="26" t="s">
        <v>243</v>
      </c>
      <c r="D66" s="18" t="str">
        <f>IFERROR(__xludf.DUMMYFUNCTION("""COMPUTED_VALUE"""),"building.furnace@3")</f>
        <v>building.furnace@3</v>
      </c>
      <c r="E66" s="18" t="str">
        <f>IFERROR(__xludf.DUMMYFUNCTION("""COMPUTED_VALUE"""),"building.furnace@2")</f>
        <v>building.furnace@2</v>
      </c>
    </row>
    <row r="67" ht="14.25" customHeight="1">
      <c r="A67" s="26" t="s">
        <v>251</v>
      </c>
      <c r="B67" s="26" t="s">
        <v>246</v>
      </c>
      <c r="D67" s="18" t="str">
        <f>IFERROR(__xludf.DUMMYFUNCTION("""COMPUTED_VALUE"""),"building.garden.maxed")</f>
        <v>building.garden.maxed</v>
      </c>
      <c r="E67" s="18" t="str">
        <f>IFERROR(__xludf.DUMMYFUNCTION("""COMPUTED_VALUE"""),"building.garden@3")</f>
        <v>building.garden@3</v>
      </c>
    </row>
    <row r="68" ht="14.25" customHeight="1">
      <c r="A68" s="26" t="s">
        <v>751</v>
      </c>
      <c r="B68" s="26" t="s">
        <v>262</v>
      </c>
      <c r="D68" s="18" t="str">
        <f>IFERROR(__xludf.DUMMYFUNCTION("""COMPUTED_VALUE"""),"building.garden@1")</f>
        <v>building.garden@1</v>
      </c>
      <c r="E68" s="18" t="str">
        <f>IFERROR(__xludf.DUMMYFUNCTION("""COMPUTED_VALUE"""),"state.character_level@12")</f>
        <v>state.character_level@12</v>
      </c>
    </row>
    <row r="69" ht="14.25" customHeight="1">
      <c r="A69" s="26" t="s">
        <v>255</v>
      </c>
      <c r="B69" s="26" t="s">
        <v>1386</v>
      </c>
      <c r="D69" s="18" t="str">
        <f>IFERROR(__xludf.DUMMYFUNCTION("""COMPUTED_VALUE"""),"building.garden@2")</f>
        <v>building.garden@2</v>
      </c>
      <c r="E69" s="18" t="str">
        <f>IFERROR(__xludf.DUMMYFUNCTION("""COMPUTED_VALUE"""),"building.garden@1")</f>
        <v>building.garden@1</v>
      </c>
    </row>
    <row r="70" ht="14.25" customHeight="1">
      <c r="A70" s="26" t="s">
        <v>258</v>
      </c>
      <c r="B70" s="26" t="s">
        <v>255</v>
      </c>
      <c r="D70" s="18" t="str">
        <f>IFERROR(__xludf.DUMMYFUNCTION("""COMPUTED_VALUE"""),"building.garden@3")</f>
        <v>building.garden@3</v>
      </c>
      <c r="E70" s="18" t="str">
        <f>IFERROR(__xludf.DUMMYFUNCTION("""COMPUTED_VALUE"""),"building.garden@2")</f>
        <v>building.garden@2</v>
      </c>
    </row>
    <row r="71" ht="14.25" customHeight="1">
      <c r="A71" s="26" t="s">
        <v>262</v>
      </c>
      <c r="B71" s="26" t="s">
        <v>258</v>
      </c>
      <c r="D71" s="18" t="str">
        <f>IFERROR(__xludf.DUMMYFUNCTION("""COMPUTED_VALUE"""),"building.gong@1")</f>
        <v>building.gong@1</v>
      </c>
      <c r="E71" s="18" t="str">
        <f>IFERROR(__xludf.DUMMYFUNCTION("""COMPUTED_VALUE"""),"state.character_level@10")</f>
        <v>state.character_level@10</v>
      </c>
    </row>
    <row r="72" ht="14.25" customHeight="1">
      <c r="A72" s="26" t="s">
        <v>269</v>
      </c>
      <c r="B72" s="26" t="s">
        <v>1382</v>
      </c>
      <c r="D72" s="18" t="str">
        <f>IFERROR(__xludf.DUMMYFUNCTION("""COMPUTED_VALUE"""),"building.guild@2")</f>
        <v>building.guild@2</v>
      </c>
      <c r="E72" s="18" t="str">
        <f>IFERROR(__xludf.DUMMYFUNCTION("""COMPUTED_VALUE"""),"building.guild@1")</f>
        <v>building.guild@1</v>
      </c>
    </row>
    <row r="73" ht="14.25" customHeight="1">
      <c r="A73" s="26" t="s">
        <v>282</v>
      </c>
      <c r="B73" s="26" t="s">
        <v>275</v>
      </c>
      <c r="D73" s="18" t="str">
        <f>IFERROR(__xludf.DUMMYFUNCTION("""COMPUTED_VALUE"""),"building.guild@3")</f>
        <v>building.guild@3</v>
      </c>
      <c r="E73" s="18" t="str">
        <f>IFERROR(__xludf.DUMMYFUNCTION("""COMPUTED_VALUE"""),"building.guild@2")</f>
        <v>building.guild@2</v>
      </c>
    </row>
    <row r="74" ht="14.25" customHeight="1">
      <c r="A74" s="26" t="s">
        <v>291</v>
      </c>
      <c r="B74" s="26" t="s">
        <v>282</v>
      </c>
      <c r="D74" s="18" t="str">
        <f>IFERROR(__xludf.DUMMYFUNCTION("""COMPUTED_VALUE"""),"building.guild@4")</f>
        <v>building.guild@4</v>
      </c>
      <c r="E74" s="18" t="str">
        <f>IFERROR(__xludf.DUMMYFUNCTION("""COMPUTED_VALUE"""),"building.guild@3")</f>
        <v>building.guild@3</v>
      </c>
    </row>
    <row r="75" ht="14.25" customHeight="1">
      <c r="A75" s="26" t="s">
        <v>295</v>
      </c>
      <c r="B75" s="26" t="s">
        <v>291</v>
      </c>
      <c r="D75" s="18" t="str">
        <f>IFERROR(__xludf.DUMMYFUNCTION("""COMPUTED_VALUE"""),"building.guild@5")</f>
        <v>building.guild@5</v>
      </c>
      <c r="E75" s="18" t="str">
        <f>IFERROR(__xludf.DUMMYFUNCTION("""COMPUTED_VALUE"""),"building.guild@4")</f>
        <v>building.guild@4</v>
      </c>
    </row>
    <row r="76" ht="14.25" customHeight="1">
      <c r="A76" s="26" t="s">
        <v>302</v>
      </c>
      <c r="B76" s="26" t="s">
        <v>295</v>
      </c>
      <c r="D76" s="18" t="str">
        <f>IFERROR(__xludf.DUMMYFUNCTION("""COMPUTED_VALUE"""),"building.guild_video_game_arcade@1")</f>
        <v>building.guild_video_game_arcade@1</v>
      </c>
      <c r="E76" s="18" t="str">
        <f>IFERROR(__xludf.DUMMYFUNCTION("""COMPUTED_VALUE"""),"quest.ahead_of_time_chapter_4.finished")</f>
        <v>quest.ahead_of_time_chapter_4.finished</v>
      </c>
    </row>
    <row r="77" ht="14.25" customHeight="1">
      <c r="A77" s="26" t="s">
        <v>310</v>
      </c>
      <c r="B77" s="26" t="s">
        <v>953</v>
      </c>
      <c r="D77" s="18" t="str">
        <f>IFERROR(__xludf.DUMMYFUNCTION("""COMPUTED_VALUE"""),"building.guild_video_game_arcade@1")</f>
        <v>building.guild_video_game_arcade@1</v>
      </c>
      <c r="E77" s="18" t="str">
        <f>IFERROR(__xludf.DUMMYFUNCTION("""COMPUTED_VALUE"""),"quest.ahead_of_time_chapter_5.finished")</f>
        <v>quest.ahead_of_time_chapter_5.finished</v>
      </c>
    </row>
    <row r="78" ht="14.25" customHeight="1">
      <c r="A78" s="26" t="s">
        <v>310</v>
      </c>
      <c r="B78" s="26" t="s">
        <v>963</v>
      </c>
      <c r="D78" s="18" t="str">
        <f>IFERROR(__xludf.DUMMYFUNCTION("""COMPUTED_VALUE"""),"building.laboratory.maxed")</f>
        <v>building.laboratory.maxed</v>
      </c>
      <c r="E78" s="18" t="str">
        <f>IFERROR(__xludf.DUMMYFUNCTION("""COMPUTED_VALUE"""),"building.laboratory@5")</f>
        <v>building.laboratory@5</v>
      </c>
    </row>
    <row r="79" ht="14.25" customHeight="1">
      <c r="A79" s="26" t="s">
        <v>777</v>
      </c>
      <c r="B79" s="26" t="s">
        <v>328</v>
      </c>
      <c r="D79" s="18" t="str">
        <f>IFERROR(__xludf.DUMMYFUNCTION("""COMPUTED_VALUE"""),"building.laboratory@1")</f>
        <v>building.laboratory@1</v>
      </c>
      <c r="E79" s="18" t="str">
        <f>IFERROR(__xludf.DUMMYFUNCTION("""COMPUTED_VALUE"""),"quest.ahead_of_time_chapter_1.accepted")</f>
        <v>quest.ahead_of_time_chapter_1.accepted</v>
      </c>
    </row>
    <row r="80" ht="14.25" customHeight="1">
      <c r="A80" s="26" t="s">
        <v>314</v>
      </c>
      <c r="B80" s="26" t="s">
        <v>920</v>
      </c>
      <c r="D80" s="18" t="str">
        <f>IFERROR(__xludf.DUMMYFUNCTION("""COMPUTED_VALUE"""),"building.laboratory@1")</f>
        <v>building.laboratory@1</v>
      </c>
      <c r="E80" s="18" t="str">
        <f>IFERROR(__xludf.DUMMYFUNCTION("""COMPUTED_VALUE"""),"craftifact.telescope")</f>
        <v>craftifact.telescope</v>
      </c>
    </row>
    <row r="81" ht="14.25" customHeight="1">
      <c r="A81" s="26" t="s">
        <v>314</v>
      </c>
      <c r="B81" s="26" t="s">
        <v>905</v>
      </c>
      <c r="D81" s="18" t="str">
        <f>IFERROR(__xludf.DUMMYFUNCTION("""COMPUTED_VALUE"""),"building.laboratory@1")</f>
        <v>building.laboratory@1</v>
      </c>
      <c r="E81" s="18" t="str">
        <f>IFERROR(__xludf.DUMMYFUNCTION("""COMPUTED_VALUE"""),"craftifact.solver_1_prototype")</f>
        <v>craftifact.solver_1_prototype</v>
      </c>
    </row>
    <row r="82" ht="14.25" customHeight="1">
      <c r="A82" s="26" t="s">
        <v>314</v>
      </c>
      <c r="B82" s="26" t="s">
        <v>898</v>
      </c>
      <c r="D82" s="18" t="str">
        <f>IFERROR(__xludf.DUMMYFUNCTION("""COMPUTED_VALUE"""),"building.laboratory@1")</f>
        <v>building.laboratory@1</v>
      </c>
      <c r="E82" s="18" t="str">
        <f>IFERROR(__xludf.DUMMYFUNCTION("""COMPUTED_VALUE"""),"state.character_level@80")</f>
        <v>state.character_level@80</v>
      </c>
    </row>
    <row r="83" ht="14.25" customHeight="1">
      <c r="A83" s="26" t="s">
        <v>314</v>
      </c>
      <c r="B83" s="26" t="s">
        <v>1440</v>
      </c>
      <c r="D83" s="18" t="str">
        <f>IFERROR(__xludf.DUMMYFUNCTION("""COMPUTED_VALUE"""),"building.laboratory@2")</f>
        <v>building.laboratory@2</v>
      </c>
      <c r="E83" s="18" t="str">
        <f>IFERROR(__xludf.DUMMYFUNCTION("""COMPUTED_VALUE"""),"building.laboratory@1")</f>
        <v>building.laboratory@1</v>
      </c>
    </row>
    <row r="84" ht="14.25" customHeight="1">
      <c r="A84" s="26" t="s">
        <v>319</v>
      </c>
      <c r="B84" s="26" t="s">
        <v>314</v>
      </c>
      <c r="D84" s="18" t="str">
        <f>IFERROR(__xludf.DUMMYFUNCTION("""COMPUTED_VALUE"""),"building.laboratory@3")</f>
        <v>building.laboratory@3</v>
      </c>
      <c r="E84" s="18" t="str">
        <f>IFERROR(__xludf.DUMMYFUNCTION("""COMPUTED_VALUE"""),"building.laboratory@2")</f>
        <v>building.laboratory@2</v>
      </c>
    </row>
    <row r="85" ht="14.25" customHeight="1">
      <c r="A85" s="26" t="s">
        <v>322</v>
      </c>
      <c r="B85" s="26" t="s">
        <v>319</v>
      </c>
      <c r="D85" s="18" t="str">
        <f>IFERROR(__xludf.DUMMYFUNCTION("""COMPUTED_VALUE"""),"building.laboratory@4")</f>
        <v>building.laboratory@4</v>
      </c>
      <c r="E85" s="18" t="str">
        <f>IFERROR(__xludf.DUMMYFUNCTION("""COMPUTED_VALUE"""),"building.laboratory@3")</f>
        <v>building.laboratory@3</v>
      </c>
    </row>
    <row r="86" ht="14.25" customHeight="1">
      <c r="A86" s="26" t="s">
        <v>325</v>
      </c>
      <c r="B86" s="26" t="s">
        <v>322</v>
      </c>
      <c r="D86" s="18" t="str">
        <f>IFERROR(__xludf.DUMMYFUNCTION("""COMPUTED_VALUE"""),"building.laboratory@5")</f>
        <v>building.laboratory@5</v>
      </c>
      <c r="E86" s="18" t="str">
        <f>IFERROR(__xludf.DUMMYFUNCTION("""COMPUTED_VALUE"""),"building.laboratory@4")</f>
        <v>building.laboratory@4</v>
      </c>
    </row>
    <row r="87" ht="14.25" customHeight="1">
      <c r="A87" s="26" t="s">
        <v>328</v>
      </c>
      <c r="B87" s="26" t="s">
        <v>325</v>
      </c>
      <c r="D87" s="18" t="str">
        <f>IFERROR(__xludf.DUMMYFUNCTION("""COMPUTED_VALUE"""),"building.laboratory_data_center.maxed")</f>
        <v>building.laboratory_data_center.maxed</v>
      </c>
      <c r="E87" s="18" t="str">
        <f>IFERROR(__xludf.DUMMYFUNCTION("""COMPUTED_VALUE"""),"building.laboratory_data_center@1")</f>
        <v>building.laboratory_data_center@1</v>
      </c>
    </row>
    <row r="88" ht="14.25" customHeight="1">
      <c r="A88" s="26" t="s">
        <v>790</v>
      </c>
      <c r="B88" s="26" t="s">
        <v>333</v>
      </c>
      <c r="D88" s="18" t="str">
        <f>IFERROR(__xludf.DUMMYFUNCTION("""COMPUTED_VALUE"""),"building.laboratory_data_center@1")</f>
        <v>building.laboratory_data_center@1</v>
      </c>
      <c r="E88" s="18" t="str">
        <f>IFERROR(__xludf.DUMMYFUNCTION("""COMPUTED_VALUE"""),"building.laboratory.maxed")</f>
        <v>building.laboratory.maxed</v>
      </c>
    </row>
    <row r="89" ht="14.25" customHeight="1">
      <c r="A89" s="26" t="s">
        <v>333</v>
      </c>
      <c r="B89" s="26" t="s">
        <v>777</v>
      </c>
      <c r="D89" s="18" t="str">
        <f>IFERROR(__xludf.DUMMYFUNCTION("""COMPUTED_VALUE"""),"building.laboratory_data_center@1")</f>
        <v>building.laboratory_data_center@1</v>
      </c>
      <c r="E89" s="18" t="str">
        <f>IFERROR(__xludf.DUMMYFUNCTION("""COMPUTED_VALUE"""),"quest.ahead_of_time_chapter_5.accepted")</f>
        <v>quest.ahead_of_time_chapter_5.accepted</v>
      </c>
    </row>
    <row r="90" ht="14.25" customHeight="1">
      <c r="A90" s="26" t="s">
        <v>333</v>
      </c>
      <c r="B90" s="26" t="s">
        <v>957</v>
      </c>
      <c r="D90" s="18" t="str">
        <f>IFERROR(__xludf.DUMMYFUNCTION("""COMPUTED_VALUE"""),"building.lumber@1")</f>
        <v>building.lumber@1</v>
      </c>
      <c r="E90" s="18" t="str">
        <f>IFERROR(__xludf.DUMMYFUNCTION("""COMPUTED_VALUE"""),"state.character_level@11")</f>
        <v>state.character_level@11</v>
      </c>
    </row>
    <row r="91" ht="14.25" customHeight="1">
      <c r="A91" s="26" t="s">
        <v>338</v>
      </c>
      <c r="B91" s="26" t="s">
        <v>1384</v>
      </c>
      <c r="D91" s="18" t="str">
        <f>IFERROR(__xludf.DUMMYFUNCTION("""COMPUTED_VALUE"""),"building.lumber@2")</f>
        <v>building.lumber@2</v>
      </c>
      <c r="E91" s="18" t="str">
        <f>IFERROR(__xludf.DUMMYFUNCTION("""COMPUTED_VALUE"""),"building.lumber@1")</f>
        <v>building.lumber@1</v>
      </c>
    </row>
    <row r="92" ht="14.25" customHeight="1">
      <c r="A92" s="26" t="s">
        <v>344</v>
      </c>
      <c r="B92" s="26" t="s">
        <v>338</v>
      </c>
      <c r="D92" s="18" t="str">
        <f>IFERROR(__xludf.DUMMYFUNCTION("""COMPUTED_VALUE"""),"building.lumber@3")</f>
        <v>building.lumber@3</v>
      </c>
      <c r="E92" s="18" t="str">
        <f>IFERROR(__xludf.DUMMYFUNCTION("""COMPUTED_VALUE"""),"building.lumber@2")</f>
        <v>building.lumber@2</v>
      </c>
    </row>
    <row r="93" ht="14.25" customHeight="1">
      <c r="A93" s="26" t="s">
        <v>348</v>
      </c>
      <c r="B93" s="26" t="s">
        <v>344</v>
      </c>
      <c r="D93" s="18" t="str">
        <f>IFERROR(__xludf.DUMMYFUNCTION("""COMPUTED_VALUE"""),"building.onsen@1")</f>
        <v>building.onsen@1</v>
      </c>
      <c r="E93" s="18" t="str">
        <f>IFERROR(__xludf.DUMMYFUNCTION("""COMPUTED_VALUE"""),"state.character_level@20")</f>
        <v>state.character_level@20</v>
      </c>
    </row>
    <row r="94" ht="14.25" customHeight="1">
      <c r="A94" s="26" t="s">
        <v>354</v>
      </c>
      <c r="B94" s="26" t="s">
        <v>1400</v>
      </c>
      <c r="D94" s="18" t="str">
        <f>IFERROR(__xludf.DUMMYFUNCTION("""COMPUTED_VALUE"""),"building.onsen@2")</f>
        <v>building.onsen@2</v>
      </c>
      <c r="E94" s="18" t="str">
        <f>IFERROR(__xludf.DUMMYFUNCTION("""COMPUTED_VALUE"""),"building.onsen@1")</f>
        <v>building.onsen@1</v>
      </c>
    </row>
    <row r="95" ht="14.25" customHeight="1">
      <c r="A95" s="26" t="s">
        <v>359</v>
      </c>
      <c r="B95" s="26" t="s">
        <v>354</v>
      </c>
      <c r="D95" s="18" t="str">
        <f>IFERROR(__xludf.DUMMYFUNCTION("""COMPUTED_VALUE"""),"building.outpost.maxed")</f>
        <v>building.outpost.maxed</v>
      </c>
      <c r="E95" s="18" t="str">
        <f>IFERROR(__xludf.DUMMYFUNCTION("""COMPUTED_VALUE"""),"building.outpost@3")</f>
        <v>building.outpost@3</v>
      </c>
    </row>
    <row r="96" ht="14.25" customHeight="1">
      <c r="A96" s="26" t="s">
        <v>806</v>
      </c>
      <c r="B96" s="26" t="s">
        <v>366</v>
      </c>
      <c r="D96" s="18" t="str">
        <f>IFERROR(__xludf.DUMMYFUNCTION("""COMPUTED_VALUE"""),"building.outpost@1")</f>
        <v>building.outpost@1</v>
      </c>
      <c r="E96" s="18" t="str">
        <f>IFERROR(__xludf.DUMMYFUNCTION("""COMPUTED_VALUE"""),"building.bridge@1")</f>
        <v>building.bridge@1</v>
      </c>
    </row>
    <row r="97" ht="14.25" customHeight="1">
      <c r="A97" s="26" t="s">
        <v>362</v>
      </c>
      <c r="B97" s="26" t="s">
        <v>96</v>
      </c>
      <c r="D97" s="18" t="str">
        <f>IFERROR(__xludf.DUMMYFUNCTION("""COMPUTED_VALUE"""),"building.outpost@1")</f>
        <v>building.outpost@1</v>
      </c>
      <c r="E97" s="18" t="str">
        <f>IFERROR(__xludf.DUMMYFUNCTION("""COMPUTED_VALUE"""),"state.character_level@31")</f>
        <v>state.character_level@31</v>
      </c>
    </row>
    <row r="98" ht="14.25" customHeight="1">
      <c r="A98" s="26" t="s">
        <v>362</v>
      </c>
      <c r="B98" s="26" t="s">
        <v>1418</v>
      </c>
      <c r="D98" s="18" t="str">
        <f>IFERROR(__xludf.DUMMYFUNCTION("""COMPUTED_VALUE"""),"building.outpost@2")</f>
        <v>building.outpost@2</v>
      </c>
      <c r="E98" s="18" t="str">
        <f>IFERROR(__xludf.DUMMYFUNCTION("""COMPUTED_VALUE"""),"building.outpost@1")</f>
        <v>building.outpost@1</v>
      </c>
    </row>
    <row r="99" ht="14.25" customHeight="1">
      <c r="A99" s="26" t="s">
        <v>364</v>
      </c>
      <c r="B99" s="26" t="s">
        <v>362</v>
      </c>
      <c r="D99" s="18" t="str">
        <f>IFERROR(__xludf.DUMMYFUNCTION("""COMPUTED_VALUE"""),"building.outpost@3")</f>
        <v>building.outpost@3</v>
      </c>
      <c r="E99" s="18" t="str">
        <f>IFERROR(__xludf.DUMMYFUNCTION("""COMPUTED_VALUE"""),"building.outpost@2")</f>
        <v>building.outpost@2</v>
      </c>
    </row>
    <row r="100" ht="14.25" customHeight="1">
      <c r="A100" s="26" t="s">
        <v>366</v>
      </c>
      <c r="B100" s="26" t="s">
        <v>364</v>
      </c>
      <c r="D100" s="18" t="str">
        <f>IFERROR(__xludf.DUMMYFUNCTION("""COMPUTED_VALUE"""),"building.pagoda@1")</f>
        <v>building.pagoda@1</v>
      </c>
      <c r="E100" s="18" t="str">
        <f>IFERROR(__xludf.DUMMYFUNCTION("""COMPUTED_VALUE"""),"state.character_level@4")</f>
        <v>state.character_level@4</v>
      </c>
    </row>
    <row r="101" ht="14.25" customHeight="1">
      <c r="A101" s="26" t="s">
        <v>368</v>
      </c>
      <c r="B101" s="26" t="s">
        <v>1422</v>
      </c>
      <c r="D101" s="18" t="str">
        <f>IFERROR(__xludf.DUMMYFUNCTION("""COMPUTED_VALUE"""),"building.pagoda@2")</f>
        <v>building.pagoda@2</v>
      </c>
      <c r="E101" s="18" t="str">
        <f>IFERROR(__xludf.DUMMYFUNCTION("""COMPUTED_VALUE"""),"building.pagoda@1")</f>
        <v>building.pagoda@1</v>
      </c>
    </row>
    <row r="102" ht="14.25" customHeight="1">
      <c r="A102" s="26" t="s">
        <v>370</v>
      </c>
      <c r="B102" s="26" t="s">
        <v>368</v>
      </c>
      <c r="D102" s="18" t="str">
        <f>IFERROR(__xludf.DUMMYFUNCTION("""COMPUTED_VALUE"""),"building.pagoda@2")</f>
        <v>building.pagoda@2</v>
      </c>
      <c r="E102" s="18" t="str">
        <f>IFERROR(__xludf.DUMMYFUNCTION("""COMPUTED_VALUE"""),"state.character_level@7")</f>
        <v>state.character_level@7</v>
      </c>
    </row>
    <row r="103" ht="14.25" customHeight="1">
      <c r="A103" s="26" t="s">
        <v>370</v>
      </c>
      <c r="B103" s="26" t="s">
        <v>1435</v>
      </c>
      <c r="D103" s="18" t="str">
        <f>IFERROR(__xludf.DUMMYFUNCTION("""COMPUTED_VALUE"""),"building.pagoda@3")</f>
        <v>building.pagoda@3</v>
      </c>
      <c r="E103" s="18" t="str">
        <f>IFERROR(__xludf.DUMMYFUNCTION("""COMPUTED_VALUE"""),"building.pagoda@2")</f>
        <v>building.pagoda@2</v>
      </c>
    </row>
    <row r="104" ht="14.25" customHeight="1">
      <c r="A104" s="26" t="s">
        <v>372</v>
      </c>
      <c r="B104" s="26" t="s">
        <v>370</v>
      </c>
      <c r="D104" s="18" t="str">
        <f>IFERROR(__xludf.DUMMYFUNCTION("""COMPUTED_VALUE"""),"building.pagoda@3")</f>
        <v>building.pagoda@3</v>
      </c>
      <c r="E104" s="18" t="str">
        <f>IFERROR(__xludf.DUMMYFUNCTION("""COMPUTED_VALUE"""),"state.character_level@10")</f>
        <v>state.character_level@10</v>
      </c>
    </row>
    <row r="105" ht="14.25" customHeight="1">
      <c r="A105" s="26" t="s">
        <v>372</v>
      </c>
      <c r="B105" s="26" t="s">
        <v>1382</v>
      </c>
      <c r="D105" s="18" t="str">
        <f>IFERROR(__xludf.DUMMYFUNCTION("""COMPUTED_VALUE"""),"building.pagoda@4")</f>
        <v>building.pagoda@4</v>
      </c>
      <c r="E105" s="18" t="str">
        <f>IFERROR(__xludf.DUMMYFUNCTION("""COMPUTED_VALUE"""),"building.pagoda@3")</f>
        <v>building.pagoda@3</v>
      </c>
    </row>
    <row r="106" ht="14.25" customHeight="1">
      <c r="A106" s="26" t="s">
        <v>374</v>
      </c>
      <c r="B106" s="26" t="s">
        <v>372</v>
      </c>
      <c r="D106" s="18" t="str">
        <f>IFERROR(__xludf.DUMMYFUNCTION("""COMPUTED_VALUE"""),"building.pagoda@4")</f>
        <v>building.pagoda@4</v>
      </c>
      <c r="E106" s="18" t="str">
        <f>IFERROR(__xludf.DUMMYFUNCTION("""COMPUTED_VALUE"""),"state.character_level@14")</f>
        <v>state.character_level@14</v>
      </c>
    </row>
    <row r="107" ht="14.25" customHeight="1">
      <c r="A107" s="26" t="s">
        <v>374</v>
      </c>
      <c r="B107" s="26" t="s">
        <v>1391</v>
      </c>
      <c r="D107" s="18" t="str">
        <f>IFERROR(__xludf.DUMMYFUNCTION("""COMPUTED_VALUE"""),"building.pagoda@5")</f>
        <v>building.pagoda@5</v>
      </c>
      <c r="E107" s="18" t="str">
        <f>IFERROR(__xludf.DUMMYFUNCTION("""COMPUTED_VALUE"""),"building.pagoda@4")</f>
        <v>building.pagoda@4</v>
      </c>
    </row>
    <row r="108" ht="14.25" customHeight="1">
      <c r="A108" s="26" t="s">
        <v>376</v>
      </c>
      <c r="B108" s="26" t="s">
        <v>374</v>
      </c>
      <c r="D108" s="18" t="str">
        <f>IFERROR(__xludf.DUMMYFUNCTION("""COMPUTED_VALUE"""),"building.pagoda@5")</f>
        <v>building.pagoda@5</v>
      </c>
      <c r="E108" s="18" t="str">
        <f>IFERROR(__xludf.DUMMYFUNCTION("""COMPUTED_VALUE"""),"state.character_level@18")</f>
        <v>state.character_level@18</v>
      </c>
    </row>
    <row r="109" ht="14.25" customHeight="1">
      <c r="A109" s="26" t="s">
        <v>376</v>
      </c>
      <c r="B109" s="26" t="s">
        <v>1395</v>
      </c>
      <c r="D109" s="18" t="str">
        <f>IFERROR(__xludf.DUMMYFUNCTION("""COMPUTED_VALUE"""),"building.pagoda@6")</f>
        <v>building.pagoda@6</v>
      </c>
      <c r="E109" s="18" t="str">
        <f>IFERROR(__xludf.DUMMYFUNCTION("""COMPUTED_VALUE"""),"building.pagoda@5")</f>
        <v>building.pagoda@5</v>
      </c>
    </row>
    <row r="110" ht="14.25" customHeight="1">
      <c r="A110" s="26" t="s">
        <v>378</v>
      </c>
      <c r="B110" s="26" t="s">
        <v>376</v>
      </c>
      <c r="D110" s="18" t="str">
        <f>IFERROR(__xludf.DUMMYFUNCTION("""COMPUTED_VALUE"""),"building.pagoda@6")</f>
        <v>building.pagoda@6</v>
      </c>
      <c r="E110" s="18" t="str">
        <f>IFERROR(__xludf.DUMMYFUNCTION("""COMPUTED_VALUE"""),"state.character_level@23")</f>
        <v>state.character_level@23</v>
      </c>
    </row>
    <row r="111" ht="14.25" customHeight="1">
      <c r="A111" s="26" t="s">
        <v>378</v>
      </c>
      <c r="B111" s="26" t="s">
        <v>1406</v>
      </c>
      <c r="D111" s="18" t="str">
        <f>IFERROR(__xludf.DUMMYFUNCTION("""COMPUTED_VALUE"""),"building.pagoda@7")</f>
        <v>building.pagoda@7</v>
      </c>
      <c r="E111" s="18" t="str">
        <f>IFERROR(__xludf.DUMMYFUNCTION("""COMPUTED_VALUE"""),"building.pagoda@6")</f>
        <v>building.pagoda@6</v>
      </c>
    </row>
    <row r="112" ht="14.25" customHeight="1">
      <c r="A112" s="26" t="s">
        <v>381</v>
      </c>
      <c r="B112" s="26" t="s">
        <v>378</v>
      </c>
      <c r="D112" s="18" t="str">
        <f>IFERROR(__xludf.DUMMYFUNCTION("""COMPUTED_VALUE"""),"building.pagoda@7")</f>
        <v>building.pagoda@7</v>
      </c>
      <c r="E112" s="18" t="str">
        <f>IFERROR(__xludf.DUMMYFUNCTION("""COMPUTED_VALUE"""),"state.character_level@28")</f>
        <v>state.character_level@28</v>
      </c>
    </row>
    <row r="113" ht="14.25" customHeight="1">
      <c r="A113" s="26" t="s">
        <v>381</v>
      </c>
      <c r="B113" s="26" t="s">
        <v>1411</v>
      </c>
      <c r="D113" s="18" t="str">
        <f>IFERROR(__xludf.DUMMYFUNCTION("""COMPUTED_VALUE"""),"building.pier@1")</f>
        <v>building.pier@1</v>
      </c>
      <c r="E113" s="18" t="str">
        <f>IFERROR(__xludf.DUMMYFUNCTION("""COMPUTED_VALUE"""),"building.warehouse@1")</f>
        <v>building.warehouse@1</v>
      </c>
    </row>
    <row r="114" ht="14.25" customHeight="1">
      <c r="A114" s="26" t="s">
        <v>383</v>
      </c>
      <c r="B114" s="26" t="s">
        <v>440</v>
      </c>
      <c r="D114" s="18" t="str">
        <f>IFERROR(__xludf.DUMMYFUNCTION("""COMPUTED_VALUE"""),"building.pier@1")</f>
        <v>building.pier@1</v>
      </c>
      <c r="E114" s="18" t="str">
        <f>IFERROR(__xludf.DUMMYFUNCTION("""COMPUTED_VALUE"""),"state.character_level@22")</f>
        <v>state.character_level@22</v>
      </c>
    </row>
    <row r="115" ht="14.25" customHeight="1">
      <c r="A115" s="26" t="s">
        <v>383</v>
      </c>
      <c r="B115" s="26" t="s">
        <v>1404</v>
      </c>
      <c r="D115" s="18" t="str">
        <f>IFERROR(__xludf.DUMMYFUNCTION("""COMPUTED_VALUE"""),"building.rock_garden.maxed")</f>
        <v>building.rock_garden.maxed</v>
      </c>
      <c r="E115" s="18" t="str">
        <f>IFERROR(__xludf.DUMMYFUNCTION("""COMPUTED_VALUE"""),"building.rock_garden@3")</f>
        <v>building.rock_garden@3</v>
      </c>
    </row>
    <row r="116" ht="14.25" customHeight="1">
      <c r="A116" s="26" t="s">
        <v>834</v>
      </c>
      <c r="B116" s="26" t="s">
        <v>390</v>
      </c>
      <c r="D116" s="18" t="str">
        <f>IFERROR(__xludf.DUMMYFUNCTION("""COMPUTED_VALUE"""),"building.rock_garden@1")</f>
        <v>building.rock_garden@1</v>
      </c>
      <c r="E116" s="18" t="str">
        <f>IFERROR(__xludf.DUMMYFUNCTION("""COMPUTED_VALUE"""),"state.character_level@13")</f>
        <v>state.character_level@13</v>
      </c>
    </row>
    <row r="117" ht="14.25" customHeight="1">
      <c r="A117" s="26" t="s">
        <v>385</v>
      </c>
      <c r="B117" s="26" t="s">
        <v>1388</v>
      </c>
      <c r="D117" s="18" t="str">
        <f>IFERROR(__xludf.DUMMYFUNCTION("""COMPUTED_VALUE"""),"building.rock_garden@2")</f>
        <v>building.rock_garden@2</v>
      </c>
      <c r="E117" s="18" t="str">
        <f>IFERROR(__xludf.DUMMYFUNCTION("""COMPUTED_VALUE"""),"building.rock_garden@1")</f>
        <v>building.rock_garden@1</v>
      </c>
    </row>
    <row r="118" ht="14.25" customHeight="1">
      <c r="A118" s="26" t="s">
        <v>388</v>
      </c>
      <c r="B118" s="26" t="s">
        <v>385</v>
      </c>
      <c r="D118" s="18" t="str">
        <f>IFERROR(__xludf.DUMMYFUNCTION("""COMPUTED_VALUE"""),"building.rock_garden@3")</f>
        <v>building.rock_garden@3</v>
      </c>
      <c r="E118" s="18" t="str">
        <f>IFERROR(__xludf.DUMMYFUNCTION("""COMPUTED_VALUE"""),"building.rock_garden@2")</f>
        <v>building.rock_garden@2</v>
      </c>
    </row>
    <row r="119" ht="14.25" customHeight="1">
      <c r="A119" s="26" t="s">
        <v>390</v>
      </c>
      <c r="B119" s="26" t="s">
        <v>388</v>
      </c>
      <c r="D119" s="18" t="str">
        <f>IFERROR(__xludf.DUMMYFUNCTION("""COMPUTED_VALUE"""),"building.ship@1")</f>
        <v>building.ship@1</v>
      </c>
      <c r="E119" s="18" t="str">
        <f>IFERROR(__xludf.DUMMYFUNCTION("""COMPUTED_VALUE"""),"building.pier@1")</f>
        <v>building.pier@1</v>
      </c>
    </row>
    <row r="120" ht="14.25" customHeight="1">
      <c r="A120" s="26" t="s">
        <v>393</v>
      </c>
      <c r="B120" s="26" t="s">
        <v>383</v>
      </c>
      <c r="D120" s="18" t="str">
        <f>IFERROR(__xludf.DUMMYFUNCTION("""COMPUTED_VALUE"""),"building.ship@1")</f>
        <v>building.ship@1</v>
      </c>
      <c r="E120" s="18" t="str">
        <f>IFERROR(__xludf.DUMMYFUNCTION("""COMPUTED_VALUE"""),"state.character_level@22")</f>
        <v>state.character_level@22</v>
      </c>
    </row>
    <row r="121" ht="14.25" customHeight="1">
      <c r="A121" s="26" t="s">
        <v>393</v>
      </c>
      <c r="B121" s="26" t="s">
        <v>1404</v>
      </c>
      <c r="D121" s="18" t="str">
        <f>IFERROR(__xludf.DUMMYFUNCTION("""COMPUTED_VALUE"""),"building.ship@2")</f>
        <v>building.ship@2</v>
      </c>
      <c r="E121" s="18" t="str">
        <f>IFERROR(__xludf.DUMMYFUNCTION("""COMPUTED_VALUE"""),"building.ship@1")</f>
        <v>building.ship@1</v>
      </c>
    </row>
    <row r="122" ht="14.25" customHeight="1">
      <c r="A122" s="26" t="s">
        <v>396</v>
      </c>
      <c r="B122" s="26" t="s">
        <v>393</v>
      </c>
      <c r="D122" s="18" t="str">
        <f>IFERROR(__xludf.DUMMYFUNCTION("""COMPUTED_VALUE"""),"building.ship@3")</f>
        <v>building.ship@3</v>
      </c>
      <c r="E122" s="18" t="str">
        <f>IFERROR(__xludf.DUMMYFUNCTION("""COMPUTED_VALUE"""),"building.ship@2")</f>
        <v>building.ship@2</v>
      </c>
    </row>
    <row r="123" ht="14.25" customHeight="1">
      <c r="A123" s="26" t="s">
        <v>399</v>
      </c>
      <c r="B123" s="26" t="s">
        <v>396</v>
      </c>
      <c r="D123" s="18" t="str">
        <f>IFERROR(__xludf.DUMMYFUNCTION("""COMPUTED_VALUE"""),"building.ship@4")</f>
        <v>building.ship@4</v>
      </c>
      <c r="E123" s="18" t="str">
        <f>IFERROR(__xludf.DUMMYFUNCTION("""COMPUTED_VALUE"""),"building.ship@3")</f>
        <v>building.ship@3</v>
      </c>
    </row>
    <row r="124" ht="14.25" customHeight="1">
      <c r="A124" s="26" t="s">
        <v>402</v>
      </c>
      <c r="B124" s="26" t="s">
        <v>399</v>
      </c>
      <c r="D124" s="18" t="str">
        <f>IFERROR(__xludf.DUMMYFUNCTION("""COMPUTED_VALUE"""),"building.shop.maxed")</f>
        <v>building.shop.maxed</v>
      </c>
      <c r="E124" s="18" t="str">
        <f>IFERROR(__xludf.DUMMYFUNCTION("""COMPUTED_VALUE"""),"building.shop@3")</f>
        <v>building.shop@3</v>
      </c>
    </row>
    <row r="125" ht="14.25" customHeight="1">
      <c r="A125" s="26" t="s">
        <v>854</v>
      </c>
      <c r="B125" s="26" t="s">
        <v>408</v>
      </c>
      <c r="D125" s="18" t="str">
        <f>IFERROR(__xludf.DUMMYFUNCTION("""COMPUTED_VALUE"""),"building.shop@1")</f>
        <v>building.shop@1</v>
      </c>
      <c r="E125" s="18" t="str">
        <f>IFERROR(__xludf.DUMMYFUNCTION("""COMPUTED_VALUE"""),"state.character_level@3")</f>
        <v>state.character_level@3</v>
      </c>
    </row>
    <row r="126" ht="14.25" customHeight="1">
      <c r="A126" s="26" t="s">
        <v>404</v>
      </c>
      <c r="B126" s="26" t="s">
        <v>1413</v>
      </c>
      <c r="D126" s="18" t="str">
        <f>IFERROR(__xludf.DUMMYFUNCTION("""COMPUTED_VALUE"""),"building.shop@2")</f>
        <v>building.shop@2</v>
      </c>
      <c r="E126" s="18" t="str">
        <f>IFERROR(__xludf.DUMMYFUNCTION("""COMPUTED_VALUE"""),"building.shop@1")</f>
        <v>building.shop@1</v>
      </c>
    </row>
    <row r="127" ht="14.25" customHeight="1">
      <c r="A127" s="26" t="s">
        <v>406</v>
      </c>
      <c r="B127" s="26" t="s">
        <v>404</v>
      </c>
      <c r="D127" s="18" t="str">
        <f>IFERROR(__xludf.DUMMYFUNCTION("""COMPUTED_VALUE"""),"building.shop@3")</f>
        <v>building.shop@3</v>
      </c>
      <c r="E127" s="18" t="str">
        <f>IFERROR(__xludf.DUMMYFUNCTION("""COMPUTED_VALUE"""),"building.shop@2")</f>
        <v>building.shop@2</v>
      </c>
    </row>
    <row r="128" ht="14.25" customHeight="1">
      <c r="A128" s="26" t="s">
        <v>408</v>
      </c>
      <c r="B128" s="26" t="s">
        <v>406</v>
      </c>
      <c r="D128" s="18" t="str">
        <f>IFERROR(__xludf.DUMMYFUNCTION("""COMPUTED_VALUE"""),"building.smithy.maxed")</f>
        <v>building.smithy.maxed</v>
      </c>
      <c r="E128" s="18" t="str">
        <f>IFERROR(__xludf.DUMMYFUNCTION("""COMPUTED_VALUE"""),"building.smithy@3")</f>
        <v>building.smithy@3</v>
      </c>
    </row>
    <row r="129" ht="14.25" customHeight="1">
      <c r="A129" s="26" t="s">
        <v>865</v>
      </c>
      <c r="B129" s="26" t="s">
        <v>415</v>
      </c>
      <c r="D129" s="18" t="str">
        <f>IFERROR(__xludf.DUMMYFUNCTION("""COMPUTED_VALUE"""),"building.smithy@1")</f>
        <v>building.smithy@1</v>
      </c>
      <c r="E129" s="18" t="str">
        <f>IFERROR(__xludf.DUMMYFUNCTION("""COMPUTED_VALUE"""),"state.character_level@9")</f>
        <v>state.character_level@9</v>
      </c>
    </row>
    <row r="130" ht="14.25" customHeight="1">
      <c r="A130" s="26" t="s">
        <v>410</v>
      </c>
      <c r="B130" s="26" t="s">
        <v>1442</v>
      </c>
      <c r="D130" s="18" t="str">
        <f>IFERROR(__xludf.DUMMYFUNCTION("""COMPUTED_VALUE"""),"building.smithy@2")</f>
        <v>building.smithy@2</v>
      </c>
      <c r="E130" s="18" t="str">
        <f>IFERROR(__xludf.DUMMYFUNCTION("""COMPUTED_VALUE"""),"building.smithy@1")</f>
        <v>building.smithy@1</v>
      </c>
    </row>
    <row r="131" ht="14.25" customHeight="1">
      <c r="A131" s="26" t="s">
        <v>414</v>
      </c>
      <c r="B131" s="26" t="s">
        <v>410</v>
      </c>
      <c r="D131" s="18" t="str">
        <f>IFERROR(__xludf.DUMMYFUNCTION("""COMPUTED_VALUE"""),"building.smithy@3")</f>
        <v>building.smithy@3</v>
      </c>
      <c r="E131" s="18" t="str">
        <f>IFERROR(__xludf.DUMMYFUNCTION("""COMPUTED_VALUE"""),"building.smithy@2")</f>
        <v>building.smithy@2</v>
      </c>
    </row>
    <row r="132" ht="14.25" customHeight="1">
      <c r="A132" s="26" t="s">
        <v>415</v>
      </c>
      <c r="B132" s="26" t="s">
        <v>414</v>
      </c>
      <c r="D132" s="18" t="str">
        <f>IFERROR(__xludf.DUMMYFUNCTION("""COMPUTED_VALUE"""),"building.station@1")</f>
        <v>building.station@1</v>
      </c>
      <c r="E132" s="18" t="str">
        <f>IFERROR(__xludf.DUMMYFUNCTION("""COMPUTED_VALUE"""),"state.character_level@50")</f>
        <v>state.character_level@50</v>
      </c>
    </row>
    <row r="133" ht="14.25" customHeight="1">
      <c r="A133" s="26" t="s">
        <v>418</v>
      </c>
      <c r="B133" s="26" t="s">
        <v>1429</v>
      </c>
      <c r="D133" s="18" t="str">
        <f>IFERROR(__xludf.DUMMYFUNCTION("""COMPUTED_VALUE"""),"building.station@1")</f>
        <v>building.station@1</v>
      </c>
      <c r="E133" s="18" t="str">
        <f>IFERROR(__xludf.DUMMYFUNCTION("""COMPUTED_VALUE"""),"building.bridge@1")</f>
        <v>building.bridge@1</v>
      </c>
    </row>
    <row r="134" ht="14.25" customHeight="1">
      <c r="A134" s="26" t="s">
        <v>418</v>
      </c>
      <c r="B134" s="26" t="s">
        <v>96</v>
      </c>
      <c r="D134" s="18" t="str">
        <f>IFERROR(__xludf.DUMMYFUNCTION("""COMPUTED_VALUE"""),"building.tailor.maxed")</f>
        <v>building.tailor.maxed</v>
      </c>
      <c r="E134" s="18" t="str">
        <f>IFERROR(__xludf.DUMMYFUNCTION("""COMPUTED_VALUE"""),"building.tailor@3")</f>
        <v>building.tailor@3</v>
      </c>
    </row>
    <row r="135" ht="14.25" customHeight="1">
      <c r="A135" s="26" t="s">
        <v>877</v>
      </c>
      <c r="B135" s="26" t="s">
        <v>424</v>
      </c>
      <c r="D135" s="18" t="str">
        <f>IFERROR(__xludf.DUMMYFUNCTION("""COMPUTED_VALUE"""),"building.tailor@1")</f>
        <v>building.tailor@1</v>
      </c>
      <c r="E135" s="18" t="str">
        <f>IFERROR(__xludf.DUMMYFUNCTION("""COMPUTED_VALUE"""),"building.bridge@1")</f>
        <v>building.bridge@1</v>
      </c>
    </row>
    <row r="136" ht="14.25" customHeight="1">
      <c r="A136" s="26" t="s">
        <v>420</v>
      </c>
      <c r="B136" s="26" t="s">
        <v>96</v>
      </c>
      <c r="D136" s="18" t="str">
        <f>IFERROR(__xludf.DUMMYFUNCTION("""COMPUTED_VALUE"""),"building.tailor@1")</f>
        <v>building.tailor@1</v>
      </c>
      <c r="E136" s="18" t="str">
        <f>IFERROR(__xludf.DUMMYFUNCTION("""COMPUTED_VALUE"""),"state.character_level@32")</f>
        <v>state.character_level@32</v>
      </c>
    </row>
    <row r="137" ht="14.25" customHeight="1">
      <c r="A137" s="26" t="s">
        <v>420</v>
      </c>
      <c r="B137" s="26" t="s">
        <v>1420</v>
      </c>
      <c r="D137" s="18" t="str">
        <f>IFERROR(__xludf.DUMMYFUNCTION("""COMPUTED_VALUE"""),"building.tailor@2")</f>
        <v>building.tailor@2</v>
      </c>
      <c r="E137" s="18" t="str">
        <f>IFERROR(__xludf.DUMMYFUNCTION("""COMPUTED_VALUE"""),"building.tailor@1")</f>
        <v>building.tailor@1</v>
      </c>
    </row>
    <row r="138" ht="14.25" customHeight="1">
      <c r="A138" s="26" t="s">
        <v>421</v>
      </c>
      <c r="B138" s="26" t="s">
        <v>420</v>
      </c>
      <c r="D138" s="18" t="str">
        <f>IFERROR(__xludf.DUMMYFUNCTION("""COMPUTED_VALUE"""),"building.tailor@3")</f>
        <v>building.tailor@3</v>
      </c>
      <c r="E138" s="18" t="str">
        <f>IFERROR(__xludf.DUMMYFUNCTION("""COMPUTED_VALUE"""),"building.tailor@2")</f>
        <v>building.tailor@2</v>
      </c>
    </row>
    <row r="139" ht="14.25" customHeight="1">
      <c r="A139" s="26" t="s">
        <v>424</v>
      </c>
      <c r="B139" s="26" t="s">
        <v>421</v>
      </c>
      <c r="D139" s="18" t="str">
        <f>IFERROR(__xludf.DUMMYFUNCTION("""COMPUTED_VALUE"""),"building.train.maxed")</f>
        <v>building.train.maxed</v>
      </c>
      <c r="E139" s="18" t="str">
        <f>IFERROR(__xludf.DUMMYFUNCTION("""COMPUTED_VALUE"""),"building.train@2")</f>
        <v>building.train@2</v>
      </c>
    </row>
    <row r="140" ht="14.25" customHeight="1">
      <c r="A140" s="26" t="s">
        <v>886</v>
      </c>
      <c r="B140" s="26" t="s">
        <v>429</v>
      </c>
      <c r="D140" s="18" t="str">
        <f>IFERROR(__xludf.DUMMYFUNCTION("""COMPUTED_VALUE"""),"building.train@1")</f>
        <v>building.train@1</v>
      </c>
      <c r="E140" s="18" t="str">
        <f>IFERROR(__xludf.DUMMYFUNCTION("""COMPUTED_VALUE"""),"building.station@1")</f>
        <v>building.station@1</v>
      </c>
    </row>
    <row r="141" ht="14.25" customHeight="1">
      <c r="A141" s="26" t="s">
        <v>427</v>
      </c>
      <c r="B141" s="26" t="s">
        <v>418</v>
      </c>
      <c r="D141" s="18" t="str">
        <f>IFERROR(__xludf.DUMMYFUNCTION("""COMPUTED_VALUE"""),"building.train@1")</f>
        <v>building.train@1</v>
      </c>
      <c r="E141" s="18" t="str">
        <f>IFERROR(__xludf.DUMMYFUNCTION("""COMPUTED_VALUE"""),"state.character_level@50")</f>
        <v>state.character_level@50</v>
      </c>
    </row>
    <row r="142" ht="14.25" customHeight="1">
      <c r="A142" s="26" t="s">
        <v>427</v>
      </c>
      <c r="B142" s="26" t="s">
        <v>1429</v>
      </c>
      <c r="D142" s="18" t="str">
        <f>IFERROR(__xludf.DUMMYFUNCTION("""COMPUTED_VALUE"""),"building.train@2")</f>
        <v>building.train@2</v>
      </c>
      <c r="E142" s="18" t="str">
        <f>IFERROR(__xludf.DUMMYFUNCTION("""COMPUTED_VALUE"""),"building.train@1")</f>
        <v>building.train@1</v>
      </c>
    </row>
    <row r="143" ht="14.25" customHeight="1">
      <c r="A143" s="26" t="s">
        <v>429</v>
      </c>
      <c r="B143" s="26" t="s">
        <v>427</v>
      </c>
      <c r="D143" s="18" t="str">
        <f>IFERROR(__xludf.DUMMYFUNCTION("""COMPUTED_VALUE"""),"building.train@2")</f>
        <v>building.train@2</v>
      </c>
      <c r="E143" s="18" t="str">
        <f>IFERROR(__xludf.DUMMYFUNCTION("""COMPUTED_VALUE"""),"state.action_send_train_to_sapporo")</f>
        <v>state.action_send_train_to_sapporo</v>
      </c>
    </row>
    <row r="144" ht="14.25" customHeight="1">
      <c r="A144" s="26" t="s">
        <v>429</v>
      </c>
      <c r="B144" s="26" t="s">
        <v>1356</v>
      </c>
      <c r="D144" s="18" t="str">
        <f>IFERROR(__xludf.DUMMYFUNCTION("""COMPUTED_VALUE"""),"building.train_freight_carriage@1")</f>
        <v>building.train_freight_carriage@1</v>
      </c>
      <c r="E144" s="18" t="str">
        <f>IFERROR(__xludf.DUMMYFUNCTION("""COMPUTED_VALUE"""),"building.train@1")</f>
        <v>building.train@1</v>
      </c>
    </row>
    <row r="145" ht="14.25" customHeight="1">
      <c r="A145" s="26" t="s">
        <v>431</v>
      </c>
      <c r="B145" s="26" t="s">
        <v>427</v>
      </c>
      <c r="D145" s="18" t="str">
        <f>IFERROR(__xludf.DUMMYFUNCTION("""COMPUTED_VALUE"""),"building.train_freight_carriage@2")</f>
        <v>building.train_freight_carriage@2</v>
      </c>
      <c r="E145" s="18" t="str">
        <f>IFERROR(__xludf.DUMMYFUNCTION("""COMPUTED_VALUE"""),"building.train_freight_carriage@1")</f>
        <v>building.train_freight_carriage@1</v>
      </c>
    </row>
    <row r="146" ht="14.25" customHeight="1">
      <c r="A146" s="26" t="s">
        <v>433</v>
      </c>
      <c r="B146" s="26" t="s">
        <v>431</v>
      </c>
      <c r="D146" s="18" t="str">
        <f>IFERROR(__xludf.DUMMYFUNCTION("""COMPUTED_VALUE"""),"building.train_passenger_carriage@1")</f>
        <v>building.train_passenger_carriage@1</v>
      </c>
      <c r="E146" s="18" t="str">
        <f>IFERROR(__xludf.DUMMYFUNCTION("""COMPUTED_VALUE"""),"building.train@1")</f>
        <v>building.train@1</v>
      </c>
    </row>
    <row r="147" ht="14.25" customHeight="1">
      <c r="A147" s="26" t="s">
        <v>435</v>
      </c>
      <c r="B147" s="26" t="s">
        <v>427</v>
      </c>
      <c r="D147" s="18" t="str">
        <f>IFERROR(__xludf.DUMMYFUNCTION("""COMPUTED_VALUE"""),"building.train_passenger_carriage@2")</f>
        <v>building.train_passenger_carriage@2</v>
      </c>
      <c r="E147" s="18" t="str">
        <f>IFERROR(__xludf.DUMMYFUNCTION("""COMPUTED_VALUE"""),"building.train_passenger_carriage@1")</f>
        <v>building.train_passenger_carriage@1</v>
      </c>
    </row>
    <row r="148" ht="14.25" customHeight="1">
      <c r="A148" s="26" t="s">
        <v>438</v>
      </c>
      <c r="B148" s="26" t="s">
        <v>435</v>
      </c>
      <c r="D148" s="18" t="str">
        <f>IFERROR(__xludf.DUMMYFUNCTION("""COMPUTED_VALUE"""),"building.warehouse.maxed")</f>
        <v>building.warehouse.maxed</v>
      </c>
      <c r="E148" s="18" t="str">
        <f>IFERROR(__xludf.DUMMYFUNCTION("""COMPUTED_VALUE"""),"building.warehouse@7")</f>
        <v>building.warehouse@7</v>
      </c>
    </row>
    <row r="149" ht="14.25" customHeight="1">
      <c r="A149" s="26" t="s">
        <v>900</v>
      </c>
      <c r="B149" s="26" t="s">
        <v>453</v>
      </c>
      <c r="D149" s="18" t="str">
        <f>IFERROR(__xludf.DUMMYFUNCTION("""COMPUTED_VALUE"""),"building.warehouse@1")</f>
        <v>building.warehouse@1</v>
      </c>
      <c r="E149" s="18" t="str">
        <f>IFERROR(__xludf.DUMMYFUNCTION("""COMPUTED_VALUE"""),"state.character_level@5")</f>
        <v>state.character_level@5</v>
      </c>
    </row>
    <row r="150" ht="14.25" customHeight="1">
      <c r="A150" s="26" t="s">
        <v>440</v>
      </c>
      <c r="B150" s="26" t="s">
        <v>1426</v>
      </c>
      <c r="D150" s="18" t="str">
        <f>IFERROR(__xludf.DUMMYFUNCTION("""COMPUTED_VALUE"""),"building.warehouse@2")</f>
        <v>building.warehouse@2</v>
      </c>
      <c r="E150" s="18" t="str">
        <f>IFERROR(__xludf.DUMMYFUNCTION("""COMPUTED_VALUE"""),"building.guild@2")</f>
        <v>building.guild@2</v>
      </c>
    </row>
    <row r="151" ht="14.25" customHeight="1">
      <c r="A151" s="26" t="s">
        <v>442</v>
      </c>
      <c r="B151" s="26" t="s">
        <v>282</v>
      </c>
      <c r="D151" s="18" t="str">
        <f>IFERROR(__xludf.DUMMYFUNCTION("""COMPUTED_VALUE"""),"building.warehouse@2")</f>
        <v>building.warehouse@2</v>
      </c>
      <c r="E151" s="18" t="str">
        <f>IFERROR(__xludf.DUMMYFUNCTION("""COMPUTED_VALUE"""),"building.warehouse@1")</f>
        <v>building.warehouse@1</v>
      </c>
    </row>
    <row r="152" ht="14.25" customHeight="1">
      <c r="A152" s="26" t="s">
        <v>442</v>
      </c>
      <c r="B152" s="26" t="s">
        <v>440</v>
      </c>
      <c r="D152" s="18" t="str">
        <f>IFERROR(__xludf.DUMMYFUNCTION("""COMPUTED_VALUE"""),"building.warehouse@3")</f>
        <v>building.warehouse@3</v>
      </c>
      <c r="E152" s="18" t="str">
        <f>IFERROR(__xludf.DUMMYFUNCTION("""COMPUTED_VALUE"""),"building.guild@3")</f>
        <v>building.guild@3</v>
      </c>
    </row>
    <row r="153" ht="14.25" customHeight="1">
      <c r="A153" s="26" t="s">
        <v>445</v>
      </c>
      <c r="B153" s="26" t="s">
        <v>291</v>
      </c>
      <c r="D153" s="18" t="str">
        <f>IFERROR(__xludf.DUMMYFUNCTION("""COMPUTED_VALUE"""),"building.warehouse@3")</f>
        <v>building.warehouse@3</v>
      </c>
      <c r="E153" s="18" t="str">
        <f>IFERROR(__xludf.DUMMYFUNCTION("""COMPUTED_VALUE"""),"building.warehouse@2")</f>
        <v>building.warehouse@2</v>
      </c>
    </row>
    <row r="154" ht="14.25" customHeight="1">
      <c r="A154" s="26" t="s">
        <v>445</v>
      </c>
      <c r="B154" s="26" t="s">
        <v>442</v>
      </c>
      <c r="D154" s="18" t="str">
        <f>IFERROR(__xludf.DUMMYFUNCTION("""COMPUTED_VALUE"""),"building.warehouse@4")</f>
        <v>building.warehouse@4</v>
      </c>
      <c r="E154" s="18" t="str">
        <f>IFERROR(__xludf.DUMMYFUNCTION("""COMPUTED_VALUE"""),"building.guild@4")</f>
        <v>building.guild@4</v>
      </c>
    </row>
    <row r="155" ht="14.25" customHeight="1">
      <c r="A155" s="26" t="s">
        <v>447</v>
      </c>
      <c r="B155" s="26" t="s">
        <v>295</v>
      </c>
      <c r="D155" s="18" t="str">
        <f>IFERROR(__xludf.DUMMYFUNCTION("""COMPUTED_VALUE"""),"building.warehouse@4")</f>
        <v>building.warehouse@4</v>
      </c>
      <c r="E155" s="18" t="str">
        <f>IFERROR(__xludf.DUMMYFUNCTION("""COMPUTED_VALUE"""),"building.warehouse@3")</f>
        <v>building.warehouse@3</v>
      </c>
    </row>
    <row r="156" ht="14.25" customHeight="1">
      <c r="A156" s="26" t="s">
        <v>447</v>
      </c>
      <c r="B156" s="26" t="s">
        <v>445</v>
      </c>
      <c r="D156" s="18" t="str">
        <f>IFERROR(__xludf.DUMMYFUNCTION("""COMPUTED_VALUE"""),"building.warehouse@5")</f>
        <v>building.warehouse@5</v>
      </c>
      <c r="E156" s="18" t="str">
        <f>IFERROR(__xludf.DUMMYFUNCTION("""COMPUTED_VALUE"""),"building.guild@5")</f>
        <v>building.guild@5</v>
      </c>
    </row>
    <row r="157" ht="14.25" customHeight="1">
      <c r="A157" s="26" t="s">
        <v>449</v>
      </c>
      <c r="B157" s="26" t="s">
        <v>302</v>
      </c>
      <c r="D157" s="18" t="str">
        <f>IFERROR(__xludf.DUMMYFUNCTION("""COMPUTED_VALUE"""),"building.warehouse@5")</f>
        <v>building.warehouse@5</v>
      </c>
      <c r="E157" s="18" t="str">
        <f>IFERROR(__xludf.DUMMYFUNCTION("""COMPUTED_VALUE"""),"building.warehouse@4")</f>
        <v>building.warehouse@4</v>
      </c>
    </row>
    <row r="158" ht="14.25" customHeight="1">
      <c r="A158" s="26" t="s">
        <v>449</v>
      </c>
      <c r="B158" s="26" t="s">
        <v>447</v>
      </c>
      <c r="D158" s="18" t="str">
        <f>IFERROR(__xludf.DUMMYFUNCTION("""COMPUTED_VALUE"""),"building.warehouse@6")</f>
        <v>building.warehouse@6</v>
      </c>
      <c r="E158" s="18" t="str">
        <f>IFERROR(__xludf.DUMMYFUNCTION("""COMPUTED_VALUE"""),"building.warehouse@5")</f>
        <v>building.warehouse@5</v>
      </c>
    </row>
    <row r="159" ht="14.25" customHeight="1">
      <c r="A159" s="26" t="s">
        <v>451</v>
      </c>
      <c r="B159" s="26" t="s">
        <v>449</v>
      </c>
      <c r="D159" s="18" t="str">
        <f>IFERROR(__xludf.DUMMYFUNCTION("""COMPUTED_VALUE"""),"building.warehouse@7")</f>
        <v>building.warehouse@7</v>
      </c>
      <c r="E159" s="18" t="str">
        <f>IFERROR(__xludf.DUMMYFUNCTION("""COMPUTED_VALUE"""),"building.warehouse@6")</f>
        <v>building.warehouse@6</v>
      </c>
    </row>
    <row r="160" ht="14.25" customHeight="1">
      <c r="A160" s="26" t="s">
        <v>453</v>
      </c>
      <c r="B160" s="26" t="s">
        <v>451</v>
      </c>
      <c r="D160" s="18" t="str">
        <f>IFERROR(__xludf.DUMMYFUNCTION("""COMPUTED_VALUE"""),"building.windmill.maxed")</f>
        <v>building.windmill.maxed</v>
      </c>
      <c r="E160" s="18" t="str">
        <f>IFERROR(__xludf.DUMMYFUNCTION("""COMPUTED_VALUE"""),"building.windmill@2")</f>
        <v>building.windmill@2</v>
      </c>
    </row>
    <row r="161" ht="14.25" customHeight="1">
      <c r="A161" s="26" t="s">
        <v>915</v>
      </c>
      <c r="B161" s="26" t="s">
        <v>457</v>
      </c>
      <c r="D161" s="18" t="str">
        <f>IFERROR(__xludf.DUMMYFUNCTION("""COMPUTED_VALUE"""),"building.windmill@1")</f>
        <v>building.windmill@1</v>
      </c>
      <c r="E161" s="18" t="str">
        <f>IFERROR(__xludf.DUMMYFUNCTION("""COMPUTED_VALUE"""),"state.character_level@9")</f>
        <v>state.character_level@9</v>
      </c>
    </row>
    <row r="162" ht="14.25" customHeight="1">
      <c r="A162" s="26" t="s">
        <v>455</v>
      </c>
      <c r="B162" s="26" t="s">
        <v>1442</v>
      </c>
      <c r="D162" s="18" t="str">
        <f>IFERROR(__xludf.DUMMYFUNCTION("""COMPUTED_VALUE"""),"building.windmill@2")</f>
        <v>building.windmill@2</v>
      </c>
      <c r="E162" s="18" t="str">
        <f>IFERROR(__xludf.DUMMYFUNCTION("""COMPUTED_VALUE"""),"building.windmill@1")</f>
        <v>building.windmill@1</v>
      </c>
    </row>
    <row r="163" ht="14.25" customHeight="1">
      <c r="A163" s="26" t="s">
        <v>457</v>
      </c>
      <c r="B163" s="26" t="s">
        <v>455</v>
      </c>
      <c r="D163" s="18" t="str">
        <f>IFERROR(__xludf.DUMMYFUNCTION("""COMPUTED_VALUE"""),"building.workshop.maxed")</f>
        <v>building.workshop.maxed</v>
      </c>
      <c r="E163" s="18" t="str">
        <f>IFERROR(__xludf.DUMMYFUNCTION("""COMPUTED_VALUE"""),"building.workshop@5")</f>
        <v>building.workshop@5</v>
      </c>
    </row>
    <row r="164" ht="14.25" customHeight="1">
      <c r="A164" s="26" t="s">
        <v>921</v>
      </c>
      <c r="B164" s="26" t="s">
        <v>478</v>
      </c>
      <c r="D164" s="18" t="str">
        <f>IFERROR(__xludf.DUMMYFUNCTION("""COMPUTED_VALUE"""),"building.workshop@1")</f>
        <v>building.workshop@1</v>
      </c>
      <c r="E164" s="18" t="str">
        <f>IFERROR(__xludf.DUMMYFUNCTION("""COMPUTED_VALUE"""),"state.character_level@2")</f>
        <v>state.character_level@2</v>
      </c>
    </row>
    <row r="165" ht="14.25" customHeight="1">
      <c r="A165" s="26" t="s">
        <v>460</v>
      </c>
      <c r="B165" s="26" t="s">
        <v>1397</v>
      </c>
      <c r="D165" s="18" t="str">
        <f>IFERROR(__xludf.DUMMYFUNCTION("""COMPUTED_VALUE"""),"building.workshop@2")</f>
        <v>building.workshop@2</v>
      </c>
      <c r="E165" s="18" t="str">
        <f>IFERROR(__xludf.DUMMYFUNCTION("""COMPUTED_VALUE"""),"building.workshop@1")</f>
        <v>building.workshop@1</v>
      </c>
    </row>
    <row r="166" ht="14.25" customHeight="1">
      <c r="A166" s="26" t="s">
        <v>463</v>
      </c>
      <c r="B166" s="26" t="s">
        <v>460</v>
      </c>
      <c r="D166" s="18" t="str">
        <f>IFERROR(__xludf.DUMMYFUNCTION("""COMPUTED_VALUE"""),"building.workshop@3")</f>
        <v>building.workshop@3</v>
      </c>
      <c r="E166" s="18" t="str">
        <f>IFERROR(__xludf.DUMMYFUNCTION("""COMPUTED_VALUE"""),"building.workshop@2")</f>
        <v>building.workshop@2</v>
      </c>
    </row>
    <row r="167" ht="14.25" customHeight="1">
      <c r="A167" s="26" t="s">
        <v>473</v>
      </c>
      <c r="B167" s="26" t="s">
        <v>463</v>
      </c>
      <c r="D167" s="18" t="str">
        <f>IFERROR(__xludf.DUMMYFUNCTION("""COMPUTED_VALUE"""),"building.workshop@4")</f>
        <v>building.workshop@4</v>
      </c>
      <c r="E167" s="18" t="str">
        <f>IFERROR(__xludf.DUMMYFUNCTION("""COMPUTED_VALUE"""),"building.workshop@3")</f>
        <v>building.workshop@3</v>
      </c>
    </row>
    <row r="168" ht="14.25" customHeight="1">
      <c r="A168" s="26" t="s">
        <v>475</v>
      </c>
      <c r="B168" s="26" t="s">
        <v>473</v>
      </c>
      <c r="D168" s="18" t="str">
        <f>IFERROR(__xludf.DUMMYFUNCTION("""COMPUTED_VALUE"""),"building.workshop@5")</f>
        <v>building.workshop@5</v>
      </c>
      <c r="E168" s="18" t="str">
        <f>IFERROR(__xludf.DUMMYFUNCTION("""COMPUTED_VALUE"""),"building.workshop@4")</f>
        <v>building.workshop@4</v>
      </c>
    </row>
    <row r="169" ht="14.25" customHeight="1">
      <c r="A169" s="26" t="s">
        <v>478</v>
      </c>
      <c r="B169" s="26" t="s">
        <v>475</v>
      </c>
      <c r="D169" s="18" t="str">
        <f>IFERROR(__xludf.DUMMYFUNCTION("""COMPUTED_VALUE"""),"citadel.armory")</f>
        <v>citadel.armory</v>
      </c>
      <c r="E169" s="18" t="str">
        <f>IFERROR(__xludf.DUMMYFUNCTION("""COMPUTED_VALUE"""),"tech.dungeon.great_hall")</f>
        <v>tech.dungeon.great_hall</v>
      </c>
    </row>
    <row r="170" ht="14.25" customHeight="1">
      <c r="A170" s="26" t="s">
        <v>480</v>
      </c>
      <c r="B170" s="26" t="s">
        <v>1758</v>
      </c>
      <c r="D170" s="18" t="str">
        <f>IFERROR(__xludf.DUMMYFUNCTION("""COMPUTED_VALUE"""),"citadel.armory")</f>
        <v>citadel.armory</v>
      </c>
      <c r="E170" s="18" t="str">
        <f>IFERROR(__xludf.DUMMYFUNCTION("""COMPUTED_VALUE"""),"quest.once_upon_a_forest_chapter_15.finished")</f>
        <v>quest.once_upon_a_forest_chapter_15.finished</v>
      </c>
    </row>
    <row r="171" ht="14.25" customHeight="1">
      <c r="A171" s="26" t="s">
        <v>480</v>
      </c>
      <c r="B171" s="26" t="s">
        <v>1127</v>
      </c>
      <c r="D171" s="18" t="str">
        <f>IFERROR(__xludf.DUMMYFUNCTION("""COMPUTED_VALUE"""),"citadel.attic")</f>
        <v>citadel.attic</v>
      </c>
      <c r="E171" s="18" t="str">
        <f>IFERROR(__xludf.DUMMYFUNCTION("""COMPUTED_VALUE"""),"tech.dungeon.great_hall")</f>
        <v>tech.dungeon.great_hall</v>
      </c>
    </row>
    <row r="172" ht="14.25" customHeight="1">
      <c r="A172" s="26" t="s">
        <v>482</v>
      </c>
      <c r="B172" s="26" t="s">
        <v>1758</v>
      </c>
      <c r="D172" s="18" t="str">
        <f>IFERROR(__xludf.DUMMYFUNCTION("""COMPUTED_VALUE"""),"citadel.attic")</f>
        <v>citadel.attic</v>
      </c>
      <c r="E172" s="18" t="str">
        <f>IFERROR(__xludf.DUMMYFUNCTION("""COMPUTED_VALUE"""),"building.dungeon@5")</f>
        <v>building.dungeon@5</v>
      </c>
    </row>
    <row r="173" ht="14.25" customHeight="1">
      <c r="A173" s="26" t="s">
        <v>482</v>
      </c>
      <c r="B173" s="26" t="s">
        <v>177</v>
      </c>
      <c r="D173" s="18" t="str">
        <f>IFERROR(__xludf.DUMMYFUNCTION("""COMPUTED_VALUE"""),"citadel.cheese_cave")</f>
        <v>citadel.cheese_cave</v>
      </c>
      <c r="E173" s="18" t="str">
        <f>IFERROR(__xludf.DUMMYFUNCTION("""COMPUTED_VALUE"""),"citadel.great_hall")</f>
        <v>citadel.great_hall</v>
      </c>
    </row>
    <row r="174" ht="14.25" customHeight="1">
      <c r="A174" s="26" t="s">
        <v>498</v>
      </c>
      <c r="B174" s="26" t="s">
        <v>505</v>
      </c>
      <c r="D174" s="18" t="str">
        <f>IFERROR(__xludf.DUMMYFUNCTION("""COMPUTED_VALUE"""),"citadel.cheese_cave")</f>
        <v>citadel.cheese_cave</v>
      </c>
      <c r="E174" s="18" t="str">
        <f>IFERROR(__xludf.DUMMYFUNCTION("""COMPUTED_VALUE"""),"quest.the_ordinary_days_of_an_adventurer_chapter_6.accepted")</f>
        <v>quest.the_ordinary_days_of_an_adventurer_chapter_6.accepted</v>
      </c>
    </row>
    <row r="175" ht="14.25" customHeight="1">
      <c r="A175" s="26" t="s">
        <v>498</v>
      </c>
      <c r="B175" s="26" t="s">
        <v>1325</v>
      </c>
      <c r="D175" s="18" t="str">
        <f>IFERROR(__xludf.DUMMYFUNCTION("""COMPUTED_VALUE"""),"citadel.courtyard")</f>
        <v>citadel.courtyard</v>
      </c>
      <c r="E175" s="18" t="str">
        <f>IFERROR(__xludf.DUMMYFUNCTION("""COMPUTED_VALUE"""),"citadel.great_hall")</f>
        <v>citadel.great_hall</v>
      </c>
    </row>
    <row r="176" ht="14.25" customHeight="1">
      <c r="A176" s="26" t="s">
        <v>500</v>
      </c>
      <c r="B176" s="26" t="s">
        <v>505</v>
      </c>
      <c r="D176" s="18" t="str">
        <f>IFERROR(__xludf.DUMMYFUNCTION("""COMPUTED_VALUE"""),"citadel.courtyard")</f>
        <v>citadel.courtyard</v>
      </c>
      <c r="E176" s="18" t="str">
        <f>IFERROR(__xludf.DUMMYFUNCTION("""COMPUTED_VALUE"""),"building.dungeon@5")</f>
        <v>building.dungeon@5</v>
      </c>
    </row>
    <row r="177" ht="14.25" customHeight="1">
      <c r="A177" s="26" t="s">
        <v>500</v>
      </c>
      <c r="B177" s="26" t="s">
        <v>177</v>
      </c>
      <c r="D177" s="18" t="str">
        <f>IFERROR(__xludf.DUMMYFUNCTION("""COMPUTED_VALUE"""),"citadel.courtyard")</f>
        <v>citadel.courtyard</v>
      </c>
      <c r="E177" s="18" t="str">
        <f>IFERROR(__xludf.DUMMYFUNCTION("""COMPUTED_VALUE"""),"quest.once_upon_a_forest_chapter_2.finished")</f>
        <v>quest.once_upon_a_forest_chapter_2.finished</v>
      </c>
    </row>
    <row r="178" ht="14.25" customHeight="1">
      <c r="A178" s="21" t="s">
        <v>500</v>
      </c>
      <c r="B178" s="26" t="s">
        <v>1134</v>
      </c>
      <c r="D178" s="18" t="str">
        <f>IFERROR(__xludf.DUMMYFUNCTION("""COMPUTED_VALUE"""),"citadel.gallery")</f>
        <v>citadel.gallery</v>
      </c>
      <c r="E178" s="18" t="str">
        <f>IFERROR(__xludf.DUMMYFUNCTION("""COMPUTED_VALUE"""),"tech.dungeon.great_hall")</f>
        <v>tech.dungeon.great_hall</v>
      </c>
    </row>
    <row r="179" ht="14.25" customHeight="1">
      <c r="A179" s="26" t="s">
        <v>502</v>
      </c>
      <c r="B179" s="26" t="s">
        <v>1758</v>
      </c>
      <c r="D179" s="18" t="str">
        <f>IFERROR(__xludf.DUMMYFUNCTION("""COMPUTED_VALUE"""),"citadel.gallery")</f>
        <v>citadel.gallery</v>
      </c>
      <c r="E179" s="18" t="str">
        <f>IFERROR(__xludf.DUMMYFUNCTION("""COMPUTED_VALUE"""),"quest.once_upon_a_forest_chapter_15.finished")</f>
        <v>quest.once_upon_a_forest_chapter_15.finished</v>
      </c>
    </row>
    <row r="180" ht="14.25" customHeight="1">
      <c r="A180" s="26" t="s">
        <v>502</v>
      </c>
      <c r="B180" s="26" t="s">
        <v>1127</v>
      </c>
      <c r="D180" s="18" t="str">
        <f>IFERROR(__xludf.DUMMYFUNCTION("""COMPUTED_VALUE"""),"citadel.great_hall")</f>
        <v>citadel.great_hall</v>
      </c>
      <c r="E180" s="18" t="str">
        <f>IFERROR(__xludf.DUMMYFUNCTION("""COMPUTED_VALUE"""),"building.dungeon@3")</f>
        <v>building.dungeon@3</v>
      </c>
    </row>
    <row r="181" ht="14.25" customHeight="1">
      <c r="A181" s="26" t="s">
        <v>505</v>
      </c>
      <c r="B181" s="26" t="s">
        <v>165</v>
      </c>
      <c r="D181" s="18" t="str">
        <f>IFERROR(__xludf.DUMMYFUNCTION("""COMPUTED_VALUE"""),"citadel.kitchen_and_buttery")</f>
        <v>citadel.kitchen_and_buttery</v>
      </c>
      <c r="E181" s="18" t="str">
        <f>IFERROR(__xludf.DUMMYFUNCTION("""COMPUTED_VALUE"""),"tech.dungeon.great_hall")</f>
        <v>tech.dungeon.great_hall</v>
      </c>
    </row>
    <row r="182" ht="14.25" customHeight="1">
      <c r="A182" s="26" t="s">
        <v>509</v>
      </c>
      <c r="B182" s="26" t="s">
        <v>1758</v>
      </c>
      <c r="D182" s="18" t="str">
        <f>IFERROR(__xludf.DUMMYFUNCTION("""COMPUTED_VALUE"""),"citadel.kitchen_and_buttery")</f>
        <v>citadel.kitchen_and_buttery</v>
      </c>
      <c r="E182" s="18" t="str">
        <f>IFERROR(__xludf.DUMMYFUNCTION("""COMPUTED_VALUE"""),"building.dungeon@4")</f>
        <v>building.dungeon@4</v>
      </c>
    </row>
    <row r="183" ht="14.25" customHeight="1">
      <c r="A183" s="26" t="s">
        <v>509</v>
      </c>
      <c r="B183" s="26" t="s">
        <v>172</v>
      </c>
      <c r="D183" s="18" t="str">
        <f>IFERROR(__xludf.DUMMYFUNCTION("""COMPUTED_VALUE"""),"citadel.lair_lvl_1")</f>
        <v>citadel.lair_lvl_1</v>
      </c>
      <c r="E183" s="18" t="str">
        <f>IFERROR(__xludf.DUMMYFUNCTION("""COMPUTED_VALUE"""),"tech.dungeon.great_hall")</f>
        <v>tech.dungeon.great_hall</v>
      </c>
    </row>
    <row r="184" ht="14.25" customHeight="1">
      <c r="A184" s="26" t="s">
        <v>511</v>
      </c>
      <c r="B184" s="26" t="s">
        <v>1758</v>
      </c>
      <c r="D184" s="18" t="str">
        <f>IFERROR(__xludf.DUMMYFUNCTION("""COMPUTED_VALUE"""),"citadel.lair_lvl_1")</f>
        <v>citadel.lair_lvl_1</v>
      </c>
      <c r="E184" s="18" t="str">
        <f>IFERROR(__xludf.DUMMYFUNCTION("""COMPUTED_VALUE"""),"building.dungeon@5")</f>
        <v>building.dungeon@5</v>
      </c>
    </row>
    <row r="185" ht="14.25" customHeight="1">
      <c r="A185" s="26" t="s">
        <v>511</v>
      </c>
      <c r="B185" s="26" t="s">
        <v>177</v>
      </c>
      <c r="D185" s="18" t="str">
        <f>IFERROR(__xludf.DUMMYFUNCTION("""COMPUTED_VALUE"""),"citadel.lair_lvl_1")</f>
        <v>citadel.lair_lvl_1</v>
      </c>
      <c r="E185" s="18" t="str">
        <f>IFERROR(__xludf.DUMMYFUNCTION("""COMPUTED_VALUE"""),"state.action_tame_a_critter")</f>
        <v>state.action_tame_a_critter</v>
      </c>
    </row>
    <row r="186" ht="14.25" customHeight="1">
      <c r="A186" s="26" t="s">
        <v>511</v>
      </c>
      <c r="B186" s="26" t="s">
        <v>1358</v>
      </c>
      <c r="D186" s="18" t="str">
        <f>IFERROR(__xludf.DUMMYFUNCTION("""COMPUTED_VALUE"""),"citadel.lair_lvl_2")</f>
        <v>citadel.lair_lvl_2</v>
      </c>
      <c r="E186" s="18" t="str">
        <f>IFERROR(__xludf.DUMMYFUNCTION("""COMPUTED_VALUE"""),"citadel.lair_lvl_1")</f>
        <v>citadel.lair_lvl_1</v>
      </c>
    </row>
    <row r="187" ht="14.25" customHeight="1">
      <c r="A187" s="26" t="s">
        <v>513</v>
      </c>
      <c r="B187" s="26" t="s">
        <v>511</v>
      </c>
      <c r="D187" s="18" t="str">
        <f>IFERROR(__xludf.DUMMYFUNCTION("""COMPUTED_VALUE"""),"citadel.mushroom_farm")</f>
        <v>citadel.mushroom_farm</v>
      </c>
      <c r="E187" s="18" t="str">
        <f>IFERROR(__xludf.DUMMYFUNCTION("""COMPUTED_VALUE"""),"tech.dungeon.great_hall")</f>
        <v>tech.dungeon.great_hall</v>
      </c>
    </row>
    <row r="188" ht="14.25" customHeight="1">
      <c r="A188" s="26" t="s">
        <v>515</v>
      </c>
      <c r="B188" s="26" t="s">
        <v>1758</v>
      </c>
      <c r="D188" s="18" t="str">
        <f>IFERROR(__xludf.DUMMYFUNCTION("""COMPUTED_VALUE"""),"citadel.orangery")</f>
        <v>citadel.orangery</v>
      </c>
      <c r="E188" s="18" t="str">
        <f>IFERROR(__xludf.DUMMYFUNCTION("""COMPUTED_VALUE"""),"tech.dungeon.great_hall")</f>
        <v>tech.dungeon.great_hall</v>
      </c>
    </row>
    <row r="189" ht="14.25" customHeight="1">
      <c r="A189" s="26" t="s">
        <v>516</v>
      </c>
      <c r="B189" s="26" t="s">
        <v>1758</v>
      </c>
      <c r="D189" s="18" t="str">
        <f>IFERROR(__xludf.DUMMYFUNCTION("""COMPUTED_VALUE"""),"citadel.pantry")</f>
        <v>citadel.pantry</v>
      </c>
      <c r="E189" s="18" t="str">
        <f>IFERROR(__xludf.DUMMYFUNCTION("""COMPUTED_VALUE"""),"tech.dungeon.great_hall")</f>
        <v>tech.dungeon.great_hall</v>
      </c>
    </row>
    <row r="190" ht="14.25" customHeight="1">
      <c r="A190" s="26" t="s">
        <v>518</v>
      </c>
      <c r="B190" s="26" t="s">
        <v>1758</v>
      </c>
      <c r="D190" s="18" t="str">
        <f>IFERROR(__xludf.DUMMYFUNCTION("""COMPUTED_VALUE"""),"citadel.pantry")</f>
        <v>citadel.pantry</v>
      </c>
      <c r="E190" s="18" t="str">
        <f>IFERROR(__xludf.DUMMYFUNCTION("""COMPUTED_VALUE"""),"building.dungeon@4")</f>
        <v>building.dungeon@4</v>
      </c>
    </row>
    <row r="191" ht="14.25" customHeight="1">
      <c r="A191" s="26" t="s">
        <v>518</v>
      </c>
      <c r="B191" s="26" t="s">
        <v>172</v>
      </c>
      <c r="D191" s="18" t="str">
        <f>IFERROR(__xludf.DUMMYFUNCTION("""COMPUTED_VALUE"""),"citadel.tavern")</f>
        <v>citadel.tavern</v>
      </c>
      <c r="E191" s="18" t="str">
        <f>IFERROR(__xludf.DUMMYFUNCTION("""COMPUTED_VALUE"""),"tech.dungeon.great_hall")</f>
        <v>tech.dungeon.great_hall</v>
      </c>
    </row>
    <row r="192" ht="14.25" customHeight="1">
      <c r="A192" s="26" t="s">
        <v>521</v>
      </c>
      <c r="B192" s="26" t="s">
        <v>1758</v>
      </c>
      <c r="D192" s="18" t="str">
        <f>IFERROR(__xludf.DUMMYFUNCTION("""COMPUTED_VALUE"""),"citadel.tavern")</f>
        <v>citadel.tavern</v>
      </c>
      <c r="E192" s="18" t="str">
        <f>IFERROR(__xludf.DUMMYFUNCTION("""COMPUTED_VALUE"""),"building.dungeon@5")</f>
        <v>building.dungeon@5</v>
      </c>
    </row>
    <row r="193" ht="14.25" customHeight="1">
      <c r="A193" s="26" t="s">
        <v>521</v>
      </c>
      <c r="B193" s="26" t="s">
        <v>177</v>
      </c>
      <c r="D193" s="18" t="str">
        <f>IFERROR(__xludf.DUMMYFUNCTION("""COMPUTED_VALUE"""),"citadel.treasury")</f>
        <v>citadel.treasury</v>
      </c>
      <c r="E193" s="18" t="str">
        <f>IFERROR(__xludf.DUMMYFUNCTION("""COMPUTED_VALUE"""),"tech.dungeon.great_hall")</f>
        <v>tech.dungeon.great_hall</v>
      </c>
    </row>
    <row r="194" ht="14.25" customHeight="1">
      <c r="A194" s="26" t="s">
        <v>523</v>
      </c>
      <c r="B194" s="26" t="s">
        <v>1758</v>
      </c>
      <c r="D194" s="18" t="str">
        <f>IFERROR(__xludf.DUMMYFUNCTION("""COMPUTED_VALUE"""),"citadel.treasury")</f>
        <v>citadel.treasury</v>
      </c>
      <c r="E194" s="18" t="str">
        <f>IFERROR(__xludf.DUMMYFUNCTION("""COMPUTED_VALUE"""),"quest.once_upon_a_forest_chapter_15.finished")</f>
        <v>quest.once_upon_a_forest_chapter_15.finished</v>
      </c>
    </row>
    <row r="195" ht="14.25" customHeight="1">
      <c r="A195" s="26" t="s">
        <v>523</v>
      </c>
      <c r="B195" s="26" t="s">
        <v>1127</v>
      </c>
      <c r="D195" s="18" t="str">
        <f>IFERROR(__xludf.DUMMYFUNCTION("""COMPUTED_VALUE"""),"state.complete_dungeon@6D")</f>
        <v>state.complete_dungeon@6D</v>
      </c>
      <c r="E195" s="18" t="str">
        <f>IFERROR(__xludf.DUMMYFUNCTION("""COMPUTED_VALUE"""),"quest.ahead_of_time_chapter_3.accepted")</f>
        <v>quest.ahead_of_time_chapter_3.accepted</v>
      </c>
    </row>
    <row r="196" ht="14.25" customHeight="1">
      <c r="A196" s="26" t="s">
        <v>1689</v>
      </c>
      <c r="B196" s="89" t="s">
        <v>942</v>
      </c>
      <c r="D196" s="18" t="str">
        <f>IFERROR(__xludf.DUMMYFUNCTION("""COMPUTED_VALUE"""),"citadel.tunnel")</f>
        <v>citadel.tunnel</v>
      </c>
      <c r="E196" s="18" t="str">
        <f>IFERROR(__xludf.DUMMYFUNCTION("""COMPUTED_VALUE"""),"quest.ahead_of_time_chapter_2.accepted")</f>
        <v>quest.ahead_of_time_chapter_2.accepted</v>
      </c>
    </row>
    <row r="197" ht="14.25" customHeight="1">
      <c r="A197" s="26" t="s">
        <v>525</v>
      </c>
      <c r="B197" s="26" t="s">
        <v>933</v>
      </c>
      <c r="D197" s="18" t="str">
        <f>IFERROR(__xludf.DUMMYFUNCTION("""COMPUTED_VALUE"""),"collection.alchemist_hall_1@1")</f>
        <v>collection.alchemist_hall_1@1</v>
      </c>
      <c r="E197" s="18" t="str">
        <f>IFERROR(__xludf.DUMMYFUNCTION("""COMPUTED_VALUE"""),"collection.cave_in_alchemist_hall@1")</f>
        <v>collection.cave_in_alchemist_hall@1</v>
      </c>
    </row>
    <row r="198" ht="14.25" customHeight="1">
      <c r="A198" s="21" t="s">
        <v>528</v>
      </c>
      <c r="B198" s="21" t="s">
        <v>575</v>
      </c>
      <c r="D198" s="18" t="str">
        <f>IFERROR(__xludf.DUMMYFUNCTION("""COMPUTED_VALUE"""),"collection.alchemist_hall_1@2")</f>
        <v>collection.alchemist_hall_1@2</v>
      </c>
      <c r="E198" s="18" t="str">
        <f>IFERROR(__xludf.DUMMYFUNCTION("""COMPUTED_VALUE"""),"collection.alchemist_hall_1@1")</f>
        <v>collection.alchemist_hall_1@1</v>
      </c>
    </row>
    <row r="199" ht="14.25" customHeight="1">
      <c r="A199" s="21" t="s">
        <v>532</v>
      </c>
      <c r="B199" s="21" t="s">
        <v>528</v>
      </c>
      <c r="D199" s="18" t="str">
        <f>IFERROR(__xludf.DUMMYFUNCTION("""COMPUTED_VALUE"""),"collection.alchemist_hall_2@1")</f>
        <v>collection.alchemist_hall_2@1</v>
      </c>
      <c r="E199" s="18" t="str">
        <f>IFERROR(__xludf.DUMMYFUNCTION("""COMPUTED_VALUE"""),"collection.cave_in_alchemist_hall@1")</f>
        <v>collection.cave_in_alchemist_hall@1</v>
      </c>
    </row>
    <row r="200" ht="14.25" customHeight="1">
      <c r="A200" s="21" t="s">
        <v>535</v>
      </c>
      <c r="B200" s="21" t="s">
        <v>575</v>
      </c>
      <c r="D200" s="18" t="str">
        <f>IFERROR(__xludf.DUMMYFUNCTION("""COMPUTED_VALUE"""),"collection.alchemist_hall_2@2")</f>
        <v>collection.alchemist_hall_2@2</v>
      </c>
      <c r="E200" s="18" t="str">
        <f>IFERROR(__xludf.DUMMYFUNCTION("""COMPUTED_VALUE"""),"collection.alchemist_hall_2@1")</f>
        <v>collection.alchemist_hall_2@1</v>
      </c>
    </row>
    <row r="201" ht="14.25" customHeight="1">
      <c r="A201" s="21" t="s">
        <v>537</v>
      </c>
      <c r="B201" s="21" t="s">
        <v>535</v>
      </c>
      <c r="D201" s="18" t="str">
        <f>IFERROR(__xludf.DUMMYFUNCTION("""COMPUTED_VALUE"""),"collection.alchemist_hall_3@1")</f>
        <v>collection.alchemist_hall_3@1</v>
      </c>
      <c r="E201" s="18" t="str">
        <f>IFERROR(__xludf.DUMMYFUNCTION("""COMPUTED_VALUE"""),"collection.cave_in_alchemist_hall@1")</f>
        <v>collection.cave_in_alchemist_hall@1</v>
      </c>
    </row>
    <row r="202" ht="14.25" customHeight="1">
      <c r="A202" s="21" t="s">
        <v>540</v>
      </c>
      <c r="B202" s="21" t="s">
        <v>575</v>
      </c>
      <c r="D202" s="18" t="str">
        <f>IFERROR(__xludf.DUMMYFUNCTION("""COMPUTED_VALUE"""),"collection.alchemist_hall_3@2")</f>
        <v>collection.alchemist_hall_3@2</v>
      </c>
      <c r="E202" s="18" t="str">
        <f>IFERROR(__xludf.DUMMYFUNCTION("""COMPUTED_VALUE"""),"collection.alchemist_hall_3@1")</f>
        <v>collection.alchemist_hall_3@1</v>
      </c>
    </row>
    <row r="203" ht="14.25" customHeight="1">
      <c r="A203" s="21" t="s">
        <v>542</v>
      </c>
      <c r="B203" s="21" t="s">
        <v>540</v>
      </c>
      <c r="D203" s="18" t="str">
        <f>IFERROR(__xludf.DUMMYFUNCTION("""COMPUTED_VALUE"""),"collection.armory_1@1")</f>
        <v>collection.armory_1@1</v>
      </c>
      <c r="E203" s="18" t="str">
        <f>IFERROR(__xludf.DUMMYFUNCTION("""COMPUTED_VALUE"""),"citadel.armory")</f>
        <v>citadel.armory</v>
      </c>
    </row>
    <row r="204" ht="14.25" customHeight="1">
      <c r="A204" s="26" t="s">
        <v>544</v>
      </c>
      <c r="B204" s="26" t="s">
        <v>480</v>
      </c>
      <c r="D204" s="18" t="str">
        <f>IFERROR(__xludf.DUMMYFUNCTION("""COMPUTED_VALUE"""),"collection.armory_1@2")</f>
        <v>collection.armory_1@2</v>
      </c>
      <c r="E204" s="18" t="str">
        <f>IFERROR(__xludf.DUMMYFUNCTION("""COMPUTED_VALUE"""),"collection.armory_1@1")</f>
        <v>collection.armory_1@1</v>
      </c>
    </row>
    <row r="205" ht="14.25" customHeight="1">
      <c r="A205" s="26" t="s">
        <v>546</v>
      </c>
      <c r="B205" s="26" t="s">
        <v>544</v>
      </c>
      <c r="D205" s="18" t="str">
        <f>IFERROR(__xludf.DUMMYFUNCTION("""COMPUTED_VALUE"""),"collection.armory_1@3")</f>
        <v>collection.armory_1@3</v>
      </c>
      <c r="E205" s="18" t="str">
        <f>IFERROR(__xludf.DUMMYFUNCTION("""COMPUTED_VALUE"""),"collection.armory_1@2")</f>
        <v>collection.armory_1@2</v>
      </c>
    </row>
    <row r="206" ht="14.25" customHeight="1">
      <c r="A206" s="26" t="s">
        <v>549</v>
      </c>
      <c r="B206" s="26" t="s">
        <v>546</v>
      </c>
      <c r="D206" s="18" t="str">
        <f>IFERROR(__xludf.DUMMYFUNCTION("""COMPUTED_VALUE"""),"collection.armory_2@1")</f>
        <v>collection.armory_2@1</v>
      </c>
      <c r="E206" s="18" t="str">
        <f>IFERROR(__xludf.DUMMYFUNCTION("""COMPUTED_VALUE"""),"quest.the_ordinary_days_of_an_adventurer_chapter_7.finished")</f>
        <v>quest.the_ordinary_days_of_an_adventurer_chapter_7.finished</v>
      </c>
    </row>
    <row r="207" ht="14.25" customHeight="1">
      <c r="A207" s="26" t="s">
        <v>551</v>
      </c>
      <c r="B207" s="26" t="s">
        <v>1332</v>
      </c>
      <c r="D207" s="18" t="str">
        <f>IFERROR(__xludf.DUMMYFUNCTION("""COMPUTED_VALUE"""),"collection.attic@1")</f>
        <v>collection.attic@1</v>
      </c>
      <c r="E207" s="18" t="str">
        <f>IFERROR(__xludf.DUMMYFUNCTION("""COMPUTED_VALUE"""),"citadel.attic")</f>
        <v>citadel.attic</v>
      </c>
    </row>
    <row r="208" ht="14.25" customHeight="1">
      <c r="A208" s="26" t="s">
        <v>553</v>
      </c>
      <c r="B208" s="26" t="s">
        <v>482</v>
      </c>
      <c r="D208" s="18" t="str">
        <f>IFERROR(__xludf.DUMMYFUNCTION("""COMPUTED_VALUE"""),"collection.attic@2")</f>
        <v>collection.attic@2</v>
      </c>
      <c r="E208" s="18" t="str">
        <f>IFERROR(__xludf.DUMMYFUNCTION("""COMPUTED_VALUE"""),"collection.attic@1")</f>
        <v>collection.attic@1</v>
      </c>
    </row>
    <row r="209" ht="14.25" customHeight="1">
      <c r="A209" s="26" t="s">
        <v>556</v>
      </c>
      <c r="B209" s="26" t="s">
        <v>553</v>
      </c>
      <c r="D209" s="18" t="str">
        <f>IFERROR(__xludf.DUMMYFUNCTION("""COMPUTED_VALUE"""),"collection.attic@3")</f>
        <v>collection.attic@3</v>
      </c>
      <c r="E209" s="18" t="str">
        <f>IFERROR(__xludf.DUMMYFUNCTION("""COMPUTED_VALUE"""),"collection.attic@2")</f>
        <v>collection.attic@2</v>
      </c>
    </row>
    <row r="210" ht="14.25" customHeight="1">
      <c r="A210" s="26" t="s">
        <v>558</v>
      </c>
      <c r="B210" s="26" t="s">
        <v>556</v>
      </c>
      <c r="D210" s="18" t="str">
        <f>IFERROR(__xludf.DUMMYFUNCTION("""COMPUTED_VALUE"""),"collection.attic@4")</f>
        <v>collection.attic@4</v>
      </c>
      <c r="E210" s="18" t="str">
        <f>IFERROR(__xludf.DUMMYFUNCTION("""COMPUTED_VALUE"""),"collection.attic@3")</f>
        <v>collection.attic@3</v>
      </c>
    </row>
    <row r="211" ht="14.25" customHeight="1">
      <c r="A211" s="26" t="s">
        <v>560</v>
      </c>
      <c r="B211" s="26" t="s">
        <v>558</v>
      </c>
      <c r="D211" s="18" t="str">
        <f>IFERROR(__xludf.DUMMYFUNCTION("""COMPUTED_VALUE"""),"collection.attic@5")</f>
        <v>collection.attic@5</v>
      </c>
      <c r="E211" s="18" t="str">
        <f>IFERROR(__xludf.DUMMYFUNCTION("""COMPUTED_VALUE"""),"collection.attic@4")</f>
        <v>collection.attic@4</v>
      </c>
    </row>
    <row r="212" ht="14.25" customHeight="1">
      <c r="A212" s="26" t="s">
        <v>563</v>
      </c>
      <c r="B212" s="26" t="s">
        <v>560</v>
      </c>
      <c r="D212" s="18" t="str">
        <f>IFERROR(__xludf.DUMMYFUNCTION("""COMPUTED_VALUE"""),"collection.bone_dragon@1")</f>
        <v>collection.bone_dragon@1</v>
      </c>
      <c r="E212" s="18" t="str">
        <f>IFERROR(__xludf.DUMMYFUNCTION("""COMPUTED_VALUE"""),"collection.cave_in_bone_dragon@1")</f>
        <v>collection.cave_in_bone_dragon@1</v>
      </c>
    </row>
    <row r="213" ht="14.25" customHeight="1">
      <c r="A213" s="26" t="s">
        <v>565</v>
      </c>
      <c r="B213" s="21" t="s">
        <v>578</v>
      </c>
      <c r="D213" s="18" t="str">
        <f>IFERROR(__xludf.DUMMYFUNCTION("""COMPUTED_VALUE"""),"collection.bone_dragon@2")</f>
        <v>collection.bone_dragon@2</v>
      </c>
      <c r="E213" s="18" t="str">
        <f>IFERROR(__xludf.DUMMYFUNCTION("""COMPUTED_VALUE"""),"collection.bone_dragon@1")</f>
        <v>collection.bone_dragon@1</v>
      </c>
    </row>
    <row r="214" ht="14.25" customHeight="1">
      <c r="A214" s="26" t="s">
        <v>567</v>
      </c>
      <c r="B214" s="26" t="s">
        <v>565</v>
      </c>
      <c r="D214" s="18" t="str">
        <f>IFERROR(__xludf.DUMMYFUNCTION("""COMPUTED_VALUE"""),"collection.broken_lever@1")</f>
        <v>collection.broken_lever@1</v>
      </c>
      <c r="E214" s="18" t="str">
        <f>IFERROR(__xludf.DUMMYFUNCTION("""COMPUTED_VALUE"""),"quest.letter_from_the_dark_lady.accepted")</f>
        <v>quest.letter_from_the_dark_lady.accepted</v>
      </c>
    </row>
    <row r="215" ht="14.25" customHeight="1">
      <c r="A215" s="21" t="s">
        <v>569</v>
      </c>
      <c r="B215" s="26" t="s">
        <v>1044</v>
      </c>
      <c r="D215" s="18" t="str">
        <f>IFERROR(__xludf.DUMMYFUNCTION("""COMPUTED_VALUE"""),"collection.broken_minecart@1")</f>
        <v>collection.broken_minecart@1</v>
      </c>
      <c r="E215" s="18" t="str">
        <f>IFERROR(__xludf.DUMMYFUNCTION("""COMPUTED_VALUE"""),"collection.rotten_ladder@1")</f>
        <v>collection.rotten_ladder@1</v>
      </c>
    </row>
    <row r="216" ht="14.25" customHeight="1">
      <c r="A216" s="21" t="s">
        <v>572</v>
      </c>
      <c r="B216" s="21" t="s">
        <v>776</v>
      </c>
      <c r="D216" s="18" t="str">
        <f>IFERROR(__xludf.DUMMYFUNCTION("""COMPUTED_VALUE"""),"collection.cave_in_alchemist_hall@1")</f>
        <v>collection.cave_in_alchemist_hall@1</v>
      </c>
      <c r="E216" s="18" t="str">
        <f>IFERROR(__xludf.DUMMYFUNCTION("""COMPUTED_VALUE"""),"collection.collapsed_staircase@1")</f>
        <v>collection.collapsed_staircase@1</v>
      </c>
    </row>
    <row r="217" ht="14.25" customHeight="1">
      <c r="A217" s="21" t="s">
        <v>575</v>
      </c>
      <c r="B217" s="21" t="s">
        <v>581</v>
      </c>
      <c r="D217" s="18" t="str">
        <f>IFERROR(__xludf.DUMMYFUNCTION("""COMPUTED_VALUE"""),"collection.cave_in_bone_dragon@1")</f>
        <v>collection.cave_in_bone_dragon@1</v>
      </c>
      <c r="E217" s="18" t="str">
        <f>IFERROR(__xludf.DUMMYFUNCTION("""COMPUTED_VALUE"""),"collection.collapsed_staircase@1")</f>
        <v>collection.collapsed_staircase@1</v>
      </c>
    </row>
    <row r="218" ht="14.25" customHeight="1">
      <c r="A218" s="21" t="s">
        <v>578</v>
      </c>
      <c r="B218" s="21" t="s">
        <v>581</v>
      </c>
      <c r="D218" s="18" t="str">
        <f>IFERROR(__xludf.DUMMYFUNCTION("""COMPUTED_VALUE"""),"collection.collapsed_staircase@1")</f>
        <v>collection.collapsed_staircase@1</v>
      </c>
      <c r="E218" s="18" t="str">
        <f>IFERROR(__xludf.DUMMYFUNCTION("""COMPUTED_VALUE"""),"collection.broken_lever@1")</f>
        <v>collection.broken_lever@1</v>
      </c>
    </row>
    <row r="219" ht="14.25" customHeight="1">
      <c r="A219" s="21" t="s">
        <v>581</v>
      </c>
      <c r="B219" s="21" t="s">
        <v>569</v>
      </c>
      <c r="D219" s="18" t="str">
        <f>IFERROR(__xludf.DUMMYFUNCTION("""COMPUTED_VALUE"""),"collection.courtyard_1@1")</f>
        <v>collection.courtyard_1@1</v>
      </c>
      <c r="E219" s="18" t="str">
        <f>IFERROR(__xludf.DUMMYFUNCTION("""COMPUTED_VALUE"""),"citadel.courtyard")</f>
        <v>citadel.courtyard</v>
      </c>
    </row>
    <row r="220" ht="14.25" customHeight="1">
      <c r="A220" s="26" t="s">
        <v>584</v>
      </c>
      <c r="B220" s="26" t="s">
        <v>500</v>
      </c>
      <c r="D220" s="18" t="str">
        <f>IFERROR(__xludf.DUMMYFUNCTION("""COMPUTED_VALUE"""),"collection.courtyard_1@1")</f>
        <v>collection.courtyard_1@1</v>
      </c>
      <c r="E220" s="18" t="str">
        <f>IFERROR(__xludf.DUMMYFUNCTION("""COMPUTED_VALUE"""),"quest.the_ordinary_days_of_an_adventurer_chapter_7.finished")</f>
        <v>quest.the_ordinary_days_of_an_adventurer_chapter_7.finished</v>
      </c>
    </row>
    <row r="221" ht="14.25" customHeight="1">
      <c r="A221" s="26" t="s">
        <v>584</v>
      </c>
      <c r="B221" s="26" t="s">
        <v>1332</v>
      </c>
      <c r="D221" s="18" t="str">
        <f>IFERROR(__xludf.DUMMYFUNCTION("""COMPUTED_VALUE"""),"collection.courtyard_1@2")</f>
        <v>collection.courtyard_1@2</v>
      </c>
      <c r="E221" s="18" t="str">
        <f>IFERROR(__xludf.DUMMYFUNCTION("""COMPUTED_VALUE"""),"collection.courtyard_1@1")</f>
        <v>collection.courtyard_1@1</v>
      </c>
    </row>
    <row r="222" ht="14.25" customHeight="1">
      <c r="A222" s="26" t="s">
        <v>586</v>
      </c>
      <c r="B222" s="26" t="s">
        <v>584</v>
      </c>
      <c r="D222" s="18" t="str">
        <f>IFERROR(__xludf.DUMMYFUNCTION("""COMPUTED_VALUE"""),"collection.courtyard_2@1")</f>
        <v>collection.courtyard_2@1</v>
      </c>
      <c r="E222" s="18" t="str">
        <f>IFERROR(__xludf.DUMMYFUNCTION("""COMPUTED_VALUE"""),"citadel.courtyard")</f>
        <v>citadel.courtyard</v>
      </c>
    </row>
    <row r="223" ht="14.25" customHeight="1">
      <c r="A223" s="26" t="s">
        <v>589</v>
      </c>
      <c r="B223" s="26" t="s">
        <v>500</v>
      </c>
      <c r="D223" s="18" t="str">
        <f>IFERROR(__xludf.DUMMYFUNCTION("""COMPUTED_VALUE"""),"collection.courtyard_2@1")</f>
        <v>collection.courtyard_2@1</v>
      </c>
      <c r="E223" s="18" t="str">
        <f>IFERROR(__xludf.DUMMYFUNCTION("""COMPUTED_VALUE"""),"quest.the_ordinary_days_of_an_adventurer_chapter_7.finished")</f>
        <v>quest.the_ordinary_days_of_an_adventurer_chapter_7.finished</v>
      </c>
    </row>
    <row r="224" ht="14.25" customHeight="1">
      <c r="A224" s="26" t="s">
        <v>589</v>
      </c>
      <c r="B224" s="26" t="s">
        <v>1332</v>
      </c>
      <c r="D224" s="18" t="str">
        <f>IFERROR(__xludf.DUMMYFUNCTION("""COMPUTED_VALUE"""),"collection.crystal_cave@1")</f>
        <v>collection.crystal_cave@1</v>
      </c>
      <c r="E224" s="18" t="str">
        <f>IFERROR(__xludf.DUMMYFUNCTION("""COMPUTED_VALUE"""),"collection.broken_minecart@1")</f>
        <v>collection.broken_minecart@1</v>
      </c>
    </row>
    <row r="225" ht="14.25" customHeight="1">
      <c r="A225" s="21" t="s">
        <v>591</v>
      </c>
      <c r="B225" s="21" t="s">
        <v>572</v>
      </c>
      <c r="D225" s="18" t="str">
        <f>IFERROR(__xludf.DUMMYFUNCTION("""COMPUTED_VALUE"""),"collection.gallery_1@1")</f>
        <v>collection.gallery_1@1</v>
      </c>
      <c r="E225" s="18" t="str">
        <f>IFERROR(__xludf.DUMMYFUNCTION("""COMPUTED_VALUE"""),"citadel.gallery")</f>
        <v>citadel.gallery</v>
      </c>
    </row>
    <row r="226" ht="14.25" customHeight="1">
      <c r="A226" s="26" t="s">
        <v>594</v>
      </c>
      <c r="B226" s="26" t="s">
        <v>502</v>
      </c>
      <c r="D226" s="18" t="str">
        <f>IFERROR(__xludf.DUMMYFUNCTION("""COMPUTED_VALUE"""),"collection.gallery_1@2")</f>
        <v>collection.gallery_1@2</v>
      </c>
      <c r="E226" s="18" t="str">
        <f>IFERROR(__xludf.DUMMYFUNCTION("""COMPUTED_VALUE"""),"collection.gallery_1@1")</f>
        <v>collection.gallery_1@1</v>
      </c>
    </row>
    <row r="227" ht="14.25" customHeight="1">
      <c r="A227" s="26" t="s">
        <v>596</v>
      </c>
      <c r="B227" s="26" t="s">
        <v>594</v>
      </c>
      <c r="D227" s="18" t="str">
        <f>IFERROR(__xludf.DUMMYFUNCTION("""COMPUTED_VALUE"""),"collection.gallery_1@3")</f>
        <v>collection.gallery_1@3</v>
      </c>
      <c r="E227" s="18" t="str">
        <f>IFERROR(__xludf.DUMMYFUNCTION("""COMPUTED_VALUE"""),"collection.gallery_1@2")</f>
        <v>collection.gallery_1@2</v>
      </c>
    </row>
    <row r="228" ht="14.25" customHeight="1">
      <c r="A228" s="26" t="s">
        <v>598</v>
      </c>
      <c r="B228" s="26" t="s">
        <v>596</v>
      </c>
      <c r="D228" s="18" t="str">
        <f>IFERROR(__xludf.DUMMYFUNCTION("""COMPUTED_VALUE"""),"collection.gallery_1@4")</f>
        <v>collection.gallery_1@4</v>
      </c>
      <c r="E228" s="18" t="str">
        <f>IFERROR(__xludf.DUMMYFUNCTION("""COMPUTED_VALUE"""),"collection.gallery_1@3")</f>
        <v>collection.gallery_1@3</v>
      </c>
    </row>
    <row r="229" ht="14.25" customHeight="1">
      <c r="A229" s="26" t="s">
        <v>600</v>
      </c>
      <c r="B229" s="26" t="s">
        <v>598</v>
      </c>
      <c r="D229" s="18" t="str">
        <f>IFERROR(__xludf.DUMMYFUNCTION("""COMPUTED_VALUE"""),"collection.gallery_1@5")</f>
        <v>collection.gallery_1@5</v>
      </c>
      <c r="E229" s="18" t="str">
        <f>IFERROR(__xludf.DUMMYFUNCTION("""COMPUTED_VALUE"""),"collection.gallery_1@4")</f>
        <v>collection.gallery_1@4</v>
      </c>
    </row>
    <row r="230" ht="14.25" customHeight="1">
      <c r="A230" s="26" t="s">
        <v>603</v>
      </c>
      <c r="B230" s="26" t="s">
        <v>600</v>
      </c>
      <c r="D230" s="18" t="str">
        <f>IFERROR(__xludf.DUMMYFUNCTION("""COMPUTED_VALUE"""),"collection.gallery_2@1")</f>
        <v>collection.gallery_2@1</v>
      </c>
      <c r="E230" s="18" t="str">
        <f>IFERROR(__xludf.DUMMYFUNCTION("""COMPUTED_VALUE"""),"citadel.gallery")</f>
        <v>citadel.gallery</v>
      </c>
    </row>
    <row r="231" ht="14.25" customHeight="1">
      <c r="A231" s="26" t="s">
        <v>605</v>
      </c>
      <c r="B231" s="26" t="s">
        <v>502</v>
      </c>
      <c r="D231" s="18" t="str">
        <f>IFERROR(__xludf.DUMMYFUNCTION("""COMPUTED_VALUE"""),"collection.gallery_2@2")</f>
        <v>collection.gallery_2@2</v>
      </c>
      <c r="E231" s="18" t="str">
        <f>IFERROR(__xludf.DUMMYFUNCTION("""COMPUTED_VALUE"""),"collection.gallery_2@1")</f>
        <v>collection.gallery_2@1</v>
      </c>
    </row>
    <row r="232" ht="14.25" customHeight="1">
      <c r="A232" s="26" t="s">
        <v>607</v>
      </c>
      <c r="B232" s="26" t="s">
        <v>605</v>
      </c>
      <c r="D232" s="18" t="str">
        <f>IFERROR(__xludf.DUMMYFUNCTION("""COMPUTED_VALUE"""),"collection.gallery_2@3")</f>
        <v>collection.gallery_2@3</v>
      </c>
      <c r="E232" s="18" t="str">
        <f>IFERROR(__xludf.DUMMYFUNCTION("""COMPUTED_VALUE"""),"collection.gallery_2@2")</f>
        <v>collection.gallery_2@2</v>
      </c>
    </row>
    <row r="233" ht="14.25" customHeight="1">
      <c r="A233" s="26" t="s">
        <v>610</v>
      </c>
      <c r="B233" s="26" t="s">
        <v>607</v>
      </c>
      <c r="D233" s="18" t="str">
        <f>IFERROR(__xludf.DUMMYFUNCTION("""COMPUTED_VALUE"""),"collection.gallery_2@4")</f>
        <v>collection.gallery_2@4</v>
      </c>
      <c r="E233" s="18" t="str">
        <f>IFERROR(__xludf.DUMMYFUNCTION("""COMPUTED_VALUE"""),"collection.gallery_2@3")</f>
        <v>collection.gallery_2@3</v>
      </c>
    </row>
    <row r="234" ht="14.25" customHeight="1">
      <c r="A234" s="26" t="s">
        <v>612</v>
      </c>
      <c r="B234" s="26" t="s">
        <v>610</v>
      </c>
      <c r="D234" s="18" t="str">
        <f>IFERROR(__xludf.DUMMYFUNCTION("""COMPUTED_VALUE"""),"collection.gallery_2@5")</f>
        <v>collection.gallery_2@5</v>
      </c>
      <c r="E234" s="18" t="str">
        <f>IFERROR(__xludf.DUMMYFUNCTION("""COMPUTED_VALUE"""),"collection.gallery_2@4")</f>
        <v>collection.gallery_2@4</v>
      </c>
    </row>
    <row r="235" ht="14.25" customHeight="1">
      <c r="A235" s="26" t="s">
        <v>614</v>
      </c>
      <c r="B235" s="26" t="s">
        <v>612</v>
      </c>
      <c r="D235" s="18" t="str">
        <f>IFERROR(__xludf.DUMMYFUNCTION("""COMPUTED_VALUE"""),"collection.gallery_3@1")</f>
        <v>collection.gallery_3@1</v>
      </c>
      <c r="E235" s="18" t="str">
        <f>IFERROR(__xludf.DUMMYFUNCTION("""COMPUTED_VALUE"""),"citadel.gallery")</f>
        <v>citadel.gallery</v>
      </c>
    </row>
    <row r="236" ht="14.25" customHeight="1">
      <c r="A236" s="26" t="s">
        <v>616</v>
      </c>
      <c r="B236" s="26" t="s">
        <v>502</v>
      </c>
      <c r="D236" s="18" t="str">
        <f>IFERROR(__xludf.DUMMYFUNCTION("""COMPUTED_VALUE"""),"collection.gallery_3@1")</f>
        <v>collection.gallery_3@1</v>
      </c>
      <c r="E236" s="18" t="str">
        <f>IFERROR(__xludf.DUMMYFUNCTION("""COMPUTED_VALUE"""),"quest.the_ordinary_days_of_an_adventurer_chapter_7.finished")</f>
        <v>quest.the_ordinary_days_of_an_adventurer_chapter_7.finished</v>
      </c>
    </row>
    <row r="237" ht="14.25" customHeight="1">
      <c r="A237" s="26" t="s">
        <v>616</v>
      </c>
      <c r="B237" s="26" t="s">
        <v>1332</v>
      </c>
      <c r="D237" s="18" t="str">
        <f>IFERROR(__xludf.DUMMYFUNCTION("""COMPUTED_VALUE"""),"collection.gallery_3@2")</f>
        <v>collection.gallery_3@2</v>
      </c>
      <c r="E237" s="18" t="str">
        <f>IFERROR(__xludf.DUMMYFUNCTION("""COMPUTED_VALUE"""),"collection.gallery_3@1")</f>
        <v>collection.gallery_3@1</v>
      </c>
    </row>
    <row r="238" ht="14.25" customHeight="1">
      <c r="A238" s="26" t="s">
        <v>618</v>
      </c>
      <c r="B238" s="26" t="s">
        <v>616</v>
      </c>
      <c r="D238" s="18" t="str">
        <f>IFERROR(__xludf.DUMMYFUNCTION("""COMPUTED_VALUE"""),"collection.gallery_3@3")</f>
        <v>collection.gallery_3@3</v>
      </c>
      <c r="E238" s="18" t="str">
        <f>IFERROR(__xludf.DUMMYFUNCTION("""COMPUTED_VALUE"""),"collection.gallery_3@2")</f>
        <v>collection.gallery_3@2</v>
      </c>
    </row>
    <row r="239" ht="14.25" customHeight="1">
      <c r="A239" s="26" t="s">
        <v>627</v>
      </c>
      <c r="B239" s="26" t="s">
        <v>618</v>
      </c>
      <c r="D239" s="18" t="str">
        <f>IFERROR(__xludf.DUMMYFUNCTION("""COMPUTED_VALUE"""),"collection.gallery_3@4")</f>
        <v>collection.gallery_3@4</v>
      </c>
      <c r="E239" s="18" t="str">
        <f>IFERROR(__xludf.DUMMYFUNCTION("""COMPUTED_VALUE"""),"collection.gallery_3@3")</f>
        <v>collection.gallery_3@3</v>
      </c>
    </row>
    <row r="240" ht="14.25" customHeight="1">
      <c r="A240" s="26" t="s">
        <v>631</v>
      </c>
      <c r="B240" s="26" t="s">
        <v>627</v>
      </c>
      <c r="D240" s="18" t="str">
        <f>IFERROR(__xludf.DUMMYFUNCTION("""COMPUTED_VALUE"""),"collection.gallery_3@5")</f>
        <v>collection.gallery_3@5</v>
      </c>
      <c r="E240" s="18" t="str">
        <f>IFERROR(__xludf.DUMMYFUNCTION("""COMPUTED_VALUE"""),"collection.gallery_3@4")</f>
        <v>collection.gallery_3@4</v>
      </c>
    </row>
    <row r="241" ht="14.25" customHeight="1">
      <c r="A241" s="26" t="s">
        <v>635</v>
      </c>
      <c r="B241" s="26" t="s">
        <v>631</v>
      </c>
      <c r="D241" s="18" t="str">
        <f>IFERROR(__xludf.DUMMYFUNCTION("""COMPUTED_VALUE"""),"collection.historical_library_1@1")</f>
        <v>collection.historical_library_1@1</v>
      </c>
      <c r="E241" s="18" t="str">
        <f>IFERROR(__xludf.DUMMYFUNCTION("""COMPUTED_VALUE"""),"citadel.great_hall")</f>
        <v>citadel.great_hall</v>
      </c>
    </row>
    <row r="242" ht="14.25" customHeight="1">
      <c r="A242" s="26" t="s">
        <v>640</v>
      </c>
      <c r="B242" s="26" t="s">
        <v>505</v>
      </c>
      <c r="D242" s="18" t="str">
        <f>IFERROR(__xludf.DUMMYFUNCTION("""COMPUTED_VALUE"""),"collection.historical_library_1@1")</f>
        <v>collection.historical_library_1@1</v>
      </c>
      <c r="E242" s="18" t="str">
        <f>IFERROR(__xludf.DUMMYFUNCTION("""COMPUTED_VALUE"""),"craftifact.historical_library")</f>
        <v>craftifact.historical_library</v>
      </c>
    </row>
    <row r="243" ht="14.25" customHeight="1">
      <c r="A243" s="26" t="s">
        <v>640</v>
      </c>
      <c r="B243" s="26" t="s">
        <v>876</v>
      </c>
      <c r="D243" s="18" t="str">
        <f>IFERROR(__xludf.DUMMYFUNCTION("""COMPUTED_VALUE"""),"collection.historical_library_1@2")</f>
        <v>collection.historical_library_1@2</v>
      </c>
      <c r="E243" s="18" t="str">
        <f>IFERROR(__xludf.DUMMYFUNCTION("""COMPUTED_VALUE"""),"collection.historical_library_1@1")</f>
        <v>collection.historical_library_1@1</v>
      </c>
    </row>
    <row r="244" ht="14.25" customHeight="1">
      <c r="A244" s="26" t="s">
        <v>643</v>
      </c>
      <c r="B244" s="26" t="s">
        <v>640</v>
      </c>
      <c r="D244" s="18" t="str">
        <f>IFERROR(__xludf.DUMMYFUNCTION("""COMPUTED_VALUE"""),"collection.historical_library_1@3")</f>
        <v>collection.historical_library_1@3</v>
      </c>
      <c r="E244" s="18" t="str">
        <f>IFERROR(__xludf.DUMMYFUNCTION("""COMPUTED_VALUE"""),"collection.historical_library_1@2")</f>
        <v>collection.historical_library_1@2</v>
      </c>
    </row>
    <row r="245" ht="14.25" customHeight="1">
      <c r="A245" s="26" t="s">
        <v>647</v>
      </c>
      <c r="B245" s="26" t="s">
        <v>643</v>
      </c>
      <c r="D245" s="18" t="str">
        <f>IFERROR(__xludf.DUMMYFUNCTION("""COMPUTED_VALUE"""),"collection.historical_library_2@1")</f>
        <v>collection.historical_library_2@1</v>
      </c>
      <c r="E245" s="18" t="str">
        <f>IFERROR(__xludf.DUMMYFUNCTION("""COMPUTED_VALUE"""),"citadel.great_hall")</f>
        <v>citadel.great_hall</v>
      </c>
    </row>
    <row r="246" ht="14.25" customHeight="1">
      <c r="A246" s="26" t="s">
        <v>649</v>
      </c>
      <c r="B246" s="26" t="s">
        <v>505</v>
      </c>
      <c r="D246" s="18" t="str">
        <f>IFERROR(__xludf.DUMMYFUNCTION("""COMPUTED_VALUE"""),"collection.historical_library_2@2")</f>
        <v>collection.historical_library_2@2</v>
      </c>
      <c r="E246" s="18" t="str">
        <f>IFERROR(__xludf.DUMMYFUNCTION("""COMPUTED_VALUE"""),"collection.historical_library_2@1")</f>
        <v>collection.historical_library_2@1</v>
      </c>
    </row>
    <row r="247" ht="14.25" customHeight="1">
      <c r="A247" s="26" t="s">
        <v>654</v>
      </c>
      <c r="B247" s="26" t="s">
        <v>649</v>
      </c>
      <c r="D247" s="18" t="str">
        <f>IFERROR(__xludf.DUMMYFUNCTION("""COMPUTED_VALUE"""),"collection.historical_library_2@3")</f>
        <v>collection.historical_library_2@3</v>
      </c>
      <c r="E247" s="18" t="str">
        <f>IFERROR(__xludf.DUMMYFUNCTION("""COMPUTED_VALUE"""),"collection.historical_library_2@2")</f>
        <v>collection.historical_library_2@2</v>
      </c>
    </row>
    <row r="248" ht="14.25" customHeight="1">
      <c r="A248" s="26" t="s">
        <v>658</v>
      </c>
      <c r="B248" s="26" t="s">
        <v>654</v>
      </c>
      <c r="D248" s="18" t="str">
        <f>IFERROR(__xludf.DUMMYFUNCTION("""COMPUTED_VALUE"""),"collection.horse@1")</f>
        <v>collection.horse@1</v>
      </c>
      <c r="E248" s="18" t="str">
        <f>IFERROR(__xludf.DUMMYFUNCTION("""COMPUTED_VALUE"""),"citadel.great_hall")</f>
        <v>citadel.great_hall</v>
      </c>
    </row>
    <row r="249" ht="14.25" customHeight="1">
      <c r="A249" s="26" t="s">
        <v>662</v>
      </c>
      <c r="B249" s="26" t="s">
        <v>505</v>
      </c>
      <c r="D249" s="18" t="str">
        <f>IFERROR(__xludf.DUMMYFUNCTION("""COMPUTED_VALUE"""),"collection.horse@1")</f>
        <v>collection.horse@1</v>
      </c>
      <c r="E249" s="18" t="str">
        <f>IFERROR(__xludf.DUMMYFUNCTION("""COMPUTED_VALUE"""),"quest.once_upon_a_forest_chapter_2.finished")</f>
        <v>quest.once_upon_a_forest_chapter_2.finished</v>
      </c>
    </row>
    <row r="250" ht="14.25" customHeight="1">
      <c r="A250" s="26" t="s">
        <v>662</v>
      </c>
      <c r="B250" s="26" t="s">
        <v>1134</v>
      </c>
      <c r="D250" s="18" t="str">
        <f>IFERROR(__xludf.DUMMYFUNCTION("""COMPUTED_VALUE"""),"collection.kitchen_and_buttery_1@1")</f>
        <v>collection.kitchen_and_buttery_1@1</v>
      </c>
      <c r="E250" s="18" t="str">
        <f>IFERROR(__xludf.DUMMYFUNCTION("""COMPUTED_VALUE"""),"citadel.kitchen_and_buttery")</f>
        <v>citadel.kitchen_and_buttery</v>
      </c>
    </row>
    <row r="251" ht="14.25" customHeight="1">
      <c r="A251" s="26" t="s">
        <v>666</v>
      </c>
      <c r="B251" s="26" t="s">
        <v>509</v>
      </c>
      <c r="D251" s="18" t="str">
        <f>IFERROR(__xludf.DUMMYFUNCTION("""COMPUTED_VALUE"""),"collection.kitchen_and_buttery_1@2")</f>
        <v>collection.kitchen_and_buttery_1@2</v>
      </c>
      <c r="E251" s="18" t="str">
        <f>IFERROR(__xludf.DUMMYFUNCTION("""COMPUTED_VALUE"""),"collection.kitchen_and_buttery_1@1")</f>
        <v>collection.kitchen_and_buttery_1@1</v>
      </c>
    </row>
    <row r="252" ht="14.25" customHeight="1">
      <c r="A252" s="26" t="s">
        <v>669</v>
      </c>
      <c r="B252" s="26" t="s">
        <v>666</v>
      </c>
      <c r="D252" s="18" t="str">
        <f>IFERROR(__xludf.DUMMYFUNCTION("""COMPUTED_VALUE"""),"collection.kitchen_and_buttery_1@3")</f>
        <v>collection.kitchen_and_buttery_1@3</v>
      </c>
      <c r="E252" s="18" t="str">
        <f>IFERROR(__xludf.DUMMYFUNCTION("""COMPUTED_VALUE"""),"collection.kitchen_and_buttery_1@2")</f>
        <v>collection.kitchen_and_buttery_1@2</v>
      </c>
    </row>
    <row r="253" ht="14.25" customHeight="1">
      <c r="A253" s="26" t="s">
        <v>673</v>
      </c>
      <c r="B253" s="26" t="s">
        <v>669</v>
      </c>
      <c r="D253" s="18" t="str">
        <f>IFERROR(__xludf.DUMMYFUNCTION("""COMPUTED_VALUE"""),"collection.kitchen_and_buttery_1@4")</f>
        <v>collection.kitchen_and_buttery_1@4</v>
      </c>
      <c r="E253" s="18" t="str">
        <f>IFERROR(__xludf.DUMMYFUNCTION("""COMPUTED_VALUE"""),"collection.kitchen_and_buttery_1@3")</f>
        <v>collection.kitchen_and_buttery_1@3</v>
      </c>
    </row>
    <row r="254" ht="14.25" customHeight="1">
      <c r="A254" s="26" t="s">
        <v>677</v>
      </c>
      <c r="B254" s="26" t="s">
        <v>673</v>
      </c>
      <c r="D254" s="18" t="str">
        <f>IFERROR(__xludf.DUMMYFUNCTION("""COMPUTED_VALUE"""),"collection.kitchen_and_buttery_1@5")</f>
        <v>collection.kitchen_and_buttery_1@5</v>
      </c>
      <c r="E254" s="18" t="str">
        <f>IFERROR(__xludf.DUMMYFUNCTION("""COMPUTED_VALUE"""),"collection.kitchen_and_buttery_1@4")</f>
        <v>collection.kitchen_and_buttery_1@4</v>
      </c>
    </row>
    <row r="255" ht="14.25" customHeight="1">
      <c r="A255" s="26" t="s">
        <v>681</v>
      </c>
      <c r="B255" s="26" t="s">
        <v>677</v>
      </c>
      <c r="D255" s="18" t="str">
        <f>IFERROR(__xludf.DUMMYFUNCTION("""COMPUTED_VALUE"""),"collection.kitchen_and_buttery_2@1")</f>
        <v>collection.kitchen_and_buttery_2@1</v>
      </c>
      <c r="E255" s="18" t="str">
        <f>IFERROR(__xludf.DUMMYFUNCTION("""COMPUTED_VALUE"""),"citadel.kitchen_and_buttery")</f>
        <v>citadel.kitchen_and_buttery</v>
      </c>
    </row>
    <row r="256" ht="14.25" customHeight="1">
      <c r="A256" s="26" t="s">
        <v>685</v>
      </c>
      <c r="B256" s="26" t="s">
        <v>509</v>
      </c>
      <c r="D256" s="18" t="str">
        <f>IFERROR(__xludf.DUMMYFUNCTION("""COMPUTED_VALUE"""),"collection.mushroom_farm@1")</f>
        <v>collection.mushroom_farm@1</v>
      </c>
      <c r="E256" s="18" t="str">
        <f>IFERROR(__xludf.DUMMYFUNCTION("""COMPUTED_VALUE"""),"citadel.mushroom_farm")</f>
        <v>citadel.mushroom_farm</v>
      </c>
    </row>
    <row r="257" ht="14.25" customHeight="1">
      <c r="A257" s="26" t="s">
        <v>691</v>
      </c>
      <c r="B257" s="26" t="s">
        <v>515</v>
      </c>
      <c r="D257" s="18" t="str">
        <f>IFERROR(__xludf.DUMMYFUNCTION("""COMPUTED_VALUE"""),"collection.mushroom_farm@2")</f>
        <v>collection.mushroom_farm@2</v>
      </c>
      <c r="E257" s="18" t="str">
        <f>IFERROR(__xludf.DUMMYFUNCTION("""COMPUTED_VALUE"""),"collection.mushroom_farm@1")</f>
        <v>collection.mushroom_farm@1</v>
      </c>
    </row>
    <row r="258" ht="14.25" customHeight="1">
      <c r="A258" s="26" t="s">
        <v>695</v>
      </c>
      <c r="B258" s="26" t="s">
        <v>691</v>
      </c>
      <c r="D258" s="18" t="str">
        <f>IFERROR(__xludf.DUMMYFUNCTION("""COMPUTED_VALUE"""),"collection.orangery@1")</f>
        <v>collection.orangery@1</v>
      </c>
      <c r="E258" s="18" t="str">
        <f>IFERROR(__xludf.DUMMYFUNCTION("""COMPUTED_VALUE"""),"citadel.orangery")</f>
        <v>citadel.orangery</v>
      </c>
    </row>
    <row r="259" ht="14.25" customHeight="1">
      <c r="A259" s="26" t="s">
        <v>698</v>
      </c>
      <c r="B259" s="26" t="s">
        <v>516</v>
      </c>
      <c r="D259" s="18" t="str">
        <f>IFERROR(__xludf.DUMMYFUNCTION("""COMPUTED_VALUE"""),"collection.orangery@2")</f>
        <v>collection.orangery@2</v>
      </c>
      <c r="E259" s="18" t="str">
        <f>IFERROR(__xludf.DUMMYFUNCTION("""COMPUTED_VALUE"""),"collection.orangery@1")</f>
        <v>collection.orangery@1</v>
      </c>
    </row>
    <row r="260" ht="14.25" customHeight="1">
      <c r="A260" s="26" t="s">
        <v>703</v>
      </c>
      <c r="B260" s="26" t="s">
        <v>698</v>
      </c>
      <c r="D260" s="18" t="str">
        <f>IFERROR(__xludf.DUMMYFUNCTION("""COMPUTED_VALUE"""),"collection.pantry_1@1")</f>
        <v>collection.pantry_1@1</v>
      </c>
      <c r="E260" s="18" t="str">
        <f>IFERROR(__xludf.DUMMYFUNCTION("""COMPUTED_VALUE"""),"citadel.pantry")</f>
        <v>citadel.pantry</v>
      </c>
    </row>
    <row r="261" ht="14.25" customHeight="1">
      <c r="A261" s="26" t="s">
        <v>707</v>
      </c>
      <c r="B261" s="26" t="s">
        <v>518</v>
      </c>
      <c r="D261" s="18" t="str">
        <f>IFERROR(__xludf.DUMMYFUNCTION("""COMPUTED_VALUE"""),"collection.pantry_1@2")</f>
        <v>collection.pantry_1@2</v>
      </c>
      <c r="E261" s="18" t="str">
        <f>IFERROR(__xludf.DUMMYFUNCTION("""COMPUTED_VALUE"""),"collection.pantry_1@1")</f>
        <v>collection.pantry_1@1</v>
      </c>
    </row>
    <row r="262" ht="14.25" customHeight="1">
      <c r="A262" s="26" t="s">
        <v>710</v>
      </c>
      <c r="B262" s="26" t="s">
        <v>707</v>
      </c>
      <c r="D262" s="18" t="str">
        <f>IFERROR(__xludf.DUMMYFUNCTION("""COMPUTED_VALUE"""),"collection.pantry_1@3")</f>
        <v>collection.pantry_1@3</v>
      </c>
      <c r="E262" s="18" t="str">
        <f>IFERROR(__xludf.DUMMYFUNCTION("""COMPUTED_VALUE"""),"collection.pantry_1@2")</f>
        <v>collection.pantry_1@2</v>
      </c>
    </row>
    <row r="263" ht="14.25" customHeight="1">
      <c r="A263" s="26" t="s">
        <v>713</v>
      </c>
      <c r="B263" s="26" t="s">
        <v>710</v>
      </c>
      <c r="D263" s="18" t="str">
        <f>IFERROR(__xludf.DUMMYFUNCTION("""COMPUTED_VALUE"""),"collection.pantry_1@4")</f>
        <v>collection.pantry_1@4</v>
      </c>
      <c r="E263" s="18" t="str">
        <f>IFERROR(__xludf.DUMMYFUNCTION("""COMPUTED_VALUE"""),"collection.pantry_1@3")</f>
        <v>collection.pantry_1@3</v>
      </c>
    </row>
    <row r="264" ht="14.25" customHeight="1">
      <c r="A264" s="26" t="s">
        <v>716</v>
      </c>
      <c r="B264" s="26" t="s">
        <v>713</v>
      </c>
      <c r="D264" s="18" t="str">
        <f>IFERROR(__xludf.DUMMYFUNCTION("""COMPUTED_VALUE"""),"collection.pantry_1@5")</f>
        <v>collection.pantry_1@5</v>
      </c>
      <c r="E264" s="18" t="str">
        <f>IFERROR(__xludf.DUMMYFUNCTION("""COMPUTED_VALUE"""),"collection.pantry_1@4")</f>
        <v>collection.pantry_1@4</v>
      </c>
    </row>
    <row r="265" ht="14.25" customHeight="1">
      <c r="A265" s="26" t="s">
        <v>719</v>
      </c>
      <c r="B265" s="26" t="s">
        <v>716</v>
      </c>
      <c r="D265" s="18" t="str">
        <f>IFERROR(__xludf.DUMMYFUNCTION("""COMPUTED_VALUE"""),"collection.pantry_2@1")</f>
        <v>collection.pantry_2@1</v>
      </c>
      <c r="E265" s="18" t="str">
        <f>IFERROR(__xludf.DUMMYFUNCTION("""COMPUTED_VALUE"""),"citadel.pantry")</f>
        <v>citadel.pantry</v>
      </c>
    </row>
    <row r="266" ht="14.25" customHeight="1">
      <c r="A266" s="26" t="s">
        <v>722</v>
      </c>
      <c r="B266" s="26" t="s">
        <v>518</v>
      </c>
      <c r="D266" s="18" t="str">
        <f>IFERROR(__xludf.DUMMYFUNCTION("""COMPUTED_VALUE"""),"collection.pantry_2@2")</f>
        <v>collection.pantry_2@2</v>
      </c>
      <c r="E266" s="18" t="str">
        <f>IFERROR(__xludf.DUMMYFUNCTION("""COMPUTED_VALUE"""),"collection.pantry_2@1")</f>
        <v>collection.pantry_2@1</v>
      </c>
    </row>
    <row r="267" ht="14.25" customHeight="1">
      <c r="A267" s="26" t="s">
        <v>727</v>
      </c>
      <c r="B267" s="26" t="s">
        <v>722</v>
      </c>
      <c r="D267" s="18" t="str">
        <f>IFERROR(__xludf.DUMMYFUNCTION("""COMPUTED_VALUE"""),"collection.pantry_2@3")</f>
        <v>collection.pantry_2@3</v>
      </c>
      <c r="E267" s="18" t="str">
        <f>IFERROR(__xludf.DUMMYFUNCTION("""COMPUTED_VALUE"""),"collection.pantry_2@2")</f>
        <v>collection.pantry_2@2</v>
      </c>
    </row>
    <row r="268" ht="14.25" customHeight="1">
      <c r="A268" s="26" t="s">
        <v>731</v>
      </c>
      <c r="B268" s="26" t="s">
        <v>727</v>
      </c>
      <c r="D268" s="18" t="str">
        <f>IFERROR(__xludf.DUMMYFUNCTION("""COMPUTED_VALUE"""),"collection.pantry_2@4")</f>
        <v>collection.pantry_2@4</v>
      </c>
      <c r="E268" s="18" t="str">
        <f>IFERROR(__xludf.DUMMYFUNCTION("""COMPUTED_VALUE"""),"collection.pantry_2@3")</f>
        <v>collection.pantry_2@3</v>
      </c>
    </row>
    <row r="269" ht="14.25" customHeight="1">
      <c r="A269" s="26" t="s">
        <v>735</v>
      </c>
      <c r="B269" s="26" t="s">
        <v>731</v>
      </c>
      <c r="D269" s="18" t="str">
        <f>IFERROR(__xludf.DUMMYFUNCTION("""COMPUTED_VALUE"""),"collection.pantry_2@5")</f>
        <v>collection.pantry_2@5</v>
      </c>
      <c r="E269" s="18" t="str">
        <f>IFERROR(__xludf.DUMMYFUNCTION("""COMPUTED_VALUE"""),"collection.pantry_2@4")</f>
        <v>collection.pantry_2@4</v>
      </c>
    </row>
    <row r="270" ht="14.25" customHeight="1">
      <c r="A270" s="26" t="s">
        <v>739</v>
      </c>
      <c r="B270" s="26" t="s">
        <v>735</v>
      </c>
      <c r="D270" s="18" t="str">
        <f>IFERROR(__xludf.DUMMYFUNCTION("""COMPUTED_VALUE"""),"collection.pantry_3@1")</f>
        <v>collection.pantry_3@1</v>
      </c>
      <c r="E270" s="18" t="str">
        <f>IFERROR(__xludf.DUMMYFUNCTION("""COMPUTED_VALUE"""),"citadel.pantry")</f>
        <v>citadel.pantry</v>
      </c>
    </row>
    <row r="271" ht="14.25" customHeight="1">
      <c r="A271" s="26" t="s">
        <v>754</v>
      </c>
      <c r="B271" s="26" t="s">
        <v>518</v>
      </c>
      <c r="D271" s="18" t="str">
        <f>IFERROR(__xludf.DUMMYFUNCTION("""COMPUTED_VALUE"""),"collection.pantry_3@2")</f>
        <v>collection.pantry_3@2</v>
      </c>
      <c r="E271" s="18" t="str">
        <f>IFERROR(__xludf.DUMMYFUNCTION("""COMPUTED_VALUE"""),"collection.pantry_3@1")</f>
        <v>collection.pantry_3@1</v>
      </c>
    </row>
    <row r="272" ht="14.25" customHeight="1">
      <c r="A272" s="26" t="s">
        <v>758</v>
      </c>
      <c r="B272" s="26" t="s">
        <v>754</v>
      </c>
      <c r="D272" s="18" t="str">
        <f>IFERROR(__xludf.DUMMYFUNCTION("""COMPUTED_VALUE"""),"collection.pantry_3@3")</f>
        <v>collection.pantry_3@3</v>
      </c>
      <c r="E272" s="18" t="str">
        <f>IFERROR(__xludf.DUMMYFUNCTION("""COMPUTED_VALUE"""),"collection.pantry_3@2")</f>
        <v>collection.pantry_3@2</v>
      </c>
    </row>
    <row r="273" ht="14.25" customHeight="1">
      <c r="A273" s="26" t="s">
        <v>762</v>
      </c>
      <c r="B273" s="26" t="s">
        <v>758</v>
      </c>
      <c r="D273" s="18" t="str">
        <f>IFERROR(__xludf.DUMMYFUNCTION("""COMPUTED_VALUE"""),"collection.pantry_3@4")</f>
        <v>collection.pantry_3@4</v>
      </c>
      <c r="E273" s="18" t="str">
        <f>IFERROR(__xludf.DUMMYFUNCTION("""COMPUTED_VALUE"""),"collection.pantry_3@3")</f>
        <v>collection.pantry_3@3</v>
      </c>
    </row>
    <row r="274" ht="14.25" customHeight="1">
      <c r="A274" s="26" t="s">
        <v>765</v>
      </c>
      <c r="B274" s="26" t="s">
        <v>762</v>
      </c>
      <c r="D274" s="18" t="str">
        <f>IFERROR(__xludf.DUMMYFUNCTION("""COMPUTED_VALUE"""),"collection.pantry_3@5")</f>
        <v>collection.pantry_3@5</v>
      </c>
      <c r="E274" s="18" t="str">
        <f>IFERROR(__xludf.DUMMYFUNCTION("""COMPUTED_VALUE"""),"collection.pantry_3@4")</f>
        <v>collection.pantry_3@4</v>
      </c>
    </row>
    <row r="275" ht="14.25" customHeight="1">
      <c r="A275" s="26" t="s">
        <v>769</v>
      </c>
      <c r="B275" s="26" t="s">
        <v>765</v>
      </c>
      <c r="D275" s="18" t="str">
        <f>IFERROR(__xludf.DUMMYFUNCTION("""COMPUTED_VALUE"""),"collection.pantry_4@1")</f>
        <v>collection.pantry_4@1</v>
      </c>
      <c r="E275" s="18" t="str">
        <f>IFERROR(__xludf.DUMMYFUNCTION("""COMPUTED_VALUE"""),"citadel.pantry")</f>
        <v>citadel.pantry</v>
      </c>
    </row>
    <row r="276" ht="14.25" customHeight="1">
      <c r="A276" s="26" t="s">
        <v>773</v>
      </c>
      <c r="B276" s="26" t="s">
        <v>518</v>
      </c>
      <c r="D276" s="18" t="str">
        <f>IFERROR(__xludf.DUMMYFUNCTION("""COMPUTED_VALUE"""),"collection.pantry_4@1")</f>
        <v>collection.pantry_4@1</v>
      </c>
      <c r="E276" s="18" t="str">
        <f>IFERROR(__xludf.DUMMYFUNCTION("""COMPUTED_VALUE"""),"quest.the_ordinary_days_of_an_adventurer_chapter_7.finished")</f>
        <v>quest.the_ordinary_days_of_an_adventurer_chapter_7.finished</v>
      </c>
    </row>
    <row r="277" ht="14.25" customHeight="1">
      <c r="A277" s="26" t="s">
        <v>773</v>
      </c>
      <c r="B277" s="26" t="s">
        <v>1332</v>
      </c>
      <c r="D277" s="18" t="str">
        <f>IFERROR(__xludf.DUMMYFUNCTION("""COMPUTED_VALUE"""),"collection.rotten_ladder@1")</f>
        <v>collection.rotten_ladder@1</v>
      </c>
      <c r="E277" s="18" t="str">
        <f>IFERROR(__xludf.DUMMYFUNCTION("""COMPUTED_VALUE"""),"collection.collapsed_staircase@1")</f>
        <v>collection.collapsed_staircase@1</v>
      </c>
    </row>
    <row r="278" ht="14.25" customHeight="1">
      <c r="A278" s="21" t="s">
        <v>776</v>
      </c>
      <c r="B278" s="21" t="s">
        <v>581</v>
      </c>
      <c r="D278" s="18" t="str">
        <f>IFERROR(__xludf.DUMMYFUNCTION("""COMPUTED_VALUE"""),"collection.staircase@1")</f>
        <v>collection.staircase@1</v>
      </c>
      <c r="E278" s="18" t="str">
        <f>IFERROR(__xludf.DUMMYFUNCTION("""COMPUTED_VALUE"""),"collection.collapsed_staircase@1")</f>
        <v>collection.collapsed_staircase@1</v>
      </c>
    </row>
    <row r="279" ht="14.25" customHeight="1">
      <c r="A279" s="21" t="s">
        <v>781</v>
      </c>
      <c r="B279" s="21" t="s">
        <v>581</v>
      </c>
      <c r="D279" s="18" t="str">
        <f>IFERROR(__xludf.DUMMYFUNCTION("""COMPUTED_VALUE"""),"collection.statue@1")</f>
        <v>collection.statue@1</v>
      </c>
      <c r="E279" s="18" t="str">
        <f>IFERROR(__xludf.DUMMYFUNCTION("""COMPUTED_VALUE"""),"citadel.great_hall")</f>
        <v>citadel.great_hall</v>
      </c>
    </row>
    <row r="280" ht="14.25" customHeight="1">
      <c r="A280" s="26" t="s">
        <v>785</v>
      </c>
      <c r="B280" s="26" t="s">
        <v>505</v>
      </c>
      <c r="D280" s="18" t="str">
        <f>IFERROR(__xludf.DUMMYFUNCTION("""COMPUTED_VALUE"""),"collection.tavern@1")</f>
        <v>collection.tavern@1</v>
      </c>
      <c r="E280" s="18" t="str">
        <f>IFERROR(__xludf.DUMMYFUNCTION("""COMPUTED_VALUE"""),"citadel.tavern")</f>
        <v>citadel.tavern</v>
      </c>
    </row>
    <row r="281" ht="14.25" customHeight="1">
      <c r="A281" s="26" t="s">
        <v>789</v>
      </c>
      <c r="B281" s="26" t="s">
        <v>521</v>
      </c>
      <c r="D281" s="18" t="str">
        <f>IFERROR(__xludf.DUMMYFUNCTION("""COMPUTED_VALUE"""),"collection.tavern@2")</f>
        <v>collection.tavern@2</v>
      </c>
      <c r="E281" s="18" t="str">
        <f>IFERROR(__xludf.DUMMYFUNCTION("""COMPUTED_VALUE"""),"collection.tavern@1")</f>
        <v>collection.tavern@1</v>
      </c>
    </row>
    <row r="282" ht="14.25" customHeight="1">
      <c r="A282" s="26" t="s">
        <v>795</v>
      </c>
      <c r="B282" s="26" t="s">
        <v>789</v>
      </c>
      <c r="D282" s="18" t="str">
        <f>IFERROR(__xludf.DUMMYFUNCTION("""COMPUTED_VALUE"""),"collection.treasury_1@1")</f>
        <v>collection.treasury_1@1</v>
      </c>
      <c r="E282" s="18" t="str">
        <f>IFERROR(__xludf.DUMMYFUNCTION("""COMPUTED_VALUE"""),"citadel.treasury")</f>
        <v>citadel.treasury</v>
      </c>
    </row>
    <row r="283" ht="14.25" customHeight="1">
      <c r="A283" s="26" t="s">
        <v>799</v>
      </c>
      <c r="B283" s="26" t="s">
        <v>523</v>
      </c>
      <c r="D283" s="18" t="str">
        <f>IFERROR(__xludf.DUMMYFUNCTION("""COMPUTED_VALUE"""),"collection.treasury_1@2")</f>
        <v>collection.treasury_1@2</v>
      </c>
      <c r="E283" s="18" t="str">
        <f>IFERROR(__xludf.DUMMYFUNCTION("""COMPUTED_VALUE"""),"collection.treasury_1@1")</f>
        <v>collection.treasury_1@1</v>
      </c>
    </row>
    <row r="284" ht="14.25" customHeight="1">
      <c r="A284" s="26" t="s">
        <v>803</v>
      </c>
      <c r="B284" s="26" t="s">
        <v>799</v>
      </c>
      <c r="D284" s="18" t="str">
        <f>IFERROR(__xludf.DUMMYFUNCTION("""COMPUTED_VALUE"""),"collection.treasury_1@3")</f>
        <v>collection.treasury_1@3</v>
      </c>
      <c r="E284" s="18" t="str">
        <f>IFERROR(__xludf.DUMMYFUNCTION("""COMPUTED_VALUE"""),"collection.treasury_1@2")</f>
        <v>collection.treasury_1@2</v>
      </c>
    </row>
    <row r="285" ht="14.25" customHeight="1">
      <c r="A285" s="26" t="s">
        <v>808</v>
      </c>
      <c r="B285" s="26" t="s">
        <v>803</v>
      </c>
      <c r="D285" s="18" t="str">
        <f>IFERROR(__xludf.DUMMYFUNCTION("""COMPUTED_VALUE"""),"collection.treasury_1@4")</f>
        <v>collection.treasury_1@4</v>
      </c>
      <c r="E285" s="18" t="str">
        <f>IFERROR(__xludf.DUMMYFUNCTION("""COMPUTED_VALUE"""),"collection.treasury_1@3")</f>
        <v>collection.treasury_1@3</v>
      </c>
    </row>
    <row r="286" ht="14.25" customHeight="1">
      <c r="A286" s="26" t="s">
        <v>811</v>
      </c>
      <c r="B286" s="26" t="s">
        <v>808</v>
      </c>
      <c r="D286" s="18" t="str">
        <f>IFERROR(__xludf.DUMMYFUNCTION("""COMPUTED_VALUE"""),"collection.treasury_1@5")</f>
        <v>collection.treasury_1@5</v>
      </c>
      <c r="E286" s="18" t="str">
        <f>IFERROR(__xludf.DUMMYFUNCTION("""COMPUTED_VALUE"""),"collection.treasury_1@4")</f>
        <v>collection.treasury_1@4</v>
      </c>
    </row>
    <row r="287" ht="14.25" customHeight="1">
      <c r="A287" s="26" t="s">
        <v>815</v>
      </c>
      <c r="B287" s="26" t="s">
        <v>811</v>
      </c>
      <c r="D287" s="18" t="str">
        <f>IFERROR(__xludf.DUMMYFUNCTION("""COMPUTED_VALUE"""),"collection.treasury_2@1")</f>
        <v>collection.treasury_2@1</v>
      </c>
      <c r="E287" s="18" t="str">
        <f>IFERROR(__xludf.DUMMYFUNCTION("""COMPUTED_VALUE"""),"citadel.treasury")</f>
        <v>citadel.treasury</v>
      </c>
    </row>
    <row r="288" ht="14.25" customHeight="1">
      <c r="A288" s="26" t="s">
        <v>818</v>
      </c>
      <c r="B288" s="26" t="s">
        <v>523</v>
      </c>
      <c r="D288" s="18" t="str">
        <f>IFERROR(__xludf.DUMMYFUNCTION("""COMPUTED_VALUE"""),"collection.treasury_2@2")</f>
        <v>collection.treasury_2@2</v>
      </c>
      <c r="E288" s="18" t="str">
        <f>IFERROR(__xludf.DUMMYFUNCTION("""COMPUTED_VALUE"""),"collection.treasury_2@1")</f>
        <v>collection.treasury_2@1</v>
      </c>
    </row>
    <row r="289" ht="14.25" customHeight="1">
      <c r="A289" s="26" t="s">
        <v>822</v>
      </c>
      <c r="B289" s="26" t="s">
        <v>818</v>
      </c>
      <c r="D289" s="18" t="str">
        <f>IFERROR(__xludf.DUMMYFUNCTION("""COMPUTED_VALUE"""),"collection.treasury_2@3")</f>
        <v>collection.treasury_2@3</v>
      </c>
      <c r="E289" s="18" t="str">
        <f>IFERROR(__xludf.DUMMYFUNCTION("""COMPUTED_VALUE"""),"collection.treasury_2@2")</f>
        <v>collection.treasury_2@2</v>
      </c>
    </row>
    <row r="290" ht="14.25" customHeight="1">
      <c r="A290" s="26" t="s">
        <v>826</v>
      </c>
      <c r="B290" s="26" t="s">
        <v>822</v>
      </c>
      <c r="D290" s="18" t="str">
        <f>IFERROR(__xludf.DUMMYFUNCTION("""COMPUTED_VALUE"""),"collection.treasury_3@1")</f>
        <v>collection.treasury_3@1</v>
      </c>
      <c r="E290" s="18" t="str">
        <f>IFERROR(__xludf.DUMMYFUNCTION("""COMPUTED_VALUE"""),"citadel.treasury")</f>
        <v>citadel.treasury</v>
      </c>
    </row>
    <row r="291" ht="14.25" customHeight="1">
      <c r="A291" s="26" t="s">
        <v>829</v>
      </c>
      <c r="B291" s="26" t="s">
        <v>523</v>
      </c>
      <c r="D291" s="18" t="str">
        <f>IFERROR(__xludf.DUMMYFUNCTION("""COMPUTED_VALUE"""),"collection.treasury_3@1")</f>
        <v>collection.treasury_3@1</v>
      </c>
      <c r="E291" s="18" t="str">
        <f>IFERROR(__xludf.DUMMYFUNCTION("""COMPUTED_VALUE"""),"quest.the_ordinary_days_of_an_adventurer_chapter_7.finished")</f>
        <v>quest.the_ordinary_days_of_an_adventurer_chapter_7.finished</v>
      </c>
    </row>
    <row r="292" ht="14.25" customHeight="1">
      <c r="A292" s="26" t="s">
        <v>829</v>
      </c>
      <c r="B292" s="26" t="s">
        <v>1332</v>
      </c>
      <c r="D292" s="18" t="str">
        <f>IFERROR(__xludf.DUMMYFUNCTION("""COMPUTED_VALUE"""),"craftifact.astrolabe")</f>
        <v>craftifact.astrolabe</v>
      </c>
      <c r="E292" s="18" t="str">
        <f>IFERROR(__xludf.DUMMYFUNCTION("""COMPUTED_VALUE"""),"building.ship@4")</f>
        <v>building.ship@4</v>
      </c>
    </row>
    <row r="293" ht="14.25" customHeight="1">
      <c r="A293" s="26" t="s">
        <v>833</v>
      </c>
      <c r="B293" s="26" t="s">
        <v>402</v>
      </c>
      <c r="D293" s="18" t="str">
        <f>IFERROR(__xludf.DUMMYFUNCTION("""COMPUTED_VALUE"""),"craftifact.astrolabe")</f>
        <v>craftifact.astrolabe</v>
      </c>
      <c r="E293" s="18" t="str">
        <f>IFERROR(__xludf.DUMMYFUNCTION("""COMPUTED_VALUE"""),"building.airship@1")</f>
        <v>building.airship@1</v>
      </c>
    </row>
    <row r="294" ht="14.25" customHeight="1">
      <c r="A294" s="26" t="s">
        <v>833</v>
      </c>
      <c r="B294" s="26" t="s">
        <v>47</v>
      </c>
      <c r="D294" s="18" t="str">
        <f>IFERROR(__xludf.DUMMYFUNCTION("""COMPUTED_VALUE"""),"craftifact.barometer")</f>
        <v>craftifact.barometer</v>
      </c>
      <c r="E294" s="18" t="str">
        <f>IFERROR(__xludf.DUMMYFUNCTION("""COMPUTED_VALUE"""),"building.workshop@5")</f>
        <v>building.workshop@5</v>
      </c>
    </row>
    <row r="295" ht="14.25" customHeight="1">
      <c r="A295" s="26" t="s">
        <v>838</v>
      </c>
      <c r="B295" s="26" t="s">
        <v>478</v>
      </c>
      <c r="D295" s="18" t="str">
        <f>IFERROR(__xludf.DUMMYFUNCTION("""COMPUTED_VALUE"""),"craftifact.barometer")</f>
        <v>craftifact.barometer</v>
      </c>
      <c r="E295" s="18" t="str">
        <f>IFERROR(__xludf.DUMMYFUNCTION("""COMPUTED_VALUE"""),"quest.once_upon_a_forest_chapter_7.finished")</f>
        <v>quest.once_upon_a_forest_chapter_7.finished</v>
      </c>
    </row>
    <row r="296" ht="14.25" customHeight="1">
      <c r="A296" s="21" t="s">
        <v>838</v>
      </c>
      <c r="B296" s="26" t="s">
        <v>1185</v>
      </c>
      <c r="D296" s="18" t="str">
        <f>IFERROR(__xludf.DUMMYFUNCTION("""COMPUTED_VALUE"""),"craftifact.cinema_projector")</f>
        <v>craftifact.cinema_projector</v>
      </c>
      <c r="E296" s="18" t="str">
        <f>IFERROR(__xludf.DUMMYFUNCTION("""COMPUTED_VALUE"""),"building.workshop@5")</f>
        <v>building.workshop@5</v>
      </c>
    </row>
    <row r="297" ht="14.25" customHeight="1">
      <c r="A297" s="26" t="s">
        <v>841</v>
      </c>
      <c r="B297" s="26" t="s">
        <v>478</v>
      </c>
      <c r="D297" s="18" t="str">
        <f>IFERROR(__xludf.DUMMYFUNCTION("""COMPUTED_VALUE"""),"craftifact.cinema_projector")</f>
        <v>craftifact.cinema_projector</v>
      </c>
      <c r="E297" s="18" t="str">
        <f>IFERROR(__xludf.DUMMYFUNCTION("""COMPUTED_VALUE"""),"building.airship@1")</f>
        <v>building.airship@1</v>
      </c>
    </row>
    <row r="298" ht="14.25" customHeight="1">
      <c r="A298" s="26" t="s">
        <v>841</v>
      </c>
      <c r="B298" s="26" t="s">
        <v>47</v>
      </c>
      <c r="D298" s="18" t="str">
        <f>IFERROR(__xludf.DUMMYFUNCTION("""COMPUTED_VALUE"""),"craftifact.dagger")</f>
        <v>craftifact.dagger</v>
      </c>
      <c r="E298" s="18" t="str">
        <f>IFERROR(__xludf.DUMMYFUNCTION("""COMPUTED_VALUE"""),"building.smithy@3")</f>
        <v>building.smithy@3</v>
      </c>
    </row>
    <row r="299" ht="14.25" customHeight="1">
      <c r="A299" s="26" t="s">
        <v>846</v>
      </c>
      <c r="B299" s="26" t="s">
        <v>415</v>
      </c>
      <c r="D299" s="18" t="str">
        <f>IFERROR(__xludf.DUMMYFUNCTION("""COMPUTED_VALUE"""),"craftifact.dagger")</f>
        <v>craftifact.dagger</v>
      </c>
      <c r="E299" s="18" t="str">
        <f>IFERROR(__xludf.DUMMYFUNCTION("""COMPUTED_VALUE"""),"building.airship@1")</f>
        <v>building.airship@1</v>
      </c>
    </row>
    <row r="300" ht="14.25" customHeight="1">
      <c r="A300" s="26" t="s">
        <v>846</v>
      </c>
      <c r="B300" s="26" t="s">
        <v>47</v>
      </c>
      <c r="D300" s="18" t="str">
        <f>IFERROR(__xludf.DUMMYFUNCTION("""COMPUTED_VALUE"""),"craftifact.emerald_tablet")</f>
        <v>craftifact.emerald_tablet</v>
      </c>
      <c r="E300" s="18" t="str">
        <f>IFERROR(__xludf.DUMMYFUNCTION("""COMPUTED_VALUE"""),"building.guild@5")</f>
        <v>building.guild@5</v>
      </c>
    </row>
    <row r="301" ht="14.25" customHeight="1">
      <c r="A301" s="26" t="s">
        <v>850</v>
      </c>
      <c r="B301" s="26" t="s">
        <v>302</v>
      </c>
      <c r="D301" s="18" t="str">
        <f>IFERROR(__xludf.DUMMYFUNCTION("""COMPUTED_VALUE"""),"craftifact.emerald_tablet")</f>
        <v>craftifact.emerald_tablet</v>
      </c>
      <c r="E301" s="18" t="str">
        <f>IFERROR(__xludf.DUMMYFUNCTION("""COMPUTED_VALUE"""),"building.dungeon@1")</f>
        <v>building.dungeon@1</v>
      </c>
    </row>
    <row r="302" ht="14.25" customHeight="1">
      <c r="A302" s="26" t="s">
        <v>850</v>
      </c>
      <c r="B302" s="26" t="s">
        <v>151</v>
      </c>
      <c r="D302" s="18" t="str">
        <f>IFERROR(__xludf.DUMMYFUNCTION("""COMPUTED_VALUE"""),"craftifact.flamethrower")</f>
        <v>craftifact.flamethrower</v>
      </c>
      <c r="E302" s="18" t="str">
        <f>IFERROR(__xludf.DUMMYFUNCTION("""COMPUTED_VALUE"""),"building.alchemists_hut@6")</f>
        <v>building.alchemists_hut@6</v>
      </c>
    </row>
    <row r="303" ht="14.25" customHeight="1">
      <c r="A303" s="26" t="s">
        <v>853</v>
      </c>
      <c r="B303" s="26" t="s">
        <v>81</v>
      </c>
      <c r="D303" s="18" t="str">
        <f>IFERROR(__xludf.DUMMYFUNCTION("""COMPUTED_VALUE"""),"craftifact.flamethrower")</f>
        <v>craftifact.flamethrower</v>
      </c>
      <c r="E303" s="18" t="str">
        <f>IFERROR(__xludf.DUMMYFUNCTION("""COMPUTED_VALUE"""),"quest.once_upon_a_forest_chapter_11.finished")</f>
        <v>quest.once_upon_a_forest_chapter_11.finished</v>
      </c>
    </row>
    <row r="304" ht="14.25" customHeight="1">
      <c r="A304" s="26" t="s">
        <v>853</v>
      </c>
      <c r="B304" s="26" t="s">
        <v>1094</v>
      </c>
      <c r="D304" s="18" t="str">
        <f>IFERROR(__xludf.DUMMYFUNCTION("""COMPUTED_VALUE"""),"craftifact.guild_banner")</f>
        <v>craftifact.guild_banner</v>
      </c>
      <c r="E304" s="18" t="str">
        <f>IFERROR(__xludf.DUMMYFUNCTION("""COMPUTED_VALUE"""),"building.tailor@2")</f>
        <v>building.tailor@2</v>
      </c>
    </row>
    <row r="305" ht="14.25" customHeight="1">
      <c r="A305" s="26" t="s">
        <v>858</v>
      </c>
      <c r="B305" s="26" t="s">
        <v>421</v>
      </c>
      <c r="D305" s="18" t="str">
        <f>IFERROR(__xludf.DUMMYFUNCTION("""COMPUTED_VALUE"""),"craftifact.guild_banner")</f>
        <v>craftifact.guild_banner</v>
      </c>
      <c r="E305" s="18" t="str">
        <f>IFERROR(__xludf.DUMMYFUNCTION("""COMPUTED_VALUE"""),"building.bridge@1")</f>
        <v>building.bridge@1</v>
      </c>
    </row>
    <row r="306" ht="14.25" customHeight="1">
      <c r="A306" s="26" t="s">
        <v>858</v>
      </c>
      <c r="B306" s="26" t="s">
        <v>96</v>
      </c>
      <c r="D306" s="18" t="str">
        <f>IFERROR(__xludf.DUMMYFUNCTION("""COMPUTED_VALUE"""),"craftifact.guild_codex")</f>
        <v>craftifact.guild_codex</v>
      </c>
      <c r="E306" s="18" t="str">
        <f>IFERROR(__xludf.DUMMYFUNCTION("""COMPUTED_VALUE"""),"building.guild@5")</f>
        <v>building.guild@5</v>
      </c>
    </row>
    <row r="307" ht="14.25" customHeight="1">
      <c r="A307" s="26" t="s">
        <v>861</v>
      </c>
      <c r="B307" s="26" t="s">
        <v>302</v>
      </c>
      <c r="D307" s="18" t="str">
        <f>IFERROR(__xludf.DUMMYFUNCTION("""COMPUTED_VALUE"""),"craftifact.guild_codex")</f>
        <v>craftifact.guild_codex</v>
      </c>
      <c r="E307" s="18" t="str">
        <f>IFERROR(__xludf.DUMMYFUNCTION("""COMPUTED_VALUE"""),"building.bridge@1")</f>
        <v>building.bridge@1</v>
      </c>
    </row>
    <row r="308" ht="14.25" customHeight="1">
      <c r="A308" s="26" t="s">
        <v>861</v>
      </c>
      <c r="B308" s="26" t="s">
        <v>96</v>
      </c>
      <c r="D308" s="18" t="str">
        <f>IFERROR(__xludf.DUMMYFUNCTION("""COMPUTED_VALUE"""),"craftifact.guild_supplies")</f>
        <v>craftifact.guild_supplies</v>
      </c>
      <c r="E308" s="18" t="str">
        <f>IFERROR(__xludf.DUMMYFUNCTION("""COMPUTED_VALUE"""),"building.food_stall@3")</f>
        <v>building.food_stall@3</v>
      </c>
    </row>
    <row r="309" ht="14.25" customHeight="1">
      <c r="A309" s="26" t="s">
        <v>864</v>
      </c>
      <c r="B309" s="26" t="s">
        <v>239</v>
      </c>
      <c r="D309" s="18" t="str">
        <f>IFERROR(__xludf.DUMMYFUNCTION("""COMPUTED_VALUE"""),"craftifact.guild_supplies")</f>
        <v>craftifact.guild_supplies</v>
      </c>
      <c r="E309" s="18" t="str">
        <f>IFERROR(__xludf.DUMMYFUNCTION("""COMPUTED_VALUE"""),"building.bridge@1")</f>
        <v>building.bridge@1</v>
      </c>
    </row>
    <row r="310" ht="14.25" customHeight="1">
      <c r="A310" s="26" t="s">
        <v>864</v>
      </c>
      <c r="B310" s="26" t="s">
        <v>96</v>
      </c>
      <c r="D310" s="18" t="str">
        <f>IFERROR(__xludf.DUMMYFUNCTION("""COMPUTED_VALUE"""),"craftifact.hat_of_concentration")</f>
        <v>craftifact.hat_of_concentration</v>
      </c>
      <c r="E310" s="18" t="str">
        <f>IFERROR(__xludf.DUMMYFUNCTION("""COMPUTED_VALUE"""),"building.tailor@3")</f>
        <v>building.tailor@3</v>
      </c>
    </row>
    <row r="311" ht="14.25" customHeight="1">
      <c r="A311" s="26" t="s">
        <v>867</v>
      </c>
      <c r="B311" s="26" t="s">
        <v>424</v>
      </c>
      <c r="D311" s="18" t="str">
        <f>IFERROR(__xludf.DUMMYFUNCTION("""COMPUTED_VALUE"""),"craftifact.hat_of_concentration")</f>
        <v>craftifact.hat_of_concentration</v>
      </c>
      <c r="E311" s="18" t="str">
        <f>IFERROR(__xludf.DUMMYFUNCTION("""COMPUTED_VALUE"""),"quest.once_upon_a_forest_chapter_10.finished")</f>
        <v>quest.once_upon_a_forest_chapter_10.finished</v>
      </c>
    </row>
    <row r="312" ht="14.25" customHeight="1">
      <c r="A312" s="26" t="s">
        <v>867</v>
      </c>
      <c r="B312" s="26" t="s">
        <v>1084</v>
      </c>
      <c r="D312" s="18" t="str">
        <f>IFERROR(__xludf.DUMMYFUNCTION("""COMPUTED_VALUE"""),"craftifact.helmet")</f>
        <v>craftifact.helmet</v>
      </c>
      <c r="E312" s="18" t="str">
        <f>IFERROR(__xludf.DUMMYFUNCTION("""COMPUTED_VALUE"""),"building.tailor@3")</f>
        <v>building.tailor@3</v>
      </c>
    </row>
    <row r="313" ht="14.25" customHeight="1">
      <c r="A313" s="26" t="s">
        <v>872</v>
      </c>
      <c r="B313" s="26" t="s">
        <v>424</v>
      </c>
      <c r="D313" s="18" t="str">
        <f>IFERROR(__xludf.DUMMYFUNCTION("""COMPUTED_VALUE"""),"craftifact.helmet")</f>
        <v>craftifact.helmet</v>
      </c>
      <c r="E313" s="18" t="str">
        <f>IFERROR(__xludf.DUMMYFUNCTION("""COMPUTED_VALUE"""),"building.airship@1")</f>
        <v>building.airship@1</v>
      </c>
    </row>
    <row r="314" ht="14.25" customHeight="1">
      <c r="A314" s="26" t="s">
        <v>872</v>
      </c>
      <c r="B314" s="26" t="s">
        <v>47</v>
      </c>
      <c r="D314" s="18" t="str">
        <f>IFERROR(__xludf.DUMMYFUNCTION("""COMPUTED_VALUE"""),"craftifact.historical_library")</f>
        <v>craftifact.historical_library</v>
      </c>
      <c r="E314" s="18" t="str">
        <f>IFERROR(__xludf.DUMMYFUNCTION("""COMPUTED_VALUE"""),"building.guild@5")</f>
        <v>building.guild@5</v>
      </c>
    </row>
    <row r="315" ht="14.25" customHeight="1">
      <c r="A315" s="26" t="s">
        <v>876</v>
      </c>
      <c r="B315" s="26" t="s">
        <v>302</v>
      </c>
      <c r="D315" s="18" t="str">
        <f>IFERROR(__xludf.DUMMYFUNCTION("""COMPUTED_VALUE"""),"craftifact.historical_library")</f>
        <v>craftifact.historical_library</v>
      </c>
      <c r="E315" s="18" t="str">
        <f>IFERROR(__xludf.DUMMYFUNCTION("""COMPUTED_VALUE"""),"building.dungeon@1")</f>
        <v>building.dungeon@1</v>
      </c>
    </row>
    <row r="316" ht="14.25" customHeight="1">
      <c r="A316" s="26" t="s">
        <v>876</v>
      </c>
      <c r="B316" s="26" t="s">
        <v>151</v>
      </c>
      <c r="D316" s="18" t="str">
        <f>IFERROR(__xludf.DUMMYFUNCTION("""COMPUTED_VALUE"""),"craftifact.hotei_statuette")</f>
        <v>craftifact.hotei_statuette</v>
      </c>
      <c r="E316" s="18" t="str">
        <f>IFERROR(__xludf.DUMMYFUNCTION("""COMPUTED_VALUE"""),"building.furnace@3")</f>
        <v>building.furnace@3</v>
      </c>
    </row>
    <row r="317" ht="14.25" customHeight="1">
      <c r="A317" s="26" t="s">
        <v>881</v>
      </c>
      <c r="B317" s="26" t="s">
        <v>251</v>
      </c>
      <c r="D317" s="18" t="str">
        <f>IFERROR(__xludf.DUMMYFUNCTION("""COMPUTED_VALUE"""),"craftifact.metal_detector")</f>
        <v>craftifact.metal_detector</v>
      </c>
      <c r="E317" s="18" t="str">
        <f>IFERROR(__xludf.DUMMYFUNCTION("""COMPUTED_VALUE"""),"building.dungeon@5")</f>
        <v>building.dungeon@5</v>
      </c>
    </row>
    <row r="318" ht="14.25" customHeight="1">
      <c r="A318" s="26" t="s">
        <v>885</v>
      </c>
      <c r="B318" s="26" t="s">
        <v>177</v>
      </c>
      <c r="D318" s="18" t="str">
        <f>IFERROR(__xludf.DUMMYFUNCTION("""COMPUTED_VALUE"""),"craftifact.metal_detector")</f>
        <v>craftifact.metal_detector</v>
      </c>
      <c r="E318" s="18" t="str">
        <f>IFERROR(__xludf.DUMMYFUNCTION("""COMPUTED_VALUE"""),"quest.once_upon_a_forest_chapter_11.finished")</f>
        <v>quest.once_upon_a_forest_chapter_11.finished</v>
      </c>
    </row>
    <row r="319" ht="14.25" customHeight="1">
      <c r="A319" s="26" t="s">
        <v>885</v>
      </c>
      <c r="B319" s="26" t="s">
        <v>1094</v>
      </c>
      <c r="D319" s="18" t="str">
        <f>IFERROR(__xludf.DUMMYFUNCTION("""COMPUTED_VALUE"""),"craftifact.necklace_for_haruka")</f>
        <v>craftifact.necklace_for_haruka</v>
      </c>
      <c r="E319" s="18" t="str">
        <f>IFERROR(__xludf.DUMMYFUNCTION("""COMPUTED_VALUE"""),"building.workshop@5")</f>
        <v>building.workshop@5</v>
      </c>
    </row>
    <row r="320" ht="14.25" customHeight="1">
      <c r="A320" s="26" t="s">
        <v>891</v>
      </c>
      <c r="B320" s="26" t="s">
        <v>478</v>
      </c>
      <c r="D320" s="18" t="str">
        <f>IFERROR(__xludf.DUMMYFUNCTION("""COMPUTED_VALUE"""),"craftifact.necklace_for_haruka")</f>
        <v>craftifact.necklace_for_haruka</v>
      </c>
      <c r="E320" s="18" t="str">
        <f>IFERROR(__xludf.DUMMYFUNCTION("""COMPUTED_VALUE"""),"building.ship@1")</f>
        <v>building.ship@1</v>
      </c>
    </row>
    <row r="321" ht="14.25" customHeight="1">
      <c r="A321" s="26" t="s">
        <v>891</v>
      </c>
      <c r="B321" s="26" t="s">
        <v>393</v>
      </c>
      <c r="D321" s="18" t="str">
        <f>IFERROR(__xludf.DUMMYFUNCTION("""COMPUTED_VALUE"""),"craftifact.safe")</f>
        <v>craftifact.safe</v>
      </c>
      <c r="E321" s="18" t="str">
        <f>IFERROR(__xludf.DUMMYFUNCTION("""COMPUTED_VALUE"""),"building.workshop@5")</f>
        <v>building.workshop@5</v>
      </c>
    </row>
    <row r="322" ht="14.25" customHeight="1">
      <c r="A322" s="26" t="s">
        <v>895</v>
      </c>
      <c r="B322" s="26" t="s">
        <v>478</v>
      </c>
      <c r="D322" s="18" t="str">
        <f>IFERROR(__xludf.DUMMYFUNCTION("""COMPUTED_VALUE"""),"craftifact.safe")</f>
        <v>craftifact.safe</v>
      </c>
      <c r="E322" s="18" t="str">
        <f>IFERROR(__xludf.DUMMYFUNCTION("""COMPUTED_VALUE"""),"building.airship@1")</f>
        <v>building.airship@1</v>
      </c>
    </row>
    <row r="323" ht="14.25" customHeight="1">
      <c r="A323" s="26" t="s">
        <v>895</v>
      </c>
      <c r="B323" s="26" t="s">
        <v>47</v>
      </c>
      <c r="D323" s="18" t="str">
        <f>IFERROR(__xludf.DUMMYFUNCTION("""COMPUTED_VALUE"""),"craftifact.solver_1_prototype")</f>
        <v>craftifact.solver_1_prototype</v>
      </c>
      <c r="E323" s="18" t="str">
        <f>IFERROR(__xludf.DUMMYFUNCTION("""COMPUTED_VALUE"""),"building.workshop@5")</f>
        <v>building.workshop@5</v>
      </c>
    </row>
    <row r="324" ht="14.25" customHeight="1">
      <c r="A324" s="26" t="s">
        <v>898</v>
      </c>
      <c r="B324" s="26" t="s">
        <v>478</v>
      </c>
      <c r="D324" s="18" t="str">
        <f>IFERROR(__xludf.DUMMYFUNCTION("""COMPUTED_VALUE"""),"craftifact.solver_1_prototype")</f>
        <v>craftifact.solver_1_prototype</v>
      </c>
      <c r="E324" s="18" t="str">
        <f>IFERROR(__xludf.DUMMYFUNCTION("""COMPUTED_VALUE"""),"quest.once_upon_a_forest_chapter_3.finished")</f>
        <v>quest.once_upon_a_forest_chapter_3.finished</v>
      </c>
    </row>
    <row r="325" ht="14.25" customHeight="1">
      <c r="A325" s="26" t="s">
        <v>898</v>
      </c>
      <c r="B325" s="26" t="s">
        <v>1144</v>
      </c>
      <c r="D325" s="18" t="str">
        <f>IFERROR(__xludf.DUMMYFUNCTION("""COMPUTED_VALUE"""),"craftifact.telescope")</f>
        <v>craftifact.telescope</v>
      </c>
      <c r="E325" s="18" t="str">
        <f>IFERROR(__xludf.DUMMYFUNCTION("""COMPUTED_VALUE"""),"building.workshop@5")</f>
        <v>building.workshop@5</v>
      </c>
    </row>
    <row r="326" ht="14.25" customHeight="1">
      <c r="A326" s="26" t="s">
        <v>905</v>
      </c>
      <c r="B326" s="26" t="s">
        <v>478</v>
      </c>
      <c r="D326" s="18" t="str">
        <f>IFERROR(__xludf.DUMMYFUNCTION("""COMPUTED_VALUE"""),"craftifact.telescope")</f>
        <v>craftifact.telescope</v>
      </c>
      <c r="E326" s="18" t="str">
        <f>IFERROR(__xludf.DUMMYFUNCTION("""COMPUTED_VALUE"""),"building.airship@1")</f>
        <v>building.airship@1</v>
      </c>
    </row>
    <row r="327" ht="14.25" customHeight="1">
      <c r="A327" s="26" t="s">
        <v>905</v>
      </c>
      <c r="B327" s="26" t="s">
        <v>47</v>
      </c>
      <c r="D327" s="18" t="str">
        <f>IFERROR(__xludf.DUMMYFUNCTION("""COMPUTED_VALUE"""),"craftifact.tetrachloroaurate")</f>
        <v>craftifact.tetrachloroaurate</v>
      </c>
      <c r="E327" s="18" t="str">
        <f>IFERROR(__xludf.DUMMYFUNCTION("""COMPUTED_VALUE"""),"building.alchemists_hut@6")</f>
        <v>building.alchemists_hut@6</v>
      </c>
    </row>
    <row r="328" ht="14.25" customHeight="1">
      <c r="A328" s="26" t="s">
        <v>910</v>
      </c>
      <c r="B328" s="26" t="s">
        <v>81</v>
      </c>
      <c r="D328" s="18" t="str">
        <f>IFERROR(__xludf.DUMMYFUNCTION("""COMPUTED_VALUE"""),"craftifact.tetrachloroaurate")</f>
        <v>craftifact.tetrachloroaurate</v>
      </c>
      <c r="E328" s="18" t="str">
        <f>IFERROR(__xludf.DUMMYFUNCTION("""COMPUTED_VALUE"""),"building.airship@1")</f>
        <v>building.airship@1</v>
      </c>
    </row>
    <row r="329" ht="14.25" customHeight="1">
      <c r="A329" s="26" t="s">
        <v>910</v>
      </c>
      <c r="B329" s="26" t="s">
        <v>47</v>
      </c>
      <c r="D329" s="18" t="str">
        <f>IFERROR(__xludf.DUMMYFUNCTION("""COMPUTED_VALUE"""),"craftifact.trigonometry")</f>
        <v>craftifact.trigonometry</v>
      </c>
      <c r="E329" s="18" t="str">
        <f>IFERROR(__xludf.DUMMYFUNCTION("""COMPUTED_VALUE"""),"building.guild@5")</f>
        <v>building.guild@5</v>
      </c>
    </row>
    <row r="330" ht="14.25" customHeight="1">
      <c r="A330" s="26" t="s">
        <v>914</v>
      </c>
      <c r="B330" s="26" t="s">
        <v>302</v>
      </c>
      <c r="D330" s="18" t="str">
        <f>IFERROR(__xludf.DUMMYFUNCTION("""COMPUTED_VALUE"""),"craftifact.trigonometry")</f>
        <v>craftifact.trigonometry</v>
      </c>
      <c r="E330" s="18" t="str">
        <f>IFERROR(__xludf.DUMMYFUNCTION("""COMPUTED_VALUE"""),"building.dungeon@1")</f>
        <v>building.dungeon@1</v>
      </c>
    </row>
    <row r="331" ht="14.25" customHeight="1">
      <c r="A331" s="26" t="s">
        <v>914</v>
      </c>
      <c r="B331" s="26" t="s">
        <v>151</v>
      </c>
      <c r="D331" s="18" t="str">
        <f>IFERROR(__xludf.DUMMYFUNCTION("""COMPUTED_VALUE"""),"quest.ahead_of_time_chapter_1.accepted")</f>
        <v>quest.ahead_of_time_chapter_1.accepted</v>
      </c>
      <c r="E331" s="18" t="str">
        <f>IFERROR(__xludf.DUMMYFUNCTION("""COMPUTED_VALUE"""),"quest.magic_beans.finished")</f>
        <v>quest.magic_beans.finished</v>
      </c>
    </row>
    <row r="332" ht="14.25" customHeight="1">
      <c r="A332" s="26" t="s">
        <v>920</v>
      </c>
      <c r="B332" s="26" t="s">
        <v>1057</v>
      </c>
      <c r="D332" s="18" t="str">
        <f>IFERROR(__xludf.DUMMYFUNCTION("""COMPUTED_VALUE"""),"quest.ahead_of_time_chapter_1.accepted")</f>
        <v>quest.ahead_of_time_chapter_1.accepted</v>
      </c>
      <c r="E332" s="18" t="str">
        <f>IFERROR(__xludf.DUMMYFUNCTION("""COMPUTED_VALUE"""),"state.complete_lvl1_any_project")</f>
        <v>state.complete_lvl1_any_project</v>
      </c>
    </row>
    <row r="333" ht="14.25" customHeight="1">
      <c r="A333" s="26" t="s">
        <v>920</v>
      </c>
      <c r="B333" s="26" t="s">
        <v>1462</v>
      </c>
      <c r="D333" s="18" t="str">
        <f>IFERROR(__xludf.DUMMYFUNCTION("""COMPUTED_VALUE"""),"quest.ahead_of_time_chapter_1.accepted")</f>
        <v>quest.ahead_of_time_chapter_1.accepted</v>
      </c>
      <c r="E333" s="18" t="str">
        <f>IFERROR(__xludf.DUMMYFUNCTION("""COMPUTED_VALUE"""),"quest.once_upon_a_forest_chapter_9.finished")</f>
        <v>quest.once_upon_a_forest_chapter_9.finished</v>
      </c>
    </row>
    <row r="334" ht="14.25" customHeight="1">
      <c r="A334" s="26" t="s">
        <v>920</v>
      </c>
      <c r="B334" s="26" t="s">
        <v>1207</v>
      </c>
      <c r="D334" s="18" t="str">
        <f>IFERROR(__xludf.DUMMYFUNCTION("""COMPUTED_VALUE"""),"quest.ahead_of_time_chapter_1.accepted")</f>
        <v>quest.ahead_of_time_chapter_1.accepted</v>
      </c>
      <c r="E334" s="18" t="str">
        <f>IFERROR(__xludf.DUMMYFUNCTION("""COMPUTED_VALUE"""),"craftifact.solver_1_prototype")</f>
        <v>craftifact.solver_1_prototype</v>
      </c>
    </row>
    <row r="335" ht="14.25" customHeight="1">
      <c r="A335" s="26" t="s">
        <v>920</v>
      </c>
      <c r="B335" s="26" t="s">
        <v>898</v>
      </c>
      <c r="D335" s="18" t="str">
        <f>IFERROR(__xludf.DUMMYFUNCTION("""COMPUTED_VALUE"""),"quest.ahead_of_time_chapter_1.accepted")</f>
        <v>quest.ahead_of_time_chapter_1.accepted</v>
      </c>
      <c r="E335" s="18" t="str">
        <f>IFERROR(__xludf.DUMMYFUNCTION("""COMPUTED_VALUE"""),"state.meet_mech_adventurer_3a")</f>
        <v>state.meet_mech_adventurer_3a</v>
      </c>
    </row>
    <row r="336" ht="14.25" customHeight="1">
      <c r="A336" s="21" t="s">
        <v>920</v>
      </c>
      <c r="B336" s="26" t="s">
        <v>1542</v>
      </c>
      <c r="D336" s="18" t="str">
        <f>IFERROR(__xludf.DUMMYFUNCTION("""COMPUTED_VALUE"""),"quest.ahead_of_time_chapter_1.finished")</f>
        <v>quest.ahead_of_time_chapter_1.finished</v>
      </c>
      <c r="E336" s="18" t="str">
        <f>IFERROR(__xludf.DUMMYFUNCTION("""COMPUTED_VALUE"""),"quest.ahead_of_time_chapter_1.accepted")</f>
        <v>quest.ahead_of_time_chapter_1.accepted</v>
      </c>
    </row>
    <row r="337" ht="14.25" customHeight="1">
      <c r="A337" s="26" t="s">
        <v>924</v>
      </c>
      <c r="B337" s="26" t="s">
        <v>920</v>
      </c>
      <c r="D337" s="18" t="str">
        <f>IFERROR(__xludf.DUMMYFUNCTION("""COMPUTED_VALUE"""),"quest.ahead_of_time_chapter_2.accepted")</f>
        <v>quest.ahead_of_time_chapter_2.accepted</v>
      </c>
      <c r="E337" s="18" t="str">
        <f>IFERROR(__xludf.DUMMYFUNCTION("""COMPUTED_VALUE"""),"quest.ahead_of_time_chapter_1.finished")</f>
        <v>quest.ahead_of_time_chapter_1.finished</v>
      </c>
    </row>
    <row r="338" ht="14.25" customHeight="1">
      <c r="A338" s="26" t="s">
        <v>933</v>
      </c>
      <c r="B338" s="26" t="s">
        <v>924</v>
      </c>
      <c r="D338" s="18" t="str">
        <f>IFERROR(__xludf.DUMMYFUNCTION("""COMPUTED_VALUE"""),"quest.ahead_of_time_chapter_2.accepted")</f>
        <v>quest.ahead_of_time_chapter_2.accepted</v>
      </c>
      <c r="E338" s="18" t="str">
        <f>IFERROR(__xludf.DUMMYFUNCTION("""COMPUTED_VALUE"""),"state.visit_dungeon@6a")</f>
        <v>state.visit_dungeon@6a</v>
      </c>
    </row>
    <row r="339" ht="14.25" customHeight="1">
      <c r="A339" s="26" t="s">
        <v>933</v>
      </c>
      <c r="B339" s="26" t="s">
        <v>1671</v>
      </c>
      <c r="D339" s="18" t="str">
        <f>IFERROR(__xludf.DUMMYFUNCTION("""COMPUTED_VALUE"""),"quest.ahead_of_time_chapter_2.accepted")</f>
        <v>quest.ahead_of_time_chapter_2.accepted</v>
      </c>
      <c r="E339" s="18" t="str">
        <f>IFERROR(__xludf.DUMMYFUNCTION("""COMPUTED_VALUE"""),"quest.journey_through_japan_by_train.finished")</f>
        <v>quest.journey_through_japan_by_train.finished</v>
      </c>
    </row>
    <row r="340" ht="14.25" customHeight="1">
      <c r="A340" s="26" t="s">
        <v>933</v>
      </c>
      <c r="B340" s="26" t="s">
        <v>1039</v>
      </c>
      <c r="D340" s="18" t="str">
        <f>IFERROR(__xludf.DUMMYFUNCTION("""COMPUTED_VALUE"""),"quest.ahead_of_time_chapter_2.finished")</f>
        <v>quest.ahead_of_time_chapter_2.finished</v>
      </c>
      <c r="E340" s="18" t="str">
        <f>IFERROR(__xludf.DUMMYFUNCTION("""COMPUTED_VALUE"""),"quest.ahead_of_time_chapter_2.accepted")</f>
        <v>quest.ahead_of_time_chapter_2.accepted</v>
      </c>
    </row>
    <row r="341" ht="14.25" customHeight="1">
      <c r="A341" s="26" t="s">
        <v>937</v>
      </c>
      <c r="B341" s="26" t="s">
        <v>933</v>
      </c>
      <c r="D341" s="18" t="str">
        <f>IFERROR(__xludf.DUMMYFUNCTION("""COMPUTED_VALUE"""),"quest.ahead_of_time_chapter_3.accepted")</f>
        <v>quest.ahead_of_time_chapter_3.accepted</v>
      </c>
      <c r="E341" s="18" t="str">
        <f>IFERROR(__xludf.DUMMYFUNCTION("""COMPUTED_VALUE"""),"quest.ahead_of_time_chapter_2.finished")</f>
        <v>quest.ahead_of_time_chapter_2.finished</v>
      </c>
    </row>
    <row r="342" ht="14.25" customHeight="1">
      <c r="A342" s="26" t="s">
        <v>942</v>
      </c>
      <c r="B342" s="26" t="s">
        <v>937</v>
      </c>
      <c r="D342" s="18" t="str">
        <f>IFERROR(__xludf.DUMMYFUNCTION("""COMPUTED_VALUE"""),"quest.ahead_of_time_chapter_3.finished")</f>
        <v>quest.ahead_of_time_chapter_3.finished</v>
      </c>
      <c r="E342" s="18" t="str">
        <f>IFERROR(__xludf.DUMMYFUNCTION("""COMPUTED_VALUE"""),"quest.ahead_of_time_chapter_3.accepted")</f>
        <v>quest.ahead_of_time_chapter_3.accepted</v>
      </c>
    </row>
    <row r="343" ht="14.25" customHeight="1">
      <c r="A343" s="26" t="s">
        <v>945</v>
      </c>
      <c r="B343" s="26" t="s">
        <v>942</v>
      </c>
      <c r="D343" s="18" t="str">
        <f>IFERROR(__xludf.DUMMYFUNCTION("""COMPUTED_VALUE"""),"quest.ahead_of_time_chapter_4.accepted")</f>
        <v>quest.ahead_of_time_chapter_4.accepted</v>
      </c>
      <c r="E343" s="18" t="str">
        <f>IFERROR(__xludf.DUMMYFUNCTION("""COMPUTED_VALUE"""),"quest.ahead_of_time_chapter_3.finished")</f>
        <v>quest.ahead_of_time_chapter_3.finished</v>
      </c>
    </row>
    <row r="344" ht="14.25" customHeight="1">
      <c r="A344" s="26" t="s">
        <v>949</v>
      </c>
      <c r="B344" s="26" t="s">
        <v>945</v>
      </c>
      <c r="D344" s="18" t="str">
        <f>IFERROR(__xludf.DUMMYFUNCTION("""COMPUTED_VALUE"""),"quest.ahead_of_time_chapter_4.finished")</f>
        <v>quest.ahead_of_time_chapter_4.finished</v>
      </c>
      <c r="E344" s="18" t="str">
        <f>IFERROR(__xludf.DUMMYFUNCTION("""COMPUTED_VALUE"""),"quest.ahead_of_time_chapter_4.accepted")</f>
        <v>quest.ahead_of_time_chapter_4.accepted</v>
      </c>
    </row>
    <row r="345" ht="14.25" customHeight="1">
      <c r="A345" s="26" t="s">
        <v>953</v>
      </c>
      <c r="B345" s="26" t="s">
        <v>949</v>
      </c>
      <c r="D345" s="18" t="str">
        <f>IFERROR(__xludf.DUMMYFUNCTION("""COMPUTED_VALUE"""),"quest.ahead_of_time_chapter_5.accepted")</f>
        <v>quest.ahead_of_time_chapter_5.accepted</v>
      </c>
      <c r="E345" s="18" t="str">
        <f>IFERROR(__xludf.DUMMYFUNCTION("""COMPUTED_VALUE"""),"quest.ahead_of_time_chapter_4.finished")</f>
        <v>quest.ahead_of_time_chapter_4.finished</v>
      </c>
    </row>
    <row r="346" ht="14.25" customHeight="1">
      <c r="A346" s="26" t="s">
        <v>957</v>
      </c>
      <c r="B346" s="26" t="s">
        <v>953</v>
      </c>
      <c r="D346" s="18" t="str">
        <f>IFERROR(__xludf.DUMMYFUNCTION("""COMPUTED_VALUE"""),"quest.ahead_of_time_chapter_5.finished")</f>
        <v>quest.ahead_of_time_chapter_5.finished</v>
      </c>
      <c r="E346" s="18" t="str">
        <f>IFERROR(__xludf.DUMMYFUNCTION("""COMPUTED_VALUE"""),"quest.ahead_of_time_chapter_5.accepted")</f>
        <v>quest.ahead_of_time_chapter_5.accepted</v>
      </c>
    </row>
    <row r="347" ht="14.25" customHeight="1">
      <c r="A347" s="26" t="s">
        <v>963</v>
      </c>
      <c r="B347" s="26" t="s">
        <v>957</v>
      </c>
      <c r="D347" s="18" t="str">
        <f>IFERROR(__xludf.DUMMYFUNCTION("""COMPUTED_VALUE"""),"quest.build_the_guild.finished")</f>
        <v>quest.build_the_guild.finished</v>
      </c>
      <c r="E347" s="18" t="str">
        <f>IFERROR(__xludf.DUMMYFUNCTION("""COMPUTED_VALUE"""),"quest.build_the_guild.accepted")</f>
        <v>quest.build_the_guild.accepted</v>
      </c>
    </row>
    <row r="348" ht="14.25" customHeight="1">
      <c r="A348" s="26" t="s">
        <v>967</v>
      </c>
      <c r="B348" s="26" t="s">
        <v>964</v>
      </c>
      <c r="D348" s="18" t="str">
        <f>IFERROR(__xludf.DUMMYFUNCTION("""COMPUTED_VALUE"""),"quest.build_the_pagoda.finished")</f>
        <v>quest.build_the_pagoda.finished</v>
      </c>
      <c r="E348" s="18" t="str">
        <f>IFERROR(__xludf.DUMMYFUNCTION("""COMPUTED_VALUE"""),"quest.build_the_pagoda.accepted")</f>
        <v>quest.build_the_pagoda.accepted</v>
      </c>
    </row>
    <row r="349" ht="14.25" customHeight="1">
      <c r="A349" s="26" t="s">
        <v>975</v>
      </c>
      <c r="B349" s="26" t="s">
        <v>971</v>
      </c>
      <c r="D349" s="18" t="str">
        <f>IFERROR(__xludf.DUMMYFUNCTION("""COMPUTED_VALUE"""),"quest.culinary_battle.accepted")</f>
        <v>quest.culinary_battle.accepted</v>
      </c>
      <c r="E349" s="18" t="str">
        <f>IFERROR(__xludf.DUMMYFUNCTION("""COMPUTED_VALUE"""),"state.meet_fat_demon@4a")</f>
        <v>state.meet_fat_demon@4a</v>
      </c>
    </row>
    <row r="350" ht="14.25" customHeight="1">
      <c r="A350" s="26" t="s">
        <v>979</v>
      </c>
      <c r="B350" s="26" t="s">
        <v>1528</v>
      </c>
      <c r="D350" s="18" t="str">
        <f>IFERROR(__xludf.DUMMYFUNCTION("""COMPUTED_VALUE"""),"quest.culinary_battle.accepted")</f>
        <v>quest.culinary_battle.accepted</v>
      </c>
      <c r="E350" s="18" t="str">
        <f>IFERROR(__xludf.DUMMYFUNCTION("""COMPUTED_VALUE"""),"building.dungeon@4")</f>
        <v>building.dungeon@4</v>
      </c>
    </row>
    <row r="351" ht="14.25" customHeight="1">
      <c r="A351" s="26" t="s">
        <v>979</v>
      </c>
      <c r="B351" s="26" t="s">
        <v>172</v>
      </c>
      <c r="D351" s="18" t="str">
        <f>IFERROR(__xludf.DUMMYFUNCTION("""COMPUTED_VALUE"""),"quest.culinary_battle.finished")</f>
        <v>quest.culinary_battle.finished</v>
      </c>
      <c r="E351" s="18" t="str">
        <f>IFERROR(__xludf.DUMMYFUNCTION("""COMPUTED_VALUE"""),"quest.culinary_battle.accepted")</f>
        <v>quest.culinary_battle.accepted</v>
      </c>
    </row>
    <row r="352" ht="14.25" customHeight="1">
      <c r="A352" s="26" t="s">
        <v>982</v>
      </c>
      <c r="B352" s="26" t="s">
        <v>979</v>
      </c>
      <c r="D352" s="18" t="str">
        <f>IFERROR(__xludf.DUMMYFUNCTION("""COMPUTED_VALUE"""),"quest.dragon_teeth.accepted")</f>
        <v>quest.dragon_teeth.accepted</v>
      </c>
      <c r="E352" s="18" t="str">
        <f>IFERROR(__xludf.DUMMYFUNCTION("""COMPUTED_VALUE"""),"state.meet_old_man@4c")</f>
        <v>state.meet_old_man@4c</v>
      </c>
    </row>
    <row r="353" ht="14.25" customHeight="1">
      <c r="A353" s="26" t="s">
        <v>986</v>
      </c>
      <c r="B353" s="26" t="s">
        <v>1554</v>
      </c>
      <c r="D353" s="18" t="str">
        <f>IFERROR(__xludf.DUMMYFUNCTION("""COMPUTED_VALUE"""),"quest.dragon_teeth.accepted")</f>
        <v>quest.dragon_teeth.accepted</v>
      </c>
      <c r="E353" s="18" t="str">
        <f>IFERROR(__xludf.DUMMYFUNCTION("""COMPUTED_VALUE"""),"building.dungeon@4")</f>
        <v>building.dungeon@4</v>
      </c>
    </row>
    <row r="354" ht="14.25" customHeight="1">
      <c r="A354" s="26" t="s">
        <v>986</v>
      </c>
      <c r="B354" s="26" t="s">
        <v>172</v>
      </c>
      <c r="D354" s="18" t="str">
        <f>IFERROR(__xludf.DUMMYFUNCTION("""COMPUTED_VALUE"""),"quest.dragon_teeth.finished")</f>
        <v>quest.dragon_teeth.finished</v>
      </c>
      <c r="E354" s="18" t="str">
        <f>IFERROR(__xludf.DUMMYFUNCTION("""COMPUTED_VALUE"""),"quest.dragon_teeth.accepted")</f>
        <v>quest.dragon_teeth.accepted</v>
      </c>
    </row>
    <row r="355" ht="14.25" customHeight="1">
      <c r="A355" s="26" t="s">
        <v>991</v>
      </c>
      <c r="B355" s="26" t="s">
        <v>986</v>
      </c>
      <c r="D355" s="18" t="str">
        <f>IFERROR(__xludf.DUMMYFUNCTION("""COMPUTED_VALUE"""),"quest.festival.accepted")</f>
        <v>quest.festival.accepted</v>
      </c>
      <c r="E355" s="18" t="str">
        <f>IFERROR(__xludf.DUMMYFUNCTION("""COMPUTED_VALUE"""),"building.bridge@1")</f>
        <v>building.bridge@1</v>
      </c>
    </row>
    <row r="356" ht="14.25" customHeight="1">
      <c r="A356" s="26" t="s">
        <v>995</v>
      </c>
      <c r="B356" s="26" t="s">
        <v>96</v>
      </c>
      <c r="D356" s="18" t="str">
        <f>IFERROR(__xludf.DUMMYFUNCTION("""COMPUTED_VALUE"""),"quest.festival.finished")</f>
        <v>quest.festival.finished</v>
      </c>
      <c r="E356" s="18" t="str">
        <f>IFERROR(__xludf.DUMMYFUNCTION("""COMPUTED_VALUE"""),"quest.festival.accepted")</f>
        <v>quest.festival.accepted</v>
      </c>
    </row>
    <row r="357" ht="14.25" customHeight="1">
      <c r="A357" s="26" t="s">
        <v>999</v>
      </c>
      <c r="B357" s="26" t="s">
        <v>995</v>
      </c>
      <c r="D357" s="18" t="str">
        <f>IFERROR(__xludf.DUMMYFUNCTION("""COMPUTED_VALUE"""),"quest.festival_of_beans.accepted")</f>
        <v>quest.festival_of_beans.accepted</v>
      </c>
      <c r="E357" s="18" t="str">
        <f>IFERROR(__xludf.DUMMYFUNCTION("""COMPUTED_VALUE"""),"building.fermentory@6")</f>
        <v>building.fermentory@6</v>
      </c>
    </row>
    <row r="358" ht="14.25" customHeight="1">
      <c r="A358" s="26" t="s">
        <v>1003</v>
      </c>
      <c r="B358" s="26" t="s">
        <v>214</v>
      </c>
      <c r="D358" s="18" t="str">
        <f>IFERROR(__xludf.DUMMYFUNCTION("""COMPUTED_VALUE"""),"quest.festival_of_beans.accepted")</f>
        <v>quest.festival_of_beans.accepted</v>
      </c>
      <c r="E358" s="18" t="str">
        <f>IFERROR(__xludf.DUMMYFUNCTION("""COMPUTED_VALUE"""),"quest.festival_returns.finished")</f>
        <v>quest.festival_returns.finished</v>
      </c>
    </row>
    <row r="359" ht="14.25" customHeight="1">
      <c r="A359" s="26" t="s">
        <v>1003</v>
      </c>
      <c r="B359" s="26" t="s">
        <v>1016</v>
      </c>
      <c r="D359" s="18" t="str">
        <f>IFERROR(__xludf.DUMMYFUNCTION("""COMPUTED_VALUE"""),"quest.festival_of_beans.finished")</f>
        <v>quest.festival_of_beans.finished</v>
      </c>
      <c r="E359" s="18" t="str">
        <f>IFERROR(__xludf.DUMMYFUNCTION("""COMPUTED_VALUE"""),"quest.festival_of_beans.accepted")</f>
        <v>quest.festival_of_beans.accepted</v>
      </c>
    </row>
    <row r="360" ht="14.25" customHeight="1">
      <c r="A360" s="26" t="s">
        <v>1007</v>
      </c>
      <c r="B360" s="26" t="s">
        <v>1003</v>
      </c>
      <c r="D360" s="18" t="str">
        <f>IFERROR(__xludf.DUMMYFUNCTION("""COMPUTED_VALUE"""),"quest.festival_returns.accepted")</f>
        <v>quest.festival_returns.accepted</v>
      </c>
      <c r="E360" s="18" t="str">
        <f>IFERROR(__xludf.DUMMYFUNCTION("""COMPUTED_VALUE"""),"building.airship@1")</f>
        <v>building.airship@1</v>
      </c>
    </row>
    <row r="361" ht="14.25" customHeight="1">
      <c r="A361" s="26" t="s">
        <v>1011</v>
      </c>
      <c r="B361" s="26" t="s">
        <v>47</v>
      </c>
      <c r="D361" s="18" t="str">
        <f>IFERROR(__xludf.DUMMYFUNCTION("""COMPUTED_VALUE"""),"quest.festival_returns.accepted")</f>
        <v>quest.festival_returns.accepted</v>
      </c>
      <c r="E361" s="18" t="str">
        <f>IFERROR(__xludf.DUMMYFUNCTION("""COMPUTED_VALUE"""),"quest.festival.finished")</f>
        <v>quest.festival.finished</v>
      </c>
    </row>
    <row r="362" ht="14.25" customHeight="1">
      <c r="A362" s="26" t="s">
        <v>1011</v>
      </c>
      <c r="B362" s="26" t="s">
        <v>999</v>
      </c>
      <c r="D362" s="18" t="str">
        <f>IFERROR(__xludf.DUMMYFUNCTION("""COMPUTED_VALUE"""),"quest.festival_returns.finished")</f>
        <v>quest.festival_returns.finished</v>
      </c>
      <c r="E362" s="18" t="str">
        <f>IFERROR(__xludf.DUMMYFUNCTION("""COMPUTED_VALUE"""),"quest.festival_returns.accepted")</f>
        <v>quest.festival_returns.accepted</v>
      </c>
    </row>
    <row r="363" ht="14.25" customHeight="1">
      <c r="A363" s="26" t="s">
        <v>1016</v>
      </c>
      <c r="B363" s="26" t="s">
        <v>1011</v>
      </c>
      <c r="D363" s="18" t="str">
        <f>IFERROR(__xludf.DUMMYFUNCTION("""COMPUTED_VALUE"""),"quest.green_potion.accepted")</f>
        <v>quest.green_potion.accepted</v>
      </c>
      <c r="E363" s="18" t="str">
        <f>IFERROR(__xludf.DUMMYFUNCTION("""COMPUTED_VALUE"""),"state.meet_traveling_merchant@1b")</f>
        <v>state.meet_traveling_merchant@1b</v>
      </c>
    </row>
    <row r="364" ht="14.25" customHeight="1">
      <c r="A364" s="26" t="s">
        <v>1019</v>
      </c>
      <c r="B364" s="26" t="s">
        <v>1575</v>
      </c>
      <c r="D364" s="18" t="str">
        <f>IFERROR(__xludf.DUMMYFUNCTION("""COMPUTED_VALUE"""),"quest.green_potion.finished")</f>
        <v>quest.green_potion.finished</v>
      </c>
      <c r="E364" s="18" t="str">
        <f>IFERROR(__xludf.DUMMYFUNCTION("""COMPUTED_VALUE"""),"quest.green_potion.accepted")</f>
        <v>quest.green_potion.accepted</v>
      </c>
    </row>
    <row r="365" ht="14.25" customHeight="1">
      <c r="A365" s="26" t="s">
        <v>1023</v>
      </c>
      <c r="B365" s="26" t="s">
        <v>1019</v>
      </c>
      <c r="D365" s="18" t="str">
        <f>IFERROR(__xludf.DUMMYFUNCTION("""COMPUTED_VALUE"""),"quest.honor_glory_sushi.accepted")</f>
        <v>quest.honor_glory_sushi.accepted</v>
      </c>
      <c r="E365" s="18" t="str">
        <f>IFERROR(__xludf.DUMMYFUNCTION("""COMPUTED_VALUE"""),"building.bridge@1")</f>
        <v>building.bridge@1</v>
      </c>
    </row>
    <row r="366" ht="14.25" customHeight="1">
      <c r="A366" s="26" t="s">
        <v>1027</v>
      </c>
      <c r="B366" s="26" t="s">
        <v>96</v>
      </c>
      <c r="D366" s="18" t="str">
        <f>IFERROR(__xludf.DUMMYFUNCTION("""COMPUTED_VALUE"""),"quest.honor_glory_sushi.finished")</f>
        <v>quest.honor_glory_sushi.finished</v>
      </c>
      <c r="E366" s="18" t="str">
        <f>IFERROR(__xludf.DUMMYFUNCTION("""COMPUTED_VALUE"""),"quest.honor_glory_sushi.accepted")</f>
        <v>quest.honor_glory_sushi.accepted</v>
      </c>
    </row>
    <row r="367" ht="14.25" customHeight="1">
      <c r="A367" s="26" t="s">
        <v>1032</v>
      </c>
      <c r="B367" s="26" t="s">
        <v>1027</v>
      </c>
      <c r="D367" s="18" t="str">
        <f>IFERROR(__xludf.DUMMYFUNCTION("""COMPUTED_VALUE"""),"quest.journey_through_japan_by_train.accepted")</f>
        <v>quest.journey_through_japan_by_train.accepted</v>
      </c>
      <c r="E367" s="18" t="str">
        <f>IFERROR(__xludf.DUMMYFUNCTION("""COMPUTED_VALUE"""),"building.station@1")</f>
        <v>building.station@1</v>
      </c>
    </row>
    <row r="368" ht="14.25" customHeight="1">
      <c r="A368" s="26" t="s">
        <v>1036</v>
      </c>
      <c r="B368" s="26" t="s">
        <v>418</v>
      </c>
      <c r="D368" s="18" t="str">
        <f>IFERROR(__xludf.DUMMYFUNCTION("""COMPUTED_VALUE"""),"quest.journey_through_japan_by_train.finished")</f>
        <v>quest.journey_through_japan_by_train.finished</v>
      </c>
      <c r="E368" s="18" t="str">
        <f>IFERROR(__xludf.DUMMYFUNCTION("""COMPUTED_VALUE"""),"quest.journey_through_japan_by_train.accepted")</f>
        <v>quest.journey_through_japan_by_train.accepted</v>
      </c>
    </row>
    <row r="369" ht="14.25" customHeight="1">
      <c r="A369" s="26" t="s">
        <v>1039</v>
      </c>
      <c r="B369" s="26" t="s">
        <v>1036</v>
      </c>
      <c r="D369" s="18" t="str">
        <f>IFERROR(__xludf.DUMMYFUNCTION("""COMPUTED_VALUE"""),"quest.letter_from_the_dark_lady.accepted")</f>
        <v>quest.letter_from_the_dark_lady.accepted</v>
      </c>
      <c r="E369" s="18" t="str">
        <f>IFERROR(__xludf.DUMMYFUNCTION("""COMPUTED_VALUE"""),"quest.the_ordinary_days_of_an_adventurer_chapter_6.finished")</f>
        <v>quest.the_ordinary_days_of_an_adventurer_chapter_6.finished</v>
      </c>
    </row>
    <row r="370" ht="14.25" customHeight="1">
      <c r="A370" s="21" t="s">
        <v>1044</v>
      </c>
      <c r="B370" s="26" t="s">
        <v>1327</v>
      </c>
      <c r="D370" s="18" t="str">
        <f>IFERROR(__xludf.DUMMYFUNCTION("""COMPUTED_VALUE"""),"quest.letter_from_the_dark_lady.finished")</f>
        <v>quest.letter_from_the_dark_lady.finished</v>
      </c>
      <c r="E370" s="18" t="str">
        <f>IFERROR(__xludf.DUMMYFUNCTION("""COMPUTED_VALUE"""),"quest.letter_from_the_dark_lady.accepted")</f>
        <v>quest.letter_from_the_dark_lady.accepted</v>
      </c>
    </row>
    <row r="371" ht="14.25" customHeight="1">
      <c r="A371" s="26" t="s">
        <v>1048</v>
      </c>
      <c r="B371" s="26" t="s">
        <v>1044</v>
      </c>
      <c r="D371" s="18" t="str">
        <f>IFERROR(__xludf.DUMMYFUNCTION("""COMPUTED_VALUE"""),"quest.magic_beans.accepted")</f>
        <v>quest.magic_beans.accepted</v>
      </c>
      <c r="E371" s="18" t="str">
        <f>IFERROR(__xludf.DUMMYFUNCTION("""COMPUTED_VALUE"""),"quest.the_ring_of_the_dark_lady.finished")</f>
        <v>quest.the_ring_of_the_dark_lady.finished</v>
      </c>
    </row>
    <row r="372" ht="14.25" customHeight="1">
      <c r="A372" s="26" t="s">
        <v>1053</v>
      </c>
      <c r="B372" s="26" t="s">
        <v>1340</v>
      </c>
      <c r="D372" s="18" t="str">
        <f>IFERROR(__xludf.DUMMYFUNCTION("""COMPUTED_VALUE"""),"quest.magic_beans.accepted")</f>
        <v>quest.magic_beans.accepted</v>
      </c>
      <c r="E372" s="18" t="str">
        <f>IFERROR(__xludf.DUMMYFUNCTION("""COMPUTED_VALUE"""),"building.dungeon@5")</f>
        <v>building.dungeon@5</v>
      </c>
    </row>
    <row r="373" ht="14.25" customHeight="1">
      <c r="A373" s="26" t="s">
        <v>1053</v>
      </c>
      <c r="B373" s="26" t="s">
        <v>177</v>
      </c>
      <c r="D373" s="18" t="str">
        <f>IFERROR(__xludf.DUMMYFUNCTION("""COMPUTED_VALUE"""),"quest.magic_beans.accepted")</f>
        <v>quest.magic_beans.accepted</v>
      </c>
      <c r="E373" s="18" t="str">
        <f>IFERROR(__xludf.DUMMYFUNCTION("""COMPUTED_VALUE"""),"state.visit_dungeon@4a")</f>
        <v>state.visit_dungeon@4a</v>
      </c>
    </row>
    <row r="374" ht="14.25" customHeight="1">
      <c r="A374" s="26" t="s">
        <v>1053</v>
      </c>
      <c r="B374" s="26" t="s">
        <v>1667</v>
      </c>
      <c r="D374" s="18" t="str">
        <f>IFERROR(__xludf.DUMMYFUNCTION("""COMPUTED_VALUE"""),"quest.magic_beans.finished")</f>
        <v>quest.magic_beans.finished</v>
      </c>
      <c r="E374" s="18" t="str">
        <f>IFERROR(__xludf.DUMMYFUNCTION("""COMPUTED_VALUE"""),"quest.magic_beans.accepted")</f>
        <v>quest.magic_beans.accepted</v>
      </c>
    </row>
    <row r="375" ht="14.25" customHeight="1">
      <c r="A375" s="26" t="s">
        <v>1057</v>
      </c>
      <c r="B375" s="26" t="s">
        <v>1053</v>
      </c>
      <c r="D375" s="18" t="str">
        <f>IFERROR(__xludf.DUMMYFUNCTION("""COMPUTED_VALUE"""),"quest.once_upon_a_forest_chapter_1.accepted")</f>
        <v>quest.once_upon_a_forest_chapter_1.accepted</v>
      </c>
      <c r="E375" s="18" t="str">
        <f>IFERROR(__xludf.DUMMYFUNCTION("""COMPUTED_VALUE"""),"state.meet_mech_adventurer@2b")</f>
        <v>state.meet_mech_adventurer@2b</v>
      </c>
    </row>
    <row r="376" ht="14.25" customHeight="1">
      <c r="A376" s="26" t="s">
        <v>1064</v>
      </c>
      <c r="B376" s="26" t="s">
        <v>1540</v>
      </c>
      <c r="D376" s="18" t="str">
        <f>IFERROR(__xludf.DUMMYFUNCTION("""COMPUTED_VALUE"""),"quest.once_upon_a_forest_chapter_1.finished")</f>
        <v>quest.once_upon_a_forest_chapter_1.finished</v>
      </c>
      <c r="E376" s="18" t="str">
        <f>IFERROR(__xludf.DUMMYFUNCTION("""COMPUTED_VALUE"""),"quest.once_upon_a_forest_chapter_1.accepted")</f>
        <v>quest.once_upon_a_forest_chapter_1.accepted</v>
      </c>
    </row>
    <row r="377" ht="14.25" customHeight="1">
      <c r="A377" s="26" t="s">
        <v>1070</v>
      </c>
      <c r="B377" s="26" t="s">
        <v>1064</v>
      </c>
      <c r="D377" s="18" t="str">
        <f>IFERROR(__xludf.DUMMYFUNCTION("""COMPUTED_VALUE"""),"quest.once_upon_a_forest_chapter_10.accepted")</f>
        <v>quest.once_upon_a_forest_chapter_10.accepted</v>
      </c>
      <c r="E377" s="18" t="str">
        <f>IFERROR(__xludf.DUMMYFUNCTION("""COMPUTED_VALUE"""),"quest.once_upon_a_forest_chapter_9.accepted")</f>
        <v>quest.once_upon_a_forest_chapter_9.accepted</v>
      </c>
    </row>
    <row r="378" ht="14.25" customHeight="1">
      <c r="A378" s="26" t="s">
        <v>1076</v>
      </c>
      <c r="B378" s="26" t="s">
        <v>1200</v>
      </c>
      <c r="D378" s="18" t="str">
        <f>IFERROR(__xludf.DUMMYFUNCTION("""COMPUTED_VALUE"""),"quest.once_upon_a_forest_chapter_10.accepted")</f>
        <v>quest.once_upon_a_forest_chapter_10.accepted</v>
      </c>
      <c r="E378" s="18" t="str">
        <f>IFERROR(__xludf.DUMMYFUNCTION("""COMPUTED_VALUE"""),"state.meet_hunter@f1")</f>
        <v>state.meet_hunter@f1</v>
      </c>
    </row>
    <row r="379" ht="14.25" customHeight="1">
      <c r="A379" s="26" t="s">
        <v>1076</v>
      </c>
      <c r="B379" s="26" t="s">
        <v>1534</v>
      </c>
      <c r="D379" s="18" t="str">
        <f>IFERROR(__xludf.DUMMYFUNCTION("""COMPUTED_VALUE"""),"quest.once_upon_a_forest_chapter_10.finished")</f>
        <v>quest.once_upon_a_forest_chapter_10.finished</v>
      </c>
      <c r="E379" s="18" t="str">
        <f>IFERROR(__xludf.DUMMYFUNCTION("""COMPUTED_VALUE"""),"quest.once_upon_a_forest_chapter_10.accepted")</f>
        <v>quest.once_upon_a_forest_chapter_10.accepted</v>
      </c>
    </row>
    <row r="380" ht="14.25" customHeight="1">
      <c r="A380" s="26" t="s">
        <v>1084</v>
      </c>
      <c r="B380" s="26" t="s">
        <v>1076</v>
      </c>
      <c r="D380" s="18" t="str">
        <f>IFERROR(__xludf.DUMMYFUNCTION("""COMPUTED_VALUE"""),"quest.once_upon_a_forest_chapter_11.accepted")</f>
        <v>quest.once_upon_a_forest_chapter_11.accepted</v>
      </c>
      <c r="E380" s="18" t="str">
        <f>IFERROR(__xludf.DUMMYFUNCTION("""COMPUTED_VALUE"""),"quest.once_upon_a_forest_chapter_10.accepted")</f>
        <v>quest.once_upon_a_forest_chapter_10.accepted</v>
      </c>
    </row>
    <row r="381" ht="14.25" customHeight="1">
      <c r="A381" s="26" t="s">
        <v>1089</v>
      </c>
      <c r="B381" s="26" t="s">
        <v>1076</v>
      </c>
      <c r="D381" s="18" t="str">
        <f>IFERROR(__xludf.DUMMYFUNCTION("""COMPUTED_VALUE"""),"quest.once_upon_a_forest_chapter_11.accepted")</f>
        <v>quest.once_upon_a_forest_chapter_11.accepted</v>
      </c>
      <c r="E381" s="18" t="str">
        <f>IFERROR(__xludf.DUMMYFUNCTION("""COMPUTED_VALUE"""),"state.meet_pilot@f3")</f>
        <v>state.meet_pilot@f3</v>
      </c>
    </row>
    <row r="382" ht="14.25" customHeight="1">
      <c r="A382" s="26" t="s">
        <v>1089</v>
      </c>
      <c r="B382" s="26" t="s">
        <v>1556</v>
      </c>
      <c r="D382" s="18" t="str">
        <f>IFERROR(__xludf.DUMMYFUNCTION("""COMPUTED_VALUE"""),"quest.once_upon_a_forest_chapter_11.finished")</f>
        <v>quest.once_upon_a_forest_chapter_11.finished</v>
      </c>
      <c r="E382" s="18" t="str">
        <f>IFERROR(__xludf.DUMMYFUNCTION("""COMPUTED_VALUE"""),"quest.once_upon_a_forest_chapter_11.accepted")</f>
        <v>quest.once_upon_a_forest_chapter_11.accepted</v>
      </c>
    </row>
    <row r="383" ht="14.25" customHeight="1">
      <c r="A383" s="26" t="s">
        <v>1094</v>
      </c>
      <c r="B383" s="26" t="s">
        <v>1089</v>
      </c>
      <c r="D383" s="18" t="str">
        <f>IFERROR(__xludf.DUMMYFUNCTION("""COMPUTED_VALUE"""),"quest.once_upon_a_forest_chapter_12.accepted")</f>
        <v>quest.once_upon_a_forest_chapter_12.accepted</v>
      </c>
      <c r="E383" s="18" t="str">
        <f>IFERROR(__xludf.DUMMYFUNCTION("""COMPUTED_VALUE"""),"quest.once_upon_a_forest_chapter_3.finished")</f>
        <v>quest.once_upon_a_forest_chapter_3.finished</v>
      </c>
    </row>
    <row r="384" ht="14.25" customHeight="1">
      <c r="A384" s="26" t="s">
        <v>1098</v>
      </c>
      <c r="B384" s="26" t="s">
        <v>1144</v>
      </c>
      <c r="D384" s="18" t="str">
        <f>IFERROR(__xludf.DUMMYFUNCTION("""COMPUTED_VALUE"""),"quest.once_upon_a_forest_chapter_12.accepted")</f>
        <v>quest.once_upon_a_forest_chapter_12.accepted</v>
      </c>
      <c r="E384" s="18" t="str">
        <f>IFERROR(__xludf.DUMMYFUNCTION("""COMPUTED_VALUE"""),"quest.once_upon_a_forest_chapter_11.accepted")</f>
        <v>quest.once_upon_a_forest_chapter_11.accepted</v>
      </c>
    </row>
    <row r="385" ht="14.25" customHeight="1">
      <c r="A385" s="26" t="s">
        <v>1098</v>
      </c>
      <c r="B385" s="26" t="s">
        <v>1089</v>
      </c>
      <c r="D385" s="18" t="str">
        <f>IFERROR(__xludf.DUMMYFUNCTION("""COMPUTED_VALUE"""),"quest.once_upon_a_forest_chapter_12.accepted")</f>
        <v>quest.once_upon_a_forest_chapter_12.accepted</v>
      </c>
      <c r="E385" s="18" t="str">
        <f>IFERROR(__xludf.DUMMYFUNCTION("""COMPUTED_VALUE"""),"state.meet_mr_diligence@f1")</f>
        <v>state.meet_mr_diligence@f1</v>
      </c>
    </row>
    <row r="386" ht="14.25" customHeight="1">
      <c r="A386" s="26" t="s">
        <v>1098</v>
      </c>
      <c r="B386" s="26" t="s">
        <v>1549</v>
      </c>
      <c r="D386" s="18" t="str">
        <f>IFERROR(__xludf.DUMMYFUNCTION("""COMPUTED_VALUE"""),"quest.once_upon_a_forest_chapter_12.finished")</f>
        <v>quest.once_upon_a_forest_chapter_12.finished</v>
      </c>
      <c r="E386" s="18" t="str">
        <f>IFERROR(__xludf.DUMMYFUNCTION("""COMPUTED_VALUE"""),"quest.once_upon_a_forest_chapter_12.accepted")</f>
        <v>quest.once_upon_a_forest_chapter_12.accepted</v>
      </c>
    </row>
    <row r="387" ht="14.25" customHeight="1">
      <c r="A387" s="26" t="s">
        <v>1102</v>
      </c>
      <c r="B387" s="26" t="s">
        <v>1098</v>
      </c>
      <c r="D387" s="18" t="str">
        <f>IFERROR(__xludf.DUMMYFUNCTION("""COMPUTED_VALUE"""),"quest.once_upon_a_forest_chapter_13.accepted")</f>
        <v>quest.once_upon_a_forest_chapter_13.accepted</v>
      </c>
      <c r="E387" s="18" t="str">
        <f>IFERROR(__xludf.DUMMYFUNCTION("""COMPUTED_VALUE"""),"quest.once_upon_a_forest_chapter_12.accepted")</f>
        <v>quest.once_upon_a_forest_chapter_12.accepted</v>
      </c>
    </row>
    <row r="388" ht="14.25" customHeight="1">
      <c r="A388" s="26" t="s">
        <v>1107</v>
      </c>
      <c r="B388" s="26" t="s">
        <v>1098</v>
      </c>
      <c r="D388" s="18" t="str">
        <f>IFERROR(__xludf.DUMMYFUNCTION("""COMPUTED_VALUE"""),"quest.once_upon_a_forest_chapter_13.accepted")</f>
        <v>quest.once_upon_a_forest_chapter_13.accepted</v>
      </c>
      <c r="E388" s="18" t="str">
        <f>IFERROR(__xludf.DUMMYFUNCTION("""COMPUTED_VALUE"""),"state.meet_foodie_demon@f2")</f>
        <v>state.meet_foodie_demon@f2</v>
      </c>
    </row>
    <row r="389" ht="14.25" customHeight="1">
      <c r="A389" s="26" t="s">
        <v>1107</v>
      </c>
      <c r="B389" s="26" t="s">
        <v>1530</v>
      </c>
      <c r="D389" s="18" t="str">
        <f>IFERROR(__xludf.DUMMYFUNCTION("""COMPUTED_VALUE"""),"quest.once_upon_a_forest_chapter_13.finished")</f>
        <v>quest.once_upon_a_forest_chapter_13.finished</v>
      </c>
      <c r="E389" s="18" t="str">
        <f>IFERROR(__xludf.DUMMYFUNCTION("""COMPUTED_VALUE"""),"quest.once_upon_a_forest_chapter_13.accepted")</f>
        <v>quest.once_upon_a_forest_chapter_13.accepted</v>
      </c>
    </row>
    <row r="390" ht="14.25" customHeight="1">
      <c r="A390" s="26" t="s">
        <v>1110</v>
      </c>
      <c r="B390" s="26" t="s">
        <v>1107</v>
      </c>
      <c r="D390" s="18" t="str">
        <f>IFERROR(__xludf.DUMMYFUNCTION("""COMPUTED_VALUE"""),"quest.once_upon_a_forest_chapter_14.accepted")</f>
        <v>quest.once_upon_a_forest_chapter_14.accepted</v>
      </c>
      <c r="E390" s="18" t="str">
        <f>IFERROR(__xludf.DUMMYFUNCTION("""COMPUTED_VALUE"""),"quest.once_upon_a_forest_chapter_12.finished")</f>
        <v>quest.once_upon_a_forest_chapter_12.finished</v>
      </c>
    </row>
    <row r="391" ht="14.25" customHeight="1">
      <c r="A391" s="26" t="s">
        <v>1114</v>
      </c>
      <c r="B391" s="26" t="s">
        <v>1102</v>
      </c>
      <c r="D391" s="18" t="str">
        <f>IFERROR(__xludf.DUMMYFUNCTION("""COMPUTED_VALUE"""),"quest.once_upon_a_forest_chapter_14.finished")</f>
        <v>quest.once_upon_a_forest_chapter_14.finished</v>
      </c>
      <c r="E391" s="18" t="str">
        <f>IFERROR(__xludf.DUMMYFUNCTION("""COMPUTED_VALUE"""),"quest.once_upon_a_forest_chapter_14.accepted")</f>
        <v>quest.once_upon_a_forest_chapter_14.accepted</v>
      </c>
    </row>
    <row r="392" ht="14.25" customHeight="1">
      <c r="A392" s="26" t="s">
        <v>1118</v>
      </c>
      <c r="B392" s="26" t="s">
        <v>1114</v>
      </c>
      <c r="D392" s="18" t="str">
        <f>IFERROR(__xludf.DUMMYFUNCTION("""COMPUTED_VALUE"""),"quest.once_upon_a_forest_chapter_15.accepted")</f>
        <v>quest.once_upon_a_forest_chapter_15.accepted</v>
      </c>
      <c r="E392" s="18" t="str">
        <f>IFERROR(__xludf.DUMMYFUNCTION("""COMPUTED_VALUE"""),"quest.once_upon_a_forest_chapter_14.finished")</f>
        <v>quest.once_upon_a_forest_chapter_14.finished</v>
      </c>
    </row>
    <row r="393" ht="14.25" customHeight="1">
      <c r="A393" s="26" t="s">
        <v>1122</v>
      </c>
      <c r="B393" s="26" t="s">
        <v>1118</v>
      </c>
      <c r="D393" s="18" t="str">
        <f>IFERROR(__xludf.DUMMYFUNCTION("""COMPUTED_VALUE"""),"quest.once_upon_a_forest_chapter_15.accepted")</f>
        <v>quest.once_upon_a_forest_chapter_15.accepted</v>
      </c>
      <c r="E393" s="18" t="str">
        <f>IFERROR(__xludf.DUMMYFUNCTION("""COMPUTED_VALUE"""),"quest.once_upon_a_forest_chapter_13.finished")</f>
        <v>quest.once_upon_a_forest_chapter_13.finished</v>
      </c>
    </row>
    <row r="394" ht="14.25" customHeight="1">
      <c r="A394" s="26" t="s">
        <v>1122</v>
      </c>
      <c r="B394" s="26" t="s">
        <v>1110</v>
      </c>
      <c r="D394" s="18" t="str">
        <f>IFERROR(__xludf.DUMMYFUNCTION("""COMPUTED_VALUE"""),"quest.once_upon_a_forest_chapter_15.accepted")</f>
        <v>quest.once_upon_a_forest_chapter_15.accepted</v>
      </c>
      <c r="E394" s="18" t="str">
        <f>IFERROR(__xludf.DUMMYFUNCTION("""COMPUTED_VALUE"""),"state.meet_raven@f1_third_time")</f>
        <v>state.meet_raven@f1_third_time</v>
      </c>
    </row>
    <row r="395" ht="14.25" customHeight="1">
      <c r="A395" s="26" t="s">
        <v>1122</v>
      </c>
      <c r="B395" s="26" t="s">
        <v>1565</v>
      </c>
      <c r="D395" s="18" t="str">
        <f>IFERROR(__xludf.DUMMYFUNCTION("""COMPUTED_VALUE"""),"quest.once_upon_a_forest_chapter_15.accepted")</f>
        <v>quest.once_upon_a_forest_chapter_15.accepted</v>
      </c>
      <c r="E395" s="18" t="str">
        <f>IFERROR(__xludf.DUMMYFUNCTION("""COMPUTED_VALUE"""),"quest.once_upon_a_forest_chapter_5.finished")</f>
        <v>quest.once_upon_a_forest_chapter_5.finished</v>
      </c>
    </row>
    <row r="396" ht="14.25" customHeight="1">
      <c r="A396" s="26" t="s">
        <v>1122</v>
      </c>
      <c r="B396" s="26" t="s">
        <v>1165</v>
      </c>
      <c r="D396" s="18" t="str">
        <f>IFERROR(__xludf.DUMMYFUNCTION("""COMPUTED_VALUE"""),"quest.once_upon_a_forest_chapter_15.accepted")</f>
        <v>quest.once_upon_a_forest_chapter_15.accepted</v>
      </c>
      <c r="E396" s="18" t="str">
        <f>IFERROR(__xludf.DUMMYFUNCTION("""COMPUTED_VALUE"""),"quest.once_upon_a_forest_chapter_9.finished")</f>
        <v>quest.once_upon_a_forest_chapter_9.finished</v>
      </c>
    </row>
    <row r="397" ht="14.25" customHeight="1">
      <c r="A397" s="26" t="s">
        <v>1122</v>
      </c>
      <c r="B397" s="26" t="s">
        <v>1207</v>
      </c>
      <c r="D397" s="18" t="str">
        <f>IFERROR(__xludf.DUMMYFUNCTION("""COMPUTED_VALUE"""),"quest.once_upon_a_forest_chapter_15.finished")</f>
        <v>quest.once_upon_a_forest_chapter_15.finished</v>
      </c>
      <c r="E397" s="18" t="str">
        <f>IFERROR(__xludf.DUMMYFUNCTION("""COMPUTED_VALUE"""),"quest.once_upon_a_forest_chapter_15.accepted")</f>
        <v>quest.once_upon_a_forest_chapter_15.accepted</v>
      </c>
    </row>
    <row r="398" ht="14.25" customHeight="1">
      <c r="A398" s="26" t="s">
        <v>1127</v>
      </c>
      <c r="B398" s="26" t="s">
        <v>1122</v>
      </c>
      <c r="D398" s="18" t="str">
        <f>IFERROR(__xludf.DUMMYFUNCTION("""COMPUTED_VALUE"""),"quest.once_upon_a_forest_chapter_2.accepted")</f>
        <v>quest.once_upon_a_forest_chapter_2.accepted</v>
      </c>
      <c r="E398" s="18" t="str">
        <f>IFERROR(__xludf.DUMMYFUNCTION("""COMPUTED_VALUE"""),"quest.once_upon_a_forest_chapter_1.finished")</f>
        <v>quest.once_upon_a_forest_chapter_1.finished</v>
      </c>
    </row>
    <row r="399" ht="14.25" customHeight="1">
      <c r="A399" s="26" t="s">
        <v>1130</v>
      </c>
      <c r="B399" s="26" t="s">
        <v>1070</v>
      </c>
      <c r="D399" s="18" t="str">
        <f>IFERROR(__xludf.DUMMYFUNCTION("""COMPUTED_VALUE"""),"quest.once_upon_a_forest_chapter_2.accepted")</f>
        <v>quest.once_upon_a_forest_chapter_2.accepted</v>
      </c>
      <c r="E399" s="18" t="str">
        <f>IFERROR(__xludf.DUMMYFUNCTION("""COMPUTED_VALUE"""),"state.meet_raven@f1_first_time")</f>
        <v>state.meet_raven@f1_first_time</v>
      </c>
    </row>
    <row r="400" ht="14.25" customHeight="1">
      <c r="A400" s="26" t="s">
        <v>1130</v>
      </c>
      <c r="B400" s="26" t="s">
        <v>1561</v>
      </c>
      <c r="D400" s="18" t="str">
        <f>IFERROR(__xludf.DUMMYFUNCTION("""COMPUTED_VALUE"""),"quest.once_upon_a_forest_chapter_2.finished")</f>
        <v>quest.once_upon_a_forest_chapter_2.finished</v>
      </c>
      <c r="E400" s="18" t="str">
        <f>IFERROR(__xludf.DUMMYFUNCTION("""COMPUTED_VALUE"""),"quest.once_upon_a_forest_chapter_2.accepted")</f>
        <v>quest.once_upon_a_forest_chapter_2.accepted</v>
      </c>
    </row>
    <row r="401" ht="14.25" customHeight="1">
      <c r="A401" s="26" t="s">
        <v>1134</v>
      </c>
      <c r="B401" s="26" t="s">
        <v>1130</v>
      </c>
      <c r="D401" s="18" t="str">
        <f>IFERROR(__xludf.DUMMYFUNCTION("""COMPUTED_VALUE"""),"quest.once_upon_a_forest_chapter_3.accepted")</f>
        <v>quest.once_upon_a_forest_chapter_3.accepted</v>
      </c>
      <c r="E401" s="18" t="str">
        <f>IFERROR(__xludf.DUMMYFUNCTION("""COMPUTED_VALUE"""),"state.meet_mech_adventurer_f1")</f>
        <v>state.meet_mech_adventurer_f1</v>
      </c>
    </row>
    <row r="402" ht="14.25" customHeight="1">
      <c r="A402" s="26" t="s">
        <v>1139</v>
      </c>
      <c r="B402" s="26" t="s">
        <v>1544</v>
      </c>
      <c r="D402" s="18" t="str">
        <f>IFERROR(__xludf.DUMMYFUNCTION("""COMPUTED_VALUE"""),"quest.once_upon_a_forest_chapter_3.accepted")</f>
        <v>quest.once_upon_a_forest_chapter_3.accepted</v>
      </c>
      <c r="E402" s="18" t="str">
        <f>IFERROR(__xludf.DUMMYFUNCTION("""COMPUTED_VALUE"""),"quest.once_upon_a_forest_chapter_2.finished")</f>
        <v>quest.once_upon_a_forest_chapter_2.finished</v>
      </c>
    </row>
    <row r="403" ht="14.25" customHeight="1">
      <c r="A403" s="26" t="s">
        <v>1139</v>
      </c>
      <c r="B403" s="26" t="s">
        <v>1134</v>
      </c>
      <c r="D403" s="18" t="str">
        <f>IFERROR(__xludf.DUMMYFUNCTION("""COMPUTED_VALUE"""),"quest.once_upon_a_forest_chapter_3.finished")</f>
        <v>quest.once_upon_a_forest_chapter_3.finished</v>
      </c>
      <c r="E403" s="18" t="str">
        <f>IFERROR(__xludf.DUMMYFUNCTION("""COMPUTED_VALUE"""),"quest.once_upon_a_forest_chapter_3.accepted")</f>
        <v>quest.once_upon_a_forest_chapter_3.accepted</v>
      </c>
    </row>
    <row r="404" ht="14.25" customHeight="1">
      <c r="A404" s="26" t="s">
        <v>1144</v>
      </c>
      <c r="B404" s="26" t="s">
        <v>1139</v>
      </c>
      <c r="D404" s="18" t="str">
        <f>IFERROR(__xludf.DUMMYFUNCTION("""COMPUTED_VALUE"""),"quest.once_upon_a_forest_chapter_4.accepted")</f>
        <v>quest.once_upon_a_forest_chapter_4.accepted</v>
      </c>
      <c r="E404" s="18" t="str">
        <f>IFERROR(__xludf.DUMMYFUNCTION("""COMPUTED_VALUE"""),"state.meet_raven@f1_second_time")</f>
        <v>state.meet_raven@f1_second_time</v>
      </c>
    </row>
    <row r="405" ht="14.25" customHeight="1">
      <c r="A405" s="26" t="s">
        <v>1149</v>
      </c>
      <c r="B405" s="26" t="s">
        <v>1563</v>
      </c>
      <c r="D405" s="18" t="str">
        <f>IFERROR(__xludf.DUMMYFUNCTION("""COMPUTED_VALUE"""),"quest.once_upon_a_forest_chapter_4.finished")</f>
        <v>quest.once_upon_a_forest_chapter_4.finished</v>
      </c>
      <c r="E405" s="18" t="str">
        <f>IFERROR(__xludf.DUMMYFUNCTION("""COMPUTED_VALUE"""),"quest.once_upon_a_forest_chapter_4.accepted")</f>
        <v>quest.once_upon_a_forest_chapter_4.accepted</v>
      </c>
    </row>
    <row r="406" ht="14.25" customHeight="1">
      <c r="A406" s="26" t="s">
        <v>1155</v>
      </c>
      <c r="B406" s="26" t="s">
        <v>1149</v>
      </c>
      <c r="D406" s="18" t="str">
        <f>IFERROR(__xludf.DUMMYFUNCTION("""COMPUTED_VALUE"""),"quest.once_upon_a_forest_chapter_5.accepted")</f>
        <v>quest.once_upon_a_forest_chapter_5.accepted</v>
      </c>
      <c r="E406" s="18" t="str">
        <f>IFERROR(__xludf.DUMMYFUNCTION("""COMPUTED_VALUE"""),"quest.once_upon_a_forest_chapter_4.finished")</f>
        <v>quest.once_upon_a_forest_chapter_4.finished</v>
      </c>
    </row>
    <row r="407" ht="14.25" customHeight="1">
      <c r="A407" s="26" t="s">
        <v>1160</v>
      </c>
      <c r="B407" s="26" t="s">
        <v>1155</v>
      </c>
      <c r="D407" s="18" t="str">
        <f>IFERROR(__xludf.DUMMYFUNCTION("""COMPUTED_VALUE"""),"quest.once_upon_a_forest_chapter_5.accepted")</f>
        <v>quest.once_upon_a_forest_chapter_5.accepted</v>
      </c>
      <c r="E407" s="18" t="str">
        <f>IFERROR(__xludf.DUMMYFUNCTION("""COMPUTED_VALUE"""),"state.meet_mrs_diligance@f2")</f>
        <v>state.meet_mrs_diligance@f2</v>
      </c>
    </row>
    <row r="408" ht="14.25" customHeight="1">
      <c r="A408" s="26" t="s">
        <v>1160</v>
      </c>
      <c r="B408" s="26" t="s">
        <v>1551</v>
      </c>
      <c r="D408" s="18" t="str">
        <f>IFERROR(__xludf.DUMMYFUNCTION("""COMPUTED_VALUE"""),"quest.once_upon_a_forest_chapter_5.finished")</f>
        <v>quest.once_upon_a_forest_chapter_5.finished</v>
      </c>
      <c r="E408" s="18" t="str">
        <f>IFERROR(__xludf.DUMMYFUNCTION("""COMPUTED_VALUE"""),"quest.once_upon_a_forest_chapter_5.accepted")</f>
        <v>quest.once_upon_a_forest_chapter_5.accepted</v>
      </c>
    </row>
    <row r="409" ht="14.25" customHeight="1">
      <c r="A409" s="26" t="s">
        <v>1165</v>
      </c>
      <c r="B409" s="26" t="s">
        <v>1160</v>
      </c>
      <c r="D409" s="18" t="str">
        <f>IFERROR(__xludf.DUMMYFUNCTION("""COMPUTED_VALUE"""),"quest.once_upon_a_forest_chapter_6.accepted")</f>
        <v>quest.once_upon_a_forest_chapter_6.accepted</v>
      </c>
      <c r="E409" s="18" t="str">
        <f>IFERROR(__xludf.DUMMYFUNCTION("""COMPUTED_VALUE"""),"quest.once_upon_a_forest_chapter_5.accepted")</f>
        <v>quest.once_upon_a_forest_chapter_5.accepted</v>
      </c>
    </row>
    <row r="410" ht="14.25" customHeight="1">
      <c r="A410" s="26" t="s">
        <v>1169</v>
      </c>
      <c r="B410" s="26" t="s">
        <v>1160</v>
      </c>
      <c r="D410" s="18" t="str">
        <f>IFERROR(__xludf.DUMMYFUNCTION("""COMPUTED_VALUE"""),"quest.once_upon_a_forest_chapter_6.accepted")</f>
        <v>quest.once_upon_a_forest_chapter_6.accepted</v>
      </c>
      <c r="E410" s="18" t="str">
        <f>IFERROR(__xludf.DUMMYFUNCTION("""COMPUTED_VALUE"""),"state.meet_forest_fairy@f2")</f>
        <v>state.meet_forest_fairy@f2</v>
      </c>
    </row>
    <row r="411" ht="14.25" customHeight="1">
      <c r="A411" s="26" t="s">
        <v>1169</v>
      </c>
      <c r="B411" s="26" t="s">
        <v>1532</v>
      </c>
      <c r="D411" s="18" t="str">
        <f>IFERROR(__xludf.DUMMYFUNCTION("""COMPUTED_VALUE"""),"quest.once_upon_a_forest_chapter_6.finished")</f>
        <v>quest.once_upon_a_forest_chapter_6.finished</v>
      </c>
      <c r="E411" s="18" t="str">
        <f>IFERROR(__xludf.DUMMYFUNCTION("""COMPUTED_VALUE"""),"quest.once_upon_a_forest_chapter_6.accepted")</f>
        <v>quest.once_upon_a_forest_chapter_6.accepted</v>
      </c>
    </row>
    <row r="412" ht="14.25" customHeight="1">
      <c r="A412" s="26" t="s">
        <v>1175</v>
      </c>
      <c r="B412" s="26" t="s">
        <v>1169</v>
      </c>
      <c r="D412" s="18" t="str">
        <f>IFERROR(__xludf.DUMMYFUNCTION("""COMPUTED_VALUE"""),"quest.once_upon_a_forest_chapter_7.accepted")</f>
        <v>quest.once_upon_a_forest_chapter_7.accepted</v>
      </c>
      <c r="E412" s="18" t="str">
        <f>IFERROR(__xludf.DUMMYFUNCTION("""COMPUTED_VALUE"""),"quest.once_upon_a_forest_chapter_6.finished")</f>
        <v>quest.once_upon_a_forest_chapter_6.finished</v>
      </c>
    </row>
    <row r="413" ht="14.25" customHeight="1">
      <c r="A413" s="26" t="s">
        <v>1180</v>
      </c>
      <c r="B413" s="26" t="s">
        <v>1175</v>
      </c>
      <c r="D413" s="18" t="str">
        <f>IFERROR(__xludf.DUMMYFUNCTION("""COMPUTED_VALUE"""),"quest.once_upon_a_forest_chapter_7.accepted")</f>
        <v>quest.once_upon_a_forest_chapter_7.accepted</v>
      </c>
      <c r="E413" s="18" t="str">
        <f>IFERROR(__xludf.DUMMYFUNCTION("""COMPUTED_VALUE"""),"state.meet_dark_lady@f2")</f>
        <v>state.meet_dark_lady@f2</v>
      </c>
    </row>
    <row r="414" ht="14.25" customHeight="1">
      <c r="A414" s="26" t="s">
        <v>1180</v>
      </c>
      <c r="B414" s="26" t="s">
        <v>1523</v>
      </c>
      <c r="D414" s="18" t="str">
        <f>IFERROR(__xludf.DUMMYFUNCTION("""COMPUTED_VALUE"""),"quest.once_upon_a_forest_chapter_7.finished")</f>
        <v>quest.once_upon_a_forest_chapter_7.finished</v>
      </c>
      <c r="E414" s="18" t="str">
        <f>IFERROR(__xludf.DUMMYFUNCTION("""COMPUTED_VALUE"""),"quest.once_upon_a_forest_chapter_7.accepted")</f>
        <v>quest.once_upon_a_forest_chapter_7.accepted</v>
      </c>
    </row>
    <row r="415" ht="14.25" customHeight="1">
      <c r="A415" s="26" t="s">
        <v>1185</v>
      </c>
      <c r="B415" s="26" t="s">
        <v>1180</v>
      </c>
      <c r="D415" s="18" t="str">
        <f>IFERROR(__xludf.DUMMYFUNCTION("""COMPUTED_VALUE"""),"quest.once_upon_a_forest_chapter_8.accepted")</f>
        <v>quest.once_upon_a_forest_chapter_8.accepted</v>
      </c>
      <c r="E415" s="18" t="str">
        <f>IFERROR(__xludf.DUMMYFUNCTION("""COMPUTED_VALUE"""),"quest.once_upon_a_forest_chapter_7.finished")</f>
        <v>quest.once_upon_a_forest_chapter_7.finished</v>
      </c>
    </row>
    <row r="416" ht="14.25" customHeight="1">
      <c r="A416" s="26" t="s">
        <v>1191</v>
      </c>
      <c r="B416" s="26" t="s">
        <v>1185</v>
      </c>
      <c r="D416" s="18" t="str">
        <f>IFERROR(__xludf.DUMMYFUNCTION("""COMPUTED_VALUE"""),"quest.once_upon_a_forest_chapter_8.accepted")</f>
        <v>quest.once_upon_a_forest_chapter_8.accepted</v>
      </c>
      <c r="E416" s="18" t="str">
        <f>IFERROR(__xludf.DUMMYFUNCTION("""COMPUTED_VALUE"""),"state.meet_raven@f3")</f>
        <v>state.meet_raven@f3</v>
      </c>
    </row>
    <row r="417" ht="14.25" customHeight="1">
      <c r="A417" s="26" t="s">
        <v>1191</v>
      </c>
      <c r="B417" s="26" t="s">
        <v>1570</v>
      </c>
      <c r="D417" s="18" t="str">
        <f>IFERROR(__xludf.DUMMYFUNCTION("""COMPUTED_VALUE"""),"quest.once_upon_a_forest_chapter_8.finished")</f>
        <v>quest.once_upon_a_forest_chapter_8.finished</v>
      </c>
      <c r="E417" s="18" t="str">
        <f>IFERROR(__xludf.DUMMYFUNCTION("""COMPUTED_VALUE"""),"quest.once_upon_a_forest_chapter_8.accepted")</f>
        <v>quest.once_upon_a_forest_chapter_8.accepted</v>
      </c>
    </row>
    <row r="418" ht="14.25" customHeight="1">
      <c r="A418" s="26" t="s">
        <v>1195</v>
      </c>
      <c r="B418" s="26" t="s">
        <v>1191</v>
      </c>
      <c r="D418" s="18" t="str">
        <f>IFERROR(__xludf.DUMMYFUNCTION("""COMPUTED_VALUE"""),"quest.once_upon_a_forest_chapter_9.accepted")</f>
        <v>quest.once_upon_a_forest_chapter_9.accepted</v>
      </c>
      <c r="E418" s="18" t="str">
        <f>IFERROR(__xludf.DUMMYFUNCTION("""COMPUTED_VALUE"""),"quest.once_upon_a_forest_chapter_8.finished")</f>
        <v>quest.once_upon_a_forest_chapter_8.finished</v>
      </c>
    </row>
    <row r="419" ht="14.25" customHeight="1">
      <c r="A419" s="26" t="s">
        <v>1200</v>
      </c>
      <c r="B419" s="26" t="s">
        <v>1195</v>
      </c>
      <c r="D419" s="18" t="str">
        <f>IFERROR(__xludf.DUMMYFUNCTION("""COMPUTED_VALUE"""),"quest.once_upon_a_forest_chapter_9.accepted")</f>
        <v>quest.once_upon_a_forest_chapter_9.accepted</v>
      </c>
      <c r="E419" s="18" t="str">
        <f>IFERROR(__xludf.DUMMYFUNCTION("""COMPUTED_VALUE"""),"state.meet_inventor@5b")</f>
        <v>state.meet_inventor@5b</v>
      </c>
    </row>
    <row r="420" ht="14.25" customHeight="1">
      <c r="A420" s="26" t="s">
        <v>1200</v>
      </c>
      <c r="B420" s="26" t="s">
        <v>1538</v>
      </c>
      <c r="D420" s="18" t="str">
        <f>IFERROR(__xludf.DUMMYFUNCTION("""COMPUTED_VALUE"""),"quest.once_upon_a_forest_chapter_9.finished")</f>
        <v>quest.once_upon_a_forest_chapter_9.finished</v>
      </c>
      <c r="E420" s="18" t="str">
        <f>IFERROR(__xludf.DUMMYFUNCTION("""COMPUTED_VALUE"""),"quest.once_upon_a_forest_chapter_9.accepted")</f>
        <v>quest.once_upon_a_forest_chapter_9.accepted</v>
      </c>
    </row>
    <row r="421" ht="14.25" customHeight="1">
      <c r="A421" s="26" t="s">
        <v>1207</v>
      </c>
      <c r="B421" s="26" t="s">
        <v>1200</v>
      </c>
      <c r="D421" s="18" t="str">
        <f>IFERROR(__xludf.DUMMYFUNCTION("""COMPUTED_VALUE"""),"quest.quest_for_knowledge_chapter_1.accepted")</f>
        <v>quest.quest_for_knowledge_chapter_1.accepted</v>
      </c>
      <c r="E421" s="18" t="str">
        <f>IFERROR(__xludf.DUMMYFUNCTION("""COMPUTED_VALUE"""),"building.dungeon@1")</f>
        <v>building.dungeon@1</v>
      </c>
    </row>
    <row r="422" ht="14.25" customHeight="1">
      <c r="A422" s="26" t="s">
        <v>1214</v>
      </c>
      <c r="B422" s="26" t="s">
        <v>151</v>
      </c>
      <c r="D422" s="18" t="str">
        <f>IFERROR(__xludf.DUMMYFUNCTION("""COMPUTED_VALUE"""),"quest.quest_for_knowledge_chapter_1.finished")</f>
        <v>quest.quest_for_knowledge_chapter_1.finished</v>
      </c>
      <c r="E422" s="18" t="str">
        <f>IFERROR(__xludf.DUMMYFUNCTION("""COMPUTED_VALUE"""),"quest.quest_for_knowledge_chapter_1.accepted")</f>
        <v>quest.quest_for_knowledge_chapter_1.accepted</v>
      </c>
    </row>
    <row r="423" ht="14.25" customHeight="1">
      <c r="A423" s="26" t="s">
        <v>1221</v>
      </c>
      <c r="B423" s="26" t="s">
        <v>1214</v>
      </c>
      <c r="D423" s="18" t="str">
        <f>IFERROR(__xludf.DUMMYFUNCTION("""COMPUTED_VALUE"""),"quest.quest_for_knowledge_chapter_2.accepted")</f>
        <v>quest.quest_for_knowledge_chapter_2.accepted</v>
      </c>
      <c r="E423" s="18" t="str">
        <f>IFERROR(__xludf.DUMMYFUNCTION("""COMPUTED_VALUE"""),"quest.quest_for_knowledge_chapter_1.finished")</f>
        <v>quest.quest_for_knowledge_chapter_1.finished</v>
      </c>
    </row>
    <row r="424" ht="14.25" customHeight="1">
      <c r="A424" s="26" t="s">
        <v>1228</v>
      </c>
      <c r="B424" s="26" t="s">
        <v>1221</v>
      </c>
      <c r="D424" s="18" t="str">
        <f>IFERROR(__xludf.DUMMYFUNCTION("""COMPUTED_VALUE"""),"quest.quest_for_knowledge_chapter_2.finished")</f>
        <v>quest.quest_for_knowledge_chapter_2.finished</v>
      </c>
      <c r="E424" s="18" t="str">
        <f>IFERROR(__xludf.DUMMYFUNCTION("""COMPUTED_VALUE"""),"quest.quest_for_knowledge_chapter_2.accepted")</f>
        <v>quest.quest_for_knowledge_chapter_2.accepted</v>
      </c>
    </row>
    <row r="425" ht="14.25" customHeight="1">
      <c r="A425" s="26" t="s">
        <v>1234</v>
      </c>
      <c r="B425" s="26" t="s">
        <v>1228</v>
      </c>
      <c r="D425" s="18" t="str">
        <f>IFERROR(__xludf.DUMMYFUNCTION("""COMPUTED_VALUE"""),"quest.quest_for_knowledge_chapter_3.accepted")</f>
        <v>quest.quest_for_knowledge_chapter_3.accepted</v>
      </c>
      <c r="E425" s="18" t="str">
        <f>IFERROR(__xludf.DUMMYFUNCTION("""COMPUTED_VALUE"""),"quest.quest_for_knowledge_chapter_1.finished")</f>
        <v>quest.quest_for_knowledge_chapter_1.finished</v>
      </c>
    </row>
    <row r="426" ht="14.25" customHeight="1">
      <c r="A426" s="26" t="s">
        <v>1241</v>
      </c>
      <c r="B426" s="26" t="s">
        <v>1221</v>
      </c>
      <c r="D426" s="18" t="str">
        <f>IFERROR(__xludf.DUMMYFUNCTION("""COMPUTED_VALUE"""),"quest.quest_for_knowledge_chapter_3.finished")</f>
        <v>quest.quest_for_knowledge_chapter_3.finished</v>
      </c>
      <c r="E426" s="18" t="str">
        <f>IFERROR(__xludf.DUMMYFUNCTION("""COMPUTED_VALUE"""),"quest.quest_for_knowledge_chapter_3.accepted")</f>
        <v>quest.quest_for_knowledge_chapter_3.accepted</v>
      </c>
    </row>
    <row r="427" ht="14.25" customHeight="1">
      <c r="A427" s="26" t="s">
        <v>1248</v>
      </c>
      <c r="B427" s="26" t="s">
        <v>1241</v>
      </c>
      <c r="D427" s="18" t="str">
        <f>IFERROR(__xludf.DUMMYFUNCTION("""COMPUTED_VALUE"""),"quest.quest_for_knowledge_chapter_4.accepted")</f>
        <v>quest.quest_for_knowledge_chapter_4.accepted</v>
      </c>
      <c r="E427" s="18" t="str">
        <f>IFERROR(__xludf.DUMMYFUNCTION("""COMPUTED_VALUE"""),"state.obtain_map_catacombs")</f>
        <v>state.obtain_map_catacombs</v>
      </c>
    </row>
    <row r="428" ht="14.25" customHeight="1">
      <c r="A428" s="26" t="s">
        <v>1254</v>
      </c>
      <c r="B428" s="26" t="s">
        <v>1601</v>
      </c>
      <c r="D428" s="18" t="str">
        <f>IFERROR(__xludf.DUMMYFUNCTION("""COMPUTED_VALUE"""),"quest.quest_for_knowledge_chapter_4.finished")</f>
        <v>quest.quest_for_knowledge_chapter_4.finished</v>
      </c>
      <c r="E428" s="18" t="str">
        <f>IFERROR(__xludf.DUMMYFUNCTION("""COMPUTED_VALUE"""),"quest.quest_for_knowledge_chapter_4.accepted")</f>
        <v>quest.quest_for_knowledge_chapter_4.accepted</v>
      </c>
    </row>
    <row r="429" ht="14.25" customHeight="1">
      <c r="A429" s="26" t="s">
        <v>1256</v>
      </c>
      <c r="B429" s="26" t="s">
        <v>1254</v>
      </c>
      <c r="D429" s="18" t="str">
        <f>IFERROR(__xludf.DUMMYFUNCTION("""COMPUTED_VALUE"""),"quest.quest_for_knowledge_chapter_5.accepted")</f>
        <v>quest.quest_for_knowledge_chapter_5.accepted</v>
      </c>
      <c r="E429" s="18" t="str">
        <f>IFERROR(__xludf.DUMMYFUNCTION("""COMPUTED_VALUE"""),"building.airship@1")</f>
        <v>building.airship@1</v>
      </c>
    </row>
    <row r="430" ht="14.25" customHeight="1">
      <c r="A430" s="26" t="s">
        <v>1258</v>
      </c>
      <c r="B430" s="26" t="s">
        <v>47</v>
      </c>
      <c r="D430" s="18" t="str">
        <f>IFERROR(__xludf.DUMMYFUNCTION("""COMPUTED_VALUE"""),"quest.quest_for_knowledge_chapter_5.finished")</f>
        <v>quest.quest_for_knowledge_chapter_5.finished</v>
      </c>
      <c r="E430" s="18" t="str">
        <f>IFERROR(__xludf.DUMMYFUNCTION("""COMPUTED_VALUE"""),"quest.quest_for_knowledge_chapter_5.accepted")</f>
        <v>quest.quest_for_knowledge_chapter_5.accepted</v>
      </c>
    </row>
    <row r="431" ht="14.25" customHeight="1">
      <c r="A431" s="26" t="s">
        <v>1260</v>
      </c>
      <c r="B431" s="26" t="s">
        <v>1258</v>
      </c>
      <c r="D431" s="18" t="str">
        <f>IFERROR(__xludf.DUMMYFUNCTION("""COMPUTED_VALUE"""),"quest.shoguns_katana_chapter_1.accepted")</f>
        <v>quest.shoguns_katana_chapter_1.accepted</v>
      </c>
      <c r="E431" s="18" t="str">
        <f>IFERROR(__xludf.DUMMYFUNCTION("""COMPUTED_VALUE"""),"state.obtain_any_artifact")</f>
        <v>state.obtain_any_artifact</v>
      </c>
    </row>
    <row r="432" ht="14.25" customHeight="1">
      <c r="A432" s="26" t="s">
        <v>1262</v>
      </c>
      <c r="B432" s="26" t="s">
        <v>1582</v>
      </c>
      <c r="D432" s="18" t="str">
        <f>IFERROR(__xludf.DUMMYFUNCTION("""COMPUTED_VALUE"""),"quest.shoguns_katana_chapter_1.finished")</f>
        <v>quest.shoguns_katana_chapter_1.finished</v>
      </c>
      <c r="E432" s="18" t="str">
        <f>IFERROR(__xludf.DUMMYFUNCTION("""COMPUTED_VALUE"""),"quest.shoguns_katana_chapter_1.accepted")</f>
        <v>quest.shoguns_katana_chapter_1.accepted</v>
      </c>
    </row>
    <row r="433" ht="14.25" customHeight="1">
      <c r="A433" s="26" t="s">
        <v>1264</v>
      </c>
      <c r="B433" s="26" t="s">
        <v>1262</v>
      </c>
      <c r="D433" s="18" t="str">
        <f>IFERROR(__xludf.DUMMYFUNCTION("""COMPUTED_VALUE"""),"quest.shoguns_katana_chapter_2.accepted")</f>
        <v>quest.shoguns_katana_chapter_2.accepted</v>
      </c>
      <c r="E433" s="18" t="str">
        <f>IFERROR(__xludf.DUMMYFUNCTION("""COMPUTED_VALUE"""),"quest.shoguns_katana_chapter_1.finished")</f>
        <v>quest.shoguns_katana_chapter_1.finished</v>
      </c>
    </row>
    <row r="434" ht="14.25" customHeight="1">
      <c r="A434" s="26" t="s">
        <v>1267</v>
      </c>
      <c r="B434" s="26" t="s">
        <v>1264</v>
      </c>
      <c r="D434" s="18" t="str">
        <f>IFERROR(__xludf.DUMMYFUNCTION("""COMPUTED_VALUE"""),"quest.shoguns_katana_chapter_2.finished")</f>
        <v>quest.shoguns_katana_chapter_2.finished</v>
      </c>
      <c r="E434" s="18" t="str">
        <f>IFERROR(__xludf.DUMMYFUNCTION("""COMPUTED_VALUE"""),"quest.shoguns_katana_chapter_2.accepted")</f>
        <v>quest.shoguns_katana_chapter_2.accepted</v>
      </c>
    </row>
    <row r="435" ht="14.25" customHeight="1">
      <c r="A435" s="26" t="s">
        <v>1269</v>
      </c>
      <c r="B435" s="26" t="s">
        <v>1267</v>
      </c>
      <c r="D435" s="18" t="str">
        <f>IFERROR(__xludf.DUMMYFUNCTION("""COMPUTED_VALUE"""),"quest.shoguns_katana_chapter_3.accepted")</f>
        <v>quest.shoguns_katana_chapter_3.accepted</v>
      </c>
      <c r="E435" s="18" t="str">
        <f>IFERROR(__xludf.DUMMYFUNCTION("""COMPUTED_VALUE"""),"quest.shoguns_katana_chapter_2.finished")</f>
        <v>quest.shoguns_katana_chapter_2.finished</v>
      </c>
    </row>
    <row r="436" ht="14.25" customHeight="1">
      <c r="A436" s="26" t="s">
        <v>1271</v>
      </c>
      <c r="B436" s="26" t="s">
        <v>1269</v>
      </c>
      <c r="D436" s="18" t="str">
        <f>IFERROR(__xludf.DUMMYFUNCTION("""COMPUTED_VALUE"""),"quest.shoguns_katana_chapter_3.finished")</f>
        <v>quest.shoguns_katana_chapter_3.finished</v>
      </c>
      <c r="E436" s="18" t="str">
        <f>IFERROR(__xludf.DUMMYFUNCTION("""COMPUTED_VALUE"""),"quest.shoguns_katana_chapter_3.accepted")</f>
        <v>quest.shoguns_katana_chapter_3.accepted</v>
      </c>
    </row>
    <row r="437" ht="14.25" customHeight="1">
      <c r="A437" s="26" t="s">
        <v>1273</v>
      </c>
      <c r="B437" s="26" t="s">
        <v>1271</v>
      </c>
      <c r="D437" s="18" t="str">
        <f>IFERROR(__xludf.DUMMYFUNCTION("""COMPUTED_VALUE"""),"quest.shoguns_katana_chapter_4.accepted")</f>
        <v>quest.shoguns_katana_chapter_4.accepted</v>
      </c>
      <c r="E437" s="18" t="str">
        <f>IFERROR(__xludf.DUMMYFUNCTION("""COMPUTED_VALUE"""),"quest.shoguns_katana_chapter_3.finished")</f>
        <v>quest.shoguns_katana_chapter_3.finished</v>
      </c>
    </row>
    <row r="438" ht="14.25" customHeight="1">
      <c r="A438" s="26" t="s">
        <v>1275</v>
      </c>
      <c r="B438" s="26" t="s">
        <v>1273</v>
      </c>
      <c r="D438" s="18" t="str">
        <f>IFERROR(__xludf.DUMMYFUNCTION("""COMPUTED_VALUE"""),"quest.shoguns_katana_chapter_4.finished")</f>
        <v>quest.shoguns_katana_chapter_4.finished</v>
      </c>
      <c r="E438" s="18" t="str">
        <f>IFERROR(__xludf.DUMMYFUNCTION("""COMPUTED_VALUE"""),"quest.shoguns_katana_chapter_4.accepted")</f>
        <v>quest.shoguns_katana_chapter_4.accepted</v>
      </c>
    </row>
    <row r="439" ht="14.25" customHeight="1">
      <c r="A439" s="26" t="s">
        <v>1277</v>
      </c>
      <c r="B439" s="26" t="s">
        <v>1275</v>
      </c>
      <c r="D439" s="18" t="str">
        <f>IFERROR(__xludf.DUMMYFUNCTION("""COMPUTED_VALUE"""),"quest.shoguns_katana_chapter_5.accepted")</f>
        <v>quest.shoguns_katana_chapter_5.accepted</v>
      </c>
      <c r="E439" s="18" t="str">
        <f>IFERROR(__xludf.DUMMYFUNCTION("""COMPUTED_VALUE"""),"quest.shoguns_katana_chapter_3.finished")</f>
        <v>quest.shoguns_katana_chapter_3.finished</v>
      </c>
    </row>
    <row r="440" ht="14.25" customHeight="1">
      <c r="A440" s="26" t="s">
        <v>1280</v>
      </c>
      <c r="B440" s="26" t="s">
        <v>1273</v>
      </c>
      <c r="D440" s="18" t="str">
        <f>IFERROR(__xludf.DUMMYFUNCTION("""COMPUTED_VALUE"""),"quest.shoguns_katana_chapter_5.finished")</f>
        <v>quest.shoguns_katana_chapter_5.finished</v>
      </c>
      <c r="E440" s="18" t="str">
        <f>IFERROR(__xludf.DUMMYFUNCTION("""COMPUTED_VALUE"""),"quest.shoguns_katana_chapter_5.accepted")</f>
        <v>quest.shoguns_katana_chapter_5.accepted</v>
      </c>
    </row>
    <row r="441" ht="14.25" customHeight="1">
      <c r="A441" s="26" t="s">
        <v>1283</v>
      </c>
      <c r="B441" s="26" t="s">
        <v>1280</v>
      </c>
      <c r="D441" s="18" t="str">
        <f>IFERROR(__xludf.DUMMYFUNCTION("""COMPUTED_VALUE"""),"quest.shoguns_katana_chapter_6.accepted")</f>
        <v>quest.shoguns_katana_chapter_6.accepted</v>
      </c>
      <c r="E441" s="18" t="str">
        <f>IFERROR(__xludf.DUMMYFUNCTION("""COMPUTED_VALUE"""),"quest.shoguns_katana_chapter_4.finished")</f>
        <v>quest.shoguns_katana_chapter_4.finished</v>
      </c>
    </row>
    <row r="442" ht="14.25" customHeight="1">
      <c r="A442" s="26" t="s">
        <v>1285</v>
      </c>
      <c r="B442" s="26" t="s">
        <v>1277</v>
      </c>
      <c r="D442" s="18" t="str">
        <f>IFERROR(__xludf.DUMMYFUNCTION("""COMPUTED_VALUE"""),"quest.shoguns_katana_chapter_6.finished")</f>
        <v>quest.shoguns_katana_chapter_6.finished</v>
      </c>
      <c r="E442" s="18" t="str">
        <f>IFERROR(__xludf.DUMMYFUNCTION("""COMPUTED_VALUE"""),"quest.shoguns_katana_chapter_6.accepted")</f>
        <v>quest.shoguns_katana_chapter_6.accepted</v>
      </c>
    </row>
    <row r="443" ht="14.25" customHeight="1">
      <c r="A443" s="26" t="s">
        <v>1287</v>
      </c>
      <c r="B443" s="26" t="s">
        <v>1285</v>
      </c>
      <c r="D443" s="18" t="str">
        <f>IFERROR(__xludf.DUMMYFUNCTION("""COMPUTED_VALUE"""),"quest.shoguns_katana_chapter_7.accepted")</f>
        <v>quest.shoguns_katana_chapter_7.accepted</v>
      </c>
      <c r="E443" s="18" t="str">
        <f>IFERROR(__xludf.DUMMYFUNCTION("""COMPUTED_VALUE"""),"quest.shoguns_katana_chapter_5.finished")</f>
        <v>quest.shoguns_katana_chapter_5.finished</v>
      </c>
    </row>
    <row r="444" ht="14.25" customHeight="1">
      <c r="A444" s="26" t="s">
        <v>1290</v>
      </c>
      <c r="B444" s="26" t="s">
        <v>1283</v>
      </c>
      <c r="D444" s="18" t="str">
        <f>IFERROR(__xludf.DUMMYFUNCTION("""COMPUTED_VALUE"""),"quest.shoguns_katana_chapter_7.accepted")</f>
        <v>quest.shoguns_katana_chapter_7.accepted</v>
      </c>
      <c r="E444" s="18" t="str">
        <f>IFERROR(__xludf.DUMMYFUNCTION("""COMPUTED_VALUE"""),"quest.shoguns_katana_chapter_6.finished")</f>
        <v>quest.shoguns_katana_chapter_6.finished</v>
      </c>
    </row>
    <row r="445" ht="14.25" customHeight="1">
      <c r="A445" s="26" t="s">
        <v>1290</v>
      </c>
      <c r="B445" s="26" t="s">
        <v>1287</v>
      </c>
      <c r="D445" s="18" t="str">
        <f>IFERROR(__xludf.DUMMYFUNCTION("""COMPUTED_VALUE"""),"quest.shoguns_katana_chapter_7.finished")</f>
        <v>quest.shoguns_katana_chapter_7.finished</v>
      </c>
      <c r="E445" s="18" t="str">
        <f>IFERROR(__xludf.DUMMYFUNCTION("""COMPUTED_VALUE"""),"quest.shoguns_katana_chapter_7.accepted")</f>
        <v>quest.shoguns_katana_chapter_7.accepted</v>
      </c>
    </row>
    <row r="446" ht="14.25" customHeight="1">
      <c r="A446" s="26" t="s">
        <v>1292</v>
      </c>
      <c r="B446" s="26" t="s">
        <v>1290</v>
      </c>
      <c r="D446" s="18" t="str">
        <f>IFERROR(__xludf.DUMMYFUNCTION("""COMPUTED_VALUE"""),"quest.silk_road.accepted")</f>
        <v>quest.silk_road.accepted</v>
      </c>
      <c r="E446" s="18" t="str">
        <f>IFERROR(__xludf.DUMMYFUNCTION("""COMPUTED_VALUE"""),"building.bridge@1")</f>
        <v>building.bridge@1</v>
      </c>
    </row>
    <row r="447" ht="14.25" customHeight="1">
      <c r="A447" s="26" t="s">
        <v>1294</v>
      </c>
      <c r="B447" s="26" t="s">
        <v>96</v>
      </c>
      <c r="D447" s="18" t="str">
        <f>IFERROR(__xludf.DUMMYFUNCTION("""COMPUTED_VALUE"""),"quest.silk_road.finished")</f>
        <v>quest.silk_road.finished</v>
      </c>
      <c r="E447" s="18" t="str">
        <f>IFERROR(__xludf.DUMMYFUNCTION("""COMPUTED_VALUE"""),"quest.silk_road.accepted")</f>
        <v>quest.silk_road.accepted</v>
      </c>
    </row>
    <row r="448" ht="14.25" customHeight="1">
      <c r="A448" s="26" t="s">
        <v>1296</v>
      </c>
      <c r="B448" s="26" t="s">
        <v>1294</v>
      </c>
      <c r="D448" s="18" t="str">
        <f>IFERROR(__xludf.DUMMYFUNCTION("""COMPUTED_VALUE"""),"quest.spicy_odyssey.accepted")</f>
        <v>quest.spicy_odyssey.accepted</v>
      </c>
      <c r="E448" s="18" t="str">
        <f>IFERROR(__xludf.DUMMYFUNCTION("""COMPUTED_VALUE"""),"building.ship@1")</f>
        <v>building.ship@1</v>
      </c>
    </row>
    <row r="449" ht="14.25" customHeight="1">
      <c r="A449" s="26" t="s">
        <v>1298</v>
      </c>
      <c r="B449" s="26" t="s">
        <v>393</v>
      </c>
      <c r="D449" s="18" t="str">
        <f>IFERROR(__xludf.DUMMYFUNCTION("""COMPUTED_VALUE"""),"quest.spicy_odyssey.finished")</f>
        <v>quest.spicy_odyssey.finished</v>
      </c>
      <c r="E449" s="18" t="str">
        <f>IFERROR(__xludf.DUMMYFUNCTION("""COMPUTED_VALUE"""),"quest.spicy_odyssey.accepted")</f>
        <v>quest.spicy_odyssey.accepted</v>
      </c>
    </row>
    <row r="450" ht="14.25" customHeight="1">
      <c r="A450" s="26" t="s">
        <v>1301</v>
      </c>
      <c r="B450" s="26" t="s">
        <v>1298</v>
      </c>
      <c r="D450" s="18" t="str">
        <f>IFERROR(__xludf.DUMMYFUNCTION("""COMPUTED_VALUE"""),"quest.the_ordinary_days_of_an_adventurer_chapter_1.accepted")</f>
        <v>quest.the_ordinary_days_of_an_adventurer_chapter_1.accepted</v>
      </c>
      <c r="E450" s="18" t="str">
        <f>IFERROR(__xludf.DUMMYFUNCTION("""COMPUTED_VALUE"""),"tech.smithy.sword_for_a_hero_lvl_4")</f>
        <v>tech.smithy.sword_for_a_hero_lvl_4</v>
      </c>
    </row>
    <row r="451" ht="14.25" customHeight="1">
      <c r="A451" s="26" t="s">
        <v>1303</v>
      </c>
      <c r="B451" s="26" t="s">
        <v>1834</v>
      </c>
      <c r="D451" s="18" t="str">
        <f>IFERROR(__xludf.DUMMYFUNCTION("""COMPUTED_VALUE"""),"quest.the_ordinary_days_of_an_adventurer_chapter_1.accepted")</f>
        <v>quest.the_ordinary_days_of_an_adventurer_chapter_1.accepted</v>
      </c>
      <c r="E451" s="18" t="str">
        <f>IFERROR(__xludf.DUMMYFUNCTION("""COMPUTED_VALUE"""),"tech.workshop.shield_for_a_hero_lvl_4")</f>
        <v>tech.workshop.shield_for_a_hero_lvl_4</v>
      </c>
    </row>
    <row r="452" ht="14.25" customHeight="1">
      <c r="A452" s="26" t="s">
        <v>1303</v>
      </c>
      <c r="B452" s="26" t="s">
        <v>1909</v>
      </c>
      <c r="D452" s="18" t="str">
        <f>IFERROR(__xludf.DUMMYFUNCTION("""COMPUTED_VALUE"""),"quest.the_ordinary_days_of_an_adventurer_chapter_1.accepted")</f>
        <v>quest.the_ordinary_days_of_an_adventurer_chapter_1.accepted</v>
      </c>
      <c r="E452" s="18" t="str">
        <f>IFERROR(__xludf.DUMMYFUNCTION("""COMPUTED_VALUE"""),"tech.tailor.armor_for_a_hero_lvl_4")</f>
        <v>tech.tailor.armor_for_a_hero_lvl_4</v>
      </c>
    </row>
    <row r="453" ht="14.25" customHeight="1">
      <c r="A453" s="26" t="s">
        <v>1303</v>
      </c>
      <c r="B453" s="26" t="s">
        <v>1854</v>
      </c>
      <c r="D453" s="18" t="str">
        <f>IFERROR(__xludf.DUMMYFUNCTION("""COMPUTED_VALUE"""),"quest.the_ordinary_days_of_an_adventurer_chapter_1.accepted")</f>
        <v>quest.the_ordinary_days_of_an_adventurer_chapter_1.accepted</v>
      </c>
      <c r="E453" s="18" t="str">
        <f>IFERROR(__xludf.DUMMYFUNCTION("""COMPUTED_VALUE"""),"quest.once_upon_a_forest_chapter_12.finished")</f>
        <v>quest.once_upon_a_forest_chapter_12.finished</v>
      </c>
    </row>
    <row r="454" ht="14.25" customHeight="1">
      <c r="A454" s="26" t="s">
        <v>1303</v>
      </c>
      <c r="B454" s="26" t="s">
        <v>1102</v>
      </c>
      <c r="D454" s="18" t="str">
        <f>IFERROR(__xludf.DUMMYFUNCTION("""COMPUTED_VALUE"""),"quest.the_ordinary_days_of_an_adventurer_chapter_1.accepted")</f>
        <v>quest.the_ordinary_days_of_an_adventurer_chapter_1.accepted</v>
      </c>
      <c r="E454" s="18" t="str">
        <f>IFERROR(__xludf.DUMMYFUNCTION("""COMPUTED_VALUE"""),"state.meet_methusalem@f3")</f>
        <v>state.meet_methusalem@f3</v>
      </c>
    </row>
    <row r="455" ht="14.25" customHeight="1">
      <c r="A455" s="26" t="s">
        <v>1303</v>
      </c>
      <c r="B455" s="26" t="s">
        <v>1547</v>
      </c>
      <c r="D455" s="18" t="str">
        <f>IFERROR(__xludf.DUMMYFUNCTION("""COMPUTED_VALUE"""),"quest.the_ordinary_days_of_an_adventurer_chapter_1.finished")</f>
        <v>quest.the_ordinary_days_of_an_adventurer_chapter_1.finished</v>
      </c>
      <c r="E455" s="18" t="str">
        <f>IFERROR(__xludf.DUMMYFUNCTION("""COMPUTED_VALUE"""),"quest.the_ordinary_days_of_an_adventurer_chapter_1.accepted")</f>
        <v>quest.the_ordinary_days_of_an_adventurer_chapter_1.accepted</v>
      </c>
    </row>
    <row r="456" ht="14.25" customHeight="1">
      <c r="A456" s="26" t="s">
        <v>1305</v>
      </c>
      <c r="B456" s="26" t="s">
        <v>1303</v>
      </c>
      <c r="D456" s="18" t="str">
        <f>IFERROR(__xludf.DUMMYFUNCTION("""COMPUTED_VALUE"""),"quest.the_ordinary_days_of_an_adventurer_chapter_2.accepted")</f>
        <v>quest.the_ordinary_days_of_an_adventurer_chapter_2.accepted</v>
      </c>
      <c r="E456" s="18" t="str">
        <f>IFERROR(__xludf.DUMMYFUNCTION("""COMPUTED_VALUE"""),"quest.once_upon_a_forest_chapter_12.finished")</f>
        <v>quest.once_upon_a_forest_chapter_12.finished</v>
      </c>
    </row>
    <row r="457" ht="14.25" customHeight="1">
      <c r="A457" s="26" t="s">
        <v>1307</v>
      </c>
      <c r="B457" s="26" t="s">
        <v>1102</v>
      </c>
      <c r="D457" s="18" t="str">
        <f>IFERROR(__xludf.DUMMYFUNCTION("""COMPUTED_VALUE"""),"quest.the_ordinary_days_of_an_adventurer_chapter_2.accepted")</f>
        <v>quest.the_ordinary_days_of_an_adventurer_chapter_2.accepted</v>
      </c>
      <c r="E457" s="18" t="str">
        <f>IFERROR(__xludf.DUMMYFUNCTION("""COMPUTED_VALUE"""),"state.meet_samurai_panda@6a")</f>
        <v>state.meet_samurai_panda@6a</v>
      </c>
    </row>
    <row r="458" ht="14.25" customHeight="1">
      <c r="A458" s="26" t="s">
        <v>1307</v>
      </c>
      <c r="B458" s="26" t="s">
        <v>1572</v>
      </c>
      <c r="D458" s="18" t="str">
        <f>IFERROR(__xludf.DUMMYFUNCTION("""COMPUTED_VALUE"""),"quest.the_ordinary_days_of_an_adventurer_chapter_2.finished")</f>
        <v>quest.the_ordinary_days_of_an_adventurer_chapter_2.finished</v>
      </c>
      <c r="E458" s="18" t="str">
        <f>IFERROR(__xludf.DUMMYFUNCTION("""COMPUTED_VALUE"""),"quest.the_ordinary_days_of_an_adventurer_chapter_2.accepted")</f>
        <v>quest.the_ordinary_days_of_an_adventurer_chapter_2.accepted</v>
      </c>
    </row>
    <row r="459" ht="14.25" customHeight="1">
      <c r="A459" s="26" t="s">
        <v>1309</v>
      </c>
      <c r="B459" s="26" t="s">
        <v>1307</v>
      </c>
      <c r="D459" s="18" t="str">
        <f>IFERROR(__xludf.DUMMYFUNCTION("""COMPUTED_VALUE"""),"quest.the_ordinary_days_of_an_adventurer_chapter_3.accepted")</f>
        <v>quest.the_ordinary_days_of_an_adventurer_chapter_3.accepted</v>
      </c>
      <c r="E459" s="18" t="str">
        <f>IFERROR(__xludf.DUMMYFUNCTION("""COMPUTED_VALUE"""),"quest.the_ordinary_days_of_an_adventurer_chapter_2.finished")</f>
        <v>quest.the_ordinary_days_of_an_adventurer_chapter_2.finished</v>
      </c>
    </row>
    <row r="460" ht="14.25" customHeight="1">
      <c r="A460" s="26" t="s">
        <v>1312</v>
      </c>
      <c r="B460" s="26" t="s">
        <v>1309</v>
      </c>
      <c r="D460" s="18" t="str">
        <f>IFERROR(__xludf.DUMMYFUNCTION("""COMPUTED_VALUE"""),"quest.the_ordinary_days_of_an_adventurer_chapter_3.accepted")</f>
        <v>quest.the_ordinary_days_of_an_adventurer_chapter_3.accepted</v>
      </c>
      <c r="E460" s="18" t="str">
        <f>IFERROR(__xludf.DUMMYFUNCTION("""COMPUTED_VALUE"""),"state.meet_dark_lady@6a")</f>
        <v>state.meet_dark_lady@6a</v>
      </c>
    </row>
    <row r="461" ht="14.25" customHeight="1">
      <c r="A461" s="26" t="s">
        <v>1312</v>
      </c>
      <c r="B461" s="26" t="s">
        <v>1519</v>
      </c>
      <c r="D461" s="18" t="str">
        <f>IFERROR(__xludf.DUMMYFUNCTION("""COMPUTED_VALUE"""),"quest.the_ordinary_days_of_an_adventurer_chapter_3.finished")</f>
        <v>quest.the_ordinary_days_of_an_adventurer_chapter_3.finished</v>
      </c>
      <c r="E461" s="18" t="str">
        <f>IFERROR(__xludf.DUMMYFUNCTION("""COMPUTED_VALUE"""),"quest.the_ordinary_days_of_an_adventurer_chapter_3.accepted")</f>
        <v>quest.the_ordinary_days_of_an_adventurer_chapter_3.accepted</v>
      </c>
    </row>
    <row r="462" ht="14.25" customHeight="1">
      <c r="A462" s="26" t="s">
        <v>1314</v>
      </c>
      <c r="B462" s="26" t="s">
        <v>1312</v>
      </c>
      <c r="D462" s="18" t="str">
        <f>IFERROR(__xludf.DUMMYFUNCTION("""COMPUTED_VALUE"""),"quest.the_ordinary_days_of_an_adventurer_chapter_4.accepted")</f>
        <v>quest.the_ordinary_days_of_an_adventurer_chapter_4.accepted</v>
      </c>
      <c r="E462" s="18" t="str">
        <f>IFERROR(__xludf.DUMMYFUNCTION("""COMPUTED_VALUE"""),"quest.the_ordinary_days_of_an_adventurer_chapter_3.finished")</f>
        <v>quest.the_ordinary_days_of_an_adventurer_chapter_3.finished</v>
      </c>
    </row>
    <row r="463" ht="14.25" customHeight="1">
      <c r="A463" s="26" t="s">
        <v>1316</v>
      </c>
      <c r="B463" s="26" t="s">
        <v>1314</v>
      </c>
      <c r="D463" s="18" t="str">
        <f>IFERROR(__xludf.DUMMYFUNCTION("""COMPUTED_VALUE"""),"quest.the_ordinary_days_of_an_adventurer_chapter_4.accepted")</f>
        <v>quest.the_ordinary_days_of_an_adventurer_chapter_4.accepted</v>
      </c>
      <c r="E463" s="18" t="str">
        <f>IFERROR(__xludf.DUMMYFUNCTION("""COMPUTED_VALUE"""),"state.meet_dark_lady@6b")</f>
        <v>state.meet_dark_lady@6b</v>
      </c>
    </row>
    <row r="464" ht="14.25" customHeight="1">
      <c r="A464" s="26" t="s">
        <v>1316</v>
      </c>
      <c r="B464" s="26" t="s">
        <v>1521</v>
      </c>
      <c r="D464" s="18" t="str">
        <f>IFERROR(__xludf.DUMMYFUNCTION("""COMPUTED_VALUE"""),"quest.the_ordinary_days_of_an_adventurer_chapter_4.finished")</f>
        <v>quest.the_ordinary_days_of_an_adventurer_chapter_4.finished</v>
      </c>
      <c r="E464" s="18" t="str">
        <f>IFERROR(__xludf.DUMMYFUNCTION("""COMPUTED_VALUE"""),"quest.the_ordinary_days_of_an_adventurer_chapter_4.accepted")</f>
        <v>quest.the_ordinary_days_of_an_adventurer_chapter_4.accepted</v>
      </c>
    </row>
    <row r="465" ht="14.25" customHeight="1">
      <c r="A465" s="26" t="s">
        <v>1318</v>
      </c>
      <c r="B465" s="26" t="s">
        <v>1316</v>
      </c>
      <c r="D465" s="18" t="str">
        <f>IFERROR(__xludf.DUMMYFUNCTION("""COMPUTED_VALUE"""),"quest.the_ordinary_days_of_an_adventurer_chapter_5.accepted")</f>
        <v>quest.the_ordinary_days_of_an_adventurer_chapter_5.accepted</v>
      </c>
      <c r="E465" s="18" t="str">
        <f>IFERROR(__xludf.DUMMYFUNCTION("""COMPUTED_VALUE"""),"quest.the_ordinary_days_of_an_adventurer_chapter_4.accepted")</f>
        <v>quest.the_ordinary_days_of_an_adventurer_chapter_4.accepted</v>
      </c>
    </row>
    <row r="466" ht="14.25" customHeight="1">
      <c r="A466" s="26" t="s">
        <v>1320</v>
      </c>
      <c r="B466" s="26" t="s">
        <v>1316</v>
      </c>
      <c r="D466" s="18" t="str">
        <f>IFERROR(__xludf.DUMMYFUNCTION("""COMPUTED_VALUE"""),"quest.the_ordinary_days_of_an_adventurer_chapter_5.accepted")</f>
        <v>quest.the_ordinary_days_of_an_adventurer_chapter_5.accepted</v>
      </c>
      <c r="E466" s="18" t="str">
        <f>IFERROR(__xludf.DUMMYFUNCTION("""COMPUTED_VALUE"""),"state.action_reenter_guild")</f>
        <v>state.action_reenter_guild</v>
      </c>
    </row>
    <row r="467" ht="14.25" customHeight="1">
      <c r="A467" s="26" t="s">
        <v>1320</v>
      </c>
      <c r="B467" s="26" t="s">
        <v>1354</v>
      </c>
      <c r="D467" s="18" t="str">
        <f>IFERROR(__xludf.DUMMYFUNCTION("""COMPUTED_VALUE"""),"quest.the_ordinary_days_of_an_adventurer_chapter_5.finished")</f>
        <v>quest.the_ordinary_days_of_an_adventurer_chapter_5.finished</v>
      </c>
      <c r="E467" s="18" t="str">
        <f>IFERROR(__xludf.DUMMYFUNCTION("""COMPUTED_VALUE"""),"quest.the_ordinary_days_of_an_adventurer_chapter_5.accepted")</f>
        <v>quest.the_ordinary_days_of_an_adventurer_chapter_5.accepted</v>
      </c>
    </row>
    <row r="468" ht="14.25" customHeight="1">
      <c r="A468" s="26" t="s">
        <v>1323</v>
      </c>
      <c r="B468" s="26" t="s">
        <v>1320</v>
      </c>
      <c r="D468" s="18" t="str">
        <f>IFERROR(__xludf.DUMMYFUNCTION("""COMPUTED_VALUE"""),"quest.the_ordinary_days_of_an_adventurer_chapter_6.accepted")</f>
        <v>quest.the_ordinary_days_of_an_adventurer_chapter_6.accepted</v>
      </c>
      <c r="E468" s="18" t="str">
        <f>IFERROR(__xludf.DUMMYFUNCTION("""COMPUTED_VALUE"""),"building.dairy@2")</f>
        <v>building.dairy@2</v>
      </c>
    </row>
    <row r="469" ht="14.25" customHeight="1">
      <c r="A469" s="26" t="s">
        <v>1325</v>
      </c>
      <c r="B469" s="26" t="s">
        <v>145</v>
      </c>
      <c r="D469" s="18" t="str">
        <f>IFERROR(__xludf.DUMMYFUNCTION("""COMPUTED_VALUE"""),"quest.the_ordinary_days_of_an_adventurer_chapter_6.accepted")</f>
        <v>quest.the_ordinary_days_of_an_adventurer_chapter_6.accepted</v>
      </c>
      <c r="E469" s="18" t="str">
        <f>IFERROR(__xludf.DUMMYFUNCTION("""COMPUTED_VALUE"""),"state.meet_royal_rat@6b")</f>
        <v>state.meet_royal_rat@6b</v>
      </c>
    </row>
    <row r="470" ht="14.25" customHeight="1">
      <c r="A470" s="26" t="s">
        <v>1325</v>
      </c>
      <c r="B470" s="26" t="s">
        <v>1674</v>
      </c>
      <c r="D470" s="18" t="str">
        <f>IFERROR(__xludf.DUMMYFUNCTION("""COMPUTED_VALUE"""),"quest.the_ordinary_days_of_an_adventurer_chapter_6.finished")</f>
        <v>quest.the_ordinary_days_of_an_adventurer_chapter_6.finished</v>
      </c>
      <c r="E470" s="18" t="str">
        <f>IFERROR(__xludf.DUMMYFUNCTION("""COMPUTED_VALUE"""),"quest.the_ordinary_days_of_an_adventurer_chapter_6.accepted")</f>
        <v>quest.the_ordinary_days_of_an_adventurer_chapter_6.accepted</v>
      </c>
    </row>
    <row r="471" ht="14.25" customHeight="1">
      <c r="A471" s="26" t="s">
        <v>1327</v>
      </c>
      <c r="B471" s="26" t="s">
        <v>1325</v>
      </c>
      <c r="D471" s="18" t="str">
        <f>IFERROR(__xludf.DUMMYFUNCTION("""COMPUTED_VALUE"""),"quest.the_ordinary_days_of_an_adventurer_chapter_7.accepted")</f>
        <v>quest.the_ordinary_days_of_an_adventurer_chapter_7.accepted</v>
      </c>
      <c r="E471" s="18" t="str">
        <f>IFERROR(__xludf.DUMMYFUNCTION("""COMPUTED_VALUE"""),"quest.the_ordinary_days_of_an_adventurer_chapter_4.finished")</f>
        <v>quest.the_ordinary_days_of_an_adventurer_chapter_4.finished</v>
      </c>
    </row>
    <row r="472" ht="14.25" customHeight="1">
      <c r="A472" s="26" t="s">
        <v>1329</v>
      </c>
      <c r="B472" s="26" t="s">
        <v>1318</v>
      </c>
      <c r="D472" s="18" t="str">
        <f>IFERROR(__xludf.DUMMYFUNCTION("""COMPUTED_VALUE"""),"quest.the_ordinary_days_of_an_adventurer_chapter_7.finished")</f>
        <v>quest.the_ordinary_days_of_an_adventurer_chapter_7.finished</v>
      </c>
      <c r="E472" s="18" t="str">
        <f>IFERROR(__xludf.DUMMYFUNCTION("""COMPUTED_VALUE"""),"quest.the_ordinary_days_of_an_adventurer_chapter_7.accepted")</f>
        <v>quest.the_ordinary_days_of_an_adventurer_chapter_7.accepted</v>
      </c>
    </row>
    <row r="473" ht="14.25" customHeight="1">
      <c r="A473" s="26" t="s">
        <v>1332</v>
      </c>
      <c r="B473" s="26" t="s">
        <v>1329</v>
      </c>
      <c r="D473" s="18" t="str">
        <f>IFERROR(__xludf.DUMMYFUNCTION("""COMPUTED_VALUE"""),"quest.the_ordinary_days_of_an_adventurer_chapter_8.accepted")</f>
        <v>quest.the_ordinary_days_of_an_adventurer_chapter_8.accepted</v>
      </c>
      <c r="E473" s="18" t="str">
        <f>IFERROR(__xludf.DUMMYFUNCTION("""COMPUTED_VALUE"""),"quest.the_ordinary_days_of_an_adventurer_chapter_7.finished")</f>
        <v>quest.the_ordinary_days_of_an_adventurer_chapter_7.finished</v>
      </c>
    </row>
    <row r="474" ht="14.25" customHeight="1">
      <c r="A474" s="26" t="s">
        <v>1334</v>
      </c>
      <c r="B474" s="26" t="s">
        <v>1332</v>
      </c>
      <c r="D474" s="18" t="str">
        <f>IFERROR(__xludf.DUMMYFUNCTION("""COMPUTED_VALUE"""),"quest.the_ordinary_days_of_an_adventurer_chapter_8.finished")</f>
        <v>quest.the_ordinary_days_of_an_adventurer_chapter_8.finished</v>
      </c>
      <c r="E474" s="18" t="str">
        <f>IFERROR(__xludf.DUMMYFUNCTION("""COMPUTED_VALUE"""),"quest.the_ordinary_days_of_an_adventurer_chapter_8.accepted")</f>
        <v>quest.the_ordinary_days_of_an_adventurer_chapter_8.accepted</v>
      </c>
    </row>
    <row r="475" ht="14.25" customHeight="1">
      <c r="D475" s="18" t="str">
        <f>IFERROR(__xludf.DUMMYFUNCTION("""COMPUTED_VALUE"""),"quest.the_ring_of_the_dark_lady.accepted")</f>
        <v>quest.the_ring_of_the_dark_lady.accepted</v>
      </c>
      <c r="E475" s="18" t="str">
        <f>IFERROR(__xludf.DUMMYFUNCTION("""COMPUTED_VALUE"""),"quest.dragon_teeth.finished")</f>
        <v>quest.dragon_teeth.finished</v>
      </c>
    </row>
    <row r="476" ht="14.25" customHeight="1">
      <c r="A476" s="26" t="s">
        <v>1336</v>
      </c>
      <c r="B476" s="26" t="s">
        <v>1334</v>
      </c>
      <c r="D476" s="18" t="str">
        <f>IFERROR(__xludf.DUMMYFUNCTION("""COMPUTED_VALUE"""),"quest.the_ring_of_the_dark_lady.accepted")</f>
        <v>quest.the_ring_of_the_dark_lady.accepted</v>
      </c>
      <c r="E476" s="18" t="str">
        <f>IFERROR(__xludf.DUMMYFUNCTION("""COMPUTED_VALUE"""),"state.meet_dark_lady@4a")</f>
        <v>state.meet_dark_lady@4a</v>
      </c>
    </row>
    <row r="477" ht="14.25" customHeight="1">
      <c r="A477" s="26" t="s">
        <v>1338</v>
      </c>
      <c r="B477" s="26" t="s">
        <v>991</v>
      </c>
      <c r="D477" s="18" t="str">
        <f>IFERROR(__xludf.DUMMYFUNCTION("""COMPUTED_VALUE"""),"quest.the_ring_of_the_dark_lady.finished")</f>
        <v>quest.the_ring_of_the_dark_lady.finished</v>
      </c>
      <c r="E477" s="18" t="str">
        <f>IFERROR(__xludf.DUMMYFUNCTION("""COMPUTED_VALUE"""),"quest.the_ring_of_the_dark_lady.accepted")</f>
        <v>quest.the_ring_of_the_dark_lady.accepted</v>
      </c>
    </row>
    <row r="478" ht="14.25" customHeight="1">
      <c r="A478" s="26" t="s">
        <v>1338</v>
      </c>
      <c r="B478" s="26" t="s">
        <v>1516</v>
      </c>
      <c r="D478" s="18" t="str">
        <f>IFERROR(__xludf.DUMMYFUNCTION("""COMPUTED_VALUE"""),"quest.treasure_island.accepted")</f>
        <v>quest.treasure_island.accepted</v>
      </c>
      <c r="E478" s="18" t="str">
        <f>IFERROR(__xludf.DUMMYFUNCTION("""COMPUTED_VALUE"""),"quest.shoguns_katana_chapter_4.finished")</f>
        <v>quest.shoguns_katana_chapter_4.finished</v>
      </c>
    </row>
    <row r="479" ht="14.25" customHeight="1">
      <c r="A479" s="26" t="s">
        <v>1340</v>
      </c>
      <c r="B479" s="26" t="s">
        <v>1338</v>
      </c>
      <c r="D479" s="18" t="str">
        <f>IFERROR(__xludf.DUMMYFUNCTION("""COMPUTED_VALUE"""),"quest.treasure_island.accepted")</f>
        <v>quest.treasure_island.accepted</v>
      </c>
      <c r="E479" s="18" t="str">
        <f>IFERROR(__xludf.DUMMYFUNCTION("""COMPUTED_VALUE"""),"quest.spicy_odyssey.finished")</f>
        <v>quest.spicy_odyssey.finished</v>
      </c>
    </row>
    <row r="480" ht="14.25" customHeight="1">
      <c r="A480" s="26" t="s">
        <v>1342</v>
      </c>
      <c r="B480" s="26" t="s">
        <v>1277</v>
      </c>
      <c r="D480" s="18" t="str">
        <f>IFERROR(__xludf.DUMMYFUNCTION("""COMPUTED_VALUE"""),"quest.treasure_island.accepted")</f>
        <v>quest.treasure_island.accepted</v>
      </c>
      <c r="E480" s="18" t="str">
        <f>IFERROR(__xludf.DUMMYFUNCTION("""COMPUTED_VALUE"""),"state.meet_pirate_skeleton@3a")</f>
        <v>state.meet_pirate_skeleton@3a</v>
      </c>
    </row>
    <row r="481" ht="14.25" customHeight="1">
      <c r="A481" s="26" t="s">
        <v>1342</v>
      </c>
      <c r="B481" s="26" t="s">
        <v>1301</v>
      </c>
      <c r="D481" s="18" t="str">
        <f>IFERROR(__xludf.DUMMYFUNCTION("""COMPUTED_VALUE"""),"quest.treasure_island.finished")</f>
        <v>quest.treasure_island.finished</v>
      </c>
      <c r="E481" s="18" t="str">
        <f>IFERROR(__xludf.DUMMYFUNCTION("""COMPUTED_VALUE"""),"quest.treasure_island.accepted")</f>
        <v>quest.treasure_island.accepted</v>
      </c>
    </row>
    <row r="482" ht="14.25" customHeight="1">
      <c r="A482" s="26" t="s">
        <v>1342</v>
      </c>
      <c r="B482" s="26" t="s">
        <v>1559</v>
      </c>
      <c r="D482" s="18" t="str">
        <f>IFERROR(__xludf.DUMMYFUNCTION("""COMPUTED_VALUE"""),"quest.undead_revenge.accepted")</f>
        <v>quest.undead_revenge.accepted</v>
      </c>
      <c r="E482" s="18" t="str">
        <f>IFERROR(__xludf.DUMMYFUNCTION("""COMPUTED_VALUE"""),"quest.dragon_teeth.finished")</f>
        <v>quest.dragon_teeth.finished</v>
      </c>
    </row>
    <row r="483" ht="14.25" customHeight="1">
      <c r="A483" s="26" t="s">
        <v>1344</v>
      </c>
      <c r="B483" s="26" t="s">
        <v>1342</v>
      </c>
      <c r="D483" s="18" t="str">
        <f>IFERROR(__xludf.DUMMYFUNCTION("""COMPUTED_VALUE"""),"quest.undead_revenge.accepted")</f>
        <v>quest.undead_revenge.accepted</v>
      </c>
      <c r="E483" s="18" t="str">
        <f>IFERROR(__xludf.DUMMYFUNCTION("""COMPUTED_VALUE"""),"state.complete_dungeon_5c")</f>
        <v>state.complete_dungeon_5c</v>
      </c>
    </row>
    <row r="484" ht="14.25" customHeight="1">
      <c r="A484" s="26" t="s">
        <v>1346</v>
      </c>
      <c r="B484" s="26" t="s">
        <v>991</v>
      </c>
      <c r="D484" s="18" t="str">
        <f>IFERROR(__xludf.DUMMYFUNCTION("""COMPUTED_VALUE"""),"quest.undead_revenge.accepted")</f>
        <v>quest.undead_revenge.accepted</v>
      </c>
      <c r="E484" s="18" t="str">
        <f>IFERROR(__xludf.DUMMYFUNCTION("""COMPUTED_VALUE"""),"state.visit_dungeon@5a")</f>
        <v>state.visit_dungeon@5a</v>
      </c>
    </row>
    <row r="485" ht="14.25" customHeight="1">
      <c r="A485" s="26" t="s">
        <v>1346</v>
      </c>
      <c r="B485" s="26" t="s">
        <v>1444</v>
      </c>
      <c r="D485" s="18" t="str">
        <f>IFERROR(__xludf.DUMMYFUNCTION("""COMPUTED_VALUE"""),"quest.undead_revenge.finished")</f>
        <v>quest.undead_revenge.finished</v>
      </c>
      <c r="E485" s="18" t="str">
        <f>IFERROR(__xludf.DUMMYFUNCTION("""COMPUTED_VALUE"""),"quest.undead_revenge.accepted")</f>
        <v>quest.undead_revenge.accepted</v>
      </c>
    </row>
    <row r="486" ht="14.25" customHeight="1">
      <c r="A486" s="26" t="s">
        <v>1346</v>
      </c>
      <c r="B486" s="26" t="s">
        <v>1669</v>
      </c>
      <c r="D486" s="18" t="str">
        <f>IFERROR(__xludf.DUMMYFUNCTION("""COMPUTED_VALUE"""),"state.action_defeat_bone_dragon_4c")</f>
        <v>state.action_defeat_bone_dragon_4c</v>
      </c>
      <c r="E486" s="18" t="str">
        <f>IFERROR(__xludf.DUMMYFUNCTION("""COMPUTED_VALUE"""),"quest.dragon_teeth.accepted")</f>
        <v>quest.dragon_teeth.accepted</v>
      </c>
    </row>
    <row r="487" ht="14.25" customHeight="1">
      <c r="A487" s="26" t="s">
        <v>1348</v>
      </c>
      <c r="B487" s="26" t="s">
        <v>1346</v>
      </c>
      <c r="D487" s="18" t="str">
        <f>IFERROR(__xludf.DUMMYFUNCTION("""COMPUTED_VALUE"""),"state.action_reenter_guild")</f>
        <v>state.action_reenter_guild</v>
      </c>
      <c r="E487" s="18" t="str">
        <f>IFERROR(__xludf.DUMMYFUNCTION("""COMPUTED_VALUE"""),"quest.the_ordinary_days_of_an_adventurer_chapter_4.accepted")</f>
        <v>quest.the_ordinary_days_of_an_adventurer_chapter_4.accepted</v>
      </c>
    </row>
    <row r="488" ht="14.25" customHeight="1">
      <c r="A488" s="26" t="s">
        <v>1350</v>
      </c>
      <c r="B488" s="21" t="s">
        <v>986</v>
      </c>
      <c r="D488" s="18" t="str">
        <f>IFERROR(__xludf.DUMMYFUNCTION("""COMPUTED_VALUE"""),"state.action_send_train_to_sapporo")</f>
        <v>state.action_send_train_to_sapporo</v>
      </c>
      <c r="E488" s="18" t="str">
        <f>IFERROR(__xludf.DUMMYFUNCTION("""COMPUTED_VALUE"""),"citadel.tunnel")</f>
        <v>citadel.tunnel</v>
      </c>
    </row>
    <row r="489" ht="14.25" customHeight="1">
      <c r="A489" s="26" t="s">
        <v>1354</v>
      </c>
      <c r="B489" s="26" t="s">
        <v>1316</v>
      </c>
      <c r="D489" s="18" t="str">
        <f>IFERROR(__xludf.DUMMYFUNCTION("""COMPUTED_VALUE"""),"state.action_tame_a_critter")</f>
        <v>state.action_tame_a_critter</v>
      </c>
      <c r="E489" s="18" t="str">
        <f>IFERROR(__xludf.DUMMYFUNCTION("""COMPUTED_VALUE"""),"citadel.great_hall")</f>
        <v>citadel.great_hall</v>
      </c>
    </row>
    <row r="490" ht="14.25" customHeight="1">
      <c r="A490" s="26" t="s">
        <v>1356</v>
      </c>
      <c r="B490" s="26" t="s">
        <v>525</v>
      </c>
      <c r="D490" s="18" t="str">
        <f>IFERROR(__xludf.DUMMYFUNCTION("""COMPUTED_VALUE"""),"state.action_tame_a_critter")</f>
        <v>state.action_tame_a_critter</v>
      </c>
      <c r="E490" s="18" t="str">
        <f>IFERROR(__xludf.DUMMYFUNCTION("""COMPUTED_VALUE"""),"building.dungeon@5")</f>
        <v>building.dungeon@5</v>
      </c>
    </row>
    <row r="491" ht="14.25" customHeight="1">
      <c r="A491" s="26" t="s">
        <v>1358</v>
      </c>
      <c r="B491" s="26" t="s">
        <v>505</v>
      </c>
      <c r="D491" s="18" t="str">
        <f>IFERROR(__xludf.DUMMYFUNCTION("""COMPUTED_VALUE"""),"state.complete_dungeon_5c")</f>
        <v>state.complete_dungeon_5c</v>
      </c>
      <c r="E491" s="18" t="str">
        <f>IFERROR(__xludf.DUMMYFUNCTION("""COMPUTED_VALUE"""),"quest.dragon_teeth.finished")</f>
        <v>quest.dragon_teeth.finished</v>
      </c>
    </row>
    <row r="492" ht="14.25" customHeight="1">
      <c r="A492" s="26" t="s">
        <v>1358</v>
      </c>
      <c r="B492" s="26" t="s">
        <v>177</v>
      </c>
      <c r="D492" s="18" t="str">
        <f>IFERROR(__xludf.DUMMYFUNCTION("""COMPUTED_VALUE"""),"state.complete_dungeon_5c")</f>
        <v>state.complete_dungeon_5c</v>
      </c>
      <c r="E492" s="18" t="str">
        <f>IFERROR(__xludf.DUMMYFUNCTION("""COMPUTED_VALUE"""),"building.dungeon@5")</f>
        <v>building.dungeon@5</v>
      </c>
    </row>
    <row r="493" ht="14.25" customHeight="1">
      <c r="A493" s="26" t="s">
        <v>1444</v>
      </c>
      <c r="B493" s="26" t="s">
        <v>991</v>
      </c>
      <c r="D493" s="18" t="str">
        <f>IFERROR(__xludf.DUMMYFUNCTION("""COMPUTED_VALUE"""),"state.complete_dungeon_6c")</f>
        <v>state.complete_dungeon_6c</v>
      </c>
      <c r="E493" s="18" t="str">
        <f>IFERROR(__xludf.DUMMYFUNCTION("""COMPUTED_VALUE"""),"quest.the_ordinary_days_of_an_adventurer_chapter_7.accepted")</f>
        <v>quest.the_ordinary_days_of_an_adventurer_chapter_7.accepted</v>
      </c>
    </row>
    <row r="494" ht="14.25" customHeight="1">
      <c r="A494" s="26" t="s">
        <v>1444</v>
      </c>
      <c r="B494" s="26" t="s">
        <v>177</v>
      </c>
      <c r="D494" s="18" t="str">
        <f>IFERROR(__xludf.DUMMYFUNCTION("""COMPUTED_VALUE"""),"state.complete_dungeon_6c")</f>
        <v>state.complete_dungeon_6c</v>
      </c>
      <c r="E494" s="18" t="str">
        <f>IFERROR(__xludf.DUMMYFUNCTION("""COMPUTED_VALUE"""),"building.dungeon@6")</f>
        <v>building.dungeon@6</v>
      </c>
    </row>
    <row r="495" ht="14.25" customHeight="1">
      <c r="A495" s="26" t="s">
        <v>1447</v>
      </c>
      <c r="B495" s="26" t="s">
        <v>1329</v>
      </c>
      <c r="D495" s="18" t="str">
        <f>IFERROR(__xludf.DUMMYFUNCTION("""COMPUTED_VALUE"""),"state.complete_f1_first_time")</f>
        <v>state.complete_f1_first_time</v>
      </c>
      <c r="E495" s="18" t="str">
        <f>IFERROR(__xludf.DUMMYFUNCTION("""COMPUTED_VALUE"""),"quest.once_upon_a_forest_chapter_2.accepted")</f>
        <v>quest.once_upon_a_forest_chapter_2.accepted</v>
      </c>
    </row>
    <row r="496" ht="14.25" customHeight="1">
      <c r="A496" s="26" t="s">
        <v>1447</v>
      </c>
      <c r="B496" s="26" t="s">
        <v>182</v>
      </c>
      <c r="D496" s="18" t="str">
        <f>IFERROR(__xludf.DUMMYFUNCTION("""COMPUTED_VALUE"""),"state.complete_f1_with_diligence")</f>
        <v>state.complete_f1_with_diligence</v>
      </c>
      <c r="E496" s="18" t="str">
        <f>IFERROR(__xludf.DUMMYFUNCTION("""COMPUTED_VALUE"""),"quest.once_upon_a_forest_chapter_12.accepted")</f>
        <v>quest.once_upon_a_forest_chapter_12.accepted</v>
      </c>
    </row>
    <row r="497" ht="14.25" customHeight="1">
      <c r="A497" s="26" t="s">
        <v>1449</v>
      </c>
      <c r="B497" s="26" t="s">
        <v>1130</v>
      </c>
      <c r="D497" s="18" t="str">
        <f>IFERROR(__xludf.DUMMYFUNCTION("""COMPUTED_VALUE"""),"state.complete_f2_with_diligence")</f>
        <v>state.complete_f2_with_diligence</v>
      </c>
      <c r="E497" s="18" t="str">
        <f>IFERROR(__xludf.DUMMYFUNCTION("""COMPUTED_VALUE"""),"quest.once_upon_a_forest_chapter_12.accepted")</f>
        <v>quest.once_upon_a_forest_chapter_12.accepted</v>
      </c>
    </row>
    <row r="498" ht="14.25" customHeight="1">
      <c r="A498" s="26" t="s">
        <v>1451</v>
      </c>
      <c r="B498" s="26" t="s">
        <v>1098</v>
      </c>
      <c r="D498" s="18" t="str">
        <f>IFERROR(__xludf.DUMMYFUNCTION("""COMPUTED_VALUE"""),"state.complete_f3_with_diligence")</f>
        <v>state.complete_f3_with_diligence</v>
      </c>
      <c r="E498" s="18" t="str">
        <f>IFERROR(__xludf.DUMMYFUNCTION("""COMPUTED_VALUE"""),"quest.once_upon_a_forest_chapter_12.accepted")</f>
        <v>quest.once_upon_a_forest_chapter_12.accepted</v>
      </c>
    </row>
    <row r="499" ht="14.25" customHeight="1">
      <c r="A499" s="26" t="s">
        <v>1454</v>
      </c>
      <c r="B499" s="26" t="s">
        <v>1098</v>
      </c>
      <c r="D499" s="18" t="str">
        <f>IFERROR(__xludf.DUMMYFUNCTION("""COMPUTED_VALUE"""),"state.complete_f4_with_diligence")</f>
        <v>state.complete_f4_with_diligence</v>
      </c>
      <c r="E499" s="18" t="str">
        <f>IFERROR(__xludf.DUMMYFUNCTION("""COMPUTED_VALUE"""),"quest.once_upon_a_forest_chapter_12.accepted")</f>
        <v>quest.once_upon_a_forest_chapter_12.accepted</v>
      </c>
    </row>
    <row r="500" ht="14.25" customHeight="1">
      <c r="A500" s="26" t="s">
        <v>1457</v>
      </c>
      <c r="B500" s="26" t="s">
        <v>1098</v>
      </c>
      <c r="D500" s="18" t="str">
        <f>IFERROR(__xludf.DUMMYFUNCTION("""COMPUTED_VALUE"""),"state.complete_lvl1_any_project")</f>
        <v>state.complete_lvl1_any_project</v>
      </c>
      <c r="E500" s="18" t="str">
        <f>IFERROR(__xludf.DUMMYFUNCTION("""COMPUTED_VALUE"""),"quest.once_upon_a_forest_chapter_9.finished")</f>
        <v>quest.once_upon_a_forest_chapter_9.finished</v>
      </c>
    </row>
    <row r="501" ht="14.25" customHeight="1">
      <c r="A501" s="26" t="s">
        <v>1459</v>
      </c>
      <c r="B501" s="26" t="s">
        <v>1098</v>
      </c>
      <c r="D501" s="18" t="str">
        <f>IFERROR(__xludf.DUMMYFUNCTION("""COMPUTED_VALUE"""),"state.deliver_ambrosia@f3")</f>
        <v>state.deliver_ambrosia@f3</v>
      </c>
      <c r="E501" s="18" t="str">
        <f>IFERROR(__xludf.DUMMYFUNCTION("""COMPUTED_VALUE"""),"quest.once_upon_a_forest_chapter_7.accepted")</f>
        <v>quest.once_upon_a_forest_chapter_7.accepted</v>
      </c>
    </row>
    <row r="502" ht="14.25" customHeight="1">
      <c r="A502" s="26" t="s">
        <v>1462</v>
      </c>
      <c r="B502" s="26" t="s">
        <v>1207</v>
      </c>
      <c r="D502" s="18" t="str">
        <f>IFERROR(__xludf.DUMMYFUNCTION("""COMPUTED_VALUE"""),"state.deliver_balm_to_hunter@f2")</f>
        <v>state.deliver_balm_to_hunter@f2</v>
      </c>
      <c r="E502" s="18" t="str">
        <f>IFERROR(__xludf.DUMMYFUNCTION("""COMPUTED_VALUE"""),"quest.once_upon_a_forest_chapter_10.accepted")</f>
        <v>quest.once_upon_a_forest_chapter_10.accepted</v>
      </c>
    </row>
    <row r="503" ht="14.25" customHeight="1">
      <c r="A503" s="26" t="s">
        <v>1464</v>
      </c>
      <c r="B503" s="26" t="s">
        <v>1180</v>
      </c>
      <c r="D503" s="18" t="str">
        <f>IFERROR(__xludf.DUMMYFUNCTION("""COMPUTED_VALUE"""),"state.deliver_bedroll_4b")</f>
        <v>state.deliver_bedroll_4b</v>
      </c>
      <c r="E503" s="18" t="str">
        <f>IFERROR(__xludf.DUMMYFUNCTION("""COMPUTED_VALUE"""),"quest.ahead_of_time_chapter_1.accepted")</f>
        <v>quest.ahead_of_time_chapter_1.accepted</v>
      </c>
    </row>
    <row r="504" ht="14.25" customHeight="1">
      <c r="A504" s="26" t="s">
        <v>1466</v>
      </c>
      <c r="B504" s="26" t="s">
        <v>1076</v>
      </c>
      <c r="D504" s="18" t="str">
        <f>IFERROR(__xludf.DUMMYFUNCTION("""COMPUTED_VALUE"""),"state.deliver_cheese_6b")</f>
        <v>state.deliver_cheese_6b</v>
      </c>
      <c r="E504" s="18" t="str">
        <f>IFERROR(__xludf.DUMMYFUNCTION("""COMPUTED_VALUE"""),"quest.the_ordinary_days_of_an_adventurer_chapter_6.accepted")</f>
        <v>quest.the_ordinary_days_of_an_adventurer_chapter_6.accepted</v>
      </c>
    </row>
    <row r="505" ht="14.25" customHeight="1">
      <c r="A505" s="26" t="s">
        <v>1469</v>
      </c>
      <c r="B505" s="26" t="s">
        <v>920</v>
      </c>
      <c r="D505" s="18" t="str">
        <f>IFERROR(__xludf.DUMMYFUNCTION("""COMPUTED_VALUE"""),"state.deliver_horn_ 2c")</f>
        <v>state.deliver_horn_ 2c</v>
      </c>
      <c r="E505" s="18" t="str">
        <f>IFERROR(__xludf.DUMMYFUNCTION("""COMPUTED_VALUE"""),"quest.ahead_of_time_chapter_1.accepted")</f>
        <v>quest.ahead_of_time_chapter_1.accepted</v>
      </c>
    </row>
    <row r="506" ht="14.25" customHeight="1">
      <c r="A506" s="26" t="s">
        <v>1471</v>
      </c>
      <c r="B506" s="21" t="s">
        <v>1325</v>
      </c>
      <c r="D506" s="18" t="str">
        <f>IFERROR(__xludf.DUMMYFUNCTION("""COMPUTED_VALUE"""),"state.deliver_inarizushi_4b")</f>
        <v>state.deliver_inarizushi_4b</v>
      </c>
      <c r="E506" s="18" t="str">
        <f>IFERROR(__xludf.DUMMYFUNCTION("""COMPUTED_VALUE"""),"quest.magic_beans.accepted")</f>
        <v>quest.magic_beans.accepted</v>
      </c>
    </row>
    <row r="507" ht="14.25" customHeight="1">
      <c r="A507" s="26" t="s">
        <v>1473</v>
      </c>
      <c r="B507" s="26" t="s">
        <v>920</v>
      </c>
      <c r="D507" s="18" t="str">
        <f>IFERROR(__xludf.DUMMYFUNCTION("""COMPUTED_VALUE"""),"state.deliver_pizza_diavola_ 5b")</f>
        <v>state.deliver_pizza_diavola_ 5b</v>
      </c>
      <c r="E507" s="18" t="str">
        <f>IFERROR(__xludf.DUMMYFUNCTION("""COMPUTED_VALUE"""),"quest.ahead_of_time_chapter_1.accepted")</f>
        <v>quest.ahead_of_time_chapter_1.accepted</v>
      </c>
    </row>
    <row r="508" ht="14.25" customHeight="1">
      <c r="A508" s="26" t="s">
        <v>1476</v>
      </c>
      <c r="B508" s="21" t="s">
        <v>1053</v>
      </c>
      <c r="D508" s="18" t="str">
        <f>IFERROR(__xludf.DUMMYFUNCTION("""COMPUTED_VALUE"""),"state.deliver_pizza_diavola_ 5c")</f>
        <v>state.deliver_pizza_diavola_ 5c</v>
      </c>
      <c r="E508" s="18" t="str">
        <f>IFERROR(__xludf.DUMMYFUNCTION("""COMPUTED_VALUE"""),"quest.ahead_of_time_chapter_1.accepted")</f>
        <v>quest.ahead_of_time_chapter_1.accepted</v>
      </c>
    </row>
    <row r="509" ht="14.25" customHeight="1">
      <c r="A509" s="26" t="s">
        <v>1478</v>
      </c>
      <c r="B509" s="26" t="s">
        <v>920</v>
      </c>
      <c r="D509" s="18" t="str">
        <f>IFERROR(__xludf.DUMMYFUNCTION("""COMPUTED_VALUE"""),"state.deliver_porcini_pasta_ 3c")</f>
        <v>state.deliver_porcini_pasta_ 3c</v>
      </c>
      <c r="E509" s="18" t="str">
        <f>IFERROR(__xludf.DUMMYFUNCTION("""COMPUTED_VALUE"""),"quest.ahead_of_time_chapter_1.accepted")</f>
        <v>quest.ahead_of_time_chapter_1.accepted</v>
      </c>
    </row>
    <row r="510" ht="14.25" customHeight="1">
      <c r="A510" s="26" t="s">
        <v>1480</v>
      </c>
      <c r="B510" s="26" t="s">
        <v>920</v>
      </c>
      <c r="D510" s="18" t="str">
        <f>IFERROR(__xludf.DUMMYFUNCTION("""COMPUTED_VALUE"""),"state.deliver_potion_ambrosia_ 3b")</f>
        <v>state.deliver_potion_ambrosia_ 3b</v>
      </c>
      <c r="E510" s="18" t="str">
        <f>IFERROR(__xludf.DUMMYFUNCTION("""COMPUTED_VALUE"""),"quest.ahead_of_time_chapter_1.accepted")</f>
        <v>quest.ahead_of_time_chapter_1.accepted</v>
      </c>
    </row>
    <row r="511" ht="14.25" customHeight="1">
      <c r="A511" s="26" t="s">
        <v>1482</v>
      </c>
      <c r="B511" s="26" t="s">
        <v>920</v>
      </c>
      <c r="D511" s="18" t="str">
        <f>IFERROR(__xludf.DUMMYFUNCTION("""COMPUTED_VALUE"""),"state.deliver_potion_berserker_rage_ 1c")</f>
        <v>state.deliver_potion_berserker_rage_ 1c</v>
      </c>
      <c r="E511" s="18" t="str">
        <f>IFERROR(__xludf.DUMMYFUNCTION("""COMPUTED_VALUE"""),"quest.ahead_of_time_chapter_1.accepted")</f>
        <v>quest.ahead_of_time_chapter_1.accepted</v>
      </c>
    </row>
    <row r="512" ht="14.25" customHeight="1">
      <c r="A512" s="26" t="s">
        <v>1485</v>
      </c>
      <c r="B512" s="26" t="s">
        <v>920</v>
      </c>
      <c r="D512" s="18" t="str">
        <f>IFERROR(__xludf.DUMMYFUNCTION("""COMPUTED_VALUE"""),"state.deliver_potion_mental_power@f2")</f>
        <v>state.deliver_potion_mental_power@f2</v>
      </c>
      <c r="E512" s="18" t="str">
        <f>IFERROR(__xludf.DUMMYFUNCTION("""COMPUTED_VALUE"""),"quest.once_upon_a_forest_chapter_6.accepted")</f>
        <v>quest.once_upon_a_forest_chapter_6.accepted</v>
      </c>
    </row>
    <row r="513" ht="14.25" customHeight="1">
      <c r="A513" s="26" t="s">
        <v>1487</v>
      </c>
      <c r="B513" s="26" t="s">
        <v>920</v>
      </c>
      <c r="D513" s="18" t="str">
        <f>IFERROR(__xludf.DUMMYFUNCTION("""COMPUTED_VALUE"""),"state.deliver_ring")</f>
        <v>state.deliver_ring</v>
      </c>
      <c r="E513" s="18" t="str">
        <f>IFERROR(__xludf.DUMMYFUNCTION("""COMPUTED_VALUE"""),"quest.the_ring_of_the_dark_lady.accepted")</f>
        <v>quest.the_ring_of_the_dark_lady.accepted</v>
      </c>
    </row>
    <row r="514" ht="14.25" customHeight="1">
      <c r="A514" s="26" t="s">
        <v>1490</v>
      </c>
      <c r="B514" s="26" t="s">
        <v>1169</v>
      </c>
      <c r="D514" s="18" t="str">
        <f>IFERROR(__xludf.DUMMYFUNCTION("""COMPUTED_VALUE"""),"state.deliver_teriyaki_salmon_4c")</f>
        <v>state.deliver_teriyaki_salmon_4c</v>
      </c>
      <c r="E514" s="18" t="str">
        <f>IFERROR(__xludf.DUMMYFUNCTION("""COMPUTED_VALUE"""),"quest.magic_beans.accepted")</f>
        <v>quest.magic_beans.accepted</v>
      </c>
    </row>
    <row r="515" ht="14.25" customHeight="1">
      <c r="A515" s="26" t="s">
        <v>1492</v>
      </c>
      <c r="B515" s="21" t="s">
        <v>1338</v>
      </c>
      <c r="D515" s="18" t="str">
        <f>IFERROR(__xludf.DUMMYFUNCTION("""COMPUTED_VALUE"""),"state.deliver_tofu_4a")</f>
        <v>state.deliver_tofu_4a</v>
      </c>
      <c r="E515" s="18" t="str">
        <f>IFERROR(__xludf.DUMMYFUNCTION("""COMPUTED_VALUE"""),"quest.magic_beans.accepted")</f>
        <v>quest.magic_beans.accepted</v>
      </c>
    </row>
    <row r="516" ht="14.25" customHeight="1">
      <c r="A516" s="26" t="s">
        <v>1495</v>
      </c>
      <c r="B516" s="21" t="s">
        <v>1053</v>
      </c>
      <c r="D516" s="18" t="str">
        <f>IFERROR(__xludf.DUMMYFUNCTION("""COMPUTED_VALUE"""),"state.deliver_yuba_4c")</f>
        <v>state.deliver_yuba_4c</v>
      </c>
      <c r="E516" s="18" t="str">
        <f>IFERROR(__xludf.DUMMYFUNCTION("""COMPUTED_VALUE"""),"quest.ahead_of_time_chapter_1.accepted")</f>
        <v>quest.ahead_of_time_chapter_1.accepted</v>
      </c>
    </row>
    <row r="517" ht="14.25" customHeight="1">
      <c r="A517" s="26" t="s">
        <v>1498</v>
      </c>
      <c r="B517" s="21" t="s">
        <v>1053</v>
      </c>
      <c r="D517" s="18" t="str">
        <f>IFERROR(__xludf.DUMMYFUNCTION("""COMPUTED_VALUE"""),"state.find_gate_3c")</f>
        <v>state.find_gate_3c</v>
      </c>
      <c r="E517" s="18" t="str">
        <f>IFERROR(__xludf.DUMMYFUNCTION("""COMPUTED_VALUE"""),"quest.once_upon_a_forest_chapter_4.accepted")</f>
        <v>quest.once_upon_a_forest_chapter_4.accepted</v>
      </c>
    </row>
    <row r="518" ht="14.25" customHeight="1">
      <c r="A518" s="26" t="s">
        <v>1500</v>
      </c>
      <c r="B518" s="26" t="s">
        <v>920</v>
      </c>
      <c r="D518" s="18" t="str">
        <f>IFERROR(__xludf.DUMMYFUNCTION("""COMPUTED_VALUE"""),"state.find_gate_4c")</f>
        <v>state.find_gate_4c</v>
      </c>
      <c r="E518" s="18" t="str">
        <f>IFERROR(__xludf.DUMMYFUNCTION("""COMPUTED_VALUE"""),"quest.once_upon_a_forest_chapter_4.accepted")</f>
        <v>quest.once_upon_a_forest_chapter_4.accepted</v>
      </c>
    </row>
    <row r="519" ht="14.25" customHeight="1">
      <c r="A519" s="26" t="s">
        <v>1502</v>
      </c>
      <c r="B519" s="26" t="s">
        <v>1149</v>
      </c>
      <c r="D519" s="18" t="str">
        <f>IFERROR(__xludf.DUMMYFUNCTION("""COMPUTED_VALUE"""),"state.find_gate_5c")</f>
        <v>state.find_gate_5c</v>
      </c>
      <c r="E519" s="18" t="str">
        <f>IFERROR(__xludf.DUMMYFUNCTION("""COMPUTED_VALUE"""),"quest.once_upon_a_forest_chapter_4.accepted")</f>
        <v>quest.once_upon_a_forest_chapter_4.accepted</v>
      </c>
    </row>
    <row r="520" ht="14.25" customHeight="1">
      <c r="A520" s="26" t="s">
        <v>1505</v>
      </c>
      <c r="B520" s="26" t="s">
        <v>1149</v>
      </c>
      <c r="D520" s="18" t="str">
        <f>IFERROR(__xludf.DUMMYFUNCTION("""COMPUTED_VALUE"""),"state.find_goat_6b")</f>
        <v>state.find_goat_6b</v>
      </c>
      <c r="E520" s="18" t="str">
        <f>IFERROR(__xludf.DUMMYFUNCTION("""COMPUTED_VALUE"""),"quest.the_ordinary_days_of_an_adventurer_chapter_1.accepted")</f>
        <v>quest.the_ordinary_days_of_an_adventurer_chapter_1.accepted</v>
      </c>
    </row>
    <row r="521" ht="14.25" customHeight="1">
      <c r="A521" s="26" t="s">
        <v>1507</v>
      </c>
      <c r="B521" s="26" t="s">
        <v>1149</v>
      </c>
      <c r="D521" s="18" t="str">
        <f>IFERROR(__xludf.DUMMYFUNCTION("""COMPUTED_VALUE"""),"state.find_jade_gate_2c")</f>
        <v>state.find_jade_gate_2c</v>
      </c>
      <c r="E521" s="18" t="str">
        <f>IFERROR(__xludf.DUMMYFUNCTION("""COMPUTED_VALUE"""),"quest.once_upon_a_forest_chapter_1.accepted")</f>
        <v>quest.once_upon_a_forest_chapter_1.accepted</v>
      </c>
    </row>
    <row r="522" ht="14.25" customHeight="1">
      <c r="A522" s="26" t="s">
        <v>1509</v>
      </c>
      <c r="B522" s="26" t="s">
        <v>1303</v>
      </c>
      <c r="D522" s="18" t="str">
        <f>IFERROR(__xludf.DUMMYFUNCTION("""COMPUTED_VALUE"""),"state.meet_alchemist_6d")</f>
        <v>state.meet_alchemist_6d</v>
      </c>
      <c r="E522" s="18" t="str">
        <f>IFERROR(__xludf.DUMMYFUNCTION("""COMPUTED_VALUE"""),"quest.ahead_of_time_chapter_3.accepted")</f>
        <v>quest.ahead_of_time_chapter_3.accepted</v>
      </c>
    </row>
    <row r="523" ht="14.25" customHeight="1">
      <c r="A523" s="26" t="s">
        <v>1512</v>
      </c>
      <c r="B523" s="26" t="s">
        <v>1064</v>
      </c>
      <c r="D523" s="18" t="str">
        <f>IFERROR(__xludf.DUMMYFUNCTION("""COMPUTED_VALUE"""),"state.meet_dark_lady@4a")</f>
        <v>state.meet_dark_lady@4a</v>
      </c>
      <c r="E523" s="18" t="str">
        <f>IFERROR(__xludf.DUMMYFUNCTION("""COMPUTED_VALUE"""),"quest.dragon_teeth.finished")</f>
        <v>quest.dragon_teeth.finished</v>
      </c>
    </row>
    <row r="524" ht="14.25" customHeight="1">
      <c r="A524" s="26" t="s">
        <v>1514</v>
      </c>
      <c r="B524" s="26" t="s">
        <v>942</v>
      </c>
      <c r="D524" s="18" t="str">
        <f>IFERROR(__xludf.DUMMYFUNCTION("""COMPUTED_VALUE"""),"state.meet_dark_lady@6a")</f>
        <v>state.meet_dark_lady@6a</v>
      </c>
      <c r="E524" s="18" t="str">
        <f>IFERROR(__xludf.DUMMYFUNCTION("""COMPUTED_VALUE"""),"quest.the_ordinary_days_of_an_adventurer_chapter_2.finished")</f>
        <v>quest.the_ordinary_days_of_an_adventurer_chapter_2.finished</v>
      </c>
    </row>
    <row r="525" ht="14.25" customHeight="1">
      <c r="A525" s="26" t="s">
        <v>1516</v>
      </c>
      <c r="B525" s="26" t="s">
        <v>991</v>
      </c>
      <c r="D525" s="18" t="str">
        <f>IFERROR(__xludf.DUMMYFUNCTION("""COMPUTED_VALUE"""),"state.meet_dark_lady@6b")</f>
        <v>state.meet_dark_lady@6b</v>
      </c>
      <c r="E525" s="18" t="str">
        <f>IFERROR(__xludf.DUMMYFUNCTION("""COMPUTED_VALUE"""),"quest.the_ordinary_days_of_an_adventurer_chapter_3.finished")</f>
        <v>quest.the_ordinary_days_of_an_adventurer_chapter_3.finished</v>
      </c>
    </row>
    <row r="526" ht="14.25" customHeight="1">
      <c r="A526" s="26" t="s">
        <v>1519</v>
      </c>
      <c r="B526" s="26" t="s">
        <v>1309</v>
      </c>
      <c r="D526" s="18" t="str">
        <f>IFERROR(__xludf.DUMMYFUNCTION("""COMPUTED_VALUE"""),"state.meet_dark_lady@f2")</f>
        <v>state.meet_dark_lady@f2</v>
      </c>
      <c r="E526" s="18" t="str">
        <f>IFERROR(__xludf.DUMMYFUNCTION("""COMPUTED_VALUE"""),"quest.once_upon_a_forest_chapter_6.finished")</f>
        <v>quest.once_upon_a_forest_chapter_6.finished</v>
      </c>
    </row>
    <row r="527" ht="14.25" customHeight="1">
      <c r="A527" s="26" t="s">
        <v>1521</v>
      </c>
      <c r="B527" s="26" t="s">
        <v>1314</v>
      </c>
      <c r="D527" s="18" t="str">
        <f>IFERROR(__xludf.DUMMYFUNCTION("""COMPUTED_VALUE"""),"state.meet_dark_lady_6d")</f>
        <v>state.meet_dark_lady_6d</v>
      </c>
      <c r="E527" s="18" t="str">
        <f>IFERROR(__xludf.DUMMYFUNCTION("""COMPUTED_VALUE"""),"quest.ahead_of_time_chapter_3.accepted")</f>
        <v>quest.ahead_of_time_chapter_3.accepted</v>
      </c>
    </row>
    <row r="528" ht="14.25" customHeight="1">
      <c r="A528" s="26" t="s">
        <v>1523</v>
      </c>
      <c r="B528" s="26" t="s">
        <v>1175</v>
      </c>
      <c r="D528" s="18" t="str">
        <f>IFERROR(__xludf.DUMMYFUNCTION("""COMPUTED_VALUE"""),"state.meet_fat_demon@4a")</f>
        <v>state.meet_fat_demon@4a</v>
      </c>
      <c r="E528" s="18" t="str">
        <f>IFERROR(__xludf.DUMMYFUNCTION("""COMPUTED_VALUE"""),"building.dungeon@4")</f>
        <v>building.dungeon@4</v>
      </c>
    </row>
    <row r="529" ht="14.25" customHeight="1">
      <c r="A529" s="26" t="s">
        <v>1525</v>
      </c>
      <c r="B529" s="26" t="s">
        <v>942</v>
      </c>
      <c r="D529" s="18" t="str">
        <f>IFERROR(__xludf.DUMMYFUNCTION("""COMPUTED_VALUE"""),"state.meet_foodie_demon@f2")</f>
        <v>state.meet_foodie_demon@f2</v>
      </c>
      <c r="E529" s="18" t="str">
        <f>IFERROR(__xludf.DUMMYFUNCTION("""COMPUTED_VALUE"""),"quest.once_upon_a_forest_chapter_12.accepted")</f>
        <v>quest.once_upon_a_forest_chapter_12.accepted</v>
      </c>
    </row>
    <row r="530" ht="14.25" customHeight="1">
      <c r="A530" s="26" t="s">
        <v>1528</v>
      </c>
      <c r="B530" s="26" t="s">
        <v>172</v>
      </c>
      <c r="D530" s="18" t="str">
        <f>IFERROR(__xludf.DUMMYFUNCTION("""COMPUTED_VALUE"""),"state.meet_forest_fairy@f2")</f>
        <v>state.meet_forest_fairy@f2</v>
      </c>
      <c r="E530" s="18" t="str">
        <f>IFERROR(__xludf.DUMMYFUNCTION("""COMPUTED_VALUE"""),"quest.once_upon_a_forest_chapter_5.accepted")</f>
        <v>quest.once_upon_a_forest_chapter_5.accepted</v>
      </c>
    </row>
    <row r="531" ht="14.25" customHeight="1">
      <c r="A531" s="26" t="s">
        <v>1530</v>
      </c>
      <c r="B531" s="26" t="s">
        <v>1098</v>
      </c>
      <c r="D531" s="18" t="str">
        <f>IFERROR(__xludf.DUMMYFUNCTION("""COMPUTED_VALUE"""),"state.meet_hunter@f1")</f>
        <v>state.meet_hunter@f1</v>
      </c>
      <c r="E531" s="18" t="str">
        <f>IFERROR(__xludf.DUMMYFUNCTION("""COMPUTED_VALUE"""),"quest.once_upon_a_forest_chapter_9.accepted")</f>
        <v>quest.once_upon_a_forest_chapter_9.accepted</v>
      </c>
    </row>
    <row r="532" ht="14.25" customHeight="1">
      <c r="A532" s="26" t="s">
        <v>1532</v>
      </c>
      <c r="B532" s="26" t="s">
        <v>1160</v>
      </c>
      <c r="D532" s="18" t="str">
        <f>IFERROR(__xludf.DUMMYFUNCTION("""COMPUTED_VALUE"""),"state.meet_inventor@5b")</f>
        <v>state.meet_inventor@5b</v>
      </c>
      <c r="E532" s="18" t="str">
        <f>IFERROR(__xludf.DUMMYFUNCTION("""COMPUTED_VALUE"""),"quest.once_upon_a_forest_chapter_8.finished")</f>
        <v>quest.once_upon_a_forest_chapter_8.finished</v>
      </c>
    </row>
    <row r="533" ht="14.25" customHeight="1">
      <c r="A533" s="26" t="s">
        <v>1534</v>
      </c>
      <c r="B533" s="26" t="s">
        <v>1200</v>
      </c>
      <c r="D533" s="18" t="str">
        <f>IFERROR(__xludf.DUMMYFUNCTION("""COMPUTED_VALUE"""),"state.meet_mech_adventurer@2b")</f>
        <v>state.meet_mech_adventurer@2b</v>
      </c>
      <c r="E533" s="18" t="str">
        <f>IFERROR(__xludf.DUMMYFUNCTION("""COMPUTED_VALUE"""),"building.dungeon@2")</f>
        <v>building.dungeon@2</v>
      </c>
    </row>
    <row r="534" ht="14.25" customHeight="1">
      <c r="A534" s="26" t="s">
        <v>1538</v>
      </c>
      <c r="B534" s="26" t="s">
        <v>1195</v>
      </c>
      <c r="D534" s="18" t="str">
        <f>IFERROR(__xludf.DUMMYFUNCTION("""COMPUTED_VALUE"""),"state.meet_mech_adventurer_3a")</f>
        <v>state.meet_mech_adventurer_3a</v>
      </c>
      <c r="E534" s="18" t="str">
        <f>IFERROR(__xludf.DUMMYFUNCTION("""COMPUTED_VALUE"""),"quest.magic_beans.finished")</f>
        <v>quest.magic_beans.finished</v>
      </c>
    </row>
    <row r="535" ht="14.25" customHeight="1">
      <c r="A535" s="26" t="s">
        <v>1540</v>
      </c>
      <c r="B535" s="26" t="s">
        <v>159</v>
      </c>
      <c r="D535" s="18" t="str">
        <f>IFERROR(__xludf.DUMMYFUNCTION("""COMPUTED_VALUE"""),"state.meet_mech_adventurer_f1")</f>
        <v>state.meet_mech_adventurer_f1</v>
      </c>
      <c r="E535" s="18" t="str">
        <f>IFERROR(__xludf.DUMMYFUNCTION("""COMPUTED_VALUE"""),"quest.once_upon_a_forest_chapter_2.finished")</f>
        <v>quest.once_upon_a_forest_chapter_2.finished</v>
      </c>
    </row>
    <row r="536" ht="14.25" customHeight="1">
      <c r="A536" s="26" t="s">
        <v>1542</v>
      </c>
      <c r="B536" s="26" t="s">
        <v>1057</v>
      </c>
      <c r="D536" s="18" t="str">
        <f>IFERROR(__xludf.DUMMYFUNCTION("""COMPUTED_VALUE"""),"state.meet_methusalem@f3")</f>
        <v>state.meet_methusalem@f3</v>
      </c>
      <c r="E536" s="18" t="str">
        <f>IFERROR(__xludf.DUMMYFUNCTION("""COMPUTED_VALUE"""),"quest.once_upon_a_forest_chapter_12.finished")</f>
        <v>quest.once_upon_a_forest_chapter_12.finished</v>
      </c>
    </row>
    <row r="537" ht="14.25" customHeight="1">
      <c r="A537" s="26" t="s">
        <v>1544</v>
      </c>
      <c r="B537" s="26" t="s">
        <v>1134</v>
      </c>
      <c r="D537" s="18" t="str">
        <f>IFERROR(__xludf.DUMMYFUNCTION("""COMPUTED_VALUE"""),"state.meet_mr_diligence@f1")</f>
        <v>state.meet_mr_diligence@f1</v>
      </c>
      <c r="E537" s="18" t="str">
        <f>IFERROR(__xludf.DUMMYFUNCTION("""COMPUTED_VALUE"""),"quest.once_upon_a_forest_chapter_11.accepted")</f>
        <v>quest.once_upon_a_forest_chapter_11.accepted</v>
      </c>
    </row>
    <row r="538" ht="14.25" customHeight="1">
      <c r="A538" s="26" t="s">
        <v>1547</v>
      </c>
      <c r="B538" s="26" t="s">
        <v>1102</v>
      </c>
      <c r="D538" s="18" t="str">
        <f>IFERROR(__xludf.DUMMYFUNCTION("""COMPUTED_VALUE"""),"state.meet_mr_diligence@f1")</f>
        <v>state.meet_mr_diligence@f1</v>
      </c>
      <c r="E538" s="18" t="str">
        <f>IFERROR(__xludf.DUMMYFUNCTION("""COMPUTED_VALUE"""),"quest.once_upon_a_forest_chapter_3.finished")</f>
        <v>quest.once_upon_a_forest_chapter_3.finished</v>
      </c>
    </row>
    <row r="539" ht="14.25" customHeight="1">
      <c r="A539" s="26" t="s">
        <v>1549</v>
      </c>
      <c r="B539" s="26" t="s">
        <v>1089</v>
      </c>
      <c r="D539" s="18" t="str">
        <f>IFERROR(__xludf.DUMMYFUNCTION("""COMPUTED_VALUE"""),"state.meet_mrs_diligance@f2")</f>
        <v>state.meet_mrs_diligance@f2</v>
      </c>
      <c r="E539" s="18" t="str">
        <f>IFERROR(__xludf.DUMMYFUNCTION("""COMPUTED_VALUE"""),"quest.once_upon_a_forest_chapter_4.finished")</f>
        <v>quest.once_upon_a_forest_chapter_4.finished</v>
      </c>
    </row>
    <row r="540" ht="14.25" customHeight="1">
      <c r="A540" s="26" t="s">
        <v>1549</v>
      </c>
      <c r="B540" s="26" t="s">
        <v>1144</v>
      </c>
      <c r="D540" s="18" t="str">
        <f>IFERROR(__xludf.DUMMYFUNCTION("""COMPUTED_VALUE"""),"state.meet_old_man@4c")</f>
        <v>state.meet_old_man@4c</v>
      </c>
      <c r="E540" s="18" t="str">
        <f>IFERROR(__xludf.DUMMYFUNCTION("""COMPUTED_VALUE"""),"building.dungeon@4")</f>
        <v>building.dungeon@4</v>
      </c>
    </row>
    <row r="541" ht="14.25" customHeight="1">
      <c r="A541" s="26" t="s">
        <v>1551</v>
      </c>
      <c r="B541" s="26" t="s">
        <v>1155</v>
      </c>
      <c r="D541" s="18" t="str">
        <f>IFERROR(__xludf.DUMMYFUNCTION("""COMPUTED_VALUE"""),"state.meet_pilot@f3")</f>
        <v>state.meet_pilot@f3</v>
      </c>
      <c r="E541" s="18" t="str">
        <f>IFERROR(__xludf.DUMMYFUNCTION("""COMPUTED_VALUE"""),"quest.once_upon_a_forest_chapter_10.accepted")</f>
        <v>quest.once_upon_a_forest_chapter_10.accepted</v>
      </c>
    </row>
    <row r="542" ht="14.25" customHeight="1">
      <c r="A542" s="26" t="s">
        <v>1554</v>
      </c>
      <c r="B542" s="26" t="s">
        <v>172</v>
      </c>
      <c r="D542" s="18" t="str">
        <f>IFERROR(__xludf.DUMMYFUNCTION("""COMPUTED_VALUE"""),"state.meet_pirate_skeleton@3a")</f>
        <v>state.meet_pirate_skeleton@3a</v>
      </c>
      <c r="E542" s="18" t="str">
        <f>IFERROR(__xludf.DUMMYFUNCTION("""COMPUTED_VALUE"""),"quest.shoguns_katana_chapter_4.finished")</f>
        <v>quest.shoguns_katana_chapter_4.finished</v>
      </c>
    </row>
    <row r="543" ht="14.25" customHeight="1">
      <c r="A543" s="26" t="s">
        <v>1556</v>
      </c>
      <c r="B543" s="26" t="s">
        <v>1076</v>
      </c>
      <c r="D543" s="18" t="str">
        <f>IFERROR(__xludf.DUMMYFUNCTION("""COMPUTED_VALUE"""),"state.meet_pirate_skeleton@3a")</f>
        <v>state.meet_pirate_skeleton@3a</v>
      </c>
      <c r="E543" s="18" t="str">
        <f>IFERROR(__xludf.DUMMYFUNCTION("""COMPUTED_VALUE"""),"quest.spicy_odyssey.finished")</f>
        <v>quest.spicy_odyssey.finished</v>
      </c>
    </row>
    <row r="544" ht="14.25" customHeight="1">
      <c r="A544" s="26" t="s">
        <v>1559</v>
      </c>
      <c r="B544" s="26" t="s">
        <v>1277</v>
      </c>
      <c r="D544" s="18" t="str">
        <f>IFERROR(__xludf.DUMMYFUNCTION("""COMPUTED_VALUE"""),"state.meet_raven@f1_first_time")</f>
        <v>state.meet_raven@f1_first_time</v>
      </c>
      <c r="E544" s="18" t="str">
        <f>IFERROR(__xludf.DUMMYFUNCTION("""COMPUTED_VALUE"""),"quest.once_upon_a_forest_chapter_1.finished")</f>
        <v>quest.once_upon_a_forest_chapter_1.finished</v>
      </c>
    </row>
    <row r="545" ht="14.25" customHeight="1">
      <c r="A545" s="26" t="s">
        <v>1559</v>
      </c>
      <c r="B545" s="26" t="s">
        <v>1301</v>
      </c>
      <c r="D545" s="18" t="str">
        <f>IFERROR(__xludf.DUMMYFUNCTION("""COMPUTED_VALUE"""),"state.meet_raven@f1_second_time")</f>
        <v>state.meet_raven@f1_second_time</v>
      </c>
      <c r="E545" s="18" t="str">
        <f>IFERROR(__xludf.DUMMYFUNCTION("""COMPUTED_VALUE"""),"quest.once_upon_a_forest_chapter_3.finished")</f>
        <v>quest.once_upon_a_forest_chapter_3.finished</v>
      </c>
    </row>
    <row r="546" ht="14.25" customHeight="1">
      <c r="A546" s="26" t="s">
        <v>1561</v>
      </c>
      <c r="B546" s="26" t="s">
        <v>1070</v>
      </c>
      <c r="D546" s="18" t="str">
        <f>IFERROR(__xludf.DUMMYFUNCTION("""COMPUTED_VALUE"""),"state.meet_raven@f1_third_time")</f>
        <v>state.meet_raven@f1_third_time</v>
      </c>
      <c r="E546" s="18" t="str">
        <f>IFERROR(__xludf.DUMMYFUNCTION("""COMPUTED_VALUE"""),"quest.once_upon_a_forest_chapter_14.finished")</f>
        <v>quest.once_upon_a_forest_chapter_14.finished</v>
      </c>
    </row>
    <row r="547" ht="14.25" customHeight="1">
      <c r="A547" s="26" t="s">
        <v>1563</v>
      </c>
      <c r="B547" s="26" t="s">
        <v>1144</v>
      </c>
      <c r="D547" s="18" t="str">
        <f>IFERROR(__xludf.DUMMYFUNCTION("""COMPUTED_VALUE"""),"state.meet_raven@f1_third_time")</f>
        <v>state.meet_raven@f1_third_time</v>
      </c>
      <c r="E547" s="18" t="str">
        <f>IFERROR(__xludf.DUMMYFUNCTION("""COMPUTED_VALUE"""),"quest.once_upon_a_forest_chapter_13.finished")</f>
        <v>quest.once_upon_a_forest_chapter_13.finished</v>
      </c>
    </row>
    <row r="548" ht="14.25" customHeight="1">
      <c r="A548" s="26" t="s">
        <v>1565</v>
      </c>
      <c r="B548" s="26" t="s">
        <v>1118</v>
      </c>
      <c r="D548" s="18" t="str">
        <f>IFERROR(__xludf.DUMMYFUNCTION("""COMPUTED_VALUE"""),"state.meet_raven@f2")</f>
        <v>state.meet_raven@f2</v>
      </c>
      <c r="E548" s="18" t="str">
        <f>IFERROR(__xludf.DUMMYFUNCTION("""COMPUTED_VALUE"""),"quest.once_upon_a_forest_chapter_15.accepted")</f>
        <v>quest.once_upon_a_forest_chapter_15.accepted</v>
      </c>
    </row>
    <row r="549" ht="14.25" customHeight="1">
      <c r="A549" s="26" t="s">
        <v>1565</v>
      </c>
      <c r="B549" s="26" t="s">
        <v>1110</v>
      </c>
      <c r="D549" s="18" t="str">
        <f>IFERROR(__xludf.DUMMYFUNCTION("""COMPUTED_VALUE"""),"state.meet_raven@f3")</f>
        <v>state.meet_raven@f3</v>
      </c>
      <c r="E549" s="18" t="str">
        <f>IFERROR(__xludf.DUMMYFUNCTION("""COMPUTED_VALUE"""),"quest.once_upon_a_forest_chapter_7.finished")</f>
        <v>quest.once_upon_a_forest_chapter_7.finished</v>
      </c>
    </row>
    <row r="550" ht="14.25" customHeight="1">
      <c r="A550" s="26" t="s">
        <v>1568</v>
      </c>
      <c r="B550" s="26" t="s">
        <v>1122</v>
      </c>
      <c r="D550" s="18" t="str">
        <f>IFERROR(__xludf.DUMMYFUNCTION("""COMPUTED_VALUE"""),"state.meet_samurai_panda@6a")</f>
        <v>state.meet_samurai_panda@6a</v>
      </c>
      <c r="E550" s="18" t="str">
        <f>IFERROR(__xludf.DUMMYFUNCTION("""COMPUTED_VALUE"""),"quest.once_upon_a_forest_chapter_12.finished")</f>
        <v>quest.once_upon_a_forest_chapter_12.finished</v>
      </c>
    </row>
    <row r="551" ht="14.25" customHeight="1">
      <c r="A551" s="26" t="s">
        <v>1570</v>
      </c>
      <c r="B551" s="26" t="s">
        <v>1185</v>
      </c>
      <c r="D551" s="18" t="str">
        <f>IFERROR(__xludf.DUMMYFUNCTION("""COMPUTED_VALUE"""),"state.meet_traveling_merchant@1b")</f>
        <v>state.meet_traveling_merchant@1b</v>
      </c>
      <c r="E551" s="18" t="str">
        <f>IFERROR(__xludf.DUMMYFUNCTION("""COMPUTED_VALUE"""),"building.dungeon@1")</f>
        <v>building.dungeon@1</v>
      </c>
    </row>
    <row r="552" ht="14.25" customHeight="1">
      <c r="A552" s="26" t="s">
        <v>1572</v>
      </c>
      <c r="B552" s="26" t="s">
        <v>1102</v>
      </c>
      <c r="D552" s="18" t="str">
        <f>IFERROR(__xludf.DUMMYFUNCTION("""COMPUTED_VALUE"""),"state.obtain_8_malu")</f>
        <v>state.obtain_8_malu</v>
      </c>
      <c r="E552" s="18" t="str">
        <f>IFERROR(__xludf.DUMMYFUNCTION("""COMPUTED_VALUE"""),"quest.once_upon_a_forest_chapter_3.accepted")</f>
        <v>quest.once_upon_a_forest_chapter_3.accepted</v>
      </c>
    </row>
    <row r="553" ht="14.25" customHeight="1">
      <c r="A553" s="26" t="s">
        <v>1575</v>
      </c>
      <c r="B553" s="26" t="s">
        <v>151</v>
      </c>
      <c r="D553" s="18" t="str">
        <f>IFERROR(__xludf.DUMMYFUNCTION("""COMPUTED_VALUE"""),"state.obtain_all_emerald_shards")</f>
        <v>state.obtain_all_emerald_shards</v>
      </c>
      <c r="E553" s="18" t="str">
        <f>IFERROR(__xludf.DUMMYFUNCTION("""COMPUTED_VALUE"""),"quest.quest_for_knowledge_chapter_3.accepted")</f>
        <v>quest.quest_for_knowledge_chapter_3.accepted</v>
      </c>
    </row>
    <row r="554" ht="14.25" customHeight="1">
      <c r="A554" s="26" t="s">
        <v>1577</v>
      </c>
      <c r="B554" s="26" t="s">
        <v>1139</v>
      </c>
      <c r="D554" s="18" t="str">
        <f>IFERROR(__xludf.DUMMYFUNCTION("""COMPUTED_VALUE"""),"state.obtain_any_artifact")</f>
        <v>state.obtain_any_artifact</v>
      </c>
      <c r="E554" s="18" t="str">
        <f>IFERROR(__xludf.DUMMYFUNCTION("""COMPUTED_VALUE"""),"building.ship@1")</f>
        <v>building.ship@1</v>
      </c>
    </row>
    <row r="555" ht="14.25" customHeight="1">
      <c r="A555" s="26" t="s">
        <v>1579</v>
      </c>
      <c r="B555" s="21" t="s">
        <v>1241</v>
      </c>
      <c r="D555" s="18" t="str">
        <f>IFERROR(__xludf.DUMMYFUNCTION("""COMPUTED_VALUE"""),"state.obtain_armor4")</f>
        <v>state.obtain_armor4</v>
      </c>
      <c r="E555" s="18" t="str">
        <f>IFERROR(__xludf.DUMMYFUNCTION("""COMPUTED_VALUE"""),"tech.tailor.armor_for_a_hero_lvl_4")</f>
        <v>tech.tailor.armor_for_a_hero_lvl_4</v>
      </c>
    </row>
    <row r="556" ht="14.25" customHeight="1">
      <c r="A556" s="26" t="s">
        <v>1582</v>
      </c>
      <c r="B556" s="26" t="s">
        <v>393</v>
      </c>
      <c r="D556" s="18" t="str">
        <f>IFERROR(__xludf.DUMMYFUNCTION("""COMPUTED_VALUE"""),"state.obtain_armor4+")</f>
        <v>state.obtain_armor4+</v>
      </c>
      <c r="E556" s="18" t="str">
        <f>IFERROR(__xludf.DUMMYFUNCTION("""COMPUTED_VALUE"""),"tech.tailor.armor_for_a_hero_lvl_4+")</f>
        <v>tech.tailor.armor_for_a_hero_lvl_4+</v>
      </c>
    </row>
    <row r="557" ht="14.25" customHeight="1">
      <c r="A557" s="26" t="s">
        <v>1585</v>
      </c>
      <c r="B557" s="21" t="s">
        <v>1854</v>
      </c>
      <c r="D557" s="18" t="str">
        <f>IFERROR(__xludf.DUMMYFUNCTION("""COMPUTED_VALUE"""),"state.obtain_blueprint")</f>
        <v>state.obtain_blueprint</v>
      </c>
      <c r="E557" s="18" t="str">
        <f>IFERROR(__xludf.DUMMYFUNCTION("""COMPUTED_VALUE"""),"quest.journey_through_japan_by_train.accepted")</f>
        <v>quest.journey_through_japan_by_train.accepted</v>
      </c>
    </row>
    <row r="558" ht="14.25" customHeight="1">
      <c r="A558" s="26" t="s">
        <v>1587</v>
      </c>
      <c r="B558" s="21" t="s">
        <v>1856</v>
      </c>
      <c r="D558" s="18" t="str">
        <f>IFERROR(__xludf.DUMMYFUNCTION("""COMPUTED_VALUE"""),"state.obtain_hide")</f>
        <v>state.obtain_hide</v>
      </c>
      <c r="E558" s="18" t="str">
        <f>IFERROR(__xludf.DUMMYFUNCTION("""COMPUTED_VALUE"""),"quest.once_upon_a_forest_chapter_9.accepted")</f>
        <v>quest.once_upon_a_forest_chapter_9.accepted</v>
      </c>
    </row>
    <row r="559" ht="14.25" customHeight="1">
      <c r="A559" s="26" t="s">
        <v>1590</v>
      </c>
      <c r="B559" s="21" t="s">
        <v>1036</v>
      </c>
      <c r="D559" s="18" t="str">
        <f>IFERROR(__xludf.DUMMYFUNCTION("""COMPUTED_VALUE"""),"state.obtain_level_2_artifact")</f>
        <v>state.obtain_level_2_artifact</v>
      </c>
      <c r="E559" s="18" t="str">
        <f>IFERROR(__xludf.DUMMYFUNCTION("""COMPUTED_VALUE"""),"quest.shoguns_katana_chapter_1.accepted")</f>
        <v>quest.shoguns_katana_chapter_1.accepted</v>
      </c>
    </row>
    <row r="560" ht="14.25" customHeight="1">
      <c r="A560" s="26" t="s">
        <v>1592</v>
      </c>
      <c r="B560" s="26" t="s">
        <v>1200</v>
      </c>
      <c r="D560" s="18" t="str">
        <f>IFERROR(__xludf.DUMMYFUNCTION("""COMPUTED_VALUE"""),"state.obtain_level_2_map")</f>
        <v>state.obtain_level_2_map</v>
      </c>
      <c r="E560" s="18" t="str">
        <f>IFERROR(__xludf.DUMMYFUNCTION("""COMPUTED_VALUE"""),"quest.shoguns_katana_chapter_1.accepted")</f>
        <v>quest.shoguns_katana_chapter_1.accepted</v>
      </c>
    </row>
    <row r="561" ht="14.25" customHeight="1">
      <c r="A561" s="26" t="s">
        <v>1594</v>
      </c>
      <c r="B561" s="21" t="s">
        <v>1262</v>
      </c>
      <c r="D561" s="18" t="str">
        <f>IFERROR(__xludf.DUMMYFUNCTION("""COMPUTED_VALUE"""),"state.obtain_level_3_artifact")</f>
        <v>state.obtain_level_3_artifact</v>
      </c>
      <c r="E561" s="18" t="str">
        <f>IFERROR(__xludf.DUMMYFUNCTION("""COMPUTED_VALUE"""),"quest.shoguns_katana_chapter_2.accepted")</f>
        <v>quest.shoguns_katana_chapter_2.accepted</v>
      </c>
    </row>
    <row r="562" ht="14.25" customHeight="1">
      <c r="A562" s="26" t="s">
        <v>1597</v>
      </c>
      <c r="B562" s="21" t="s">
        <v>1262</v>
      </c>
      <c r="D562" s="18" t="str">
        <f>IFERROR(__xludf.DUMMYFUNCTION("""COMPUTED_VALUE"""),"state.obtain_map_catacombs")</f>
        <v>state.obtain_map_catacombs</v>
      </c>
      <c r="E562" s="18" t="str">
        <f>IFERROR(__xludf.DUMMYFUNCTION("""COMPUTED_VALUE"""),"quest.quest_for_knowledge_chapter_3.finished")</f>
        <v>quest.quest_for_knowledge_chapter_3.finished</v>
      </c>
    </row>
    <row r="563" ht="14.25" customHeight="1">
      <c r="A563" s="26" t="s">
        <v>1599</v>
      </c>
      <c r="B563" s="21" t="s">
        <v>1267</v>
      </c>
      <c r="D563" s="18" t="str">
        <f>IFERROR(__xludf.DUMMYFUNCTION("""COMPUTED_VALUE"""),"state.obtain_map4")</f>
        <v>state.obtain_map4</v>
      </c>
      <c r="E563" s="18" t="str">
        <f>IFERROR(__xludf.DUMMYFUNCTION("""COMPUTED_VALUE"""),"quest.shoguns_katana_chapter_6.accepted")</f>
        <v>quest.shoguns_katana_chapter_6.accepted</v>
      </c>
    </row>
    <row r="564" ht="14.25" customHeight="1">
      <c r="A564" s="26" t="s">
        <v>1601</v>
      </c>
      <c r="B564" s="26" t="s">
        <v>1248</v>
      </c>
      <c r="D564" s="18" t="str">
        <f>IFERROR(__xludf.DUMMYFUNCTION("""COMPUTED_VALUE"""),"state.obtain_map4_x2")</f>
        <v>state.obtain_map4_x2</v>
      </c>
      <c r="E564" s="18" t="str">
        <f>IFERROR(__xludf.DUMMYFUNCTION("""COMPUTED_VALUE"""),"quest.shoguns_katana_chapter_7.accepted")</f>
        <v>quest.shoguns_katana_chapter_7.accepted</v>
      </c>
    </row>
    <row r="565" ht="14.25" customHeight="1">
      <c r="A565" s="26" t="s">
        <v>1604</v>
      </c>
      <c r="B565" s="21" t="s">
        <v>1285</v>
      </c>
      <c r="D565" s="18" t="str">
        <f>IFERROR(__xludf.DUMMYFUNCTION("""COMPUTED_VALUE"""),"state.obtain_mechanism")</f>
        <v>state.obtain_mechanism</v>
      </c>
      <c r="E565" s="18" t="str">
        <f>IFERROR(__xludf.DUMMYFUNCTION("""COMPUTED_VALUE"""),"quest.quest_for_knowledge_chapter_5.accepted")</f>
        <v>quest.quest_for_knowledge_chapter_5.accepted</v>
      </c>
    </row>
    <row r="566" ht="14.25" customHeight="1">
      <c r="A566" s="26" t="s">
        <v>1607</v>
      </c>
      <c r="B566" s="21" t="s">
        <v>1290</v>
      </c>
      <c r="D566" s="18" t="str">
        <f>IFERROR(__xludf.DUMMYFUNCTION("""COMPUTED_VALUE"""),"state.obtain_potion_of_mental_power")</f>
        <v>state.obtain_potion_of_mental_power</v>
      </c>
      <c r="E566" s="18" t="str">
        <f>IFERROR(__xludf.DUMMYFUNCTION("""COMPUTED_VALUE"""),"quest.once_upon_a_forest_chapter_6.accepted")</f>
        <v>quest.once_upon_a_forest_chapter_6.accepted</v>
      </c>
    </row>
    <row r="567" ht="14.25" customHeight="1">
      <c r="A567" s="26" t="s">
        <v>1609</v>
      </c>
      <c r="B567" s="21" t="s">
        <v>1258</v>
      </c>
      <c r="D567" s="18" t="str">
        <f>IFERROR(__xludf.DUMMYFUNCTION("""COMPUTED_VALUE"""),"state.obtain_reagent")</f>
        <v>state.obtain_reagent</v>
      </c>
      <c r="E567" s="18" t="str">
        <f>IFERROR(__xludf.DUMMYFUNCTION("""COMPUTED_VALUE"""),"quest.green_potion.accepted")</f>
        <v>quest.green_potion.accepted</v>
      </c>
    </row>
    <row r="568" ht="14.25" customHeight="1">
      <c r="A568" s="26" t="s">
        <v>1611</v>
      </c>
      <c r="B568" s="26" t="s">
        <v>1169</v>
      </c>
      <c r="D568" s="18" t="str">
        <f>IFERROR(__xludf.DUMMYFUNCTION("""COMPUTED_VALUE"""),"state.obtain_red_diamond_6a")</f>
        <v>state.obtain_red_diamond_6a</v>
      </c>
      <c r="E568" s="18" t="str">
        <f>IFERROR(__xludf.DUMMYFUNCTION("""COMPUTED_VALUE"""),"quest.the_ordinary_days_of_an_adventurer_chapter_3.accepted")</f>
        <v>quest.the_ordinary_days_of_an_adventurer_chapter_3.accepted</v>
      </c>
    </row>
    <row r="569" ht="14.25" customHeight="1">
      <c r="A569" s="26" t="s">
        <v>1614</v>
      </c>
      <c r="B569" s="21" t="s">
        <v>1019</v>
      </c>
      <c r="D569" s="18" t="str">
        <f>IFERROR(__xludf.DUMMYFUNCTION("""COMPUTED_VALUE"""),"state.obtain_red_diamond_6b")</f>
        <v>state.obtain_red_diamond_6b</v>
      </c>
      <c r="E569" s="18" t="str">
        <f>IFERROR(__xludf.DUMMYFUNCTION("""COMPUTED_VALUE"""),"quest.the_ordinary_days_of_an_adventurer_chapter_3.accepted")</f>
        <v>quest.the_ordinary_days_of_an_adventurer_chapter_3.accepted</v>
      </c>
    </row>
    <row r="570" ht="14.25" customHeight="1">
      <c r="A570" s="26" t="s">
        <v>1616</v>
      </c>
      <c r="B570" s="21" t="s">
        <v>1312</v>
      </c>
      <c r="D570" s="18" t="str">
        <f>IFERROR(__xludf.DUMMYFUNCTION("""COMPUTED_VALUE"""),"state.obtain_red_diamond_6c")</f>
        <v>state.obtain_red_diamond_6c</v>
      </c>
      <c r="E570" s="18" t="str">
        <f>IFERROR(__xludf.DUMMYFUNCTION("""COMPUTED_VALUE"""),"quest.the_ordinary_days_of_an_adventurer_chapter_3.accepted")</f>
        <v>quest.the_ordinary_days_of_an_adventurer_chapter_3.accepted</v>
      </c>
    </row>
    <row r="571" ht="14.25" customHeight="1">
      <c r="A571" s="26" t="s">
        <v>1618</v>
      </c>
      <c r="B571" s="21" t="s">
        <v>1312</v>
      </c>
      <c r="D571" s="18" t="str">
        <f>IFERROR(__xludf.DUMMYFUNCTION("""COMPUTED_VALUE"""),"state.obtain_shield4+")</f>
        <v>state.obtain_shield4+</v>
      </c>
      <c r="E571" s="18" t="str">
        <f>IFERROR(__xludf.DUMMYFUNCTION("""COMPUTED_VALUE"""),"tech.workshop.shield_for_a_hero_lvl_4+")</f>
        <v>tech.workshop.shield_for_a_hero_lvl_4+</v>
      </c>
    </row>
    <row r="572" ht="14.25" customHeight="1">
      <c r="A572" s="26" t="s">
        <v>1621</v>
      </c>
      <c r="B572" s="21" t="s">
        <v>1312</v>
      </c>
      <c r="D572" s="18" t="str">
        <f>IFERROR(__xludf.DUMMYFUNCTION("""COMPUTED_VALUE"""),"state.obtain_ship_in_a_bottle")</f>
        <v>state.obtain_ship_in_a_bottle</v>
      </c>
      <c r="E572" s="18" t="str">
        <f>IFERROR(__xludf.DUMMYFUNCTION("""COMPUTED_VALUE"""),"quest.shoguns_katana_chapter_4.accepted")</f>
        <v>quest.shoguns_katana_chapter_4.accepted</v>
      </c>
    </row>
    <row r="573" ht="14.25" customHeight="1">
      <c r="A573" s="26" t="s">
        <v>1623</v>
      </c>
      <c r="B573" s="26" t="s">
        <v>1911</v>
      </c>
      <c r="D573" s="18" t="str">
        <f>IFERROR(__xludf.DUMMYFUNCTION("""COMPUTED_VALUE"""),"state.obtain_shoguns_katana")</f>
        <v>state.obtain_shoguns_katana</v>
      </c>
      <c r="E573" s="18" t="str">
        <f>IFERROR(__xludf.DUMMYFUNCTION("""COMPUTED_VALUE"""),"quest.shoguns_katana_chapter_7.finished")</f>
        <v>quest.shoguns_katana_chapter_7.finished</v>
      </c>
    </row>
    <row r="574" ht="14.25" customHeight="1">
      <c r="A574" s="26" t="s">
        <v>1625</v>
      </c>
      <c r="B574" s="26" t="s">
        <v>1275</v>
      </c>
      <c r="D574" s="18" t="str">
        <f>IFERROR(__xludf.DUMMYFUNCTION("""COMPUTED_VALUE"""),"state.obtain_smugglers_map_10_spices")</f>
        <v>state.obtain_smugglers_map_10_spices</v>
      </c>
      <c r="E574" s="18" t="str">
        <f>IFERROR(__xludf.DUMMYFUNCTION("""COMPUTED_VALUE"""),"quest.shoguns_katana_chapter_4.accepted")</f>
        <v>quest.shoguns_katana_chapter_4.accepted</v>
      </c>
    </row>
    <row r="575" ht="14.25" customHeight="1">
      <c r="A575" s="26" t="s">
        <v>1628</v>
      </c>
      <c r="B575" s="21" t="s">
        <v>1292</v>
      </c>
      <c r="D575" s="18" t="str">
        <f>IFERROR(__xludf.DUMMYFUNCTION("""COMPUTED_VALUE"""),"state.obtain_smugglers_map_100_beans")</f>
        <v>state.obtain_smugglers_map_100_beans</v>
      </c>
      <c r="E575" s="18" t="str">
        <f>IFERROR(__xludf.DUMMYFUNCTION("""COMPUTED_VALUE"""),"quest.shoguns_katana_chapter_3.accepted")</f>
        <v>quest.shoguns_katana_chapter_3.accepted</v>
      </c>
    </row>
    <row r="576" ht="14.25" customHeight="1">
      <c r="A576" s="26" t="s">
        <v>1630</v>
      </c>
      <c r="B576" s="21" t="s">
        <v>1275</v>
      </c>
      <c r="D576" s="18" t="str">
        <f>IFERROR(__xludf.DUMMYFUNCTION("""COMPUTED_VALUE"""),"state.obtain_smugglers_map_15_pearl")</f>
        <v>state.obtain_smugglers_map_15_pearl</v>
      </c>
      <c r="E576" s="18" t="str">
        <f>IFERROR(__xludf.DUMMYFUNCTION("""COMPUTED_VALUE"""),"quest.shoguns_katana_chapter_5.accepted")</f>
        <v>quest.shoguns_katana_chapter_5.accepted</v>
      </c>
    </row>
    <row r="577" ht="14.25" customHeight="1">
      <c r="A577" s="26" t="s">
        <v>1632</v>
      </c>
      <c r="B577" s="21" t="s">
        <v>1271</v>
      </c>
      <c r="D577" s="18" t="str">
        <f>IFERROR(__xludf.DUMMYFUNCTION("""COMPUTED_VALUE"""),"state.obtain_spices")</f>
        <v>state.obtain_spices</v>
      </c>
      <c r="E577" s="18" t="str">
        <f>IFERROR(__xludf.DUMMYFUNCTION("""COMPUTED_VALUE"""),"quest.spicy_odyssey.accepted")</f>
        <v>quest.spicy_odyssey.accepted</v>
      </c>
    </row>
    <row r="578" ht="14.25" customHeight="1">
      <c r="A578" s="26" t="s">
        <v>1635</v>
      </c>
      <c r="B578" s="21" t="s">
        <v>1280</v>
      </c>
      <c r="D578" s="18" t="str">
        <f>IFERROR(__xludf.DUMMYFUNCTION("""COMPUTED_VALUE"""),"state.obtain_steamobile")</f>
        <v>state.obtain_steamobile</v>
      </c>
      <c r="E578" s="18" t="str">
        <f>IFERROR(__xludf.DUMMYFUNCTION("""COMPUTED_VALUE"""),"quest.quest_for_knowledge_chapter_5.accepted")</f>
        <v>quest.quest_for_knowledge_chapter_5.accepted</v>
      </c>
    </row>
    <row r="579" ht="14.25" customHeight="1">
      <c r="A579" s="26" t="s">
        <v>1637</v>
      </c>
      <c r="B579" s="21" t="s">
        <v>1298</v>
      </c>
      <c r="D579" s="18" t="str">
        <f>IFERROR(__xludf.DUMMYFUNCTION("""COMPUTED_VALUE"""),"state.obtain_strawberry@f1")</f>
        <v>state.obtain_strawberry@f1</v>
      </c>
      <c r="E579" s="18" t="str">
        <f>IFERROR(__xludf.DUMMYFUNCTION("""COMPUTED_VALUE"""),"state.find_jade_gate_2c")</f>
        <v>state.find_jade_gate_2c</v>
      </c>
    </row>
    <row r="580" ht="14.25" customHeight="1">
      <c r="A580" s="26" t="s">
        <v>1639</v>
      </c>
      <c r="B580" s="21" t="s">
        <v>1258</v>
      </c>
      <c r="D580" s="18" t="str">
        <f>IFERROR(__xludf.DUMMYFUNCTION("""COMPUTED_VALUE"""),"state.obtain_sword4")</f>
        <v>state.obtain_sword4</v>
      </c>
      <c r="E580" s="18" t="str">
        <f>IFERROR(__xludf.DUMMYFUNCTION("""COMPUTED_VALUE"""),"tech.smithy.sword_for_a_hero_lvl_4")</f>
        <v>tech.smithy.sword_for_a_hero_lvl_4</v>
      </c>
    </row>
    <row r="581" ht="14.25" customHeight="1">
      <c r="A581" s="26" t="s">
        <v>1641</v>
      </c>
      <c r="B581" s="26" t="s">
        <v>1512</v>
      </c>
      <c r="D581" s="18" t="str">
        <f>IFERROR(__xludf.DUMMYFUNCTION("""COMPUTED_VALUE"""),"state.obtain_sword4+")</f>
        <v>state.obtain_sword4+</v>
      </c>
      <c r="E581" s="18" t="str">
        <f>IFERROR(__xludf.DUMMYFUNCTION("""COMPUTED_VALUE"""),"tech.smithy.sword_for_a_hero_lvl_4+")</f>
        <v>tech.smithy.sword_for_a_hero_lvl_4+</v>
      </c>
    </row>
    <row r="582" ht="14.25" customHeight="1">
      <c r="A582" s="26" t="s">
        <v>1644</v>
      </c>
      <c r="B582" s="26" t="s">
        <v>1834</v>
      </c>
      <c r="D582" s="18" t="str">
        <f>IFERROR(__xludf.DUMMYFUNCTION("""COMPUTED_VALUE"""),"state.obtain_titanium")</f>
        <v>state.obtain_titanium</v>
      </c>
      <c r="E582" s="18" t="str">
        <f>IFERROR(__xludf.DUMMYFUNCTION("""COMPUTED_VALUE"""),"quest.once_upon_a_forest_chapter_9.accepted")</f>
        <v>quest.once_upon_a_forest_chapter_9.accepted</v>
      </c>
    </row>
    <row r="583" ht="14.25" customHeight="1">
      <c r="A583" s="26" t="s">
        <v>1646</v>
      </c>
      <c r="B583" s="21" t="s">
        <v>1836</v>
      </c>
      <c r="D583" s="18" t="str">
        <f>IFERROR(__xludf.DUMMYFUNCTION("""COMPUTED_VALUE"""),"state.obtain_treasure")</f>
        <v>state.obtain_treasure</v>
      </c>
      <c r="E583" s="18" t="str">
        <f>IFERROR(__xludf.DUMMYFUNCTION("""COMPUTED_VALUE"""),"quest.treasure_island.accepted")</f>
        <v>quest.treasure_island.accepted</v>
      </c>
    </row>
    <row r="584" ht="14.25" customHeight="1">
      <c r="A584" s="26" t="s">
        <v>1648</v>
      </c>
      <c r="B584" s="26" t="s">
        <v>1200</v>
      </c>
      <c r="D584" s="18" t="str">
        <f>IFERROR(__xludf.DUMMYFUNCTION("""COMPUTED_VALUE"""),"state.visit_aomori")</f>
        <v>state.visit_aomori</v>
      </c>
      <c r="E584" s="18" t="str">
        <f>IFERROR(__xludf.DUMMYFUNCTION("""COMPUTED_VALUE"""),"quest.journey_through_japan_by_train.accepted")</f>
        <v>quest.journey_through_japan_by_train.accepted</v>
      </c>
    </row>
    <row r="585" ht="14.25" customHeight="1">
      <c r="A585" s="26" t="s">
        <v>1650</v>
      </c>
      <c r="B585" s="26" t="s">
        <v>1342</v>
      </c>
      <c r="D585" s="18" t="str">
        <f>IFERROR(__xludf.DUMMYFUNCTION("""COMPUTED_VALUE"""),"state.visit_athens")</f>
        <v>state.visit_athens</v>
      </c>
      <c r="E585" s="18" t="str">
        <f>IFERROR(__xludf.DUMMYFUNCTION("""COMPUTED_VALUE"""),"quest.silk_road.accepted")</f>
        <v>quest.silk_road.accepted</v>
      </c>
    </row>
    <row r="586" ht="14.25" customHeight="1">
      <c r="A586" s="26" t="s">
        <v>1653</v>
      </c>
      <c r="B586" s="21" t="s">
        <v>1036</v>
      </c>
      <c r="D586" s="18" t="str">
        <f>IFERROR(__xludf.DUMMYFUNCTION("""COMPUTED_VALUE"""),"state.visit_baghdad")</f>
        <v>state.visit_baghdad</v>
      </c>
      <c r="E586" s="18" t="str">
        <f>IFERROR(__xludf.DUMMYFUNCTION("""COMPUTED_VALUE"""),"quest.silk_road.accepted")</f>
        <v>quest.silk_road.accepted</v>
      </c>
    </row>
    <row r="587" ht="14.25" customHeight="1">
      <c r="A587" s="26" t="s">
        <v>1655</v>
      </c>
      <c r="B587" s="21" t="s">
        <v>1294</v>
      </c>
      <c r="D587" s="18" t="str">
        <f>IFERROR(__xludf.DUMMYFUNCTION("""COMPUTED_VALUE"""),"state.visit_beijing")</f>
        <v>state.visit_beijing</v>
      </c>
      <c r="E587" s="18" t="str">
        <f>IFERROR(__xludf.DUMMYFUNCTION("""COMPUTED_VALUE"""),"quest.silk_road.accepted")</f>
        <v>quest.silk_road.accepted</v>
      </c>
    </row>
    <row r="588" ht="14.25" customHeight="1">
      <c r="A588" s="26" t="s">
        <v>1657</v>
      </c>
      <c r="B588" s="21" t="s">
        <v>1294</v>
      </c>
      <c r="D588" s="18" t="str">
        <f>IFERROR(__xludf.DUMMYFUNCTION("""COMPUTED_VALUE"""),"state.visit_cairo")</f>
        <v>state.visit_cairo</v>
      </c>
      <c r="E588" s="18" t="str">
        <f>IFERROR(__xludf.DUMMYFUNCTION("""COMPUTED_VALUE"""),"quest.silk_road.accepted")</f>
        <v>quest.silk_road.accepted</v>
      </c>
    </row>
    <row r="589" ht="14.25" customHeight="1">
      <c r="A589" s="26" t="s">
        <v>1660</v>
      </c>
      <c r="B589" s="21" t="s">
        <v>1294</v>
      </c>
      <c r="D589" s="18" t="str">
        <f>IFERROR(__xludf.DUMMYFUNCTION("""COMPUTED_VALUE"""),"state.visit_delhi")</f>
        <v>state.visit_delhi</v>
      </c>
      <c r="E589" s="18" t="str">
        <f>IFERROR(__xludf.DUMMYFUNCTION("""COMPUTED_VALUE"""),"quest.silk_road.accepted")</f>
        <v>quest.silk_road.accepted</v>
      </c>
    </row>
    <row r="590" ht="14.25" customHeight="1">
      <c r="A590" s="26" t="s">
        <v>1662</v>
      </c>
      <c r="B590" s="21" t="s">
        <v>1294</v>
      </c>
      <c r="D590" s="18" t="str">
        <f>IFERROR(__xludf.DUMMYFUNCTION("""COMPUTED_VALUE"""),"state.visit_dungeon@4a")</f>
        <v>state.visit_dungeon@4a</v>
      </c>
      <c r="E590" s="18" t="str">
        <f>IFERROR(__xludf.DUMMYFUNCTION("""COMPUTED_VALUE"""),"quest.the_ring_of_the_dark_lady.finished")</f>
        <v>quest.the_ring_of_the_dark_lady.finished</v>
      </c>
    </row>
    <row r="591" ht="14.25" customHeight="1">
      <c r="A591" s="26" t="s">
        <v>1665</v>
      </c>
      <c r="B591" s="21" t="s">
        <v>1294</v>
      </c>
      <c r="D591" s="18" t="str">
        <f>IFERROR(__xludf.DUMMYFUNCTION("""COMPUTED_VALUE"""),"state.visit_dungeon@5a")</f>
        <v>state.visit_dungeon@5a</v>
      </c>
      <c r="E591" s="18" t="str">
        <f>IFERROR(__xludf.DUMMYFUNCTION("""COMPUTED_VALUE"""),"quest.dragon_teeth.finished")</f>
        <v>quest.dragon_teeth.finished</v>
      </c>
    </row>
    <row r="592" ht="14.25" customHeight="1">
      <c r="A592" s="26" t="s">
        <v>1667</v>
      </c>
      <c r="B592" s="21" t="s">
        <v>1340</v>
      </c>
      <c r="D592" s="18" t="str">
        <f>IFERROR(__xludf.DUMMYFUNCTION("""COMPUTED_VALUE"""),"state.visit_dungeon@5a")</f>
        <v>state.visit_dungeon@5a</v>
      </c>
      <c r="E592" s="18" t="str">
        <f>IFERROR(__xludf.DUMMYFUNCTION("""COMPUTED_VALUE"""),"state.complete_dungeon_5c")</f>
        <v>state.complete_dungeon_5c</v>
      </c>
    </row>
    <row r="593" ht="14.25" customHeight="1">
      <c r="A593" s="26" t="s">
        <v>1669</v>
      </c>
      <c r="B593" s="26" t="s">
        <v>991</v>
      </c>
      <c r="D593" s="18" t="str">
        <f>IFERROR(__xludf.DUMMYFUNCTION("""COMPUTED_VALUE"""),"state.visit_dungeon@6a")</f>
        <v>state.visit_dungeon@6a</v>
      </c>
      <c r="E593" s="18" t="str">
        <f>IFERROR(__xludf.DUMMYFUNCTION("""COMPUTED_VALUE"""),"quest.ahead_of_time_chapter_1.finished")</f>
        <v>quest.ahead_of_time_chapter_1.finished</v>
      </c>
    </row>
    <row r="594" ht="14.25" customHeight="1">
      <c r="A594" s="26" t="s">
        <v>1669</v>
      </c>
      <c r="B594" s="26" t="s">
        <v>1444</v>
      </c>
      <c r="D594" s="18" t="str">
        <f>IFERROR(__xludf.DUMMYFUNCTION("""COMPUTED_VALUE"""),"state.meet_royal_rat@6b")</f>
        <v>state.meet_royal_rat@6b</v>
      </c>
      <c r="E594" s="18" t="str">
        <f>IFERROR(__xludf.DUMMYFUNCTION("""COMPUTED_VALUE"""),"building.dairy@2")</f>
        <v>building.dairy@2</v>
      </c>
    </row>
    <row r="595" ht="14.25" customHeight="1">
      <c r="A595" s="26" t="s">
        <v>1671</v>
      </c>
      <c r="B595" s="26" t="s">
        <v>924</v>
      </c>
      <c r="D595" s="18" t="str">
        <f>IFERROR(__xludf.DUMMYFUNCTION("""COMPUTED_VALUE"""),"state.visit_fukushima")</f>
        <v>state.visit_fukushima</v>
      </c>
      <c r="E595" s="18" t="str">
        <f>IFERROR(__xludf.DUMMYFUNCTION("""COMPUTED_VALUE"""),"quest.journey_through_japan_by_train.accepted")</f>
        <v>quest.journey_through_japan_by_train.accepted</v>
      </c>
    </row>
    <row r="596" ht="14.25" customHeight="1">
      <c r="A596" s="26" t="s">
        <v>1674</v>
      </c>
      <c r="B596" s="26" t="s">
        <v>145</v>
      </c>
      <c r="D596" s="18" t="str">
        <f>IFERROR(__xludf.DUMMYFUNCTION("""COMPUTED_VALUE"""),"state.visit_kyiv")</f>
        <v>state.visit_kyiv</v>
      </c>
      <c r="E596" s="18" t="str">
        <f>IFERROR(__xludf.DUMMYFUNCTION("""COMPUTED_VALUE"""),"quest.silk_road.accepted")</f>
        <v>quest.silk_road.accepted</v>
      </c>
    </row>
    <row r="597" ht="14.25" customHeight="1">
      <c r="A597" s="26" t="s">
        <v>1677</v>
      </c>
      <c r="B597" s="21" t="s">
        <v>1036</v>
      </c>
      <c r="D597" s="18" t="str">
        <f>IFERROR(__xludf.DUMMYFUNCTION("""COMPUTED_VALUE"""),"state.visit_kyoto")</f>
        <v>state.visit_kyoto</v>
      </c>
      <c r="E597" s="18" t="str">
        <f>IFERROR(__xludf.DUMMYFUNCTION("""COMPUTED_VALUE"""),"quest.journey_through_japan_by_train.accepted")</f>
        <v>quest.journey_through_japan_by_train.accepted</v>
      </c>
    </row>
    <row r="598" ht="14.25" customHeight="1">
      <c r="A598" s="26" t="s">
        <v>1679</v>
      </c>
      <c r="B598" s="21" t="s">
        <v>1294</v>
      </c>
      <c r="D598" s="18" t="str">
        <f>IFERROR(__xludf.DUMMYFUNCTION("""COMPUTED_VALUE"""),"state.visit_melbourne")</f>
        <v>state.visit_melbourne</v>
      </c>
      <c r="E598" s="18" t="str">
        <f>IFERROR(__xludf.DUMMYFUNCTION("""COMPUTED_VALUE"""),"quest.once_upon_a_forest_chapter_11.accepted")</f>
        <v>quest.once_upon_a_forest_chapter_11.accepted</v>
      </c>
    </row>
    <row r="599" ht="14.25" customHeight="1">
      <c r="A599" s="26" t="s">
        <v>1682</v>
      </c>
      <c r="B599" s="21" t="s">
        <v>1036</v>
      </c>
      <c r="D599" s="18" t="str">
        <f>IFERROR(__xludf.DUMMYFUNCTION("""COMPUTED_VALUE"""),"state.visit_nagasaki")</f>
        <v>state.visit_nagasaki</v>
      </c>
      <c r="E599" s="18" t="str">
        <f>IFERROR(__xludf.DUMMYFUNCTION("""COMPUTED_VALUE"""),"quest.journey_through_japan_by_train.accepted")</f>
        <v>quest.journey_through_japan_by_train.accepted</v>
      </c>
    </row>
    <row r="600" ht="14.25" customHeight="1">
      <c r="A600" s="26" t="s">
        <v>1684</v>
      </c>
      <c r="B600" s="26" t="s">
        <v>1089</v>
      </c>
      <c r="D600" s="18" t="str">
        <f>IFERROR(__xludf.DUMMYFUNCTION("""COMPUTED_VALUE"""),"state.visit_osaka")</f>
        <v>state.visit_osaka</v>
      </c>
      <c r="E600" s="18" t="str">
        <f>IFERROR(__xludf.DUMMYFUNCTION("""COMPUTED_VALUE"""),"quest.journey_through_japan_by_train.accepted")</f>
        <v>quest.journey_through_japan_by_train.accepted</v>
      </c>
    </row>
    <row r="601" ht="14.25" customHeight="1">
      <c r="A601" s="26" t="s">
        <v>1686</v>
      </c>
      <c r="B601" s="21" t="s">
        <v>1036</v>
      </c>
      <c r="D601" s="18" t="str">
        <f>IFERROR(__xludf.DUMMYFUNCTION("""COMPUTED_VALUE"""),"state.visit_paris")</f>
        <v>state.visit_paris</v>
      </c>
      <c r="E601" s="18" t="str">
        <f>IFERROR(__xludf.DUMMYFUNCTION("""COMPUTED_VALUE"""),"quest.the_ordinary_days_of_an_adventurer_chapter_8.accepted")</f>
        <v>quest.the_ordinary_days_of_an_adventurer_chapter_8.accepted</v>
      </c>
    </row>
    <row r="602" ht="14.25" customHeight="1">
      <c r="A602" s="26" t="s">
        <v>1690</v>
      </c>
      <c r="B602" s="21" t="s">
        <v>1036</v>
      </c>
      <c r="D602" s="18" t="str">
        <f>IFERROR(__xludf.DUMMYFUNCTION("""COMPUTED_VALUE"""),"state.visit_rome")</f>
        <v>state.visit_rome</v>
      </c>
      <c r="E602" s="18" t="str">
        <f>IFERROR(__xludf.DUMMYFUNCTION("""COMPUTED_VALUE"""),"quest.silk_road.accepted")</f>
        <v>quest.silk_road.accepted</v>
      </c>
    </row>
    <row r="603" ht="14.25" customHeight="1">
      <c r="A603" s="26" t="s">
        <v>1692</v>
      </c>
      <c r="B603" s="26" t="s">
        <v>1334</v>
      </c>
      <c r="D603" s="18" t="str">
        <f>IFERROR(__xludf.DUMMYFUNCTION("""COMPUTED_VALUE"""),"state.visit_tokyo")</f>
        <v>state.visit_tokyo</v>
      </c>
      <c r="E603" s="18" t="str">
        <f>IFERROR(__xludf.DUMMYFUNCTION("""COMPUTED_VALUE"""),"quest.journey_through_japan_by_train.accepted")</f>
        <v>quest.journey_through_japan_by_train.accepted</v>
      </c>
    </row>
    <row r="604" ht="14.25" customHeight="1">
      <c r="A604" s="26" t="s">
        <v>1694</v>
      </c>
      <c r="B604" s="21" t="s">
        <v>1294</v>
      </c>
      <c r="D604" s="18" t="str">
        <f>IFERROR(__xludf.DUMMYFUNCTION("""COMPUTED_VALUE"""),"state.visit_wakayama")</f>
        <v>state.visit_wakayama</v>
      </c>
      <c r="E604" s="18" t="str">
        <f>IFERROR(__xludf.DUMMYFUNCTION("""COMPUTED_VALUE"""),"quest.journey_through_japan_by_train.accepted")</f>
        <v>quest.journey_through_japan_by_train.accepted</v>
      </c>
    </row>
    <row r="605" ht="14.25" customHeight="1">
      <c r="A605" s="26" t="s">
        <v>1697</v>
      </c>
      <c r="B605" s="21" t="s">
        <v>1036</v>
      </c>
      <c r="D605" s="18" t="str">
        <f>IFERROR(__xludf.DUMMYFUNCTION("""COMPUTED_VALUE"""),"state.visit_xian")</f>
        <v>state.visit_xian</v>
      </c>
      <c r="E605" s="18" t="str">
        <f>IFERROR(__xludf.DUMMYFUNCTION("""COMPUTED_VALUE"""),"quest.silk_road.accepted")</f>
        <v>quest.silk_road.accepted</v>
      </c>
    </row>
    <row r="606" ht="14.25" customHeight="1">
      <c r="A606" s="26" t="s">
        <v>1699</v>
      </c>
      <c r="B606" s="21" t="s">
        <v>1036</v>
      </c>
      <c r="D606" s="18" t="str">
        <f>IFERROR(__xludf.DUMMYFUNCTION("""COMPUTED_VALUE"""),"tech.airship.titanium_longerons")</f>
        <v>tech.airship.titanium_longerons</v>
      </c>
      <c r="E606" s="18" t="str">
        <f>IFERROR(__xludf.DUMMYFUNCTION("""COMPUTED_VALUE"""),"tech.furnace.titanium_parts")</f>
        <v>tech.furnace.titanium_parts</v>
      </c>
    </row>
    <row r="607" ht="14.25" customHeight="1">
      <c r="A607" s="26" t="s">
        <v>1701</v>
      </c>
      <c r="B607" s="21" t="s">
        <v>1294</v>
      </c>
      <c r="D607" s="18" t="str">
        <f>IFERROR(__xludf.DUMMYFUNCTION("""COMPUTED_VALUE"""),"tech.airship.titanium_longerons")</f>
        <v>tech.airship.titanium_longerons</v>
      </c>
      <c r="E607" s="18" t="str">
        <f>IFERROR(__xludf.DUMMYFUNCTION("""COMPUTED_VALUE"""),"quest.once_upon_a_forest_chapter_11.finished")</f>
        <v>quest.once_upon_a_forest_chapter_11.finished</v>
      </c>
    </row>
    <row r="608" ht="14.25" customHeight="1">
      <c r="A608" s="26" t="s">
        <v>1703</v>
      </c>
      <c r="B608" s="26" t="s">
        <v>1793</v>
      </c>
      <c r="D608" s="18" t="str">
        <f>IFERROR(__xludf.DUMMYFUNCTION("""COMPUTED_VALUE"""),"tech.airship.titanium_longerons")</f>
        <v>tech.airship.titanium_longerons</v>
      </c>
      <c r="E608" s="18" t="str">
        <f>IFERROR(__xludf.DUMMYFUNCTION("""COMPUTED_VALUE"""),"building.airship.maxed")</f>
        <v>building.airship.maxed</v>
      </c>
    </row>
    <row r="609" ht="14.25" customHeight="1">
      <c r="A609" s="26" t="s">
        <v>1703</v>
      </c>
      <c r="B609" s="26" t="s">
        <v>1094</v>
      </c>
      <c r="D609" s="18" t="str">
        <f>IFERROR(__xludf.DUMMYFUNCTION("""COMPUTED_VALUE"""),"tech.alchemists_hut.advanced_fertilizer")</f>
        <v>tech.alchemists_hut.advanced_fertilizer</v>
      </c>
      <c r="E609" s="18" t="str">
        <f>IFERROR(__xludf.DUMMYFUNCTION("""COMPUTED_VALUE"""),"tech.alchemists_hut.synthetic_fertilizer")</f>
        <v>tech.alchemists_hut.synthetic_fertilizer</v>
      </c>
    </row>
    <row r="610" ht="14.25" customHeight="1">
      <c r="A610" s="26" t="s">
        <v>1703</v>
      </c>
      <c r="B610" s="26" t="s">
        <v>623</v>
      </c>
      <c r="D610" s="18" t="str">
        <f>IFERROR(__xludf.DUMMYFUNCTION("""COMPUTED_VALUE"""),"tech.alchemists_hut.advanced_fertilizer")</f>
        <v>tech.alchemists_hut.advanced_fertilizer</v>
      </c>
      <c r="E610" s="18" t="str">
        <f>IFERROR(__xludf.DUMMYFUNCTION("""COMPUTED_VALUE"""),"quest.magic_beans.finished")</f>
        <v>quest.magic_beans.finished</v>
      </c>
    </row>
    <row r="611" ht="14.25" customHeight="1">
      <c r="A611" s="26" t="s">
        <v>1707</v>
      </c>
      <c r="B611" s="26" t="s">
        <v>1747</v>
      </c>
      <c r="D611" s="18" t="str">
        <f>IFERROR(__xludf.DUMMYFUNCTION("""COMPUTED_VALUE"""),"tech.alchemists_hut.balm")</f>
        <v>tech.alchemists_hut.balm</v>
      </c>
      <c r="E611" s="18" t="str">
        <f>IFERROR(__xludf.DUMMYFUNCTION("""COMPUTED_VALUE"""),"quest.once_upon_a_forest_chapter_6.accepted")</f>
        <v>quest.once_upon_a_forest_chapter_6.accepted</v>
      </c>
    </row>
    <row r="612" ht="14.25" customHeight="1">
      <c r="A612" s="26" t="s">
        <v>1707</v>
      </c>
      <c r="B612" s="26" t="s">
        <v>1057</v>
      </c>
      <c r="D612" s="18" t="str">
        <f>IFERROR(__xludf.DUMMYFUNCTION("""COMPUTED_VALUE"""),"tech.alchemists_hut.balm")</f>
        <v>tech.alchemists_hut.balm</v>
      </c>
      <c r="E612" s="18" t="str">
        <f>IFERROR(__xludf.DUMMYFUNCTION("""COMPUTED_VALUE"""),"building.alchemists_hut.maxed")</f>
        <v>building.alchemists_hut.maxed</v>
      </c>
    </row>
    <row r="613" ht="14.25" customHeight="1">
      <c r="A613" s="26" t="s">
        <v>1709</v>
      </c>
      <c r="B613" s="26" t="s">
        <v>1169</v>
      </c>
      <c r="D613" s="18" t="str">
        <f>IFERROR(__xludf.DUMMYFUNCTION("""COMPUTED_VALUE"""),"tech.alchemists_hut.conveyor_lvl_1")</f>
        <v>tech.alchemists_hut.conveyor_lvl_1</v>
      </c>
      <c r="E613" s="18" t="str">
        <f>IFERROR(__xludf.DUMMYFUNCTION("""COMPUTED_VALUE"""),"building.alchemists_hut.maxed")</f>
        <v>building.alchemists_hut.maxed</v>
      </c>
    </row>
    <row r="614" ht="14.25" customHeight="1">
      <c r="A614" s="26" t="s">
        <v>1709</v>
      </c>
      <c r="B614" s="26" t="s">
        <v>637</v>
      </c>
      <c r="D614" s="18" t="str">
        <f>IFERROR(__xludf.DUMMYFUNCTION("""COMPUTED_VALUE"""),"tech.alchemists_hut.conveyor_lvl_1")</f>
        <v>tech.alchemists_hut.conveyor_lvl_1</v>
      </c>
      <c r="E614" s="18" t="str">
        <f>IFERROR(__xludf.DUMMYFUNCTION("""COMPUTED_VALUE"""),"building.workshop.maxed")</f>
        <v>building.workshop.maxed</v>
      </c>
    </row>
    <row r="615" ht="14.25" customHeight="1">
      <c r="A615" s="26" t="s">
        <v>1712</v>
      </c>
      <c r="B615" s="26" t="s">
        <v>637</v>
      </c>
      <c r="D615" s="18" t="str">
        <f>IFERROR(__xludf.DUMMYFUNCTION("""COMPUTED_VALUE"""),"tech.alchemists_hut.conveyor_lvl_2")</f>
        <v>tech.alchemists_hut.conveyor_lvl_2</v>
      </c>
      <c r="E615" s="18" t="str">
        <f>IFERROR(__xludf.DUMMYFUNCTION("""COMPUTED_VALUE"""),"tech.alchemists_hut.conveyor_lvl_1")</f>
        <v>tech.alchemists_hut.conveyor_lvl_1</v>
      </c>
    </row>
    <row r="616" ht="14.25" customHeight="1">
      <c r="A616" s="26" t="s">
        <v>1712</v>
      </c>
      <c r="B616" s="26" t="s">
        <v>921</v>
      </c>
      <c r="D616" s="18" t="str">
        <f>IFERROR(__xludf.DUMMYFUNCTION("""COMPUTED_VALUE"""),"tech.alchemists_hut.galvanization")</f>
        <v>tech.alchemists_hut.galvanization</v>
      </c>
      <c r="E616" s="18" t="str">
        <f>IFERROR(__xludf.DUMMYFUNCTION("""COMPUTED_VALUE"""),"building.alchemists_hut.maxed")</f>
        <v>building.alchemists_hut.maxed</v>
      </c>
    </row>
    <row r="617" ht="14.25" customHeight="1">
      <c r="A617" s="26" t="s">
        <v>1715</v>
      </c>
      <c r="B617" s="26" t="s">
        <v>1712</v>
      </c>
      <c r="D617" s="18" t="str">
        <f>IFERROR(__xludf.DUMMYFUNCTION("""COMPUTED_VALUE"""),"tech.alchemists_hut.gold_ingot")</f>
        <v>tech.alchemists_hut.gold_ingot</v>
      </c>
      <c r="E617" s="18" t="str">
        <f>IFERROR(__xludf.DUMMYFUNCTION("""COMPUTED_VALUE"""),"tech.alchemists_hut.mercury")</f>
        <v>tech.alchemists_hut.mercury</v>
      </c>
    </row>
    <row r="618" ht="14.25" customHeight="1">
      <c r="A618" s="26" t="s">
        <v>1717</v>
      </c>
      <c r="B618" s="26" t="s">
        <v>637</v>
      </c>
      <c r="D618" s="18" t="str">
        <f>IFERROR(__xludf.DUMMYFUNCTION("""COMPUTED_VALUE"""),"tech.alchemists_hut.gold_ingot")</f>
        <v>tech.alchemists_hut.gold_ingot</v>
      </c>
      <c r="E618" s="18" t="str">
        <f>IFERROR(__xludf.DUMMYFUNCTION("""COMPUTED_VALUE"""),"quest.once_upon_a_forest_chapter_7.finished")</f>
        <v>quest.once_upon_a_forest_chapter_7.finished</v>
      </c>
    </row>
    <row r="619" ht="14.25" customHeight="1">
      <c r="A619" s="26" t="s">
        <v>1719</v>
      </c>
      <c r="B619" s="26" t="s">
        <v>1726</v>
      </c>
      <c r="D619" s="18" t="str">
        <f>IFERROR(__xludf.DUMMYFUNCTION("""COMPUTED_VALUE"""),"tech.alchemists_hut.greek_grenade")</f>
        <v>tech.alchemists_hut.greek_grenade</v>
      </c>
      <c r="E619" s="18" t="str">
        <f>IFERROR(__xludf.DUMMYFUNCTION("""COMPUTED_VALUE"""),"building.alchemists_hut.maxed")</f>
        <v>building.alchemists_hut.maxed</v>
      </c>
    </row>
    <row r="620" ht="14.25" customHeight="1">
      <c r="A620" s="26" t="s">
        <v>1719</v>
      </c>
      <c r="B620" s="26" t="s">
        <v>1185</v>
      </c>
      <c r="D620" s="18" t="str">
        <f>IFERROR(__xludf.DUMMYFUNCTION("""COMPUTED_VALUE"""),"tech.alchemists_hut.madness_grenade")</f>
        <v>tech.alchemists_hut.madness_grenade</v>
      </c>
      <c r="E620" s="18" t="str">
        <f>IFERROR(__xludf.DUMMYFUNCTION("""COMPUTED_VALUE"""),"tech.alchemists_hut.mercury")</f>
        <v>tech.alchemists_hut.mercury</v>
      </c>
    </row>
    <row r="621" ht="14.25" customHeight="1">
      <c r="A621" s="26" t="s">
        <v>1721</v>
      </c>
      <c r="B621" s="26" t="s">
        <v>637</v>
      </c>
      <c r="D621" s="18" t="str">
        <f>IFERROR(__xludf.DUMMYFUNCTION("""COMPUTED_VALUE"""),"tech.alchemists_hut.madness_grenade")</f>
        <v>tech.alchemists_hut.madness_grenade</v>
      </c>
      <c r="E621" s="18" t="str">
        <f>IFERROR(__xludf.DUMMYFUNCTION("""COMPUTED_VALUE"""),"quest.once_upon_a_forest_chapter_7.finished")</f>
        <v>quest.once_upon_a_forest_chapter_7.finished</v>
      </c>
    </row>
    <row r="622" ht="14.25" customHeight="1">
      <c r="A622" s="26" t="s">
        <v>1724</v>
      </c>
      <c r="B622" s="26" t="s">
        <v>1726</v>
      </c>
      <c r="D622" s="18" t="str">
        <f>IFERROR(__xludf.DUMMYFUNCTION("""COMPUTED_VALUE"""),"tech.alchemists_hut.mercury")</f>
        <v>tech.alchemists_hut.mercury</v>
      </c>
      <c r="E622" s="18" t="str">
        <f>IFERROR(__xludf.DUMMYFUNCTION("""COMPUTED_VALUE"""),"quest.once_upon_a_forest_chapter_6.finished")</f>
        <v>quest.once_upon_a_forest_chapter_6.finished</v>
      </c>
    </row>
    <row r="623" ht="14.25" customHeight="1">
      <c r="A623" s="26" t="s">
        <v>1724</v>
      </c>
      <c r="B623" s="26" t="s">
        <v>1185</v>
      </c>
      <c r="D623" s="18" t="str">
        <f>IFERROR(__xludf.DUMMYFUNCTION("""COMPUTED_VALUE"""),"tech.alchemists_hut.mercury")</f>
        <v>tech.alchemists_hut.mercury</v>
      </c>
      <c r="E623" s="18" t="str">
        <f>IFERROR(__xludf.DUMMYFUNCTION("""COMPUTED_VALUE"""),"building.alchemists_hut.maxed")</f>
        <v>building.alchemists_hut.maxed</v>
      </c>
    </row>
    <row r="624" ht="14.25" customHeight="1">
      <c r="A624" s="26" t="s">
        <v>1726</v>
      </c>
      <c r="B624" s="26" t="s">
        <v>1175</v>
      </c>
      <c r="D624" s="18" t="str">
        <f>IFERROR(__xludf.DUMMYFUNCTION("""COMPUTED_VALUE"""),"tech.alchemists_hut.mercury")</f>
        <v>tech.alchemists_hut.mercury</v>
      </c>
      <c r="E624" s="18" t="str">
        <f>IFERROR(__xludf.DUMMYFUNCTION("""COMPUTED_VALUE"""),"quest.once_upon_a_forest_chapter_7.finished")</f>
        <v>quest.once_upon_a_forest_chapter_7.finished</v>
      </c>
    </row>
    <row r="625" ht="14.25" customHeight="1">
      <c r="A625" s="26" t="s">
        <v>1726</v>
      </c>
      <c r="B625" s="26" t="s">
        <v>637</v>
      </c>
      <c r="D625" s="18" t="str">
        <f>IFERROR(__xludf.DUMMYFUNCTION("""COMPUTED_VALUE"""),"tech.alchemists_hut.metamorphosis")</f>
        <v>tech.alchemists_hut.metamorphosis</v>
      </c>
      <c r="E625" s="18" t="str">
        <f>IFERROR(__xludf.DUMMYFUNCTION("""COMPUTED_VALUE"""),"tech.alchemists_hut.mercury")</f>
        <v>tech.alchemists_hut.mercury</v>
      </c>
    </row>
    <row r="626" ht="14.25" customHeight="1">
      <c r="A626" s="21" t="s">
        <v>1726</v>
      </c>
      <c r="B626" s="26" t="s">
        <v>1185</v>
      </c>
      <c r="D626" s="18" t="str">
        <f>IFERROR(__xludf.DUMMYFUNCTION("""COMPUTED_VALUE"""),"tech.alchemists_hut.metamorphosis")</f>
        <v>tech.alchemists_hut.metamorphosis</v>
      </c>
      <c r="E626" s="18" t="str">
        <f>IFERROR(__xludf.DUMMYFUNCTION("""COMPUTED_VALUE"""),"quest.once_upon_a_forest_chapter_7.finished")</f>
        <v>quest.once_upon_a_forest_chapter_7.finished</v>
      </c>
    </row>
    <row r="627" ht="14.25" customHeight="1">
      <c r="A627" s="26" t="s">
        <v>1728</v>
      </c>
      <c r="B627" s="26" t="s">
        <v>1726</v>
      </c>
      <c r="D627" s="18" t="str">
        <f>IFERROR(__xludf.DUMMYFUNCTION("""COMPUTED_VALUE"""),"tech.alchemists_hut.perfect_fertilizer")</f>
        <v>tech.alchemists_hut.perfect_fertilizer</v>
      </c>
      <c r="E627" s="18" t="str">
        <f>IFERROR(__xludf.DUMMYFUNCTION("""COMPUTED_VALUE"""),"quest.ahead_of_time_chapter_1.accepted")</f>
        <v>quest.ahead_of_time_chapter_1.accepted</v>
      </c>
    </row>
    <row r="628" ht="14.25" customHeight="1">
      <c r="A628" s="26" t="s">
        <v>1728</v>
      </c>
      <c r="B628" s="26" t="s">
        <v>1185</v>
      </c>
      <c r="D628" s="18" t="str">
        <f>IFERROR(__xludf.DUMMYFUNCTION("""COMPUTED_VALUE"""),"tech.alchemists_hut.potion_ambrosia")</f>
        <v>tech.alchemists_hut.potion_ambrosia</v>
      </c>
      <c r="E628" s="18" t="str">
        <f>IFERROR(__xludf.DUMMYFUNCTION("""COMPUTED_VALUE"""),"tech.alchemists_hut.potion_berserker_rage")</f>
        <v>tech.alchemists_hut.potion_berserker_rage</v>
      </c>
    </row>
    <row r="629" ht="14.25" customHeight="1">
      <c r="A629" s="21" t="s">
        <v>1731</v>
      </c>
      <c r="B629" s="26" t="s">
        <v>920</v>
      </c>
      <c r="D629" s="18" t="str">
        <f>IFERROR(__xludf.DUMMYFUNCTION("""COMPUTED_VALUE"""),"tech.alchemists_hut.potion_ambrosia")</f>
        <v>tech.alchemists_hut.potion_ambrosia</v>
      </c>
      <c r="E629" s="18" t="str">
        <f>IFERROR(__xludf.DUMMYFUNCTION("""COMPUTED_VALUE"""),"tech.alchemists_hut.potion_of_healing_lvl_2")</f>
        <v>tech.alchemists_hut.potion_of_healing_lvl_2</v>
      </c>
    </row>
    <row r="630" ht="14.25" customHeight="1">
      <c r="A630" s="26" t="s">
        <v>1733</v>
      </c>
      <c r="B630" s="26" t="s">
        <v>1735</v>
      </c>
      <c r="D630" s="18" t="str">
        <f>IFERROR(__xludf.DUMMYFUNCTION("""COMPUTED_VALUE"""),"tech.alchemists_hut.potion_ambrosia")</f>
        <v>tech.alchemists_hut.potion_ambrosia</v>
      </c>
      <c r="E630" s="18" t="str">
        <f>IFERROR(__xludf.DUMMYFUNCTION("""COMPUTED_VALUE"""),"building.alchemists_hut.maxed")</f>
        <v>building.alchemists_hut.maxed</v>
      </c>
    </row>
    <row r="631" ht="14.25" customHeight="1">
      <c r="A631" s="26" t="s">
        <v>1733</v>
      </c>
      <c r="B631" s="26" t="s">
        <v>1742</v>
      </c>
      <c r="D631" s="18" t="str">
        <f>IFERROR(__xludf.DUMMYFUNCTION("""COMPUTED_VALUE"""),"tech.alchemists_hut.potion_berserker_rage")</f>
        <v>tech.alchemists_hut.potion_berserker_rage</v>
      </c>
      <c r="E631" s="18" t="str">
        <f>IFERROR(__xludf.DUMMYFUNCTION("""COMPUTED_VALUE"""),"building.alchemists_hut.maxed")</f>
        <v>building.alchemists_hut.maxed</v>
      </c>
    </row>
    <row r="632" ht="14.25" customHeight="1">
      <c r="A632" s="26" t="s">
        <v>1733</v>
      </c>
      <c r="B632" s="26" t="s">
        <v>637</v>
      </c>
      <c r="D632" s="18" t="str">
        <f>IFERROR(__xludf.DUMMYFUNCTION("""COMPUTED_VALUE"""),"tech.alchemists_hut.potion_of_energy")</f>
        <v>tech.alchemists_hut.potion_of_energy</v>
      </c>
      <c r="E632" s="18" t="str">
        <f>IFERROR(__xludf.DUMMYFUNCTION("""COMPUTED_VALUE"""),"building.alchemists_hut.maxed")</f>
        <v>building.alchemists_hut.maxed</v>
      </c>
    </row>
    <row r="633" ht="14.25" customHeight="1">
      <c r="A633" s="26" t="s">
        <v>1735</v>
      </c>
      <c r="B633" s="26" t="s">
        <v>637</v>
      </c>
      <c r="D633" s="18" t="str">
        <f>IFERROR(__xludf.DUMMYFUNCTION("""COMPUTED_VALUE"""),"tech.alchemists_hut.potion_of_healing")</f>
        <v>tech.alchemists_hut.potion_of_healing</v>
      </c>
      <c r="E633" s="18" t="str">
        <f>IFERROR(__xludf.DUMMYFUNCTION("""COMPUTED_VALUE"""),"building.alchemists_hut.maxed")</f>
        <v>building.alchemists_hut.maxed</v>
      </c>
    </row>
    <row r="634" ht="14.25" customHeight="1">
      <c r="A634" s="26" t="s">
        <v>1737</v>
      </c>
      <c r="B634" s="26" t="s">
        <v>637</v>
      </c>
      <c r="D634" s="18" t="str">
        <f>IFERROR(__xludf.DUMMYFUNCTION("""COMPUTED_VALUE"""),"tech.alchemists_hut.potion_of_healing_lvl_2")</f>
        <v>tech.alchemists_hut.potion_of_healing_lvl_2</v>
      </c>
      <c r="E634" s="18" t="str">
        <f>IFERROR(__xludf.DUMMYFUNCTION("""COMPUTED_VALUE"""),"tech.alchemists_hut.potion_of_healing")</f>
        <v>tech.alchemists_hut.potion_of_healing</v>
      </c>
    </row>
    <row r="635" ht="14.25" customHeight="1">
      <c r="A635" s="26" t="s">
        <v>1740</v>
      </c>
      <c r="B635" s="26" t="s">
        <v>637</v>
      </c>
      <c r="D635" s="18" t="str">
        <f>IFERROR(__xludf.DUMMYFUNCTION("""COMPUTED_VALUE"""),"tech.alchemists_hut.potion_of_mental_power")</f>
        <v>tech.alchemists_hut.potion_of_mental_power</v>
      </c>
      <c r="E635" s="18" t="str">
        <f>IFERROR(__xludf.DUMMYFUNCTION("""COMPUTED_VALUE"""),"quest.once_upon_a_forest_chapter_6.accepted")</f>
        <v>quest.once_upon_a_forest_chapter_6.accepted</v>
      </c>
    </row>
    <row r="636" ht="14.25" customHeight="1">
      <c r="A636" s="26" t="s">
        <v>1742</v>
      </c>
      <c r="B636" s="26" t="s">
        <v>1740</v>
      </c>
      <c r="D636" s="18" t="str">
        <f>IFERROR(__xludf.DUMMYFUNCTION("""COMPUTED_VALUE"""),"tech.alchemists_hut.potion_of_mental_power")</f>
        <v>tech.alchemists_hut.potion_of_mental_power</v>
      </c>
      <c r="E636" s="18" t="str">
        <f>IFERROR(__xludf.DUMMYFUNCTION("""COMPUTED_VALUE"""),"building.alchemists_hut.maxed")</f>
        <v>building.alchemists_hut.maxed</v>
      </c>
    </row>
    <row r="637" ht="14.25" customHeight="1">
      <c r="A637" s="26" t="s">
        <v>1744</v>
      </c>
      <c r="B637" s="26" t="s">
        <v>1169</v>
      </c>
      <c r="D637" s="18" t="str">
        <f>IFERROR(__xludf.DUMMYFUNCTION("""COMPUTED_VALUE"""),"tech.alchemists_hut.synthetic_fertilizer")</f>
        <v>tech.alchemists_hut.synthetic_fertilizer</v>
      </c>
      <c r="E637" s="18" t="str">
        <f>IFERROR(__xludf.DUMMYFUNCTION("""COMPUTED_VALUE"""),"building.alchemists_hut.maxed")</f>
        <v>building.alchemists_hut.maxed</v>
      </c>
    </row>
    <row r="638" ht="14.25" customHeight="1">
      <c r="A638" s="26" t="s">
        <v>1744</v>
      </c>
      <c r="B638" s="26" t="s">
        <v>637</v>
      </c>
      <c r="D638" s="18" t="str">
        <f>IFERROR(__xludf.DUMMYFUNCTION("""COMPUTED_VALUE"""),"tech.bridge.koi_fish")</f>
        <v>tech.bridge.koi_fish</v>
      </c>
      <c r="E638" s="18" t="str">
        <f>IFERROR(__xludf.DUMMYFUNCTION("""COMPUTED_VALUE"""),"building.bridge.maxed")</f>
        <v>building.bridge.maxed</v>
      </c>
    </row>
    <row r="639" ht="14.25" customHeight="1">
      <c r="A639" s="26" t="s">
        <v>1747</v>
      </c>
      <c r="B639" s="26" t="s">
        <v>637</v>
      </c>
      <c r="D639" s="18" t="str">
        <f>IFERROR(__xludf.DUMMYFUNCTION("""COMPUTED_VALUE"""),"tech.bridge.salmon_farming")</f>
        <v>tech.bridge.salmon_farming</v>
      </c>
      <c r="E639" s="18" t="str">
        <f>IFERROR(__xludf.DUMMYFUNCTION("""COMPUTED_VALUE"""),"building.bridge.maxed")</f>
        <v>building.bridge.maxed</v>
      </c>
    </row>
    <row r="640" ht="14.25" customHeight="1">
      <c r="A640" s="26" t="s">
        <v>1749</v>
      </c>
      <c r="B640" s="26" t="s">
        <v>659</v>
      </c>
      <c r="D640" s="18" t="str">
        <f>IFERROR(__xludf.DUMMYFUNCTION("""COMPUTED_VALUE"""),"tech.dairy.big_data_farming")</f>
        <v>tech.dairy.big_data_farming</v>
      </c>
      <c r="E640" s="18" t="str">
        <f>IFERROR(__xludf.DUMMYFUNCTION("""COMPUTED_VALUE"""),"tech.dairy.classical_music_for_the_farm")</f>
        <v>tech.dairy.classical_music_for_the_farm</v>
      </c>
    </row>
    <row r="641" ht="14.25" customHeight="1">
      <c r="A641" s="26" t="s">
        <v>1751</v>
      </c>
      <c r="B641" s="26" t="s">
        <v>659</v>
      </c>
      <c r="D641" s="18" t="str">
        <f>IFERROR(__xludf.DUMMYFUNCTION("""COMPUTED_VALUE"""),"tech.dairy.classical_music_for_the_farm")</f>
        <v>tech.dairy.classical_music_for_the_farm</v>
      </c>
      <c r="E641" s="18" t="str">
        <f>IFERROR(__xludf.DUMMYFUNCTION("""COMPUTED_VALUE"""),"quest.the_ordinary_days_of_an_adventurer_chapter_7.finished")</f>
        <v>quest.the_ordinary_days_of_an_adventurer_chapter_7.finished</v>
      </c>
    </row>
    <row r="642" ht="14.25" customHeight="1">
      <c r="A642" s="26" t="s">
        <v>1753</v>
      </c>
      <c r="B642" s="26" t="s">
        <v>1756</v>
      </c>
      <c r="D642" s="18" t="str">
        <f>IFERROR(__xludf.DUMMYFUNCTION("""COMPUTED_VALUE"""),"tech.dairy.classical_music_for_the_farm")</f>
        <v>tech.dairy.classical_music_for_the_farm</v>
      </c>
      <c r="E642" s="18" t="str">
        <f>IFERROR(__xludf.DUMMYFUNCTION("""COMPUTED_VALUE"""),"building.dairy.maxed")</f>
        <v>building.dairy.maxed</v>
      </c>
    </row>
    <row r="643" ht="14.25" customHeight="1">
      <c r="A643" s="26" t="s">
        <v>1756</v>
      </c>
      <c r="B643" s="26" t="s">
        <v>1332</v>
      </c>
      <c r="D643" s="18" t="str">
        <f>IFERROR(__xludf.DUMMYFUNCTION("""COMPUTED_VALUE"""),"tech.dungeon.great_hall")</f>
        <v>tech.dungeon.great_hall</v>
      </c>
      <c r="E643" s="18" t="str">
        <f>IFERROR(__xludf.DUMMYFUNCTION("""COMPUTED_VALUE"""),"building.dungeon@3")</f>
        <v>building.dungeon@3</v>
      </c>
    </row>
    <row r="644" ht="14.25" customHeight="1">
      <c r="A644" s="26" t="s">
        <v>1756</v>
      </c>
      <c r="B644" s="26" t="s">
        <v>679</v>
      </c>
      <c r="D644" s="18" t="str">
        <f>IFERROR(__xludf.DUMMYFUNCTION("""COMPUTED_VALUE"""),"tech.fermentory.pasteurization")</f>
        <v>tech.fermentory.pasteurization</v>
      </c>
      <c r="E644" s="18" t="str">
        <f>IFERROR(__xludf.DUMMYFUNCTION("""COMPUTED_VALUE"""),"building.fermentory.maxed")</f>
        <v>building.fermentory.maxed</v>
      </c>
    </row>
    <row r="645" ht="14.25" customHeight="1">
      <c r="A645" s="26" t="s">
        <v>1758</v>
      </c>
      <c r="B645" s="26" t="s">
        <v>165</v>
      </c>
      <c r="D645" s="18" t="str">
        <f>IFERROR(__xludf.DUMMYFUNCTION("""COMPUTED_VALUE"""),"tech.field.combine_harvester")</f>
        <v>tech.field.combine_harvester</v>
      </c>
      <c r="E645" s="18" t="str">
        <f>IFERROR(__xludf.DUMMYFUNCTION("""COMPUTED_VALUE"""),"tech.workshop.steamobile")</f>
        <v>tech.workshop.steamobile</v>
      </c>
    </row>
    <row r="646" ht="14.25" customHeight="1">
      <c r="A646" s="26" t="s">
        <v>1760</v>
      </c>
      <c r="B646" s="26" t="s">
        <v>705</v>
      </c>
      <c r="D646" s="18" t="str">
        <f>IFERROR(__xludf.DUMMYFUNCTION("""COMPUTED_VALUE"""),"tech.field.combine_harvester")</f>
        <v>tech.field.combine_harvester</v>
      </c>
      <c r="E646" s="18" t="str">
        <f>IFERROR(__xludf.DUMMYFUNCTION("""COMPUTED_VALUE"""),"tech.field.seed_drill")</f>
        <v>tech.field.seed_drill</v>
      </c>
    </row>
    <row r="647" ht="14.25" customHeight="1">
      <c r="A647" s="26" t="s">
        <v>1762</v>
      </c>
      <c r="B647" s="26" t="s">
        <v>1913</v>
      </c>
      <c r="D647" s="18" t="str">
        <f>IFERROR(__xludf.DUMMYFUNCTION("""COMPUTED_VALUE"""),"tech.field.seed_drill")</f>
        <v>tech.field.seed_drill</v>
      </c>
      <c r="E647" s="18" t="str">
        <f>IFERROR(__xludf.DUMMYFUNCTION("""COMPUTED_VALUE"""),"tech.workshop.mechanism")</f>
        <v>tech.workshop.mechanism</v>
      </c>
    </row>
    <row r="648" ht="14.25" customHeight="1">
      <c r="A648" s="26" t="s">
        <v>1762</v>
      </c>
      <c r="B648" s="26" t="s">
        <v>1765</v>
      </c>
      <c r="D648" s="18" t="str">
        <f>IFERROR(__xludf.DUMMYFUNCTION("""COMPUTED_VALUE"""),"tech.field.seed_drill")</f>
        <v>tech.field.seed_drill</v>
      </c>
      <c r="E648" s="18" t="str">
        <f>IFERROR(__xludf.DUMMYFUNCTION("""COMPUTED_VALUE"""),"building.field.maxed")</f>
        <v>building.field.maxed</v>
      </c>
    </row>
    <row r="649" ht="14.25" customHeight="1">
      <c r="A649" s="26" t="s">
        <v>1765</v>
      </c>
      <c r="B649" s="26" t="s">
        <v>1900</v>
      </c>
      <c r="D649" s="18" t="str">
        <f>IFERROR(__xludf.DUMMYFUNCTION("""COMPUTED_VALUE"""),"tech.field.soybean")</f>
        <v>tech.field.soybean</v>
      </c>
      <c r="E649" s="18" t="str">
        <f>IFERROR(__xludf.DUMMYFUNCTION("""COMPUTED_VALUE"""),"quest.magic_beans.finished")</f>
        <v>quest.magic_beans.finished</v>
      </c>
    </row>
    <row r="650" ht="14.25" customHeight="1">
      <c r="A650" s="26" t="s">
        <v>1765</v>
      </c>
      <c r="B650" s="26" t="s">
        <v>725</v>
      </c>
      <c r="D650" s="18" t="str">
        <f>IFERROR(__xludf.DUMMYFUNCTION("""COMPUTED_VALUE"""),"tech.field.soybean")</f>
        <v>tech.field.soybean</v>
      </c>
      <c r="E650" s="18" t="str">
        <f>IFERROR(__xludf.DUMMYFUNCTION("""COMPUTED_VALUE"""),"building.field.maxed")</f>
        <v>building.field.maxed</v>
      </c>
    </row>
    <row r="651" ht="14.25" customHeight="1">
      <c r="A651" s="26" t="s">
        <v>1768</v>
      </c>
      <c r="B651" s="26" t="s">
        <v>1057</v>
      </c>
      <c r="D651" s="18" t="str">
        <f>IFERROR(__xludf.DUMMYFUNCTION("""COMPUTED_VALUE"""),"tech.food_stall.conveyor_belt_sushi")</f>
        <v>tech.food_stall.conveyor_belt_sushi</v>
      </c>
      <c r="E651" s="18" t="str">
        <f>IFERROR(__xludf.DUMMYFUNCTION("""COMPUTED_VALUE"""),"building.food_stall.maxed")</f>
        <v>building.food_stall.maxed</v>
      </c>
    </row>
    <row r="652" ht="14.25" customHeight="1">
      <c r="A652" s="26" t="s">
        <v>1768</v>
      </c>
      <c r="B652" s="26" t="s">
        <v>725</v>
      </c>
      <c r="D652" s="18" t="str">
        <f>IFERROR(__xludf.DUMMYFUNCTION("""COMPUTED_VALUE"""),"tech.food_stall.inarizushi")</f>
        <v>tech.food_stall.inarizushi</v>
      </c>
      <c r="E652" s="18" t="str">
        <f>IFERROR(__xludf.DUMMYFUNCTION("""COMPUTED_VALUE"""),"state.character_cooking@13")</f>
        <v>state.character_cooking@13</v>
      </c>
    </row>
    <row r="653" ht="14.25" customHeight="1">
      <c r="A653" s="26" t="s">
        <v>1770</v>
      </c>
      <c r="B653" s="26" t="s">
        <v>734</v>
      </c>
      <c r="D653" s="18" t="str">
        <f>IFERROR(__xludf.DUMMYFUNCTION("""COMPUTED_VALUE"""),"tech.food_stall.inarizushi")</f>
        <v>tech.food_stall.inarizushi</v>
      </c>
      <c r="E653" s="18" t="str">
        <f>IFERROR(__xludf.DUMMYFUNCTION("""COMPUTED_VALUE"""),"building.food_stall.maxed")</f>
        <v>building.food_stall.maxed</v>
      </c>
    </row>
    <row r="654" ht="14.25" customHeight="1">
      <c r="A654" s="26" t="s">
        <v>1772</v>
      </c>
      <c r="B654" s="26" t="s">
        <v>1374</v>
      </c>
      <c r="D654" s="18" t="str">
        <f>IFERROR(__xludf.DUMMYFUNCTION("""COMPUTED_VALUE"""),"tech.food_stall.jam")</f>
        <v>tech.food_stall.jam</v>
      </c>
      <c r="E654" s="18" t="str">
        <f>IFERROR(__xludf.DUMMYFUNCTION("""COMPUTED_VALUE"""),"state.obtain_strawberry@f1")</f>
        <v>state.obtain_strawberry@f1</v>
      </c>
    </row>
    <row r="655" ht="14.25" customHeight="1">
      <c r="A655" s="26" t="s">
        <v>1772</v>
      </c>
      <c r="B655" s="26" t="s">
        <v>734</v>
      </c>
      <c r="D655" s="18" t="str">
        <f>IFERROR(__xludf.DUMMYFUNCTION("""COMPUTED_VALUE"""),"tech.food_stall.jam")</f>
        <v>tech.food_stall.jam</v>
      </c>
      <c r="E655" s="18" t="str">
        <f>IFERROR(__xludf.DUMMYFUNCTION("""COMPUTED_VALUE"""),"building.food_stall.maxed")</f>
        <v>building.food_stall.maxed</v>
      </c>
    </row>
    <row r="656" ht="14.25" customHeight="1">
      <c r="A656" s="26" t="s">
        <v>1775</v>
      </c>
      <c r="B656" s="26" t="s">
        <v>1641</v>
      </c>
      <c r="D656" s="18" t="str">
        <f>IFERROR(__xludf.DUMMYFUNCTION("""COMPUTED_VALUE"""),"tech.food_stall.mandra_cola")</f>
        <v>tech.food_stall.mandra_cola</v>
      </c>
      <c r="E656" s="18" t="str">
        <f>IFERROR(__xludf.DUMMYFUNCTION("""COMPUTED_VALUE"""),"building.food_stall.maxed")</f>
        <v>building.food_stall.maxed</v>
      </c>
    </row>
    <row r="657" ht="14.25" customHeight="1">
      <c r="A657" s="26" t="s">
        <v>1775</v>
      </c>
      <c r="B657" s="26" t="s">
        <v>734</v>
      </c>
      <c r="D657" s="18" t="str">
        <f>IFERROR(__xludf.DUMMYFUNCTION("""COMPUTED_VALUE"""),"tech.food_stall.mayonnaise")</f>
        <v>tech.food_stall.mayonnaise</v>
      </c>
      <c r="E657" s="18" t="str">
        <f>IFERROR(__xludf.DUMMYFUNCTION("""COMPUTED_VALUE"""),"building.food_stall.maxed")</f>
        <v>building.food_stall.maxed</v>
      </c>
    </row>
    <row r="658" ht="14.25" customHeight="1">
      <c r="A658" s="26" t="s">
        <v>1777</v>
      </c>
      <c r="B658" s="26" t="s">
        <v>734</v>
      </c>
      <c r="D658" s="18" t="str">
        <f>IFERROR(__xludf.DUMMYFUNCTION("""COMPUTED_VALUE"""),"tech.food_stall.miso_soup")</f>
        <v>tech.food_stall.miso_soup</v>
      </c>
      <c r="E658" s="18" t="str">
        <f>IFERROR(__xludf.DUMMYFUNCTION("""COMPUTED_VALUE"""),"building.food_stall.maxed")</f>
        <v>building.food_stall.maxed</v>
      </c>
    </row>
    <row r="659" ht="14.25" customHeight="1">
      <c r="A659" s="26" t="s">
        <v>1779</v>
      </c>
      <c r="B659" s="26" t="s">
        <v>734</v>
      </c>
      <c r="D659" s="18" t="str">
        <f>IFERROR(__xludf.DUMMYFUNCTION("""COMPUTED_VALUE"""),"tech.food_stall.miso_soup")</f>
        <v>tech.food_stall.miso_soup</v>
      </c>
      <c r="E659" s="18" t="str">
        <f>IFERROR(__xludf.DUMMYFUNCTION("""COMPUTED_VALUE"""),"quest.magic_beans.finished")</f>
        <v>quest.magic_beans.finished</v>
      </c>
    </row>
    <row r="660" ht="14.25" customHeight="1">
      <c r="A660" s="26" t="s">
        <v>1782</v>
      </c>
      <c r="B660" s="26" t="s">
        <v>734</v>
      </c>
      <c r="D660" s="18" t="str">
        <f>IFERROR(__xludf.DUMMYFUNCTION("""COMPUTED_VALUE"""),"tech.food_stall.quintessence_of_taste")</f>
        <v>tech.food_stall.quintessence_of_taste</v>
      </c>
      <c r="E660" s="18" t="str">
        <f>IFERROR(__xludf.DUMMYFUNCTION("""COMPUTED_VALUE"""),"building.food_stall.maxed")</f>
        <v>building.food_stall.maxed</v>
      </c>
    </row>
    <row r="661" ht="14.25" customHeight="1">
      <c r="A661" s="21" t="s">
        <v>1782</v>
      </c>
      <c r="B661" s="26" t="s">
        <v>1057</v>
      </c>
      <c r="D661" s="18" t="str">
        <f>IFERROR(__xludf.DUMMYFUNCTION("""COMPUTED_VALUE"""),"tech.furnace.conveyor")</f>
        <v>tech.furnace.conveyor</v>
      </c>
      <c r="E661" s="18" t="str">
        <f>IFERROR(__xludf.DUMMYFUNCTION("""COMPUTED_VALUE"""),"building.furnace.maxed")</f>
        <v>building.furnace.maxed</v>
      </c>
    </row>
    <row r="662" ht="14.25" customHeight="1">
      <c r="A662" s="26" t="s">
        <v>1784</v>
      </c>
      <c r="B662" s="26" t="s">
        <v>734</v>
      </c>
      <c r="D662" s="18" t="str">
        <f>IFERROR(__xludf.DUMMYFUNCTION("""COMPUTED_VALUE"""),"tech.furnace.glass")</f>
        <v>tech.furnace.glass</v>
      </c>
      <c r="E662" s="18" t="str">
        <f>IFERROR(__xludf.DUMMYFUNCTION("""COMPUTED_VALUE"""),"quest.the_ordinary_days_of_an_adventurer_chapter_4.finished")</f>
        <v>quest.the_ordinary_days_of_an_adventurer_chapter_4.finished</v>
      </c>
    </row>
    <row r="663" ht="14.25" customHeight="1">
      <c r="A663" s="26" t="s">
        <v>1786</v>
      </c>
      <c r="B663" s="26" t="s">
        <v>744</v>
      </c>
      <c r="D663" s="18" t="str">
        <f>IFERROR(__xludf.DUMMYFUNCTION("""COMPUTED_VALUE"""),"tech.furnace.glass")</f>
        <v>tech.furnace.glass</v>
      </c>
      <c r="E663" s="18" t="str">
        <f>IFERROR(__xludf.DUMMYFUNCTION("""COMPUTED_VALUE"""),"building.furnace.maxed")</f>
        <v>building.furnace.maxed</v>
      </c>
    </row>
    <row r="664" ht="14.25" customHeight="1">
      <c r="A664" s="26" t="s">
        <v>1789</v>
      </c>
      <c r="B664" s="26" t="s">
        <v>1318</v>
      </c>
      <c r="D664" s="18" t="str">
        <f>IFERROR(__xludf.DUMMYFUNCTION("""COMPUTED_VALUE"""),"tech.furnace.meteoric_steel")</f>
        <v>tech.furnace.meteoric_steel</v>
      </c>
      <c r="E664" s="18" t="str">
        <f>IFERROR(__xludf.DUMMYFUNCTION("""COMPUTED_VALUE"""),"building.furnace.maxed")</f>
        <v>building.furnace.maxed</v>
      </c>
    </row>
    <row r="665" ht="14.25" customHeight="1">
      <c r="A665" s="26" t="s">
        <v>1789</v>
      </c>
      <c r="B665" s="26" t="s">
        <v>744</v>
      </c>
      <c r="D665" s="18" t="str">
        <f>IFERROR(__xludf.DUMMYFUNCTION("""COMPUTED_VALUE"""),"tech.furnace.titanium_parts")</f>
        <v>tech.furnace.titanium_parts</v>
      </c>
      <c r="E665" s="18" t="str">
        <f>IFERROR(__xludf.DUMMYFUNCTION("""COMPUTED_VALUE"""),"quest.once_upon_a_forest_chapter_11.finished")</f>
        <v>quest.once_upon_a_forest_chapter_11.finished</v>
      </c>
    </row>
    <row r="666" ht="14.25" customHeight="1">
      <c r="A666" s="26" t="s">
        <v>1791</v>
      </c>
      <c r="B666" s="26" t="s">
        <v>744</v>
      </c>
      <c r="D666" s="18" t="str">
        <f>IFERROR(__xludf.DUMMYFUNCTION("""COMPUTED_VALUE"""),"tech.furnace.titanium_parts")</f>
        <v>tech.furnace.titanium_parts</v>
      </c>
      <c r="E666" s="18" t="str">
        <f>IFERROR(__xludf.DUMMYFUNCTION("""COMPUTED_VALUE"""),"building.furnace.maxed")</f>
        <v>building.furnace.maxed</v>
      </c>
    </row>
    <row r="667" ht="14.25" customHeight="1">
      <c r="A667" s="26" t="s">
        <v>1793</v>
      </c>
      <c r="B667" s="26" t="s">
        <v>1094</v>
      </c>
      <c r="D667" s="18" t="str">
        <f>IFERROR(__xludf.DUMMYFUNCTION("""COMPUTED_VALUE"""),"tech.garden.sprinkler")</f>
        <v>tech.garden.sprinkler</v>
      </c>
      <c r="E667" s="18" t="str">
        <f>IFERROR(__xludf.DUMMYFUNCTION("""COMPUTED_VALUE"""),"building.garden.maxed")</f>
        <v>building.garden.maxed</v>
      </c>
    </row>
    <row r="668" ht="14.25" customHeight="1">
      <c r="A668" s="26" t="s">
        <v>1793</v>
      </c>
      <c r="B668" s="26" t="s">
        <v>744</v>
      </c>
      <c r="D668" s="18" t="str">
        <f>IFERROR(__xludf.DUMMYFUNCTION("""COMPUTED_VALUE"""),"tech.laboratory.digitization")</f>
        <v>tech.laboratory.digitization</v>
      </c>
      <c r="E668" s="18" t="str">
        <f>IFERROR(__xludf.DUMMYFUNCTION("""COMPUTED_VALUE"""),"building.laboratory_data_center.maxed")</f>
        <v>building.laboratory_data_center.maxed</v>
      </c>
    </row>
    <row r="669" ht="14.25" customHeight="1">
      <c r="A669" s="26" t="s">
        <v>1795</v>
      </c>
      <c r="B669" s="26" t="s">
        <v>751</v>
      </c>
      <c r="D669" s="18" t="str">
        <f>IFERROR(__xludf.DUMMYFUNCTION("""COMPUTED_VALUE"""),"tech.laboratory.digitization")</f>
        <v>tech.laboratory.digitization</v>
      </c>
      <c r="E669" s="18" t="str">
        <f>IFERROR(__xludf.DUMMYFUNCTION("""COMPUTED_VALUE"""),"building.laboratory.maxed")</f>
        <v>building.laboratory.maxed</v>
      </c>
    </row>
    <row r="670" ht="14.25" customHeight="1">
      <c r="A670" s="26" t="s">
        <v>1798</v>
      </c>
      <c r="B670" s="26" t="s">
        <v>790</v>
      </c>
      <c r="D670" s="18" t="str">
        <f>IFERROR(__xludf.DUMMYFUNCTION("""COMPUTED_VALUE"""),"tech.laboratory.experiments")</f>
        <v>tech.laboratory.experiments</v>
      </c>
      <c r="E670" s="18" t="str">
        <f>IFERROR(__xludf.DUMMYFUNCTION("""COMPUTED_VALUE"""),"tech.laboratory.research_and_development")</f>
        <v>tech.laboratory.research_and_development</v>
      </c>
    </row>
    <row r="671" ht="14.25" customHeight="1">
      <c r="A671" s="26" t="s">
        <v>1798</v>
      </c>
      <c r="B671" s="26" t="s">
        <v>777</v>
      </c>
      <c r="D671" s="18" t="str">
        <f>IFERROR(__xludf.DUMMYFUNCTION("""COMPUTED_VALUE"""),"tech.laboratory.experiments")</f>
        <v>tech.laboratory.experiments</v>
      </c>
      <c r="E671" s="18" t="str">
        <f>IFERROR(__xludf.DUMMYFUNCTION("""COMPUTED_VALUE"""),"building.laboratory.maxed")</f>
        <v>building.laboratory.maxed</v>
      </c>
    </row>
    <row r="672" ht="14.25" customHeight="1">
      <c r="A672" s="26" t="s">
        <v>1800</v>
      </c>
      <c r="B672" s="26" t="s">
        <v>1802</v>
      </c>
      <c r="D672" s="18" t="str">
        <f>IFERROR(__xludf.DUMMYFUNCTION("""COMPUTED_VALUE"""),"tech.laboratory.research_and_development")</f>
        <v>tech.laboratory.research_and_development</v>
      </c>
      <c r="E672" s="18" t="str">
        <f>IFERROR(__xludf.DUMMYFUNCTION("""COMPUTED_VALUE"""),"building.laboratory_data_center.maxed")</f>
        <v>building.laboratory_data_center.maxed</v>
      </c>
    </row>
    <row r="673" ht="14.25" customHeight="1">
      <c r="A673" s="26" t="s">
        <v>1800</v>
      </c>
      <c r="B673" s="26" t="s">
        <v>777</v>
      </c>
      <c r="D673" s="18" t="str">
        <f>IFERROR(__xludf.DUMMYFUNCTION("""COMPUTED_VALUE"""),"tech.laboratory.research_and_development")</f>
        <v>tech.laboratory.research_and_development</v>
      </c>
      <c r="E673" s="18" t="str">
        <f>IFERROR(__xludf.DUMMYFUNCTION("""COMPUTED_VALUE"""),"building.laboratory.maxed")</f>
        <v>building.laboratory.maxed</v>
      </c>
    </row>
    <row r="674" ht="14.25" customHeight="1">
      <c r="A674" s="26" t="s">
        <v>1802</v>
      </c>
      <c r="B674" s="26" t="s">
        <v>790</v>
      </c>
      <c r="D674" s="18" t="str">
        <f>IFERROR(__xludf.DUMMYFUNCTION("""COMPUTED_VALUE"""),"tech.outpost.arsenal_lvl_1")</f>
        <v>tech.outpost.arsenal_lvl_1</v>
      </c>
      <c r="E674" s="18" t="str">
        <f>IFERROR(__xludf.DUMMYFUNCTION("""COMPUTED_VALUE"""),"building.outpost.maxed")</f>
        <v>building.outpost.maxed</v>
      </c>
    </row>
    <row r="675" ht="14.25" customHeight="1">
      <c r="A675" s="26" t="s">
        <v>1802</v>
      </c>
      <c r="B675" s="26" t="s">
        <v>777</v>
      </c>
      <c r="D675" s="18" t="str">
        <f>IFERROR(__xludf.DUMMYFUNCTION("""COMPUTED_VALUE"""),"tech.outpost.arsenal_lvl_2")</f>
        <v>tech.outpost.arsenal_lvl_2</v>
      </c>
      <c r="E675" s="18" t="str">
        <f>IFERROR(__xludf.DUMMYFUNCTION("""COMPUTED_VALUE"""),"tech.outpost.arsenal_lvl_1")</f>
        <v>tech.outpost.arsenal_lvl_1</v>
      </c>
    </row>
    <row r="676" ht="14.25" customHeight="1">
      <c r="A676" s="26" t="s">
        <v>1805</v>
      </c>
      <c r="B676" s="26" t="s">
        <v>806</v>
      </c>
      <c r="D676" s="18" t="str">
        <f>IFERROR(__xludf.DUMMYFUNCTION("""COMPUTED_VALUE"""),"tech.outpost.arsenal_lvl_2")</f>
        <v>tech.outpost.arsenal_lvl_2</v>
      </c>
      <c r="E676" s="18" t="str">
        <f>IFERROR(__xludf.DUMMYFUNCTION("""COMPUTED_VALUE"""),"building.outpost.maxed")</f>
        <v>building.outpost.maxed</v>
      </c>
    </row>
    <row r="677" ht="14.25" customHeight="1">
      <c r="A677" s="26" t="s">
        <v>1807</v>
      </c>
      <c r="B677" s="26" t="s">
        <v>1805</v>
      </c>
      <c r="D677" s="18" t="str">
        <f>IFERROR(__xludf.DUMMYFUNCTION("""COMPUTED_VALUE"""),"tech.outpost.futures_contracts")</f>
        <v>tech.outpost.futures_contracts</v>
      </c>
      <c r="E677" s="18" t="str">
        <f>IFERROR(__xludf.DUMMYFUNCTION("""COMPUTED_VALUE"""),"tech.outpost.optional_contracts")</f>
        <v>tech.outpost.optional_contracts</v>
      </c>
    </row>
    <row r="678" ht="14.25" customHeight="1">
      <c r="A678" s="26" t="s">
        <v>1807</v>
      </c>
      <c r="B678" s="26" t="s">
        <v>806</v>
      </c>
      <c r="D678" s="18" t="str">
        <f>IFERROR(__xludf.DUMMYFUNCTION("""COMPUTED_VALUE"""),"tech.outpost.futures_contracts")</f>
        <v>tech.outpost.futures_contracts</v>
      </c>
      <c r="E678" s="18" t="str">
        <f>IFERROR(__xludf.DUMMYFUNCTION("""COMPUTED_VALUE"""),"building.outpost.maxed")</f>
        <v>building.outpost.maxed</v>
      </c>
    </row>
    <row r="679" ht="14.25" customHeight="1">
      <c r="A679" s="26" t="s">
        <v>1809</v>
      </c>
      <c r="B679" s="26" t="s">
        <v>1812</v>
      </c>
      <c r="D679" s="18" t="str">
        <f>IFERROR(__xludf.DUMMYFUNCTION("""COMPUTED_VALUE"""),"tech.outpost.optional_contracts")</f>
        <v>tech.outpost.optional_contracts</v>
      </c>
      <c r="E679" s="18" t="str">
        <f>IFERROR(__xludf.DUMMYFUNCTION("""COMPUTED_VALUE"""),"building.outpost.maxed")</f>
        <v>building.outpost.maxed</v>
      </c>
    </row>
    <row r="680" ht="14.25" customHeight="1">
      <c r="A680" s="26" t="s">
        <v>1809</v>
      </c>
      <c r="B680" s="26" t="s">
        <v>806</v>
      </c>
      <c r="D680" s="18" t="str">
        <f>IFERROR(__xludf.DUMMYFUNCTION("""COMPUTED_VALUE"""),"tech.outpost.sayonara_tax")</f>
        <v>tech.outpost.sayonara_tax</v>
      </c>
      <c r="E680" s="18" t="str">
        <f>IFERROR(__xludf.DUMMYFUNCTION("""COMPUTED_VALUE"""),"building.outpost.maxed")</f>
        <v>building.outpost.maxed</v>
      </c>
    </row>
    <row r="681" ht="14.25" customHeight="1">
      <c r="A681" s="26" t="s">
        <v>1812</v>
      </c>
      <c r="B681" s="26" t="s">
        <v>806</v>
      </c>
      <c r="D681" s="18" t="str">
        <f>IFERROR(__xludf.DUMMYFUNCTION("""COMPUTED_VALUE"""),"tech.outpost.tax_return_on_floppy_disk")</f>
        <v>tech.outpost.tax_return_on_floppy_disk</v>
      </c>
      <c r="E681" s="18" t="str">
        <f>IFERROR(__xludf.DUMMYFUNCTION("""COMPUTED_VALUE"""),"quest.ahead_of_time_chapter_4.finished")</f>
        <v>quest.ahead_of_time_chapter_4.finished</v>
      </c>
    </row>
    <row r="682" ht="14.25" customHeight="1">
      <c r="A682" s="26" t="s">
        <v>1814</v>
      </c>
      <c r="B682" s="26" t="s">
        <v>806</v>
      </c>
      <c r="D682" s="18" t="str">
        <f>IFERROR(__xludf.DUMMYFUNCTION("""COMPUTED_VALUE"""),"tech.outpost.tax_return_on_floppy_disk")</f>
        <v>tech.outpost.tax_return_on_floppy_disk</v>
      </c>
      <c r="E682" s="18" t="str">
        <f>IFERROR(__xludf.DUMMYFUNCTION("""COMPUTED_VALUE"""),"quest.ahead_of_time_chapter_5.finished")</f>
        <v>quest.ahead_of_time_chapter_5.finished</v>
      </c>
    </row>
    <row r="683" ht="14.25" customHeight="1">
      <c r="A683" s="26" t="s">
        <v>1816</v>
      </c>
      <c r="B683" s="26" t="s">
        <v>953</v>
      </c>
      <c r="D683" s="18" t="str">
        <f>IFERROR(__xludf.DUMMYFUNCTION("""COMPUTED_VALUE"""),"tech.outpost.tax_return_on_floppy_disk")</f>
        <v>tech.outpost.tax_return_on_floppy_disk</v>
      </c>
      <c r="E683" s="18" t="str">
        <f>IFERROR(__xludf.DUMMYFUNCTION("""COMPUTED_VALUE"""),"building.outpost.maxed")</f>
        <v>building.outpost.maxed</v>
      </c>
    </row>
    <row r="684" ht="14.25" customHeight="1">
      <c r="A684" s="26" t="s">
        <v>1816</v>
      </c>
      <c r="B684" s="26" t="s">
        <v>963</v>
      </c>
      <c r="D684" s="18" t="str">
        <f>IFERROR(__xludf.DUMMYFUNCTION("""COMPUTED_VALUE"""),"tech.rock_garden.rake")</f>
        <v>tech.rock_garden.rake</v>
      </c>
      <c r="E684" s="18" t="str">
        <f>IFERROR(__xludf.DUMMYFUNCTION("""COMPUTED_VALUE"""),"building.rock_garden.maxed")</f>
        <v>building.rock_garden.maxed</v>
      </c>
    </row>
    <row r="685" ht="14.25" customHeight="1">
      <c r="A685" s="26" t="s">
        <v>1816</v>
      </c>
      <c r="B685" s="26" t="s">
        <v>806</v>
      </c>
      <c r="D685" s="18" t="str">
        <f>IFERROR(__xludf.DUMMYFUNCTION("""COMPUTED_VALUE"""),"tech.shop.glass_recycling")</f>
        <v>tech.shop.glass_recycling</v>
      </c>
      <c r="E685" s="18" t="str">
        <f>IFERROR(__xludf.DUMMYFUNCTION("""COMPUTED_VALUE"""),"building.shop.maxed")</f>
        <v>building.shop.maxed</v>
      </c>
    </row>
    <row r="686" ht="14.25" customHeight="1">
      <c r="A686" s="26" t="s">
        <v>1818</v>
      </c>
      <c r="B686" s="26" t="s">
        <v>834</v>
      </c>
      <c r="D686" s="18" t="str">
        <f>IFERROR(__xludf.DUMMYFUNCTION("""COMPUTED_VALUE"""),"tech.shop.pre_orders")</f>
        <v>tech.shop.pre_orders</v>
      </c>
      <c r="E686" s="18" t="str">
        <f>IFERROR(__xludf.DUMMYFUNCTION("""COMPUTED_VALUE"""),"building.shop.maxed")</f>
        <v>building.shop.maxed</v>
      </c>
    </row>
    <row r="687" ht="14.25" customHeight="1">
      <c r="A687" s="26" t="s">
        <v>1821</v>
      </c>
      <c r="B687" s="26" t="s">
        <v>854</v>
      </c>
      <c r="D687" s="18" t="str">
        <f>IFERROR(__xludf.DUMMYFUNCTION("""COMPUTED_VALUE"""),"tech.smithy.gears")</f>
        <v>tech.smithy.gears</v>
      </c>
      <c r="E687" s="18" t="str">
        <f>IFERROR(__xludf.DUMMYFUNCTION("""COMPUTED_VALUE"""),"building.smithy.maxed")</f>
        <v>building.smithy.maxed</v>
      </c>
    </row>
    <row r="688" ht="14.25" customHeight="1">
      <c r="A688" s="26" t="s">
        <v>1823</v>
      </c>
      <c r="B688" s="26" t="s">
        <v>854</v>
      </c>
      <c r="D688" s="18" t="str">
        <f>IFERROR(__xludf.DUMMYFUNCTION("""COMPUTED_VALUE"""),"tech.smithy.sword_for_a_hero_lvl_1")</f>
        <v>tech.smithy.sword_for_a_hero_lvl_1</v>
      </c>
      <c r="E688" s="18" t="str">
        <f>IFERROR(__xludf.DUMMYFUNCTION("""COMPUTED_VALUE"""),"building.smithy.maxed")</f>
        <v>building.smithy.maxed</v>
      </c>
    </row>
    <row r="689" ht="14.25" customHeight="1">
      <c r="A689" s="26" t="s">
        <v>1825</v>
      </c>
      <c r="B689" s="26" t="s">
        <v>865</v>
      </c>
      <c r="D689" s="18" t="str">
        <f>IFERROR(__xludf.DUMMYFUNCTION("""COMPUTED_VALUE"""),"tech.smithy.sword_for_a_hero_lvl_2")</f>
        <v>tech.smithy.sword_for_a_hero_lvl_2</v>
      </c>
      <c r="E689" s="18" t="str">
        <f>IFERROR(__xludf.DUMMYFUNCTION("""COMPUTED_VALUE"""),"tech.smithy.sword_for_a_hero_lvl_1")</f>
        <v>tech.smithy.sword_for_a_hero_lvl_1</v>
      </c>
    </row>
    <row r="690" ht="14.25" customHeight="1">
      <c r="A690" s="26" t="s">
        <v>1827</v>
      </c>
      <c r="B690" s="26" t="s">
        <v>865</v>
      </c>
      <c r="D690" s="18" t="str">
        <f>IFERROR(__xludf.DUMMYFUNCTION("""COMPUTED_VALUE"""),"tech.smithy.sword_for_a_hero_lvl_2")</f>
        <v>tech.smithy.sword_for_a_hero_lvl_2</v>
      </c>
      <c r="E690" s="18" t="str">
        <f>IFERROR(__xludf.DUMMYFUNCTION("""COMPUTED_VALUE"""),"building.smithy.maxed")</f>
        <v>building.smithy.maxed</v>
      </c>
    </row>
    <row r="691" ht="14.25" customHeight="1">
      <c r="A691" s="26" t="s">
        <v>1829</v>
      </c>
      <c r="B691" s="26" t="s">
        <v>1827</v>
      </c>
      <c r="D691" s="18" t="str">
        <f>IFERROR(__xludf.DUMMYFUNCTION("""COMPUTED_VALUE"""),"tech.smithy.sword_for_a_hero_lvl_3")</f>
        <v>tech.smithy.sword_for_a_hero_lvl_3</v>
      </c>
      <c r="E691" s="18" t="str">
        <f>IFERROR(__xludf.DUMMYFUNCTION("""COMPUTED_VALUE"""),"tech.smithy.sword_for_a_hero_lvl_2")</f>
        <v>tech.smithy.sword_for_a_hero_lvl_2</v>
      </c>
    </row>
    <row r="692" ht="14.25" customHeight="1">
      <c r="A692" s="26" t="s">
        <v>1829</v>
      </c>
      <c r="B692" s="26" t="s">
        <v>865</v>
      </c>
      <c r="D692" s="18" t="str">
        <f>IFERROR(__xludf.DUMMYFUNCTION("""COMPUTED_VALUE"""),"tech.smithy.sword_for_a_hero_lvl_3")</f>
        <v>tech.smithy.sword_for_a_hero_lvl_3</v>
      </c>
      <c r="E692" s="18" t="str">
        <f>IFERROR(__xludf.DUMMYFUNCTION("""COMPUTED_VALUE"""),"building.smithy.maxed")</f>
        <v>building.smithy.maxed</v>
      </c>
    </row>
    <row r="693" ht="14.25" customHeight="1">
      <c r="A693" s="26" t="s">
        <v>1832</v>
      </c>
      <c r="B693" s="26" t="s">
        <v>1829</v>
      </c>
      <c r="D693" s="18" t="str">
        <f>IFERROR(__xludf.DUMMYFUNCTION("""COMPUTED_VALUE"""),"tech.smithy.sword_for_a_hero_lvl_4")</f>
        <v>tech.smithy.sword_for_a_hero_lvl_4</v>
      </c>
      <c r="E693" s="18" t="str">
        <f>IFERROR(__xludf.DUMMYFUNCTION("""COMPUTED_VALUE"""),"tech.smithy.sword_for_a_hero_lvl_3")</f>
        <v>tech.smithy.sword_for_a_hero_lvl_3</v>
      </c>
    </row>
    <row r="694" ht="14.25" customHeight="1">
      <c r="A694" s="26" t="s">
        <v>1832</v>
      </c>
      <c r="B694" s="26" t="s">
        <v>865</v>
      </c>
      <c r="D694" s="18" t="str">
        <f>IFERROR(__xludf.DUMMYFUNCTION("""COMPUTED_VALUE"""),"tech.smithy.sword_for_a_hero_lvl_4")</f>
        <v>tech.smithy.sword_for_a_hero_lvl_4</v>
      </c>
      <c r="E694" s="18" t="str">
        <f>IFERROR(__xludf.DUMMYFUNCTION("""COMPUTED_VALUE"""),"building.smithy.maxed")</f>
        <v>building.smithy.maxed</v>
      </c>
    </row>
    <row r="695" ht="14.25" customHeight="1">
      <c r="A695" s="26" t="s">
        <v>1834</v>
      </c>
      <c r="B695" s="26" t="s">
        <v>1832</v>
      </c>
      <c r="D695" s="18" t="str">
        <f>IFERROR(__xludf.DUMMYFUNCTION("""COMPUTED_VALUE"""),"tech.smithy.sword_for_a_hero_lvl_4+")</f>
        <v>tech.smithy.sword_for_a_hero_lvl_4+</v>
      </c>
      <c r="E695" s="18" t="str">
        <f>IFERROR(__xludf.DUMMYFUNCTION("""COMPUTED_VALUE"""),"tech.smithy.sword_for_a_hero_lvl_4")</f>
        <v>tech.smithy.sword_for_a_hero_lvl_4</v>
      </c>
    </row>
    <row r="696" ht="14.25" customHeight="1">
      <c r="A696" s="26" t="s">
        <v>1834</v>
      </c>
      <c r="B696" s="26" t="s">
        <v>865</v>
      </c>
      <c r="D696" s="18" t="str">
        <f>IFERROR(__xludf.DUMMYFUNCTION("""COMPUTED_VALUE"""),"tech.smithy.sword_for_a_hero_lvl_4+")</f>
        <v>tech.smithy.sword_for_a_hero_lvl_4+</v>
      </c>
      <c r="E696" s="18" t="str">
        <f>IFERROR(__xludf.DUMMYFUNCTION("""COMPUTED_VALUE"""),"quest.once_upon_a_forest_chapter_12.finished")</f>
        <v>quest.once_upon_a_forest_chapter_12.finished</v>
      </c>
    </row>
    <row r="697" ht="14.25" customHeight="1">
      <c r="A697" s="26" t="s">
        <v>1836</v>
      </c>
      <c r="B697" s="26" t="s">
        <v>1834</v>
      </c>
      <c r="D697" s="18" t="str">
        <f>IFERROR(__xludf.DUMMYFUNCTION("""COMPUTED_VALUE"""),"tech.smithy.sword_for_a_hero_lvl_4+")</f>
        <v>tech.smithy.sword_for_a_hero_lvl_4+</v>
      </c>
      <c r="E697" s="18" t="str">
        <f>IFERROR(__xludf.DUMMYFUNCTION("""COMPUTED_VALUE"""),"quest.the_ordinary_days_of_an_adventurer_chapter_2.finished")</f>
        <v>quest.the_ordinary_days_of_an_adventurer_chapter_2.finished</v>
      </c>
    </row>
    <row r="698" ht="14.25" customHeight="1">
      <c r="A698" s="26" t="s">
        <v>1836</v>
      </c>
      <c r="B698" s="26" t="s">
        <v>1102</v>
      </c>
      <c r="D698" s="18" t="str">
        <f>IFERROR(__xludf.DUMMYFUNCTION("""COMPUTED_VALUE"""),"tech.smithy.sword_for_a_hero_lvl_4+")</f>
        <v>tech.smithy.sword_for_a_hero_lvl_4+</v>
      </c>
      <c r="E698" s="18" t="str">
        <f>IFERROR(__xludf.DUMMYFUNCTION("""COMPUTED_VALUE"""),"building.smithy.maxed")</f>
        <v>building.smithy.maxed</v>
      </c>
    </row>
    <row r="699" ht="14.25" customHeight="1">
      <c r="A699" s="26" t="s">
        <v>1836</v>
      </c>
      <c r="B699" s="26" t="s">
        <v>1309</v>
      </c>
      <c r="D699" s="18" t="str">
        <f>IFERROR(__xludf.DUMMYFUNCTION("""COMPUTED_VALUE"""),"tech.smithy.throwing_knife")</f>
        <v>tech.smithy.throwing_knife</v>
      </c>
      <c r="E699" s="18" t="str">
        <f>IFERROR(__xludf.DUMMYFUNCTION("""COMPUTED_VALUE"""),"building.smithy.maxed")</f>
        <v>building.smithy.maxed</v>
      </c>
    </row>
    <row r="700" ht="14.25" customHeight="1">
      <c r="A700" s="26" t="s">
        <v>1836</v>
      </c>
      <c r="B700" s="26" t="s">
        <v>865</v>
      </c>
      <c r="D700" s="18" t="str">
        <f>IFERROR(__xludf.DUMMYFUNCTION("""COMPUTED_VALUE"""),"tech.smithy.treasure")</f>
        <v>tech.smithy.treasure</v>
      </c>
      <c r="E700" s="18" t="str">
        <f>IFERROR(__xludf.DUMMYFUNCTION("""COMPUTED_VALUE"""),"quest.the_ordinary_days_of_an_adventurer_chapter_3.finished")</f>
        <v>quest.the_ordinary_days_of_an_adventurer_chapter_3.finished</v>
      </c>
    </row>
    <row r="701" ht="14.25" customHeight="1">
      <c r="A701" s="26" t="s">
        <v>1838</v>
      </c>
      <c r="B701" s="26" t="s">
        <v>865</v>
      </c>
      <c r="D701" s="18" t="str">
        <f>IFERROR(__xludf.DUMMYFUNCTION("""COMPUTED_VALUE"""),"tech.smithy.treasure")</f>
        <v>tech.smithy.treasure</v>
      </c>
      <c r="E701" s="18" t="str">
        <f>IFERROR(__xludf.DUMMYFUNCTION("""COMPUTED_VALUE"""),"building.smithy.maxed")</f>
        <v>building.smithy.maxed</v>
      </c>
    </row>
    <row r="702" ht="14.25" customHeight="1">
      <c r="A702" s="26" t="s">
        <v>1841</v>
      </c>
      <c r="B702" s="26" t="s">
        <v>1314</v>
      </c>
      <c r="D702" s="18" t="str">
        <f>IFERROR(__xludf.DUMMYFUNCTION("""COMPUTED_VALUE"""),"tech.smithy.weapon_grease")</f>
        <v>tech.smithy.weapon_grease</v>
      </c>
      <c r="E702" s="18" t="str">
        <f>IFERROR(__xludf.DUMMYFUNCTION("""COMPUTED_VALUE"""),"tech.smithy.sword_for_a_hero_lvl_1")</f>
        <v>tech.smithy.sword_for_a_hero_lvl_1</v>
      </c>
    </row>
    <row r="703" ht="14.25" customHeight="1">
      <c r="A703" s="26" t="s">
        <v>1841</v>
      </c>
      <c r="B703" s="26" t="s">
        <v>865</v>
      </c>
      <c r="D703" s="18" t="str">
        <f>IFERROR(__xludf.DUMMYFUNCTION("""COMPUTED_VALUE"""),"tech.smithy.weapon_grease")</f>
        <v>tech.smithy.weapon_grease</v>
      </c>
      <c r="E703" s="18" t="str">
        <f>IFERROR(__xludf.DUMMYFUNCTION("""COMPUTED_VALUE"""),"building.smithy.maxed")</f>
        <v>building.smithy.maxed</v>
      </c>
    </row>
    <row r="704" ht="14.25" customHeight="1">
      <c r="A704" s="26" t="s">
        <v>1843</v>
      </c>
      <c r="B704" s="26" t="s">
        <v>1827</v>
      </c>
      <c r="D704" s="18" t="str">
        <f>IFERROR(__xludf.DUMMYFUNCTION("""COMPUTED_VALUE"""),"tech.tailor.ariadnes_thread")</f>
        <v>tech.tailor.ariadnes_thread</v>
      </c>
      <c r="E704" s="18" t="str">
        <f>IFERROR(__xludf.DUMMYFUNCTION("""COMPUTED_VALUE"""),"building.tailor@2")</f>
        <v>building.tailor@2</v>
      </c>
    </row>
    <row r="705" ht="14.25" customHeight="1">
      <c r="A705" s="26" t="s">
        <v>1843</v>
      </c>
      <c r="B705" s="26" t="s">
        <v>865</v>
      </c>
      <c r="D705" s="18" t="str">
        <f>IFERROR(__xludf.DUMMYFUNCTION("""COMPUTED_VALUE"""),"tech.tailor.ariadnes_thread")</f>
        <v>tech.tailor.ariadnes_thread</v>
      </c>
      <c r="E705" s="18" t="str">
        <f>IFERROR(__xludf.DUMMYFUNCTION("""COMPUTED_VALUE"""),"building.tailor.maxed")</f>
        <v>building.tailor.maxed</v>
      </c>
    </row>
    <row r="706" ht="14.25" customHeight="1">
      <c r="A706" s="26" t="s">
        <v>1845</v>
      </c>
      <c r="B706" s="26" t="s">
        <v>421</v>
      </c>
      <c r="D706" s="18" t="str">
        <f>IFERROR(__xludf.DUMMYFUNCTION("""COMPUTED_VALUE"""),"tech.tailor.armor_for_a_hero_lvl_1")</f>
        <v>tech.tailor.armor_for_a_hero_lvl_1</v>
      </c>
      <c r="E706" s="18" t="str">
        <f>IFERROR(__xludf.DUMMYFUNCTION("""COMPUTED_VALUE"""),"building.tailor@2")</f>
        <v>building.tailor@2</v>
      </c>
    </row>
    <row r="707" ht="14.25" customHeight="1">
      <c r="A707" s="26" t="s">
        <v>1845</v>
      </c>
      <c r="B707" s="26" t="s">
        <v>877</v>
      </c>
      <c r="D707" s="18" t="str">
        <f>IFERROR(__xludf.DUMMYFUNCTION("""COMPUTED_VALUE"""),"tech.tailor.armor_for_a_hero_lvl_1")</f>
        <v>tech.tailor.armor_for_a_hero_lvl_1</v>
      </c>
      <c r="E707" s="18" t="str">
        <f>IFERROR(__xludf.DUMMYFUNCTION("""COMPUTED_VALUE"""),"building.tailor.maxed")</f>
        <v>building.tailor.maxed</v>
      </c>
    </row>
    <row r="708" ht="14.25" customHeight="1">
      <c r="A708" s="26" t="s">
        <v>1847</v>
      </c>
      <c r="B708" s="26" t="s">
        <v>421</v>
      </c>
      <c r="D708" s="18" t="str">
        <f>IFERROR(__xludf.DUMMYFUNCTION("""COMPUTED_VALUE"""),"tech.tailor.armor_for_a_hero_lvl_2")</f>
        <v>tech.tailor.armor_for_a_hero_lvl_2</v>
      </c>
      <c r="E708" s="18" t="str">
        <f>IFERROR(__xludf.DUMMYFUNCTION("""COMPUTED_VALUE"""),"tech.tailor.armor_for_a_hero_lvl_1")</f>
        <v>tech.tailor.armor_for_a_hero_lvl_1</v>
      </c>
    </row>
    <row r="709" ht="14.25" customHeight="1">
      <c r="A709" s="26" t="s">
        <v>1847</v>
      </c>
      <c r="B709" s="26" t="s">
        <v>877</v>
      </c>
      <c r="D709" s="18" t="str">
        <f>IFERROR(__xludf.DUMMYFUNCTION("""COMPUTED_VALUE"""),"tech.tailor.armor_for_a_hero_lvl_2")</f>
        <v>tech.tailor.armor_for_a_hero_lvl_2</v>
      </c>
      <c r="E709" s="18" t="str">
        <f>IFERROR(__xludf.DUMMYFUNCTION("""COMPUTED_VALUE"""),"building.tailor.maxed")</f>
        <v>building.tailor.maxed</v>
      </c>
    </row>
    <row r="710" ht="14.25" customHeight="1">
      <c r="A710" s="26" t="s">
        <v>1850</v>
      </c>
      <c r="B710" s="26" t="s">
        <v>1847</v>
      </c>
      <c r="D710" s="18" t="str">
        <f>IFERROR(__xludf.DUMMYFUNCTION("""COMPUTED_VALUE"""),"tech.tailor.armor_for_a_hero_lvl_3")</f>
        <v>tech.tailor.armor_for_a_hero_lvl_3</v>
      </c>
      <c r="E710" s="18" t="str">
        <f>IFERROR(__xludf.DUMMYFUNCTION("""COMPUTED_VALUE"""),"tech.tailor.armor_for_a_hero_lvl_2")</f>
        <v>tech.tailor.armor_for_a_hero_lvl_2</v>
      </c>
    </row>
    <row r="711" ht="14.25" customHeight="1">
      <c r="A711" s="26" t="s">
        <v>1850</v>
      </c>
      <c r="B711" s="26" t="s">
        <v>877</v>
      </c>
      <c r="D711" s="18" t="str">
        <f>IFERROR(__xludf.DUMMYFUNCTION("""COMPUTED_VALUE"""),"tech.tailor.armor_for_a_hero_lvl_3")</f>
        <v>tech.tailor.armor_for_a_hero_lvl_3</v>
      </c>
      <c r="E711" s="18" t="str">
        <f>IFERROR(__xludf.DUMMYFUNCTION("""COMPUTED_VALUE"""),"building.tailor.maxed")</f>
        <v>building.tailor.maxed</v>
      </c>
    </row>
    <row r="712" ht="14.25" customHeight="1">
      <c r="A712" s="26" t="s">
        <v>1852</v>
      </c>
      <c r="B712" s="26" t="s">
        <v>1850</v>
      </c>
      <c r="D712" s="18" t="str">
        <f>IFERROR(__xludf.DUMMYFUNCTION("""COMPUTED_VALUE"""),"tech.tailor.armor_for_a_hero_lvl_4")</f>
        <v>tech.tailor.armor_for_a_hero_lvl_4</v>
      </c>
      <c r="E712" s="18" t="str">
        <f>IFERROR(__xludf.DUMMYFUNCTION("""COMPUTED_VALUE"""),"tech.tailor.salamander_velour")</f>
        <v>tech.tailor.salamander_velour</v>
      </c>
    </row>
    <row r="713" ht="14.25" customHeight="1">
      <c r="A713" s="26" t="s">
        <v>1852</v>
      </c>
      <c r="B713" s="26" t="s">
        <v>877</v>
      </c>
      <c r="D713" s="18" t="str">
        <f>IFERROR(__xludf.DUMMYFUNCTION("""COMPUTED_VALUE"""),"tech.tailor.armor_for_a_hero_lvl_4")</f>
        <v>tech.tailor.armor_for_a_hero_lvl_4</v>
      </c>
      <c r="E713" s="18" t="str">
        <f>IFERROR(__xludf.DUMMYFUNCTION("""COMPUTED_VALUE"""),"tech.furnace.titanium_parts")</f>
        <v>tech.furnace.titanium_parts</v>
      </c>
    </row>
    <row r="714" ht="14.25" customHeight="1">
      <c r="A714" s="26" t="s">
        <v>1854</v>
      </c>
      <c r="B714" s="26" t="s">
        <v>1863</v>
      </c>
      <c r="D714" s="18" t="str">
        <f>IFERROR(__xludf.DUMMYFUNCTION("""COMPUTED_VALUE"""),"tech.tailor.armor_for_a_hero_lvl_4")</f>
        <v>tech.tailor.armor_for_a_hero_lvl_4</v>
      </c>
      <c r="E714" s="18" t="str">
        <f>IFERROR(__xludf.DUMMYFUNCTION("""COMPUTED_VALUE"""),"quest.once_upon_a_forest_chapter_9.accepted")</f>
        <v>quest.once_upon_a_forest_chapter_9.accepted</v>
      </c>
    </row>
    <row r="715" ht="14.25" customHeight="1">
      <c r="A715" s="26" t="s">
        <v>1854</v>
      </c>
      <c r="B715" s="26" t="s">
        <v>1793</v>
      </c>
      <c r="D715" s="18" t="str">
        <f>IFERROR(__xludf.DUMMYFUNCTION("""COMPUTED_VALUE"""),"tech.tailor.armor_for_a_hero_lvl_4")</f>
        <v>tech.tailor.armor_for_a_hero_lvl_4</v>
      </c>
      <c r="E715" s="18" t="str">
        <f>IFERROR(__xludf.DUMMYFUNCTION("""COMPUTED_VALUE"""),"building.tailor.maxed")</f>
        <v>building.tailor.maxed</v>
      </c>
    </row>
    <row r="716" ht="14.25" customHeight="1">
      <c r="A716" s="26" t="s">
        <v>1854</v>
      </c>
      <c r="B716" s="26" t="s">
        <v>1200</v>
      </c>
      <c r="D716" s="18" t="str">
        <f>IFERROR(__xludf.DUMMYFUNCTION("""COMPUTED_VALUE"""),"tech.tailor.armor_for_a_hero_lvl_4+")</f>
        <v>tech.tailor.armor_for_a_hero_lvl_4+</v>
      </c>
      <c r="E716" s="18" t="str">
        <f>IFERROR(__xludf.DUMMYFUNCTION("""COMPUTED_VALUE"""),"tech.tailor.armor_for_a_hero_lvl_4")</f>
        <v>tech.tailor.armor_for_a_hero_lvl_4</v>
      </c>
    </row>
    <row r="717" ht="14.25" customHeight="1">
      <c r="A717" s="26" t="s">
        <v>1854</v>
      </c>
      <c r="B717" s="26" t="s">
        <v>877</v>
      </c>
      <c r="D717" s="18" t="str">
        <f>IFERROR(__xludf.DUMMYFUNCTION("""COMPUTED_VALUE"""),"tech.tailor.armor_for_a_hero_lvl_4+")</f>
        <v>tech.tailor.armor_for_a_hero_lvl_4+</v>
      </c>
      <c r="E717" s="18" t="str">
        <f>IFERROR(__xludf.DUMMYFUNCTION("""COMPUTED_VALUE"""),"quest.the_ordinary_days_of_an_adventurer_chapter_4.accepted")</f>
        <v>quest.the_ordinary_days_of_an_adventurer_chapter_4.accepted</v>
      </c>
    </row>
    <row r="718" ht="14.25" customHeight="1">
      <c r="A718" s="26" t="s">
        <v>1856</v>
      </c>
      <c r="B718" s="82" t="s">
        <v>1854</v>
      </c>
      <c r="D718" s="18" t="str">
        <f>IFERROR(__xludf.DUMMYFUNCTION("""COMPUTED_VALUE"""),"tech.tailor.armor_for_a_hero_lvl_4+")</f>
        <v>tech.tailor.armor_for_a_hero_lvl_4+</v>
      </c>
      <c r="E718" s="18" t="str">
        <f>IFERROR(__xludf.DUMMYFUNCTION("""COMPUTED_VALUE"""),"building.tailor.maxed")</f>
        <v>building.tailor.maxed</v>
      </c>
    </row>
    <row r="719" ht="14.25" customHeight="1">
      <c r="A719" s="26" t="s">
        <v>1856</v>
      </c>
      <c r="B719" s="82" t="s">
        <v>1316</v>
      </c>
      <c r="D719" s="18" t="str">
        <f>IFERROR(__xludf.DUMMYFUNCTION("""COMPUTED_VALUE"""),"tech.tailor.bedroll")</f>
        <v>tech.tailor.bedroll</v>
      </c>
      <c r="E719" s="18" t="str">
        <f>IFERROR(__xludf.DUMMYFUNCTION("""COMPUTED_VALUE"""),"quest.once_upon_a_forest_chapter_5.finished")</f>
        <v>quest.once_upon_a_forest_chapter_5.finished</v>
      </c>
    </row>
    <row r="720" ht="14.25" customHeight="1">
      <c r="A720" s="26" t="s">
        <v>1856</v>
      </c>
      <c r="B720" s="26" t="s">
        <v>877</v>
      </c>
      <c r="D720" s="18" t="str">
        <f>IFERROR(__xludf.DUMMYFUNCTION("""COMPUTED_VALUE"""),"tech.tailor.bedroll")</f>
        <v>tech.tailor.bedroll</v>
      </c>
      <c r="E720" s="18" t="str">
        <f>IFERROR(__xludf.DUMMYFUNCTION("""COMPUTED_VALUE"""),"building.tailor.maxed")</f>
        <v>building.tailor.maxed</v>
      </c>
    </row>
    <row r="721" ht="14.25" customHeight="1">
      <c r="A721" s="26" t="s">
        <v>1858</v>
      </c>
      <c r="B721" s="26" t="s">
        <v>1165</v>
      </c>
      <c r="D721" s="18" t="str">
        <f>IFERROR(__xludf.DUMMYFUNCTION("""COMPUTED_VALUE"""),"tech.tailor.colored_threads")</f>
        <v>tech.tailor.colored_threads</v>
      </c>
      <c r="E721" s="18" t="str">
        <f>IFERROR(__xludf.DUMMYFUNCTION("""COMPUTED_VALUE"""),"building.tailor@2")</f>
        <v>building.tailor@2</v>
      </c>
    </row>
    <row r="722" ht="14.25" customHeight="1">
      <c r="A722" s="26" t="s">
        <v>1858</v>
      </c>
      <c r="B722" s="26" t="s">
        <v>877</v>
      </c>
      <c r="D722" s="18" t="str">
        <f>IFERROR(__xludf.DUMMYFUNCTION("""COMPUTED_VALUE"""),"tech.tailor.colored_threads")</f>
        <v>tech.tailor.colored_threads</v>
      </c>
      <c r="E722" s="18" t="str">
        <f>IFERROR(__xludf.DUMMYFUNCTION("""COMPUTED_VALUE"""),"building.tailor.maxed")</f>
        <v>building.tailor.maxed</v>
      </c>
    </row>
    <row r="723" ht="14.25" customHeight="1">
      <c r="A723" s="26" t="s">
        <v>1861</v>
      </c>
      <c r="B723" s="26" t="s">
        <v>421</v>
      </c>
      <c r="D723" s="18" t="str">
        <f>IFERROR(__xludf.DUMMYFUNCTION("""COMPUTED_VALUE"""),"tech.tailor.salamander_velour")</f>
        <v>tech.tailor.salamander_velour</v>
      </c>
      <c r="E723" s="18" t="str">
        <f>IFERROR(__xludf.DUMMYFUNCTION("""COMPUTED_VALUE"""),"quest.once_upon_a_forest_chapter_10.finished")</f>
        <v>quest.once_upon_a_forest_chapter_10.finished</v>
      </c>
    </row>
    <row r="724" ht="14.25" customHeight="1">
      <c r="A724" s="26" t="s">
        <v>1861</v>
      </c>
      <c r="B724" s="26" t="s">
        <v>877</v>
      </c>
      <c r="D724" s="18" t="str">
        <f>IFERROR(__xludf.DUMMYFUNCTION("""COMPUTED_VALUE"""),"tech.tailor.salamander_velour")</f>
        <v>tech.tailor.salamander_velour</v>
      </c>
      <c r="E724" s="18" t="str">
        <f>IFERROR(__xludf.DUMMYFUNCTION("""COMPUTED_VALUE"""),"building.tailor.maxed")</f>
        <v>building.tailor.maxed</v>
      </c>
    </row>
    <row r="725" ht="14.25" customHeight="1">
      <c r="A725" s="26" t="s">
        <v>1863</v>
      </c>
      <c r="B725" s="26" t="s">
        <v>1084</v>
      </c>
      <c r="D725" s="18" t="str">
        <f>IFERROR(__xludf.DUMMYFUNCTION("""COMPUTED_VALUE"""),"tech.tailor.strong_rivets")</f>
        <v>tech.tailor.strong_rivets</v>
      </c>
      <c r="E725" s="18" t="str">
        <f>IFERROR(__xludf.DUMMYFUNCTION("""COMPUTED_VALUE"""),"tech.tailor.armor_for_a_hero_lvl_1")</f>
        <v>tech.tailor.armor_for_a_hero_lvl_1</v>
      </c>
    </row>
    <row r="726" ht="14.25" customHeight="1">
      <c r="A726" s="26" t="s">
        <v>1863</v>
      </c>
      <c r="B726" s="26" t="s">
        <v>877</v>
      </c>
      <c r="D726" s="18" t="str">
        <f>IFERROR(__xludf.DUMMYFUNCTION("""COMPUTED_VALUE"""),"tech.tailor.strong_rivets")</f>
        <v>tech.tailor.strong_rivets</v>
      </c>
      <c r="E726" s="18" t="str">
        <f>IFERROR(__xludf.DUMMYFUNCTION("""COMPUTED_VALUE"""),"building.tailor.maxed")</f>
        <v>building.tailor.maxed</v>
      </c>
    </row>
    <row r="727" ht="14.25" customHeight="1">
      <c r="A727" s="26" t="s">
        <v>1865</v>
      </c>
      <c r="B727" s="26" t="s">
        <v>1847</v>
      </c>
      <c r="D727" s="18" t="str">
        <f>IFERROR(__xludf.DUMMYFUNCTION("""COMPUTED_VALUE"""),"tech.tailor.strong_stitch")</f>
        <v>tech.tailor.strong_stitch</v>
      </c>
      <c r="E727" s="18" t="str">
        <f>IFERROR(__xludf.DUMMYFUNCTION("""COMPUTED_VALUE"""),"building.tailor@2")</f>
        <v>building.tailor@2</v>
      </c>
    </row>
    <row r="728" ht="14.25" customHeight="1">
      <c r="A728" s="26" t="s">
        <v>1865</v>
      </c>
      <c r="B728" s="26" t="s">
        <v>877</v>
      </c>
      <c r="D728" s="18" t="str">
        <f>IFERROR(__xludf.DUMMYFUNCTION("""COMPUTED_VALUE"""),"tech.tailor.strong_stitch")</f>
        <v>tech.tailor.strong_stitch</v>
      </c>
      <c r="E728" s="18" t="str">
        <f>IFERROR(__xludf.DUMMYFUNCTION("""COMPUTED_VALUE"""),"building.tailor.maxed")</f>
        <v>building.tailor.maxed</v>
      </c>
    </row>
    <row r="729" ht="14.25" customHeight="1">
      <c r="A729" s="26" t="s">
        <v>1867</v>
      </c>
      <c r="B729" s="26" t="s">
        <v>421</v>
      </c>
      <c r="D729" s="18" t="str">
        <f>IFERROR(__xludf.DUMMYFUNCTION("""COMPUTED_VALUE"""),"tech.train.automatic_lubricator")</f>
        <v>tech.train.automatic_lubricator</v>
      </c>
      <c r="E729" s="18" t="str">
        <f>IFERROR(__xludf.DUMMYFUNCTION("""COMPUTED_VALUE"""),"building.train@1")</f>
        <v>building.train@1</v>
      </c>
    </row>
    <row r="730" ht="14.25" customHeight="1">
      <c r="A730" s="26" t="s">
        <v>1867</v>
      </c>
      <c r="B730" s="26" t="s">
        <v>877</v>
      </c>
      <c r="D730" s="18" t="str">
        <f>IFERROR(__xludf.DUMMYFUNCTION("""COMPUTED_VALUE"""),"tech.train.automatic_lubricator")</f>
        <v>tech.train.automatic_lubricator</v>
      </c>
      <c r="E730" s="18" t="str">
        <f>IFERROR(__xludf.DUMMYFUNCTION("""COMPUTED_VALUE"""),"building.train.maxed")</f>
        <v>building.train.maxed</v>
      </c>
    </row>
    <row r="731" ht="14.25" customHeight="1">
      <c r="A731" s="26" t="s">
        <v>1870</v>
      </c>
      <c r="B731" s="26" t="s">
        <v>427</v>
      </c>
      <c r="D731" s="18" t="str">
        <f>IFERROR(__xludf.DUMMYFUNCTION("""COMPUTED_VALUE"""),"tech.train.compound_engine")</f>
        <v>tech.train.compound_engine</v>
      </c>
      <c r="E731" s="18" t="str">
        <f>IFERROR(__xludf.DUMMYFUNCTION("""COMPUTED_VALUE"""),"building.train@1")</f>
        <v>building.train@1</v>
      </c>
    </row>
    <row r="732" ht="14.25" customHeight="1">
      <c r="A732" s="26" t="s">
        <v>1870</v>
      </c>
      <c r="B732" s="26" t="s">
        <v>886</v>
      </c>
      <c r="D732" s="18" t="str">
        <f>IFERROR(__xludf.DUMMYFUNCTION("""COMPUTED_VALUE"""),"tech.train.compound_engine")</f>
        <v>tech.train.compound_engine</v>
      </c>
      <c r="E732" s="18" t="str">
        <f>IFERROR(__xludf.DUMMYFUNCTION("""COMPUTED_VALUE"""),"building.train.maxed")</f>
        <v>building.train.maxed</v>
      </c>
    </row>
    <row r="733" ht="14.25" customHeight="1">
      <c r="A733" s="26" t="s">
        <v>1872</v>
      </c>
      <c r="B733" s="26" t="s">
        <v>427</v>
      </c>
      <c r="D733" s="18" t="str">
        <f>IFERROR(__xludf.DUMMYFUNCTION("""COMPUTED_VALUE"""),"tech.train.onboard_computer")</f>
        <v>tech.train.onboard_computer</v>
      </c>
      <c r="E733" s="18" t="str">
        <f>IFERROR(__xludf.DUMMYFUNCTION("""COMPUTED_VALUE"""),"quest.ahead_of_time_chapter_5.finished")</f>
        <v>quest.ahead_of_time_chapter_5.finished</v>
      </c>
    </row>
    <row r="734" ht="14.25" customHeight="1">
      <c r="A734" s="26" t="s">
        <v>1872</v>
      </c>
      <c r="B734" s="26" t="s">
        <v>886</v>
      </c>
      <c r="D734" s="18" t="str">
        <f>IFERROR(__xludf.DUMMYFUNCTION("""COMPUTED_VALUE"""),"tech.train.onboard_computer")</f>
        <v>tech.train.onboard_computer</v>
      </c>
      <c r="E734" s="18" t="str">
        <f>IFERROR(__xludf.DUMMYFUNCTION("""COMPUTED_VALUE"""),"building.train.maxed")</f>
        <v>building.train.maxed</v>
      </c>
    </row>
    <row r="735" ht="14.25" customHeight="1">
      <c r="A735" s="26" t="s">
        <v>1874</v>
      </c>
      <c r="B735" s="26" t="s">
        <v>963</v>
      </c>
      <c r="D735" s="18" t="str">
        <f>IFERROR(__xludf.DUMMYFUNCTION("""COMPUTED_VALUE"""),"tech.train.superheater")</f>
        <v>tech.train.superheater</v>
      </c>
      <c r="E735" s="18" t="str">
        <f>IFERROR(__xludf.DUMMYFUNCTION("""COMPUTED_VALUE"""),"building.train@1")</f>
        <v>building.train@1</v>
      </c>
    </row>
    <row r="736" ht="14.25" customHeight="1">
      <c r="A736" s="26" t="s">
        <v>1874</v>
      </c>
      <c r="B736" s="26" t="s">
        <v>886</v>
      </c>
      <c r="D736" s="18" t="str">
        <f>IFERROR(__xludf.DUMMYFUNCTION("""COMPUTED_VALUE"""),"tech.train.superheater")</f>
        <v>tech.train.superheater</v>
      </c>
      <c r="E736" s="18" t="str">
        <f>IFERROR(__xludf.DUMMYFUNCTION("""COMPUTED_VALUE"""),"building.train.maxed")</f>
        <v>building.train.maxed</v>
      </c>
    </row>
    <row r="737" ht="14.25" customHeight="1">
      <c r="A737" s="26" t="s">
        <v>1877</v>
      </c>
      <c r="B737" s="26" t="s">
        <v>427</v>
      </c>
      <c r="D737" s="18" t="str">
        <f>IFERROR(__xludf.DUMMYFUNCTION("""COMPUTED_VALUE"""),"tech.train.titanium_components")</f>
        <v>tech.train.titanium_components</v>
      </c>
      <c r="E737" s="18" t="str">
        <f>IFERROR(__xludf.DUMMYFUNCTION("""COMPUTED_VALUE"""),"quest.once_upon_a_forest_chapter_11.finished")</f>
        <v>quest.once_upon_a_forest_chapter_11.finished</v>
      </c>
    </row>
    <row r="738" ht="14.25" customHeight="1">
      <c r="A738" s="26" t="s">
        <v>1877</v>
      </c>
      <c r="B738" s="26" t="s">
        <v>886</v>
      </c>
      <c r="D738" s="18" t="str">
        <f>IFERROR(__xludf.DUMMYFUNCTION("""COMPUTED_VALUE"""),"tech.train.titanium_components")</f>
        <v>tech.train.titanium_components</v>
      </c>
      <c r="E738" s="18" t="str">
        <f>IFERROR(__xludf.DUMMYFUNCTION("""COMPUTED_VALUE"""),"building.train.maxed")</f>
        <v>building.train.maxed</v>
      </c>
    </row>
    <row r="739" ht="14.25" customHeight="1">
      <c r="A739" s="26" t="s">
        <v>1879</v>
      </c>
      <c r="B739" s="26" t="s">
        <v>1094</v>
      </c>
      <c r="D739" s="18" t="str">
        <f>IFERROR(__xludf.DUMMYFUNCTION("""COMPUTED_VALUE"""),"tech.warehouse.stackable_racks_lvl_1")</f>
        <v>tech.warehouse.stackable_racks_lvl_1</v>
      </c>
      <c r="E739" s="18" t="str">
        <f>IFERROR(__xludf.DUMMYFUNCTION("""COMPUTED_VALUE"""),"building.warehouse.maxed")</f>
        <v>building.warehouse.maxed</v>
      </c>
    </row>
    <row r="740" ht="14.25" customHeight="1">
      <c r="A740" s="26" t="s">
        <v>1879</v>
      </c>
      <c r="B740" s="26" t="s">
        <v>886</v>
      </c>
      <c r="D740" s="18" t="str">
        <f>IFERROR(__xludf.DUMMYFUNCTION("""COMPUTED_VALUE"""),"tech.warehouse.stackable_racks_lvl_2")</f>
        <v>tech.warehouse.stackable_racks_lvl_2</v>
      </c>
      <c r="E740" s="18" t="str">
        <f>IFERROR(__xludf.DUMMYFUNCTION("""COMPUTED_VALUE"""),"tech.warehouse.stackable_racks_lvl_1")</f>
        <v>tech.warehouse.stackable_racks_lvl_1</v>
      </c>
    </row>
    <row r="741" ht="14.25" customHeight="1">
      <c r="A741" s="26" t="s">
        <v>1881</v>
      </c>
      <c r="B741" s="26" t="s">
        <v>900</v>
      </c>
      <c r="D741" s="18" t="str">
        <f>IFERROR(__xludf.DUMMYFUNCTION("""COMPUTED_VALUE"""),"tech.warehouse.stackable_racks_lvl_2")</f>
        <v>tech.warehouse.stackable_racks_lvl_2</v>
      </c>
      <c r="E741" s="18" t="str">
        <f>IFERROR(__xludf.DUMMYFUNCTION("""COMPUTED_VALUE"""),"building.warehouse.maxed")</f>
        <v>building.warehouse.maxed</v>
      </c>
    </row>
    <row r="742" ht="14.25" customHeight="1">
      <c r="A742" s="26" t="s">
        <v>1883</v>
      </c>
      <c r="B742" s="26" t="s">
        <v>1881</v>
      </c>
      <c r="D742" s="18" t="str">
        <f>IFERROR(__xludf.DUMMYFUNCTION("""COMPUTED_VALUE"""),"tech.warehouse.stackable_racks_lvl_3")</f>
        <v>tech.warehouse.stackable_racks_lvl_3</v>
      </c>
      <c r="E742" s="18" t="str">
        <f>IFERROR(__xludf.DUMMYFUNCTION("""COMPUTED_VALUE"""),"tech.warehouse.stackable_racks_lvl_2")</f>
        <v>tech.warehouse.stackable_racks_lvl_2</v>
      </c>
    </row>
    <row r="743" ht="14.25" customHeight="1">
      <c r="A743" s="26" t="s">
        <v>1883</v>
      </c>
      <c r="B743" s="26" t="s">
        <v>900</v>
      </c>
      <c r="D743" s="18" t="str">
        <f>IFERROR(__xludf.DUMMYFUNCTION("""COMPUTED_VALUE"""),"tech.warehouse.stackable_racks_lvl_3")</f>
        <v>tech.warehouse.stackable_racks_lvl_3</v>
      </c>
      <c r="E743" s="18" t="str">
        <f>IFERROR(__xludf.DUMMYFUNCTION("""COMPUTED_VALUE"""),"building.warehouse.maxed")</f>
        <v>building.warehouse.maxed</v>
      </c>
    </row>
    <row r="744" ht="14.25" customHeight="1">
      <c r="A744" s="26" t="s">
        <v>1885</v>
      </c>
      <c r="B744" s="26" t="s">
        <v>1883</v>
      </c>
      <c r="D744" s="18" t="str">
        <f>IFERROR(__xludf.DUMMYFUNCTION("""COMPUTED_VALUE"""),"tech.windmill.bone_meal")</f>
        <v>tech.windmill.bone_meal</v>
      </c>
      <c r="E744" s="18" t="str">
        <f>IFERROR(__xludf.DUMMYFUNCTION("""COMPUTED_VALUE"""),"building.windmill.maxed")</f>
        <v>building.windmill.maxed</v>
      </c>
    </row>
    <row r="745" ht="14.25" customHeight="1">
      <c r="A745" s="26" t="s">
        <v>1885</v>
      </c>
      <c r="B745" s="26" t="s">
        <v>900</v>
      </c>
      <c r="D745" s="18" t="str">
        <f>IFERROR(__xludf.DUMMYFUNCTION("""COMPUTED_VALUE"""),"tech.workshop.conveyor_lvl_1")</f>
        <v>tech.workshop.conveyor_lvl_1</v>
      </c>
      <c r="E745" s="18" t="str">
        <f>IFERROR(__xludf.DUMMYFUNCTION("""COMPUTED_VALUE"""),"building.workshop.maxed")</f>
        <v>building.workshop.maxed</v>
      </c>
    </row>
    <row r="746" ht="14.25" customHeight="1">
      <c r="A746" s="26" t="s">
        <v>1888</v>
      </c>
      <c r="B746" s="26" t="s">
        <v>915</v>
      </c>
      <c r="D746" s="18" t="str">
        <f>IFERROR(__xludf.DUMMYFUNCTION("""COMPUTED_VALUE"""),"tech.workshop.conveyor_lvl_2")</f>
        <v>tech.workshop.conveyor_lvl_2</v>
      </c>
      <c r="E746" s="18" t="str">
        <f>IFERROR(__xludf.DUMMYFUNCTION("""COMPUTED_VALUE"""),"tech.workshop.conveyor_lvl_1")</f>
        <v>tech.workshop.conveyor_lvl_1</v>
      </c>
    </row>
    <row r="747" ht="14.25" customHeight="1">
      <c r="A747" s="26" t="s">
        <v>1891</v>
      </c>
      <c r="B747" s="26" t="s">
        <v>921</v>
      </c>
      <c r="D747" s="18" t="str">
        <f>IFERROR(__xludf.DUMMYFUNCTION("""COMPUTED_VALUE"""),"tech.workshop.explosive_mechanical_spider")</f>
        <v>tech.workshop.explosive_mechanical_spider</v>
      </c>
      <c r="E747" s="18" t="str">
        <f>IFERROR(__xludf.DUMMYFUNCTION("""COMPUTED_VALUE"""),"tech.workshop.mechanical_spider")</f>
        <v>tech.workshop.mechanical_spider</v>
      </c>
    </row>
    <row r="748" ht="14.25" customHeight="1">
      <c r="A748" s="26" t="s">
        <v>1893</v>
      </c>
      <c r="B748" s="26" t="s">
        <v>1891</v>
      </c>
      <c r="D748" s="18" t="str">
        <f>IFERROR(__xludf.DUMMYFUNCTION("""COMPUTED_VALUE"""),"tech.workshop.explosive_mechanical_spider")</f>
        <v>tech.workshop.explosive_mechanical_spider</v>
      </c>
      <c r="E748" s="18" t="str">
        <f>IFERROR(__xludf.DUMMYFUNCTION("""COMPUTED_VALUE"""),"building.workshop.maxed")</f>
        <v>building.workshop.maxed</v>
      </c>
    </row>
    <row r="749" ht="14.25" customHeight="1">
      <c r="A749" s="26" t="s">
        <v>1895</v>
      </c>
      <c r="B749" s="26" t="s">
        <v>1898</v>
      </c>
      <c r="D749" s="18" t="str">
        <f>IFERROR(__xludf.DUMMYFUNCTION("""COMPUTED_VALUE"""),"tech.workshop.mechanical_spider")</f>
        <v>tech.workshop.mechanical_spider</v>
      </c>
      <c r="E749" s="18" t="str">
        <f>IFERROR(__xludf.DUMMYFUNCTION("""COMPUTED_VALUE"""),"tech.workshop.mechanism")</f>
        <v>tech.workshop.mechanism</v>
      </c>
    </row>
    <row r="750" ht="14.25" customHeight="1">
      <c r="A750" s="26" t="s">
        <v>1895</v>
      </c>
      <c r="B750" s="26" t="s">
        <v>921</v>
      </c>
      <c r="D750" s="18" t="str">
        <f>IFERROR(__xludf.DUMMYFUNCTION("""COMPUTED_VALUE"""),"tech.workshop.mechanical_spider")</f>
        <v>tech.workshop.mechanical_spider</v>
      </c>
      <c r="E750" s="18" t="str">
        <f>IFERROR(__xludf.DUMMYFUNCTION("""COMPUTED_VALUE"""),"building.workshop.maxed")</f>
        <v>building.workshop.maxed</v>
      </c>
    </row>
    <row r="751" ht="14.25" customHeight="1">
      <c r="A751" s="26" t="s">
        <v>1898</v>
      </c>
      <c r="B751" s="26" t="s">
        <v>1900</v>
      </c>
      <c r="D751" s="18" t="str">
        <f>IFERROR(__xludf.DUMMYFUNCTION("""COMPUTED_VALUE"""),"tech.workshop.mechanism")</f>
        <v>tech.workshop.mechanism</v>
      </c>
      <c r="E751" s="18" t="str">
        <f>IFERROR(__xludf.DUMMYFUNCTION("""COMPUTED_VALUE"""),"building.workshop.maxed")</f>
        <v>building.workshop.maxed</v>
      </c>
    </row>
    <row r="752" ht="14.25" customHeight="1">
      <c r="A752" s="26" t="s">
        <v>1898</v>
      </c>
      <c r="B752" s="26" t="s">
        <v>921</v>
      </c>
      <c r="D752" s="18" t="str">
        <f>IFERROR(__xludf.DUMMYFUNCTION("""COMPUTED_VALUE"""),"tech.workshop.shield_for_a_hero_lvl_1")</f>
        <v>tech.workshop.shield_for_a_hero_lvl_1</v>
      </c>
      <c r="E752" s="18" t="str">
        <f>IFERROR(__xludf.DUMMYFUNCTION("""COMPUTED_VALUE"""),"building.workshop.maxed")</f>
        <v>building.workshop.maxed</v>
      </c>
    </row>
    <row r="753" ht="14.25" customHeight="1">
      <c r="A753" s="26" t="s">
        <v>1900</v>
      </c>
      <c r="B753" s="26" t="s">
        <v>921</v>
      </c>
      <c r="D753" s="18" t="str">
        <f>IFERROR(__xludf.DUMMYFUNCTION("""COMPUTED_VALUE"""),"tech.workshop.shield_for_a_hero_lvl_2")</f>
        <v>tech.workshop.shield_for_a_hero_lvl_2</v>
      </c>
      <c r="E753" s="18" t="str">
        <f>IFERROR(__xludf.DUMMYFUNCTION("""COMPUTED_VALUE"""),"tech.workshop.shield_for_a_hero_lvl_1")</f>
        <v>tech.workshop.shield_for_a_hero_lvl_1</v>
      </c>
    </row>
    <row r="754" ht="14.25" customHeight="1">
      <c r="A754" s="26" t="s">
        <v>1902</v>
      </c>
      <c r="B754" s="26" t="s">
        <v>921</v>
      </c>
      <c r="D754" s="18" t="str">
        <f>IFERROR(__xludf.DUMMYFUNCTION("""COMPUTED_VALUE"""),"tech.workshop.shield_for_a_hero_lvl_2")</f>
        <v>tech.workshop.shield_for_a_hero_lvl_2</v>
      </c>
      <c r="E754" s="18" t="str">
        <f>IFERROR(__xludf.DUMMYFUNCTION("""COMPUTED_VALUE"""),"building.workshop.maxed")</f>
        <v>building.workshop.maxed</v>
      </c>
    </row>
    <row r="755" ht="14.25" customHeight="1">
      <c r="A755" s="26" t="s">
        <v>1904</v>
      </c>
      <c r="B755" s="26" t="s">
        <v>1902</v>
      </c>
      <c r="D755" s="18" t="str">
        <f>IFERROR(__xludf.DUMMYFUNCTION("""COMPUTED_VALUE"""),"tech.workshop.shield_for_a_hero_lvl_3")</f>
        <v>tech.workshop.shield_for_a_hero_lvl_3</v>
      </c>
      <c r="E755" s="18" t="str">
        <f>IFERROR(__xludf.DUMMYFUNCTION("""COMPUTED_VALUE"""),"tech.workshop.shield_for_a_hero_lvl_2")</f>
        <v>tech.workshop.shield_for_a_hero_lvl_2</v>
      </c>
    </row>
    <row r="756" ht="14.25" customHeight="1">
      <c r="A756" s="26" t="s">
        <v>1904</v>
      </c>
      <c r="B756" s="26" t="s">
        <v>921</v>
      </c>
      <c r="D756" s="18" t="str">
        <f>IFERROR(__xludf.DUMMYFUNCTION("""COMPUTED_VALUE"""),"tech.workshop.shield_for_a_hero_lvl_3")</f>
        <v>tech.workshop.shield_for_a_hero_lvl_3</v>
      </c>
      <c r="E756" s="18" t="str">
        <f>IFERROR(__xludf.DUMMYFUNCTION("""COMPUTED_VALUE"""),"building.workshop.maxed")</f>
        <v>building.workshop.maxed</v>
      </c>
    </row>
    <row r="757" ht="14.25" customHeight="1">
      <c r="A757" s="26" t="s">
        <v>1906</v>
      </c>
      <c r="B757" s="26" t="s">
        <v>1904</v>
      </c>
      <c r="D757" s="18" t="str">
        <f>IFERROR(__xludf.DUMMYFUNCTION("""COMPUTED_VALUE"""),"tech.workshop.shield_for_a_hero_lvl_4")</f>
        <v>tech.workshop.shield_for_a_hero_lvl_4</v>
      </c>
      <c r="E757" s="18" t="str">
        <f>IFERROR(__xludf.DUMMYFUNCTION("""COMPUTED_VALUE"""),"tech.workshop.shield_for_a_hero_lvl_3")</f>
        <v>tech.workshop.shield_for_a_hero_lvl_3</v>
      </c>
    </row>
    <row r="758" ht="14.25" customHeight="1">
      <c r="A758" s="26" t="s">
        <v>1906</v>
      </c>
      <c r="B758" s="26" t="s">
        <v>921</v>
      </c>
      <c r="D758" s="18" t="str">
        <f>IFERROR(__xludf.DUMMYFUNCTION("""COMPUTED_VALUE"""),"tech.workshop.shield_for_a_hero_lvl_4")</f>
        <v>tech.workshop.shield_for_a_hero_lvl_4</v>
      </c>
      <c r="E758" s="18" t="str">
        <f>IFERROR(__xludf.DUMMYFUNCTION("""COMPUTED_VALUE"""),"quest.the_ring_of_the_dark_lady.finished")</f>
        <v>quest.the_ring_of_the_dark_lady.finished</v>
      </c>
    </row>
    <row r="759" ht="14.25" customHeight="1">
      <c r="A759" s="26" t="s">
        <v>1909</v>
      </c>
      <c r="B759" s="26" t="s">
        <v>1906</v>
      </c>
      <c r="D759" s="18" t="str">
        <f>IFERROR(__xludf.DUMMYFUNCTION("""COMPUTED_VALUE"""),"tech.workshop.shield_for_a_hero_lvl_4")</f>
        <v>tech.workshop.shield_for_a_hero_lvl_4</v>
      </c>
      <c r="E759" s="18" t="str">
        <f>IFERROR(__xludf.DUMMYFUNCTION("""COMPUTED_VALUE"""),"building.workshop.maxed")</f>
        <v>building.workshop.maxed</v>
      </c>
    </row>
    <row r="760" ht="14.25" customHeight="1">
      <c r="A760" s="26" t="s">
        <v>1909</v>
      </c>
      <c r="B760" s="26" t="s">
        <v>1340</v>
      </c>
      <c r="D760" s="18" t="str">
        <f>IFERROR(__xludf.DUMMYFUNCTION("""COMPUTED_VALUE"""),"tech.workshop.shield_for_a_hero_lvl_4+")</f>
        <v>tech.workshop.shield_for_a_hero_lvl_4+</v>
      </c>
      <c r="E760" s="18" t="str">
        <f>IFERROR(__xludf.DUMMYFUNCTION("""COMPUTED_VALUE"""),"tech.workshop.shield_for_a_hero_lvl_4")</f>
        <v>tech.workshop.shield_for_a_hero_lvl_4</v>
      </c>
    </row>
    <row r="761" ht="14.25" customHeight="1">
      <c r="A761" s="26" t="s">
        <v>1909</v>
      </c>
      <c r="B761" s="26" t="s">
        <v>921</v>
      </c>
      <c r="D761" s="18" t="str">
        <f>IFERROR(__xludf.DUMMYFUNCTION("""COMPUTED_VALUE"""),"tech.workshop.shield_for_a_hero_lvl_4+")</f>
        <v>tech.workshop.shield_for_a_hero_lvl_4+</v>
      </c>
      <c r="E761" s="18" t="str">
        <f>IFERROR(__xludf.DUMMYFUNCTION("""COMPUTED_VALUE"""),"quest.the_ordinary_days_of_an_adventurer_chapter_3.accepted")</f>
        <v>quest.the_ordinary_days_of_an_adventurer_chapter_3.accepted</v>
      </c>
    </row>
    <row r="762" ht="14.25" customHeight="1">
      <c r="A762" s="26" t="s">
        <v>1911</v>
      </c>
      <c r="B762" s="26" t="s">
        <v>1909</v>
      </c>
      <c r="D762" s="18" t="str">
        <f>IFERROR(__xludf.DUMMYFUNCTION("""COMPUTED_VALUE"""),"tech.workshop.shield_for_a_hero_lvl_4+")</f>
        <v>tech.workshop.shield_for_a_hero_lvl_4+</v>
      </c>
      <c r="E762" s="18" t="str">
        <f>IFERROR(__xludf.DUMMYFUNCTION("""COMPUTED_VALUE"""),"building.workshop.maxed")</f>
        <v>building.workshop.maxed</v>
      </c>
    </row>
    <row r="763" ht="14.25" customHeight="1">
      <c r="A763" s="26" t="s">
        <v>1911</v>
      </c>
      <c r="B763" s="26" t="s">
        <v>1312</v>
      </c>
      <c r="D763" s="18" t="str">
        <f>IFERROR(__xludf.DUMMYFUNCTION("""COMPUTED_VALUE"""),"tech.workshop.steamobile")</f>
        <v>tech.workshop.steamobile</v>
      </c>
      <c r="E763" s="18" t="str">
        <f>IFERROR(__xludf.DUMMYFUNCTION("""COMPUTED_VALUE"""),"tech.workshop.mechanism")</f>
        <v>tech.workshop.mechanism</v>
      </c>
    </row>
    <row r="764" ht="14.25" customHeight="1">
      <c r="A764" s="26" t="s">
        <v>1911</v>
      </c>
      <c r="B764" s="26" t="s">
        <v>921</v>
      </c>
      <c r="D764" s="18" t="str">
        <f>IFERROR(__xludf.DUMMYFUNCTION("""COMPUTED_VALUE"""),"tech.workshop.steamobile")</f>
        <v>tech.workshop.steamobile</v>
      </c>
      <c r="E764" s="18" t="str">
        <f>IFERROR(__xludf.DUMMYFUNCTION("""COMPUTED_VALUE"""),"building.workshop.maxed")</f>
        <v>building.workshop.maxed</v>
      </c>
    </row>
    <row r="765" ht="14.25" customHeight="1">
      <c r="A765" s="26" t="s">
        <v>1913</v>
      </c>
      <c r="B765" s="26" t="s">
        <v>1900</v>
      </c>
      <c r="D765" s="18" t="str">
        <f>IFERROR(__xludf.DUMMYFUNCTION("""COMPUTED_VALUE"""),"tech.workshop.strong_glue")</f>
        <v>tech.workshop.strong_glue</v>
      </c>
      <c r="E765" s="18" t="str">
        <f>IFERROR(__xludf.DUMMYFUNCTION("""COMPUTED_VALUE"""),"tech.workshop.shield_for_a_hero_lvl_1")</f>
        <v>tech.workshop.shield_for_a_hero_lvl_1</v>
      </c>
    </row>
    <row r="766" ht="14.25" customHeight="1">
      <c r="A766" s="26" t="s">
        <v>1913</v>
      </c>
      <c r="B766" s="26" t="s">
        <v>921</v>
      </c>
      <c r="D766" s="18" t="str">
        <f>IFERROR(__xludf.DUMMYFUNCTION("""COMPUTED_VALUE"""),"tech.workshop.strong_glue")</f>
        <v>tech.workshop.strong_glue</v>
      </c>
      <c r="E766" s="18" t="str">
        <f>IFERROR(__xludf.DUMMYFUNCTION("""COMPUTED_VALUE"""),"building.workshop.maxed")</f>
        <v>building.workshop.maxed</v>
      </c>
    </row>
    <row r="767" ht="14.25" customHeight="1">
      <c r="A767" s="26" t="s">
        <v>1915</v>
      </c>
      <c r="B767" s="26" t="s">
        <v>1902</v>
      </c>
      <c r="D767" s="18" t="str">
        <f>IFERROR(__xludf.DUMMYFUNCTION("""COMPUTED_VALUE"""),"tech.workshop.throwing_net")</f>
        <v>tech.workshop.throwing_net</v>
      </c>
      <c r="E767" s="18" t="str">
        <f>IFERROR(__xludf.DUMMYFUNCTION("""COMPUTED_VALUE"""),"building.workshop.maxed")</f>
        <v>building.workshop.maxed</v>
      </c>
    </row>
    <row r="768" ht="14.25" customHeight="1">
      <c r="A768" s="26" t="s">
        <v>1915</v>
      </c>
      <c r="B768" s="26" t="s">
        <v>921</v>
      </c>
      <c r="D768" s="18" t="str">
        <f>IFERROR(__xludf.DUMMYFUNCTION("""COMPUTED_VALUE"""),"tech.workshop.zen_fountain")</f>
        <v>tech.workshop.zen_fountain</v>
      </c>
      <c r="E768" s="18" t="str">
        <f>IFERROR(__xludf.DUMMYFUNCTION("""COMPUTED_VALUE"""),"quest.the_ordinary_days_of_an_adventurer_chapter_2.finished")</f>
        <v>quest.the_ordinary_days_of_an_adventurer_chapter_2.finished</v>
      </c>
    </row>
    <row r="769" ht="14.25" customHeight="1">
      <c r="A769" s="26" t="s">
        <v>1918</v>
      </c>
      <c r="B769" s="26" t="s">
        <v>921</v>
      </c>
      <c r="D769" s="18" t="str">
        <f>IFERROR(__xludf.DUMMYFUNCTION("""COMPUTED_VALUE"""),"tech.workshop.zen_fountain")</f>
        <v>tech.workshop.zen_fountain</v>
      </c>
      <c r="E769" s="18" t="str">
        <f>IFERROR(__xludf.DUMMYFUNCTION("""COMPUTED_VALUE"""),"building.workshop.maxed")</f>
        <v>building.workshop.maxed</v>
      </c>
    </row>
    <row r="770" ht="14.25" customHeight="1">
      <c r="A770" s="26" t="s">
        <v>1920</v>
      </c>
      <c r="B770" s="26" t="s">
        <v>1309</v>
      </c>
      <c r="D770" s="18" t="str">
        <f>IFERROR(__xludf.DUMMYFUNCTION("""COMPUTED_VALUE"""),"state.meet_mech_adventurer_3a")</f>
        <v>state.meet_mech_adventurer_3a</v>
      </c>
      <c r="E770" s="18" t="str">
        <f>IFERROR(__xludf.DUMMYFUNCTION("""COMPUTED_VALUE"""),"quest.once_upon_a_forest_chapter_15.finished")</f>
        <v>quest.once_upon_a_forest_chapter_15.finished</v>
      </c>
    </row>
    <row r="771" ht="14.25" customHeight="1">
      <c r="A771" s="26" t="s">
        <v>1920</v>
      </c>
      <c r="B771" s="26" t="s">
        <v>921</v>
      </c>
      <c r="D771" s="18" t="str">
        <f>IFERROR(__xludf.DUMMYFUNCTION("""COMPUTED_VALUE"""),"state.complete_dungeon_5c_second")</f>
        <v>state.complete_dungeon_5c_second</v>
      </c>
      <c r="E771" s="18" t="str">
        <f>IFERROR(__xludf.DUMMYFUNCTION("""COMPUTED_VALUE"""),"quest.undead_revenge.accepted")</f>
        <v>quest.undead_revenge.accepted</v>
      </c>
    </row>
    <row r="772" ht="14.25" customHeight="1">
      <c r="A772" s="26" t="s">
        <v>1542</v>
      </c>
      <c r="B772" s="26" t="s">
        <v>1127</v>
      </c>
      <c r="D772" s="18" t="str">
        <f>IFERROR(__xludf.DUMMYFUNCTION("""COMPUTED_VALUE"""),"state.obtain_pirate_hat")</f>
        <v>state.obtain_pirate_hat</v>
      </c>
      <c r="E772" s="18" t="str">
        <f>IFERROR(__xludf.DUMMYFUNCTION("""COMPUTED_VALUE"""),"state.obtain_smugglers_map_100_beans")</f>
        <v>state.obtain_smugglers_map_100_beans</v>
      </c>
    </row>
    <row r="773" ht="14.25" customHeight="1">
      <c r="A773" s="26" t="s">
        <v>1711</v>
      </c>
      <c r="B773" s="26" t="s">
        <v>1346</v>
      </c>
      <c r="D773" s="18" t="str">
        <f>IFERROR(__xludf.DUMMYFUNCTION("""COMPUTED_VALUE"""),"state.obtain_black_pearl")</f>
        <v>state.obtain_black_pearl</v>
      </c>
      <c r="E773" s="18" t="str">
        <f>IFERROR(__xludf.DUMMYFUNCTION("""COMPUTED_VALUE"""),"state.obtain_smugglers_map_15_pearl")</f>
        <v>state.obtain_smugglers_map_15_pearl</v>
      </c>
    </row>
    <row r="774" ht="14.25" customHeight="1">
      <c r="A774" s="26" t="s">
        <v>1924</v>
      </c>
      <c r="B774" s="26" t="s">
        <v>1632</v>
      </c>
      <c r="D774" s="18" t="str">
        <f>IFERROR(__xludf.DUMMYFUNCTION("""COMPUTED_VALUE"""),"state.obtain_shoguns_mortar")</f>
        <v>state.obtain_shoguns_mortar</v>
      </c>
      <c r="E774" s="18" t="str">
        <f>IFERROR(__xludf.DUMMYFUNCTION("""COMPUTED_VALUE"""),"state.obtain_map4")</f>
        <v>state.obtain_map4</v>
      </c>
    </row>
    <row r="775" ht="14.25" customHeight="1">
      <c r="A775" s="26" t="s">
        <v>1926</v>
      </c>
      <c r="B775" s="26" t="s">
        <v>1635</v>
      </c>
      <c r="D775" s="18" t="str">
        <f>IFERROR(__xludf.DUMMYFUNCTION("""COMPUTED_VALUE"""),"state.complete_dungeon@1a")</f>
        <v>state.complete_dungeon@1a</v>
      </c>
      <c r="E775" s="18" t="str">
        <f>IFERROR(__xludf.DUMMYFUNCTION("""COMPUTED_VALUE"""),"building.dungeon@1")</f>
        <v>building.dungeon@1</v>
      </c>
    </row>
    <row r="776" ht="14.25" customHeight="1">
      <c r="A776" s="26" t="s">
        <v>1929</v>
      </c>
      <c r="B776" s="26" t="s">
        <v>1604</v>
      </c>
      <c r="D776" s="18" t="str">
        <f>IFERROR(__xludf.DUMMYFUNCTION("""COMPUTED_VALUE"""),"state.meet_mech_adventurer_3a")</f>
        <v>state.meet_mech_adventurer_3a</v>
      </c>
      <c r="E776" s="18" t="str">
        <f>IFERROR(__xludf.DUMMYFUNCTION("""COMPUTED_VALUE"""),"craftifact.solver_1_prototype")</f>
        <v>craftifact.solver_1_prototype</v>
      </c>
    </row>
    <row r="777" ht="14.25" customHeight="1">
      <c r="A777" s="26" t="s">
        <v>1676</v>
      </c>
      <c r="B777" s="26" t="s">
        <v>151</v>
      </c>
      <c r="D777" s="18" t="str">
        <f>IFERROR(__xludf.DUMMYFUNCTION("""COMPUTED_VALUE"""),"state.meet_mech_adventurer_3a")</f>
        <v>state.meet_mech_adventurer_3a</v>
      </c>
      <c r="E777" s="18" t="str">
        <f>IFERROR(__xludf.DUMMYFUNCTION("""COMPUTED_VALUE"""),"state.complete_lvl1_any_project")</f>
        <v>state.complete_lvl1_any_project</v>
      </c>
    </row>
    <row r="778" ht="14.25" customHeight="1">
      <c r="A778" s="26" t="s">
        <v>1542</v>
      </c>
      <c r="B778" s="26" t="s">
        <v>898</v>
      </c>
      <c r="D778" s="18" t="str">
        <f>IFERROR(__xludf.DUMMYFUNCTION("""COMPUTED_VALUE"""),"state.action_send_train_to_sapporo")</f>
        <v>state.action_send_train_to_sapporo</v>
      </c>
      <c r="E778" s="18" t="str">
        <f>IFERROR(__xludf.DUMMYFUNCTION("""COMPUTED_VALUE"""),"quest.ahead_of_time_chapter_4.accepted")</f>
        <v>quest.ahead_of_time_chapter_4.accepted</v>
      </c>
    </row>
    <row r="779" ht="14.25" customHeight="1">
      <c r="A779" s="26" t="s">
        <v>1542</v>
      </c>
      <c r="B779" s="26" t="s">
        <v>1462</v>
      </c>
      <c r="D779" s="18" t="str">
        <f>IFERROR(__xludf.DUMMYFUNCTION("""COMPUTED_VALUE"""),"tech.laboratory.digitization")</f>
        <v>tech.laboratory.digitization</v>
      </c>
      <c r="E779" s="18" t="str">
        <f>IFERROR(__xludf.DUMMYFUNCTION("""COMPUTED_VALUE"""),"quest.ahead_of_time_chapter_5.accepted")</f>
        <v>quest.ahead_of_time_chapter_5.accepted</v>
      </c>
    </row>
    <row r="780" ht="14.25" customHeight="1">
      <c r="A780" s="21" t="s">
        <v>1356</v>
      </c>
      <c r="B780" s="26" t="s">
        <v>949</v>
      </c>
      <c r="D780" s="18" t="str">
        <f>IFERROR(__xludf.DUMMYFUNCTION("""COMPUTED_VALUE"""),"tech.laboratory.experiments")</f>
        <v>tech.laboratory.experiments</v>
      </c>
      <c r="E780" s="18" t="str">
        <f>IFERROR(__xludf.DUMMYFUNCTION("""COMPUTED_VALUE"""),"quest.ahead_of_time_chapter_5.accepted")</f>
        <v>quest.ahead_of_time_chapter_5.accepted</v>
      </c>
    </row>
    <row r="781" ht="14.25" customHeight="1">
      <c r="A781" s="26" t="s">
        <v>1798</v>
      </c>
      <c r="B781" s="26" t="s">
        <v>957</v>
      </c>
      <c r="D781" s="18" t="str">
        <f>IFERROR(__xludf.DUMMYFUNCTION("""COMPUTED_VALUE"""),"tech.laboratory.research_and_development")</f>
        <v>tech.laboratory.research_and_development</v>
      </c>
      <c r="E781" s="18" t="str">
        <f>IFERROR(__xludf.DUMMYFUNCTION("""COMPUTED_VALUE"""),"quest.ahead_of_time_chapter_5.accepted")</f>
        <v>quest.ahead_of_time_chapter_5.accepted</v>
      </c>
    </row>
    <row r="782" ht="14.25" customHeight="1">
      <c r="A782" s="26" t="s">
        <v>1800</v>
      </c>
      <c r="B782" s="26" t="s">
        <v>957</v>
      </c>
      <c r="D782" s="18" t="str">
        <f>IFERROR(__xludf.DUMMYFUNCTION("""COMPUTED_VALUE"""),"state.meet_dark_lady@6b_second")</f>
        <v>state.meet_dark_lady@6b_second</v>
      </c>
      <c r="E782" s="18" t="str">
        <f>IFERROR(__xludf.DUMMYFUNCTION("""COMPUTED_VALUE"""),"quest.the_ordinary_days_of_an_adventurer_chapter_7.finished")</f>
        <v>quest.the_ordinary_days_of_an_adventurer_chapter_7.finished</v>
      </c>
    </row>
    <row r="783" ht="14.25" customHeight="1">
      <c r="A783" s="26" t="s">
        <v>1802</v>
      </c>
      <c r="B783" s="26" t="s">
        <v>957</v>
      </c>
      <c r="D783" s="18" t="str">
        <f>IFERROR(__xludf.DUMMYFUNCTION("""COMPUTED_VALUE"""),"state.obtain_potion_of_mental_power")</f>
        <v>state.obtain_potion_of_mental_power</v>
      </c>
      <c r="E783" s="18" t="str">
        <f>IFERROR(__xludf.DUMMYFUNCTION("""COMPUTED_VALUE"""),"tech.alchemists_hut.potion_of_mental_power")</f>
        <v>tech.alchemists_hut.potion_of_mental_power</v>
      </c>
    </row>
    <row r="784" ht="14.25" customHeight="1">
      <c r="A784" s="26" t="s">
        <v>1933</v>
      </c>
      <c r="B784" s="26" t="s">
        <v>1332</v>
      </c>
      <c r="D784" s="18" t="str">
        <f>IFERROR(__xludf.DUMMYFUNCTION("""COMPUTED_VALUE"""),"state.complete_f1_with_diligence")</f>
        <v>state.complete_f1_with_diligence</v>
      </c>
      <c r="E784" s="18" t="str">
        <f>IFERROR(__xludf.DUMMYFUNCTION("""COMPUTED_VALUE"""),"quest.once_upon_a_forest_chapter_13.accepted")</f>
        <v>quest.once_upon_a_forest_chapter_13.accepted</v>
      </c>
    </row>
    <row r="785" ht="14.25" customHeight="1">
      <c r="A785" s="26" t="s">
        <v>1611</v>
      </c>
      <c r="B785" s="26" t="s">
        <v>1744</v>
      </c>
      <c r="D785" s="18" t="str">
        <f>IFERROR(__xludf.DUMMYFUNCTION("""COMPUTED_VALUE"""),"state.complete_f2_with_diligence")</f>
        <v>state.complete_f2_with_diligence</v>
      </c>
      <c r="E785" s="18" t="str">
        <f>IFERROR(__xludf.DUMMYFUNCTION("""COMPUTED_VALUE"""),"quest.once_upon_a_forest_chapter_13.accepted")</f>
        <v>quest.once_upon_a_forest_chapter_13.accepted</v>
      </c>
    </row>
    <row r="786" ht="14.25" customHeight="1">
      <c r="A786" s="26" t="s">
        <v>1451</v>
      </c>
      <c r="B786" s="26" t="s">
        <v>1107</v>
      </c>
      <c r="D786" s="18" t="str">
        <f>IFERROR(__xludf.DUMMYFUNCTION("""COMPUTED_VALUE"""),"state.complete_f3_with_diligence")</f>
        <v>state.complete_f3_with_diligence</v>
      </c>
      <c r="E786" s="18" t="str">
        <f>IFERROR(__xludf.DUMMYFUNCTION("""COMPUTED_VALUE"""),"quest.once_upon_a_forest_chapter_13.accepted")</f>
        <v>quest.once_upon_a_forest_chapter_13.accepted</v>
      </c>
    </row>
    <row r="787" ht="14.25" customHeight="1">
      <c r="A787" s="26" t="s">
        <v>1454</v>
      </c>
      <c r="B787" s="26" t="s">
        <v>1107</v>
      </c>
      <c r="D787" s="18" t="str">
        <f>IFERROR(__xludf.DUMMYFUNCTION("""COMPUTED_VALUE"""),"state.complete_f4_with_diligence")</f>
        <v>state.complete_f4_with_diligence</v>
      </c>
      <c r="E787" s="18" t="str">
        <f>IFERROR(__xludf.DUMMYFUNCTION("""COMPUTED_VALUE"""),"quest.once_upon_a_forest_chapter_13.accepted")</f>
        <v>quest.once_upon_a_forest_chapter_13.accepted</v>
      </c>
    </row>
    <row r="788" ht="14.25" customHeight="1">
      <c r="A788" s="26" t="s">
        <v>1457</v>
      </c>
      <c r="B788" s="26" t="s">
        <v>1107</v>
      </c>
      <c r="D788" s="18" t="str">
        <f>IFERROR(__xludf.DUMMYFUNCTION("""COMPUTED_VALUE"""),"quest.the_ordinary_days_of_an_adventurer_chapter_8.accepted")</f>
        <v>quest.the_ordinary_days_of_an_adventurer_chapter_8.accepted</v>
      </c>
      <c r="E788" s="18" t="str">
        <f>IFERROR(__xludf.DUMMYFUNCTION("""COMPUTED_VALUE"""),"state.meet_dark_lady@6b_second")</f>
        <v>state.meet_dark_lady@6b_second</v>
      </c>
    </row>
    <row r="789" ht="14.25" customHeight="1">
      <c r="A789" s="26" t="s">
        <v>1459</v>
      </c>
      <c r="B789" s="26" t="s">
        <v>1107</v>
      </c>
      <c r="D789" s="18" t="str">
        <f>IFERROR(__xludf.DUMMYFUNCTION("""COMPUTED_VALUE"""),"state.visit_aomori")</f>
        <v>state.visit_aomori</v>
      </c>
      <c r="E789" s="18" t="str">
        <f>IFERROR(__xludf.DUMMYFUNCTION("""COMPUTED_VALUE"""),"building.train@2")</f>
        <v>building.train@2</v>
      </c>
    </row>
    <row r="790" ht="14.25" customHeight="1">
      <c r="A790" s="21" t="s">
        <v>1334</v>
      </c>
      <c r="B790" s="26" t="s">
        <v>1933</v>
      </c>
      <c r="D790" s="18" t="str">
        <f>IFERROR(__xludf.DUMMYFUNCTION("""COMPUTED_VALUE"""),"state.visit_fukushima")</f>
        <v>state.visit_fukushima</v>
      </c>
      <c r="E790" s="18" t="str">
        <f>IFERROR(__xludf.DUMMYFUNCTION("""COMPUTED_VALUE"""),"building.train@2")</f>
        <v>building.train@2</v>
      </c>
    </row>
    <row r="791" ht="14.25" customHeight="1">
      <c r="A791" s="26" t="s">
        <v>1653</v>
      </c>
      <c r="B791" s="26" t="s">
        <v>429</v>
      </c>
      <c r="D791" s="18" t="str">
        <f>IFERROR(__xludf.DUMMYFUNCTION("""COMPUTED_VALUE"""),"state.visit_kyoto")</f>
        <v>state.visit_kyoto</v>
      </c>
      <c r="E791" s="18" t="str">
        <f>IFERROR(__xludf.DUMMYFUNCTION("""COMPUTED_VALUE"""),"building.train@1")</f>
        <v>building.train@1</v>
      </c>
    </row>
    <row r="792" ht="14.25" customHeight="1">
      <c r="A792" s="26" t="s">
        <v>1677</v>
      </c>
      <c r="B792" s="26" t="s">
        <v>429</v>
      </c>
      <c r="D792" s="18" t="str">
        <f>IFERROR(__xludf.DUMMYFUNCTION("""COMPUTED_VALUE"""),"state.visit_nagasaki")</f>
        <v>state.visit_nagasaki</v>
      </c>
      <c r="E792" s="18" t="str">
        <f>IFERROR(__xludf.DUMMYFUNCTION("""COMPUTED_VALUE"""),"building.train@1")</f>
        <v>building.train@1</v>
      </c>
    </row>
    <row r="793" ht="14.25" customHeight="1">
      <c r="A793" s="26" t="s">
        <v>1682</v>
      </c>
      <c r="B793" s="26" t="s">
        <v>427</v>
      </c>
      <c r="D793" s="18" t="str">
        <f>IFERROR(__xludf.DUMMYFUNCTION("""COMPUTED_VALUE"""),"state.visit_osaka")</f>
        <v>state.visit_osaka</v>
      </c>
      <c r="E793" s="18" t="str">
        <f>IFERROR(__xludf.DUMMYFUNCTION("""COMPUTED_VALUE"""),"building.train@1")</f>
        <v>building.train@1</v>
      </c>
    </row>
    <row r="794" ht="14.25" customHeight="1">
      <c r="A794" s="26" t="s">
        <v>1686</v>
      </c>
      <c r="B794" s="26" t="s">
        <v>427</v>
      </c>
      <c r="D794" s="18" t="str">
        <f>IFERROR(__xludf.DUMMYFUNCTION("""COMPUTED_VALUE"""),"state.visit_tokyo")</f>
        <v>state.visit_tokyo</v>
      </c>
      <c r="E794" s="18" t="str">
        <f>IFERROR(__xludf.DUMMYFUNCTION("""COMPUTED_VALUE"""),"building.train@2")</f>
        <v>building.train@2</v>
      </c>
    </row>
    <row r="795" ht="14.25" customHeight="1">
      <c r="A795" s="26" t="s">
        <v>1690</v>
      </c>
      <c r="B795" s="26" t="s">
        <v>427</v>
      </c>
      <c r="D795" s="18" t="str">
        <f>IFERROR(__xludf.DUMMYFUNCTION("""COMPUTED_VALUE"""),"state.visit_wakayama")</f>
        <v>state.visit_wakayama</v>
      </c>
      <c r="E795" s="18" t="str">
        <f>IFERROR(__xludf.DUMMYFUNCTION("""COMPUTED_VALUE"""),"building.train@1")</f>
        <v>building.train@1</v>
      </c>
    </row>
    <row r="796" ht="14.25" customHeight="1">
      <c r="A796" s="26" t="s">
        <v>1697</v>
      </c>
      <c r="B796" s="26" t="s">
        <v>429</v>
      </c>
      <c r="D796" s="18" t="str">
        <f>IFERROR(__xludf.DUMMYFUNCTION("""COMPUTED_VALUE"""),"quest.ahead_of_time_chapter_2.accepted")</f>
        <v>quest.ahead_of_time_chapter_2.accepted</v>
      </c>
      <c r="E796" s="18" t="str">
        <f>IFERROR(__xludf.DUMMYFUNCTION("""COMPUTED_VALUE"""),"quest.the_ordinary_days_of_an_adventurer_chapter_8.finished")</f>
        <v>quest.the_ordinary_days_of_an_adventurer_chapter_8.finished</v>
      </c>
    </row>
    <row r="797" ht="14.25" customHeight="1">
      <c r="A797" s="26" t="s">
        <v>1699</v>
      </c>
      <c r="B797" s="26" t="s">
        <v>427</v>
      </c>
      <c r="D797" s="18" t="str">
        <f>IFERROR(__xludf.DUMMYFUNCTION("""COMPUTED_VALUE"""),"quest.build_the_guild.finished")</f>
        <v>quest.build_the_guild.finished</v>
      </c>
      <c r="E797" s="18" t="str">
        <f>IFERROR(__xludf.DUMMYFUNCTION("""COMPUTED_VALUE"""),"building.guild@5")</f>
        <v>building.guild@5</v>
      </c>
    </row>
    <row r="798" ht="14.25" customHeight="1">
      <c r="A798" s="26" t="s">
        <v>933</v>
      </c>
      <c r="B798" s="26" t="s">
        <v>1336</v>
      </c>
      <c r="D798" s="18" t="str">
        <f>IFERROR(__xludf.DUMMYFUNCTION("""COMPUTED_VALUE"""),"quest.build_the_pagoda.finished")</f>
        <v>quest.build_the_pagoda.finished</v>
      </c>
      <c r="E798" s="18" t="str">
        <f>IFERROR(__xludf.DUMMYFUNCTION("""COMPUTED_VALUE"""),"building.pagoda@7")</f>
        <v>building.pagoda@7</v>
      </c>
    </row>
    <row r="799" ht="14.25" customHeight="1">
      <c r="D799" s="18" t="str">
        <f>IFERROR(__xludf.DUMMYFUNCTION("""COMPUTED_VALUE"""),"quest.culinary_battle.finished")</f>
        <v>quest.culinary_battle.finished</v>
      </c>
      <c r="E799" s="18" t="str">
        <f>IFERROR(__xludf.DUMMYFUNCTION("""COMPUTED_VALUE"""),"tech.food_stall.quintessence_of_taste")</f>
        <v>tech.food_stall.quintessence_of_taste</v>
      </c>
    </row>
    <row r="800" ht="14.25" customHeight="1">
      <c r="D800" s="18" t="str">
        <f>IFERROR(__xludf.DUMMYFUNCTION("""COMPUTED_VALUE"""),"quest.culinary_battle.finished")</f>
        <v>quest.culinary_battle.finished</v>
      </c>
      <c r="E800" s="18" t="str">
        <f>IFERROR(__xludf.DUMMYFUNCTION("""COMPUTED_VALUE"""),"tech.food_stall.mayonnaise")</f>
        <v>tech.food_stall.mayonnaise</v>
      </c>
    </row>
    <row r="801" ht="14.25" customHeight="1">
      <c r="D801" s="18" t="str">
        <f>IFERROR(__xludf.DUMMYFUNCTION("""COMPUTED_VALUE"""),"quest.culinary_battle.finished")</f>
        <v>quest.culinary_battle.finished</v>
      </c>
      <c r="E801" s="18" t="str">
        <f>IFERROR(__xludf.DUMMYFUNCTION("""COMPUTED_VALUE"""),"state.character_cooking@13")</f>
        <v>state.character_cooking@13</v>
      </c>
    </row>
    <row r="802" ht="14.25" customHeight="1">
      <c r="D802" s="18" t="str">
        <f>IFERROR(__xludf.DUMMYFUNCTION("""COMPUTED_VALUE"""),"quest.dragon_teeth.finished")</f>
        <v>quest.dragon_teeth.finished</v>
      </c>
      <c r="E802" s="18" t="str">
        <f>IFERROR(__xludf.DUMMYFUNCTION("""COMPUTED_VALUE"""),"state.action_defeat_bone_dragon_4c")</f>
        <v>state.action_defeat_bone_dragon_4c</v>
      </c>
    </row>
    <row r="803" ht="14.25" customHeight="1">
      <c r="D803" s="18" t="str">
        <f>IFERROR(__xludf.DUMMYFUNCTION("""COMPUTED_VALUE"""),"quest.dragon_teeth.finished")</f>
        <v>quest.dragon_teeth.finished</v>
      </c>
      <c r="E803" s="18" t="str">
        <f>IFERROR(__xludf.DUMMYFUNCTION("""COMPUTED_VALUE"""),"tech.smithy.sword_for_a_hero_lvl_4")</f>
        <v>tech.smithy.sword_for_a_hero_lvl_4</v>
      </c>
    </row>
    <row r="804" ht="14.25" customHeight="1">
      <c r="D804" s="18" t="str">
        <f>IFERROR(__xludf.DUMMYFUNCTION("""COMPUTED_VALUE"""),"quest.dragon_teeth.finished")</f>
        <v>quest.dragon_teeth.finished</v>
      </c>
      <c r="E804" s="18" t="str">
        <f>IFERROR(__xludf.DUMMYFUNCTION("""COMPUTED_VALUE"""),"state.obtain_sword4")</f>
        <v>state.obtain_sword4</v>
      </c>
    </row>
    <row r="805" ht="14.25" customHeight="1">
      <c r="D805" s="18" t="str">
        <f>IFERROR(__xludf.DUMMYFUNCTION("""COMPUTED_VALUE"""),"quest.green_potion.finished")</f>
        <v>quest.green_potion.finished</v>
      </c>
      <c r="E805" s="18" t="str">
        <f>IFERROR(__xludf.DUMMYFUNCTION("""COMPUTED_VALUE"""),"tech.smithy.throwing_knife")</f>
        <v>tech.smithy.throwing_knife</v>
      </c>
    </row>
    <row r="806" ht="14.25" customHeight="1">
      <c r="D806" s="18" t="str">
        <f>IFERROR(__xludf.DUMMYFUNCTION("""COMPUTED_VALUE"""),"quest.green_potion.finished")</f>
        <v>quest.green_potion.finished</v>
      </c>
      <c r="E806" s="18" t="str">
        <f>IFERROR(__xludf.DUMMYFUNCTION("""COMPUTED_VALUE"""),"building.dungeon@3")</f>
        <v>building.dungeon@3</v>
      </c>
    </row>
    <row r="807" ht="14.25" customHeight="1">
      <c r="D807" s="18" t="str">
        <f>IFERROR(__xludf.DUMMYFUNCTION("""COMPUTED_VALUE"""),"quest.honor_glory_sushi.finished")</f>
        <v>quest.honor_glory_sushi.finished</v>
      </c>
      <c r="E807" s="18" t="str">
        <f>IFERROR(__xludf.DUMMYFUNCTION("""COMPUTED_VALUE"""),"craftifact.guild_codex")</f>
        <v>craftifact.guild_codex</v>
      </c>
    </row>
    <row r="808" ht="14.25" customHeight="1">
      <c r="D808" s="18" t="str">
        <f>IFERROR(__xludf.DUMMYFUNCTION("""COMPUTED_VALUE"""),"quest.honor_glory_sushi.finished")</f>
        <v>quest.honor_glory_sushi.finished</v>
      </c>
      <c r="E808" s="18" t="str">
        <f>IFERROR(__xludf.DUMMYFUNCTION("""COMPUTED_VALUE"""),"craftifact.guild_banner")</f>
        <v>craftifact.guild_banner</v>
      </c>
    </row>
    <row r="809" ht="14.25" customHeight="1">
      <c r="D809" s="18" t="str">
        <f>IFERROR(__xludf.DUMMYFUNCTION("""COMPUTED_VALUE"""),"quest.honor_glory_sushi.finished")</f>
        <v>quest.honor_glory_sushi.finished</v>
      </c>
      <c r="E809" s="18" t="str">
        <f>IFERROR(__xludf.DUMMYFUNCTION("""COMPUTED_VALUE"""),"craftifact.guild_supplies")</f>
        <v>craftifact.guild_supplies</v>
      </c>
    </row>
    <row r="810" ht="14.25" customHeight="1">
      <c r="D810" s="18" t="str">
        <f>IFERROR(__xludf.DUMMYFUNCTION("""COMPUTED_VALUE"""),"quest.honor_glory_sushi.finished")</f>
        <v>quest.honor_glory_sushi.finished</v>
      </c>
      <c r="E810" s="18" t="str">
        <f>IFERROR(__xludf.DUMMYFUNCTION("""COMPUTED_VALUE"""),"building.outpost@3")</f>
        <v>building.outpost@3</v>
      </c>
    </row>
    <row r="811" ht="14.25" customHeight="1">
      <c r="D811" s="18" t="str">
        <f>IFERROR(__xludf.DUMMYFUNCTION("""COMPUTED_VALUE"""),"quest.journey_through_japan_by_train.finished")</f>
        <v>quest.journey_through_japan_by_train.finished</v>
      </c>
      <c r="E811" s="18" t="str">
        <f>IFERROR(__xludf.DUMMYFUNCTION("""COMPUTED_VALUE"""),"state.obtain_blueprint")</f>
        <v>state.obtain_blueprint</v>
      </c>
    </row>
    <row r="812" ht="14.25" customHeight="1">
      <c r="D812" s="18" t="str">
        <f>IFERROR(__xludf.DUMMYFUNCTION("""COMPUTED_VALUE"""),"quest.journey_through_japan_by_train.finished")</f>
        <v>quest.journey_through_japan_by_train.finished</v>
      </c>
      <c r="E812" s="18" t="str">
        <f>IFERROR(__xludf.DUMMYFUNCTION("""COMPUTED_VALUE"""),"building.station@1")</f>
        <v>building.station@1</v>
      </c>
    </row>
    <row r="813" ht="14.25" customHeight="1">
      <c r="D813" s="18" t="str">
        <f>IFERROR(__xludf.DUMMYFUNCTION("""COMPUTED_VALUE"""),"quest.journey_through_japan_by_train.finished")</f>
        <v>quest.journey_through_japan_by_train.finished</v>
      </c>
      <c r="E813" s="18" t="str">
        <f>IFERROR(__xludf.DUMMYFUNCTION("""COMPUTED_VALUE"""),"building.train@1")</f>
        <v>building.train@1</v>
      </c>
    </row>
    <row r="814" ht="14.25" customHeight="1">
      <c r="D814" s="18" t="str">
        <f>IFERROR(__xludf.DUMMYFUNCTION("""COMPUTED_VALUE"""),"quest.journey_through_japan_by_train.finished")</f>
        <v>quest.journey_through_japan_by_train.finished</v>
      </c>
      <c r="E814" s="18" t="str">
        <f>IFERROR(__xludf.DUMMYFUNCTION("""COMPUTED_VALUE"""),"building.train_passenger_carriage@1")</f>
        <v>building.train_passenger_carriage@1</v>
      </c>
    </row>
    <row r="815" ht="14.25" customHeight="1">
      <c r="D815" s="18" t="str">
        <f>IFERROR(__xludf.DUMMYFUNCTION("""COMPUTED_VALUE"""),"quest.journey_through_japan_by_train.finished")</f>
        <v>quest.journey_through_japan_by_train.finished</v>
      </c>
      <c r="E815" s="18" t="str">
        <f>IFERROR(__xludf.DUMMYFUNCTION("""COMPUTED_VALUE"""),"state.visit_nagasaki")</f>
        <v>state.visit_nagasaki</v>
      </c>
    </row>
    <row r="816" ht="14.25" customHeight="1">
      <c r="D816" s="18" t="str">
        <f>IFERROR(__xludf.DUMMYFUNCTION("""COMPUTED_VALUE"""),"quest.journey_through_japan_by_train.finished")</f>
        <v>quest.journey_through_japan_by_train.finished</v>
      </c>
      <c r="E816" s="18" t="str">
        <f>IFERROR(__xludf.DUMMYFUNCTION("""COMPUTED_VALUE"""),"state.visit_osaka")</f>
        <v>state.visit_osaka</v>
      </c>
    </row>
    <row r="817" ht="14.25" customHeight="1">
      <c r="D817" s="18" t="str">
        <f>IFERROR(__xludf.DUMMYFUNCTION("""COMPUTED_VALUE"""),"quest.journey_through_japan_by_train.finished")</f>
        <v>quest.journey_through_japan_by_train.finished</v>
      </c>
      <c r="E817" s="18" t="str">
        <f>IFERROR(__xludf.DUMMYFUNCTION("""COMPUTED_VALUE"""),"state.visit_wakayama")</f>
        <v>state.visit_wakayama</v>
      </c>
    </row>
    <row r="818" ht="14.25" customHeight="1">
      <c r="D818" s="18" t="str">
        <f>IFERROR(__xludf.DUMMYFUNCTION("""COMPUTED_VALUE"""),"quest.journey_through_japan_by_train.finished")</f>
        <v>quest.journey_through_japan_by_train.finished</v>
      </c>
      <c r="E818" s="18" t="str">
        <f>IFERROR(__xludf.DUMMYFUNCTION("""COMPUTED_VALUE"""),"state.visit_kyoto")</f>
        <v>state.visit_kyoto</v>
      </c>
    </row>
    <row r="819" ht="14.25" customHeight="1">
      <c r="D819" s="18" t="str">
        <f>IFERROR(__xludf.DUMMYFUNCTION("""COMPUTED_VALUE"""),"quest.journey_through_japan_by_train.finished")</f>
        <v>quest.journey_through_japan_by_train.finished</v>
      </c>
      <c r="E819" s="18" t="str">
        <f>IFERROR(__xludf.DUMMYFUNCTION("""COMPUTED_VALUE"""),"building.train@2")</f>
        <v>building.train@2</v>
      </c>
    </row>
    <row r="820" ht="14.25" customHeight="1">
      <c r="D820" s="18" t="str">
        <f>IFERROR(__xludf.DUMMYFUNCTION("""COMPUTED_VALUE"""),"quest.journey_through_japan_by_train.finished")</f>
        <v>quest.journey_through_japan_by_train.finished</v>
      </c>
      <c r="E820" s="18" t="str">
        <f>IFERROR(__xludf.DUMMYFUNCTION("""COMPUTED_VALUE"""),"state.visit_tokyo")</f>
        <v>state.visit_tokyo</v>
      </c>
    </row>
    <row r="821" ht="14.25" customHeight="1">
      <c r="D821" s="18" t="str">
        <f>IFERROR(__xludf.DUMMYFUNCTION("""COMPUTED_VALUE"""),"quest.journey_through_japan_by_train.finished")</f>
        <v>quest.journey_through_japan_by_train.finished</v>
      </c>
      <c r="E821" s="18" t="str">
        <f>IFERROR(__xludf.DUMMYFUNCTION("""COMPUTED_VALUE"""),"state.visit_fukushima")</f>
        <v>state.visit_fukushima</v>
      </c>
    </row>
    <row r="822" ht="14.25" customHeight="1">
      <c r="D822" s="18" t="str">
        <f>IFERROR(__xludf.DUMMYFUNCTION("""COMPUTED_VALUE"""),"quest.journey_through_japan_by_train.finished")</f>
        <v>quest.journey_through_japan_by_train.finished</v>
      </c>
      <c r="E822" s="18" t="str">
        <f>IFERROR(__xludf.DUMMYFUNCTION("""COMPUTED_VALUE"""),"state.visit_aomori")</f>
        <v>state.visit_aomori</v>
      </c>
    </row>
    <row r="823" ht="14.25" customHeight="1">
      <c r="D823" s="18" t="str">
        <f>IFERROR(__xludf.DUMMYFUNCTION("""COMPUTED_VALUE"""),"quest.letter_from_the_dark_lady.finished")</f>
        <v>quest.letter_from_the_dark_lady.finished</v>
      </c>
      <c r="E823" s="18" t="str">
        <f>IFERROR(__xludf.DUMMYFUNCTION("""COMPUTED_VALUE"""),"collection.broken_lever@1")</f>
        <v>collection.broken_lever@1</v>
      </c>
    </row>
    <row r="824" ht="14.25" customHeight="1">
      <c r="D824" s="18" t="str">
        <f>IFERROR(__xludf.DUMMYFUNCTION("""COMPUTED_VALUE"""),"quest.letter_from_the_dark_lady.finished")</f>
        <v>quest.letter_from_the_dark_lady.finished</v>
      </c>
      <c r="E824" s="18" t="str">
        <f>IFERROR(__xludf.DUMMYFUNCTION("""COMPUTED_VALUE"""),"collection.collapsed_staircase@1")</f>
        <v>collection.collapsed_staircase@1</v>
      </c>
    </row>
    <row r="825" ht="14.25" customHeight="1">
      <c r="D825" s="18" t="str">
        <f>IFERROR(__xludf.DUMMYFUNCTION("""COMPUTED_VALUE"""),"quest.letter_from_the_dark_lady.finished")</f>
        <v>quest.letter_from_the_dark_lady.finished</v>
      </c>
      <c r="E825" s="18" t="str">
        <f>IFERROR(__xludf.DUMMYFUNCTION("""COMPUTED_VALUE"""),"collection.rotten_ladder@1")</f>
        <v>collection.rotten_ladder@1</v>
      </c>
    </row>
    <row r="826" ht="14.25" customHeight="1">
      <c r="D826" s="18" t="str">
        <f>IFERROR(__xludf.DUMMYFUNCTION("""COMPUTED_VALUE"""),"quest.letter_from_the_dark_lady.finished")</f>
        <v>quest.letter_from_the_dark_lady.finished</v>
      </c>
      <c r="E826" s="18" t="str">
        <f>IFERROR(__xludf.DUMMYFUNCTION("""COMPUTED_VALUE"""),"collection.cave_in_bone_dragon@1")</f>
        <v>collection.cave_in_bone_dragon@1</v>
      </c>
    </row>
    <row r="827" ht="14.25" customHeight="1">
      <c r="D827" s="18" t="str">
        <f>IFERROR(__xludf.DUMMYFUNCTION("""COMPUTED_VALUE"""),"quest.letter_from_the_dark_lady.finished")</f>
        <v>quest.letter_from_the_dark_lady.finished</v>
      </c>
      <c r="E827" s="18" t="str">
        <f>IFERROR(__xludf.DUMMYFUNCTION("""COMPUTED_VALUE"""),"collection.cave_in_alchemist_hall@1")</f>
        <v>collection.cave_in_alchemist_hall@1</v>
      </c>
    </row>
    <row r="828" ht="14.25" customHeight="1">
      <c r="D828" s="18" t="str">
        <f>IFERROR(__xludf.DUMMYFUNCTION("""COMPUTED_VALUE"""),"quest.letter_from_the_dark_lady.finished")</f>
        <v>quest.letter_from_the_dark_lady.finished</v>
      </c>
      <c r="E828" s="18" t="str">
        <f>IFERROR(__xludf.DUMMYFUNCTION("""COMPUTED_VALUE"""),"collection.bone_dragon@1")</f>
        <v>collection.bone_dragon@1</v>
      </c>
    </row>
    <row r="829" ht="14.25" customHeight="1">
      <c r="D829" s="18" t="str">
        <f>IFERROR(__xludf.DUMMYFUNCTION("""COMPUTED_VALUE"""),"quest.letter_from_the_dark_lady.finished")</f>
        <v>quest.letter_from_the_dark_lady.finished</v>
      </c>
      <c r="E829" s="18" t="str">
        <f>IFERROR(__xludf.DUMMYFUNCTION("""COMPUTED_VALUE"""),"collection.alchemist_hall_1@1")</f>
        <v>collection.alchemist_hall_1@1</v>
      </c>
    </row>
    <row r="830" ht="14.25" customHeight="1">
      <c r="D830" s="18" t="str">
        <f>IFERROR(__xludf.DUMMYFUNCTION("""COMPUTED_VALUE"""),"quest.letter_from_the_dark_lady.finished")</f>
        <v>quest.letter_from_the_dark_lady.finished</v>
      </c>
      <c r="E830" s="18" t="str">
        <f>IFERROR(__xludf.DUMMYFUNCTION("""COMPUTED_VALUE"""),"collection.alchemist_hall_2@1")</f>
        <v>collection.alchemist_hall_2@1</v>
      </c>
    </row>
    <row r="831" ht="14.25" customHeight="1">
      <c r="D831" s="18" t="str">
        <f>IFERROR(__xludf.DUMMYFUNCTION("""COMPUTED_VALUE"""),"quest.letter_from_the_dark_lady.finished")</f>
        <v>quest.letter_from_the_dark_lady.finished</v>
      </c>
      <c r="E831" s="18" t="str">
        <f>IFERROR(__xludf.DUMMYFUNCTION("""COMPUTED_VALUE"""),"collection.alchemist_hall_3@1")</f>
        <v>collection.alchemist_hall_3@1</v>
      </c>
    </row>
    <row r="832" ht="14.25" customHeight="1">
      <c r="D832" s="18" t="str">
        <f>IFERROR(__xludf.DUMMYFUNCTION("""COMPUTED_VALUE"""),"quest.letter_from_the_dark_lady.finished")</f>
        <v>quest.letter_from_the_dark_lady.finished</v>
      </c>
      <c r="E832" s="18" t="str">
        <f>IFERROR(__xludf.DUMMYFUNCTION("""COMPUTED_VALUE"""),"collection.broken_minecart@1")</f>
        <v>collection.broken_minecart@1</v>
      </c>
    </row>
    <row r="833" ht="14.25" customHeight="1">
      <c r="D833" s="18" t="str">
        <f>IFERROR(__xludf.DUMMYFUNCTION("""COMPUTED_VALUE"""),"quest.magic_beans.finished")</f>
        <v>quest.magic_beans.finished</v>
      </c>
      <c r="E833" s="18" t="str">
        <f>IFERROR(__xludf.DUMMYFUNCTION("""COMPUTED_VALUE"""),"state.deliver_tofu_4a")</f>
        <v>state.deliver_tofu_4a</v>
      </c>
    </row>
    <row r="834" ht="14.25" customHeight="1">
      <c r="D834" s="18" t="str">
        <f>IFERROR(__xludf.DUMMYFUNCTION("""COMPUTED_VALUE"""),"quest.magic_beans.finished")</f>
        <v>quest.magic_beans.finished</v>
      </c>
      <c r="E834" s="18" t="str">
        <f>IFERROR(__xludf.DUMMYFUNCTION("""COMPUTED_VALUE"""),"state.deliver_inarizushi_4b")</f>
        <v>state.deliver_inarizushi_4b</v>
      </c>
    </row>
    <row r="835" ht="14.25" customHeight="1">
      <c r="D835" s="18" t="str">
        <f>IFERROR(__xludf.DUMMYFUNCTION("""COMPUTED_VALUE"""),"quest.magic_beans.finished")</f>
        <v>quest.magic_beans.finished</v>
      </c>
      <c r="E835" s="18" t="str">
        <f>IFERROR(__xludf.DUMMYFUNCTION("""COMPUTED_VALUE"""),"state.deliver_teriyaki_salmon_4c")</f>
        <v>state.deliver_teriyaki_salmon_4c</v>
      </c>
    </row>
    <row r="836" ht="14.25" customHeight="1">
      <c r="D836" s="18" t="str">
        <f>IFERROR(__xludf.DUMMYFUNCTION("""COMPUTED_VALUE"""),"quest.silk_road.finished")</f>
        <v>quest.silk_road.finished</v>
      </c>
      <c r="E836" s="18" t="str">
        <f>IFERROR(__xludf.DUMMYFUNCTION("""COMPUTED_VALUE"""),"state.visit_beijing")</f>
        <v>state.visit_beijing</v>
      </c>
    </row>
    <row r="837" ht="14.25" customHeight="1">
      <c r="D837" s="18" t="str">
        <f>IFERROR(__xludf.DUMMYFUNCTION("""COMPUTED_VALUE"""),"quest.silk_road.finished")</f>
        <v>quest.silk_road.finished</v>
      </c>
      <c r="E837" s="18" t="str">
        <f>IFERROR(__xludf.DUMMYFUNCTION("""COMPUTED_VALUE"""),"state.visit_xian")</f>
        <v>state.visit_xian</v>
      </c>
    </row>
    <row r="838" ht="14.25" customHeight="1">
      <c r="D838" s="18" t="str">
        <f>IFERROR(__xludf.DUMMYFUNCTION("""COMPUTED_VALUE"""),"quest.silk_road.finished")</f>
        <v>quest.silk_road.finished</v>
      </c>
      <c r="E838" s="18" t="str">
        <f>IFERROR(__xludf.DUMMYFUNCTION("""COMPUTED_VALUE"""),"state.visit_delhi")</f>
        <v>state.visit_delhi</v>
      </c>
    </row>
    <row r="839" ht="14.25" customHeight="1">
      <c r="D839" s="18" t="str">
        <f>IFERROR(__xludf.DUMMYFUNCTION("""COMPUTED_VALUE"""),"quest.silk_road.finished")</f>
        <v>quest.silk_road.finished</v>
      </c>
      <c r="E839" s="18" t="str">
        <f>IFERROR(__xludf.DUMMYFUNCTION("""COMPUTED_VALUE"""),"state.visit_baghdad")</f>
        <v>state.visit_baghdad</v>
      </c>
    </row>
    <row r="840" ht="14.25" customHeight="1">
      <c r="D840" s="18" t="str">
        <f>IFERROR(__xludf.DUMMYFUNCTION("""COMPUTED_VALUE"""),"quest.silk_road.finished")</f>
        <v>quest.silk_road.finished</v>
      </c>
      <c r="E840" s="18" t="str">
        <f>IFERROR(__xludf.DUMMYFUNCTION("""COMPUTED_VALUE"""),"state.visit_cairo")</f>
        <v>state.visit_cairo</v>
      </c>
    </row>
    <row r="841" ht="14.25" customHeight="1">
      <c r="D841" s="18" t="str">
        <f>IFERROR(__xludf.DUMMYFUNCTION("""COMPUTED_VALUE"""),"quest.silk_road.finished")</f>
        <v>quest.silk_road.finished</v>
      </c>
      <c r="E841" s="18" t="str">
        <f>IFERROR(__xludf.DUMMYFUNCTION("""COMPUTED_VALUE"""),"state.visit_athens")</f>
        <v>state.visit_athens</v>
      </c>
    </row>
    <row r="842" ht="14.25" customHeight="1">
      <c r="D842" s="18" t="str">
        <f>IFERROR(__xludf.DUMMYFUNCTION("""COMPUTED_VALUE"""),"quest.silk_road.finished")</f>
        <v>quest.silk_road.finished</v>
      </c>
      <c r="E842" s="18" t="str">
        <f>IFERROR(__xludf.DUMMYFUNCTION("""COMPUTED_VALUE"""),"state.visit_rome")</f>
        <v>state.visit_rome</v>
      </c>
    </row>
    <row r="843" ht="14.25" customHeight="1">
      <c r="D843" s="18" t="str">
        <f>IFERROR(__xludf.DUMMYFUNCTION("""COMPUTED_VALUE"""),"quest.silk_road.finished")</f>
        <v>quest.silk_road.finished</v>
      </c>
      <c r="E843" s="18" t="str">
        <f>IFERROR(__xludf.DUMMYFUNCTION("""COMPUTED_VALUE"""),"state.visit_kyiv")</f>
        <v>state.visit_kyiv</v>
      </c>
    </row>
    <row r="844" ht="14.25" customHeight="1">
      <c r="D844" s="18" t="str">
        <f>IFERROR(__xludf.DUMMYFUNCTION("""COMPUTED_VALUE"""),"quest.spicy_odyssey.finished")</f>
        <v>quest.spicy_odyssey.finished</v>
      </c>
      <c r="E844" s="18" t="str">
        <f>IFERROR(__xludf.DUMMYFUNCTION("""COMPUTED_VALUE"""),"building.ship@4")</f>
        <v>building.ship@4</v>
      </c>
    </row>
    <row r="845" ht="14.25" customHeight="1">
      <c r="D845" s="18" t="str">
        <f>IFERROR(__xludf.DUMMYFUNCTION("""COMPUTED_VALUE"""),"quest.spicy_odyssey.finished")</f>
        <v>quest.spicy_odyssey.finished</v>
      </c>
      <c r="E845" s="18" t="str">
        <f>IFERROR(__xludf.DUMMYFUNCTION("""COMPUTED_VALUE"""),"state.obtain_spices")</f>
        <v>state.obtain_spices</v>
      </c>
    </row>
    <row r="846" ht="14.25" customHeight="1">
      <c r="D846" s="18" t="str">
        <f>IFERROR(__xludf.DUMMYFUNCTION("""COMPUTED_VALUE"""),"quest.the_ring_of_the_dark_lady.finished")</f>
        <v>quest.the_ring_of_the_dark_lady.finished</v>
      </c>
      <c r="E846" s="18" t="str">
        <f>IFERROR(__xludf.DUMMYFUNCTION("""COMPUTED_VALUE"""),"state.deliver_ring")</f>
        <v>state.deliver_ring</v>
      </c>
    </row>
    <row r="847" ht="14.25" customHeight="1">
      <c r="D847" s="18" t="str">
        <f>IFERROR(__xludf.DUMMYFUNCTION("""COMPUTED_VALUE"""),"quest.treasure_island.finished")</f>
        <v>quest.treasure_island.finished</v>
      </c>
      <c r="E847" s="18" t="str">
        <f>IFERROR(__xludf.DUMMYFUNCTION("""COMPUTED_VALUE"""),"state.obtain_treasure")</f>
        <v>state.obtain_treasure</v>
      </c>
    </row>
    <row r="848" ht="14.25" customHeight="1">
      <c r="D848" s="18" t="str">
        <f>IFERROR(__xludf.DUMMYFUNCTION("""COMPUTED_VALUE"""),"quest.undead_revenge.finished")</f>
        <v>quest.undead_revenge.finished</v>
      </c>
      <c r="E848" s="18" t="str">
        <f>IFERROR(__xludf.DUMMYFUNCTION("""COMPUTED_VALUE"""),"state.complete_dungeon_5c")</f>
        <v>state.complete_dungeon_5c</v>
      </c>
    </row>
    <row r="849" ht="14.25" customHeight="1">
      <c r="D849" s="18" t="str">
        <f>IFERROR(__xludf.DUMMYFUNCTION("""COMPUTED_VALUE"""),"quest.ahead_of_time_chapter_1.finished")</f>
        <v>quest.ahead_of_time_chapter_1.finished</v>
      </c>
      <c r="E849" s="18" t="str">
        <f>IFERROR(__xludf.DUMMYFUNCTION("""COMPUTED_VALUE"""),"building.laboratory@5")</f>
        <v>building.laboratory@5</v>
      </c>
    </row>
    <row r="850" ht="14.25" customHeight="1">
      <c r="D850" s="18" t="str">
        <f>IFERROR(__xludf.DUMMYFUNCTION("""COMPUTED_VALUE"""),"quest.ahead_of_time_chapter_1.finished")</f>
        <v>quest.ahead_of_time_chapter_1.finished</v>
      </c>
      <c r="E850" s="18" t="str">
        <f>IFERROR(__xludf.DUMMYFUNCTION("""COMPUTED_VALUE"""),"state.deliver_bedroll_4b")</f>
        <v>state.deliver_bedroll_4b</v>
      </c>
    </row>
    <row r="851" ht="14.25" customHeight="1">
      <c r="D851" s="18" t="str">
        <f>IFERROR(__xludf.DUMMYFUNCTION("""COMPUTED_VALUE"""),"quest.ahead_of_time_chapter_1.finished")</f>
        <v>quest.ahead_of_time_chapter_1.finished</v>
      </c>
      <c r="E851" s="18" t="str">
        <f>IFERROR(__xludf.DUMMYFUNCTION("""COMPUTED_VALUE"""),"state.deliver_horn_ 2c")</f>
        <v>state.deliver_horn_ 2c</v>
      </c>
    </row>
    <row r="852" ht="14.25" customHeight="1">
      <c r="D852" s="18" t="str">
        <f>IFERROR(__xludf.DUMMYFUNCTION("""COMPUTED_VALUE"""),"quest.ahead_of_time_chapter_1.finished")</f>
        <v>quest.ahead_of_time_chapter_1.finished</v>
      </c>
      <c r="E852" s="18" t="str">
        <f>IFERROR(__xludf.DUMMYFUNCTION("""COMPUTED_VALUE"""),"state.deliver_pizza_diavola_ 5b")</f>
        <v>state.deliver_pizza_diavola_ 5b</v>
      </c>
    </row>
    <row r="853" ht="14.25" customHeight="1">
      <c r="D853" s="18" t="str">
        <f>IFERROR(__xludf.DUMMYFUNCTION("""COMPUTED_VALUE"""),"quest.ahead_of_time_chapter_1.finished")</f>
        <v>quest.ahead_of_time_chapter_1.finished</v>
      </c>
      <c r="E853" s="18" t="str">
        <f>IFERROR(__xludf.DUMMYFUNCTION("""COMPUTED_VALUE"""),"state.deliver_pizza_diavola_ 5c")</f>
        <v>state.deliver_pizza_diavola_ 5c</v>
      </c>
    </row>
    <row r="854" ht="14.25" customHeight="1">
      <c r="D854" s="18" t="str">
        <f>IFERROR(__xludf.DUMMYFUNCTION("""COMPUTED_VALUE"""),"quest.ahead_of_time_chapter_1.finished")</f>
        <v>quest.ahead_of_time_chapter_1.finished</v>
      </c>
      <c r="E854" s="18" t="str">
        <f>IFERROR(__xludf.DUMMYFUNCTION("""COMPUTED_VALUE"""),"state.deliver_porcini_pasta_ 3c")</f>
        <v>state.deliver_porcini_pasta_ 3c</v>
      </c>
    </row>
    <row r="855" ht="14.25" customHeight="1">
      <c r="D855" s="18" t="str">
        <f>IFERROR(__xludf.DUMMYFUNCTION("""COMPUTED_VALUE"""),"quest.ahead_of_time_chapter_1.finished")</f>
        <v>quest.ahead_of_time_chapter_1.finished</v>
      </c>
      <c r="E855" s="18" t="str">
        <f>IFERROR(__xludf.DUMMYFUNCTION("""COMPUTED_VALUE"""),"state.deliver_potion_ambrosia_ 3b")</f>
        <v>state.deliver_potion_ambrosia_ 3b</v>
      </c>
    </row>
    <row r="856" ht="14.25" customHeight="1">
      <c r="D856" s="18" t="str">
        <f>IFERROR(__xludf.DUMMYFUNCTION("""COMPUTED_VALUE"""),"quest.ahead_of_time_chapter_1.finished")</f>
        <v>quest.ahead_of_time_chapter_1.finished</v>
      </c>
      <c r="E856" s="18" t="str">
        <f>IFERROR(__xludf.DUMMYFUNCTION("""COMPUTED_VALUE"""),"state.deliver_potion_berserker_rage_ 1c")</f>
        <v>state.deliver_potion_berserker_rage_ 1c</v>
      </c>
    </row>
    <row r="857" ht="14.25" customHeight="1">
      <c r="D857" s="18" t="str">
        <f>IFERROR(__xludf.DUMMYFUNCTION("""COMPUTED_VALUE"""),"quest.ahead_of_time_chapter_1.finished")</f>
        <v>quest.ahead_of_time_chapter_1.finished</v>
      </c>
      <c r="E857" s="18" t="str">
        <f>IFERROR(__xludf.DUMMYFUNCTION("""COMPUTED_VALUE"""),"state.deliver_yuba_4c")</f>
        <v>state.deliver_yuba_4c</v>
      </c>
    </row>
    <row r="858" ht="14.25" customHeight="1">
      <c r="D858" s="18" t="str">
        <f>IFERROR(__xludf.DUMMYFUNCTION("""COMPUTED_VALUE"""),"quest.ahead_of_time_chapter_2.finished")</f>
        <v>quest.ahead_of_time_chapter_2.finished</v>
      </c>
      <c r="E858" s="18" t="str">
        <f>IFERROR(__xludf.DUMMYFUNCTION("""COMPUTED_VALUE"""),"citadel.tunnel")</f>
        <v>citadel.tunnel</v>
      </c>
    </row>
    <row r="859" ht="14.25" customHeight="1">
      <c r="D859" s="18" t="str">
        <f>IFERROR(__xludf.DUMMYFUNCTION("""COMPUTED_VALUE"""),"quest.ahead_of_time_chapter_3.finished")</f>
        <v>quest.ahead_of_time_chapter_3.finished</v>
      </c>
      <c r="E859" s="18" t="str">
        <f>IFERROR(__xludf.DUMMYFUNCTION("""COMPUTED_VALUE"""),"state.meet_dark_lady_6d")</f>
        <v>state.meet_dark_lady_6d</v>
      </c>
    </row>
    <row r="860" ht="14.25" customHeight="1">
      <c r="D860" s="18" t="str">
        <f>IFERROR(__xludf.DUMMYFUNCTION("""COMPUTED_VALUE"""),"quest.ahead_of_time_chapter_3.finished")</f>
        <v>quest.ahead_of_time_chapter_3.finished</v>
      </c>
      <c r="E860" s="18" t="str">
        <f>IFERROR(__xludf.DUMMYFUNCTION("""COMPUTED_VALUE"""),"state.meet_alchemist_6d")</f>
        <v>state.meet_alchemist_6d</v>
      </c>
    </row>
    <row r="861" ht="14.25" customHeight="1">
      <c r="D861" s="18" t="str">
        <f>IFERROR(__xludf.DUMMYFUNCTION("""COMPUTED_VALUE"""),"quest.ahead_of_time_chapter_4.finished")</f>
        <v>quest.ahead_of_time_chapter_4.finished</v>
      </c>
      <c r="E861" s="18" t="str">
        <f>IFERROR(__xludf.DUMMYFUNCTION("""COMPUTED_VALUE"""),"state.action_send_train_to_sapporo")</f>
        <v>state.action_send_train_to_sapporo</v>
      </c>
    </row>
    <row r="862" ht="14.25" customHeight="1">
      <c r="D862" s="18" t="str">
        <f>IFERROR(__xludf.DUMMYFUNCTION("""COMPUTED_VALUE"""),"quest.ahead_of_time_chapter_5.finished")</f>
        <v>quest.ahead_of_time_chapter_5.finished</v>
      </c>
      <c r="E862" s="18" t="str">
        <f>IFERROR(__xludf.DUMMYFUNCTION("""COMPUTED_VALUE"""),"building.laboratory_data_center@1")</f>
        <v>building.laboratory_data_center@1</v>
      </c>
    </row>
    <row r="863" ht="14.25" customHeight="1">
      <c r="D863" s="18" t="str">
        <f>IFERROR(__xludf.DUMMYFUNCTION("""COMPUTED_VALUE"""),"quest.ahead_of_time_chapter_5.finished")</f>
        <v>quest.ahead_of_time_chapter_5.finished</v>
      </c>
      <c r="E863" s="18" t="str">
        <f>IFERROR(__xludf.DUMMYFUNCTION("""COMPUTED_VALUE"""),"tech.laboratory.digitization")</f>
        <v>tech.laboratory.digitization</v>
      </c>
    </row>
    <row r="864" ht="14.25" customHeight="1">
      <c r="D864" s="18" t="str">
        <f>IFERROR(__xludf.DUMMYFUNCTION("""COMPUTED_VALUE"""),"quest.ahead_of_time_chapter_5.finished")</f>
        <v>quest.ahead_of_time_chapter_5.finished</v>
      </c>
      <c r="E864" s="18" t="str">
        <f>IFERROR(__xludf.DUMMYFUNCTION("""COMPUTED_VALUE"""),"tech.laboratory.experiments")</f>
        <v>tech.laboratory.experiments</v>
      </c>
    </row>
    <row r="865" ht="14.25" customHeight="1">
      <c r="D865" s="18" t="str">
        <f>IFERROR(__xludf.DUMMYFUNCTION("""COMPUTED_VALUE"""),"quest.ahead_of_time_chapter_5.finished")</f>
        <v>quest.ahead_of_time_chapter_5.finished</v>
      </c>
      <c r="E865" s="18" t="str">
        <f>IFERROR(__xludf.DUMMYFUNCTION("""COMPUTED_VALUE"""),"tech.laboratory.research_and_development")</f>
        <v>tech.laboratory.research_and_development</v>
      </c>
    </row>
    <row r="866" ht="14.25" customHeight="1">
      <c r="D866" s="18" t="str">
        <f>IFERROR(__xludf.DUMMYFUNCTION("""COMPUTED_VALUE"""),"quest.the_ordinary_days_of_an_adventurer_chapter_1.finished")</f>
        <v>quest.the_ordinary_days_of_an_adventurer_chapter_1.finished</v>
      </c>
      <c r="E866" s="18" t="str">
        <f>IFERROR(__xludf.DUMMYFUNCTION("""COMPUTED_VALUE"""),"state.find_goat_6b")</f>
        <v>state.find_goat_6b</v>
      </c>
    </row>
    <row r="867" ht="14.25" customHeight="1">
      <c r="D867" s="18" t="str">
        <f>IFERROR(__xludf.DUMMYFUNCTION("""COMPUTED_VALUE"""),"quest.the_ordinary_days_of_an_adventurer_chapter_3.finished")</f>
        <v>quest.the_ordinary_days_of_an_adventurer_chapter_3.finished</v>
      </c>
      <c r="E867" s="18" t="str">
        <f>IFERROR(__xludf.DUMMYFUNCTION("""COMPUTED_VALUE"""),"state.obtain_red_diamond_6a")</f>
        <v>state.obtain_red_diamond_6a</v>
      </c>
    </row>
    <row r="868" ht="14.25" customHeight="1">
      <c r="D868" s="18" t="str">
        <f>IFERROR(__xludf.DUMMYFUNCTION("""COMPUTED_VALUE"""),"quest.the_ordinary_days_of_an_adventurer_chapter_3.finished")</f>
        <v>quest.the_ordinary_days_of_an_adventurer_chapter_3.finished</v>
      </c>
      <c r="E868" s="18" t="str">
        <f>IFERROR(__xludf.DUMMYFUNCTION("""COMPUTED_VALUE"""),"state.obtain_red_diamond_6b")</f>
        <v>state.obtain_red_diamond_6b</v>
      </c>
    </row>
    <row r="869" ht="14.25" customHeight="1">
      <c r="D869" s="18" t="str">
        <f>IFERROR(__xludf.DUMMYFUNCTION("""COMPUTED_VALUE"""),"quest.the_ordinary_days_of_an_adventurer_chapter_3.finished")</f>
        <v>quest.the_ordinary_days_of_an_adventurer_chapter_3.finished</v>
      </c>
      <c r="E869" s="18" t="str">
        <f>IFERROR(__xludf.DUMMYFUNCTION("""COMPUTED_VALUE"""),"state.obtain_red_diamond_6c")</f>
        <v>state.obtain_red_diamond_6c</v>
      </c>
    </row>
    <row r="870" ht="14.25" customHeight="1">
      <c r="D870" s="18" t="str">
        <f>IFERROR(__xludf.DUMMYFUNCTION("""COMPUTED_VALUE"""),"quest.the_ordinary_days_of_an_adventurer_chapter_4.finished")</f>
        <v>quest.the_ordinary_days_of_an_adventurer_chapter_4.finished</v>
      </c>
      <c r="E870" s="18" t="str">
        <f>IFERROR(__xludf.DUMMYFUNCTION("""COMPUTED_VALUE"""),"state.obtain_sword4+")</f>
        <v>state.obtain_sword4+</v>
      </c>
    </row>
    <row r="871" ht="14.25" customHeight="1">
      <c r="D871" s="18" t="str">
        <f>IFERROR(__xludf.DUMMYFUNCTION("""COMPUTED_VALUE"""),"quest.the_ordinary_days_of_an_adventurer_chapter_4.finished")</f>
        <v>quest.the_ordinary_days_of_an_adventurer_chapter_4.finished</v>
      </c>
      <c r="E871" s="18" t="str">
        <f>IFERROR(__xludf.DUMMYFUNCTION("""COMPUTED_VALUE"""),"state.obtain_shield4+")</f>
        <v>state.obtain_shield4+</v>
      </c>
    </row>
    <row r="872" ht="14.25" customHeight="1">
      <c r="D872" s="18" t="str">
        <f>IFERROR(__xludf.DUMMYFUNCTION("""COMPUTED_VALUE"""),"quest.the_ordinary_days_of_an_adventurer_chapter_4.finished")</f>
        <v>quest.the_ordinary_days_of_an_adventurer_chapter_4.finished</v>
      </c>
      <c r="E872" s="18" t="str">
        <f>IFERROR(__xludf.DUMMYFUNCTION("""COMPUTED_VALUE"""),"state.obtain_armor4+")</f>
        <v>state.obtain_armor4+</v>
      </c>
    </row>
    <row r="873" ht="14.25" customHeight="1">
      <c r="D873" s="18" t="str">
        <f>IFERROR(__xludf.DUMMYFUNCTION("""COMPUTED_VALUE"""),"quest.the_ordinary_days_of_an_adventurer_chapter_6.finished")</f>
        <v>quest.the_ordinary_days_of_an_adventurer_chapter_6.finished</v>
      </c>
      <c r="E873" s="18" t="str">
        <f>IFERROR(__xludf.DUMMYFUNCTION("""COMPUTED_VALUE"""),"state.deliver_cheese_6b")</f>
        <v>state.deliver_cheese_6b</v>
      </c>
    </row>
    <row r="874" ht="14.25" customHeight="1">
      <c r="D874" s="18" t="str">
        <f>IFERROR(__xludf.DUMMYFUNCTION("""COMPUTED_VALUE"""),"quest.the_ordinary_days_of_an_adventurer_chapter_7.finished")</f>
        <v>quest.the_ordinary_days_of_an_adventurer_chapter_7.finished</v>
      </c>
      <c r="E874" s="18" t="str">
        <f>IFERROR(__xludf.DUMMYFUNCTION("""COMPUTED_VALUE"""),"state.complete_dungeon_6c")</f>
        <v>state.complete_dungeon_6c</v>
      </c>
    </row>
    <row r="875" ht="14.25" customHeight="1">
      <c r="D875" s="18" t="str">
        <f>IFERROR(__xludf.DUMMYFUNCTION("""COMPUTED_VALUE"""),"quest.the_ordinary_days_of_an_adventurer_chapter_8.finished")</f>
        <v>quest.the_ordinary_days_of_an_adventurer_chapter_8.finished</v>
      </c>
      <c r="E875" s="18" t="str">
        <f>IFERROR(__xludf.DUMMYFUNCTION("""COMPUTED_VALUE"""),"state.visit_paris")</f>
        <v>state.visit_paris</v>
      </c>
    </row>
    <row r="876" ht="14.25" customHeight="1">
      <c r="D876" s="18" t="str">
        <f>IFERROR(__xludf.DUMMYFUNCTION("""COMPUTED_VALUE"""),"quest.once_upon_a_forest_chapter_1.finished")</f>
        <v>quest.once_upon_a_forest_chapter_1.finished</v>
      </c>
      <c r="E876" s="18" t="str">
        <f>IFERROR(__xludf.DUMMYFUNCTION("""COMPUTED_VALUE"""),"state.find_jade_gate_2c")</f>
        <v>state.find_jade_gate_2c</v>
      </c>
    </row>
    <row r="877" ht="14.25" customHeight="1">
      <c r="D877" s="18" t="str">
        <f>IFERROR(__xludf.DUMMYFUNCTION("""COMPUTED_VALUE"""),"quest.once_upon_a_forest_chapter_2.finished")</f>
        <v>quest.once_upon_a_forest_chapter_2.finished</v>
      </c>
      <c r="E877" s="18" t="str">
        <f>IFERROR(__xludf.DUMMYFUNCTION("""COMPUTED_VALUE"""),"state.complete_f1_first_time")</f>
        <v>state.complete_f1_first_time</v>
      </c>
    </row>
    <row r="878" ht="14.25" customHeight="1">
      <c r="D878" s="18" t="str">
        <f>IFERROR(__xludf.DUMMYFUNCTION("""COMPUTED_VALUE"""),"quest.once_upon_a_forest_chapter_3.finished")</f>
        <v>quest.once_upon_a_forest_chapter_3.finished</v>
      </c>
      <c r="E878" s="18" t="str">
        <f>IFERROR(__xludf.DUMMYFUNCTION("""COMPUTED_VALUE"""),"state.obtain_8_malu")</f>
        <v>state.obtain_8_malu</v>
      </c>
    </row>
    <row r="879" ht="14.25" customHeight="1">
      <c r="D879" s="18" t="str">
        <f>IFERROR(__xludf.DUMMYFUNCTION("""COMPUTED_VALUE"""),"quest.once_upon_a_forest_chapter_4.finished")</f>
        <v>quest.once_upon_a_forest_chapter_4.finished</v>
      </c>
      <c r="E879" s="18" t="str">
        <f>IFERROR(__xludf.DUMMYFUNCTION("""COMPUTED_VALUE"""),"state.find_gate_3c")</f>
        <v>state.find_gate_3c</v>
      </c>
    </row>
    <row r="880" ht="14.25" customHeight="1">
      <c r="D880" s="18" t="str">
        <f>IFERROR(__xludf.DUMMYFUNCTION("""COMPUTED_VALUE"""),"quest.once_upon_a_forest_chapter_4.finished")</f>
        <v>quest.once_upon_a_forest_chapter_4.finished</v>
      </c>
      <c r="E880" s="18" t="str">
        <f>IFERROR(__xludf.DUMMYFUNCTION("""COMPUTED_VALUE"""),"state.find_gate_4c")</f>
        <v>state.find_gate_4c</v>
      </c>
    </row>
    <row r="881" ht="14.25" customHeight="1">
      <c r="D881" s="18" t="str">
        <f>IFERROR(__xludf.DUMMYFUNCTION("""COMPUTED_VALUE"""),"quest.once_upon_a_forest_chapter_4.finished")</f>
        <v>quest.once_upon_a_forest_chapter_4.finished</v>
      </c>
      <c r="E881" s="18" t="str">
        <f>IFERROR(__xludf.DUMMYFUNCTION("""COMPUTED_VALUE"""),"state.find_gate_5c")</f>
        <v>state.find_gate_5c</v>
      </c>
    </row>
    <row r="882" ht="14.25" customHeight="1">
      <c r="D882" s="18" t="str">
        <f>IFERROR(__xludf.DUMMYFUNCTION("""COMPUTED_VALUE"""),"quest.once_upon_a_forest_chapter_6.finished")</f>
        <v>quest.once_upon_a_forest_chapter_6.finished</v>
      </c>
      <c r="E882" s="18" t="str">
        <f>IFERROR(__xludf.DUMMYFUNCTION("""COMPUTED_VALUE"""),"tech.alchemists_hut.potion_of_mental_power")</f>
        <v>tech.alchemists_hut.potion_of_mental_power</v>
      </c>
    </row>
    <row r="883" ht="14.25" customHeight="1">
      <c r="D883" s="18" t="str">
        <f>IFERROR(__xludf.DUMMYFUNCTION("""COMPUTED_VALUE"""),"quest.once_upon_a_forest_chapter_6.finished")</f>
        <v>quest.once_upon_a_forest_chapter_6.finished</v>
      </c>
      <c r="E883" s="18" t="str">
        <f>IFERROR(__xludf.DUMMYFUNCTION("""COMPUTED_VALUE"""),"state.obtain_potion_of_mental_power")</f>
        <v>state.obtain_potion_of_mental_power</v>
      </c>
    </row>
    <row r="884" ht="14.25" customHeight="1">
      <c r="D884" s="18" t="str">
        <f>IFERROR(__xludf.DUMMYFUNCTION("""COMPUTED_VALUE"""),"quest.once_upon_a_forest_chapter_6.finished")</f>
        <v>quest.once_upon_a_forest_chapter_6.finished</v>
      </c>
      <c r="E884" s="18" t="str">
        <f>IFERROR(__xludf.DUMMYFUNCTION("""COMPUTED_VALUE"""),"state.deliver_potion_mental_power@F2")</f>
        <v>state.deliver_potion_mental_power@F2</v>
      </c>
    </row>
    <row r="885" ht="14.25" customHeight="1">
      <c r="D885" s="18" t="str">
        <f>IFERROR(__xludf.DUMMYFUNCTION("""COMPUTED_VALUE"""),"quest.once_upon_a_forest_chapter_9.finished")</f>
        <v>quest.once_upon_a_forest_chapter_9.finished</v>
      </c>
      <c r="E885" s="18" t="str">
        <f>IFERROR(__xludf.DUMMYFUNCTION("""COMPUTED_VALUE"""),"state.obtain_hide")</f>
        <v>state.obtain_hide</v>
      </c>
    </row>
    <row r="886" ht="14.25" customHeight="1">
      <c r="D886" s="18" t="str">
        <f>IFERROR(__xludf.DUMMYFUNCTION("""COMPUTED_VALUE"""),"quest.once_upon_a_forest_chapter_9.finished")</f>
        <v>quest.once_upon_a_forest_chapter_9.finished</v>
      </c>
      <c r="E886" s="18" t="str">
        <f>IFERROR(__xludf.DUMMYFUNCTION("""COMPUTED_VALUE"""),"state.obtain_titanium")</f>
        <v>state.obtain_titanium</v>
      </c>
    </row>
    <row r="887" ht="14.25" customHeight="1">
      <c r="D887" s="18" t="str">
        <f>IFERROR(__xludf.DUMMYFUNCTION("""COMPUTED_VALUE"""),"quest.once_upon_a_forest_chapter_9.finished")</f>
        <v>quest.once_upon_a_forest_chapter_9.finished</v>
      </c>
      <c r="E887" s="18" t="str">
        <f>IFERROR(__xludf.DUMMYFUNCTION("""COMPUTED_VALUE"""),"state.obtain_armor4")</f>
        <v>state.obtain_armor4</v>
      </c>
    </row>
    <row r="888" ht="14.25" customHeight="1">
      <c r="D888" s="18" t="str">
        <f>IFERROR(__xludf.DUMMYFUNCTION("""COMPUTED_VALUE"""),"quest.once_upon_a_forest_chapter_9.finished")</f>
        <v>quest.once_upon_a_forest_chapter_9.finished</v>
      </c>
      <c r="E888" s="18" t="str">
        <f>IFERROR(__xludf.DUMMYFUNCTION("""COMPUTED_VALUE"""),"tech.tailor.armor_for_a_hero_lvl_4")</f>
        <v>tech.tailor.armor_for_a_hero_lvl_4</v>
      </c>
    </row>
    <row r="889" ht="14.25" customHeight="1">
      <c r="D889" s="18" t="str">
        <f>IFERROR(__xludf.DUMMYFUNCTION("""COMPUTED_VALUE"""),"quest.once_upon_a_forest_chapter_10.finished")</f>
        <v>quest.once_upon_a_forest_chapter_10.finished</v>
      </c>
      <c r="E889" s="18" t="str">
        <f>IFERROR(__xludf.DUMMYFUNCTION("""COMPUTED_VALUE"""),"state.deliver_balm_to_hunter@f2")</f>
        <v>state.deliver_balm_to_hunter@f2</v>
      </c>
    </row>
    <row r="890" ht="14.25" customHeight="1">
      <c r="D890" s="18" t="str">
        <f>IFERROR(__xludf.DUMMYFUNCTION("""COMPUTED_VALUE"""),"quest.once_upon_a_forest_chapter_11.finished")</f>
        <v>quest.once_upon_a_forest_chapter_11.finished</v>
      </c>
      <c r="E890" s="18" t="str">
        <f>IFERROR(__xludf.DUMMYFUNCTION("""COMPUTED_VALUE"""),"state.visit_melbourne")</f>
        <v>state.visit_melbourne</v>
      </c>
    </row>
    <row r="891" ht="14.25" customHeight="1">
      <c r="D891" s="18" t="str">
        <f>IFERROR(__xludf.DUMMYFUNCTION("""COMPUTED_VALUE"""),"quest.once_upon_a_forest_chapter_12.finished")</f>
        <v>quest.once_upon_a_forest_chapter_12.finished</v>
      </c>
      <c r="E891" s="18" t="str">
        <f>IFERROR(__xludf.DUMMYFUNCTION("""COMPUTED_VALUE"""),"state.meet_foodie_demon@f2")</f>
        <v>state.meet_foodie_demon@f2</v>
      </c>
    </row>
    <row r="892" ht="14.25" customHeight="1">
      <c r="D892" s="18" t="str">
        <f>IFERROR(__xludf.DUMMYFUNCTION("""COMPUTED_VALUE"""),"quest.once_upon_a_forest_chapter_12.finished")</f>
        <v>quest.once_upon_a_forest_chapter_12.finished</v>
      </c>
      <c r="E892" s="18" t="str">
        <f>IFERROR(__xludf.DUMMYFUNCTION("""COMPUTED_VALUE"""),"state.complete_f1_with_diligence")</f>
        <v>state.complete_f1_with_diligence</v>
      </c>
    </row>
    <row r="893" ht="14.25" customHeight="1">
      <c r="D893" s="18" t="str">
        <f>IFERROR(__xludf.DUMMYFUNCTION("""COMPUTED_VALUE"""),"quest.once_upon_a_forest_chapter_12.finished")</f>
        <v>quest.once_upon_a_forest_chapter_12.finished</v>
      </c>
      <c r="E893" s="18" t="str">
        <f>IFERROR(__xludf.DUMMYFUNCTION("""COMPUTED_VALUE"""),"state.complete_f2_with_diligence")</f>
        <v>state.complete_f2_with_diligence</v>
      </c>
    </row>
    <row r="894" ht="14.25" customHeight="1">
      <c r="D894" s="18" t="str">
        <f>IFERROR(__xludf.DUMMYFUNCTION("""COMPUTED_VALUE"""),"quest.once_upon_a_forest_chapter_12.finished")</f>
        <v>quest.once_upon_a_forest_chapter_12.finished</v>
      </c>
      <c r="E894" s="18" t="str">
        <f>IFERROR(__xludf.DUMMYFUNCTION("""COMPUTED_VALUE"""),"state.complete_f3_with_diligence")</f>
        <v>state.complete_f3_with_diligence</v>
      </c>
    </row>
    <row r="895" ht="14.25" customHeight="1">
      <c r="D895" s="18" t="str">
        <f>IFERROR(__xludf.DUMMYFUNCTION("""COMPUTED_VALUE"""),"quest.once_upon_a_forest_chapter_12.finished")</f>
        <v>quest.once_upon_a_forest_chapter_12.finished</v>
      </c>
      <c r="E895" s="18" t="str">
        <f>IFERROR(__xludf.DUMMYFUNCTION("""COMPUTED_VALUE"""),"state.complete_f4_with_diligence")</f>
        <v>state.complete_f4_with_diligence</v>
      </c>
    </row>
    <row r="896" ht="14.25" customHeight="1">
      <c r="D896" s="18" t="str">
        <f>IFERROR(__xludf.DUMMYFUNCTION("""COMPUTED_VALUE"""),"quest.once_upon_a_forest_chapter_13.finished")</f>
        <v>quest.once_upon_a_forest_chapter_13.finished</v>
      </c>
      <c r="E896" s="18" t="str">
        <f>IFERROR(__xludf.DUMMYFUNCTION("""COMPUTED_VALUE"""),"tech.food_stall.jam")</f>
        <v>tech.food_stall.jam</v>
      </c>
    </row>
    <row r="897" ht="14.25" customHeight="1">
      <c r="D897" s="18" t="str">
        <f>IFERROR(__xludf.DUMMYFUNCTION("""COMPUTED_VALUE"""),"quest.once_upon_a_forest_chapter_13.finished")</f>
        <v>quest.once_upon_a_forest_chapter_13.finished</v>
      </c>
      <c r="E897" s="18" t="str">
        <f>IFERROR(__xludf.DUMMYFUNCTION("""COMPUTED_VALUE"""),"tech.food_stall.mandra_cola")</f>
        <v>tech.food_stall.mandra_cola</v>
      </c>
    </row>
    <row r="898" ht="14.25" customHeight="1">
      <c r="D898" s="18" t="str">
        <f>IFERROR(__xludf.DUMMYFUNCTION("""COMPUTED_VALUE"""),"quest.once_upon_a_forest_chapter_14.finished")</f>
        <v>quest.once_upon_a_forest_chapter_14.finished</v>
      </c>
      <c r="E898" s="18" t="str">
        <f>IFERROR(__xludf.DUMMYFUNCTION("""COMPUTED_VALUE"""),"craftifact.solver_1_prototype")</f>
        <v>craftifact.solver_1_prototype</v>
      </c>
    </row>
    <row r="899" ht="14.25" customHeight="1">
      <c r="D899" s="18" t="str">
        <f>IFERROR(__xludf.DUMMYFUNCTION("""COMPUTED_VALUE"""),"quest.once_upon_a_forest_chapter_15.finished")</f>
        <v>quest.once_upon_a_forest_chapter_15.finished</v>
      </c>
      <c r="E899" s="18" t="str">
        <f>IFERROR(__xludf.DUMMYFUNCTION("""COMPUTED_VALUE"""),"state.meet_raven@f2")</f>
        <v>state.meet_raven@f2</v>
      </c>
    </row>
    <row r="900" ht="14.25" customHeight="1">
      <c r="D900" s="18" t="str">
        <f>IFERROR(__xludf.DUMMYFUNCTION("""COMPUTED_VALUE"""),"quest.quest_for_knowledge_chapter_1.finished")</f>
        <v>quest.quest_for_knowledge_chapter_1.finished</v>
      </c>
      <c r="E900" s="18" t="str">
        <f>IFERROR(__xludf.DUMMYFUNCTION("""COMPUTED_VALUE"""),"building.food_stall@1")</f>
        <v>building.food_stall@1</v>
      </c>
    </row>
    <row r="901" ht="14.25" customHeight="1">
      <c r="D901" s="18" t="str">
        <f>IFERROR(__xludf.DUMMYFUNCTION("""COMPUTED_VALUE"""),"quest.quest_for_knowledge_chapter_1.finished")</f>
        <v>quest.quest_for_knowledge_chapter_1.finished</v>
      </c>
      <c r="E901" s="18" t="str">
        <f>IFERROR(__xludf.DUMMYFUNCTION("""COMPUTED_VALUE"""),"building.field@1")</f>
        <v>building.field@1</v>
      </c>
    </row>
    <row r="902" ht="14.25" customHeight="1">
      <c r="D902" s="18" t="str">
        <f>IFERROR(__xludf.DUMMYFUNCTION("""COMPUTED_VALUE"""),"quest.quest_for_knowledge_chapter_2.finished")</f>
        <v>quest.quest_for_knowledge_chapter_2.finished</v>
      </c>
      <c r="E902" s="18" t="str">
        <f>IFERROR(__xludf.DUMMYFUNCTION("""COMPUTED_VALUE"""),"craftifact.trigonometry")</f>
        <v>craftifact.trigonometry</v>
      </c>
    </row>
    <row r="903" ht="14.25" customHeight="1">
      <c r="D903" s="18" t="str">
        <f>IFERROR(__xludf.DUMMYFUNCTION("""COMPUTED_VALUE"""),"quest.quest_for_knowledge_chapter_3.finished")</f>
        <v>quest.quest_for_knowledge_chapter_3.finished</v>
      </c>
      <c r="E903" s="18" t="str">
        <f>IFERROR(__xludf.DUMMYFUNCTION("""COMPUTED_VALUE"""),"craftifact.emerald_tablet")</f>
        <v>craftifact.emerald_tablet</v>
      </c>
    </row>
    <row r="904" ht="14.25" customHeight="1">
      <c r="D904" s="18" t="str">
        <f>IFERROR(__xludf.DUMMYFUNCTION("""COMPUTED_VALUE"""),"quest.quest_for_knowledge_chapter_3.finished")</f>
        <v>quest.quest_for_knowledge_chapter_3.finished</v>
      </c>
      <c r="E904" s="18" t="str">
        <f>IFERROR(__xludf.DUMMYFUNCTION("""COMPUTED_VALUE"""),"state.obtain_all_emerald_shards")</f>
        <v>state.obtain_all_emerald_shards</v>
      </c>
    </row>
    <row r="905" ht="14.25" customHeight="1">
      <c r="D905" s="18" t="str">
        <f>IFERROR(__xludf.DUMMYFUNCTION("""COMPUTED_VALUE"""),"quest.quest_for_knowledge_chapter_4.finished")</f>
        <v>quest.quest_for_knowledge_chapter_4.finished</v>
      </c>
      <c r="E905" s="18" t="str">
        <f>IFERROR(__xludf.DUMMYFUNCTION("""COMPUTED_VALUE"""),"craftifact.historical_library")</f>
        <v>craftifact.historical_library</v>
      </c>
    </row>
    <row r="906" ht="14.25" customHeight="1">
      <c r="D906" s="18" t="str">
        <f>IFERROR(__xludf.DUMMYFUNCTION("""COMPUTED_VALUE"""),"quest.quest_for_knowledge_chapter_5.finished")</f>
        <v>quest.quest_for_knowledge_chapter_5.finished</v>
      </c>
      <c r="E906" s="18" t="str">
        <f>IFERROR(__xludf.DUMMYFUNCTION("""COMPUTED_VALUE"""),"state.obtain_mechanism")</f>
        <v>state.obtain_mechanism</v>
      </c>
    </row>
    <row r="907" ht="14.25" customHeight="1">
      <c r="D907" s="18" t="str">
        <f>IFERROR(__xludf.DUMMYFUNCTION("""COMPUTED_VALUE"""),"quest.quest_for_knowledge_chapter_5.finished")</f>
        <v>quest.quest_for_knowledge_chapter_5.finished</v>
      </c>
      <c r="E907" s="18" t="str">
        <f>IFERROR(__xludf.DUMMYFUNCTION("""COMPUTED_VALUE"""),"state.obtain_steamobile")</f>
        <v>state.obtain_steamobile</v>
      </c>
    </row>
    <row r="908" ht="14.25" customHeight="1">
      <c r="D908" s="18" t="str">
        <f>IFERROR(__xludf.DUMMYFUNCTION("""COMPUTED_VALUE"""),"quest.quest_for_knowledge_chapter_5.finished")</f>
        <v>quest.quest_for_knowledge_chapter_5.finished</v>
      </c>
      <c r="E908" s="18" t="str">
        <f>IFERROR(__xludf.DUMMYFUNCTION("""COMPUTED_VALUE"""),"craftifact.telescope")</f>
        <v>craftifact.telescope</v>
      </c>
    </row>
    <row r="909" ht="14.25" customHeight="1">
      <c r="D909" s="18" t="str">
        <f>IFERROR(__xludf.DUMMYFUNCTION("""COMPUTED_VALUE"""),"quest.shoguns_katana_chapter_1.finished")</f>
        <v>quest.shoguns_katana_chapter_1.finished</v>
      </c>
      <c r="E909" s="18" t="str">
        <f>IFERROR(__xludf.DUMMYFUNCTION("""COMPUTED_VALUE"""),"building.furnace@1")</f>
        <v>building.furnace@1</v>
      </c>
    </row>
    <row r="910" ht="14.25" customHeight="1">
      <c r="D910" s="18" t="str">
        <f>IFERROR(__xludf.DUMMYFUNCTION("""COMPUTED_VALUE"""),"quest.shoguns_katana_chapter_1.finished")</f>
        <v>quest.shoguns_katana_chapter_1.finished</v>
      </c>
      <c r="E910" s="18" t="str">
        <f>IFERROR(__xludf.DUMMYFUNCTION("""COMPUTED_VALUE"""),"state.character_cartographer@2")</f>
        <v>state.character_cartographer@2</v>
      </c>
    </row>
    <row r="911" ht="14.25" customHeight="1">
      <c r="D911" s="18" t="str">
        <f>IFERROR(__xludf.DUMMYFUNCTION("""COMPUTED_VALUE"""),"quest.shoguns_katana_chapter_1.finished")</f>
        <v>quest.shoguns_katana_chapter_1.finished</v>
      </c>
      <c r="E911" s="18" t="str">
        <f>IFERROR(__xludf.DUMMYFUNCTION("""COMPUTED_VALUE"""),"state.obtain_level_2_map")</f>
        <v>state.obtain_level_2_map</v>
      </c>
    </row>
    <row r="912" ht="14.25" customHeight="1">
      <c r="D912" s="18" t="str">
        <f>IFERROR(__xludf.DUMMYFUNCTION("""COMPUTED_VALUE"""),"quest.shoguns_katana_chapter_1.finished")</f>
        <v>quest.shoguns_katana_chapter_1.finished</v>
      </c>
      <c r="E912" s="18" t="str">
        <f>IFERROR(__xludf.DUMMYFUNCTION("""COMPUTED_VALUE"""),"state.obtain_level_2_artifact")</f>
        <v>state.obtain_level_2_artifact</v>
      </c>
    </row>
    <row r="913" ht="14.25" customHeight="1">
      <c r="D913" s="18" t="str">
        <f>IFERROR(__xludf.DUMMYFUNCTION("""COMPUTED_VALUE"""),"quest.shoguns_katana_chapter_2.finished")</f>
        <v>quest.shoguns_katana_chapter_2.finished</v>
      </c>
      <c r="E913" s="18" t="str">
        <f>IFERROR(__xludf.DUMMYFUNCTION("""COMPUTED_VALUE"""),"building.pier@1")</f>
        <v>building.pier@1</v>
      </c>
    </row>
    <row r="914" ht="14.25" customHeight="1">
      <c r="D914" s="18" t="str">
        <f>IFERROR(__xludf.DUMMYFUNCTION("""COMPUTED_VALUE"""),"quest.shoguns_katana_chapter_2.finished")</f>
        <v>quest.shoguns_katana_chapter_2.finished</v>
      </c>
      <c r="E914" s="18" t="str">
        <f>IFERROR(__xludf.DUMMYFUNCTION("""COMPUTED_VALUE"""),"building.warehouse@1")</f>
        <v>building.warehouse@1</v>
      </c>
    </row>
    <row r="915" ht="14.25" customHeight="1">
      <c r="D915" s="18" t="str">
        <f>IFERROR(__xludf.DUMMYFUNCTION("""COMPUTED_VALUE"""),"quest.shoguns_katana_chapter_2.finished")</f>
        <v>quest.shoguns_katana_chapter_2.finished</v>
      </c>
      <c r="E915" s="18" t="str">
        <f>IFERROR(__xludf.DUMMYFUNCTION("""COMPUTED_VALUE"""),"building.lumber@3")</f>
        <v>building.lumber@3</v>
      </c>
    </row>
    <row r="916" ht="14.25" customHeight="1">
      <c r="D916" s="18" t="str">
        <f>IFERROR(__xludf.DUMMYFUNCTION("""COMPUTED_VALUE"""),"quest.shoguns_katana_chapter_2.finished")</f>
        <v>quest.shoguns_katana_chapter_2.finished</v>
      </c>
      <c r="E916" s="18" t="str">
        <f>IFERROR(__xludf.DUMMYFUNCTION("""COMPUTED_VALUE"""),"state.obtain_level_3_artifact")</f>
        <v>state.obtain_level_3_artifact</v>
      </c>
    </row>
    <row r="917" ht="14.25" customHeight="1">
      <c r="D917" s="18" t="str">
        <f>IFERROR(__xludf.DUMMYFUNCTION("""COMPUTED_VALUE"""),"quest.shoguns_katana_chapter_2.finished")</f>
        <v>quest.shoguns_katana_chapter_2.finished</v>
      </c>
      <c r="E917" s="18" t="str">
        <f>IFERROR(__xludf.DUMMYFUNCTION("""COMPUTED_VALUE"""),"state.character_level@22")</f>
        <v>state.character_level@22</v>
      </c>
    </row>
    <row r="918" ht="14.25" customHeight="1">
      <c r="D918" s="18" t="str">
        <f>IFERROR(__xludf.DUMMYFUNCTION("""COMPUTED_VALUE"""),"quest.shoguns_katana_chapter_3.finished")</f>
        <v>quest.shoguns_katana_chapter_3.finished</v>
      </c>
      <c r="E918" s="18" t="str">
        <f>IFERROR(__xludf.DUMMYFUNCTION("""COMPUTED_VALUE"""),"building.ship@1")</f>
        <v>building.ship@1</v>
      </c>
    </row>
    <row r="919" ht="14.25" customHeight="1">
      <c r="D919" s="18" t="str">
        <f>IFERROR(__xludf.DUMMYFUNCTION("""COMPUTED_VALUE"""),"quest.shoguns_katana_chapter_3.finished")</f>
        <v>quest.shoguns_katana_chapter_3.finished</v>
      </c>
      <c r="E919" s="18" t="str">
        <f>IFERROR(__xludf.DUMMYFUNCTION("""COMPUTED_VALUE"""),"state.character_level@24")</f>
        <v>state.character_level@24</v>
      </c>
    </row>
    <row r="920" ht="14.25" customHeight="1">
      <c r="D920" s="18" t="str">
        <f>IFERROR(__xludf.DUMMYFUNCTION("""COMPUTED_VALUE"""),"quest.shoguns_katana_chapter_3.finished")</f>
        <v>quest.shoguns_katana_chapter_3.finished</v>
      </c>
      <c r="E920" s="18" t="str">
        <f>IFERROR(__xludf.DUMMYFUNCTION("""COMPUTED_VALUE"""),"building.food_stall@2")</f>
        <v>building.food_stall@2</v>
      </c>
    </row>
    <row r="921" ht="14.25" customHeight="1">
      <c r="D921" s="18" t="str">
        <f>IFERROR(__xludf.DUMMYFUNCTION("""COMPUTED_VALUE"""),"quest.shoguns_katana_chapter_3.finished")</f>
        <v>quest.shoguns_katana_chapter_3.finished</v>
      </c>
      <c r="E921" s="18" t="str">
        <f>IFERROR(__xludf.DUMMYFUNCTION("""COMPUTED_VALUE"""),"state.obtain_smugglers_map_100_beans")</f>
        <v>state.obtain_smugglers_map_100_beans</v>
      </c>
    </row>
    <row r="922" ht="14.25" customHeight="1">
      <c r="D922" s="18" t="str">
        <f>IFERROR(__xludf.DUMMYFUNCTION("""COMPUTED_VALUE"""),"quest.shoguns_katana_chapter_4.finished")</f>
        <v>quest.shoguns_katana_chapter_4.finished</v>
      </c>
      <c r="E922" s="18" t="str">
        <f>IFERROR(__xludf.DUMMYFUNCTION("""COMPUTED_VALUE"""),"state.obtain_smugglers_map_10_spices")</f>
        <v>state.obtain_smugglers_map_10_spices</v>
      </c>
    </row>
    <row r="923" ht="14.25" customHeight="1">
      <c r="D923" s="18" t="str">
        <f>IFERROR(__xludf.DUMMYFUNCTION("""COMPUTED_VALUE"""),"quest.shoguns_katana_chapter_4.finished")</f>
        <v>quest.shoguns_katana_chapter_4.finished</v>
      </c>
      <c r="E923" s="18" t="str">
        <f>IFERROR(__xludf.DUMMYFUNCTION("""COMPUTED_VALUE"""),"state.obtain_ship_in_a_bottle")</f>
        <v>state.obtain_ship_in_a_bottle</v>
      </c>
    </row>
    <row r="924" ht="14.25" customHeight="1">
      <c r="D924" s="18" t="str">
        <f>IFERROR(__xludf.DUMMYFUNCTION("""COMPUTED_VALUE"""),"quest.shoguns_katana_chapter_4.finished")</f>
        <v>quest.shoguns_katana_chapter_4.finished</v>
      </c>
      <c r="E924" s="18" t="str">
        <f>IFERROR(__xludf.DUMMYFUNCTION("""COMPUTED_VALUE"""),"building.ship@2")</f>
        <v>building.ship@2</v>
      </c>
    </row>
    <row r="925" ht="14.25" customHeight="1">
      <c r="D925" s="18" t="str">
        <f>IFERROR(__xludf.DUMMYFUNCTION("""COMPUTED_VALUE"""),"quest.shoguns_katana_chapter_4.finished")</f>
        <v>quest.shoguns_katana_chapter_4.finished</v>
      </c>
      <c r="E925" s="18" t="str">
        <f>IFERROR(__xludf.DUMMYFUNCTION("""COMPUTED_VALUE"""),"state.character_cooking@2")</f>
        <v>state.character_cooking@2</v>
      </c>
    </row>
    <row r="926" ht="14.25" customHeight="1">
      <c r="D926" s="18" t="str">
        <f>IFERROR(__xludf.DUMMYFUNCTION("""COMPUTED_VALUE"""),"quest.shoguns_katana_chapter_5.finished")</f>
        <v>quest.shoguns_katana_chapter_5.finished</v>
      </c>
      <c r="E926" s="18" t="str">
        <f>IFERROR(__xludf.DUMMYFUNCTION("""COMPUTED_VALUE"""),"state.character_cooking@3")</f>
        <v>state.character_cooking@3</v>
      </c>
    </row>
    <row r="927" ht="14.25" customHeight="1">
      <c r="D927" s="18" t="str">
        <f>IFERROR(__xludf.DUMMYFUNCTION("""COMPUTED_VALUE"""),"quest.shoguns_katana_chapter_5.finished")</f>
        <v>quest.shoguns_katana_chapter_5.finished</v>
      </c>
      <c r="E927" s="18" t="str">
        <f>IFERROR(__xludf.DUMMYFUNCTION("""COMPUTED_VALUE"""),"building.ship@3")</f>
        <v>building.ship@3</v>
      </c>
    </row>
    <row r="928" ht="14.25" customHeight="1">
      <c r="D928" s="18" t="str">
        <f>IFERROR(__xludf.DUMMYFUNCTION("""COMPUTED_VALUE"""),"quest.shoguns_katana_chapter_5.finished")</f>
        <v>quest.shoguns_katana_chapter_5.finished</v>
      </c>
      <c r="E928" s="18" t="str">
        <f>IFERROR(__xludf.DUMMYFUNCTION("""COMPUTED_VALUE"""),"state.obtain_smugglers_map_15_pearl")</f>
        <v>state.obtain_smugglers_map_15_pearl</v>
      </c>
    </row>
    <row r="929" ht="14.25" customHeight="1">
      <c r="D929" s="18" t="str">
        <f>IFERROR(__xludf.DUMMYFUNCTION("""COMPUTED_VALUE"""),"quest.shoguns_katana_chapter_6.finished")</f>
        <v>quest.shoguns_katana_chapter_6.finished</v>
      </c>
      <c r="E929" s="18" t="str">
        <f>IFERROR(__xludf.DUMMYFUNCTION("""COMPUTED_VALUE"""),"building.ship@3")</f>
        <v>building.ship@3</v>
      </c>
    </row>
    <row r="930" ht="14.25" customHeight="1">
      <c r="D930" s="18" t="str">
        <f>IFERROR(__xludf.DUMMYFUNCTION("""COMPUTED_VALUE"""),"quest.shoguns_katana_chapter_6.finished")</f>
        <v>quest.shoguns_katana_chapter_6.finished</v>
      </c>
      <c r="E930" s="18" t="str">
        <f>IFERROR(__xludf.DUMMYFUNCTION("""COMPUTED_VALUE"""),"state.character_cooking@3")</f>
        <v>state.character_cooking@3</v>
      </c>
    </row>
    <row r="931" ht="14.25" customHeight="1">
      <c r="D931" s="18" t="str">
        <f>IFERROR(__xludf.DUMMYFUNCTION("""COMPUTED_VALUE"""),"quest.shoguns_katana_chapter_6.finished")</f>
        <v>quest.shoguns_katana_chapter_6.finished</v>
      </c>
      <c r="E931" s="18" t="str">
        <f>IFERROR(__xludf.DUMMYFUNCTION("""COMPUTED_VALUE"""),"building.food_stall@3")</f>
        <v>building.food_stall@3</v>
      </c>
    </row>
    <row r="932" ht="14.25" customHeight="1">
      <c r="D932" s="18" t="str">
        <f>IFERROR(__xludf.DUMMYFUNCTION("""COMPUTED_VALUE"""),"quest.shoguns_katana_chapter_6.finished")</f>
        <v>quest.shoguns_katana_chapter_6.finished</v>
      </c>
      <c r="E932" s="18" t="str">
        <f>IFERROR(__xludf.DUMMYFUNCTION("""COMPUTED_VALUE"""),"state.character_cartographer@4")</f>
        <v>state.character_cartographer@4</v>
      </c>
    </row>
    <row r="933" ht="14.25" customHeight="1">
      <c r="D933" s="18" t="str">
        <f>IFERROR(__xludf.DUMMYFUNCTION("""COMPUTED_VALUE"""),"quest.shoguns_katana_chapter_6.finished")</f>
        <v>quest.shoguns_katana_chapter_6.finished</v>
      </c>
      <c r="E933" s="18" t="str">
        <f>IFERROR(__xludf.DUMMYFUNCTION("""COMPUTED_VALUE"""),"state.obtain_map4")</f>
        <v>state.obtain_map4</v>
      </c>
    </row>
    <row r="934" ht="14.25" customHeight="1">
      <c r="D934" s="18" t="str">
        <f>IFERROR(__xludf.DUMMYFUNCTION("""COMPUTED_VALUE"""),"quest.shoguns_katana_chapter_7.finished")</f>
        <v>quest.shoguns_katana_chapter_7.finished</v>
      </c>
      <c r="E934" s="18" t="str">
        <f>IFERROR(__xludf.DUMMYFUNCTION("""COMPUTED_VALUE"""),"state.obtain_shoguns_katana")</f>
        <v>state.obtain_shoguns_katana</v>
      </c>
    </row>
    <row r="935" ht="14.25" customHeight="1">
      <c r="D935" s="18" t="str">
        <f>IFERROR(__xludf.DUMMYFUNCTION("""COMPUTED_VALUE"""),"quest.shoguns_katana_chapter_7.finished")</f>
        <v>quest.shoguns_katana_chapter_7.finished</v>
      </c>
      <c r="E935" s="18" t="str">
        <f>IFERROR(__xludf.DUMMYFUNCTION("""COMPUTED_VALUE"""),"state.obtain_map4_x2")</f>
        <v>state.obtain_map4_x2</v>
      </c>
    </row>
    <row r="936" ht="14.25" customHeight="1">
      <c r="D936" s="18" t="str">
        <f>IFERROR(__xludf.DUMMYFUNCTION("""COMPUTED_VALUE"""),"quest.once_upon_a_forest_chapter_7.finished")</f>
        <v>quest.once_upon_a_forest_chapter_7.finished</v>
      </c>
      <c r="E936" s="18" t="str">
        <f>IFERROR(__xludf.DUMMYFUNCTION("""COMPUTED_VALUE"""),"state.deliver_ambrosia@f3")</f>
        <v>state.deliver_ambrosia@f3</v>
      </c>
    </row>
    <row r="937" ht="14.25" customHeight="1">
      <c r="D937" s="18" t="str">
        <f>IFERROR(__xludf.DUMMYFUNCTION("""COMPUTED_VALUE"""),"quest.green_potion.finished")</f>
        <v>quest.green_potion.finished</v>
      </c>
      <c r="E937" s="18" t="str">
        <f>IFERROR(__xludf.DUMMYFUNCTION("""COMPUTED_VALUE"""),"state.obtain_reagent")</f>
        <v>state.obtain_reagent</v>
      </c>
    </row>
    <row r="938" ht="14.25" customHeight="1">
      <c r="D938" s="18" t="str">
        <f>IFERROR(__xludf.DUMMYFUNCTION("""COMPUTED_VALUE"""),"quest.undead_revenge.finished")</f>
        <v>quest.undead_revenge.finished</v>
      </c>
      <c r="E938" s="18" t="str">
        <f>IFERROR(__xludf.DUMMYFUNCTION("""COMPUTED_VALUE"""),"state.complete_dungeon_5c_second")</f>
        <v>state.complete_dungeon_5c_second</v>
      </c>
    </row>
    <row r="939" ht="14.25" customHeight="1">
      <c r="D939" s="18" t="str">
        <f>IFERROR(__xludf.DUMMYFUNCTION("""COMPUTED_VALUE"""),"quest.shoguns_katana_chapter_3.finished")</f>
        <v>quest.shoguns_katana_chapter_3.finished</v>
      </c>
      <c r="E939" s="18" t="str">
        <f>IFERROR(__xludf.DUMMYFUNCTION("""COMPUTED_VALUE"""),"state.obtain_Pirate_hat")</f>
        <v>state.obtain_Pirate_hat</v>
      </c>
    </row>
    <row r="940" ht="14.25" customHeight="1">
      <c r="D940" s="18" t="str">
        <f>IFERROR(__xludf.DUMMYFUNCTION("""COMPUTED_VALUE"""),"quest.shoguns_katana_chapter_5.finished")</f>
        <v>quest.shoguns_katana_chapter_5.finished</v>
      </c>
      <c r="E940" s="18" t="str">
        <f>IFERROR(__xludf.DUMMYFUNCTION("""COMPUTED_VALUE"""),"state.obtain_Black_Pearl")</f>
        <v>state.obtain_Black_Pearl</v>
      </c>
    </row>
    <row r="941" ht="14.25" customHeight="1">
      <c r="D941" s="18" t="str">
        <f>IFERROR(__xludf.DUMMYFUNCTION("""COMPUTED_VALUE"""),"quest.shoguns_katana_chapter_6.finished")</f>
        <v>quest.shoguns_katana_chapter_6.finished</v>
      </c>
      <c r="E941" s="18" t="str">
        <f>IFERROR(__xludf.DUMMYFUNCTION("""COMPUTED_VALUE"""),"state.obtain_Shoguns_Mortar")</f>
        <v>state.obtain_Shoguns_Mortar</v>
      </c>
    </row>
    <row r="942" ht="14.25" customHeight="1">
      <c r="D942" s="18" t="str">
        <f>IFERROR(__xludf.DUMMYFUNCTION("""COMPUTED_VALUE"""),"quest.quest_for_knowledge_chapter_1.finished")</f>
        <v>quest.quest_for_knowledge_chapter_1.finished</v>
      </c>
      <c r="E942" s="18" t="str">
        <f>IFERROR(__xludf.DUMMYFUNCTION("""COMPUTED_VALUE"""),"state.complete_dungeon@1a")</f>
        <v>state.complete_dungeon@1a</v>
      </c>
    </row>
    <row r="943" ht="14.25" customHeight="1">
      <c r="D943" s="18" t="str">
        <f>IFERROR(__xludf.DUMMYFUNCTION("""COMPUTED_VALUE"""),"quest.ahead_of_time_chapter_3.finished")</f>
        <v>quest.ahead_of_time_chapter_3.finished</v>
      </c>
      <c r="E943" s="18" t="str">
        <f>IFERROR(__xludf.DUMMYFUNCTION("""COMPUTED_VALUE"""),"state.complete_dungeon@6D")</f>
        <v>state.complete_dungeon@6D</v>
      </c>
    </row>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96BCFB56-B7B1-42E0-9252-0E18FC81B1FA}" filter="1" showAutoFilter="1">
      <autoFilter ref="$A$1:$B$798"/>
    </customSheetView>
  </customSheetViews>
  <conditionalFormatting sqref="B196">
    <cfRule type="expression" dxfId="8" priority="1">
      <formula>B196&lt;&gt;""</formula>
    </cfRule>
  </conditionalFormatting>
  <conditionalFormatting sqref="B196">
    <cfRule type="expression" dxfId="7" priority="2">
      <formula>AND(B196&lt;&gt;"",B197="")</formula>
    </cfRule>
  </conditionalFormatting>
  <dataValidations>
    <dataValidation type="list" allowBlank="1" showErrorMessage="1" sqref="B196">
      <formula1>TargetStatus!$A$2:$A$700</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18.88"/>
    <col customWidth="1" min="3" max="3" width="15.38"/>
    <col customWidth="1" min="4" max="4" width="15.88"/>
    <col customWidth="1" min="5" max="5" width="39.88"/>
    <col customWidth="1" min="6" max="6" width="8.5"/>
    <col customWidth="1" min="7" max="7" width="13.25"/>
    <col customWidth="1" min="8" max="8" width="38.13"/>
    <col customWidth="1" min="9" max="9" width="70.88"/>
    <col customWidth="1" min="10" max="10" width="19.25"/>
    <col customWidth="1" min="11" max="11" width="14.88"/>
    <col customWidth="1" min="12" max="12" width="23.63"/>
    <col customWidth="1" min="13" max="13" width="17.13"/>
    <col customWidth="1" min="14" max="18" width="8.75"/>
    <col customWidth="1" min="19" max="20" width="14.13"/>
    <col customWidth="1" min="21" max="21" width="11.88"/>
    <col customWidth="1" min="22" max="22" width="16.38"/>
    <col customWidth="1" min="23" max="23" width="18.75"/>
    <col customWidth="1" min="24" max="24" width="60.38"/>
    <col customWidth="1" min="25" max="25" width="18.75"/>
    <col customWidth="1" min="26" max="26" width="29.63"/>
    <col customWidth="1" min="27" max="27" width="24.75"/>
    <col customWidth="1" min="28" max="28" width="21.13"/>
  </cols>
  <sheetData>
    <row r="1" ht="14.25" customHeight="1">
      <c r="A1" s="90" t="s">
        <v>3160</v>
      </c>
      <c r="B1" s="90" t="s">
        <v>3161</v>
      </c>
      <c r="C1" s="90" t="s">
        <v>3162</v>
      </c>
      <c r="D1" s="90" t="s">
        <v>3163</v>
      </c>
      <c r="E1" s="90" t="s">
        <v>3164</v>
      </c>
      <c r="F1" s="90" t="s">
        <v>3165</v>
      </c>
      <c r="G1" s="90" t="s">
        <v>3166</v>
      </c>
      <c r="H1" s="12" t="s">
        <v>3167</v>
      </c>
      <c r="I1" s="6"/>
      <c r="J1" s="6"/>
      <c r="K1" s="6"/>
      <c r="L1" s="6"/>
      <c r="M1" s="6"/>
      <c r="N1" s="6"/>
      <c r="O1" s="6"/>
      <c r="P1" s="6"/>
      <c r="Q1" s="6"/>
      <c r="R1" s="6"/>
      <c r="S1" s="6"/>
      <c r="T1" s="6"/>
      <c r="U1" s="6"/>
      <c r="V1" s="6"/>
      <c r="W1" s="6"/>
      <c r="X1" s="6"/>
      <c r="Y1" s="6"/>
      <c r="Z1" s="6"/>
      <c r="AA1" s="6"/>
      <c r="AB1" s="6"/>
    </row>
    <row r="2" ht="14.25" customHeight="1">
      <c r="A2" s="21" t="s">
        <v>967</v>
      </c>
      <c r="B2" s="21"/>
      <c r="C2" s="21" t="str">
        <f t="array" ref="C2">_xlfn.XLOOKUP(
 E2,
 tblTargetStatus[TargetID],
 tblTargetStatus[DisplayName],
 ""
)</f>
        <v>Guild Lv 5</v>
      </c>
      <c r="D2" s="21" t="str">
        <f t="array" ref="D2">_xlfn.XLOOKUP(
 E2,
 tblTargets[TargetID],
 tblTargets[TargetType],
 ""
)</f>
        <v>BUILDING</v>
      </c>
      <c r="E2" s="21" t="s">
        <v>302</v>
      </c>
      <c r="F2" s="21" t="b">
        <f t="array" ref="F2">NOT(
 _xlfn.XLOOKUP(
  E2,
  tblTargetStatus[TargetID],
  tblTargetStatus[PlayerCompleted],
  FALSE
 )
)</f>
        <v>1</v>
      </c>
      <c r="G2" s="21" t="b">
        <f>IFERROR(__xludf.DUMMYFUNCTION("LET(
 acceptedID,
 REGEXREPLACE(A2,""\.finished$"","".accepted""),
 XLOOKUP(
  acceptedID,
  tblTargetStatus[TargetID],
  tblTargetStatus[PlayerCompleted],
  FALSE
 )
)"),FALSE)</f>
        <v>0</v>
      </c>
      <c r="H2" s="21" t="str">
        <f t="array" ref="H2">LET(
 name,
 _xlfn.XLOOKUP(
  A2,
  tblTargetStatus[TargetID],
  tblTargetStatus[DisplayName],
  ""
 ),
 SUBSTITUTE(
  SUBSTITUTE(name," Accepted",""),
  " Finished",""
 )
)</f>
        <v>Build the Guild</v>
      </c>
      <c r="I2" s="6"/>
      <c r="J2" s="6"/>
      <c r="K2" s="6"/>
      <c r="L2" s="6"/>
      <c r="M2" s="6"/>
      <c r="N2" s="6"/>
      <c r="O2" s="6"/>
      <c r="P2" s="6"/>
      <c r="Q2" s="6"/>
      <c r="R2" s="6"/>
      <c r="S2" s="6"/>
      <c r="T2" s="6"/>
      <c r="U2" s="6"/>
      <c r="V2" s="6"/>
      <c r="W2" s="6"/>
      <c r="X2" s="6"/>
      <c r="Y2" s="6"/>
      <c r="Z2" s="6"/>
      <c r="AA2" s="6"/>
      <c r="AB2" s="6"/>
    </row>
    <row r="3" ht="14.25" customHeight="1">
      <c r="A3" s="21" t="s">
        <v>975</v>
      </c>
      <c r="B3" s="21"/>
      <c r="C3" s="21" t="str">
        <f t="array" ref="C3">_xlfn.XLOOKUP(
 E3,
 tblTargetStatus[TargetID],
 tblTargetStatus[DisplayName],
 ""
)</f>
        <v>Pagoda Lv 7</v>
      </c>
      <c r="D3" s="21" t="str">
        <f t="array" ref="D3">_xlfn.XLOOKUP(
 E3,
 tblTargets[TargetID],
 tblTargets[TargetType],
 ""
)</f>
        <v>BUILDING</v>
      </c>
      <c r="E3" s="21" t="s">
        <v>381</v>
      </c>
      <c r="F3" s="21" t="b">
        <f t="array" ref="F3">NOT(
 _xlfn.XLOOKUP(
  E3,
  tblTargetStatus[TargetID],
  tblTargetStatus[PlayerCompleted],
  FALSE
 )
)</f>
        <v>1</v>
      </c>
      <c r="G3" s="21" t="b">
        <f>IFERROR(__xludf.DUMMYFUNCTION("LET(
 acceptedID,
 REGEXREPLACE(A3,""\.finished$"","".accepted""),
 XLOOKUP(
  acceptedID,
  tblTargetStatus[TargetID],
  tblTargetStatus[PlayerCompleted],
  FALSE
 )
)"),FALSE)</f>
        <v>0</v>
      </c>
      <c r="H3" s="21" t="str">
        <f t="array" ref="H3">LET(
 name,
 _xlfn.XLOOKUP(
  A3,
  tblTargetStatus[TargetID],
  tblTargetStatus[DisplayName],
  ""
 ),
 SUBSTITUTE(
  SUBSTITUTE(name," Accepted",""),
  " Finished",""
 )
)</f>
        <v>Build the Pagoda</v>
      </c>
      <c r="I3" s="6"/>
      <c r="J3" s="6"/>
      <c r="K3" s="6"/>
      <c r="L3" s="6"/>
      <c r="M3" s="6"/>
      <c r="N3" s="6"/>
      <c r="O3" s="6"/>
      <c r="P3" s="6"/>
      <c r="Q3" s="6"/>
      <c r="R3" s="6"/>
      <c r="S3" s="6"/>
      <c r="T3" s="6"/>
      <c r="U3" s="6"/>
      <c r="V3" s="6"/>
      <c r="W3" s="6"/>
      <c r="X3" s="6"/>
      <c r="Y3" s="6"/>
      <c r="Z3" s="6"/>
      <c r="AA3" s="6"/>
      <c r="AB3" s="6"/>
    </row>
    <row r="4" ht="14.25" customHeight="1">
      <c r="A4" s="21" t="s">
        <v>982</v>
      </c>
      <c r="B4" s="21"/>
      <c r="C4" s="21" t="str">
        <f t="array" ref="C4">_xlfn.XLOOKUP(
 E4,
 tblTargetStatus[TargetID],
 tblTargetStatus[DisplayName],
 ""
)</f>
        <v>Food Stall - Quintessence Of Taste</v>
      </c>
      <c r="D4" s="21" t="str">
        <f t="array" ref="D4">_xlfn.XLOOKUP(
 E4,
 tblTargets[TargetID],
 tblTargets[TargetType],
 ""
)</f>
        <v>TECH</v>
      </c>
      <c r="E4" s="26" t="s">
        <v>1784</v>
      </c>
      <c r="F4" s="21" t="b">
        <f t="array" ref="F4">NOT(
 _xlfn.XLOOKUP(
  E4,
  tblTargetStatus[TargetID],
  tblTargetStatus[PlayerCompleted],
  FALSE
 )
)</f>
        <v>1</v>
      </c>
      <c r="G4" s="21" t="b">
        <f>IFERROR(__xludf.DUMMYFUNCTION("LET(
 acceptedID,
 REGEXREPLACE(A4,""\.finished$"","".accepted""),
 XLOOKUP(
  acceptedID,
  tblTargetStatus[TargetID],
  tblTargetStatus[PlayerCompleted],
  FALSE
 )
)"),FALSE)</f>
        <v>0</v>
      </c>
      <c r="H4" s="21" t="str">
        <f t="array" ref="H4">LET(
 name,
 _xlfn.XLOOKUP(
  A4,
  tblTargetStatus[TargetID],
  tblTargetStatus[DisplayName],
  ""
 ),
 SUBSTITUTE(
  SUBSTITUTE(name," Accepted",""),
  " Finished",""
 )
)</f>
        <v>Culinary Battle</v>
      </c>
      <c r="I4" s="6"/>
      <c r="J4" s="6"/>
      <c r="K4" s="6"/>
      <c r="L4" s="6"/>
      <c r="M4" s="6"/>
      <c r="N4" s="6"/>
      <c r="O4" s="6"/>
      <c r="P4" s="6"/>
      <c r="Q4" s="6"/>
      <c r="R4" s="6"/>
      <c r="S4" s="6"/>
      <c r="T4" s="6"/>
      <c r="U4" s="6"/>
      <c r="V4" s="6"/>
      <c r="W4" s="6"/>
      <c r="X4" s="6"/>
      <c r="Y4" s="6"/>
      <c r="Z4" s="6"/>
      <c r="AA4" s="6"/>
      <c r="AB4" s="6"/>
    </row>
    <row r="5" ht="14.25" customHeight="1">
      <c r="A5" s="21" t="s">
        <v>982</v>
      </c>
      <c r="B5" s="21"/>
      <c r="C5" s="21" t="str">
        <f t="array" ref="C5">_xlfn.XLOOKUP(
 E5,
 tblTargetStatus[TargetID],
 tblTargetStatus[DisplayName],
 ""
)</f>
        <v>Food Stall - Mayonnaise</v>
      </c>
      <c r="D5" s="21" t="str">
        <f t="array" ref="D5">_xlfn.XLOOKUP(
 E5,
 tblTargets[TargetID],
 tblTargets[TargetType],
 ""
)</f>
        <v>TECH</v>
      </c>
      <c r="E5" s="21" t="s">
        <v>1779</v>
      </c>
      <c r="F5" s="21" t="b">
        <f t="array" ref="F5">NOT(
 _xlfn.XLOOKUP(
  E5,
  tblTargetStatus[TargetID],
  tblTargetStatus[PlayerCompleted],
  FALSE
 )
)</f>
        <v>1</v>
      </c>
      <c r="G5" s="21" t="b">
        <f>IFERROR(__xludf.DUMMYFUNCTION("LET(
 acceptedID,
 REGEXREPLACE(A5,""\.finished$"","".accepted""),
 XLOOKUP(
  acceptedID,
  tblTargetStatus[TargetID],
  tblTargetStatus[PlayerCompleted],
  FALSE
 )
)"),FALSE)</f>
        <v>0</v>
      </c>
      <c r="H5" s="21" t="str">
        <f t="array" ref="H5">LET(
 name,
 _xlfn.XLOOKUP(
  A5,
  tblTargetStatus[TargetID],
  tblTargetStatus[DisplayName],
  ""
 ),
 SUBSTITUTE(
  SUBSTITUTE(name," Accepted",""),
  " Finished",""
 )
)</f>
        <v>Culinary Battle</v>
      </c>
      <c r="I5" s="6"/>
      <c r="J5" s="6"/>
      <c r="K5" s="6"/>
      <c r="L5" s="6"/>
      <c r="M5" s="6"/>
      <c r="N5" s="6"/>
      <c r="O5" s="6"/>
      <c r="P5" s="6"/>
      <c r="Q5" s="6"/>
      <c r="R5" s="28"/>
      <c r="S5" s="28"/>
      <c r="T5" s="28"/>
      <c r="U5" s="28"/>
      <c r="V5" s="28"/>
      <c r="W5" s="28"/>
      <c r="X5" s="28"/>
      <c r="Y5" s="28"/>
      <c r="Z5" s="28"/>
      <c r="AA5" s="28"/>
      <c r="AB5" s="28"/>
    </row>
    <row r="6" ht="14.25" customHeight="1">
      <c r="A6" s="21" t="s">
        <v>982</v>
      </c>
      <c r="B6" s="21"/>
      <c r="C6" s="21" t="str">
        <f t="array" ref="C6">_xlfn.XLOOKUP(
 E6,
 tblTargetStatus[TargetID],
 tblTargetStatus[DisplayName],
 ""
)</f>
        <v>Attain level 13 cooking skill</v>
      </c>
      <c r="D6" s="21" t="str">
        <f t="array" ref="D6">_xlfn.XLOOKUP(
 E6,
 tblTargets[TargetID],
 tblTargets[TargetType],
 ""
)</f>
        <v>STATE</v>
      </c>
      <c r="E6" s="21" t="s">
        <v>1374</v>
      </c>
      <c r="F6" s="21" t="b">
        <f t="array" ref="F6">NOT(
 _xlfn.XLOOKUP(
  E6,
  tblTargetStatus[TargetID],
  tblTargetStatus[PlayerCompleted],
  FALSE
 )
)</f>
        <v>1</v>
      </c>
      <c r="G6" s="21" t="b">
        <f>IFERROR(__xludf.DUMMYFUNCTION("LET(
 acceptedID,
 REGEXREPLACE(A6,""\.finished$"","".accepted""),
 XLOOKUP(
  acceptedID,
  tblTargetStatus[TargetID],
  tblTargetStatus[PlayerCompleted],
  FALSE
 )
)"),FALSE)</f>
        <v>0</v>
      </c>
      <c r="H6" s="21" t="str">
        <f t="array" ref="H6">LET(
 name,
 _xlfn.XLOOKUP(
  A6,
  tblTargetStatus[TargetID],
  tblTargetStatus[DisplayName],
  ""
 ),
 SUBSTITUTE(
  SUBSTITUTE(name," Accepted",""),
  " Finished",""
 )
)</f>
        <v>Culinary Battle</v>
      </c>
      <c r="I6" s="6"/>
      <c r="J6" s="6"/>
      <c r="K6" s="6"/>
      <c r="L6" s="6"/>
      <c r="M6" s="6"/>
      <c r="N6" s="6"/>
      <c r="O6" s="6"/>
      <c r="P6" s="6"/>
      <c r="Q6" s="6"/>
      <c r="R6" s="28"/>
      <c r="S6" s="28"/>
      <c r="T6" s="28"/>
      <c r="U6" s="6"/>
      <c r="V6" s="28"/>
      <c r="W6" s="28"/>
      <c r="X6" s="6"/>
      <c r="Y6" s="6"/>
      <c r="Z6" s="6"/>
      <c r="AA6" s="28"/>
      <c r="AB6" s="28"/>
    </row>
    <row r="7" ht="14.25" customHeight="1">
      <c r="A7" s="21" t="s">
        <v>991</v>
      </c>
      <c r="B7" s="21"/>
      <c r="C7" s="21" t="str">
        <f t="array" ref="C7">_xlfn.XLOOKUP(
 E7,
 tblTargetStatus[TargetID],
 tblTargetStatus[DisplayName],
 ""
)</f>
        <v>Defeat Bone Dragon in 4C</v>
      </c>
      <c r="D7" s="21" t="str">
        <f t="array" ref="D7">_xlfn.XLOOKUP(
 E7,
 tblTargets[TargetID],
 tblTargets[TargetType],
 ""
)</f>
        <v>STATE</v>
      </c>
      <c r="E7" s="26" t="s">
        <v>1350</v>
      </c>
      <c r="F7" s="21" t="b">
        <f t="array" ref="F7">NOT(
 _xlfn.XLOOKUP(
  E7,
  tblTargetStatus[TargetID],
  tblTargetStatus[PlayerCompleted],
  FALSE
 )
)</f>
        <v>1</v>
      </c>
      <c r="G7" s="21" t="b">
        <f>IFERROR(__xludf.DUMMYFUNCTION("LET(
 acceptedID,
 REGEXREPLACE(A7,""\.finished$"","".accepted""),
 XLOOKUP(
  acceptedID,
  tblTargetStatus[TargetID],
  tblTargetStatus[PlayerCompleted],
  FALSE
 )
)"),FALSE)</f>
        <v>0</v>
      </c>
      <c r="H7" s="21" t="str">
        <f t="array" ref="H7">LET(
 name,
 _xlfn.XLOOKUP(
  A7,
  tblTargetStatus[TargetID],
  tblTargetStatus[DisplayName],
  ""
 ),
 SUBSTITUTE(
  SUBSTITUTE(name," Accepted",""),
  " Finished",""
 )
)</f>
        <v>Dragon teeth</v>
      </c>
      <c r="I7" s="6"/>
      <c r="J7" s="6"/>
      <c r="K7" s="6"/>
      <c r="L7" s="6"/>
      <c r="M7" s="6"/>
      <c r="N7" s="6"/>
      <c r="O7" s="6"/>
      <c r="P7" s="6"/>
      <c r="Q7" s="6"/>
      <c r="R7" s="28"/>
      <c r="S7" s="28"/>
      <c r="T7" s="28"/>
      <c r="U7" s="6"/>
      <c r="V7" s="28"/>
      <c r="W7" s="28"/>
      <c r="X7" s="6"/>
      <c r="Y7" s="6"/>
      <c r="Z7" s="6"/>
      <c r="AA7" s="28"/>
      <c r="AB7" s="28"/>
    </row>
    <row r="8" ht="14.25" customHeight="1">
      <c r="A8" s="21" t="s">
        <v>991</v>
      </c>
      <c r="B8" s="21"/>
      <c r="C8" s="21" t="str">
        <f t="array" ref="C8">_xlfn.XLOOKUP(
 E8,
 tblTargetStatus[TargetID],
 tblTargetStatus[DisplayName],
 ""
)</f>
        <v>Smithy - Sword For A Hero Lvl 4</v>
      </c>
      <c r="D8" s="21" t="str">
        <f t="array" ref="D8">_xlfn.XLOOKUP(
 E8,
 tblTargets[TargetID],
 tblTargets[TargetType],
 ""
)</f>
        <v>TECH</v>
      </c>
      <c r="E8" s="26" t="s">
        <v>1834</v>
      </c>
      <c r="F8" s="21" t="b">
        <f t="array" ref="F8">NOT(
 _xlfn.XLOOKUP(
  E8,
  tblTargetStatus[TargetID],
  tblTargetStatus[PlayerCompleted],
  FALSE
 )
)</f>
        <v>1</v>
      </c>
      <c r="G8" s="21" t="b">
        <f>IFERROR(__xludf.DUMMYFUNCTION("LET(
 acceptedID,
 REGEXREPLACE(A8,""\.finished$"","".accepted""),
 XLOOKUP(
  acceptedID,
  tblTargetStatus[TargetID],
  tblTargetStatus[PlayerCompleted],
  FALSE
 )
)"),FALSE)</f>
        <v>0</v>
      </c>
      <c r="H8" s="21" t="str">
        <f t="array" ref="H8">LET(
 name,
 _xlfn.XLOOKUP(
  A8,
  tblTargetStatus[TargetID],
  tblTargetStatus[DisplayName],
  ""
 ),
 SUBSTITUTE(
  SUBSTITUTE(name," Accepted",""),
  " Finished",""
 )
)</f>
        <v>Dragon teeth</v>
      </c>
      <c r="I8" s="6"/>
      <c r="J8" s="6"/>
      <c r="K8" s="6"/>
      <c r="L8" s="6"/>
      <c r="M8" s="6"/>
      <c r="N8" s="6"/>
      <c r="O8" s="6"/>
      <c r="P8" s="6"/>
      <c r="Q8" s="6"/>
      <c r="R8" s="28"/>
      <c r="S8" s="28"/>
      <c r="T8" s="28"/>
      <c r="U8" s="6"/>
      <c r="V8" s="28"/>
      <c r="W8" s="28"/>
      <c r="X8" s="6"/>
      <c r="Y8" s="6"/>
      <c r="Z8" s="6"/>
      <c r="AA8" s="28"/>
      <c r="AB8" s="28"/>
    </row>
    <row r="9" ht="14.25" customHeight="1">
      <c r="A9" s="21" t="s">
        <v>991</v>
      </c>
      <c r="B9" s="21"/>
      <c r="C9" s="21" t="str">
        <f t="array" ref="C9">_xlfn.XLOOKUP(
 E9,
 tblTargetStatus[TargetID],
 tblTargetStatus[DisplayName],
 ""
)</f>
        <v>Craft Sword for a Hero Lvl 4</v>
      </c>
      <c r="D9" s="21" t="str">
        <f t="array" ref="D9">_xlfn.XLOOKUP(
 E9,
 tblTargets[TargetID],
 tblTargets[TargetType],
 ""
)</f>
        <v>STATE</v>
      </c>
      <c r="E9" s="21" t="s">
        <v>1644</v>
      </c>
      <c r="F9" s="21" t="b">
        <f t="array" ref="F9">NOT(
 _xlfn.XLOOKUP(
  E9,
  tblTargetStatus[TargetID],
  tblTargetStatus[PlayerCompleted],
  FALSE
 )
)</f>
        <v>1</v>
      </c>
      <c r="G9" s="21" t="b">
        <f>IFERROR(__xludf.DUMMYFUNCTION("LET(
 acceptedID,
 REGEXREPLACE(A9,""\.finished$"","".accepted""),
 XLOOKUP(
  acceptedID,
  tblTargetStatus[TargetID],
  tblTargetStatus[PlayerCompleted],
  FALSE
 )
)"),FALSE)</f>
        <v>0</v>
      </c>
      <c r="H9" s="21" t="str">
        <f t="array" ref="H9">LET(
 name,
 _xlfn.XLOOKUP(
  A9,
  tblTargetStatus[TargetID],
  tblTargetStatus[DisplayName],
  ""
 ),
 SUBSTITUTE(
  SUBSTITUTE(name," Accepted",""),
  " Finished",""
 )
)</f>
        <v>Dragon teeth</v>
      </c>
      <c r="I9" s="6"/>
      <c r="J9" s="6"/>
      <c r="K9" s="6"/>
      <c r="L9" s="6"/>
      <c r="M9" s="6"/>
      <c r="N9" s="6"/>
      <c r="O9" s="6"/>
      <c r="P9" s="6"/>
      <c r="Q9" s="6"/>
      <c r="R9" s="28"/>
      <c r="S9" s="28"/>
      <c r="T9" s="28"/>
      <c r="U9" s="6"/>
      <c r="V9" s="28"/>
      <c r="W9" s="28"/>
      <c r="X9" s="6"/>
      <c r="Y9" s="6"/>
      <c r="Z9" s="6"/>
      <c r="AA9" s="28"/>
      <c r="AB9" s="28"/>
    </row>
    <row r="10" ht="14.25" customHeight="1">
      <c r="A10" s="21" t="s">
        <v>1023</v>
      </c>
      <c r="B10" s="21"/>
      <c r="C10" s="21" t="str">
        <f t="array" ref="C10">_xlfn.XLOOKUP(
 E10,
 tblTargetStatus[TargetID],
 tblTargetStatus[DisplayName],
 ""
)</f>
        <v>Smithy - Throwing Knife</v>
      </c>
      <c r="D10" s="21" t="str">
        <f t="array" ref="D10">_xlfn.XLOOKUP(
 E10,
 tblTargets[TargetID],
 tblTargets[TargetType],
 ""
)</f>
        <v>TECH</v>
      </c>
      <c r="E10" s="26" t="s">
        <v>1838</v>
      </c>
      <c r="F10" s="21" t="b">
        <f t="array" ref="F10">NOT(
 _xlfn.XLOOKUP(
  E10,
  tblTargetStatus[TargetID],
  tblTargetStatus[PlayerCompleted],
  FALSE
 )
)</f>
        <v>1</v>
      </c>
      <c r="G10" s="21" t="b">
        <f>IFERROR(__xludf.DUMMYFUNCTION("LET(
 acceptedID,
 REGEXREPLACE(A10,""\.finished$"","".accepted""),
 XLOOKUP(
  acceptedID,
  tblTargetStatus[TargetID],
  tblTargetStatus[PlayerCompleted],
  FALSE
 )
)"),FALSE)</f>
        <v>0</v>
      </c>
      <c r="H10" s="21" t="str">
        <f t="array" ref="H10">LET(
 name,
 _xlfn.XLOOKUP(
  A10,
  tblTargetStatus[TargetID],
  tblTargetStatus[DisplayName],
  ""
 ),
 SUBSTITUTE(
  SUBSTITUTE(name," Accepted",""),
  " Finished",""
 )
)</f>
        <v>Green Potion</v>
      </c>
      <c r="I10" s="6"/>
      <c r="J10" s="6"/>
      <c r="K10" s="6"/>
      <c r="L10" s="6"/>
      <c r="M10" s="6"/>
      <c r="N10" s="6"/>
      <c r="O10" s="6"/>
      <c r="P10" s="6"/>
      <c r="Q10" s="6"/>
      <c r="R10" s="28"/>
      <c r="S10" s="28"/>
      <c r="T10" s="28"/>
      <c r="U10" s="28"/>
      <c r="V10" s="28"/>
      <c r="W10" s="28"/>
      <c r="X10" s="28"/>
      <c r="Y10" s="6"/>
      <c r="Z10" s="6"/>
      <c r="AA10" s="28"/>
      <c r="AB10" s="28"/>
    </row>
    <row r="11" ht="14.25" customHeight="1">
      <c r="A11" s="21" t="s">
        <v>1023</v>
      </c>
      <c r="B11" s="21"/>
      <c r="C11" s="21" t="str">
        <f t="array" ref="C11">_xlfn.XLOOKUP(
 E11,
 tblTargetStatus[TargetID],
 tblTargetStatus[DisplayName],
 ""
)</f>
        <v>Dungeon Lv 3</v>
      </c>
      <c r="D11" s="21" t="str">
        <f t="array" ref="D11">_xlfn.XLOOKUP(
 E11,
 tblTargets[TargetID],
 tblTargets[TargetType],
 ""
)</f>
        <v>BUILDING</v>
      </c>
      <c r="E11" s="21" t="s">
        <v>165</v>
      </c>
      <c r="F11" s="21" t="b">
        <f t="array" ref="F11">NOT(
 _xlfn.XLOOKUP(
  E11,
  tblTargetStatus[TargetID],
  tblTargetStatus[PlayerCompleted],
  FALSE
 )
)</f>
        <v>1</v>
      </c>
      <c r="G11" s="21" t="b">
        <f>IFERROR(__xludf.DUMMYFUNCTION("LET(
 acceptedID,
 REGEXREPLACE(A11,""\.finished$"","".accepted""),
 XLOOKUP(
  acceptedID,
  tblTargetStatus[TargetID],
  tblTargetStatus[PlayerCompleted],
  FALSE
 )
)"),FALSE)</f>
        <v>0</v>
      </c>
      <c r="H11" s="21" t="str">
        <f t="array" ref="H11">LET(
 name,
 _xlfn.XLOOKUP(
  A11,
  tblTargetStatus[TargetID],
  tblTargetStatus[DisplayName],
  ""
 ),
 SUBSTITUTE(
  SUBSTITUTE(name," Accepted",""),
  " Finished",""
 )
)</f>
        <v>Green Potion</v>
      </c>
      <c r="I11" s="6"/>
      <c r="J11" s="6"/>
      <c r="K11" s="6"/>
      <c r="L11" s="6"/>
      <c r="M11" s="6"/>
      <c r="N11" s="6"/>
      <c r="O11" s="6"/>
      <c r="P11" s="6"/>
      <c r="Q11" s="6"/>
      <c r="R11" s="28"/>
      <c r="S11" s="28"/>
      <c r="T11" s="28"/>
      <c r="U11" s="6"/>
      <c r="V11" s="28"/>
      <c r="W11" s="28"/>
      <c r="X11" s="6"/>
      <c r="Y11" s="6"/>
      <c r="Z11" s="6"/>
      <c r="AA11" s="28"/>
      <c r="AB11" s="28"/>
    </row>
    <row r="12" ht="14.25" customHeight="1">
      <c r="A12" s="21" t="s">
        <v>1032</v>
      </c>
      <c r="B12" s="21"/>
      <c r="C12" s="21" t="str">
        <f t="array" ref="C12">_xlfn.XLOOKUP(
 E12,
 tblTargetStatus[TargetID],
 tblTargetStatus[DisplayName],
 ""
)</f>
        <v>Guild Codex</v>
      </c>
      <c r="D12" s="21" t="str">
        <f t="array" ref="D12">_xlfn.XLOOKUP(
 E12,
 tblTargets[TargetID],
 tblTargets[TargetType],
 ""
)</f>
        <v>CRAFTIFACT</v>
      </c>
      <c r="E12" s="21" t="s">
        <v>861</v>
      </c>
      <c r="F12" s="21" t="b">
        <f t="array" ref="F12">NOT(
 _xlfn.XLOOKUP(
  E12,
  tblTargetStatus[TargetID],
  tblTargetStatus[PlayerCompleted],
  FALSE
 )
)</f>
        <v>1</v>
      </c>
      <c r="G12" s="21" t="b">
        <f>IFERROR(__xludf.DUMMYFUNCTION("LET(
 acceptedID,
 REGEXREPLACE(A12,""\.finished$"","".accepted""),
 XLOOKUP(
  acceptedID,
  tblTargetStatus[TargetID],
  tblTargetStatus[PlayerCompleted],
  FALSE
 )
)"),FALSE)</f>
        <v>0</v>
      </c>
      <c r="H12" s="21" t="str">
        <f t="array" ref="H12">LET(
 name,
 _xlfn.XLOOKUP(
  A12,
  tblTargetStatus[TargetID],
  tblTargetStatus[DisplayName],
  ""
 ),
 SUBSTITUTE(
  SUBSTITUTE(name," Accepted",""),
  " Finished",""
 )
)</f>
        <v>Honor, Glory, Sushi</v>
      </c>
      <c r="I12" s="6"/>
      <c r="J12" s="6"/>
      <c r="K12" s="6"/>
      <c r="L12" s="6"/>
      <c r="M12" s="6"/>
      <c r="N12" s="6"/>
      <c r="O12" s="6"/>
      <c r="P12" s="6"/>
      <c r="Q12" s="6"/>
      <c r="R12" s="28"/>
      <c r="S12" s="28"/>
      <c r="T12" s="28"/>
      <c r="U12" s="28"/>
      <c r="V12" s="28"/>
      <c r="W12" s="28"/>
      <c r="X12" s="28"/>
      <c r="Y12" s="6"/>
      <c r="Z12" s="6"/>
      <c r="AA12" s="28"/>
      <c r="AB12" s="28"/>
    </row>
    <row r="13" ht="14.25" customHeight="1">
      <c r="A13" s="21" t="s">
        <v>1032</v>
      </c>
      <c r="B13" s="21"/>
      <c r="C13" s="21" t="str">
        <f t="array" ref="C13">_xlfn.XLOOKUP(
 E13,
 tblTargetStatus[TargetID],
 tblTargetStatus[DisplayName],
 ""
)</f>
        <v>Guild Banner</v>
      </c>
      <c r="D13" s="21" t="str">
        <f t="array" ref="D13">_xlfn.XLOOKUP(
 E13,
 tblTargets[TargetID],
 tblTargets[TargetType],
 ""
)</f>
        <v>CRAFTIFACT</v>
      </c>
      <c r="E13" s="21" t="s">
        <v>858</v>
      </c>
      <c r="F13" s="21" t="b">
        <f t="array" ref="F13">NOT(
 _xlfn.XLOOKUP(
  E13,
  tblTargetStatus[TargetID],
  tblTargetStatus[PlayerCompleted],
  FALSE
 )
)</f>
        <v>1</v>
      </c>
      <c r="G13" s="21" t="b">
        <f>IFERROR(__xludf.DUMMYFUNCTION("LET(
 acceptedID,
 REGEXREPLACE(A13,""\.finished$"","".accepted""),
 XLOOKUP(
  acceptedID,
  tblTargetStatus[TargetID],
  tblTargetStatus[PlayerCompleted],
  FALSE
 )
)"),FALSE)</f>
        <v>0</v>
      </c>
      <c r="H13" s="21" t="str">
        <f t="array" ref="H13">LET(
 name,
 _xlfn.XLOOKUP(
  A13,
  tblTargetStatus[TargetID],
  tblTargetStatus[DisplayName],
  ""
 ),
 SUBSTITUTE(
  SUBSTITUTE(name," Accepted",""),
  " Finished",""
 )
)</f>
        <v>Honor, Glory, Sushi</v>
      </c>
      <c r="I13" s="6"/>
      <c r="J13" s="6"/>
      <c r="K13" s="6"/>
      <c r="L13" s="6"/>
      <c r="M13" s="6"/>
      <c r="N13" s="6"/>
      <c r="O13" s="6"/>
      <c r="P13" s="6"/>
      <c r="Q13" s="6"/>
      <c r="R13" s="28"/>
      <c r="S13" s="28"/>
      <c r="T13" s="28"/>
      <c r="U13" s="6"/>
      <c r="V13" s="28"/>
      <c r="W13" s="28"/>
      <c r="X13" s="6"/>
      <c r="Y13" s="6"/>
      <c r="Z13" s="6"/>
      <c r="AA13" s="28"/>
      <c r="AB13" s="28"/>
    </row>
    <row r="14" ht="14.25" customHeight="1">
      <c r="A14" s="21" t="s">
        <v>1032</v>
      </c>
      <c r="B14" s="21"/>
      <c r="C14" s="21" t="str">
        <f t="array" ref="C14">_xlfn.XLOOKUP(
 E14,
 tblTargetStatus[TargetID],
 tblTargetStatus[DisplayName],
 ""
)</f>
        <v>Guild Supplies</v>
      </c>
      <c r="D14" s="21" t="str">
        <f t="array" ref="D14">_xlfn.XLOOKUP(
 E14,
 tblTargets[TargetID],
 tblTargets[TargetType],
 ""
)</f>
        <v>CRAFTIFACT</v>
      </c>
      <c r="E14" s="21" t="s">
        <v>864</v>
      </c>
      <c r="F14" s="21" t="b">
        <f t="array" ref="F14">NOT(
 _xlfn.XLOOKUP(
  E14,
  tblTargetStatus[TargetID],
  tblTargetStatus[PlayerCompleted],
  FALSE
 )
)</f>
        <v>1</v>
      </c>
      <c r="G14" s="21" t="b">
        <f>IFERROR(__xludf.DUMMYFUNCTION("LET(
 acceptedID,
 REGEXREPLACE(A14,""\.finished$"","".accepted""),
 XLOOKUP(
  acceptedID,
  tblTargetStatus[TargetID],
  tblTargetStatus[PlayerCompleted],
  FALSE
 )
)"),FALSE)</f>
        <v>0</v>
      </c>
      <c r="H14" s="21" t="str">
        <f t="array" ref="H14">LET(
 name,
 _xlfn.XLOOKUP(
  A14,
  tblTargetStatus[TargetID],
  tblTargetStatus[DisplayName],
  ""
 ),
 SUBSTITUTE(
  SUBSTITUTE(name," Accepted",""),
  " Finished",""
 )
)</f>
        <v>Honor, Glory, Sushi</v>
      </c>
      <c r="I14" s="6"/>
      <c r="J14" s="6"/>
      <c r="K14" s="6"/>
      <c r="L14" s="6"/>
      <c r="M14" s="6"/>
      <c r="N14" s="6"/>
      <c r="O14" s="6"/>
      <c r="P14" s="6"/>
      <c r="Q14" s="6"/>
      <c r="R14" s="28"/>
      <c r="S14" s="28"/>
      <c r="T14" s="28"/>
      <c r="U14" s="6"/>
      <c r="V14" s="28"/>
      <c r="W14" s="28"/>
      <c r="X14" s="6"/>
      <c r="Y14" s="6"/>
      <c r="Z14" s="6"/>
      <c r="AA14" s="28"/>
      <c r="AB14" s="28"/>
    </row>
    <row r="15" ht="14.25" customHeight="1">
      <c r="A15" s="21" t="s">
        <v>1032</v>
      </c>
      <c r="B15" s="21"/>
      <c r="C15" s="21" t="str">
        <f t="array" ref="C15">_xlfn.XLOOKUP(
 E15,
 tblTargetStatus[TargetID],
 tblTargetStatus[DisplayName],
 ""
)</f>
        <v>Outpost Lv 3</v>
      </c>
      <c r="D15" s="21" t="str">
        <f t="array" ref="D15">_xlfn.XLOOKUP(
 E15,
 tblTargets[TargetID],
 tblTargets[TargetType],
 ""
)</f>
        <v>BUILDING</v>
      </c>
      <c r="E15" s="21" t="s">
        <v>366</v>
      </c>
      <c r="F15" s="21" t="b">
        <f t="array" ref="F15">NOT(
 _xlfn.XLOOKUP(
  E15,
  tblTargetStatus[TargetID],
  tblTargetStatus[PlayerCompleted],
  FALSE
 )
)</f>
        <v>1</v>
      </c>
      <c r="G15" s="21" t="b">
        <f>IFERROR(__xludf.DUMMYFUNCTION("LET(
 acceptedID,
 REGEXREPLACE(A15,""\.finished$"","".accepted""),
 XLOOKUP(
  acceptedID,
  tblTargetStatus[TargetID],
  tblTargetStatus[PlayerCompleted],
  FALSE
 )
)"),FALSE)</f>
        <v>0</v>
      </c>
      <c r="H15" s="21" t="str">
        <f t="array" ref="H15">LET(
 name,
 _xlfn.XLOOKUP(
  A15,
  tblTargetStatus[TargetID],
  tblTargetStatus[DisplayName],
  ""
 ),
 SUBSTITUTE(
  SUBSTITUTE(name," Accepted",""),
  " Finished",""
 )
)</f>
        <v>Honor, Glory, Sushi</v>
      </c>
      <c r="I15" s="6"/>
      <c r="J15" s="6"/>
      <c r="K15" s="6"/>
      <c r="L15" s="6"/>
      <c r="M15" s="6"/>
      <c r="N15" s="6"/>
      <c r="O15" s="6"/>
      <c r="P15" s="6"/>
      <c r="Q15" s="6"/>
      <c r="R15" s="28"/>
      <c r="S15" s="28"/>
      <c r="T15" s="28"/>
      <c r="U15" s="28"/>
      <c r="V15" s="28"/>
      <c r="W15" s="28"/>
      <c r="X15" s="28"/>
      <c r="Y15" s="6"/>
      <c r="Z15" s="6"/>
      <c r="AA15" s="28"/>
      <c r="AB15" s="28"/>
    </row>
    <row r="16" ht="14.25" customHeight="1">
      <c r="A16" s="21" t="s">
        <v>1039</v>
      </c>
      <c r="B16" s="21"/>
      <c r="C16" s="21" t="str">
        <f t="array" ref="C16">_xlfn.XLOOKUP(
 E16,
 tblTargetStatus[TargetID],
 tblTargetStatus[DisplayName],
 ""
)</f>
        <v>Obtain Blueprint</v>
      </c>
      <c r="D16" s="21" t="str">
        <f t="array" ref="D16">_xlfn.XLOOKUP(
 E16,
 tblTargets[TargetID],
 tblTargets[TargetType],
 ""
)</f>
        <v>STATE</v>
      </c>
      <c r="E16" s="26" t="s">
        <v>1590</v>
      </c>
      <c r="F16" s="21" t="b">
        <f t="array" ref="F16">NOT(
 _xlfn.XLOOKUP(
  E16,
  tblTargetStatus[TargetID],
  tblTargetStatus[PlayerCompleted],
  FALSE
 )
)</f>
        <v>1</v>
      </c>
      <c r="G16" s="21" t="b">
        <f>IFERROR(__xludf.DUMMYFUNCTION("LET(
 acceptedID,
 REGEXREPLACE(A16,""\.finished$"","".accepted""),
 XLOOKUP(
  acceptedID,
  tblTargetStatus[TargetID],
  tblTargetStatus[PlayerCompleted],
  FALSE
 )
)"),FALSE)</f>
        <v>0</v>
      </c>
      <c r="H16" s="21" t="str">
        <f t="array" ref="H16">LET(
 name,
 _xlfn.XLOOKUP(
  A16,
  tblTargetStatus[TargetID],
  tblTargetStatus[DisplayName],
  ""
 ),
 SUBSTITUTE(
  SUBSTITUTE(name," Accepted",""),
  " Finished",""
 )
)</f>
        <v>Journey Through Japan By Train</v>
      </c>
      <c r="I16" s="6"/>
      <c r="J16" s="6"/>
      <c r="K16" s="6"/>
      <c r="L16" s="6"/>
      <c r="M16" s="6"/>
      <c r="N16" s="6"/>
      <c r="O16" s="6"/>
      <c r="P16" s="6"/>
      <c r="Q16" s="6"/>
      <c r="R16" s="28"/>
      <c r="S16" s="28"/>
      <c r="T16" s="28"/>
      <c r="U16" s="28"/>
      <c r="V16" s="28"/>
      <c r="W16" s="28"/>
      <c r="X16" s="28"/>
      <c r="Y16" s="6"/>
      <c r="Z16" s="6"/>
      <c r="AA16" s="28"/>
      <c r="AB16" s="28"/>
    </row>
    <row r="17" ht="14.25" customHeight="1">
      <c r="A17" s="21" t="s">
        <v>1039</v>
      </c>
      <c r="B17" s="21"/>
      <c r="C17" s="21" t="str">
        <f t="array" ref="C17">_xlfn.XLOOKUP(
 E17,
 tblTargetStatus[TargetID],
 tblTargetStatus[DisplayName],
 ""
)</f>
        <v>Station Lv 1</v>
      </c>
      <c r="D17" s="21" t="str">
        <f t="array" ref="D17">_xlfn.XLOOKUP(
 E17,
 tblTargets[TargetID],
 tblTargets[TargetType],
 ""
)</f>
        <v>BUILDING</v>
      </c>
      <c r="E17" s="26" t="s">
        <v>418</v>
      </c>
      <c r="F17" s="21" t="b">
        <f t="array" ref="F17">NOT(
 _xlfn.XLOOKUP(
  E17,
  tblTargetStatus[TargetID],
  tblTargetStatus[PlayerCompleted],
  FALSE
 )
)</f>
        <v>1</v>
      </c>
      <c r="G17" s="21" t="b">
        <f>IFERROR(__xludf.DUMMYFUNCTION("LET(
 acceptedID,
 REGEXREPLACE(A17,""\.finished$"","".accepted""),
 XLOOKUP(
  acceptedID,
  tblTargetStatus[TargetID],
  tblTargetStatus[PlayerCompleted],
  FALSE
 )
)"),FALSE)</f>
        <v>0</v>
      </c>
      <c r="H17" s="21" t="str">
        <f t="array" ref="H17">LET(
 name,
 _xlfn.XLOOKUP(
  A17,
  tblTargetStatus[TargetID],
  tblTargetStatus[DisplayName],
  ""
 ),
 SUBSTITUTE(
  SUBSTITUTE(name," Accepted",""),
  " Finished",""
 )
)</f>
        <v>Journey Through Japan By Train</v>
      </c>
      <c r="I17" s="6"/>
      <c r="J17" s="6"/>
      <c r="K17" s="6"/>
      <c r="L17" s="6"/>
      <c r="M17" s="6"/>
      <c r="N17" s="6"/>
      <c r="O17" s="6"/>
      <c r="P17" s="6"/>
      <c r="Q17" s="6"/>
      <c r="R17" s="28"/>
      <c r="S17" s="28"/>
      <c r="T17" s="28"/>
      <c r="U17" s="28"/>
      <c r="V17" s="28"/>
      <c r="W17" s="28"/>
      <c r="X17" s="28"/>
      <c r="Y17" s="6"/>
      <c r="Z17" s="6"/>
      <c r="AA17" s="28"/>
      <c r="AB17" s="28"/>
    </row>
    <row r="18" ht="14.25" customHeight="1">
      <c r="A18" s="21" t="s">
        <v>1039</v>
      </c>
      <c r="B18" s="21"/>
      <c r="C18" s="21" t="str">
        <f t="array" ref="C18">_xlfn.XLOOKUP(
 E18,
 tblTargetStatus[TargetID],
 tblTargetStatus[DisplayName],
 ""
)</f>
        <v>Train Lv 1</v>
      </c>
      <c r="D18" s="21" t="str">
        <f t="array" ref="D18">_xlfn.XLOOKUP(
 E18,
 tblTargets[TargetID],
 tblTargets[TargetType],
 ""
)</f>
        <v>BUILDING</v>
      </c>
      <c r="E18" s="21" t="s">
        <v>427</v>
      </c>
      <c r="F18" s="21" t="b">
        <f t="array" ref="F18">NOT(
 _xlfn.XLOOKUP(
  E18,
  tblTargetStatus[TargetID],
  tblTargetStatus[PlayerCompleted],
  FALSE
 )
)</f>
        <v>1</v>
      </c>
      <c r="G18" s="21" t="b">
        <f>IFERROR(__xludf.DUMMYFUNCTION("LET(
 acceptedID,
 REGEXREPLACE(A18,""\.finished$"","".accepted""),
 XLOOKUP(
  acceptedID,
  tblTargetStatus[TargetID],
  tblTargetStatus[PlayerCompleted],
  FALSE
 )
)"),FALSE)</f>
        <v>0</v>
      </c>
      <c r="H18" s="21" t="str">
        <f t="array" ref="H18">LET(
 name,
 _xlfn.XLOOKUP(
  A18,
  tblTargetStatus[TargetID],
  tblTargetStatus[DisplayName],
  ""
 ),
 SUBSTITUTE(
  SUBSTITUTE(name," Accepted",""),
  " Finished",""
 )
)</f>
        <v>Journey Through Japan By Train</v>
      </c>
      <c r="I18" s="6"/>
      <c r="J18" s="6"/>
      <c r="K18" s="6"/>
      <c r="L18" s="6"/>
      <c r="M18" s="6"/>
      <c r="N18" s="6"/>
      <c r="O18" s="6"/>
      <c r="P18" s="6"/>
      <c r="Q18" s="6"/>
      <c r="R18" s="28"/>
      <c r="S18" s="28"/>
      <c r="T18" s="28"/>
      <c r="U18" s="28"/>
      <c r="V18" s="28"/>
      <c r="W18" s="28"/>
      <c r="X18" s="28"/>
      <c r="Y18" s="6"/>
      <c r="Z18" s="6"/>
      <c r="AA18" s="28"/>
      <c r="AB18" s="28"/>
    </row>
    <row r="19" ht="14.25" customHeight="1">
      <c r="A19" s="21" t="s">
        <v>1039</v>
      </c>
      <c r="B19" s="21"/>
      <c r="C19" s="21" t="str">
        <f t="array" ref="C19">_xlfn.XLOOKUP(
 E19,
 tblTargetStatus[TargetID],
 tblTargetStatus[DisplayName],
 ""
)</f>
        <v>Train: Passenger Carriage Lv 1</v>
      </c>
      <c r="D19" s="21" t="str">
        <f t="array" ref="D19">_xlfn.XLOOKUP(
 E19,
 tblTargets[TargetID],
 tblTargets[TargetType],
 ""
)</f>
        <v>BUILDING</v>
      </c>
      <c r="E19" s="26" t="s">
        <v>435</v>
      </c>
      <c r="F19" s="21" t="b">
        <f t="array" ref="F19">NOT(
 _xlfn.XLOOKUP(
  E19,
  tblTargetStatus[TargetID],
  tblTargetStatus[PlayerCompleted],
  FALSE
 )
)</f>
        <v>1</v>
      </c>
      <c r="G19" s="21" t="b">
        <f>IFERROR(__xludf.DUMMYFUNCTION("LET(
 acceptedID,
 REGEXREPLACE(A19,""\.finished$"","".accepted""),
 XLOOKUP(
  acceptedID,
  tblTargetStatus[TargetID],
  tblTargetStatus[PlayerCompleted],
  FALSE
 )
)"),FALSE)</f>
        <v>0</v>
      </c>
      <c r="H19" s="21" t="str">
        <f t="array" ref="H19">LET(
 name,
 _xlfn.XLOOKUP(
  A19,
  tblTargetStatus[TargetID],
  tblTargetStatus[DisplayName],
  ""
 ),
 SUBSTITUTE(
  SUBSTITUTE(name," Accepted",""),
  " Finished",""
 )
)</f>
        <v>Journey Through Japan By Train</v>
      </c>
      <c r="I19" s="6"/>
      <c r="J19" s="6"/>
      <c r="K19" s="6"/>
      <c r="L19" s="6"/>
      <c r="M19" s="6"/>
      <c r="N19" s="6"/>
      <c r="O19" s="6"/>
      <c r="P19" s="6"/>
      <c r="Q19" s="6"/>
      <c r="R19" s="28"/>
      <c r="S19" s="28"/>
      <c r="T19" s="28"/>
      <c r="U19" s="28"/>
      <c r="V19" s="28"/>
      <c r="W19" s="28"/>
      <c r="X19" s="28"/>
      <c r="Y19" s="6"/>
      <c r="Z19" s="6"/>
      <c r="AA19" s="28"/>
      <c r="AB19" s="28"/>
    </row>
    <row r="20" ht="14.25" customHeight="1">
      <c r="A20" s="21" t="s">
        <v>1039</v>
      </c>
      <c r="B20" s="21"/>
      <c r="C20" s="21" t="str">
        <f t="array" ref="C20">_xlfn.XLOOKUP(
 E20,
 tblTargetStatus[TargetID],
 tblTargetStatus[DisplayName],
 ""
)</f>
        <v>Visit Nagasaki</v>
      </c>
      <c r="D20" s="21" t="str">
        <f t="array" ref="D20">_xlfn.XLOOKUP(
 E20,
 tblTargets[TargetID],
 tblTargets[TargetType],
 ""
)</f>
        <v>STATE</v>
      </c>
      <c r="E20" s="21" t="s">
        <v>1686</v>
      </c>
      <c r="F20" s="21" t="b">
        <f t="array" ref="F20">NOT(
 _xlfn.XLOOKUP(
  E20,
  tblTargetStatus[TargetID],
  tblTargetStatus[PlayerCompleted],
  FALSE
 )
)</f>
        <v>1</v>
      </c>
      <c r="G20" s="21" t="b">
        <f>IFERROR(__xludf.DUMMYFUNCTION("LET(
 acceptedID,
 REGEXREPLACE(A20,""\.finished$"","".accepted""),
 XLOOKUP(
  acceptedID,
  tblTargetStatus[TargetID],
  tblTargetStatus[PlayerCompleted],
  FALSE
 )
)"),FALSE)</f>
        <v>0</v>
      </c>
      <c r="H20" s="21" t="str">
        <f t="array" ref="H20">LET(
 name,
 _xlfn.XLOOKUP(
  A20,
  tblTargetStatus[TargetID],
  tblTargetStatus[DisplayName],
  ""
 ),
 SUBSTITUTE(
  SUBSTITUTE(name," Accepted",""),
  " Finished",""
 )
)</f>
        <v>Journey Through Japan By Train</v>
      </c>
      <c r="I20" s="6"/>
      <c r="J20" s="6"/>
      <c r="K20" s="6"/>
      <c r="L20" s="6"/>
      <c r="M20" s="6"/>
      <c r="N20" s="6"/>
      <c r="O20" s="6"/>
      <c r="P20" s="6"/>
      <c r="Q20" s="6"/>
      <c r="R20" s="28"/>
      <c r="S20" s="28"/>
      <c r="T20" s="28"/>
      <c r="U20" s="28"/>
      <c r="V20" s="28"/>
      <c r="W20" s="28"/>
      <c r="X20" s="28"/>
      <c r="Y20" s="6"/>
      <c r="Z20" s="6"/>
      <c r="AA20" s="28"/>
      <c r="AB20" s="28"/>
    </row>
    <row r="21" ht="14.25" customHeight="1">
      <c r="A21" s="21" t="s">
        <v>1039</v>
      </c>
      <c r="B21" s="21"/>
      <c r="C21" s="21" t="str">
        <f t="array" ref="C21">_xlfn.XLOOKUP(
 E21,
 tblTargetStatus[TargetID],
 tblTargetStatus[DisplayName],
 ""
)</f>
        <v>Visit Osaka</v>
      </c>
      <c r="D21" s="21" t="str">
        <f t="array" ref="D21">_xlfn.XLOOKUP(
 E21,
 tblTargets[TargetID],
 tblTargets[TargetType],
 ""
)</f>
        <v>STATE</v>
      </c>
      <c r="E21" s="21" t="s">
        <v>1690</v>
      </c>
      <c r="F21" s="21" t="b">
        <f t="array" ref="F21">NOT(
 _xlfn.XLOOKUP(
  E21,
  tblTargetStatus[TargetID],
  tblTargetStatus[PlayerCompleted],
  FALSE
 )
)</f>
        <v>1</v>
      </c>
      <c r="G21" s="21" t="b">
        <f>IFERROR(__xludf.DUMMYFUNCTION("LET(
 acceptedID,
 REGEXREPLACE(A21,""\.finished$"","".accepted""),
 XLOOKUP(
  acceptedID,
  tblTargetStatus[TargetID],
  tblTargetStatus[PlayerCompleted],
  FALSE
 )
)"),FALSE)</f>
        <v>0</v>
      </c>
      <c r="H21" s="21" t="str">
        <f t="array" ref="H21">LET(
 name,
 _xlfn.XLOOKUP(
  A21,
  tblTargetStatus[TargetID],
  tblTargetStatus[DisplayName],
  ""
 ),
 SUBSTITUTE(
  SUBSTITUTE(name," Accepted",""),
  " Finished",""
 )
)</f>
        <v>Journey Through Japan By Train</v>
      </c>
      <c r="I21" s="6"/>
      <c r="J21" s="6"/>
      <c r="K21" s="6"/>
      <c r="L21" s="6"/>
      <c r="M21" s="6"/>
      <c r="N21" s="6"/>
      <c r="O21" s="6"/>
      <c r="P21" s="6"/>
      <c r="Q21" s="6"/>
      <c r="R21" s="28"/>
      <c r="S21" s="28"/>
      <c r="T21" s="28"/>
      <c r="U21" s="28"/>
      <c r="V21" s="28"/>
      <c r="W21" s="28"/>
      <c r="X21" s="28"/>
      <c r="Y21" s="6"/>
      <c r="Z21" s="6"/>
      <c r="AA21" s="28"/>
      <c r="AB21" s="28"/>
    </row>
    <row r="22" ht="14.25" customHeight="1">
      <c r="A22" s="21" t="s">
        <v>1039</v>
      </c>
      <c r="B22" s="21"/>
      <c r="C22" s="21" t="str">
        <f t="array" ref="C22">_xlfn.XLOOKUP(
 E22,
 tblTargetStatus[TargetID],
 tblTargetStatus[DisplayName],
 ""
)</f>
        <v>Visit Wakayama</v>
      </c>
      <c r="D22" s="21" t="str">
        <f t="array" ref="D22">_xlfn.XLOOKUP(
 E22,
 tblTargets[TargetID],
 tblTargets[TargetType],
 ""
)</f>
        <v>STATE</v>
      </c>
      <c r="E22" s="21" t="s">
        <v>1699</v>
      </c>
      <c r="F22" s="21" t="b">
        <f t="array" ref="F22">NOT(
 _xlfn.XLOOKUP(
  E22,
  tblTargetStatus[TargetID],
  tblTargetStatus[PlayerCompleted],
  FALSE
 )
)</f>
        <v>1</v>
      </c>
      <c r="G22" s="21" t="b">
        <f>IFERROR(__xludf.DUMMYFUNCTION("LET(
 acceptedID,
 REGEXREPLACE(A22,""\.finished$"","".accepted""),
 XLOOKUP(
  acceptedID,
  tblTargetStatus[TargetID],
  tblTargetStatus[PlayerCompleted],
  FALSE
 )
)"),FALSE)</f>
        <v>0</v>
      </c>
      <c r="H22" s="21" t="str">
        <f t="array" ref="H22">LET(
 name,
 _xlfn.XLOOKUP(
  A22,
  tblTargetStatus[TargetID],
  tblTargetStatus[DisplayName],
  ""
 ),
 SUBSTITUTE(
  SUBSTITUTE(name," Accepted",""),
  " Finished",""
 )
)</f>
        <v>Journey Through Japan By Train</v>
      </c>
      <c r="I22" s="6"/>
      <c r="J22" s="6"/>
      <c r="K22" s="6"/>
      <c r="L22" s="6"/>
      <c r="M22" s="6"/>
      <c r="N22" s="6"/>
      <c r="O22" s="6"/>
      <c r="P22" s="6"/>
      <c r="Q22" s="6"/>
      <c r="R22" s="28"/>
      <c r="S22" s="28"/>
      <c r="T22" s="28"/>
      <c r="U22" s="28"/>
      <c r="V22" s="28"/>
      <c r="W22" s="28"/>
      <c r="X22" s="28"/>
      <c r="Y22" s="6"/>
      <c r="Z22" s="6"/>
      <c r="AA22" s="28"/>
      <c r="AB22" s="28"/>
    </row>
    <row r="23" ht="14.25" customHeight="1">
      <c r="A23" s="21" t="s">
        <v>1039</v>
      </c>
      <c r="B23" s="21"/>
      <c r="C23" s="21" t="str">
        <f t="array" ref="C23">_xlfn.XLOOKUP(
 E23,
 tblTargetStatus[TargetID],
 tblTargetStatus[DisplayName],
 ""
)</f>
        <v>Visit Kyoto</v>
      </c>
      <c r="D23" s="21" t="str">
        <f t="array" ref="D23">_xlfn.XLOOKUP(
 E23,
 tblTargets[TargetID],
 tblTargets[TargetType],
 ""
)</f>
        <v>STATE</v>
      </c>
      <c r="E23" s="21" t="s">
        <v>1682</v>
      </c>
      <c r="F23" s="21" t="b">
        <f t="array" ref="F23">NOT(
 _xlfn.XLOOKUP(
  E23,
  tblTargetStatus[TargetID],
  tblTargetStatus[PlayerCompleted],
  FALSE
 )
)</f>
        <v>1</v>
      </c>
      <c r="G23" s="21" t="b">
        <f>IFERROR(__xludf.DUMMYFUNCTION("LET(
 acceptedID,
 REGEXREPLACE(A23,""\.finished$"","".accepted""),
 XLOOKUP(
  acceptedID,
  tblTargetStatus[TargetID],
  tblTargetStatus[PlayerCompleted],
  FALSE
 )
)"),FALSE)</f>
        <v>0</v>
      </c>
      <c r="H23" s="21" t="str">
        <f t="array" ref="H23">LET(
 name,
 _xlfn.XLOOKUP(
  A23,
  tblTargetStatus[TargetID],
  tblTargetStatus[DisplayName],
  ""
 ),
 SUBSTITUTE(
  SUBSTITUTE(name," Accepted",""),
  " Finished",""
 )
)</f>
        <v>Journey Through Japan By Train</v>
      </c>
      <c r="I23" s="6"/>
      <c r="J23" s="6"/>
      <c r="K23" s="6"/>
      <c r="L23" s="6"/>
      <c r="M23" s="6"/>
      <c r="N23" s="6"/>
      <c r="O23" s="6"/>
      <c r="P23" s="6"/>
      <c r="Q23" s="6"/>
      <c r="R23" s="28"/>
      <c r="S23" s="28"/>
      <c r="T23" s="28"/>
      <c r="U23" s="6"/>
      <c r="V23" s="28"/>
      <c r="W23" s="28"/>
      <c r="X23" s="6"/>
      <c r="Y23" s="6"/>
      <c r="Z23" s="6"/>
      <c r="AA23" s="28"/>
      <c r="AB23" s="28"/>
    </row>
    <row r="24" ht="14.25" customHeight="1">
      <c r="A24" s="21" t="s">
        <v>1039</v>
      </c>
      <c r="B24" s="21"/>
      <c r="C24" s="21" t="str">
        <f t="array" ref="C24">_xlfn.XLOOKUP(
 E24,
 tblTargetStatus[TargetID],
 tblTargetStatus[DisplayName],
 ""
)</f>
        <v>Train Lv 2</v>
      </c>
      <c r="D24" s="21" t="str">
        <f t="array" ref="D24">_xlfn.XLOOKUP(
 E24,
 tblTargets[TargetID],
 tblTargets[TargetType],
 ""
)</f>
        <v>BUILDING</v>
      </c>
      <c r="E24" s="21" t="s">
        <v>429</v>
      </c>
      <c r="F24" s="21" t="b">
        <f t="array" ref="F24">NOT(
 _xlfn.XLOOKUP(
  E24,
  tblTargetStatus[TargetID],
  tblTargetStatus[PlayerCompleted],
  FALSE
 )
)</f>
        <v>1</v>
      </c>
      <c r="G24" s="21" t="b">
        <f>IFERROR(__xludf.DUMMYFUNCTION("LET(
 acceptedID,
 REGEXREPLACE(A24,""\.finished$"","".accepted""),
 XLOOKUP(
  acceptedID,
  tblTargetStatus[TargetID],
  tblTargetStatus[PlayerCompleted],
  FALSE
 )
)"),FALSE)</f>
        <v>0</v>
      </c>
      <c r="H24" s="21" t="str">
        <f t="array" ref="H24">LET(
 name,
 _xlfn.XLOOKUP(
  A24,
  tblTargetStatus[TargetID],
  tblTargetStatus[DisplayName],
  ""
 ),
 SUBSTITUTE(
  SUBSTITUTE(name," Accepted",""),
  " Finished",""
 )
)</f>
        <v>Journey Through Japan By Train</v>
      </c>
      <c r="I24" s="6"/>
      <c r="J24" s="6"/>
      <c r="K24" s="6"/>
      <c r="L24" s="6"/>
      <c r="M24" s="6"/>
      <c r="N24" s="6"/>
      <c r="O24" s="6"/>
      <c r="P24" s="6"/>
      <c r="Q24" s="6"/>
      <c r="R24" s="28"/>
      <c r="S24" s="28"/>
      <c r="T24" s="28"/>
      <c r="U24" s="6"/>
      <c r="V24" s="28"/>
      <c r="W24" s="28"/>
      <c r="X24" s="6"/>
      <c r="Y24" s="6"/>
      <c r="Z24" s="6"/>
      <c r="AA24" s="28"/>
      <c r="AB24" s="28"/>
    </row>
    <row r="25" ht="14.25" customHeight="1">
      <c r="A25" s="21" t="s">
        <v>1039</v>
      </c>
      <c r="B25" s="21"/>
      <c r="C25" s="21" t="str">
        <f t="array" ref="C25">_xlfn.XLOOKUP(
 E25,
 tblTargetStatus[TargetID],
 tblTargetStatus[DisplayName],
 ""
)</f>
        <v>Visit Tokyo</v>
      </c>
      <c r="D25" s="21" t="str">
        <f t="array" ref="D25">_xlfn.XLOOKUP(
 E25,
 tblTargets[TargetID],
 tblTargets[TargetType],
 ""
)</f>
        <v>STATE</v>
      </c>
      <c r="E25" s="21" t="s">
        <v>1697</v>
      </c>
      <c r="F25" s="21" t="b">
        <f t="array" ref="F25">NOT(
 _xlfn.XLOOKUP(
  E25,
  tblTargetStatus[TargetID],
  tblTargetStatus[PlayerCompleted],
  FALSE
 )
)</f>
        <v>1</v>
      </c>
      <c r="G25" s="21" t="b">
        <f>IFERROR(__xludf.DUMMYFUNCTION("LET(
 acceptedID,
 REGEXREPLACE(A25,""\.finished$"","".accepted""),
 XLOOKUP(
  acceptedID,
  tblTargetStatus[TargetID],
  tblTargetStatus[PlayerCompleted],
  FALSE
 )
)"),FALSE)</f>
        <v>0</v>
      </c>
      <c r="H25" s="21" t="str">
        <f t="array" ref="H25">LET(
 name,
 _xlfn.XLOOKUP(
  A25,
  tblTargetStatus[TargetID],
  tblTargetStatus[DisplayName],
  ""
 ),
 SUBSTITUTE(
  SUBSTITUTE(name," Accepted",""),
  " Finished",""
 )
)</f>
        <v>Journey Through Japan By Train</v>
      </c>
      <c r="I25" s="6"/>
      <c r="J25" s="6"/>
      <c r="K25" s="6"/>
      <c r="L25" s="6"/>
      <c r="M25" s="6"/>
      <c r="N25" s="6"/>
      <c r="O25" s="6"/>
      <c r="P25" s="6"/>
      <c r="Q25" s="6"/>
      <c r="R25" s="28"/>
      <c r="S25" s="28"/>
      <c r="T25" s="28"/>
      <c r="U25" s="6"/>
      <c r="V25" s="28"/>
      <c r="W25" s="28"/>
      <c r="X25" s="6"/>
      <c r="Y25" s="6"/>
      <c r="Z25" s="6"/>
      <c r="AA25" s="28"/>
      <c r="AB25" s="28"/>
    </row>
    <row r="26" ht="14.25" customHeight="1">
      <c r="A26" s="21" t="s">
        <v>1039</v>
      </c>
      <c r="B26" s="21"/>
      <c r="C26" s="21" t="str">
        <f t="array" ref="C26">_xlfn.XLOOKUP(
 E26,
 tblTargetStatus[TargetID],
 tblTargetStatus[DisplayName],
 ""
)</f>
        <v>Visit Fukushima</v>
      </c>
      <c r="D26" s="21" t="str">
        <f t="array" ref="D26">_xlfn.XLOOKUP(
 E26,
 tblTargets[TargetID],
 tblTargets[TargetType],
 ""
)</f>
        <v>STATE</v>
      </c>
      <c r="E26" s="21" t="s">
        <v>1677</v>
      </c>
      <c r="F26" s="21" t="b">
        <f t="array" ref="F26">NOT(
 _xlfn.XLOOKUP(
  E26,
  tblTargetStatus[TargetID],
  tblTargetStatus[PlayerCompleted],
  FALSE
 )
)</f>
        <v>1</v>
      </c>
      <c r="G26" s="21" t="b">
        <f>IFERROR(__xludf.DUMMYFUNCTION("LET(
 acceptedID,
 REGEXREPLACE(A26,""\.finished$"","".accepted""),
 XLOOKUP(
  acceptedID,
  tblTargetStatus[TargetID],
  tblTargetStatus[PlayerCompleted],
  FALSE
 )
)"),FALSE)</f>
        <v>0</v>
      </c>
      <c r="H26" s="21" t="str">
        <f t="array" ref="H26">LET(
 name,
 _xlfn.XLOOKUP(
  A26,
  tblTargetStatus[TargetID],
  tblTargetStatus[DisplayName],
  ""
 ),
 SUBSTITUTE(
  SUBSTITUTE(name," Accepted",""),
  " Finished",""
 )
)</f>
        <v>Journey Through Japan By Train</v>
      </c>
      <c r="I26" s="6"/>
      <c r="J26" s="6"/>
      <c r="K26" s="6"/>
      <c r="L26" s="6"/>
      <c r="M26" s="6"/>
      <c r="N26" s="6"/>
      <c r="O26" s="6"/>
      <c r="P26" s="6"/>
      <c r="Q26" s="6"/>
      <c r="R26" s="28"/>
      <c r="S26" s="28"/>
      <c r="T26" s="28"/>
      <c r="U26" s="6"/>
      <c r="V26" s="28"/>
      <c r="W26" s="28"/>
      <c r="X26" s="6"/>
      <c r="Y26" s="6"/>
      <c r="Z26" s="6"/>
      <c r="AA26" s="28"/>
      <c r="AB26" s="28"/>
    </row>
    <row r="27" ht="14.25" customHeight="1">
      <c r="A27" s="21" t="s">
        <v>1039</v>
      </c>
      <c r="B27" s="21"/>
      <c r="C27" s="21" t="str">
        <f t="array" ref="C27">_xlfn.XLOOKUP(
 E27,
 tblTargetStatus[TargetID],
 tblTargetStatus[DisplayName],
 ""
)</f>
        <v>Visit Aomori</v>
      </c>
      <c r="D27" s="21" t="str">
        <f t="array" ref="D27">_xlfn.XLOOKUP(
 E27,
 tblTargets[TargetID],
 tblTargets[TargetType],
 ""
)</f>
        <v>STATE</v>
      </c>
      <c r="E27" s="21" t="s">
        <v>1653</v>
      </c>
      <c r="F27" s="21" t="b">
        <f t="array" ref="F27">NOT(
 _xlfn.XLOOKUP(
  E27,
  tblTargetStatus[TargetID],
  tblTargetStatus[PlayerCompleted],
  FALSE
 )
)</f>
        <v>1</v>
      </c>
      <c r="G27" s="21" t="b">
        <f>IFERROR(__xludf.DUMMYFUNCTION("LET(
 acceptedID,
 REGEXREPLACE(A27,""\.finished$"","".accepted""),
 XLOOKUP(
  acceptedID,
  tblTargetStatus[TargetID],
  tblTargetStatus[PlayerCompleted],
  FALSE
 )
)"),FALSE)</f>
        <v>0</v>
      </c>
      <c r="H27" s="21" t="str">
        <f t="array" ref="H27">LET(
 name,
 _xlfn.XLOOKUP(
  A27,
  tblTargetStatus[TargetID],
  tblTargetStatus[DisplayName],
  ""
 ),
 SUBSTITUTE(
  SUBSTITUTE(name," Accepted",""),
  " Finished",""
 )
)</f>
        <v>Journey Through Japan By Train</v>
      </c>
      <c r="I27" s="6"/>
      <c r="J27" s="6"/>
      <c r="K27" s="6"/>
      <c r="L27" s="6"/>
      <c r="M27" s="6"/>
      <c r="N27" s="6"/>
      <c r="O27" s="6"/>
      <c r="P27" s="6"/>
      <c r="Q27" s="6"/>
      <c r="R27" s="28"/>
      <c r="S27" s="28"/>
      <c r="T27" s="28"/>
      <c r="U27" s="6"/>
      <c r="V27" s="28"/>
      <c r="W27" s="28"/>
      <c r="X27" s="6"/>
      <c r="Y27" s="6"/>
      <c r="Z27" s="6"/>
      <c r="AA27" s="28"/>
      <c r="AB27" s="28"/>
    </row>
    <row r="28" ht="14.25" customHeight="1">
      <c r="A28" s="21" t="s">
        <v>1048</v>
      </c>
      <c r="B28" s="21"/>
      <c r="C28" s="21" t="str">
        <f t="array" ref="C28">_xlfn.XLOOKUP(
 E28,
 tblTargetStatus[TargetID],
 tblTargetStatus[DisplayName],
 ""
)</f>
        <v>Broken Lever</v>
      </c>
      <c r="D28" s="21" t="str">
        <f t="array" ref="D28">_xlfn.XLOOKUP(
 E28,
 tblTargets[TargetID],
 tblTargets[TargetType],
 ""
)</f>
        <v>COLLECTION</v>
      </c>
      <c r="E28" s="26" t="s">
        <v>569</v>
      </c>
      <c r="F28" s="21" t="b">
        <f t="array" ref="F28">NOT(
 _xlfn.XLOOKUP(
  E28,
  tblTargetStatus[TargetID],
  tblTargetStatus[PlayerCompleted],
  FALSE
 )
)</f>
        <v>1</v>
      </c>
      <c r="G28" s="21" t="b">
        <f>IFERROR(__xludf.DUMMYFUNCTION("LET(
 acceptedID,
 REGEXREPLACE(A28,""\.finished$"","".accepted""),
 XLOOKUP(
  acceptedID,
  tblTargetStatus[TargetID],
  tblTargetStatus[PlayerCompleted],
  FALSE
 )
)"),FALSE)</f>
        <v>0</v>
      </c>
      <c r="H28" s="21" t="str">
        <f t="array" ref="H28">LET(
 name,
 _xlfn.XLOOKUP(
  A28,
  tblTargetStatus[TargetID],
  tblTargetStatus[DisplayName],
  ""
 ),
 SUBSTITUTE(
  SUBSTITUTE(name," Accepted",""),
  " Finished",""
 )
)</f>
        <v>Letter from the Dark Lady</v>
      </c>
      <c r="I28" s="6"/>
      <c r="J28" s="6"/>
      <c r="K28" s="6"/>
      <c r="L28" s="6"/>
      <c r="M28" s="6"/>
      <c r="N28" s="6"/>
      <c r="O28" s="6"/>
      <c r="P28" s="6"/>
      <c r="Q28" s="6"/>
      <c r="R28" s="28"/>
      <c r="S28" s="28"/>
      <c r="T28" s="28"/>
      <c r="U28" s="6"/>
      <c r="V28" s="28"/>
      <c r="W28" s="28"/>
      <c r="X28" s="6"/>
      <c r="Y28" s="6"/>
      <c r="Z28" s="6"/>
      <c r="AA28" s="28"/>
      <c r="AB28" s="28"/>
    </row>
    <row r="29" ht="14.25" customHeight="1">
      <c r="A29" s="21" t="s">
        <v>1048</v>
      </c>
      <c r="B29" s="21"/>
      <c r="C29" s="21" t="str">
        <f t="array" ref="C29">_xlfn.XLOOKUP(
 E29,
 tblTargetStatus[TargetID],
 tblTargetStatus[DisplayName],
 ""
)</f>
        <v>Collapsed Staircase</v>
      </c>
      <c r="D29" s="21" t="str">
        <f t="array" ref="D29">_xlfn.XLOOKUP(
 E29,
 tblTargets[TargetID],
 tblTargets[TargetType],
 ""
)</f>
        <v>COLLECTION</v>
      </c>
      <c r="E29" s="21" t="s">
        <v>581</v>
      </c>
      <c r="F29" s="21" t="b">
        <f t="array" ref="F29">NOT(
 _xlfn.XLOOKUP(
  E29,
  tblTargetStatus[TargetID],
  tblTargetStatus[PlayerCompleted],
  FALSE
 )
)</f>
        <v>1</v>
      </c>
      <c r="G29" s="21" t="b">
        <f>IFERROR(__xludf.DUMMYFUNCTION("LET(
 acceptedID,
 REGEXREPLACE(A29,""\.finished$"","".accepted""),
 XLOOKUP(
  acceptedID,
  tblTargetStatus[TargetID],
  tblTargetStatus[PlayerCompleted],
  FALSE
 )
)"),FALSE)</f>
        <v>0</v>
      </c>
      <c r="H29" s="21" t="str">
        <f t="array" ref="H29">LET(
 name,
 _xlfn.XLOOKUP(
  A29,
  tblTargetStatus[TargetID],
  tblTargetStatus[DisplayName],
  ""
 ),
 SUBSTITUTE(
  SUBSTITUTE(name," Accepted",""),
  " Finished",""
 )
)</f>
        <v>Letter from the Dark Lady</v>
      </c>
      <c r="I29" s="6"/>
      <c r="J29" s="6"/>
      <c r="K29" s="6"/>
      <c r="L29" s="6"/>
      <c r="M29" s="6"/>
      <c r="N29" s="6"/>
      <c r="O29" s="6"/>
      <c r="P29" s="6"/>
      <c r="Q29" s="6"/>
      <c r="R29" s="28"/>
      <c r="S29" s="28"/>
      <c r="T29" s="28"/>
      <c r="U29" s="28"/>
      <c r="V29" s="28"/>
      <c r="W29" s="28"/>
      <c r="X29" s="28"/>
      <c r="Y29" s="6"/>
      <c r="Z29" s="6"/>
      <c r="AA29" s="28"/>
      <c r="AB29" s="28"/>
    </row>
    <row r="30" ht="14.25" customHeight="1">
      <c r="A30" s="21" t="s">
        <v>1048</v>
      </c>
      <c r="B30" s="21"/>
      <c r="C30" s="21" t="str">
        <f t="array" ref="C30">_xlfn.XLOOKUP(
 E30,
 tblTargetStatus[TargetID],
 tblTargetStatus[DisplayName],
 ""
)</f>
        <v>Rotten Ladder</v>
      </c>
      <c r="D30" s="21" t="str">
        <f t="array" ref="D30">_xlfn.XLOOKUP(
 E30,
 tblTargets[TargetID],
 tblTargets[TargetType],
 ""
)</f>
        <v>COLLECTION</v>
      </c>
      <c r="E30" s="21" t="s">
        <v>776</v>
      </c>
      <c r="F30" s="21" t="b">
        <f t="array" ref="F30">NOT(
 _xlfn.XLOOKUP(
  E30,
  tblTargetStatus[TargetID],
  tblTargetStatus[PlayerCompleted],
  FALSE
 )
)</f>
        <v>1</v>
      </c>
      <c r="G30" s="21" t="b">
        <f>IFERROR(__xludf.DUMMYFUNCTION("LET(
 acceptedID,
 REGEXREPLACE(A30,""\.finished$"","".accepted""),
 XLOOKUP(
  acceptedID,
  tblTargetStatus[TargetID],
  tblTargetStatus[PlayerCompleted],
  FALSE
 )
)"),FALSE)</f>
        <v>0</v>
      </c>
      <c r="H30" s="21" t="str">
        <f t="array" ref="H30">LET(
 name,
 _xlfn.XLOOKUP(
  A30,
  tblTargetStatus[TargetID],
  tblTargetStatus[DisplayName],
  ""
 ),
 SUBSTITUTE(
  SUBSTITUTE(name," Accepted",""),
  " Finished",""
 )
)</f>
        <v>Letter from the Dark Lady</v>
      </c>
      <c r="I30" s="6"/>
      <c r="J30" s="6"/>
      <c r="K30" s="6"/>
      <c r="L30" s="6"/>
      <c r="M30" s="6"/>
      <c r="N30" s="6"/>
      <c r="O30" s="6"/>
      <c r="P30" s="6"/>
      <c r="Q30" s="6"/>
      <c r="R30" s="28"/>
      <c r="S30" s="28"/>
      <c r="T30" s="28"/>
      <c r="U30" s="6"/>
      <c r="V30" s="28"/>
      <c r="W30" s="28"/>
      <c r="X30" s="6"/>
      <c r="Y30" s="6"/>
      <c r="Z30" s="6"/>
      <c r="AA30" s="28"/>
      <c r="AB30" s="28"/>
    </row>
    <row r="31" ht="14.25" customHeight="1">
      <c r="A31" s="21" t="s">
        <v>1048</v>
      </c>
      <c r="B31" s="21"/>
      <c r="C31" s="21" t="str">
        <f t="array" ref="C31">_xlfn.XLOOKUP(
 E31,
 tblTargetStatus[TargetID],
 tblTargetStatus[DisplayName],
 ""
)</f>
        <v>Cave-in Bone Dragon</v>
      </c>
      <c r="D31" s="21" t="str">
        <f t="array" ref="D31">_xlfn.XLOOKUP(
 E31,
 tblTargets[TargetID],
 tblTargets[TargetType],
 ""
)</f>
        <v>COLLECTION</v>
      </c>
      <c r="E31" s="21" t="s">
        <v>578</v>
      </c>
      <c r="F31" s="21" t="b">
        <f t="array" ref="F31">NOT(
 _xlfn.XLOOKUP(
  E31,
  tblTargetStatus[TargetID],
  tblTargetStatus[PlayerCompleted],
  FALSE
 )
)</f>
        <v>1</v>
      </c>
      <c r="G31" s="21" t="b">
        <f>IFERROR(__xludf.DUMMYFUNCTION("LET(
 acceptedID,
 REGEXREPLACE(A31,""\.finished$"","".accepted""),
 XLOOKUP(
  acceptedID,
  tblTargetStatus[TargetID],
  tblTargetStatus[PlayerCompleted],
  FALSE
 )
)"),FALSE)</f>
        <v>0</v>
      </c>
      <c r="H31" s="21" t="str">
        <f t="array" ref="H31">LET(
 name,
 _xlfn.XLOOKUP(
  A31,
  tblTargetStatus[TargetID],
  tblTargetStatus[DisplayName],
  ""
 ),
 SUBSTITUTE(
  SUBSTITUTE(name," Accepted",""),
  " Finished",""
 )
)</f>
        <v>Letter from the Dark Lady</v>
      </c>
      <c r="I31" s="6"/>
      <c r="J31" s="6"/>
      <c r="K31" s="6"/>
      <c r="L31" s="6"/>
      <c r="M31" s="6"/>
      <c r="N31" s="6"/>
      <c r="O31" s="6"/>
      <c r="P31" s="6"/>
      <c r="Q31" s="6"/>
      <c r="R31" s="28"/>
      <c r="S31" s="28"/>
      <c r="T31" s="28"/>
      <c r="U31" s="28"/>
      <c r="V31" s="28"/>
      <c r="W31" s="28"/>
      <c r="X31" s="28"/>
      <c r="Y31" s="6"/>
      <c r="Z31" s="6"/>
      <c r="AA31" s="28"/>
      <c r="AB31" s="28"/>
    </row>
    <row r="32" ht="14.25" customHeight="1">
      <c r="A32" s="21" t="s">
        <v>1048</v>
      </c>
      <c r="B32" s="21"/>
      <c r="C32" s="21" t="str">
        <f t="array" ref="C32">_xlfn.XLOOKUP(
 E32,
 tblTargetStatus[TargetID],
 tblTargetStatus[DisplayName],
 ""
)</f>
        <v>Cave-in Alchemist Hall</v>
      </c>
      <c r="D32" s="21" t="str">
        <f t="array" ref="D32">_xlfn.XLOOKUP(
 E32,
 tblTargets[TargetID],
 tblTargets[TargetType],
 ""
)</f>
        <v>COLLECTION</v>
      </c>
      <c r="E32" s="21" t="s">
        <v>575</v>
      </c>
      <c r="F32" s="21" t="b">
        <f t="array" ref="F32">NOT(
 _xlfn.XLOOKUP(
  E32,
  tblTargetStatus[TargetID],
  tblTargetStatus[PlayerCompleted],
  FALSE
 )
)</f>
        <v>1</v>
      </c>
      <c r="G32" s="21" t="b">
        <f>IFERROR(__xludf.DUMMYFUNCTION("LET(
 acceptedID,
 REGEXREPLACE(A32,""\.finished$"","".accepted""),
 XLOOKUP(
  acceptedID,
  tblTargetStatus[TargetID],
  tblTargetStatus[PlayerCompleted],
  FALSE
 )
)"),FALSE)</f>
        <v>0</v>
      </c>
      <c r="H32" s="21" t="str">
        <f t="array" ref="H32">LET(
 name,
 _xlfn.XLOOKUP(
  A32,
  tblTargetStatus[TargetID],
  tblTargetStatus[DisplayName],
  ""
 ),
 SUBSTITUTE(
  SUBSTITUTE(name," Accepted",""),
  " Finished",""
 )
)</f>
        <v>Letter from the Dark Lady</v>
      </c>
      <c r="I32" s="6"/>
      <c r="J32" s="6"/>
      <c r="K32" s="6"/>
      <c r="L32" s="6"/>
      <c r="M32" s="6"/>
      <c r="N32" s="6"/>
      <c r="O32" s="6"/>
      <c r="P32" s="6"/>
      <c r="Q32" s="6"/>
      <c r="R32" s="28"/>
      <c r="S32" s="28"/>
      <c r="T32" s="28"/>
      <c r="U32" s="6"/>
      <c r="V32" s="28"/>
      <c r="W32" s="28"/>
      <c r="X32" s="6"/>
      <c r="Y32" s="6"/>
      <c r="Z32" s="6"/>
      <c r="AA32" s="28"/>
      <c r="AB32" s="28"/>
    </row>
    <row r="33" ht="14.25" customHeight="1">
      <c r="A33" s="21" t="s">
        <v>1048</v>
      </c>
      <c r="B33" s="21"/>
      <c r="C33" s="21" t="str">
        <f t="array" ref="C33">_xlfn.XLOOKUP(
 E33,
 tblTargetStatus[TargetID],
 tblTargetStatus[DisplayName],
 ""
)</f>
        <v>Bone Dragon Lv 1</v>
      </c>
      <c r="D33" s="21" t="str">
        <f t="array" ref="D33">_xlfn.XLOOKUP(
 E33,
 tblTargets[TargetID],
 tblTargets[TargetType],
 ""
)</f>
        <v>COLLECTION</v>
      </c>
      <c r="E33" s="21" t="s">
        <v>565</v>
      </c>
      <c r="F33" s="21" t="b">
        <f t="array" ref="F33">NOT(
 _xlfn.XLOOKUP(
  E33,
  tblTargetStatus[TargetID],
  tblTargetStatus[PlayerCompleted],
  FALSE
 )
)</f>
        <v>1</v>
      </c>
      <c r="G33" s="21" t="b">
        <f>IFERROR(__xludf.DUMMYFUNCTION("LET(
 acceptedID,
 REGEXREPLACE(A33,""\.finished$"","".accepted""),
 XLOOKUP(
  acceptedID,
  tblTargetStatus[TargetID],
  tblTargetStatus[PlayerCompleted],
  FALSE
 )
)"),FALSE)</f>
        <v>0</v>
      </c>
      <c r="H33" s="21" t="str">
        <f t="array" ref="H33">LET(
 name,
 _xlfn.XLOOKUP(
  A33,
  tblTargetStatus[TargetID],
  tblTargetStatus[DisplayName],
  ""
 ),
 SUBSTITUTE(
  SUBSTITUTE(name," Accepted",""),
  " Finished",""
 )
)</f>
        <v>Letter from the Dark Lady</v>
      </c>
      <c r="I33" s="6"/>
      <c r="J33" s="6"/>
      <c r="K33" s="6"/>
      <c r="L33" s="6"/>
      <c r="M33" s="6"/>
      <c r="N33" s="6"/>
      <c r="O33" s="6"/>
      <c r="P33" s="6"/>
      <c r="Q33" s="6"/>
      <c r="R33" s="28"/>
      <c r="S33" s="28"/>
      <c r="T33" s="28"/>
      <c r="U33" s="28"/>
      <c r="V33" s="28"/>
      <c r="W33" s="28"/>
      <c r="X33" s="28"/>
      <c r="Y33" s="6"/>
      <c r="Z33" s="6"/>
      <c r="AA33" s="28"/>
      <c r="AB33" s="28"/>
    </row>
    <row r="34" ht="14.25" customHeight="1">
      <c r="A34" s="21" t="s">
        <v>1048</v>
      </c>
      <c r="B34" s="21"/>
      <c r="C34" s="21" t="str">
        <f t="array" ref="C34">_xlfn.XLOOKUP(
 E34,
 tblTargetStatus[TargetID],
 tblTargetStatus[DisplayName],
 ""
)</f>
        <v>Alchemist Hall Lv 1</v>
      </c>
      <c r="D34" s="21" t="str">
        <f t="array" ref="D34">_xlfn.XLOOKUP(
 E34,
 tblTargets[TargetID],
 tblTargets[TargetType],
 ""
)</f>
        <v>COLLECTION</v>
      </c>
      <c r="E34" s="21" t="s">
        <v>528</v>
      </c>
      <c r="F34" s="21" t="b">
        <f t="array" ref="F34">NOT(
 _xlfn.XLOOKUP(
  E34,
  tblTargetStatus[TargetID],
  tblTargetStatus[PlayerCompleted],
  FALSE
 )
)</f>
        <v>1</v>
      </c>
      <c r="G34" s="21" t="b">
        <f>IFERROR(__xludf.DUMMYFUNCTION("LET(
 acceptedID,
 REGEXREPLACE(A34,""\.finished$"","".accepted""),
 XLOOKUP(
  acceptedID,
  tblTargetStatus[TargetID],
  tblTargetStatus[PlayerCompleted],
  FALSE
 )
)"),FALSE)</f>
        <v>0</v>
      </c>
      <c r="H34" s="21" t="str">
        <f t="array" ref="H34">LET(
 name,
 _xlfn.XLOOKUP(
  A34,
  tblTargetStatus[TargetID],
  tblTargetStatus[DisplayName],
  ""
 ),
 SUBSTITUTE(
  SUBSTITUTE(name," Accepted",""),
  " Finished",""
 )
)</f>
        <v>Letter from the Dark Lady</v>
      </c>
      <c r="I34" s="6"/>
      <c r="J34" s="6"/>
      <c r="K34" s="6"/>
      <c r="L34" s="6"/>
      <c r="M34" s="6"/>
      <c r="N34" s="6"/>
      <c r="O34" s="6"/>
      <c r="P34" s="6"/>
      <c r="Q34" s="6"/>
      <c r="R34" s="28"/>
      <c r="S34" s="28"/>
      <c r="T34" s="28"/>
      <c r="U34" s="6"/>
      <c r="V34" s="28"/>
      <c r="W34" s="28"/>
      <c r="X34" s="6"/>
      <c r="Y34" s="6"/>
      <c r="Z34" s="6"/>
      <c r="AA34" s="28"/>
      <c r="AB34" s="28"/>
    </row>
    <row r="35" ht="14.25" customHeight="1">
      <c r="A35" s="21" t="s">
        <v>1048</v>
      </c>
      <c r="B35" s="21"/>
      <c r="C35" s="21" t="str">
        <f t="array" ref="C35">_xlfn.XLOOKUP(
 E35,
 tblTargetStatus[TargetID],
 tblTargetStatus[DisplayName],
 ""
)</f>
        <v>Alchemist Hall Lv 1</v>
      </c>
      <c r="D35" s="21" t="str">
        <f t="array" ref="D35">_xlfn.XLOOKUP(
 E35,
 tblTargets[TargetID],
 tblTargets[TargetType],
 ""
)</f>
        <v>COLLECTION</v>
      </c>
      <c r="E35" s="21" t="s">
        <v>535</v>
      </c>
      <c r="F35" s="21" t="b">
        <f t="array" ref="F35">NOT(
 _xlfn.XLOOKUP(
  E35,
  tblTargetStatus[TargetID],
  tblTargetStatus[PlayerCompleted],
  FALSE
 )
)</f>
        <v>1</v>
      </c>
      <c r="G35" s="21" t="b">
        <f>IFERROR(__xludf.DUMMYFUNCTION("LET(
 acceptedID,
 REGEXREPLACE(A35,""\.finished$"","".accepted""),
 XLOOKUP(
  acceptedID,
  tblTargetStatus[TargetID],
  tblTargetStatus[PlayerCompleted],
  FALSE
 )
)"),FALSE)</f>
        <v>0</v>
      </c>
      <c r="H35" s="21" t="str">
        <f t="array" ref="H35">LET(
 name,
 _xlfn.XLOOKUP(
  A35,
  tblTargetStatus[TargetID],
  tblTargetStatus[DisplayName],
  ""
 ),
 SUBSTITUTE(
  SUBSTITUTE(name," Accepted",""),
  " Finished",""
 )
)</f>
        <v>Letter from the Dark Lady</v>
      </c>
      <c r="I35" s="6"/>
      <c r="J35" s="6"/>
      <c r="K35" s="6"/>
      <c r="L35" s="6"/>
      <c r="M35" s="6"/>
      <c r="N35" s="6"/>
      <c r="O35" s="6"/>
      <c r="P35" s="6"/>
      <c r="Q35" s="6"/>
      <c r="R35" s="28"/>
      <c r="S35" s="28"/>
      <c r="T35" s="28"/>
      <c r="U35" s="6"/>
      <c r="V35" s="28"/>
      <c r="W35" s="28"/>
      <c r="X35" s="6"/>
      <c r="Y35" s="6"/>
      <c r="Z35" s="6"/>
      <c r="AA35" s="28"/>
      <c r="AB35" s="28"/>
    </row>
    <row r="36" ht="14.25" customHeight="1">
      <c r="A36" s="21" t="s">
        <v>1048</v>
      </c>
      <c r="B36" s="21"/>
      <c r="C36" s="21" t="str">
        <f t="array" ref="C36">_xlfn.XLOOKUP(
 E36,
 tblTargetStatus[TargetID],
 tblTargetStatus[DisplayName],
 ""
)</f>
        <v>Alchemist Hall Lv 1</v>
      </c>
      <c r="D36" s="21" t="str">
        <f t="array" ref="D36">_xlfn.XLOOKUP(
 E36,
 tblTargets[TargetID],
 tblTargets[TargetType],
 ""
)</f>
        <v>COLLECTION</v>
      </c>
      <c r="E36" s="21" t="s">
        <v>540</v>
      </c>
      <c r="F36" s="21" t="b">
        <f t="array" ref="F36">NOT(
 _xlfn.XLOOKUP(
  E36,
  tblTargetStatus[TargetID],
  tblTargetStatus[PlayerCompleted],
  FALSE
 )
)</f>
        <v>1</v>
      </c>
      <c r="G36" s="21" t="b">
        <f>IFERROR(__xludf.DUMMYFUNCTION("LET(
 acceptedID,
 REGEXREPLACE(A36,""\.finished$"","".accepted""),
 XLOOKUP(
  acceptedID,
  tblTargetStatus[TargetID],
  tblTargetStatus[PlayerCompleted],
  FALSE
 )
)"),FALSE)</f>
        <v>0</v>
      </c>
      <c r="H36" s="21" t="str">
        <f t="array" ref="H36">LET(
 name,
 _xlfn.XLOOKUP(
  A36,
  tblTargetStatus[TargetID],
  tblTargetStatus[DisplayName],
  ""
 ),
 SUBSTITUTE(
  SUBSTITUTE(name," Accepted",""),
  " Finished",""
 )
)</f>
        <v>Letter from the Dark Lady</v>
      </c>
      <c r="I36" s="6"/>
      <c r="J36" s="6"/>
      <c r="K36" s="6"/>
      <c r="L36" s="6"/>
      <c r="M36" s="6"/>
      <c r="N36" s="6"/>
      <c r="O36" s="6"/>
      <c r="P36" s="6"/>
      <c r="Q36" s="6"/>
      <c r="R36" s="28"/>
      <c r="S36" s="28"/>
      <c r="T36" s="28"/>
      <c r="U36" s="6"/>
      <c r="V36" s="28"/>
      <c r="W36" s="28"/>
      <c r="X36" s="6"/>
      <c r="Y36" s="6"/>
      <c r="Z36" s="6"/>
      <c r="AA36" s="28"/>
      <c r="AB36" s="28"/>
    </row>
    <row r="37" ht="14.25" customHeight="1">
      <c r="A37" s="21" t="s">
        <v>1048</v>
      </c>
      <c r="B37" s="21"/>
      <c r="C37" s="21" t="str">
        <f t="array" ref="C37">_xlfn.XLOOKUP(
 E37,
 tblTargetStatus[TargetID],
 tblTargetStatus[DisplayName],
 ""
)</f>
        <v>Broken Minecart</v>
      </c>
      <c r="D37" s="21" t="str">
        <f t="array" ref="D37">_xlfn.XLOOKUP(
 E37,
 tblTargets[TargetID],
 tblTargets[TargetType],
 ""
)</f>
        <v>COLLECTION</v>
      </c>
      <c r="E37" s="21" t="s">
        <v>572</v>
      </c>
      <c r="F37" s="21" t="b">
        <f t="array" ref="F37">NOT(
 _xlfn.XLOOKUP(
  E37,
  tblTargetStatus[TargetID],
  tblTargetStatus[PlayerCompleted],
  FALSE
 )
)</f>
        <v>1</v>
      </c>
      <c r="G37" s="21" t="b">
        <f>IFERROR(__xludf.DUMMYFUNCTION("LET(
 acceptedID,
 REGEXREPLACE(A37,""\.finished$"","".accepted""),
 XLOOKUP(
  acceptedID,
  tblTargetStatus[TargetID],
  tblTargetStatus[PlayerCompleted],
  FALSE
 )
)"),FALSE)</f>
        <v>0</v>
      </c>
      <c r="H37" s="21" t="str">
        <f t="array" ref="H37">LET(
 name,
 _xlfn.XLOOKUP(
  A37,
  tblTargetStatus[TargetID],
  tblTargetStatus[DisplayName],
  ""
 ),
 SUBSTITUTE(
  SUBSTITUTE(name," Accepted",""),
  " Finished",""
 )
)</f>
        <v>Letter from the Dark Lady</v>
      </c>
      <c r="I37" s="6"/>
      <c r="J37" s="6"/>
      <c r="K37" s="6"/>
      <c r="L37" s="6"/>
      <c r="M37" s="6"/>
      <c r="N37" s="6"/>
      <c r="O37" s="6"/>
      <c r="P37" s="6"/>
      <c r="Q37" s="6"/>
      <c r="R37" s="28"/>
      <c r="S37" s="28"/>
      <c r="T37" s="28"/>
      <c r="U37" s="28"/>
      <c r="V37" s="28"/>
      <c r="W37" s="28"/>
      <c r="X37" s="28"/>
      <c r="Y37" s="6"/>
      <c r="Z37" s="6"/>
      <c r="AA37" s="28"/>
      <c r="AB37" s="28"/>
    </row>
    <row r="38" ht="14.25" customHeight="1">
      <c r="A38" s="21" t="s">
        <v>1057</v>
      </c>
      <c r="B38" s="21"/>
      <c r="C38" s="21" t="str">
        <f t="array" ref="C38">_xlfn.XLOOKUP(
 E38,
 tblTargetStatus[TargetID],
 tblTargetStatus[DisplayName],
 ""
)</f>
        <v>Deliver Tofu to 4A</v>
      </c>
      <c r="D38" s="21" t="str">
        <f t="array" ref="D38">_xlfn.XLOOKUP(
 E38,
 tblTargets[TargetID],
 tblTargets[TargetType],
 ""
)</f>
        <v>STATE</v>
      </c>
      <c r="E38" s="26" t="s">
        <v>1498</v>
      </c>
      <c r="F38" s="21" t="b">
        <f t="array" ref="F38">NOT(
 _xlfn.XLOOKUP(
  E38,
  tblTargetStatus[TargetID],
  tblTargetStatus[PlayerCompleted],
  FALSE
 )
)</f>
        <v>1</v>
      </c>
      <c r="G38" s="21" t="b">
        <f>IFERROR(__xludf.DUMMYFUNCTION("LET(
 acceptedID,
 REGEXREPLACE(A38,""\.finished$"","".accepted""),
 XLOOKUP(
  acceptedID,
  tblTargetStatus[TargetID],
  tblTargetStatus[PlayerCompleted],
  FALSE
 )
)"),FALSE)</f>
        <v>0</v>
      </c>
      <c r="H38" s="21" t="str">
        <f t="array" ref="H38">LET(
 name,
 _xlfn.XLOOKUP(
  A38,
  tblTargetStatus[TargetID],
  tblTargetStatus[DisplayName],
  ""
 ),
 SUBSTITUTE(
  SUBSTITUTE(name," Accepted",""),
  " Finished",""
 )
)</f>
        <v>Magic Beans</v>
      </c>
      <c r="I38" s="6"/>
      <c r="J38" s="6"/>
      <c r="K38" s="6"/>
      <c r="L38" s="6"/>
      <c r="M38" s="6"/>
      <c r="N38" s="6"/>
      <c r="O38" s="6"/>
      <c r="P38" s="6"/>
      <c r="Q38" s="6"/>
      <c r="R38" s="28"/>
      <c r="S38" s="28"/>
      <c r="T38" s="28"/>
      <c r="U38" s="28"/>
      <c r="V38" s="28"/>
      <c r="W38" s="28"/>
      <c r="X38" s="28"/>
      <c r="Y38" s="6"/>
      <c r="Z38" s="6"/>
      <c r="AA38" s="28"/>
      <c r="AB38" s="28"/>
    </row>
    <row r="39" ht="14.25" customHeight="1">
      <c r="A39" s="21" t="s">
        <v>1057</v>
      </c>
      <c r="B39" s="21"/>
      <c r="C39" s="21" t="str">
        <f t="array" ref="C39">_xlfn.XLOOKUP(
 E39,
 tblTargetStatus[TargetID],
 tblTargetStatus[DisplayName],
 ""
)</f>
        <v>Deliver Inarizushi to 4B</v>
      </c>
      <c r="D39" s="21" t="str">
        <f t="array" ref="D39">_xlfn.XLOOKUP(
 E39,
 tblTargets[TargetID],
 tblTargets[TargetType],
 ""
)</f>
        <v>STATE</v>
      </c>
      <c r="E39" s="26" t="s">
        <v>1476</v>
      </c>
      <c r="F39" s="21" t="b">
        <f t="array" ref="F39">NOT(
 _xlfn.XLOOKUP(
  E39,
  tblTargetStatus[TargetID],
  tblTargetStatus[PlayerCompleted],
  FALSE
 )
)</f>
        <v>1</v>
      </c>
      <c r="G39" s="21" t="b">
        <f>IFERROR(__xludf.DUMMYFUNCTION("LET(
 acceptedID,
 REGEXREPLACE(A39,""\.finished$"","".accepted""),
 XLOOKUP(
  acceptedID,
  tblTargetStatus[TargetID],
  tblTargetStatus[PlayerCompleted],
  FALSE
 )
)"),FALSE)</f>
        <v>0</v>
      </c>
      <c r="H39" s="21" t="str">
        <f t="array" ref="H39">LET(
 name,
 _xlfn.XLOOKUP(
  A39,
  tblTargetStatus[TargetID],
  tblTargetStatus[DisplayName],
  ""
 ),
 SUBSTITUTE(
  SUBSTITUTE(name," Accepted",""),
  " Finished",""
 )
)</f>
        <v>Magic Beans</v>
      </c>
      <c r="I39" s="6"/>
      <c r="J39" s="6"/>
      <c r="K39" s="6"/>
      <c r="L39" s="6"/>
      <c r="M39" s="6"/>
      <c r="N39" s="6"/>
      <c r="O39" s="6"/>
      <c r="P39" s="6"/>
      <c r="Q39" s="6"/>
      <c r="R39" s="28"/>
      <c r="S39" s="28"/>
      <c r="T39" s="28"/>
      <c r="U39" s="6"/>
      <c r="V39" s="28"/>
      <c r="W39" s="28"/>
      <c r="X39" s="6"/>
      <c r="Y39" s="6"/>
      <c r="Z39" s="6"/>
      <c r="AA39" s="28"/>
      <c r="AB39" s="28"/>
    </row>
    <row r="40" ht="14.25" customHeight="1">
      <c r="A40" s="21" t="s">
        <v>1057</v>
      </c>
      <c r="B40" s="21"/>
      <c r="C40" s="21" t="str">
        <f t="array" ref="C40">_xlfn.XLOOKUP(
 E40,
 tblTargetStatus[TargetID],
 tblTargetStatus[DisplayName],
 ""
)</f>
        <v>Deliver Teriyaki Salmon to 4C</v>
      </c>
      <c r="D40" s="21" t="str">
        <f t="array" ref="D40">_xlfn.XLOOKUP(
 E40,
 tblTargets[TargetID],
 tblTargets[TargetType],
 ""
)</f>
        <v>STATE</v>
      </c>
      <c r="E40" s="26" t="s">
        <v>1495</v>
      </c>
      <c r="F40" s="21" t="b">
        <f t="array" ref="F40">NOT(
 _xlfn.XLOOKUP(
  E40,
  tblTargetStatus[TargetID],
  tblTargetStatus[PlayerCompleted],
  FALSE
 )
)</f>
        <v>1</v>
      </c>
      <c r="G40" s="21" t="b">
        <f>IFERROR(__xludf.DUMMYFUNCTION("LET(
 acceptedID,
 REGEXREPLACE(A40,""\.finished$"","".accepted""),
 XLOOKUP(
  acceptedID,
  tblTargetStatus[TargetID],
  tblTargetStatus[PlayerCompleted],
  FALSE
 )
)"),FALSE)</f>
        <v>0</v>
      </c>
      <c r="H40" s="21" t="str">
        <f t="array" ref="H40">LET(
 name,
 _xlfn.XLOOKUP(
  A40,
  tblTargetStatus[TargetID],
  tblTargetStatus[DisplayName],
  ""
 ),
 SUBSTITUTE(
  SUBSTITUTE(name," Accepted",""),
  " Finished",""
 )
)</f>
        <v>Magic Beans</v>
      </c>
      <c r="I40" s="6"/>
      <c r="J40" s="6"/>
      <c r="K40" s="6"/>
      <c r="L40" s="6"/>
      <c r="M40" s="6"/>
      <c r="N40" s="6"/>
      <c r="O40" s="6"/>
      <c r="P40" s="6"/>
      <c r="Q40" s="6"/>
      <c r="R40" s="28"/>
      <c r="S40" s="28"/>
      <c r="T40" s="28"/>
      <c r="U40" s="6"/>
      <c r="V40" s="28"/>
      <c r="W40" s="28"/>
      <c r="X40" s="6"/>
      <c r="Y40" s="6"/>
      <c r="Z40" s="6"/>
      <c r="AA40" s="28"/>
      <c r="AB40" s="28"/>
    </row>
    <row r="41" ht="14.25" customHeight="1">
      <c r="A41" s="21" t="s">
        <v>1296</v>
      </c>
      <c r="B41" s="21"/>
      <c r="C41" s="21" t="str">
        <f t="array" ref="C41">_xlfn.XLOOKUP(
 E41,
 tblTargetStatus[TargetID],
 tblTargetStatus[DisplayName],
 ""
)</f>
        <v>Visit Beijing</v>
      </c>
      <c r="D41" s="21" t="str">
        <f t="array" ref="D41">_xlfn.XLOOKUP(
 E41,
 tblTargets[TargetID],
 tblTargets[TargetType],
 ""
)</f>
        <v>STATE</v>
      </c>
      <c r="E41" s="21" t="s">
        <v>1660</v>
      </c>
      <c r="F41" s="21" t="b">
        <f t="array" ref="F41">NOT(
 _xlfn.XLOOKUP(
  E41,
  tblTargetStatus[TargetID],
  tblTargetStatus[PlayerCompleted],
  FALSE
 )
)</f>
        <v>1</v>
      </c>
      <c r="G41" s="21" t="b">
        <f>IFERROR(__xludf.DUMMYFUNCTION("LET(
 acceptedID,
 REGEXREPLACE(A41,""\.finished$"","".accepted""),
 XLOOKUP(
  acceptedID,
  tblTargetStatus[TargetID],
  tblTargetStatus[PlayerCompleted],
  FALSE
 )
)"),FALSE)</f>
        <v>0</v>
      </c>
      <c r="H41" s="21" t="str">
        <f t="array" ref="H41">LET(
 name,
 _xlfn.XLOOKUP(
  A41,
  tblTargetStatus[TargetID],
  tblTargetStatus[DisplayName],
  ""
 ),
 SUBSTITUTE(
  SUBSTITUTE(name," Accepted",""),
  " Finished",""
 )
)</f>
        <v>Silk Road</v>
      </c>
      <c r="I41" s="6"/>
      <c r="J41" s="6"/>
      <c r="K41" s="6"/>
      <c r="L41" s="6"/>
      <c r="M41" s="6"/>
      <c r="N41" s="6"/>
      <c r="O41" s="6"/>
      <c r="P41" s="6"/>
      <c r="Q41" s="6"/>
      <c r="R41" s="28"/>
      <c r="S41" s="28"/>
      <c r="T41" s="28"/>
      <c r="U41" s="6"/>
      <c r="V41" s="28"/>
      <c r="W41" s="28"/>
      <c r="X41" s="6"/>
      <c r="Y41" s="6"/>
      <c r="Z41" s="6"/>
      <c r="AA41" s="28"/>
      <c r="AB41" s="28"/>
    </row>
    <row r="42" ht="14.25" customHeight="1">
      <c r="A42" s="21" t="s">
        <v>1296</v>
      </c>
      <c r="B42" s="21"/>
      <c r="C42" s="21" t="str">
        <f t="array" ref="C42">_xlfn.XLOOKUP(
 E42,
 tblTargetStatus[TargetID],
 tblTargetStatus[DisplayName],
 ""
)</f>
        <v>Visit Xian</v>
      </c>
      <c r="D42" s="21" t="str">
        <f t="array" ref="D42">_xlfn.XLOOKUP(
 E42,
 tblTargets[TargetID],
 tblTargets[TargetType],
 ""
)</f>
        <v>STATE</v>
      </c>
      <c r="E42" s="21" t="s">
        <v>1701</v>
      </c>
      <c r="F42" s="21" t="b">
        <f t="array" ref="F42">NOT(
 _xlfn.XLOOKUP(
  E42,
  tblTargetStatus[TargetID],
  tblTargetStatus[PlayerCompleted],
  FALSE
 )
)</f>
        <v>1</v>
      </c>
      <c r="G42" s="21" t="b">
        <f>IFERROR(__xludf.DUMMYFUNCTION("LET(
 acceptedID,
 REGEXREPLACE(A42,""\.finished$"","".accepted""),
 XLOOKUP(
  acceptedID,
  tblTargetStatus[TargetID],
  tblTargetStatus[PlayerCompleted],
  FALSE
 )
)"),FALSE)</f>
        <v>0</v>
      </c>
      <c r="H42" s="21" t="str">
        <f t="array" ref="H42">LET(
 name,
 _xlfn.XLOOKUP(
  A42,
  tblTargetStatus[TargetID],
  tblTargetStatus[DisplayName],
  ""
 ),
 SUBSTITUTE(
  SUBSTITUTE(name," Accepted",""),
  " Finished",""
 )
)</f>
        <v>Silk Road</v>
      </c>
      <c r="I42" s="6"/>
      <c r="J42" s="6"/>
      <c r="K42" s="6"/>
      <c r="L42" s="6"/>
      <c r="M42" s="6"/>
      <c r="N42" s="6"/>
      <c r="O42" s="6"/>
      <c r="P42" s="6"/>
      <c r="Q42" s="6"/>
      <c r="R42" s="28"/>
      <c r="S42" s="28"/>
      <c r="T42" s="28"/>
      <c r="U42" s="28"/>
      <c r="V42" s="28"/>
      <c r="W42" s="28"/>
      <c r="X42" s="28"/>
      <c r="Y42" s="6"/>
      <c r="Z42" s="6"/>
      <c r="AA42" s="28"/>
      <c r="AB42" s="28"/>
    </row>
    <row r="43" ht="14.25" customHeight="1">
      <c r="A43" s="21" t="s">
        <v>1296</v>
      </c>
      <c r="B43" s="21"/>
      <c r="C43" s="21" t="str">
        <f t="array" ref="C43">_xlfn.XLOOKUP(
 E43,
 tblTargetStatus[TargetID],
 tblTargetStatus[DisplayName],
 ""
)</f>
        <v>Visit Delhi</v>
      </c>
      <c r="D43" s="21" t="str">
        <f t="array" ref="D43">_xlfn.XLOOKUP(
 E43,
 tblTargets[TargetID],
 tblTargets[TargetType],
 ""
)</f>
        <v>STATE</v>
      </c>
      <c r="E43" s="21" t="s">
        <v>1665</v>
      </c>
      <c r="F43" s="21" t="b">
        <f t="array" ref="F43">NOT(
 _xlfn.XLOOKUP(
  E43,
  tblTargetStatus[TargetID],
  tblTargetStatus[PlayerCompleted],
  FALSE
 )
)</f>
        <v>1</v>
      </c>
      <c r="G43" s="21" t="b">
        <f>IFERROR(__xludf.DUMMYFUNCTION("LET(
 acceptedID,
 REGEXREPLACE(A43,""\.finished$"","".accepted""),
 XLOOKUP(
  acceptedID,
  tblTargetStatus[TargetID],
  tblTargetStatus[PlayerCompleted],
  FALSE
 )
)"),FALSE)</f>
        <v>0</v>
      </c>
      <c r="H43" s="21" t="str">
        <f t="array" ref="H43">LET(
 name,
 _xlfn.XLOOKUP(
  A43,
  tblTargetStatus[TargetID],
  tblTargetStatus[DisplayName],
  ""
 ),
 SUBSTITUTE(
  SUBSTITUTE(name," Accepted",""),
  " Finished",""
 )
)</f>
        <v>Silk Road</v>
      </c>
      <c r="I43" s="6"/>
      <c r="J43" s="6"/>
      <c r="K43" s="6"/>
      <c r="L43" s="6"/>
      <c r="M43" s="6"/>
      <c r="N43" s="6"/>
      <c r="O43" s="6"/>
      <c r="P43" s="6"/>
      <c r="Q43" s="6"/>
      <c r="R43" s="28"/>
      <c r="S43" s="28"/>
      <c r="T43" s="28"/>
      <c r="U43" s="6"/>
      <c r="V43" s="28"/>
      <c r="W43" s="28"/>
      <c r="X43" s="6"/>
      <c r="Y43" s="6"/>
      <c r="Z43" s="6"/>
      <c r="AA43" s="28"/>
      <c r="AB43" s="28"/>
    </row>
    <row r="44" ht="14.25" customHeight="1">
      <c r="A44" s="21" t="s">
        <v>1296</v>
      </c>
      <c r="B44" s="21"/>
      <c r="C44" s="21" t="str">
        <f t="array" ref="C44">_xlfn.XLOOKUP(
 E44,
 tblTargetStatus[TargetID],
 tblTargetStatus[DisplayName],
 ""
)</f>
        <v>Visit Baghdad</v>
      </c>
      <c r="D44" s="21" t="str">
        <f t="array" ref="D44">_xlfn.XLOOKUP(
 E44,
 tblTargets[TargetID],
 tblTargets[TargetType],
 ""
)</f>
        <v>STATE</v>
      </c>
      <c r="E44" s="21" t="s">
        <v>1657</v>
      </c>
      <c r="F44" s="21" t="b">
        <f t="array" ref="F44">NOT(
 _xlfn.XLOOKUP(
  E44,
  tblTargetStatus[TargetID],
  tblTargetStatus[PlayerCompleted],
  FALSE
 )
)</f>
        <v>1</v>
      </c>
      <c r="G44" s="21" t="b">
        <f>IFERROR(__xludf.DUMMYFUNCTION("LET(
 acceptedID,
 REGEXREPLACE(A44,""\.finished$"","".accepted""),
 XLOOKUP(
  acceptedID,
  tblTargetStatus[TargetID],
  tblTargetStatus[PlayerCompleted],
  FALSE
 )
)"),FALSE)</f>
        <v>0</v>
      </c>
      <c r="H44" s="21" t="str">
        <f t="array" ref="H44">LET(
 name,
 _xlfn.XLOOKUP(
  A44,
  tblTargetStatus[TargetID],
  tblTargetStatus[DisplayName],
  ""
 ),
 SUBSTITUTE(
  SUBSTITUTE(name," Accepted",""),
  " Finished",""
 )
)</f>
        <v>Silk Road</v>
      </c>
      <c r="I44" s="6"/>
      <c r="J44" s="6"/>
      <c r="K44" s="6"/>
      <c r="L44" s="6"/>
      <c r="M44" s="6"/>
      <c r="N44" s="6"/>
      <c r="O44" s="6"/>
      <c r="P44" s="6"/>
      <c r="Q44" s="6"/>
      <c r="R44" s="28"/>
      <c r="S44" s="28"/>
      <c r="T44" s="28"/>
      <c r="U44" s="6"/>
      <c r="V44" s="28"/>
      <c r="W44" s="28"/>
      <c r="X44" s="6"/>
      <c r="Y44" s="6"/>
      <c r="Z44" s="6"/>
      <c r="AA44" s="28"/>
      <c r="AB44" s="28"/>
    </row>
    <row r="45" ht="14.25" customHeight="1">
      <c r="A45" s="21" t="s">
        <v>1296</v>
      </c>
      <c r="B45" s="21"/>
      <c r="C45" s="21" t="str">
        <f t="array" ref="C45">_xlfn.XLOOKUP(
 E45,
 tblTargetStatus[TargetID],
 tblTargetStatus[DisplayName],
 ""
)</f>
        <v>Visit Cairo</v>
      </c>
      <c r="D45" s="21" t="str">
        <f t="array" ref="D45">_xlfn.XLOOKUP(
 E45,
 tblTargets[TargetID],
 tblTargets[TargetType],
 ""
)</f>
        <v>STATE</v>
      </c>
      <c r="E45" s="21" t="s">
        <v>1662</v>
      </c>
      <c r="F45" s="21" t="b">
        <f t="array" ref="F45">NOT(
 _xlfn.XLOOKUP(
  E45,
  tblTargetStatus[TargetID],
  tblTargetStatus[PlayerCompleted],
  FALSE
 )
)</f>
        <v>1</v>
      </c>
      <c r="G45" s="21" t="b">
        <f>IFERROR(__xludf.DUMMYFUNCTION("LET(
 acceptedID,
 REGEXREPLACE(A45,""\.finished$"","".accepted""),
 XLOOKUP(
  acceptedID,
  tblTargetStatus[TargetID],
  tblTargetStatus[PlayerCompleted],
  FALSE
 )
)"),FALSE)</f>
        <v>0</v>
      </c>
      <c r="H45" s="21" t="str">
        <f t="array" ref="H45">LET(
 name,
 _xlfn.XLOOKUP(
  A45,
  tblTargetStatus[TargetID],
  tblTargetStatus[DisplayName],
  ""
 ),
 SUBSTITUTE(
  SUBSTITUTE(name," Accepted",""),
  " Finished",""
 )
)</f>
        <v>Silk Road</v>
      </c>
      <c r="I45" s="6"/>
      <c r="J45" s="6"/>
      <c r="K45" s="6"/>
      <c r="L45" s="6"/>
      <c r="M45" s="6"/>
      <c r="N45" s="6"/>
      <c r="O45" s="6"/>
      <c r="P45" s="6"/>
      <c r="Q45" s="6"/>
      <c r="R45" s="28"/>
      <c r="S45" s="28"/>
      <c r="T45" s="28"/>
      <c r="U45" s="6"/>
      <c r="V45" s="28"/>
      <c r="W45" s="28"/>
      <c r="X45" s="6"/>
      <c r="Y45" s="6"/>
      <c r="Z45" s="6"/>
      <c r="AA45" s="28"/>
      <c r="AB45" s="28"/>
    </row>
    <row r="46" ht="14.25" customHeight="1">
      <c r="A46" s="21" t="s">
        <v>1296</v>
      </c>
      <c r="B46" s="21"/>
      <c r="C46" s="21" t="str">
        <f t="array" ref="C46">_xlfn.XLOOKUP(
 E46,
 tblTargetStatus[TargetID],
 tblTargetStatus[DisplayName],
 ""
)</f>
        <v>Visit Athens</v>
      </c>
      <c r="D46" s="21" t="str">
        <f t="array" ref="D46">_xlfn.XLOOKUP(
 E46,
 tblTargets[TargetID],
 tblTargets[TargetType],
 ""
)</f>
        <v>STATE</v>
      </c>
      <c r="E46" s="21" t="s">
        <v>1655</v>
      </c>
      <c r="F46" s="21" t="b">
        <f t="array" ref="F46">NOT(
 _xlfn.XLOOKUP(
  E46,
  tblTargetStatus[TargetID],
  tblTargetStatus[PlayerCompleted],
  FALSE
 )
)</f>
        <v>1</v>
      </c>
      <c r="G46" s="21" t="b">
        <f>IFERROR(__xludf.DUMMYFUNCTION("LET(
 acceptedID,
 REGEXREPLACE(A46,""\.finished$"","".accepted""),
 XLOOKUP(
  acceptedID,
  tblTargetStatus[TargetID],
  tblTargetStatus[PlayerCompleted],
  FALSE
 )
)"),FALSE)</f>
        <v>0</v>
      </c>
      <c r="H46" s="21" t="str">
        <f t="array" ref="H46">LET(
 name,
 _xlfn.XLOOKUP(
  A46,
  tblTargetStatus[TargetID],
  tblTargetStatus[DisplayName],
  ""
 ),
 SUBSTITUTE(
  SUBSTITUTE(name," Accepted",""),
  " Finished",""
 )
)</f>
        <v>Silk Road</v>
      </c>
      <c r="I46" s="6"/>
      <c r="J46" s="6"/>
      <c r="K46" s="6"/>
      <c r="L46" s="6"/>
      <c r="M46" s="6"/>
      <c r="N46" s="6"/>
      <c r="O46" s="6"/>
      <c r="P46" s="6"/>
      <c r="Q46" s="6"/>
      <c r="R46" s="28"/>
      <c r="S46" s="28"/>
      <c r="T46" s="28"/>
      <c r="U46" s="28"/>
      <c r="V46" s="28"/>
      <c r="W46" s="28"/>
      <c r="X46" s="28"/>
      <c r="Y46" s="6"/>
      <c r="Z46" s="6"/>
      <c r="AA46" s="28"/>
      <c r="AB46" s="28"/>
    </row>
    <row r="47" ht="14.25" customHeight="1">
      <c r="A47" s="21" t="s">
        <v>1296</v>
      </c>
      <c r="B47" s="21"/>
      <c r="C47" s="21" t="str">
        <f t="array" ref="C47">_xlfn.XLOOKUP(
 E47,
 tblTargetStatus[TargetID],
 tblTargetStatus[DisplayName],
 ""
)</f>
        <v>Visit Rome</v>
      </c>
      <c r="D47" s="21" t="str">
        <f t="array" ref="D47">_xlfn.XLOOKUP(
 E47,
 tblTargets[TargetID],
 tblTargets[TargetType],
 ""
)</f>
        <v>STATE</v>
      </c>
      <c r="E47" s="21" t="s">
        <v>1694</v>
      </c>
      <c r="F47" s="21" t="b">
        <f t="array" ref="F47">NOT(
 _xlfn.XLOOKUP(
  E47,
  tblTargetStatus[TargetID],
  tblTargetStatus[PlayerCompleted],
  FALSE
 )
)</f>
        <v>1</v>
      </c>
      <c r="G47" s="21" t="b">
        <f>IFERROR(__xludf.DUMMYFUNCTION("LET(
 acceptedID,
 REGEXREPLACE(A47,""\.finished$"","".accepted""),
 XLOOKUP(
  acceptedID,
  tblTargetStatus[TargetID],
  tblTargetStatus[PlayerCompleted],
  FALSE
 )
)"),FALSE)</f>
        <v>0</v>
      </c>
      <c r="H47" s="21" t="str">
        <f t="array" ref="H47">LET(
 name,
 _xlfn.XLOOKUP(
  A47,
  tblTargetStatus[TargetID],
  tblTargetStatus[DisplayName],
  ""
 ),
 SUBSTITUTE(
  SUBSTITUTE(name," Accepted",""),
  " Finished",""
 )
)</f>
        <v>Silk Road</v>
      </c>
      <c r="I47" s="6"/>
      <c r="J47" s="6"/>
      <c r="K47" s="6"/>
      <c r="L47" s="6"/>
      <c r="M47" s="6"/>
      <c r="N47" s="6"/>
      <c r="O47" s="6"/>
      <c r="P47" s="6"/>
      <c r="Q47" s="6"/>
      <c r="R47" s="28"/>
      <c r="S47" s="28"/>
      <c r="T47" s="28"/>
      <c r="U47" s="6"/>
      <c r="V47" s="28"/>
      <c r="W47" s="28"/>
      <c r="X47" s="6"/>
      <c r="Y47" s="6"/>
      <c r="Z47" s="6"/>
      <c r="AA47" s="28"/>
      <c r="AB47" s="28"/>
    </row>
    <row r="48" ht="14.25" customHeight="1">
      <c r="A48" s="21" t="s">
        <v>1296</v>
      </c>
      <c r="B48" s="21"/>
      <c r="C48" s="21" t="str">
        <f t="array" ref="C48">_xlfn.XLOOKUP(
 E48,
 tblTargetStatus[TargetID],
 tblTargetStatus[DisplayName],
 ""
)</f>
        <v>Visit Kyiv</v>
      </c>
      <c r="D48" s="21" t="str">
        <f t="array" ref="D48">_xlfn.XLOOKUP(
 E48,
 tblTargets[TargetID],
 tblTargets[TargetType],
 ""
)</f>
        <v>STATE</v>
      </c>
      <c r="E48" s="21" t="s">
        <v>1679</v>
      </c>
      <c r="F48" s="21" t="b">
        <f t="array" ref="F48">NOT(
 _xlfn.XLOOKUP(
  E48,
  tblTargetStatus[TargetID],
  tblTargetStatus[PlayerCompleted],
  FALSE
 )
)</f>
        <v>1</v>
      </c>
      <c r="G48" s="21" t="b">
        <f>IFERROR(__xludf.DUMMYFUNCTION("LET(
 acceptedID,
 REGEXREPLACE(A48,""\.finished$"","".accepted""),
 XLOOKUP(
  acceptedID,
  tblTargetStatus[TargetID],
  tblTargetStatus[PlayerCompleted],
  FALSE
 )
)"),FALSE)</f>
        <v>0</v>
      </c>
      <c r="H48" s="21" t="str">
        <f t="array" ref="H48">LET(
 name,
 _xlfn.XLOOKUP(
  A48,
  tblTargetStatus[TargetID],
  tblTargetStatus[DisplayName],
  ""
 ),
 SUBSTITUTE(
  SUBSTITUTE(name," Accepted",""),
  " Finished",""
 )
)</f>
        <v>Silk Road</v>
      </c>
      <c r="I48" s="6"/>
      <c r="J48" s="6"/>
      <c r="K48" s="6"/>
      <c r="L48" s="6"/>
      <c r="M48" s="6"/>
      <c r="N48" s="6"/>
      <c r="O48" s="6"/>
      <c r="P48" s="6"/>
      <c r="Q48" s="6"/>
      <c r="R48" s="28"/>
      <c r="S48" s="28"/>
      <c r="T48" s="28"/>
      <c r="U48" s="6"/>
      <c r="V48" s="28"/>
      <c r="W48" s="28"/>
      <c r="X48" s="6"/>
      <c r="Y48" s="6"/>
      <c r="Z48" s="6"/>
      <c r="AA48" s="28"/>
      <c r="AB48" s="28"/>
    </row>
    <row r="49" ht="14.25" customHeight="1">
      <c r="A49" s="21" t="s">
        <v>1301</v>
      </c>
      <c r="B49" s="21"/>
      <c r="C49" s="21" t="str">
        <f t="array" ref="C49">_xlfn.XLOOKUP(
 E49,
 tblTargetStatus[TargetID],
 tblTargetStatus[DisplayName],
 ""
)</f>
        <v>Ship Lv 4</v>
      </c>
      <c r="D49" s="21" t="str">
        <f t="array" ref="D49">_xlfn.XLOOKUP(
 E49,
 tblTargets[TargetID],
 tblTargets[TargetType],
 ""
)</f>
        <v>BUILDING</v>
      </c>
      <c r="E49" s="21" t="s">
        <v>402</v>
      </c>
      <c r="F49" s="21" t="b">
        <f t="array" ref="F49">NOT(
 _xlfn.XLOOKUP(
  E49,
  tblTargetStatus[TargetID],
  tblTargetStatus[PlayerCompleted],
  FALSE
 )
)</f>
        <v>1</v>
      </c>
      <c r="G49" s="21" t="b">
        <f>IFERROR(__xludf.DUMMYFUNCTION("LET(
 acceptedID,
 REGEXREPLACE(A49,""\.finished$"","".accepted""),
 XLOOKUP(
  acceptedID,
  tblTargetStatus[TargetID],
  tblTargetStatus[PlayerCompleted],
  FALSE
 )
)"),FALSE)</f>
        <v>0</v>
      </c>
      <c r="H49" s="21" t="str">
        <f t="array" ref="H49">LET(
 name,
 _xlfn.XLOOKUP(
  A49,
  tblTargetStatus[TargetID],
  tblTargetStatus[DisplayName],
  ""
 ),
 SUBSTITUTE(
  SUBSTITUTE(name," Accepted",""),
  " Finished",""
 )
)</f>
        <v>Spicy Odyssey</v>
      </c>
      <c r="I49" s="6"/>
      <c r="J49" s="6"/>
      <c r="K49" s="6"/>
      <c r="L49" s="6"/>
      <c r="M49" s="6"/>
      <c r="N49" s="6"/>
      <c r="O49" s="6"/>
      <c r="P49" s="6"/>
      <c r="Q49" s="6"/>
      <c r="R49" s="28"/>
      <c r="S49" s="28"/>
      <c r="T49" s="28"/>
      <c r="U49" s="28"/>
      <c r="V49" s="28"/>
      <c r="W49" s="28"/>
      <c r="X49" s="28"/>
      <c r="Y49" s="6"/>
      <c r="Z49" s="6"/>
      <c r="AA49" s="28"/>
      <c r="AB49" s="28"/>
    </row>
    <row r="50" ht="14.25" customHeight="1">
      <c r="A50" s="21" t="s">
        <v>1301</v>
      </c>
      <c r="B50" s="21"/>
      <c r="C50" s="21" t="str">
        <f t="array" ref="C50">_xlfn.XLOOKUP(
 E50,
 tblTargetStatus[TargetID],
 tblTargetStatus[DisplayName],
 ""
)</f>
        <v>Obtain Spices from Spice Island</v>
      </c>
      <c r="D50" s="21" t="str">
        <f t="array" ref="D50">_xlfn.XLOOKUP(
 E50,
 tblTargets[TargetID],
 tblTargets[TargetType],
 ""
)</f>
        <v>STATE</v>
      </c>
      <c r="E50" s="26" t="s">
        <v>1637</v>
      </c>
      <c r="F50" s="21" t="b">
        <f t="array" ref="F50">NOT(
 _xlfn.XLOOKUP(
  E50,
  tblTargetStatus[TargetID],
  tblTargetStatus[PlayerCompleted],
  FALSE
 )
)</f>
        <v>1</v>
      </c>
      <c r="G50" s="21" t="b">
        <f>IFERROR(__xludf.DUMMYFUNCTION("LET(
 acceptedID,
 REGEXREPLACE(A50,""\.finished$"","".accepted""),
 XLOOKUP(
  acceptedID,
  tblTargetStatus[TargetID],
  tblTargetStatus[PlayerCompleted],
  FALSE
 )
)"),FALSE)</f>
        <v>0</v>
      </c>
      <c r="H50" s="21" t="str">
        <f t="array" ref="H50">LET(
 name,
 _xlfn.XLOOKUP(
  A50,
  tblTargetStatus[TargetID],
  tblTargetStatus[DisplayName],
  ""
 ),
 SUBSTITUTE(
  SUBSTITUTE(name," Accepted",""),
  " Finished",""
 )
)</f>
        <v>Spicy Odyssey</v>
      </c>
      <c r="I50" s="6"/>
      <c r="J50" s="6"/>
      <c r="K50" s="6"/>
      <c r="L50" s="6"/>
      <c r="M50" s="6"/>
      <c r="N50" s="6"/>
      <c r="O50" s="6"/>
      <c r="P50" s="6"/>
      <c r="Q50" s="6"/>
      <c r="R50" s="28"/>
      <c r="S50" s="28"/>
      <c r="T50" s="28"/>
      <c r="U50" s="28"/>
      <c r="V50" s="28"/>
      <c r="W50" s="28"/>
      <c r="X50" s="28"/>
      <c r="Y50" s="6"/>
      <c r="Z50" s="6"/>
      <c r="AA50" s="28"/>
      <c r="AB50" s="28"/>
    </row>
    <row r="51" ht="14.25" customHeight="1">
      <c r="A51" s="21" t="s">
        <v>1340</v>
      </c>
      <c r="B51" s="21"/>
      <c r="C51" s="21" t="str">
        <f t="array" ref="C51">_xlfn.XLOOKUP(
 E51,
 tblTargetStatus[TargetID],
 tblTargetStatus[DisplayName],
 ""
)</f>
        <v>Return the ring</v>
      </c>
      <c r="D51" s="21" t="str">
        <f t="array" ref="D51">_xlfn.XLOOKUP(
 E51,
 tblTargets[TargetID],
 tblTargets[TargetType],
 ""
)</f>
        <v>STATE</v>
      </c>
      <c r="E51" s="26" t="s">
        <v>1492</v>
      </c>
      <c r="F51" s="21" t="b">
        <f t="array" ref="F51">NOT(
 _xlfn.XLOOKUP(
  E51,
  tblTargetStatus[TargetID],
  tblTargetStatus[PlayerCompleted],
  FALSE
 )
)</f>
        <v>1</v>
      </c>
      <c r="G51" s="21" t="b">
        <f>IFERROR(__xludf.DUMMYFUNCTION("LET(
 acceptedID,
 REGEXREPLACE(A51,""\.finished$"","".accepted""),
 XLOOKUP(
  acceptedID,
  tblTargetStatus[TargetID],
  tblTargetStatus[PlayerCompleted],
  FALSE
 )
)"),FALSE)</f>
        <v>0</v>
      </c>
      <c r="H51" s="21" t="str">
        <f t="array" ref="H51">LET(
 name,
 _xlfn.XLOOKUP(
  A51,
  tblTargetStatus[TargetID],
  tblTargetStatus[DisplayName],
  ""
 ),
 SUBSTITUTE(
  SUBSTITUTE(name," Accepted",""),
  " Finished",""
 )
)</f>
        <v>The Ring of the Dark Lady</v>
      </c>
      <c r="I51" s="6"/>
      <c r="J51" s="6"/>
      <c r="K51" s="6"/>
      <c r="L51" s="6"/>
      <c r="M51" s="6"/>
      <c r="N51" s="6"/>
      <c r="O51" s="6"/>
      <c r="P51" s="6"/>
      <c r="Q51" s="6"/>
      <c r="R51" s="28"/>
      <c r="S51" s="28"/>
      <c r="T51" s="28"/>
      <c r="U51" s="6"/>
      <c r="V51" s="28"/>
      <c r="W51" s="28"/>
      <c r="X51" s="6"/>
      <c r="Y51" s="6"/>
      <c r="Z51" s="6"/>
      <c r="AA51" s="28"/>
      <c r="AB51" s="28"/>
    </row>
    <row r="52" ht="14.25" customHeight="1">
      <c r="A52" s="21" t="s">
        <v>1344</v>
      </c>
      <c r="B52" s="21"/>
      <c r="C52" s="21" t="str">
        <f t="array" ref="C52">_xlfn.XLOOKUP(
 E52,
 tblTargetStatus[TargetID],
 tblTargetStatus[DisplayName],
 ""
)</f>
        <v>Obtain Treasure</v>
      </c>
      <c r="D52" s="21" t="str">
        <f t="array" ref="D52">_xlfn.XLOOKUP(
 E52,
 tblTargets[TargetID],
 tblTargets[TargetType],
 ""
)</f>
        <v>STATE</v>
      </c>
      <c r="E52" s="26" t="s">
        <v>1650</v>
      </c>
      <c r="F52" s="21" t="b">
        <f t="array" ref="F52">NOT(
 _xlfn.XLOOKUP(
  E52,
  tblTargetStatus[TargetID],
  tblTargetStatus[PlayerCompleted],
  FALSE
 )
)</f>
        <v>1</v>
      </c>
      <c r="G52" s="21" t="b">
        <f>IFERROR(__xludf.DUMMYFUNCTION("LET(
 acceptedID,
 REGEXREPLACE(A52,""\.finished$"","".accepted""),
 XLOOKUP(
  acceptedID,
  tblTargetStatus[TargetID],
  tblTargetStatus[PlayerCompleted],
  FALSE
 )
)"),FALSE)</f>
        <v>0</v>
      </c>
      <c r="H52" s="21" t="str">
        <f t="array" ref="H52">LET(
 name,
 _xlfn.XLOOKUP(
  A52,
  tblTargetStatus[TargetID],
  tblTargetStatus[DisplayName],
  ""
 ),
 SUBSTITUTE(
  SUBSTITUTE(name," Accepted",""),
  " Finished",""
 )
)</f>
        <v>Treasure Island</v>
      </c>
      <c r="I52" s="6"/>
      <c r="J52" s="6"/>
      <c r="K52" s="6"/>
      <c r="L52" s="6"/>
      <c r="M52" s="6"/>
      <c r="N52" s="6"/>
      <c r="O52" s="6"/>
      <c r="P52" s="6"/>
      <c r="Q52" s="6"/>
      <c r="R52" s="28"/>
      <c r="S52" s="28"/>
      <c r="T52" s="28"/>
      <c r="U52" s="6"/>
      <c r="V52" s="28"/>
      <c r="W52" s="28"/>
      <c r="X52" s="6"/>
      <c r="Y52" s="6"/>
      <c r="Z52" s="6"/>
      <c r="AA52" s="28"/>
      <c r="AB52" s="28"/>
    </row>
    <row r="53" ht="14.25" customHeight="1">
      <c r="A53" s="21" t="s">
        <v>1348</v>
      </c>
      <c r="B53" s="21"/>
      <c r="C53" s="21" t="str">
        <f t="array" ref="C53">_xlfn.XLOOKUP(
 E53,
 tblTargetStatus[TargetID],
 tblTargetStatus[DisplayName],
 ""
)</f>
        <v>Complete Dungeon 5C</v>
      </c>
      <c r="D53" s="21" t="str">
        <f t="array" ref="D53">_xlfn.XLOOKUP(
 E53,
 tblTargets[TargetID],
 tblTargets[TargetType],
 ""
)</f>
        <v>STATE</v>
      </c>
      <c r="E53" s="21" t="s">
        <v>1444</v>
      </c>
      <c r="F53" s="21" t="b">
        <f t="array" ref="F53">NOT(
 _xlfn.XLOOKUP(
  E53,
  tblTargetStatus[TargetID],
  tblTargetStatus[PlayerCompleted],
  FALSE
 )
)</f>
        <v>1</v>
      </c>
      <c r="G53" s="21" t="b">
        <f>IFERROR(__xludf.DUMMYFUNCTION("LET(
 acceptedID,
 REGEXREPLACE(A53,""\.finished$"","".accepted""),
 XLOOKUP(
  acceptedID,
  tblTargetStatus[TargetID],
  tblTargetStatus[PlayerCompleted],
  FALSE
 )
)"),FALSE)</f>
        <v>0</v>
      </c>
      <c r="H53" s="21" t="str">
        <f t="array" ref="H53">LET(
 name,
 _xlfn.XLOOKUP(
  A53,
  tblTargetStatus[TargetID],
  tblTargetStatus[DisplayName],
  ""
 ),
 SUBSTITUTE(
  SUBSTITUTE(name," Accepted",""),
  " Finished",""
 )
)</f>
        <v>Undead Revenge</v>
      </c>
      <c r="I53" s="6"/>
      <c r="J53" s="6"/>
      <c r="K53" s="6"/>
      <c r="L53" s="6"/>
      <c r="M53" s="6"/>
      <c r="N53" s="6"/>
      <c r="O53" s="6"/>
      <c r="P53" s="6"/>
      <c r="Q53" s="6"/>
      <c r="R53" s="28"/>
      <c r="S53" s="28"/>
      <c r="T53" s="28"/>
      <c r="U53" s="6"/>
      <c r="V53" s="28"/>
      <c r="W53" s="28"/>
      <c r="X53" s="6"/>
      <c r="Y53" s="6"/>
      <c r="Z53" s="6"/>
      <c r="AA53" s="28"/>
      <c r="AB53" s="28"/>
    </row>
    <row r="54" ht="14.25" customHeight="1">
      <c r="A54" s="26" t="s">
        <v>924</v>
      </c>
      <c r="B54" s="21"/>
      <c r="C54" s="21" t="str">
        <f t="array" ref="C54">_xlfn.XLOOKUP(
 E54,
 tblTargetStatus[TargetID],
 tblTargetStatus[DisplayName],
 ""
)</f>
        <v>Laboratory Lv 5</v>
      </c>
      <c r="D54" s="21" t="str">
        <f t="array" ref="D54">_xlfn.XLOOKUP(
 E54,
 tblTargets[TargetID],
 tblTargets[TargetType],
 ""
)</f>
        <v>BUILDING</v>
      </c>
      <c r="E54" s="21" t="s">
        <v>328</v>
      </c>
      <c r="F54" s="21" t="b">
        <f t="array" ref="F54">NOT(
 _xlfn.XLOOKUP(
  E54,
  tblTargetStatus[TargetID],
  tblTargetStatus[PlayerCompleted],
  FALSE
 )
)</f>
        <v>1</v>
      </c>
      <c r="G54" s="21" t="b">
        <f>IFERROR(__xludf.DUMMYFUNCTION("LET(
 acceptedID,
 REGEXREPLACE(A54,""\.finished$"","".accepted""),
 XLOOKUP(
  acceptedID,
  tblTargetStatus[TargetID],
  tblTargetStatus[PlayerCompleted],
  FALSE
 )
)"),FALSE)</f>
        <v>0</v>
      </c>
      <c r="H54" s="21" t="str">
        <f t="array" ref="H54">LET(
 name,
 _xlfn.XLOOKUP(
  A54,
  tblTargetStatus[TargetID],
  tblTargetStatus[DisplayName],
  ""
 ),
 SUBSTITUTE(
  SUBSTITUTE(name," Accepted",""),
  " Finished",""
 )
)</f>
        <v>Ahead of Time Chapter 1</v>
      </c>
      <c r="I54" s="6"/>
      <c r="J54" s="6"/>
      <c r="K54" s="6"/>
      <c r="L54" s="6"/>
      <c r="M54" s="6"/>
      <c r="N54" s="6"/>
      <c r="O54" s="6"/>
      <c r="P54" s="6"/>
      <c r="Q54" s="6"/>
      <c r="R54" s="28"/>
      <c r="S54" s="28"/>
      <c r="T54" s="28"/>
      <c r="U54" s="6"/>
      <c r="V54" s="28"/>
      <c r="W54" s="28"/>
      <c r="X54" s="6"/>
      <c r="Y54" s="6"/>
      <c r="Z54" s="6"/>
      <c r="AA54" s="28"/>
      <c r="AB54" s="28"/>
    </row>
    <row r="55" ht="14.25" customHeight="1">
      <c r="A55" s="26" t="s">
        <v>924</v>
      </c>
      <c r="B55" s="21"/>
      <c r="C55" s="21" t="str">
        <f t="array" ref="C55">_xlfn.XLOOKUP(
 E55,
 tblTargetStatus[TargetID],
 tblTargetStatus[DisplayName],
 ""
)</f>
        <v>Deliver Bedroll to  4B </v>
      </c>
      <c r="D55" s="21" t="str">
        <f t="array" ref="D55">_xlfn.XLOOKUP(
 E55,
 tblTargets[TargetID],
 tblTargets[TargetType],
 ""
)</f>
        <v>STATE</v>
      </c>
      <c r="E55" s="26" t="s">
        <v>1469</v>
      </c>
      <c r="F55" s="21" t="b">
        <f t="array" ref="F55">NOT(
 _xlfn.XLOOKUP(
  E55,
  tblTargetStatus[TargetID],
  tblTargetStatus[PlayerCompleted],
  FALSE
 )
)</f>
        <v>1</v>
      </c>
      <c r="G55" s="21" t="b">
        <f>IFERROR(__xludf.DUMMYFUNCTION("LET(
 acceptedID,
 REGEXREPLACE(A55,""\.finished$"","".accepted""),
 XLOOKUP(
  acceptedID,
  tblTargetStatus[TargetID],
  tblTargetStatus[PlayerCompleted],
  FALSE
 )
)"),FALSE)</f>
        <v>0</v>
      </c>
      <c r="H55" s="21" t="str">
        <f t="array" ref="H55">LET(
 name,
 _xlfn.XLOOKUP(
  A55,
  tblTargetStatus[TargetID],
  tblTargetStatus[DisplayName],
  ""
 ),
 SUBSTITUTE(
  SUBSTITUTE(name," Accepted",""),
  " Finished",""
 )
)</f>
        <v>Ahead of Time Chapter 1</v>
      </c>
      <c r="I55" s="6"/>
      <c r="J55" s="6"/>
      <c r="K55" s="6"/>
      <c r="L55" s="6"/>
      <c r="M55" s="6"/>
      <c r="N55" s="6"/>
      <c r="O55" s="6"/>
      <c r="P55" s="6"/>
      <c r="Q55" s="6"/>
      <c r="R55" s="28"/>
      <c r="S55" s="28"/>
      <c r="T55" s="28"/>
      <c r="U55" s="28"/>
      <c r="V55" s="28"/>
      <c r="W55" s="28"/>
      <c r="X55" s="28"/>
      <c r="Y55" s="6"/>
      <c r="Z55" s="6"/>
      <c r="AA55" s="28"/>
      <c r="AB55" s="28"/>
    </row>
    <row r="56" ht="14.25" customHeight="1">
      <c r="A56" s="26" t="s">
        <v>924</v>
      </c>
      <c r="B56" s="21"/>
      <c r="C56" s="21" t="str">
        <f t="array" ref="C56">_xlfn.XLOOKUP(
 E56,
 tblTargetStatus[TargetID],
 tblTargetStatus[DisplayName],
 ""
)</f>
        <v>Deliver Horn to  2C </v>
      </c>
      <c r="D56" s="21" t="str">
        <f t="array" ref="D56">_xlfn.XLOOKUP(
 E56,
 tblTargets[TargetID],
 tblTargets[TargetType],
 ""
)</f>
        <v>STATE</v>
      </c>
      <c r="E56" s="26" t="s">
        <v>1473</v>
      </c>
      <c r="F56" s="21" t="b">
        <f t="array" ref="F56">NOT(
 _xlfn.XLOOKUP(
  E56,
  tblTargetStatus[TargetID],
  tblTargetStatus[PlayerCompleted],
  FALSE
 )
)</f>
        <v>1</v>
      </c>
      <c r="G56" s="21" t="b">
        <f>IFERROR(__xludf.DUMMYFUNCTION("LET(
 acceptedID,
 REGEXREPLACE(A56,""\.finished$"","".accepted""),
 XLOOKUP(
  acceptedID,
  tblTargetStatus[TargetID],
  tblTargetStatus[PlayerCompleted],
  FALSE
 )
)"),FALSE)</f>
        <v>0</v>
      </c>
      <c r="H56" s="21" t="str">
        <f t="array" ref="H56">LET(
 name,
 _xlfn.XLOOKUP(
  A56,
  tblTargetStatus[TargetID],
  tblTargetStatus[DisplayName],
  ""
 ),
 SUBSTITUTE(
  SUBSTITUTE(name," Accepted",""),
  " Finished",""
 )
)</f>
        <v>Ahead of Time Chapter 1</v>
      </c>
      <c r="I56" s="6"/>
      <c r="J56" s="6"/>
      <c r="K56" s="6"/>
      <c r="L56" s="6"/>
      <c r="M56" s="6"/>
      <c r="N56" s="6"/>
      <c r="O56" s="6"/>
      <c r="P56" s="6"/>
      <c r="Q56" s="6"/>
      <c r="R56" s="28"/>
      <c r="S56" s="28"/>
      <c r="T56" s="28"/>
      <c r="U56" s="6"/>
      <c r="V56" s="28"/>
      <c r="W56" s="28"/>
      <c r="X56" s="6"/>
      <c r="Y56" s="6"/>
      <c r="Z56" s="6"/>
      <c r="AA56" s="28"/>
      <c r="AB56" s="28"/>
    </row>
    <row r="57" ht="14.25" customHeight="1">
      <c r="A57" s="26" t="s">
        <v>924</v>
      </c>
      <c r="B57" s="21"/>
      <c r="C57" s="21" t="str">
        <f t="array" ref="C57">_xlfn.XLOOKUP(
 E57,
 tblTargetStatus[TargetID],
 tblTargetStatus[DisplayName],
 ""
)</f>
        <v>Deliver Pizza Diavola to  5B </v>
      </c>
      <c r="D57" s="21" t="str">
        <f t="array" ref="D57">_xlfn.XLOOKUP(
 E57,
 tblTargets[TargetID],
 tblTargets[TargetType],
 ""
)</f>
        <v>STATE</v>
      </c>
      <c r="E57" s="26" t="s">
        <v>1478</v>
      </c>
      <c r="F57" s="21" t="b">
        <f t="array" ref="F57">NOT(
 _xlfn.XLOOKUP(
  E57,
  tblTargetStatus[TargetID],
  tblTargetStatus[PlayerCompleted],
  FALSE
 )
)</f>
        <v>1</v>
      </c>
      <c r="G57" s="21" t="b">
        <f>IFERROR(__xludf.DUMMYFUNCTION("LET(
 acceptedID,
 REGEXREPLACE(A57,""\.finished$"","".accepted""),
 XLOOKUP(
  acceptedID,
  tblTargetStatus[TargetID],
  tblTargetStatus[PlayerCompleted],
  FALSE
 )
)"),FALSE)</f>
        <v>0</v>
      </c>
      <c r="H57" s="21" t="str">
        <f t="array" ref="H57">LET(
 name,
 _xlfn.XLOOKUP(
  A57,
  tblTargetStatus[TargetID],
  tblTargetStatus[DisplayName],
  ""
 ),
 SUBSTITUTE(
  SUBSTITUTE(name," Accepted",""),
  " Finished",""
 )
)</f>
        <v>Ahead of Time Chapter 1</v>
      </c>
      <c r="I57" s="6"/>
      <c r="J57" s="6"/>
      <c r="K57" s="6"/>
      <c r="L57" s="6"/>
      <c r="M57" s="6"/>
      <c r="N57" s="6"/>
      <c r="O57" s="6"/>
      <c r="P57" s="6"/>
      <c r="Q57" s="6"/>
      <c r="R57" s="28"/>
      <c r="S57" s="28"/>
      <c r="T57" s="28"/>
      <c r="U57" s="28"/>
      <c r="V57" s="28"/>
      <c r="W57" s="28"/>
      <c r="X57" s="28"/>
      <c r="Y57" s="6"/>
      <c r="Z57" s="6"/>
      <c r="AA57" s="28"/>
      <c r="AB57" s="28"/>
    </row>
    <row r="58" ht="14.25" customHeight="1">
      <c r="A58" s="26" t="s">
        <v>924</v>
      </c>
      <c r="B58" s="21"/>
      <c r="C58" s="21" t="str">
        <f t="array" ref="C58">_xlfn.XLOOKUP(
 E58,
 tblTargetStatus[TargetID],
 tblTargetStatus[DisplayName],
 ""
)</f>
        <v>Deliver Pizza Diavola to  5C </v>
      </c>
      <c r="D58" s="21" t="str">
        <f t="array" ref="D58">_xlfn.XLOOKUP(
 E58,
 tblTargets[TargetID],
 tblTargets[TargetType],
 ""
)</f>
        <v>STATE</v>
      </c>
      <c r="E58" s="26" t="s">
        <v>1480</v>
      </c>
      <c r="F58" s="21" t="b">
        <f t="array" ref="F58">NOT(
 _xlfn.XLOOKUP(
  E58,
  tblTargetStatus[TargetID],
  tblTargetStatus[PlayerCompleted],
  FALSE
 )
)</f>
        <v>1</v>
      </c>
      <c r="G58" s="21" t="b">
        <f>IFERROR(__xludf.DUMMYFUNCTION("LET(
 acceptedID,
 REGEXREPLACE(A58,""\.finished$"","".accepted""),
 XLOOKUP(
  acceptedID,
  tblTargetStatus[TargetID],
  tblTargetStatus[PlayerCompleted],
  FALSE
 )
)"),FALSE)</f>
        <v>0</v>
      </c>
      <c r="H58" s="21" t="str">
        <f t="array" ref="H58">LET(
 name,
 _xlfn.XLOOKUP(
  A58,
  tblTargetStatus[TargetID],
  tblTargetStatus[DisplayName],
  ""
 ),
 SUBSTITUTE(
  SUBSTITUTE(name," Accepted",""),
  " Finished",""
 )
)</f>
        <v>Ahead of Time Chapter 1</v>
      </c>
      <c r="I58" s="6"/>
      <c r="J58" s="6"/>
      <c r="K58" s="6"/>
      <c r="L58" s="6"/>
      <c r="M58" s="6"/>
      <c r="N58" s="6"/>
      <c r="O58" s="6"/>
      <c r="P58" s="6"/>
      <c r="Q58" s="6"/>
      <c r="R58" s="28"/>
      <c r="S58" s="28"/>
      <c r="T58" s="28"/>
      <c r="U58" s="28"/>
      <c r="V58" s="28"/>
      <c r="W58" s="28"/>
      <c r="X58" s="28"/>
      <c r="Y58" s="6"/>
      <c r="Z58" s="6"/>
      <c r="AA58" s="28"/>
      <c r="AB58" s="28"/>
    </row>
    <row r="59" ht="14.25" customHeight="1">
      <c r="A59" s="26" t="s">
        <v>924</v>
      </c>
      <c r="B59" s="21"/>
      <c r="C59" s="21" t="str">
        <f t="array" ref="C59">_xlfn.XLOOKUP(
 E59,
 tblTargetStatus[TargetID],
 tblTargetStatus[DisplayName],
 ""
)</f>
        <v>Deliver Porcini pasta to  3C </v>
      </c>
      <c r="D59" s="21" t="str">
        <f t="array" ref="D59">_xlfn.XLOOKUP(
 E59,
 tblTargets[TargetID],
 tblTargets[TargetType],
 ""
)</f>
        <v>STATE</v>
      </c>
      <c r="E59" s="26" t="s">
        <v>1482</v>
      </c>
      <c r="F59" s="21" t="b">
        <f t="array" ref="F59">NOT(
 _xlfn.XLOOKUP(
  E59,
  tblTargetStatus[TargetID],
  tblTargetStatus[PlayerCompleted],
  FALSE
 )
)</f>
        <v>1</v>
      </c>
      <c r="G59" s="21" t="b">
        <f>IFERROR(__xludf.DUMMYFUNCTION("LET(
 acceptedID,
 REGEXREPLACE(A59,""\.finished$"","".accepted""),
 XLOOKUP(
  acceptedID,
  tblTargetStatus[TargetID],
  tblTargetStatus[PlayerCompleted],
  FALSE
 )
)"),FALSE)</f>
        <v>0</v>
      </c>
      <c r="H59" s="21" t="str">
        <f t="array" ref="H59">LET(
 name,
 _xlfn.XLOOKUP(
  A59,
  tblTargetStatus[TargetID],
  tblTargetStatus[DisplayName],
  ""
 ),
 SUBSTITUTE(
  SUBSTITUTE(name," Accepted",""),
  " Finished",""
 )
)</f>
        <v>Ahead of Time Chapter 1</v>
      </c>
      <c r="I59" s="6"/>
      <c r="J59" s="6"/>
      <c r="K59" s="6"/>
      <c r="L59" s="6"/>
      <c r="M59" s="6"/>
      <c r="N59" s="6"/>
      <c r="O59" s="6"/>
      <c r="P59" s="6"/>
      <c r="Q59" s="6"/>
      <c r="R59" s="28"/>
      <c r="S59" s="28"/>
      <c r="T59" s="28"/>
      <c r="U59" s="6"/>
      <c r="V59" s="28"/>
      <c r="W59" s="28"/>
      <c r="X59" s="6"/>
      <c r="Y59" s="6"/>
      <c r="Z59" s="6"/>
      <c r="AA59" s="28"/>
      <c r="AB59" s="28"/>
    </row>
    <row r="60" ht="14.25" customHeight="1">
      <c r="A60" s="26" t="s">
        <v>924</v>
      </c>
      <c r="B60" s="21"/>
      <c r="C60" s="21" t="str">
        <f t="array" ref="C60">_xlfn.XLOOKUP(
 E60,
 tblTargetStatus[TargetID],
 tblTargetStatus[DisplayName],
 ""
)</f>
        <v>Deliver Potion Ambrosia to  3B </v>
      </c>
      <c r="D60" s="21" t="str">
        <f t="array" ref="D60">_xlfn.XLOOKUP(
 E60,
 tblTargets[TargetID],
 tblTargets[TargetType],
 ""
)</f>
        <v>STATE</v>
      </c>
      <c r="E60" s="26" t="s">
        <v>1485</v>
      </c>
      <c r="F60" s="21" t="b">
        <f t="array" ref="F60">NOT(
 _xlfn.XLOOKUP(
  E60,
  tblTargetStatus[TargetID],
  tblTargetStatus[PlayerCompleted],
  FALSE
 )
)</f>
        <v>1</v>
      </c>
      <c r="G60" s="21" t="b">
        <f>IFERROR(__xludf.DUMMYFUNCTION("LET(
 acceptedID,
 REGEXREPLACE(A60,""\.finished$"","".accepted""),
 XLOOKUP(
  acceptedID,
  tblTargetStatus[TargetID],
  tblTargetStatus[PlayerCompleted],
  FALSE
 )
)"),FALSE)</f>
        <v>0</v>
      </c>
      <c r="H60" s="21" t="str">
        <f t="array" ref="H60">LET(
 name,
 _xlfn.XLOOKUP(
  A60,
  tblTargetStatus[TargetID],
  tblTargetStatus[DisplayName],
  ""
 ),
 SUBSTITUTE(
  SUBSTITUTE(name," Accepted",""),
  " Finished",""
 )
)</f>
        <v>Ahead of Time Chapter 1</v>
      </c>
      <c r="I60" s="6"/>
      <c r="J60" s="6"/>
      <c r="K60" s="6"/>
      <c r="L60" s="6"/>
      <c r="M60" s="6"/>
      <c r="N60" s="6"/>
      <c r="O60" s="6"/>
      <c r="P60" s="6"/>
      <c r="Q60" s="6"/>
      <c r="R60" s="28"/>
      <c r="S60" s="28"/>
      <c r="T60" s="28"/>
      <c r="U60" s="28"/>
      <c r="V60" s="28"/>
      <c r="W60" s="28"/>
      <c r="X60" s="28"/>
      <c r="Y60" s="6"/>
      <c r="Z60" s="6"/>
      <c r="AA60" s="28"/>
      <c r="AB60" s="28"/>
    </row>
    <row r="61" ht="14.25" customHeight="1">
      <c r="A61" s="26" t="s">
        <v>924</v>
      </c>
      <c r="B61" s="21"/>
      <c r="C61" s="21" t="str">
        <f t="array" ref="C61">_xlfn.XLOOKUP(
 E61,
 tblTargetStatus[TargetID],
 tblTargetStatus[DisplayName],
 ""
)</f>
        <v>Deliver Potion Berserker rage to  1C </v>
      </c>
      <c r="D61" s="21" t="str">
        <f t="array" ref="D61">_xlfn.XLOOKUP(
 E61,
 tblTargets[TargetID],
 tblTargets[TargetType],
 ""
)</f>
        <v>STATE</v>
      </c>
      <c r="E61" s="26" t="s">
        <v>1487</v>
      </c>
      <c r="F61" s="21" t="b">
        <f t="array" ref="F61">NOT(
 _xlfn.XLOOKUP(
  E61,
  tblTargetStatus[TargetID],
  tblTargetStatus[PlayerCompleted],
  FALSE
 )
)</f>
        <v>1</v>
      </c>
      <c r="G61" s="21" t="b">
        <f>IFERROR(__xludf.DUMMYFUNCTION("LET(
 acceptedID,
 REGEXREPLACE(A61,""\.finished$"","".accepted""),
 XLOOKUP(
  acceptedID,
  tblTargetStatus[TargetID],
  tblTargetStatus[PlayerCompleted],
  FALSE
 )
)"),FALSE)</f>
        <v>0</v>
      </c>
      <c r="H61" s="21" t="str">
        <f t="array" ref="H61">LET(
 name,
 _xlfn.XLOOKUP(
  A61,
  tblTargetStatus[TargetID],
  tblTargetStatus[DisplayName],
  ""
 ),
 SUBSTITUTE(
  SUBSTITUTE(name," Accepted",""),
  " Finished",""
 )
)</f>
        <v>Ahead of Time Chapter 1</v>
      </c>
      <c r="I61" s="6"/>
      <c r="J61" s="6"/>
      <c r="K61" s="6"/>
      <c r="L61" s="6"/>
      <c r="M61" s="6"/>
      <c r="N61" s="6"/>
      <c r="O61" s="6"/>
      <c r="P61" s="6"/>
      <c r="Q61" s="6"/>
      <c r="R61" s="28"/>
      <c r="S61" s="28"/>
      <c r="T61" s="28"/>
      <c r="U61" s="28"/>
      <c r="V61" s="28"/>
      <c r="W61" s="28"/>
      <c r="X61" s="28"/>
      <c r="Y61" s="6"/>
      <c r="Z61" s="6"/>
      <c r="AA61" s="28"/>
      <c r="AB61" s="28"/>
    </row>
    <row r="62" ht="14.25" customHeight="1">
      <c r="A62" s="26" t="s">
        <v>924</v>
      </c>
      <c r="B62" s="21"/>
      <c r="C62" s="21" t="str">
        <f t="array" ref="C62">_xlfn.XLOOKUP(
 E62,
 tblTargetStatus[TargetID],
 tblTargetStatus[DisplayName],
 ""
)</f>
        <v>Deliver Yuba to  4C </v>
      </c>
      <c r="D62" s="21" t="str">
        <f t="array" ref="D62">_xlfn.XLOOKUP(
 E62,
 tblTargets[TargetID],
 tblTargets[TargetType],
 ""
)</f>
        <v>STATE</v>
      </c>
      <c r="E62" s="26" t="s">
        <v>1500</v>
      </c>
      <c r="F62" s="21" t="b">
        <f t="array" ref="F62">NOT(
 _xlfn.XLOOKUP(
  E62,
  tblTargetStatus[TargetID],
  tblTargetStatus[PlayerCompleted],
  FALSE
 )
)</f>
        <v>1</v>
      </c>
      <c r="G62" s="21" t="b">
        <f>IFERROR(__xludf.DUMMYFUNCTION("LET(
 acceptedID,
 REGEXREPLACE(A62,""\.finished$"","".accepted""),
 XLOOKUP(
  acceptedID,
  tblTargetStatus[TargetID],
  tblTargetStatus[PlayerCompleted],
  FALSE
 )
)"),FALSE)</f>
        <v>0</v>
      </c>
      <c r="H62" s="21" t="str">
        <f t="array" ref="H62">LET(
 name,
 _xlfn.XLOOKUP(
  A62,
  tblTargetStatus[TargetID],
  tblTargetStatus[DisplayName],
  ""
 ),
 SUBSTITUTE(
  SUBSTITUTE(name," Accepted",""),
  " Finished",""
 )
)</f>
        <v>Ahead of Time Chapter 1</v>
      </c>
      <c r="I62" s="6"/>
      <c r="J62" s="6"/>
      <c r="K62" s="6"/>
      <c r="L62" s="6"/>
      <c r="M62" s="6"/>
      <c r="N62" s="6"/>
      <c r="O62" s="6"/>
      <c r="P62" s="6"/>
      <c r="Q62" s="6"/>
      <c r="R62" s="28"/>
      <c r="S62" s="28"/>
      <c r="T62" s="28"/>
      <c r="U62" s="28"/>
      <c r="V62" s="28"/>
      <c r="W62" s="28"/>
      <c r="X62" s="28"/>
      <c r="Y62" s="6"/>
      <c r="Z62" s="6"/>
      <c r="AA62" s="28"/>
      <c r="AB62" s="28"/>
    </row>
    <row r="63" ht="14.25" customHeight="1">
      <c r="A63" s="26" t="s">
        <v>937</v>
      </c>
      <c r="B63" s="21"/>
      <c r="C63" s="21" t="str">
        <f t="array" ref="C63">_xlfn.XLOOKUP(
 E63,
 tblTargetStatus[TargetID],
 tblTargetStatus[DisplayName],
 ""
)</f>
        <v>Tunnel</v>
      </c>
      <c r="D63" s="21" t="str">
        <f t="array" ref="D63">_xlfn.XLOOKUP(
 E63,
 tblTargets[TargetID],
 tblTargets[TargetType],
 ""
)</f>
        <v>CITADEL</v>
      </c>
      <c r="E63" s="21" t="s">
        <v>525</v>
      </c>
      <c r="F63" s="21" t="b">
        <f t="array" ref="F63">NOT(
 _xlfn.XLOOKUP(
  E63,
  tblTargetStatus[TargetID],
  tblTargetStatus[PlayerCompleted],
  FALSE
 )
)</f>
        <v>1</v>
      </c>
      <c r="G63" s="21" t="b">
        <f>IFERROR(__xludf.DUMMYFUNCTION("LET(
 acceptedID,
 REGEXREPLACE(A63,""\.finished$"","".accepted""),
 XLOOKUP(
  acceptedID,
  tblTargetStatus[TargetID],
  tblTargetStatus[PlayerCompleted],
  FALSE
 )
)"),FALSE)</f>
        <v>0</v>
      </c>
      <c r="H63" s="21" t="str">
        <f t="array" ref="H63">LET(
 name,
 _xlfn.XLOOKUP(
  A63,
  tblTargetStatus[TargetID],
  tblTargetStatus[DisplayName],
  ""
 ),
 SUBSTITUTE(
  SUBSTITUTE(name," Accepted",""),
  " Finished",""
 )
)</f>
        <v>Ahead of Time Chapter 2</v>
      </c>
      <c r="I63" s="6"/>
      <c r="J63" s="6"/>
      <c r="K63" s="6"/>
      <c r="L63" s="6"/>
      <c r="M63" s="6"/>
      <c r="N63" s="6"/>
      <c r="O63" s="6"/>
      <c r="P63" s="6"/>
      <c r="Q63" s="6"/>
      <c r="R63" s="28"/>
      <c r="S63" s="28"/>
      <c r="T63" s="28"/>
      <c r="U63" s="28"/>
      <c r="V63" s="28"/>
      <c r="W63" s="28"/>
      <c r="X63" s="28"/>
      <c r="Y63" s="6"/>
      <c r="Z63" s="6"/>
      <c r="AA63" s="28"/>
      <c r="AB63" s="28"/>
    </row>
    <row r="64" ht="14.25" customHeight="1">
      <c r="A64" s="26" t="s">
        <v>945</v>
      </c>
      <c r="B64" s="21"/>
      <c r="C64" s="21" t="str">
        <f t="array" ref="C64">_xlfn.XLOOKUP(
 E64,
 tblTargetStatus[TargetID],
 tblTargetStatus[DisplayName],
 ""
)</f>
        <v>Meet Dark Lady in 6D</v>
      </c>
      <c r="D64" s="21" t="str">
        <f t="array" ref="D64">_xlfn.XLOOKUP(
 E64,
 tblTargets[TargetID],
 tblTargets[TargetType],
 ""
)</f>
        <v>STATE</v>
      </c>
      <c r="E64" s="21" t="s">
        <v>1525</v>
      </c>
      <c r="F64" s="21" t="b">
        <f t="array" ref="F64">NOT(
 _xlfn.XLOOKUP(
  E64,
  tblTargetStatus[TargetID],
  tblTargetStatus[PlayerCompleted],
  FALSE
 )
)</f>
        <v>1</v>
      </c>
      <c r="G64" s="21" t="b">
        <f>IFERROR(__xludf.DUMMYFUNCTION("LET(
 acceptedID,
 REGEXREPLACE(A64,""\.finished$"","".accepted""),
 XLOOKUP(
  acceptedID,
  tblTargetStatus[TargetID],
  tblTargetStatus[PlayerCompleted],
  FALSE
 )
)"),FALSE)</f>
        <v>0</v>
      </c>
      <c r="H64" s="21" t="str">
        <f t="array" ref="H64">LET(
 name,
 _xlfn.XLOOKUP(
  A64,
  tblTargetStatus[TargetID],
  tblTargetStatus[DisplayName],
  ""
 ),
 SUBSTITUTE(
  SUBSTITUTE(name," Accepted",""),
  " Finished",""
 )
)</f>
        <v>Ahead of Time Chapter 3</v>
      </c>
      <c r="I64" s="6"/>
      <c r="J64" s="6"/>
      <c r="K64" s="6"/>
      <c r="L64" s="6"/>
      <c r="M64" s="6"/>
      <c r="N64" s="6"/>
      <c r="O64" s="6"/>
      <c r="P64" s="6"/>
      <c r="Q64" s="6"/>
      <c r="R64" s="28"/>
      <c r="S64" s="28"/>
      <c r="T64" s="28"/>
      <c r="U64" s="28"/>
      <c r="V64" s="28"/>
      <c r="W64" s="28"/>
      <c r="X64" s="28"/>
      <c r="Y64" s="6"/>
      <c r="Z64" s="6"/>
      <c r="AA64" s="28"/>
      <c r="AB64" s="28"/>
    </row>
    <row r="65" ht="14.25" customHeight="1">
      <c r="A65" s="26" t="s">
        <v>945</v>
      </c>
      <c r="B65" s="21"/>
      <c r="C65" s="21" t="str">
        <f t="array" ref="C65">_xlfn.XLOOKUP(
 E65,
 tblTargetStatus[TargetID],
 tblTargetStatus[DisplayName],
 ""
)</f>
        <v>Meet Alchemist in 6D</v>
      </c>
      <c r="D65" s="21" t="str">
        <f t="array" ref="D65">_xlfn.XLOOKUP(
 E65,
 tblTargets[TargetID],
 tblTargets[TargetType],
 ""
)</f>
        <v>STATE</v>
      </c>
      <c r="E65" s="21" t="s">
        <v>1514</v>
      </c>
      <c r="F65" s="21" t="b">
        <f t="array" ref="F65">NOT(
 _xlfn.XLOOKUP(
  E65,
  tblTargetStatus[TargetID],
  tblTargetStatus[PlayerCompleted],
  FALSE
 )
)</f>
        <v>1</v>
      </c>
      <c r="G65" s="21" t="b">
        <f>IFERROR(__xludf.DUMMYFUNCTION("LET(
 acceptedID,
 REGEXREPLACE(A65,""\.finished$"","".accepted""),
 XLOOKUP(
  acceptedID,
  tblTargetStatus[TargetID],
  tblTargetStatus[PlayerCompleted],
  FALSE
 )
)"),FALSE)</f>
        <v>0</v>
      </c>
      <c r="H65" s="21" t="str">
        <f t="array" ref="H65">LET(
 name,
 _xlfn.XLOOKUP(
  A65,
  tblTargetStatus[TargetID],
  tblTargetStatus[DisplayName],
  ""
 ),
 SUBSTITUTE(
  SUBSTITUTE(name," Accepted",""),
  " Finished",""
 )
)</f>
        <v>Ahead of Time Chapter 3</v>
      </c>
      <c r="I65" s="6"/>
      <c r="J65" s="6"/>
      <c r="K65" s="6"/>
      <c r="L65" s="6"/>
      <c r="M65" s="6"/>
      <c r="N65" s="6"/>
      <c r="O65" s="6"/>
      <c r="P65" s="6"/>
      <c r="Q65" s="6"/>
      <c r="R65" s="28"/>
      <c r="S65" s="28"/>
      <c r="T65" s="28"/>
      <c r="U65" s="28"/>
      <c r="V65" s="28"/>
      <c r="W65" s="28"/>
      <c r="X65" s="28"/>
      <c r="Y65" s="6"/>
      <c r="Z65" s="6"/>
      <c r="AA65" s="28"/>
      <c r="AB65" s="28"/>
    </row>
    <row r="66" ht="14.25" customHeight="1">
      <c r="A66" s="26" t="s">
        <v>953</v>
      </c>
      <c r="B66" s="21"/>
      <c r="C66" s="21" t="str">
        <f t="array" ref="C66">_xlfn.XLOOKUP(
 E66,
 tblTargetStatus[TargetID],
 tblTargetStatus[DisplayName],
 ""
)</f>
        <v>Send Train to Sapporo</v>
      </c>
      <c r="D66" s="21" t="str">
        <f t="array" ref="D66">_xlfn.XLOOKUP(
 E66,
 tblTargets[TargetID],
 tblTargets[TargetType],
 ""
)</f>
        <v>STATE</v>
      </c>
      <c r="E66" s="21" t="s">
        <v>1356</v>
      </c>
      <c r="F66" s="21" t="b">
        <f t="array" ref="F66">NOT(
 _xlfn.XLOOKUP(
  E66,
  tblTargetStatus[TargetID],
  tblTargetStatus[PlayerCompleted],
  FALSE
 )
)</f>
        <v>1</v>
      </c>
      <c r="G66" s="21" t="b">
        <f>IFERROR(__xludf.DUMMYFUNCTION("LET(
 acceptedID,
 REGEXREPLACE(A66,""\.finished$"","".accepted""),
 XLOOKUP(
  acceptedID,
  tblTargetStatus[TargetID],
  tblTargetStatus[PlayerCompleted],
  FALSE
 )
)"),FALSE)</f>
        <v>0</v>
      </c>
      <c r="H66" s="21" t="str">
        <f t="array" ref="H66">LET(
 name,
 _xlfn.XLOOKUP(
  A66,
  tblTargetStatus[TargetID],
  tblTargetStatus[DisplayName],
  ""
 ),
 SUBSTITUTE(
  SUBSTITUTE(name," Accepted",""),
  " Finished",""
 )
)</f>
        <v>Ahead of Time Chapter 4</v>
      </c>
      <c r="I66" s="6"/>
      <c r="J66" s="6"/>
      <c r="K66" s="6"/>
      <c r="L66" s="6"/>
      <c r="M66" s="6"/>
      <c r="N66" s="6"/>
      <c r="O66" s="6"/>
      <c r="P66" s="6"/>
      <c r="Q66" s="6"/>
      <c r="R66" s="28"/>
      <c r="S66" s="28"/>
      <c r="T66" s="28"/>
      <c r="U66" s="28"/>
      <c r="V66" s="28"/>
      <c r="W66" s="28"/>
      <c r="X66" s="28"/>
      <c r="Y66" s="6"/>
      <c r="Z66" s="6"/>
      <c r="AA66" s="28"/>
      <c r="AB66" s="28"/>
    </row>
    <row r="67" ht="14.25" customHeight="1">
      <c r="A67" s="26" t="s">
        <v>963</v>
      </c>
      <c r="B67" s="21"/>
      <c r="C67" s="21" t="str">
        <f t="array" ref="C67">_xlfn.XLOOKUP(
 E67,
 tblTargetStatus[TargetID],
 tblTargetStatus[DisplayName],
 ""
)</f>
        <v>Laboratory: Data Center Lv 1</v>
      </c>
      <c r="D67" s="21" t="str">
        <f t="array" ref="D67">_xlfn.XLOOKUP(
 E67,
 tblTargets[TargetID],
 tblTargets[TargetType],
 ""
)</f>
        <v>BUILDING</v>
      </c>
      <c r="E67" s="21" t="s">
        <v>333</v>
      </c>
      <c r="F67" s="21" t="b">
        <f t="array" ref="F67">NOT(
 _xlfn.XLOOKUP(
  E67,
  tblTargetStatus[TargetID],
  tblTargetStatus[PlayerCompleted],
  FALSE
 )
)</f>
        <v>1</v>
      </c>
      <c r="G67" s="21" t="b">
        <f>IFERROR(__xludf.DUMMYFUNCTION("LET(
 acceptedID,
 REGEXREPLACE(A67,""\.finished$"","".accepted""),
 XLOOKUP(
  acceptedID,
  tblTargetStatus[TargetID],
  tblTargetStatus[PlayerCompleted],
  FALSE
 )
)"),FALSE)</f>
        <v>0</v>
      </c>
      <c r="H67" s="21" t="str">
        <f t="array" ref="H67">LET(
 name,
 _xlfn.XLOOKUP(
  A67,
  tblTargetStatus[TargetID],
  tblTargetStatus[DisplayName],
  ""
 ),
 SUBSTITUTE(
  SUBSTITUTE(name," Accepted",""),
  " Finished",""
 )
)</f>
        <v>Ahead of Time Chapter 5</v>
      </c>
      <c r="I67" s="6"/>
      <c r="J67" s="6"/>
      <c r="K67" s="6"/>
      <c r="L67" s="6"/>
      <c r="M67" s="6"/>
      <c r="N67" s="6"/>
      <c r="O67" s="6"/>
      <c r="P67" s="6"/>
      <c r="Q67" s="6"/>
      <c r="R67" s="28"/>
      <c r="S67" s="28"/>
      <c r="T67" s="28"/>
      <c r="U67" s="28"/>
      <c r="V67" s="28"/>
      <c r="W67" s="28"/>
      <c r="X67" s="28"/>
      <c r="Y67" s="6"/>
      <c r="Z67" s="6"/>
      <c r="AA67" s="28"/>
      <c r="AB67" s="28"/>
    </row>
    <row r="68" ht="14.25" customHeight="1">
      <c r="A68" s="26" t="s">
        <v>963</v>
      </c>
      <c r="B68" s="21"/>
      <c r="C68" s="21" t="str">
        <f t="array" ref="C68">_xlfn.XLOOKUP(
 E68,
 tblTargetStatus[TargetID],
 tblTargetStatus[DisplayName],
 ""
)</f>
        <v>Laboratory - Digitization</v>
      </c>
      <c r="D68" s="21" t="str">
        <f t="array" ref="D68">_xlfn.XLOOKUP(
 E68,
 tblTargets[TargetID],
 tblTargets[TargetType],
 ""
)</f>
        <v>TECH</v>
      </c>
      <c r="E68" s="21" t="s">
        <v>1798</v>
      </c>
      <c r="F68" s="21" t="b">
        <f t="array" ref="F68">NOT(
 _xlfn.XLOOKUP(
  E68,
  tblTargetStatus[TargetID],
  tblTargetStatus[PlayerCompleted],
  FALSE
 )
)</f>
        <v>1</v>
      </c>
      <c r="G68" s="21" t="b">
        <f>IFERROR(__xludf.DUMMYFUNCTION("LET(
 acceptedID,
 REGEXREPLACE(A68,""\.finished$"","".accepted""),
 XLOOKUP(
  acceptedID,
  tblTargetStatus[TargetID],
  tblTargetStatus[PlayerCompleted],
  FALSE
 )
)"),FALSE)</f>
        <v>0</v>
      </c>
      <c r="H68" s="21" t="str">
        <f t="array" ref="H68">LET(
 name,
 _xlfn.XLOOKUP(
  A68,
  tblTargetStatus[TargetID],
  tblTargetStatus[DisplayName],
  ""
 ),
 SUBSTITUTE(
  SUBSTITUTE(name," Accepted",""),
  " Finished",""
 )
)</f>
        <v>Ahead of Time Chapter 5</v>
      </c>
      <c r="I68" s="6"/>
      <c r="J68" s="6"/>
      <c r="K68" s="6"/>
      <c r="L68" s="6"/>
      <c r="M68" s="6"/>
      <c r="N68" s="6"/>
      <c r="O68" s="6"/>
      <c r="P68" s="6"/>
      <c r="Q68" s="6"/>
      <c r="R68" s="28"/>
      <c r="S68" s="28"/>
      <c r="T68" s="28"/>
      <c r="U68" s="28"/>
      <c r="V68" s="28"/>
      <c r="W68" s="28"/>
      <c r="X68" s="28"/>
      <c r="Y68" s="6"/>
      <c r="Z68" s="6"/>
      <c r="AA68" s="28"/>
      <c r="AB68" s="28"/>
    </row>
    <row r="69" ht="14.25" customHeight="1">
      <c r="A69" s="26" t="s">
        <v>963</v>
      </c>
      <c r="B69" s="21"/>
      <c r="C69" s="21" t="str">
        <f t="array" ref="C69">_xlfn.XLOOKUP(
 E69,
 tblTargetStatus[TargetID],
 tblTargetStatus[DisplayName],
 ""
)</f>
        <v>Laboratory - Experiments</v>
      </c>
      <c r="D69" s="21" t="str">
        <f t="array" ref="D69">_xlfn.XLOOKUP(
 E69,
 tblTargets[TargetID],
 tblTargets[TargetType],
 ""
)</f>
        <v>TECH</v>
      </c>
      <c r="E69" s="21" t="s">
        <v>1800</v>
      </c>
      <c r="F69" s="21" t="b">
        <f t="array" ref="F69">NOT(
 _xlfn.XLOOKUP(
  E69,
  tblTargetStatus[TargetID],
  tblTargetStatus[PlayerCompleted],
  FALSE
 )
)</f>
        <v>1</v>
      </c>
      <c r="G69" s="21" t="b">
        <f>IFERROR(__xludf.DUMMYFUNCTION("LET(
 acceptedID,
 REGEXREPLACE(A69,""\.finished$"","".accepted""),
 XLOOKUP(
  acceptedID,
  tblTargetStatus[TargetID],
  tblTargetStatus[PlayerCompleted],
  FALSE
 )
)"),FALSE)</f>
        <v>0</v>
      </c>
      <c r="H69" s="21" t="str">
        <f t="array" ref="H69">LET(
 name,
 _xlfn.XLOOKUP(
  A69,
  tblTargetStatus[TargetID],
  tblTargetStatus[DisplayName],
  ""
 ),
 SUBSTITUTE(
  SUBSTITUTE(name," Accepted",""),
  " Finished",""
 )
)</f>
        <v>Ahead of Time Chapter 5</v>
      </c>
      <c r="I69" s="6"/>
      <c r="J69" s="6"/>
      <c r="K69" s="6"/>
      <c r="L69" s="6"/>
      <c r="M69" s="6"/>
      <c r="N69" s="6"/>
      <c r="O69" s="6"/>
      <c r="P69" s="6"/>
      <c r="Q69" s="6"/>
      <c r="R69" s="28"/>
      <c r="S69" s="28"/>
      <c r="T69" s="28"/>
      <c r="U69" s="28"/>
      <c r="V69" s="28"/>
      <c r="W69" s="28"/>
      <c r="X69" s="28"/>
      <c r="Y69" s="6"/>
      <c r="Z69" s="6"/>
      <c r="AA69" s="28"/>
      <c r="AB69" s="28"/>
    </row>
    <row r="70" ht="14.25" customHeight="1">
      <c r="A70" s="26" t="s">
        <v>963</v>
      </c>
      <c r="B70" s="21"/>
      <c r="C70" s="21" t="str">
        <f t="array" ref="C70">_xlfn.XLOOKUP(
 E70,
 tblTargetStatus[TargetID],
 tblTargetStatus[DisplayName],
 ""
)</f>
        <v>Laboratory - Research And Development</v>
      </c>
      <c r="D70" s="21" t="str">
        <f t="array" ref="D70">_xlfn.XLOOKUP(
 E70,
 tblTargets[TargetID],
 tblTargets[TargetType],
 ""
)</f>
        <v>TECH</v>
      </c>
      <c r="E70" s="21" t="s">
        <v>1802</v>
      </c>
      <c r="F70" s="21" t="b">
        <f t="array" ref="F70">NOT(
 _xlfn.XLOOKUP(
  E70,
  tblTargetStatus[TargetID],
  tblTargetStatus[PlayerCompleted],
  FALSE
 )
)</f>
        <v>1</v>
      </c>
      <c r="G70" s="21" t="b">
        <f>IFERROR(__xludf.DUMMYFUNCTION("LET(
 acceptedID,
 REGEXREPLACE(A70,""\.finished$"","".accepted""),
 XLOOKUP(
  acceptedID,
  tblTargetStatus[TargetID],
  tblTargetStatus[PlayerCompleted],
  FALSE
 )
)"),FALSE)</f>
        <v>0</v>
      </c>
      <c r="H70" s="21" t="str">
        <f t="array" ref="H70">LET(
 name,
 _xlfn.XLOOKUP(
  A70,
  tblTargetStatus[TargetID],
  tblTargetStatus[DisplayName],
  ""
 ),
 SUBSTITUTE(
  SUBSTITUTE(name," Accepted",""),
  " Finished",""
 )
)</f>
        <v>Ahead of Time Chapter 5</v>
      </c>
      <c r="I70" s="6"/>
      <c r="J70" s="6"/>
      <c r="K70" s="6"/>
      <c r="L70" s="6"/>
      <c r="M70" s="6"/>
      <c r="N70" s="6"/>
      <c r="O70" s="6"/>
      <c r="P70" s="6"/>
      <c r="Q70" s="6"/>
      <c r="R70" s="28"/>
      <c r="S70" s="28"/>
      <c r="T70" s="28"/>
      <c r="U70" s="6"/>
      <c r="V70" s="28"/>
      <c r="W70" s="28"/>
      <c r="X70" s="6"/>
      <c r="Y70" s="6"/>
      <c r="Z70" s="6"/>
      <c r="AA70" s="28"/>
      <c r="AB70" s="28"/>
    </row>
    <row r="71" ht="14.25" customHeight="1">
      <c r="A71" s="26" t="s">
        <v>1305</v>
      </c>
      <c r="B71" s="21"/>
      <c r="C71" s="21" t="str">
        <f t="array" ref="C71">_xlfn.XLOOKUP(
 E71,
 tblTargetStatus[TargetID],
 tblTargetStatus[DisplayName],
 ""
)</f>
        <v>Find Goat in 6B</v>
      </c>
      <c r="D71" s="21" t="str">
        <f t="array" ref="D71">_xlfn.XLOOKUP(
 E71,
 tblTargets[TargetID],
 tblTargets[TargetType],
 ""
)</f>
        <v>STATE</v>
      </c>
      <c r="E71" s="21" t="s">
        <v>1509</v>
      </c>
      <c r="F71" s="21" t="b">
        <f t="array" ref="F71">NOT(
 _xlfn.XLOOKUP(
  E71,
  tblTargetStatus[TargetID],
  tblTargetStatus[PlayerCompleted],
  FALSE
 )
)</f>
        <v>1</v>
      </c>
      <c r="G71" s="21" t="b">
        <f>IFERROR(__xludf.DUMMYFUNCTION("LET(
 acceptedID,
 REGEXREPLACE(A71,""\.finished$"","".accepted""),
 XLOOKUP(
  acceptedID,
  tblTargetStatus[TargetID],
  tblTargetStatus[PlayerCompleted],
  FALSE
 )
)"),FALSE)</f>
        <v>0</v>
      </c>
      <c r="H71" s="21" t="str">
        <f t="array" ref="H71">LET(
 name,
 _xlfn.XLOOKUP(
  A71,
  tblTargetStatus[TargetID],
  tblTargetStatus[DisplayName],
  ""
 ),
 SUBSTITUTE(
  SUBSTITUTE(name," Accepted",""),
  " Finished",""
 )
)</f>
        <v>The Ordinary Days of an Adventurer Chapter 1</v>
      </c>
      <c r="I71" s="6"/>
      <c r="J71" s="6"/>
      <c r="K71" s="6"/>
      <c r="L71" s="6"/>
      <c r="M71" s="6"/>
      <c r="N71" s="6"/>
      <c r="O71" s="6"/>
      <c r="P71" s="6"/>
      <c r="Q71" s="6"/>
      <c r="R71" s="28"/>
      <c r="S71" s="28"/>
      <c r="T71" s="28"/>
      <c r="U71" s="6"/>
      <c r="V71" s="28"/>
      <c r="W71" s="28"/>
      <c r="X71" s="6"/>
      <c r="Y71" s="6"/>
      <c r="Z71" s="6"/>
      <c r="AA71" s="28"/>
      <c r="AB71" s="28"/>
    </row>
    <row r="72" ht="14.25" customHeight="1">
      <c r="A72" s="21" t="s">
        <v>1314</v>
      </c>
      <c r="B72" s="21"/>
      <c r="C72" s="21" t="str">
        <f t="array" ref="C72">_xlfn.XLOOKUP(
 E72,
 tblTargetStatus[TargetID],
 tblTargetStatus[DisplayName],
 ""
)</f>
        <v>Obtain the Red Diamond in 6A</v>
      </c>
      <c r="D72" s="21" t="str">
        <f t="array" ref="D72">_xlfn.XLOOKUP(
 E72,
 tblTargets[TargetID],
 tblTargets[TargetType],
 ""
)</f>
        <v>STATE</v>
      </c>
      <c r="E72" s="21" t="s">
        <v>1616</v>
      </c>
      <c r="F72" s="21" t="b">
        <f t="array" ref="F72">NOT(
 _xlfn.XLOOKUP(
  E72,
  tblTargetStatus[TargetID],
  tblTargetStatus[PlayerCompleted],
  FALSE
 )
)</f>
        <v>1</v>
      </c>
      <c r="G72" s="21" t="b">
        <f>IFERROR(__xludf.DUMMYFUNCTION("LET(
 acceptedID,
 REGEXREPLACE(A72,""\.finished$"","".accepted""),
 XLOOKUP(
  acceptedID,
  tblTargetStatus[TargetID],
  tblTargetStatus[PlayerCompleted],
  FALSE
 )
)"),FALSE)</f>
        <v>0</v>
      </c>
      <c r="H72" s="21" t="str">
        <f t="array" ref="H72">LET(
 name,
 _xlfn.XLOOKUP(
  A72,
  tblTargetStatus[TargetID],
  tblTargetStatus[DisplayName],
  ""
 ),
 SUBSTITUTE(
  SUBSTITUTE(name," Accepted",""),
  " Finished",""
 )
)</f>
        <v>The Ordinary Days of an Adventurer Chapter 3</v>
      </c>
      <c r="I72" s="6"/>
      <c r="J72" s="6"/>
      <c r="K72" s="6"/>
      <c r="L72" s="6"/>
      <c r="M72" s="6"/>
      <c r="N72" s="6"/>
      <c r="O72" s="6"/>
      <c r="P72" s="6"/>
      <c r="Q72" s="6"/>
      <c r="R72" s="28"/>
      <c r="S72" s="28"/>
      <c r="T72" s="28"/>
      <c r="U72" s="6"/>
      <c r="V72" s="28"/>
      <c r="W72" s="28"/>
      <c r="X72" s="6"/>
      <c r="Y72" s="6"/>
      <c r="Z72" s="6"/>
      <c r="AA72" s="28"/>
      <c r="AB72" s="28"/>
    </row>
    <row r="73" ht="14.25" customHeight="1">
      <c r="A73" s="21" t="s">
        <v>1314</v>
      </c>
      <c r="B73" s="21"/>
      <c r="C73" s="21" t="str">
        <f t="array" ref="C73">_xlfn.XLOOKUP(
 E73,
 tblTargetStatus[TargetID],
 tblTargetStatus[DisplayName],
 ""
)</f>
        <v>Obtain the Red Diamond in 6B</v>
      </c>
      <c r="D73" s="21" t="str">
        <f t="array" ref="D73">_xlfn.XLOOKUP(
 E73,
 tblTargets[TargetID],
 tblTargets[TargetType],
 ""
)</f>
        <v>STATE</v>
      </c>
      <c r="E73" s="21" t="s">
        <v>1618</v>
      </c>
      <c r="F73" s="21" t="b">
        <f t="array" ref="F73">NOT(
 _xlfn.XLOOKUP(
  E73,
  tblTargetStatus[TargetID],
  tblTargetStatus[PlayerCompleted],
  FALSE
 )
)</f>
        <v>1</v>
      </c>
      <c r="G73" s="21" t="b">
        <f>IFERROR(__xludf.DUMMYFUNCTION("LET(
 acceptedID,
 REGEXREPLACE(A73,""\.finished$"","".accepted""),
 XLOOKUP(
  acceptedID,
  tblTargetStatus[TargetID],
  tblTargetStatus[PlayerCompleted],
  FALSE
 )
)"),FALSE)</f>
        <v>0</v>
      </c>
      <c r="H73" s="21" t="str">
        <f t="array" ref="H73">LET(
 name,
 _xlfn.XLOOKUP(
  A73,
  tblTargetStatus[TargetID],
  tblTargetStatus[DisplayName],
  ""
 ),
 SUBSTITUTE(
  SUBSTITUTE(name," Accepted",""),
  " Finished",""
 )
)</f>
        <v>The Ordinary Days of an Adventurer Chapter 3</v>
      </c>
      <c r="I73" s="6"/>
      <c r="J73" s="6"/>
      <c r="K73" s="6"/>
      <c r="L73" s="6"/>
      <c r="M73" s="6"/>
      <c r="N73" s="6"/>
      <c r="O73" s="6"/>
      <c r="P73" s="6"/>
      <c r="Q73" s="6"/>
      <c r="R73" s="28"/>
      <c r="S73" s="28"/>
      <c r="T73" s="28"/>
      <c r="U73" s="28"/>
      <c r="V73" s="28"/>
      <c r="W73" s="28"/>
      <c r="X73" s="28"/>
      <c r="Y73" s="6"/>
      <c r="Z73" s="6"/>
      <c r="AA73" s="28"/>
      <c r="AB73" s="28"/>
    </row>
    <row r="74" ht="14.25" customHeight="1">
      <c r="A74" s="21" t="s">
        <v>1314</v>
      </c>
      <c r="B74" s="21"/>
      <c r="C74" s="21" t="str">
        <f t="array" ref="C74">_xlfn.XLOOKUP(
 E74,
 tblTargetStatus[TargetID],
 tblTargetStatus[DisplayName],
 ""
)</f>
        <v>Obtain the Red Diamond in 6C</v>
      </c>
      <c r="D74" s="21" t="str">
        <f t="array" ref="D74">_xlfn.XLOOKUP(
 E74,
 tblTargets[TargetID],
 tblTargets[TargetType],
 ""
)</f>
        <v>STATE</v>
      </c>
      <c r="E74" s="21" t="s">
        <v>1621</v>
      </c>
      <c r="F74" s="21" t="b">
        <f t="array" ref="F74">NOT(
 _xlfn.XLOOKUP(
  E74,
  tblTargetStatus[TargetID],
  tblTargetStatus[PlayerCompleted],
  FALSE
 )
)</f>
        <v>1</v>
      </c>
      <c r="G74" s="21" t="b">
        <f>IFERROR(__xludf.DUMMYFUNCTION("LET(
 acceptedID,
 REGEXREPLACE(A74,""\.finished$"","".accepted""),
 XLOOKUP(
  acceptedID,
  tblTargetStatus[TargetID],
  tblTargetStatus[PlayerCompleted],
  FALSE
 )
)"),FALSE)</f>
        <v>0</v>
      </c>
      <c r="H74" s="21" t="str">
        <f t="array" ref="H74">LET(
 name,
 _xlfn.XLOOKUP(
  A74,
  tblTargetStatus[TargetID],
  tblTargetStatus[DisplayName],
  ""
 ),
 SUBSTITUTE(
  SUBSTITUTE(name," Accepted",""),
  " Finished",""
 )
)</f>
        <v>The Ordinary Days of an Adventurer Chapter 3</v>
      </c>
      <c r="I74" s="6"/>
      <c r="J74" s="6"/>
      <c r="K74" s="6"/>
      <c r="L74" s="6"/>
      <c r="M74" s="6"/>
      <c r="N74" s="6"/>
      <c r="O74" s="6"/>
      <c r="P74" s="6"/>
      <c r="Q74" s="6"/>
      <c r="R74" s="28"/>
      <c r="S74" s="28"/>
      <c r="T74" s="28"/>
      <c r="U74" s="28"/>
      <c r="V74" s="28"/>
      <c r="W74" s="28"/>
      <c r="X74" s="28"/>
      <c r="Y74" s="6"/>
      <c r="Z74" s="6"/>
      <c r="AA74" s="28"/>
      <c r="AB74" s="28"/>
    </row>
    <row r="75" ht="14.25" customHeight="1">
      <c r="A75" s="21" t="s">
        <v>1318</v>
      </c>
      <c r="B75" s="21"/>
      <c r="C75" s="21" t="str">
        <f t="array" ref="C75">_xlfn.XLOOKUP(
 E75,
 tblTargetStatus[TargetID],
 tblTargetStatus[DisplayName],
 ""
)</f>
        <v>Craft sword 4+</v>
      </c>
      <c r="D75" s="21" t="str">
        <f t="array" ref="D75">_xlfn.XLOOKUP(
 E75,
 tblTargets[TargetID],
 tblTargets[TargetType],
 ""
)</f>
        <v>STATE</v>
      </c>
      <c r="E75" s="21" t="s">
        <v>1646</v>
      </c>
      <c r="F75" s="21" t="b">
        <f t="array" ref="F75">NOT(
 _xlfn.XLOOKUP(
  E75,
  tblTargetStatus[TargetID],
  tblTargetStatus[PlayerCompleted],
  FALSE
 )
)</f>
        <v>1</v>
      </c>
      <c r="G75" s="21" t="b">
        <f>IFERROR(__xludf.DUMMYFUNCTION("LET(
 acceptedID,
 REGEXREPLACE(A75,""\.finished$"","".accepted""),
 XLOOKUP(
  acceptedID,
  tblTargetStatus[TargetID],
  tblTargetStatus[PlayerCompleted],
  FALSE
 )
)"),FALSE)</f>
        <v>0</v>
      </c>
      <c r="H75" s="21" t="str">
        <f t="array" ref="H75">LET(
 name,
 _xlfn.XLOOKUP(
  A75,
  tblTargetStatus[TargetID],
  tblTargetStatus[DisplayName],
  ""
 ),
 SUBSTITUTE(
  SUBSTITUTE(name," Accepted",""),
  " Finished",""
 )
)</f>
        <v>The Ordinary Days of an Adventurer Chapter 4</v>
      </c>
      <c r="I75" s="6"/>
      <c r="J75" s="6"/>
      <c r="K75" s="6"/>
      <c r="L75" s="6"/>
      <c r="M75" s="6"/>
      <c r="N75" s="6"/>
      <c r="O75" s="6"/>
      <c r="P75" s="6"/>
      <c r="Q75" s="6"/>
      <c r="R75" s="28"/>
      <c r="S75" s="28"/>
      <c r="T75" s="28"/>
      <c r="U75" s="28"/>
      <c r="V75" s="28"/>
      <c r="W75" s="28"/>
      <c r="X75" s="28"/>
      <c r="Y75" s="6"/>
      <c r="Z75" s="6"/>
      <c r="AA75" s="28"/>
      <c r="AB75" s="28"/>
    </row>
    <row r="76" ht="14.25" customHeight="1">
      <c r="A76" s="21" t="s">
        <v>1318</v>
      </c>
      <c r="B76" s="21"/>
      <c r="C76" s="21" t="str">
        <f t="array" ref="C76">_xlfn.XLOOKUP(
 E76,
 tblTargetStatus[TargetID],
 tblTargetStatus[DisplayName],
 ""
)</f>
        <v>Craft Shield 4+</v>
      </c>
      <c r="D76" s="21" t="str">
        <f t="array" ref="D76">_xlfn.XLOOKUP(
 E76,
 tblTargets[TargetID],
 tblTargets[TargetType],
 ""
)</f>
        <v>STATE</v>
      </c>
      <c r="E76" s="21" t="s">
        <v>1623</v>
      </c>
      <c r="F76" s="21" t="b">
        <f t="array" ref="F76">NOT(
 _xlfn.XLOOKUP(
  E76,
  tblTargetStatus[TargetID],
  tblTargetStatus[PlayerCompleted],
  FALSE
 )
)</f>
        <v>1</v>
      </c>
      <c r="G76" s="21" t="b">
        <f>IFERROR(__xludf.DUMMYFUNCTION("LET(
 acceptedID,
 REGEXREPLACE(A76,""\.finished$"","".accepted""),
 XLOOKUP(
  acceptedID,
  tblTargetStatus[TargetID],
  tblTargetStatus[PlayerCompleted],
  FALSE
 )
)"),FALSE)</f>
        <v>0</v>
      </c>
      <c r="H76" s="21" t="str">
        <f t="array" ref="H76">LET(
 name,
 _xlfn.XLOOKUP(
  A76,
  tblTargetStatus[TargetID],
  tblTargetStatus[DisplayName],
  ""
 ),
 SUBSTITUTE(
  SUBSTITUTE(name," Accepted",""),
  " Finished",""
 )
)</f>
        <v>The Ordinary Days of an Adventurer Chapter 4</v>
      </c>
      <c r="I76" s="6"/>
      <c r="J76" s="6"/>
      <c r="K76" s="6"/>
      <c r="L76" s="6"/>
      <c r="M76" s="6"/>
      <c r="N76" s="6"/>
      <c r="O76" s="6"/>
      <c r="P76" s="6"/>
      <c r="Q76" s="6"/>
      <c r="R76" s="28"/>
      <c r="S76" s="28"/>
      <c r="T76" s="28"/>
      <c r="U76" s="28"/>
      <c r="V76" s="28"/>
      <c r="W76" s="28"/>
      <c r="X76" s="28"/>
      <c r="Y76" s="6"/>
      <c r="Z76" s="6"/>
      <c r="AA76" s="28"/>
      <c r="AB76" s="28"/>
    </row>
    <row r="77" ht="14.25" customHeight="1">
      <c r="A77" s="21" t="s">
        <v>1318</v>
      </c>
      <c r="B77" s="21"/>
      <c r="C77" s="21" t="str">
        <f t="array" ref="C77">_xlfn.XLOOKUP(
 E77,
 tblTargetStatus[TargetID],
 tblTargetStatus[DisplayName],
 ""
)</f>
        <v>Craft Armor 4+</v>
      </c>
      <c r="D77" s="21" t="str">
        <f t="array" ref="D77">_xlfn.XLOOKUP(
 E77,
 tblTargets[TargetID],
 tblTargets[TargetType],
 ""
)</f>
        <v>STATE</v>
      </c>
      <c r="E77" s="21" t="s">
        <v>1587</v>
      </c>
      <c r="F77" s="21" t="b">
        <f t="array" ref="F77">NOT(
 _xlfn.XLOOKUP(
  E77,
  tblTargetStatus[TargetID],
  tblTargetStatus[PlayerCompleted],
  FALSE
 )
)</f>
        <v>1</v>
      </c>
      <c r="G77" s="21" t="b">
        <f>IFERROR(__xludf.DUMMYFUNCTION("LET(
 acceptedID,
 REGEXREPLACE(A77,""\.finished$"","".accepted""),
 XLOOKUP(
  acceptedID,
  tblTargetStatus[TargetID],
  tblTargetStatus[PlayerCompleted],
  FALSE
 )
)"),FALSE)</f>
        <v>0</v>
      </c>
      <c r="H77" s="21" t="str">
        <f t="array" ref="H77">LET(
 name,
 _xlfn.XLOOKUP(
  A77,
  tblTargetStatus[TargetID],
  tblTargetStatus[DisplayName],
  ""
 ),
 SUBSTITUTE(
  SUBSTITUTE(name," Accepted",""),
  " Finished",""
 )
)</f>
        <v>The Ordinary Days of an Adventurer Chapter 4</v>
      </c>
      <c r="I77" s="6"/>
      <c r="J77" s="6"/>
      <c r="K77" s="6"/>
      <c r="L77" s="6"/>
      <c r="M77" s="6"/>
      <c r="N77" s="6"/>
      <c r="O77" s="6"/>
      <c r="P77" s="6"/>
      <c r="Q77" s="6"/>
      <c r="R77" s="28"/>
      <c r="S77" s="28"/>
      <c r="T77" s="28"/>
      <c r="U77" s="28"/>
      <c r="V77" s="28"/>
      <c r="W77" s="28"/>
      <c r="X77" s="28"/>
      <c r="Y77" s="6"/>
      <c r="Z77" s="6"/>
      <c r="AA77" s="28"/>
      <c r="AB77" s="28"/>
    </row>
    <row r="78" ht="14.25" customHeight="1">
      <c r="A78" s="21" t="s">
        <v>1327</v>
      </c>
      <c r="B78" s="21"/>
      <c r="C78" s="21" t="str">
        <f t="array" ref="C78">_xlfn.XLOOKUP(
 E78,
 tblTargetStatus[TargetID],
 tblTargetStatus[DisplayName],
 ""
)</f>
        <v>Deliver Cheese to Rat in 6B</v>
      </c>
      <c r="D78" s="21" t="str">
        <f t="array" ref="D78">_xlfn.XLOOKUP(
 E78,
 tblTargets[TargetID],
 tblTargets[TargetType],
 ""
)</f>
        <v>STATE</v>
      </c>
      <c r="E78" s="21" t="s">
        <v>1471</v>
      </c>
      <c r="F78" s="21" t="b">
        <f t="array" ref="F78">NOT(
 _xlfn.XLOOKUP(
  E78,
  tblTargetStatus[TargetID],
  tblTargetStatus[PlayerCompleted],
  FALSE
 )
)</f>
        <v>1</v>
      </c>
      <c r="G78" s="21" t="b">
        <f>IFERROR(__xludf.DUMMYFUNCTION("LET(
 acceptedID,
 REGEXREPLACE(A78,""\.finished$"","".accepted""),
 XLOOKUP(
  acceptedID,
  tblTargetStatus[TargetID],
  tblTargetStatus[PlayerCompleted],
  FALSE
 )
)"),FALSE)</f>
        <v>0</v>
      </c>
      <c r="H78" s="21" t="str">
        <f t="array" ref="H78">LET(
 name,
 _xlfn.XLOOKUP(
  A78,
  tblTargetStatus[TargetID],
  tblTargetStatus[DisplayName],
  ""
 ),
 SUBSTITUTE(
  SUBSTITUTE(name," Accepted",""),
  " Finished",""
 )
)</f>
        <v>The Ordinary Days of an Adventurer Chapter 6</v>
      </c>
      <c r="I78" s="6"/>
      <c r="J78" s="6"/>
      <c r="K78" s="6"/>
      <c r="L78" s="6"/>
      <c r="M78" s="6"/>
      <c r="N78" s="6"/>
      <c r="O78" s="6"/>
      <c r="P78" s="6"/>
      <c r="Q78" s="6"/>
      <c r="R78" s="28"/>
      <c r="S78" s="28"/>
      <c r="T78" s="28"/>
      <c r="U78" s="28"/>
      <c r="V78" s="28"/>
      <c r="W78" s="28"/>
      <c r="X78" s="28"/>
      <c r="Y78" s="6"/>
      <c r="Z78" s="6"/>
      <c r="AA78" s="28"/>
      <c r="AB78" s="28"/>
    </row>
    <row r="79" ht="14.25" customHeight="1">
      <c r="A79" s="21" t="s">
        <v>1332</v>
      </c>
      <c r="B79" s="21"/>
      <c r="C79" s="21" t="str">
        <f t="array" ref="C79">_xlfn.XLOOKUP(
 E79,
 tblTargetStatus[TargetID],
 tblTargetStatus[DisplayName],
 ""
)</f>
        <v>Complete Dungeon 6C</v>
      </c>
      <c r="D79" s="21" t="str">
        <f t="array" ref="D79">_xlfn.XLOOKUP(
 E79,
 tblTargets[TargetID],
 tblTargets[TargetType],
 ""
)</f>
        <v>STATE</v>
      </c>
      <c r="E79" s="26" t="s">
        <v>1447</v>
      </c>
      <c r="F79" s="21" t="b">
        <f t="array" ref="F79">NOT(
 _xlfn.XLOOKUP(
  E79,
  tblTargetStatus[TargetID],
  tblTargetStatus[PlayerCompleted],
  FALSE
 )
)</f>
        <v>1</v>
      </c>
      <c r="G79" s="21" t="b">
        <f>IFERROR(__xludf.DUMMYFUNCTION("LET(
 acceptedID,
 REGEXREPLACE(A79,""\.finished$"","".accepted""),
 XLOOKUP(
  acceptedID,
  tblTargetStatus[TargetID],
  tblTargetStatus[PlayerCompleted],
  FALSE
 )
)"),FALSE)</f>
        <v>0</v>
      </c>
      <c r="H79" s="21" t="str">
        <f t="array" ref="H79">LET(
 name,
 _xlfn.XLOOKUP(
  A79,
  tblTargetStatus[TargetID],
  tblTargetStatus[DisplayName],
  ""
 ),
 SUBSTITUTE(
  SUBSTITUTE(name," Accepted",""),
  " Finished",""
 )
)</f>
        <v>The Ordinary Days of an Adventurer Chapter 7</v>
      </c>
      <c r="I79" s="6"/>
      <c r="J79" s="6"/>
      <c r="K79" s="6"/>
      <c r="L79" s="6"/>
      <c r="M79" s="6"/>
      <c r="N79" s="6"/>
      <c r="O79" s="6"/>
      <c r="P79" s="6"/>
      <c r="Q79" s="6"/>
      <c r="R79" s="28"/>
      <c r="S79" s="28"/>
      <c r="T79" s="28"/>
      <c r="U79" s="6"/>
      <c r="V79" s="28"/>
      <c r="W79" s="28"/>
      <c r="X79" s="6"/>
      <c r="Y79" s="6"/>
      <c r="Z79" s="6"/>
      <c r="AA79" s="28"/>
      <c r="AB79" s="28"/>
    </row>
    <row r="80" ht="14.25" customHeight="1">
      <c r="A80" s="21" t="s">
        <v>1336</v>
      </c>
      <c r="B80" s="21"/>
      <c r="C80" s="21" t="str">
        <f t="array" ref="C80">_xlfn.XLOOKUP(
 E80,
 tblTargetStatus[TargetID],
 tblTargetStatus[DisplayName],
 ""
)</f>
        <v>Visit Paris in the Airship</v>
      </c>
      <c r="D80" s="21" t="str">
        <f t="array" ref="D80">_xlfn.XLOOKUP(
 E80,
 tblTargets[TargetID],
 tblTargets[TargetType],
 ""
)</f>
        <v>STATE</v>
      </c>
      <c r="E80" s="91" t="s">
        <v>1692</v>
      </c>
      <c r="F80" s="21" t="b">
        <f t="array" ref="F80">NOT(
 _xlfn.XLOOKUP(
  E80,
  tblTargetStatus[TargetID],
  tblTargetStatus[PlayerCompleted],
  FALSE
 )
)</f>
        <v>1</v>
      </c>
      <c r="G80" s="21" t="b">
        <f>IFERROR(__xludf.DUMMYFUNCTION("LET(
 acceptedID,
 REGEXREPLACE(A80,""\.finished$"","".accepted""),
 XLOOKUP(
  acceptedID,
  tblTargetStatus[TargetID],
  tblTargetStatus[PlayerCompleted],
  FALSE
 )
)"),FALSE)</f>
        <v>0</v>
      </c>
      <c r="H80" s="21" t="str">
        <f t="array" ref="H80">LET(
 name,
 _xlfn.XLOOKUP(
  A80,
  tblTargetStatus[TargetID],
  tblTargetStatus[DisplayName],
  ""
 ),
 SUBSTITUTE(
  SUBSTITUTE(name," Accepted",""),
  " Finished",""
 )
)</f>
        <v>The Ordinary Days of an Adventurer Chapter 8</v>
      </c>
      <c r="I80" s="6"/>
      <c r="J80" s="6"/>
      <c r="K80" s="6"/>
      <c r="L80" s="6"/>
      <c r="M80" s="6"/>
      <c r="N80" s="6"/>
      <c r="O80" s="6"/>
      <c r="P80" s="6"/>
      <c r="Q80" s="6"/>
      <c r="R80" s="28"/>
      <c r="S80" s="28"/>
      <c r="T80" s="28"/>
      <c r="U80" s="28"/>
      <c r="V80" s="28"/>
      <c r="W80" s="28"/>
      <c r="X80" s="28"/>
      <c r="Y80" s="6"/>
      <c r="Z80" s="6"/>
      <c r="AA80" s="28"/>
      <c r="AB80" s="28"/>
    </row>
    <row r="81" ht="14.25" customHeight="1">
      <c r="A81" s="26" t="s">
        <v>1070</v>
      </c>
      <c r="B81" s="21"/>
      <c r="C81" s="21" t="str">
        <f t="array" ref="C81">_xlfn.XLOOKUP(
 E81,
 tblTargetStatus[TargetID],
 tblTargetStatus[DisplayName],
 ""
)</f>
        <v>Find Jade Gate in 2C</v>
      </c>
      <c r="D81" s="21" t="str">
        <f t="array" ref="D81">_xlfn.XLOOKUP(
 E81,
 tblTargets[TargetID],
 tblTargets[TargetType],
 ""
)</f>
        <v>STATE</v>
      </c>
      <c r="E81" s="91" t="s">
        <v>1512</v>
      </c>
      <c r="F81" s="21" t="b">
        <f t="array" ref="F81">NOT(
 _xlfn.XLOOKUP(
  E81,
  tblTargetStatus[TargetID],
  tblTargetStatus[PlayerCompleted],
  FALSE
 )
)</f>
        <v>1</v>
      </c>
      <c r="G81" s="21" t="b">
        <f>IFERROR(__xludf.DUMMYFUNCTION("LET(
 acceptedID,
 REGEXREPLACE(A81,""\.finished$"","".accepted""),
 XLOOKUP(
  acceptedID,
  tblTargetStatus[TargetID],
  tblTargetStatus[PlayerCompleted],
  FALSE
 )
)"),FALSE)</f>
        <v>0</v>
      </c>
      <c r="H81" s="21" t="str">
        <f t="array" ref="H81">LET(
 name,
 _xlfn.XLOOKUP(
  A81,
  tblTargetStatus[TargetID],
  tblTargetStatus[DisplayName],
  ""
 ),
 SUBSTITUTE(
  SUBSTITUTE(name," Accepted",""),
  " Finished",""
 )
)</f>
        <v>Once Upon a Forest Chapter 1</v>
      </c>
      <c r="I81" s="6"/>
      <c r="J81" s="6"/>
      <c r="K81" s="6"/>
      <c r="L81" s="6"/>
      <c r="M81" s="6"/>
      <c r="N81" s="6"/>
      <c r="O81" s="6"/>
      <c r="P81" s="6"/>
      <c r="Q81" s="6"/>
      <c r="R81" s="28"/>
      <c r="S81" s="28"/>
      <c r="T81" s="28"/>
      <c r="U81" s="6"/>
      <c r="V81" s="28"/>
      <c r="W81" s="28"/>
      <c r="X81" s="6"/>
      <c r="Y81" s="6"/>
      <c r="Z81" s="6"/>
      <c r="AA81" s="28"/>
      <c r="AB81" s="28"/>
    </row>
    <row r="82" ht="14.25" customHeight="1">
      <c r="A82" s="26" t="s">
        <v>1134</v>
      </c>
      <c r="B82" s="21"/>
      <c r="C82" s="21" t="str">
        <f t="array" ref="C82">_xlfn.XLOOKUP(
 E82,
 tblTargetStatus[TargetID],
 tblTargetStatus[DisplayName],
 ""
)</f>
        <v>Complete F1 for the first time</v>
      </c>
      <c r="D82" s="21" t="str">
        <f t="array" ref="D82">_xlfn.XLOOKUP(
 E82,
 tblTargets[TargetID],
 tblTargets[TargetType],
 ""
)</f>
        <v>STATE</v>
      </c>
      <c r="E82" s="26" t="s">
        <v>1449</v>
      </c>
      <c r="F82" s="21" t="b">
        <f t="array" ref="F82">NOT(
 _xlfn.XLOOKUP(
  E82,
  tblTargetStatus[TargetID],
  tblTargetStatus[PlayerCompleted],
  FALSE
 )
)</f>
        <v>1</v>
      </c>
      <c r="G82" s="21" t="b">
        <f>IFERROR(__xludf.DUMMYFUNCTION("LET(
 acceptedID,
 REGEXREPLACE(A82,""\.finished$"","".accepted""),
 XLOOKUP(
  acceptedID,
  tblTargetStatus[TargetID],
  tblTargetStatus[PlayerCompleted],
  FALSE
 )
)"),FALSE)</f>
        <v>0</v>
      </c>
      <c r="H82" s="21" t="str">
        <f t="array" ref="H82">LET(
 name,
 _xlfn.XLOOKUP(
  A82,
  tblTargetStatus[TargetID],
  tblTargetStatus[DisplayName],
  ""
 ),
 SUBSTITUTE(
  SUBSTITUTE(name," Accepted",""),
  " Finished",""
 )
)</f>
        <v>Once Upon a Forest Chapter 2</v>
      </c>
      <c r="I82" s="6"/>
      <c r="J82" s="6"/>
      <c r="K82" s="6"/>
      <c r="L82" s="6"/>
      <c r="M82" s="6"/>
      <c r="N82" s="6"/>
      <c r="O82" s="6"/>
      <c r="P82" s="6"/>
      <c r="Q82" s="6"/>
      <c r="R82" s="28"/>
      <c r="S82" s="28"/>
      <c r="T82" s="28"/>
      <c r="U82" s="28"/>
      <c r="V82" s="28"/>
      <c r="W82" s="28"/>
      <c r="X82" s="28"/>
      <c r="Y82" s="6"/>
      <c r="Z82" s="6"/>
      <c r="AA82" s="28"/>
      <c r="AB82" s="28"/>
    </row>
    <row r="83" ht="14.25" customHeight="1">
      <c r="A83" s="26" t="s">
        <v>1144</v>
      </c>
      <c r="B83" s="21"/>
      <c r="C83" s="21" t="str">
        <f t="array" ref="C83">_xlfn.XLOOKUP(
 E83,
 tblTargetStatus[TargetID],
 tblTargetStatus[DisplayName],
 ""
)</f>
        <v>Obtain 8 MALU</v>
      </c>
      <c r="D83" s="21" t="str">
        <f t="array" ref="D83">_xlfn.XLOOKUP(
 E83,
 tblTargets[TargetID],
 tblTargets[TargetType],
 ""
)</f>
        <v>STATE</v>
      </c>
      <c r="E83" s="26" t="s">
        <v>1577</v>
      </c>
      <c r="F83" s="21" t="b">
        <f t="array" ref="F83">NOT(
 _xlfn.XLOOKUP(
  E83,
  tblTargetStatus[TargetID],
  tblTargetStatus[PlayerCompleted],
  FALSE
 )
)</f>
        <v>1</v>
      </c>
      <c r="G83" s="21" t="b">
        <f>IFERROR(__xludf.DUMMYFUNCTION("LET(
 acceptedID,
 REGEXREPLACE(A83,""\.finished$"","".accepted""),
 XLOOKUP(
  acceptedID,
  tblTargetStatus[TargetID],
  tblTargetStatus[PlayerCompleted],
  FALSE
 )
)"),FALSE)</f>
        <v>0</v>
      </c>
      <c r="H83" s="21" t="str">
        <f t="array" ref="H83">LET(
 name,
 _xlfn.XLOOKUP(
  A83,
  tblTargetStatus[TargetID],
  tblTargetStatus[DisplayName],
  ""
 ),
 SUBSTITUTE(
  SUBSTITUTE(name," Accepted",""),
  " Finished",""
 )
)</f>
        <v>Once Upon a Forest Chapter 3</v>
      </c>
      <c r="I83" s="6"/>
      <c r="J83" s="6"/>
      <c r="K83" s="6"/>
      <c r="L83" s="6"/>
      <c r="M83" s="6"/>
      <c r="N83" s="6"/>
      <c r="O83" s="6"/>
      <c r="P83" s="6"/>
      <c r="Q83" s="6"/>
      <c r="R83" s="28"/>
      <c r="S83" s="28"/>
      <c r="T83" s="28"/>
      <c r="U83" s="6"/>
      <c r="V83" s="28"/>
      <c r="W83" s="28"/>
      <c r="X83" s="6"/>
      <c r="Y83" s="6"/>
      <c r="Z83" s="6"/>
      <c r="AA83" s="28"/>
      <c r="AB83" s="28"/>
    </row>
    <row r="84" ht="14.25" customHeight="1">
      <c r="A84" s="26" t="s">
        <v>1155</v>
      </c>
      <c r="B84" s="21"/>
      <c r="C84" s="21" t="str">
        <f t="array" ref="C84">_xlfn.XLOOKUP(
 E84,
 tblTargetStatus[TargetID],
 tblTargetStatus[DisplayName],
 ""
)</f>
        <v>Discover the gate in 3C to F2</v>
      </c>
      <c r="D84" s="21" t="str">
        <f t="array" ref="D84">_xlfn.XLOOKUP(
 E84,
 tblTargets[TargetID],
 tblTargets[TargetType],
 ""
)</f>
        <v>STATE</v>
      </c>
      <c r="E84" s="21" t="s">
        <v>1502</v>
      </c>
      <c r="F84" s="21" t="b">
        <f t="array" ref="F84">NOT(
 _xlfn.XLOOKUP(
  E84,
  tblTargetStatus[TargetID],
  tblTargetStatus[PlayerCompleted],
  FALSE
 )
)</f>
        <v>1</v>
      </c>
      <c r="G84" s="21" t="b">
        <f>IFERROR(__xludf.DUMMYFUNCTION("LET(
 acceptedID,
 REGEXREPLACE(A84,""\.finished$"","".accepted""),
 XLOOKUP(
  acceptedID,
  tblTargetStatus[TargetID],
  tblTargetStatus[PlayerCompleted],
  FALSE
 )
)"),FALSE)</f>
        <v>0</v>
      </c>
      <c r="H84" s="21" t="str">
        <f t="array" ref="H84">LET(
 name,
 _xlfn.XLOOKUP(
  A84,
  tblTargetStatus[TargetID],
  tblTargetStatus[DisplayName],
  ""
 ),
 SUBSTITUTE(
  SUBSTITUTE(name," Accepted",""),
  " Finished",""
 )
)</f>
        <v>Once Upon a Forest Chapter 4</v>
      </c>
      <c r="I84" s="6"/>
      <c r="J84" s="6"/>
      <c r="K84" s="6"/>
      <c r="L84" s="6"/>
      <c r="M84" s="6"/>
      <c r="N84" s="6"/>
      <c r="O84" s="6"/>
      <c r="P84" s="6"/>
      <c r="Q84" s="6"/>
      <c r="R84" s="28"/>
      <c r="S84" s="28"/>
      <c r="T84" s="28"/>
      <c r="U84" s="6"/>
      <c r="V84" s="28"/>
      <c r="W84" s="28"/>
      <c r="X84" s="6"/>
      <c r="Y84" s="6"/>
      <c r="Z84" s="6"/>
      <c r="AA84" s="28"/>
      <c r="AB84" s="28"/>
    </row>
    <row r="85" ht="14.25" customHeight="1">
      <c r="A85" s="26" t="s">
        <v>1155</v>
      </c>
      <c r="B85" s="21"/>
      <c r="C85" s="21" t="str">
        <f t="array" ref="C85">_xlfn.XLOOKUP(
 E85,
 tblTargetStatus[TargetID],
 tblTargetStatus[DisplayName],
 ""
)</f>
        <v>Discover the gate in 4C to F3</v>
      </c>
      <c r="D85" s="21" t="str">
        <f t="array" ref="D85">_xlfn.XLOOKUP(
 E85,
 tblTargets[TargetID],
 tblTargets[TargetType],
 ""
)</f>
        <v>STATE</v>
      </c>
      <c r="E85" s="21" t="s">
        <v>1505</v>
      </c>
      <c r="F85" s="21" t="b">
        <f t="array" ref="F85">NOT(
 _xlfn.XLOOKUP(
  E85,
  tblTargetStatus[TargetID],
  tblTargetStatus[PlayerCompleted],
  FALSE
 )
)</f>
        <v>1</v>
      </c>
      <c r="G85" s="21" t="b">
        <f>IFERROR(__xludf.DUMMYFUNCTION("LET(
 acceptedID,
 REGEXREPLACE(A85,""\.finished$"","".accepted""),
 XLOOKUP(
  acceptedID,
  tblTargetStatus[TargetID],
  tblTargetStatus[PlayerCompleted],
  FALSE
 )
)"),FALSE)</f>
        <v>0</v>
      </c>
      <c r="H85" s="21" t="str">
        <f t="array" ref="H85">LET(
 name,
 _xlfn.XLOOKUP(
  A85,
  tblTargetStatus[TargetID],
  tblTargetStatus[DisplayName],
  ""
 ),
 SUBSTITUTE(
  SUBSTITUTE(name," Accepted",""),
  " Finished",""
 )
)</f>
        <v>Once Upon a Forest Chapter 4</v>
      </c>
      <c r="I85" s="6"/>
      <c r="J85" s="6"/>
      <c r="K85" s="6"/>
      <c r="L85" s="6"/>
      <c r="M85" s="6"/>
      <c r="N85" s="6"/>
      <c r="O85" s="6"/>
      <c r="P85" s="6"/>
      <c r="Q85" s="6"/>
      <c r="R85" s="28"/>
      <c r="S85" s="28"/>
      <c r="T85" s="28"/>
      <c r="U85" s="6"/>
      <c r="V85" s="28"/>
      <c r="W85" s="28"/>
      <c r="X85" s="28"/>
      <c r="Y85" s="28"/>
      <c r="Z85" s="28"/>
      <c r="AA85" s="28"/>
      <c r="AB85" s="28"/>
    </row>
    <row r="86" ht="14.25" customHeight="1">
      <c r="A86" s="26" t="s">
        <v>1155</v>
      </c>
      <c r="B86" s="21"/>
      <c r="C86" s="21" t="str">
        <f t="array" ref="C86">_xlfn.XLOOKUP(
 E86,
 tblTargetStatus[TargetID],
 tblTargetStatus[DisplayName],
 ""
)</f>
        <v>Discover the gate in 5C to F4</v>
      </c>
      <c r="D86" s="21" t="str">
        <f t="array" ref="D86">_xlfn.XLOOKUP(
 E86,
 tblTargets[TargetID],
 tblTargets[TargetType],
 ""
)</f>
        <v>STATE</v>
      </c>
      <c r="E86" s="21" t="s">
        <v>1507</v>
      </c>
      <c r="F86" s="21" t="b">
        <f t="array" ref="F86">NOT(
 _xlfn.XLOOKUP(
  E86,
  tblTargetStatus[TargetID],
  tblTargetStatus[PlayerCompleted],
  FALSE
 )
)</f>
        <v>1</v>
      </c>
      <c r="G86" s="21" t="b">
        <f>IFERROR(__xludf.DUMMYFUNCTION("LET(
 acceptedID,
 REGEXREPLACE(A86,""\.finished$"","".accepted""),
 XLOOKUP(
  acceptedID,
  tblTargetStatus[TargetID],
  tblTargetStatus[PlayerCompleted],
  FALSE
 )
)"),FALSE)</f>
        <v>0</v>
      </c>
      <c r="H86" s="21" t="str">
        <f t="array" ref="H86">LET(
 name,
 _xlfn.XLOOKUP(
  A86,
  tblTargetStatus[TargetID],
  tblTargetStatus[DisplayName],
  ""
 ),
 SUBSTITUTE(
  SUBSTITUTE(name," Accepted",""),
  " Finished",""
 )
)</f>
        <v>Once Upon a Forest Chapter 4</v>
      </c>
      <c r="I86" s="6"/>
      <c r="J86" s="6"/>
      <c r="K86" s="6"/>
      <c r="L86" s="6"/>
      <c r="M86" s="6"/>
      <c r="N86" s="6"/>
      <c r="O86" s="6"/>
      <c r="P86" s="6"/>
      <c r="Q86" s="6"/>
      <c r="R86" s="28"/>
      <c r="S86" s="28"/>
      <c r="T86" s="28"/>
      <c r="U86" s="6"/>
      <c r="V86" s="28"/>
      <c r="W86" s="28"/>
      <c r="X86" s="28"/>
      <c r="Y86" s="6"/>
      <c r="Z86" s="6"/>
      <c r="AA86" s="28"/>
      <c r="AB86" s="28"/>
    </row>
    <row r="87" ht="14.25" customHeight="1">
      <c r="A87" s="26" t="s">
        <v>1175</v>
      </c>
      <c r="B87" s="21"/>
      <c r="C87" s="21" t="str">
        <f t="array" ref="C87">_xlfn.XLOOKUP(
 E87,
 tblTargetStatus[TargetID],
 tblTargetStatus[DisplayName],
 ""
)</f>
        <v>Alchemists Hut - Potion Of Mental Power</v>
      </c>
      <c r="D87" s="21" t="str">
        <f t="array" ref="D87">_xlfn.XLOOKUP(
 E87,
 tblTargets[TargetID],
 tblTargets[TargetType],
 ""
)</f>
        <v>TECH</v>
      </c>
      <c r="E87" s="26" t="s">
        <v>1744</v>
      </c>
      <c r="F87" s="21" t="b">
        <f t="array" ref="F87">NOT(
 _xlfn.XLOOKUP(
  E87,
  tblTargetStatus[TargetID],
  tblTargetStatus[PlayerCompleted],
  FALSE
 )
)</f>
        <v>1</v>
      </c>
      <c r="G87" s="21" t="b">
        <f>IFERROR(__xludf.DUMMYFUNCTION("LET(
 acceptedID,
 REGEXREPLACE(A87,""\.finished$"","".accepted""),
 XLOOKUP(
  acceptedID,
  tblTargetStatus[TargetID],
  tblTargetStatus[PlayerCompleted],
  FALSE
 )
)"),FALSE)</f>
        <v>0</v>
      </c>
      <c r="H87" s="21" t="str">
        <f t="array" ref="H87">LET(
 name,
 _xlfn.XLOOKUP(
  A87,
  tblTargetStatus[TargetID],
  tblTargetStatus[DisplayName],
  ""
 ),
 SUBSTITUTE(
  SUBSTITUTE(name," Accepted",""),
  " Finished",""
 )
)</f>
        <v>Once Upon a Forest Chapter 6</v>
      </c>
      <c r="I87" s="6"/>
      <c r="J87" s="6"/>
      <c r="K87" s="6"/>
      <c r="L87" s="6"/>
      <c r="M87" s="6"/>
      <c r="N87" s="6"/>
      <c r="O87" s="6"/>
      <c r="P87" s="6"/>
      <c r="Q87" s="6"/>
      <c r="R87" s="28"/>
      <c r="S87" s="28"/>
      <c r="T87" s="28"/>
      <c r="U87" s="6"/>
      <c r="V87" s="28"/>
      <c r="W87" s="28"/>
      <c r="X87" s="28"/>
      <c r="Y87" s="6"/>
      <c r="Z87" s="6"/>
      <c r="AA87" s="28"/>
      <c r="AB87" s="28"/>
    </row>
    <row r="88" ht="14.25" customHeight="1">
      <c r="A88" s="26" t="s">
        <v>1175</v>
      </c>
      <c r="B88" s="21"/>
      <c r="C88" s="21" t="str">
        <f t="array" ref="C88">_xlfn.XLOOKUP(
 E88,
 tblTargetStatus[TargetID],
 tblTargetStatus[DisplayName],
 ""
)</f>
        <v>Craft Potion of Mental Power</v>
      </c>
      <c r="D88" s="21" t="str">
        <f t="array" ref="D88">_xlfn.XLOOKUP(
 E88,
 tblTargets[TargetID],
 tblTargets[TargetType],
 ""
)</f>
        <v>STATE</v>
      </c>
      <c r="E88" s="21" t="s">
        <v>1611</v>
      </c>
      <c r="F88" s="21" t="b">
        <f t="array" ref="F88">NOT(
 _xlfn.XLOOKUP(
  E88,
  tblTargetStatus[TargetID],
  tblTargetStatus[PlayerCompleted],
  FALSE
 )
)</f>
        <v>1</v>
      </c>
      <c r="G88" s="21" t="b">
        <f>IFERROR(__xludf.DUMMYFUNCTION("LET(
 acceptedID,
 REGEXREPLACE(A88,""\.finished$"","".accepted""),
 XLOOKUP(
  acceptedID,
  tblTargetStatus[TargetID],
  tblTargetStatus[PlayerCompleted],
  FALSE
 )
)"),FALSE)</f>
        <v>0</v>
      </c>
      <c r="H88" s="21" t="str">
        <f t="array" ref="H88">LET(
 name,
 _xlfn.XLOOKUP(
  A88,
  tblTargetStatus[TargetID],
  tblTargetStatus[DisplayName],
  ""
 ),
 SUBSTITUTE(
  SUBSTITUTE(name," Accepted",""),
  " Finished",""
 )
)</f>
        <v>Once Upon a Forest Chapter 6</v>
      </c>
      <c r="I88" s="6"/>
      <c r="J88" s="6"/>
      <c r="K88" s="6"/>
      <c r="L88" s="6"/>
      <c r="M88" s="6"/>
      <c r="N88" s="6"/>
      <c r="O88" s="6"/>
      <c r="P88" s="6"/>
      <c r="Q88" s="6"/>
      <c r="R88" s="28"/>
      <c r="S88" s="28"/>
      <c r="T88" s="28"/>
      <c r="U88" s="6"/>
      <c r="V88" s="28"/>
      <c r="W88" s="28"/>
      <c r="X88" s="28"/>
      <c r="Y88" s="6"/>
      <c r="Z88" s="6"/>
      <c r="AA88" s="28"/>
      <c r="AB88" s="28"/>
    </row>
    <row r="89" ht="14.25" customHeight="1">
      <c r="A89" s="26" t="s">
        <v>1175</v>
      </c>
      <c r="B89" s="21"/>
      <c r="C89" s="21" t="str">
        <f t="array" ref="C89">_xlfn.XLOOKUP(
 E89,
 tblTargetStatus[TargetID],
 tblTargetStatus[DisplayName],
 ""
)</f>
        <v>Deliver Potion of Mental Power to F2</v>
      </c>
      <c r="D89" s="21" t="str">
        <f t="array" ref="D89">_xlfn.XLOOKUP(
 E89,
 tblTargets[TargetID],
 tblTargets[TargetType],
 ""
)</f>
        <v>STATE</v>
      </c>
      <c r="E89" s="21" t="s">
        <v>3343</v>
      </c>
      <c r="F89" s="21" t="b">
        <f t="array" ref="F89">NOT(
 _xlfn.XLOOKUP(
  E89,
  tblTargetStatus[TargetID],
  tblTargetStatus[PlayerCompleted],
  FALSE
 )
)</f>
        <v>1</v>
      </c>
      <c r="G89" s="21" t="b">
        <f>IFERROR(__xludf.DUMMYFUNCTION("LET(
 acceptedID,
 REGEXREPLACE(A89,""\.finished$"","".accepted""),
 XLOOKUP(
  acceptedID,
  tblTargetStatus[TargetID],
  tblTargetStatus[PlayerCompleted],
  FALSE
 )
)"),FALSE)</f>
        <v>0</v>
      </c>
      <c r="H89" s="21" t="str">
        <f t="array" ref="H89">LET(
 name,
 _xlfn.XLOOKUP(
  A89,
  tblTargetStatus[TargetID],
  tblTargetStatus[DisplayName],
  ""
 ),
 SUBSTITUTE(
  SUBSTITUTE(name," Accepted",""),
  " Finished",""
 )
)</f>
        <v>Once Upon a Forest Chapter 6</v>
      </c>
      <c r="I89" s="6"/>
      <c r="J89" s="6"/>
      <c r="K89" s="6"/>
      <c r="L89" s="6"/>
      <c r="M89" s="6"/>
      <c r="N89" s="6"/>
      <c r="O89" s="6"/>
      <c r="P89" s="6"/>
      <c r="Q89" s="6"/>
      <c r="R89" s="28"/>
      <c r="S89" s="28"/>
      <c r="T89" s="28"/>
      <c r="U89" s="6"/>
      <c r="V89" s="28"/>
      <c r="W89" s="28"/>
      <c r="X89" s="28"/>
      <c r="Y89" s="6"/>
      <c r="Z89" s="6"/>
      <c r="AA89" s="28"/>
      <c r="AB89" s="28"/>
    </row>
    <row r="90" ht="14.25" customHeight="1">
      <c r="A90" s="26" t="s">
        <v>1207</v>
      </c>
      <c r="B90" s="21"/>
      <c r="C90" s="21" t="str">
        <f t="array" ref="C90">_xlfn.XLOOKUP(
 E90,
 tblTargetStatus[TargetID],
 tblTargetStatus[DisplayName],
 ""
)</f>
        <v>Obtain Hide</v>
      </c>
      <c r="D90" s="21" t="str">
        <f t="array" ref="D90">_xlfn.XLOOKUP(
 E90,
 tblTargets[TargetID],
 tblTargets[TargetType],
 ""
)</f>
        <v>STATE</v>
      </c>
      <c r="E90" s="21" t="s">
        <v>1592</v>
      </c>
      <c r="F90" s="21" t="b">
        <f t="array" ref="F90">NOT(
 _xlfn.XLOOKUP(
  E90,
  tblTargetStatus[TargetID],
  tblTargetStatus[PlayerCompleted],
  FALSE
 )
)</f>
        <v>1</v>
      </c>
      <c r="G90" s="21" t="b">
        <f>IFERROR(__xludf.DUMMYFUNCTION("LET(
 acceptedID,
 REGEXREPLACE(A90,""\.finished$"","".accepted""),
 XLOOKUP(
  acceptedID,
  tblTargetStatus[TargetID],
  tblTargetStatus[PlayerCompleted],
  FALSE
 )
)"),FALSE)</f>
        <v>0</v>
      </c>
      <c r="H90" s="21" t="str">
        <f t="array" ref="H90">LET(
 name,
 _xlfn.XLOOKUP(
  A90,
  tblTargetStatus[TargetID],
  tblTargetStatus[DisplayName],
  ""
 ),
 SUBSTITUTE(
  SUBSTITUTE(name," Accepted",""),
  " Finished",""
 )
)</f>
        <v>Once Upon a Forest Chapter 9</v>
      </c>
      <c r="I90" s="6"/>
      <c r="J90" s="6"/>
      <c r="K90" s="6"/>
      <c r="L90" s="6"/>
      <c r="M90" s="6"/>
      <c r="N90" s="6"/>
      <c r="O90" s="6"/>
      <c r="P90" s="6"/>
      <c r="Q90" s="6"/>
      <c r="R90" s="28"/>
      <c r="S90" s="28"/>
      <c r="T90" s="28"/>
      <c r="U90" s="6"/>
      <c r="V90" s="28"/>
      <c r="W90" s="28"/>
      <c r="X90" s="28"/>
      <c r="Y90" s="6"/>
      <c r="Z90" s="6"/>
      <c r="AA90" s="28"/>
      <c r="AB90" s="28"/>
    </row>
    <row r="91" ht="14.25" customHeight="1">
      <c r="A91" s="26" t="s">
        <v>1207</v>
      </c>
      <c r="B91" s="21"/>
      <c r="C91" s="21" t="str">
        <f t="array" ref="C91">_xlfn.XLOOKUP(
 E91,
 tblTargetStatus[TargetID],
 tblTargetStatus[DisplayName],
 ""
)</f>
        <v>Obtain Titanium</v>
      </c>
      <c r="D91" s="21" t="str">
        <f t="array" ref="D91">_xlfn.XLOOKUP(
 E91,
 tblTargets[TargetID],
 tblTargets[TargetType],
 ""
)</f>
        <v>STATE</v>
      </c>
      <c r="E91" s="21" t="s">
        <v>1648</v>
      </c>
      <c r="F91" s="21" t="b">
        <f t="array" ref="F91">NOT(
 _xlfn.XLOOKUP(
  E91,
  tblTargetStatus[TargetID],
  tblTargetStatus[PlayerCompleted],
  FALSE
 )
)</f>
        <v>1</v>
      </c>
      <c r="G91" s="21" t="b">
        <f>IFERROR(__xludf.DUMMYFUNCTION("LET(
 acceptedID,
 REGEXREPLACE(A91,""\.finished$"","".accepted""),
 XLOOKUP(
  acceptedID,
  tblTargetStatus[TargetID],
  tblTargetStatus[PlayerCompleted],
  FALSE
 )
)"),FALSE)</f>
        <v>0</v>
      </c>
      <c r="H91" s="21" t="str">
        <f t="array" ref="H91">LET(
 name,
 _xlfn.XLOOKUP(
  A91,
  tblTargetStatus[TargetID],
  tblTargetStatus[DisplayName],
  ""
 ),
 SUBSTITUTE(
  SUBSTITUTE(name," Accepted",""),
  " Finished",""
 )
)</f>
        <v>Once Upon a Forest Chapter 9</v>
      </c>
      <c r="I91" s="6"/>
      <c r="J91" s="6"/>
      <c r="K91" s="6"/>
      <c r="L91" s="6"/>
      <c r="M91" s="6"/>
      <c r="N91" s="6"/>
      <c r="O91" s="6"/>
      <c r="P91" s="6"/>
      <c r="Q91" s="6"/>
      <c r="R91" s="28"/>
      <c r="S91" s="28"/>
      <c r="T91" s="28"/>
      <c r="U91" s="6"/>
      <c r="V91" s="28"/>
      <c r="W91" s="28"/>
      <c r="X91" s="28"/>
      <c r="Y91" s="6"/>
      <c r="Z91" s="6"/>
      <c r="AA91" s="28"/>
      <c r="AB91" s="28"/>
    </row>
    <row r="92" ht="14.25" customHeight="1">
      <c r="A92" s="26" t="s">
        <v>1207</v>
      </c>
      <c r="B92" s="21"/>
      <c r="C92" s="21" t="str">
        <f t="array" ref="C92">_xlfn.XLOOKUP(
 E92,
 tblTargetStatus[TargetID],
 tblTargetStatus[DisplayName],
 ""
)</f>
        <v>Craft Armor 4</v>
      </c>
      <c r="D92" s="21" t="str">
        <f t="array" ref="D92">_xlfn.XLOOKUP(
 E92,
 tblTargets[TargetID],
 tblTargets[TargetType],
 ""
)</f>
        <v>STATE</v>
      </c>
      <c r="E92" s="21" t="s">
        <v>1585</v>
      </c>
      <c r="F92" s="21" t="b">
        <f t="array" ref="F92">NOT(
 _xlfn.XLOOKUP(
  E92,
  tblTargetStatus[TargetID],
  tblTargetStatus[PlayerCompleted],
  FALSE
 )
)</f>
        <v>1</v>
      </c>
      <c r="G92" s="21" t="b">
        <f>IFERROR(__xludf.DUMMYFUNCTION("LET(
 acceptedID,
 REGEXREPLACE(A92,""\.finished$"","".accepted""),
 XLOOKUP(
  acceptedID,
  tblTargetStatus[TargetID],
  tblTargetStatus[PlayerCompleted],
  FALSE
 )
)"),FALSE)</f>
        <v>0</v>
      </c>
      <c r="H92" s="21" t="str">
        <f t="array" ref="H92">LET(
 name,
 _xlfn.XLOOKUP(
  A92,
  tblTargetStatus[TargetID],
  tblTargetStatus[DisplayName],
  ""
 ),
 SUBSTITUTE(
  SUBSTITUTE(name," Accepted",""),
  " Finished",""
 )
)</f>
        <v>Once Upon a Forest Chapter 9</v>
      </c>
      <c r="I92" s="6"/>
      <c r="J92" s="6"/>
      <c r="K92" s="6"/>
      <c r="L92" s="6"/>
      <c r="M92" s="6"/>
      <c r="N92" s="6"/>
      <c r="O92" s="6"/>
      <c r="P92" s="6"/>
      <c r="Q92" s="6"/>
      <c r="R92" s="6"/>
      <c r="S92" s="6"/>
      <c r="T92" s="6"/>
      <c r="U92" s="6"/>
      <c r="V92" s="6"/>
      <c r="W92" s="6"/>
      <c r="X92" s="6"/>
      <c r="Y92" s="6"/>
      <c r="Z92" s="6"/>
      <c r="AA92" s="6"/>
      <c r="AB92" s="6"/>
    </row>
    <row r="93" ht="14.25" customHeight="1">
      <c r="A93" s="26" t="s">
        <v>1207</v>
      </c>
      <c r="B93" s="21"/>
      <c r="C93" s="21" t="str">
        <f t="array" ref="C93">_xlfn.XLOOKUP(
 E93,
 tblTargetStatus[TargetID],
 tblTargetStatus[DisplayName],
 ""
)</f>
        <v>Tailor - Armor For A Hero Lvl 4</v>
      </c>
      <c r="D93" s="21" t="str">
        <f t="array" ref="D93">_xlfn.XLOOKUP(
 E93,
 tblTargets[TargetID],
 tblTargets[TargetType],
 ""
)</f>
        <v>TECH</v>
      </c>
      <c r="E93" s="91" t="s">
        <v>1854</v>
      </c>
      <c r="F93" s="21" t="b">
        <f t="array" ref="F93">NOT(
 _xlfn.XLOOKUP(
  E93,
  tblTargetStatus[TargetID],
  tblTargetStatus[PlayerCompleted],
  FALSE
 )
)</f>
        <v>1</v>
      </c>
      <c r="G93" s="21" t="b">
        <f>IFERROR(__xludf.DUMMYFUNCTION("LET(
 acceptedID,
 REGEXREPLACE(A93,""\.finished$"","".accepted""),
 XLOOKUP(
  acceptedID,
  tblTargetStatus[TargetID],
  tblTargetStatus[PlayerCompleted],
  FALSE
 )
)"),FALSE)</f>
        <v>0</v>
      </c>
      <c r="H93" s="21" t="str">
        <f t="array" ref="H93">LET(
 name,
 _xlfn.XLOOKUP(
  A93,
  tblTargetStatus[TargetID],
  tblTargetStatus[DisplayName],
  ""
 ),
 SUBSTITUTE(
  SUBSTITUTE(name," Accepted",""),
  " Finished",""
 )
)</f>
        <v>Once Upon a Forest Chapter 9</v>
      </c>
      <c r="I93" s="6"/>
      <c r="J93" s="6"/>
      <c r="K93" s="6"/>
      <c r="L93" s="6"/>
      <c r="M93" s="6"/>
      <c r="N93" s="6"/>
      <c r="O93" s="6"/>
      <c r="P93" s="6"/>
      <c r="Q93" s="6"/>
      <c r="R93" s="6"/>
      <c r="S93" s="6"/>
      <c r="T93" s="6"/>
      <c r="U93" s="6"/>
      <c r="V93" s="6"/>
      <c r="W93" s="6"/>
      <c r="X93" s="6"/>
      <c r="Y93" s="6"/>
      <c r="Z93" s="6"/>
      <c r="AA93" s="6"/>
      <c r="AB93" s="6"/>
    </row>
    <row r="94" ht="14.25" customHeight="1">
      <c r="A94" s="26" t="s">
        <v>1084</v>
      </c>
      <c r="B94" s="21"/>
      <c r="C94" s="21" t="str">
        <f t="array" ref="C94">_xlfn.XLOOKUP(
 E94,
 tblTargetStatus[TargetID],
 tblTargetStatus[DisplayName],
 ""
)</f>
        <v>Deliver Balm To Hunter @F2</v>
      </c>
      <c r="D94" s="21" t="str">
        <f t="array" ref="D94">_xlfn.XLOOKUP(
 E94,
 tblTargets[TargetID],
 tblTargets[TargetType],
 ""
)</f>
        <v>STATE</v>
      </c>
      <c r="E94" s="21" t="s">
        <v>1466</v>
      </c>
      <c r="F94" s="21" t="b">
        <f t="array" ref="F94">NOT(
 _xlfn.XLOOKUP(
  E94,
  tblTargetStatus[TargetID],
  tblTargetStatus[PlayerCompleted],
  FALSE
 )
)</f>
        <v>1</v>
      </c>
      <c r="G94" s="21" t="b">
        <f>IFERROR(__xludf.DUMMYFUNCTION("LET(
 acceptedID,
 REGEXREPLACE(A94,""\.finished$"","".accepted""),
 XLOOKUP(
  acceptedID,
  tblTargetStatus[TargetID],
  tblTargetStatus[PlayerCompleted],
  FALSE
 )
)"),FALSE)</f>
        <v>0</v>
      </c>
      <c r="H94" s="21" t="str">
        <f t="array" ref="H94">LET(
 name,
 _xlfn.XLOOKUP(
  A94,
  tblTargetStatus[TargetID],
  tblTargetStatus[DisplayName],
  ""
 ),
 SUBSTITUTE(
  SUBSTITUTE(name," Accepted",""),
  " Finished",""
 )
)</f>
        <v>Once Upon a Forest Chapter 10</v>
      </c>
      <c r="I94" s="6"/>
      <c r="J94" s="6"/>
      <c r="K94" s="6"/>
      <c r="L94" s="6"/>
      <c r="M94" s="6"/>
      <c r="N94" s="6"/>
      <c r="O94" s="6"/>
      <c r="P94" s="6"/>
      <c r="Q94" s="6"/>
      <c r="R94" s="6"/>
      <c r="S94" s="6"/>
      <c r="T94" s="6"/>
      <c r="U94" s="6"/>
      <c r="V94" s="6"/>
      <c r="W94" s="6"/>
      <c r="X94" s="6"/>
      <c r="Y94" s="6"/>
      <c r="Z94" s="6"/>
      <c r="AA94" s="6"/>
      <c r="AB94" s="6"/>
    </row>
    <row r="95" ht="14.25" customHeight="1">
      <c r="A95" s="26" t="s">
        <v>1094</v>
      </c>
      <c r="B95" s="21"/>
      <c r="C95" s="21" t="str">
        <f t="array" ref="C95">_xlfn.XLOOKUP(
 E95,
 tblTargetStatus[TargetID],
 tblTargetStatus[DisplayName],
 ""
)</f>
        <v>Visit Melbourne in Airship</v>
      </c>
      <c r="D95" s="21" t="str">
        <f t="array" ref="D95">_xlfn.XLOOKUP(
 E95,
 tblTargets[TargetID],
 tblTargets[TargetType],
 ""
)</f>
        <v>STATE</v>
      </c>
      <c r="E95" s="21" t="s">
        <v>1684</v>
      </c>
      <c r="F95" s="21" t="b">
        <f t="array" ref="F95">NOT(
 _xlfn.XLOOKUP(
  E95,
  tblTargetStatus[TargetID],
  tblTargetStatus[PlayerCompleted],
  FALSE
 )
)</f>
        <v>1</v>
      </c>
      <c r="G95" s="21" t="b">
        <f>IFERROR(__xludf.DUMMYFUNCTION("LET(
 acceptedID,
 REGEXREPLACE(A95,""\.finished$"","".accepted""),
 XLOOKUP(
  acceptedID,
  tblTargetStatus[TargetID],
  tblTargetStatus[PlayerCompleted],
  FALSE
 )
)"),FALSE)</f>
        <v>0</v>
      </c>
      <c r="H95" s="21" t="str">
        <f t="array" ref="H95">LET(
 name,
 _xlfn.XLOOKUP(
  A95,
  tblTargetStatus[TargetID],
  tblTargetStatus[DisplayName],
  ""
 ),
 SUBSTITUTE(
  SUBSTITUTE(name," Accepted",""),
  " Finished",""
 )
)</f>
        <v>Once Upon a Forest Chapter 11</v>
      </c>
      <c r="I95" s="6"/>
      <c r="J95" s="6"/>
      <c r="K95" s="6"/>
      <c r="L95" s="6"/>
      <c r="M95" s="6"/>
      <c r="N95" s="6"/>
      <c r="O95" s="6"/>
      <c r="P95" s="6"/>
      <c r="Q95" s="6"/>
      <c r="R95" s="6"/>
      <c r="S95" s="6"/>
      <c r="T95" s="6"/>
      <c r="U95" s="6"/>
      <c r="V95" s="6"/>
      <c r="W95" s="6"/>
      <c r="X95" s="6"/>
      <c r="Y95" s="6"/>
      <c r="Z95" s="6"/>
      <c r="AA95" s="6"/>
      <c r="AB95" s="6"/>
    </row>
    <row r="96" ht="14.25" customHeight="1">
      <c r="A96" s="26" t="s">
        <v>1102</v>
      </c>
      <c r="B96" s="21"/>
      <c r="C96" s="21" t="str">
        <f t="array" ref="C96">_xlfn.XLOOKUP(
 E96,
 tblTargetStatus[TargetID],
 tblTargetStatus[DisplayName],
 ""
)</f>
        <v>Meet Foodie Demon@F2</v>
      </c>
      <c r="D96" s="21" t="str">
        <f t="array" ref="D96">_xlfn.XLOOKUP(
 E96,
 tblTargets[TargetID],
 tblTargets[TargetType],
 ""
)</f>
        <v>STATE</v>
      </c>
      <c r="E96" s="21" t="s">
        <v>1530</v>
      </c>
      <c r="F96" s="21" t="b">
        <f t="array" ref="F96">NOT(
 _xlfn.XLOOKUP(
  E96,
  tblTargetStatus[TargetID],
  tblTargetStatus[PlayerCompleted],
  FALSE
 )
)</f>
        <v>1</v>
      </c>
      <c r="G96" s="21" t="b">
        <f>IFERROR(__xludf.DUMMYFUNCTION("LET(
 acceptedID,
 REGEXREPLACE(A96,""\.finished$"","".accepted""),
 XLOOKUP(
  acceptedID,
  tblTargetStatus[TargetID],
  tblTargetStatus[PlayerCompleted],
  FALSE
 )
)"),FALSE)</f>
        <v>0</v>
      </c>
      <c r="H96" s="21" t="str">
        <f t="array" ref="H96">LET(
 name,
 _xlfn.XLOOKUP(
  A96,
  tblTargetStatus[TargetID],
  tblTargetStatus[DisplayName],
  ""
 ),
 SUBSTITUTE(
  SUBSTITUTE(name," Accepted",""),
  " Finished",""
 )
)</f>
        <v>Once Upon a Forest Chapter 12</v>
      </c>
      <c r="I96" s="6"/>
      <c r="J96" s="6"/>
      <c r="K96" s="6"/>
      <c r="L96" s="6"/>
      <c r="M96" s="6"/>
      <c r="N96" s="6"/>
      <c r="O96" s="6"/>
      <c r="P96" s="6"/>
      <c r="Q96" s="6"/>
      <c r="R96" s="6"/>
      <c r="S96" s="6"/>
      <c r="T96" s="6"/>
      <c r="U96" s="6"/>
      <c r="V96" s="6"/>
      <c r="W96" s="6"/>
      <c r="X96" s="6"/>
      <c r="Y96" s="6"/>
      <c r="Z96" s="6"/>
      <c r="AA96" s="6"/>
      <c r="AB96" s="6"/>
    </row>
    <row r="97" ht="14.25" customHeight="1">
      <c r="A97" s="26" t="s">
        <v>1102</v>
      </c>
      <c r="B97" s="21"/>
      <c r="C97" s="21" t="str">
        <f t="array" ref="C97">_xlfn.XLOOKUP(
 E97,
 tblTargetStatus[TargetID],
 tblTargetStatus[DisplayName],
 ""
)</f>
        <v>Escort Mr and Mrs Diligance through F1</v>
      </c>
      <c r="D97" s="21" t="str">
        <f t="array" ref="D97">_xlfn.XLOOKUP(
 E97,
 tblTargets[TargetID],
 tblTargets[TargetType],
 ""
)</f>
        <v>STATE</v>
      </c>
      <c r="E97" s="21" t="s">
        <v>1451</v>
      </c>
      <c r="F97" s="21" t="b">
        <f t="array" ref="F97">NOT(
 _xlfn.XLOOKUP(
  E97,
  tblTargetStatus[TargetID],
  tblTargetStatus[PlayerCompleted],
  FALSE
 )
)</f>
        <v>1</v>
      </c>
      <c r="G97" s="21" t="b">
        <f>IFERROR(__xludf.DUMMYFUNCTION("LET(
 acceptedID,
 REGEXREPLACE(A97,""\.finished$"","".accepted""),
 XLOOKUP(
  acceptedID,
  tblTargetStatus[TargetID],
  tblTargetStatus[PlayerCompleted],
  FALSE
 )
)"),FALSE)</f>
        <v>0</v>
      </c>
      <c r="H97" s="21" t="str">
        <f t="array" ref="H97">LET(
 name,
 _xlfn.XLOOKUP(
  A97,
  tblTargetStatus[TargetID],
  tblTargetStatus[DisplayName],
  ""
 ),
 SUBSTITUTE(
  SUBSTITUTE(name," Accepted",""),
  " Finished",""
 )
)</f>
        <v>Once Upon a Forest Chapter 12</v>
      </c>
      <c r="I97" s="6"/>
      <c r="J97" s="6"/>
      <c r="K97" s="6"/>
      <c r="L97" s="6"/>
      <c r="M97" s="6"/>
      <c r="N97" s="6"/>
      <c r="O97" s="6"/>
      <c r="P97" s="6"/>
      <c r="Q97" s="6"/>
      <c r="R97" s="6"/>
      <c r="S97" s="6"/>
      <c r="T97" s="6"/>
      <c r="U97" s="6"/>
      <c r="V97" s="6"/>
      <c r="W97" s="6"/>
      <c r="X97" s="6"/>
      <c r="Y97" s="6"/>
      <c r="Z97" s="6"/>
      <c r="AA97" s="6"/>
      <c r="AB97" s="6"/>
    </row>
    <row r="98" ht="14.25" customHeight="1">
      <c r="A98" s="26" t="s">
        <v>1102</v>
      </c>
      <c r="B98" s="21"/>
      <c r="C98" s="21" t="str">
        <f t="array" ref="C98">_xlfn.XLOOKUP(
 E98,
 tblTargetStatus[TargetID],
 tblTargetStatus[DisplayName],
 ""
)</f>
        <v>Escort Mr and Mrs Diligance through F2</v>
      </c>
      <c r="D98" s="21" t="str">
        <f t="array" ref="D98">_xlfn.XLOOKUP(
 E98,
 tblTargets[TargetID],
 tblTargets[TargetType],
 ""
)</f>
        <v>STATE</v>
      </c>
      <c r="E98" s="21" t="s">
        <v>1454</v>
      </c>
      <c r="F98" s="21" t="b">
        <f t="array" ref="F98">NOT(
 _xlfn.XLOOKUP(
  E98,
  tblTargetStatus[TargetID],
  tblTargetStatus[PlayerCompleted],
  FALSE
 )
)</f>
        <v>1</v>
      </c>
      <c r="G98" s="21" t="b">
        <f>IFERROR(__xludf.DUMMYFUNCTION("LET(
 acceptedID,
 REGEXREPLACE(A98,""\.finished$"","".accepted""),
 XLOOKUP(
  acceptedID,
  tblTargetStatus[TargetID],
  tblTargetStatus[PlayerCompleted],
  FALSE
 )
)"),FALSE)</f>
        <v>0</v>
      </c>
      <c r="H98" s="21" t="str">
        <f t="array" ref="H98">LET(
 name,
 _xlfn.XLOOKUP(
  A98,
  tblTargetStatus[TargetID],
  tblTargetStatus[DisplayName],
  ""
 ),
 SUBSTITUTE(
  SUBSTITUTE(name," Accepted",""),
  " Finished",""
 )
)</f>
        <v>Once Upon a Forest Chapter 12</v>
      </c>
      <c r="I98" s="6"/>
      <c r="J98" s="6"/>
      <c r="K98" s="6"/>
      <c r="L98" s="6"/>
      <c r="M98" s="6"/>
      <c r="N98" s="6"/>
      <c r="O98" s="6"/>
      <c r="P98" s="6"/>
      <c r="Q98" s="6"/>
      <c r="R98" s="6"/>
      <c r="S98" s="6"/>
      <c r="T98" s="6"/>
      <c r="U98" s="6"/>
      <c r="V98" s="6"/>
      <c r="W98" s="6"/>
      <c r="X98" s="6"/>
      <c r="Y98" s="6"/>
      <c r="Z98" s="6"/>
      <c r="AA98" s="6"/>
      <c r="AB98" s="6"/>
    </row>
    <row r="99" ht="14.25" customHeight="1">
      <c r="A99" s="26" t="s">
        <v>1102</v>
      </c>
      <c r="B99" s="21"/>
      <c r="C99" s="21" t="str">
        <f t="array" ref="C99">_xlfn.XLOOKUP(
 E99,
 tblTargetStatus[TargetID],
 tblTargetStatus[DisplayName],
 ""
)</f>
        <v>Escort Mr and Mrs Diligance through F3</v>
      </c>
      <c r="D99" s="21" t="str">
        <f t="array" ref="D99">_xlfn.XLOOKUP(
 E99,
 tblTargets[TargetID],
 tblTargets[TargetType],
 ""
)</f>
        <v>STATE</v>
      </c>
      <c r="E99" s="21" t="s">
        <v>1457</v>
      </c>
      <c r="F99" s="21" t="b">
        <f t="array" ref="F99">NOT(
 _xlfn.XLOOKUP(
  E99,
  tblTargetStatus[TargetID],
  tblTargetStatus[PlayerCompleted],
  FALSE
 )
)</f>
        <v>1</v>
      </c>
      <c r="G99" s="21" t="b">
        <f>IFERROR(__xludf.DUMMYFUNCTION("LET(
 acceptedID,
 REGEXREPLACE(A99,""\.finished$"","".accepted""),
 XLOOKUP(
  acceptedID,
  tblTargetStatus[TargetID],
  tblTargetStatus[PlayerCompleted],
  FALSE
 )
)"),FALSE)</f>
        <v>0</v>
      </c>
      <c r="H99" s="21" t="str">
        <f t="array" ref="H99">LET(
 name,
 _xlfn.XLOOKUP(
  A99,
  tblTargetStatus[TargetID],
  tblTargetStatus[DisplayName],
  ""
 ),
 SUBSTITUTE(
  SUBSTITUTE(name," Accepted",""),
  " Finished",""
 )
)</f>
        <v>Once Upon a Forest Chapter 12</v>
      </c>
      <c r="I99" s="6"/>
      <c r="J99" s="6"/>
      <c r="K99" s="6"/>
      <c r="L99" s="6"/>
      <c r="M99" s="6"/>
      <c r="N99" s="6"/>
      <c r="O99" s="6"/>
      <c r="P99" s="6"/>
      <c r="Q99" s="6"/>
      <c r="R99" s="6"/>
      <c r="S99" s="6"/>
      <c r="T99" s="6"/>
      <c r="U99" s="6"/>
      <c r="V99" s="6"/>
      <c r="W99" s="6"/>
      <c r="X99" s="6"/>
      <c r="Y99" s="6"/>
      <c r="Z99" s="6"/>
      <c r="AA99" s="6"/>
      <c r="AB99" s="6"/>
    </row>
    <row r="100" ht="14.25" customHeight="1">
      <c r="A100" s="26" t="s">
        <v>1102</v>
      </c>
      <c r="B100" s="21"/>
      <c r="C100" s="21" t="str">
        <f t="array" ref="C100">_xlfn.XLOOKUP(
 E100,
 tblTargetStatus[TargetID],
 tblTargetStatus[DisplayName],
 ""
)</f>
        <v>Escort Mr and Mrs Diligance through F4</v>
      </c>
      <c r="D100" s="21" t="str">
        <f t="array" ref="D100">_xlfn.XLOOKUP(
 E100,
 tblTargets[TargetID],
 tblTargets[TargetType],
 ""
)</f>
        <v>STATE</v>
      </c>
      <c r="E100" s="21" t="s">
        <v>1459</v>
      </c>
      <c r="F100" s="21" t="b">
        <f t="array" ref="F100">NOT(
 _xlfn.XLOOKUP(
  E100,
  tblTargetStatus[TargetID],
  tblTargetStatus[PlayerCompleted],
  FALSE
 )
)</f>
        <v>1</v>
      </c>
      <c r="G100" s="21" t="b">
        <f>IFERROR(__xludf.DUMMYFUNCTION("LET(
 acceptedID,
 REGEXREPLACE(A100,""\.finished$"","".accepted""),
 XLOOKUP(
  acceptedID,
  tblTargetStatus[TargetID],
  tblTargetStatus[PlayerCompleted],
  FALSE
 )
)"),FALSE)</f>
        <v>0</v>
      </c>
      <c r="H100" s="21" t="str">
        <f t="array" ref="H100">LET(
 name,
 _xlfn.XLOOKUP(
  A100,
  tblTargetStatus[TargetID],
  tblTargetStatus[DisplayName],
  ""
 ),
 SUBSTITUTE(
  SUBSTITUTE(name," Accepted",""),
  " Finished",""
 )
)</f>
        <v>Once Upon a Forest Chapter 12</v>
      </c>
      <c r="I100" s="6"/>
      <c r="J100" s="6"/>
      <c r="K100" s="6"/>
      <c r="L100" s="6"/>
      <c r="M100" s="6"/>
      <c r="N100" s="6"/>
      <c r="O100" s="6"/>
      <c r="P100" s="6"/>
      <c r="Q100" s="6"/>
      <c r="R100" s="6"/>
      <c r="S100" s="6"/>
      <c r="T100" s="6"/>
      <c r="U100" s="6"/>
      <c r="V100" s="6"/>
      <c r="W100" s="6"/>
      <c r="X100" s="6"/>
      <c r="Y100" s="6"/>
      <c r="Z100" s="6"/>
      <c r="AA100" s="6"/>
      <c r="AB100" s="6"/>
    </row>
    <row r="101" ht="14.25" customHeight="1">
      <c r="A101" s="26" t="s">
        <v>1110</v>
      </c>
      <c r="B101" s="21"/>
      <c r="C101" s="21" t="str">
        <f t="array" ref="C101">_xlfn.XLOOKUP(
 E101,
 tblTargetStatus[TargetID],
 tblTargetStatus[DisplayName],
 ""
)</f>
        <v>Food Stall - Jam</v>
      </c>
      <c r="D101" s="21" t="str">
        <f t="array" ref="D101">_xlfn.XLOOKUP(
 E101,
 tblTargets[TargetID],
 tblTargets[TargetType],
 ""
)</f>
        <v>TECH</v>
      </c>
      <c r="E101" s="26" t="s">
        <v>1775</v>
      </c>
      <c r="F101" s="21" t="b">
        <f t="array" ref="F101">NOT(
 _xlfn.XLOOKUP(
  E101,
  tblTargetStatus[TargetID],
  tblTargetStatus[PlayerCompleted],
  FALSE
 )
)</f>
        <v>1</v>
      </c>
      <c r="G101" s="21" t="b">
        <f>IFERROR(__xludf.DUMMYFUNCTION("LET(
 acceptedID,
 REGEXREPLACE(A101,""\.finished$"","".accepted""),
 XLOOKUP(
  acceptedID,
  tblTargetStatus[TargetID],
  tblTargetStatus[PlayerCompleted],
  FALSE
 )
)"),FALSE)</f>
        <v>0</v>
      </c>
      <c r="H101" s="21" t="str">
        <f t="array" ref="H101">LET(
 name,
 _xlfn.XLOOKUP(
  A101,
  tblTargetStatus[TargetID],
  tblTargetStatus[DisplayName],
  ""
 ),
 SUBSTITUTE(
  SUBSTITUTE(name," Accepted",""),
  " Finished",""
 )
)</f>
        <v>Once Upon a Forest Chapter 13</v>
      </c>
      <c r="I101" s="6"/>
      <c r="J101" s="6"/>
      <c r="K101" s="6"/>
      <c r="L101" s="6"/>
      <c r="M101" s="6"/>
      <c r="N101" s="6"/>
      <c r="O101" s="6"/>
      <c r="P101" s="6"/>
      <c r="Q101" s="6"/>
      <c r="R101" s="6"/>
      <c r="S101" s="6"/>
      <c r="T101" s="6"/>
      <c r="U101" s="6"/>
      <c r="V101" s="6"/>
      <c r="W101" s="6"/>
      <c r="X101" s="6"/>
      <c r="Y101" s="6"/>
      <c r="Z101" s="6"/>
      <c r="AA101" s="6"/>
      <c r="AB101" s="6"/>
    </row>
    <row r="102" ht="14.25" customHeight="1">
      <c r="A102" s="26" t="s">
        <v>1110</v>
      </c>
      <c r="B102" s="21"/>
      <c r="C102" s="21" t="str">
        <f t="array" ref="C102">_xlfn.XLOOKUP(
 E102,
 tblTargetStatus[TargetID],
 tblTargetStatus[DisplayName],
 ""
)</f>
        <v>Food Stall - Mandra Cola</v>
      </c>
      <c r="D102" s="21" t="str">
        <f t="array" ref="D102">_xlfn.XLOOKUP(
 E102,
 tblTargets[TargetID],
 tblTargets[TargetType],
 ""
)</f>
        <v>TECH</v>
      </c>
      <c r="E102" s="26" t="s">
        <v>1777</v>
      </c>
      <c r="F102" s="21" t="b">
        <f t="array" ref="F102">NOT(
 _xlfn.XLOOKUP(
  E102,
  tblTargetStatus[TargetID],
  tblTargetStatus[PlayerCompleted],
  FALSE
 )
)</f>
        <v>1</v>
      </c>
      <c r="G102" s="21" t="b">
        <f>IFERROR(__xludf.DUMMYFUNCTION("LET(
 acceptedID,
 REGEXREPLACE(A102,""\.finished$"","".accepted""),
 XLOOKUP(
  acceptedID,
  tblTargetStatus[TargetID],
  tblTargetStatus[PlayerCompleted],
  FALSE
 )
)"),FALSE)</f>
        <v>0</v>
      </c>
      <c r="H102" s="21" t="str">
        <f t="array" ref="H102">LET(
 name,
 _xlfn.XLOOKUP(
  A102,
  tblTargetStatus[TargetID],
  tblTargetStatus[DisplayName],
  ""
 ),
 SUBSTITUTE(
  SUBSTITUTE(name," Accepted",""),
  " Finished",""
 )
)</f>
        <v>Once Upon a Forest Chapter 13</v>
      </c>
      <c r="I102" s="6"/>
      <c r="J102" s="6"/>
      <c r="K102" s="6"/>
      <c r="L102" s="6"/>
      <c r="M102" s="6"/>
      <c r="N102" s="6"/>
      <c r="O102" s="6"/>
      <c r="P102" s="6"/>
      <c r="Q102" s="6"/>
      <c r="R102" s="6"/>
      <c r="S102" s="6"/>
      <c r="T102" s="6"/>
      <c r="U102" s="6"/>
      <c r="V102" s="6"/>
      <c r="W102" s="6"/>
      <c r="X102" s="6"/>
      <c r="Y102" s="6"/>
      <c r="Z102" s="6"/>
      <c r="AA102" s="6"/>
      <c r="AB102" s="6"/>
    </row>
    <row r="103" ht="14.25" customHeight="1">
      <c r="A103" s="26" t="s">
        <v>1118</v>
      </c>
      <c r="B103" s="21"/>
      <c r="C103" s="21" t="str">
        <f t="array" ref="C103">_xlfn.XLOOKUP(
 E103,
 tblTargetStatus[TargetID],
 tblTargetStatus[DisplayName],
 ""
)</f>
        <v>Solver 1 Prototype</v>
      </c>
      <c r="D103" s="21" t="str">
        <f t="array" ref="D103">_xlfn.XLOOKUP(
 E103,
 tblTargets[TargetID],
 tblTargets[TargetType],
 ""
)</f>
        <v>CRAFTIFACT</v>
      </c>
      <c r="E103" s="21" t="s">
        <v>898</v>
      </c>
      <c r="F103" s="21" t="b">
        <f t="array" ref="F103">NOT(
 _xlfn.XLOOKUP(
  E103,
  tblTargetStatus[TargetID],
  tblTargetStatus[PlayerCompleted],
  FALSE
 )
)</f>
        <v>1</v>
      </c>
      <c r="G103" s="21" t="b">
        <f>IFERROR(__xludf.DUMMYFUNCTION("LET(
 acceptedID,
 REGEXREPLACE(A103,""\.finished$"","".accepted""),
 XLOOKUP(
  acceptedID,
  tblTargetStatus[TargetID],
  tblTargetStatus[PlayerCompleted],
  FALSE
 )
)"),FALSE)</f>
        <v>0</v>
      </c>
      <c r="H103" s="21" t="str">
        <f t="array" ref="H103">LET(
 name,
 _xlfn.XLOOKUP(
  A103,
  tblTargetStatus[TargetID],
  tblTargetStatus[DisplayName],
  ""
 ),
 SUBSTITUTE(
  SUBSTITUTE(name," Accepted",""),
  " Finished",""
 )
)</f>
        <v>Once Upon a Forest Chapter 14</v>
      </c>
      <c r="I103" s="6"/>
      <c r="J103" s="6"/>
      <c r="K103" s="6"/>
      <c r="L103" s="6"/>
      <c r="M103" s="6"/>
      <c r="N103" s="6"/>
      <c r="O103" s="6"/>
      <c r="P103" s="6"/>
      <c r="Q103" s="6"/>
      <c r="R103" s="6"/>
      <c r="S103" s="6"/>
      <c r="T103" s="6"/>
      <c r="U103" s="6"/>
      <c r="V103" s="6"/>
      <c r="W103" s="6"/>
      <c r="X103" s="6"/>
      <c r="Y103" s="6"/>
      <c r="Z103" s="6"/>
      <c r="AA103" s="6"/>
      <c r="AB103" s="6"/>
    </row>
    <row r="104" ht="14.25" customHeight="1">
      <c r="A104" s="26" t="s">
        <v>1127</v>
      </c>
      <c r="B104" s="21"/>
      <c r="C104" s="21" t="str">
        <f t="array" ref="C104">_xlfn.XLOOKUP(
 E104,
 tblTargetStatus[TargetID],
 tblTargetStatus[DisplayName],
 ""
)</f>
        <v>Meet the raven in F2</v>
      </c>
      <c r="D104" s="21" t="str">
        <f t="array" ref="D104">_xlfn.XLOOKUP(
 E104,
 tblTargets[TargetID],
 tblTargets[TargetType],
 ""
)</f>
        <v>STATE</v>
      </c>
      <c r="E104" s="26" t="s">
        <v>1568</v>
      </c>
      <c r="F104" s="21" t="b">
        <f t="array" ref="F104">NOT(
 _xlfn.XLOOKUP(
  E104,
  tblTargetStatus[TargetID],
  tblTargetStatus[PlayerCompleted],
  FALSE
 )
)</f>
        <v>1</v>
      </c>
      <c r="G104" s="21" t="b">
        <f>IFERROR(__xludf.DUMMYFUNCTION("LET(
 acceptedID,
 REGEXREPLACE(A104,""\.finished$"","".accepted""),
 XLOOKUP(
  acceptedID,
  tblTargetStatus[TargetID],
  tblTargetStatus[PlayerCompleted],
  FALSE
 )
)"),FALSE)</f>
        <v>0</v>
      </c>
      <c r="H104" s="21" t="str">
        <f t="array" ref="H104">LET(
 name,
 _xlfn.XLOOKUP(
  A104,
  tblTargetStatus[TargetID],
  tblTargetStatus[DisplayName],
  ""
 ),
 SUBSTITUTE(
  SUBSTITUTE(name," Accepted",""),
  " Finished",""
 )
)</f>
        <v>Once Upon a Forest Chapter 15</v>
      </c>
      <c r="I104" s="6"/>
      <c r="J104" s="6"/>
      <c r="K104" s="6"/>
      <c r="L104" s="6"/>
      <c r="M104" s="6"/>
      <c r="N104" s="6"/>
      <c r="O104" s="6"/>
      <c r="P104" s="6"/>
      <c r="Q104" s="6"/>
      <c r="R104" s="6"/>
      <c r="S104" s="6"/>
      <c r="T104" s="6"/>
      <c r="U104" s="6"/>
      <c r="V104" s="6"/>
      <c r="W104" s="6"/>
      <c r="X104" s="6"/>
      <c r="Y104" s="6"/>
      <c r="Z104" s="6"/>
      <c r="AA104" s="6"/>
      <c r="AB104" s="6"/>
    </row>
    <row r="105" ht="14.25" customHeight="1">
      <c r="A105" s="21" t="s">
        <v>1221</v>
      </c>
      <c r="B105" s="21"/>
      <c r="C105" s="21" t="str">
        <f t="array" ref="C105">_xlfn.XLOOKUP(
 E105,
 tblTargetStatus[TargetID],
 tblTargetStatus[DisplayName],
 ""
)</f>
        <v>Food Stall Lv 1</v>
      </c>
      <c r="D105" s="21" t="str">
        <f t="array" ref="D105">_xlfn.XLOOKUP(
 E105,
 tblTargets[TargetID],
 tblTargets[TargetType],
 ""
)</f>
        <v>BUILDING</v>
      </c>
      <c r="E105" s="26" t="s">
        <v>230</v>
      </c>
      <c r="F105" s="21" t="b">
        <f t="array" ref="F105">NOT(
 _xlfn.XLOOKUP(
  E105,
  tblTargetStatus[TargetID],
  tblTargetStatus[PlayerCompleted],
  FALSE
 )
)</f>
        <v>1</v>
      </c>
      <c r="G105" s="21" t="b">
        <f>IFERROR(__xludf.DUMMYFUNCTION("LET(
 acceptedID,
 REGEXREPLACE(A105,""\.finished$"","".accepted""),
 XLOOKUP(
  acceptedID,
  tblTargetStatus[TargetID],
  tblTargetStatus[PlayerCompleted],
  FALSE
 )
)"),FALSE)</f>
        <v>0</v>
      </c>
      <c r="H105" s="21" t="str">
        <f t="array" ref="H105">LET(
 name,
 _xlfn.XLOOKUP(
  A105,
  tblTargetStatus[TargetID],
  tblTargetStatus[DisplayName],
  ""
 ),
 SUBSTITUTE(
  SUBSTITUTE(name," Accepted",""),
  " Finished",""
 )
)</f>
        <v>Quest for Knowledge Chapter 1</v>
      </c>
      <c r="I105" s="6"/>
      <c r="J105" s="6"/>
      <c r="K105" s="6"/>
      <c r="L105" s="6"/>
      <c r="M105" s="6"/>
      <c r="N105" s="6"/>
      <c r="O105" s="6"/>
      <c r="P105" s="6"/>
      <c r="Q105" s="6"/>
      <c r="R105" s="6"/>
      <c r="S105" s="6"/>
      <c r="T105" s="6"/>
      <c r="U105" s="6"/>
      <c r="V105" s="6"/>
      <c r="W105" s="6"/>
      <c r="X105" s="6"/>
      <c r="Y105" s="6"/>
      <c r="Z105" s="6"/>
      <c r="AA105" s="6"/>
      <c r="AB105" s="6"/>
    </row>
    <row r="106" ht="14.25" customHeight="1">
      <c r="A106" s="21" t="s">
        <v>1221</v>
      </c>
      <c r="B106" s="21"/>
      <c r="C106" s="21" t="str">
        <f t="array" ref="C106">_xlfn.XLOOKUP(
 E106,
 tblTargetStatus[TargetID],
 tblTargetStatus[DisplayName],
 ""
)</f>
        <v>Field Lv 1</v>
      </c>
      <c r="D106" s="21" t="str">
        <f t="array" ref="D106">_xlfn.XLOOKUP(
 E106,
 tblTargets[TargetID],
 tblTargets[TargetType],
 ""
)</f>
        <v>BUILDING</v>
      </c>
      <c r="E106" s="26" t="s">
        <v>219</v>
      </c>
      <c r="F106" s="21" t="b">
        <f t="array" ref="F106">NOT(
 _xlfn.XLOOKUP(
  E106,
  tblTargetStatus[TargetID],
  tblTargetStatus[PlayerCompleted],
  FALSE
 )
)</f>
        <v>1</v>
      </c>
      <c r="G106" s="21" t="b">
        <f>IFERROR(__xludf.DUMMYFUNCTION("LET(
 acceptedID,
 REGEXREPLACE(A106,""\.finished$"","".accepted""),
 XLOOKUP(
  acceptedID,
  tblTargetStatus[TargetID],
  tblTargetStatus[PlayerCompleted],
  FALSE
 )
)"),FALSE)</f>
        <v>0</v>
      </c>
      <c r="H106" s="21" t="str">
        <f t="array" ref="H106">LET(
 name,
 _xlfn.XLOOKUP(
  A106,
  tblTargetStatus[TargetID],
  tblTargetStatus[DisplayName],
  ""
 ),
 SUBSTITUTE(
  SUBSTITUTE(name," Accepted",""),
  " Finished",""
 )
)</f>
        <v>Quest for Knowledge Chapter 1</v>
      </c>
      <c r="I106" s="6"/>
      <c r="J106" s="6"/>
      <c r="K106" s="6"/>
      <c r="L106" s="6"/>
      <c r="M106" s="6"/>
      <c r="N106" s="6"/>
      <c r="O106" s="6"/>
      <c r="P106" s="6"/>
      <c r="Q106" s="6"/>
      <c r="R106" s="6"/>
      <c r="S106" s="6"/>
      <c r="T106" s="6"/>
      <c r="U106" s="6"/>
      <c r="V106" s="6"/>
      <c r="W106" s="6"/>
      <c r="X106" s="6"/>
      <c r="Y106" s="6"/>
      <c r="Z106" s="6"/>
      <c r="AA106" s="6"/>
      <c r="AB106" s="6"/>
    </row>
    <row r="107" ht="14.25" customHeight="1">
      <c r="A107" s="21" t="s">
        <v>1234</v>
      </c>
      <c r="B107" s="21"/>
      <c r="C107" s="21" t="str">
        <f t="array" ref="C107">_xlfn.XLOOKUP(
 E107,
 tblTargetStatus[TargetID],
 tblTargetStatus[DisplayName],
 ""
)</f>
        <v>Trigonometry</v>
      </c>
      <c r="D107" s="21" t="str">
        <f t="array" ref="D107">_xlfn.XLOOKUP(
 E107,
 tblTargets[TargetID],
 tblTargets[TargetType],
 ""
)</f>
        <v>CRAFTIFACT</v>
      </c>
      <c r="E107" s="21" t="s">
        <v>914</v>
      </c>
      <c r="F107" s="21" t="b">
        <f t="array" ref="F107">NOT(
 _xlfn.XLOOKUP(
  E107,
  tblTargetStatus[TargetID],
  tblTargetStatus[PlayerCompleted],
  FALSE
 )
)</f>
        <v>1</v>
      </c>
      <c r="G107" s="21" t="b">
        <f>IFERROR(__xludf.DUMMYFUNCTION("LET(
 acceptedID,
 REGEXREPLACE(A107,""\.finished$"","".accepted""),
 XLOOKUP(
  acceptedID,
  tblTargetStatus[TargetID],
  tblTargetStatus[PlayerCompleted],
  FALSE
 )
)"),FALSE)</f>
        <v>0</v>
      </c>
      <c r="H107" s="21" t="str">
        <f t="array" ref="H107">LET(
 name,
 _xlfn.XLOOKUP(
  A107,
  tblTargetStatus[TargetID],
  tblTargetStatus[DisplayName],
  ""
 ),
 SUBSTITUTE(
  SUBSTITUTE(name," Accepted",""),
  " Finished",""
 )
)</f>
        <v>Quest for Knowledge Chapter 2</v>
      </c>
      <c r="I107" s="6"/>
      <c r="J107" s="6"/>
      <c r="K107" s="6"/>
      <c r="L107" s="6"/>
      <c r="M107" s="6"/>
      <c r="N107" s="6"/>
      <c r="O107" s="6"/>
      <c r="P107" s="6"/>
      <c r="Q107" s="6"/>
      <c r="R107" s="6"/>
      <c r="S107" s="6"/>
      <c r="T107" s="6"/>
      <c r="U107" s="6"/>
      <c r="V107" s="6"/>
      <c r="W107" s="6"/>
      <c r="X107" s="6"/>
      <c r="Y107" s="6"/>
      <c r="Z107" s="6"/>
      <c r="AA107" s="6"/>
      <c r="AB107" s="6"/>
    </row>
    <row r="108" ht="14.25" customHeight="1">
      <c r="A108" s="21" t="s">
        <v>1248</v>
      </c>
      <c r="B108" s="21"/>
      <c r="C108" s="21" t="str">
        <f t="array" ref="C108">_xlfn.XLOOKUP(
 E108,
 tblTargetStatus[TargetID],
 tblTargetStatus[DisplayName],
 ""
)</f>
        <v>Emerald Tablet</v>
      </c>
      <c r="D108" s="21" t="str">
        <f t="array" ref="D108">_xlfn.XLOOKUP(
 E108,
 tblTargets[TargetID],
 tblTargets[TargetType],
 ""
)</f>
        <v>CRAFTIFACT</v>
      </c>
      <c r="E108" s="26" t="s">
        <v>850</v>
      </c>
      <c r="F108" s="21" t="b">
        <f t="array" ref="F108">NOT(
 _xlfn.XLOOKUP(
  E108,
  tblTargetStatus[TargetID],
  tblTargetStatus[PlayerCompleted],
  FALSE
 )
)</f>
        <v>1</v>
      </c>
      <c r="G108" s="21" t="b">
        <f>IFERROR(__xludf.DUMMYFUNCTION("LET(
 acceptedID,
 REGEXREPLACE(A108,""\.finished$"","".accepted""),
 XLOOKUP(
  acceptedID,
  tblTargetStatus[TargetID],
  tblTargetStatus[PlayerCompleted],
  FALSE
 )
)"),FALSE)</f>
        <v>0</v>
      </c>
      <c r="H108" s="21" t="str">
        <f t="array" ref="H108">LET(
 name,
 _xlfn.XLOOKUP(
  A108,
  tblTargetStatus[TargetID],
  tblTargetStatus[DisplayName],
  ""
 ),
 SUBSTITUTE(
  SUBSTITUTE(name," Accepted",""),
  " Finished",""
 )
)</f>
        <v>Quest for Knowledge Chapter 3</v>
      </c>
      <c r="I108" s="6"/>
      <c r="J108" s="6"/>
      <c r="K108" s="6"/>
      <c r="L108" s="6"/>
      <c r="M108" s="6"/>
      <c r="N108" s="6"/>
      <c r="O108" s="6"/>
      <c r="P108" s="6"/>
      <c r="Q108" s="6"/>
      <c r="R108" s="6"/>
      <c r="S108" s="6"/>
      <c r="T108" s="6"/>
      <c r="U108" s="6"/>
      <c r="V108" s="6"/>
      <c r="W108" s="6"/>
      <c r="X108" s="6"/>
      <c r="Y108" s="6"/>
      <c r="Z108" s="6"/>
      <c r="AA108" s="6"/>
      <c r="AB108" s="6"/>
    </row>
    <row r="109" ht="14.25" customHeight="1">
      <c r="A109" s="21" t="s">
        <v>1248</v>
      </c>
      <c r="B109" s="21"/>
      <c r="C109" s="21" t="str">
        <f t="array" ref="C109">_xlfn.XLOOKUP(
 E109,
 tblTargetStatus[TargetID],
 tblTargetStatus[DisplayName],
 ""
)</f>
        <v>Obtain all emerald shards</v>
      </c>
      <c r="D109" s="21" t="str">
        <f t="array" ref="D109">_xlfn.XLOOKUP(
 E109,
 tblTargets[TargetID],
 tblTargets[TargetType],
 ""
)</f>
        <v>STATE</v>
      </c>
      <c r="E109" s="21" t="s">
        <v>1579</v>
      </c>
      <c r="F109" s="21" t="b">
        <f t="array" ref="F109">NOT(
 _xlfn.XLOOKUP(
  E109,
  tblTargetStatus[TargetID],
  tblTargetStatus[PlayerCompleted],
  FALSE
 )
)</f>
        <v>1</v>
      </c>
      <c r="G109" s="21" t="b">
        <f>IFERROR(__xludf.DUMMYFUNCTION("LET(
 acceptedID,
 REGEXREPLACE(A109,""\.finished$"","".accepted""),
 XLOOKUP(
  acceptedID,
  tblTargetStatus[TargetID],
  tblTargetStatus[PlayerCompleted],
  FALSE
 )
)"),FALSE)</f>
        <v>0</v>
      </c>
      <c r="H109" s="21" t="str">
        <f t="array" ref="H109">LET(
 name,
 _xlfn.XLOOKUP(
  A109,
  tblTargetStatus[TargetID],
  tblTargetStatus[DisplayName],
  ""
 ),
 SUBSTITUTE(
  SUBSTITUTE(name," Accepted",""),
  " Finished",""
 )
)</f>
        <v>Quest for Knowledge Chapter 3</v>
      </c>
      <c r="I109" s="6"/>
      <c r="J109" s="6"/>
      <c r="K109" s="6"/>
      <c r="L109" s="6"/>
      <c r="M109" s="6"/>
      <c r="N109" s="6"/>
      <c r="O109" s="6"/>
      <c r="P109" s="6"/>
      <c r="Q109" s="6"/>
      <c r="R109" s="6"/>
      <c r="S109" s="6"/>
      <c r="T109" s="6"/>
      <c r="U109" s="6"/>
      <c r="V109" s="6"/>
      <c r="W109" s="6"/>
      <c r="X109" s="6"/>
      <c r="Y109" s="6"/>
      <c r="Z109" s="6"/>
      <c r="AA109" s="6"/>
      <c r="AB109" s="6"/>
    </row>
    <row r="110" ht="14.25" customHeight="1">
      <c r="A110" s="21" t="s">
        <v>1256</v>
      </c>
      <c r="B110" s="21"/>
      <c r="C110" s="21" t="str">
        <f t="array" ref="C110">_xlfn.XLOOKUP(
 E110,
 tblTargetStatus[TargetID],
 tblTargetStatus[DisplayName],
 ""
)</f>
        <v>Historical Library</v>
      </c>
      <c r="D110" s="21" t="str">
        <f t="array" ref="D110">_xlfn.XLOOKUP(
 E110,
 tblTargets[TargetID],
 tblTargets[TargetType],
 ""
)</f>
        <v>CRAFTIFACT</v>
      </c>
      <c r="E110" s="21" t="s">
        <v>876</v>
      </c>
      <c r="F110" s="21" t="b">
        <f t="array" ref="F110">NOT(
 _xlfn.XLOOKUP(
  E110,
  tblTargetStatus[TargetID],
  tblTargetStatus[PlayerCompleted],
  FALSE
 )
)</f>
        <v>1</v>
      </c>
      <c r="G110" s="21" t="b">
        <f>IFERROR(__xludf.DUMMYFUNCTION("LET(
 acceptedID,
 REGEXREPLACE(A110,""\.finished$"","".accepted""),
 XLOOKUP(
  acceptedID,
  tblTargetStatus[TargetID],
  tblTargetStatus[PlayerCompleted],
  FALSE
 )
)"),FALSE)</f>
        <v>0</v>
      </c>
      <c r="H110" s="21" t="str">
        <f t="array" ref="H110">LET(
 name,
 _xlfn.XLOOKUP(
  A110,
  tblTargetStatus[TargetID],
  tblTargetStatus[DisplayName],
  ""
 ),
 SUBSTITUTE(
  SUBSTITUTE(name," Accepted",""),
  " Finished",""
 )
)</f>
        <v>Quest for Knowledge Chapter 4</v>
      </c>
      <c r="I110" s="6"/>
      <c r="J110" s="6"/>
      <c r="K110" s="6"/>
      <c r="L110" s="6"/>
      <c r="M110" s="6"/>
      <c r="N110" s="6"/>
      <c r="O110" s="6"/>
      <c r="P110" s="6"/>
      <c r="Q110" s="6"/>
      <c r="R110" s="6"/>
      <c r="S110" s="6"/>
      <c r="T110" s="6"/>
      <c r="U110" s="6"/>
      <c r="V110" s="6"/>
      <c r="W110" s="6"/>
      <c r="X110" s="6"/>
      <c r="Y110" s="6"/>
      <c r="Z110" s="6"/>
      <c r="AA110" s="6"/>
      <c r="AB110" s="6"/>
    </row>
    <row r="111" ht="14.25" customHeight="1">
      <c r="A111" s="21" t="s">
        <v>1260</v>
      </c>
      <c r="B111" s="21"/>
      <c r="C111" s="21" t="str">
        <f t="array" ref="C111">_xlfn.XLOOKUP(
 E111,
 tblTargetStatus[TargetID],
 tblTargetStatus[DisplayName],
 ""
)</f>
        <v>Craft mechanism</v>
      </c>
      <c r="D111" s="21" t="str">
        <f t="array" ref="D111">_xlfn.XLOOKUP(
 E111,
 tblTargets[TargetID],
 tblTargets[TargetType],
 ""
)</f>
        <v>STATE</v>
      </c>
      <c r="E111" s="21" t="s">
        <v>1609</v>
      </c>
      <c r="F111" s="21" t="b">
        <f t="array" ref="F111">NOT(
 _xlfn.XLOOKUP(
  E111,
  tblTargetStatus[TargetID],
  tblTargetStatus[PlayerCompleted],
  FALSE
 )
)</f>
        <v>1</v>
      </c>
      <c r="G111" s="21" t="b">
        <f>IFERROR(__xludf.DUMMYFUNCTION("LET(
 acceptedID,
 REGEXREPLACE(A111,""\.finished$"","".accepted""),
 XLOOKUP(
  acceptedID,
  tblTargetStatus[TargetID],
  tblTargetStatus[PlayerCompleted],
  FALSE
 )
)"),FALSE)</f>
        <v>0</v>
      </c>
      <c r="H111" s="21" t="str">
        <f t="array" ref="H111">LET(
 name,
 _xlfn.XLOOKUP(
  A111,
  tblTargetStatus[TargetID],
  tblTargetStatus[DisplayName],
  ""
 ),
 SUBSTITUTE(
  SUBSTITUTE(name," Accepted",""),
  " Finished",""
 )
)</f>
        <v>Quest for Knowledge Chapter 5</v>
      </c>
      <c r="I111" s="6"/>
      <c r="J111" s="6"/>
      <c r="K111" s="6"/>
      <c r="L111" s="6"/>
      <c r="M111" s="6"/>
      <c r="N111" s="6"/>
      <c r="O111" s="6"/>
      <c r="P111" s="6"/>
      <c r="Q111" s="6"/>
      <c r="R111" s="6"/>
      <c r="S111" s="6"/>
      <c r="T111" s="6"/>
      <c r="U111" s="6"/>
      <c r="V111" s="6"/>
      <c r="W111" s="6"/>
      <c r="X111" s="6"/>
      <c r="Y111" s="6"/>
      <c r="Z111" s="6"/>
      <c r="AA111" s="6"/>
      <c r="AB111" s="6"/>
    </row>
    <row r="112" ht="14.25" customHeight="1">
      <c r="A112" s="21" t="s">
        <v>1260</v>
      </c>
      <c r="B112" s="21"/>
      <c r="C112" s="21" t="str">
        <f t="array" ref="C112">_xlfn.XLOOKUP(
 E112,
 tblTargetStatus[TargetID],
 tblTargetStatus[DisplayName],
 ""
)</f>
        <v>Craft steamobile</v>
      </c>
      <c r="D112" s="21" t="str">
        <f t="array" ref="D112">_xlfn.XLOOKUP(
 E112,
 tblTargets[TargetID],
 tblTargets[TargetType],
 ""
)</f>
        <v>STATE</v>
      </c>
      <c r="E112" s="21" t="s">
        <v>1639</v>
      </c>
      <c r="F112" s="21" t="b">
        <f t="array" ref="F112">NOT(
 _xlfn.XLOOKUP(
  E112,
  tblTargetStatus[TargetID],
  tblTargetStatus[PlayerCompleted],
  FALSE
 )
)</f>
        <v>1</v>
      </c>
      <c r="G112" s="21" t="b">
        <f>IFERROR(__xludf.DUMMYFUNCTION("LET(
 acceptedID,
 REGEXREPLACE(A112,""\.finished$"","".accepted""),
 XLOOKUP(
  acceptedID,
  tblTargetStatus[TargetID],
  tblTargetStatus[PlayerCompleted],
  FALSE
 )
)"),FALSE)</f>
        <v>0</v>
      </c>
      <c r="H112" s="21" t="str">
        <f t="array" ref="H112">LET(
 name,
 _xlfn.XLOOKUP(
  A112,
  tblTargetStatus[TargetID],
  tblTargetStatus[DisplayName],
  ""
 ),
 SUBSTITUTE(
  SUBSTITUTE(name," Accepted",""),
  " Finished",""
 )
)</f>
        <v>Quest for Knowledge Chapter 5</v>
      </c>
      <c r="I112" s="6"/>
      <c r="J112" s="6"/>
      <c r="K112" s="6"/>
      <c r="L112" s="6"/>
      <c r="M112" s="6"/>
      <c r="N112" s="6"/>
      <c r="O112" s="6"/>
      <c r="P112" s="6"/>
      <c r="Q112" s="6"/>
      <c r="R112" s="6"/>
      <c r="S112" s="6"/>
      <c r="T112" s="6"/>
      <c r="U112" s="6"/>
      <c r="V112" s="6"/>
      <c r="W112" s="6"/>
      <c r="X112" s="6"/>
      <c r="Y112" s="6"/>
      <c r="Z112" s="6"/>
      <c r="AA112" s="6"/>
      <c r="AB112" s="6"/>
    </row>
    <row r="113" ht="14.25" customHeight="1">
      <c r="A113" s="21" t="s">
        <v>1260</v>
      </c>
      <c r="B113" s="21"/>
      <c r="C113" s="21" t="str">
        <f t="array" ref="C113">_xlfn.XLOOKUP(
 E113,
 tblTargetStatus[TargetID],
 tblTargetStatus[DisplayName],
 ""
)</f>
        <v>Telescope</v>
      </c>
      <c r="D113" s="21" t="str">
        <f t="array" ref="D113">_xlfn.XLOOKUP(
 E113,
 tblTargets[TargetID],
 tblTargets[TargetType],
 ""
)</f>
        <v>CRAFTIFACT</v>
      </c>
      <c r="E113" s="26" t="s">
        <v>905</v>
      </c>
      <c r="F113" s="21" t="b">
        <f t="array" ref="F113">NOT(
 _xlfn.XLOOKUP(
  E113,
  tblTargetStatus[TargetID],
  tblTargetStatus[PlayerCompleted],
  FALSE
 )
)</f>
        <v>1</v>
      </c>
      <c r="G113" s="21" t="b">
        <f>IFERROR(__xludf.DUMMYFUNCTION("LET(
 acceptedID,
 REGEXREPLACE(A113,""\.finished$"","".accepted""),
 XLOOKUP(
  acceptedID,
  tblTargetStatus[TargetID],
  tblTargetStatus[PlayerCompleted],
  FALSE
 )
)"),FALSE)</f>
        <v>0</v>
      </c>
      <c r="H113" s="21" t="str">
        <f t="array" ref="H113">LET(
 name,
 _xlfn.XLOOKUP(
  A113,
  tblTargetStatus[TargetID],
  tblTargetStatus[DisplayName],
  ""
 ),
 SUBSTITUTE(
  SUBSTITUTE(name," Accepted",""),
  " Finished",""
 )
)</f>
        <v>Quest for Knowledge Chapter 5</v>
      </c>
      <c r="I113" s="6"/>
      <c r="J113" s="6"/>
      <c r="K113" s="6"/>
      <c r="L113" s="6"/>
      <c r="M113" s="6"/>
      <c r="N113" s="6"/>
      <c r="O113" s="6"/>
      <c r="P113" s="6"/>
      <c r="Q113" s="6"/>
      <c r="R113" s="6"/>
      <c r="S113" s="6"/>
      <c r="T113" s="6"/>
      <c r="U113" s="6"/>
      <c r="V113" s="6"/>
      <c r="W113" s="6"/>
      <c r="X113" s="6"/>
      <c r="Y113" s="6"/>
      <c r="Z113" s="6"/>
      <c r="AA113" s="6"/>
      <c r="AB113" s="6"/>
    </row>
    <row r="114" ht="14.25" customHeight="1">
      <c r="A114" s="21" t="s">
        <v>1264</v>
      </c>
      <c r="B114" s="21"/>
      <c r="C114" s="21" t="str">
        <f t="array" ref="C114">_xlfn.XLOOKUP(
 E114,
 tblTargetStatus[TargetID],
 tblTargetStatus[DisplayName],
 ""
)</f>
        <v>Furnace Lv 1</v>
      </c>
      <c r="D114" s="21" t="str">
        <f t="array" ref="D114">_xlfn.XLOOKUP(
 E114,
 tblTargets[TargetID],
 tblTargets[TargetType],
 ""
)</f>
        <v>BUILDING</v>
      </c>
      <c r="E114" s="26" t="s">
        <v>243</v>
      </c>
      <c r="F114" s="21" t="b">
        <f t="array" ref="F114">NOT(
 _xlfn.XLOOKUP(
  E114,
  tblTargetStatus[TargetID],
  tblTargetStatus[PlayerCompleted],
  FALSE
 )
)</f>
        <v>1</v>
      </c>
      <c r="G114" s="21" t="b">
        <f>IFERROR(__xludf.DUMMYFUNCTION("LET(
 acceptedID,
 REGEXREPLACE(A114,""\.finished$"","".accepted""),
 XLOOKUP(
  acceptedID,
  tblTargetStatus[TargetID],
  tblTargetStatus[PlayerCompleted],
  FALSE
 )
)"),FALSE)</f>
        <v>0</v>
      </c>
      <c r="H114" s="21" t="str">
        <f t="array" ref="H114">LET(
 name,
 _xlfn.XLOOKUP(
  A114,
  tblTargetStatus[TargetID],
  tblTargetStatus[DisplayName],
  ""
 ),
 SUBSTITUTE(
  SUBSTITUTE(name," Accepted",""),
  " Finished",""
 )
)</f>
        <v>Shogun's Katana Chapter 1</v>
      </c>
      <c r="I114" s="6"/>
      <c r="J114" s="6"/>
      <c r="K114" s="6"/>
      <c r="L114" s="6"/>
      <c r="M114" s="6"/>
      <c r="N114" s="6"/>
      <c r="O114" s="6"/>
      <c r="P114" s="6"/>
      <c r="Q114" s="6"/>
      <c r="R114" s="6"/>
      <c r="S114" s="6"/>
      <c r="T114" s="6"/>
      <c r="U114" s="6"/>
      <c r="V114" s="6"/>
      <c r="W114" s="6"/>
      <c r="X114" s="6"/>
      <c r="Y114" s="6"/>
      <c r="Z114" s="6"/>
      <c r="AA114" s="6"/>
      <c r="AB114" s="6"/>
    </row>
    <row r="115" ht="14.25" customHeight="1">
      <c r="A115" s="21" t="s">
        <v>1264</v>
      </c>
      <c r="B115" s="21"/>
      <c r="C115" s="21" t="str">
        <f t="array" ref="C115">_xlfn.XLOOKUP(
 E115,
 tblTargetStatus[TargetID],
 tblTargetStatus[DisplayName],
 ""
)</f>
        <v>Learn character skill cartographer lvl 2</v>
      </c>
      <c r="D115" s="21" t="str">
        <f t="array" ref="D115">_xlfn.XLOOKUP(
 E115,
 tblTargets[TargetID],
 tblTargets[TargetType],
 ""
)</f>
        <v>STATE</v>
      </c>
      <c r="E115" s="21" t="s">
        <v>1363</v>
      </c>
      <c r="F115" s="21" t="b">
        <f t="array" ref="F115">NOT(
 _xlfn.XLOOKUP(
  E115,
  tblTargetStatus[TargetID],
  tblTargetStatus[PlayerCompleted],
  FALSE
 )
)</f>
        <v>1</v>
      </c>
      <c r="G115" s="21" t="b">
        <f>IFERROR(__xludf.DUMMYFUNCTION("LET(
 acceptedID,
 REGEXREPLACE(A115,""\.finished$"","".accepted""),
 XLOOKUP(
  acceptedID,
  tblTargetStatus[TargetID],
  tblTargetStatus[PlayerCompleted],
  FALSE
 )
)"),FALSE)</f>
        <v>0</v>
      </c>
      <c r="H115" s="21" t="str">
        <f t="array" ref="H115">LET(
 name,
 _xlfn.XLOOKUP(
  A115,
  tblTargetStatus[TargetID],
  tblTargetStatus[DisplayName],
  ""
 ),
 SUBSTITUTE(
  SUBSTITUTE(name," Accepted",""),
  " Finished",""
 )
)</f>
        <v>Shogun's Katana Chapter 1</v>
      </c>
      <c r="I115" s="6"/>
      <c r="J115" s="6"/>
      <c r="K115" s="6"/>
      <c r="L115" s="6"/>
      <c r="M115" s="6"/>
      <c r="N115" s="6"/>
      <c r="O115" s="6"/>
      <c r="P115" s="6"/>
      <c r="Q115" s="6"/>
      <c r="R115" s="6"/>
      <c r="S115" s="6"/>
      <c r="T115" s="6"/>
      <c r="U115" s="6"/>
      <c r="V115" s="6"/>
      <c r="W115" s="6"/>
      <c r="X115" s="6"/>
      <c r="Y115" s="6"/>
      <c r="Z115" s="6"/>
      <c r="AA115" s="6"/>
      <c r="AB115" s="6"/>
    </row>
    <row r="116" ht="14.25" customHeight="1">
      <c r="A116" s="21" t="s">
        <v>1264</v>
      </c>
      <c r="B116" s="21"/>
      <c r="C116" s="21" t="str">
        <f t="array" ref="C116">_xlfn.XLOOKUP(
 E116,
 tblTargetStatus[TargetID],
 tblTargetStatus[DisplayName],
 ""
)</f>
        <v>Craft level 2 map</v>
      </c>
      <c r="D116" s="21" t="str">
        <f t="array" ref="D116">_xlfn.XLOOKUP(
 E116,
 tblTargets[TargetID],
 tblTargets[TargetType],
 ""
)</f>
        <v>STATE</v>
      </c>
      <c r="E116" s="21" t="s">
        <v>1597</v>
      </c>
      <c r="F116" s="21" t="b">
        <f t="array" ref="F116">NOT(
 _xlfn.XLOOKUP(
  E116,
  tblTargetStatus[TargetID],
  tblTargetStatus[PlayerCompleted],
  FALSE
 )
)</f>
        <v>1</v>
      </c>
      <c r="G116" s="21" t="b">
        <f>IFERROR(__xludf.DUMMYFUNCTION("LET(
 acceptedID,
 REGEXREPLACE(A116,""\.finished$"","".accepted""),
 XLOOKUP(
  acceptedID,
  tblTargetStatus[TargetID],
  tblTargetStatus[PlayerCompleted],
  FALSE
 )
)"),FALSE)</f>
        <v>0</v>
      </c>
      <c r="H116" s="21" t="str">
        <f t="array" ref="H116">LET(
 name,
 _xlfn.XLOOKUP(
  A116,
  tblTargetStatus[TargetID],
  tblTargetStatus[DisplayName],
  ""
 ),
 SUBSTITUTE(
  SUBSTITUTE(name," Accepted",""),
  " Finished",""
 )
)</f>
        <v>Shogun's Katana Chapter 1</v>
      </c>
      <c r="I116" s="6"/>
      <c r="J116" s="6"/>
      <c r="K116" s="6"/>
      <c r="L116" s="6"/>
      <c r="M116" s="6"/>
      <c r="N116" s="6"/>
      <c r="O116" s="6"/>
      <c r="P116" s="6"/>
      <c r="Q116" s="6"/>
      <c r="R116" s="6"/>
      <c r="S116" s="6"/>
      <c r="T116" s="6"/>
      <c r="U116" s="6"/>
      <c r="V116" s="6"/>
      <c r="W116" s="6"/>
      <c r="X116" s="6"/>
      <c r="Y116" s="6"/>
      <c r="Z116" s="6"/>
      <c r="AA116" s="6"/>
      <c r="AB116" s="6"/>
    </row>
    <row r="117" ht="14.25" customHeight="1">
      <c r="A117" s="21" t="s">
        <v>1264</v>
      </c>
      <c r="B117" s="21"/>
      <c r="C117" s="21" t="str">
        <f t="array" ref="C117">_xlfn.XLOOKUP(
 E117,
 tblTargetStatus[TargetID],
 tblTargetStatus[DisplayName],
 ""
)</f>
        <v>Obtain level 2 artifact</v>
      </c>
      <c r="D117" s="21" t="str">
        <f t="array" ref="D117">_xlfn.XLOOKUP(
 E117,
 tblTargets[TargetID],
 tblTargets[TargetType],
 ""
)</f>
        <v>STATE</v>
      </c>
      <c r="E117" s="21" t="s">
        <v>1594</v>
      </c>
      <c r="F117" s="21" t="b">
        <f t="array" ref="F117">NOT(
 _xlfn.XLOOKUP(
  E117,
  tblTargetStatus[TargetID],
  tblTargetStatus[PlayerCompleted],
  FALSE
 )
)</f>
        <v>1</v>
      </c>
      <c r="G117" s="21" t="b">
        <f>IFERROR(__xludf.DUMMYFUNCTION("LET(
 acceptedID,
 REGEXREPLACE(A117,""\.finished$"","".accepted""),
 XLOOKUP(
  acceptedID,
  tblTargetStatus[TargetID],
  tblTargetStatus[PlayerCompleted],
  FALSE
 )
)"),FALSE)</f>
        <v>0</v>
      </c>
      <c r="H117" s="21" t="str">
        <f t="array" ref="H117">LET(
 name,
 _xlfn.XLOOKUP(
  A117,
  tblTargetStatus[TargetID],
  tblTargetStatus[DisplayName],
  ""
 ),
 SUBSTITUTE(
  SUBSTITUTE(name," Accepted",""),
  " Finished",""
 )
)</f>
        <v>Shogun's Katana Chapter 1</v>
      </c>
      <c r="I117" s="6"/>
      <c r="J117" s="6"/>
      <c r="K117" s="6"/>
      <c r="L117" s="6"/>
      <c r="M117" s="6"/>
      <c r="N117" s="6"/>
      <c r="O117" s="6"/>
      <c r="P117" s="6"/>
      <c r="Q117" s="6"/>
      <c r="R117" s="6"/>
      <c r="S117" s="6"/>
      <c r="T117" s="6"/>
      <c r="U117" s="6"/>
      <c r="V117" s="6"/>
      <c r="W117" s="6"/>
      <c r="X117" s="6"/>
      <c r="Y117" s="6"/>
      <c r="Z117" s="6"/>
      <c r="AA117" s="6"/>
      <c r="AB117" s="6"/>
    </row>
    <row r="118" ht="14.25" customHeight="1">
      <c r="A118" s="21" t="s">
        <v>1269</v>
      </c>
      <c r="B118" s="21"/>
      <c r="C118" s="21" t="str">
        <f t="array" ref="C118">_xlfn.XLOOKUP(
 E118,
 tblTargetStatus[TargetID],
 tblTargetStatus[DisplayName],
 ""
)</f>
        <v>Pier Lv 1</v>
      </c>
      <c r="D118" s="21" t="str">
        <f t="array" ref="D118">_xlfn.XLOOKUP(
 E118,
 tblTargets[TargetID],
 tblTargets[TargetType],
 ""
)</f>
        <v>BUILDING</v>
      </c>
      <c r="E118" s="26" t="s">
        <v>383</v>
      </c>
      <c r="F118" s="21" t="b">
        <f t="array" ref="F118">NOT(
 _xlfn.XLOOKUP(
  E118,
  tblTargetStatus[TargetID],
  tblTargetStatus[PlayerCompleted],
  FALSE
 )
)</f>
        <v>1</v>
      </c>
      <c r="G118" s="21" t="b">
        <f>IFERROR(__xludf.DUMMYFUNCTION("LET(
 acceptedID,
 REGEXREPLACE(A118,""\.finished$"","".accepted""),
 XLOOKUP(
  acceptedID,
  tblTargetStatus[TargetID],
  tblTargetStatus[PlayerCompleted],
  FALSE
 )
)"),FALSE)</f>
        <v>0</v>
      </c>
      <c r="H118" s="21" t="str">
        <f t="array" ref="H118">LET(
 name,
 _xlfn.XLOOKUP(
  A118,
  tblTargetStatus[TargetID],
  tblTargetStatus[DisplayName],
  ""
 ),
 SUBSTITUTE(
  SUBSTITUTE(name," Accepted",""),
  " Finished",""
 )
)</f>
        <v>Shogun's Katana Chapter 2</v>
      </c>
      <c r="I118" s="6"/>
      <c r="J118" s="6"/>
      <c r="K118" s="6"/>
      <c r="L118" s="6"/>
      <c r="M118" s="6"/>
      <c r="N118" s="6"/>
      <c r="O118" s="6"/>
      <c r="P118" s="6"/>
      <c r="Q118" s="6"/>
      <c r="R118" s="6"/>
      <c r="S118" s="6"/>
      <c r="T118" s="6"/>
      <c r="U118" s="6"/>
      <c r="V118" s="6"/>
      <c r="W118" s="6"/>
      <c r="X118" s="6"/>
      <c r="Y118" s="6"/>
      <c r="Z118" s="6"/>
      <c r="AA118" s="6"/>
      <c r="AB118" s="6"/>
    </row>
    <row r="119" ht="14.25" customHeight="1">
      <c r="A119" s="21" t="s">
        <v>1269</v>
      </c>
      <c r="B119" s="21"/>
      <c r="C119" s="21" t="str">
        <f t="array" ref="C119">_xlfn.XLOOKUP(
 E119,
 tblTargetStatus[TargetID],
 tblTargetStatus[DisplayName],
 ""
)</f>
        <v>Warehouse Lv 1</v>
      </c>
      <c r="D119" s="21" t="str">
        <f t="array" ref="D119">_xlfn.XLOOKUP(
 E119,
 tblTargets[TargetID],
 tblTargets[TargetType],
 ""
)</f>
        <v>BUILDING</v>
      </c>
      <c r="E119" s="26" t="s">
        <v>440</v>
      </c>
      <c r="F119" s="21" t="b">
        <f t="array" ref="F119">NOT(
 _xlfn.XLOOKUP(
  E119,
  tblTargetStatus[TargetID],
  tblTargetStatus[PlayerCompleted],
  FALSE
 )
)</f>
        <v>1</v>
      </c>
      <c r="G119" s="21" t="b">
        <f>IFERROR(__xludf.DUMMYFUNCTION("LET(
 acceptedID,
 REGEXREPLACE(A119,""\.finished$"","".accepted""),
 XLOOKUP(
  acceptedID,
  tblTargetStatus[TargetID],
  tblTargetStatus[PlayerCompleted],
  FALSE
 )
)"),FALSE)</f>
        <v>0</v>
      </c>
      <c r="H119" s="21" t="str">
        <f t="array" ref="H119">LET(
 name,
 _xlfn.XLOOKUP(
  A119,
  tblTargetStatus[TargetID],
  tblTargetStatus[DisplayName],
  ""
 ),
 SUBSTITUTE(
  SUBSTITUTE(name," Accepted",""),
  " Finished",""
 )
)</f>
        <v>Shogun's Katana Chapter 2</v>
      </c>
      <c r="I119" s="6"/>
      <c r="J119" s="6"/>
      <c r="K119" s="6"/>
      <c r="L119" s="6"/>
      <c r="M119" s="6"/>
      <c r="N119" s="6"/>
      <c r="O119" s="6"/>
      <c r="P119" s="6"/>
      <c r="Q119" s="6"/>
      <c r="R119" s="6"/>
      <c r="S119" s="6"/>
      <c r="T119" s="6"/>
      <c r="U119" s="6"/>
      <c r="V119" s="6"/>
      <c r="W119" s="6"/>
      <c r="X119" s="6"/>
      <c r="Y119" s="6"/>
      <c r="Z119" s="6"/>
      <c r="AA119" s="6"/>
      <c r="AB119" s="6"/>
    </row>
    <row r="120" ht="14.25" customHeight="1">
      <c r="A120" s="21" t="s">
        <v>1269</v>
      </c>
      <c r="B120" s="21"/>
      <c r="C120" s="21" t="str">
        <f t="array" ref="C120">_xlfn.XLOOKUP(
 E120,
 tblTargetStatus[TargetID],
 tblTargetStatus[DisplayName],
 ""
)</f>
        <v>Lumber Lv 3</v>
      </c>
      <c r="D120" s="21" t="str">
        <f t="array" ref="D120">_xlfn.XLOOKUP(
 E120,
 tblTargets[TargetID],
 tblTargets[TargetType],
 ""
)</f>
        <v>BUILDING</v>
      </c>
      <c r="E120" s="26" t="s">
        <v>348</v>
      </c>
      <c r="F120" s="21" t="b">
        <f t="array" ref="F120">NOT(
 _xlfn.XLOOKUP(
  E120,
  tblTargetStatus[TargetID],
  tblTargetStatus[PlayerCompleted],
  FALSE
 )
)</f>
        <v>1</v>
      </c>
      <c r="G120" s="21" t="b">
        <f>IFERROR(__xludf.DUMMYFUNCTION("LET(
 acceptedID,
 REGEXREPLACE(A120,""\.finished$"","".accepted""),
 XLOOKUP(
  acceptedID,
  tblTargetStatus[TargetID],
  tblTargetStatus[PlayerCompleted],
  FALSE
 )
)"),FALSE)</f>
        <v>0</v>
      </c>
      <c r="H120" s="21" t="str">
        <f t="array" ref="H120">LET(
 name,
 _xlfn.XLOOKUP(
  A120,
  tblTargetStatus[TargetID],
  tblTargetStatus[DisplayName],
  ""
 ),
 SUBSTITUTE(
  SUBSTITUTE(name," Accepted",""),
  " Finished",""
 )
)</f>
        <v>Shogun's Katana Chapter 2</v>
      </c>
      <c r="I120" s="6"/>
      <c r="J120" s="6"/>
      <c r="K120" s="6"/>
      <c r="L120" s="6"/>
      <c r="M120" s="6"/>
      <c r="N120" s="6"/>
      <c r="O120" s="6"/>
      <c r="P120" s="6"/>
      <c r="Q120" s="6"/>
      <c r="R120" s="6"/>
      <c r="S120" s="6"/>
      <c r="T120" s="6"/>
      <c r="U120" s="6"/>
      <c r="V120" s="6"/>
      <c r="W120" s="6"/>
      <c r="X120" s="6"/>
      <c r="Y120" s="6"/>
      <c r="Z120" s="6"/>
      <c r="AA120" s="6"/>
      <c r="AB120" s="6"/>
    </row>
    <row r="121" ht="14.25" customHeight="1">
      <c r="A121" s="21" t="s">
        <v>1269</v>
      </c>
      <c r="B121" s="21"/>
      <c r="C121" s="21" t="str">
        <f t="array" ref="C121">_xlfn.XLOOKUP(
 E121,
 tblTargetStatus[TargetID],
 tblTargetStatus[DisplayName],
 ""
)</f>
        <v>Obtain level 3 artifact</v>
      </c>
      <c r="D121" s="21" t="str">
        <f t="array" ref="D121">_xlfn.XLOOKUP(
 E121,
 tblTargets[TargetID],
 tblTargets[TargetType],
 ""
)</f>
        <v>STATE</v>
      </c>
      <c r="E121" s="26" t="s">
        <v>1599</v>
      </c>
      <c r="F121" s="21" t="b">
        <f t="array" ref="F121">NOT(
 _xlfn.XLOOKUP(
  E121,
  tblTargetStatus[TargetID],
  tblTargetStatus[PlayerCompleted],
  FALSE
 )
)</f>
        <v>1</v>
      </c>
      <c r="G121" s="21" t="b">
        <f>IFERROR(__xludf.DUMMYFUNCTION("LET(
 acceptedID,
 REGEXREPLACE(A121,""\.finished$"","".accepted""),
 XLOOKUP(
  acceptedID,
  tblTargetStatus[TargetID],
  tblTargetStatus[PlayerCompleted],
  FALSE
 )
)"),FALSE)</f>
        <v>0</v>
      </c>
      <c r="H121" s="21" t="str">
        <f t="array" ref="H121">LET(
 name,
 _xlfn.XLOOKUP(
  A121,
  tblTargetStatus[TargetID],
  tblTargetStatus[DisplayName],
  ""
 ),
 SUBSTITUTE(
  SUBSTITUTE(name," Accepted",""),
  " Finished",""
 )
)</f>
        <v>Shogun's Katana Chapter 2</v>
      </c>
      <c r="I121" s="6"/>
      <c r="J121" s="6"/>
      <c r="K121" s="6"/>
      <c r="L121" s="6"/>
      <c r="M121" s="6"/>
      <c r="N121" s="6"/>
      <c r="O121" s="6"/>
      <c r="P121" s="6"/>
      <c r="Q121" s="6"/>
      <c r="R121" s="6"/>
      <c r="S121" s="6"/>
      <c r="T121" s="6"/>
      <c r="U121" s="6"/>
      <c r="V121" s="6"/>
      <c r="W121" s="6"/>
      <c r="X121" s="6"/>
      <c r="Y121" s="6"/>
      <c r="Z121" s="6"/>
      <c r="AA121" s="6"/>
      <c r="AB121" s="6"/>
    </row>
    <row r="122" ht="14.25" customHeight="1">
      <c r="A122" s="21" t="s">
        <v>1269</v>
      </c>
      <c r="B122" s="21"/>
      <c r="C122" s="21" t="str">
        <f t="array" ref="C122">_xlfn.XLOOKUP(
 E122,
 tblTargetStatus[TargetID],
 tblTargetStatus[DisplayName],
 ""
)</f>
        <v>Character Level@22</v>
      </c>
      <c r="D122" s="21" t="str">
        <f t="array" ref="D122">_xlfn.XLOOKUP(
 E122,
 tblTargets[TargetID],
 tblTargets[TargetType],
 ""
)</f>
        <v>STATE</v>
      </c>
      <c r="E122" s="26" t="s">
        <v>1404</v>
      </c>
      <c r="F122" s="21" t="b">
        <f t="array" ref="F122">NOT(
 _xlfn.XLOOKUP(
  E122,
  tblTargetStatus[TargetID],
  tblTargetStatus[PlayerCompleted],
  FALSE
 )
)</f>
        <v>1</v>
      </c>
      <c r="G122" s="21" t="b">
        <f>IFERROR(__xludf.DUMMYFUNCTION("LET(
 acceptedID,
 REGEXREPLACE(A122,""\.finished$"","".accepted""),
 XLOOKUP(
  acceptedID,
  tblTargetStatus[TargetID],
  tblTargetStatus[PlayerCompleted],
  FALSE
 )
)"),FALSE)</f>
        <v>0</v>
      </c>
      <c r="H122" s="21" t="str">
        <f t="array" ref="H122">LET(
 name,
 _xlfn.XLOOKUP(
  A122,
  tblTargetStatus[TargetID],
  tblTargetStatus[DisplayName],
  ""
 ),
 SUBSTITUTE(
  SUBSTITUTE(name," Accepted",""),
  " Finished",""
 )
)</f>
        <v>Shogun's Katana Chapter 2</v>
      </c>
      <c r="I122" s="6"/>
      <c r="J122" s="6"/>
      <c r="K122" s="6"/>
      <c r="L122" s="6"/>
      <c r="M122" s="6"/>
      <c r="N122" s="6"/>
      <c r="O122" s="6"/>
      <c r="P122" s="6"/>
      <c r="Q122" s="6"/>
      <c r="R122" s="6"/>
      <c r="S122" s="6"/>
      <c r="T122" s="6"/>
      <c r="U122" s="6"/>
      <c r="V122" s="6"/>
      <c r="W122" s="6"/>
      <c r="X122" s="6"/>
      <c r="Y122" s="6"/>
      <c r="Z122" s="6"/>
      <c r="AA122" s="6"/>
      <c r="AB122" s="6"/>
    </row>
    <row r="123" ht="14.25" customHeight="1">
      <c r="A123" s="21" t="s">
        <v>1273</v>
      </c>
      <c r="B123" s="21"/>
      <c r="C123" s="21" t="str">
        <f t="array" ref="C123">_xlfn.XLOOKUP(
 E123,
 tblTargetStatus[TargetID],
 tblTargetStatus[DisplayName],
 ""
)</f>
        <v>Ship Lv 1</v>
      </c>
      <c r="D123" s="21" t="str">
        <f t="array" ref="D123">_xlfn.XLOOKUP(
 E123,
 tblTargets[TargetID],
 tblTargets[TargetType],
 ""
)</f>
        <v>BUILDING</v>
      </c>
      <c r="E123" s="21" t="s">
        <v>393</v>
      </c>
      <c r="F123" s="21" t="b">
        <f t="array" ref="F123">NOT(
 _xlfn.XLOOKUP(
  E123,
  tblTargetStatus[TargetID],
  tblTargetStatus[PlayerCompleted],
  FALSE
 )
)</f>
        <v>1</v>
      </c>
      <c r="G123" s="21" t="b">
        <f>IFERROR(__xludf.DUMMYFUNCTION("LET(
 acceptedID,
 REGEXREPLACE(A123,""\.finished$"","".accepted""),
 XLOOKUP(
  acceptedID,
  tblTargetStatus[TargetID],
  tblTargetStatus[PlayerCompleted],
  FALSE
 )
)"),FALSE)</f>
        <v>0</v>
      </c>
      <c r="H123" s="21" t="str">
        <f t="array" ref="H123">LET(
 name,
 _xlfn.XLOOKUP(
  A123,
  tblTargetStatus[TargetID],
  tblTargetStatus[DisplayName],
  ""
 ),
 SUBSTITUTE(
  SUBSTITUTE(name," Accepted",""),
  " Finished",""
 )
)</f>
        <v>Shogun's Katana Chapter 3</v>
      </c>
      <c r="I123" s="6"/>
      <c r="J123" s="6"/>
      <c r="K123" s="6"/>
      <c r="L123" s="6"/>
      <c r="M123" s="6"/>
      <c r="N123" s="6"/>
      <c r="O123" s="6"/>
      <c r="P123" s="6"/>
      <c r="Q123" s="6"/>
      <c r="R123" s="6"/>
      <c r="S123" s="6"/>
      <c r="T123" s="6"/>
      <c r="U123" s="6"/>
      <c r="V123" s="6"/>
      <c r="W123" s="6"/>
      <c r="X123" s="6"/>
      <c r="Y123" s="6"/>
      <c r="Z123" s="6"/>
      <c r="AA123" s="6"/>
      <c r="AB123" s="6"/>
    </row>
    <row r="124" ht="14.25" customHeight="1">
      <c r="A124" s="21" t="s">
        <v>1273</v>
      </c>
      <c r="B124" s="21"/>
      <c r="C124" s="21" t="str">
        <f t="array" ref="C124">_xlfn.XLOOKUP(
 E124,
 tblTargetStatus[TargetID],
 tblTargetStatus[DisplayName],
 ""
)</f>
        <v>Character Level@24</v>
      </c>
      <c r="D124" s="21" t="str">
        <f t="array" ref="D124">_xlfn.XLOOKUP(
 E124,
 tblTargets[TargetID],
 tblTargets[TargetType],
 ""
)</f>
        <v>STATE</v>
      </c>
      <c r="E124" s="21" t="s">
        <v>1409</v>
      </c>
      <c r="F124" s="21" t="b">
        <f t="array" ref="F124">NOT(
 _xlfn.XLOOKUP(
  E124,
  tblTargetStatus[TargetID],
  tblTargetStatus[PlayerCompleted],
  FALSE
 )
)</f>
        <v>1</v>
      </c>
      <c r="G124" s="21" t="b">
        <f>IFERROR(__xludf.DUMMYFUNCTION("LET(
 acceptedID,
 REGEXREPLACE(A124,""\.finished$"","".accepted""),
 XLOOKUP(
  acceptedID,
  tblTargetStatus[TargetID],
  tblTargetStatus[PlayerCompleted],
  FALSE
 )
)"),FALSE)</f>
        <v>0</v>
      </c>
      <c r="H124" s="21" t="str">
        <f t="array" ref="H124">LET(
 name,
 _xlfn.XLOOKUP(
  A124,
  tblTargetStatus[TargetID],
  tblTargetStatus[DisplayName],
  ""
 ),
 SUBSTITUTE(
  SUBSTITUTE(name," Accepted",""),
  " Finished",""
 )
)</f>
        <v>Shogun's Katana Chapter 3</v>
      </c>
      <c r="I124" s="6"/>
      <c r="J124" s="6"/>
      <c r="K124" s="6"/>
      <c r="L124" s="6"/>
      <c r="M124" s="6"/>
      <c r="N124" s="6"/>
      <c r="O124" s="6"/>
      <c r="P124" s="6"/>
      <c r="Q124" s="6"/>
      <c r="R124" s="6"/>
      <c r="S124" s="6"/>
      <c r="T124" s="6"/>
      <c r="U124" s="6"/>
      <c r="V124" s="6"/>
      <c r="W124" s="6"/>
      <c r="X124" s="6"/>
      <c r="Y124" s="6"/>
      <c r="Z124" s="6"/>
      <c r="AA124" s="6"/>
      <c r="AB124" s="6"/>
    </row>
    <row r="125" ht="14.25" customHeight="1">
      <c r="A125" s="21" t="s">
        <v>1273</v>
      </c>
      <c r="B125" s="21"/>
      <c r="C125" s="21" t="str">
        <f t="array" ref="C125">_xlfn.XLOOKUP(
 E125,
 tblTargetStatus[TargetID],
 tblTargetStatus[DisplayName],
 ""
)</f>
        <v>Food Stall Lv 2</v>
      </c>
      <c r="D125" s="21" t="str">
        <f t="array" ref="D125">_xlfn.XLOOKUP(
 E125,
 tblTargets[TargetID],
 tblTargets[TargetType],
 ""
)</f>
        <v>BUILDING</v>
      </c>
      <c r="E125" s="21" t="s">
        <v>234</v>
      </c>
      <c r="F125" s="21" t="b">
        <f t="array" ref="F125">NOT(
 _xlfn.XLOOKUP(
  E125,
  tblTargetStatus[TargetID],
  tblTargetStatus[PlayerCompleted],
  FALSE
 )
)</f>
        <v>1</v>
      </c>
      <c r="G125" s="21" t="b">
        <f>IFERROR(__xludf.DUMMYFUNCTION("LET(
 acceptedID,
 REGEXREPLACE(A125,""\.finished$"","".accepted""),
 XLOOKUP(
  acceptedID,
  tblTargetStatus[TargetID],
  tblTargetStatus[PlayerCompleted],
  FALSE
 )
)"),FALSE)</f>
        <v>0</v>
      </c>
      <c r="H125" s="21" t="str">
        <f t="array" ref="H125">LET(
 name,
 _xlfn.XLOOKUP(
  A125,
  tblTargetStatus[TargetID],
  tblTargetStatus[DisplayName],
  ""
 ),
 SUBSTITUTE(
  SUBSTITUTE(name," Accepted",""),
  " Finished",""
 )
)</f>
        <v>Shogun's Katana Chapter 3</v>
      </c>
      <c r="I125" s="6"/>
      <c r="J125" s="6"/>
      <c r="K125" s="6"/>
      <c r="L125" s="6"/>
      <c r="M125" s="6"/>
      <c r="N125" s="6"/>
      <c r="O125" s="6"/>
      <c r="P125" s="6"/>
      <c r="Q125" s="6"/>
      <c r="R125" s="6"/>
      <c r="S125" s="6"/>
      <c r="T125" s="6"/>
      <c r="U125" s="6"/>
      <c r="V125" s="6"/>
      <c r="W125" s="6"/>
      <c r="X125" s="6"/>
      <c r="Y125" s="6"/>
      <c r="Z125" s="6"/>
      <c r="AA125" s="6"/>
      <c r="AB125" s="6"/>
    </row>
    <row r="126" ht="14.25" customHeight="1">
      <c r="A126" s="21" t="s">
        <v>1273</v>
      </c>
      <c r="B126" s="21"/>
      <c r="C126" s="21" t="str">
        <f t="array" ref="C126">_xlfn.XLOOKUP(
 E126,
 tblTargetStatus[TargetID],
 tblTargetStatus[DisplayName],
 ""
)</f>
        <v>Purchase Smuggler's map for 100 coffee beans</v>
      </c>
      <c r="D126" s="21" t="str">
        <f t="array" ref="D126">_xlfn.XLOOKUP(
 E126,
 tblTargets[TargetID],
 tblTargets[TargetType],
 ""
)</f>
        <v>STATE</v>
      </c>
      <c r="E126" s="26" t="s">
        <v>1632</v>
      </c>
      <c r="F126" s="21" t="b">
        <f t="array" ref="F126">NOT(
 _xlfn.XLOOKUP(
  E126,
  tblTargetStatus[TargetID],
  tblTargetStatus[PlayerCompleted],
  FALSE
 )
)</f>
        <v>1</v>
      </c>
      <c r="G126" s="21" t="b">
        <f>IFERROR(__xludf.DUMMYFUNCTION("LET(
 acceptedID,
 REGEXREPLACE(A126,""\.finished$"","".accepted""),
 XLOOKUP(
  acceptedID,
  tblTargetStatus[TargetID],
  tblTargetStatus[PlayerCompleted],
  FALSE
 )
)"),FALSE)</f>
        <v>0</v>
      </c>
      <c r="H126" s="21" t="str">
        <f t="array" ref="H126">LET(
 name,
 _xlfn.XLOOKUP(
  A126,
  tblTargetStatus[TargetID],
  tblTargetStatus[DisplayName],
  ""
 ),
 SUBSTITUTE(
  SUBSTITUTE(name," Accepted",""),
  " Finished",""
 )
)</f>
        <v>Shogun's Katana Chapter 3</v>
      </c>
      <c r="I126" s="6"/>
      <c r="J126" s="6"/>
      <c r="K126" s="6"/>
      <c r="L126" s="6"/>
      <c r="M126" s="6"/>
      <c r="N126" s="6"/>
      <c r="O126" s="6"/>
      <c r="P126" s="6"/>
      <c r="Q126" s="6"/>
      <c r="R126" s="6"/>
      <c r="S126" s="6"/>
      <c r="T126" s="6"/>
      <c r="U126" s="6"/>
      <c r="V126" s="6"/>
      <c r="W126" s="6"/>
      <c r="X126" s="6"/>
      <c r="Y126" s="6"/>
      <c r="Z126" s="6"/>
      <c r="AA126" s="6"/>
      <c r="AB126" s="6"/>
    </row>
    <row r="127" ht="14.25" customHeight="1">
      <c r="A127" s="21" t="s">
        <v>1277</v>
      </c>
      <c r="B127" s="21"/>
      <c r="C127" s="21" t="str">
        <f t="array" ref="C127">_xlfn.XLOOKUP(
 E127,
 tblTargetStatus[TargetID],
 tblTargetStatus[DisplayName],
 ""
)</f>
        <v>Purchase Smuggler's map for 10 spices</v>
      </c>
      <c r="D127" s="21" t="str">
        <f t="array" ref="D127">_xlfn.XLOOKUP(
 E127,
 tblTargets[TargetID],
 tblTargets[TargetType],
 ""
)</f>
        <v>STATE</v>
      </c>
      <c r="E127" s="21" t="s">
        <v>1630</v>
      </c>
      <c r="F127" s="21" t="b">
        <f t="array" ref="F127">NOT(
 _xlfn.XLOOKUP(
  E127,
  tblTargetStatus[TargetID],
  tblTargetStatus[PlayerCompleted],
  FALSE
 )
)</f>
        <v>1</v>
      </c>
      <c r="G127" s="21" t="b">
        <f>IFERROR(__xludf.DUMMYFUNCTION("LET(
 acceptedID,
 REGEXREPLACE(A127,""\.finished$"","".accepted""),
 XLOOKUP(
  acceptedID,
  tblTargetStatus[TargetID],
  tblTargetStatus[PlayerCompleted],
  FALSE
 )
)"),FALSE)</f>
        <v>0</v>
      </c>
      <c r="H127" s="21" t="str">
        <f t="array" ref="H127">LET(
 name,
 _xlfn.XLOOKUP(
  A127,
  tblTargetStatus[TargetID],
  tblTargetStatus[DisplayName],
  ""
 ),
 SUBSTITUTE(
  SUBSTITUTE(name," Accepted",""),
  " Finished",""
 )
)</f>
        <v>Shogun's Katana Chapter 4</v>
      </c>
      <c r="I127" s="6"/>
      <c r="J127" s="6"/>
      <c r="K127" s="6"/>
      <c r="L127" s="6"/>
      <c r="M127" s="6"/>
      <c r="N127" s="6"/>
      <c r="O127" s="6"/>
      <c r="P127" s="6"/>
      <c r="Q127" s="6"/>
      <c r="R127" s="6"/>
      <c r="S127" s="6"/>
      <c r="T127" s="6"/>
      <c r="U127" s="6"/>
      <c r="V127" s="6"/>
      <c r="W127" s="6"/>
      <c r="X127" s="6"/>
      <c r="Y127" s="6"/>
      <c r="Z127" s="6"/>
      <c r="AA127" s="6"/>
      <c r="AB127" s="6"/>
    </row>
    <row r="128" ht="14.25" customHeight="1">
      <c r="A128" s="21" t="s">
        <v>1277</v>
      </c>
      <c r="B128" s="21"/>
      <c r="C128" s="21" t="str">
        <f t="array" ref="C128">_xlfn.XLOOKUP(
 E128,
 tblTargetStatus[TargetID],
 tblTargetStatus[DisplayName],
 ""
)</f>
        <v>Obtain Ship in a bottle</v>
      </c>
      <c r="D128" s="21" t="str">
        <f t="array" ref="D128">_xlfn.XLOOKUP(
 E128,
 tblTargets[TargetID],
 tblTargets[TargetType],
 ""
)</f>
        <v>STATE</v>
      </c>
      <c r="E128" s="26" t="s">
        <v>1625</v>
      </c>
      <c r="F128" s="21" t="b">
        <f t="array" ref="F128">NOT(
 _xlfn.XLOOKUP(
  E128,
  tblTargetStatus[TargetID],
  tblTargetStatus[PlayerCompleted],
  FALSE
 )
)</f>
        <v>1</v>
      </c>
      <c r="G128" s="21" t="b">
        <f>IFERROR(__xludf.DUMMYFUNCTION("LET(
 acceptedID,
 REGEXREPLACE(A128,""\.finished$"","".accepted""),
 XLOOKUP(
  acceptedID,
  tblTargetStatus[TargetID],
  tblTargetStatus[PlayerCompleted],
  FALSE
 )
)"),FALSE)</f>
        <v>0</v>
      </c>
      <c r="H128" s="21" t="str">
        <f t="array" ref="H128">LET(
 name,
 _xlfn.XLOOKUP(
  A128,
  tblTargetStatus[TargetID],
  tblTargetStatus[DisplayName],
  ""
 ),
 SUBSTITUTE(
  SUBSTITUTE(name," Accepted",""),
  " Finished",""
 )
)</f>
        <v>Shogun's Katana Chapter 4</v>
      </c>
      <c r="I128" s="6"/>
      <c r="J128" s="6"/>
      <c r="K128" s="6"/>
      <c r="L128" s="6"/>
      <c r="M128" s="6"/>
      <c r="N128" s="6"/>
      <c r="O128" s="6"/>
      <c r="P128" s="6"/>
      <c r="Q128" s="6"/>
      <c r="R128" s="6"/>
      <c r="S128" s="6"/>
      <c r="T128" s="6"/>
      <c r="U128" s="6"/>
      <c r="V128" s="6"/>
      <c r="W128" s="6"/>
      <c r="X128" s="6"/>
      <c r="Y128" s="6"/>
      <c r="Z128" s="6"/>
      <c r="AA128" s="6"/>
      <c r="AB128" s="6"/>
    </row>
    <row r="129" ht="14.25" customHeight="1">
      <c r="A129" s="21" t="s">
        <v>1277</v>
      </c>
      <c r="B129" s="21"/>
      <c r="C129" s="21" t="str">
        <f t="array" ref="C129">_xlfn.XLOOKUP(
 E129,
 tblTargetStatus[TargetID],
 tblTargetStatus[DisplayName],
 ""
)</f>
        <v>Ship Lv 2</v>
      </c>
      <c r="D129" s="21" t="str">
        <f t="array" ref="D129">_xlfn.XLOOKUP(
 E129,
 tblTargets[TargetID],
 tblTargets[TargetType],
 ""
)</f>
        <v>BUILDING</v>
      </c>
      <c r="E129" s="26" t="s">
        <v>396</v>
      </c>
      <c r="F129" s="21" t="b">
        <f t="array" ref="F129">NOT(
 _xlfn.XLOOKUP(
  E129,
  tblTargetStatus[TargetID],
  tblTargetStatus[PlayerCompleted],
  FALSE
 )
)</f>
        <v>1</v>
      </c>
      <c r="G129" s="21" t="b">
        <f>IFERROR(__xludf.DUMMYFUNCTION("LET(
 acceptedID,
 REGEXREPLACE(A129,""\.finished$"","".accepted""),
 XLOOKUP(
  acceptedID,
  tblTargetStatus[TargetID],
  tblTargetStatus[PlayerCompleted],
  FALSE
 )
)"),FALSE)</f>
        <v>0</v>
      </c>
      <c r="H129" s="21" t="str">
        <f t="array" ref="H129">LET(
 name,
 _xlfn.XLOOKUP(
  A129,
  tblTargetStatus[TargetID],
  tblTargetStatus[DisplayName],
  ""
 ),
 SUBSTITUTE(
  SUBSTITUTE(name," Accepted",""),
  " Finished",""
 )
)</f>
        <v>Shogun's Katana Chapter 4</v>
      </c>
      <c r="I129" s="6"/>
      <c r="J129" s="6"/>
      <c r="K129" s="6"/>
      <c r="L129" s="6"/>
      <c r="M129" s="6"/>
      <c r="N129" s="6"/>
      <c r="O129" s="6"/>
      <c r="P129" s="6"/>
      <c r="Q129" s="6"/>
      <c r="R129" s="6"/>
      <c r="S129" s="6"/>
      <c r="T129" s="6"/>
      <c r="U129" s="6"/>
      <c r="V129" s="6"/>
      <c r="W129" s="6"/>
      <c r="X129" s="6"/>
      <c r="Y129" s="6"/>
      <c r="Z129" s="6"/>
      <c r="AA129" s="6"/>
      <c r="AB129" s="6"/>
    </row>
    <row r="130" ht="14.25" customHeight="1">
      <c r="A130" s="21" t="s">
        <v>1277</v>
      </c>
      <c r="B130" s="21"/>
      <c r="C130" s="21" t="str">
        <f t="array" ref="C130">_xlfn.XLOOKUP(
 E130,
 tblTargetStatus[TargetID],
 tblTargetStatus[DisplayName],
 ""
)</f>
        <v>Attain level 2 cooking skill</v>
      </c>
      <c r="D130" s="21" t="str">
        <f t="array" ref="D130">_xlfn.XLOOKUP(
 E130,
 tblTargets[TargetID],
 tblTargets[TargetType],
 ""
)</f>
        <v>STATE</v>
      </c>
      <c r="E130" s="26" t="s">
        <v>1377</v>
      </c>
      <c r="F130" s="21" t="b">
        <f t="array" ref="F130">NOT(
 _xlfn.XLOOKUP(
  E130,
  tblTargetStatus[TargetID],
  tblTargetStatus[PlayerCompleted],
  FALSE
 )
)</f>
        <v>1</v>
      </c>
      <c r="G130" s="21" t="b">
        <f>IFERROR(__xludf.DUMMYFUNCTION("LET(
 acceptedID,
 REGEXREPLACE(A130,""\.finished$"","".accepted""),
 XLOOKUP(
  acceptedID,
  tblTargetStatus[TargetID],
  tblTargetStatus[PlayerCompleted],
  FALSE
 )
)"),FALSE)</f>
        <v>0</v>
      </c>
      <c r="H130" s="21" t="str">
        <f t="array" ref="H130">LET(
 name,
 _xlfn.XLOOKUP(
  A130,
  tblTargetStatus[TargetID],
  tblTargetStatus[DisplayName],
  ""
 ),
 SUBSTITUTE(
  SUBSTITUTE(name," Accepted",""),
  " Finished",""
 )
)</f>
        <v>Shogun's Katana Chapter 4</v>
      </c>
      <c r="I130" s="6"/>
      <c r="J130" s="6"/>
      <c r="K130" s="6"/>
      <c r="L130" s="6"/>
      <c r="M130" s="6"/>
      <c r="N130" s="6"/>
      <c r="O130" s="6"/>
      <c r="P130" s="6"/>
      <c r="Q130" s="6"/>
      <c r="R130" s="6"/>
      <c r="S130" s="6"/>
      <c r="T130" s="6"/>
      <c r="U130" s="6"/>
      <c r="V130" s="6"/>
      <c r="W130" s="6"/>
      <c r="X130" s="6"/>
      <c r="Y130" s="6"/>
      <c r="Z130" s="6"/>
      <c r="AA130" s="6"/>
      <c r="AB130" s="6"/>
    </row>
    <row r="131" ht="14.25" customHeight="1">
      <c r="A131" s="21" t="s">
        <v>1283</v>
      </c>
      <c r="B131" s="21"/>
      <c r="C131" s="21" t="str">
        <f t="array" ref="C131">_xlfn.XLOOKUP(
 E131,
 tblTargetStatus[TargetID],
 tblTargetStatus[DisplayName],
 ""
)</f>
        <v>Attain level 3 cooking skill</v>
      </c>
      <c r="D131" s="21" t="str">
        <f t="array" ref="D131">_xlfn.XLOOKUP(
 E131,
 tblTargets[TargetID],
 tblTargets[TargetType],
 ""
)</f>
        <v>STATE</v>
      </c>
      <c r="E131" s="26" t="s">
        <v>1379</v>
      </c>
      <c r="F131" s="21" t="b">
        <f t="array" ref="F131">NOT(
 _xlfn.XLOOKUP(
  E131,
  tblTargetStatus[TargetID],
  tblTargetStatus[PlayerCompleted],
  FALSE
 )
)</f>
        <v>1</v>
      </c>
      <c r="G131" s="21" t="b">
        <f>IFERROR(__xludf.DUMMYFUNCTION("LET(
 acceptedID,
 REGEXREPLACE(A131,""\.finished$"","".accepted""),
 XLOOKUP(
  acceptedID,
  tblTargetStatus[TargetID],
  tblTargetStatus[PlayerCompleted],
  FALSE
 )
)"),FALSE)</f>
        <v>0</v>
      </c>
      <c r="H131" s="21" t="str">
        <f t="array" ref="H131">LET(
 name,
 _xlfn.XLOOKUP(
  A131,
  tblTargetStatus[TargetID],
  tblTargetStatus[DisplayName],
  ""
 ),
 SUBSTITUTE(
  SUBSTITUTE(name," Accepted",""),
  " Finished",""
 )
)</f>
        <v>Shogun's Katana Chapter 5</v>
      </c>
      <c r="I131" s="6"/>
      <c r="J131" s="6"/>
      <c r="K131" s="6"/>
      <c r="L131" s="6"/>
      <c r="M131" s="6"/>
      <c r="N131" s="6"/>
      <c r="O131" s="6"/>
      <c r="P131" s="6"/>
      <c r="Q131" s="6"/>
      <c r="R131" s="6"/>
      <c r="S131" s="6"/>
      <c r="T131" s="6"/>
      <c r="U131" s="6"/>
      <c r="V131" s="6"/>
      <c r="W131" s="6"/>
      <c r="X131" s="6"/>
      <c r="Y131" s="6"/>
      <c r="Z131" s="6"/>
      <c r="AA131" s="6"/>
      <c r="AB131" s="6"/>
    </row>
    <row r="132" ht="14.25" customHeight="1">
      <c r="A132" s="21" t="s">
        <v>1283</v>
      </c>
      <c r="B132" s="21"/>
      <c r="C132" s="21" t="str">
        <f t="array" ref="C132">_xlfn.XLOOKUP(
 E132,
 tblTargetStatus[TargetID],
 tblTargetStatus[DisplayName],
 ""
)</f>
        <v>Ship Lv 3</v>
      </c>
      <c r="D132" s="21" t="str">
        <f t="array" ref="D132">_xlfn.XLOOKUP(
 E132,
 tblTargets[TargetID],
 tblTargets[TargetType],
 ""
)</f>
        <v>BUILDING</v>
      </c>
      <c r="E132" s="26" t="s">
        <v>399</v>
      </c>
      <c r="F132" s="21" t="b">
        <f t="array" ref="F132">NOT(
 _xlfn.XLOOKUP(
  E132,
  tblTargetStatus[TargetID],
  tblTargetStatus[PlayerCompleted],
  FALSE
 )
)</f>
        <v>1</v>
      </c>
      <c r="G132" s="21" t="b">
        <f>IFERROR(__xludf.DUMMYFUNCTION("LET(
 acceptedID,
 REGEXREPLACE(A132,""\.finished$"","".accepted""),
 XLOOKUP(
  acceptedID,
  tblTargetStatus[TargetID],
  tblTargetStatus[PlayerCompleted],
  FALSE
 )
)"),FALSE)</f>
        <v>0</v>
      </c>
      <c r="H132" s="21" t="str">
        <f t="array" ref="H132">LET(
 name,
 _xlfn.XLOOKUP(
  A132,
  tblTargetStatus[TargetID],
  tblTargetStatus[DisplayName],
  ""
 ),
 SUBSTITUTE(
  SUBSTITUTE(name," Accepted",""),
  " Finished",""
 )
)</f>
        <v>Shogun's Katana Chapter 5</v>
      </c>
      <c r="I132" s="6"/>
      <c r="J132" s="6"/>
      <c r="K132" s="6"/>
      <c r="L132" s="6"/>
      <c r="M132" s="6"/>
      <c r="N132" s="6"/>
      <c r="O132" s="6"/>
      <c r="P132" s="6"/>
      <c r="Q132" s="6"/>
      <c r="R132" s="6"/>
      <c r="S132" s="6"/>
      <c r="T132" s="6"/>
      <c r="U132" s="6"/>
      <c r="V132" s="6"/>
      <c r="W132" s="6"/>
      <c r="X132" s="6"/>
      <c r="Y132" s="6"/>
      <c r="Z132" s="6"/>
      <c r="AA132" s="6"/>
      <c r="AB132" s="6"/>
    </row>
    <row r="133" ht="14.25" customHeight="1">
      <c r="A133" s="21" t="s">
        <v>1283</v>
      </c>
      <c r="B133" s="21"/>
      <c r="C133" s="21" t="str">
        <f t="array" ref="C133">_xlfn.XLOOKUP(
 E133,
 tblTargetStatus[TargetID],
 tblTargetStatus[DisplayName],
 ""
)</f>
        <v>Purchase Smuggler's map for 15 pearl</v>
      </c>
      <c r="D133" s="21" t="str">
        <f t="array" ref="D133">_xlfn.XLOOKUP(
 E133,
 tblTargets[TargetID],
 tblTargets[TargetType],
 ""
)</f>
        <v>STATE</v>
      </c>
      <c r="E133" s="26" t="s">
        <v>1635</v>
      </c>
      <c r="F133" s="21" t="b">
        <f t="array" ref="F133">NOT(
 _xlfn.XLOOKUP(
  E133,
  tblTargetStatus[TargetID],
  tblTargetStatus[PlayerCompleted],
  FALSE
 )
)</f>
        <v>1</v>
      </c>
      <c r="G133" s="21" t="b">
        <f>IFERROR(__xludf.DUMMYFUNCTION("LET(
 acceptedID,
 REGEXREPLACE(A133,""\.finished$"","".accepted""),
 XLOOKUP(
  acceptedID,
  tblTargetStatus[TargetID],
  tblTargetStatus[PlayerCompleted],
  FALSE
 )
)"),FALSE)</f>
        <v>0</v>
      </c>
      <c r="H133" s="21" t="str">
        <f t="array" ref="H133">LET(
 name,
 _xlfn.XLOOKUP(
  A133,
  tblTargetStatus[TargetID],
  tblTargetStatus[DisplayName],
  ""
 ),
 SUBSTITUTE(
  SUBSTITUTE(name," Accepted",""),
  " Finished",""
 )
)</f>
        <v>Shogun's Katana Chapter 5</v>
      </c>
      <c r="I133" s="6"/>
      <c r="J133" s="6"/>
      <c r="K133" s="6"/>
      <c r="L133" s="6"/>
      <c r="M133" s="6"/>
      <c r="N133" s="6"/>
      <c r="O133" s="6"/>
      <c r="P133" s="6"/>
      <c r="Q133" s="6"/>
      <c r="R133" s="6"/>
      <c r="S133" s="6"/>
      <c r="T133" s="6"/>
      <c r="U133" s="6"/>
      <c r="V133" s="6"/>
      <c r="W133" s="6"/>
      <c r="X133" s="6"/>
      <c r="Y133" s="6"/>
      <c r="Z133" s="6"/>
      <c r="AA133" s="6"/>
      <c r="AB133" s="6"/>
    </row>
    <row r="134" ht="14.25" customHeight="1">
      <c r="A134" s="21" t="s">
        <v>1287</v>
      </c>
      <c r="B134" s="21"/>
      <c r="C134" s="21" t="str">
        <f t="array" ref="C134">_xlfn.XLOOKUP(
 E134,
 tblTargetStatus[TargetID],
 tblTargetStatus[DisplayName],
 ""
)</f>
        <v>Ship Lv 3</v>
      </c>
      <c r="D134" s="21" t="str">
        <f t="array" ref="D134">_xlfn.XLOOKUP(
 E134,
 tblTargets[TargetID],
 tblTargets[TargetType],
 ""
)</f>
        <v>BUILDING</v>
      </c>
      <c r="E134" s="26" t="s">
        <v>399</v>
      </c>
      <c r="F134" s="21" t="b">
        <f t="array" ref="F134">NOT(
 _xlfn.XLOOKUP(
  E134,
  tblTargetStatus[TargetID],
  tblTargetStatus[PlayerCompleted],
  FALSE
 )
)</f>
        <v>1</v>
      </c>
      <c r="G134" s="21" t="b">
        <f>IFERROR(__xludf.DUMMYFUNCTION("LET(
 acceptedID,
 REGEXREPLACE(A134,""\.finished$"","".accepted""),
 XLOOKUP(
  acceptedID,
  tblTargetStatus[TargetID],
  tblTargetStatus[PlayerCompleted],
  FALSE
 )
)"),FALSE)</f>
        <v>0</v>
      </c>
      <c r="H134" s="21" t="str">
        <f t="array" ref="H134">LET(
 name,
 _xlfn.XLOOKUP(
  A134,
  tblTargetStatus[TargetID],
  tblTargetStatus[DisplayName],
  ""
 ),
 SUBSTITUTE(
  SUBSTITUTE(name," Accepted",""),
  " Finished",""
 )
)</f>
        <v>Shogun's Katana Chapter 6</v>
      </c>
      <c r="I134" s="6"/>
      <c r="J134" s="6"/>
      <c r="K134" s="6"/>
      <c r="L134" s="6"/>
      <c r="M134" s="6"/>
      <c r="N134" s="6"/>
      <c r="O134" s="6"/>
      <c r="P134" s="6"/>
      <c r="Q134" s="6"/>
      <c r="R134" s="6"/>
      <c r="S134" s="6"/>
      <c r="T134" s="6"/>
      <c r="U134" s="6"/>
      <c r="V134" s="6"/>
      <c r="W134" s="6"/>
      <c r="X134" s="6"/>
      <c r="Y134" s="6"/>
      <c r="Z134" s="6"/>
      <c r="AA134" s="6"/>
      <c r="AB134" s="6"/>
    </row>
    <row r="135" ht="14.25" customHeight="1">
      <c r="A135" s="21" t="s">
        <v>1287</v>
      </c>
      <c r="B135" s="21"/>
      <c r="C135" s="21" t="str">
        <f t="array" ref="C135">_xlfn.XLOOKUP(
 E135,
 tblTargetStatus[TargetID],
 tblTargetStatus[DisplayName],
 ""
)</f>
        <v>Attain level 3 cooking skill</v>
      </c>
      <c r="D135" s="21" t="str">
        <f t="array" ref="D135">_xlfn.XLOOKUP(
 E135,
 tblTargets[TargetID],
 tblTargets[TargetType],
 ""
)</f>
        <v>STATE</v>
      </c>
      <c r="E135" s="26" t="s">
        <v>1379</v>
      </c>
      <c r="F135" s="21" t="b">
        <f t="array" ref="F135">NOT(
 _xlfn.XLOOKUP(
  E135,
  tblTargetStatus[TargetID],
  tblTargetStatus[PlayerCompleted],
  FALSE
 )
)</f>
        <v>1</v>
      </c>
      <c r="G135" s="21" t="b">
        <f>IFERROR(__xludf.DUMMYFUNCTION("LET(
 acceptedID,
 REGEXREPLACE(A135,""\.finished$"","".accepted""),
 XLOOKUP(
  acceptedID,
  tblTargetStatus[TargetID],
  tblTargetStatus[PlayerCompleted],
  FALSE
 )
)"),FALSE)</f>
        <v>0</v>
      </c>
      <c r="H135" s="21" t="str">
        <f t="array" ref="H135">LET(
 name,
 _xlfn.XLOOKUP(
  A135,
  tblTargetStatus[TargetID],
  tblTargetStatus[DisplayName],
  ""
 ),
 SUBSTITUTE(
  SUBSTITUTE(name," Accepted",""),
  " Finished",""
 )
)</f>
        <v>Shogun's Katana Chapter 6</v>
      </c>
      <c r="I135" s="6"/>
      <c r="J135" s="6"/>
      <c r="K135" s="6"/>
      <c r="L135" s="6"/>
      <c r="M135" s="6"/>
      <c r="N135" s="6"/>
      <c r="O135" s="6"/>
      <c r="P135" s="6"/>
      <c r="Q135" s="6"/>
      <c r="R135" s="6"/>
      <c r="S135" s="6"/>
      <c r="T135" s="6"/>
      <c r="U135" s="6"/>
      <c r="V135" s="6"/>
      <c r="W135" s="6"/>
      <c r="X135" s="6"/>
      <c r="Y135" s="6"/>
      <c r="Z135" s="6"/>
      <c r="AA135" s="6"/>
      <c r="AB135" s="6"/>
    </row>
    <row r="136" ht="14.25" customHeight="1">
      <c r="A136" s="21" t="s">
        <v>1287</v>
      </c>
      <c r="B136" s="21"/>
      <c r="C136" s="21" t="str">
        <f t="array" ref="C136">_xlfn.XLOOKUP(
 E136,
 tblTargetStatus[TargetID],
 tblTargetStatus[DisplayName],
 ""
)</f>
        <v>Food Stall Lv 3</v>
      </c>
      <c r="D136" s="21" t="str">
        <f t="array" ref="D136">_xlfn.XLOOKUP(
 E136,
 tblTargets[TargetID],
 tblTargets[TargetType],
 ""
)</f>
        <v>BUILDING</v>
      </c>
      <c r="E136" s="26" t="s">
        <v>239</v>
      </c>
      <c r="F136" s="21" t="b">
        <f t="array" ref="F136">NOT(
 _xlfn.XLOOKUP(
  E136,
  tblTargetStatus[TargetID],
  tblTargetStatus[PlayerCompleted],
  FALSE
 )
)</f>
        <v>1</v>
      </c>
      <c r="G136" s="21" t="b">
        <f>IFERROR(__xludf.DUMMYFUNCTION("LET(
 acceptedID,
 REGEXREPLACE(A136,""\.finished$"","".accepted""),
 XLOOKUP(
  acceptedID,
  tblTargetStatus[TargetID],
  tblTargetStatus[PlayerCompleted],
  FALSE
 )
)"),FALSE)</f>
        <v>0</v>
      </c>
      <c r="H136" s="21" t="str">
        <f t="array" ref="H136">LET(
 name,
 _xlfn.XLOOKUP(
  A136,
  tblTargetStatus[TargetID],
  tblTargetStatus[DisplayName],
  ""
 ),
 SUBSTITUTE(
  SUBSTITUTE(name," Accepted",""),
  " Finished",""
 )
)</f>
        <v>Shogun's Katana Chapter 6</v>
      </c>
      <c r="I136" s="6"/>
      <c r="J136" s="6"/>
      <c r="K136" s="6"/>
      <c r="L136" s="6"/>
      <c r="M136" s="6"/>
      <c r="N136" s="6"/>
      <c r="O136" s="6"/>
      <c r="P136" s="6"/>
      <c r="Q136" s="6"/>
      <c r="R136" s="6"/>
      <c r="S136" s="6"/>
      <c r="T136" s="6"/>
      <c r="U136" s="6"/>
      <c r="V136" s="6"/>
      <c r="W136" s="6"/>
      <c r="X136" s="6"/>
      <c r="Y136" s="6"/>
      <c r="Z136" s="6"/>
      <c r="AA136" s="6"/>
      <c r="AB136" s="6"/>
    </row>
    <row r="137" ht="14.25" customHeight="1">
      <c r="A137" s="21" t="s">
        <v>1287</v>
      </c>
      <c r="B137" s="21"/>
      <c r="C137" s="21" t="str">
        <f t="array" ref="C137">_xlfn.XLOOKUP(
 E137,
 tblTargetStatus[TargetID],
 tblTargetStatus[DisplayName],
 ""
)</f>
        <v>Learn character skill cartographer lvl 4</v>
      </c>
      <c r="D137" s="21" t="str">
        <f t="array" ref="D137">_xlfn.XLOOKUP(
 E137,
 tblTargets[TargetID],
 tblTargets[TargetType],
 ""
)</f>
        <v>STATE</v>
      </c>
      <c r="E137" s="26" t="s">
        <v>1367</v>
      </c>
      <c r="F137" s="21" t="b">
        <f t="array" ref="F137">NOT(
 _xlfn.XLOOKUP(
  E137,
  tblTargetStatus[TargetID],
  tblTargetStatus[PlayerCompleted],
  FALSE
 )
)</f>
        <v>1</v>
      </c>
      <c r="G137" s="21" t="b">
        <f>IFERROR(__xludf.DUMMYFUNCTION("LET(
 acceptedID,
 REGEXREPLACE(A137,""\.finished$"","".accepted""),
 XLOOKUP(
  acceptedID,
  tblTargetStatus[TargetID],
  tblTargetStatus[PlayerCompleted],
  FALSE
 )
)"),FALSE)</f>
        <v>0</v>
      </c>
      <c r="H137" s="21" t="str">
        <f t="array" ref="H137">LET(
 name,
 _xlfn.XLOOKUP(
  A137,
  tblTargetStatus[TargetID],
  tblTargetStatus[DisplayName],
  ""
 ),
 SUBSTITUTE(
  SUBSTITUTE(name," Accepted",""),
  " Finished",""
 )
)</f>
        <v>Shogun's Katana Chapter 6</v>
      </c>
      <c r="I137" s="6"/>
      <c r="J137" s="6"/>
      <c r="K137" s="6"/>
      <c r="L137" s="6"/>
      <c r="M137" s="6"/>
      <c r="N137" s="6"/>
      <c r="O137" s="6"/>
      <c r="P137" s="6"/>
      <c r="Q137" s="6"/>
      <c r="R137" s="6"/>
      <c r="S137" s="6"/>
      <c r="T137" s="6"/>
      <c r="U137" s="6"/>
      <c r="V137" s="6"/>
      <c r="W137" s="6"/>
      <c r="X137" s="6"/>
      <c r="Y137" s="6"/>
      <c r="Z137" s="6"/>
      <c r="AA137" s="6"/>
      <c r="AB137" s="6"/>
    </row>
    <row r="138" ht="14.25" customHeight="1">
      <c r="A138" s="21" t="s">
        <v>1287</v>
      </c>
      <c r="B138" s="21"/>
      <c r="C138" s="21" t="str">
        <f t="array" ref="C138">_xlfn.XLOOKUP(
 E138,
 tblTargetStatus[TargetID],
 tblTargetStatus[DisplayName],
 ""
)</f>
        <v>Craft level 4 map</v>
      </c>
      <c r="D138" s="21" t="str">
        <f t="array" ref="D138">_xlfn.XLOOKUP(
 E138,
 tblTargets[TargetID],
 tblTargets[TargetType],
 ""
)</f>
        <v>STATE</v>
      </c>
      <c r="E138" s="26" t="s">
        <v>1604</v>
      </c>
      <c r="F138" s="21" t="b">
        <f t="array" ref="F138">NOT(
 _xlfn.XLOOKUP(
  E138,
  tblTargetStatus[TargetID],
  tblTargetStatus[PlayerCompleted],
  FALSE
 )
)</f>
        <v>1</v>
      </c>
      <c r="G138" s="21" t="b">
        <f>IFERROR(__xludf.DUMMYFUNCTION("LET(
 acceptedID,
 REGEXREPLACE(A138,""\.finished$"","".accepted""),
 XLOOKUP(
  acceptedID,
  tblTargetStatus[TargetID],
  tblTargetStatus[PlayerCompleted],
  FALSE
 )
)"),FALSE)</f>
        <v>0</v>
      </c>
      <c r="H138" s="21" t="str">
        <f t="array" ref="H138">LET(
 name,
 _xlfn.XLOOKUP(
  A138,
  tblTargetStatus[TargetID],
  tblTargetStatus[DisplayName],
  ""
 ),
 SUBSTITUTE(
  SUBSTITUTE(name," Accepted",""),
  " Finished",""
 )
)</f>
        <v>Shogun's Katana Chapter 6</v>
      </c>
      <c r="I138" s="6"/>
      <c r="J138" s="6"/>
      <c r="K138" s="6"/>
      <c r="L138" s="6"/>
      <c r="M138" s="6"/>
      <c r="N138" s="6"/>
      <c r="O138" s="6"/>
      <c r="P138" s="6"/>
      <c r="Q138" s="6"/>
      <c r="R138" s="6"/>
      <c r="S138" s="6"/>
      <c r="T138" s="6"/>
      <c r="U138" s="6"/>
      <c r="V138" s="6"/>
      <c r="W138" s="6"/>
      <c r="X138" s="6"/>
      <c r="Y138" s="6"/>
      <c r="Z138" s="6"/>
      <c r="AA138" s="6"/>
      <c r="AB138" s="6"/>
    </row>
    <row r="139" ht="14.25" customHeight="1">
      <c r="A139" s="21" t="s">
        <v>1292</v>
      </c>
      <c r="B139" s="21"/>
      <c r="C139" s="21" t="str">
        <f t="array" ref="C139">_xlfn.XLOOKUP(
 E139,
 tblTargetStatus[TargetID],
 tblTargetStatus[DisplayName],
 ""
)</f>
        <v>Obtain Shogun's Katana</v>
      </c>
      <c r="D139" s="21" t="str">
        <f t="array" ref="D139">_xlfn.XLOOKUP(
 E139,
 tblTargets[TargetID],
 tblTargets[TargetType],
 ""
)</f>
        <v>STATE</v>
      </c>
      <c r="E139" s="26" t="s">
        <v>1628</v>
      </c>
      <c r="F139" s="21" t="b">
        <f t="array" ref="F139">NOT(
 _xlfn.XLOOKUP(
  E139,
  tblTargetStatus[TargetID],
  tblTargetStatus[PlayerCompleted],
  FALSE
 )
)</f>
        <v>1</v>
      </c>
      <c r="G139" s="21" t="b">
        <f>IFERROR(__xludf.DUMMYFUNCTION("LET(
 acceptedID,
 REGEXREPLACE(A139,""\.finished$"","".accepted""),
 XLOOKUP(
  acceptedID,
  tblTargetStatus[TargetID],
  tblTargetStatus[PlayerCompleted],
  FALSE
 )
)"),FALSE)</f>
        <v>0</v>
      </c>
      <c r="H139" s="21" t="str">
        <f t="array" ref="H139">LET(
 name,
 _xlfn.XLOOKUP(
  A139,
  tblTargetStatus[TargetID],
  tblTargetStatus[DisplayName],
  ""
 ),
 SUBSTITUTE(
  SUBSTITUTE(name," Accepted",""),
  " Finished",""
 )
)</f>
        <v>Shogun's Katana Chapter 7</v>
      </c>
      <c r="I139" s="6"/>
      <c r="J139" s="6"/>
      <c r="K139" s="6"/>
      <c r="L139" s="6"/>
      <c r="M139" s="6"/>
      <c r="N139" s="6"/>
      <c r="O139" s="6"/>
      <c r="P139" s="6"/>
      <c r="Q139" s="6"/>
      <c r="R139" s="6"/>
      <c r="S139" s="6"/>
      <c r="T139" s="6"/>
      <c r="U139" s="6"/>
      <c r="V139" s="6"/>
      <c r="W139" s="6"/>
      <c r="X139" s="6"/>
      <c r="Y139" s="6"/>
      <c r="Z139" s="6"/>
      <c r="AA139" s="6"/>
      <c r="AB139" s="6"/>
    </row>
    <row r="140" ht="14.25" customHeight="1">
      <c r="A140" s="21" t="s">
        <v>1292</v>
      </c>
      <c r="B140" s="21"/>
      <c r="C140" s="21" t="str">
        <f t="array" ref="C140">_xlfn.XLOOKUP(
 E140,
 tblTargetStatus[TargetID],
 tblTargetStatus[DisplayName],
 ""
)</f>
        <v>Craft level 4 map again</v>
      </c>
      <c r="D140" s="21" t="str">
        <f t="array" ref="D140">_xlfn.XLOOKUP(
 E140,
 tblTargets[TargetID],
 tblTargets[TargetType],
 ""
)</f>
        <v>STATE</v>
      </c>
      <c r="E140" s="21" t="s">
        <v>1607</v>
      </c>
      <c r="F140" s="21" t="b">
        <f t="array" ref="F140">NOT(
 _xlfn.XLOOKUP(
  E140,
  tblTargetStatus[TargetID],
  tblTargetStatus[PlayerCompleted],
  FALSE
 )
)</f>
        <v>1</v>
      </c>
      <c r="G140" s="21" t="b">
        <f>IFERROR(__xludf.DUMMYFUNCTION("LET(
 acceptedID,
 REGEXREPLACE(A140,""\.finished$"","".accepted""),
 XLOOKUP(
  acceptedID,
  tblTargetStatus[TargetID],
  tblTargetStatus[PlayerCompleted],
  FALSE
 )
)"),FALSE)</f>
        <v>0</v>
      </c>
      <c r="H140" s="21" t="str">
        <f t="array" ref="H140">LET(
 name,
 _xlfn.XLOOKUP(
  A140,
  tblTargetStatus[TargetID],
  tblTargetStatus[DisplayName],
  ""
 ),
 SUBSTITUTE(
  SUBSTITUTE(name," Accepted",""),
  " Finished",""
 )
)</f>
        <v>Shogun's Katana Chapter 7</v>
      </c>
      <c r="I140" s="6"/>
      <c r="J140" s="6"/>
      <c r="K140" s="6"/>
      <c r="L140" s="6"/>
      <c r="M140" s="6"/>
      <c r="N140" s="6"/>
      <c r="O140" s="6"/>
      <c r="P140" s="6"/>
      <c r="Q140" s="6"/>
      <c r="R140" s="6"/>
      <c r="S140" s="6"/>
      <c r="T140" s="6"/>
      <c r="U140" s="6"/>
      <c r="V140" s="6"/>
      <c r="W140" s="6"/>
      <c r="X140" s="6"/>
      <c r="Y140" s="6"/>
      <c r="Z140" s="6"/>
      <c r="AA140" s="6"/>
      <c r="AB140" s="6"/>
    </row>
    <row r="141" ht="14.25" customHeight="1">
      <c r="A141" s="26" t="s">
        <v>1185</v>
      </c>
      <c r="B141" s="21"/>
      <c r="C141" s="21" t="str">
        <f t="array" ref="C141">_xlfn.XLOOKUP(
 E141,
 tblTargetStatus[TargetID],
 tblTargetStatus[DisplayName],
 ""
)</f>
        <v>Deliver Ambrosia to Dark Lady in F3</v>
      </c>
      <c r="D141" s="21" t="str">
        <f t="array" ref="D141">_xlfn.XLOOKUP(
 E141,
 tblTargets[TargetID],
 tblTargets[TargetType],
 ""
)</f>
        <v>STATE</v>
      </c>
      <c r="E141" s="21" t="s">
        <v>1464</v>
      </c>
      <c r="F141" s="21" t="b">
        <f t="array" ref="F141">NOT(
 _xlfn.XLOOKUP(
  E141,
  tblTargetStatus[TargetID],
  tblTargetStatus[PlayerCompleted],
  FALSE
 )
)</f>
        <v>1</v>
      </c>
      <c r="G141" s="21" t="b">
        <f>IFERROR(__xludf.DUMMYFUNCTION("LET(
 acceptedID,
 REGEXREPLACE(A141,""\.finished$"","".accepted""),
 XLOOKUP(
  acceptedID,
  tblTargetStatus[TargetID],
  tblTargetStatus[PlayerCompleted],
  FALSE
 )
)"),FALSE)</f>
        <v>0</v>
      </c>
      <c r="H141" s="21" t="str">
        <f t="array" ref="H141">LET(
 name,
 _xlfn.XLOOKUP(
  A141,
  tblTargetStatus[TargetID],
  tblTargetStatus[DisplayName],
  ""
 ),
 SUBSTITUTE(
  SUBSTITUTE(name," Accepted",""),
  " Finished",""
 )
)</f>
        <v>Once Upon a Forest Chapter 7</v>
      </c>
      <c r="I141" s="6"/>
      <c r="J141" s="6"/>
      <c r="K141" s="6"/>
      <c r="L141" s="6"/>
      <c r="M141" s="6"/>
      <c r="N141" s="6"/>
      <c r="O141" s="6"/>
      <c r="P141" s="6"/>
      <c r="Q141" s="6"/>
      <c r="R141" s="6"/>
      <c r="S141" s="6"/>
      <c r="T141" s="6"/>
      <c r="U141" s="6"/>
      <c r="V141" s="6"/>
      <c r="W141" s="6"/>
      <c r="X141" s="6"/>
      <c r="Y141" s="6"/>
      <c r="Z141" s="6"/>
      <c r="AA141" s="6"/>
      <c r="AB141" s="6"/>
    </row>
    <row r="142" ht="14.25" customHeight="1">
      <c r="A142" s="21" t="s">
        <v>1023</v>
      </c>
      <c r="B142" s="21"/>
      <c r="C142" s="21" t="str">
        <f t="array" ref="C142">_xlfn.XLOOKUP(
 E142,
 tblTargetStatus[TargetID],
 tblTargetStatus[DisplayName],
 ""
)</f>
        <v>Obtain Reagent from 3A</v>
      </c>
      <c r="D142" s="21" t="str">
        <f t="array" ref="D142">_xlfn.XLOOKUP(
 E142,
 tblTargets[TargetID],
 tblTargets[TargetType],
 ""
)</f>
        <v>STATE</v>
      </c>
      <c r="E142" s="21" t="s">
        <v>1614</v>
      </c>
      <c r="F142" s="21" t="b">
        <f t="array" ref="F142">NOT(
 _xlfn.XLOOKUP(
  E142,
  tblTargetStatus[TargetID],
  tblTargetStatus[PlayerCompleted],
  FALSE
 )
)</f>
        <v>1</v>
      </c>
      <c r="G142" s="21" t="b">
        <f>IFERROR(__xludf.DUMMYFUNCTION("LET(
 acceptedID,
 REGEXREPLACE(A142,""\.finished$"","".accepted""),
 XLOOKUP(
  acceptedID,
  tblTargetStatus[TargetID],
  tblTargetStatus[PlayerCompleted],
  FALSE
 )
)"),FALSE)</f>
        <v>0</v>
      </c>
      <c r="H142" s="21" t="str">
        <f t="array" ref="H142">LET(
 name,
 _xlfn.XLOOKUP(
  A142,
  tblTargetStatus[TargetID],
  tblTargetStatus[DisplayName],
  ""
 ),
 SUBSTITUTE(
  SUBSTITUTE(name," Accepted",""),
  " Finished",""
 )
)</f>
        <v>Green Potion</v>
      </c>
      <c r="I142" s="6"/>
      <c r="J142" s="6"/>
      <c r="K142" s="6"/>
      <c r="L142" s="6"/>
      <c r="M142" s="6"/>
      <c r="N142" s="6"/>
      <c r="O142" s="6"/>
      <c r="P142" s="6"/>
      <c r="Q142" s="6"/>
      <c r="R142" s="6"/>
      <c r="S142" s="6"/>
      <c r="T142" s="6"/>
      <c r="U142" s="6"/>
      <c r="V142" s="6"/>
      <c r="W142" s="6"/>
      <c r="X142" s="6"/>
      <c r="Y142" s="6"/>
      <c r="Z142" s="6"/>
      <c r="AA142" s="6"/>
      <c r="AB142" s="6"/>
    </row>
    <row r="143" ht="14.25" customHeight="1">
      <c r="A143" s="21" t="s">
        <v>1348</v>
      </c>
      <c r="B143" s="21"/>
      <c r="C143" s="21" t="str">
        <f t="array" ref="C143">_xlfn.XLOOKUP(
 E143,
 tblTargetStatus[TargetID],
 tblTargetStatus[DisplayName],
 ""
)</f>
        <v>Complete Dungeon 5C second </v>
      </c>
      <c r="D143" s="21" t="str">
        <f t="array" ref="D143">_xlfn.XLOOKUP(
 E143,
 tblTargets[TargetID],
 tblTargets[TargetType],
 ""
)</f>
        <v>STATE</v>
      </c>
      <c r="E143" s="21" t="s">
        <v>1711</v>
      </c>
      <c r="F143" s="21" t="b">
        <f t="array" ref="F143">NOT(
 _xlfn.XLOOKUP(
  E143,
  tblTargetStatus[TargetID],
  tblTargetStatus[PlayerCompleted],
  FALSE
 )
)</f>
        <v>1</v>
      </c>
      <c r="G143" s="21" t="b">
        <f>IFERROR(__xludf.DUMMYFUNCTION("LET(
 acceptedID,
 REGEXREPLACE(A143,""\.finished$"","".accepted""),
 XLOOKUP(
  acceptedID,
  tblTargetStatus[TargetID],
  tblTargetStatus[PlayerCompleted],
  FALSE
 )
)"),FALSE)</f>
        <v>0</v>
      </c>
      <c r="H143" s="21" t="str">
        <f t="array" ref="H143">LET(
 name,
 _xlfn.XLOOKUP(
  A143,
  tblTargetStatus[TargetID],
  tblTargetStatus[DisplayName],
  ""
 ),
 SUBSTITUTE(
  SUBSTITUTE(name," Accepted",""),
  " Finished",""
 )
)</f>
        <v>Undead Revenge</v>
      </c>
      <c r="I143" s="6"/>
      <c r="J143" s="6"/>
      <c r="K143" s="6"/>
      <c r="L143" s="6"/>
      <c r="M143" s="6"/>
      <c r="N143" s="6"/>
      <c r="O143" s="6"/>
      <c r="P143" s="6"/>
      <c r="Q143" s="6"/>
      <c r="R143" s="6"/>
      <c r="S143" s="6"/>
      <c r="T143" s="6"/>
      <c r="U143" s="6"/>
      <c r="V143" s="6"/>
      <c r="W143" s="6"/>
      <c r="X143" s="6"/>
      <c r="Y143" s="6"/>
      <c r="Z143" s="6"/>
      <c r="AA143" s="6"/>
      <c r="AB143" s="6"/>
    </row>
    <row r="144" ht="14.25" customHeight="1">
      <c r="A144" s="21" t="s">
        <v>1273</v>
      </c>
      <c r="B144" s="21"/>
      <c r="C144" s="21" t="str">
        <f t="array" ref="C144">_xlfn.XLOOKUP(
 E144,
 tblTargetStatus[TargetID],
 tblTargetStatus[DisplayName],
 ""
)</f>
        <v>Obtain Pirate hat</v>
      </c>
      <c r="D144" s="21" t="str">
        <f t="array" ref="D144">_xlfn.XLOOKUP(
 E144,
 tblTargets[TargetID],
 tblTargets[TargetType],
 ""
)</f>
        <v>STATE</v>
      </c>
      <c r="E144" s="21" t="s">
        <v>2004</v>
      </c>
      <c r="F144" s="21" t="b">
        <f t="array" ref="F144">NOT(
 _xlfn.XLOOKUP(
  E144,
  tblTargetStatus[TargetID],
  tblTargetStatus[PlayerCompleted],
  FALSE
 )
)</f>
        <v>1</v>
      </c>
      <c r="G144" s="21" t="b">
        <f>IFERROR(__xludf.DUMMYFUNCTION("LET(
 acceptedID,
 REGEXREPLACE(A144,""\.finished$"","".accepted""),
 XLOOKUP(
  acceptedID,
  tblTargetStatus[TargetID],
  tblTargetStatus[PlayerCompleted],
  FALSE
 )
)"),FALSE)</f>
        <v>0</v>
      </c>
      <c r="H144" s="21" t="str">
        <f t="array" ref="H144">LET(
 name,
 _xlfn.XLOOKUP(
  A144,
  tblTargetStatus[TargetID],
  tblTargetStatus[DisplayName],
  ""
 ),
 SUBSTITUTE(
  SUBSTITUTE(name," Accepted",""),
  " Finished",""
 )
)</f>
        <v>Shogun's Katana Chapter 3</v>
      </c>
      <c r="I144" s="6"/>
      <c r="J144" s="6"/>
      <c r="K144" s="6"/>
      <c r="L144" s="6"/>
      <c r="M144" s="6"/>
      <c r="N144" s="6"/>
      <c r="O144" s="6"/>
      <c r="P144" s="6"/>
      <c r="Q144" s="6"/>
      <c r="R144" s="6"/>
      <c r="S144" s="6"/>
      <c r="T144" s="6"/>
      <c r="U144" s="6"/>
      <c r="V144" s="6"/>
      <c r="W144" s="6"/>
      <c r="X144" s="6"/>
      <c r="Y144" s="6"/>
      <c r="Z144" s="6"/>
      <c r="AA144" s="6"/>
      <c r="AB144" s="6"/>
    </row>
    <row r="145" ht="14.25" customHeight="1">
      <c r="A145" s="21" t="s">
        <v>1283</v>
      </c>
      <c r="B145" s="21"/>
      <c r="C145" s="21" t="str">
        <f t="array" ref="C145">_xlfn.XLOOKUP(
 E145,
 tblTargetStatus[TargetID],
 tblTargetStatus[DisplayName],
 ""
)</f>
        <v>Obtain Black Pearl</v>
      </c>
      <c r="D145" s="21" t="str">
        <f t="array" ref="D145">_xlfn.XLOOKUP(
 E145,
 tblTargets[TargetID],
 tblTargets[TargetType],
 ""
)</f>
        <v>STATE</v>
      </c>
      <c r="E145" s="26" t="s">
        <v>1992</v>
      </c>
      <c r="F145" s="21" t="b">
        <f t="array" ref="F145">NOT(
 _xlfn.XLOOKUP(
  E145,
  tblTargetStatus[TargetID],
  tblTargetStatus[PlayerCompleted],
  FALSE
 )
)</f>
        <v>1</v>
      </c>
      <c r="G145" s="21" t="b">
        <f>IFERROR(__xludf.DUMMYFUNCTION("LET(
 acceptedID,
 REGEXREPLACE(A145,""\.finished$"","".accepted""),
 XLOOKUP(
  acceptedID,
  tblTargetStatus[TargetID],
  tblTargetStatus[PlayerCompleted],
  FALSE
 )
)"),FALSE)</f>
        <v>0</v>
      </c>
      <c r="H145" s="21" t="str">
        <f t="array" ref="H145">LET(
 name,
 _xlfn.XLOOKUP(
  A145,
  tblTargetStatus[TargetID],
  tblTargetStatus[DisplayName],
  ""
 ),
 SUBSTITUTE(
  SUBSTITUTE(name," Accepted",""),
  " Finished",""
 )
)</f>
        <v>Shogun's Katana Chapter 5</v>
      </c>
      <c r="I145" s="6"/>
      <c r="J145" s="6"/>
      <c r="K145" s="6"/>
      <c r="L145" s="6"/>
      <c r="M145" s="6"/>
      <c r="N145" s="6"/>
      <c r="O145" s="6"/>
      <c r="P145" s="6"/>
      <c r="Q145" s="6"/>
      <c r="R145" s="6"/>
      <c r="S145" s="6"/>
      <c r="T145" s="6"/>
      <c r="U145" s="6"/>
      <c r="V145" s="6"/>
      <c r="W145" s="6"/>
      <c r="X145" s="6"/>
      <c r="Y145" s="6"/>
      <c r="Z145" s="6"/>
      <c r="AA145" s="6"/>
      <c r="AB145" s="6"/>
    </row>
    <row r="146" ht="14.25" customHeight="1">
      <c r="A146" s="21" t="s">
        <v>1287</v>
      </c>
      <c r="B146" s="21"/>
      <c r="C146" s="21" t="str">
        <f t="array" ref="C146">_xlfn.XLOOKUP(
 E146,
 tblTargetStatus[TargetID],
 tblTargetStatus[DisplayName],
 ""
)</f>
        <v>Obtain Shogun's Mortar</v>
      </c>
      <c r="D146" s="21" t="str">
        <f t="array" ref="D146">_xlfn.XLOOKUP(
 E146,
 tblTargets[TargetID],
 tblTargets[TargetType],
 ""
)</f>
        <v>STATE</v>
      </c>
      <c r="E146" s="21" t="s">
        <v>2017</v>
      </c>
      <c r="F146" s="21" t="b">
        <f t="array" ref="F146">NOT(
 _xlfn.XLOOKUP(
  E146,
  tblTargetStatus[TargetID],
  tblTargetStatus[PlayerCompleted],
  FALSE
 )
)</f>
        <v>1</v>
      </c>
      <c r="G146" s="21" t="b">
        <f>IFERROR(__xludf.DUMMYFUNCTION("LET(
 acceptedID,
 REGEXREPLACE(A146,""\.finished$"","".accepted""),
 XLOOKUP(
  acceptedID,
  tblTargetStatus[TargetID],
  tblTargetStatus[PlayerCompleted],
  FALSE
 )
)"),FALSE)</f>
        <v>0</v>
      </c>
      <c r="H146" s="21" t="str">
        <f t="array" ref="H146">LET(
 name,
 _xlfn.XLOOKUP(
  A146,
  tblTargetStatus[TargetID],
  tblTargetStatus[DisplayName],
  ""
 ),
 SUBSTITUTE(
  SUBSTITUTE(name," Accepted",""),
  " Finished",""
 )
)</f>
        <v>Shogun's Katana Chapter 6</v>
      </c>
      <c r="I146" s="6"/>
      <c r="J146" s="6"/>
      <c r="K146" s="6"/>
      <c r="L146" s="6"/>
      <c r="M146" s="6"/>
      <c r="N146" s="6"/>
      <c r="O146" s="6"/>
      <c r="P146" s="6"/>
      <c r="Q146" s="6"/>
      <c r="R146" s="6"/>
      <c r="S146" s="6"/>
      <c r="T146" s="6"/>
      <c r="U146" s="6"/>
      <c r="V146" s="6"/>
      <c r="W146" s="6"/>
      <c r="X146" s="6"/>
      <c r="Y146" s="6"/>
      <c r="Z146" s="6"/>
      <c r="AA146" s="6"/>
      <c r="AB146" s="6"/>
    </row>
    <row r="147" ht="14.25" customHeight="1">
      <c r="A147" s="21" t="s">
        <v>1221</v>
      </c>
      <c r="B147" s="21"/>
      <c r="C147" s="21" t="str">
        <f t="array" ref="C147">_xlfn.XLOOKUP(
 E147,
 tblTargetStatus[TargetID],
 tblTargetStatus[DisplayName],
 ""
)</f>
        <v>Complete Dungeon 1A</v>
      </c>
      <c r="D147" s="21" t="str">
        <f t="array" ref="D147">_xlfn.XLOOKUP(
 E147,
 tblTargets[TargetID],
 tblTargets[TargetType],
 ""
)</f>
        <v>STATE</v>
      </c>
      <c r="E147" s="26" t="s">
        <v>1676</v>
      </c>
      <c r="F147" s="21" t="b">
        <f t="array" ref="F147">NOT(
 _xlfn.XLOOKUP(
  E147,
  tblTargetStatus[TargetID],
  tblTargetStatus[PlayerCompleted],
  FALSE
 )
)</f>
        <v>1</v>
      </c>
      <c r="G147" s="21" t="b">
        <f>IFERROR(__xludf.DUMMYFUNCTION("LET(
 acceptedID,
 REGEXREPLACE(A147,""\.finished$"","".accepted""),
 XLOOKUP(
  acceptedID,
  tblTargetStatus[TargetID],
  tblTargetStatus[PlayerCompleted],
  FALSE
 )
)"),FALSE)</f>
        <v>0</v>
      </c>
      <c r="H147" s="21" t="str">
        <f t="array" ref="H147">LET(
 name,
 _xlfn.XLOOKUP(
  A147,
  tblTargetStatus[TargetID],
  tblTargetStatus[DisplayName],
  ""
 ),
 SUBSTITUTE(
  SUBSTITUTE(name," Accepted",""),
  " Finished",""
 )
)</f>
        <v>Quest for Knowledge Chapter 1</v>
      </c>
      <c r="I147" s="6"/>
      <c r="J147" s="6"/>
      <c r="K147" s="6"/>
      <c r="L147" s="6"/>
      <c r="M147" s="6"/>
      <c r="N147" s="6"/>
      <c r="O147" s="6"/>
      <c r="P147" s="6"/>
      <c r="Q147" s="6"/>
      <c r="R147" s="6"/>
      <c r="S147" s="6"/>
      <c r="T147" s="6"/>
      <c r="U147" s="6"/>
      <c r="V147" s="6"/>
      <c r="W147" s="6"/>
      <c r="X147" s="6"/>
      <c r="Y147" s="6"/>
      <c r="Z147" s="6"/>
      <c r="AA147" s="6"/>
      <c r="AB147" s="6"/>
    </row>
    <row r="148" ht="14.25" customHeight="1">
      <c r="A148" s="21" t="s">
        <v>945</v>
      </c>
      <c r="B148" s="21"/>
      <c r="C148" s="21" t="str">
        <f t="array" ref="C148">_xlfn.XLOOKUP(
 E148,
 tblTargetStatus[TargetID],
 tblTargetStatus[DisplayName],
 ""
)</f>
        <v>Complete Dungeon 6D</v>
      </c>
      <c r="D148" s="21" t="str">
        <f t="array" ref="D148">_xlfn.XLOOKUP(
 E148,
 tblTargets[TargetID],
 tblTargets[TargetType],
 ""
)</f>
        <v>STATE</v>
      </c>
      <c r="E148" s="21" t="s">
        <v>1689</v>
      </c>
      <c r="F148" s="21" t="b">
        <f t="array" ref="F148">NOT(
 _xlfn.XLOOKUP(
  E148,
  tblTargetStatus[TargetID],
  tblTargetStatus[PlayerCompleted],
  FALSE
 )
)</f>
        <v>1</v>
      </c>
      <c r="G148" s="21" t="b">
        <f>IFERROR(__xludf.DUMMYFUNCTION("LET(
 acceptedID,
 REGEXREPLACE(A148,""\.finished$"","".accepted""),
 XLOOKUP(
  acceptedID,
  tblTargetStatus[TargetID],
  tblTargetStatus[PlayerCompleted],
  FALSE
 )
)"),FALSE)</f>
        <v>0</v>
      </c>
      <c r="H148" s="21" t="str">
        <f t="array" ref="H148">LET(
 name,
 _xlfn.XLOOKUP(
  A148,
  tblTargetStatus[TargetID],
  tblTargetStatus[DisplayName],
  ""
 ),
 SUBSTITUTE(
  SUBSTITUTE(name," Accepted",""),
  " Finished",""
 )
)</f>
        <v>Ahead of Time Chapter 3</v>
      </c>
      <c r="I148" s="6"/>
      <c r="J148" s="6"/>
      <c r="K148" s="6"/>
      <c r="L148" s="6"/>
      <c r="M148" s="6"/>
      <c r="N148" s="6"/>
      <c r="O148" s="6"/>
      <c r="P148" s="6"/>
      <c r="Q148" s="6"/>
      <c r="R148" s="6"/>
      <c r="S148" s="6"/>
      <c r="T148" s="6"/>
      <c r="U148" s="6"/>
      <c r="V148" s="6"/>
      <c r="W148" s="6"/>
      <c r="X148" s="6"/>
      <c r="Y148" s="6"/>
      <c r="Z148" s="6"/>
      <c r="AA148" s="6"/>
      <c r="AB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customSheetViews>
    <customSheetView guid="{0DD2D6E0-230F-4983-AAFB-CA2BE29401DD}" filter="1" showAutoFilter="1">
      <autoFilter ref="$A$1:$H$148">
        <filterColumn colId="0">
          <filters>
            <filter val="quest.once_upon_a_forest_chapter_2.finished"/>
            <filter val="quest.once_upon_a_forest_chapter_12.finished"/>
            <filter val="quest.once_upon_a_forest_chapter_15.finished"/>
            <filter val="quest.once_upon_a_forest_chapter_11.finished"/>
            <filter val="quest.once_upon_a_forest_chapter_1.finished"/>
            <filter val="quest.once_upon_a_forest_chapter_6.finished"/>
            <filter val="quest.once_upon_a_forest_chapter_7.finished"/>
            <filter val="quest.once_upon_a_forest_chapter_10.finished"/>
            <filter val="quest.once_upon_a_forest_chapter_13.finished"/>
            <filter val="quest.once_upon_a_forest_chapter_3.finished"/>
            <filter val="quest.once_upon_a_forest_chapter_4.finished"/>
            <filter val="quest.once_upon_a_forest_chapter_14.finished"/>
            <filter val="quest.once_upon_a_forest_chapter_9.finished"/>
          </filters>
        </filterColumn>
      </autoFilter>
    </customSheetView>
  </customSheetView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5"/>
    <col customWidth="1" min="2" max="2" width="12.25"/>
    <col customWidth="1" min="3" max="3" width="26.75"/>
    <col customWidth="1" min="4" max="4" width="86.0"/>
    <col customWidth="1" min="5" max="26" width="8.63"/>
  </cols>
  <sheetData>
    <row r="1" ht="14.25" customHeight="1">
      <c r="A1" s="92" t="s">
        <v>38</v>
      </c>
      <c r="B1" s="12" t="s">
        <v>41</v>
      </c>
      <c r="C1" s="93" t="s">
        <v>39</v>
      </c>
      <c r="D1" s="94" t="s">
        <v>3524</v>
      </c>
    </row>
    <row r="2" ht="14.25" customHeight="1">
      <c r="A2" s="95" t="s">
        <v>47</v>
      </c>
      <c r="B2" s="84" t="str">
        <f t="array" ref="B2">_xlfn.XLOOKUP(
 A2,
 tblTargets[TargetID],
 tblTargets[TargetType],
 ""
)
 </f>
        <v>BUILDING</v>
      </c>
      <c r="C2" s="96" t="str">
        <f t="array" ref="C2">_xlfn.XLOOKUP(
 A2,
 tblTargets[TargetID],
 tblTargets[DisplayName],
 ""
)</f>
        <v>Airship Lv 1</v>
      </c>
      <c r="D2" s="97" t="s">
        <v>3525</v>
      </c>
    </row>
    <row r="3" ht="14.25" customHeight="1">
      <c r="A3" s="96" t="s">
        <v>58</v>
      </c>
      <c r="B3" s="84" t="str">
        <f t="array" ref="B3">_xlfn.XLOOKUP(
 A3,
 tblTargets[TargetID],
 tblTargets[TargetType],
 ""
)
 </f>
        <v>BUILDING</v>
      </c>
      <c r="C3" s="96" t="str">
        <f t="array" ref="C3">_xlfn.XLOOKUP(
 A3,
 tblTargets[TargetID],
 tblTargets[DisplayName],
 ""
)</f>
        <v>Airship Lv 2</v>
      </c>
      <c r="D3" s="98" t="s">
        <v>3527</v>
      </c>
    </row>
    <row r="4" ht="14.25" customHeight="1">
      <c r="A4" s="95" t="s">
        <v>62</v>
      </c>
      <c r="B4" s="84" t="str">
        <f t="array" ref="B4">_xlfn.XLOOKUP(
 A4,
 tblTargets[TargetID],
 tblTargets[TargetType],
 ""
)
 </f>
        <v>BUILDING</v>
      </c>
      <c r="C4" s="96" t="str">
        <f t="array" ref="C4">_xlfn.XLOOKUP(
 A4,
 tblTargets[TargetID],
 tblTargets[DisplayName],
 ""
)</f>
        <v>Alchemist's Hut Lv 1</v>
      </c>
      <c r="D4" s="97" t="s">
        <v>3528</v>
      </c>
    </row>
    <row r="5" ht="14.25" customHeight="1">
      <c r="A5" s="96" t="s">
        <v>65</v>
      </c>
      <c r="B5" s="84" t="str">
        <f t="array" ref="B5">_xlfn.XLOOKUP(
 A5,
 tblTargets[TargetID],
 tblTargets[TargetType],
 ""
)
 </f>
        <v>BUILDING</v>
      </c>
      <c r="C5" s="96" t="str">
        <f t="array" ref="C5">_xlfn.XLOOKUP(
 A5,
 tblTargets[TargetID],
 tblTargets[DisplayName],
 ""
)</f>
        <v>Alchemist's Hut Lv 2</v>
      </c>
      <c r="D5" s="98" t="s">
        <v>3529</v>
      </c>
    </row>
    <row r="6" ht="14.25" customHeight="1">
      <c r="A6" s="95" t="s">
        <v>68</v>
      </c>
      <c r="B6" s="84" t="str">
        <f t="array" ref="B6">_xlfn.XLOOKUP(
 A6,
 tblTargets[TargetID],
 tblTargets[TargetType],
 ""
)
 </f>
        <v>BUILDING</v>
      </c>
      <c r="C6" s="96" t="str">
        <f t="array" ref="C6">_xlfn.XLOOKUP(
 A6,
 tblTargets[TargetID],
 tblTargets[DisplayName],
 ""
)</f>
        <v>Alchemist's Hut Lv 3</v>
      </c>
      <c r="D6" s="97" t="s">
        <v>3531</v>
      </c>
    </row>
    <row r="7" ht="14.25" customHeight="1">
      <c r="A7" s="96" t="s">
        <v>71</v>
      </c>
      <c r="B7" s="84" t="str">
        <f t="array" ref="B7">_xlfn.XLOOKUP(
 A7,
 tblTargets[TargetID],
 tblTargets[TargetType],
 ""
)
 </f>
        <v>BUILDING</v>
      </c>
      <c r="C7" s="96" t="str">
        <f t="array" ref="C7">_xlfn.XLOOKUP(
 A7,
 tblTargets[TargetID],
 tblTargets[DisplayName],
 ""
)</f>
        <v>Alchemist's Hut Lv 4</v>
      </c>
      <c r="D7" s="98" t="s">
        <v>3532</v>
      </c>
    </row>
    <row r="8" ht="14.25" customHeight="1">
      <c r="A8" s="95" t="s">
        <v>77</v>
      </c>
      <c r="B8" s="84" t="str">
        <f t="array" ref="B8">_xlfn.XLOOKUP(
 A8,
 tblTargets[TargetID],
 tblTargets[TargetType],
 ""
)
 </f>
        <v>BUILDING</v>
      </c>
      <c r="C8" s="96" t="str">
        <f t="array" ref="C8">_xlfn.XLOOKUP(
 A8,
 tblTargets[TargetID],
 tblTargets[DisplayName],
 ""
)</f>
        <v>Alchemist's Hut Lv 5</v>
      </c>
      <c r="D8" s="97" t="s">
        <v>3533</v>
      </c>
    </row>
    <row r="9" ht="14.25" customHeight="1">
      <c r="A9" s="96" t="s">
        <v>81</v>
      </c>
      <c r="B9" s="84" t="str">
        <f t="array" ref="B9">_xlfn.XLOOKUP(
 A9,
 tblTargets[TargetID],
 tblTargets[TargetType],
 ""
)
 </f>
        <v>BUILDING</v>
      </c>
      <c r="C9" s="96" t="str">
        <f t="array" ref="C9">_xlfn.XLOOKUP(
 A9,
 tblTargets[TargetID],
 tblTargets[DisplayName],
 ""
)</f>
        <v>Alchemist's Hut Lv 6</v>
      </c>
      <c r="D9" s="98" t="s">
        <v>3534</v>
      </c>
    </row>
    <row r="10" ht="14.25" customHeight="1">
      <c r="A10" s="95" t="s">
        <v>85</v>
      </c>
      <c r="B10" s="84" t="str">
        <f t="array" ref="B10">_xlfn.XLOOKUP(
 A10,
 tblTargets[TargetID],
 tblTargets[TargetType],
 ""
)
 </f>
        <v>BUILDING</v>
      </c>
      <c r="C10" s="96" t="str">
        <f t="array" ref="C10">_xlfn.XLOOKUP(
 A10,
 tblTargets[TargetID],
 tblTargets[DisplayName],
 ""
)</f>
        <v>Bonsai Lv 1</v>
      </c>
      <c r="D10" s="97" t="s">
        <v>3536</v>
      </c>
    </row>
    <row r="11" ht="14.25" customHeight="1">
      <c r="A11" s="96" t="s">
        <v>90</v>
      </c>
      <c r="B11" s="84" t="str">
        <f t="array" ref="B11">_xlfn.XLOOKUP(
 A11,
 tblTargets[TargetID],
 tblTargets[TargetType],
 ""
)
 </f>
        <v>BUILDING</v>
      </c>
      <c r="C11" s="96" t="str">
        <f t="array" ref="C11">_xlfn.XLOOKUP(
 A11,
 tblTargets[TargetID],
 tblTargets[DisplayName],
 ""
)</f>
        <v>Bonsai Lv 2</v>
      </c>
      <c r="D11" s="98" t="s">
        <v>3537</v>
      </c>
    </row>
    <row r="12" ht="14.25" customHeight="1">
      <c r="A12" s="95" t="s">
        <v>96</v>
      </c>
      <c r="B12" s="84" t="str">
        <f t="array" ref="B12">_xlfn.XLOOKUP(
 A12,
 tblTargets[TargetID],
 tblTargets[TargetType],
 ""
)
 </f>
        <v>BUILDING</v>
      </c>
      <c r="C12" s="96" t="str">
        <f t="array" ref="C12">_xlfn.XLOOKUP(
 A12,
 tblTargets[TargetID],
 tblTargets[DisplayName],
 ""
)</f>
        <v>Bridge Lv 1</v>
      </c>
      <c r="D12" s="97" t="s">
        <v>3538</v>
      </c>
    </row>
    <row r="13" ht="14.25" customHeight="1">
      <c r="A13" s="96" t="s">
        <v>103</v>
      </c>
      <c r="B13" s="84" t="str">
        <f t="array" ref="B13">_xlfn.XLOOKUP(
 A13,
 tblTargets[TargetID],
 tblTargets[TargetType],
 ""
)
 </f>
        <v>BUILDING</v>
      </c>
      <c r="C13" s="96" t="str">
        <f t="array" ref="C13">_xlfn.XLOOKUP(
 A13,
 tblTargets[TargetID],
 tblTargets[DisplayName],
 ""
)</f>
        <v>Caravan Lv 1</v>
      </c>
      <c r="D13" s="98" t="s">
        <v>3540</v>
      </c>
    </row>
    <row r="14" ht="14.25" customHeight="1">
      <c r="A14" s="95" t="s">
        <v>112</v>
      </c>
      <c r="B14" s="84" t="str">
        <f t="array" ref="B14">_xlfn.XLOOKUP(
 A14,
 tblTargets[TargetID],
 tblTargets[TargetType],
 ""
)
 </f>
        <v>BUILDING</v>
      </c>
      <c r="C14" s="96" t="str">
        <f t="array" ref="C14">_xlfn.XLOOKUP(
 A14,
 tblTargets[TargetID],
 tblTargets[DisplayName],
 ""
)</f>
        <v>Caravan Lv 2</v>
      </c>
      <c r="D14" s="97" t="s">
        <v>3541</v>
      </c>
    </row>
    <row r="15" ht="14.25" customHeight="1">
      <c r="A15" s="96" t="s">
        <v>116</v>
      </c>
      <c r="B15" s="84" t="str">
        <f t="array" ref="B15">_xlfn.XLOOKUP(
 A15,
 tblTargets[TargetID],
 tblTargets[TargetType],
 ""
)
 </f>
        <v>BUILDING</v>
      </c>
      <c r="C15" s="96" t="str">
        <f t="array" ref="C15">_xlfn.XLOOKUP(
 A15,
 tblTargets[TargetID],
 tblTargets[DisplayName],
 ""
)</f>
        <v>Caravan Lv 3</v>
      </c>
      <c r="D15" s="98" t="s">
        <v>3542</v>
      </c>
    </row>
    <row r="16" ht="14.25" customHeight="1">
      <c r="A16" s="95" t="s">
        <v>122</v>
      </c>
      <c r="B16" s="84" t="str">
        <f t="array" ref="B16">_xlfn.XLOOKUP(
 A16,
 tblTargets[TargetID],
 tblTargets[TargetType],
 ""
)
 </f>
        <v>BUILDING</v>
      </c>
      <c r="C16" s="96" t="str">
        <f t="array" ref="C16">_xlfn.XLOOKUP(
 A16,
 tblTargets[TargetID],
 tblTargets[DisplayName],
 ""
)</f>
        <v>Caravan Lv 4</v>
      </c>
      <c r="D16" s="97" t="s">
        <v>3544</v>
      </c>
    </row>
    <row r="17" ht="14.25" customHeight="1">
      <c r="A17" s="96" t="s">
        <v>127</v>
      </c>
      <c r="B17" s="84" t="str">
        <f t="array" ref="B17">_xlfn.XLOOKUP(
 A17,
 tblTargets[TargetID],
 tblTargets[TargetType],
 ""
)
 </f>
        <v>BUILDING</v>
      </c>
      <c r="C17" s="96" t="str">
        <f t="array" ref="C17">_xlfn.XLOOKUP(
 A17,
 tblTargets[TargetID],
 tblTargets[DisplayName],
 ""
)</f>
        <v>Chicken Lv 1</v>
      </c>
      <c r="D17" s="98" t="s">
        <v>3545</v>
      </c>
    </row>
    <row r="18" ht="14.25" customHeight="1">
      <c r="A18" s="95" t="s">
        <v>131</v>
      </c>
      <c r="B18" s="84" t="str">
        <f t="array" ref="B18">_xlfn.XLOOKUP(
 A18,
 tblTargets[TargetID],
 tblTargets[TargetType],
 ""
)
 </f>
        <v>BUILDING</v>
      </c>
      <c r="C18" s="96" t="str">
        <f t="array" ref="C18">_xlfn.XLOOKUP(
 A18,
 tblTargets[TargetID],
 tblTargets[DisplayName],
 ""
)</f>
        <v>Chicken Lv 2</v>
      </c>
      <c r="D18" s="97" t="s">
        <v>3546</v>
      </c>
    </row>
    <row r="19" ht="14.25" customHeight="1">
      <c r="A19" s="96" t="s">
        <v>138</v>
      </c>
      <c r="B19" s="84" t="str">
        <f t="array" ref="B19">_xlfn.XLOOKUP(
 A19,
 tblTargets[TargetID],
 tblTargets[TargetType],
 ""
)
 </f>
        <v>BUILDING</v>
      </c>
      <c r="C19" s="96" t="str">
        <f t="array" ref="C19">_xlfn.XLOOKUP(
 A19,
 tblTargets[TargetID],
 tblTargets[DisplayName],
 ""
)</f>
        <v>Dairy Lv 1</v>
      </c>
      <c r="D19" s="98" t="s">
        <v>3548</v>
      </c>
    </row>
    <row r="20" ht="14.25" customHeight="1">
      <c r="A20" s="95" t="s">
        <v>145</v>
      </c>
      <c r="B20" s="84" t="str">
        <f t="array" ref="B20">_xlfn.XLOOKUP(
 A20,
 tblTargets[TargetID],
 tblTargets[TargetType],
 ""
)
 </f>
        <v>BUILDING</v>
      </c>
      <c r="C20" s="96" t="str">
        <f t="array" ref="C20">_xlfn.XLOOKUP(
 A20,
 tblTargets[TargetID],
 tblTargets[DisplayName],
 ""
)</f>
        <v>Dairy Lv 2</v>
      </c>
      <c r="D20" s="97" t="s">
        <v>3549</v>
      </c>
    </row>
    <row r="21" ht="14.25" customHeight="1">
      <c r="A21" s="96" t="s">
        <v>151</v>
      </c>
      <c r="B21" s="84" t="str">
        <f t="array" ref="B21">_xlfn.XLOOKUP(
 A21,
 tblTargets[TargetID],
 tblTargets[TargetType],
 ""
)
 </f>
        <v>BUILDING</v>
      </c>
      <c r="C21" s="96" t="str">
        <f t="array" ref="C21">_xlfn.XLOOKUP(
 A21,
 tblTargets[TargetID],
 tblTargets[DisplayName],
 ""
)</f>
        <v>Dungeon Lv 1</v>
      </c>
      <c r="D21" s="98" t="s">
        <v>3550</v>
      </c>
    </row>
    <row r="22" ht="14.25" customHeight="1">
      <c r="A22" s="95" t="s">
        <v>159</v>
      </c>
      <c r="B22" s="84" t="str">
        <f t="array" ref="B22">_xlfn.XLOOKUP(
 A22,
 tblTargets[TargetID],
 tblTargets[TargetType],
 ""
)
 </f>
        <v>BUILDING</v>
      </c>
      <c r="C22" s="96" t="str">
        <f t="array" ref="C22">_xlfn.XLOOKUP(
 A22,
 tblTargets[TargetID],
 tblTargets[DisplayName],
 ""
)</f>
        <v>Dungeon Lv 2</v>
      </c>
      <c r="D22" s="97" t="s">
        <v>3552</v>
      </c>
    </row>
    <row r="23" ht="14.25" customHeight="1">
      <c r="A23" s="96" t="s">
        <v>165</v>
      </c>
      <c r="B23" s="84" t="str">
        <f t="array" ref="B23">_xlfn.XLOOKUP(
 A23,
 tblTargets[TargetID],
 tblTargets[TargetType],
 ""
)
 </f>
        <v>BUILDING</v>
      </c>
      <c r="C23" s="96" t="str">
        <f t="array" ref="C23">_xlfn.XLOOKUP(
 A23,
 tblTargets[TargetID],
 tblTargets[DisplayName],
 ""
)</f>
        <v>Dungeon Lv 3</v>
      </c>
      <c r="D23" s="98" t="s">
        <v>3553</v>
      </c>
    </row>
    <row r="24" ht="14.25" customHeight="1">
      <c r="A24" s="95" t="s">
        <v>172</v>
      </c>
      <c r="B24" s="84" t="str">
        <f t="array" ref="B24">_xlfn.XLOOKUP(
 A24,
 tblTargets[TargetID],
 tblTargets[TargetType],
 ""
)
 </f>
        <v>BUILDING</v>
      </c>
      <c r="C24" s="96" t="str">
        <f t="array" ref="C24">_xlfn.XLOOKUP(
 A24,
 tblTargets[TargetID],
 tblTargets[DisplayName],
 ""
)</f>
        <v>Dungeon Lv 4</v>
      </c>
      <c r="D24" s="97" t="s">
        <v>3554</v>
      </c>
    </row>
    <row r="25" ht="14.25" customHeight="1">
      <c r="A25" s="96" t="s">
        <v>177</v>
      </c>
      <c r="B25" s="84" t="str">
        <f t="array" ref="B25">_xlfn.XLOOKUP(
 A25,
 tblTargets[TargetID],
 tblTargets[TargetType],
 ""
)
 </f>
        <v>BUILDING</v>
      </c>
      <c r="C25" s="96" t="str">
        <f t="array" ref="C25">_xlfn.XLOOKUP(
 A25,
 tblTargets[TargetID],
 tblTargets[DisplayName],
 ""
)</f>
        <v>Dungeon Lv 5</v>
      </c>
      <c r="D25" s="98" t="s">
        <v>3555</v>
      </c>
    </row>
    <row r="26" ht="14.25" customHeight="1">
      <c r="A26" s="95" t="s">
        <v>525</v>
      </c>
      <c r="B26" s="84" t="str">
        <f t="array" ref="B26">_xlfn.XLOOKUP(
 A26,
 tblTargets[TargetID],
 tblTargets[TargetType],
 ""
)
 </f>
        <v>CITADEL</v>
      </c>
      <c r="C26" s="96" t="str">
        <f t="array" ref="C26">_xlfn.XLOOKUP(
 A26,
 tblTargets[TargetID],
 tblTargets[DisplayName],
 ""
)</f>
        <v>Tunnel</v>
      </c>
      <c r="D26" s="97" t="s">
        <v>3558</v>
      </c>
    </row>
    <row r="27" ht="14.25" customHeight="1">
      <c r="A27" s="96" t="s">
        <v>188</v>
      </c>
      <c r="B27" s="84" t="str">
        <f t="array" ref="B27">_xlfn.XLOOKUP(
 A27,
 tblTargets[TargetID],
 tblTargets[TargetType],
 ""
)
 </f>
        <v>BUILDING</v>
      </c>
      <c r="C27" s="96" t="str">
        <f t="array" ref="C27">_xlfn.XLOOKUP(
 A27,
 tblTargets[TargetID],
 tblTargets[DisplayName],
 ""
)</f>
        <v>Fermentory Lv 1</v>
      </c>
      <c r="D27" s="98" t="s">
        <v>3559</v>
      </c>
    </row>
    <row r="28" ht="14.25" customHeight="1">
      <c r="A28" s="95" t="s">
        <v>195</v>
      </c>
      <c r="B28" s="84" t="str">
        <f t="array" ref="B28">_xlfn.XLOOKUP(
 A28,
 tblTargets[TargetID],
 tblTargets[TargetType],
 ""
)
 </f>
        <v>BUILDING</v>
      </c>
      <c r="C28" s="96" t="str">
        <f t="array" ref="C28">_xlfn.XLOOKUP(
 A28,
 tblTargets[TargetID],
 tblTargets[DisplayName],
 ""
)</f>
        <v>Fermentory Lv 2</v>
      </c>
      <c r="D28" s="97" t="s">
        <v>3560</v>
      </c>
    </row>
    <row r="29" ht="14.25" customHeight="1">
      <c r="A29" s="96" t="s">
        <v>199</v>
      </c>
      <c r="B29" s="84" t="str">
        <f t="array" ref="B29">_xlfn.XLOOKUP(
 A29,
 tblTargets[TargetID],
 tblTargets[TargetType],
 ""
)
 </f>
        <v>BUILDING</v>
      </c>
      <c r="C29" s="96" t="str">
        <f t="array" ref="C29">_xlfn.XLOOKUP(
 A29,
 tblTargets[TargetID],
 tblTargets[DisplayName],
 ""
)</f>
        <v>Fermentory Lv 3</v>
      </c>
      <c r="D29" s="98" t="s">
        <v>3563</v>
      </c>
    </row>
    <row r="30" ht="14.25" customHeight="1">
      <c r="A30" s="95" t="s">
        <v>205</v>
      </c>
      <c r="B30" s="84" t="str">
        <f t="array" ref="B30">_xlfn.XLOOKUP(
 A30,
 tblTargets[TargetID],
 tblTargets[TargetType],
 ""
)
 </f>
        <v>BUILDING</v>
      </c>
      <c r="C30" s="96" t="str">
        <f t="array" ref="C30">_xlfn.XLOOKUP(
 A30,
 tblTargets[TargetID],
 tblTargets[DisplayName],
 ""
)</f>
        <v>Fermentory Lv 4</v>
      </c>
      <c r="D30" s="97" t="s">
        <v>3564</v>
      </c>
    </row>
    <row r="31" ht="14.25" customHeight="1">
      <c r="A31" s="96" t="s">
        <v>208</v>
      </c>
      <c r="B31" s="84" t="str">
        <f t="array" ref="B31">_xlfn.XLOOKUP(
 A31,
 tblTargets[TargetID],
 tblTargets[TargetType],
 ""
)
 </f>
        <v>BUILDING</v>
      </c>
      <c r="C31" s="96" t="str">
        <f t="array" ref="C31">_xlfn.XLOOKUP(
 A31,
 tblTargets[TargetID],
 tblTargets[DisplayName],
 ""
)</f>
        <v>Fermentory Lv 5</v>
      </c>
      <c r="D31" s="98" t="s">
        <v>3566</v>
      </c>
    </row>
    <row r="32" ht="14.25" customHeight="1">
      <c r="A32" s="95" t="s">
        <v>214</v>
      </c>
      <c r="B32" s="84" t="str">
        <f t="array" ref="B32">_xlfn.XLOOKUP(
 A32,
 tblTargets[TargetID],
 tblTargets[TargetType],
 ""
)
 </f>
        <v>BUILDING</v>
      </c>
      <c r="C32" s="96" t="str">
        <f t="array" ref="C32">_xlfn.XLOOKUP(
 A32,
 tblTargets[TargetID],
 tblTargets[DisplayName],
 ""
)</f>
        <v>Fermentory Lv 6</v>
      </c>
      <c r="D32" s="97" t="s">
        <v>3568</v>
      </c>
    </row>
    <row r="33" ht="14.25" customHeight="1">
      <c r="A33" s="96" t="s">
        <v>219</v>
      </c>
      <c r="B33" s="84" t="str">
        <f t="array" ref="B33">_xlfn.XLOOKUP(
 A33,
 tblTargets[TargetID],
 tblTargets[TargetType],
 ""
)
 </f>
        <v>BUILDING</v>
      </c>
      <c r="C33" s="96" t="str">
        <f t="array" ref="C33">_xlfn.XLOOKUP(
 A33,
 tblTargets[TargetID],
 tblTargets[DisplayName],
 ""
)</f>
        <v>Field Lv 1</v>
      </c>
      <c r="D33" s="98" t="s">
        <v>3569</v>
      </c>
    </row>
    <row r="34" ht="14.25" customHeight="1">
      <c r="A34" s="95" t="s">
        <v>225</v>
      </c>
      <c r="B34" s="84" t="str">
        <f t="array" ref="B34">_xlfn.XLOOKUP(
 A34,
 tblTargets[TargetID],
 tblTargets[TargetType],
 ""
)
 </f>
        <v>BUILDING</v>
      </c>
      <c r="C34" s="96" t="str">
        <f t="array" ref="C34">_xlfn.XLOOKUP(
 A34,
 tblTargets[TargetID],
 tblTargets[DisplayName],
 ""
)</f>
        <v>Field Lv 2</v>
      </c>
      <c r="D34" s="97" t="s">
        <v>3571</v>
      </c>
    </row>
    <row r="35" ht="14.25" customHeight="1">
      <c r="A35" s="96" t="s">
        <v>230</v>
      </c>
      <c r="B35" s="84" t="str">
        <f t="array" ref="B35">_xlfn.XLOOKUP(
 A35,
 tblTargets[TargetID],
 tblTargets[TargetType],
 ""
)
 </f>
        <v>BUILDING</v>
      </c>
      <c r="C35" s="96" t="str">
        <f t="array" ref="C35">_xlfn.XLOOKUP(
 A35,
 tblTargets[TargetID],
 tblTargets[DisplayName],
 ""
)</f>
        <v>Food Stall Lv 1</v>
      </c>
      <c r="D35" s="98" t="s">
        <v>3573</v>
      </c>
    </row>
    <row r="36" ht="14.25" customHeight="1">
      <c r="A36" s="95" t="s">
        <v>234</v>
      </c>
      <c r="B36" s="84" t="str">
        <f t="array" ref="B36">_xlfn.XLOOKUP(
 A36,
 tblTargets[TargetID],
 tblTargets[TargetType],
 ""
)
 </f>
        <v>BUILDING</v>
      </c>
      <c r="C36" s="96" t="str">
        <f t="array" ref="C36">_xlfn.XLOOKUP(
 A36,
 tblTargets[TargetID],
 tblTargets[DisplayName],
 ""
)</f>
        <v>Food Stall Lv 2</v>
      </c>
      <c r="D36" s="97" t="s">
        <v>3574</v>
      </c>
    </row>
    <row r="37" ht="14.25" customHeight="1">
      <c r="A37" s="96" t="s">
        <v>239</v>
      </c>
      <c r="B37" s="84" t="str">
        <f t="array" ref="B37">_xlfn.XLOOKUP(
 A37,
 tblTargets[TargetID],
 tblTargets[TargetType],
 ""
)
 </f>
        <v>BUILDING</v>
      </c>
      <c r="C37" s="96" t="str">
        <f t="array" ref="C37">_xlfn.XLOOKUP(
 A37,
 tblTargets[TargetID],
 tblTargets[DisplayName],
 ""
)</f>
        <v>Food Stall Lv 3</v>
      </c>
      <c r="D37" s="98" t="s">
        <v>3575</v>
      </c>
    </row>
    <row r="38" ht="14.25" customHeight="1">
      <c r="A38" s="95" t="s">
        <v>243</v>
      </c>
      <c r="B38" s="84" t="str">
        <f t="array" ref="B38">_xlfn.XLOOKUP(
 A38,
 tblTargets[TargetID],
 tblTargets[TargetType],
 ""
)
 </f>
        <v>BUILDING</v>
      </c>
      <c r="C38" s="96" t="str">
        <f t="array" ref="C38">_xlfn.XLOOKUP(
 A38,
 tblTargets[TargetID],
 tblTargets[DisplayName],
 ""
)</f>
        <v>Furnace Lv 1</v>
      </c>
      <c r="D38" s="97" t="s">
        <v>3578</v>
      </c>
    </row>
    <row r="39" ht="14.25" customHeight="1">
      <c r="A39" s="96" t="s">
        <v>246</v>
      </c>
      <c r="B39" s="84" t="str">
        <f t="array" ref="B39">_xlfn.XLOOKUP(
 A39,
 tblTargets[TargetID],
 tblTargets[TargetType],
 ""
)
 </f>
        <v>BUILDING</v>
      </c>
      <c r="C39" s="96" t="str">
        <f t="array" ref="C39">_xlfn.XLOOKUP(
 A39,
 tblTargets[TargetID],
 tblTargets[DisplayName],
 ""
)</f>
        <v>Furnace Lv 2</v>
      </c>
      <c r="D39" s="98" t="s">
        <v>3579</v>
      </c>
    </row>
    <row r="40" ht="14.25" customHeight="1">
      <c r="A40" s="95" t="s">
        <v>251</v>
      </c>
      <c r="B40" s="84" t="str">
        <f t="array" ref="B40">_xlfn.XLOOKUP(
 A40,
 tblTargets[TargetID],
 tblTargets[TargetType],
 ""
)
 </f>
        <v>BUILDING</v>
      </c>
      <c r="C40" s="96" t="str">
        <f t="array" ref="C40">_xlfn.XLOOKUP(
 A40,
 tblTargets[TargetID],
 tblTargets[DisplayName],
 ""
)</f>
        <v>Furnace Lv 3</v>
      </c>
      <c r="D40" s="97" t="s">
        <v>3581</v>
      </c>
    </row>
    <row r="41" ht="14.25" customHeight="1">
      <c r="A41" s="96" t="s">
        <v>255</v>
      </c>
      <c r="B41" s="84" t="str">
        <f t="array" ref="B41">_xlfn.XLOOKUP(
 A41,
 tblTargets[TargetID],
 tblTargets[TargetType],
 ""
)
 </f>
        <v>BUILDING</v>
      </c>
      <c r="C41" s="96" t="str">
        <f t="array" ref="C41">_xlfn.XLOOKUP(
 A41,
 tblTargets[TargetID],
 tblTargets[DisplayName],
 ""
)</f>
        <v>Garden Lv 1</v>
      </c>
      <c r="D41" s="98" t="s">
        <v>3583</v>
      </c>
    </row>
    <row r="42" ht="14.25" customHeight="1">
      <c r="A42" s="95" t="s">
        <v>258</v>
      </c>
      <c r="B42" s="84" t="str">
        <f t="array" ref="B42">_xlfn.XLOOKUP(
 A42,
 tblTargets[TargetID],
 tblTargets[TargetType],
 ""
)
 </f>
        <v>BUILDING</v>
      </c>
      <c r="C42" s="96" t="str">
        <f t="array" ref="C42">_xlfn.XLOOKUP(
 A42,
 tblTargets[TargetID],
 tblTargets[DisplayName],
 ""
)</f>
        <v>Garden Lv 2</v>
      </c>
      <c r="D42" s="97" t="s">
        <v>3584</v>
      </c>
    </row>
    <row r="43" ht="14.25" customHeight="1">
      <c r="A43" s="96" t="s">
        <v>262</v>
      </c>
      <c r="B43" s="84" t="str">
        <f t="array" ref="B43">_xlfn.XLOOKUP(
 A43,
 tblTargets[TargetID],
 tblTargets[TargetType],
 ""
)
 </f>
        <v>BUILDING</v>
      </c>
      <c r="C43" s="96" t="str">
        <f t="array" ref="C43">_xlfn.XLOOKUP(
 A43,
 tblTargets[TargetID],
 tblTargets[DisplayName],
 ""
)</f>
        <v>Garden Lv 3</v>
      </c>
      <c r="D43" s="98" t="s">
        <v>3586</v>
      </c>
    </row>
    <row r="44" ht="14.25" customHeight="1">
      <c r="A44" s="95" t="s">
        <v>269</v>
      </c>
      <c r="B44" s="84" t="str">
        <f t="array" ref="B44">_xlfn.XLOOKUP(
 A44,
 tblTargets[TargetID],
 tblTargets[TargetType],
 ""
)
 </f>
        <v>BUILDING</v>
      </c>
      <c r="C44" s="96" t="str">
        <f t="array" ref="C44">_xlfn.XLOOKUP(
 A44,
 tblTargets[TargetID],
 tblTargets[DisplayName],
 ""
)</f>
        <v>Gong Lv 1</v>
      </c>
      <c r="D44" s="97" t="s">
        <v>3587</v>
      </c>
    </row>
    <row r="45" ht="14.25" customHeight="1">
      <c r="A45" s="96" t="s">
        <v>275</v>
      </c>
      <c r="B45" s="84" t="str">
        <f t="array" ref="B45">_xlfn.XLOOKUP(
 A45,
 tblTargets[TargetID],
 tblTargets[TargetType],
 ""
)
 </f>
        <v>BUILDING</v>
      </c>
      <c r="C45" s="96" t="str">
        <f t="array" ref="C45">_xlfn.XLOOKUP(
 A45,
 tblTargets[TargetID],
 tblTargets[DisplayName],
 ""
)</f>
        <v>Guild Lv 1</v>
      </c>
      <c r="D45" s="98" t="s">
        <v>186</v>
      </c>
    </row>
    <row r="46" ht="14.25" customHeight="1">
      <c r="A46" s="95" t="s">
        <v>282</v>
      </c>
      <c r="B46" s="84" t="str">
        <f t="array" ref="B46">_xlfn.XLOOKUP(
 A46,
 tblTargets[TargetID],
 tblTargets[TargetType],
 ""
)
 </f>
        <v>BUILDING</v>
      </c>
      <c r="C46" s="96" t="str">
        <f t="array" ref="C46">_xlfn.XLOOKUP(
 A46,
 tblTargets[TargetID],
 tblTargets[DisplayName],
 ""
)</f>
        <v>Guild Lv 2</v>
      </c>
      <c r="D46" s="97" t="s">
        <v>3590</v>
      </c>
    </row>
    <row r="47" ht="14.25" customHeight="1">
      <c r="A47" s="96" t="s">
        <v>291</v>
      </c>
      <c r="B47" s="84" t="str">
        <f t="array" ref="B47">_xlfn.XLOOKUP(
 A47,
 tblTargets[TargetID],
 tblTargets[TargetType],
 ""
)
 </f>
        <v>BUILDING</v>
      </c>
      <c r="C47" s="96" t="str">
        <f t="array" ref="C47">_xlfn.XLOOKUP(
 A47,
 tblTargets[TargetID],
 tblTargets[DisplayName],
 ""
)</f>
        <v>Guild Lv 3</v>
      </c>
      <c r="D47" s="98" t="s">
        <v>3592</v>
      </c>
    </row>
    <row r="48" ht="14.25" customHeight="1">
      <c r="A48" s="95" t="s">
        <v>295</v>
      </c>
      <c r="B48" s="84" t="str">
        <f t="array" ref="B48">_xlfn.XLOOKUP(
 A48,
 tblTargets[TargetID],
 tblTargets[TargetType],
 ""
)
 </f>
        <v>BUILDING</v>
      </c>
      <c r="C48" s="96" t="str">
        <f t="array" ref="C48">_xlfn.XLOOKUP(
 A48,
 tblTargets[TargetID],
 tblTargets[DisplayName],
 ""
)</f>
        <v>Guild Lv 4</v>
      </c>
      <c r="D48" s="97" t="s">
        <v>3594</v>
      </c>
    </row>
    <row r="49" ht="14.25" customHeight="1">
      <c r="A49" s="96" t="s">
        <v>302</v>
      </c>
      <c r="B49" s="84" t="str">
        <f t="array" ref="B49">_xlfn.XLOOKUP(
 A49,
 tblTargets[TargetID],
 tblTargets[TargetType],
 ""
)
 </f>
        <v>BUILDING</v>
      </c>
      <c r="C49" s="96" t="str">
        <f t="array" ref="C49">_xlfn.XLOOKUP(
 A49,
 tblTargets[TargetID],
 tblTargets[DisplayName],
 ""
)</f>
        <v>Guild Lv 5</v>
      </c>
      <c r="D49" s="98" t="s">
        <v>3596</v>
      </c>
    </row>
    <row r="50" ht="14.25" customHeight="1">
      <c r="A50" s="95" t="s">
        <v>310</v>
      </c>
      <c r="B50" s="84" t="str">
        <f t="array" ref="B50">_xlfn.XLOOKUP(
 A50,
 tblTargets[TargetID],
 tblTargets[TargetType],
 ""
)
 </f>
        <v>BUILDING</v>
      </c>
      <c r="C50" s="96" t="str">
        <f t="array" ref="C50">_xlfn.XLOOKUP(
 A50,
 tblTargets[TargetID],
 tblTargets[DisplayName],
 ""
)</f>
        <v>Guild: Video Game Arcade Lv 1</v>
      </c>
      <c r="D50" s="97" t="s">
        <v>3597</v>
      </c>
    </row>
    <row r="51" ht="14.25" customHeight="1">
      <c r="A51" s="96" t="s">
        <v>314</v>
      </c>
      <c r="B51" s="84" t="str">
        <f t="array" ref="B51">_xlfn.XLOOKUP(
 A51,
 tblTargets[TargetID],
 tblTargets[TargetType],
 ""
)
 </f>
        <v>BUILDING</v>
      </c>
      <c r="C51" s="96" t="str">
        <f t="array" ref="C51">_xlfn.XLOOKUP(
 A51,
 tblTargets[TargetID],
 tblTargets[DisplayName],
 ""
)</f>
        <v>Laboratory Lv 1</v>
      </c>
      <c r="D51" s="98" t="s">
        <v>3599</v>
      </c>
    </row>
    <row r="52" ht="14.25" customHeight="1">
      <c r="A52" s="95" t="s">
        <v>319</v>
      </c>
      <c r="B52" s="84" t="str">
        <f t="array" ref="B52">_xlfn.XLOOKUP(
 A52,
 tblTargets[TargetID],
 tblTargets[TargetType],
 ""
)
 </f>
        <v>BUILDING</v>
      </c>
      <c r="C52" s="96" t="str">
        <f t="array" ref="C52">_xlfn.XLOOKUP(
 A52,
 tblTargets[TargetID],
 tblTargets[DisplayName],
 ""
)</f>
        <v>Laboratory Lv 2</v>
      </c>
      <c r="D52" s="97" t="s">
        <v>3600</v>
      </c>
    </row>
    <row r="53" ht="14.25" customHeight="1">
      <c r="A53" s="96" t="s">
        <v>322</v>
      </c>
      <c r="B53" s="84" t="str">
        <f t="array" ref="B53">_xlfn.XLOOKUP(
 A53,
 tblTargets[TargetID],
 tblTargets[TargetType],
 ""
)
 </f>
        <v>BUILDING</v>
      </c>
      <c r="C53" s="96" t="str">
        <f t="array" ref="C53">_xlfn.XLOOKUP(
 A53,
 tblTargets[TargetID],
 tblTargets[DisplayName],
 ""
)</f>
        <v>Laboratory Lv 3</v>
      </c>
      <c r="D53" s="98" t="s">
        <v>3601</v>
      </c>
    </row>
    <row r="54" ht="14.25" customHeight="1">
      <c r="A54" s="95" t="s">
        <v>325</v>
      </c>
      <c r="B54" s="84" t="str">
        <f t="array" ref="B54">_xlfn.XLOOKUP(
 A54,
 tblTargets[TargetID],
 tblTargets[TargetType],
 ""
)
 </f>
        <v>BUILDING</v>
      </c>
      <c r="C54" s="96" t="str">
        <f t="array" ref="C54">_xlfn.XLOOKUP(
 A54,
 tblTargets[TargetID],
 tblTargets[DisplayName],
 ""
)</f>
        <v>Laboratory Lv 4</v>
      </c>
      <c r="D54" s="97" t="s">
        <v>3603</v>
      </c>
    </row>
    <row r="55" ht="14.25" customHeight="1">
      <c r="A55" s="96" t="s">
        <v>328</v>
      </c>
      <c r="B55" s="84" t="str">
        <f t="array" ref="B55">_xlfn.XLOOKUP(
 A55,
 tblTargets[TargetID],
 tblTargets[TargetType],
 ""
)
 </f>
        <v>BUILDING</v>
      </c>
      <c r="C55" s="96" t="str">
        <f t="array" ref="C55">_xlfn.XLOOKUP(
 A55,
 tblTargets[TargetID],
 tblTargets[DisplayName],
 ""
)</f>
        <v>Laboratory Lv 5</v>
      </c>
      <c r="D55" s="98" t="s">
        <v>3605</v>
      </c>
    </row>
    <row r="56" ht="14.25" customHeight="1">
      <c r="A56" s="95" t="s">
        <v>333</v>
      </c>
      <c r="B56" s="84" t="str">
        <f t="array" ref="B56">_xlfn.XLOOKUP(
 A56,
 tblTargets[TargetID],
 tblTargets[TargetType],
 ""
)
 </f>
        <v>BUILDING</v>
      </c>
      <c r="C56" s="96" t="str">
        <f t="array" ref="C56">_xlfn.XLOOKUP(
 A56,
 tblTargets[TargetID],
 tblTargets[DisplayName],
 ""
)</f>
        <v>Laboratory: Data Center Lv 1</v>
      </c>
      <c r="D56" s="97" t="s">
        <v>3607</v>
      </c>
    </row>
    <row r="57" ht="14.25" customHeight="1">
      <c r="A57" s="96" t="s">
        <v>338</v>
      </c>
      <c r="B57" s="84" t="str">
        <f t="array" ref="B57">_xlfn.XLOOKUP(
 A57,
 tblTargets[TargetID],
 tblTargets[TargetType],
 ""
)
 </f>
        <v>BUILDING</v>
      </c>
      <c r="C57" s="96" t="str">
        <f t="array" ref="C57">_xlfn.XLOOKUP(
 A57,
 tblTargets[TargetID],
 tblTargets[DisplayName],
 ""
)</f>
        <v>Lumber Lv 1</v>
      </c>
      <c r="D57" s="98" t="s">
        <v>3608</v>
      </c>
    </row>
    <row r="58" ht="14.25" customHeight="1">
      <c r="A58" s="95" t="s">
        <v>344</v>
      </c>
      <c r="B58" s="84" t="str">
        <f t="array" ref="B58">_xlfn.XLOOKUP(
 A58,
 tblTargets[TargetID],
 tblTargets[TargetType],
 ""
)
 </f>
        <v>BUILDING</v>
      </c>
      <c r="C58" s="96" t="str">
        <f t="array" ref="C58">_xlfn.XLOOKUP(
 A58,
 tblTargets[TargetID],
 tblTargets[DisplayName],
 ""
)</f>
        <v>Lumber Lv 2</v>
      </c>
      <c r="D58" s="97" t="s">
        <v>3579</v>
      </c>
    </row>
    <row r="59" ht="14.25" customHeight="1">
      <c r="A59" s="96" t="s">
        <v>348</v>
      </c>
      <c r="B59" s="84" t="str">
        <f t="array" ref="B59">_xlfn.XLOOKUP(
 A59,
 tblTargets[TargetID],
 tblTargets[TargetType],
 ""
)
 </f>
        <v>BUILDING</v>
      </c>
      <c r="C59" s="96" t="str">
        <f t="array" ref="C59">_xlfn.XLOOKUP(
 A59,
 tblTargets[TargetID],
 tblTargets[DisplayName],
 ""
)</f>
        <v>Lumber Lv 3</v>
      </c>
      <c r="D59" s="98" t="s">
        <v>3611</v>
      </c>
    </row>
    <row r="60" ht="14.25" customHeight="1">
      <c r="A60" s="95" t="s">
        <v>354</v>
      </c>
      <c r="B60" s="84" t="str">
        <f t="array" ref="B60">_xlfn.XLOOKUP(
 A60,
 tblTargets[TargetID],
 tblTargets[TargetType],
 ""
)
 </f>
        <v>BUILDING</v>
      </c>
      <c r="C60" s="96" t="str">
        <f t="array" ref="C60">_xlfn.XLOOKUP(
 A60,
 tblTargets[TargetID],
 tblTargets[DisplayName],
 ""
)</f>
        <v>Onsen Lv 1</v>
      </c>
      <c r="D60" s="97" t="s">
        <v>3613</v>
      </c>
    </row>
    <row r="61" ht="14.25" customHeight="1">
      <c r="A61" s="96" t="s">
        <v>359</v>
      </c>
      <c r="B61" s="84" t="str">
        <f t="array" ref="B61">_xlfn.XLOOKUP(
 A61,
 tblTargets[TargetID],
 tblTargets[TargetType],
 ""
)
 </f>
        <v>BUILDING</v>
      </c>
      <c r="C61" s="96" t="str">
        <f t="array" ref="C61">_xlfn.XLOOKUP(
 A61,
 tblTargets[TargetID],
 tblTargets[DisplayName],
 ""
)</f>
        <v>Onsen Lv 2</v>
      </c>
      <c r="D61" s="98" t="s">
        <v>3614</v>
      </c>
    </row>
    <row r="62" ht="14.25" customHeight="1">
      <c r="A62" s="95" t="s">
        <v>362</v>
      </c>
      <c r="B62" s="84" t="str">
        <f t="array" ref="B62">_xlfn.XLOOKUP(
 A62,
 tblTargets[TargetID],
 tblTargets[TargetType],
 ""
)
 </f>
        <v>BUILDING</v>
      </c>
      <c r="C62" s="96" t="str">
        <f t="array" ref="C62">_xlfn.XLOOKUP(
 A62,
 tblTargets[TargetID],
 tblTargets[DisplayName],
 ""
)</f>
        <v>Outpost Lv 1</v>
      </c>
      <c r="D62" s="97" t="s">
        <v>3616</v>
      </c>
    </row>
    <row r="63" ht="14.25" customHeight="1">
      <c r="A63" s="96" t="s">
        <v>364</v>
      </c>
      <c r="B63" s="84" t="str">
        <f t="array" ref="B63">_xlfn.XLOOKUP(
 A63,
 tblTargets[TargetID],
 tblTargets[TargetType],
 ""
)
 </f>
        <v>BUILDING</v>
      </c>
      <c r="C63" s="96" t="str">
        <f t="array" ref="C63">_xlfn.XLOOKUP(
 A63,
 tblTargets[TargetID],
 tblTargets[DisplayName],
 ""
)</f>
        <v>Outpost Lv 2</v>
      </c>
      <c r="D63" s="98" t="s">
        <v>3617</v>
      </c>
    </row>
    <row r="64" ht="14.25" customHeight="1">
      <c r="A64" s="95" t="s">
        <v>366</v>
      </c>
      <c r="B64" s="84" t="str">
        <f t="array" ref="B64">_xlfn.XLOOKUP(
 A64,
 tblTargets[TargetID],
 tblTargets[TargetType],
 ""
)
 </f>
        <v>BUILDING</v>
      </c>
      <c r="C64" s="96" t="str">
        <f t="array" ref="C64">_xlfn.XLOOKUP(
 A64,
 tblTargets[TargetID],
 tblTargets[DisplayName],
 ""
)</f>
        <v>Outpost Lv 3</v>
      </c>
      <c r="D64" s="97" t="s">
        <v>3619</v>
      </c>
    </row>
    <row r="65" ht="14.25" customHeight="1">
      <c r="A65" s="96" t="s">
        <v>368</v>
      </c>
      <c r="B65" s="84" t="str">
        <f t="array" ref="B65">_xlfn.XLOOKUP(
 A65,
 tblTargets[TargetID],
 tblTargets[TargetType],
 ""
)
 </f>
        <v>BUILDING</v>
      </c>
      <c r="C65" s="96" t="str">
        <f t="array" ref="C65">_xlfn.XLOOKUP(
 A65,
 tblTargets[TargetID],
 tblTargets[DisplayName],
 ""
)</f>
        <v>Pagoda Lv 1</v>
      </c>
      <c r="D65" s="98" t="s">
        <v>3620</v>
      </c>
    </row>
    <row r="66" ht="14.25" customHeight="1">
      <c r="A66" s="95" t="s">
        <v>370</v>
      </c>
      <c r="B66" s="84" t="str">
        <f t="array" ref="B66">_xlfn.XLOOKUP(
 A66,
 tblTargets[TargetID],
 tblTargets[TargetType],
 ""
)
 </f>
        <v>BUILDING</v>
      </c>
      <c r="C66" s="96" t="str">
        <f t="array" ref="C66">_xlfn.XLOOKUP(
 A66,
 tblTargets[TargetID],
 tblTargets[DisplayName],
 ""
)</f>
        <v>Pagoda Lv 2</v>
      </c>
      <c r="D66" s="97" t="s">
        <v>3621</v>
      </c>
    </row>
    <row r="67" ht="14.25" customHeight="1">
      <c r="A67" s="96" t="s">
        <v>372</v>
      </c>
      <c r="B67" s="84" t="str">
        <f t="array" ref="B67">_xlfn.XLOOKUP(
 A67,
 tblTargets[TargetID],
 tblTargets[TargetType],
 ""
)
 </f>
        <v>BUILDING</v>
      </c>
      <c r="C67" s="96" t="str">
        <f t="array" ref="C67">_xlfn.XLOOKUP(
 A67,
 tblTargets[TargetID],
 tblTargets[DisplayName],
 ""
)</f>
        <v>Pagoda Lv 3</v>
      </c>
      <c r="D67" s="98" t="s">
        <v>3623</v>
      </c>
    </row>
    <row r="68" ht="14.25" customHeight="1">
      <c r="A68" s="95" t="s">
        <v>374</v>
      </c>
      <c r="B68" s="84" t="str">
        <f t="array" ref="B68">_xlfn.XLOOKUP(
 A68,
 tblTargets[TargetID],
 tblTargets[TargetType],
 ""
)
 </f>
        <v>BUILDING</v>
      </c>
      <c r="C68" s="96" t="str">
        <f t="array" ref="C68">_xlfn.XLOOKUP(
 A68,
 tblTargets[TargetID],
 tblTargets[DisplayName],
 ""
)</f>
        <v>Pagoda Lv 4</v>
      </c>
      <c r="D68" s="97" t="s">
        <v>3624</v>
      </c>
    </row>
    <row r="69" ht="14.25" customHeight="1">
      <c r="A69" s="96" t="s">
        <v>376</v>
      </c>
      <c r="B69" s="84" t="str">
        <f t="array" ref="B69">_xlfn.XLOOKUP(
 A69,
 tblTargets[TargetID],
 tblTargets[TargetType],
 ""
)
 </f>
        <v>BUILDING</v>
      </c>
      <c r="C69" s="96" t="str">
        <f t="array" ref="C69">_xlfn.XLOOKUP(
 A69,
 tblTargets[TargetID],
 tblTargets[DisplayName],
 ""
)</f>
        <v>Pagoda Lv 5</v>
      </c>
      <c r="D69" s="98" t="s">
        <v>3625</v>
      </c>
    </row>
    <row r="70" ht="14.25" customHeight="1">
      <c r="A70" s="95" t="s">
        <v>378</v>
      </c>
      <c r="B70" s="84" t="str">
        <f t="array" ref="B70">_xlfn.XLOOKUP(
 A70,
 tblTargets[TargetID],
 tblTargets[TargetType],
 ""
)
 </f>
        <v>BUILDING</v>
      </c>
      <c r="C70" s="96" t="str">
        <f t="array" ref="C70">_xlfn.XLOOKUP(
 A70,
 tblTargets[TargetID],
 tblTargets[DisplayName],
 ""
)</f>
        <v>Pagoda Lv 6</v>
      </c>
      <c r="D70" s="97" t="s">
        <v>3627</v>
      </c>
    </row>
    <row r="71" ht="14.25" customHeight="1">
      <c r="A71" s="96" t="s">
        <v>381</v>
      </c>
      <c r="B71" s="84" t="str">
        <f t="array" ref="B71">_xlfn.XLOOKUP(
 A71,
 tblTargets[TargetID],
 tblTargets[TargetType],
 ""
)
 </f>
        <v>BUILDING</v>
      </c>
      <c r="C71" s="96" t="str">
        <f t="array" ref="C71">_xlfn.XLOOKUP(
 A71,
 tblTargets[TargetID],
 tblTargets[DisplayName],
 ""
)</f>
        <v>Pagoda Lv 7</v>
      </c>
      <c r="D71" s="98" t="s">
        <v>3628</v>
      </c>
    </row>
    <row r="72" ht="14.25" customHeight="1">
      <c r="A72" s="95" t="s">
        <v>383</v>
      </c>
      <c r="B72" s="84" t="str">
        <f t="array" ref="B72">_xlfn.XLOOKUP(
 A72,
 tblTargets[TargetID],
 tblTargets[TargetType],
 ""
)
 </f>
        <v>BUILDING</v>
      </c>
      <c r="C72" s="96" t="str">
        <f t="array" ref="C72">_xlfn.XLOOKUP(
 A72,
 tblTargets[TargetID],
 tblTargets[DisplayName],
 ""
)</f>
        <v>Pier Lv 1</v>
      </c>
      <c r="D72" s="97" t="s">
        <v>3629</v>
      </c>
    </row>
    <row r="73" ht="14.25" customHeight="1">
      <c r="A73" s="96" t="s">
        <v>385</v>
      </c>
      <c r="B73" s="84" t="str">
        <f t="array" ref="B73">_xlfn.XLOOKUP(
 A73,
 tblTargets[TargetID],
 tblTargets[TargetType],
 ""
)
 </f>
        <v>BUILDING</v>
      </c>
      <c r="C73" s="96" t="str">
        <f t="array" ref="C73">_xlfn.XLOOKUP(
 A73,
 tblTargets[TargetID],
 tblTargets[DisplayName],
 ""
)</f>
        <v>Rock Garden Lv 1</v>
      </c>
      <c r="D73" s="98" t="s">
        <v>3631</v>
      </c>
    </row>
    <row r="74" ht="14.25" customHeight="1">
      <c r="A74" s="95" t="s">
        <v>388</v>
      </c>
      <c r="B74" s="84" t="str">
        <f t="array" ref="B74">_xlfn.XLOOKUP(
 A74,
 tblTargets[TargetID],
 tblTargets[TargetType],
 ""
)
 </f>
        <v>BUILDING</v>
      </c>
      <c r="C74" s="96" t="str">
        <f t="array" ref="C74">_xlfn.XLOOKUP(
 A74,
 tblTargets[TargetID],
 tblTargets[DisplayName],
 ""
)</f>
        <v>Rock Garden Lv 2</v>
      </c>
      <c r="D74" s="97" t="s">
        <v>3632</v>
      </c>
    </row>
    <row r="75" ht="14.25" customHeight="1">
      <c r="A75" s="96" t="s">
        <v>390</v>
      </c>
      <c r="B75" s="84" t="str">
        <f t="array" ref="B75">_xlfn.XLOOKUP(
 A75,
 tblTargets[TargetID],
 tblTargets[TargetType],
 ""
)
 </f>
        <v>BUILDING</v>
      </c>
      <c r="C75" s="96" t="str">
        <f t="array" ref="C75">_xlfn.XLOOKUP(
 A75,
 tblTargets[TargetID],
 tblTargets[DisplayName],
 ""
)</f>
        <v>Rock Garden Lv 3</v>
      </c>
      <c r="D75" s="98" t="s">
        <v>3633</v>
      </c>
    </row>
    <row r="76" ht="14.25" customHeight="1">
      <c r="A76" s="95" t="s">
        <v>393</v>
      </c>
      <c r="B76" s="84" t="str">
        <f t="array" ref="B76">_xlfn.XLOOKUP(
 A76,
 tblTargets[TargetID],
 tblTargets[TargetType],
 ""
)
 </f>
        <v>BUILDING</v>
      </c>
      <c r="C76" s="96" t="str">
        <f t="array" ref="C76">_xlfn.XLOOKUP(
 A76,
 tblTargets[TargetID],
 tblTargets[DisplayName],
 ""
)</f>
        <v>Ship Lv 1</v>
      </c>
      <c r="D76" s="97" t="s">
        <v>3635</v>
      </c>
    </row>
    <row r="77" ht="14.25" customHeight="1">
      <c r="A77" s="96" t="s">
        <v>396</v>
      </c>
      <c r="B77" s="84" t="str">
        <f t="array" ref="B77">_xlfn.XLOOKUP(
 A77,
 tblTargets[TargetID],
 tblTargets[TargetType],
 ""
)
 </f>
        <v>BUILDING</v>
      </c>
      <c r="C77" s="96" t="str">
        <f t="array" ref="C77">_xlfn.XLOOKUP(
 A77,
 tblTargets[TargetID],
 tblTargets[DisplayName],
 ""
)</f>
        <v>Ship Lv 2</v>
      </c>
      <c r="D77" s="98" t="s">
        <v>3636</v>
      </c>
    </row>
    <row r="78" ht="14.25" customHeight="1">
      <c r="A78" s="95" t="s">
        <v>399</v>
      </c>
      <c r="B78" s="84" t="str">
        <f t="array" ref="B78">_xlfn.XLOOKUP(
 A78,
 tblTargets[TargetID],
 tblTargets[TargetType],
 ""
)
 </f>
        <v>BUILDING</v>
      </c>
      <c r="C78" s="96" t="str">
        <f t="array" ref="C78">_xlfn.XLOOKUP(
 A78,
 tblTargets[TargetID],
 tblTargets[DisplayName],
 ""
)</f>
        <v>Ship Lv 3</v>
      </c>
      <c r="D78" s="97" t="s">
        <v>3637</v>
      </c>
    </row>
    <row r="79" ht="14.25" customHeight="1">
      <c r="A79" s="96" t="s">
        <v>402</v>
      </c>
      <c r="B79" s="84" t="str">
        <f t="array" ref="B79">_xlfn.XLOOKUP(
 A79,
 tblTargets[TargetID],
 tblTargets[TargetType],
 ""
)
 </f>
        <v>BUILDING</v>
      </c>
      <c r="C79" s="96" t="str">
        <f t="array" ref="C79">_xlfn.XLOOKUP(
 A79,
 tblTargets[TargetID],
 tblTargets[DisplayName],
 ""
)</f>
        <v>Ship Lv 4</v>
      </c>
      <c r="D79" s="98" t="s">
        <v>3639</v>
      </c>
    </row>
    <row r="80" ht="14.25" customHeight="1">
      <c r="A80" s="95" t="s">
        <v>404</v>
      </c>
      <c r="B80" s="84" t="str">
        <f t="array" ref="B80">_xlfn.XLOOKUP(
 A80,
 tblTargets[TargetID],
 tblTargets[TargetType],
 ""
)
 </f>
        <v>BUILDING</v>
      </c>
      <c r="C80" s="96" t="str">
        <f t="array" ref="C80">_xlfn.XLOOKUP(
 A80,
 tblTargets[TargetID],
 tblTargets[DisplayName],
 ""
)</f>
        <v>Shop Lv 1</v>
      </c>
      <c r="D80" s="97" t="s">
        <v>3640</v>
      </c>
    </row>
    <row r="81" ht="14.25" customHeight="1">
      <c r="A81" s="96" t="s">
        <v>406</v>
      </c>
      <c r="B81" s="84" t="str">
        <f t="array" ref="B81">_xlfn.XLOOKUP(
 A81,
 tblTargets[TargetID],
 tblTargets[TargetType],
 ""
)
 </f>
        <v>BUILDING</v>
      </c>
      <c r="C81" s="96" t="str">
        <f t="array" ref="C81">_xlfn.XLOOKUP(
 A81,
 tblTargets[TargetID],
 tblTargets[DisplayName],
 ""
)</f>
        <v>Shop Lv 2</v>
      </c>
      <c r="D81" s="98" t="s">
        <v>3641</v>
      </c>
    </row>
    <row r="82" ht="14.25" customHeight="1">
      <c r="A82" s="95" t="s">
        <v>408</v>
      </c>
      <c r="B82" s="84" t="str">
        <f t="array" ref="B82">_xlfn.XLOOKUP(
 A82,
 tblTargets[TargetID],
 tblTargets[TargetType],
 ""
)
 </f>
        <v>BUILDING</v>
      </c>
      <c r="C82" s="96" t="str">
        <f t="array" ref="C82">_xlfn.XLOOKUP(
 A82,
 tblTargets[TargetID],
 tblTargets[DisplayName],
 ""
)</f>
        <v>Shop Lv 3</v>
      </c>
      <c r="D82" s="97" t="s">
        <v>3643</v>
      </c>
    </row>
    <row r="83" ht="14.25" customHeight="1">
      <c r="A83" s="96" t="s">
        <v>410</v>
      </c>
      <c r="B83" s="84" t="str">
        <f t="array" ref="B83">_xlfn.XLOOKUP(
 A83,
 tblTargets[TargetID],
 tblTargets[TargetType],
 ""
)
 </f>
        <v>BUILDING</v>
      </c>
      <c r="C83" s="96" t="str">
        <f t="array" ref="C83">_xlfn.XLOOKUP(
 A83,
 tblTargets[TargetID],
 tblTargets[DisplayName],
 ""
)</f>
        <v>Smithy Lv 1</v>
      </c>
      <c r="D83" s="98" t="s">
        <v>3644</v>
      </c>
    </row>
    <row r="84" ht="14.25" customHeight="1">
      <c r="A84" s="95" t="s">
        <v>414</v>
      </c>
      <c r="B84" s="84" t="str">
        <f t="array" ref="B84">_xlfn.XLOOKUP(
 A84,
 tblTargets[TargetID],
 tblTargets[TargetType],
 ""
)
 </f>
        <v>BUILDING</v>
      </c>
      <c r="C84" s="96" t="str">
        <f t="array" ref="C84">_xlfn.XLOOKUP(
 A84,
 tblTargets[TargetID],
 tblTargets[DisplayName],
 ""
)</f>
        <v>Smithy Lv 2</v>
      </c>
      <c r="D84" s="97" t="s">
        <v>3645</v>
      </c>
    </row>
    <row r="85" ht="14.25" customHeight="1">
      <c r="A85" s="96" t="s">
        <v>415</v>
      </c>
      <c r="B85" s="84" t="str">
        <f t="array" ref="B85">_xlfn.XLOOKUP(
 A85,
 tblTargets[TargetID],
 tblTargets[TargetType],
 ""
)
 </f>
        <v>BUILDING</v>
      </c>
      <c r="C85" s="96" t="str">
        <f t="array" ref="C85">_xlfn.XLOOKUP(
 A85,
 tblTargets[TargetID],
 tblTargets[DisplayName],
 ""
)</f>
        <v>Smithy Lv 3</v>
      </c>
      <c r="D85" s="98" t="s">
        <v>3646</v>
      </c>
    </row>
    <row r="86" ht="14.25" customHeight="1">
      <c r="A86" s="95" t="s">
        <v>418</v>
      </c>
      <c r="B86" s="84" t="str">
        <f t="array" ref="B86">_xlfn.XLOOKUP(
 A86,
 tblTargets[TargetID],
 tblTargets[TargetType],
 ""
)
 </f>
        <v>BUILDING</v>
      </c>
      <c r="C86" s="96" t="str">
        <f t="array" ref="C86">_xlfn.XLOOKUP(
 A86,
 tblTargets[TargetID],
 tblTargets[DisplayName],
 ""
)</f>
        <v>Station Lv 1</v>
      </c>
      <c r="D86" s="97" t="s">
        <v>3648</v>
      </c>
    </row>
    <row r="87" ht="14.25" customHeight="1">
      <c r="A87" s="96" t="s">
        <v>420</v>
      </c>
      <c r="B87" s="84" t="str">
        <f t="array" ref="B87">_xlfn.XLOOKUP(
 A87,
 tblTargets[TargetID],
 tblTargets[TargetType],
 ""
)
 </f>
        <v>BUILDING</v>
      </c>
      <c r="C87" s="96" t="str">
        <f t="array" ref="C87">_xlfn.XLOOKUP(
 A87,
 tblTargets[TargetID],
 tblTargets[DisplayName],
 ""
)</f>
        <v>Tailor Lv 1</v>
      </c>
      <c r="D87" s="98" t="s">
        <v>3649</v>
      </c>
    </row>
    <row r="88" ht="14.25" customHeight="1">
      <c r="A88" s="95" t="s">
        <v>421</v>
      </c>
      <c r="B88" s="84" t="str">
        <f t="array" ref="B88">_xlfn.XLOOKUP(
 A88,
 tblTargets[TargetID],
 tblTargets[TargetType],
 ""
)
 </f>
        <v>BUILDING</v>
      </c>
      <c r="C88" s="96" t="str">
        <f t="array" ref="C88">_xlfn.XLOOKUP(
 A88,
 tblTargets[TargetID],
 tblTargets[DisplayName],
 ""
)</f>
        <v>Tailor Lv 2</v>
      </c>
      <c r="D88" s="97" t="s">
        <v>3650</v>
      </c>
    </row>
    <row r="89" ht="14.25" customHeight="1">
      <c r="A89" s="96" t="s">
        <v>424</v>
      </c>
      <c r="B89" s="84" t="str">
        <f t="array" ref="B89">_xlfn.XLOOKUP(
 A89,
 tblTargets[TargetID],
 tblTargets[TargetType],
 ""
)
 </f>
        <v>BUILDING</v>
      </c>
      <c r="C89" s="96" t="str">
        <f t="array" ref="C89">_xlfn.XLOOKUP(
 A89,
 tblTargets[TargetID],
 tblTargets[DisplayName],
 ""
)</f>
        <v>Tailor Lv 3</v>
      </c>
      <c r="D89" s="98" t="s">
        <v>3652</v>
      </c>
    </row>
    <row r="90" ht="14.25" customHeight="1">
      <c r="A90" s="95" t="s">
        <v>427</v>
      </c>
      <c r="B90" s="84" t="str">
        <f t="array" ref="B90">_xlfn.XLOOKUP(
 A90,
 tblTargets[TargetID],
 tblTargets[TargetType],
 ""
)
 </f>
        <v>BUILDING</v>
      </c>
      <c r="C90" s="96" t="str">
        <f t="array" ref="C90">_xlfn.XLOOKUP(
 A90,
 tblTargets[TargetID],
 tblTargets[DisplayName],
 ""
)</f>
        <v>Train Lv 1</v>
      </c>
      <c r="D90" s="97" t="s">
        <v>3653</v>
      </c>
    </row>
    <row r="91" ht="14.25" customHeight="1">
      <c r="A91" s="96" t="s">
        <v>429</v>
      </c>
      <c r="B91" s="84" t="str">
        <f t="array" ref="B91">_xlfn.XLOOKUP(
 A91,
 tblTargets[TargetID],
 tblTargets[TargetType],
 ""
)
 </f>
        <v>BUILDING</v>
      </c>
      <c r="C91" s="96" t="str">
        <f t="array" ref="C91">_xlfn.XLOOKUP(
 A91,
 tblTargets[TargetID],
 tblTargets[DisplayName],
 ""
)</f>
        <v>Train Lv 2</v>
      </c>
      <c r="D91" s="98" t="s">
        <v>3654</v>
      </c>
    </row>
    <row r="92" ht="14.25" customHeight="1">
      <c r="A92" s="95" t="s">
        <v>431</v>
      </c>
      <c r="B92" s="84" t="str">
        <f t="array" ref="B92">_xlfn.XLOOKUP(
 A92,
 tblTargets[TargetID],
 tblTargets[TargetType],
 ""
)
 </f>
        <v>BUILDING</v>
      </c>
      <c r="C92" s="96" t="str">
        <f t="array" ref="C92">_xlfn.XLOOKUP(
 A92,
 tblTargets[TargetID],
 tblTargets[DisplayName],
 ""
)</f>
        <v>Train: Freight Carriage Lv 1</v>
      </c>
      <c r="D92" s="97" t="s">
        <v>3656</v>
      </c>
    </row>
    <row r="93" ht="14.25" customHeight="1">
      <c r="A93" s="96" t="s">
        <v>433</v>
      </c>
      <c r="B93" s="84" t="str">
        <f t="array" ref="B93">_xlfn.XLOOKUP(
 A93,
 tblTargets[TargetID],
 tblTargets[TargetType],
 ""
)
 </f>
        <v>BUILDING</v>
      </c>
      <c r="C93" s="96" t="str">
        <f t="array" ref="C93">_xlfn.XLOOKUP(
 A93,
 tblTargets[TargetID],
 tblTargets[DisplayName],
 ""
)</f>
        <v>Train: Freight Carriage Lv 2</v>
      </c>
      <c r="D93" s="98" t="s">
        <v>3657</v>
      </c>
    </row>
    <row r="94" ht="14.25" customHeight="1">
      <c r="A94" s="95" t="s">
        <v>435</v>
      </c>
      <c r="B94" s="84" t="str">
        <f t="array" ref="B94">_xlfn.XLOOKUP(
 A94,
 tblTargets[TargetID],
 tblTargets[TargetType],
 ""
)
 </f>
        <v>BUILDING</v>
      </c>
      <c r="C94" s="96" t="str">
        <f t="array" ref="C94">_xlfn.XLOOKUP(
 A94,
 tblTargets[TargetID],
 tblTargets[DisplayName],
 ""
)</f>
        <v>Train: Passenger Carriage Lv 1</v>
      </c>
      <c r="D94" s="97" t="s">
        <v>3659</v>
      </c>
    </row>
    <row r="95" ht="14.25" customHeight="1">
      <c r="A95" s="96" t="s">
        <v>438</v>
      </c>
      <c r="B95" s="84" t="str">
        <f t="array" ref="B95">_xlfn.XLOOKUP(
 A95,
 tblTargets[TargetID],
 tblTargets[TargetType],
 ""
)
 </f>
        <v>BUILDING</v>
      </c>
      <c r="C95" s="96" t="str">
        <f t="array" ref="C95">_xlfn.XLOOKUP(
 A95,
 tblTargets[TargetID],
 tblTargets[DisplayName],
 ""
)</f>
        <v>Train: Passenger Carriage Lv 2</v>
      </c>
      <c r="D95" s="98" t="s">
        <v>3660</v>
      </c>
    </row>
    <row r="96" ht="14.25" customHeight="1">
      <c r="A96" s="95" t="s">
        <v>440</v>
      </c>
      <c r="B96" s="84" t="str">
        <f t="array" ref="B96">_xlfn.XLOOKUP(
 A96,
 tblTargets[TargetID],
 tblTargets[TargetType],
 ""
)
 </f>
        <v>BUILDING</v>
      </c>
      <c r="C96" s="96" t="str">
        <f t="array" ref="C96">_xlfn.XLOOKUP(
 A96,
 tblTargets[TargetID],
 tblTargets[DisplayName],
 ""
)</f>
        <v>Warehouse Lv 1</v>
      </c>
      <c r="D96" s="97" t="s">
        <v>3661</v>
      </c>
    </row>
    <row r="97" ht="14.25" customHeight="1">
      <c r="A97" s="96" t="s">
        <v>442</v>
      </c>
      <c r="B97" s="84" t="str">
        <f t="array" ref="B97">_xlfn.XLOOKUP(
 A97,
 tblTargets[TargetID],
 tblTargets[TargetType],
 ""
)
 </f>
        <v>BUILDING</v>
      </c>
      <c r="C97" s="96" t="str">
        <f t="array" ref="C97">_xlfn.XLOOKUP(
 A97,
 tblTargets[TargetID],
 tblTargets[DisplayName],
 ""
)</f>
        <v>Warehouse Lv 2</v>
      </c>
      <c r="D97" s="98" t="s">
        <v>3663</v>
      </c>
    </row>
    <row r="98" ht="14.25" customHeight="1">
      <c r="A98" s="95" t="s">
        <v>445</v>
      </c>
      <c r="B98" s="84" t="str">
        <f t="array" ref="B98">_xlfn.XLOOKUP(
 A98,
 tblTargets[TargetID],
 tblTargets[TargetType],
 ""
)
 </f>
        <v>BUILDING</v>
      </c>
      <c r="C98" s="96" t="str">
        <f t="array" ref="C98">_xlfn.XLOOKUP(
 A98,
 tblTargets[TargetID],
 tblTargets[DisplayName],
 ""
)</f>
        <v>Warehouse Lv 3</v>
      </c>
      <c r="D98" s="97" t="s">
        <v>3664</v>
      </c>
    </row>
    <row r="99" ht="14.25" customHeight="1">
      <c r="A99" s="96" t="s">
        <v>447</v>
      </c>
      <c r="B99" s="84" t="str">
        <f t="array" ref="B99">_xlfn.XLOOKUP(
 A99,
 tblTargets[TargetID],
 tblTargets[TargetType],
 ""
)
 </f>
        <v>BUILDING</v>
      </c>
      <c r="C99" s="96" t="str">
        <f t="array" ref="C99">_xlfn.XLOOKUP(
 A99,
 tblTargets[TargetID],
 tblTargets[DisplayName],
 ""
)</f>
        <v>Warehouse Lv 4</v>
      </c>
      <c r="D99" s="98" t="s">
        <v>3665</v>
      </c>
    </row>
    <row r="100" ht="14.25" customHeight="1">
      <c r="A100" s="95" t="s">
        <v>449</v>
      </c>
      <c r="B100" s="84" t="str">
        <f t="array" ref="B100">_xlfn.XLOOKUP(
 A100,
 tblTargets[TargetID],
 tblTargets[TargetType],
 ""
)
 </f>
        <v>BUILDING</v>
      </c>
      <c r="C100" s="96" t="str">
        <f t="array" ref="C100">_xlfn.XLOOKUP(
 A100,
 tblTargets[TargetID],
 tblTargets[DisplayName],
 ""
)</f>
        <v>Warehouse Lv 5</v>
      </c>
      <c r="D100" s="97" t="s">
        <v>3667</v>
      </c>
    </row>
    <row r="101" ht="14.25" customHeight="1">
      <c r="A101" s="96" t="s">
        <v>451</v>
      </c>
      <c r="B101" s="84" t="str">
        <f t="array" ref="B101">_xlfn.XLOOKUP(
 A101,
 tblTargets[TargetID],
 tblTargets[TargetType],
 ""
)
 </f>
        <v>BUILDING</v>
      </c>
      <c r="C101" s="96" t="str">
        <f t="array" ref="C101">_xlfn.XLOOKUP(
 A101,
 tblTargets[TargetID],
 tblTargets[DisplayName],
 ""
)</f>
        <v>Warehouse Lv 6</v>
      </c>
      <c r="D101" s="98" t="s">
        <v>3668</v>
      </c>
    </row>
    <row r="102" ht="14.25" customHeight="1">
      <c r="A102" s="95" t="s">
        <v>453</v>
      </c>
      <c r="B102" s="84" t="str">
        <f t="array" ref="B102">_xlfn.XLOOKUP(
 A102,
 tblTargets[TargetID],
 tblTargets[TargetType],
 ""
)
 </f>
        <v>BUILDING</v>
      </c>
      <c r="C102" s="96" t="str">
        <f t="array" ref="C102">_xlfn.XLOOKUP(
 A102,
 tblTargets[TargetID],
 tblTargets[DisplayName],
 ""
)</f>
        <v>Warehouse Lv 7</v>
      </c>
      <c r="D102" s="97" t="s">
        <v>3670</v>
      </c>
    </row>
    <row r="103" ht="14.25" customHeight="1">
      <c r="A103" s="96" t="s">
        <v>455</v>
      </c>
      <c r="B103" s="84" t="str">
        <f t="array" ref="B103">_xlfn.XLOOKUP(
 A103,
 tblTargets[TargetID],
 tblTargets[TargetType],
 ""
)
 </f>
        <v>BUILDING</v>
      </c>
      <c r="C103" s="96" t="str">
        <f t="array" ref="C103">_xlfn.XLOOKUP(
 A103,
 tblTargets[TargetID],
 tblTargets[DisplayName],
 ""
)</f>
        <v>Windmill Lv 1</v>
      </c>
      <c r="D103" s="98" t="s">
        <v>3671</v>
      </c>
    </row>
    <row r="104" ht="14.25" customHeight="1">
      <c r="A104" s="95" t="s">
        <v>457</v>
      </c>
      <c r="B104" s="84" t="str">
        <f t="array" ref="B104">_xlfn.XLOOKUP(
 A104,
 tblTargets[TargetID],
 tblTargets[TargetType],
 ""
)
 </f>
        <v>BUILDING</v>
      </c>
      <c r="C104" s="96" t="str">
        <f t="array" ref="C104">_xlfn.XLOOKUP(
 A104,
 tblTargets[TargetID],
 tblTargets[DisplayName],
 ""
)</f>
        <v>Windmill Lv 2</v>
      </c>
      <c r="D104" s="97" t="s">
        <v>3672</v>
      </c>
    </row>
    <row r="105" ht="14.25" customHeight="1">
      <c r="A105" s="96" t="s">
        <v>460</v>
      </c>
      <c r="B105" s="84" t="str">
        <f t="array" ref="B105">_xlfn.XLOOKUP(
 A105,
 tblTargets[TargetID],
 tblTargets[TargetType],
 ""
)
 </f>
        <v>BUILDING</v>
      </c>
      <c r="C105" s="96" t="str">
        <f t="array" ref="C105">_xlfn.XLOOKUP(
 A105,
 tblTargets[TargetID],
 tblTargets[DisplayName],
 ""
)</f>
        <v>Workshop Lv 1</v>
      </c>
      <c r="D105" s="98" t="s">
        <v>3674</v>
      </c>
    </row>
    <row r="106" ht="14.25" customHeight="1">
      <c r="A106" s="95" t="s">
        <v>463</v>
      </c>
      <c r="B106" s="84" t="str">
        <f t="array" ref="B106">_xlfn.XLOOKUP(
 A106,
 tblTargets[TargetID],
 tblTargets[TargetType],
 ""
)
 </f>
        <v>BUILDING</v>
      </c>
      <c r="C106" s="96" t="str">
        <f t="array" ref="C106">_xlfn.XLOOKUP(
 A106,
 tblTargets[TargetID],
 tblTargets[DisplayName],
 ""
)</f>
        <v>Workshop Lv 2</v>
      </c>
      <c r="D106" s="97" t="s">
        <v>3675</v>
      </c>
    </row>
    <row r="107" ht="14.25" customHeight="1">
      <c r="A107" s="96" t="s">
        <v>473</v>
      </c>
      <c r="B107" s="84" t="str">
        <f t="array" ref="B107">_xlfn.XLOOKUP(
 A107,
 tblTargets[TargetID],
 tblTargets[TargetType],
 ""
)
 </f>
        <v>BUILDING</v>
      </c>
      <c r="C107" s="96" t="str">
        <f t="array" ref="C107">_xlfn.XLOOKUP(
 A107,
 tblTargets[TargetID],
 tblTargets[DisplayName],
 ""
)</f>
        <v>Workshop Lv 3</v>
      </c>
      <c r="D107" s="98" t="s">
        <v>3677</v>
      </c>
    </row>
    <row r="108" ht="14.25" customHeight="1">
      <c r="A108" s="95" t="s">
        <v>475</v>
      </c>
      <c r="B108" s="84" t="str">
        <f t="array" ref="B108">_xlfn.XLOOKUP(
 A108,
 tblTargets[TargetID],
 tblTargets[TargetType],
 ""
)
 </f>
        <v>BUILDING</v>
      </c>
      <c r="C108" s="96" t="str">
        <f t="array" ref="C108">_xlfn.XLOOKUP(
 A108,
 tblTargets[TargetID],
 tblTargets[DisplayName],
 ""
)</f>
        <v>Workshop Lv 4</v>
      </c>
      <c r="D108" s="97" t="s">
        <v>3678</v>
      </c>
    </row>
    <row r="109" ht="14.25" customHeight="1">
      <c r="A109" s="99" t="s">
        <v>478</v>
      </c>
      <c r="B109" s="84" t="str">
        <f t="array" ref="B109">_xlfn.XLOOKUP(
 A109,
 tblTargets[TargetID],
 tblTargets[TargetType],
 ""
)
 </f>
        <v>BUILDING</v>
      </c>
      <c r="C109" s="96" t="str">
        <f t="array" ref="C109">_xlfn.XLOOKUP(
 A109,
 tblTargets[TargetID],
 tblTargets[DisplayName],
 ""
)</f>
        <v>Workshop Lv 5</v>
      </c>
      <c r="D109" s="100" t="s">
        <v>3679</v>
      </c>
    </row>
    <row r="110" ht="14.25" customHeight="1">
      <c r="A110" s="96" t="s">
        <v>1703</v>
      </c>
      <c r="B110" s="84" t="str">
        <f t="array" ref="B110">_xlfn.XLOOKUP(
 A110,
 tblTargets[TargetID],
 tblTargets[TargetType],
 ""
)
 </f>
        <v>TECH</v>
      </c>
      <c r="C110" s="96" t="str">
        <f t="array" ref="C110">_xlfn.XLOOKUP(
 A110,
 tblTargets[TargetID],
 tblTargets[DisplayName],
 ""
)</f>
        <v>Airship - Titanium Longerons</v>
      </c>
      <c r="D110" s="98" t="s">
        <v>3680</v>
      </c>
    </row>
    <row r="111" ht="14.25" customHeight="1">
      <c r="A111" s="96" t="s">
        <v>1721</v>
      </c>
      <c r="B111" s="84" t="str">
        <f t="array" ref="B111">_xlfn.XLOOKUP(
 A111,
 tblTargets[TargetID],
 tblTargets[TargetType],
 ""
)
 </f>
        <v>TECH</v>
      </c>
      <c r="C111" s="96" t="str">
        <f t="array" ref="C111">_xlfn.XLOOKUP(
 A111,
 tblTargets[TargetID],
 tblTargets[DisplayName],
 ""
)</f>
        <v>Alchemists Hut - Greek Grenade</v>
      </c>
      <c r="D111" s="98" t="s">
        <v>3682</v>
      </c>
    </row>
    <row r="112" ht="14.25" customHeight="1">
      <c r="A112" s="96" t="s">
        <v>1747</v>
      </c>
      <c r="B112" s="84" t="str">
        <f t="array" ref="B112">_xlfn.XLOOKUP(
 A112,
 tblTargets[TargetID],
 tblTargets[TargetType],
 ""
)
 </f>
        <v>TECH</v>
      </c>
      <c r="C112" s="96" t="str">
        <f t="array" ref="C112">_xlfn.XLOOKUP(
 A112,
 tblTargets[TargetID],
 tblTargets[DisplayName],
 ""
)</f>
        <v>Alchemists Hut - Synthetic Fertilizer</v>
      </c>
      <c r="D112" s="98" t="s">
        <v>3683</v>
      </c>
    </row>
    <row r="113" ht="14.25" customHeight="1">
      <c r="A113" s="96" t="s">
        <v>1709</v>
      </c>
      <c r="B113" s="84" t="str">
        <f t="array" ref="B113">_xlfn.XLOOKUP(
 A113,
 tblTargets[TargetID],
 tblTargets[TargetType],
 ""
)
 </f>
        <v>TECH</v>
      </c>
      <c r="C113" s="96" t="str">
        <f t="array" ref="C113">_xlfn.XLOOKUP(
 A113,
 tblTargets[TargetID],
 tblTargets[DisplayName],
 ""
)</f>
        <v>Alchemists Hut - Balm</v>
      </c>
      <c r="D113" s="98" t="s">
        <v>3685</v>
      </c>
    </row>
    <row r="114" ht="14.25" customHeight="1">
      <c r="A114" s="96" t="s">
        <v>1744</v>
      </c>
      <c r="B114" s="84" t="str">
        <f t="array" ref="B114">_xlfn.XLOOKUP(
 A114,
 tblTargets[TargetID],
 tblTargets[TargetType],
 ""
)
 </f>
        <v>TECH</v>
      </c>
      <c r="C114" s="96" t="str">
        <f t="array" ref="C114">_xlfn.XLOOKUP(
 A114,
 tblTargets[TargetID],
 tblTargets[DisplayName],
 ""
)</f>
        <v>Alchemists Hut - Potion Of Mental Power</v>
      </c>
      <c r="D114" s="98" t="s">
        <v>3686</v>
      </c>
    </row>
    <row r="115" ht="14.25" customHeight="1">
      <c r="A115" s="96" t="s">
        <v>1726</v>
      </c>
      <c r="B115" s="84" t="str">
        <f t="array" ref="B115">_xlfn.XLOOKUP(
 A115,
 tblTargets[TargetID],
 tblTargets[TargetType],
 ""
)
 </f>
        <v>TECH</v>
      </c>
      <c r="C115" s="96" t="str">
        <f t="array" ref="C115">_xlfn.XLOOKUP(
 A115,
 tblTargets[TargetID],
 tblTargets[DisplayName],
 ""
)</f>
        <v>Alchemists Hut - Mercury</v>
      </c>
      <c r="D115" s="98" t="s">
        <v>3687</v>
      </c>
    </row>
    <row r="116" ht="14.25" customHeight="1">
      <c r="A116" s="96" t="s">
        <v>1719</v>
      </c>
      <c r="B116" s="84" t="str">
        <f t="array" ref="B116">_xlfn.XLOOKUP(
 A116,
 tblTargets[TargetID],
 tblTargets[TargetType],
 ""
)
 </f>
        <v>TECH</v>
      </c>
      <c r="C116" s="96" t="str">
        <f t="array" ref="C116">_xlfn.XLOOKUP(
 A116,
 tblTargets[TargetID],
 tblTargets[DisplayName],
 ""
)</f>
        <v>Alchemists Hut - Gold Ingot</v>
      </c>
      <c r="D116" s="98" t="s">
        <v>3689</v>
      </c>
    </row>
    <row r="117" ht="14.25" customHeight="1">
      <c r="A117" s="96" t="s">
        <v>1724</v>
      </c>
      <c r="B117" s="84" t="str">
        <f t="array" ref="B117">_xlfn.XLOOKUP(
 A117,
 tblTargets[TargetID],
 tblTargets[TargetType],
 ""
)
 </f>
        <v>TECH</v>
      </c>
      <c r="C117" s="96" t="str">
        <f t="array" ref="C117">_xlfn.XLOOKUP(
 A117,
 tblTargets[TargetID],
 tblTargets[DisplayName],
 ""
)</f>
        <v>Alchemists Hut - Madness Grenade</v>
      </c>
      <c r="D117" s="98" t="s">
        <v>3690</v>
      </c>
    </row>
    <row r="118" ht="14.25" customHeight="1">
      <c r="A118" s="96" t="s">
        <v>1740</v>
      </c>
      <c r="B118" s="84" t="str">
        <f t="array" ref="B118">_xlfn.XLOOKUP(
 A118,
 tblTargets[TargetID],
 tblTargets[TargetType],
 ""
)
 </f>
        <v>TECH</v>
      </c>
      <c r="C118" s="96" t="str">
        <f t="array" ref="C118">_xlfn.XLOOKUP(
 A118,
 tblTargets[TargetID],
 tblTargets[DisplayName],
 ""
)</f>
        <v>Alchemists Hut - Potion Of Healing</v>
      </c>
      <c r="D118" s="98" t="s">
        <v>3692</v>
      </c>
    </row>
    <row r="119" ht="14.25" customHeight="1">
      <c r="A119" s="96" t="s">
        <v>1737</v>
      </c>
      <c r="B119" s="84" t="str">
        <f t="array" ref="B119">_xlfn.XLOOKUP(
 A119,
 tblTargets[TargetID],
 tblTargets[TargetType],
 ""
)
 </f>
        <v>TECH</v>
      </c>
      <c r="C119" s="96" t="str">
        <f t="array" ref="C119">_xlfn.XLOOKUP(
 A119,
 tblTargets[TargetID],
 tblTargets[DisplayName],
 ""
)</f>
        <v>Alchemists Hut - Potion Of Energy</v>
      </c>
      <c r="D119" s="98" t="s">
        <v>3692</v>
      </c>
    </row>
    <row r="120" ht="14.25" customHeight="1">
      <c r="A120" s="96" t="s">
        <v>1735</v>
      </c>
      <c r="B120" s="84" t="str">
        <f t="array" ref="B120">_xlfn.XLOOKUP(
 A120,
 tblTargets[TargetID],
 tblTargets[TargetType],
 ""
)
 </f>
        <v>TECH</v>
      </c>
      <c r="C120" s="96" t="str">
        <f t="array" ref="C120">_xlfn.XLOOKUP(
 A120,
 tblTargets[TargetID],
 tblTargets[DisplayName],
 ""
)</f>
        <v>Alchemists Hut - Potion Berserker Rage</v>
      </c>
      <c r="D120" s="98" t="s">
        <v>3693</v>
      </c>
    </row>
    <row r="121" ht="14.25" customHeight="1">
      <c r="A121" s="96" t="s">
        <v>1742</v>
      </c>
      <c r="B121" s="84" t="str">
        <f t="array" ref="B121">_xlfn.XLOOKUP(
 A121,
 tblTargets[TargetID],
 tblTargets[TargetType],
 ""
)
 </f>
        <v>TECH</v>
      </c>
      <c r="C121" s="96" t="str">
        <f t="array" ref="C121">_xlfn.XLOOKUP(
 A121,
 tblTargets[TargetID],
 tblTargets[DisplayName],
 ""
)</f>
        <v>Alchemists Hut - Potion Of Healing Lvl 2</v>
      </c>
      <c r="D121" s="98" t="s">
        <v>3695</v>
      </c>
    </row>
    <row r="122" ht="14.25" customHeight="1">
      <c r="A122" s="96" t="s">
        <v>1733</v>
      </c>
      <c r="B122" s="84" t="str">
        <f t="array" ref="B122">_xlfn.XLOOKUP(
 A122,
 tblTargets[TargetID],
 tblTargets[TargetType],
 ""
)
 </f>
        <v>TECH</v>
      </c>
      <c r="C122" s="96" t="str">
        <f t="array" ref="C122">_xlfn.XLOOKUP(
 A122,
 tblTargets[TargetID],
 tblTargets[DisplayName],
 ""
)</f>
        <v>Alchemists Hut - Potion Ambrosia</v>
      </c>
      <c r="D122" s="98" t="s">
        <v>3696</v>
      </c>
    </row>
    <row r="123" ht="14.25" customHeight="1">
      <c r="A123" s="96" t="s">
        <v>1712</v>
      </c>
      <c r="B123" s="84" t="str">
        <f t="array" ref="B123">_xlfn.XLOOKUP(
 A123,
 tblTargets[TargetID],
 tblTargets[TargetType],
 ""
)
 </f>
        <v>TECH</v>
      </c>
      <c r="C123" s="96" t="str">
        <f t="array" ref="C123">_xlfn.XLOOKUP(
 A123,
 tblTargets[TargetID],
 tblTargets[DisplayName],
 ""
)</f>
        <v>Alchemists Hut - Conveyor Lvl 1</v>
      </c>
      <c r="D123" s="98" t="s">
        <v>3697</v>
      </c>
    </row>
    <row r="124" ht="14.25" customHeight="1">
      <c r="A124" s="96" t="s">
        <v>1715</v>
      </c>
      <c r="B124" s="84" t="str">
        <f t="array" ref="B124">_xlfn.XLOOKUP(
 A124,
 tblTargets[TargetID],
 tblTargets[TargetType],
 ""
)
 </f>
        <v>TECH</v>
      </c>
      <c r="C124" s="96" t="str">
        <f t="array" ref="C124">_xlfn.XLOOKUP(
 A124,
 tblTargets[TargetID],
 tblTargets[DisplayName],
 ""
)</f>
        <v>Alchemists Hut - Conveyor Lvl 2</v>
      </c>
      <c r="D124" s="98" t="s">
        <v>3699</v>
      </c>
    </row>
    <row r="125" ht="14.25" customHeight="1">
      <c r="A125" s="96" t="s">
        <v>1717</v>
      </c>
      <c r="B125" s="84" t="str">
        <f t="array" ref="B125">_xlfn.XLOOKUP(
 A125,
 tblTargets[TargetID],
 tblTargets[TargetType],
 ""
)
 </f>
        <v>TECH</v>
      </c>
      <c r="C125" s="96" t="str">
        <f t="array" ref="C125">_xlfn.XLOOKUP(
 A125,
 tblTargets[TargetID],
 tblTargets[DisplayName],
 ""
)</f>
        <v>Alchemists Hut - Galvanization</v>
      </c>
      <c r="D125" s="98" t="s">
        <v>3700</v>
      </c>
    </row>
    <row r="126" ht="14.25" customHeight="1">
      <c r="A126" s="96" t="s">
        <v>1728</v>
      </c>
      <c r="B126" s="84" t="str">
        <f t="array" ref="B126">_xlfn.XLOOKUP(
 A126,
 tblTargets[TargetID],
 tblTargets[TargetType],
 ""
)
 </f>
        <v>TECH</v>
      </c>
      <c r="C126" s="96" t="str">
        <f t="array" ref="C126">_xlfn.XLOOKUP(
 A126,
 tblTargets[TargetID],
 tblTargets[DisplayName],
 ""
)</f>
        <v>Alchemists Hut - Metamorphosis</v>
      </c>
      <c r="D126" s="98" t="s">
        <v>3701</v>
      </c>
    </row>
    <row r="127" ht="14.25" customHeight="1">
      <c r="A127" s="96" t="s">
        <v>1707</v>
      </c>
      <c r="B127" s="84" t="str">
        <f t="array" ref="B127">_xlfn.XLOOKUP(
 A127,
 tblTargets[TargetID],
 tblTargets[TargetType],
 ""
)
 </f>
        <v>TECH</v>
      </c>
      <c r="C127" s="96" t="str">
        <f t="array" ref="C127">_xlfn.XLOOKUP(
 A127,
 tblTargets[TargetID],
 tblTargets[DisplayName],
 ""
)</f>
        <v>Alchemists Hut - Advanced Fertilizer</v>
      </c>
      <c r="D127" s="98" t="s">
        <v>3703</v>
      </c>
    </row>
    <row r="128" ht="14.25" customHeight="1">
      <c r="A128" s="96" t="s">
        <v>1749</v>
      </c>
      <c r="B128" s="84" t="str">
        <f t="array" ref="B128">_xlfn.XLOOKUP(
 A128,
 tblTargets[TargetID],
 tblTargets[TargetType],
 ""
)
 </f>
        <v>TECH</v>
      </c>
      <c r="C128" s="96" t="str">
        <f t="array" ref="C128">_xlfn.XLOOKUP(
 A128,
 tblTargets[TargetID],
 tblTargets[DisplayName],
 ""
)</f>
        <v>Bridge - Koi Fish</v>
      </c>
      <c r="D128" s="98" t="s">
        <v>3704</v>
      </c>
    </row>
    <row r="129" ht="14.25" customHeight="1">
      <c r="A129" s="96" t="s">
        <v>1751</v>
      </c>
      <c r="B129" s="84" t="str">
        <f t="array" ref="B129">_xlfn.XLOOKUP(
 A129,
 tblTargets[TargetID],
 tblTargets[TargetType],
 ""
)
 </f>
        <v>TECH</v>
      </c>
      <c r="C129" s="96" t="str">
        <f t="array" ref="C129">_xlfn.XLOOKUP(
 A129,
 tblTargets[TargetID],
 tblTargets[DisplayName],
 ""
)</f>
        <v>Bridge - Salmon Farming</v>
      </c>
      <c r="D129" s="98" t="s">
        <v>3705</v>
      </c>
    </row>
    <row r="130" ht="14.25" customHeight="1">
      <c r="A130" s="96" t="s">
        <v>1756</v>
      </c>
      <c r="B130" s="84" t="str">
        <f t="array" ref="B130">_xlfn.XLOOKUP(
 A130,
 tblTargets[TargetID],
 tblTargets[TargetType],
 ""
)
 </f>
        <v>TECH</v>
      </c>
      <c r="C130" s="96" t="str">
        <f t="array" ref="C130">_xlfn.XLOOKUP(
 A130,
 tblTargets[TargetID],
 tblTargets[DisplayName],
 ""
)</f>
        <v>Dairy - Classical Music For The Farm</v>
      </c>
      <c r="D130" s="98" t="s">
        <v>3707</v>
      </c>
    </row>
    <row r="131" ht="14.25" customHeight="1">
      <c r="A131" s="96" t="s">
        <v>1753</v>
      </c>
      <c r="B131" s="84" t="str">
        <f t="array" ref="B131">_xlfn.XLOOKUP(
 A131,
 tblTargets[TargetID],
 tblTargets[TargetType],
 ""
)
 </f>
        <v>TECH</v>
      </c>
      <c r="C131" s="96" t="str">
        <f t="array" ref="C131">_xlfn.XLOOKUP(
 A131,
 tblTargets[TargetID],
 tblTargets[DisplayName],
 ""
)</f>
        <v>Dairy - Big Data Farming</v>
      </c>
      <c r="D131" s="98" t="s">
        <v>3708</v>
      </c>
    </row>
    <row r="132" ht="14.25" customHeight="1">
      <c r="A132" s="96" t="s">
        <v>1758</v>
      </c>
      <c r="B132" s="84" t="str">
        <f t="array" ref="B132">_xlfn.XLOOKUP(
 A132,
 tblTargets[TargetID],
 tblTargets[TargetType],
 ""
)
 </f>
        <v>TECH</v>
      </c>
      <c r="C132" s="96" t="str">
        <f t="array" ref="C132">_xlfn.XLOOKUP(
 A132,
 tblTargets[TargetID],
 tblTargets[DisplayName],
 ""
)</f>
        <v>Dungeon - Great Hall</v>
      </c>
      <c r="D132" s="98" t="s">
        <v>3710</v>
      </c>
    </row>
    <row r="133" ht="14.25" customHeight="1">
      <c r="A133" s="96" t="s">
        <v>1760</v>
      </c>
      <c r="B133" s="84" t="str">
        <f t="array" ref="B133">_xlfn.XLOOKUP(
 A133,
 tblTargets[TargetID],
 tblTargets[TargetType],
 ""
)
 </f>
        <v>TECH</v>
      </c>
      <c r="C133" s="96" t="str">
        <f t="array" ref="C133">_xlfn.XLOOKUP(
 A133,
 tblTargets[TargetID],
 tblTargets[DisplayName],
 ""
)</f>
        <v>Fermentory - Pasteurization</v>
      </c>
      <c r="D133" s="98" t="s">
        <v>3711</v>
      </c>
    </row>
    <row r="134" ht="14.25" customHeight="1">
      <c r="A134" s="96" t="s">
        <v>1765</v>
      </c>
      <c r="B134" s="84" t="str">
        <f t="array" ref="B134">_xlfn.XLOOKUP(
 A134,
 tblTargets[TargetID],
 tblTargets[TargetType],
 ""
)
 </f>
        <v>TECH</v>
      </c>
      <c r="C134" s="96" t="str">
        <f t="array" ref="C134">_xlfn.XLOOKUP(
 A134,
 tblTargets[TargetID],
 tblTargets[DisplayName],
 ""
)</f>
        <v>Field - Seed Drill</v>
      </c>
      <c r="D134" s="98" t="s">
        <v>3697</v>
      </c>
    </row>
    <row r="135" ht="14.25" customHeight="1">
      <c r="A135" s="96" t="s">
        <v>1762</v>
      </c>
      <c r="B135" s="84" t="str">
        <f t="array" ref="B135">_xlfn.XLOOKUP(
 A135,
 tblTargets[TargetID],
 tblTargets[TargetType],
 ""
)
 </f>
        <v>TECH</v>
      </c>
      <c r="C135" s="96" t="str">
        <f t="array" ref="C135">_xlfn.XLOOKUP(
 A135,
 tblTargets[TargetID],
 tblTargets[DisplayName],
 ""
)</f>
        <v>Field - Combine Harvester</v>
      </c>
      <c r="D135" s="98" t="s">
        <v>3713</v>
      </c>
    </row>
    <row r="136" ht="14.25" customHeight="1">
      <c r="A136" s="96" t="s">
        <v>1768</v>
      </c>
      <c r="B136" s="84" t="str">
        <f t="array" ref="B136">_xlfn.XLOOKUP(
 A136,
 tblTargets[TargetID],
 tblTargets[TargetType],
 ""
)
 </f>
        <v>TECH</v>
      </c>
      <c r="C136" s="96" t="str">
        <f t="array" ref="C136">_xlfn.XLOOKUP(
 A136,
 tblTargets[TargetID],
 tblTargets[DisplayName],
 ""
)</f>
        <v>Field - Soybean</v>
      </c>
      <c r="D136" s="98" t="s">
        <v>3714</v>
      </c>
    </row>
    <row r="137" ht="14.25" customHeight="1">
      <c r="A137" s="96" t="s">
        <v>1784</v>
      </c>
      <c r="B137" s="84" t="str">
        <f t="array" ref="B137">_xlfn.XLOOKUP(
 A137,
 tblTargets[TargetID],
 tblTargets[TargetType],
 ""
)
 </f>
        <v>TECH</v>
      </c>
      <c r="C137" s="96" t="str">
        <f t="array" ref="C137">_xlfn.XLOOKUP(
 A137,
 tblTargets[TargetID],
 tblTargets[DisplayName],
 ""
)</f>
        <v>Food Stall - Quintessence Of Taste</v>
      </c>
      <c r="D137" s="98" t="s">
        <v>3716</v>
      </c>
    </row>
    <row r="138" ht="14.25" customHeight="1">
      <c r="A138" s="96" t="s">
        <v>1775</v>
      </c>
      <c r="B138" s="84" t="str">
        <f t="array" ref="B138">_xlfn.XLOOKUP(
 A138,
 tblTargets[TargetID],
 tblTargets[TargetType],
 ""
)
 </f>
        <v>TECH</v>
      </c>
      <c r="C138" s="96" t="str">
        <f t="array" ref="C138">_xlfn.XLOOKUP(
 A138,
 tblTargets[TargetID],
 tblTargets[DisplayName],
 ""
)</f>
        <v>Food Stall - Jam</v>
      </c>
      <c r="D138" s="98" t="s">
        <v>3717</v>
      </c>
    </row>
    <row r="139" ht="14.25" customHeight="1">
      <c r="A139" s="96" t="s">
        <v>1779</v>
      </c>
      <c r="B139" s="84" t="str">
        <f t="array" ref="B139">_xlfn.XLOOKUP(
 A139,
 tblTargets[TargetID],
 tblTargets[TargetType],
 ""
)
 </f>
        <v>TECH</v>
      </c>
      <c r="C139" s="96" t="str">
        <f t="array" ref="C139">_xlfn.XLOOKUP(
 A139,
 tblTargets[TargetID],
 tblTargets[DisplayName],
 ""
)</f>
        <v>Food Stall - Mayonnaise</v>
      </c>
      <c r="D139" s="98" t="s">
        <v>3718</v>
      </c>
    </row>
    <row r="140" ht="14.25" customHeight="1">
      <c r="A140" s="96" t="s">
        <v>1777</v>
      </c>
      <c r="B140" s="84" t="str">
        <f t="array" ref="B140">_xlfn.XLOOKUP(
 A140,
 tblTargets[TargetID],
 tblTargets[TargetType],
 ""
)
 </f>
        <v>TECH</v>
      </c>
      <c r="C140" s="96" t="str">
        <f t="array" ref="C140">_xlfn.XLOOKUP(
 A140,
 tblTargets[TargetID],
 tblTargets[DisplayName],
 ""
)</f>
        <v>Food Stall - Mandra Cola</v>
      </c>
      <c r="D140" s="98" t="s">
        <v>3720</v>
      </c>
    </row>
    <row r="141" ht="14.25" customHeight="1">
      <c r="A141" s="96" t="s">
        <v>1772</v>
      </c>
      <c r="B141" s="84" t="str">
        <f t="array" ref="B141">_xlfn.XLOOKUP(
 A141,
 tblTargets[TargetID],
 tblTargets[TargetType],
 ""
)
 </f>
        <v>TECH</v>
      </c>
      <c r="C141" s="96" t="str">
        <f t="array" ref="C141">_xlfn.XLOOKUP(
 A141,
 tblTargets[TargetID],
 tblTargets[DisplayName],
 ""
)</f>
        <v>Food Stall - Inarizushi</v>
      </c>
      <c r="D141" s="98" t="s">
        <v>3721</v>
      </c>
    </row>
    <row r="142" ht="14.25" customHeight="1">
      <c r="A142" s="96" t="s">
        <v>1770</v>
      </c>
      <c r="B142" s="84" t="str">
        <f t="array" ref="B142">_xlfn.XLOOKUP(
 A142,
 tblTargets[TargetID],
 tblTargets[TargetType],
 ""
)
 </f>
        <v>TECH</v>
      </c>
      <c r="C142" s="96" t="str">
        <f t="array" ref="C142">_xlfn.XLOOKUP(
 A142,
 tblTargets[TargetID],
 tblTargets[DisplayName],
 ""
)</f>
        <v>Food Stall - Conveyor Belt Sushi</v>
      </c>
      <c r="D142" s="98" t="s">
        <v>3722</v>
      </c>
    </row>
    <row r="143" ht="14.25" customHeight="1">
      <c r="A143" s="96" t="s">
        <v>1782</v>
      </c>
      <c r="B143" s="84" t="str">
        <f t="array" ref="B143">_xlfn.XLOOKUP(
 A143,
 tblTargets[TargetID],
 tblTargets[TargetType],
 ""
)
 </f>
        <v>TECH</v>
      </c>
      <c r="C143" s="96" t="str">
        <f t="array" ref="C143">_xlfn.XLOOKUP(
 A143,
 tblTargets[TargetID],
 tblTargets[DisplayName],
 ""
)</f>
        <v>Food Stall - Miso Soup</v>
      </c>
      <c r="D143" s="98" t="s">
        <v>3724</v>
      </c>
    </row>
    <row r="144" ht="14.25" customHeight="1">
      <c r="A144" s="96" t="s">
        <v>1791</v>
      </c>
      <c r="B144" s="84" t="str">
        <f t="array" ref="B144">_xlfn.XLOOKUP(
 A144,
 tblTargets[TargetID],
 tblTargets[TargetType],
 ""
)
 </f>
        <v>TECH</v>
      </c>
      <c r="C144" s="96" t="str">
        <f t="array" ref="C144">_xlfn.XLOOKUP(
 A144,
 tblTargets[TargetID],
 tblTargets[DisplayName],
 ""
)</f>
        <v>Furnace - Meteoric Steel</v>
      </c>
      <c r="D144" s="98" t="s">
        <v>3725</v>
      </c>
    </row>
    <row r="145" ht="14.25" customHeight="1">
      <c r="A145" s="96" t="s">
        <v>1793</v>
      </c>
      <c r="B145" s="84" t="str">
        <f t="array" ref="B145">_xlfn.XLOOKUP(
 A145,
 tblTargets[TargetID],
 tblTargets[TargetType],
 ""
)
 </f>
        <v>TECH</v>
      </c>
      <c r="C145" s="96" t="str">
        <f t="array" ref="C145">_xlfn.XLOOKUP(
 A145,
 tblTargets[TargetID],
 tblTargets[DisplayName],
 ""
)</f>
        <v>Furnace - Titanium Parts</v>
      </c>
      <c r="D145" s="98" t="s">
        <v>3726</v>
      </c>
    </row>
    <row r="146" ht="14.25" customHeight="1">
      <c r="A146" s="96" t="s">
        <v>1789</v>
      </c>
      <c r="B146" s="84" t="str">
        <f t="array" ref="B146">_xlfn.XLOOKUP(
 A146,
 tblTargets[TargetID],
 tblTargets[TargetType],
 ""
)
 </f>
        <v>TECH</v>
      </c>
      <c r="C146" s="96" t="str">
        <f t="array" ref="C146">_xlfn.XLOOKUP(
 A146,
 tblTargets[TargetID],
 tblTargets[DisplayName],
 ""
)</f>
        <v>Furnace - Glass</v>
      </c>
      <c r="D146" s="98" t="s">
        <v>3728</v>
      </c>
    </row>
    <row r="147" ht="14.25" customHeight="1">
      <c r="A147" s="96" t="s">
        <v>1786</v>
      </c>
      <c r="B147" s="84" t="str">
        <f t="array" ref="B147">_xlfn.XLOOKUP(
 A147,
 tblTargets[TargetID],
 tblTargets[TargetType],
 ""
)
 </f>
        <v>TECH</v>
      </c>
      <c r="C147" s="96" t="str">
        <f t="array" ref="C147">_xlfn.XLOOKUP(
 A147,
 tblTargets[TargetID],
 tblTargets[DisplayName],
 ""
)</f>
        <v>Furnace - Conveyor</v>
      </c>
      <c r="D147" s="98" t="s">
        <v>3729</v>
      </c>
    </row>
    <row r="148" ht="14.25" customHeight="1">
      <c r="A148" s="96" t="s">
        <v>1795</v>
      </c>
      <c r="B148" s="84" t="str">
        <f t="array" ref="B148">_xlfn.XLOOKUP(
 A148,
 tblTargets[TargetID],
 tblTargets[TargetType],
 ""
)
 </f>
        <v>TECH</v>
      </c>
      <c r="C148" s="96" t="str">
        <f t="array" ref="C148">_xlfn.XLOOKUP(
 A148,
 tblTargets[TargetID],
 tblTargets[DisplayName],
 ""
)</f>
        <v>Garden - Sprinkler</v>
      </c>
      <c r="D148" s="98" t="s">
        <v>3730</v>
      </c>
    </row>
    <row r="149" ht="14.25" customHeight="1">
      <c r="A149" s="96" t="s">
        <v>1802</v>
      </c>
      <c r="B149" s="84" t="str">
        <f t="array" ref="B149">_xlfn.XLOOKUP(
 A149,
 tblTargets[TargetID],
 tblTargets[TargetType],
 ""
)
 </f>
        <v>TECH</v>
      </c>
      <c r="C149" s="96" t="str">
        <f t="array" ref="C149">_xlfn.XLOOKUP(
 A149,
 tblTargets[TargetID],
 tblTargets[DisplayName],
 ""
)</f>
        <v>Laboratory - Research And Development</v>
      </c>
      <c r="D149" s="98" t="s">
        <v>3731</v>
      </c>
    </row>
    <row r="150" ht="14.25" customHeight="1">
      <c r="A150" s="96" t="s">
        <v>1798</v>
      </c>
      <c r="B150" s="84" t="str">
        <f t="array" ref="B150">_xlfn.XLOOKUP(
 A150,
 tblTargets[TargetID],
 tblTargets[TargetType],
 ""
)
 </f>
        <v>TECH</v>
      </c>
      <c r="C150" s="96" t="str">
        <f t="array" ref="C150">_xlfn.XLOOKUP(
 A150,
 tblTargets[TargetID],
 tblTargets[DisplayName],
 ""
)</f>
        <v>Laboratory - Digitization</v>
      </c>
      <c r="D150" s="98" t="s">
        <v>3733</v>
      </c>
    </row>
    <row r="151" ht="14.25" customHeight="1">
      <c r="A151" s="96" t="s">
        <v>1800</v>
      </c>
      <c r="B151" s="84" t="str">
        <f t="array" ref="B151">_xlfn.XLOOKUP(
 A151,
 tblTargets[TargetID],
 tblTargets[TargetType],
 ""
)
 </f>
        <v>TECH</v>
      </c>
      <c r="C151" s="96" t="str">
        <f t="array" ref="C151">_xlfn.XLOOKUP(
 A151,
 tblTargets[TargetID],
 tblTargets[DisplayName],
 ""
)</f>
        <v>Laboratory - Experiments</v>
      </c>
      <c r="D151" s="98" t="s">
        <v>3734</v>
      </c>
    </row>
    <row r="152" ht="14.25" customHeight="1">
      <c r="A152" s="96" t="s">
        <v>1814</v>
      </c>
      <c r="B152" s="84" t="str">
        <f t="array" ref="B152">_xlfn.XLOOKUP(
 A152,
 tblTargets[TargetID],
 tblTargets[TargetType],
 ""
)
 </f>
        <v>TECH</v>
      </c>
      <c r="C152" s="96" t="str">
        <f t="array" ref="C152">_xlfn.XLOOKUP(
 A152,
 tblTargets[TargetID],
 tblTargets[DisplayName],
 ""
)</f>
        <v>Outpost - Sayonara Tax</v>
      </c>
      <c r="D152" s="98" t="s">
        <v>3735</v>
      </c>
    </row>
    <row r="153" ht="14.25" customHeight="1">
      <c r="A153" s="96" t="s">
        <v>1805</v>
      </c>
      <c r="B153" s="84" t="str">
        <f t="array" ref="B153">_xlfn.XLOOKUP(
 A153,
 tblTargets[TargetID],
 tblTargets[TargetType],
 ""
)
 </f>
        <v>TECH</v>
      </c>
      <c r="C153" s="96" t="str">
        <f t="array" ref="C153">_xlfn.XLOOKUP(
 A153,
 tblTargets[TargetID],
 tblTargets[DisplayName],
 ""
)</f>
        <v>Outpost - Arsenal Lvl 1</v>
      </c>
      <c r="D153" s="98" t="s">
        <v>3737</v>
      </c>
    </row>
    <row r="154" ht="14.25" customHeight="1">
      <c r="A154" s="96" t="s">
        <v>1807</v>
      </c>
      <c r="B154" s="84" t="str">
        <f t="array" ref="B154">_xlfn.XLOOKUP(
 A154,
 tblTargets[TargetID],
 tblTargets[TargetType],
 ""
)
 </f>
        <v>TECH</v>
      </c>
      <c r="C154" s="96" t="str">
        <f t="array" ref="C154">_xlfn.XLOOKUP(
 A154,
 tblTargets[TargetID],
 tblTargets[DisplayName],
 ""
)</f>
        <v>Outpost - Arsenal Lvl 2</v>
      </c>
      <c r="D154" s="98" t="s">
        <v>3738</v>
      </c>
    </row>
    <row r="155" ht="14.25" customHeight="1">
      <c r="A155" s="96" t="s">
        <v>1812</v>
      </c>
      <c r="B155" s="84" t="str">
        <f t="array" ref="B155">_xlfn.XLOOKUP(
 A155,
 tblTargets[TargetID],
 tblTargets[TargetType],
 ""
)
 </f>
        <v>TECH</v>
      </c>
      <c r="C155" s="96" t="str">
        <f t="array" ref="C155">_xlfn.XLOOKUP(
 A155,
 tblTargets[TargetID],
 tblTargets[DisplayName],
 ""
)</f>
        <v>Outpost - Optional Contracts</v>
      </c>
      <c r="D155" s="98" t="s">
        <v>3740</v>
      </c>
    </row>
    <row r="156" ht="14.25" customHeight="1">
      <c r="A156" s="96" t="s">
        <v>1809</v>
      </c>
      <c r="B156" s="84" t="str">
        <f t="array" ref="B156">_xlfn.XLOOKUP(
 A156,
 tblTargets[TargetID],
 tblTargets[TargetType],
 ""
)
 </f>
        <v>TECH</v>
      </c>
      <c r="C156" s="96" t="str">
        <f t="array" ref="C156">_xlfn.XLOOKUP(
 A156,
 tblTargets[TargetID],
 tblTargets[DisplayName],
 ""
)</f>
        <v>Outpost - Futures Contracts</v>
      </c>
      <c r="D156" s="98" t="s">
        <v>3741</v>
      </c>
    </row>
    <row r="157" ht="14.25" customHeight="1">
      <c r="A157" s="96" t="s">
        <v>1816</v>
      </c>
      <c r="B157" s="84" t="str">
        <f t="array" ref="B157">_xlfn.XLOOKUP(
 A157,
 tblTargets[TargetID],
 tblTargets[TargetType],
 ""
)
 </f>
        <v>TECH</v>
      </c>
      <c r="C157" s="96" t="str">
        <f t="array" ref="C157">_xlfn.XLOOKUP(
 A157,
 tblTargets[TargetID],
 tblTargets[DisplayName],
 ""
)</f>
        <v>Outpost - Tax Return On Floppy Disk</v>
      </c>
      <c r="D157" s="98" t="s">
        <v>3742</v>
      </c>
    </row>
    <row r="158" ht="14.25" customHeight="1">
      <c r="A158" s="96" t="s">
        <v>1818</v>
      </c>
      <c r="B158" s="84" t="str">
        <f t="array" ref="B158">_xlfn.XLOOKUP(
 A158,
 tblTargets[TargetID],
 tblTargets[TargetType],
 ""
)
 </f>
        <v>TECH</v>
      </c>
      <c r="C158" s="96" t="str">
        <f t="array" ref="C158">_xlfn.XLOOKUP(
 A158,
 tblTargets[TargetID],
 tblTargets[DisplayName],
 ""
)</f>
        <v>Rock Garden - Rake</v>
      </c>
      <c r="D158" s="98" t="s">
        <v>3730</v>
      </c>
    </row>
    <row r="159" ht="14.25" customHeight="1">
      <c r="A159" s="96" t="s">
        <v>1823</v>
      </c>
      <c r="B159" s="84" t="str">
        <f t="array" ref="B159">_xlfn.XLOOKUP(
 A159,
 tblTargets[TargetID],
 tblTargets[TargetType],
 ""
)
 </f>
        <v>TECH</v>
      </c>
      <c r="C159" s="96" t="str">
        <f t="array" ref="C159">_xlfn.XLOOKUP(
 A159,
 tblTargets[TargetID],
 tblTargets[DisplayName],
 ""
)</f>
        <v>Shop - Pre Orders</v>
      </c>
      <c r="D159" s="98" t="s">
        <v>3744</v>
      </c>
    </row>
    <row r="160" ht="14.25" customHeight="1">
      <c r="A160" s="96" t="s">
        <v>1821</v>
      </c>
      <c r="B160" s="84" t="str">
        <f t="array" ref="B160">_xlfn.XLOOKUP(
 A160,
 tblTargets[TargetID],
 tblTargets[TargetType],
 ""
)
 </f>
        <v>TECH</v>
      </c>
      <c r="C160" s="96" t="str">
        <f t="array" ref="C160">_xlfn.XLOOKUP(
 A160,
 tblTargets[TargetID],
 tblTargets[DisplayName],
 ""
)</f>
        <v>Shop - Glass Recycling</v>
      </c>
      <c r="D160" s="98" t="s">
        <v>3746</v>
      </c>
    </row>
    <row r="161" ht="14.25" customHeight="1">
      <c r="A161" s="96" t="s">
        <v>1838</v>
      </c>
      <c r="B161" s="84" t="str">
        <f t="array" ref="B161">_xlfn.XLOOKUP(
 A161,
 tblTargets[TargetID],
 tblTargets[TargetType],
 ""
)
 </f>
        <v>TECH</v>
      </c>
      <c r="C161" s="96" t="str">
        <f t="array" ref="C161">_xlfn.XLOOKUP(
 A161,
 tblTargets[TargetID],
 tblTargets[DisplayName],
 ""
)</f>
        <v>Smithy - Throwing Knife</v>
      </c>
      <c r="D161" s="98" t="s">
        <v>3747</v>
      </c>
    </row>
    <row r="162" ht="14.25" customHeight="1">
      <c r="A162" s="96" t="s">
        <v>1827</v>
      </c>
      <c r="B162" s="84" t="str">
        <f t="array" ref="B162">_xlfn.XLOOKUP(
 A162,
 tblTargets[TargetID],
 tblTargets[TargetType],
 ""
)
 </f>
        <v>TECH</v>
      </c>
      <c r="C162" s="96" t="str">
        <f t="array" ref="C162">_xlfn.XLOOKUP(
 A162,
 tblTargets[TargetID],
 tblTargets[DisplayName],
 ""
)</f>
        <v>Smithy - Sword For A Hero Lvl 1</v>
      </c>
      <c r="D162" s="98" t="s">
        <v>3748</v>
      </c>
    </row>
    <row r="163" ht="14.25" customHeight="1">
      <c r="A163" s="96" t="s">
        <v>1829</v>
      </c>
      <c r="B163" s="84" t="str">
        <f t="array" ref="B163">_xlfn.XLOOKUP(
 A163,
 tblTargets[TargetID],
 tblTargets[TargetType],
 ""
)
 </f>
        <v>TECH</v>
      </c>
      <c r="C163" s="96" t="str">
        <f t="array" ref="C163">_xlfn.XLOOKUP(
 A163,
 tblTargets[TargetID],
 tblTargets[DisplayName],
 ""
)</f>
        <v>Smithy - Sword For A Hero Lvl 2</v>
      </c>
      <c r="D163" s="98" t="s">
        <v>3750</v>
      </c>
    </row>
    <row r="164" ht="14.25" customHeight="1">
      <c r="A164" s="96" t="s">
        <v>1832</v>
      </c>
      <c r="B164" s="84" t="str">
        <f t="array" ref="B164">_xlfn.XLOOKUP(
 A164,
 tblTargets[TargetID],
 tblTargets[TargetType],
 ""
)
 </f>
        <v>TECH</v>
      </c>
      <c r="C164" s="96" t="str">
        <f t="array" ref="C164">_xlfn.XLOOKUP(
 A164,
 tblTargets[TargetID],
 tblTargets[DisplayName],
 ""
)</f>
        <v>Smithy - Sword For A Hero Lvl 3</v>
      </c>
      <c r="D164" s="98" t="s">
        <v>3751</v>
      </c>
    </row>
    <row r="165" ht="14.25" customHeight="1">
      <c r="A165" s="96" t="s">
        <v>1834</v>
      </c>
      <c r="B165" s="84" t="str">
        <f t="array" ref="B165">_xlfn.XLOOKUP(
 A165,
 tblTargets[TargetID],
 tblTargets[TargetType],
 ""
)
 </f>
        <v>TECH</v>
      </c>
      <c r="C165" s="96" t="str">
        <f t="array" ref="C165">_xlfn.XLOOKUP(
 A165,
 tblTargets[TargetID],
 tblTargets[DisplayName],
 ""
)</f>
        <v>Smithy - Sword For A Hero Lvl 4</v>
      </c>
      <c r="D165" s="98" t="s">
        <v>3752</v>
      </c>
    </row>
    <row r="166" ht="14.25" customHeight="1">
      <c r="A166" s="96" t="s">
        <v>1836</v>
      </c>
      <c r="B166" s="84" t="str">
        <f t="array" ref="B166">_xlfn.XLOOKUP(
 A166,
 tblTargets[TargetID],
 tblTargets[TargetType],
 ""
)
 </f>
        <v>TECH</v>
      </c>
      <c r="C166" s="96" t="str">
        <f t="array" ref="C166">_xlfn.XLOOKUP(
 A166,
 tblTargets[TargetID],
 tblTargets[DisplayName],
 ""
)</f>
        <v>Smithy - Sword For A Hero Lvl 4+</v>
      </c>
      <c r="D166" s="98" t="s">
        <v>3754</v>
      </c>
    </row>
    <row r="167" ht="14.25" customHeight="1">
      <c r="A167" s="96" t="s">
        <v>1843</v>
      </c>
      <c r="B167" s="84" t="str">
        <f t="array" ref="B167">_xlfn.XLOOKUP(
 A167,
 tblTargets[TargetID],
 tblTargets[TargetType],
 ""
)
 </f>
        <v>TECH</v>
      </c>
      <c r="C167" s="96" t="str">
        <f t="array" ref="C167">_xlfn.XLOOKUP(
 A167,
 tblTargets[TargetID],
 tblTargets[DisplayName],
 ""
)</f>
        <v>Smithy - Weapon Grease</v>
      </c>
      <c r="D167" s="98" t="s">
        <v>3755</v>
      </c>
    </row>
    <row r="168" ht="14.25" customHeight="1">
      <c r="A168" s="96" t="s">
        <v>1825</v>
      </c>
      <c r="B168" s="84" t="str">
        <f t="array" ref="B168">_xlfn.XLOOKUP(
 A168,
 tblTargets[TargetID],
 tblTargets[TargetType],
 ""
)
 </f>
        <v>TECH</v>
      </c>
      <c r="C168" s="96" t="str">
        <f t="array" ref="C168">_xlfn.XLOOKUP(
 A168,
 tblTargets[TargetID],
 tblTargets[DisplayName],
 ""
)</f>
        <v>Smithy - Gears</v>
      </c>
      <c r="D168" s="98" t="s">
        <v>3757</v>
      </c>
    </row>
    <row r="169" ht="14.25" customHeight="1">
      <c r="A169" s="96" t="s">
        <v>1841</v>
      </c>
      <c r="B169" s="84" t="str">
        <f t="array" ref="B169">_xlfn.XLOOKUP(
 A169,
 tblTargets[TargetID],
 tblTargets[TargetType],
 ""
)
 </f>
        <v>TECH</v>
      </c>
      <c r="C169" s="96" t="str">
        <f t="array" ref="C169">_xlfn.XLOOKUP(
 A169,
 tblTargets[TargetID],
 tblTargets[DisplayName],
 ""
)</f>
        <v>Smithy - Treasure</v>
      </c>
      <c r="D169" s="98" t="s">
        <v>3758</v>
      </c>
    </row>
    <row r="170" ht="14.25" customHeight="1">
      <c r="A170" s="96" t="s">
        <v>1845</v>
      </c>
      <c r="B170" s="84" t="str">
        <f t="array" ref="B170">_xlfn.XLOOKUP(
 A170,
 tblTargets[TargetID],
 tblTargets[TargetType],
 ""
)
 </f>
        <v>TECH</v>
      </c>
      <c r="C170" s="96" t="str">
        <f t="array" ref="C170">_xlfn.XLOOKUP(
 A170,
 tblTargets[TargetID],
 tblTargets[DisplayName],
 ""
)</f>
        <v>Tailor - Ariadnes Thread</v>
      </c>
      <c r="D170" s="98" t="s">
        <v>3759</v>
      </c>
    </row>
    <row r="171" ht="14.25" customHeight="1">
      <c r="A171" s="96" t="s">
        <v>1858</v>
      </c>
      <c r="B171" s="84" t="str">
        <f t="array" ref="B171">_xlfn.XLOOKUP(
 A171,
 tblTargets[TargetID],
 tblTargets[TargetType],
 ""
)
 </f>
        <v>TECH</v>
      </c>
      <c r="C171" s="96" t="str">
        <f t="array" ref="C171">_xlfn.XLOOKUP(
 A171,
 tblTargets[TargetID],
 tblTargets[DisplayName],
 ""
)</f>
        <v>Tailor - Bedroll</v>
      </c>
      <c r="D171" s="98" t="s">
        <v>3761</v>
      </c>
    </row>
    <row r="172" ht="14.25" customHeight="1">
      <c r="A172" s="96" t="s">
        <v>1863</v>
      </c>
      <c r="B172" s="84" t="str">
        <f t="array" ref="B172">_xlfn.XLOOKUP(
 A172,
 tblTargets[TargetID],
 tblTargets[TargetType],
 ""
)
 </f>
        <v>TECH</v>
      </c>
      <c r="C172" s="96" t="str">
        <f t="array" ref="C172">_xlfn.XLOOKUP(
 A172,
 tblTargets[TargetID],
 tblTargets[DisplayName],
 ""
)</f>
        <v>Tailor - Salamander Velour</v>
      </c>
      <c r="D172" s="98" t="s">
        <v>3762</v>
      </c>
    </row>
    <row r="173" ht="14.25" customHeight="1">
      <c r="A173" s="96" t="s">
        <v>1847</v>
      </c>
      <c r="B173" s="84" t="str">
        <f t="array" ref="B173">_xlfn.XLOOKUP(
 A173,
 tblTargets[TargetID],
 tblTargets[TargetType],
 ""
)
 </f>
        <v>TECH</v>
      </c>
      <c r="C173" s="96" t="str">
        <f t="array" ref="C173">_xlfn.XLOOKUP(
 A173,
 tblTargets[TargetID],
 tblTargets[DisplayName],
 ""
)</f>
        <v>Tailor - Armor For A Hero Lvl 1</v>
      </c>
      <c r="D173" s="98" t="s">
        <v>3764</v>
      </c>
    </row>
    <row r="174" ht="14.25" customHeight="1">
      <c r="A174" s="96" t="s">
        <v>1850</v>
      </c>
      <c r="B174" s="84" t="str">
        <f t="array" ref="B174">_xlfn.XLOOKUP(
 A174,
 tblTargets[TargetID],
 tblTargets[TargetType],
 ""
)
 </f>
        <v>TECH</v>
      </c>
      <c r="C174" s="96" t="str">
        <f t="array" ref="C174">_xlfn.XLOOKUP(
 A174,
 tblTargets[TargetID],
 tblTargets[DisplayName],
 ""
)</f>
        <v>Tailor - Armor For A Hero Lvl 2</v>
      </c>
      <c r="D174" s="98" t="s">
        <v>3765</v>
      </c>
    </row>
    <row r="175" ht="14.25" customHeight="1">
      <c r="A175" s="96" t="s">
        <v>1852</v>
      </c>
      <c r="B175" s="84" t="str">
        <f t="array" ref="B175">_xlfn.XLOOKUP(
 A175,
 tblTargets[TargetID],
 tblTargets[TargetType],
 ""
)
 </f>
        <v>TECH</v>
      </c>
      <c r="C175" s="96" t="str">
        <f t="array" ref="C175">_xlfn.XLOOKUP(
 A175,
 tblTargets[TargetID],
 tblTargets[DisplayName],
 ""
)</f>
        <v>Tailor - Armor For A Hero Lvl 3</v>
      </c>
      <c r="D175" s="98" t="s">
        <v>3767</v>
      </c>
    </row>
    <row r="176" ht="14.25" customHeight="1">
      <c r="A176" s="96" t="s">
        <v>1854</v>
      </c>
      <c r="B176" s="84" t="str">
        <f t="array" ref="B176">_xlfn.XLOOKUP(
 A176,
 tblTargets[TargetID],
 tblTargets[TargetType],
 ""
)
 </f>
        <v>TECH</v>
      </c>
      <c r="C176" s="96" t="str">
        <f t="array" ref="C176">_xlfn.XLOOKUP(
 A176,
 tblTargets[TargetID],
 tblTargets[DisplayName],
 ""
)</f>
        <v>Tailor - Armor For A Hero Lvl 4</v>
      </c>
      <c r="D176" s="98" t="s">
        <v>3768</v>
      </c>
    </row>
    <row r="177" ht="14.25" customHeight="1">
      <c r="A177" s="96" t="s">
        <v>1856</v>
      </c>
      <c r="B177" s="84" t="str">
        <f t="array" ref="B177">_xlfn.XLOOKUP(
 A177,
 tblTargets[TargetID],
 tblTargets[TargetType],
 ""
)
 </f>
        <v>TECH</v>
      </c>
      <c r="C177" s="96" t="str">
        <f t="array" ref="C177">_xlfn.XLOOKUP(
 A177,
 tblTargets[TargetID],
 tblTargets[DisplayName],
 ""
)</f>
        <v>Tailor - Armor For A Hero Lvl 4+</v>
      </c>
      <c r="D177" s="98" t="s">
        <v>3769</v>
      </c>
    </row>
    <row r="178" ht="14.25" customHeight="1">
      <c r="A178" s="96" t="s">
        <v>1867</v>
      </c>
      <c r="B178" s="84" t="str">
        <f t="array" ref="B178">_xlfn.XLOOKUP(
 A178,
 tblTargets[TargetID],
 tblTargets[TargetType],
 ""
)
 </f>
        <v>TECH</v>
      </c>
      <c r="C178" s="96" t="str">
        <f t="array" ref="C178">_xlfn.XLOOKUP(
 A178,
 tblTargets[TargetID],
 tblTargets[DisplayName],
 ""
)</f>
        <v>Tailor - Strong Stitch</v>
      </c>
      <c r="D178" s="98" t="s">
        <v>3771</v>
      </c>
    </row>
    <row r="179" ht="14.25" customHeight="1">
      <c r="A179" s="96" t="s">
        <v>1865</v>
      </c>
      <c r="B179" s="84" t="str">
        <f t="array" ref="B179">_xlfn.XLOOKUP(
 A179,
 tblTargets[TargetID],
 tblTargets[TargetType],
 ""
)
 </f>
        <v>TECH</v>
      </c>
      <c r="C179" s="96" t="str">
        <f t="array" ref="C179">_xlfn.XLOOKUP(
 A179,
 tblTargets[TargetID],
 tblTargets[DisplayName],
 ""
)</f>
        <v>Tailor - Strong Rivets</v>
      </c>
      <c r="D179" s="98" t="s">
        <v>3772</v>
      </c>
    </row>
    <row r="180" ht="14.25" customHeight="1">
      <c r="A180" s="96" t="s">
        <v>1861</v>
      </c>
      <c r="B180" s="84" t="str">
        <f t="array" ref="B180">_xlfn.XLOOKUP(
 A180,
 tblTargets[TargetID],
 tblTargets[TargetType],
 ""
)
 </f>
        <v>TECH</v>
      </c>
      <c r="C180" s="96" t="str">
        <f t="array" ref="C180">_xlfn.XLOOKUP(
 A180,
 tblTargets[TargetID],
 tblTargets[DisplayName],
 ""
)</f>
        <v>Tailor - Colored Threads</v>
      </c>
      <c r="D180" s="98" t="s">
        <v>3773</v>
      </c>
    </row>
    <row r="181" ht="14.25" customHeight="1">
      <c r="A181" s="96" t="s">
        <v>1872</v>
      </c>
      <c r="B181" s="84" t="str">
        <f t="array" ref="B181">_xlfn.XLOOKUP(
 A181,
 tblTargets[TargetID],
 tblTargets[TargetType],
 ""
)
 </f>
        <v>TECH</v>
      </c>
      <c r="C181" s="96" t="str">
        <f t="array" ref="C181">_xlfn.XLOOKUP(
 A181,
 tblTargets[TargetID],
 tblTargets[DisplayName],
 ""
)</f>
        <v>Train - Compound Engine</v>
      </c>
      <c r="D181" s="98" t="s">
        <v>3775</v>
      </c>
    </row>
    <row r="182" ht="14.25" customHeight="1">
      <c r="A182" s="96" t="s">
        <v>1877</v>
      </c>
      <c r="B182" s="84" t="str">
        <f t="array" ref="B182">_xlfn.XLOOKUP(
 A182,
 tblTargets[TargetID],
 tblTargets[TargetType],
 ""
)
 </f>
        <v>TECH</v>
      </c>
      <c r="C182" s="96" t="str">
        <f t="array" ref="C182">_xlfn.XLOOKUP(
 A182,
 tblTargets[TargetID],
 tblTargets[DisplayName],
 ""
)</f>
        <v>Train - Superheater</v>
      </c>
      <c r="D182" s="98" t="s">
        <v>3776</v>
      </c>
    </row>
    <row r="183" ht="14.25" customHeight="1">
      <c r="A183" s="96" t="s">
        <v>1870</v>
      </c>
      <c r="B183" s="84" t="str">
        <f t="array" ref="B183">_xlfn.XLOOKUP(
 A183,
 tblTargets[TargetID],
 tblTargets[TargetType],
 ""
)
 </f>
        <v>TECH</v>
      </c>
      <c r="C183" s="96" t="str">
        <f t="array" ref="C183">_xlfn.XLOOKUP(
 A183,
 tblTargets[TargetID],
 tblTargets[DisplayName],
 ""
)</f>
        <v>Train - Automatic Lubricator</v>
      </c>
      <c r="D183" s="98" t="s">
        <v>3778</v>
      </c>
    </row>
    <row r="184" ht="14.25" customHeight="1">
      <c r="A184" s="96" t="s">
        <v>1879</v>
      </c>
      <c r="B184" s="84" t="str">
        <f t="array" ref="B184">_xlfn.XLOOKUP(
 A184,
 tblTargets[TargetID],
 tblTargets[TargetType],
 ""
)
 </f>
        <v>TECH</v>
      </c>
      <c r="C184" s="96" t="str">
        <f t="array" ref="C184">_xlfn.XLOOKUP(
 A184,
 tblTargets[TargetID],
 tblTargets[DisplayName],
 ""
)</f>
        <v>Train - Titanium Components</v>
      </c>
      <c r="D184" s="98" t="s">
        <v>3779</v>
      </c>
    </row>
    <row r="185" ht="14.25" customHeight="1">
      <c r="A185" s="96" t="s">
        <v>1874</v>
      </c>
      <c r="B185" s="84" t="str">
        <f t="array" ref="B185">_xlfn.XLOOKUP(
 A185,
 tblTargets[TargetID],
 tblTargets[TargetType],
 ""
)
 </f>
        <v>TECH</v>
      </c>
      <c r="C185" s="96" t="str">
        <f t="array" ref="C185">_xlfn.XLOOKUP(
 A185,
 tblTargets[TargetID],
 tblTargets[DisplayName],
 ""
)</f>
        <v>Train - Onboard Computer</v>
      </c>
      <c r="D185" s="98" t="s">
        <v>3781</v>
      </c>
    </row>
    <row r="186" ht="14.25" customHeight="1">
      <c r="A186" s="96" t="s">
        <v>1881</v>
      </c>
      <c r="B186" s="84" t="str">
        <f t="array" ref="B186">_xlfn.XLOOKUP(
 A186,
 tblTargets[TargetID],
 tblTargets[TargetType],
 ""
)
 </f>
        <v>TECH</v>
      </c>
      <c r="C186" s="96" t="str">
        <f t="array" ref="C186">_xlfn.XLOOKUP(
 A186,
 tblTargets[TargetID],
 tblTargets[DisplayName],
 ""
)</f>
        <v>Warehouse - Stackable Racks Lvl 1</v>
      </c>
      <c r="D186" s="98" t="s">
        <v>3782</v>
      </c>
    </row>
    <row r="187" ht="14.25" customHeight="1">
      <c r="A187" s="96" t="s">
        <v>1883</v>
      </c>
      <c r="B187" s="84" t="str">
        <f t="array" ref="B187">_xlfn.XLOOKUP(
 A187,
 tblTargets[TargetID],
 tblTargets[TargetType],
 ""
)
 </f>
        <v>TECH</v>
      </c>
      <c r="C187" s="96" t="str">
        <f t="array" ref="C187">_xlfn.XLOOKUP(
 A187,
 tblTargets[TargetID],
 tblTargets[DisplayName],
 ""
)</f>
        <v>Warehouse - Stackable Racks Lvl 2</v>
      </c>
      <c r="D187" s="98" t="s">
        <v>3783</v>
      </c>
    </row>
    <row r="188" ht="14.25" customHeight="1">
      <c r="A188" s="96" t="s">
        <v>1885</v>
      </c>
      <c r="B188" s="84" t="str">
        <f t="array" ref="B188">_xlfn.XLOOKUP(
 A188,
 tblTargets[TargetID],
 tblTargets[TargetType],
 ""
)
 </f>
        <v>TECH</v>
      </c>
      <c r="C188" s="96" t="str">
        <f t="array" ref="C188">_xlfn.XLOOKUP(
 A188,
 tblTargets[TargetID],
 tblTargets[DisplayName],
 ""
)</f>
        <v>Warehouse - Stackable Racks Lvl 3</v>
      </c>
      <c r="D188" s="98" t="s">
        <v>3785</v>
      </c>
    </row>
    <row r="189" ht="14.25" customHeight="1">
      <c r="A189" s="96" t="s">
        <v>1918</v>
      </c>
      <c r="B189" s="84" t="str">
        <f t="array" ref="B189">_xlfn.XLOOKUP(
 A189,
 tblTargets[TargetID],
 tblTargets[TargetType],
 ""
)
 </f>
        <v>TECH</v>
      </c>
      <c r="C189" s="96" t="str">
        <f t="array" ref="C189">_xlfn.XLOOKUP(
 A189,
 tblTargets[TargetID],
 tblTargets[DisplayName],
 ""
)</f>
        <v>Workshop - Throwing Net</v>
      </c>
      <c r="D189" s="98" t="s">
        <v>3786</v>
      </c>
    </row>
    <row r="190" ht="14.25" customHeight="1">
      <c r="A190" s="96" t="s">
        <v>1902</v>
      </c>
      <c r="B190" s="84" t="str">
        <f t="array" ref="B190">_xlfn.XLOOKUP(
 A190,
 tblTargets[TargetID],
 tblTargets[TargetType],
 ""
)
 </f>
        <v>TECH</v>
      </c>
      <c r="C190" s="96" t="str">
        <f t="array" ref="C190">_xlfn.XLOOKUP(
 A190,
 tblTargets[TargetID],
 tblTargets[DisplayName],
 ""
)</f>
        <v>Workshop - Shield For A Hero Lvl 1</v>
      </c>
      <c r="D190" s="98" t="s">
        <v>3787</v>
      </c>
    </row>
    <row r="191" ht="14.25" customHeight="1">
      <c r="A191" s="96" t="s">
        <v>1904</v>
      </c>
      <c r="B191" s="84" t="str">
        <f t="array" ref="B191">_xlfn.XLOOKUP(
 A191,
 tblTargets[TargetID],
 tblTargets[TargetType],
 ""
)
 </f>
        <v>TECH</v>
      </c>
      <c r="C191" s="96" t="str">
        <f t="array" ref="C191">_xlfn.XLOOKUP(
 A191,
 tblTargets[TargetID],
 tblTargets[DisplayName],
 ""
)</f>
        <v>Workshop - Shield For A Hero Lvl 2</v>
      </c>
      <c r="D191" s="98" t="s">
        <v>3789</v>
      </c>
    </row>
    <row r="192" ht="14.25" customHeight="1">
      <c r="A192" s="96" t="s">
        <v>1906</v>
      </c>
      <c r="B192" s="84" t="str">
        <f t="array" ref="B192">_xlfn.XLOOKUP(
 A192,
 tblTargets[TargetID],
 tblTargets[TargetType],
 ""
)
 </f>
        <v>TECH</v>
      </c>
      <c r="C192" s="96" t="str">
        <f t="array" ref="C192">_xlfn.XLOOKUP(
 A192,
 tblTargets[TargetID],
 tblTargets[DisplayName],
 ""
)</f>
        <v>Workshop - Shield For A Hero Lvl 3</v>
      </c>
      <c r="D192" s="98" t="s">
        <v>3790</v>
      </c>
    </row>
    <row r="193" ht="14.25" customHeight="1">
      <c r="A193" s="96" t="s">
        <v>1909</v>
      </c>
      <c r="B193" s="84" t="str">
        <f t="array" ref="B193">_xlfn.XLOOKUP(
 A193,
 tblTargets[TargetID],
 tblTargets[TargetType],
 ""
)
 </f>
        <v>TECH</v>
      </c>
      <c r="C193" s="96" t="str">
        <f t="array" ref="C193">_xlfn.XLOOKUP(
 A193,
 tblTargets[TargetID],
 tblTargets[DisplayName],
 ""
)</f>
        <v>Workshop - Shield For A Hero Lvl 4</v>
      </c>
      <c r="D193" s="98" t="s">
        <v>3792</v>
      </c>
    </row>
    <row r="194" ht="14.25" customHeight="1">
      <c r="A194" s="96" t="s">
        <v>1911</v>
      </c>
      <c r="B194" s="84" t="str">
        <f t="array" ref="B194">_xlfn.XLOOKUP(
 A194,
 tblTargets[TargetID],
 tblTargets[TargetType],
 ""
)
 </f>
        <v>TECH</v>
      </c>
      <c r="C194" s="96" t="str">
        <f t="array" ref="C194">_xlfn.XLOOKUP(
 A194,
 tblTargets[TargetID],
 tblTargets[DisplayName],
 ""
)</f>
        <v>Workshop - Shield For A Hero Lvl 4+</v>
      </c>
      <c r="D194" s="98" t="s">
        <v>3793</v>
      </c>
    </row>
    <row r="195" ht="14.25" customHeight="1">
      <c r="A195" s="96" t="s">
        <v>1915</v>
      </c>
      <c r="B195" s="84" t="str">
        <f t="array" ref="B195">_xlfn.XLOOKUP(
 A195,
 tblTargets[TargetID],
 tblTargets[TargetType],
 ""
)
 </f>
        <v>TECH</v>
      </c>
      <c r="C195" s="96" t="str">
        <f t="array" ref="C195">_xlfn.XLOOKUP(
 A195,
 tblTargets[TargetID],
 tblTargets[DisplayName],
 ""
)</f>
        <v>Workshop - Strong Glue</v>
      </c>
      <c r="D195" s="98" t="s">
        <v>3794</v>
      </c>
    </row>
    <row r="196" ht="14.25" customHeight="1">
      <c r="A196" s="96" t="s">
        <v>1900</v>
      </c>
      <c r="B196" s="84" t="str">
        <f t="array" ref="B196">_xlfn.XLOOKUP(
 A196,
 tblTargets[TargetID],
 tblTargets[TargetType],
 ""
)
 </f>
        <v>TECH</v>
      </c>
      <c r="C196" s="96" t="str">
        <f t="array" ref="C196">_xlfn.XLOOKUP(
 A196,
 tblTargets[TargetID],
 tblTargets[DisplayName],
 ""
)</f>
        <v>Workshop - Mechanism</v>
      </c>
      <c r="D196" s="98" t="s">
        <v>3796</v>
      </c>
    </row>
    <row r="197" ht="14.25" customHeight="1">
      <c r="A197" s="96" t="s">
        <v>1898</v>
      </c>
      <c r="B197" s="84" t="str">
        <f t="array" ref="B197">_xlfn.XLOOKUP(
 A197,
 tblTargets[TargetID],
 tblTargets[TargetType],
 ""
)
 </f>
        <v>TECH</v>
      </c>
      <c r="C197" s="96" t="str">
        <f t="array" ref="C197">_xlfn.XLOOKUP(
 A197,
 tblTargets[TargetID],
 tblTargets[DisplayName],
 ""
)</f>
        <v>Workshop - Mechanical Spider</v>
      </c>
      <c r="D197" s="98" t="s">
        <v>3797</v>
      </c>
    </row>
    <row r="198" ht="14.25" customHeight="1">
      <c r="A198" s="96" t="s">
        <v>1895</v>
      </c>
      <c r="B198" s="84" t="str">
        <f t="array" ref="B198">_xlfn.XLOOKUP(
 A198,
 tblTargets[TargetID],
 tblTargets[TargetType],
 ""
)
 </f>
        <v>TECH</v>
      </c>
      <c r="C198" s="96" t="str">
        <f t="array" ref="C198">_xlfn.XLOOKUP(
 A198,
 tblTargets[TargetID],
 tblTargets[DisplayName],
 ""
)</f>
        <v>Workshop - Explosive Mechanical Spider</v>
      </c>
      <c r="D198" s="98" t="s">
        <v>3798</v>
      </c>
    </row>
    <row r="199" ht="14.25" customHeight="1">
      <c r="A199" s="96" t="s">
        <v>1913</v>
      </c>
      <c r="B199" s="84" t="str">
        <f t="array" ref="B199">_xlfn.XLOOKUP(
 A199,
 tblTargets[TargetID],
 tblTargets[TargetType],
 ""
)
 </f>
        <v>TECH</v>
      </c>
      <c r="C199" s="96" t="str">
        <f t="array" ref="C199">_xlfn.XLOOKUP(
 A199,
 tblTargets[TargetID],
 tblTargets[DisplayName],
 ""
)</f>
        <v>Workshop - Steamobile</v>
      </c>
      <c r="D199" s="98" t="s">
        <v>3800</v>
      </c>
    </row>
    <row r="200" ht="14.25" customHeight="1">
      <c r="A200" s="96" t="s">
        <v>1920</v>
      </c>
      <c r="B200" s="84" t="str">
        <f t="array" ref="B200">_xlfn.XLOOKUP(
 A200,
 tblTargets[TargetID],
 tblTargets[TargetType],
 ""
)
 </f>
        <v>TECH</v>
      </c>
      <c r="C200" s="96" t="str">
        <f t="array" ref="C200">_xlfn.XLOOKUP(
 A200,
 tblTargets[TargetID],
 tblTargets[DisplayName],
 ""
)</f>
        <v>Workshop - Zen Fountain</v>
      </c>
      <c r="D200" s="98" t="s">
        <v>3801</v>
      </c>
    </row>
    <row r="201" ht="14.25" customHeight="1">
      <c r="A201" s="96" t="s">
        <v>1891</v>
      </c>
      <c r="B201" s="84" t="str">
        <f t="array" ref="B201">_xlfn.XLOOKUP(
 A201,
 tblTargets[TargetID],
 tblTargets[TargetType],
 ""
)
 </f>
        <v>TECH</v>
      </c>
      <c r="C201" s="96" t="str">
        <f t="array" ref="C201">_xlfn.XLOOKUP(
 A201,
 tblTargets[TargetID],
 tblTargets[DisplayName],
 ""
)</f>
        <v>Workshop - Conveyor Lvl 1</v>
      </c>
      <c r="D201" s="98" t="s">
        <v>3803</v>
      </c>
    </row>
    <row r="202" ht="14.25" customHeight="1">
      <c r="A202" s="96" t="s">
        <v>1893</v>
      </c>
      <c r="B202" s="84" t="str">
        <f t="array" ref="B202">_xlfn.XLOOKUP(
 A202,
 tblTargets[TargetID],
 tblTargets[TargetType],
 ""
)
 </f>
        <v>TECH</v>
      </c>
      <c r="C202" s="96" t="str">
        <f t="array" ref="C202">_xlfn.XLOOKUP(
 A202,
 tblTargets[TargetID],
 tblTargets[DisplayName],
 ""
)</f>
        <v>Workshop - Conveyor Lvl 2</v>
      </c>
      <c r="D202" s="98" t="s">
        <v>3804</v>
      </c>
    </row>
    <row r="203" ht="14.25" customHeight="1">
      <c r="A203" s="96" t="s">
        <v>1731</v>
      </c>
      <c r="B203" s="84" t="str">
        <f t="array" ref="B203">_xlfn.XLOOKUP(
 A203,
 tblTargets[TargetID],
 tblTargets[TargetType],
 ""
)
 </f>
        <v>TECH</v>
      </c>
      <c r="C203" s="96" t="str">
        <f t="array" ref="C203">_xlfn.XLOOKUP(
 A203,
 tblTargets[TargetID],
 tblTargets[DisplayName],
 ""
)</f>
        <v>Alchemist's Hut - Perfect Fertilizer</v>
      </c>
      <c r="D203" s="98" t="s">
        <v>3805</v>
      </c>
    </row>
    <row r="204" ht="14.25" customHeight="1">
      <c r="A204" s="99" t="s">
        <v>1888</v>
      </c>
      <c r="B204" s="84" t="str">
        <f t="array" ref="B204">_xlfn.XLOOKUP(
 A204,
 tblTargets[TargetID],
 tblTargets[TargetType],
 ""
)
 </f>
        <v>TECH</v>
      </c>
      <c r="C204" s="96" t="str">
        <f t="array" ref="C204">_xlfn.XLOOKUP(
 A204,
 tblTargets[TargetID],
 tblTargets[DisplayName],
 ""
)</f>
        <v>Windmill -  Bone Meal</v>
      </c>
      <c r="D204" s="100" t="s">
        <v>3807</v>
      </c>
    </row>
    <row r="205" ht="14.25" customHeight="1">
      <c r="A205" s="96" t="s">
        <v>480</v>
      </c>
      <c r="B205" s="84" t="str">
        <f t="array" ref="B205">_xlfn.XLOOKUP(
 A205,
 tblTargets[TargetID],
 tblTargets[TargetType],
 ""
)
 </f>
        <v>CITADEL</v>
      </c>
      <c r="C205" s="96" t="str">
        <f t="array" ref="C205">_xlfn.XLOOKUP(
 A205,
 tblTargets[TargetID],
 tblTargets[DisplayName],
 ""
)</f>
        <v>Armory</v>
      </c>
      <c r="D205" s="98" t="s">
        <v>3808</v>
      </c>
    </row>
    <row r="206" ht="14.25" customHeight="1">
      <c r="A206" s="96" t="s">
        <v>482</v>
      </c>
      <c r="B206" s="84" t="str">
        <f t="array" ref="B206">_xlfn.XLOOKUP(
 A206,
 tblTargets[TargetID],
 tblTargets[TargetType],
 ""
)
 </f>
        <v>CITADEL</v>
      </c>
      <c r="C206" s="96" t="str">
        <f t="array" ref="C206">_xlfn.XLOOKUP(
 A206,
 tblTargets[TargetID],
 tblTargets[DisplayName],
 ""
)</f>
        <v>Attic</v>
      </c>
      <c r="D206" s="98" t="s">
        <v>3810</v>
      </c>
    </row>
    <row r="207" ht="14.25" customHeight="1">
      <c r="A207" s="96" t="s">
        <v>498</v>
      </c>
      <c r="B207" s="84" t="str">
        <f t="array" ref="B207">_xlfn.XLOOKUP(
 A207,
 tblTargets[TargetID],
 tblTargets[TargetType],
 ""
)
 </f>
        <v>CITADEL</v>
      </c>
      <c r="C207" s="96" t="str">
        <f t="array" ref="C207">_xlfn.XLOOKUP(
 A207,
 tblTargets[TargetID],
 tblTargets[DisplayName],
 ""
)</f>
        <v>Cheese Cave</v>
      </c>
      <c r="D207" s="98" t="s">
        <v>3811</v>
      </c>
    </row>
    <row r="208" ht="14.25" customHeight="1">
      <c r="A208" s="96" t="s">
        <v>500</v>
      </c>
      <c r="B208" s="84" t="str">
        <f t="array" ref="B208">_xlfn.XLOOKUP(
 A208,
 tblTargets[TargetID],
 tblTargets[TargetType],
 ""
)
 </f>
        <v>CITADEL</v>
      </c>
      <c r="C208" s="96" t="str">
        <f t="array" ref="C208">_xlfn.XLOOKUP(
 A208,
 tblTargets[TargetID],
 tblTargets[DisplayName],
 ""
)</f>
        <v>Courtyard</v>
      </c>
      <c r="D208" s="98" t="s">
        <v>3813</v>
      </c>
    </row>
    <row r="209" ht="14.25" customHeight="1">
      <c r="A209" s="96" t="s">
        <v>502</v>
      </c>
      <c r="B209" s="84" t="str">
        <f t="array" ref="B209">_xlfn.XLOOKUP(
 A209,
 tblTargets[TargetID],
 tblTargets[TargetType],
 ""
)
 </f>
        <v>CITADEL</v>
      </c>
      <c r="C209" s="96" t="str">
        <f t="array" ref="C209">_xlfn.XLOOKUP(
 A209,
 tblTargets[TargetID],
 tblTargets[DisplayName],
 ""
)</f>
        <v>Gallery</v>
      </c>
      <c r="D209" s="98" t="s">
        <v>3808</v>
      </c>
    </row>
    <row r="210" ht="14.25" customHeight="1">
      <c r="A210" s="96" t="s">
        <v>505</v>
      </c>
      <c r="B210" s="84" t="str">
        <f t="array" ref="B210">_xlfn.XLOOKUP(
 A210,
 tblTargets[TargetID],
 tblTargets[TargetType],
 ""
)
 </f>
        <v>CITADEL</v>
      </c>
      <c r="C210" s="96" t="str">
        <f t="array" ref="C210">_xlfn.XLOOKUP(
 A210,
 tblTargets[TargetID],
 tblTargets[DisplayName],
 ""
)</f>
        <v>Great Hall</v>
      </c>
      <c r="D210" s="98" t="s">
        <v>3815</v>
      </c>
    </row>
    <row r="211" ht="14.25" customHeight="1">
      <c r="A211" s="96" t="s">
        <v>509</v>
      </c>
      <c r="B211" s="84" t="str">
        <f t="array" ref="B211">_xlfn.XLOOKUP(
 A211,
 tblTargets[TargetID],
 tblTargets[TargetType],
 ""
)
 </f>
        <v>CITADEL</v>
      </c>
      <c r="C211" s="96" t="str">
        <f t="array" ref="C211">_xlfn.XLOOKUP(
 A211,
 tblTargets[TargetID],
 tblTargets[DisplayName],
 ""
)</f>
        <v>Kitchen and Buttery</v>
      </c>
      <c r="D211" s="98" t="s">
        <v>3810</v>
      </c>
    </row>
    <row r="212" ht="14.25" customHeight="1">
      <c r="A212" s="96" t="s">
        <v>511</v>
      </c>
      <c r="B212" s="84" t="str">
        <f t="array" ref="B212">_xlfn.XLOOKUP(
 A212,
 tblTargets[TargetID],
 tblTargets[TargetType],
 ""
)
 </f>
        <v>CITADEL</v>
      </c>
      <c r="C212" s="96" t="str">
        <f t="array" ref="C212">_xlfn.XLOOKUP(
 A212,
 tblTargets[TargetID],
 tblTargets[DisplayName],
 ""
)</f>
        <v>Lair lvl. 1</v>
      </c>
      <c r="D212" s="98" t="s">
        <v>3816</v>
      </c>
    </row>
    <row r="213" ht="14.25" customHeight="1">
      <c r="A213" s="96" t="s">
        <v>513</v>
      </c>
      <c r="B213" s="84" t="str">
        <f t="array" ref="B213">_xlfn.XLOOKUP(
 A213,
 tblTargets[TargetID],
 tblTargets[TargetType],
 ""
)
 </f>
        <v>CITADEL</v>
      </c>
      <c r="C213" s="96" t="str">
        <f t="array" ref="C213">_xlfn.XLOOKUP(
 A213,
 tblTargets[TargetID],
 tblTargets[DisplayName],
 ""
)</f>
        <v>Lair lvl. 2</v>
      </c>
      <c r="D213" s="98" t="s">
        <v>3818</v>
      </c>
    </row>
    <row r="214" ht="14.25" customHeight="1">
      <c r="A214" s="96" t="s">
        <v>515</v>
      </c>
      <c r="B214" s="84" t="str">
        <f t="array" ref="B214">_xlfn.XLOOKUP(
 A214,
 tblTargets[TargetID],
 tblTargets[TargetType],
 ""
)
 </f>
        <v>CITADEL</v>
      </c>
      <c r="C214" s="96" t="str">
        <f t="array" ref="C214">_xlfn.XLOOKUP(
 A214,
 tblTargets[TargetID],
 tblTargets[DisplayName],
 ""
)</f>
        <v>Mushroom Farm</v>
      </c>
      <c r="D214" s="98" t="s">
        <v>3810</v>
      </c>
    </row>
    <row r="215" ht="14.25" customHeight="1">
      <c r="A215" s="96" t="s">
        <v>516</v>
      </c>
      <c r="B215" s="84" t="str">
        <f t="array" ref="B215">_xlfn.XLOOKUP(
 A215,
 tblTargets[TargetID],
 tblTargets[TargetType],
 ""
)
 </f>
        <v>CITADEL</v>
      </c>
      <c r="C215" s="96" t="str">
        <f t="array" ref="C215">_xlfn.XLOOKUP(
 A215,
 tblTargets[TargetID],
 tblTargets[DisplayName],
 ""
)</f>
        <v>Orangery</v>
      </c>
      <c r="D215" s="98" t="s">
        <v>3810</v>
      </c>
    </row>
    <row r="216" ht="14.25" customHeight="1">
      <c r="A216" s="96" t="s">
        <v>518</v>
      </c>
      <c r="B216" s="84" t="str">
        <f t="array" ref="B216">_xlfn.XLOOKUP(
 A216,
 tblTargets[TargetID],
 tblTargets[TargetType],
 ""
)
 </f>
        <v>CITADEL</v>
      </c>
      <c r="C216" s="96" t="str">
        <f t="array" ref="C216">_xlfn.XLOOKUP(
 A216,
 tblTargets[TargetID],
 tblTargets[DisplayName],
 ""
)</f>
        <v>Pantry</v>
      </c>
      <c r="D216" s="98" t="s">
        <v>3810</v>
      </c>
    </row>
    <row r="217" ht="14.25" customHeight="1">
      <c r="A217" s="96" t="s">
        <v>521</v>
      </c>
      <c r="B217" s="84" t="str">
        <f t="array" ref="B217">_xlfn.XLOOKUP(
 A217,
 tblTargets[TargetID],
 tblTargets[TargetType],
 ""
)
 </f>
        <v>CITADEL</v>
      </c>
      <c r="C217" s="96" t="str">
        <f t="array" ref="C217">_xlfn.XLOOKUP(
 A217,
 tblTargets[TargetID],
 tblTargets[DisplayName],
 ""
)</f>
        <v>Tavern</v>
      </c>
      <c r="D217" s="98" t="s">
        <v>3810</v>
      </c>
    </row>
    <row r="218" ht="14.25" customHeight="1">
      <c r="A218" s="99" t="s">
        <v>523</v>
      </c>
      <c r="B218" s="84" t="str">
        <f t="array" ref="B218">_xlfn.XLOOKUP(
 A218,
 tblTargets[TargetID],
 tblTargets[TargetType],
 ""
)
 </f>
        <v>CITADEL</v>
      </c>
      <c r="C218" s="96" t="str">
        <f t="array" ref="C218">_xlfn.XLOOKUP(
 A218,
 tblTargets[TargetID],
 tblTargets[DisplayName],
 ""
)</f>
        <v>Treasury</v>
      </c>
      <c r="D218" s="100" t="s">
        <v>3820</v>
      </c>
    </row>
    <row r="219" ht="14.25" customHeight="1">
      <c r="A219" s="96" t="s">
        <v>544</v>
      </c>
      <c r="B219" s="84" t="str">
        <f t="array" ref="B219">_xlfn.XLOOKUP(
 A219,
 tblTargets[TargetID],
 tblTargets[TargetType],
 ""
)
 </f>
        <v>COLLECTION</v>
      </c>
      <c r="C219" s="96" t="str">
        <f t="array" ref="C219">_xlfn.XLOOKUP(
 A219,
 tblTargets[TargetID],
 tblTargets[DisplayName],
 ""
)</f>
        <v>Armory 1 Lv 1</v>
      </c>
      <c r="D219" s="21" t="s">
        <v>3822</v>
      </c>
    </row>
    <row r="220" ht="14.25" customHeight="1">
      <c r="A220" s="96" t="s">
        <v>546</v>
      </c>
      <c r="B220" s="84" t="str">
        <f t="array" ref="B220">_xlfn.XLOOKUP(
 A220,
 tblTargets[TargetID],
 tblTargets[TargetType],
 ""
)
 </f>
        <v>COLLECTION</v>
      </c>
      <c r="C220" s="96" t="str">
        <f t="array" ref="C220">_xlfn.XLOOKUP(
 A220,
 tblTargets[TargetID],
 tblTargets[DisplayName],
 ""
)</f>
        <v>Armory 1 Lv 2</v>
      </c>
      <c r="D220" s="21" t="s">
        <v>3823</v>
      </c>
    </row>
    <row r="221" ht="14.25" customHeight="1">
      <c r="A221" s="96" t="s">
        <v>549</v>
      </c>
      <c r="B221" s="84" t="str">
        <f t="array" ref="B221">_xlfn.XLOOKUP(
 A221,
 tblTargets[TargetID],
 tblTargets[TargetType],
 ""
)
 </f>
        <v>COLLECTION</v>
      </c>
      <c r="C221" s="96" t="str">
        <f t="array" ref="C221">_xlfn.XLOOKUP(
 A221,
 tblTargets[TargetID],
 tblTargets[DisplayName],
 ""
)</f>
        <v>Armory 1 Lv 3</v>
      </c>
      <c r="D221" s="21" t="s">
        <v>3824</v>
      </c>
    </row>
    <row r="222" ht="14.25" customHeight="1">
      <c r="A222" s="96" t="s">
        <v>551</v>
      </c>
      <c r="B222" s="84" t="str">
        <f t="array" ref="B222">_xlfn.XLOOKUP(
 A222,
 tblTargets[TargetID],
 tblTargets[TargetType],
 ""
)
 </f>
        <v>COLLECTION</v>
      </c>
      <c r="C222" s="96" t="str">
        <f t="array" ref="C222">_xlfn.XLOOKUP(
 A222,
 tblTargets[TargetID],
 tblTargets[DisplayName],
 ""
)</f>
        <v>Armory 2 Lv 1</v>
      </c>
      <c r="D222" s="21" t="s">
        <v>3826</v>
      </c>
    </row>
    <row r="223" ht="14.25" customHeight="1">
      <c r="A223" s="96" t="s">
        <v>553</v>
      </c>
      <c r="B223" s="84" t="str">
        <f t="array" ref="B223">_xlfn.XLOOKUP(
 A223,
 tblTargets[TargetID],
 tblTargets[TargetType],
 ""
)
 </f>
        <v>COLLECTION</v>
      </c>
      <c r="C223" s="96" t="str">
        <f t="array" ref="C223">_xlfn.XLOOKUP(
 A223,
 tblTargets[TargetID],
 tblTargets[DisplayName],
 ""
)</f>
        <v>Attic Lv 1</v>
      </c>
      <c r="D223" s="21" t="s">
        <v>3827</v>
      </c>
    </row>
    <row r="224" ht="14.25" customHeight="1">
      <c r="A224" s="96" t="s">
        <v>556</v>
      </c>
      <c r="B224" s="84" t="str">
        <f t="array" ref="B224">_xlfn.XLOOKUP(
 A224,
 tblTargets[TargetID],
 tblTargets[TargetType],
 ""
)
 </f>
        <v>COLLECTION</v>
      </c>
      <c r="C224" s="96" t="str">
        <f t="array" ref="C224">_xlfn.XLOOKUP(
 A224,
 tblTargets[TargetID],
 tblTargets[DisplayName],
 ""
)</f>
        <v>Attic Lv 2</v>
      </c>
      <c r="D224" s="21" t="s">
        <v>3828</v>
      </c>
    </row>
    <row r="225" ht="14.25" customHeight="1">
      <c r="A225" s="96" t="s">
        <v>558</v>
      </c>
      <c r="B225" s="84" t="str">
        <f t="array" ref="B225">_xlfn.XLOOKUP(
 A225,
 tblTargets[TargetID],
 tblTargets[TargetType],
 ""
)
 </f>
        <v>COLLECTION</v>
      </c>
      <c r="C225" s="96" t="str">
        <f t="array" ref="C225">_xlfn.XLOOKUP(
 A225,
 tblTargets[TargetID],
 tblTargets[DisplayName],
 ""
)</f>
        <v>Attic Lv 3</v>
      </c>
      <c r="D225" s="21" t="s">
        <v>3829</v>
      </c>
    </row>
    <row r="226" ht="14.25" customHeight="1">
      <c r="A226" s="96" t="s">
        <v>560</v>
      </c>
      <c r="B226" s="84" t="str">
        <f t="array" ref="B226">_xlfn.XLOOKUP(
 A226,
 tblTargets[TargetID],
 tblTargets[TargetType],
 ""
)
 </f>
        <v>COLLECTION</v>
      </c>
      <c r="C226" s="96" t="str">
        <f t="array" ref="C226">_xlfn.XLOOKUP(
 A226,
 tblTargets[TargetID],
 tblTargets[DisplayName],
 ""
)</f>
        <v>Attic Lv 4</v>
      </c>
      <c r="D226" s="21" t="s">
        <v>3831</v>
      </c>
    </row>
    <row r="227" ht="14.25" customHeight="1">
      <c r="A227" s="96" t="s">
        <v>563</v>
      </c>
      <c r="B227" s="84" t="str">
        <f t="array" ref="B227">_xlfn.XLOOKUP(
 A227,
 tblTargets[TargetID],
 tblTargets[TargetType],
 ""
)
 </f>
        <v>COLLECTION</v>
      </c>
      <c r="C227" s="96" t="str">
        <f t="array" ref="C227">_xlfn.XLOOKUP(
 A227,
 tblTargets[TargetID],
 tblTargets[DisplayName],
 ""
)</f>
        <v>Attic Lv 5</v>
      </c>
      <c r="D227" s="21" t="s">
        <v>3832</v>
      </c>
    </row>
    <row r="228" ht="14.25" customHeight="1">
      <c r="A228" s="96" t="s">
        <v>584</v>
      </c>
      <c r="B228" s="84" t="str">
        <f t="array" ref="B228">_xlfn.XLOOKUP(
 A228,
 tblTargets[TargetID],
 tblTargets[TargetType],
 ""
)
 </f>
        <v>COLLECTION</v>
      </c>
      <c r="C228" s="96" t="str">
        <f t="array" ref="C228">_xlfn.XLOOKUP(
 A228,
 tblTargets[TargetID],
 tblTargets[DisplayName],
 ""
)</f>
        <v>Courtyard 1 Lv 1</v>
      </c>
      <c r="D228" s="21" t="s">
        <v>3833</v>
      </c>
    </row>
    <row r="229" ht="14.25" customHeight="1">
      <c r="A229" s="96" t="s">
        <v>586</v>
      </c>
      <c r="B229" s="84" t="str">
        <f t="array" ref="B229">_xlfn.XLOOKUP(
 A229,
 tblTargets[TargetID],
 tblTargets[TargetType],
 ""
)
 </f>
        <v>COLLECTION</v>
      </c>
      <c r="C229" s="96" t="str">
        <f t="array" ref="C229">_xlfn.XLOOKUP(
 A229,
 tblTargets[TargetID],
 tblTargets[DisplayName],
 ""
)</f>
        <v>Courtyard 1 Lv 2</v>
      </c>
      <c r="D229" s="21" t="s">
        <v>3835</v>
      </c>
    </row>
    <row r="230" ht="14.25" customHeight="1">
      <c r="A230" s="96" t="s">
        <v>589</v>
      </c>
      <c r="B230" s="84" t="str">
        <f t="array" ref="B230">_xlfn.XLOOKUP(
 A230,
 tblTargets[TargetID],
 tblTargets[TargetType],
 ""
)
 </f>
        <v>COLLECTION</v>
      </c>
      <c r="C230" s="96" t="str">
        <f t="array" ref="C230">_xlfn.XLOOKUP(
 A230,
 tblTargets[TargetID],
 tblTargets[DisplayName],
 ""
)</f>
        <v>Courtyard 2 Lv 1</v>
      </c>
      <c r="D230" s="21" t="s">
        <v>3836</v>
      </c>
    </row>
    <row r="231" ht="14.25" customHeight="1">
      <c r="A231" s="96" t="s">
        <v>594</v>
      </c>
      <c r="B231" s="84" t="str">
        <f t="array" ref="B231">_xlfn.XLOOKUP(
 A231,
 tblTargets[TargetID],
 tblTargets[TargetType],
 ""
)
 </f>
        <v>COLLECTION</v>
      </c>
      <c r="C231" s="96" t="str">
        <f t="array" ref="C231">_xlfn.XLOOKUP(
 A231,
 tblTargets[TargetID],
 tblTargets[DisplayName],
 ""
)</f>
        <v>Gallery 1 Lv 1</v>
      </c>
      <c r="D231" s="21" t="s">
        <v>3837</v>
      </c>
    </row>
    <row r="232" ht="14.25" customHeight="1">
      <c r="A232" s="96" t="s">
        <v>596</v>
      </c>
      <c r="B232" s="84" t="str">
        <f t="array" ref="B232">_xlfn.XLOOKUP(
 A232,
 tblTargets[TargetID],
 tblTargets[TargetType],
 ""
)
 </f>
        <v>COLLECTION</v>
      </c>
      <c r="C232" s="96" t="str">
        <f t="array" ref="C232">_xlfn.XLOOKUP(
 A232,
 tblTargets[TargetID],
 tblTargets[DisplayName],
 ""
)</f>
        <v>Gallery 1 Lv 2</v>
      </c>
      <c r="D232" s="21" t="s">
        <v>3838</v>
      </c>
    </row>
    <row r="233" ht="14.25" customHeight="1">
      <c r="A233" s="96" t="s">
        <v>598</v>
      </c>
      <c r="B233" s="84" t="str">
        <f t="array" ref="B233">_xlfn.XLOOKUP(
 A233,
 tblTargets[TargetID],
 tblTargets[TargetType],
 ""
)
 </f>
        <v>COLLECTION</v>
      </c>
      <c r="C233" s="96" t="str">
        <f t="array" ref="C233">_xlfn.XLOOKUP(
 A233,
 tblTargets[TargetID],
 tblTargets[DisplayName],
 ""
)</f>
        <v>Gallery 1 Lv 3</v>
      </c>
      <c r="D233" s="21" t="s">
        <v>3840</v>
      </c>
    </row>
    <row r="234" ht="14.25" customHeight="1">
      <c r="A234" s="96" t="s">
        <v>600</v>
      </c>
      <c r="B234" s="84" t="str">
        <f t="array" ref="B234">_xlfn.XLOOKUP(
 A234,
 tblTargets[TargetID],
 tblTargets[TargetType],
 ""
)
 </f>
        <v>COLLECTION</v>
      </c>
      <c r="C234" s="96" t="str">
        <f t="array" ref="C234">_xlfn.XLOOKUP(
 A234,
 tblTargets[TargetID],
 tblTargets[DisplayName],
 ""
)</f>
        <v>Gallery 1 Lv 4</v>
      </c>
      <c r="D234" s="21" t="s">
        <v>3841</v>
      </c>
    </row>
    <row r="235" ht="14.25" customHeight="1">
      <c r="A235" s="96" t="s">
        <v>603</v>
      </c>
      <c r="B235" s="84" t="str">
        <f t="array" ref="B235">_xlfn.XLOOKUP(
 A235,
 tblTargets[TargetID],
 tblTargets[TargetType],
 ""
)
 </f>
        <v>COLLECTION</v>
      </c>
      <c r="C235" s="96" t="str">
        <f t="array" ref="C235">_xlfn.XLOOKUP(
 A235,
 tblTargets[TargetID],
 tblTargets[DisplayName],
 ""
)</f>
        <v>Gallery 1 Lv 5</v>
      </c>
      <c r="D235" s="21" t="s">
        <v>3842</v>
      </c>
    </row>
    <row r="236" ht="14.25" customHeight="1">
      <c r="A236" s="96" t="s">
        <v>605</v>
      </c>
      <c r="B236" s="84" t="str">
        <f t="array" ref="B236">_xlfn.XLOOKUP(
 A236,
 tblTargets[TargetID],
 tblTargets[TargetType],
 ""
)
 </f>
        <v>COLLECTION</v>
      </c>
      <c r="C236" s="96" t="str">
        <f t="array" ref="C236">_xlfn.XLOOKUP(
 A236,
 tblTargets[TargetID],
 tblTargets[DisplayName],
 ""
)</f>
        <v>Gallery 2 Lv 1</v>
      </c>
      <c r="D236" s="21" t="s">
        <v>3844</v>
      </c>
    </row>
    <row r="237" ht="14.25" customHeight="1">
      <c r="A237" s="96" t="s">
        <v>607</v>
      </c>
      <c r="B237" s="84" t="str">
        <f t="array" ref="B237">_xlfn.XLOOKUP(
 A237,
 tblTargets[TargetID],
 tblTargets[TargetType],
 ""
)
 </f>
        <v>COLLECTION</v>
      </c>
      <c r="C237" s="96" t="str">
        <f t="array" ref="C237">_xlfn.XLOOKUP(
 A237,
 tblTargets[TargetID],
 tblTargets[DisplayName],
 ""
)</f>
        <v>Gallery 2 Lv 2</v>
      </c>
      <c r="D237" s="21" t="s">
        <v>3845</v>
      </c>
    </row>
    <row r="238" ht="14.25" customHeight="1">
      <c r="A238" s="96" t="s">
        <v>610</v>
      </c>
      <c r="B238" s="84" t="str">
        <f t="array" ref="B238">_xlfn.XLOOKUP(
 A238,
 tblTargets[TargetID],
 tblTargets[TargetType],
 ""
)
 </f>
        <v>COLLECTION</v>
      </c>
      <c r="C238" s="96" t="str">
        <f t="array" ref="C238">_xlfn.XLOOKUP(
 A238,
 tblTargets[TargetID],
 tblTargets[DisplayName],
 ""
)</f>
        <v>Gallery 2 Lv 3</v>
      </c>
      <c r="D238" s="21" t="s">
        <v>3846</v>
      </c>
    </row>
    <row r="239" ht="14.25" customHeight="1">
      <c r="A239" s="96" t="s">
        <v>612</v>
      </c>
      <c r="B239" s="84" t="str">
        <f t="array" ref="B239">_xlfn.XLOOKUP(
 A239,
 tblTargets[TargetID],
 tblTargets[TargetType],
 ""
)
 </f>
        <v>COLLECTION</v>
      </c>
      <c r="C239" s="96" t="str">
        <f t="array" ref="C239">_xlfn.XLOOKUP(
 A239,
 tblTargets[TargetID],
 tblTargets[DisplayName],
 ""
)</f>
        <v>Gallery 2 Lv 4</v>
      </c>
      <c r="D239" s="21" t="s">
        <v>3848</v>
      </c>
    </row>
    <row r="240" ht="14.25" customHeight="1">
      <c r="A240" s="96" t="s">
        <v>614</v>
      </c>
      <c r="B240" s="84" t="str">
        <f t="array" ref="B240">_xlfn.XLOOKUP(
 A240,
 tblTargets[TargetID],
 tblTargets[TargetType],
 ""
)
 </f>
        <v>COLLECTION</v>
      </c>
      <c r="C240" s="96" t="str">
        <f t="array" ref="C240">_xlfn.XLOOKUP(
 A240,
 tblTargets[TargetID],
 tblTargets[DisplayName],
 ""
)</f>
        <v>Gallery 2 Lv 5</v>
      </c>
      <c r="D240" s="21" t="s">
        <v>3849</v>
      </c>
    </row>
    <row r="241" ht="14.25" customHeight="1">
      <c r="A241" s="96" t="s">
        <v>616</v>
      </c>
      <c r="B241" s="84" t="str">
        <f t="array" ref="B241">_xlfn.XLOOKUP(
 A241,
 tblTargets[TargetID],
 tblTargets[TargetType],
 ""
)
 </f>
        <v>COLLECTION</v>
      </c>
      <c r="C241" s="96" t="str">
        <f t="array" ref="C241">_xlfn.XLOOKUP(
 A241,
 tblTargets[TargetID],
 tblTargets[DisplayName],
 ""
)</f>
        <v>Gallery 3 Lv 1</v>
      </c>
      <c r="D241" s="21" t="s">
        <v>3850</v>
      </c>
    </row>
    <row r="242" ht="14.25" customHeight="1">
      <c r="A242" s="96" t="s">
        <v>618</v>
      </c>
      <c r="B242" s="84" t="str">
        <f t="array" ref="B242">_xlfn.XLOOKUP(
 A242,
 tblTargets[TargetID],
 tblTargets[TargetType],
 ""
)
 </f>
        <v>COLLECTION</v>
      </c>
      <c r="C242" s="96" t="str">
        <f t="array" ref="C242">_xlfn.XLOOKUP(
 A242,
 tblTargets[TargetID],
 tblTargets[DisplayName],
 ""
)</f>
        <v>Gallery 3 Lv 2</v>
      </c>
      <c r="D242" s="21" t="s">
        <v>3852</v>
      </c>
    </row>
    <row r="243" ht="14.25" customHeight="1">
      <c r="A243" s="96" t="s">
        <v>627</v>
      </c>
      <c r="B243" s="84" t="str">
        <f t="array" ref="B243">_xlfn.XLOOKUP(
 A243,
 tblTargets[TargetID],
 tblTargets[TargetType],
 ""
)
 </f>
        <v>COLLECTION</v>
      </c>
      <c r="C243" s="96" t="str">
        <f t="array" ref="C243">_xlfn.XLOOKUP(
 A243,
 tblTargets[TargetID],
 tblTargets[DisplayName],
 ""
)</f>
        <v>Gallery 3 Lv 3</v>
      </c>
      <c r="D243" s="21" t="s">
        <v>3853</v>
      </c>
    </row>
    <row r="244" ht="14.25" customHeight="1">
      <c r="A244" s="96" t="s">
        <v>631</v>
      </c>
      <c r="B244" s="84" t="str">
        <f t="array" ref="B244">_xlfn.XLOOKUP(
 A244,
 tblTargets[TargetID],
 tblTargets[TargetType],
 ""
)
 </f>
        <v>COLLECTION</v>
      </c>
      <c r="C244" s="96" t="str">
        <f t="array" ref="C244">_xlfn.XLOOKUP(
 A244,
 tblTargets[TargetID],
 tblTargets[DisplayName],
 ""
)</f>
        <v>Gallery 3 Lv 4</v>
      </c>
      <c r="D244" s="21" t="s">
        <v>3854</v>
      </c>
    </row>
    <row r="245" ht="14.25" customHeight="1">
      <c r="A245" s="96" t="s">
        <v>635</v>
      </c>
      <c r="B245" s="84" t="str">
        <f t="array" ref="B245">_xlfn.XLOOKUP(
 A245,
 tblTargets[TargetID],
 tblTargets[TargetType],
 ""
)
 </f>
        <v>COLLECTION</v>
      </c>
      <c r="C245" s="96" t="str">
        <f t="array" ref="C245">_xlfn.XLOOKUP(
 A245,
 tblTargets[TargetID],
 tblTargets[DisplayName],
 ""
)</f>
        <v>Gallery 3 Lv 5</v>
      </c>
      <c r="D245" s="21" t="s">
        <v>3856</v>
      </c>
    </row>
    <row r="246" ht="14.25" customHeight="1">
      <c r="A246" s="96" t="s">
        <v>640</v>
      </c>
      <c r="B246" s="84" t="str">
        <f t="array" ref="B246">_xlfn.XLOOKUP(
 A246,
 tblTargets[TargetID],
 tblTargets[TargetType],
 ""
)
 </f>
        <v>COLLECTION</v>
      </c>
      <c r="C246" s="96" t="str">
        <f t="array" ref="C246">_xlfn.XLOOKUP(
 A246,
 tblTargets[TargetID],
 tblTargets[DisplayName],
 ""
)</f>
        <v>Historical Library 1 Lv 1</v>
      </c>
      <c r="D246" s="21" t="s">
        <v>3857</v>
      </c>
    </row>
    <row r="247" ht="14.25" customHeight="1">
      <c r="A247" s="96" t="s">
        <v>643</v>
      </c>
      <c r="B247" s="84" t="str">
        <f t="array" ref="B247">_xlfn.XLOOKUP(
 A247,
 tblTargets[TargetID],
 tblTargets[TargetType],
 ""
)
 </f>
        <v>COLLECTION</v>
      </c>
      <c r="C247" s="96" t="str">
        <f t="array" ref="C247">_xlfn.XLOOKUP(
 A247,
 tblTargets[TargetID],
 tblTargets[DisplayName],
 ""
)</f>
        <v>Historical Library 1 Lv 2</v>
      </c>
      <c r="D247" s="21" t="s">
        <v>3858</v>
      </c>
    </row>
    <row r="248" ht="14.25" customHeight="1">
      <c r="A248" s="96" t="s">
        <v>647</v>
      </c>
      <c r="B248" s="84" t="str">
        <f t="array" ref="B248">_xlfn.XLOOKUP(
 A248,
 tblTargets[TargetID],
 tblTargets[TargetType],
 ""
)
 </f>
        <v>COLLECTION</v>
      </c>
      <c r="C248" s="96" t="str">
        <f t="array" ref="C248">_xlfn.XLOOKUP(
 A248,
 tblTargets[TargetID],
 tblTargets[DisplayName],
 ""
)</f>
        <v>Historical Library 1 Lv 3</v>
      </c>
      <c r="D248" s="21" t="s">
        <v>3860</v>
      </c>
    </row>
    <row r="249" ht="14.25" customHeight="1">
      <c r="A249" s="96" t="s">
        <v>649</v>
      </c>
      <c r="B249" s="84" t="str">
        <f t="array" ref="B249">_xlfn.XLOOKUP(
 A249,
 tblTargets[TargetID],
 tblTargets[TargetType],
 ""
)
 </f>
        <v>COLLECTION</v>
      </c>
      <c r="C249" s="96" t="str">
        <f t="array" ref="C249">_xlfn.XLOOKUP(
 A249,
 tblTargets[TargetID],
 tblTargets[DisplayName],
 ""
)</f>
        <v>Historical Library 2 Lv 1</v>
      </c>
      <c r="D249" s="21" t="s">
        <v>3861</v>
      </c>
    </row>
    <row r="250" ht="14.25" customHeight="1">
      <c r="A250" s="96" t="s">
        <v>654</v>
      </c>
      <c r="B250" s="84" t="str">
        <f t="array" ref="B250">_xlfn.XLOOKUP(
 A250,
 tblTargets[TargetID],
 tblTargets[TargetType],
 ""
)
 </f>
        <v>COLLECTION</v>
      </c>
      <c r="C250" s="96" t="str">
        <f t="array" ref="C250">_xlfn.XLOOKUP(
 A250,
 tblTargets[TargetID],
 tblTargets[DisplayName],
 ""
)</f>
        <v>Historical Library 2 Lv 2</v>
      </c>
      <c r="D250" s="21" t="s">
        <v>3862</v>
      </c>
    </row>
    <row r="251" ht="14.25" customHeight="1">
      <c r="A251" s="96" t="s">
        <v>658</v>
      </c>
      <c r="B251" s="84" t="str">
        <f t="array" ref="B251">_xlfn.XLOOKUP(
 A251,
 tblTargets[TargetID],
 tblTargets[TargetType],
 ""
)
 </f>
        <v>COLLECTION</v>
      </c>
      <c r="C251" s="96" t="str">
        <f t="array" ref="C251">_xlfn.XLOOKUP(
 A251,
 tblTargets[TargetID],
 tblTargets[DisplayName],
 ""
)</f>
        <v>Historical Library 2 Lv 3</v>
      </c>
      <c r="D251" s="21" t="s">
        <v>3864</v>
      </c>
    </row>
    <row r="252" ht="14.25" customHeight="1">
      <c r="A252" s="96" t="s">
        <v>662</v>
      </c>
      <c r="B252" s="84" t="str">
        <f t="array" ref="B252">_xlfn.XLOOKUP(
 A252,
 tblTargets[TargetID],
 tblTargets[TargetType],
 ""
)
 </f>
        <v>COLLECTION</v>
      </c>
      <c r="C252" s="96" t="str">
        <f t="array" ref="C252">_xlfn.XLOOKUP(
 A252,
 tblTargets[TargetID],
 tblTargets[DisplayName],
 ""
)</f>
        <v>Horse Lv 1</v>
      </c>
      <c r="D252" s="21" t="s">
        <v>3865</v>
      </c>
    </row>
    <row r="253" ht="14.25" customHeight="1">
      <c r="A253" s="96" t="s">
        <v>666</v>
      </c>
      <c r="B253" s="84" t="str">
        <f t="array" ref="B253">_xlfn.XLOOKUP(
 A253,
 tblTargets[TargetID],
 tblTargets[TargetType],
 ""
)
 </f>
        <v>COLLECTION</v>
      </c>
      <c r="C253" s="96" t="str">
        <f t="array" ref="C253">_xlfn.XLOOKUP(
 A253,
 tblTargets[TargetID],
 tblTargets[DisplayName],
 ""
)</f>
        <v>Kitchen And Buttery 1 Lv 1</v>
      </c>
      <c r="D253" s="21" t="s">
        <v>3866</v>
      </c>
    </row>
    <row r="254" ht="14.25" customHeight="1">
      <c r="A254" s="96" t="s">
        <v>669</v>
      </c>
      <c r="B254" s="84" t="str">
        <f t="array" ref="B254">_xlfn.XLOOKUP(
 A254,
 tblTargets[TargetID],
 tblTargets[TargetType],
 ""
)
 </f>
        <v>COLLECTION</v>
      </c>
      <c r="C254" s="96" t="str">
        <f t="array" ref="C254">_xlfn.XLOOKUP(
 A254,
 tblTargets[TargetID],
 tblTargets[DisplayName],
 ""
)</f>
        <v>Kitchen And Buttery 1 Lv 2</v>
      </c>
      <c r="D254" s="21" t="s">
        <v>3868</v>
      </c>
    </row>
    <row r="255" ht="14.25" customHeight="1">
      <c r="A255" s="96" t="s">
        <v>673</v>
      </c>
      <c r="B255" s="84" t="str">
        <f t="array" ref="B255">_xlfn.XLOOKUP(
 A255,
 tblTargets[TargetID],
 tblTargets[TargetType],
 ""
)
 </f>
        <v>COLLECTION</v>
      </c>
      <c r="C255" s="96" t="str">
        <f t="array" ref="C255">_xlfn.XLOOKUP(
 A255,
 tblTargets[TargetID],
 tblTargets[DisplayName],
 ""
)</f>
        <v>Kitchen And Buttery 1 Lv 3</v>
      </c>
      <c r="D255" s="21" t="s">
        <v>3869</v>
      </c>
    </row>
    <row r="256" ht="14.25" customHeight="1">
      <c r="A256" s="96" t="s">
        <v>677</v>
      </c>
      <c r="B256" s="84" t="str">
        <f t="array" ref="B256">_xlfn.XLOOKUP(
 A256,
 tblTargets[TargetID],
 tblTargets[TargetType],
 ""
)
 </f>
        <v>COLLECTION</v>
      </c>
      <c r="C256" s="96" t="str">
        <f t="array" ref="C256">_xlfn.XLOOKUP(
 A256,
 tblTargets[TargetID],
 tblTargets[DisplayName],
 ""
)</f>
        <v>Kitchen And Buttery 1 Lv 4</v>
      </c>
      <c r="D256" s="21" t="s">
        <v>3871</v>
      </c>
    </row>
    <row r="257" ht="14.25" customHeight="1">
      <c r="A257" s="96" t="s">
        <v>681</v>
      </c>
      <c r="B257" s="84" t="str">
        <f t="array" ref="B257">_xlfn.XLOOKUP(
 A257,
 tblTargets[TargetID],
 tblTargets[TargetType],
 ""
)
 </f>
        <v>COLLECTION</v>
      </c>
      <c r="C257" s="96" t="str">
        <f t="array" ref="C257">_xlfn.XLOOKUP(
 A257,
 tblTargets[TargetID],
 tblTargets[DisplayName],
 ""
)</f>
        <v>Kitchen And Buttery 1 Lv 5</v>
      </c>
      <c r="D257" s="21" t="s">
        <v>3872</v>
      </c>
    </row>
    <row r="258" ht="14.25" customHeight="1">
      <c r="A258" s="96" t="s">
        <v>685</v>
      </c>
      <c r="B258" s="84" t="str">
        <f t="array" ref="B258">_xlfn.XLOOKUP(
 A258,
 tblTargets[TargetID],
 tblTargets[TargetType],
 ""
)
 </f>
        <v>COLLECTION</v>
      </c>
      <c r="C258" s="96" t="str">
        <f t="array" ref="C258">_xlfn.XLOOKUP(
 A258,
 tblTargets[TargetID],
 tblTargets[DisplayName],
 ""
)</f>
        <v>Kitchen And Buttery 2 Lv 1</v>
      </c>
      <c r="D258" s="21" t="s">
        <v>3873</v>
      </c>
    </row>
    <row r="259" ht="14.25" customHeight="1">
      <c r="A259" s="96" t="s">
        <v>691</v>
      </c>
      <c r="B259" s="84" t="str">
        <f t="array" ref="B259">_xlfn.XLOOKUP(
 A259,
 tblTargets[TargetID],
 tblTargets[TargetType],
 ""
)
 </f>
        <v>COLLECTION</v>
      </c>
      <c r="C259" s="96" t="str">
        <f t="array" ref="C259">_xlfn.XLOOKUP(
 A259,
 tblTargets[TargetID],
 tblTargets[DisplayName],
 ""
)</f>
        <v>Mushroom Farm Lv 1</v>
      </c>
      <c r="D259" s="21" t="s">
        <v>3874</v>
      </c>
    </row>
    <row r="260" ht="14.25" customHeight="1">
      <c r="A260" s="96" t="s">
        <v>695</v>
      </c>
      <c r="B260" s="84" t="str">
        <f t="array" ref="B260">_xlfn.XLOOKUP(
 A260,
 tblTargets[TargetID],
 tblTargets[TargetType],
 ""
)
 </f>
        <v>COLLECTION</v>
      </c>
      <c r="C260" s="96" t="str">
        <f t="array" ref="C260">_xlfn.XLOOKUP(
 A260,
 tblTargets[TargetID],
 tblTargets[DisplayName],
 ""
)</f>
        <v>Mushroom Farm Lv 2</v>
      </c>
      <c r="D260" s="21" t="s">
        <v>3876</v>
      </c>
    </row>
    <row r="261" ht="14.25" customHeight="1">
      <c r="A261" s="96" t="s">
        <v>698</v>
      </c>
      <c r="B261" s="84" t="str">
        <f t="array" ref="B261">_xlfn.XLOOKUP(
 A261,
 tblTargets[TargetID],
 tblTargets[TargetType],
 ""
)
 </f>
        <v>COLLECTION</v>
      </c>
      <c r="C261" s="96" t="str">
        <f t="array" ref="C261">_xlfn.XLOOKUP(
 A261,
 tblTargets[TargetID],
 tblTargets[DisplayName],
 ""
)</f>
        <v>Orangery Lv 1</v>
      </c>
      <c r="D261" s="21" t="s">
        <v>3877</v>
      </c>
    </row>
    <row r="262" ht="14.25" customHeight="1">
      <c r="A262" s="96" t="s">
        <v>703</v>
      </c>
      <c r="B262" s="84" t="str">
        <f t="array" ref="B262">_xlfn.XLOOKUP(
 A262,
 tblTargets[TargetID],
 tblTargets[TargetType],
 ""
)
 </f>
        <v>COLLECTION</v>
      </c>
      <c r="C262" s="96" t="str">
        <f t="array" ref="C262">_xlfn.XLOOKUP(
 A262,
 tblTargets[TargetID],
 tblTargets[DisplayName],
 ""
)</f>
        <v>Orangery Lv 2</v>
      </c>
      <c r="D262" s="21" t="s">
        <v>3879</v>
      </c>
    </row>
    <row r="263" ht="14.25" customHeight="1">
      <c r="A263" s="96" t="s">
        <v>707</v>
      </c>
      <c r="B263" s="84" t="str">
        <f t="array" ref="B263">_xlfn.XLOOKUP(
 A263,
 tblTargets[TargetID],
 tblTargets[TargetType],
 ""
)
 </f>
        <v>COLLECTION</v>
      </c>
      <c r="C263" s="96" t="str">
        <f t="array" ref="C263">_xlfn.XLOOKUP(
 A263,
 tblTargets[TargetID],
 tblTargets[DisplayName],
 ""
)</f>
        <v>Pantry 1 Lv 1</v>
      </c>
      <c r="D263" s="21" t="s">
        <v>3880</v>
      </c>
    </row>
    <row r="264" ht="14.25" customHeight="1">
      <c r="A264" s="96" t="s">
        <v>710</v>
      </c>
      <c r="B264" s="84" t="str">
        <f t="array" ref="B264">_xlfn.XLOOKUP(
 A264,
 tblTargets[TargetID],
 tblTargets[TargetType],
 ""
)
 </f>
        <v>COLLECTION</v>
      </c>
      <c r="C264" s="96" t="str">
        <f t="array" ref="C264">_xlfn.XLOOKUP(
 A264,
 tblTargets[TargetID],
 tblTargets[DisplayName],
 ""
)</f>
        <v>Pantry 1 Lv 2</v>
      </c>
      <c r="D264" s="21" t="s">
        <v>3881</v>
      </c>
    </row>
    <row r="265" ht="14.25" customHeight="1">
      <c r="A265" s="96" t="s">
        <v>713</v>
      </c>
      <c r="B265" s="84" t="str">
        <f t="array" ref="B265">_xlfn.XLOOKUP(
 A265,
 tblTargets[TargetID],
 tblTargets[TargetType],
 ""
)
 </f>
        <v>COLLECTION</v>
      </c>
      <c r="C265" s="96" t="str">
        <f t="array" ref="C265">_xlfn.XLOOKUP(
 A265,
 tblTargets[TargetID],
 tblTargets[DisplayName],
 ""
)</f>
        <v>Pantry 1 Lv 3</v>
      </c>
      <c r="D265" s="21" t="s">
        <v>3883</v>
      </c>
    </row>
    <row r="266" ht="14.25" customHeight="1">
      <c r="A266" s="96" t="s">
        <v>716</v>
      </c>
      <c r="B266" s="84" t="str">
        <f t="array" ref="B266">_xlfn.XLOOKUP(
 A266,
 tblTargets[TargetID],
 tblTargets[TargetType],
 ""
)
 </f>
        <v>COLLECTION</v>
      </c>
      <c r="C266" s="96" t="str">
        <f t="array" ref="C266">_xlfn.XLOOKUP(
 A266,
 tblTargets[TargetID],
 tblTargets[DisplayName],
 ""
)</f>
        <v>Pantry 1 Lv 4</v>
      </c>
      <c r="D266" s="21" t="s">
        <v>3884</v>
      </c>
    </row>
    <row r="267" ht="14.25" customHeight="1">
      <c r="A267" s="96" t="s">
        <v>719</v>
      </c>
      <c r="B267" s="84" t="str">
        <f t="array" ref="B267">_xlfn.XLOOKUP(
 A267,
 tblTargets[TargetID],
 tblTargets[TargetType],
 ""
)
 </f>
        <v>COLLECTION</v>
      </c>
      <c r="C267" s="96" t="str">
        <f t="array" ref="C267">_xlfn.XLOOKUP(
 A267,
 tblTargets[TargetID],
 tblTargets[DisplayName],
 ""
)</f>
        <v>Pantry 1 Lv 5</v>
      </c>
      <c r="D267" s="21" t="s">
        <v>3885</v>
      </c>
    </row>
    <row r="268" ht="14.25" customHeight="1">
      <c r="A268" s="96" t="s">
        <v>722</v>
      </c>
      <c r="B268" s="84" t="str">
        <f t="array" ref="B268">_xlfn.XLOOKUP(
 A268,
 tblTargets[TargetID],
 tblTargets[TargetType],
 ""
)
 </f>
        <v>COLLECTION</v>
      </c>
      <c r="C268" s="96" t="str">
        <f t="array" ref="C268">_xlfn.XLOOKUP(
 A268,
 tblTargets[TargetID],
 tblTargets[DisplayName],
 ""
)</f>
        <v>Pantry 2 Lv 1</v>
      </c>
      <c r="D268" s="21" t="s">
        <v>3887</v>
      </c>
    </row>
    <row r="269" ht="14.25" customHeight="1">
      <c r="A269" s="96" t="s">
        <v>727</v>
      </c>
      <c r="B269" s="84" t="str">
        <f t="array" ref="B269">_xlfn.XLOOKUP(
 A269,
 tblTargets[TargetID],
 tblTargets[TargetType],
 ""
)
 </f>
        <v>COLLECTION</v>
      </c>
      <c r="C269" s="96" t="str">
        <f t="array" ref="C269">_xlfn.XLOOKUP(
 A269,
 tblTargets[TargetID],
 tblTargets[DisplayName],
 ""
)</f>
        <v>Pantry 2 Lv 2</v>
      </c>
      <c r="D269" s="21" t="s">
        <v>3888</v>
      </c>
    </row>
    <row r="270" ht="14.25" customHeight="1">
      <c r="A270" s="96" t="s">
        <v>731</v>
      </c>
      <c r="B270" s="84" t="str">
        <f t="array" ref="B270">_xlfn.XLOOKUP(
 A270,
 tblTargets[TargetID],
 tblTargets[TargetType],
 ""
)
 </f>
        <v>COLLECTION</v>
      </c>
      <c r="C270" s="96" t="str">
        <f t="array" ref="C270">_xlfn.XLOOKUP(
 A270,
 tblTargets[TargetID],
 tblTargets[DisplayName],
 ""
)</f>
        <v>Pantry 2 Lv 3</v>
      </c>
      <c r="D270" s="21" t="s">
        <v>3889</v>
      </c>
    </row>
    <row r="271" ht="14.25" customHeight="1">
      <c r="A271" s="96" t="s">
        <v>735</v>
      </c>
      <c r="B271" s="84" t="str">
        <f t="array" ref="B271">_xlfn.XLOOKUP(
 A271,
 tblTargets[TargetID],
 tblTargets[TargetType],
 ""
)
 </f>
        <v>COLLECTION</v>
      </c>
      <c r="C271" s="96" t="str">
        <f t="array" ref="C271">_xlfn.XLOOKUP(
 A271,
 tblTargets[TargetID],
 tblTargets[DisplayName],
 ""
)</f>
        <v>Pantry 2 Lv 4</v>
      </c>
      <c r="D271" s="21" t="s">
        <v>3891</v>
      </c>
    </row>
    <row r="272" ht="14.25" customHeight="1">
      <c r="A272" s="96" t="s">
        <v>739</v>
      </c>
      <c r="B272" s="84" t="str">
        <f t="array" ref="B272">_xlfn.XLOOKUP(
 A272,
 tblTargets[TargetID],
 tblTargets[TargetType],
 ""
)
 </f>
        <v>COLLECTION</v>
      </c>
      <c r="C272" s="96" t="str">
        <f t="array" ref="C272">_xlfn.XLOOKUP(
 A272,
 tblTargets[TargetID],
 tblTargets[DisplayName],
 ""
)</f>
        <v>Pantry 2 Lv 5</v>
      </c>
      <c r="D272" s="21" t="s">
        <v>3892</v>
      </c>
    </row>
    <row r="273" ht="14.25" customHeight="1">
      <c r="A273" s="96" t="s">
        <v>754</v>
      </c>
      <c r="B273" s="84" t="str">
        <f t="array" ref="B273">_xlfn.XLOOKUP(
 A273,
 tblTargets[TargetID],
 tblTargets[TargetType],
 ""
)
 </f>
        <v>COLLECTION</v>
      </c>
      <c r="C273" s="96" t="str">
        <f t="array" ref="C273">_xlfn.XLOOKUP(
 A273,
 tblTargets[TargetID],
 tblTargets[DisplayName],
 ""
)</f>
        <v>Pantry 3 Lv 1</v>
      </c>
      <c r="D273" s="21" t="s">
        <v>3893</v>
      </c>
    </row>
    <row r="274" ht="14.25" customHeight="1">
      <c r="A274" s="96" t="s">
        <v>758</v>
      </c>
      <c r="B274" s="84" t="str">
        <f t="array" ref="B274">_xlfn.XLOOKUP(
 A274,
 tblTargets[TargetID],
 tblTargets[TargetType],
 ""
)
 </f>
        <v>COLLECTION</v>
      </c>
      <c r="C274" s="96" t="str">
        <f t="array" ref="C274">_xlfn.XLOOKUP(
 A274,
 tblTargets[TargetID],
 tblTargets[DisplayName],
 ""
)</f>
        <v>Pantry 3 Lv 2</v>
      </c>
      <c r="D274" s="21" t="s">
        <v>3895</v>
      </c>
    </row>
    <row r="275" ht="14.25" customHeight="1">
      <c r="A275" s="96" t="s">
        <v>762</v>
      </c>
      <c r="B275" s="84" t="str">
        <f t="array" ref="B275">_xlfn.XLOOKUP(
 A275,
 tblTargets[TargetID],
 tblTargets[TargetType],
 ""
)
 </f>
        <v>COLLECTION</v>
      </c>
      <c r="C275" s="96" t="str">
        <f t="array" ref="C275">_xlfn.XLOOKUP(
 A275,
 tblTargets[TargetID],
 tblTargets[DisplayName],
 ""
)</f>
        <v>Pantry 3 Lv 3</v>
      </c>
      <c r="D275" s="21" t="s">
        <v>3896</v>
      </c>
    </row>
    <row r="276" ht="14.25" customHeight="1">
      <c r="A276" s="96" t="s">
        <v>765</v>
      </c>
      <c r="B276" s="84" t="str">
        <f t="array" ref="B276">_xlfn.XLOOKUP(
 A276,
 tblTargets[TargetID],
 tblTargets[TargetType],
 ""
)
 </f>
        <v>COLLECTION</v>
      </c>
      <c r="C276" s="96" t="str">
        <f t="array" ref="C276">_xlfn.XLOOKUP(
 A276,
 tblTargets[TargetID],
 tblTargets[DisplayName],
 ""
)</f>
        <v>Pantry 3 Lv 4</v>
      </c>
      <c r="D276" s="21" t="s">
        <v>3897</v>
      </c>
    </row>
    <row r="277" ht="14.25" customHeight="1">
      <c r="A277" s="96" t="s">
        <v>769</v>
      </c>
      <c r="B277" s="84" t="str">
        <f t="array" ref="B277">_xlfn.XLOOKUP(
 A277,
 tblTargets[TargetID],
 tblTargets[TargetType],
 ""
)
 </f>
        <v>COLLECTION</v>
      </c>
      <c r="C277" s="96" t="str">
        <f t="array" ref="C277">_xlfn.XLOOKUP(
 A277,
 tblTargets[TargetID],
 tblTargets[DisplayName],
 ""
)</f>
        <v>Pantry 3 Lv 5</v>
      </c>
      <c r="D277" s="21" t="s">
        <v>3899</v>
      </c>
    </row>
    <row r="278" ht="14.25" customHeight="1">
      <c r="A278" s="96" t="s">
        <v>773</v>
      </c>
      <c r="B278" s="84" t="str">
        <f t="array" ref="B278">_xlfn.XLOOKUP(
 A278,
 tblTargets[TargetID],
 tblTargets[TargetType],
 ""
)
 </f>
        <v>COLLECTION</v>
      </c>
      <c r="C278" s="96" t="str">
        <f t="array" ref="C278">_xlfn.XLOOKUP(
 A278,
 tblTargets[TargetID],
 tblTargets[DisplayName],
 ""
)</f>
        <v>Pantry 4 Lv 1</v>
      </c>
      <c r="D278" s="21" t="s">
        <v>3900</v>
      </c>
    </row>
    <row r="279" ht="14.25" customHeight="1">
      <c r="A279" s="96" t="s">
        <v>785</v>
      </c>
      <c r="B279" s="84" t="str">
        <f t="array" ref="B279">_xlfn.XLOOKUP(
 A279,
 tblTargets[TargetID],
 tblTargets[TargetType],
 ""
)
 </f>
        <v>COLLECTION</v>
      </c>
      <c r="C279" s="96" t="str">
        <f t="array" ref="C279">_xlfn.XLOOKUP(
 A279,
 tblTargets[TargetID],
 tblTargets[DisplayName],
 ""
)</f>
        <v>Statue Lv 1</v>
      </c>
      <c r="D279" s="21" t="s">
        <v>3901</v>
      </c>
    </row>
    <row r="280" ht="14.25" customHeight="1">
      <c r="A280" s="96" t="s">
        <v>789</v>
      </c>
      <c r="B280" s="84" t="str">
        <f t="array" ref="B280">_xlfn.XLOOKUP(
 A280,
 tblTargets[TargetID],
 tblTargets[TargetType],
 ""
)
 </f>
        <v>COLLECTION</v>
      </c>
      <c r="C280" s="96" t="str">
        <f t="array" ref="C280">_xlfn.XLOOKUP(
 A280,
 tblTargets[TargetID],
 tblTargets[DisplayName],
 ""
)</f>
        <v>Tavern Lv 1</v>
      </c>
      <c r="D280" s="21" t="s">
        <v>3903</v>
      </c>
    </row>
    <row r="281" ht="14.25" customHeight="1">
      <c r="A281" s="96" t="s">
        <v>795</v>
      </c>
      <c r="B281" s="84" t="str">
        <f t="array" ref="B281">_xlfn.XLOOKUP(
 A281,
 tblTargets[TargetID],
 tblTargets[TargetType],
 ""
)
 </f>
        <v>COLLECTION</v>
      </c>
      <c r="C281" s="96" t="str">
        <f t="array" ref="C281">_xlfn.XLOOKUP(
 A281,
 tblTargets[TargetID],
 tblTargets[DisplayName],
 ""
)</f>
        <v>Tavern Lv 2</v>
      </c>
      <c r="D281" s="21" t="s">
        <v>3904</v>
      </c>
    </row>
    <row r="282" ht="14.25" customHeight="1">
      <c r="A282" s="96" t="s">
        <v>799</v>
      </c>
      <c r="B282" s="84" t="str">
        <f t="array" ref="B282">_xlfn.XLOOKUP(
 A282,
 tblTargets[TargetID],
 tblTargets[TargetType],
 ""
)
 </f>
        <v>COLLECTION</v>
      </c>
      <c r="C282" s="96" t="str">
        <f t="array" ref="C282">_xlfn.XLOOKUP(
 A282,
 tblTargets[TargetID],
 tblTargets[DisplayName],
 ""
)</f>
        <v>Treasury 1 Lv 1</v>
      </c>
      <c r="D282" s="21" t="s">
        <v>3905</v>
      </c>
    </row>
    <row r="283" ht="14.25" customHeight="1">
      <c r="A283" s="96" t="s">
        <v>803</v>
      </c>
      <c r="B283" s="84" t="str">
        <f t="array" ref="B283">_xlfn.XLOOKUP(
 A283,
 tblTargets[TargetID],
 tblTargets[TargetType],
 ""
)
 </f>
        <v>COLLECTION</v>
      </c>
      <c r="C283" s="96" t="str">
        <f t="array" ref="C283">_xlfn.XLOOKUP(
 A283,
 tblTargets[TargetID],
 tblTargets[DisplayName],
 ""
)</f>
        <v>Treasury 1 Lv 2</v>
      </c>
      <c r="D283" s="21" t="s">
        <v>3907</v>
      </c>
    </row>
    <row r="284" ht="14.25" customHeight="1">
      <c r="A284" s="96" t="s">
        <v>808</v>
      </c>
      <c r="B284" s="84" t="str">
        <f t="array" ref="B284">_xlfn.XLOOKUP(
 A284,
 tblTargets[TargetID],
 tblTargets[TargetType],
 ""
)
 </f>
        <v>COLLECTION</v>
      </c>
      <c r="C284" s="96" t="str">
        <f t="array" ref="C284">_xlfn.XLOOKUP(
 A284,
 tblTargets[TargetID],
 tblTargets[DisplayName],
 ""
)</f>
        <v>Treasury 1 Lv 3</v>
      </c>
      <c r="D284" s="21" t="s">
        <v>3908</v>
      </c>
    </row>
    <row r="285" ht="14.25" customHeight="1">
      <c r="A285" s="96" t="s">
        <v>811</v>
      </c>
      <c r="B285" s="84" t="str">
        <f t="array" ref="B285">_xlfn.XLOOKUP(
 A285,
 tblTargets[TargetID],
 tblTargets[TargetType],
 ""
)
 </f>
        <v>COLLECTION</v>
      </c>
      <c r="C285" s="96" t="str">
        <f t="array" ref="C285">_xlfn.XLOOKUP(
 A285,
 tblTargets[TargetID],
 tblTargets[DisplayName],
 ""
)</f>
        <v>Treasury 1 Lv 4</v>
      </c>
      <c r="D285" s="21" t="s">
        <v>3910</v>
      </c>
    </row>
    <row r="286" ht="14.25" customHeight="1">
      <c r="A286" s="96" t="s">
        <v>815</v>
      </c>
      <c r="B286" s="84" t="str">
        <f t="array" ref="B286">_xlfn.XLOOKUP(
 A286,
 tblTargets[TargetID],
 tblTargets[TargetType],
 ""
)
 </f>
        <v>COLLECTION</v>
      </c>
      <c r="C286" s="96" t="str">
        <f t="array" ref="C286">_xlfn.XLOOKUP(
 A286,
 tblTargets[TargetID],
 tblTargets[DisplayName],
 ""
)</f>
        <v>Treasury 1 Lv 5</v>
      </c>
      <c r="D286" s="21" t="s">
        <v>3911</v>
      </c>
    </row>
    <row r="287" ht="14.25" customHeight="1">
      <c r="A287" s="96" t="s">
        <v>818</v>
      </c>
      <c r="B287" s="84" t="str">
        <f t="array" ref="B287">_xlfn.XLOOKUP(
 A287,
 tblTargets[TargetID],
 tblTargets[TargetType],
 ""
)
 </f>
        <v>COLLECTION</v>
      </c>
      <c r="C287" s="96" t="str">
        <f t="array" ref="C287">_xlfn.XLOOKUP(
 A287,
 tblTargets[TargetID],
 tblTargets[DisplayName],
 ""
)</f>
        <v>Treasury 2 Lv 1</v>
      </c>
      <c r="D287" s="21" t="s">
        <v>3912</v>
      </c>
    </row>
    <row r="288" ht="14.25" customHeight="1">
      <c r="A288" s="96" t="s">
        <v>822</v>
      </c>
      <c r="B288" s="84" t="str">
        <f t="array" ref="B288">_xlfn.XLOOKUP(
 A288,
 tblTargets[TargetID],
 tblTargets[TargetType],
 ""
)
 </f>
        <v>COLLECTION</v>
      </c>
      <c r="C288" s="96" t="str">
        <f t="array" ref="C288">_xlfn.XLOOKUP(
 A288,
 tblTargets[TargetID],
 tblTargets[DisplayName],
 ""
)</f>
        <v>Treasury 2 Lv 2</v>
      </c>
      <c r="D288" s="21" t="s">
        <v>3914</v>
      </c>
    </row>
    <row r="289" ht="14.25" customHeight="1">
      <c r="A289" s="96" t="s">
        <v>826</v>
      </c>
      <c r="B289" s="84" t="str">
        <f t="array" ref="B289">_xlfn.XLOOKUP(
 A289,
 tblTargets[TargetID],
 tblTargets[TargetType],
 ""
)
 </f>
        <v>COLLECTION</v>
      </c>
      <c r="C289" s="96" t="str">
        <f t="array" ref="C289">_xlfn.XLOOKUP(
 A289,
 tblTargets[TargetID],
 tblTargets[DisplayName],
 ""
)</f>
        <v>Treasury 2 Lv 3</v>
      </c>
      <c r="D289" s="21" t="s">
        <v>3915</v>
      </c>
    </row>
    <row r="290" ht="14.25" customHeight="1">
      <c r="A290" s="99" t="s">
        <v>829</v>
      </c>
      <c r="B290" s="84" t="str">
        <f t="array" ref="B290">_xlfn.XLOOKUP(
 A290,
 tblTargets[TargetID],
 tblTargets[TargetType],
 ""
)
 </f>
        <v>COLLECTION</v>
      </c>
      <c r="C290" s="96" t="str">
        <f t="array" ref="C290">_xlfn.XLOOKUP(
 A290,
 tblTargets[TargetID],
 tblTargets[DisplayName],
 ""
)</f>
        <v>Treasury 3 Lv 1</v>
      </c>
      <c r="D290" s="21" t="s">
        <v>3916</v>
      </c>
    </row>
    <row r="291" ht="14.25" customHeight="1">
      <c r="A291" s="96" t="s">
        <v>833</v>
      </c>
      <c r="B291" s="84" t="str">
        <f t="array" ref="B291">_xlfn.XLOOKUP(
 A291,
 tblTargets[TargetID],
 tblTargets[TargetType],
 ""
)
 </f>
        <v>CRAFTIFACT</v>
      </c>
      <c r="C291" s="96" t="str">
        <f t="array" ref="C291">_xlfn.XLOOKUP(
 A291,
 tblTargets[TargetID],
 tblTargets[DisplayName],
 ""
)</f>
        <v>Astrolabe</v>
      </c>
      <c r="D291" s="21" t="s">
        <v>3918</v>
      </c>
    </row>
    <row r="292" ht="14.25" customHeight="1">
      <c r="A292" s="96" t="s">
        <v>838</v>
      </c>
      <c r="B292" s="84" t="str">
        <f t="array" ref="B292">_xlfn.XLOOKUP(
 A292,
 tblTargets[TargetID],
 tblTargets[TargetType],
 ""
)
 </f>
        <v>CRAFTIFACT</v>
      </c>
      <c r="C292" s="96" t="str">
        <f t="array" ref="C292">_xlfn.XLOOKUP(
 A292,
 tblTargets[TargetID],
 tblTargets[DisplayName],
 ""
)</f>
        <v>Barometer</v>
      </c>
      <c r="D292" s="21" t="s">
        <v>3919</v>
      </c>
    </row>
    <row r="293" ht="14.25" customHeight="1">
      <c r="A293" s="96" t="s">
        <v>841</v>
      </c>
      <c r="B293" s="84" t="str">
        <f t="array" ref="B293">_xlfn.XLOOKUP(
 A293,
 tblTargets[TargetID],
 tblTargets[TargetType],
 ""
)
 </f>
        <v>CRAFTIFACT</v>
      </c>
      <c r="C293" s="96" t="str">
        <f t="array" ref="C293">_xlfn.XLOOKUP(
 A293,
 tblTargets[TargetID],
 tblTargets[DisplayName],
 ""
)</f>
        <v>Cinema Projector</v>
      </c>
      <c r="D293" s="21" t="s">
        <v>3920</v>
      </c>
    </row>
    <row r="294" ht="14.25" customHeight="1">
      <c r="A294" s="96" t="s">
        <v>846</v>
      </c>
      <c r="B294" s="84" t="str">
        <f t="array" ref="B294">_xlfn.XLOOKUP(
 A294,
 tblTargets[TargetID],
 tblTargets[TargetType],
 ""
)
 </f>
        <v>CRAFTIFACT</v>
      </c>
      <c r="C294" s="96" t="str">
        <f t="array" ref="C294">_xlfn.XLOOKUP(
 A294,
 tblTargets[TargetID],
 tblTargets[DisplayName],
 ""
)</f>
        <v>Dagger</v>
      </c>
      <c r="D294" s="21" t="s">
        <v>3922</v>
      </c>
    </row>
    <row r="295" ht="14.25" customHeight="1">
      <c r="A295" s="96" t="s">
        <v>850</v>
      </c>
      <c r="B295" s="84" t="str">
        <f t="array" ref="B295">_xlfn.XLOOKUP(
 A295,
 tblTargets[TargetID],
 tblTargets[TargetType],
 ""
)
 </f>
        <v>CRAFTIFACT</v>
      </c>
      <c r="C295" s="96" t="str">
        <f t="array" ref="C295">_xlfn.XLOOKUP(
 A295,
 tblTargets[TargetID],
 tblTargets[DisplayName],
 ""
)</f>
        <v>Emerald Tablet</v>
      </c>
      <c r="D295" s="21" t="s">
        <v>3923</v>
      </c>
    </row>
    <row r="296" ht="14.25" customHeight="1">
      <c r="A296" s="96" t="s">
        <v>853</v>
      </c>
      <c r="B296" s="84" t="str">
        <f t="array" ref="B296">_xlfn.XLOOKUP(
 A296,
 tblTargets[TargetID],
 tblTargets[TargetType],
 ""
)
 </f>
        <v>CRAFTIFACT</v>
      </c>
      <c r="C296" s="96" t="str">
        <f t="array" ref="C296">_xlfn.XLOOKUP(
 A296,
 tblTargets[TargetID],
 tblTargets[DisplayName],
 ""
)</f>
        <v>Flamethrower</v>
      </c>
      <c r="D296" s="21" t="s">
        <v>3924</v>
      </c>
    </row>
    <row r="297" ht="14.25" customHeight="1">
      <c r="A297" s="96" t="s">
        <v>858</v>
      </c>
      <c r="B297" s="84" t="str">
        <f t="array" ref="B297">_xlfn.XLOOKUP(
 A297,
 tblTargets[TargetID],
 tblTargets[TargetType],
 ""
)
 </f>
        <v>CRAFTIFACT</v>
      </c>
      <c r="C297" s="96" t="str">
        <f t="array" ref="C297">_xlfn.XLOOKUP(
 A297,
 tblTargets[TargetID],
 tblTargets[DisplayName],
 ""
)</f>
        <v>Guild Banner</v>
      </c>
      <c r="D297" s="21" t="s">
        <v>3926</v>
      </c>
    </row>
    <row r="298" ht="14.25" customHeight="1">
      <c r="A298" s="96" t="s">
        <v>861</v>
      </c>
      <c r="B298" s="84" t="str">
        <f t="array" ref="B298">_xlfn.XLOOKUP(
 A298,
 tblTargets[TargetID],
 tblTargets[TargetType],
 ""
)
 </f>
        <v>CRAFTIFACT</v>
      </c>
      <c r="C298" s="96" t="str">
        <f t="array" ref="C298">_xlfn.XLOOKUP(
 A298,
 tblTargets[TargetID],
 tblTargets[DisplayName],
 ""
)</f>
        <v>Guild Codex</v>
      </c>
      <c r="D298" s="21" t="s">
        <v>3927</v>
      </c>
    </row>
    <row r="299" ht="14.25" customHeight="1">
      <c r="A299" s="96" t="s">
        <v>864</v>
      </c>
      <c r="B299" s="84" t="str">
        <f t="array" ref="B299">_xlfn.XLOOKUP(
 A299,
 tblTargets[TargetID],
 tblTargets[TargetType],
 ""
)
 </f>
        <v>CRAFTIFACT</v>
      </c>
      <c r="C299" s="96" t="str">
        <f t="array" ref="C299">_xlfn.XLOOKUP(
 A299,
 tblTargets[TargetID],
 tblTargets[DisplayName],
 ""
)</f>
        <v>Guild Supplies</v>
      </c>
      <c r="D299" s="21" t="s">
        <v>3928</v>
      </c>
    </row>
    <row r="300" ht="14.25" customHeight="1">
      <c r="A300" s="96" t="s">
        <v>867</v>
      </c>
      <c r="B300" s="84" t="str">
        <f t="array" ref="B300">_xlfn.XLOOKUP(
 A300,
 tblTargets[TargetID],
 tblTargets[TargetType],
 ""
)
 </f>
        <v>CRAFTIFACT</v>
      </c>
      <c r="C300" s="96" t="str">
        <f t="array" ref="C300">_xlfn.XLOOKUP(
 A300,
 tblTargets[TargetID],
 tblTargets[DisplayName],
 ""
)</f>
        <v>Hat Of Concentration</v>
      </c>
      <c r="D300" s="21" t="s">
        <v>3930</v>
      </c>
    </row>
    <row r="301" ht="14.25" customHeight="1">
      <c r="A301" s="96" t="s">
        <v>872</v>
      </c>
      <c r="B301" s="84" t="str">
        <f t="array" ref="B301">_xlfn.XLOOKUP(
 A301,
 tblTargets[TargetID],
 tblTargets[TargetType],
 ""
)
 </f>
        <v>CRAFTIFACT</v>
      </c>
      <c r="C301" s="96" t="str">
        <f t="array" ref="C301">_xlfn.XLOOKUP(
 A301,
 tblTargets[TargetID],
 tblTargets[DisplayName],
 ""
)</f>
        <v>Helmet</v>
      </c>
      <c r="D301" s="21" t="s">
        <v>3931</v>
      </c>
    </row>
    <row r="302" ht="14.25" customHeight="1">
      <c r="A302" s="96" t="s">
        <v>876</v>
      </c>
      <c r="B302" s="84" t="str">
        <f t="array" ref="B302">_xlfn.XLOOKUP(
 A302,
 tblTargets[TargetID],
 tblTargets[TargetType],
 ""
)
 </f>
        <v>CRAFTIFACT</v>
      </c>
      <c r="C302" s="96" t="str">
        <f t="array" ref="C302">_xlfn.XLOOKUP(
 A302,
 tblTargets[TargetID],
 tblTargets[DisplayName],
 ""
)</f>
        <v>Historical Library</v>
      </c>
      <c r="D302" s="21" t="s">
        <v>3932</v>
      </c>
    </row>
    <row r="303" ht="14.25" customHeight="1">
      <c r="A303" s="96" t="s">
        <v>881</v>
      </c>
      <c r="B303" s="84" t="str">
        <f t="array" ref="B303">_xlfn.XLOOKUP(
 A303,
 tblTargets[TargetID],
 tblTargets[TargetType],
 ""
)
 </f>
        <v>CRAFTIFACT</v>
      </c>
      <c r="C303" s="96" t="str">
        <f t="array" ref="C303">_xlfn.XLOOKUP(
 A303,
 tblTargets[TargetID],
 tblTargets[DisplayName],
 ""
)</f>
        <v>Hotei Statuette</v>
      </c>
      <c r="D303" s="21" t="s">
        <v>3933</v>
      </c>
    </row>
    <row r="304" ht="14.25" customHeight="1">
      <c r="A304" s="96" t="s">
        <v>885</v>
      </c>
      <c r="B304" s="84" t="str">
        <f t="array" ref="B304">_xlfn.XLOOKUP(
 A304,
 tblTargets[TargetID],
 tblTargets[TargetType],
 ""
)
 </f>
        <v>CRAFTIFACT</v>
      </c>
      <c r="C304" s="96" t="str">
        <f t="array" ref="C304">_xlfn.XLOOKUP(
 A304,
 tblTargets[TargetID],
 tblTargets[DisplayName],
 ""
)</f>
        <v>Metal Detector</v>
      </c>
      <c r="D304" s="21" t="s">
        <v>3935</v>
      </c>
    </row>
    <row r="305" ht="14.25" customHeight="1">
      <c r="A305" s="96" t="s">
        <v>891</v>
      </c>
      <c r="B305" s="84" t="str">
        <f t="array" ref="B305">_xlfn.XLOOKUP(
 A305,
 tblTargets[TargetID],
 tblTargets[TargetType],
 ""
)
 </f>
        <v>CRAFTIFACT</v>
      </c>
      <c r="C305" s="96" t="str">
        <f t="array" ref="C305">_xlfn.XLOOKUP(
 A305,
 tblTargets[TargetID],
 tblTargets[DisplayName],
 ""
)</f>
        <v>Necklace For Haruka</v>
      </c>
      <c r="D305" s="21" t="s">
        <v>3936</v>
      </c>
    </row>
    <row r="306" ht="14.25" customHeight="1">
      <c r="A306" s="96" t="s">
        <v>895</v>
      </c>
      <c r="B306" s="84" t="str">
        <f t="array" ref="B306">_xlfn.XLOOKUP(
 A306,
 tblTargets[TargetID],
 tblTargets[TargetType],
 ""
)
 </f>
        <v>CRAFTIFACT</v>
      </c>
      <c r="C306" s="96" t="str">
        <f t="array" ref="C306">_xlfn.XLOOKUP(
 A306,
 tblTargets[TargetID],
 tblTargets[DisplayName],
 ""
)</f>
        <v>Safe</v>
      </c>
      <c r="D306" s="21" t="s">
        <v>3937</v>
      </c>
    </row>
    <row r="307" ht="14.25" customHeight="1">
      <c r="A307" s="96" t="s">
        <v>898</v>
      </c>
      <c r="B307" s="84" t="str">
        <f t="array" ref="B307">_xlfn.XLOOKUP(
 A307,
 tblTargets[TargetID],
 tblTargets[TargetType],
 ""
)
 </f>
        <v>CRAFTIFACT</v>
      </c>
      <c r="C307" s="96" t="str">
        <f t="array" ref="C307">_xlfn.XLOOKUP(
 A307,
 tblTargets[TargetID],
 tblTargets[DisplayName],
 ""
)</f>
        <v>Solver 1 Prototype</v>
      </c>
      <c r="D307" s="21" t="s">
        <v>3939</v>
      </c>
    </row>
    <row r="308" ht="14.25" customHeight="1">
      <c r="A308" s="96" t="s">
        <v>905</v>
      </c>
      <c r="B308" s="84" t="str">
        <f t="array" ref="B308">_xlfn.XLOOKUP(
 A308,
 tblTargets[TargetID],
 tblTargets[TargetType],
 ""
)
 </f>
        <v>CRAFTIFACT</v>
      </c>
      <c r="C308" s="96" t="str">
        <f t="array" ref="C308">_xlfn.XLOOKUP(
 A308,
 tblTargets[TargetID],
 tblTargets[DisplayName],
 ""
)</f>
        <v>Telescope</v>
      </c>
      <c r="D308" s="21" t="s">
        <v>3940</v>
      </c>
    </row>
    <row r="309" ht="14.25" customHeight="1">
      <c r="A309" s="96" t="s">
        <v>910</v>
      </c>
      <c r="B309" s="84" t="str">
        <f t="array" ref="B309">_xlfn.XLOOKUP(
 A309,
 tblTargets[TargetID],
 tblTargets[TargetType],
 ""
)
 </f>
        <v>CRAFTIFACT</v>
      </c>
      <c r="C309" s="96" t="str">
        <f t="array" ref="C309">_xlfn.XLOOKUP(
 A309,
 tblTargets[TargetID],
 tblTargets[DisplayName],
 ""
)</f>
        <v>Tetrachloroaurate</v>
      </c>
      <c r="D309" s="21" t="s">
        <v>3941</v>
      </c>
    </row>
    <row r="310" ht="14.25" customHeight="1">
      <c r="A310" s="99" t="s">
        <v>914</v>
      </c>
      <c r="B310" s="84" t="str">
        <f t="array" ref="B310">_xlfn.XLOOKUP(
 A310,
 tblTargets[TargetID],
 tblTargets[TargetType],
 ""
)
 </f>
        <v>CRAFTIFACT</v>
      </c>
      <c r="C310" s="96" t="str">
        <f t="array" ref="C310">_xlfn.XLOOKUP(
 A310,
 tblTargets[TargetID],
 tblTargets[DisplayName],
 ""
)</f>
        <v>Trigonometry</v>
      </c>
      <c r="D310" s="21" t="s">
        <v>3943</v>
      </c>
    </row>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0D5C8B2B-024F-4EFB-BF34-ADA1D5ED9853}" filter="1" showAutoFilter="1">
      <autoFilter ref="$A$1:$D$310"/>
    </customSheetView>
  </customSheetView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55.5"/>
    <col customWidth="1" min="2" max="26" width="8.63"/>
  </cols>
  <sheetData>
    <row r="1" ht="14.25" customHeight="1"/>
    <row r="2" ht="14.25" customHeight="1">
      <c r="A2" s="18" t="str">
        <f t="array" ref="A2:A345">UNIQUE(tblCostChecklist[TargetID])</f>
        <v>building.airship@1</v>
      </c>
    </row>
    <row r="3" ht="14.25" customHeight="1">
      <c r="A3" s="18" t="s">
        <v>58</v>
      </c>
    </row>
    <row r="4" ht="14.25" customHeight="1">
      <c r="A4" s="18" t="s">
        <v>62</v>
      </c>
    </row>
    <row r="5" ht="14.25" customHeight="1">
      <c r="A5" s="18" t="s">
        <v>65</v>
      </c>
    </row>
    <row r="6" ht="14.25" customHeight="1">
      <c r="A6" s="18" t="s">
        <v>68</v>
      </c>
    </row>
    <row r="7" ht="14.25" customHeight="1">
      <c r="A7" s="18" t="s">
        <v>71</v>
      </c>
    </row>
    <row r="8" ht="14.25" customHeight="1">
      <c r="A8" s="18" t="s">
        <v>77</v>
      </c>
    </row>
    <row r="9" ht="14.25" customHeight="1">
      <c r="A9" s="18" t="s">
        <v>81</v>
      </c>
    </row>
    <row r="10" ht="14.25" customHeight="1">
      <c r="A10" s="18" t="s">
        <v>85</v>
      </c>
    </row>
    <row r="11" ht="14.25" customHeight="1">
      <c r="A11" s="18" t="s">
        <v>90</v>
      </c>
    </row>
    <row r="12" ht="14.25" customHeight="1">
      <c r="A12" s="18" t="s">
        <v>96</v>
      </c>
    </row>
    <row r="13" ht="14.25" customHeight="1">
      <c r="A13" s="18" t="s">
        <v>103</v>
      </c>
    </row>
    <row r="14" ht="14.25" customHeight="1">
      <c r="A14" s="18" t="s">
        <v>112</v>
      </c>
    </row>
    <row r="15" ht="14.25" customHeight="1">
      <c r="A15" s="18" t="s">
        <v>116</v>
      </c>
    </row>
    <row r="16" ht="14.25" customHeight="1">
      <c r="A16" s="18" t="s">
        <v>122</v>
      </c>
    </row>
    <row r="17" ht="14.25" customHeight="1">
      <c r="A17" s="18" t="s">
        <v>127</v>
      </c>
    </row>
    <row r="18" ht="14.25" customHeight="1">
      <c r="A18" s="18" t="s">
        <v>131</v>
      </c>
    </row>
    <row r="19" ht="14.25" customHeight="1">
      <c r="A19" s="18" t="s">
        <v>138</v>
      </c>
    </row>
    <row r="20" ht="14.25" customHeight="1">
      <c r="A20" s="18" t="s">
        <v>145</v>
      </c>
    </row>
    <row r="21" ht="14.25" customHeight="1">
      <c r="A21" s="18" t="s">
        <v>151</v>
      </c>
    </row>
    <row r="22" ht="14.25" customHeight="1">
      <c r="A22" s="18" t="s">
        <v>159</v>
      </c>
    </row>
    <row r="23" ht="14.25" customHeight="1">
      <c r="A23" s="18" t="s">
        <v>165</v>
      </c>
    </row>
    <row r="24" ht="14.25" customHeight="1">
      <c r="A24" s="18" t="s">
        <v>172</v>
      </c>
    </row>
    <row r="25" ht="14.25" customHeight="1">
      <c r="A25" s="18" t="s">
        <v>177</v>
      </c>
    </row>
    <row r="26" ht="14.25" customHeight="1">
      <c r="A26" s="18" t="s">
        <v>188</v>
      </c>
    </row>
    <row r="27" ht="14.25" customHeight="1">
      <c r="A27" s="18" t="s">
        <v>195</v>
      </c>
    </row>
    <row r="28" ht="14.25" customHeight="1">
      <c r="A28" s="18" t="s">
        <v>199</v>
      </c>
    </row>
    <row r="29" ht="14.25" customHeight="1">
      <c r="A29" s="18" t="s">
        <v>205</v>
      </c>
    </row>
    <row r="30" ht="14.25" customHeight="1">
      <c r="A30" s="18" t="s">
        <v>208</v>
      </c>
    </row>
    <row r="31" ht="14.25" customHeight="1">
      <c r="A31" s="18" t="s">
        <v>214</v>
      </c>
    </row>
    <row r="32" ht="14.25" customHeight="1">
      <c r="A32" s="18" t="s">
        <v>219</v>
      </c>
    </row>
    <row r="33" ht="14.25" customHeight="1">
      <c r="A33" s="18" t="s">
        <v>225</v>
      </c>
    </row>
    <row r="34" ht="14.25" customHeight="1">
      <c r="A34" s="18" t="s">
        <v>230</v>
      </c>
    </row>
    <row r="35" ht="14.25" customHeight="1">
      <c r="A35" s="18" t="s">
        <v>234</v>
      </c>
    </row>
    <row r="36" ht="14.25" customHeight="1">
      <c r="A36" s="18" t="s">
        <v>239</v>
      </c>
    </row>
    <row r="37" ht="14.25" customHeight="1">
      <c r="A37" s="18" t="s">
        <v>243</v>
      </c>
    </row>
    <row r="38" ht="14.25" customHeight="1">
      <c r="A38" s="18" t="s">
        <v>246</v>
      </c>
    </row>
    <row r="39" ht="14.25" customHeight="1">
      <c r="A39" s="18" t="s">
        <v>251</v>
      </c>
    </row>
    <row r="40" ht="14.25" customHeight="1">
      <c r="A40" s="18" t="s">
        <v>255</v>
      </c>
    </row>
    <row r="41" ht="14.25" customHeight="1">
      <c r="A41" s="18" t="s">
        <v>258</v>
      </c>
    </row>
    <row r="42" ht="14.25" customHeight="1">
      <c r="A42" s="18" t="s">
        <v>262</v>
      </c>
    </row>
    <row r="43" ht="14.25" customHeight="1">
      <c r="A43" s="18" t="s">
        <v>269</v>
      </c>
    </row>
    <row r="44" ht="14.25" customHeight="1">
      <c r="A44" s="18" t="s">
        <v>310</v>
      </c>
    </row>
    <row r="45" ht="14.25" customHeight="1">
      <c r="A45" s="18" t="s">
        <v>282</v>
      </c>
    </row>
    <row r="46" ht="14.25" customHeight="1">
      <c r="A46" s="18" t="s">
        <v>291</v>
      </c>
    </row>
    <row r="47" ht="14.25" customHeight="1">
      <c r="A47" s="18" t="s">
        <v>295</v>
      </c>
    </row>
    <row r="48" ht="14.25" customHeight="1">
      <c r="A48" s="18" t="s">
        <v>302</v>
      </c>
    </row>
    <row r="49" ht="14.25" customHeight="1">
      <c r="A49" s="18" t="s">
        <v>333</v>
      </c>
    </row>
    <row r="50" ht="14.25" customHeight="1">
      <c r="A50" s="18" t="s">
        <v>314</v>
      </c>
    </row>
    <row r="51" ht="14.25" customHeight="1">
      <c r="A51" s="18" t="s">
        <v>319</v>
      </c>
    </row>
    <row r="52" ht="14.25" customHeight="1">
      <c r="A52" s="18" t="s">
        <v>322</v>
      </c>
    </row>
    <row r="53" ht="14.25" customHeight="1">
      <c r="A53" s="18" t="s">
        <v>325</v>
      </c>
    </row>
    <row r="54" ht="14.25" customHeight="1">
      <c r="A54" s="18" t="s">
        <v>328</v>
      </c>
    </row>
    <row r="55" ht="14.25" customHeight="1">
      <c r="A55" s="18" t="s">
        <v>338</v>
      </c>
    </row>
    <row r="56" ht="14.25" customHeight="1">
      <c r="A56" s="18" t="s">
        <v>344</v>
      </c>
    </row>
    <row r="57" ht="14.25" customHeight="1">
      <c r="A57" s="18" t="s">
        <v>348</v>
      </c>
    </row>
    <row r="58" ht="14.25" customHeight="1">
      <c r="A58" s="18" t="s">
        <v>354</v>
      </c>
    </row>
    <row r="59" ht="14.25" customHeight="1">
      <c r="A59" s="18" t="s">
        <v>359</v>
      </c>
    </row>
    <row r="60" ht="14.25" customHeight="1">
      <c r="A60" s="18" t="s">
        <v>362</v>
      </c>
    </row>
    <row r="61" ht="14.25" customHeight="1">
      <c r="A61" s="18" t="s">
        <v>364</v>
      </c>
    </row>
    <row r="62" ht="14.25" customHeight="1">
      <c r="A62" s="18" t="s">
        <v>366</v>
      </c>
    </row>
    <row r="63" ht="14.25" customHeight="1">
      <c r="A63" s="18" t="s">
        <v>368</v>
      </c>
    </row>
    <row r="64" ht="14.25" customHeight="1">
      <c r="A64" s="18" t="s">
        <v>370</v>
      </c>
    </row>
    <row r="65" ht="14.25" customHeight="1">
      <c r="A65" s="18" t="s">
        <v>372</v>
      </c>
    </row>
    <row r="66" ht="14.25" customHeight="1">
      <c r="A66" s="18" t="s">
        <v>374</v>
      </c>
    </row>
    <row r="67" ht="14.25" customHeight="1">
      <c r="A67" s="18" t="s">
        <v>376</v>
      </c>
    </row>
    <row r="68" ht="14.25" customHeight="1">
      <c r="A68" s="18" t="s">
        <v>378</v>
      </c>
    </row>
    <row r="69" ht="14.25" customHeight="1">
      <c r="A69" s="18" t="s">
        <v>381</v>
      </c>
    </row>
    <row r="70" ht="14.25" customHeight="1">
      <c r="A70" s="18" t="s">
        <v>383</v>
      </c>
    </row>
    <row r="71" ht="14.25" customHeight="1">
      <c r="A71" s="18" t="s">
        <v>385</v>
      </c>
    </row>
    <row r="72" ht="14.25" customHeight="1">
      <c r="A72" s="18" t="s">
        <v>388</v>
      </c>
    </row>
    <row r="73" ht="14.25" customHeight="1">
      <c r="A73" s="18" t="s">
        <v>390</v>
      </c>
    </row>
    <row r="74" ht="14.25" customHeight="1">
      <c r="A74" s="18" t="s">
        <v>393</v>
      </c>
    </row>
    <row r="75" ht="14.25" customHeight="1">
      <c r="A75" s="18" t="s">
        <v>396</v>
      </c>
    </row>
    <row r="76" ht="14.25" customHeight="1">
      <c r="A76" s="18" t="s">
        <v>399</v>
      </c>
    </row>
    <row r="77" ht="14.25" customHeight="1">
      <c r="A77" s="18" t="s">
        <v>402</v>
      </c>
    </row>
    <row r="78" ht="14.25" customHeight="1">
      <c r="A78" s="18" t="s">
        <v>404</v>
      </c>
    </row>
    <row r="79" ht="14.25" customHeight="1">
      <c r="A79" s="18" t="s">
        <v>406</v>
      </c>
    </row>
    <row r="80" ht="14.25" customHeight="1">
      <c r="A80" s="18" t="s">
        <v>408</v>
      </c>
    </row>
    <row r="81" ht="14.25" customHeight="1">
      <c r="A81" s="18" t="s">
        <v>410</v>
      </c>
    </row>
    <row r="82" ht="14.25" customHeight="1">
      <c r="A82" s="18" t="s">
        <v>414</v>
      </c>
    </row>
    <row r="83" ht="14.25" customHeight="1">
      <c r="A83" s="18" t="s">
        <v>415</v>
      </c>
    </row>
    <row r="84" ht="14.25" customHeight="1">
      <c r="A84" s="18" t="s">
        <v>418</v>
      </c>
    </row>
    <row r="85" ht="14.25" customHeight="1">
      <c r="A85" s="18" t="s">
        <v>420</v>
      </c>
    </row>
    <row r="86" ht="14.25" customHeight="1">
      <c r="A86" s="18" t="s">
        <v>421</v>
      </c>
    </row>
    <row r="87" ht="14.25" customHeight="1">
      <c r="A87" s="18" t="s">
        <v>424</v>
      </c>
    </row>
    <row r="88" ht="14.25" customHeight="1">
      <c r="A88" s="18" t="s">
        <v>431</v>
      </c>
    </row>
    <row r="89" ht="14.25" customHeight="1">
      <c r="A89" s="18" t="s">
        <v>433</v>
      </c>
    </row>
    <row r="90" ht="14.25" customHeight="1">
      <c r="A90" s="18" t="s">
        <v>435</v>
      </c>
    </row>
    <row r="91" ht="14.25" customHeight="1">
      <c r="A91" s="18" t="s">
        <v>438</v>
      </c>
    </row>
    <row r="92" ht="14.25" customHeight="1">
      <c r="A92" s="18" t="s">
        <v>427</v>
      </c>
    </row>
    <row r="93" ht="14.25" customHeight="1">
      <c r="A93" s="18" t="s">
        <v>429</v>
      </c>
    </row>
    <row r="94" ht="14.25" customHeight="1">
      <c r="A94" s="18" t="s">
        <v>440</v>
      </c>
    </row>
    <row r="95" ht="14.25" customHeight="1">
      <c r="A95" s="18" t="s">
        <v>442</v>
      </c>
    </row>
    <row r="96" ht="14.25" customHeight="1">
      <c r="A96" s="18" t="s">
        <v>445</v>
      </c>
    </row>
    <row r="97" ht="14.25" customHeight="1">
      <c r="A97" s="18" t="s">
        <v>447</v>
      </c>
    </row>
    <row r="98" ht="14.25" customHeight="1">
      <c r="A98" s="18" t="s">
        <v>449</v>
      </c>
    </row>
    <row r="99" ht="14.25" customHeight="1">
      <c r="A99" s="18" t="s">
        <v>451</v>
      </c>
    </row>
    <row r="100" ht="14.25" customHeight="1">
      <c r="A100" s="18" t="s">
        <v>453</v>
      </c>
    </row>
    <row r="101" ht="14.25" customHeight="1">
      <c r="A101" s="18" t="s">
        <v>455</v>
      </c>
    </row>
    <row r="102" ht="14.25" customHeight="1">
      <c r="A102" s="18" t="s">
        <v>457</v>
      </c>
    </row>
    <row r="103" ht="14.25" customHeight="1">
      <c r="A103" s="18" t="s">
        <v>460</v>
      </c>
    </row>
    <row r="104" ht="14.25" customHeight="1">
      <c r="A104" s="18" t="s">
        <v>463</v>
      </c>
    </row>
    <row r="105" ht="14.25" customHeight="1">
      <c r="A105" s="18" t="s">
        <v>473</v>
      </c>
    </row>
    <row r="106" ht="14.25" customHeight="1">
      <c r="A106" s="18" t="s">
        <v>475</v>
      </c>
    </row>
    <row r="107" ht="14.25" customHeight="1">
      <c r="A107" s="18" t="s">
        <v>478</v>
      </c>
    </row>
    <row r="108" ht="14.25" customHeight="1">
      <c r="A108" s="18" t="s">
        <v>480</v>
      </c>
    </row>
    <row r="109" ht="14.25" customHeight="1">
      <c r="A109" s="18" t="s">
        <v>482</v>
      </c>
    </row>
    <row r="110" ht="14.25" customHeight="1">
      <c r="A110" s="18" t="s">
        <v>498</v>
      </c>
    </row>
    <row r="111" ht="14.25" customHeight="1">
      <c r="A111" s="18" t="s">
        <v>500</v>
      </c>
    </row>
    <row r="112" ht="14.25" customHeight="1">
      <c r="A112" s="18" t="s">
        <v>502</v>
      </c>
    </row>
    <row r="113" ht="14.25" customHeight="1">
      <c r="A113" s="18" t="s">
        <v>505</v>
      </c>
    </row>
    <row r="114" ht="14.25" customHeight="1">
      <c r="A114" s="18" t="s">
        <v>509</v>
      </c>
    </row>
    <row r="115" ht="14.25" customHeight="1">
      <c r="A115" s="18" t="s">
        <v>511</v>
      </c>
    </row>
    <row r="116" ht="14.25" customHeight="1">
      <c r="A116" s="18" t="s">
        <v>513</v>
      </c>
    </row>
    <row r="117" ht="14.25" customHeight="1">
      <c r="A117" s="18" t="s">
        <v>515</v>
      </c>
    </row>
    <row r="118" ht="14.25" customHeight="1">
      <c r="A118" s="18" t="s">
        <v>516</v>
      </c>
    </row>
    <row r="119" ht="14.25" customHeight="1">
      <c r="A119" s="18" t="s">
        <v>518</v>
      </c>
    </row>
    <row r="120" ht="14.25" customHeight="1">
      <c r="A120" s="18" t="s">
        <v>521</v>
      </c>
    </row>
    <row r="121" ht="14.25" customHeight="1">
      <c r="A121" s="18" t="s">
        <v>523</v>
      </c>
    </row>
    <row r="122" ht="14.25" customHeight="1">
      <c r="A122" s="18" t="s">
        <v>525</v>
      </c>
    </row>
    <row r="123" ht="14.25" customHeight="1">
      <c r="A123" s="18" t="s">
        <v>528</v>
      </c>
    </row>
    <row r="124" ht="14.25" customHeight="1">
      <c r="A124" s="18" t="s">
        <v>532</v>
      </c>
    </row>
    <row r="125" ht="14.25" customHeight="1">
      <c r="A125" s="18" t="s">
        <v>535</v>
      </c>
    </row>
    <row r="126" ht="14.25" customHeight="1">
      <c r="A126" s="18" t="s">
        <v>537</v>
      </c>
    </row>
    <row r="127" ht="14.25" customHeight="1">
      <c r="A127" s="18" t="s">
        <v>540</v>
      </c>
    </row>
    <row r="128" ht="14.25" customHeight="1">
      <c r="A128" s="18" t="s">
        <v>542</v>
      </c>
    </row>
    <row r="129" ht="14.25" customHeight="1">
      <c r="A129" s="18" t="s">
        <v>544</v>
      </c>
    </row>
    <row r="130" ht="14.25" customHeight="1">
      <c r="A130" s="18" t="s">
        <v>546</v>
      </c>
    </row>
    <row r="131" ht="14.25" customHeight="1">
      <c r="A131" s="18" t="s">
        <v>549</v>
      </c>
    </row>
    <row r="132" ht="14.25" customHeight="1">
      <c r="A132" s="18" t="s">
        <v>551</v>
      </c>
    </row>
    <row r="133" ht="14.25" customHeight="1">
      <c r="A133" s="18" t="s">
        <v>553</v>
      </c>
    </row>
    <row r="134" ht="14.25" customHeight="1">
      <c r="A134" s="18" t="s">
        <v>556</v>
      </c>
    </row>
    <row r="135" ht="14.25" customHeight="1">
      <c r="A135" s="18" t="s">
        <v>558</v>
      </c>
    </row>
    <row r="136" ht="14.25" customHeight="1">
      <c r="A136" s="18" t="s">
        <v>560</v>
      </c>
    </row>
    <row r="137" ht="14.25" customHeight="1">
      <c r="A137" s="18" t="s">
        <v>563</v>
      </c>
    </row>
    <row r="138" ht="14.25" customHeight="1">
      <c r="A138" s="18" t="s">
        <v>565</v>
      </c>
    </row>
    <row r="139" ht="14.25" customHeight="1">
      <c r="A139" s="18" t="s">
        <v>567</v>
      </c>
    </row>
    <row r="140" ht="14.25" customHeight="1">
      <c r="A140" s="18" t="s">
        <v>569</v>
      </c>
    </row>
    <row r="141" ht="14.25" customHeight="1">
      <c r="A141" s="18" t="s">
        <v>572</v>
      </c>
    </row>
    <row r="142" ht="14.25" customHeight="1">
      <c r="A142" s="18" t="s">
        <v>575</v>
      </c>
    </row>
    <row r="143" ht="14.25" customHeight="1">
      <c r="A143" s="18" t="s">
        <v>578</v>
      </c>
    </row>
    <row r="144" ht="14.25" customHeight="1">
      <c r="A144" s="18" t="s">
        <v>581</v>
      </c>
    </row>
    <row r="145" ht="14.25" customHeight="1">
      <c r="A145" s="18" t="s">
        <v>584</v>
      </c>
    </row>
    <row r="146" ht="14.25" customHeight="1">
      <c r="A146" s="18" t="s">
        <v>586</v>
      </c>
    </row>
    <row r="147" ht="14.25" customHeight="1">
      <c r="A147" s="18" t="s">
        <v>589</v>
      </c>
    </row>
    <row r="148" ht="14.25" customHeight="1">
      <c r="A148" s="18" t="s">
        <v>591</v>
      </c>
    </row>
    <row r="149" ht="14.25" customHeight="1">
      <c r="A149" s="18" t="s">
        <v>594</v>
      </c>
    </row>
    <row r="150" ht="14.25" customHeight="1">
      <c r="A150" s="18" t="s">
        <v>596</v>
      </c>
    </row>
    <row r="151" ht="14.25" customHeight="1">
      <c r="A151" s="18" t="s">
        <v>598</v>
      </c>
    </row>
    <row r="152" ht="14.25" customHeight="1">
      <c r="A152" s="18" t="s">
        <v>600</v>
      </c>
    </row>
    <row r="153" ht="14.25" customHeight="1">
      <c r="A153" s="18" t="s">
        <v>603</v>
      </c>
    </row>
    <row r="154" ht="14.25" customHeight="1">
      <c r="A154" s="18" t="s">
        <v>605</v>
      </c>
    </row>
    <row r="155" ht="14.25" customHeight="1">
      <c r="A155" s="18" t="s">
        <v>607</v>
      </c>
    </row>
    <row r="156" ht="14.25" customHeight="1">
      <c r="A156" s="18" t="s">
        <v>610</v>
      </c>
    </row>
    <row r="157" ht="14.25" customHeight="1">
      <c r="A157" s="18" t="s">
        <v>612</v>
      </c>
    </row>
    <row r="158" ht="14.25" customHeight="1">
      <c r="A158" s="18" t="s">
        <v>614</v>
      </c>
    </row>
    <row r="159" ht="14.25" customHeight="1">
      <c r="A159" s="18" t="s">
        <v>616</v>
      </c>
    </row>
    <row r="160" ht="14.25" customHeight="1">
      <c r="A160" s="18" t="s">
        <v>618</v>
      </c>
    </row>
    <row r="161" ht="14.25" customHeight="1">
      <c r="A161" s="18" t="s">
        <v>627</v>
      </c>
    </row>
    <row r="162" ht="14.25" customHeight="1">
      <c r="A162" s="18" t="s">
        <v>631</v>
      </c>
    </row>
    <row r="163" ht="14.25" customHeight="1">
      <c r="A163" s="18" t="s">
        <v>635</v>
      </c>
    </row>
    <row r="164" ht="14.25" customHeight="1">
      <c r="A164" s="18" t="s">
        <v>640</v>
      </c>
    </row>
    <row r="165" ht="14.25" customHeight="1">
      <c r="A165" s="18" t="s">
        <v>643</v>
      </c>
    </row>
    <row r="166" ht="14.25" customHeight="1">
      <c r="A166" s="18" t="s">
        <v>647</v>
      </c>
    </row>
    <row r="167" ht="14.25" customHeight="1">
      <c r="A167" s="18" t="s">
        <v>649</v>
      </c>
    </row>
    <row r="168" ht="14.25" customHeight="1">
      <c r="A168" s="18" t="s">
        <v>654</v>
      </c>
    </row>
    <row r="169" ht="14.25" customHeight="1">
      <c r="A169" s="18" t="s">
        <v>658</v>
      </c>
    </row>
    <row r="170" ht="14.25" customHeight="1">
      <c r="A170" s="18" t="s">
        <v>662</v>
      </c>
    </row>
    <row r="171" ht="14.25" customHeight="1">
      <c r="A171" s="18" t="s">
        <v>666</v>
      </c>
    </row>
    <row r="172" ht="14.25" customHeight="1">
      <c r="A172" s="18" t="s">
        <v>669</v>
      </c>
    </row>
    <row r="173" ht="14.25" customHeight="1">
      <c r="A173" s="18" t="s">
        <v>673</v>
      </c>
    </row>
    <row r="174" ht="14.25" customHeight="1">
      <c r="A174" s="18" t="s">
        <v>677</v>
      </c>
    </row>
    <row r="175" ht="14.25" customHeight="1">
      <c r="A175" s="18" t="s">
        <v>681</v>
      </c>
    </row>
    <row r="176" ht="14.25" customHeight="1">
      <c r="A176" s="18" t="s">
        <v>685</v>
      </c>
    </row>
    <row r="177" ht="14.25" customHeight="1">
      <c r="A177" s="18" t="s">
        <v>691</v>
      </c>
    </row>
    <row r="178" ht="14.25" customHeight="1">
      <c r="A178" s="18" t="s">
        <v>695</v>
      </c>
    </row>
    <row r="179" ht="14.25" customHeight="1">
      <c r="A179" s="18" t="s">
        <v>698</v>
      </c>
    </row>
    <row r="180" ht="14.25" customHeight="1">
      <c r="A180" s="18" t="s">
        <v>703</v>
      </c>
    </row>
    <row r="181" ht="14.25" customHeight="1">
      <c r="A181" s="18" t="s">
        <v>707</v>
      </c>
    </row>
    <row r="182" ht="14.25" customHeight="1">
      <c r="A182" s="18" t="s">
        <v>710</v>
      </c>
    </row>
    <row r="183" ht="14.25" customHeight="1">
      <c r="A183" s="18" t="s">
        <v>713</v>
      </c>
    </row>
    <row r="184" ht="14.25" customHeight="1">
      <c r="A184" s="18" t="s">
        <v>716</v>
      </c>
    </row>
    <row r="185" ht="14.25" customHeight="1">
      <c r="A185" s="18" t="s">
        <v>719</v>
      </c>
    </row>
    <row r="186" ht="14.25" customHeight="1">
      <c r="A186" s="18" t="s">
        <v>722</v>
      </c>
    </row>
    <row r="187" ht="14.25" customHeight="1">
      <c r="A187" s="18" t="s">
        <v>727</v>
      </c>
    </row>
    <row r="188" ht="14.25" customHeight="1">
      <c r="A188" s="18" t="s">
        <v>731</v>
      </c>
    </row>
    <row r="189" ht="14.25" customHeight="1">
      <c r="A189" s="18" t="s">
        <v>735</v>
      </c>
    </row>
    <row r="190" ht="14.25" customHeight="1">
      <c r="A190" s="18" t="s">
        <v>739</v>
      </c>
    </row>
    <row r="191" ht="14.25" customHeight="1">
      <c r="A191" s="18" t="s">
        <v>754</v>
      </c>
    </row>
    <row r="192" ht="14.25" customHeight="1">
      <c r="A192" s="18" t="s">
        <v>758</v>
      </c>
    </row>
    <row r="193" ht="14.25" customHeight="1">
      <c r="A193" s="18" t="s">
        <v>762</v>
      </c>
    </row>
    <row r="194" ht="14.25" customHeight="1">
      <c r="A194" s="18" t="s">
        <v>765</v>
      </c>
    </row>
    <row r="195" ht="14.25" customHeight="1">
      <c r="A195" s="18" t="s">
        <v>769</v>
      </c>
    </row>
    <row r="196" ht="14.25" customHeight="1">
      <c r="A196" s="18" t="s">
        <v>773</v>
      </c>
    </row>
    <row r="197" ht="14.25" customHeight="1">
      <c r="A197" s="18" t="s">
        <v>776</v>
      </c>
    </row>
    <row r="198" ht="14.25" customHeight="1">
      <c r="A198" s="18" t="s">
        <v>781</v>
      </c>
    </row>
    <row r="199" ht="14.25" customHeight="1">
      <c r="A199" s="18" t="s">
        <v>785</v>
      </c>
    </row>
    <row r="200" ht="14.25" customHeight="1">
      <c r="A200" s="18" t="s">
        <v>789</v>
      </c>
    </row>
    <row r="201" ht="14.25" customHeight="1">
      <c r="A201" s="18" t="s">
        <v>795</v>
      </c>
    </row>
    <row r="202" ht="14.25" customHeight="1">
      <c r="A202" s="18" t="s">
        <v>799</v>
      </c>
    </row>
    <row r="203" ht="14.25" customHeight="1">
      <c r="A203" s="18" t="s">
        <v>803</v>
      </c>
    </row>
    <row r="204" ht="14.25" customHeight="1">
      <c r="A204" s="18" t="s">
        <v>808</v>
      </c>
    </row>
    <row r="205" ht="14.25" customHeight="1">
      <c r="A205" s="18" t="s">
        <v>811</v>
      </c>
    </row>
    <row r="206" ht="14.25" customHeight="1">
      <c r="A206" s="18" t="s">
        <v>815</v>
      </c>
    </row>
    <row r="207" ht="14.25" customHeight="1">
      <c r="A207" s="18" t="s">
        <v>818</v>
      </c>
    </row>
    <row r="208" ht="14.25" customHeight="1">
      <c r="A208" s="18" t="s">
        <v>822</v>
      </c>
    </row>
    <row r="209" ht="14.25" customHeight="1">
      <c r="A209" s="18" t="s">
        <v>826</v>
      </c>
    </row>
    <row r="210" ht="14.25" customHeight="1">
      <c r="A210" s="18" t="s">
        <v>829</v>
      </c>
    </row>
    <row r="211" ht="14.25" customHeight="1">
      <c r="A211" s="18" t="s">
        <v>833</v>
      </c>
    </row>
    <row r="212" ht="14.25" customHeight="1">
      <c r="A212" s="18" t="s">
        <v>838</v>
      </c>
    </row>
    <row r="213" ht="14.25" customHeight="1">
      <c r="A213" s="18" t="s">
        <v>841</v>
      </c>
    </row>
    <row r="214" ht="14.25" customHeight="1">
      <c r="A214" s="18" t="s">
        <v>846</v>
      </c>
    </row>
    <row r="215" ht="14.25" customHeight="1">
      <c r="A215" s="18" t="s">
        <v>850</v>
      </c>
    </row>
    <row r="216" ht="14.25" customHeight="1">
      <c r="A216" s="18" t="s">
        <v>853</v>
      </c>
    </row>
    <row r="217" ht="14.25" customHeight="1">
      <c r="A217" s="18" t="s">
        <v>858</v>
      </c>
    </row>
    <row r="218" ht="14.25" customHeight="1">
      <c r="A218" s="18" t="s">
        <v>861</v>
      </c>
    </row>
    <row r="219" ht="14.25" customHeight="1">
      <c r="A219" s="18" t="s">
        <v>864</v>
      </c>
    </row>
    <row r="220" ht="14.25" customHeight="1">
      <c r="A220" s="18" t="s">
        <v>867</v>
      </c>
    </row>
    <row r="221" ht="14.25" customHeight="1">
      <c r="A221" s="18" t="s">
        <v>872</v>
      </c>
    </row>
    <row r="222" ht="14.25" customHeight="1">
      <c r="A222" s="18" t="s">
        <v>876</v>
      </c>
    </row>
    <row r="223" ht="14.25" customHeight="1">
      <c r="A223" s="18" t="s">
        <v>881</v>
      </c>
    </row>
    <row r="224" ht="14.25" customHeight="1">
      <c r="A224" s="18" t="s">
        <v>885</v>
      </c>
    </row>
    <row r="225" ht="14.25" customHeight="1">
      <c r="A225" s="18" t="s">
        <v>891</v>
      </c>
    </row>
    <row r="226" ht="14.25" customHeight="1">
      <c r="A226" s="18" t="s">
        <v>895</v>
      </c>
    </row>
    <row r="227" ht="14.25" customHeight="1">
      <c r="A227" s="18" t="s">
        <v>898</v>
      </c>
    </row>
    <row r="228" ht="14.25" customHeight="1">
      <c r="A228" s="18" t="s">
        <v>905</v>
      </c>
    </row>
    <row r="229" ht="14.25" customHeight="1">
      <c r="A229" s="18" t="s">
        <v>910</v>
      </c>
    </row>
    <row r="230" ht="14.25" customHeight="1">
      <c r="A230" s="18" t="s">
        <v>914</v>
      </c>
    </row>
    <row r="231" ht="14.25" customHeight="1">
      <c r="A231" s="18" t="s">
        <v>924</v>
      </c>
    </row>
    <row r="232" ht="14.25" customHeight="1">
      <c r="A232" s="18" t="s">
        <v>982</v>
      </c>
    </row>
    <row r="233" ht="14.25" customHeight="1">
      <c r="A233" s="18" t="s">
        <v>1007</v>
      </c>
    </row>
    <row r="234" ht="14.25" customHeight="1">
      <c r="A234" s="18" t="s">
        <v>1016</v>
      </c>
    </row>
    <row r="235" ht="14.25" customHeight="1">
      <c r="A235" s="18" t="s">
        <v>999</v>
      </c>
    </row>
    <row r="236" ht="14.25" customHeight="1">
      <c r="A236" s="18" t="s">
        <v>1023</v>
      </c>
    </row>
    <row r="237" ht="14.25" customHeight="1">
      <c r="A237" s="18" t="s">
        <v>1057</v>
      </c>
    </row>
    <row r="238" ht="14.25" customHeight="1">
      <c r="A238" s="18" t="s">
        <v>1110</v>
      </c>
    </row>
    <row r="239" ht="14.25" customHeight="1">
      <c r="A239" s="18" t="s">
        <v>1165</v>
      </c>
    </row>
    <row r="240" ht="14.25" customHeight="1">
      <c r="A240" s="18" t="s">
        <v>1195</v>
      </c>
    </row>
    <row r="241" ht="14.25" customHeight="1">
      <c r="A241" s="18" t="s">
        <v>1264</v>
      </c>
    </row>
    <row r="242" ht="14.25" customHeight="1">
      <c r="A242" s="18" t="s">
        <v>1269</v>
      </c>
    </row>
    <row r="243" ht="14.25" customHeight="1">
      <c r="A243" s="18" t="s">
        <v>1273</v>
      </c>
    </row>
    <row r="244" ht="14.25" customHeight="1">
      <c r="A244" s="18" t="s">
        <v>1277</v>
      </c>
    </row>
    <row r="245" ht="14.25" customHeight="1">
      <c r="A245" s="18" t="s">
        <v>1283</v>
      </c>
    </row>
    <row r="246" ht="14.25" customHeight="1">
      <c r="A246" s="18" t="s">
        <v>1287</v>
      </c>
    </row>
    <row r="247" ht="14.25" customHeight="1">
      <c r="A247" s="18" t="s">
        <v>1292</v>
      </c>
    </row>
    <row r="248" ht="14.25" customHeight="1">
      <c r="A248" s="18" t="s">
        <v>1309</v>
      </c>
    </row>
    <row r="249" ht="14.25" customHeight="1">
      <c r="A249" s="18" t="s">
        <v>1323</v>
      </c>
    </row>
    <row r="250" ht="14.25" customHeight="1">
      <c r="A250" s="18" t="s">
        <v>1327</v>
      </c>
    </row>
    <row r="251" ht="14.25" customHeight="1">
      <c r="A251" s="18" t="s">
        <v>1703</v>
      </c>
    </row>
    <row r="252" ht="14.25" customHeight="1">
      <c r="A252" s="18" t="s">
        <v>1707</v>
      </c>
    </row>
    <row r="253" ht="14.25" customHeight="1">
      <c r="A253" s="18" t="s">
        <v>1709</v>
      </c>
    </row>
    <row r="254" ht="14.25" customHeight="1">
      <c r="A254" s="18" t="s">
        <v>1712</v>
      </c>
    </row>
    <row r="255" ht="14.25" customHeight="1">
      <c r="A255" s="18" t="s">
        <v>1715</v>
      </c>
    </row>
    <row r="256" ht="14.25" customHeight="1">
      <c r="A256" s="18" t="s">
        <v>1717</v>
      </c>
    </row>
    <row r="257" ht="14.25" customHeight="1">
      <c r="A257" s="18" t="s">
        <v>1719</v>
      </c>
    </row>
    <row r="258" ht="14.25" customHeight="1">
      <c r="A258" s="18" t="s">
        <v>1721</v>
      </c>
    </row>
    <row r="259" ht="14.25" customHeight="1">
      <c r="A259" s="18" t="s">
        <v>1724</v>
      </c>
    </row>
    <row r="260" ht="14.25" customHeight="1">
      <c r="A260" s="18" t="s">
        <v>1726</v>
      </c>
    </row>
    <row r="261" ht="14.25" customHeight="1">
      <c r="A261" s="18" t="s">
        <v>1728</v>
      </c>
    </row>
    <row r="262" ht="14.25" customHeight="1">
      <c r="A262" s="18" t="s">
        <v>1731</v>
      </c>
    </row>
    <row r="263" ht="14.25" customHeight="1">
      <c r="A263" s="18" t="s">
        <v>1733</v>
      </c>
    </row>
    <row r="264" ht="14.25" customHeight="1">
      <c r="A264" s="18" t="s">
        <v>1735</v>
      </c>
    </row>
    <row r="265" ht="14.25" customHeight="1">
      <c r="A265" s="18" t="s">
        <v>1737</v>
      </c>
    </row>
    <row r="266" ht="14.25" customHeight="1">
      <c r="A266" s="18" t="s">
        <v>1742</v>
      </c>
    </row>
    <row r="267" ht="14.25" customHeight="1">
      <c r="A267" s="18" t="s">
        <v>1740</v>
      </c>
    </row>
    <row r="268" ht="14.25" customHeight="1">
      <c r="A268" s="18" t="s">
        <v>1744</v>
      </c>
    </row>
    <row r="269" ht="14.25" customHeight="1">
      <c r="A269" s="18" t="s">
        <v>1747</v>
      </c>
    </row>
    <row r="270" ht="14.25" customHeight="1">
      <c r="A270" s="18" t="s">
        <v>1749</v>
      </c>
    </row>
    <row r="271" ht="14.25" customHeight="1">
      <c r="A271" s="18" t="s">
        <v>1751</v>
      </c>
    </row>
    <row r="272" ht="14.25" customHeight="1">
      <c r="A272" s="18" t="s">
        <v>1753</v>
      </c>
    </row>
    <row r="273" ht="14.25" customHeight="1">
      <c r="A273" s="18" t="s">
        <v>1756</v>
      </c>
    </row>
    <row r="274" ht="14.25" customHeight="1">
      <c r="A274" s="18" t="s">
        <v>1758</v>
      </c>
    </row>
    <row r="275" ht="14.25" customHeight="1">
      <c r="A275" s="18" t="s">
        <v>1760</v>
      </c>
    </row>
    <row r="276" ht="14.25" customHeight="1">
      <c r="A276" s="18" t="s">
        <v>1762</v>
      </c>
    </row>
    <row r="277" ht="14.25" customHeight="1">
      <c r="A277" s="18" t="s">
        <v>1765</v>
      </c>
    </row>
    <row r="278" ht="14.25" customHeight="1">
      <c r="A278" s="18" t="s">
        <v>1768</v>
      </c>
    </row>
    <row r="279" ht="14.25" customHeight="1">
      <c r="A279" s="18" t="s">
        <v>1770</v>
      </c>
    </row>
    <row r="280" ht="14.25" customHeight="1">
      <c r="A280" s="18" t="s">
        <v>1772</v>
      </c>
    </row>
    <row r="281" ht="14.25" customHeight="1">
      <c r="A281" s="18" t="s">
        <v>1775</v>
      </c>
    </row>
    <row r="282" ht="14.25" customHeight="1">
      <c r="A282" s="18" t="s">
        <v>1777</v>
      </c>
    </row>
    <row r="283" ht="14.25" customHeight="1">
      <c r="A283" s="18" t="s">
        <v>1779</v>
      </c>
    </row>
    <row r="284" ht="14.25" customHeight="1">
      <c r="A284" s="18" t="s">
        <v>1782</v>
      </c>
    </row>
    <row r="285" ht="14.25" customHeight="1">
      <c r="A285" s="18" t="s">
        <v>1784</v>
      </c>
    </row>
    <row r="286" ht="14.25" customHeight="1">
      <c r="A286" s="18" t="s">
        <v>1786</v>
      </c>
    </row>
    <row r="287" ht="14.25" customHeight="1">
      <c r="A287" s="18" t="s">
        <v>1789</v>
      </c>
    </row>
    <row r="288" ht="14.25" customHeight="1">
      <c r="A288" s="18" t="s">
        <v>1791</v>
      </c>
    </row>
    <row r="289" ht="14.25" customHeight="1">
      <c r="A289" s="18" t="s">
        <v>1793</v>
      </c>
    </row>
    <row r="290" ht="14.25" customHeight="1">
      <c r="A290" s="18" t="s">
        <v>1795</v>
      </c>
    </row>
    <row r="291" ht="14.25" customHeight="1">
      <c r="A291" s="18" t="s">
        <v>1798</v>
      </c>
    </row>
    <row r="292" ht="14.25" customHeight="1">
      <c r="A292" s="18" t="s">
        <v>1800</v>
      </c>
    </row>
    <row r="293" ht="14.25" customHeight="1">
      <c r="A293" s="18" t="s">
        <v>1802</v>
      </c>
    </row>
    <row r="294" ht="14.25" customHeight="1">
      <c r="A294" s="18" t="s">
        <v>1805</v>
      </c>
    </row>
    <row r="295" ht="14.25" customHeight="1">
      <c r="A295" s="18" t="s">
        <v>1807</v>
      </c>
    </row>
    <row r="296" ht="14.25" customHeight="1">
      <c r="A296" s="18" t="s">
        <v>1809</v>
      </c>
    </row>
    <row r="297" ht="14.25" customHeight="1">
      <c r="A297" s="18" t="s">
        <v>1812</v>
      </c>
    </row>
    <row r="298" ht="14.25" customHeight="1">
      <c r="A298" s="18" t="s">
        <v>1814</v>
      </c>
    </row>
    <row r="299" ht="14.25" customHeight="1">
      <c r="A299" s="18" t="s">
        <v>1816</v>
      </c>
    </row>
    <row r="300" ht="14.25" customHeight="1">
      <c r="A300" s="18" t="s">
        <v>1818</v>
      </c>
    </row>
    <row r="301" ht="14.25" customHeight="1">
      <c r="A301" s="18" t="s">
        <v>1821</v>
      </c>
    </row>
    <row r="302" ht="14.25" customHeight="1">
      <c r="A302" s="18" t="s">
        <v>1823</v>
      </c>
    </row>
    <row r="303" ht="14.25" customHeight="1">
      <c r="A303" s="18" t="s">
        <v>1825</v>
      </c>
    </row>
    <row r="304" ht="14.25" customHeight="1">
      <c r="A304" s="18" t="s">
        <v>1827</v>
      </c>
    </row>
    <row r="305" ht="14.25" customHeight="1">
      <c r="A305" s="18" t="s">
        <v>1829</v>
      </c>
    </row>
    <row r="306" ht="14.25" customHeight="1">
      <c r="A306" s="18" t="s">
        <v>1832</v>
      </c>
    </row>
    <row r="307" ht="14.25" customHeight="1">
      <c r="A307" s="18" t="s">
        <v>1834</v>
      </c>
    </row>
    <row r="308" ht="14.25" customHeight="1">
      <c r="A308" s="18" t="s">
        <v>1836</v>
      </c>
    </row>
    <row r="309" ht="14.25" customHeight="1">
      <c r="A309" s="18" t="s">
        <v>1838</v>
      </c>
    </row>
    <row r="310" ht="14.25" customHeight="1">
      <c r="A310" s="18" t="s">
        <v>1841</v>
      </c>
    </row>
    <row r="311" ht="14.25" customHeight="1">
      <c r="A311" s="18" t="s">
        <v>1843</v>
      </c>
    </row>
    <row r="312" ht="14.25" customHeight="1">
      <c r="A312" s="18" t="s">
        <v>1845</v>
      </c>
    </row>
    <row r="313" ht="14.25" customHeight="1">
      <c r="A313" s="18" t="s">
        <v>1847</v>
      </c>
    </row>
    <row r="314" ht="14.25" customHeight="1">
      <c r="A314" s="18" t="s">
        <v>1850</v>
      </c>
    </row>
    <row r="315" ht="14.25" customHeight="1">
      <c r="A315" s="18" t="s">
        <v>1852</v>
      </c>
    </row>
    <row r="316" ht="14.25" customHeight="1">
      <c r="A316" s="18" t="s">
        <v>1854</v>
      </c>
    </row>
    <row r="317" ht="14.25" customHeight="1">
      <c r="A317" s="18" t="s">
        <v>1856</v>
      </c>
    </row>
    <row r="318" ht="14.25" customHeight="1">
      <c r="A318" s="18" t="s">
        <v>1858</v>
      </c>
    </row>
    <row r="319" ht="14.25" customHeight="1">
      <c r="A319" s="18" t="s">
        <v>1861</v>
      </c>
    </row>
    <row r="320" ht="14.25" customHeight="1">
      <c r="A320" s="18" t="s">
        <v>1863</v>
      </c>
    </row>
    <row r="321" ht="14.25" customHeight="1">
      <c r="A321" s="18" t="s">
        <v>1865</v>
      </c>
    </row>
    <row r="322" ht="14.25" customHeight="1">
      <c r="A322" s="18" t="s">
        <v>1867</v>
      </c>
    </row>
    <row r="323" ht="14.25" customHeight="1">
      <c r="A323" s="18" t="s">
        <v>1870</v>
      </c>
    </row>
    <row r="324" ht="14.25" customHeight="1">
      <c r="A324" s="18" t="s">
        <v>1872</v>
      </c>
    </row>
    <row r="325" ht="14.25" customHeight="1">
      <c r="A325" s="18" t="s">
        <v>1874</v>
      </c>
    </row>
    <row r="326" ht="14.25" customHeight="1">
      <c r="A326" s="18" t="s">
        <v>1877</v>
      </c>
    </row>
    <row r="327" ht="14.25" customHeight="1">
      <c r="A327" s="18" t="s">
        <v>1879</v>
      </c>
    </row>
    <row r="328" ht="14.25" customHeight="1">
      <c r="A328" s="18" t="s">
        <v>1881</v>
      </c>
    </row>
    <row r="329" ht="14.25" customHeight="1">
      <c r="A329" s="18" t="s">
        <v>1883</v>
      </c>
    </row>
    <row r="330" ht="14.25" customHeight="1">
      <c r="A330" s="18" t="s">
        <v>1885</v>
      </c>
    </row>
    <row r="331" ht="14.25" customHeight="1">
      <c r="A331" s="18" t="s">
        <v>1888</v>
      </c>
    </row>
    <row r="332" ht="14.25" customHeight="1">
      <c r="A332" s="18" t="s">
        <v>1891</v>
      </c>
    </row>
    <row r="333" ht="14.25" customHeight="1">
      <c r="A333" s="18" t="s">
        <v>1893</v>
      </c>
    </row>
    <row r="334" ht="14.25" customHeight="1">
      <c r="A334" s="18" t="s">
        <v>1895</v>
      </c>
    </row>
    <row r="335" ht="14.25" customHeight="1">
      <c r="A335" s="18" t="s">
        <v>1898</v>
      </c>
    </row>
    <row r="336" ht="14.25" customHeight="1">
      <c r="A336" s="18" t="s">
        <v>1900</v>
      </c>
    </row>
    <row r="337" ht="14.25" customHeight="1">
      <c r="A337" s="18" t="s">
        <v>1902</v>
      </c>
    </row>
    <row r="338" ht="14.25" customHeight="1">
      <c r="A338" s="18" t="s">
        <v>1904</v>
      </c>
    </row>
    <row r="339" ht="14.25" customHeight="1">
      <c r="A339" s="18" t="s">
        <v>1906</v>
      </c>
    </row>
    <row r="340" ht="14.25" customHeight="1">
      <c r="A340" s="18" t="s">
        <v>1909</v>
      </c>
    </row>
    <row r="341" ht="14.25" customHeight="1">
      <c r="A341" s="18" t="s">
        <v>1911</v>
      </c>
    </row>
    <row r="342" ht="14.25" customHeight="1">
      <c r="A342" s="18" t="s">
        <v>1913</v>
      </c>
    </row>
    <row r="343" ht="14.25" customHeight="1">
      <c r="A343" s="18" t="s">
        <v>1915</v>
      </c>
    </row>
    <row r="344" ht="14.25" customHeight="1">
      <c r="A344" s="18" t="s">
        <v>1918</v>
      </c>
    </row>
    <row r="345" ht="14.25" customHeight="1">
      <c r="A345" s="18" t="s">
        <v>1920</v>
      </c>
    </row>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4" width="25.75"/>
    <col customWidth="1" min="5" max="5" width="8.63"/>
    <col customWidth="1" min="6" max="6" width="7.88"/>
    <col customWidth="1" min="7" max="7" width="8.63"/>
    <col customWidth="1" min="8" max="9" width="25.75"/>
    <col customWidth="1" min="10" max="10" width="87.25"/>
    <col customWidth="1" min="11" max="11" width="17.38"/>
    <col customWidth="1" min="12" max="12" width="35.13"/>
    <col customWidth="1" min="13" max="13" width="12.13"/>
    <col customWidth="1" min="14" max="15" width="15.13"/>
    <col customWidth="1" min="16" max="16" width="14.25"/>
    <col customWidth="1" min="17" max="17" width="11.13"/>
    <col customWidth="1" min="18" max="18" width="8.5"/>
    <col customWidth="1" min="19" max="19" width="11.13"/>
    <col customWidth="1" min="20" max="20" width="8.5"/>
    <col customWidth="1" min="21" max="86" width="8.63"/>
  </cols>
  <sheetData>
    <row r="1" ht="14.25" customHeight="1">
      <c r="A1" s="12" t="s">
        <v>3950</v>
      </c>
      <c r="B1" s="12" t="s">
        <v>3951</v>
      </c>
      <c r="C1" s="12" t="s">
        <v>3952</v>
      </c>
      <c r="D1" s="12" t="s">
        <v>39</v>
      </c>
      <c r="E1" s="12" t="s">
        <v>620</v>
      </c>
      <c r="F1" s="12" t="s">
        <v>3953</v>
      </c>
      <c r="G1" s="101" t="s">
        <v>3954</v>
      </c>
      <c r="H1" s="101" t="s">
        <v>3955</v>
      </c>
      <c r="I1" s="12" t="s">
        <v>56</v>
      </c>
      <c r="J1" s="101" t="s">
        <v>3956</v>
      </c>
      <c r="K1" s="101" t="s">
        <v>3957</v>
      </c>
      <c r="L1" s="101" t="s">
        <v>3959</v>
      </c>
      <c r="M1" s="12" t="s">
        <v>3960</v>
      </c>
      <c r="N1" s="101" t="s">
        <v>3524</v>
      </c>
      <c r="O1" s="102" t="s">
        <v>3961</v>
      </c>
      <c r="P1" s="103" t="s">
        <v>3962</v>
      </c>
      <c r="Q1" s="101" t="s">
        <v>2041</v>
      </c>
      <c r="R1" s="101" t="s">
        <v>1230</v>
      </c>
      <c r="S1" s="101" t="s">
        <v>1890</v>
      </c>
      <c r="T1" s="101" t="s">
        <v>520</v>
      </c>
      <c r="U1" s="101" t="s">
        <v>278</v>
      </c>
      <c r="V1" s="101" t="s">
        <v>367</v>
      </c>
      <c r="W1" s="101" t="s">
        <v>554</v>
      </c>
      <c r="X1" s="101" t="s">
        <v>1497</v>
      </c>
      <c r="Y1" s="101" t="s">
        <v>1055</v>
      </c>
      <c r="Z1" s="101" t="s">
        <v>283</v>
      </c>
      <c r="AA1" s="101" t="s">
        <v>113</v>
      </c>
      <c r="AB1" s="101" t="s">
        <v>583</v>
      </c>
      <c r="AC1" s="101" t="s">
        <v>119</v>
      </c>
      <c r="AD1" s="101" t="s">
        <v>1060</v>
      </c>
      <c r="AE1" s="101" t="s">
        <v>1066</v>
      </c>
      <c r="AF1" s="101" t="s">
        <v>452</v>
      </c>
      <c r="AG1" s="101" t="s">
        <v>527</v>
      </c>
      <c r="AH1" s="101" t="s">
        <v>171</v>
      </c>
      <c r="AI1" s="101" t="s">
        <v>1072</v>
      </c>
      <c r="AJ1" s="101" t="s">
        <v>179</v>
      </c>
      <c r="AK1" s="101" t="s">
        <v>360</v>
      </c>
      <c r="AL1" s="101" t="s">
        <v>506</v>
      </c>
      <c r="AM1" s="101" t="s">
        <v>1583</v>
      </c>
      <c r="AN1" s="101" t="s">
        <v>530</v>
      </c>
      <c r="AO1" s="101" t="s">
        <v>318</v>
      </c>
      <c r="AP1" s="101" t="s">
        <v>508</v>
      </c>
      <c r="AQ1" s="101" t="s">
        <v>412</v>
      </c>
      <c r="AR1" s="101" t="s">
        <v>1922</v>
      </c>
      <c r="AS1" s="101" t="s">
        <v>2083</v>
      </c>
      <c r="AT1" s="101" t="s">
        <v>743</v>
      </c>
      <c r="AU1" s="101" t="s">
        <v>571</v>
      </c>
      <c r="AV1" s="101" t="s">
        <v>1375</v>
      </c>
      <c r="AW1" s="101" t="s">
        <v>1078</v>
      </c>
      <c r="AX1" s="101" t="s">
        <v>1456</v>
      </c>
      <c r="AY1" s="101" t="s">
        <v>1083</v>
      </c>
      <c r="AZ1" s="101" t="s">
        <v>533</v>
      </c>
      <c r="BA1" s="101" t="s">
        <v>126</v>
      </c>
      <c r="BB1" s="101" t="s">
        <v>1939</v>
      </c>
      <c r="BC1" s="101" t="s">
        <v>602</v>
      </c>
      <c r="BD1" s="101" t="s">
        <v>2135</v>
      </c>
      <c r="BE1" s="101" t="s">
        <v>1095</v>
      </c>
      <c r="BF1" s="101" t="s">
        <v>588</v>
      </c>
      <c r="BG1" s="101" t="s">
        <v>132</v>
      </c>
      <c r="BH1" s="101" t="s">
        <v>423</v>
      </c>
      <c r="BI1" s="101" t="s">
        <v>1537</v>
      </c>
      <c r="BJ1" s="101" t="s">
        <v>426</v>
      </c>
      <c r="BK1" s="101" t="s">
        <v>561</v>
      </c>
      <c r="BL1" s="101" t="s">
        <v>187</v>
      </c>
      <c r="BM1" s="101" t="s">
        <v>593</v>
      </c>
      <c r="BN1" s="101" t="s">
        <v>1282</v>
      </c>
      <c r="BO1" s="101" t="s">
        <v>576</v>
      </c>
      <c r="BP1" s="101" t="s">
        <v>140</v>
      </c>
      <c r="BQ1" s="101" t="s">
        <v>1606</v>
      </c>
      <c r="BR1" s="101" t="s">
        <v>701</v>
      </c>
      <c r="BS1" s="101" t="s">
        <v>6</v>
      </c>
      <c r="BT1" s="101" t="s">
        <v>1948</v>
      </c>
      <c r="BU1" s="101" t="s">
        <v>2007</v>
      </c>
      <c r="BV1" s="101" t="s">
        <v>152</v>
      </c>
      <c r="BW1" s="101" t="s">
        <v>609</v>
      </c>
      <c r="BX1" s="101" t="s">
        <v>711</v>
      </c>
      <c r="BY1" s="101" t="s">
        <v>629</v>
      </c>
      <c r="BZ1" s="101" t="s">
        <v>443</v>
      </c>
      <c r="CA1" s="101" t="s">
        <v>392</v>
      </c>
      <c r="CB1" s="101" t="s">
        <v>237</v>
      </c>
      <c r="CC1" s="101" t="s">
        <v>405</v>
      </c>
      <c r="CD1" s="101" t="s">
        <v>158</v>
      </c>
      <c r="CE1" s="101" t="s">
        <v>1489</v>
      </c>
      <c r="CF1" s="101" t="s">
        <v>2011</v>
      </c>
      <c r="CG1" s="101" t="s">
        <v>461</v>
      </c>
      <c r="CH1" s="101" t="s">
        <v>244</v>
      </c>
    </row>
    <row r="2" ht="14.25" customHeight="1">
      <c r="A2" s="96" t="s">
        <v>47</v>
      </c>
      <c r="B2" s="96" t="s">
        <v>3966</v>
      </c>
      <c r="C2" s="26" t="s">
        <v>3966</v>
      </c>
      <c r="D2" s="96" t="str">
        <f>_xlfn.XLOOKUP(tblBuildings[[#This Row],[BuildingID]],tblTargets[TargetID],tblTargets[DisplayName],"")</f>
        <v>#ERROR!</v>
      </c>
      <c r="E2" s="26" t="b">
        <v>1</v>
      </c>
      <c r="F2" s="26">
        <v>1.0</v>
      </c>
      <c r="G2" s="26">
        <v>40.0</v>
      </c>
      <c r="H2" s="26" t="s">
        <v>3967</v>
      </c>
      <c r="I2" s="96"/>
      <c r="J2" s="26" t="s">
        <v>3968</v>
      </c>
      <c r="K2" s="26" t="s">
        <v>3970</v>
      </c>
      <c r="L2" s="26" t="s">
        <v>3971</v>
      </c>
      <c r="N2" s="26" t="s">
        <v>3525</v>
      </c>
      <c r="O2" s="104" t="str">
        <f>IF(tblBuildings[[#This Row],[costtext]]="", 0, LEN(tblBuildings[[#This Row],[costtext]]) - LEN(SUBSTITUTE(tblBuildings[[#This Row],[costtext]], ",", "")) + 1)</f>
        <v>#ERROR!</v>
      </c>
      <c r="P2" s="26" t="str">
        <f>COUNTIF(tblBuildings[[#This Row],[anchor]:[wood]],"&gt;0")</f>
        <v>#ERROR!</v>
      </c>
      <c r="AA2" s="26">
        <v>200.0</v>
      </c>
      <c r="AC2" s="26">
        <v>2000.0</v>
      </c>
      <c r="BA2" s="26">
        <v>50.0</v>
      </c>
      <c r="BG2" s="26">
        <v>40.0</v>
      </c>
      <c r="BP2" s="26">
        <v>20.0</v>
      </c>
      <c r="BS2" s="26">
        <v>10.0</v>
      </c>
      <c r="BV2" s="26">
        <v>120.0</v>
      </c>
      <c r="CD2" s="26">
        <v>20.0</v>
      </c>
    </row>
    <row r="3" ht="14.25" customHeight="1">
      <c r="A3" s="96" t="s">
        <v>58</v>
      </c>
      <c r="B3" s="96" t="s">
        <v>3966</v>
      </c>
      <c r="C3" s="26" t="s">
        <v>3966</v>
      </c>
      <c r="D3" s="96" t="str">
        <f>_xlfn.XLOOKUP(tblBuildings[[#This Row],[BuildingID]],tblTargets[TargetID],tblTargets[DisplayName],"")</f>
        <v>#ERROR!</v>
      </c>
      <c r="E3" s="26" t="b">
        <v>1</v>
      </c>
      <c r="F3" s="26">
        <v>2.0</v>
      </c>
      <c r="H3" s="26" t="s">
        <v>3973</v>
      </c>
      <c r="I3" s="96"/>
      <c r="J3" s="26" t="s">
        <v>3974</v>
      </c>
      <c r="L3" s="26" t="s">
        <v>3975</v>
      </c>
      <c r="N3" s="26" t="s">
        <v>3527</v>
      </c>
      <c r="O3" s="26" t="str">
        <f>IF(tblBuildings[[#This Row],[costtext]]="", 0, LEN(tblBuildings[[#This Row],[costtext]]) - LEN(SUBSTITUTE(tblBuildings[[#This Row],[costtext]], ",", "")) + 1)</f>
        <v>#ERROR!</v>
      </c>
      <c r="P3" s="26" t="str">
        <f>COUNTIF(tblBuildings[[#This Row],[anchor]:[wood]],"&gt;0")</f>
        <v>#ERROR!</v>
      </c>
      <c r="AC3" s="26">
        <v>3000.0</v>
      </c>
      <c r="AH3" s="26">
        <v>50.0</v>
      </c>
      <c r="AJ3" s="26">
        <v>20.0</v>
      </c>
      <c r="BL3" s="26">
        <v>60.0</v>
      </c>
      <c r="BS3" s="26">
        <v>12.0</v>
      </c>
      <c r="BV3" s="26">
        <v>100.0</v>
      </c>
      <c r="CD3" s="26">
        <v>10.0</v>
      </c>
    </row>
    <row r="4" ht="14.25" customHeight="1">
      <c r="A4" s="96" t="s">
        <v>62</v>
      </c>
      <c r="B4" s="96" t="s">
        <v>3976</v>
      </c>
      <c r="C4" s="26" t="s">
        <v>3977</v>
      </c>
      <c r="D4" s="96" t="str">
        <f>_xlfn.XLOOKUP(tblBuildings[[#This Row],[BuildingID]],tblTargets[TargetID],tblTargets[DisplayName],"")</f>
        <v>#ERROR!</v>
      </c>
      <c r="E4" s="26" t="b">
        <v>1</v>
      </c>
      <c r="F4" s="26">
        <v>1.0</v>
      </c>
      <c r="G4" s="26">
        <v>6.0</v>
      </c>
      <c r="H4" s="26" t="s">
        <v>3979</v>
      </c>
      <c r="I4" s="96"/>
      <c r="J4" s="26" t="s">
        <v>3980</v>
      </c>
      <c r="L4" s="26" t="s">
        <v>186</v>
      </c>
      <c r="N4" s="26" t="s">
        <v>3528</v>
      </c>
      <c r="O4" s="26" t="str">
        <f>IF(tblBuildings[[#This Row],[costtext]]="", 0, LEN(tblBuildings[[#This Row],[costtext]]) - LEN(SUBSTITUTE(tblBuildings[[#This Row],[costtext]], ",", "")) + 1)</f>
        <v>#ERROR!</v>
      </c>
      <c r="P4" s="26" t="str">
        <f>COUNTIF(tblBuildings[[#This Row],[anchor]:[wood]],"&gt;0")</f>
        <v>#ERROR!</v>
      </c>
      <c r="AC4" s="26">
        <v>140.0</v>
      </c>
      <c r="BS4" s="26">
        <v>1.0</v>
      </c>
      <c r="CB4" s="26">
        <v>70.0</v>
      </c>
      <c r="CH4" s="26">
        <v>70.0</v>
      </c>
    </row>
    <row r="5" ht="14.25" customHeight="1">
      <c r="A5" s="96" t="s">
        <v>65</v>
      </c>
      <c r="B5" s="96" t="s">
        <v>3976</v>
      </c>
      <c r="C5" s="26" t="s">
        <v>3977</v>
      </c>
      <c r="D5" s="96" t="str">
        <f>_xlfn.XLOOKUP(tblBuildings[[#This Row],[BuildingID]],tblTargets[TargetID],tblTargets[DisplayName],"")</f>
        <v>#ERROR!</v>
      </c>
      <c r="E5" s="26" t="b">
        <v>1</v>
      </c>
      <c r="F5" s="26">
        <v>2.0</v>
      </c>
      <c r="H5" s="26" t="s">
        <v>3982</v>
      </c>
      <c r="I5" s="96"/>
      <c r="J5" s="26" t="s">
        <v>3983</v>
      </c>
      <c r="L5" s="26" t="s">
        <v>3984</v>
      </c>
      <c r="N5" s="26" t="s">
        <v>3529</v>
      </c>
      <c r="O5" s="26" t="str">
        <f>IF(tblBuildings[[#This Row],[costtext]]="", 0, LEN(tblBuildings[[#This Row],[costtext]]) - LEN(SUBSTITUTE(tblBuildings[[#This Row],[costtext]], ",", "")) + 1)</f>
        <v>#ERROR!</v>
      </c>
      <c r="P5" s="26" t="str">
        <f>COUNTIF(tblBuildings[[#This Row],[anchor]:[wood]],"&gt;0")</f>
        <v>#ERROR!</v>
      </c>
      <c r="AA5" s="26">
        <v>20.0</v>
      </c>
      <c r="AC5" s="26">
        <v>200.0</v>
      </c>
      <c r="BS5" s="26">
        <v>2.0</v>
      </c>
      <c r="CB5" s="26">
        <v>100.0</v>
      </c>
      <c r="CH5" s="26">
        <v>100.0</v>
      </c>
    </row>
    <row r="6" ht="14.25" customHeight="1">
      <c r="A6" s="96" t="s">
        <v>68</v>
      </c>
      <c r="B6" s="96" t="s">
        <v>3976</v>
      </c>
      <c r="C6" s="26" t="s">
        <v>3977</v>
      </c>
      <c r="D6" s="96" t="str">
        <f>_xlfn.XLOOKUP(tblBuildings[[#This Row],[BuildingID]],tblTargets[TargetID],tblTargets[DisplayName],"")</f>
        <v>#ERROR!</v>
      </c>
      <c r="E6" s="26" t="b">
        <v>1</v>
      </c>
      <c r="F6" s="26">
        <v>3.0</v>
      </c>
      <c r="H6" s="26" t="s">
        <v>3979</v>
      </c>
      <c r="I6" s="96"/>
      <c r="J6" s="26" t="s">
        <v>3986</v>
      </c>
      <c r="L6" s="26" t="s">
        <v>3987</v>
      </c>
      <c r="N6" s="26" t="s">
        <v>3531</v>
      </c>
      <c r="O6" s="26" t="str">
        <f>IF(tblBuildings[[#This Row],[costtext]]="", 0, LEN(tblBuildings[[#This Row],[costtext]]) - LEN(SUBSTITUTE(tblBuildings[[#This Row],[costtext]], ",", "")) + 1)</f>
        <v>#ERROR!</v>
      </c>
      <c r="P6" s="26" t="str">
        <f>COUNTIF(tblBuildings[[#This Row],[anchor]:[wood]],"&gt;0")</f>
        <v>#ERROR!</v>
      </c>
      <c r="U6" s="26">
        <v>300.0</v>
      </c>
      <c r="Z6" s="26">
        <v>40.0</v>
      </c>
      <c r="AA6" s="26">
        <v>40.0</v>
      </c>
      <c r="AC6" s="26">
        <v>300.0</v>
      </c>
      <c r="BS6" s="26">
        <v>3.0</v>
      </c>
      <c r="CB6" s="26">
        <v>150.0</v>
      </c>
    </row>
    <row r="7" ht="14.25" customHeight="1">
      <c r="A7" s="96" t="s">
        <v>71</v>
      </c>
      <c r="B7" s="96" t="s">
        <v>3976</v>
      </c>
      <c r="C7" s="26" t="s">
        <v>3977</v>
      </c>
      <c r="D7" s="96" t="str">
        <f>_xlfn.XLOOKUP(tblBuildings[[#This Row],[BuildingID]],tblTargets[TargetID],tblTargets[DisplayName],"")</f>
        <v>#ERROR!</v>
      </c>
      <c r="E7" s="26" t="b">
        <v>1</v>
      </c>
      <c r="F7" s="26">
        <v>4.0</v>
      </c>
      <c r="H7" s="26" t="s">
        <v>3979</v>
      </c>
      <c r="I7" s="96"/>
      <c r="J7" s="26" t="s">
        <v>3989</v>
      </c>
      <c r="L7" s="26" t="s">
        <v>3990</v>
      </c>
      <c r="N7" s="26" t="s">
        <v>3532</v>
      </c>
      <c r="O7" s="26" t="str">
        <f>IF(tblBuildings[[#This Row],[costtext]]="", 0, LEN(tblBuildings[[#This Row],[costtext]]) - LEN(SUBSTITUTE(tblBuildings[[#This Row],[costtext]], ",", "")) + 1)</f>
        <v>#ERROR!</v>
      </c>
      <c r="P7" s="26" t="str">
        <f>COUNTIF(tblBuildings[[#This Row],[anchor]:[wood]],"&gt;0")</f>
        <v>#ERROR!</v>
      </c>
      <c r="U7" s="26">
        <v>400.0</v>
      </c>
      <c r="AC7" s="26">
        <v>400.0</v>
      </c>
      <c r="AO7" s="26">
        <v>40.0</v>
      </c>
      <c r="BS7" s="26">
        <v>4.0</v>
      </c>
      <c r="CB7" s="26">
        <v>200.0</v>
      </c>
    </row>
    <row r="8" ht="14.25" customHeight="1">
      <c r="A8" s="96" t="s">
        <v>77</v>
      </c>
      <c r="B8" s="96" t="s">
        <v>3976</v>
      </c>
      <c r="C8" s="26" t="s">
        <v>3977</v>
      </c>
      <c r="D8" s="96" t="str">
        <f>_xlfn.XLOOKUP(tblBuildings[[#This Row],[BuildingID]],tblTargets[TargetID],tblTargets[DisplayName],"")</f>
        <v>#ERROR!</v>
      </c>
      <c r="E8" s="26" t="b">
        <v>1</v>
      </c>
      <c r="F8" s="26">
        <v>5.0</v>
      </c>
      <c r="H8" s="26" t="s">
        <v>3979</v>
      </c>
      <c r="I8" s="96"/>
      <c r="J8" s="26" t="s">
        <v>3992</v>
      </c>
      <c r="L8" s="26" t="s">
        <v>3993</v>
      </c>
      <c r="N8" s="26" t="s">
        <v>3533</v>
      </c>
      <c r="O8" s="26" t="str">
        <f>IF(tblBuildings[[#This Row],[costtext]]="", 0, LEN(tblBuildings[[#This Row],[costtext]]) - LEN(SUBSTITUTE(tblBuildings[[#This Row],[costtext]], ",", "")) + 1)</f>
        <v>#ERROR!</v>
      </c>
      <c r="P8" s="26" t="str">
        <f>COUNTIF(tblBuildings[[#This Row],[anchor]:[wood]],"&gt;0")</f>
        <v>#ERROR!</v>
      </c>
      <c r="U8" s="26">
        <v>440.0</v>
      </c>
      <c r="AC8" s="26">
        <v>500.0</v>
      </c>
      <c r="AO8" s="26">
        <v>80.0</v>
      </c>
      <c r="BS8" s="26">
        <v>5.0</v>
      </c>
      <c r="CB8" s="26">
        <v>220.0</v>
      </c>
    </row>
    <row r="9" ht="14.25" customHeight="1">
      <c r="A9" s="96" t="s">
        <v>81</v>
      </c>
      <c r="B9" s="96" t="s">
        <v>3976</v>
      </c>
      <c r="C9" s="26" t="s">
        <v>3977</v>
      </c>
      <c r="D9" s="96" t="str">
        <f>_xlfn.XLOOKUP(tblBuildings[[#This Row],[BuildingID]],tblTargets[TargetID],tblTargets[DisplayName],"")</f>
        <v>#ERROR!</v>
      </c>
      <c r="E9" s="26" t="b">
        <v>1</v>
      </c>
      <c r="F9" s="26">
        <v>6.0</v>
      </c>
      <c r="G9" s="26">
        <v>32.0</v>
      </c>
      <c r="H9" s="26" t="s">
        <v>3979</v>
      </c>
      <c r="I9" s="96"/>
      <c r="J9" s="26" t="s">
        <v>3995</v>
      </c>
      <c r="L9" s="26" t="s">
        <v>3996</v>
      </c>
      <c r="N9" s="26" t="s">
        <v>3534</v>
      </c>
      <c r="O9" s="26" t="str">
        <f>IF(tblBuildings[[#This Row],[costtext]]="", 0, LEN(tblBuildings[[#This Row],[costtext]]) - LEN(SUBSTITUTE(tblBuildings[[#This Row],[costtext]], ",", "")) + 1)</f>
        <v>#ERROR!</v>
      </c>
      <c r="P9" s="26" t="str">
        <f>COUNTIF(tblBuildings[[#This Row],[anchor]:[wood]],"&gt;0")</f>
        <v>#ERROR!</v>
      </c>
      <c r="U9" s="26">
        <v>800.0</v>
      </c>
      <c r="AA9" s="26">
        <v>200.0</v>
      </c>
      <c r="AC9" s="26">
        <v>1000.0</v>
      </c>
      <c r="AK9" s="26">
        <v>50.0</v>
      </c>
      <c r="BS9" s="26">
        <v>6.0</v>
      </c>
      <c r="CB9" s="26">
        <v>400.0</v>
      </c>
    </row>
    <row r="10" ht="14.25" customHeight="1">
      <c r="A10" s="96" t="s">
        <v>85</v>
      </c>
      <c r="B10" s="96" t="s">
        <v>3998</v>
      </c>
      <c r="C10" s="26" t="s">
        <v>3998</v>
      </c>
      <c r="D10" s="96" t="str">
        <f>_xlfn.XLOOKUP(tblBuildings[[#This Row],[BuildingID]],tblTargets[TargetID],tblTargets[DisplayName],"")</f>
        <v>#ERROR!</v>
      </c>
      <c r="E10" s="26" t="b">
        <v>1</v>
      </c>
      <c r="F10" s="26">
        <v>1.0</v>
      </c>
      <c r="G10" s="26">
        <v>21.0</v>
      </c>
      <c r="H10" s="26" t="s">
        <v>3999</v>
      </c>
      <c r="I10" s="96"/>
      <c r="J10" s="26" t="s">
        <v>4001</v>
      </c>
      <c r="L10" s="26" t="s">
        <v>186</v>
      </c>
      <c r="N10" s="26" t="s">
        <v>3536</v>
      </c>
      <c r="O10" s="26" t="str">
        <f>IF(tblBuildings[[#This Row],[costtext]]="", 0, LEN(tblBuildings[[#This Row],[costtext]]) - LEN(SUBSTITUTE(tblBuildings[[#This Row],[costtext]], ",", "")) + 1)</f>
        <v>#ERROR!</v>
      </c>
      <c r="P10" s="26" t="str">
        <f>COUNTIF(tblBuildings[[#This Row],[anchor]:[wood]],"&gt;0")</f>
        <v>#ERROR!</v>
      </c>
      <c r="V10" s="26">
        <v>120.0</v>
      </c>
      <c r="AC10" s="26">
        <v>500.0</v>
      </c>
      <c r="BL10" s="26">
        <v>500.0</v>
      </c>
      <c r="BS10" s="26">
        <v>3.0</v>
      </c>
    </row>
    <row r="11" ht="14.25" customHeight="1">
      <c r="A11" s="96" t="s">
        <v>90</v>
      </c>
      <c r="B11" s="96" t="s">
        <v>3998</v>
      </c>
      <c r="C11" s="26" t="s">
        <v>3998</v>
      </c>
      <c r="D11" s="96" t="str">
        <f>_xlfn.XLOOKUP(tblBuildings[[#This Row],[BuildingID]],tblTargets[TargetID],tblTargets[DisplayName],"")</f>
        <v>#ERROR!</v>
      </c>
      <c r="E11" s="26" t="b">
        <v>1</v>
      </c>
      <c r="F11" s="26">
        <v>2.0</v>
      </c>
      <c r="H11" s="26" t="s">
        <v>4003</v>
      </c>
      <c r="I11" s="96"/>
      <c r="J11" s="26" t="s">
        <v>4004</v>
      </c>
      <c r="L11" s="26" t="s">
        <v>4005</v>
      </c>
      <c r="N11" s="26" t="s">
        <v>3537</v>
      </c>
      <c r="O11" s="26" t="str">
        <f>IF(tblBuildings[[#This Row],[costtext]]="", 0, LEN(tblBuildings[[#This Row],[costtext]]) - LEN(SUBSTITUTE(tblBuildings[[#This Row],[costtext]], ",", "")) + 1)</f>
        <v>#ERROR!</v>
      </c>
      <c r="P11" s="26" t="str">
        <f>COUNTIF(tblBuildings[[#This Row],[anchor]:[wood]],"&gt;0")</f>
        <v>#ERROR!</v>
      </c>
      <c r="V11" s="26">
        <v>240.0</v>
      </c>
      <c r="AA11" s="26">
        <v>150.0</v>
      </c>
      <c r="AC11" s="26">
        <v>800.0</v>
      </c>
      <c r="BL11" s="26">
        <v>600.0</v>
      </c>
      <c r="BS11" s="26">
        <v>5.0</v>
      </c>
    </row>
    <row r="12" ht="14.25" customHeight="1">
      <c r="A12" s="96" t="s">
        <v>96</v>
      </c>
      <c r="B12" s="96" t="s">
        <v>4006</v>
      </c>
      <c r="C12" s="26" t="s">
        <v>4006</v>
      </c>
      <c r="D12" s="96" t="str">
        <f>_xlfn.XLOOKUP(tblBuildings[[#This Row],[BuildingID]],tblTargets[TargetID],tblTargets[DisplayName],"")</f>
        <v>#ERROR!</v>
      </c>
      <c r="E12" s="26" t="b">
        <v>1</v>
      </c>
      <c r="F12" s="26">
        <v>1.0</v>
      </c>
      <c r="G12" s="26">
        <v>30.0</v>
      </c>
      <c r="H12" s="26" t="s">
        <v>4008</v>
      </c>
      <c r="I12" s="96"/>
      <c r="J12" s="26" t="s">
        <v>4009</v>
      </c>
      <c r="L12" s="26" t="s">
        <v>186</v>
      </c>
      <c r="N12" s="26" t="s">
        <v>3538</v>
      </c>
      <c r="O12" s="26" t="str">
        <f>IF(tblBuildings[[#This Row],[costtext]]="", 0, LEN(tblBuildings[[#This Row],[costtext]]) - LEN(SUBSTITUTE(tblBuildings[[#This Row],[costtext]], ",", "")) + 1)</f>
        <v>#ERROR!</v>
      </c>
      <c r="P12" s="26" t="str">
        <f>COUNTIF(tblBuildings[[#This Row],[anchor]:[wood]],"&gt;0")</f>
        <v>#ERROR!</v>
      </c>
      <c r="U12" s="26">
        <v>400.0</v>
      </c>
      <c r="AC12" s="26">
        <v>1000.0</v>
      </c>
      <c r="BL12" s="26">
        <v>1000.0</v>
      </c>
      <c r="BS12" s="26">
        <v>4.0</v>
      </c>
      <c r="CA12" s="26">
        <v>100.0</v>
      </c>
      <c r="CB12" s="26">
        <v>400.0</v>
      </c>
    </row>
    <row r="13" ht="14.25" customHeight="1">
      <c r="A13" s="96" t="s">
        <v>103</v>
      </c>
      <c r="B13" s="96" t="s">
        <v>4011</v>
      </c>
      <c r="C13" s="26" t="s">
        <v>4011</v>
      </c>
      <c r="D13" s="96" t="str">
        <f>_xlfn.XLOOKUP(tblBuildings[[#This Row],[BuildingID]],tblTargets[TargetID],tblTargets[DisplayName],"")</f>
        <v>#ERROR!</v>
      </c>
      <c r="E13" s="26" t="b">
        <v>1</v>
      </c>
      <c r="F13" s="26">
        <v>1.0</v>
      </c>
      <c r="G13" s="26">
        <v>30.0</v>
      </c>
      <c r="H13" s="26" t="s">
        <v>4012</v>
      </c>
      <c r="I13" s="96"/>
      <c r="J13" s="26" t="s">
        <v>4013</v>
      </c>
      <c r="K13" s="26" t="s">
        <v>3970</v>
      </c>
      <c r="L13" s="26" t="s">
        <v>3971</v>
      </c>
      <c r="N13" s="26" t="s">
        <v>3540</v>
      </c>
      <c r="O13" s="26" t="str">
        <f>IF(tblBuildings[[#This Row],[costtext]]="", 0, LEN(tblBuildings[[#This Row],[costtext]]) - LEN(SUBSTITUTE(tblBuildings[[#This Row],[costtext]], ",", "")) + 1)</f>
        <v>#ERROR!</v>
      </c>
      <c r="P13" s="26" t="str">
        <f>COUNTIF(tblBuildings[[#This Row],[anchor]:[wood]],"&gt;0")</f>
        <v>#ERROR!</v>
      </c>
      <c r="V13" s="26">
        <v>50.0</v>
      </c>
      <c r="AC13" s="26">
        <v>1000.0</v>
      </c>
      <c r="BL13" s="26">
        <v>400.0</v>
      </c>
      <c r="BS13" s="26">
        <v>5.0</v>
      </c>
      <c r="CB13" s="26">
        <v>200.0</v>
      </c>
      <c r="CC13" s="26">
        <v>10.0</v>
      </c>
    </row>
    <row r="14" ht="14.25" customHeight="1">
      <c r="A14" s="96" t="s">
        <v>112</v>
      </c>
      <c r="B14" s="96" t="s">
        <v>4011</v>
      </c>
      <c r="C14" s="26" t="s">
        <v>4011</v>
      </c>
      <c r="D14" s="96" t="str">
        <f>_xlfn.XLOOKUP(tblBuildings[[#This Row],[BuildingID]],tblTargets[TargetID],tblTargets[DisplayName],"")</f>
        <v>#ERROR!</v>
      </c>
      <c r="E14" s="26" t="b">
        <v>1</v>
      </c>
      <c r="F14" s="26">
        <v>2.0</v>
      </c>
      <c r="H14" s="26" t="s">
        <v>4015</v>
      </c>
      <c r="I14" s="96"/>
      <c r="J14" s="26" t="s">
        <v>4016</v>
      </c>
      <c r="L14" s="26" t="s">
        <v>4017</v>
      </c>
      <c r="N14" s="26" t="s">
        <v>3541</v>
      </c>
      <c r="O14" s="26" t="str">
        <f>IF(tblBuildings[[#This Row],[costtext]]="", 0, LEN(tblBuildings[[#This Row],[costtext]]) - LEN(SUBSTITUTE(tblBuildings[[#This Row],[costtext]], ",", "")) + 1)</f>
        <v>#ERROR!</v>
      </c>
      <c r="P14" s="26" t="str">
        <f>COUNTIF(tblBuildings[[#This Row],[anchor]:[wood]],"&gt;0")</f>
        <v>#ERROR!</v>
      </c>
      <c r="AC14" s="26">
        <v>1200.0</v>
      </c>
      <c r="AH14" s="26">
        <v>50.0</v>
      </c>
      <c r="AQ14" s="26">
        <v>50.0</v>
      </c>
      <c r="BL14" s="26">
        <v>600.0</v>
      </c>
      <c r="BS14" s="26">
        <v>7.0</v>
      </c>
      <c r="CB14" s="26">
        <v>300.0</v>
      </c>
    </row>
    <row r="15" ht="14.25" customHeight="1">
      <c r="A15" s="96" t="s">
        <v>116</v>
      </c>
      <c r="B15" s="96" t="s">
        <v>4011</v>
      </c>
      <c r="C15" s="26" t="s">
        <v>4011</v>
      </c>
      <c r="D15" s="96" t="str">
        <f>_xlfn.XLOOKUP(tblBuildings[[#This Row],[BuildingID]],tblTargets[TargetID],tblTargets[DisplayName],"")</f>
        <v>#ERROR!</v>
      </c>
      <c r="E15" s="26" t="b">
        <v>1</v>
      </c>
      <c r="F15" s="26">
        <v>3.0</v>
      </c>
      <c r="H15" s="26" t="s">
        <v>4015</v>
      </c>
      <c r="I15" s="96"/>
      <c r="J15" s="26" t="s">
        <v>4019</v>
      </c>
      <c r="L15" s="26" t="s">
        <v>4020</v>
      </c>
      <c r="N15" s="26" t="s">
        <v>3542</v>
      </c>
      <c r="O15" s="26" t="str">
        <f>IF(tblBuildings[[#This Row],[costtext]]="", 0, LEN(tblBuildings[[#This Row],[costtext]]) - LEN(SUBSTITUTE(tblBuildings[[#This Row],[costtext]], ",", "")) + 1)</f>
        <v>#ERROR!</v>
      </c>
      <c r="P15" s="26" t="str">
        <f>COUNTIF(tblBuildings[[#This Row],[anchor]:[wood]],"&gt;0")</f>
        <v>#ERROR!</v>
      </c>
      <c r="AC15" s="26">
        <v>1500.0</v>
      </c>
      <c r="BH15" s="26">
        <v>20.0</v>
      </c>
      <c r="BJ15" s="26">
        <v>10.0</v>
      </c>
      <c r="BL15" s="26">
        <v>800.0</v>
      </c>
      <c r="BS15" s="26">
        <v>9.0</v>
      </c>
      <c r="CB15" s="26">
        <v>400.0</v>
      </c>
    </row>
    <row r="16" ht="14.25" customHeight="1">
      <c r="A16" s="96" t="s">
        <v>122</v>
      </c>
      <c r="B16" s="96" t="s">
        <v>4011</v>
      </c>
      <c r="C16" s="26" t="s">
        <v>4011</v>
      </c>
      <c r="D16" s="96" t="str">
        <f>_xlfn.XLOOKUP(tblBuildings[[#This Row],[BuildingID]],tblTargets[TargetID],tblTargets[DisplayName],"")</f>
        <v>#ERROR!</v>
      </c>
      <c r="E16" s="26" t="b">
        <v>1</v>
      </c>
      <c r="F16" s="26">
        <v>4.0</v>
      </c>
      <c r="H16" s="26" t="s">
        <v>4015</v>
      </c>
      <c r="I16" s="96"/>
      <c r="J16" s="26" t="s">
        <v>4023</v>
      </c>
      <c r="L16" s="26" t="s">
        <v>4024</v>
      </c>
      <c r="N16" s="26" t="s">
        <v>3544</v>
      </c>
      <c r="O16" s="26" t="str">
        <f>IF(tblBuildings[[#This Row],[costtext]]="", 0, LEN(tblBuildings[[#This Row],[costtext]]) - LEN(SUBSTITUTE(tblBuildings[[#This Row],[costtext]], ",", "")) + 1)</f>
        <v>#ERROR!</v>
      </c>
      <c r="P16" s="26" t="str">
        <f>COUNTIF(tblBuildings[[#This Row],[anchor]:[wood]],"&gt;0")</f>
        <v>#ERROR!</v>
      </c>
      <c r="AC16" s="26">
        <v>2000.0</v>
      </c>
      <c r="BL16" s="26">
        <v>1000.0</v>
      </c>
      <c r="BS16" s="26">
        <v>12.0</v>
      </c>
      <c r="BV16" s="26">
        <v>30.0</v>
      </c>
      <c r="BZ16" s="26">
        <v>5.0</v>
      </c>
      <c r="CB16" s="26">
        <v>500.0</v>
      </c>
    </row>
    <row r="17" ht="14.25" customHeight="1">
      <c r="A17" s="96" t="s">
        <v>127</v>
      </c>
      <c r="B17" s="96" t="s">
        <v>4025</v>
      </c>
      <c r="C17" s="26" t="s">
        <v>4025</v>
      </c>
      <c r="D17" s="96" t="str">
        <f>_xlfn.XLOOKUP(tblBuildings[[#This Row],[BuildingID]],tblTargets[TargetID],tblTargets[DisplayName],"")</f>
        <v>#ERROR!</v>
      </c>
      <c r="E17" s="26" t="b">
        <v>1</v>
      </c>
      <c r="F17" s="26">
        <v>1.0</v>
      </c>
      <c r="G17" s="26">
        <v>15.0</v>
      </c>
      <c r="H17" s="26" t="s">
        <v>3979</v>
      </c>
      <c r="I17" s="96"/>
      <c r="J17" s="26" t="s">
        <v>4027</v>
      </c>
      <c r="L17" s="26" t="s">
        <v>186</v>
      </c>
      <c r="N17" s="26" t="s">
        <v>3545</v>
      </c>
      <c r="O17" s="26" t="str">
        <f>IF(tblBuildings[[#This Row],[costtext]]="", 0, LEN(tblBuildings[[#This Row],[costtext]]) - LEN(SUBSTITUTE(tblBuildings[[#This Row],[costtext]], ",", "")) + 1)</f>
        <v>#ERROR!</v>
      </c>
      <c r="P17" s="26" t="str">
        <f>COUNTIF(tblBuildings[[#This Row],[anchor]:[wood]],"&gt;0")</f>
        <v>#ERROR!</v>
      </c>
      <c r="U17" s="26">
        <v>400.0</v>
      </c>
      <c r="AC17" s="26">
        <v>400.0</v>
      </c>
      <c r="AF17" s="26">
        <v>1.0</v>
      </c>
      <c r="BS17" s="26">
        <v>2.0</v>
      </c>
      <c r="CB17" s="26">
        <v>200.0</v>
      </c>
      <c r="CD17" s="26">
        <v>10.0</v>
      </c>
      <c r="CG17" s="26">
        <v>20.0</v>
      </c>
    </row>
    <row r="18" ht="14.25" customHeight="1">
      <c r="A18" s="96" t="s">
        <v>131</v>
      </c>
      <c r="B18" s="96" t="s">
        <v>4025</v>
      </c>
      <c r="C18" s="26" t="s">
        <v>4025</v>
      </c>
      <c r="D18" s="96" t="str">
        <f>_xlfn.XLOOKUP(tblBuildings[[#This Row],[BuildingID]],tblTargets[TargetID],tblTargets[DisplayName],"")</f>
        <v>#ERROR!</v>
      </c>
      <c r="E18" s="26" t="b">
        <v>1</v>
      </c>
      <c r="F18" s="26">
        <v>2.0</v>
      </c>
      <c r="H18" s="26" t="s">
        <v>4029</v>
      </c>
      <c r="I18" s="96"/>
      <c r="J18" s="26" t="s">
        <v>4030</v>
      </c>
      <c r="L18" s="26" t="s">
        <v>4031</v>
      </c>
      <c r="N18" s="26" t="s">
        <v>3546</v>
      </c>
      <c r="O18" s="26" t="str">
        <f>IF(tblBuildings[[#This Row],[costtext]]="", 0, LEN(tblBuildings[[#This Row],[costtext]]) - LEN(SUBSTITUTE(tblBuildings[[#This Row],[costtext]], ",", "")) + 1)</f>
        <v>#ERROR!</v>
      </c>
      <c r="P18" s="26" t="str">
        <f>COUNTIF(tblBuildings[[#This Row],[anchor]:[wood]],"&gt;0")</f>
        <v>#ERROR!</v>
      </c>
      <c r="U18" s="26">
        <v>600.0</v>
      </c>
      <c r="AC18" s="26">
        <v>600.0</v>
      </c>
      <c r="AF18" s="26">
        <v>1.0</v>
      </c>
      <c r="BS18" s="26">
        <v>3.0</v>
      </c>
      <c r="CB18" s="26">
        <v>300.0</v>
      </c>
      <c r="CD18" s="26">
        <v>10.0</v>
      </c>
      <c r="CG18" s="26">
        <v>20.0</v>
      </c>
    </row>
    <row r="19" ht="14.25" customHeight="1">
      <c r="A19" s="96" t="s">
        <v>138</v>
      </c>
      <c r="B19" s="96" t="s">
        <v>4033</v>
      </c>
      <c r="C19" s="26" t="s">
        <v>4033</v>
      </c>
      <c r="D19" s="96" t="str">
        <f>_xlfn.XLOOKUP(tblBuildings[[#This Row],[BuildingID]],tblTargets[TargetID],tblTargets[DisplayName],"")</f>
        <v>#ERROR!</v>
      </c>
      <c r="E19" s="26" t="b">
        <v>1</v>
      </c>
      <c r="F19" s="26">
        <v>1.0</v>
      </c>
      <c r="G19" s="26">
        <v>15.0</v>
      </c>
      <c r="H19" s="26" t="s">
        <v>3979</v>
      </c>
      <c r="I19" s="96" t="s">
        <v>4034</v>
      </c>
      <c r="J19" s="26" t="s">
        <v>4035</v>
      </c>
      <c r="K19" s="26" t="s">
        <v>4036</v>
      </c>
      <c r="L19" s="21" t="s">
        <v>4038</v>
      </c>
      <c r="N19" s="26" t="s">
        <v>3548</v>
      </c>
      <c r="O19" s="26" t="str">
        <f>IF(tblBuildings[[#This Row],[costtext]]="", 0, LEN(tblBuildings[[#This Row],[costtext]]) - LEN(SUBSTITUTE(tblBuildings[[#This Row],[costtext]], ",", "")) + 1)</f>
        <v>#ERROR!</v>
      </c>
      <c r="P19" s="26" t="str">
        <f>COUNTIF(tblBuildings[[#This Row],[anchor]:[wood]],"&gt;0")</f>
        <v>#ERROR!</v>
      </c>
      <c r="U19" s="26">
        <v>700.0</v>
      </c>
      <c r="AC19" s="26">
        <v>1000.0</v>
      </c>
      <c r="AK19" s="26">
        <v>40.0</v>
      </c>
      <c r="AL19" s="26">
        <v>1.0</v>
      </c>
      <c r="AP19" s="26">
        <v>20.0</v>
      </c>
      <c r="BS19" s="26">
        <v>5.0</v>
      </c>
      <c r="CB19" s="26">
        <v>300.0</v>
      </c>
      <c r="CD19" s="26">
        <v>20.0</v>
      </c>
      <c r="CG19" s="26">
        <v>100.0</v>
      </c>
    </row>
    <row r="20" ht="14.25" customHeight="1">
      <c r="A20" s="96" t="s">
        <v>145</v>
      </c>
      <c r="B20" s="96" t="s">
        <v>4033</v>
      </c>
      <c r="C20" s="26" t="s">
        <v>4033</v>
      </c>
      <c r="D20" s="96" t="str">
        <f>_xlfn.XLOOKUP(tblBuildings[[#This Row],[BuildingID]],tblTargets[TargetID],tblTargets[DisplayName],"")</f>
        <v>#ERROR!</v>
      </c>
      <c r="E20" s="26" t="b">
        <v>1</v>
      </c>
      <c r="F20" s="26">
        <v>2.0</v>
      </c>
      <c r="H20" s="26" t="s">
        <v>4040</v>
      </c>
      <c r="I20" s="96"/>
      <c r="J20" s="26" t="s">
        <v>4041</v>
      </c>
      <c r="L20" s="26" t="s">
        <v>4042</v>
      </c>
      <c r="N20" s="26" t="s">
        <v>3549</v>
      </c>
      <c r="O20" s="26" t="str">
        <f>IF(tblBuildings[[#This Row],[costtext]]="", 0, LEN(tblBuildings[[#This Row],[costtext]]) - LEN(SUBSTITUTE(tblBuildings[[#This Row],[costtext]], ",", "")) + 1)</f>
        <v>#ERROR!</v>
      </c>
      <c r="P20" s="26" t="str">
        <f>COUNTIF(tblBuildings[[#This Row],[anchor]:[wood]],"&gt;0")</f>
        <v>#ERROR!</v>
      </c>
      <c r="T20" s="26">
        <v>20.0</v>
      </c>
      <c r="U20" s="26">
        <v>900.0</v>
      </c>
      <c r="AC20" s="26">
        <v>1000.0</v>
      </c>
      <c r="AG20" s="26">
        <v>10.0</v>
      </c>
      <c r="AN20" s="26">
        <v>5.0</v>
      </c>
      <c r="AZ20" s="26">
        <v>20.0</v>
      </c>
      <c r="BS20" s="26">
        <v>5.0</v>
      </c>
      <c r="CB20" s="26">
        <v>500.0</v>
      </c>
      <c r="CD20" s="26">
        <v>30.0</v>
      </c>
    </row>
    <row r="21" ht="14.25" customHeight="1">
      <c r="A21" s="96" t="s">
        <v>151</v>
      </c>
      <c r="B21" s="96" t="s">
        <v>4044</v>
      </c>
      <c r="C21" s="26" t="s">
        <v>4044</v>
      </c>
      <c r="D21" s="96" t="str">
        <f>_xlfn.XLOOKUP(tblBuildings[[#This Row],[BuildingID]],tblTargets[TargetID],tblTargets[DisplayName],"")</f>
        <v>#ERROR!</v>
      </c>
      <c r="E21" s="26" t="b">
        <v>1</v>
      </c>
      <c r="F21" s="26">
        <v>1.0</v>
      </c>
      <c r="G21" s="26">
        <v>10.0</v>
      </c>
      <c r="H21" s="26" t="s">
        <v>4045</v>
      </c>
      <c r="I21" s="96"/>
      <c r="J21" s="26" t="s">
        <v>4046</v>
      </c>
      <c r="L21" s="26" t="s">
        <v>186</v>
      </c>
      <c r="N21" s="26" t="s">
        <v>3550</v>
      </c>
      <c r="O21" s="26" t="str">
        <f>IF(tblBuildings[[#This Row],[costtext]]="", 0, LEN(tblBuildings[[#This Row],[costtext]]) - LEN(SUBSTITUTE(tblBuildings[[#This Row],[costtext]], ",", "")) + 1)</f>
        <v>#ERROR!</v>
      </c>
      <c r="P21" s="26" t="str">
        <f>COUNTIF(tblBuildings[[#This Row],[anchor]:[wood]],"&gt;0")</f>
        <v>#ERROR!</v>
      </c>
      <c r="AC21" s="26">
        <v>300.0</v>
      </c>
      <c r="AH21" s="26">
        <v>30.0</v>
      </c>
      <c r="BS21" s="26">
        <v>1.0</v>
      </c>
      <c r="CA21" s="26">
        <v>100.0</v>
      </c>
      <c r="CB21" s="26">
        <v>50.0</v>
      </c>
      <c r="CH21" s="26">
        <v>200.0</v>
      </c>
    </row>
    <row r="22" ht="14.25" customHeight="1">
      <c r="A22" s="96" t="s">
        <v>159</v>
      </c>
      <c r="B22" s="96" t="s">
        <v>4044</v>
      </c>
      <c r="C22" s="26" t="s">
        <v>4044</v>
      </c>
      <c r="D22" s="96" t="str">
        <f>_xlfn.XLOOKUP(tblBuildings[[#This Row],[BuildingID]],tblTargets[TargetID],tblTargets[DisplayName],"")</f>
        <v>#ERROR!</v>
      </c>
      <c r="E22" s="26" t="b">
        <v>1</v>
      </c>
      <c r="F22" s="26">
        <v>2.0</v>
      </c>
      <c r="G22" s="26">
        <v>20.0</v>
      </c>
      <c r="H22" s="26" t="s">
        <v>4048</v>
      </c>
      <c r="I22" s="96"/>
      <c r="J22" s="26" t="s">
        <v>4049</v>
      </c>
      <c r="L22" s="26" t="s">
        <v>4050</v>
      </c>
      <c r="N22" s="26" t="s">
        <v>3552</v>
      </c>
      <c r="O22" s="26" t="str">
        <f>IF(tblBuildings[[#This Row],[costtext]]="", 0, LEN(tblBuildings[[#This Row],[costtext]]) - LEN(SUBSTITUTE(tblBuildings[[#This Row],[costtext]], ",", "")) + 1)</f>
        <v>#ERROR!</v>
      </c>
      <c r="P22" s="26" t="str">
        <f>COUNTIF(tblBuildings[[#This Row],[anchor]:[wood]],"&gt;0")</f>
        <v>#ERROR!</v>
      </c>
      <c r="U22" s="26">
        <v>500.0</v>
      </c>
      <c r="W22" s="26">
        <v>5.0</v>
      </c>
      <c r="AC22" s="26">
        <v>500.0</v>
      </c>
      <c r="BG22" s="26">
        <v>15.0</v>
      </c>
      <c r="BK22" s="26">
        <v>100.0</v>
      </c>
      <c r="BS22" s="26">
        <v>2.0</v>
      </c>
      <c r="CA22" s="26">
        <v>400.0</v>
      </c>
    </row>
    <row r="23" ht="14.25" customHeight="1">
      <c r="A23" s="96" t="s">
        <v>165</v>
      </c>
      <c r="B23" s="96" t="s">
        <v>4044</v>
      </c>
      <c r="C23" s="26" t="s">
        <v>4044</v>
      </c>
      <c r="D23" s="96" t="str">
        <f>_xlfn.XLOOKUP(tblBuildings[[#This Row],[BuildingID]],tblTargets[TargetID],tblTargets[DisplayName],"")</f>
        <v>#ERROR!</v>
      </c>
      <c r="E23" s="26" t="b">
        <v>1</v>
      </c>
      <c r="F23" s="26">
        <v>3.0</v>
      </c>
      <c r="G23" s="26">
        <v>30.0</v>
      </c>
      <c r="H23" s="26" t="s">
        <v>4052</v>
      </c>
      <c r="I23" s="96"/>
      <c r="J23" s="26" t="s">
        <v>4054</v>
      </c>
      <c r="L23" s="26" t="s">
        <v>4055</v>
      </c>
      <c r="N23" s="26" t="s">
        <v>3553</v>
      </c>
      <c r="O23" s="26" t="str">
        <f>IF(tblBuildings[[#This Row],[costtext]]="", 0, LEN(tblBuildings[[#This Row],[costtext]]) - LEN(SUBSTITUTE(tblBuildings[[#This Row],[costtext]], ",", "")) + 1)</f>
        <v>#ERROR!</v>
      </c>
      <c r="P23" s="26" t="str">
        <f>COUNTIF(tblBuildings[[#This Row],[anchor]:[wood]],"&gt;0")</f>
        <v>#ERROR!</v>
      </c>
      <c r="U23" s="26">
        <v>500.0</v>
      </c>
      <c r="AC23" s="26">
        <v>1000.0</v>
      </c>
      <c r="AU23" s="26">
        <v>50.0</v>
      </c>
      <c r="BG23" s="26">
        <v>15.0</v>
      </c>
      <c r="BO23" s="26">
        <v>3.0</v>
      </c>
      <c r="BS23" s="26">
        <v>3.0</v>
      </c>
      <c r="CA23" s="26">
        <v>400.0</v>
      </c>
    </row>
    <row r="24" ht="14.25" customHeight="1">
      <c r="A24" s="96" t="s">
        <v>172</v>
      </c>
      <c r="B24" s="96" t="s">
        <v>4044</v>
      </c>
      <c r="C24" s="26" t="s">
        <v>4044</v>
      </c>
      <c r="D24" s="96" t="str">
        <f>_xlfn.XLOOKUP(tblBuildings[[#This Row],[BuildingID]],tblTargets[TargetID],tblTargets[DisplayName],"")</f>
        <v>#ERROR!</v>
      </c>
      <c r="E24" s="26" t="b">
        <v>1</v>
      </c>
      <c r="F24" s="26">
        <v>4.0</v>
      </c>
      <c r="G24" s="26">
        <v>40.0</v>
      </c>
      <c r="H24" s="26" t="s">
        <v>4057</v>
      </c>
      <c r="I24" s="96"/>
      <c r="J24" s="26" t="s">
        <v>4058</v>
      </c>
      <c r="L24" s="26" t="s">
        <v>4059</v>
      </c>
      <c r="N24" s="26" t="s">
        <v>3554</v>
      </c>
      <c r="O24" s="26" t="str">
        <f>IF(tblBuildings[[#This Row],[costtext]]="", 0, LEN(tblBuildings[[#This Row],[costtext]]) - LEN(SUBSTITUTE(tblBuildings[[#This Row],[costtext]], ",", "")) + 1)</f>
        <v>#ERROR!</v>
      </c>
      <c r="P24" s="26" t="str">
        <f>COUNTIF(tblBuildings[[#This Row],[anchor]:[wood]],"&gt;0")</f>
        <v>#ERROR!</v>
      </c>
      <c r="U24" s="26">
        <v>750.0</v>
      </c>
      <c r="AB24" s="26">
        <v>5.0</v>
      </c>
      <c r="AC24" s="26">
        <v>1500.0</v>
      </c>
      <c r="BF24" s="26">
        <v>30.0</v>
      </c>
      <c r="BG24" s="26">
        <v>20.0</v>
      </c>
      <c r="BM24" s="26">
        <v>20.0</v>
      </c>
      <c r="BS24" s="26">
        <v>5.0</v>
      </c>
    </row>
    <row r="25" ht="14.25" customHeight="1">
      <c r="A25" s="96" t="s">
        <v>177</v>
      </c>
      <c r="B25" s="96" t="s">
        <v>4044</v>
      </c>
      <c r="C25" s="26" t="s">
        <v>4044</v>
      </c>
      <c r="D25" s="96" t="str">
        <f>_xlfn.XLOOKUP(tblBuildings[[#This Row],[BuildingID]],tblTargets[TargetID],tblTargets[DisplayName],"")</f>
        <v>#ERROR!</v>
      </c>
      <c r="E25" s="26" t="b">
        <v>1</v>
      </c>
      <c r="F25" s="26">
        <v>5.0</v>
      </c>
      <c r="G25" s="26">
        <v>50.0</v>
      </c>
      <c r="H25" s="26" t="s">
        <v>4061</v>
      </c>
      <c r="I25" s="96"/>
      <c r="J25" s="26" t="s">
        <v>4062</v>
      </c>
      <c r="L25" s="26" t="s">
        <v>4063</v>
      </c>
      <c r="N25" s="26" t="s">
        <v>3555</v>
      </c>
      <c r="O25" s="26" t="str">
        <f>IF(tblBuildings[[#This Row],[costtext]]="", 0, LEN(tblBuildings[[#This Row],[costtext]]) - LEN(SUBSTITUTE(tblBuildings[[#This Row],[costtext]], ",", "")) + 1)</f>
        <v>#ERROR!</v>
      </c>
      <c r="P25" s="26" t="str">
        <f>COUNTIF(tblBuildings[[#This Row],[anchor]:[wood]],"&gt;0")</f>
        <v>#ERROR!</v>
      </c>
      <c r="U25" s="26">
        <v>1000.0</v>
      </c>
      <c r="AC25" s="26">
        <v>2000.0</v>
      </c>
      <c r="BC25" s="26">
        <v>10.0</v>
      </c>
      <c r="BG25" s="26">
        <v>25.0</v>
      </c>
      <c r="BS25" s="26">
        <v>7.0</v>
      </c>
      <c r="BW25" s="26">
        <v>10.0</v>
      </c>
    </row>
    <row r="26" ht="14.25" customHeight="1">
      <c r="A26" s="96" t="s">
        <v>525</v>
      </c>
      <c r="B26" s="96" t="s">
        <v>4065</v>
      </c>
      <c r="C26" s="26" t="s">
        <v>4065</v>
      </c>
      <c r="D26" s="96" t="str">
        <f>_xlfn.XLOOKUP(tblBuildings[[#This Row],[BuildingID]],tblTargets[TargetID],tblTargets[DisplayName],"")</f>
        <v>#ERROR!</v>
      </c>
      <c r="E26" s="26" t="b">
        <v>1</v>
      </c>
      <c r="F26" s="26">
        <v>1.0</v>
      </c>
      <c r="H26" s="26" t="s">
        <v>4066</v>
      </c>
      <c r="I26" s="96" t="s">
        <v>4067</v>
      </c>
      <c r="J26" s="26" t="s">
        <v>4068</v>
      </c>
      <c r="K26" s="26" t="s">
        <v>4069</v>
      </c>
      <c r="L26" s="26" t="s">
        <v>4070</v>
      </c>
      <c r="N26" s="26" t="s">
        <v>3558</v>
      </c>
      <c r="O26" s="26" t="str">
        <f>IF(tblBuildings[[#This Row],[costtext]]="", 0, LEN(tblBuildings[[#This Row],[costtext]]) - LEN(SUBSTITUTE(tblBuildings[[#This Row],[costtext]], ",", "")) + 1)</f>
        <v>#ERROR!</v>
      </c>
      <c r="P26" s="26" t="str">
        <f>COUNTIF(tblBuildings[[#This Row],[anchor]:[wood]],"&gt;0")</f>
        <v>#ERROR!</v>
      </c>
      <c r="U26" s="26">
        <v>8000.0</v>
      </c>
      <c r="Y26" s="26">
        <v>100.0</v>
      </c>
      <c r="AC26" s="26">
        <v>1000.0</v>
      </c>
      <c r="AW26" s="26">
        <v>40.0</v>
      </c>
      <c r="BI26" s="26">
        <v>100.0</v>
      </c>
      <c r="BK26" s="26">
        <v>100.0</v>
      </c>
      <c r="BS26" s="26">
        <v>5.0</v>
      </c>
      <c r="CA26" s="26">
        <v>1000.0</v>
      </c>
      <c r="CB26" s="26">
        <v>500.0</v>
      </c>
    </row>
    <row r="27" ht="14.25" customHeight="1">
      <c r="A27" s="96" t="s">
        <v>188</v>
      </c>
      <c r="B27" s="96" t="s">
        <v>4072</v>
      </c>
      <c r="C27" s="26" t="s">
        <v>4072</v>
      </c>
      <c r="D27" s="96" t="str">
        <f>_xlfn.XLOOKUP(tblBuildings[[#This Row],[BuildingID]],tblTargets[TargetID],tblTargets[DisplayName],"")</f>
        <v>#ERROR!</v>
      </c>
      <c r="E27" s="26" t="b">
        <v>1</v>
      </c>
      <c r="F27" s="26">
        <v>1.0</v>
      </c>
      <c r="G27" s="26">
        <v>55.0</v>
      </c>
      <c r="H27" s="26" t="s">
        <v>3979</v>
      </c>
      <c r="I27" s="96" t="s">
        <v>4073</v>
      </c>
      <c r="J27" s="26" t="s">
        <v>4074</v>
      </c>
      <c r="K27" s="26" t="s">
        <v>4075</v>
      </c>
      <c r="L27" s="26" t="s">
        <v>4077</v>
      </c>
      <c r="N27" s="26" t="s">
        <v>3559</v>
      </c>
      <c r="O27" s="26" t="str">
        <f>IF(tblBuildings[[#This Row],[costtext]]="", 0, LEN(tblBuildings[[#This Row],[costtext]]) - LEN(SUBSTITUTE(tblBuildings[[#This Row],[costtext]], ",", "")) + 1)</f>
        <v>#ERROR!</v>
      </c>
      <c r="P27" s="26" t="str">
        <f>COUNTIF(tblBuildings[[#This Row],[anchor]:[wood]],"&gt;0")</f>
        <v>#ERROR!</v>
      </c>
      <c r="U27" s="26">
        <v>700.0</v>
      </c>
      <c r="AC27" s="26">
        <v>1000.0</v>
      </c>
      <c r="BG27" s="26">
        <v>30.0</v>
      </c>
      <c r="BS27" s="26">
        <v>5.0</v>
      </c>
      <c r="BY27" s="26">
        <v>50.0</v>
      </c>
      <c r="CA27" s="26">
        <v>300.0</v>
      </c>
      <c r="CB27" s="26">
        <v>700.0</v>
      </c>
    </row>
    <row r="28" ht="14.25" customHeight="1">
      <c r="A28" s="96" t="s">
        <v>195</v>
      </c>
      <c r="B28" s="96" t="s">
        <v>4072</v>
      </c>
      <c r="C28" s="26" t="s">
        <v>4072</v>
      </c>
      <c r="D28" s="96" t="str">
        <f>_xlfn.XLOOKUP(tblBuildings[[#This Row],[BuildingID]],tblTargets[TargetID],tblTargets[DisplayName],"")</f>
        <v>#ERROR!</v>
      </c>
      <c r="E28" s="26" t="b">
        <v>1</v>
      </c>
      <c r="F28" s="26">
        <v>2.0</v>
      </c>
      <c r="H28" s="26" t="s">
        <v>3979</v>
      </c>
      <c r="I28" s="96"/>
      <c r="J28" s="26" t="s">
        <v>4080</v>
      </c>
      <c r="L28" s="26" t="s">
        <v>4081</v>
      </c>
      <c r="N28" s="26" t="s">
        <v>3560</v>
      </c>
      <c r="O28" s="26" t="str">
        <f>IF(tblBuildings[[#This Row],[costtext]]="", 0, LEN(tblBuildings[[#This Row],[costtext]]) - LEN(SUBSTITUTE(tblBuildings[[#This Row],[costtext]], ",", "")) + 1)</f>
        <v>#ERROR!</v>
      </c>
      <c r="P28" s="26" t="str">
        <f>COUNTIF(tblBuildings[[#This Row],[anchor]:[wood]],"&gt;0")</f>
        <v>#ERROR!</v>
      </c>
      <c r="U28" s="26">
        <v>900.0</v>
      </c>
      <c r="Z28" s="26">
        <v>200.0</v>
      </c>
      <c r="AA28" s="26">
        <v>100.0</v>
      </c>
      <c r="AC28" s="26">
        <v>1000.0</v>
      </c>
      <c r="BP28" s="26">
        <v>30.0</v>
      </c>
      <c r="BS28" s="26">
        <v>5.0</v>
      </c>
      <c r="BY28" s="26">
        <v>50.0</v>
      </c>
      <c r="CB28" s="26">
        <v>500.0</v>
      </c>
    </row>
    <row r="29" ht="14.25" customHeight="1">
      <c r="A29" s="96" t="s">
        <v>199</v>
      </c>
      <c r="B29" s="96" t="s">
        <v>4072</v>
      </c>
      <c r="C29" s="26" t="s">
        <v>4072</v>
      </c>
      <c r="D29" s="96" t="str">
        <f>_xlfn.XLOOKUP(tblBuildings[[#This Row],[BuildingID]],tblTargets[TargetID],tblTargets[DisplayName],"")</f>
        <v>#ERROR!</v>
      </c>
      <c r="E29" s="26" t="b">
        <v>1</v>
      </c>
      <c r="F29" s="26">
        <v>3.0</v>
      </c>
      <c r="H29" s="26" t="s">
        <v>3979</v>
      </c>
      <c r="I29" s="96"/>
      <c r="J29" s="26" t="s">
        <v>4083</v>
      </c>
      <c r="L29" s="26" t="s">
        <v>4084</v>
      </c>
      <c r="N29" s="26" t="s">
        <v>3563</v>
      </c>
      <c r="O29" s="26" t="str">
        <f>IF(tblBuildings[[#This Row],[costtext]]="", 0, LEN(tblBuildings[[#This Row],[costtext]]) - LEN(SUBSTITUTE(tblBuildings[[#This Row],[costtext]], ",", "")) + 1)</f>
        <v>#ERROR!</v>
      </c>
      <c r="P29" s="26" t="str">
        <f>COUNTIF(tblBuildings[[#This Row],[anchor]:[wood]],"&gt;0")</f>
        <v>#ERROR!</v>
      </c>
      <c r="Z29" s="26">
        <v>200.0</v>
      </c>
      <c r="AC29" s="26">
        <v>1000.0</v>
      </c>
      <c r="BL29" s="26">
        <v>700.0</v>
      </c>
      <c r="BS29" s="26">
        <v>7.0</v>
      </c>
      <c r="BY29" s="26">
        <v>50.0</v>
      </c>
      <c r="CA29" s="26">
        <v>200.0</v>
      </c>
      <c r="CB29" s="26">
        <v>500.0</v>
      </c>
    </row>
    <row r="30" ht="14.25" customHeight="1">
      <c r="A30" s="96" t="s">
        <v>205</v>
      </c>
      <c r="B30" s="96" t="s">
        <v>4072</v>
      </c>
      <c r="C30" s="26" t="s">
        <v>4072</v>
      </c>
      <c r="D30" s="96" t="str">
        <f>_xlfn.XLOOKUP(tblBuildings[[#This Row],[BuildingID]],tblTargets[TargetID],tblTargets[DisplayName],"")</f>
        <v>#ERROR!</v>
      </c>
      <c r="E30" s="26" t="b">
        <v>1</v>
      </c>
      <c r="F30" s="26">
        <v>4.0</v>
      </c>
      <c r="H30" s="26" t="s">
        <v>3979</v>
      </c>
      <c r="I30" s="96"/>
      <c r="J30" s="26" t="s">
        <v>4086</v>
      </c>
      <c r="L30" s="26" t="s">
        <v>4087</v>
      </c>
      <c r="N30" s="26" t="s">
        <v>3564</v>
      </c>
      <c r="O30" s="26" t="str">
        <f>IF(tblBuildings[[#This Row],[costtext]]="", 0, LEN(tblBuildings[[#This Row],[costtext]]) - LEN(SUBSTITUTE(tblBuildings[[#This Row],[costtext]], ",", "")) + 1)</f>
        <v>#ERROR!</v>
      </c>
      <c r="P30" s="26" t="str">
        <f>COUNTIF(tblBuildings[[#This Row],[anchor]:[wood]],"&gt;0")</f>
        <v>#ERROR!</v>
      </c>
      <c r="AC30" s="26">
        <v>1000.0</v>
      </c>
      <c r="BL30" s="26">
        <v>900.0</v>
      </c>
      <c r="BR30" s="26">
        <v>50.0</v>
      </c>
      <c r="BS30" s="26">
        <v>8.0</v>
      </c>
      <c r="BX30" s="26">
        <v>10.0</v>
      </c>
      <c r="BY30" s="26">
        <v>50.0</v>
      </c>
      <c r="CA30" s="26">
        <v>300.0</v>
      </c>
      <c r="CB30" s="26">
        <v>500.0</v>
      </c>
      <c r="CG30" s="26">
        <v>50.0</v>
      </c>
    </row>
    <row r="31" ht="14.25" customHeight="1">
      <c r="A31" s="96" t="s">
        <v>208</v>
      </c>
      <c r="B31" s="96" t="s">
        <v>4072</v>
      </c>
      <c r="C31" s="26" t="s">
        <v>4072</v>
      </c>
      <c r="D31" s="96" t="str">
        <f>_xlfn.XLOOKUP(tblBuildings[[#This Row],[BuildingID]],tblTargets[TargetID],tblTargets[DisplayName],"")</f>
        <v>#ERROR!</v>
      </c>
      <c r="E31" s="26" t="b">
        <v>1</v>
      </c>
      <c r="F31" s="26">
        <v>5.0</v>
      </c>
      <c r="H31" s="26" t="s">
        <v>3979</v>
      </c>
      <c r="I31" s="96"/>
      <c r="J31" s="26" t="s">
        <v>4089</v>
      </c>
      <c r="L31" s="26" t="s">
        <v>4090</v>
      </c>
      <c r="N31" s="26" t="s">
        <v>3566</v>
      </c>
      <c r="O31" s="26" t="str">
        <f>IF(tblBuildings[[#This Row],[costtext]]="", 0, LEN(tblBuildings[[#This Row],[costtext]]) - LEN(SUBSTITUTE(tblBuildings[[#This Row],[costtext]], ",", "")) + 1)</f>
        <v>#ERROR!</v>
      </c>
      <c r="P31" s="26" t="str">
        <f>COUNTIF(tblBuildings[[#This Row],[anchor]:[wood]],"&gt;0")</f>
        <v>#ERROR!</v>
      </c>
      <c r="AC31" s="26">
        <v>1000.0</v>
      </c>
      <c r="AN31" s="26">
        <v>10.0</v>
      </c>
      <c r="AT31" s="26">
        <v>24.0</v>
      </c>
      <c r="BL31" s="26">
        <v>900.0</v>
      </c>
      <c r="BS31" s="26">
        <v>9.0</v>
      </c>
      <c r="BY31" s="26">
        <v>100.0</v>
      </c>
      <c r="CB31" s="26">
        <v>800.0</v>
      </c>
      <c r="CD31" s="26">
        <v>20.0</v>
      </c>
    </row>
    <row r="32" ht="14.25" customHeight="1">
      <c r="A32" s="96" t="s">
        <v>214</v>
      </c>
      <c r="B32" s="96" t="s">
        <v>4072</v>
      </c>
      <c r="C32" s="26" t="s">
        <v>4072</v>
      </c>
      <c r="D32" s="96" t="str">
        <f>_xlfn.XLOOKUP(tblBuildings[[#This Row],[BuildingID]],tblTargets[TargetID],tblTargets[DisplayName],"")</f>
        <v>#ERROR!</v>
      </c>
      <c r="E32" s="26" t="b">
        <v>1</v>
      </c>
      <c r="F32" s="26">
        <v>6.0</v>
      </c>
      <c r="H32" s="26" t="s">
        <v>3979</v>
      </c>
      <c r="I32" s="96"/>
      <c r="J32" s="26" t="s">
        <v>4092</v>
      </c>
      <c r="L32" s="26" t="s">
        <v>4093</v>
      </c>
      <c r="N32" s="26" t="s">
        <v>3568</v>
      </c>
      <c r="O32" s="26" t="str">
        <f>IF(tblBuildings[[#This Row],[costtext]]="", 0, LEN(tblBuildings[[#This Row],[costtext]]) - LEN(SUBSTITUTE(tblBuildings[[#This Row],[costtext]], ",", "")) + 1)</f>
        <v>#ERROR!</v>
      </c>
      <c r="P32" s="26" t="str">
        <f>COUNTIF(tblBuildings[[#This Row],[anchor]:[wood]],"&gt;0")</f>
        <v>#ERROR!</v>
      </c>
      <c r="AC32" s="26">
        <v>1000.0</v>
      </c>
      <c r="AG32" s="26">
        <v>10.0</v>
      </c>
      <c r="AK32" s="26">
        <v>30.0</v>
      </c>
      <c r="AN32" s="26">
        <v>10.0</v>
      </c>
      <c r="AT32" s="26">
        <v>24.0</v>
      </c>
      <c r="BH32" s="26">
        <v>40.0</v>
      </c>
      <c r="BL32" s="26">
        <v>900.0</v>
      </c>
      <c r="BS32" s="26">
        <v>10.0</v>
      </c>
      <c r="CB32" s="26">
        <v>500.0</v>
      </c>
    </row>
    <row r="33" ht="14.25" customHeight="1">
      <c r="A33" s="96" t="s">
        <v>219</v>
      </c>
      <c r="B33" s="96" t="s">
        <v>4095</v>
      </c>
      <c r="C33" s="26" t="s">
        <v>4095</v>
      </c>
      <c r="D33" s="96" t="str">
        <f>_xlfn.XLOOKUP(tblBuildings[[#This Row],[BuildingID]],tblTargets[TargetID],tblTargets[DisplayName],"")</f>
        <v>#ERROR!</v>
      </c>
      <c r="E33" s="26" t="b">
        <v>1</v>
      </c>
      <c r="F33" s="26">
        <v>1.0</v>
      </c>
      <c r="G33" s="26">
        <v>7.0</v>
      </c>
      <c r="H33" s="26" t="s">
        <v>3979</v>
      </c>
      <c r="I33" s="96"/>
      <c r="J33" s="26" t="s">
        <v>4097</v>
      </c>
      <c r="L33" s="26" t="s">
        <v>186</v>
      </c>
      <c r="N33" s="26" t="s">
        <v>3569</v>
      </c>
      <c r="O33" s="26" t="str">
        <f>IF(tblBuildings[[#This Row],[costtext]]="", 0, LEN(tblBuildings[[#This Row],[costtext]]) - LEN(SUBSTITUTE(tblBuildings[[#This Row],[costtext]], ",", "")) + 1)</f>
        <v>#ERROR!</v>
      </c>
      <c r="P33" s="26" t="str">
        <f>COUNTIF(tblBuildings[[#This Row],[anchor]:[wood]],"&gt;0")</f>
        <v>#ERROR!</v>
      </c>
      <c r="AA33" s="26">
        <v>20.0</v>
      </c>
      <c r="AC33" s="26">
        <v>200.0</v>
      </c>
      <c r="BS33" s="26">
        <v>1.0</v>
      </c>
      <c r="CH33" s="26">
        <v>100.0</v>
      </c>
    </row>
    <row r="34" ht="14.25" customHeight="1">
      <c r="A34" s="96" t="s">
        <v>225</v>
      </c>
      <c r="B34" s="96" t="s">
        <v>4095</v>
      </c>
      <c r="C34" s="26" t="s">
        <v>4095</v>
      </c>
      <c r="D34" s="96" t="str">
        <f>_xlfn.XLOOKUP(tblBuildings[[#This Row],[BuildingID]],tblTargets[TargetID],tblTargets[DisplayName],"")</f>
        <v>#ERROR!</v>
      </c>
      <c r="E34" s="26" t="b">
        <v>1</v>
      </c>
      <c r="F34" s="26">
        <v>2.0</v>
      </c>
      <c r="H34" s="26" t="s">
        <v>3979</v>
      </c>
      <c r="I34" s="96"/>
      <c r="J34" s="26" t="s">
        <v>4099</v>
      </c>
      <c r="L34" s="26" t="s">
        <v>4100</v>
      </c>
      <c r="N34" s="26" t="s">
        <v>3571</v>
      </c>
      <c r="O34" s="26" t="str">
        <f>IF(tblBuildings[[#This Row],[costtext]]="", 0, LEN(tblBuildings[[#This Row],[costtext]]) - LEN(SUBSTITUTE(tblBuildings[[#This Row],[costtext]], ",", "")) + 1)</f>
        <v>#ERROR!</v>
      </c>
      <c r="P34" s="26" t="str">
        <f>COUNTIF(tblBuildings[[#This Row],[anchor]:[wood]],"&gt;0")</f>
        <v>#ERROR!</v>
      </c>
      <c r="AA34" s="26">
        <v>50.0</v>
      </c>
      <c r="AC34" s="26">
        <v>300.0</v>
      </c>
      <c r="BS34" s="26">
        <v>3.0</v>
      </c>
      <c r="CA34" s="26">
        <v>20.0</v>
      </c>
      <c r="CH34" s="26">
        <v>100.0</v>
      </c>
    </row>
    <row r="35" ht="14.25" customHeight="1">
      <c r="A35" s="96" t="s">
        <v>230</v>
      </c>
      <c r="B35" s="96" t="s">
        <v>4102</v>
      </c>
      <c r="C35" s="26" t="s">
        <v>4103</v>
      </c>
      <c r="D35" s="96" t="str">
        <f>_xlfn.XLOOKUP(tblBuildings[[#This Row],[BuildingID]],tblTargets[TargetID],tblTargets[DisplayName],"")</f>
        <v>#ERROR!</v>
      </c>
      <c r="E35" s="26" t="b">
        <v>1</v>
      </c>
      <c r="F35" s="26">
        <v>1.0</v>
      </c>
      <c r="G35" s="26">
        <v>8.0</v>
      </c>
      <c r="H35" s="26" t="s">
        <v>3979</v>
      </c>
      <c r="I35" s="96"/>
      <c r="J35" s="26" t="s">
        <v>4104</v>
      </c>
      <c r="L35" s="26" t="s">
        <v>186</v>
      </c>
      <c r="N35" s="26" t="s">
        <v>3573</v>
      </c>
      <c r="O35" s="26" t="str">
        <f>IF(tblBuildings[[#This Row],[costtext]]="", 0, LEN(tblBuildings[[#This Row],[costtext]]) - LEN(SUBSTITUTE(tblBuildings[[#This Row],[costtext]], ",", "")) + 1)</f>
        <v>#ERROR!</v>
      </c>
      <c r="P35" s="26" t="str">
        <f>COUNTIF(tblBuildings[[#This Row],[anchor]:[wood]],"&gt;0")</f>
        <v>#ERROR!</v>
      </c>
      <c r="AC35" s="26">
        <v>300.0</v>
      </c>
      <c r="BR35" s="26">
        <v>20.0</v>
      </c>
      <c r="BS35" s="26">
        <v>1.0</v>
      </c>
      <c r="CB35" s="26">
        <v>150.0</v>
      </c>
      <c r="CH35" s="26">
        <v>150.0</v>
      </c>
    </row>
    <row r="36" ht="14.25" customHeight="1">
      <c r="A36" s="96" t="s">
        <v>234</v>
      </c>
      <c r="B36" s="96" t="s">
        <v>4102</v>
      </c>
      <c r="C36" s="26" t="s">
        <v>4103</v>
      </c>
      <c r="D36" s="96" t="str">
        <f>_xlfn.XLOOKUP(tblBuildings[[#This Row],[BuildingID]],tblTargets[TargetID],tblTargets[DisplayName],"")</f>
        <v>#ERROR!</v>
      </c>
      <c r="E36" s="26" t="b">
        <v>1</v>
      </c>
      <c r="F36" s="26">
        <v>2.0</v>
      </c>
      <c r="G36" s="26">
        <v>24.0</v>
      </c>
      <c r="H36" s="26" t="s">
        <v>3979</v>
      </c>
      <c r="I36" s="96"/>
      <c r="J36" s="26" t="s">
        <v>4107</v>
      </c>
      <c r="L36" s="26" t="s">
        <v>4108</v>
      </c>
      <c r="N36" s="26" t="s">
        <v>3574</v>
      </c>
      <c r="O36" s="26" t="str">
        <f>IF(tblBuildings[[#This Row],[costtext]]="", 0, LEN(tblBuildings[[#This Row],[costtext]]) - LEN(SUBSTITUTE(tblBuildings[[#This Row],[costtext]], ",", "")) + 1)</f>
        <v>#ERROR!</v>
      </c>
      <c r="P36" s="26" t="str">
        <f>COUNTIF(tblBuildings[[#This Row],[anchor]:[wood]],"&gt;0")</f>
        <v>#ERROR!</v>
      </c>
      <c r="AC36" s="26">
        <v>500.0</v>
      </c>
      <c r="BL36" s="26">
        <v>500.0</v>
      </c>
      <c r="BS36" s="26">
        <v>3.0</v>
      </c>
      <c r="BZ36" s="26">
        <v>5.0</v>
      </c>
      <c r="CB36" s="26">
        <v>300.0</v>
      </c>
    </row>
    <row r="37" ht="14.25" customHeight="1">
      <c r="A37" s="96" t="s">
        <v>239</v>
      </c>
      <c r="B37" s="96" t="s">
        <v>4102</v>
      </c>
      <c r="C37" s="26" t="s">
        <v>4103</v>
      </c>
      <c r="D37" s="96" t="str">
        <f>_xlfn.XLOOKUP(tblBuildings[[#This Row],[BuildingID]],tblTargets[TargetID],tblTargets[DisplayName],"")</f>
        <v>#ERROR!</v>
      </c>
      <c r="E37" s="26" t="b">
        <v>1</v>
      </c>
      <c r="F37" s="26">
        <v>3.0</v>
      </c>
      <c r="H37" s="26" t="s">
        <v>3979</v>
      </c>
      <c r="I37" s="96"/>
      <c r="J37" s="26" t="s">
        <v>4110</v>
      </c>
      <c r="L37" s="26" t="s">
        <v>4111</v>
      </c>
      <c r="N37" s="26" t="s">
        <v>3575</v>
      </c>
      <c r="O37" s="26" t="str">
        <f>IF(tblBuildings[[#This Row],[costtext]]="", 0, LEN(tblBuildings[[#This Row],[costtext]]) - LEN(SUBSTITUTE(tblBuildings[[#This Row],[costtext]], ",", "")) + 1)</f>
        <v>#ERROR!</v>
      </c>
      <c r="P37" s="26" t="str">
        <f>COUNTIF(tblBuildings[[#This Row],[anchor]:[wood]],"&gt;0")</f>
        <v>#ERROR!</v>
      </c>
      <c r="V37" s="26">
        <v>50.0</v>
      </c>
      <c r="AC37" s="26">
        <v>800.0</v>
      </c>
      <c r="BL37" s="26">
        <v>600.0</v>
      </c>
      <c r="BS37" s="26">
        <v>5.0</v>
      </c>
      <c r="BZ37" s="26">
        <v>3.0</v>
      </c>
    </row>
    <row r="38" ht="14.25" customHeight="1">
      <c r="A38" s="96" t="s">
        <v>243</v>
      </c>
      <c r="B38" s="96" t="s">
        <v>4112</v>
      </c>
      <c r="C38" s="26" t="s">
        <v>4112</v>
      </c>
      <c r="D38" s="96" t="str">
        <f>_xlfn.XLOOKUP(tblBuildings[[#This Row],[BuildingID]],tblTargets[TargetID],tblTargets[DisplayName],"")</f>
        <v>#ERROR!</v>
      </c>
      <c r="E38" s="26" t="b">
        <v>1</v>
      </c>
      <c r="F38" s="26">
        <v>1.0</v>
      </c>
      <c r="G38" s="26">
        <v>8.0</v>
      </c>
      <c r="H38" s="26" t="s">
        <v>3979</v>
      </c>
      <c r="I38" s="96"/>
      <c r="J38" s="26" t="s">
        <v>4114</v>
      </c>
      <c r="L38" s="26" t="s">
        <v>186</v>
      </c>
      <c r="N38" s="26" t="s">
        <v>3578</v>
      </c>
      <c r="O38" s="26" t="str">
        <f>IF(tblBuildings[[#This Row],[costtext]]="", 0, LEN(tblBuildings[[#This Row],[costtext]]) - LEN(SUBSTITUTE(tblBuildings[[#This Row],[costtext]], ",", "")) + 1)</f>
        <v>#ERROR!</v>
      </c>
      <c r="P38" s="26" t="str">
        <f>COUNTIF(tblBuildings[[#This Row],[anchor]:[wood]],"&gt;0")</f>
        <v>#ERROR!</v>
      </c>
      <c r="AC38" s="26">
        <v>200.0</v>
      </c>
      <c r="BS38" s="26">
        <v>1.0</v>
      </c>
      <c r="CB38" s="26">
        <v>100.0</v>
      </c>
      <c r="CH38" s="26">
        <v>100.0</v>
      </c>
    </row>
    <row r="39" ht="14.25" customHeight="1">
      <c r="A39" s="96" t="s">
        <v>246</v>
      </c>
      <c r="B39" s="96" t="s">
        <v>4112</v>
      </c>
      <c r="C39" s="26" t="s">
        <v>4112</v>
      </c>
      <c r="D39" s="96" t="str">
        <f>_xlfn.XLOOKUP(tblBuildings[[#This Row],[BuildingID]],tblTargets[TargetID],tblTargets[DisplayName],"")</f>
        <v>#ERROR!</v>
      </c>
      <c r="E39" s="26" t="b">
        <v>1</v>
      </c>
      <c r="F39" s="26">
        <v>2.0</v>
      </c>
      <c r="H39" s="26" t="s">
        <v>4116</v>
      </c>
      <c r="I39" s="96" t="s">
        <v>4117</v>
      </c>
      <c r="J39" s="26" t="s">
        <v>4118</v>
      </c>
      <c r="L39" s="26" t="s">
        <v>4119</v>
      </c>
      <c r="N39" s="26" t="s">
        <v>3579</v>
      </c>
      <c r="O39" s="26" t="str">
        <f>IF(tblBuildings[[#This Row],[costtext]]="", 0, LEN(tblBuildings[[#This Row],[costtext]]) - LEN(SUBSTITUTE(tblBuildings[[#This Row],[costtext]], ",", "")) + 1)</f>
        <v>#ERROR!</v>
      </c>
      <c r="P39" s="26" t="str">
        <f>COUNTIF(tblBuildings[[#This Row],[anchor]:[wood]],"&gt;0")</f>
        <v>#ERROR!</v>
      </c>
      <c r="U39" s="26">
        <v>400.0</v>
      </c>
      <c r="AC39" s="26">
        <v>500.0</v>
      </c>
      <c r="BS39" s="26">
        <v>3.0</v>
      </c>
      <c r="CA39" s="26">
        <v>20.0</v>
      </c>
      <c r="CB39" s="26">
        <v>200.0</v>
      </c>
    </row>
    <row r="40" ht="14.25" customHeight="1">
      <c r="A40" s="96" t="s">
        <v>251</v>
      </c>
      <c r="B40" s="96" t="s">
        <v>4112</v>
      </c>
      <c r="C40" s="26" t="s">
        <v>4112</v>
      </c>
      <c r="D40" s="96" t="str">
        <f>_xlfn.XLOOKUP(tblBuildings[[#This Row],[BuildingID]],tblTargets[TargetID],tblTargets[DisplayName],"")</f>
        <v>#ERROR!</v>
      </c>
      <c r="E40" s="26" t="b">
        <v>1</v>
      </c>
      <c r="F40" s="26">
        <v>3.0</v>
      </c>
      <c r="H40" s="26" t="s">
        <v>3979</v>
      </c>
      <c r="I40" s="96" t="s">
        <v>4121</v>
      </c>
      <c r="J40" s="26" t="s">
        <v>4122</v>
      </c>
      <c r="L40" s="26" t="s">
        <v>4123</v>
      </c>
      <c r="N40" s="26" t="s">
        <v>3581</v>
      </c>
      <c r="O40" s="26" t="str">
        <f>IF(tblBuildings[[#This Row],[costtext]]="", 0, LEN(tblBuildings[[#This Row],[costtext]]) - LEN(SUBSTITUTE(tblBuildings[[#This Row],[costtext]], ",", "")) + 1)</f>
        <v>#ERROR!</v>
      </c>
      <c r="P40" s="26" t="str">
        <f>COUNTIF(tblBuildings[[#This Row],[anchor]:[wood]],"&gt;0")</f>
        <v>#ERROR!</v>
      </c>
      <c r="AC40" s="26">
        <v>800.0</v>
      </c>
      <c r="BL40" s="26">
        <v>600.0</v>
      </c>
      <c r="BS40" s="26">
        <v>5.0</v>
      </c>
      <c r="CA40" s="26">
        <v>50.0</v>
      </c>
      <c r="CB40" s="26">
        <v>300.0</v>
      </c>
    </row>
    <row r="41" ht="14.25" customHeight="1">
      <c r="A41" s="96" t="s">
        <v>255</v>
      </c>
      <c r="B41" s="96" t="s">
        <v>4124</v>
      </c>
      <c r="C41" s="26" t="s">
        <v>4124</v>
      </c>
      <c r="D41" s="96" t="str">
        <f>_xlfn.XLOOKUP(tblBuildings[[#This Row],[BuildingID]],tblTargets[TargetID],tblTargets[DisplayName],"")</f>
        <v>#ERROR!</v>
      </c>
      <c r="E41" s="26" t="b">
        <v>1</v>
      </c>
      <c r="F41" s="26">
        <v>1.0</v>
      </c>
      <c r="G41" s="26">
        <v>12.0</v>
      </c>
      <c r="H41" s="26" t="s">
        <v>4125</v>
      </c>
      <c r="I41" s="96"/>
      <c r="J41" s="26" t="s">
        <v>4126</v>
      </c>
      <c r="L41" s="26" t="s">
        <v>186</v>
      </c>
      <c r="N41" s="26" t="s">
        <v>3583</v>
      </c>
      <c r="O41" s="26" t="str">
        <f>IF(tblBuildings[[#This Row],[costtext]]="", 0, LEN(tblBuildings[[#This Row],[costtext]]) - LEN(SUBSTITUTE(tblBuildings[[#This Row],[costtext]], ",", "")) + 1)</f>
        <v>#ERROR!</v>
      </c>
      <c r="P41" s="26" t="str">
        <f>COUNTIF(tblBuildings[[#This Row],[anchor]:[wood]],"&gt;0")</f>
        <v>#ERROR!</v>
      </c>
      <c r="AC41" s="26">
        <v>400.0</v>
      </c>
      <c r="BS41" s="26">
        <v>1.0</v>
      </c>
      <c r="CB41" s="26">
        <v>100.0</v>
      </c>
      <c r="CH41" s="26">
        <v>200.0</v>
      </c>
    </row>
    <row r="42" ht="14.25" customHeight="1">
      <c r="A42" s="96" t="s">
        <v>258</v>
      </c>
      <c r="B42" s="96" t="s">
        <v>4124</v>
      </c>
      <c r="C42" s="26" t="s">
        <v>4124</v>
      </c>
      <c r="D42" s="96" t="str">
        <f>_xlfn.XLOOKUP(tblBuildings[[#This Row],[BuildingID]],tblTargets[TargetID],tblTargets[DisplayName],"")</f>
        <v>#ERROR!</v>
      </c>
      <c r="E42" s="26" t="b">
        <v>1</v>
      </c>
      <c r="F42" s="26">
        <v>2.0</v>
      </c>
      <c r="H42" s="26" t="s">
        <v>4128</v>
      </c>
      <c r="I42" s="96"/>
      <c r="J42" s="26" t="s">
        <v>4129</v>
      </c>
      <c r="L42" s="26" t="s">
        <v>4130</v>
      </c>
      <c r="N42" s="26" t="s">
        <v>3584</v>
      </c>
      <c r="O42" s="26" t="str">
        <f>IF(tblBuildings[[#This Row],[costtext]]="", 0, LEN(tblBuildings[[#This Row],[costtext]]) - LEN(SUBSTITUTE(tblBuildings[[#This Row],[costtext]], ",", "")) + 1)</f>
        <v>#ERROR!</v>
      </c>
      <c r="P42" s="26" t="str">
        <f>COUNTIF(tblBuildings[[#This Row],[anchor]:[wood]],"&gt;0")</f>
        <v>#ERROR!</v>
      </c>
      <c r="AC42" s="26">
        <v>600.0</v>
      </c>
      <c r="BS42" s="26">
        <v>2.0</v>
      </c>
      <c r="CB42" s="26">
        <v>150.0</v>
      </c>
      <c r="CH42" s="26">
        <v>300.0</v>
      </c>
    </row>
    <row r="43" ht="14.25" customHeight="1">
      <c r="A43" s="96" t="s">
        <v>262</v>
      </c>
      <c r="B43" s="96" t="s">
        <v>4124</v>
      </c>
      <c r="C43" s="26" t="s">
        <v>4124</v>
      </c>
      <c r="D43" s="96" t="str">
        <f>_xlfn.XLOOKUP(tblBuildings[[#This Row],[BuildingID]],tblTargets[TargetID],tblTargets[DisplayName],"")</f>
        <v>#ERROR!</v>
      </c>
      <c r="E43" s="26" t="b">
        <v>1</v>
      </c>
      <c r="F43" s="26">
        <v>3.0</v>
      </c>
      <c r="H43" s="26" t="s">
        <v>4132</v>
      </c>
      <c r="I43" s="96"/>
      <c r="J43" s="26" t="s">
        <v>4133</v>
      </c>
      <c r="L43" s="26" t="s">
        <v>4134</v>
      </c>
      <c r="N43" s="26" t="s">
        <v>3586</v>
      </c>
      <c r="O43" s="26" t="str">
        <f>IF(tblBuildings[[#This Row],[costtext]]="", 0, LEN(tblBuildings[[#This Row],[costtext]]) - LEN(SUBSTITUTE(tblBuildings[[#This Row],[costtext]], ",", "")) + 1)</f>
        <v>#ERROR!</v>
      </c>
      <c r="P43" s="26" t="str">
        <f>COUNTIF(tblBuildings[[#This Row],[anchor]:[wood]],"&gt;0")</f>
        <v>#ERROR!</v>
      </c>
      <c r="U43" s="26">
        <v>800.0</v>
      </c>
      <c r="AC43" s="26">
        <v>1000.0</v>
      </c>
      <c r="BS43" s="26">
        <v>4.0</v>
      </c>
      <c r="CB43" s="26">
        <v>200.0</v>
      </c>
    </row>
    <row r="44" ht="14.25" customHeight="1">
      <c r="A44" s="96" t="s">
        <v>269</v>
      </c>
      <c r="B44" s="96" t="s">
        <v>4136</v>
      </c>
      <c r="C44" s="26" t="s">
        <v>4136</v>
      </c>
      <c r="D44" s="96" t="str">
        <f>_xlfn.XLOOKUP(tblBuildings[[#This Row],[BuildingID]],tblTargets[TargetID],tblTargets[DisplayName],"")</f>
        <v>#ERROR!</v>
      </c>
      <c r="E44" s="26" t="b">
        <v>1</v>
      </c>
      <c r="F44" s="26">
        <v>1.0</v>
      </c>
      <c r="G44" s="26">
        <v>10.0</v>
      </c>
      <c r="H44" s="26" t="s">
        <v>4137</v>
      </c>
      <c r="I44" s="96"/>
      <c r="J44" s="26" t="s">
        <v>4138</v>
      </c>
      <c r="L44" s="26" t="s">
        <v>186</v>
      </c>
      <c r="N44" s="26" t="s">
        <v>3587</v>
      </c>
      <c r="O44" s="26" t="str">
        <f>IF(tblBuildings[[#This Row],[costtext]]="", 0, LEN(tblBuildings[[#This Row],[costtext]]) - LEN(SUBSTITUTE(tblBuildings[[#This Row],[costtext]], ",", "")) + 1)</f>
        <v>#ERROR!</v>
      </c>
      <c r="P44" s="26" t="str">
        <f>COUNTIF(tblBuildings[[#This Row],[anchor]:[wood]],"&gt;0")</f>
        <v>#ERROR!</v>
      </c>
      <c r="AC44" s="26">
        <v>200.0</v>
      </c>
      <c r="BS44" s="26">
        <v>3.0</v>
      </c>
      <c r="CA44" s="26">
        <v>50.0</v>
      </c>
      <c r="CB44" s="26">
        <v>50.0</v>
      </c>
      <c r="CH44" s="26">
        <v>100.0</v>
      </c>
    </row>
    <row r="45" ht="14.25" customHeight="1">
      <c r="A45" s="96" t="s">
        <v>275</v>
      </c>
      <c r="B45" s="96" t="s">
        <v>4140</v>
      </c>
      <c r="C45" s="26" t="s">
        <v>4140</v>
      </c>
      <c r="D45" s="96" t="str">
        <f>_xlfn.XLOOKUP(tblBuildings[[#This Row],[BuildingID]],tblTargets[TargetID],tblTargets[DisplayName],"")</f>
        <v>#ERROR!</v>
      </c>
      <c r="E45" s="26" t="b">
        <v>1</v>
      </c>
      <c r="F45" s="26">
        <v>1.0</v>
      </c>
      <c r="H45" s="26" t="s">
        <v>4141</v>
      </c>
      <c r="I45" s="96"/>
      <c r="L45" s="26" t="s">
        <v>186</v>
      </c>
      <c r="N45" s="26" t="s">
        <v>186</v>
      </c>
      <c r="O45" s="26" t="str">
        <f>IF(tblBuildings[[#This Row],[costtext]]="", 0, LEN(tblBuildings[[#This Row],[costtext]]) - LEN(SUBSTITUTE(tblBuildings[[#This Row],[costtext]], ",", "")) + 1)</f>
        <v>#ERROR!</v>
      </c>
      <c r="P45" s="26" t="str">
        <f>COUNTIF(tblBuildings[[#This Row],[anchor]:[wood]],"&gt;0")</f>
        <v>#ERROR!</v>
      </c>
    </row>
    <row r="46" ht="14.25" customHeight="1">
      <c r="A46" s="96" t="s">
        <v>282</v>
      </c>
      <c r="B46" s="96" t="s">
        <v>4140</v>
      </c>
      <c r="C46" s="26" t="s">
        <v>4140</v>
      </c>
      <c r="D46" s="96" t="str">
        <f>_xlfn.XLOOKUP(tblBuildings[[#This Row],[BuildingID]],tblTargets[TargetID],tblTargets[DisplayName],"")</f>
        <v>#ERROR!</v>
      </c>
      <c r="E46" s="26" t="b">
        <v>1</v>
      </c>
      <c r="F46" s="26">
        <v>2.0</v>
      </c>
      <c r="H46" s="26" t="s">
        <v>4143</v>
      </c>
      <c r="I46" s="96" t="s">
        <v>4144</v>
      </c>
      <c r="J46" s="26" t="s">
        <v>4145</v>
      </c>
      <c r="L46" s="26" t="s">
        <v>4146</v>
      </c>
      <c r="N46" s="26" t="s">
        <v>3590</v>
      </c>
      <c r="O46" s="26" t="str">
        <f>IF(tblBuildings[[#This Row],[costtext]]="", 0, LEN(tblBuildings[[#This Row],[costtext]]) - LEN(SUBSTITUTE(tblBuildings[[#This Row],[costtext]], ",", "")) + 1)</f>
        <v>#ERROR!</v>
      </c>
      <c r="P46" s="26" t="str">
        <f>COUNTIF(tblBuildings[[#This Row],[anchor]:[wood]],"&gt;0")</f>
        <v>#ERROR!</v>
      </c>
      <c r="AC46" s="26">
        <v>50.0</v>
      </c>
      <c r="BS46" s="26">
        <v>1.0</v>
      </c>
      <c r="CB46" s="26">
        <v>50.0</v>
      </c>
      <c r="CH46" s="26">
        <v>50.0</v>
      </c>
    </row>
    <row r="47" ht="14.25" customHeight="1">
      <c r="A47" s="96" t="s">
        <v>291</v>
      </c>
      <c r="B47" s="96" t="s">
        <v>4140</v>
      </c>
      <c r="C47" s="26" t="s">
        <v>4140</v>
      </c>
      <c r="D47" s="96" t="str">
        <f>_xlfn.XLOOKUP(tblBuildings[[#This Row],[BuildingID]],tblTargets[TargetID],tblTargets[DisplayName],"")</f>
        <v>#ERROR!</v>
      </c>
      <c r="E47" s="26" t="b">
        <v>1</v>
      </c>
      <c r="F47" s="26">
        <v>3.0</v>
      </c>
      <c r="H47" s="26" t="s">
        <v>4148</v>
      </c>
      <c r="I47" s="96"/>
      <c r="J47" s="26" t="s">
        <v>4149</v>
      </c>
      <c r="L47" s="26" t="s">
        <v>4150</v>
      </c>
      <c r="N47" s="26" t="s">
        <v>3592</v>
      </c>
      <c r="O47" s="26" t="str">
        <f>IF(tblBuildings[[#This Row],[costtext]]="", 0, LEN(tblBuildings[[#This Row],[costtext]]) - LEN(SUBSTITUTE(tblBuildings[[#This Row],[costtext]], ",", "")) + 1)</f>
        <v>#ERROR!</v>
      </c>
      <c r="P47" s="26" t="str">
        <f>COUNTIF(tblBuildings[[#This Row],[anchor]:[wood]],"&gt;0")</f>
        <v>#ERROR!</v>
      </c>
      <c r="U47" s="26">
        <v>300.0</v>
      </c>
      <c r="AC47" s="26">
        <v>150.0</v>
      </c>
      <c r="BS47" s="26">
        <v>2.0</v>
      </c>
      <c r="CB47" s="26">
        <v>150.0</v>
      </c>
    </row>
    <row r="48" ht="14.25" customHeight="1">
      <c r="A48" s="96" t="s">
        <v>295</v>
      </c>
      <c r="B48" s="96" t="s">
        <v>4140</v>
      </c>
      <c r="C48" s="26" t="s">
        <v>4140</v>
      </c>
      <c r="D48" s="96" t="str">
        <f>_xlfn.XLOOKUP(tblBuildings[[#This Row],[BuildingID]],tblTargets[TargetID],tblTargets[DisplayName],"")</f>
        <v>#ERROR!</v>
      </c>
      <c r="E48" s="26" t="b">
        <v>1</v>
      </c>
      <c r="F48" s="26">
        <v>4.0</v>
      </c>
      <c r="H48" s="26" t="s">
        <v>4152</v>
      </c>
      <c r="I48" s="96"/>
      <c r="J48" s="26" t="s">
        <v>4153</v>
      </c>
      <c r="L48" s="26" t="s">
        <v>4154</v>
      </c>
      <c r="N48" s="26" t="s">
        <v>3594</v>
      </c>
      <c r="O48" s="26" t="str">
        <f>IF(tblBuildings[[#This Row],[costtext]]="", 0, LEN(tblBuildings[[#This Row],[costtext]]) - LEN(SUBSTITUTE(tblBuildings[[#This Row],[costtext]], ",", "")) + 1)</f>
        <v>#ERROR!</v>
      </c>
      <c r="P48" s="26" t="str">
        <f>COUNTIF(tblBuildings[[#This Row],[anchor]:[wood]],"&gt;0")</f>
        <v>#ERROR!</v>
      </c>
      <c r="U48" s="26">
        <v>500.0</v>
      </c>
      <c r="AC48" s="26">
        <v>250.0</v>
      </c>
      <c r="BS48" s="26">
        <v>4.0</v>
      </c>
      <c r="CA48" s="26">
        <v>40.0</v>
      </c>
      <c r="CB48" s="26">
        <v>250.0</v>
      </c>
    </row>
    <row r="49" ht="14.25" customHeight="1">
      <c r="A49" s="96" t="s">
        <v>302</v>
      </c>
      <c r="B49" s="96" t="s">
        <v>4140</v>
      </c>
      <c r="C49" s="26" t="s">
        <v>4140</v>
      </c>
      <c r="D49" s="96" t="str">
        <f>_xlfn.XLOOKUP(tblBuildings[[#This Row],[BuildingID]],tblTargets[TargetID],tblTargets[DisplayName],"")</f>
        <v>#ERROR!</v>
      </c>
      <c r="E49" s="26" t="b">
        <v>1</v>
      </c>
      <c r="F49" s="26">
        <v>5.0</v>
      </c>
      <c r="H49" s="26" t="s">
        <v>4156</v>
      </c>
      <c r="I49" s="96"/>
      <c r="J49" s="26" t="s">
        <v>4157</v>
      </c>
      <c r="L49" s="26" t="s">
        <v>4158</v>
      </c>
      <c r="N49" s="26" t="s">
        <v>3596</v>
      </c>
      <c r="O49" s="26" t="str">
        <f>IF(tblBuildings[[#This Row],[costtext]]="", 0, LEN(tblBuildings[[#This Row],[costtext]]) - LEN(SUBSTITUTE(tblBuildings[[#This Row],[costtext]], ",", "")) + 1)</f>
        <v>#ERROR!</v>
      </c>
      <c r="P49" s="26" t="str">
        <f>COUNTIF(tblBuildings[[#This Row],[anchor]:[wood]],"&gt;0")</f>
        <v>#ERROR!</v>
      </c>
      <c r="U49" s="26">
        <v>600.0</v>
      </c>
      <c r="AC49" s="26">
        <v>300.0</v>
      </c>
      <c r="BS49" s="26">
        <v>8.0</v>
      </c>
      <c r="CA49" s="26">
        <v>50.0</v>
      </c>
      <c r="CB49" s="26">
        <v>300.0</v>
      </c>
    </row>
    <row r="50" ht="14.25" customHeight="1">
      <c r="A50" s="96" t="s">
        <v>310</v>
      </c>
      <c r="B50" s="96" t="s">
        <v>4159</v>
      </c>
      <c r="C50" s="26" t="s">
        <v>4160</v>
      </c>
      <c r="D50" s="96" t="str">
        <f>_xlfn.XLOOKUP(tblBuildings[[#This Row],[BuildingID]],tblTargets[TargetID],tblTargets[DisplayName],"")</f>
        <v>#ERROR!</v>
      </c>
      <c r="E50" s="26" t="b">
        <v>1</v>
      </c>
      <c r="F50" s="26">
        <v>1.0</v>
      </c>
      <c r="H50" s="26" t="s">
        <v>4161</v>
      </c>
      <c r="I50" s="96" t="s">
        <v>4162</v>
      </c>
      <c r="J50" s="26" t="s">
        <v>4163</v>
      </c>
      <c r="K50" s="26" t="s">
        <v>4164</v>
      </c>
      <c r="L50" s="26" t="s">
        <v>4166</v>
      </c>
      <c r="N50" s="26" t="s">
        <v>3597</v>
      </c>
      <c r="O50" s="26" t="str">
        <f>IF(tblBuildings[[#This Row],[costtext]]="", 0, LEN(tblBuildings[[#This Row],[costtext]]) - LEN(SUBSTITUTE(tblBuildings[[#This Row],[costtext]], ",", "")) + 1)</f>
        <v>#ERROR!</v>
      </c>
      <c r="P50" s="26" t="str">
        <f>COUNTIF(tblBuildings[[#This Row],[anchor]:[wood]],"&gt;0")</f>
        <v>#ERROR!</v>
      </c>
      <c r="Y50" s="26">
        <v>30.0</v>
      </c>
      <c r="AD50" s="26">
        <v>500.0</v>
      </c>
      <c r="AE50" s="26">
        <v>10.0</v>
      </c>
      <c r="AI50" s="26">
        <v>40.0</v>
      </c>
      <c r="AW50" s="26">
        <v>10.0</v>
      </c>
      <c r="AY50" s="26">
        <v>40.0</v>
      </c>
      <c r="BC50" s="26">
        <v>3.0</v>
      </c>
      <c r="BE50" s="26">
        <v>2.0</v>
      </c>
      <c r="BS50" s="26">
        <v>3.0</v>
      </c>
    </row>
    <row r="51" ht="14.25" customHeight="1">
      <c r="A51" s="96" t="s">
        <v>314</v>
      </c>
      <c r="B51" s="96" t="s">
        <v>4167</v>
      </c>
      <c r="C51" s="26" t="s">
        <v>4168</v>
      </c>
      <c r="D51" s="96" t="str">
        <f>_xlfn.XLOOKUP(tblBuildings[[#This Row],[BuildingID]],tblTargets[TargetID],tblTargets[DisplayName],"")</f>
        <v>#ERROR!</v>
      </c>
      <c r="E51" s="26" t="b">
        <v>1</v>
      </c>
      <c r="F51" s="26">
        <v>1.0</v>
      </c>
      <c r="G51" s="26">
        <v>80.0</v>
      </c>
      <c r="H51" s="26" t="s">
        <v>3979</v>
      </c>
      <c r="I51" s="96" t="s">
        <v>4170</v>
      </c>
      <c r="J51" s="26" t="s">
        <v>4171</v>
      </c>
      <c r="K51" s="26" t="s">
        <v>4172</v>
      </c>
      <c r="L51" s="26" t="s">
        <v>4173</v>
      </c>
      <c r="N51" s="26" t="s">
        <v>3599</v>
      </c>
      <c r="O51" s="26" t="str">
        <f>IF(tblBuildings[[#This Row],[costtext]]="", 0, LEN(tblBuildings[[#This Row],[costtext]]) - LEN(SUBSTITUTE(tblBuildings[[#This Row],[costtext]], ",", "")) + 1)</f>
        <v>#ERROR!</v>
      </c>
      <c r="P51" s="26" t="str">
        <f>COUNTIF(tblBuildings[[#This Row],[anchor]:[wood]],"&gt;0")</f>
        <v>#ERROR!</v>
      </c>
      <c r="Y51" s="26">
        <v>40.0</v>
      </c>
      <c r="AA51" s="26">
        <v>100.0</v>
      </c>
      <c r="AC51" s="26">
        <v>1000.0</v>
      </c>
      <c r="AK51" s="26">
        <v>50.0</v>
      </c>
      <c r="AV51" s="26">
        <v>2.0</v>
      </c>
      <c r="AW51" s="26">
        <v>30.0</v>
      </c>
      <c r="BS51" s="26">
        <v>6.0</v>
      </c>
      <c r="CA51" s="26">
        <v>300.0</v>
      </c>
      <c r="CB51" s="26">
        <v>500.0</v>
      </c>
    </row>
    <row r="52" ht="14.25" customHeight="1">
      <c r="A52" s="96" t="s">
        <v>319</v>
      </c>
      <c r="B52" s="96" t="s">
        <v>4167</v>
      </c>
      <c r="C52" s="26" t="s">
        <v>4168</v>
      </c>
      <c r="D52" s="96" t="str">
        <f>_xlfn.XLOOKUP(tblBuildings[[#This Row],[BuildingID]],tblTargets[TargetID],tblTargets[DisplayName],"")</f>
        <v>#ERROR!</v>
      </c>
      <c r="E52" s="26" t="b">
        <v>1</v>
      </c>
      <c r="F52" s="26">
        <v>2.0</v>
      </c>
      <c r="H52" s="26" t="s">
        <v>4175</v>
      </c>
      <c r="I52" s="96" t="s">
        <v>4176</v>
      </c>
      <c r="J52" s="26" t="s">
        <v>4177</v>
      </c>
      <c r="L52" s="26" t="s">
        <v>4178</v>
      </c>
      <c r="N52" s="26" t="s">
        <v>3600</v>
      </c>
      <c r="O52" s="26" t="str">
        <f>IF(tblBuildings[[#This Row],[costtext]]="", 0, LEN(tblBuildings[[#This Row],[costtext]]) - LEN(SUBSTITUTE(tblBuildings[[#This Row],[costtext]], ",", "")) + 1)</f>
        <v>#ERROR!</v>
      </c>
      <c r="P52" s="26" t="str">
        <f>COUNTIF(tblBuildings[[#This Row],[anchor]:[wood]],"&gt;0")</f>
        <v>#ERROR!</v>
      </c>
      <c r="Y52" s="26">
        <v>40.0</v>
      </c>
      <c r="AC52" s="26">
        <v>1000.0</v>
      </c>
      <c r="AK52" s="26">
        <v>70.0</v>
      </c>
      <c r="AV52" s="26">
        <v>2.0</v>
      </c>
      <c r="AX52" s="26">
        <v>30.0</v>
      </c>
      <c r="BS52" s="26">
        <v>7.0</v>
      </c>
      <c r="CA52" s="26">
        <v>400.0</v>
      </c>
      <c r="CB52" s="26">
        <v>600.0</v>
      </c>
      <c r="CE52" s="26">
        <v>20.0</v>
      </c>
    </row>
    <row r="53" ht="14.25" customHeight="1">
      <c r="A53" s="96" t="s">
        <v>322</v>
      </c>
      <c r="B53" s="96" t="s">
        <v>4167</v>
      </c>
      <c r="C53" s="26" t="s">
        <v>4168</v>
      </c>
      <c r="D53" s="96" t="str">
        <f>_xlfn.XLOOKUP(tblBuildings[[#This Row],[BuildingID]],tblTargets[TargetID],tblTargets[DisplayName],"")</f>
        <v>#ERROR!</v>
      </c>
      <c r="E53" s="26" t="b">
        <v>1</v>
      </c>
      <c r="F53" s="26">
        <v>3.0</v>
      </c>
      <c r="H53" s="26" t="s">
        <v>4179</v>
      </c>
      <c r="I53" s="96" t="s">
        <v>4176</v>
      </c>
      <c r="J53" s="26" t="s">
        <v>4180</v>
      </c>
      <c r="L53" s="26" t="s">
        <v>4181</v>
      </c>
      <c r="N53" s="26" t="s">
        <v>3601</v>
      </c>
      <c r="O53" s="26" t="str">
        <f>IF(tblBuildings[[#This Row],[costtext]]="", 0, LEN(tblBuildings[[#This Row],[costtext]]) - LEN(SUBSTITUTE(tblBuildings[[#This Row],[costtext]], ",", "")) + 1)</f>
        <v>#ERROR!</v>
      </c>
      <c r="P53" s="26" t="str">
        <f>COUNTIF(tblBuildings[[#This Row],[anchor]:[wood]],"&gt;0")</f>
        <v>#ERROR!</v>
      </c>
      <c r="X53" s="26">
        <v>20.0</v>
      </c>
      <c r="Y53" s="26">
        <v>40.0</v>
      </c>
      <c r="AC53" s="26">
        <v>1500.0</v>
      </c>
      <c r="AK53" s="26">
        <v>100.0</v>
      </c>
      <c r="AV53" s="26">
        <v>2.0</v>
      </c>
      <c r="BI53" s="26">
        <v>20.0</v>
      </c>
      <c r="BS53" s="26">
        <v>8.0</v>
      </c>
      <c r="CA53" s="26">
        <v>400.0</v>
      </c>
      <c r="CB53" s="26">
        <v>600.0</v>
      </c>
    </row>
    <row r="54" ht="14.25" customHeight="1">
      <c r="A54" s="96" t="s">
        <v>325</v>
      </c>
      <c r="B54" s="96" t="s">
        <v>4167</v>
      </c>
      <c r="C54" s="26" t="s">
        <v>4168</v>
      </c>
      <c r="D54" s="96" t="str">
        <f>_xlfn.XLOOKUP(tblBuildings[[#This Row],[BuildingID]],tblTargets[TargetID],tblTargets[DisplayName],"")</f>
        <v>#ERROR!</v>
      </c>
      <c r="E54" s="26" t="b">
        <v>1</v>
      </c>
      <c r="F54" s="26">
        <v>4.0</v>
      </c>
      <c r="H54" s="26" t="s">
        <v>4182</v>
      </c>
      <c r="I54" s="96" t="s">
        <v>4176</v>
      </c>
      <c r="J54" s="26" t="s">
        <v>4183</v>
      </c>
      <c r="L54" s="26" t="s">
        <v>4184</v>
      </c>
      <c r="N54" s="26" t="s">
        <v>3603</v>
      </c>
      <c r="O54" s="26" t="str">
        <f>IF(tblBuildings[[#This Row],[costtext]]="", 0, LEN(tblBuildings[[#This Row],[costtext]]) - LEN(SUBSTITUTE(tblBuildings[[#This Row],[costtext]], ",", "")) + 1)</f>
        <v>#ERROR!</v>
      </c>
      <c r="P54" s="26" t="str">
        <f>COUNTIF(tblBuildings[[#This Row],[anchor]:[wood]],"&gt;0")</f>
        <v>#ERROR!</v>
      </c>
      <c r="Y54" s="26">
        <v>40.0</v>
      </c>
      <c r="AC54" s="26">
        <v>2000.0</v>
      </c>
      <c r="AM54" s="26">
        <v>20.0</v>
      </c>
      <c r="AV54" s="26">
        <v>1.0</v>
      </c>
      <c r="BI54" s="26">
        <v>30.0</v>
      </c>
      <c r="BQ54" s="26">
        <v>20.0</v>
      </c>
      <c r="BS54" s="26">
        <v>9.0</v>
      </c>
      <c r="CA54" s="26">
        <v>400.0</v>
      </c>
      <c r="CB54" s="26">
        <v>600.0</v>
      </c>
    </row>
    <row r="55" ht="14.25" customHeight="1">
      <c r="A55" s="96" t="s">
        <v>328</v>
      </c>
      <c r="B55" s="96" t="s">
        <v>4167</v>
      </c>
      <c r="C55" s="26" t="s">
        <v>4168</v>
      </c>
      <c r="D55" s="96" t="str">
        <f>_xlfn.XLOOKUP(tblBuildings[[#This Row],[BuildingID]],tblTargets[TargetID],tblTargets[DisplayName],"")</f>
        <v>#ERROR!</v>
      </c>
      <c r="E55" s="26" t="b">
        <v>1</v>
      </c>
      <c r="F55" s="26">
        <v>5.0</v>
      </c>
      <c r="H55" s="26" t="s">
        <v>4185</v>
      </c>
      <c r="I55" s="96" t="s">
        <v>4176</v>
      </c>
      <c r="J55" s="26" t="s">
        <v>4186</v>
      </c>
      <c r="L55" s="26" t="s">
        <v>4187</v>
      </c>
      <c r="N55" s="26" t="s">
        <v>3605</v>
      </c>
      <c r="O55" s="26" t="str">
        <f>IF(tblBuildings[[#This Row],[costtext]]="", 0, LEN(tblBuildings[[#This Row],[costtext]]) - LEN(SUBSTITUTE(tblBuildings[[#This Row],[costtext]], ",", "")) + 1)</f>
        <v>#ERROR!</v>
      </c>
      <c r="P55" s="26" t="str">
        <f>COUNTIF(tblBuildings[[#This Row],[anchor]:[wood]],"&gt;0")</f>
        <v>#ERROR!</v>
      </c>
      <c r="Y55" s="26">
        <v>40.0</v>
      </c>
      <c r="AC55" s="26">
        <v>2000.0</v>
      </c>
      <c r="AV55" s="26">
        <v>1.0</v>
      </c>
      <c r="AW55" s="26">
        <v>30.0</v>
      </c>
      <c r="BI55" s="26">
        <v>40.0</v>
      </c>
      <c r="BN55" s="26">
        <v>20.0</v>
      </c>
      <c r="BS55" s="26">
        <v>10.0</v>
      </c>
      <c r="CA55" s="26">
        <v>500.0</v>
      </c>
      <c r="CB55" s="26">
        <v>700.0</v>
      </c>
    </row>
    <row r="56" ht="14.25" customHeight="1">
      <c r="A56" s="96" t="s">
        <v>333</v>
      </c>
      <c r="B56" s="96" t="s">
        <v>4188</v>
      </c>
      <c r="C56" s="26" t="s">
        <v>4189</v>
      </c>
      <c r="D56" s="96" t="str">
        <f>_xlfn.XLOOKUP(tblBuildings[[#This Row],[BuildingID]],tblTargets[TargetID],tblTargets[DisplayName],"")</f>
        <v>#ERROR!</v>
      </c>
      <c r="E56" s="26" t="b">
        <v>1</v>
      </c>
      <c r="F56" s="26">
        <v>1.0</v>
      </c>
      <c r="H56" s="26" t="s">
        <v>4190</v>
      </c>
      <c r="I56" s="96" t="s">
        <v>4191</v>
      </c>
      <c r="J56" s="26" t="s">
        <v>4192</v>
      </c>
      <c r="K56" s="26" t="s">
        <v>4193</v>
      </c>
      <c r="L56" s="26" t="s">
        <v>4194</v>
      </c>
      <c r="N56" s="26" t="s">
        <v>3607</v>
      </c>
      <c r="O56" s="26" t="str">
        <f>IF(tblBuildings[[#This Row],[costtext]]="", 0, LEN(tblBuildings[[#This Row],[costtext]]) - LEN(SUBSTITUTE(tblBuildings[[#This Row],[costtext]], ",", "")) + 1)</f>
        <v>#ERROR!</v>
      </c>
      <c r="P56" s="26" t="str">
        <f>COUNTIF(tblBuildings[[#This Row],[anchor]:[wood]],"&gt;0")</f>
        <v>#ERROR!</v>
      </c>
      <c r="R56" s="26">
        <v>20.0</v>
      </c>
      <c r="Y56" s="26">
        <v>50.0</v>
      </c>
      <c r="AC56" s="26">
        <v>1000.0</v>
      </c>
      <c r="AK56" s="26">
        <v>50.0</v>
      </c>
      <c r="AY56" s="26">
        <v>50.0</v>
      </c>
      <c r="BN56" s="26">
        <v>20.0</v>
      </c>
      <c r="BS56" s="26">
        <v>10.0</v>
      </c>
      <c r="CA56" s="26">
        <v>300.0</v>
      </c>
      <c r="CB56" s="26">
        <v>500.0</v>
      </c>
    </row>
    <row r="57" ht="14.25" customHeight="1">
      <c r="A57" s="96" t="s">
        <v>338</v>
      </c>
      <c r="B57" s="96" t="s">
        <v>4195</v>
      </c>
      <c r="C57" s="26" t="s">
        <v>4195</v>
      </c>
      <c r="D57" s="96" t="str">
        <f>_xlfn.XLOOKUP(tblBuildings[[#This Row],[BuildingID]],tblTargets[TargetID],tblTargets[DisplayName],"")</f>
        <v>#ERROR!</v>
      </c>
      <c r="E57" s="26" t="b">
        <v>1</v>
      </c>
      <c r="F57" s="26">
        <v>1.0</v>
      </c>
      <c r="G57" s="26">
        <v>11.0</v>
      </c>
      <c r="H57" s="26" t="s">
        <v>3979</v>
      </c>
      <c r="I57" s="96"/>
      <c r="J57" s="26" t="s">
        <v>4196</v>
      </c>
      <c r="L57" s="26" t="s">
        <v>186</v>
      </c>
      <c r="N57" s="26" t="s">
        <v>3608</v>
      </c>
      <c r="O57" s="26" t="str">
        <f>IF(tblBuildings[[#This Row],[costtext]]="", 0, LEN(tblBuildings[[#This Row],[costtext]]) - LEN(SUBSTITUTE(tblBuildings[[#This Row],[costtext]], ",", "")) + 1)</f>
        <v>#ERROR!</v>
      </c>
      <c r="P57" s="26" t="str">
        <f>COUNTIF(tblBuildings[[#This Row],[anchor]:[wood]],"&gt;0")</f>
        <v>#ERROR!</v>
      </c>
      <c r="AC57" s="26">
        <v>300.0</v>
      </c>
      <c r="BS57" s="26">
        <v>1.0</v>
      </c>
      <c r="CB57" s="26">
        <v>150.0</v>
      </c>
      <c r="CH57" s="26">
        <v>150.0</v>
      </c>
    </row>
    <row r="58" ht="14.25" customHeight="1">
      <c r="A58" s="96" t="s">
        <v>344</v>
      </c>
      <c r="B58" s="96" t="s">
        <v>4195</v>
      </c>
      <c r="C58" s="26" t="s">
        <v>4195</v>
      </c>
      <c r="D58" s="96" t="str">
        <f>_xlfn.XLOOKUP(tblBuildings[[#This Row],[BuildingID]],tblTargets[TargetID],tblTargets[DisplayName],"")</f>
        <v>#ERROR!</v>
      </c>
      <c r="E58" s="26" t="b">
        <v>1</v>
      </c>
      <c r="F58" s="26">
        <v>2.0</v>
      </c>
      <c r="H58" s="26" t="s">
        <v>4116</v>
      </c>
      <c r="I58" s="96" t="s">
        <v>4197</v>
      </c>
      <c r="J58" s="26" t="s">
        <v>4118</v>
      </c>
      <c r="L58" s="26" t="s">
        <v>4198</v>
      </c>
      <c r="N58" s="26" t="s">
        <v>3579</v>
      </c>
      <c r="O58" s="26" t="str">
        <f>IF(tblBuildings[[#This Row],[costtext]]="", 0, LEN(tblBuildings[[#This Row],[costtext]]) - LEN(SUBSTITUTE(tblBuildings[[#This Row],[costtext]], ",", "")) + 1)</f>
        <v>#ERROR!</v>
      </c>
      <c r="P58" s="26" t="str">
        <f>COUNTIF(tblBuildings[[#This Row],[anchor]:[wood]],"&gt;0")</f>
        <v>#ERROR!</v>
      </c>
      <c r="U58" s="26">
        <v>400.0</v>
      </c>
      <c r="AC58" s="26">
        <v>500.0</v>
      </c>
      <c r="BS58" s="26">
        <v>3.0</v>
      </c>
      <c r="CA58" s="26">
        <v>20.0</v>
      </c>
      <c r="CB58" s="26">
        <v>200.0</v>
      </c>
    </row>
    <row r="59" ht="14.25" customHeight="1">
      <c r="A59" s="96" t="s">
        <v>348</v>
      </c>
      <c r="B59" s="96" t="s">
        <v>4195</v>
      </c>
      <c r="C59" s="26" t="s">
        <v>4195</v>
      </c>
      <c r="D59" s="96" t="str">
        <f>_xlfn.XLOOKUP(tblBuildings[[#This Row],[BuildingID]],tblTargets[TargetID],tblTargets[DisplayName],"")</f>
        <v>#ERROR!</v>
      </c>
      <c r="E59" s="26" t="b">
        <v>1</v>
      </c>
      <c r="F59" s="26">
        <v>3.0</v>
      </c>
      <c r="H59" s="26" t="s">
        <v>3979</v>
      </c>
      <c r="I59" s="96"/>
      <c r="J59" s="26" t="s">
        <v>4199</v>
      </c>
      <c r="L59" s="26" t="s">
        <v>4200</v>
      </c>
      <c r="N59" s="26" t="s">
        <v>3611</v>
      </c>
      <c r="O59" s="26" t="str">
        <f>IF(tblBuildings[[#This Row],[costtext]]="", 0, LEN(tblBuildings[[#This Row],[costtext]]) - LEN(SUBSTITUTE(tblBuildings[[#This Row],[costtext]], ",", "")) + 1)</f>
        <v>#ERROR!</v>
      </c>
      <c r="P59" s="26" t="str">
        <f>COUNTIF(tblBuildings[[#This Row],[anchor]:[wood]],"&gt;0")</f>
        <v>#ERROR!</v>
      </c>
      <c r="U59" s="26">
        <v>600.0</v>
      </c>
      <c r="AC59" s="26">
        <v>800.0</v>
      </c>
      <c r="BS59" s="26">
        <v>5.0</v>
      </c>
      <c r="CA59" s="26">
        <v>100.0</v>
      </c>
      <c r="CB59" s="26">
        <v>300.0</v>
      </c>
    </row>
    <row r="60" ht="14.25" customHeight="1">
      <c r="A60" s="96" t="s">
        <v>354</v>
      </c>
      <c r="B60" s="96" t="s">
        <v>4201</v>
      </c>
      <c r="C60" s="26" t="s">
        <v>4201</v>
      </c>
      <c r="D60" s="96" t="str">
        <f>_xlfn.XLOOKUP(tblBuildings[[#This Row],[BuildingID]],tblTargets[TargetID],tblTargets[DisplayName],"")</f>
        <v>#ERROR!</v>
      </c>
      <c r="E60" s="26" t="b">
        <v>1</v>
      </c>
      <c r="F60" s="26">
        <v>1.0</v>
      </c>
      <c r="G60" s="26">
        <v>20.0</v>
      </c>
      <c r="H60" s="26" t="s">
        <v>4161</v>
      </c>
      <c r="I60" s="96" t="s">
        <v>4144</v>
      </c>
      <c r="J60" s="26" t="s">
        <v>4203</v>
      </c>
      <c r="L60" s="26" t="s">
        <v>186</v>
      </c>
      <c r="N60" s="26" t="s">
        <v>3613</v>
      </c>
      <c r="O60" s="26" t="str">
        <f>IF(tblBuildings[[#This Row],[costtext]]="", 0, LEN(tblBuildings[[#This Row],[costtext]]) - LEN(SUBSTITUTE(tblBuildings[[#This Row],[costtext]], ",", "")) + 1)</f>
        <v>#ERROR!</v>
      </c>
      <c r="P60" s="26" t="str">
        <f>COUNTIF(tblBuildings[[#This Row],[anchor]:[wood]],"&gt;0")</f>
        <v>#ERROR!</v>
      </c>
      <c r="AC60" s="26">
        <v>500.0</v>
      </c>
      <c r="BL60" s="26">
        <v>500.0</v>
      </c>
      <c r="BS60" s="26">
        <v>3.0</v>
      </c>
      <c r="CB60" s="26">
        <v>400.0</v>
      </c>
    </row>
    <row r="61" ht="14.25" customHeight="1">
      <c r="A61" s="96" t="s">
        <v>359</v>
      </c>
      <c r="B61" s="96" t="s">
        <v>4201</v>
      </c>
      <c r="C61" s="26" t="s">
        <v>4201</v>
      </c>
      <c r="D61" s="96" t="str">
        <f>_xlfn.XLOOKUP(tblBuildings[[#This Row],[BuildingID]],tblTargets[TargetID],tblTargets[DisplayName],"")</f>
        <v>#ERROR!</v>
      </c>
      <c r="E61" s="26" t="b">
        <v>1</v>
      </c>
      <c r="F61" s="26">
        <v>2.0</v>
      </c>
      <c r="H61" s="26" t="s">
        <v>4205</v>
      </c>
      <c r="I61" s="96"/>
      <c r="J61" s="26" t="s">
        <v>4206</v>
      </c>
      <c r="L61" s="26" t="s">
        <v>4207</v>
      </c>
      <c r="N61" s="26" t="s">
        <v>3614</v>
      </c>
      <c r="O61" s="26" t="str">
        <f>IF(tblBuildings[[#This Row],[costtext]]="", 0, LEN(tblBuildings[[#This Row],[costtext]]) - LEN(SUBSTITUTE(tblBuildings[[#This Row],[costtext]], ",", "")) + 1)</f>
        <v>#ERROR!</v>
      </c>
      <c r="P61" s="26" t="str">
        <f>COUNTIF(tblBuildings[[#This Row],[anchor]:[wood]],"&gt;0")</f>
        <v>#ERROR!</v>
      </c>
      <c r="AC61" s="26">
        <v>800.0</v>
      </c>
      <c r="BL61" s="26">
        <v>600.0</v>
      </c>
      <c r="BS61" s="26">
        <v>5.0</v>
      </c>
      <c r="CB61" s="26">
        <v>500.0</v>
      </c>
    </row>
    <row r="62" ht="14.25" customHeight="1">
      <c r="A62" s="96" t="s">
        <v>362</v>
      </c>
      <c r="B62" s="96" t="s">
        <v>4208</v>
      </c>
      <c r="C62" s="26" t="s">
        <v>4208</v>
      </c>
      <c r="D62" s="96" t="str">
        <f>_xlfn.XLOOKUP(tblBuildings[[#This Row],[BuildingID]],tblTargets[TargetID],tblTargets[DisplayName],"")</f>
        <v>#ERROR!</v>
      </c>
      <c r="E62" s="26" t="b">
        <v>1</v>
      </c>
      <c r="F62" s="26">
        <v>1.0</v>
      </c>
      <c r="G62" s="26">
        <v>31.0</v>
      </c>
      <c r="H62" s="26" t="s">
        <v>4210</v>
      </c>
      <c r="I62" s="96"/>
      <c r="J62" s="26" t="s">
        <v>4211</v>
      </c>
      <c r="K62" s="26" t="s">
        <v>3970</v>
      </c>
      <c r="L62" s="26" t="s">
        <v>4212</v>
      </c>
      <c r="N62" s="26" t="s">
        <v>3616</v>
      </c>
      <c r="O62" s="26" t="str">
        <f>IF(tblBuildings[[#This Row],[costtext]]="", 0, LEN(tblBuildings[[#This Row],[costtext]]) - LEN(SUBSTITUTE(tblBuildings[[#This Row],[costtext]], ",", "")) + 1)</f>
        <v>#ERROR!</v>
      </c>
      <c r="P62" s="26" t="str">
        <f>COUNTIF(tblBuildings[[#This Row],[anchor]:[wood]],"&gt;0")</f>
        <v>#ERROR!</v>
      </c>
      <c r="S62" s="26">
        <v>300.0</v>
      </c>
      <c r="U62" s="26">
        <v>1000.0</v>
      </c>
      <c r="AC62" s="26">
        <v>1000.0</v>
      </c>
      <c r="AR62" s="26">
        <v>100.0</v>
      </c>
      <c r="BS62" s="26">
        <v>6.0</v>
      </c>
      <c r="CB62" s="26">
        <v>1000.0</v>
      </c>
    </row>
    <row r="63" ht="14.25" customHeight="1">
      <c r="A63" s="96" t="s">
        <v>364</v>
      </c>
      <c r="B63" s="96" t="s">
        <v>4208</v>
      </c>
      <c r="C63" s="26" t="s">
        <v>4208</v>
      </c>
      <c r="D63" s="96" t="str">
        <f>_xlfn.XLOOKUP(tblBuildings[[#This Row],[BuildingID]],tblTargets[TargetID],tblTargets[DisplayName],"")</f>
        <v>#ERROR!</v>
      </c>
      <c r="E63" s="26" t="b">
        <v>1</v>
      </c>
      <c r="F63" s="26">
        <v>2.0</v>
      </c>
      <c r="H63" s="26" t="s">
        <v>4215</v>
      </c>
      <c r="I63" s="96"/>
      <c r="J63" s="26" t="s">
        <v>4216</v>
      </c>
      <c r="L63" s="26" t="s">
        <v>4217</v>
      </c>
      <c r="N63" s="26" t="s">
        <v>3617</v>
      </c>
      <c r="O63" s="26" t="str">
        <f>IF(tblBuildings[[#This Row],[costtext]]="", 0, LEN(tblBuildings[[#This Row],[costtext]]) - LEN(SUBSTITUTE(tblBuildings[[#This Row],[costtext]], ",", "")) + 1)</f>
        <v>#ERROR!</v>
      </c>
      <c r="P63" s="26" t="str">
        <f>COUNTIF(tblBuildings[[#This Row],[anchor]:[wood]],"&gt;0")</f>
        <v>#ERROR!</v>
      </c>
      <c r="U63" s="26">
        <v>1500.0</v>
      </c>
      <c r="AC63" s="26">
        <v>1500.0</v>
      </c>
      <c r="BB63" s="26">
        <v>30.0</v>
      </c>
      <c r="BS63" s="26">
        <v>8.0</v>
      </c>
      <c r="CA63" s="26">
        <v>300.0</v>
      </c>
      <c r="CB63" s="26">
        <v>3000.0</v>
      </c>
    </row>
    <row r="64" ht="14.25" customHeight="1">
      <c r="A64" s="96" t="s">
        <v>366</v>
      </c>
      <c r="B64" s="96" t="s">
        <v>4208</v>
      </c>
      <c r="C64" s="26" t="s">
        <v>4208</v>
      </c>
      <c r="D64" s="96" t="str">
        <f>_xlfn.XLOOKUP(tblBuildings[[#This Row],[BuildingID]],tblTargets[TargetID],tblTargets[DisplayName],"")</f>
        <v>#ERROR!</v>
      </c>
      <c r="E64" s="26" t="b">
        <v>1</v>
      </c>
      <c r="F64" s="26">
        <v>3.0</v>
      </c>
      <c r="H64" s="26" t="s">
        <v>4219</v>
      </c>
      <c r="I64" s="96"/>
      <c r="J64" s="26" t="s">
        <v>4220</v>
      </c>
      <c r="L64" s="26" t="s">
        <v>4221</v>
      </c>
      <c r="N64" s="26" t="s">
        <v>3619</v>
      </c>
      <c r="O64" s="26" t="str">
        <f>IF(tblBuildings[[#This Row],[costtext]]="", 0, LEN(tblBuildings[[#This Row],[costtext]]) - LEN(SUBSTITUTE(tblBuildings[[#This Row],[costtext]], ",", "")) + 1)</f>
        <v>#ERROR!</v>
      </c>
      <c r="P64" s="26" t="str">
        <f>COUNTIF(tblBuildings[[#This Row],[anchor]:[wood]],"&gt;0")</f>
        <v>#ERROR!</v>
      </c>
      <c r="U64" s="26">
        <v>2000.0</v>
      </c>
      <c r="AC64" s="26">
        <v>2000.0</v>
      </c>
      <c r="BF64" s="26">
        <v>20.0</v>
      </c>
      <c r="BS64" s="26">
        <v>10.0</v>
      </c>
      <c r="BT64" s="26">
        <v>20.0</v>
      </c>
      <c r="CB64" s="26">
        <v>5000.0</v>
      </c>
    </row>
    <row r="65" ht="14.25" customHeight="1">
      <c r="A65" s="96" t="s">
        <v>368</v>
      </c>
      <c r="B65" s="96" t="s">
        <v>4223</v>
      </c>
      <c r="C65" s="26" t="s">
        <v>4223</v>
      </c>
      <c r="D65" s="96" t="str">
        <f>_xlfn.XLOOKUP(tblBuildings[[#This Row],[BuildingID]],tblTargets[TargetID],tblTargets[DisplayName],"")</f>
        <v>#ERROR!</v>
      </c>
      <c r="E65" s="26" t="b">
        <v>1</v>
      </c>
      <c r="F65" s="26">
        <v>1.0</v>
      </c>
      <c r="G65" s="26">
        <v>4.0</v>
      </c>
      <c r="H65" s="26" t="s">
        <v>4225</v>
      </c>
      <c r="I65" s="96"/>
      <c r="J65" s="26" t="s">
        <v>4226</v>
      </c>
      <c r="L65" s="26" t="s">
        <v>186</v>
      </c>
      <c r="N65" s="26" t="s">
        <v>3620</v>
      </c>
      <c r="O65" s="26" t="str">
        <f>IF(tblBuildings[[#This Row],[costtext]]="", 0, LEN(tblBuildings[[#This Row],[costtext]]) - LEN(SUBSTITUTE(tblBuildings[[#This Row],[costtext]], ",", "")) + 1)</f>
        <v>#ERROR!</v>
      </c>
      <c r="P65" s="26" t="str">
        <f>COUNTIF(tblBuildings[[#This Row],[anchor]:[wood]],"&gt;0")</f>
        <v>#ERROR!</v>
      </c>
      <c r="AC65" s="26">
        <v>50.0</v>
      </c>
      <c r="BK65" s="26">
        <v>5.0</v>
      </c>
      <c r="BS65" s="26">
        <v>1.0</v>
      </c>
      <c r="CB65" s="26">
        <v>50.0</v>
      </c>
      <c r="CH65" s="26">
        <v>50.0</v>
      </c>
    </row>
    <row r="66" ht="14.25" customHeight="1">
      <c r="A66" s="96" t="s">
        <v>370</v>
      </c>
      <c r="B66" s="96" t="s">
        <v>4223</v>
      </c>
      <c r="C66" s="26" t="s">
        <v>4223</v>
      </c>
      <c r="D66" s="96" t="str">
        <f>_xlfn.XLOOKUP(tblBuildings[[#This Row],[BuildingID]],tblTargets[TargetID],tblTargets[DisplayName],"")</f>
        <v>#ERROR!</v>
      </c>
      <c r="E66" s="26" t="b">
        <v>1</v>
      </c>
      <c r="F66" s="26">
        <v>2.0</v>
      </c>
      <c r="G66" s="26">
        <v>7.0</v>
      </c>
      <c r="H66" s="26" t="s">
        <v>4229</v>
      </c>
      <c r="I66" s="96"/>
      <c r="J66" s="26" t="s">
        <v>4230</v>
      </c>
      <c r="L66" s="26" t="s">
        <v>4231</v>
      </c>
      <c r="N66" s="26" t="s">
        <v>3621</v>
      </c>
      <c r="O66" s="26" t="str">
        <f>IF(tblBuildings[[#This Row],[costtext]]="", 0, LEN(tblBuildings[[#This Row],[costtext]]) - LEN(SUBSTITUTE(tblBuildings[[#This Row],[costtext]], ",", "")) + 1)</f>
        <v>#ERROR!</v>
      </c>
      <c r="P66" s="26" t="str">
        <f>COUNTIF(tblBuildings[[#This Row],[anchor]:[wood]],"&gt;0")</f>
        <v>#ERROR!</v>
      </c>
      <c r="AA66" s="26">
        <v>10.0</v>
      </c>
      <c r="AC66" s="26">
        <v>200.0</v>
      </c>
      <c r="BS66" s="26">
        <v>2.0</v>
      </c>
      <c r="CB66" s="26">
        <v>200.0</v>
      </c>
      <c r="CH66" s="26">
        <v>200.0</v>
      </c>
    </row>
    <row r="67" ht="14.25" customHeight="1">
      <c r="A67" s="96" t="s">
        <v>372</v>
      </c>
      <c r="B67" s="96" t="s">
        <v>4223</v>
      </c>
      <c r="C67" s="26" t="s">
        <v>4223</v>
      </c>
      <c r="D67" s="96" t="str">
        <f>_xlfn.XLOOKUP(tblBuildings[[#This Row],[BuildingID]],tblTargets[TargetID],tblTargets[DisplayName],"")</f>
        <v>#ERROR!</v>
      </c>
      <c r="E67" s="26" t="b">
        <v>1</v>
      </c>
      <c r="F67" s="26">
        <v>3.0</v>
      </c>
      <c r="G67" s="26">
        <v>10.0</v>
      </c>
      <c r="H67" s="26" t="s">
        <v>4229</v>
      </c>
      <c r="I67" s="96"/>
      <c r="J67" s="26" t="s">
        <v>4232</v>
      </c>
      <c r="L67" s="26" t="s">
        <v>4233</v>
      </c>
      <c r="N67" s="26" t="s">
        <v>3623</v>
      </c>
      <c r="O67" s="26" t="str">
        <f>IF(tblBuildings[[#This Row],[costtext]]="", 0, LEN(tblBuildings[[#This Row],[costtext]]) - LEN(SUBSTITUTE(tblBuildings[[#This Row],[costtext]], ",", "")) + 1)</f>
        <v>#ERROR!</v>
      </c>
      <c r="P67" s="26" t="str">
        <f>COUNTIF(tblBuildings[[#This Row],[anchor]:[wood]],"&gt;0")</f>
        <v>#ERROR!</v>
      </c>
      <c r="U67" s="26">
        <v>600.0</v>
      </c>
      <c r="AC67" s="26">
        <v>300.0</v>
      </c>
      <c r="BS67" s="26">
        <v>4.0</v>
      </c>
      <c r="CA67" s="26">
        <v>50.0</v>
      </c>
      <c r="CB67" s="26">
        <v>300.0</v>
      </c>
    </row>
    <row r="68" ht="14.25" customHeight="1">
      <c r="A68" s="96" t="s">
        <v>374</v>
      </c>
      <c r="B68" s="96" t="s">
        <v>4223</v>
      </c>
      <c r="C68" s="26" t="s">
        <v>4223</v>
      </c>
      <c r="D68" s="96" t="str">
        <f>_xlfn.XLOOKUP(tblBuildings[[#This Row],[BuildingID]],tblTargets[TargetID],tblTargets[DisplayName],"")</f>
        <v>#ERROR!</v>
      </c>
      <c r="E68" s="26" t="b">
        <v>1</v>
      </c>
      <c r="F68" s="26">
        <v>4.0</v>
      </c>
      <c r="G68" s="26">
        <v>14.0</v>
      </c>
      <c r="H68" s="26" t="s">
        <v>4229</v>
      </c>
      <c r="I68" s="96"/>
      <c r="J68" s="26" t="s">
        <v>4234</v>
      </c>
      <c r="L68" s="26" t="s">
        <v>4235</v>
      </c>
      <c r="N68" s="26" t="s">
        <v>3624</v>
      </c>
      <c r="O68" s="26" t="str">
        <f>IF(tblBuildings[[#This Row],[costtext]]="", 0, LEN(tblBuildings[[#This Row],[costtext]]) - LEN(SUBSTITUTE(tblBuildings[[#This Row],[costtext]], ",", "")) + 1)</f>
        <v>#ERROR!</v>
      </c>
      <c r="P68" s="26" t="str">
        <f>COUNTIF(tblBuildings[[#This Row],[anchor]:[wood]],"&gt;0")</f>
        <v>#ERROR!</v>
      </c>
      <c r="U68" s="26">
        <v>700.0</v>
      </c>
      <c r="AC68" s="26">
        <v>350.0</v>
      </c>
      <c r="AH68" s="26">
        <v>30.0</v>
      </c>
      <c r="BS68" s="26">
        <v>6.0</v>
      </c>
      <c r="CB68" s="26">
        <v>350.0</v>
      </c>
    </row>
    <row r="69" ht="14.25" customHeight="1">
      <c r="A69" s="96" t="s">
        <v>376</v>
      </c>
      <c r="B69" s="96" t="s">
        <v>4223</v>
      </c>
      <c r="C69" s="26" t="s">
        <v>4223</v>
      </c>
      <c r="D69" s="96" t="str">
        <f>_xlfn.XLOOKUP(tblBuildings[[#This Row],[BuildingID]],tblTargets[TargetID],tblTargets[DisplayName],"")</f>
        <v>#ERROR!</v>
      </c>
      <c r="E69" s="26" t="b">
        <v>1</v>
      </c>
      <c r="F69" s="26">
        <v>5.0</v>
      </c>
      <c r="G69" s="26">
        <v>18.0</v>
      </c>
      <c r="H69" s="26" t="s">
        <v>4229</v>
      </c>
      <c r="I69" s="96"/>
      <c r="J69" s="26" t="s">
        <v>4236</v>
      </c>
      <c r="L69" s="26" t="s">
        <v>4237</v>
      </c>
      <c r="N69" s="26" t="s">
        <v>3625</v>
      </c>
      <c r="O69" s="26" t="str">
        <f>IF(tblBuildings[[#This Row],[costtext]]="", 0, LEN(tblBuildings[[#This Row],[costtext]]) - LEN(SUBSTITUTE(tblBuildings[[#This Row],[costtext]], ",", "")) + 1)</f>
        <v>#ERROR!</v>
      </c>
      <c r="P69" s="26" t="str">
        <f>COUNTIF(tblBuildings[[#This Row],[anchor]:[wood]],"&gt;0")</f>
        <v>#ERROR!</v>
      </c>
      <c r="U69" s="26">
        <v>800.0</v>
      </c>
      <c r="AC69" s="26">
        <v>400.0</v>
      </c>
      <c r="AR69" s="26">
        <v>30.0</v>
      </c>
      <c r="BS69" s="26">
        <v>8.0</v>
      </c>
      <c r="CB69" s="26">
        <v>400.0</v>
      </c>
    </row>
    <row r="70" ht="14.25" customHeight="1">
      <c r="A70" s="96" t="s">
        <v>378</v>
      </c>
      <c r="B70" s="96" t="s">
        <v>4223</v>
      </c>
      <c r="C70" s="26" t="s">
        <v>4223</v>
      </c>
      <c r="D70" s="96" t="str">
        <f>_xlfn.XLOOKUP(tblBuildings[[#This Row],[BuildingID]],tblTargets[TargetID],tblTargets[DisplayName],"")</f>
        <v>#ERROR!</v>
      </c>
      <c r="E70" s="26" t="b">
        <v>1</v>
      </c>
      <c r="F70" s="26">
        <v>6.0</v>
      </c>
      <c r="G70" s="26">
        <v>23.0</v>
      </c>
      <c r="H70" s="26" t="s">
        <v>4229</v>
      </c>
      <c r="I70" s="96"/>
      <c r="J70" s="26" t="s">
        <v>4238</v>
      </c>
      <c r="L70" s="26" t="s">
        <v>4239</v>
      </c>
      <c r="N70" s="26" t="s">
        <v>3627</v>
      </c>
      <c r="O70" s="26" t="str">
        <f>IF(tblBuildings[[#This Row],[costtext]]="", 0, LEN(tblBuildings[[#This Row],[costtext]]) - LEN(SUBSTITUTE(tblBuildings[[#This Row],[costtext]], ",", "")) + 1)</f>
        <v>#ERROR!</v>
      </c>
      <c r="P70" s="26" t="str">
        <f>COUNTIF(tblBuildings[[#This Row],[anchor]:[wood]],"&gt;0")</f>
        <v>#ERROR!</v>
      </c>
      <c r="U70" s="26">
        <v>900.0</v>
      </c>
      <c r="AC70" s="26">
        <v>450.0</v>
      </c>
      <c r="AQ70" s="26">
        <v>5.0</v>
      </c>
      <c r="BS70" s="26">
        <v>10.0</v>
      </c>
      <c r="BZ70" s="26">
        <v>5.0</v>
      </c>
      <c r="CB70" s="26">
        <v>450.0</v>
      </c>
    </row>
    <row r="71" ht="14.25" customHeight="1">
      <c r="A71" s="96" t="s">
        <v>381</v>
      </c>
      <c r="B71" s="96" t="s">
        <v>4223</v>
      </c>
      <c r="C71" s="26" t="s">
        <v>4223</v>
      </c>
      <c r="D71" s="96" t="str">
        <f>_xlfn.XLOOKUP(tblBuildings[[#This Row],[BuildingID]],tblTargets[TargetID],tblTargets[DisplayName],"")</f>
        <v>#ERROR!</v>
      </c>
      <c r="E71" s="26" t="b">
        <v>1</v>
      </c>
      <c r="F71" s="26">
        <v>7.0</v>
      </c>
      <c r="G71" s="26">
        <v>28.0</v>
      </c>
      <c r="H71" s="26" t="s">
        <v>4229</v>
      </c>
      <c r="I71" s="96"/>
      <c r="J71" s="26" t="s">
        <v>4240</v>
      </c>
      <c r="L71" s="26" t="s">
        <v>4241</v>
      </c>
      <c r="N71" s="26" t="s">
        <v>3628</v>
      </c>
      <c r="O71" s="26" t="str">
        <f>IF(tblBuildings[[#This Row],[costtext]]="", 0, LEN(tblBuildings[[#This Row],[costtext]]) - LEN(SUBSTITUTE(tblBuildings[[#This Row],[costtext]], ",", "")) + 1)</f>
        <v>#ERROR!</v>
      </c>
      <c r="P71" s="26" t="str">
        <f>COUNTIF(tblBuildings[[#This Row],[anchor]:[wood]],"&gt;0")</f>
        <v>#ERROR!</v>
      </c>
      <c r="U71" s="26">
        <v>1000.0</v>
      </c>
      <c r="AC71" s="26">
        <v>500.0</v>
      </c>
      <c r="BJ71" s="26">
        <v>5.0</v>
      </c>
      <c r="BS71" s="26">
        <v>15.0</v>
      </c>
      <c r="BU71" s="26">
        <v>1.0</v>
      </c>
      <c r="BV71" s="26">
        <v>5.0</v>
      </c>
      <c r="CB71" s="26">
        <v>500.0</v>
      </c>
      <c r="CF71" s="26">
        <v>3.0</v>
      </c>
    </row>
    <row r="72" ht="14.25" customHeight="1">
      <c r="A72" s="96" t="s">
        <v>383</v>
      </c>
      <c r="B72" s="96" t="s">
        <v>4242</v>
      </c>
      <c r="C72" s="26" t="s">
        <v>4242</v>
      </c>
      <c r="D72" s="96" t="str">
        <f>_xlfn.XLOOKUP(tblBuildings[[#This Row],[BuildingID]],tblTargets[TargetID],tblTargets[DisplayName],"")</f>
        <v>#ERROR!</v>
      </c>
      <c r="E72" s="26" t="b">
        <v>1</v>
      </c>
      <c r="F72" s="26">
        <v>1.0</v>
      </c>
      <c r="G72" s="26">
        <v>22.0</v>
      </c>
      <c r="H72" s="26" t="s">
        <v>4243</v>
      </c>
      <c r="I72" s="96"/>
      <c r="J72" s="26" t="s">
        <v>4244</v>
      </c>
      <c r="K72" s="26" t="s">
        <v>4245</v>
      </c>
      <c r="L72" s="26" t="s">
        <v>4246</v>
      </c>
      <c r="N72" s="26" t="s">
        <v>3629</v>
      </c>
      <c r="O72" s="26" t="str">
        <f>IF(tblBuildings[[#This Row],[costtext]]="", 0, LEN(tblBuildings[[#This Row],[costtext]]) - LEN(SUBSTITUTE(tblBuildings[[#This Row],[costtext]], ",", "")) + 1)</f>
        <v>#ERROR!</v>
      </c>
      <c r="P72" s="26" t="str">
        <f>COUNTIF(tblBuildings[[#This Row],[anchor]:[wood]],"&gt;0")</f>
        <v>#ERROR!</v>
      </c>
      <c r="AC72" s="26">
        <v>400.0</v>
      </c>
      <c r="BL72" s="26">
        <v>400.0</v>
      </c>
      <c r="BS72" s="26">
        <v>3.0</v>
      </c>
      <c r="CB72" s="26">
        <v>300.0</v>
      </c>
      <c r="CH72" s="26">
        <v>50.0</v>
      </c>
    </row>
    <row r="73" ht="14.25" customHeight="1">
      <c r="A73" s="96" t="s">
        <v>385</v>
      </c>
      <c r="B73" s="96" t="s">
        <v>4247</v>
      </c>
      <c r="C73" s="26" t="s">
        <v>4248</v>
      </c>
      <c r="D73" s="96" t="str">
        <f>_xlfn.XLOOKUP(tblBuildings[[#This Row],[BuildingID]],tblTargets[TargetID],tblTargets[DisplayName],"")</f>
        <v>#ERROR!</v>
      </c>
      <c r="E73" s="26" t="b">
        <v>1</v>
      </c>
      <c r="F73" s="26">
        <v>1.0</v>
      </c>
      <c r="G73" s="26">
        <v>13.0</v>
      </c>
      <c r="H73" s="26" t="s">
        <v>4249</v>
      </c>
      <c r="I73" s="96"/>
      <c r="J73" s="26" t="s">
        <v>4250</v>
      </c>
      <c r="L73" s="26" t="s">
        <v>186</v>
      </c>
      <c r="N73" s="26" t="s">
        <v>3631</v>
      </c>
      <c r="O73" s="26" t="str">
        <f>IF(tblBuildings[[#This Row],[costtext]]="", 0, LEN(tblBuildings[[#This Row],[costtext]]) - LEN(SUBSTITUTE(tblBuildings[[#This Row],[costtext]], ",", "")) + 1)</f>
        <v>#ERROR!</v>
      </c>
      <c r="P73" s="26" t="str">
        <f>COUNTIF(tblBuildings[[#This Row],[anchor]:[wood]],"&gt;0")</f>
        <v>#ERROR!</v>
      </c>
      <c r="AC73" s="26">
        <v>400.0</v>
      </c>
      <c r="BS73" s="26">
        <v>1.0</v>
      </c>
      <c r="CB73" s="26">
        <v>200.0</v>
      </c>
      <c r="CH73" s="26">
        <v>100.0</v>
      </c>
    </row>
    <row r="74" ht="14.25" customHeight="1">
      <c r="A74" s="96" t="s">
        <v>388</v>
      </c>
      <c r="B74" s="96" t="s">
        <v>4247</v>
      </c>
      <c r="C74" s="26" t="s">
        <v>4248</v>
      </c>
      <c r="D74" s="96" t="str">
        <f>_xlfn.XLOOKUP(tblBuildings[[#This Row],[BuildingID]],tblTargets[TargetID],tblTargets[DisplayName],"")</f>
        <v>#ERROR!</v>
      </c>
      <c r="E74" s="26" t="b">
        <v>1</v>
      </c>
      <c r="F74" s="26">
        <v>2.0</v>
      </c>
      <c r="H74" s="26" t="s">
        <v>4251</v>
      </c>
      <c r="I74" s="96"/>
      <c r="J74" s="26" t="s">
        <v>4252</v>
      </c>
      <c r="L74" s="26" t="s">
        <v>4253</v>
      </c>
      <c r="N74" s="26" t="s">
        <v>3632</v>
      </c>
      <c r="O74" s="26" t="str">
        <f>IF(tblBuildings[[#This Row],[costtext]]="", 0, LEN(tblBuildings[[#This Row],[costtext]]) - LEN(SUBSTITUTE(tblBuildings[[#This Row],[costtext]], ",", "")) + 1)</f>
        <v>#ERROR!</v>
      </c>
      <c r="P74" s="26" t="str">
        <f>COUNTIF(tblBuildings[[#This Row],[anchor]:[wood]],"&gt;0")</f>
        <v>#ERROR!</v>
      </c>
      <c r="AC74" s="26">
        <v>600.0</v>
      </c>
      <c r="BS74" s="26">
        <v>2.0</v>
      </c>
      <c r="CB74" s="26">
        <v>300.0</v>
      </c>
      <c r="CH74" s="26">
        <v>150.0</v>
      </c>
    </row>
    <row r="75" ht="14.25" customHeight="1">
      <c r="A75" s="96" t="s">
        <v>390</v>
      </c>
      <c r="B75" s="96" t="s">
        <v>4247</v>
      </c>
      <c r="C75" s="26" t="s">
        <v>4248</v>
      </c>
      <c r="D75" s="96" t="str">
        <f>_xlfn.XLOOKUP(tblBuildings[[#This Row],[BuildingID]],tblTargets[TargetID],tblTargets[DisplayName],"")</f>
        <v>#ERROR!</v>
      </c>
      <c r="E75" s="26" t="b">
        <v>1</v>
      </c>
      <c r="F75" s="26">
        <v>3.0</v>
      </c>
      <c r="H75" s="26" t="s">
        <v>4254</v>
      </c>
      <c r="I75" s="96"/>
      <c r="J75" s="26" t="s">
        <v>4255</v>
      </c>
      <c r="L75" s="26" t="s">
        <v>4256</v>
      </c>
      <c r="N75" s="26" t="s">
        <v>3633</v>
      </c>
      <c r="O75" s="26" t="str">
        <f>IF(tblBuildings[[#This Row],[costtext]]="", 0, LEN(tblBuildings[[#This Row],[costtext]]) - LEN(SUBSTITUTE(tblBuildings[[#This Row],[costtext]], ",", "")) + 1)</f>
        <v>#ERROR!</v>
      </c>
      <c r="P75" s="26" t="str">
        <f>COUNTIF(tblBuildings[[#This Row],[anchor]:[wood]],"&gt;0")</f>
        <v>#ERROR!</v>
      </c>
      <c r="U75" s="26">
        <v>400.0</v>
      </c>
      <c r="AC75" s="26">
        <v>1000.0</v>
      </c>
      <c r="BS75" s="26">
        <v>4.0</v>
      </c>
      <c r="CB75" s="26">
        <v>400.0</v>
      </c>
    </row>
    <row r="76" ht="14.25" customHeight="1">
      <c r="A76" s="96" t="s">
        <v>393</v>
      </c>
      <c r="B76" s="96" t="s">
        <v>4257</v>
      </c>
      <c r="C76" s="26" t="s">
        <v>4257</v>
      </c>
      <c r="D76" s="96" t="str">
        <f>_xlfn.XLOOKUP(tblBuildings[[#This Row],[BuildingID]],tblTargets[TargetID],tblTargets[DisplayName],"")</f>
        <v>#ERROR!</v>
      </c>
      <c r="E76" s="26" t="b">
        <v>1</v>
      </c>
      <c r="F76" s="26">
        <v>1.0</v>
      </c>
      <c r="G76" s="26">
        <v>22.0</v>
      </c>
      <c r="H76" s="26" t="s">
        <v>4258</v>
      </c>
      <c r="I76" s="96"/>
      <c r="J76" s="26" t="s">
        <v>4259</v>
      </c>
      <c r="K76" s="26" t="s">
        <v>4260</v>
      </c>
      <c r="L76" s="26" t="s">
        <v>4261</v>
      </c>
      <c r="N76" s="26" t="s">
        <v>3635</v>
      </c>
      <c r="O76" s="26" t="str">
        <f>IF(tblBuildings[[#This Row],[costtext]]="", 0, LEN(tblBuildings[[#This Row],[costtext]]) - LEN(SUBSTITUTE(tblBuildings[[#This Row],[costtext]], ",", "")) + 1)</f>
        <v>#ERROR!</v>
      </c>
      <c r="P76" s="26" t="str">
        <f>COUNTIF(tblBuildings[[#This Row],[anchor]:[wood]],"&gt;0")</f>
        <v>#ERROR!</v>
      </c>
      <c r="AC76" s="26">
        <v>500.0</v>
      </c>
      <c r="BL76" s="26">
        <v>600.0</v>
      </c>
      <c r="BS76" s="26">
        <v>3.0</v>
      </c>
      <c r="CA76" s="26">
        <v>60.0</v>
      </c>
      <c r="CB76" s="26">
        <v>1.0</v>
      </c>
    </row>
    <row r="77" ht="14.25" customHeight="1">
      <c r="A77" s="96" t="s">
        <v>396</v>
      </c>
      <c r="B77" s="96" t="s">
        <v>4257</v>
      </c>
      <c r="C77" s="26" t="s">
        <v>4257</v>
      </c>
      <c r="D77" s="96" t="str">
        <f>_xlfn.XLOOKUP(tblBuildings[[#This Row],[BuildingID]],tblTargets[TargetID],tblTargets[DisplayName],"")</f>
        <v>#ERROR!</v>
      </c>
      <c r="E77" s="26" t="b">
        <v>1</v>
      </c>
      <c r="F77" s="26">
        <v>2.0</v>
      </c>
      <c r="H77" s="26" t="s">
        <v>4262</v>
      </c>
      <c r="I77" s="96"/>
      <c r="J77" s="26" t="s">
        <v>4263</v>
      </c>
      <c r="L77" s="26" t="s">
        <v>4264</v>
      </c>
      <c r="N77" s="26" t="s">
        <v>3636</v>
      </c>
      <c r="O77" s="26" t="str">
        <f>IF(tblBuildings[[#This Row],[costtext]]="", 0, LEN(tblBuildings[[#This Row],[costtext]]) - LEN(SUBSTITUTE(tblBuildings[[#This Row],[costtext]], ",", "")) + 1)</f>
        <v>#ERROR!</v>
      </c>
      <c r="P77" s="26" t="str">
        <f>COUNTIF(tblBuildings[[#This Row],[anchor]:[wood]],"&gt;0")</f>
        <v>#ERROR!</v>
      </c>
      <c r="AC77" s="26">
        <v>750.0</v>
      </c>
      <c r="BB77" s="26">
        <v>1.0</v>
      </c>
      <c r="BL77" s="26">
        <v>800.0</v>
      </c>
      <c r="BS77" s="26">
        <v>6.0</v>
      </c>
      <c r="CA77" s="26">
        <v>60.0</v>
      </c>
    </row>
    <row r="78" ht="14.25" customHeight="1">
      <c r="A78" s="96" t="s">
        <v>399</v>
      </c>
      <c r="B78" s="96" t="s">
        <v>4257</v>
      </c>
      <c r="C78" s="26" t="s">
        <v>4257</v>
      </c>
      <c r="D78" s="96" t="str">
        <f>_xlfn.XLOOKUP(tblBuildings[[#This Row],[BuildingID]],tblTargets[TargetID],tblTargets[DisplayName],"")</f>
        <v>#ERROR!</v>
      </c>
      <c r="E78" s="26" t="b">
        <v>1</v>
      </c>
      <c r="F78" s="26">
        <v>3.0</v>
      </c>
      <c r="H78" s="26" t="s">
        <v>4265</v>
      </c>
      <c r="I78" s="96"/>
      <c r="J78" s="26" t="s">
        <v>4266</v>
      </c>
      <c r="L78" s="26" t="s">
        <v>4267</v>
      </c>
      <c r="N78" s="26" t="s">
        <v>3637</v>
      </c>
      <c r="O78" s="26" t="str">
        <f>IF(tblBuildings[[#This Row],[costtext]]="", 0, LEN(tblBuildings[[#This Row],[costtext]]) - LEN(SUBSTITUTE(tblBuildings[[#This Row],[costtext]], ",", "")) + 1)</f>
        <v>#ERROR!</v>
      </c>
      <c r="P78" s="26" t="str">
        <f>COUNTIF(tblBuildings[[#This Row],[anchor]:[wood]],"&gt;0")</f>
        <v>#ERROR!</v>
      </c>
      <c r="Q78" s="26">
        <v>1.0</v>
      </c>
      <c r="AC78" s="26">
        <v>1000.0</v>
      </c>
      <c r="BL78" s="26">
        <v>1000.0</v>
      </c>
      <c r="BS78" s="26">
        <v>9.0</v>
      </c>
      <c r="BZ78" s="26">
        <v>1.0</v>
      </c>
    </row>
    <row r="79" ht="14.25" customHeight="1">
      <c r="A79" s="96" t="s">
        <v>402</v>
      </c>
      <c r="B79" s="96" t="s">
        <v>4257</v>
      </c>
      <c r="C79" s="26" t="s">
        <v>4257</v>
      </c>
      <c r="D79" s="96" t="str">
        <f>_xlfn.XLOOKUP(tblBuildings[[#This Row],[BuildingID]],tblTargets[TargetID],tblTargets[DisplayName],"")</f>
        <v>#ERROR!</v>
      </c>
      <c r="E79" s="26" t="b">
        <v>1</v>
      </c>
      <c r="F79" s="26">
        <v>4.0</v>
      </c>
      <c r="H79" s="26" t="s">
        <v>4268</v>
      </c>
      <c r="I79" s="96"/>
      <c r="J79" s="26" t="s">
        <v>4269</v>
      </c>
      <c r="L79" s="26" t="s">
        <v>4270</v>
      </c>
      <c r="N79" s="26" t="s">
        <v>3639</v>
      </c>
      <c r="O79" s="26" t="str">
        <f>IF(tblBuildings[[#This Row],[costtext]]="", 0, LEN(tblBuildings[[#This Row],[costtext]]) - LEN(SUBSTITUTE(tblBuildings[[#This Row],[costtext]], ",", "")) + 1)</f>
        <v>#ERROR!</v>
      </c>
      <c r="P79" s="26" t="str">
        <f>COUNTIF(tblBuildings[[#This Row],[anchor]:[wood]],"&gt;0")</f>
        <v>#ERROR!</v>
      </c>
      <c r="AC79" s="26">
        <v>1000.0</v>
      </c>
      <c r="AO79" s="26">
        <v>200.0</v>
      </c>
      <c r="BL79" s="26">
        <v>1000.0</v>
      </c>
      <c r="BS79" s="26">
        <v>10.0</v>
      </c>
      <c r="BZ79" s="26">
        <v>2.0</v>
      </c>
    </row>
    <row r="80" ht="14.25" customHeight="1">
      <c r="A80" s="96" t="s">
        <v>404</v>
      </c>
      <c r="B80" s="96" t="s">
        <v>4271</v>
      </c>
      <c r="C80" s="26" t="s">
        <v>4271</v>
      </c>
      <c r="D80" s="96" t="str">
        <f>_xlfn.XLOOKUP(tblBuildings[[#This Row],[BuildingID]],tblTargets[TargetID],tblTargets[DisplayName],"")</f>
        <v>#ERROR!</v>
      </c>
      <c r="E80" s="26" t="b">
        <v>1</v>
      </c>
      <c r="F80" s="26">
        <v>1.0</v>
      </c>
      <c r="G80" s="26">
        <v>3.0</v>
      </c>
      <c r="H80" s="26" t="s">
        <v>4272</v>
      </c>
      <c r="I80" s="96"/>
      <c r="J80" s="26" t="s">
        <v>4273</v>
      </c>
      <c r="L80" s="26" t="s">
        <v>186</v>
      </c>
      <c r="N80" s="26" t="s">
        <v>3640</v>
      </c>
      <c r="O80" s="26" t="str">
        <f>IF(tblBuildings[[#This Row],[costtext]]="", 0, LEN(tblBuildings[[#This Row],[costtext]]) - LEN(SUBSTITUTE(tblBuildings[[#This Row],[costtext]], ",", "")) + 1)</f>
        <v>#ERROR!</v>
      </c>
      <c r="P80" s="26" t="str">
        <f>COUNTIF(tblBuildings[[#This Row],[anchor]:[wood]],"&gt;0")</f>
        <v>#ERROR!</v>
      </c>
      <c r="AC80" s="26">
        <v>100.0</v>
      </c>
      <c r="BS80" s="26">
        <v>1.0</v>
      </c>
      <c r="CB80" s="26">
        <v>20.0</v>
      </c>
      <c r="CH80" s="26">
        <v>20.0</v>
      </c>
    </row>
    <row r="81" ht="14.25" customHeight="1">
      <c r="A81" s="96" t="s">
        <v>406</v>
      </c>
      <c r="B81" s="96" t="s">
        <v>4271</v>
      </c>
      <c r="C81" s="26" t="s">
        <v>4271</v>
      </c>
      <c r="D81" s="96" t="str">
        <f>_xlfn.XLOOKUP(tblBuildings[[#This Row],[BuildingID]],tblTargets[TargetID],tblTargets[DisplayName],"")</f>
        <v>#ERROR!</v>
      </c>
      <c r="E81" s="26" t="b">
        <v>1</v>
      </c>
      <c r="F81" s="26">
        <v>2.0</v>
      </c>
      <c r="H81" s="26" t="s">
        <v>4274</v>
      </c>
      <c r="I81" s="96"/>
      <c r="J81" s="26" t="s">
        <v>4275</v>
      </c>
      <c r="L81" s="26" t="s">
        <v>4276</v>
      </c>
      <c r="N81" s="26" t="s">
        <v>3641</v>
      </c>
      <c r="O81" s="26" t="str">
        <f>IF(tblBuildings[[#This Row],[costtext]]="", 0, LEN(tblBuildings[[#This Row],[costtext]]) - LEN(SUBSTITUTE(tblBuildings[[#This Row],[costtext]], ",", "")) + 1)</f>
        <v>#ERROR!</v>
      </c>
      <c r="P81" s="26" t="str">
        <f>COUNTIF(tblBuildings[[#This Row],[anchor]:[wood]],"&gt;0")</f>
        <v>#ERROR!</v>
      </c>
      <c r="AC81" s="26">
        <v>400.0</v>
      </c>
      <c r="BS81" s="26">
        <v>2.0</v>
      </c>
      <c r="CB81" s="26">
        <v>80.0</v>
      </c>
      <c r="CH81" s="26">
        <v>80.0</v>
      </c>
    </row>
    <row r="82" ht="14.25" customHeight="1">
      <c r="A82" s="96" t="s">
        <v>408</v>
      </c>
      <c r="B82" s="96" t="s">
        <v>4271</v>
      </c>
      <c r="C82" s="26" t="s">
        <v>4271</v>
      </c>
      <c r="D82" s="96" t="str">
        <f>_xlfn.XLOOKUP(tblBuildings[[#This Row],[BuildingID]],tblTargets[TargetID],tblTargets[DisplayName],"")</f>
        <v>#ERROR!</v>
      </c>
      <c r="E82" s="26" t="b">
        <v>1</v>
      </c>
      <c r="F82" s="26">
        <v>3.0</v>
      </c>
      <c r="H82" s="26" t="s">
        <v>4277</v>
      </c>
      <c r="I82" s="96"/>
      <c r="J82" s="26" t="s">
        <v>4278</v>
      </c>
      <c r="L82" s="26" t="s">
        <v>4279</v>
      </c>
      <c r="N82" s="26" t="s">
        <v>3643</v>
      </c>
      <c r="O82" s="26" t="str">
        <f>IF(tblBuildings[[#This Row],[costtext]]="", 0, LEN(tblBuildings[[#This Row],[costtext]]) - LEN(SUBSTITUTE(tblBuildings[[#This Row],[costtext]], ",", "")) + 1)</f>
        <v>#ERROR!</v>
      </c>
      <c r="P82" s="26" t="str">
        <f>COUNTIF(tblBuildings[[#This Row],[anchor]:[wood]],"&gt;0")</f>
        <v>#ERROR!</v>
      </c>
      <c r="U82" s="26">
        <v>400.0</v>
      </c>
      <c r="AC82" s="26">
        <v>800.0</v>
      </c>
      <c r="BS82" s="26">
        <v>3.0</v>
      </c>
      <c r="CB82" s="26">
        <v>200.0</v>
      </c>
    </row>
    <row r="83" ht="14.25" customHeight="1">
      <c r="A83" s="96" t="s">
        <v>410</v>
      </c>
      <c r="B83" s="96" t="s">
        <v>4280</v>
      </c>
      <c r="C83" s="26" t="s">
        <v>4280</v>
      </c>
      <c r="D83" s="96" t="str">
        <f>_xlfn.XLOOKUP(tblBuildings[[#This Row],[BuildingID]],tblTargets[TargetID],tblTargets[DisplayName],"")</f>
        <v>#ERROR!</v>
      </c>
      <c r="E83" s="26" t="b">
        <v>1</v>
      </c>
      <c r="F83" s="26">
        <v>1.0</v>
      </c>
      <c r="G83" s="26">
        <v>9.0</v>
      </c>
      <c r="H83" s="26" t="s">
        <v>3979</v>
      </c>
      <c r="I83" s="96"/>
      <c r="J83" s="26" t="s">
        <v>4281</v>
      </c>
      <c r="L83" s="26" t="s">
        <v>186</v>
      </c>
      <c r="N83" s="26" t="s">
        <v>3644</v>
      </c>
      <c r="O83" s="26" t="str">
        <f>IF(tblBuildings[[#This Row],[costtext]]="", 0, LEN(tblBuildings[[#This Row],[costtext]]) - LEN(SUBSTITUTE(tblBuildings[[#This Row],[costtext]], ",", "")) + 1)</f>
        <v>#ERROR!</v>
      </c>
      <c r="P83" s="26" t="str">
        <f>COUNTIF(tblBuildings[[#This Row],[anchor]:[wood]],"&gt;0")</f>
        <v>#ERROR!</v>
      </c>
      <c r="AC83" s="26">
        <v>240.0</v>
      </c>
      <c r="BS83" s="26">
        <v>1.0</v>
      </c>
      <c r="CA83" s="26">
        <v>20.0</v>
      </c>
      <c r="CB83" s="26">
        <v>120.0</v>
      </c>
      <c r="CH83" s="26">
        <v>120.0</v>
      </c>
    </row>
    <row r="84" ht="14.25" customHeight="1">
      <c r="A84" s="96" t="s">
        <v>414</v>
      </c>
      <c r="B84" s="96" t="s">
        <v>4280</v>
      </c>
      <c r="C84" s="26" t="s">
        <v>4280</v>
      </c>
      <c r="D84" s="96" t="str">
        <f>_xlfn.XLOOKUP(tblBuildings[[#This Row],[BuildingID]],tblTargets[TargetID],tblTargets[DisplayName],"")</f>
        <v>#ERROR!</v>
      </c>
      <c r="E84" s="26" t="b">
        <v>1</v>
      </c>
      <c r="F84" s="26">
        <v>2.0</v>
      </c>
      <c r="H84" s="26" t="s">
        <v>3979</v>
      </c>
      <c r="I84" s="96"/>
      <c r="J84" s="26" t="s">
        <v>4282</v>
      </c>
      <c r="L84" s="26" t="s">
        <v>4283</v>
      </c>
      <c r="N84" s="26" t="s">
        <v>3645</v>
      </c>
      <c r="O84" s="26" t="str">
        <f>IF(tblBuildings[[#This Row],[costtext]]="", 0, LEN(tblBuildings[[#This Row],[costtext]]) - LEN(SUBSTITUTE(tblBuildings[[#This Row],[costtext]], ",", "")) + 1)</f>
        <v>#ERROR!</v>
      </c>
      <c r="P84" s="26" t="str">
        <f>COUNTIF(tblBuildings[[#This Row],[anchor]:[wood]],"&gt;0")</f>
        <v>#ERROR!</v>
      </c>
      <c r="AC84" s="26">
        <v>280.0</v>
      </c>
      <c r="BS84" s="26">
        <v>2.0</v>
      </c>
      <c r="CA84" s="26">
        <v>40.0</v>
      </c>
      <c r="CB84" s="26">
        <v>140.0</v>
      </c>
      <c r="CH84" s="26">
        <v>140.0</v>
      </c>
    </row>
    <row r="85" ht="14.25" customHeight="1">
      <c r="A85" s="96" t="s">
        <v>415</v>
      </c>
      <c r="B85" s="96" t="s">
        <v>4280</v>
      </c>
      <c r="C85" s="26" t="s">
        <v>4280</v>
      </c>
      <c r="D85" s="96" t="str">
        <f>_xlfn.XLOOKUP(tblBuildings[[#This Row],[BuildingID]],tblTargets[TargetID],tblTargets[DisplayName],"")</f>
        <v>#ERROR!</v>
      </c>
      <c r="E85" s="26" t="b">
        <v>1</v>
      </c>
      <c r="F85" s="26">
        <v>3.0</v>
      </c>
      <c r="H85" s="26" t="s">
        <v>3979</v>
      </c>
      <c r="I85" s="96"/>
      <c r="J85" s="26" t="s">
        <v>4284</v>
      </c>
      <c r="L85" s="26" t="s">
        <v>4285</v>
      </c>
      <c r="N85" s="26" t="s">
        <v>3646</v>
      </c>
      <c r="O85" s="26" t="str">
        <f>IF(tblBuildings[[#This Row],[costtext]]="", 0, LEN(tblBuildings[[#This Row],[costtext]]) - LEN(SUBSTITUTE(tblBuildings[[#This Row],[costtext]], ",", "")) + 1)</f>
        <v>#ERROR!</v>
      </c>
      <c r="P85" s="26" t="str">
        <f>COUNTIF(tblBuildings[[#This Row],[anchor]:[wood]],"&gt;0")</f>
        <v>#ERROR!</v>
      </c>
      <c r="U85" s="26">
        <v>400.0</v>
      </c>
      <c r="AC85" s="26">
        <v>500.0</v>
      </c>
      <c r="BS85" s="26">
        <v>4.0</v>
      </c>
      <c r="CA85" s="26">
        <v>60.0</v>
      </c>
      <c r="CB85" s="26">
        <v>200.0</v>
      </c>
    </row>
    <row r="86" ht="14.25" customHeight="1">
      <c r="A86" s="96" t="s">
        <v>418</v>
      </c>
      <c r="B86" s="96" t="s">
        <v>4286</v>
      </c>
      <c r="C86" s="26" t="s">
        <v>4286</v>
      </c>
      <c r="D86" s="96" t="str">
        <f>_xlfn.XLOOKUP(tblBuildings[[#This Row],[BuildingID]],tblTargets[TargetID],tblTargets[DisplayName],"")</f>
        <v>#ERROR!</v>
      </c>
      <c r="E86" s="26" t="b">
        <v>1</v>
      </c>
      <c r="F86" s="26">
        <v>1.0</v>
      </c>
      <c r="G86" s="26">
        <v>50.0</v>
      </c>
      <c r="H86" s="26" t="s">
        <v>4287</v>
      </c>
      <c r="I86" s="96"/>
      <c r="J86" s="26" t="s">
        <v>4288</v>
      </c>
      <c r="K86" s="26" t="s">
        <v>3970</v>
      </c>
      <c r="L86" s="26" t="s">
        <v>3971</v>
      </c>
      <c r="N86" s="26" t="s">
        <v>3648</v>
      </c>
      <c r="O86" s="26" t="str">
        <f>IF(tblBuildings[[#This Row],[costtext]]="", 0, LEN(tblBuildings[[#This Row],[costtext]]) - LEN(SUBSTITUTE(tblBuildings[[#This Row],[costtext]], ",", "")) + 1)</f>
        <v>#ERROR!</v>
      </c>
      <c r="P86" s="26" t="str">
        <f>COUNTIF(tblBuildings[[#This Row],[anchor]:[wood]],"&gt;0")</f>
        <v>#ERROR!</v>
      </c>
      <c r="U86" s="26">
        <v>8000.0</v>
      </c>
      <c r="Y86" s="26">
        <v>20.0</v>
      </c>
      <c r="AC86" s="26">
        <v>1000.0</v>
      </c>
      <c r="AQ86" s="26">
        <v>1.0</v>
      </c>
      <c r="AS86" s="26">
        <v>10.0</v>
      </c>
      <c r="BL86" s="26">
        <v>800.0</v>
      </c>
      <c r="BS86" s="26">
        <v>10.0</v>
      </c>
      <c r="CA86" s="26">
        <v>1000.0</v>
      </c>
      <c r="CB86" s="26">
        <v>500.0</v>
      </c>
    </row>
    <row r="87" ht="14.25" customHeight="1">
      <c r="A87" s="96" t="s">
        <v>420</v>
      </c>
      <c r="B87" s="96" t="s">
        <v>4289</v>
      </c>
      <c r="C87" s="26" t="s">
        <v>4289</v>
      </c>
      <c r="D87" s="96" t="str">
        <f>_xlfn.XLOOKUP(tblBuildings[[#This Row],[BuildingID]],tblTargets[TargetID],tblTargets[DisplayName],"")</f>
        <v>#ERROR!</v>
      </c>
      <c r="E87" s="26" t="b">
        <v>1</v>
      </c>
      <c r="F87" s="26">
        <v>1.0</v>
      </c>
      <c r="G87" s="26">
        <v>32.0</v>
      </c>
      <c r="H87" s="26" t="s">
        <v>3979</v>
      </c>
      <c r="I87" s="96"/>
      <c r="J87" s="26" t="s">
        <v>4290</v>
      </c>
      <c r="K87" s="26" t="s">
        <v>3970</v>
      </c>
      <c r="L87" s="26" t="s">
        <v>4212</v>
      </c>
      <c r="N87" s="26" t="s">
        <v>3649</v>
      </c>
      <c r="O87" s="26" t="str">
        <f>IF(tblBuildings[[#This Row],[costtext]]="", 0, LEN(tblBuildings[[#This Row],[costtext]]) - LEN(SUBSTITUTE(tblBuildings[[#This Row],[costtext]], ",", "")) + 1)</f>
        <v>#ERROR!</v>
      </c>
      <c r="P87" s="26" t="str">
        <f>COUNTIF(tblBuildings[[#This Row],[anchor]:[wood]],"&gt;0")</f>
        <v>#ERROR!</v>
      </c>
      <c r="U87" s="26">
        <v>600.0</v>
      </c>
      <c r="AC87" s="26">
        <v>600.0</v>
      </c>
      <c r="BH87" s="26">
        <v>10.0</v>
      </c>
      <c r="BS87" s="26">
        <v>4.0</v>
      </c>
      <c r="BV87" s="26">
        <v>10.0</v>
      </c>
      <c r="CB87" s="26">
        <v>300.0</v>
      </c>
    </row>
    <row r="88" ht="14.25" customHeight="1">
      <c r="A88" s="96" t="s">
        <v>421</v>
      </c>
      <c r="B88" s="96" t="s">
        <v>4289</v>
      </c>
      <c r="C88" s="26" t="s">
        <v>4289</v>
      </c>
      <c r="D88" s="96" t="str">
        <f>_xlfn.XLOOKUP(tblBuildings[[#This Row],[BuildingID]],tblTargets[TargetID],tblTargets[DisplayName],"")</f>
        <v>#ERROR!</v>
      </c>
      <c r="E88" s="26" t="b">
        <v>1</v>
      </c>
      <c r="F88" s="26">
        <v>2.0</v>
      </c>
      <c r="H88" s="26" t="s">
        <v>3979</v>
      </c>
      <c r="I88" s="96"/>
      <c r="J88" s="26" t="s">
        <v>4291</v>
      </c>
      <c r="L88" s="26" t="s">
        <v>4292</v>
      </c>
      <c r="N88" s="26" t="s">
        <v>3650</v>
      </c>
      <c r="O88" s="26" t="str">
        <f>IF(tblBuildings[[#This Row],[costtext]]="", 0, LEN(tblBuildings[[#This Row],[costtext]]) - LEN(SUBSTITUTE(tblBuildings[[#This Row],[costtext]], ",", "")) + 1)</f>
        <v>#ERROR!</v>
      </c>
      <c r="P88" s="26" t="str">
        <f>COUNTIF(tblBuildings[[#This Row],[anchor]:[wood]],"&gt;0")</f>
        <v>#ERROR!</v>
      </c>
      <c r="AC88" s="26">
        <v>800.0</v>
      </c>
      <c r="AK88" s="26">
        <v>20.0</v>
      </c>
      <c r="BL88" s="26">
        <v>800.0</v>
      </c>
      <c r="BS88" s="26">
        <v>6.0</v>
      </c>
      <c r="BV88" s="26">
        <v>20.0</v>
      </c>
      <c r="CB88" s="26">
        <v>400.0</v>
      </c>
    </row>
    <row r="89" ht="14.25" customHeight="1">
      <c r="A89" s="96" t="s">
        <v>424</v>
      </c>
      <c r="B89" s="96" t="s">
        <v>4289</v>
      </c>
      <c r="C89" s="26" t="s">
        <v>4289</v>
      </c>
      <c r="D89" s="96" t="str">
        <f>_xlfn.XLOOKUP(tblBuildings[[#This Row],[BuildingID]],tblTargets[TargetID],tblTargets[DisplayName],"")</f>
        <v>#ERROR!</v>
      </c>
      <c r="E89" s="26" t="b">
        <v>1</v>
      </c>
      <c r="F89" s="26">
        <v>3.0</v>
      </c>
      <c r="H89" s="26" t="s">
        <v>3979</v>
      </c>
      <c r="I89" s="96"/>
      <c r="J89" s="26" t="s">
        <v>4293</v>
      </c>
      <c r="L89" s="26" t="s">
        <v>4294</v>
      </c>
      <c r="N89" s="26" t="s">
        <v>3652</v>
      </c>
      <c r="O89" s="26" t="str">
        <f>IF(tblBuildings[[#This Row],[costtext]]="", 0, LEN(tblBuildings[[#This Row],[costtext]]) - LEN(SUBSTITUTE(tblBuildings[[#This Row],[costtext]], ",", "")) + 1)</f>
        <v>#ERROR!</v>
      </c>
      <c r="P89" s="26" t="str">
        <f>COUNTIF(tblBuildings[[#This Row],[anchor]:[wood]],"&gt;0")</f>
        <v>#ERROR!</v>
      </c>
      <c r="AC89" s="26">
        <v>1000.0</v>
      </c>
      <c r="BL89" s="26">
        <v>1000.0</v>
      </c>
      <c r="BS89" s="26">
        <v>8.0</v>
      </c>
      <c r="BV89" s="26">
        <v>30.0</v>
      </c>
      <c r="CA89" s="26">
        <v>100.0</v>
      </c>
      <c r="CB89" s="26">
        <v>500.0</v>
      </c>
    </row>
    <row r="90" ht="14.25" customHeight="1">
      <c r="A90" s="96" t="s">
        <v>427</v>
      </c>
      <c r="B90" s="96" t="s">
        <v>4295</v>
      </c>
      <c r="C90" s="26" t="s">
        <v>4295</v>
      </c>
      <c r="D90" s="96" t="str">
        <f>_xlfn.XLOOKUP(tblBuildings[[#This Row],[BuildingID]],tblTargets[TargetID],tblTargets[DisplayName],"")</f>
        <v>#ERROR!</v>
      </c>
      <c r="E90" s="26" t="b">
        <v>1</v>
      </c>
      <c r="F90" s="26">
        <v>1.0</v>
      </c>
      <c r="G90" s="26">
        <v>50.0</v>
      </c>
      <c r="H90" s="26" t="s">
        <v>4296</v>
      </c>
      <c r="I90" s="96" t="s">
        <v>4297</v>
      </c>
      <c r="J90" s="26" t="s">
        <v>4298</v>
      </c>
      <c r="K90" s="26" t="s">
        <v>4299</v>
      </c>
      <c r="L90" s="26" t="s">
        <v>4300</v>
      </c>
      <c r="N90" s="26" t="s">
        <v>3653</v>
      </c>
      <c r="O90" s="26" t="str">
        <f>IF(tblBuildings[[#This Row],[costtext]]="", 0, LEN(tblBuildings[[#This Row],[costtext]]) - LEN(SUBSTITUTE(tblBuildings[[#This Row],[costtext]], ",", "")) + 1)</f>
        <v>#ERROR!</v>
      </c>
      <c r="P90" s="26" t="str">
        <f>COUNTIF(tblBuildings[[#This Row],[anchor]:[wood]],"&gt;0")</f>
        <v>#ERROR!</v>
      </c>
      <c r="Y90" s="26">
        <v>100.0</v>
      </c>
      <c r="AC90" s="26">
        <v>2000.0</v>
      </c>
      <c r="AK90" s="26">
        <v>10.0</v>
      </c>
      <c r="AW90" s="26">
        <v>80.0</v>
      </c>
      <c r="BD90" s="26">
        <v>100.0</v>
      </c>
      <c r="BS90" s="26">
        <v>10.0</v>
      </c>
      <c r="CA90" s="26">
        <v>3000.0</v>
      </c>
    </row>
    <row r="91" ht="14.25" customHeight="1">
      <c r="A91" s="96" t="s">
        <v>429</v>
      </c>
      <c r="B91" s="96" t="s">
        <v>4295</v>
      </c>
      <c r="C91" s="26" t="s">
        <v>4295</v>
      </c>
      <c r="D91" s="96" t="str">
        <f>_xlfn.XLOOKUP(tblBuildings[[#This Row],[BuildingID]],tblTargets[TargetID],tblTargets[DisplayName],"")</f>
        <v>#ERROR!</v>
      </c>
      <c r="E91" s="26" t="b">
        <v>1</v>
      </c>
      <c r="F91" s="26">
        <v>2.0</v>
      </c>
      <c r="H91" s="26" t="s">
        <v>4301</v>
      </c>
      <c r="I91" s="96" t="s">
        <v>4302</v>
      </c>
      <c r="J91" s="26" t="s">
        <v>4303</v>
      </c>
      <c r="L91" s="26" t="s">
        <v>4304</v>
      </c>
      <c r="N91" s="26" t="s">
        <v>3654</v>
      </c>
      <c r="O91" s="26" t="str">
        <f>IF(tblBuildings[[#This Row],[costtext]]="", 0, LEN(tblBuildings[[#This Row],[costtext]]) - LEN(SUBSTITUTE(tblBuildings[[#This Row],[costtext]], ",", "")) + 1)</f>
        <v>#ERROR!</v>
      </c>
      <c r="P91" s="26" t="str">
        <f>COUNTIF(tblBuildings[[#This Row],[anchor]:[wood]],"&gt;0")</f>
        <v>#ERROR!</v>
      </c>
      <c r="Y91" s="26">
        <v>40.0</v>
      </c>
      <c r="AC91" s="26">
        <v>2000.0</v>
      </c>
      <c r="AW91" s="26">
        <v>40.0</v>
      </c>
      <c r="AX91" s="26">
        <v>30.0</v>
      </c>
      <c r="BS91" s="26">
        <v>10.0</v>
      </c>
      <c r="CA91" s="26">
        <v>1000.0</v>
      </c>
    </row>
    <row r="92" ht="14.25" customHeight="1">
      <c r="A92" s="96" t="s">
        <v>431</v>
      </c>
      <c r="B92" s="96" t="s">
        <v>4305</v>
      </c>
      <c r="C92" s="26" t="s">
        <v>4306</v>
      </c>
      <c r="D92" s="96" t="str">
        <f>_xlfn.XLOOKUP(tblBuildings[[#This Row],[BuildingID]],tblTargets[TargetID],tblTargets[DisplayName],"")</f>
        <v>#ERROR!</v>
      </c>
      <c r="E92" s="26" t="b">
        <v>1</v>
      </c>
      <c r="F92" s="26">
        <v>1.0</v>
      </c>
      <c r="H92" s="26" t="s">
        <v>4307</v>
      </c>
      <c r="I92" s="96"/>
      <c r="J92" s="26" t="s">
        <v>4308</v>
      </c>
      <c r="K92" s="26" t="s">
        <v>4309</v>
      </c>
      <c r="L92" s="26" t="s">
        <v>4310</v>
      </c>
      <c r="N92" s="26" t="s">
        <v>3656</v>
      </c>
      <c r="O92" s="26" t="str">
        <f>IF(tblBuildings[[#This Row],[costtext]]="", 0, LEN(tblBuildings[[#This Row],[costtext]]) - LEN(SUBSTITUTE(tblBuildings[[#This Row],[costtext]], ",", "")) + 1)</f>
        <v>#ERROR!</v>
      </c>
      <c r="P92" s="26" t="str">
        <f>COUNTIF(tblBuildings[[#This Row],[anchor]:[wood]],"&gt;0")</f>
        <v>#ERROR!</v>
      </c>
      <c r="Y92" s="26">
        <v>15.0</v>
      </c>
      <c r="AC92" s="26">
        <v>500.0</v>
      </c>
      <c r="AW92" s="26">
        <v>12.0</v>
      </c>
      <c r="BL92" s="26">
        <v>500.0</v>
      </c>
      <c r="BS92" s="26">
        <v>2.0</v>
      </c>
      <c r="CA92" s="26">
        <v>250.0</v>
      </c>
    </row>
    <row r="93" ht="14.25" customHeight="1">
      <c r="A93" s="96" t="s">
        <v>433</v>
      </c>
      <c r="B93" s="96" t="s">
        <v>4305</v>
      </c>
      <c r="C93" s="26" t="s">
        <v>4306</v>
      </c>
      <c r="D93" s="96" t="str">
        <f>_xlfn.XLOOKUP(tblBuildings[[#This Row],[BuildingID]],tblTargets[TargetID],tblTargets[DisplayName],"")</f>
        <v>#ERROR!</v>
      </c>
      <c r="E93" s="26" t="b">
        <v>1</v>
      </c>
      <c r="F93" s="26">
        <v>2.0</v>
      </c>
      <c r="H93" s="26" t="s">
        <v>4311</v>
      </c>
      <c r="I93" s="96" t="s">
        <v>4312</v>
      </c>
      <c r="J93" s="26" t="s">
        <v>4313</v>
      </c>
      <c r="L93" s="26" t="s">
        <v>4314</v>
      </c>
      <c r="N93" s="26" t="s">
        <v>3657</v>
      </c>
      <c r="O93" s="26" t="str">
        <f>IF(tblBuildings[[#This Row],[costtext]]="", 0, LEN(tblBuildings[[#This Row],[costtext]]) - LEN(SUBSTITUTE(tblBuildings[[#This Row],[costtext]], ",", "")) + 1)</f>
        <v>#ERROR!</v>
      </c>
      <c r="P93" s="26" t="str">
        <f>COUNTIF(tblBuildings[[#This Row],[anchor]:[wood]],"&gt;0")</f>
        <v>#ERROR!</v>
      </c>
      <c r="AC93" s="26">
        <v>500.0</v>
      </c>
      <c r="AW93" s="26">
        <v>12.0</v>
      </c>
      <c r="BL93" s="26">
        <v>500.0</v>
      </c>
      <c r="BS93" s="26">
        <v>2.0</v>
      </c>
      <c r="CA93" s="26">
        <v>250.0</v>
      </c>
    </row>
    <row r="94" ht="14.25" customHeight="1">
      <c r="A94" s="96" t="s">
        <v>435</v>
      </c>
      <c r="B94" s="96" t="s">
        <v>4315</v>
      </c>
      <c r="C94" s="26" t="s">
        <v>4316</v>
      </c>
      <c r="D94" s="96" t="str">
        <f>_xlfn.XLOOKUP(tblBuildings[[#This Row],[BuildingID]],tblTargets[TargetID],tblTargets[DisplayName],"")</f>
        <v>#ERROR!</v>
      </c>
      <c r="E94" s="26" t="b">
        <v>1</v>
      </c>
      <c r="F94" s="26">
        <v>1.0</v>
      </c>
      <c r="H94" s="26" t="s">
        <v>4317</v>
      </c>
      <c r="I94" s="96"/>
      <c r="J94" s="26" t="s">
        <v>4318</v>
      </c>
      <c r="K94" s="26" t="s">
        <v>4309</v>
      </c>
      <c r="L94" s="26" t="s">
        <v>4310</v>
      </c>
      <c r="N94" s="26" t="s">
        <v>3659</v>
      </c>
      <c r="O94" s="26" t="str">
        <f>IF(tblBuildings[[#This Row],[costtext]]="", 0, LEN(tblBuildings[[#This Row],[costtext]]) - LEN(SUBSTITUTE(tblBuildings[[#This Row],[costtext]], ",", "")) + 1)</f>
        <v>#ERROR!</v>
      </c>
      <c r="P94" s="26" t="str">
        <f>COUNTIF(tblBuildings[[#This Row],[anchor]:[wood]],"&gt;0")</f>
        <v>#ERROR!</v>
      </c>
      <c r="Y94" s="26">
        <v>15.0</v>
      </c>
      <c r="AC94" s="26">
        <v>500.0</v>
      </c>
      <c r="AK94" s="26">
        <v>12.0</v>
      </c>
      <c r="AW94" s="26">
        <v>12.0</v>
      </c>
      <c r="BL94" s="26">
        <v>600.0</v>
      </c>
      <c r="BS94" s="26">
        <v>2.0</v>
      </c>
      <c r="CA94" s="26">
        <v>200.0</v>
      </c>
    </row>
    <row r="95" ht="14.25" customHeight="1">
      <c r="A95" s="96" t="s">
        <v>438</v>
      </c>
      <c r="B95" s="96" t="s">
        <v>4315</v>
      </c>
      <c r="C95" s="26" t="s">
        <v>4316</v>
      </c>
      <c r="D95" s="96" t="str">
        <f>_xlfn.XLOOKUP(tblBuildings[[#This Row],[BuildingID]],tblTargets[TargetID],tblTargets[DisplayName],"")</f>
        <v>#ERROR!</v>
      </c>
      <c r="E95" s="26" t="b">
        <v>1</v>
      </c>
      <c r="F95" s="26">
        <v>2.0</v>
      </c>
      <c r="H95" s="26" t="s">
        <v>3973</v>
      </c>
      <c r="I95" s="96" t="s">
        <v>4312</v>
      </c>
      <c r="J95" s="26" t="s">
        <v>4319</v>
      </c>
      <c r="L95" s="26" t="s">
        <v>4320</v>
      </c>
      <c r="N95" s="26" t="s">
        <v>3660</v>
      </c>
      <c r="O95" s="26" t="str">
        <f>IF(tblBuildings[[#This Row],[costtext]]="", 0, LEN(tblBuildings[[#This Row],[costtext]]) - LEN(SUBSTITUTE(tblBuildings[[#This Row],[costtext]], ",", "")) + 1)</f>
        <v>#ERROR!</v>
      </c>
      <c r="P95" s="26" t="str">
        <f>COUNTIF(tblBuildings[[#This Row],[anchor]:[wood]],"&gt;0")</f>
        <v>#ERROR!</v>
      </c>
      <c r="AC95" s="26">
        <v>500.0</v>
      </c>
      <c r="AK95" s="26">
        <v>12.0</v>
      </c>
      <c r="AW95" s="26">
        <v>12.0</v>
      </c>
      <c r="BL95" s="26">
        <v>600.0</v>
      </c>
      <c r="BS95" s="26">
        <v>2.0</v>
      </c>
      <c r="CA95" s="26">
        <v>200.0</v>
      </c>
    </row>
    <row r="96" ht="14.25" customHeight="1">
      <c r="A96" s="96" t="s">
        <v>440</v>
      </c>
      <c r="B96" s="96" t="s">
        <v>4321</v>
      </c>
      <c r="C96" s="26" t="s">
        <v>4321</v>
      </c>
      <c r="D96" s="96" t="str">
        <f>_xlfn.XLOOKUP(tblBuildings[[#This Row],[BuildingID]],tblTargets[TargetID],tblTargets[DisplayName],"")</f>
        <v>#ERROR!</v>
      </c>
      <c r="E96" s="26" t="b">
        <v>1</v>
      </c>
      <c r="F96" s="26">
        <v>1.0</v>
      </c>
      <c r="G96" s="26">
        <v>5.0</v>
      </c>
      <c r="H96" s="26" t="s">
        <v>4322</v>
      </c>
      <c r="I96" s="96"/>
      <c r="J96" s="26" t="s">
        <v>4323</v>
      </c>
      <c r="L96" s="26" t="s">
        <v>186</v>
      </c>
      <c r="N96" s="26" t="s">
        <v>3661</v>
      </c>
      <c r="O96" s="26" t="str">
        <f>IF(tblBuildings[[#This Row],[costtext]]="", 0, LEN(tblBuildings[[#This Row],[costtext]]) - LEN(SUBSTITUTE(tblBuildings[[#This Row],[costtext]], ",", "")) + 1)</f>
        <v>#ERROR!</v>
      </c>
      <c r="P96" s="26" t="str">
        <f>COUNTIF(tblBuildings[[#This Row],[anchor]:[wood]],"&gt;0")</f>
        <v>#ERROR!</v>
      </c>
      <c r="AC96" s="26">
        <v>100.0</v>
      </c>
      <c r="BS96" s="26">
        <v>1.0</v>
      </c>
      <c r="CB96" s="26">
        <v>60.0</v>
      </c>
      <c r="CH96" s="26">
        <v>60.0</v>
      </c>
    </row>
    <row r="97" ht="14.25" customHeight="1">
      <c r="A97" s="96" t="s">
        <v>442</v>
      </c>
      <c r="B97" s="96" t="s">
        <v>4321</v>
      </c>
      <c r="C97" s="26" t="s">
        <v>4321</v>
      </c>
      <c r="D97" s="96" t="str">
        <f>_xlfn.XLOOKUP(tblBuildings[[#This Row],[BuildingID]],tblTargets[TargetID],tblTargets[DisplayName],"")</f>
        <v>#ERROR!</v>
      </c>
      <c r="E97" s="26" t="b">
        <v>1</v>
      </c>
      <c r="F97" s="26">
        <v>2.0</v>
      </c>
      <c r="H97" s="26" t="s">
        <v>4324</v>
      </c>
      <c r="I97" s="96"/>
      <c r="J97" s="26" t="s">
        <v>4325</v>
      </c>
      <c r="K97" s="26" t="s">
        <v>4326</v>
      </c>
      <c r="L97" s="26" t="s">
        <v>4327</v>
      </c>
      <c r="N97" s="26" t="s">
        <v>3663</v>
      </c>
      <c r="O97" s="26" t="str">
        <f>IF(tblBuildings[[#This Row],[costtext]]="", 0, LEN(tblBuildings[[#This Row],[costtext]]) - LEN(SUBSTITUTE(tblBuildings[[#This Row],[costtext]], ",", "")) + 1)</f>
        <v>#ERROR!</v>
      </c>
      <c r="P97" s="26" t="str">
        <f>COUNTIF(tblBuildings[[#This Row],[anchor]:[wood]],"&gt;0")</f>
        <v>#ERROR!</v>
      </c>
      <c r="AC97" s="26">
        <v>200.0</v>
      </c>
      <c r="BS97" s="26">
        <v>2.0</v>
      </c>
      <c r="CB97" s="26">
        <v>80.0</v>
      </c>
      <c r="CH97" s="26">
        <v>80.0</v>
      </c>
    </row>
    <row r="98" ht="14.25" customHeight="1">
      <c r="A98" s="96" t="s">
        <v>445</v>
      </c>
      <c r="B98" s="96" t="s">
        <v>4321</v>
      </c>
      <c r="C98" s="26" t="s">
        <v>4321</v>
      </c>
      <c r="D98" s="96" t="str">
        <f>_xlfn.XLOOKUP(tblBuildings[[#This Row],[BuildingID]],tblTargets[TargetID],tblTargets[DisplayName],"")</f>
        <v>#ERROR!</v>
      </c>
      <c r="E98" s="26" t="b">
        <v>1</v>
      </c>
      <c r="F98" s="26">
        <v>3.0</v>
      </c>
      <c r="H98" s="26" t="s">
        <v>4324</v>
      </c>
      <c r="I98" s="96"/>
      <c r="J98" s="26" t="s">
        <v>4328</v>
      </c>
      <c r="K98" s="26" t="s">
        <v>97</v>
      </c>
      <c r="L98" s="26" t="s">
        <v>4329</v>
      </c>
      <c r="N98" s="26" t="s">
        <v>3664</v>
      </c>
      <c r="O98" s="26" t="str">
        <f>IF(tblBuildings[[#This Row],[costtext]]="", 0, LEN(tblBuildings[[#This Row],[costtext]]) - LEN(SUBSTITUTE(tblBuildings[[#This Row],[costtext]], ",", "")) + 1)</f>
        <v>#ERROR!</v>
      </c>
      <c r="P98" s="26" t="str">
        <f>COUNTIF(tblBuildings[[#This Row],[anchor]:[wood]],"&gt;0")</f>
        <v>#ERROR!</v>
      </c>
      <c r="U98" s="26">
        <v>200.0</v>
      </c>
      <c r="AC98" s="26">
        <v>300.0</v>
      </c>
      <c r="BS98" s="26">
        <v>3.0</v>
      </c>
      <c r="CB98" s="26">
        <v>100.0</v>
      </c>
    </row>
    <row r="99" ht="14.25" customHeight="1">
      <c r="A99" s="96" t="s">
        <v>447</v>
      </c>
      <c r="B99" s="96" t="s">
        <v>4321</v>
      </c>
      <c r="C99" s="26" t="s">
        <v>4321</v>
      </c>
      <c r="D99" s="96" t="str">
        <f>_xlfn.XLOOKUP(tblBuildings[[#This Row],[BuildingID]],tblTargets[TargetID],tblTargets[DisplayName],"")</f>
        <v>#ERROR!</v>
      </c>
      <c r="E99" s="26" t="b">
        <v>1</v>
      </c>
      <c r="F99" s="26">
        <v>4.0</v>
      </c>
      <c r="H99" s="26" t="s">
        <v>4324</v>
      </c>
      <c r="I99" s="96"/>
      <c r="J99" s="26" t="s">
        <v>4330</v>
      </c>
      <c r="K99" s="26" t="s">
        <v>142</v>
      </c>
      <c r="L99" s="26" t="s">
        <v>4331</v>
      </c>
      <c r="N99" s="26" t="s">
        <v>3665</v>
      </c>
      <c r="O99" s="26" t="str">
        <f>IF(tblBuildings[[#This Row],[costtext]]="", 0, LEN(tblBuildings[[#This Row],[costtext]]) - LEN(SUBSTITUTE(tblBuildings[[#This Row],[costtext]], ",", "")) + 1)</f>
        <v>#ERROR!</v>
      </c>
      <c r="P99" s="26" t="str">
        <f>COUNTIF(tblBuildings[[#This Row],[anchor]:[wood]],"&gt;0")</f>
        <v>#ERROR!</v>
      </c>
      <c r="U99" s="26">
        <v>280.0</v>
      </c>
      <c r="AC99" s="26">
        <v>400.0</v>
      </c>
      <c r="BS99" s="26">
        <v>4.0</v>
      </c>
      <c r="CB99" s="26">
        <v>140.0</v>
      </c>
    </row>
    <row r="100" ht="14.25" customHeight="1">
      <c r="A100" s="96" t="s">
        <v>449</v>
      </c>
      <c r="B100" s="96" t="s">
        <v>4321</v>
      </c>
      <c r="C100" s="26" t="s">
        <v>4321</v>
      </c>
      <c r="D100" s="96" t="str">
        <f>_xlfn.XLOOKUP(tblBuildings[[#This Row],[BuildingID]],tblTargets[TargetID],tblTargets[DisplayName],"")</f>
        <v>#ERROR!</v>
      </c>
      <c r="E100" s="26" t="b">
        <v>1</v>
      </c>
      <c r="F100" s="26">
        <v>5.0</v>
      </c>
      <c r="H100" s="26" t="s">
        <v>4332</v>
      </c>
      <c r="I100" s="96"/>
      <c r="J100" s="26" t="s">
        <v>4333</v>
      </c>
      <c r="K100" s="26" t="s">
        <v>163</v>
      </c>
      <c r="L100" s="26" t="s">
        <v>4334</v>
      </c>
      <c r="N100" s="26" t="s">
        <v>3667</v>
      </c>
      <c r="O100" s="26" t="str">
        <f>IF(tblBuildings[[#This Row],[costtext]]="", 0, LEN(tblBuildings[[#This Row],[costtext]]) - LEN(SUBSTITUTE(tblBuildings[[#This Row],[costtext]], ",", "")) + 1)</f>
        <v>#ERROR!</v>
      </c>
      <c r="P100" s="26" t="str">
        <f>COUNTIF(tblBuildings[[#This Row],[anchor]:[wood]],"&gt;0")</f>
        <v>#ERROR!</v>
      </c>
      <c r="U100" s="26">
        <v>360.0</v>
      </c>
      <c r="AC100" s="26">
        <v>500.0</v>
      </c>
      <c r="BS100" s="26">
        <v>5.0</v>
      </c>
      <c r="CB100" s="26">
        <v>180.0</v>
      </c>
    </row>
    <row r="101" ht="14.25" customHeight="1">
      <c r="A101" s="96" t="s">
        <v>451</v>
      </c>
      <c r="B101" s="96" t="s">
        <v>4321</v>
      </c>
      <c r="C101" s="26" t="s">
        <v>4321</v>
      </c>
      <c r="D101" s="96" t="str">
        <f>_xlfn.XLOOKUP(tblBuildings[[#This Row],[BuildingID]],tblTargets[TargetID],tblTargets[DisplayName],"")</f>
        <v>#ERROR!</v>
      </c>
      <c r="E101" s="26" t="b">
        <v>1</v>
      </c>
      <c r="F101" s="26">
        <v>6.0</v>
      </c>
      <c r="H101" s="26" t="s">
        <v>4324</v>
      </c>
      <c r="I101" s="96"/>
      <c r="J101" s="26" t="s">
        <v>4335</v>
      </c>
      <c r="L101" s="26" t="s">
        <v>4336</v>
      </c>
      <c r="N101" s="26" t="s">
        <v>3668</v>
      </c>
      <c r="O101" s="26" t="str">
        <f>IF(tblBuildings[[#This Row],[costtext]]="", 0, LEN(tblBuildings[[#This Row],[costtext]]) - LEN(SUBSTITUTE(tblBuildings[[#This Row],[costtext]], ",", "")) + 1)</f>
        <v>#ERROR!</v>
      </c>
      <c r="P101" s="26" t="str">
        <f>COUNTIF(tblBuildings[[#This Row],[anchor]:[wood]],"&gt;0")</f>
        <v>#ERROR!</v>
      </c>
      <c r="U101" s="26">
        <v>440.0</v>
      </c>
      <c r="AC101" s="26">
        <v>600.0</v>
      </c>
      <c r="BS101" s="26">
        <v>6.0</v>
      </c>
      <c r="CA101" s="26">
        <v>20.0</v>
      </c>
      <c r="CB101" s="26">
        <v>220.0</v>
      </c>
    </row>
    <row r="102" ht="14.25" customHeight="1">
      <c r="A102" s="96" t="s">
        <v>453</v>
      </c>
      <c r="B102" s="96" t="s">
        <v>4321</v>
      </c>
      <c r="C102" s="26" t="s">
        <v>4321</v>
      </c>
      <c r="D102" s="96" t="str">
        <f>_xlfn.XLOOKUP(tblBuildings[[#This Row],[BuildingID]],tblTargets[TargetID],tblTargets[DisplayName],"")</f>
        <v>#ERROR!</v>
      </c>
      <c r="E102" s="26" t="b">
        <v>1</v>
      </c>
      <c r="F102" s="26">
        <v>7.0</v>
      </c>
      <c r="H102" s="26" t="s">
        <v>4324</v>
      </c>
      <c r="I102" s="96"/>
      <c r="J102" s="26" t="s">
        <v>4337</v>
      </c>
      <c r="L102" s="26" t="s">
        <v>4338</v>
      </c>
      <c r="N102" s="26" t="s">
        <v>3670</v>
      </c>
      <c r="O102" s="26" t="str">
        <f>IF(tblBuildings[[#This Row],[costtext]]="", 0, LEN(tblBuildings[[#This Row],[costtext]]) - LEN(SUBSTITUTE(tblBuildings[[#This Row],[costtext]], ",", "")) + 1)</f>
        <v>#ERROR!</v>
      </c>
      <c r="P102" s="26" t="str">
        <f>COUNTIF(tblBuildings[[#This Row],[anchor]:[wood]],"&gt;0")</f>
        <v>#ERROR!</v>
      </c>
      <c r="U102" s="26">
        <v>520.0</v>
      </c>
      <c r="AC102" s="26">
        <v>700.0</v>
      </c>
      <c r="BS102" s="26">
        <v>7.0</v>
      </c>
      <c r="CA102" s="26">
        <v>30.0</v>
      </c>
      <c r="CB102" s="26">
        <v>260.0</v>
      </c>
    </row>
    <row r="103" ht="14.25" customHeight="1">
      <c r="A103" s="96" t="s">
        <v>455</v>
      </c>
      <c r="B103" s="96" t="s">
        <v>4339</v>
      </c>
      <c r="C103" s="26" t="s">
        <v>4339</v>
      </c>
      <c r="D103" s="96" t="str">
        <f>_xlfn.XLOOKUP(tblBuildings[[#This Row],[BuildingID]],tblTargets[TargetID],tblTargets[DisplayName],"")</f>
        <v>#ERROR!</v>
      </c>
      <c r="E103" s="26" t="b">
        <v>1</v>
      </c>
      <c r="F103" s="26">
        <v>1.0</v>
      </c>
      <c r="G103" s="26">
        <v>9.0</v>
      </c>
      <c r="H103" s="26" t="s">
        <v>3979</v>
      </c>
      <c r="I103" s="96"/>
      <c r="J103" s="26" t="s">
        <v>4340</v>
      </c>
      <c r="L103" s="26" t="s">
        <v>186</v>
      </c>
      <c r="N103" s="26" t="s">
        <v>3671</v>
      </c>
      <c r="O103" s="26" t="str">
        <f>IF(tblBuildings[[#This Row],[costtext]]="", 0, LEN(tblBuildings[[#This Row],[costtext]]) - LEN(SUBSTITUTE(tblBuildings[[#This Row],[costtext]], ",", "")) + 1)</f>
        <v>#ERROR!</v>
      </c>
      <c r="P103" s="26" t="str">
        <f>COUNTIF(tblBuildings[[#This Row],[anchor]:[wood]],"&gt;0")</f>
        <v>#ERROR!</v>
      </c>
      <c r="AC103" s="26">
        <v>300.0</v>
      </c>
      <c r="BS103" s="26">
        <v>1.0</v>
      </c>
      <c r="CA103" s="26">
        <v>40.0</v>
      </c>
      <c r="CB103" s="26">
        <v>150.0</v>
      </c>
      <c r="CH103" s="26">
        <v>150.0</v>
      </c>
    </row>
    <row r="104" ht="14.25" customHeight="1">
      <c r="A104" s="96" t="s">
        <v>457</v>
      </c>
      <c r="B104" s="96" t="s">
        <v>4339</v>
      </c>
      <c r="C104" s="26" t="s">
        <v>4339</v>
      </c>
      <c r="D104" s="96" t="str">
        <f>_xlfn.XLOOKUP(tblBuildings[[#This Row],[BuildingID]],tblTargets[TargetID],tblTargets[DisplayName],"")</f>
        <v>#ERROR!</v>
      </c>
      <c r="E104" s="26" t="b">
        <v>1</v>
      </c>
      <c r="F104" s="26">
        <v>2.0</v>
      </c>
      <c r="H104" s="26" t="s">
        <v>4116</v>
      </c>
      <c r="I104" s="96" t="s">
        <v>4341</v>
      </c>
      <c r="J104" s="26" t="s">
        <v>4342</v>
      </c>
      <c r="L104" s="26" t="s">
        <v>4343</v>
      </c>
      <c r="N104" s="26" t="s">
        <v>3672</v>
      </c>
      <c r="O104" s="26" t="str">
        <f>IF(tblBuildings[[#This Row],[costtext]]="", 0, LEN(tblBuildings[[#This Row],[costtext]]) - LEN(SUBSTITUTE(tblBuildings[[#This Row],[costtext]], ",", "")) + 1)</f>
        <v>#ERROR!</v>
      </c>
      <c r="P104" s="26" t="str">
        <f>COUNTIF(tblBuildings[[#This Row],[anchor]:[wood]],"&gt;0")</f>
        <v>#ERROR!</v>
      </c>
      <c r="U104" s="26">
        <v>400.0</v>
      </c>
      <c r="AC104" s="26">
        <v>500.0</v>
      </c>
      <c r="BA104" s="26">
        <v>30.0</v>
      </c>
      <c r="BS104" s="26">
        <v>3.0</v>
      </c>
      <c r="CB104" s="26">
        <v>200.0</v>
      </c>
    </row>
    <row r="105" ht="14.25" customHeight="1">
      <c r="A105" s="96" t="s">
        <v>460</v>
      </c>
      <c r="B105" s="96" t="s">
        <v>4344</v>
      </c>
      <c r="C105" s="26" t="s">
        <v>4344</v>
      </c>
      <c r="D105" s="96" t="str">
        <f>_xlfn.XLOOKUP(tblBuildings[[#This Row],[BuildingID]],tblTargets[TargetID],tblTargets[DisplayName],"")</f>
        <v>#ERROR!</v>
      </c>
      <c r="E105" s="26" t="b">
        <v>1</v>
      </c>
      <c r="F105" s="26">
        <v>1.0</v>
      </c>
      <c r="G105" s="26">
        <v>2.0</v>
      </c>
      <c r="H105" s="26" t="s">
        <v>3979</v>
      </c>
      <c r="J105" s="26" t="s">
        <v>4345</v>
      </c>
      <c r="L105" s="26" t="s">
        <v>186</v>
      </c>
      <c r="N105" s="26" t="s">
        <v>3674</v>
      </c>
      <c r="O105" s="26" t="str">
        <f>IF(tblBuildings[[#This Row],[costtext]]="", 0, LEN(tblBuildings[[#This Row],[costtext]]) - LEN(SUBSTITUTE(tblBuildings[[#This Row],[costtext]], ",", "")) + 1)</f>
        <v>#ERROR!</v>
      </c>
      <c r="P105" s="26" t="str">
        <f>COUNTIF(tblBuildings[[#This Row],[anchor]:[wood]],"&gt;0")</f>
        <v>#ERROR!</v>
      </c>
      <c r="AC105" s="26">
        <v>20.0</v>
      </c>
      <c r="BS105" s="26">
        <v>1.0</v>
      </c>
      <c r="CB105" s="26">
        <v>10.0</v>
      </c>
      <c r="CH105" s="26">
        <v>10.0</v>
      </c>
    </row>
    <row r="106" ht="14.25" customHeight="1">
      <c r="A106" s="96" t="s">
        <v>463</v>
      </c>
      <c r="B106" s="96" t="s">
        <v>4344</v>
      </c>
      <c r="C106" s="26" t="s">
        <v>4344</v>
      </c>
      <c r="D106" s="96" t="str">
        <f>_xlfn.XLOOKUP(tblBuildings[[#This Row],[BuildingID]],tblTargets[TargetID],tblTargets[DisplayName],"")</f>
        <v>#ERROR!</v>
      </c>
      <c r="E106" s="26" t="b">
        <v>1</v>
      </c>
      <c r="F106" s="26">
        <v>2.0</v>
      </c>
      <c r="H106" s="26" t="s">
        <v>3979</v>
      </c>
      <c r="J106" s="26" t="s">
        <v>4346</v>
      </c>
      <c r="L106" s="26" t="s">
        <v>4347</v>
      </c>
      <c r="N106" s="26" t="s">
        <v>3675</v>
      </c>
      <c r="O106" s="26" t="str">
        <f>IF(tblBuildings[[#This Row],[costtext]]="", 0, LEN(tblBuildings[[#This Row],[costtext]]) - LEN(SUBSTITUTE(tblBuildings[[#This Row],[costtext]], ",", "")) + 1)</f>
        <v>#ERROR!</v>
      </c>
      <c r="P106" s="26" t="str">
        <f>COUNTIF(tblBuildings[[#This Row],[anchor]:[wood]],"&gt;0")</f>
        <v>#ERROR!</v>
      </c>
      <c r="AC106" s="26">
        <v>80.0</v>
      </c>
      <c r="BS106" s="26">
        <v>2.0</v>
      </c>
      <c r="CB106" s="26">
        <v>40.0</v>
      </c>
      <c r="CH106" s="26">
        <v>40.0</v>
      </c>
    </row>
    <row r="107" ht="14.25" customHeight="1">
      <c r="A107" s="96" t="s">
        <v>473</v>
      </c>
      <c r="B107" s="96" t="s">
        <v>4344</v>
      </c>
      <c r="C107" s="26" t="s">
        <v>4344</v>
      </c>
      <c r="D107" s="96" t="str">
        <f>_xlfn.XLOOKUP(tblBuildings[[#This Row],[BuildingID]],tblTargets[TargetID],tblTargets[DisplayName],"")</f>
        <v>#ERROR!</v>
      </c>
      <c r="E107" s="26" t="b">
        <v>1</v>
      </c>
      <c r="F107" s="26">
        <v>3.0</v>
      </c>
      <c r="H107" s="26" t="s">
        <v>3979</v>
      </c>
      <c r="J107" s="26" t="s">
        <v>4348</v>
      </c>
      <c r="L107" s="26" t="s">
        <v>4349</v>
      </c>
      <c r="N107" s="26" t="s">
        <v>3677</v>
      </c>
      <c r="O107" s="26" t="str">
        <f>IF(tblBuildings[[#This Row],[costtext]]="", 0, LEN(tblBuildings[[#This Row],[costtext]]) - LEN(SUBSTITUTE(tblBuildings[[#This Row],[costtext]], ",", "")) + 1)</f>
        <v>#ERROR!</v>
      </c>
      <c r="P107" s="26" t="str">
        <f>COUNTIF(tblBuildings[[#This Row],[anchor]:[wood]],"&gt;0")</f>
        <v>#ERROR!</v>
      </c>
      <c r="U107" s="26">
        <v>160.0</v>
      </c>
      <c r="AC107" s="26">
        <v>160.0</v>
      </c>
      <c r="BS107" s="26">
        <v>3.0</v>
      </c>
      <c r="CB107" s="26">
        <v>80.0</v>
      </c>
    </row>
    <row r="108" ht="14.25" customHeight="1">
      <c r="A108" s="96" t="s">
        <v>475</v>
      </c>
      <c r="B108" s="96" t="s">
        <v>4344</v>
      </c>
      <c r="C108" s="26" t="s">
        <v>4344</v>
      </c>
      <c r="D108" s="96" t="str">
        <f>_xlfn.XLOOKUP(tblBuildings[[#This Row],[BuildingID]],tblTargets[TargetID],tblTargets[DisplayName],"")</f>
        <v>#ERROR!</v>
      </c>
      <c r="E108" s="26" t="b">
        <v>1</v>
      </c>
      <c r="F108" s="26">
        <v>4.0</v>
      </c>
      <c r="H108" s="26" t="s">
        <v>3979</v>
      </c>
      <c r="J108" s="26" t="s">
        <v>4350</v>
      </c>
      <c r="L108" s="26" t="s">
        <v>4351</v>
      </c>
      <c r="N108" s="26" t="s">
        <v>3678</v>
      </c>
      <c r="O108" s="26" t="str">
        <f>IF(tblBuildings[[#This Row],[costtext]]="", 0, LEN(tblBuildings[[#This Row],[costtext]]) - LEN(SUBSTITUTE(tblBuildings[[#This Row],[costtext]], ",", "")) + 1)</f>
        <v>#ERROR!</v>
      </c>
      <c r="P108" s="26" t="str">
        <f>COUNTIF(tblBuildings[[#This Row],[anchor]:[wood]],"&gt;0")</f>
        <v>#ERROR!</v>
      </c>
      <c r="U108" s="26">
        <v>500.0</v>
      </c>
      <c r="AC108" s="26">
        <v>500.0</v>
      </c>
      <c r="BS108" s="26">
        <v>4.0</v>
      </c>
      <c r="CA108" s="26">
        <v>20.0</v>
      </c>
      <c r="CB108" s="26">
        <v>250.0</v>
      </c>
    </row>
    <row r="109" ht="14.25" customHeight="1">
      <c r="A109" s="96" t="s">
        <v>478</v>
      </c>
      <c r="B109" s="96" t="s">
        <v>4344</v>
      </c>
      <c r="C109" s="26" t="s">
        <v>4344</v>
      </c>
      <c r="D109" s="96" t="str">
        <f>_xlfn.XLOOKUP(tblBuildings[[#This Row],[BuildingID]],tblTargets[TargetID],tblTargets[DisplayName],"")</f>
        <v>#ERROR!</v>
      </c>
      <c r="E109" s="26" t="b">
        <v>1</v>
      </c>
      <c r="F109" s="26">
        <v>5.0</v>
      </c>
      <c r="H109" s="26" t="s">
        <v>3979</v>
      </c>
      <c r="J109" s="26" t="s">
        <v>4352</v>
      </c>
      <c r="L109" s="26" t="s">
        <v>4353</v>
      </c>
      <c r="N109" s="26" t="s">
        <v>3679</v>
      </c>
      <c r="O109" s="26" t="str">
        <f>IF(tblBuildings[[#This Row],[costtext]]="", 0, LEN(tblBuildings[[#This Row],[costtext]]) - LEN(SUBSTITUTE(tblBuildings[[#This Row],[costtext]], ",", "")) + 1)</f>
        <v>#ERROR!</v>
      </c>
      <c r="P109" s="26" t="str">
        <f>COUNTIF(tblBuildings[[#This Row],[anchor]:[wood]],"&gt;0")</f>
        <v>#ERROR!</v>
      </c>
      <c r="U109" s="26">
        <v>600.0</v>
      </c>
      <c r="AC109" s="26">
        <v>1000.0</v>
      </c>
      <c r="BS109" s="26">
        <v>5.0</v>
      </c>
      <c r="CA109" s="26">
        <v>40.0</v>
      </c>
      <c r="CB109" s="26">
        <v>300.0</v>
      </c>
    </row>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487C8414-2B0A-4B74-8EE8-F54290598AA2}" filter="1" showAutoFilter="1">
      <autoFilter ref="$A$1:$CH$109"/>
    </customSheetView>
  </customSheetViews>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5"/>
    <col customWidth="1" min="2" max="2" width="18.0"/>
    <col customWidth="1" min="3" max="3" width="17.13"/>
    <col customWidth="1" min="4" max="4" width="14.38"/>
    <col customWidth="1" min="5" max="5" width="11.0"/>
    <col customWidth="1" min="6" max="7" width="8.63"/>
    <col customWidth="1" min="8" max="8" width="64.0"/>
    <col customWidth="1" min="9" max="9" width="34.13"/>
    <col customWidth="1" min="10" max="10" width="64.75"/>
    <col customWidth="1" min="11" max="11" width="63.13"/>
    <col customWidth="1" min="12" max="12" width="14.63"/>
    <col customWidth="1" min="13" max="13" width="18.0"/>
    <col customWidth="1" min="14" max="14" width="10.13"/>
    <col customWidth="1" min="15" max="15" width="9.13"/>
    <col customWidth="1" min="16" max="16" width="10.88"/>
    <col customWidth="1" min="17" max="17" width="12.13"/>
    <col customWidth="1" min="18" max="18" width="12.63"/>
    <col customWidth="1" min="19" max="19" width="13.75"/>
    <col customWidth="1" min="20" max="20" width="9.5"/>
    <col customWidth="1" min="21" max="21" width="10.13"/>
    <col customWidth="1" min="22" max="22" width="9.25"/>
    <col customWidth="1" min="23" max="23" width="15.13"/>
    <col customWidth="1" min="24" max="24" width="9.88"/>
    <col customWidth="1" min="25" max="25" width="10.38"/>
    <col customWidth="1" min="26" max="26" width="12.63"/>
    <col customWidth="1" min="27" max="27" width="10.13"/>
  </cols>
  <sheetData>
    <row r="1" ht="14.25" customHeight="1">
      <c r="A1" s="12" t="s">
        <v>4354</v>
      </c>
      <c r="B1" s="12" t="s">
        <v>3951</v>
      </c>
      <c r="C1" s="12" t="s">
        <v>4355</v>
      </c>
      <c r="D1" s="12" t="s">
        <v>39</v>
      </c>
      <c r="E1" s="12" t="s">
        <v>620</v>
      </c>
      <c r="F1" s="12" t="s">
        <v>1961</v>
      </c>
      <c r="G1" s="12" t="s">
        <v>11</v>
      </c>
      <c r="H1" s="105" t="s">
        <v>4356</v>
      </c>
      <c r="I1" s="105" t="s">
        <v>4357</v>
      </c>
      <c r="J1" s="105" t="s">
        <v>3959</v>
      </c>
      <c r="K1" s="106" t="s">
        <v>3524</v>
      </c>
      <c r="L1" s="107" t="s">
        <v>3961</v>
      </c>
      <c r="M1" s="108" t="s">
        <v>3962</v>
      </c>
      <c r="N1" s="105" t="s">
        <v>278</v>
      </c>
      <c r="O1" s="105" t="s">
        <v>119</v>
      </c>
      <c r="P1" s="105" t="s">
        <v>1060</v>
      </c>
      <c r="Q1" s="105" t="s">
        <v>527</v>
      </c>
      <c r="R1" s="105" t="s">
        <v>530</v>
      </c>
      <c r="S1" s="105" t="s">
        <v>2251</v>
      </c>
      <c r="T1" s="105" t="s">
        <v>132</v>
      </c>
      <c r="U1" s="105" t="s">
        <v>187</v>
      </c>
      <c r="V1" s="105" t="s">
        <v>6</v>
      </c>
      <c r="W1" s="105" t="s">
        <v>2225</v>
      </c>
      <c r="X1" s="105" t="s">
        <v>392</v>
      </c>
      <c r="Y1" s="105" t="s">
        <v>237</v>
      </c>
      <c r="Z1" s="105" t="s">
        <v>2011</v>
      </c>
      <c r="AA1" s="105" t="s">
        <v>244</v>
      </c>
    </row>
    <row r="2" ht="14.25" customHeight="1">
      <c r="A2" s="26" t="s">
        <v>480</v>
      </c>
      <c r="B2" s="26" t="s">
        <v>4358</v>
      </c>
      <c r="C2" s="26" t="s">
        <v>931</v>
      </c>
      <c r="D2" s="26" t="str">
        <f>_xlfn.XLOOKUP(tblCitadel[[#This Row],[CitadelID]],tblTargets[TargetID],tblTargets[DisplayName],"")</f>
        <v>#ERROR!</v>
      </c>
      <c r="E2" s="26" t="b">
        <v>1</v>
      </c>
      <c r="H2" s="26" t="s">
        <v>4359</v>
      </c>
      <c r="I2" s="26" t="s">
        <v>4360</v>
      </c>
      <c r="J2" s="26" t="s">
        <v>4361</v>
      </c>
      <c r="K2" s="26" t="s">
        <v>3808</v>
      </c>
      <c r="L2" s="26" t="str">
        <f>IF(tblCitadel[[#This Row],[costtext]]="", 0, LEN(tblCitadel[[#This Row],[costtext]]) - LEN(SUBSTITUTE(tblCitadel[[#This Row],[costtext]], ",", "")) + 1)</f>
        <v>#ERROR!</v>
      </c>
      <c r="M2" s="26" t="str">
        <f>COUNTA(tblCitadel[[#This Row],[beam]:[wood]])</f>
        <v>#ERROR!</v>
      </c>
      <c r="N2" s="26">
        <v>500.0</v>
      </c>
      <c r="O2" s="26">
        <v>500.0</v>
      </c>
      <c r="T2" s="26">
        <v>15.0</v>
      </c>
      <c r="V2" s="26">
        <v>3.0</v>
      </c>
      <c r="X2" s="26">
        <v>100.0</v>
      </c>
      <c r="Y2" s="26">
        <v>500.0</v>
      </c>
    </row>
    <row r="3" ht="14.25" customHeight="1">
      <c r="A3" s="26" t="s">
        <v>482</v>
      </c>
      <c r="B3" s="26" t="s">
        <v>4362</v>
      </c>
      <c r="C3" s="26" t="s">
        <v>934</v>
      </c>
      <c r="D3" s="26" t="str">
        <f>_xlfn.XLOOKUP(tblCitadel[[#This Row],[CitadelID]],tblTargets[TargetID],tblTargets[DisplayName],"")</f>
        <v>#ERROR!</v>
      </c>
      <c r="E3" s="26" t="b">
        <v>1</v>
      </c>
      <c r="H3" s="26" t="s">
        <v>4363</v>
      </c>
      <c r="I3" s="26" t="s">
        <v>4360</v>
      </c>
      <c r="J3" s="26" t="s">
        <v>4364</v>
      </c>
      <c r="K3" s="26" t="s">
        <v>3810</v>
      </c>
      <c r="L3" s="26" t="str">
        <f>IF(tblCitadel[[#This Row],[costtext]]="", 0, LEN(tblCitadel[[#This Row],[costtext]]) - LEN(SUBSTITUTE(tblCitadel[[#This Row],[costtext]], ",", "")) + 1)</f>
        <v>#ERROR!</v>
      </c>
      <c r="M3" s="26" t="str">
        <f>COUNTA(tblCitadel[[#This Row],[beam]:[wood]])</f>
        <v>#ERROR!</v>
      </c>
      <c r="N3" s="26">
        <v>400.0</v>
      </c>
      <c r="O3" s="26">
        <v>400.0</v>
      </c>
      <c r="T3" s="26">
        <v>10.0</v>
      </c>
      <c r="V3" s="26">
        <v>2.0</v>
      </c>
      <c r="Y3" s="26">
        <v>400.0</v>
      </c>
    </row>
    <row r="4" ht="14.25" customHeight="1">
      <c r="A4" s="26" t="s">
        <v>498</v>
      </c>
      <c r="B4" s="26" t="s">
        <v>4365</v>
      </c>
      <c r="C4" s="26" t="s">
        <v>935</v>
      </c>
      <c r="D4" s="26" t="str">
        <f>_xlfn.XLOOKUP(tblCitadel[[#This Row],[CitadelID]],tblTargets[TargetID],tblTargets[DisplayName],"")</f>
        <v>#ERROR!</v>
      </c>
      <c r="E4" s="26" t="b">
        <v>1</v>
      </c>
      <c r="H4" s="26" t="s">
        <v>4366</v>
      </c>
      <c r="I4" s="26" t="s">
        <v>4367</v>
      </c>
      <c r="J4" s="26" t="s">
        <v>4368</v>
      </c>
      <c r="K4" s="26" t="s">
        <v>3811</v>
      </c>
      <c r="L4" s="26" t="str">
        <f>IF(tblCitadel[[#This Row],[costtext]]="", 0, LEN(tblCitadel[[#This Row],[costtext]]) - LEN(SUBSTITUTE(tblCitadel[[#This Row],[costtext]], ",", "")) + 1)</f>
        <v>#ERROR!</v>
      </c>
      <c r="M4" s="26" t="str">
        <f>COUNTA(tblCitadel[[#This Row],[beam]:[wood]])</f>
        <v>#ERROR!</v>
      </c>
      <c r="O4" s="26">
        <v>1000.0</v>
      </c>
      <c r="Q4" s="26">
        <v>10.0</v>
      </c>
      <c r="R4" s="26">
        <v>5.0</v>
      </c>
      <c r="U4" s="26">
        <v>600.0</v>
      </c>
      <c r="V4" s="26">
        <v>5.0</v>
      </c>
      <c r="W4" s="26">
        <v>10.0</v>
      </c>
      <c r="Y4" s="26">
        <v>100.0</v>
      </c>
    </row>
    <row r="5" ht="14.25" customHeight="1">
      <c r="A5" s="26" t="s">
        <v>500</v>
      </c>
      <c r="B5" s="26" t="s">
        <v>4369</v>
      </c>
      <c r="C5" s="26" t="s">
        <v>938</v>
      </c>
      <c r="D5" s="26" t="str">
        <f>_xlfn.XLOOKUP(tblCitadel[[#This Row],[CitadelID]],tblTargets[TargetID],tblTargets[DisplayName],"")</f>
        <v>#ERROR!</v>
      </c>
      <c r="E5" s="26" t="b">
        <v>1</v>
      </c>
      <c r="H5" s="26" t="s">
        <v>4363</v>
      </c>
      <c r="I5" s="26" t="s">
        <v>4370</v>
      </c>
      <c r="J5" s="26" t="s">
        <v>4364</v>
      </c>
      <c r="K5" s="26" t="s">
        <v>3813</v>
      </c>
      <c r="L5" s="26" t="str">
        <f>IF(tblCitadel[[#This Row],[costtext]]="", 0, LEN(tblCitadel[[#This Row],[costtext]]) - LEN(SUBSTITUTE(tblCitadel[[#This Row],[costtext]], ",", "")) + 1)</f>
        <v>#ERROR!</v>
      </c>
      <c r="M5" s="26" t="str">
        <f>COUNTA(tblCitadel[[#This Row],[beam]:[wood]])</f>
        <v>#ERROR!</v>
      </c>
      <c r="N5" s="26">
        <v>500.0</v>
      </c>
      <c r="O5" s="26">
        <v>500.0</v>
      </c>
      <c r="T5" s="26">
        <v>15.0</v>
      </c>
      <c r="V5" s="26">
        <v>3.0</v>
      </c>
      <c r="Y5" s="26">
        <v>500.0</v>
      </c>
    </row>
    <row r="6" ht="14.25" customHeight="1">
      <c r="A6" s="26" t="s">
        <v>502</v>
      </c>
      <c r="B6" s="26" t="s">
        <v>4371</v>
      </c>
      <c r="C6" s="26" t="s">
        <v>939</v>
      </c>
      <c r="D6" s="26" t="str">
        <f>_xlfn.XLOOKUP(tblCitadel[[#This Row],[CitadelID]],tblTargets[TargetID],tblTargets[DisplayName],"")</f>
        <v>#ERROR!</v>
      </c>
      <c r="E6" s="26" t="b">
        <v>1</v>
      </c>
      <c r="H6" s="26" t="s">
        <v>4359</v>
      </c>
      <c r="I6" s="26" t="s">
        <v>4372</v>
      </c>
      <c r="J6" s="26" t="s">
        <v>4361</v>
      </c>
      <c r="K6" s="26" t="s">
        <v>3808</v>
      </c>
      <c r="L6" s="26" t="str">
        <f>IF(tblCitadel[[#This Row],[costtext]]="", 0, LEN(tblCitadel[[#This Row],[costtext]]) - LEN(SUBSTITUTE(tblCitadel[[#This Row],[costtext]], ",", "")) + 1)</f>
        <v>#ERROR!</v>
      </c>
      <c r="M6" s="26" t="str">
        <f>COUNTA(tblCitadel[[#This Row],[beam]:[wood]])</f>
        <v>#ERROR!</v>
      </c>
      <c r="N6" s="26">
        <v>500.0</v>
      </c>
      <c r="O6" s="26">
        <v>500.0</v>
      </c>
      <c r="T6" s="26">
        <v>15.0</v>
      </c>
      <c r="V6" s="26">
        <v>3.0</v>
      </c>
      <c r="X6" s="26">
        <v>100.0</v>
      </c>
      <c r="Y6" s="26">
        <v>500.0</v>
      </c>
    </row>
    <row r="7" ht="14.25" customHeight="1">
      <c r="A7" s="26" t="s">
        <v>505</v>
      </c>
      <c r="B7" s="26" t="s">
        <v>4373</v>
      </c>
      <c r="C7" s="26" t="s">
        <v>941</v>
      </c>
      <c r="D7" s="26" t="str">
        <f>_xlfn.XLOOKUP(tblCitadel[[#This Row],[CitadelID]],tblTargets[TargetID],tblTargets[DisplayName],"")</f>
        <v>#ERROR!</v>
      </c>
      <c r="E7" s="26" t="b">
        <v>1</v>
      </c>
      <c r="H7" s="26" t="s">
        <v>212</v>
      </c>
      <c r="I7" s="26" t="s">
        <v>4374</v>
      </c>
      <c r="J7" s="26" t="s">
        <v>4375</v>
      </c>
      <c r="K7" s="26" t="s">
        <v>3815</v>
      </c>
      <c r="L7" s="26" t="str">
        <f>IF(tblCitadel[[#This Row],[costtext]]="", 0, LEN(tblCitadel[[#This Row],[costtext]]) - LEN(SUBSTITUTE(tblCitadel[[#This Row],[costtext]], ",", "")) + 1)</f>
        <v>#ERROR!</v>
      </c>
      <c r="M7" s="26" t="str">
        <f>COUNTA(tblCitadel[[#This Row],[beam]:[wood]])</f>
        <v>#ERROR!</v>
      </c>
      <c r="N7" s="26">
        <v>600.0</v>
      </c>
      <c r="O7" s="26">
        <v>800.0</v>
      </c>
      <c r="T7" s="26">
        <v>20.0</v>
      </c>
      <c r="V7" s="26">
        <v>5.0</v>
      </c>
      <c r="Y7" s="26">
        <v>600.0</v>
      </c>
    </row>
    <row r="8" ht="14.25" customHeight="1">
      <c r="A8" s="26" t="s">
        <v>509</v>
      </c>
      <c r="B8" s="26" t="s">
        <v>4376</v>
      </c>
      <c r="C8" s="26" t="s">
        <v>943</v>
      </c>
      <c r="D8" s="26" t="str">
        <f>_xlfn.XLOOKUP(tblCitadel[[#This Row],[CitadelID]],tblTargets[TargetID],tblTargets[DisplayName],"")</f>
        <v>#ERROR!</v>
      </c>
      <c r="E8" s="26" t="b">
        <v>1</v>
      </c>
      <c r="H8" s="26" t="s">
        <v>4377</v>
      </c>
      <c r="I8" s="26" t="s">
        <v>4378</v>
      </c>
      <c r="J8" s="26" t="s">
        <v>4379</v>
      </c>
      <c r="K8" s="26" t="s">
        <v>3810</v>
      </c>
      <c r="L8" s="26" t="str">
        <f>IF(tblCitadel[[#This Row],[costtext]]="", 0, LEN(tblCitadel[[#This Row],[costtext]]) - LEN(SUBSTITUTE(tblCitadel[[#This Row],[costtext]], ",", "")) + 1)</f>
        <v>#ERROR!</v>
      </c>
      <c r="M8" s="26" t="str">
        <f>COUNTA(tblCitadel[[#This Row],[beam]:[wood]])</f>
        <v>#ERROR!</v>
      </c>
      <c r="N8" s="26">
        <v>400.0</v>
      </c>
      <c r="O8" s="26">
        <v>400.0</v>
      </c>
      <c r="T8" s="26">
        <v>10.0</v>
      </c>
      <c r="V8" s="26">
        <v>2.0</v>
      </c>
      <c r="Y8" s="26">
        <v>400.0</v>
      </c>
    </row>
    <row r="9" ht="14.25" customHeight="1">
      <c r="A9" s="26" t="s">
        <v>511</v>
      </c>
      <c r="B9" s="26" t="s">
        <v>4380</v>
      </c>
      <c r="C9" s="26" t="s">
        <v>944</v>
      </c>
      <c r="D9" s="26" t="str">
        <f>_xlfn.XLOOKUP(tblCitadel[[#This Row],[CitadelID]],tblTargets[TargetID],tblTargets[DisplayName],"")</f>
        <v>#ERROR!</v>
      </c>
      <c r="E9" s="26" t="b">
        <v>1</v>
      </c>
      <c r="H9" s="26" t="s">
        <v>4381</v>
      </c>
      <c r="I9" s="26" t="s">
        <v>4382</v>
      </c>
      <c r="J9" s="26" t="s">
        <v>4383</v>
      </c>
      <c r="K9" s="26" t="s">
        <v>3816</v>
      </c>
      <c r="L9" s="26" t="str">
        <f>IF(tblCitadel[[#This Row],[costtext]]="", 0, LEN(tblCitadel[[#This Row],[costtext]]) - LEN(SUBSTITUTE(tblCitadel[[#This Row],[costtext]], ",", "")) + 1)</f>
        <v>#ERROR!</v>
      </c>
      <c r="M9" s="26" t="str">
        <f>COUNTA(tblCitadel[[#This Row],[beam]:[wood]])</f>
        <v>#ERROR!</v>
      </c>
      <c r="P9" s="26">
        <v>200.0</v>
      </c>
      <c r="R9" s="26">
        <v>17.0</v>
      </c>
      <c r="S9" s="26">
        <v>10.0</v>
      </c>
      <c r="V9" s="26">
        <v>5.0</v>
      </c>
      <c r="Z9" s="26">
        <v>3.0</v>
      </c>
      <c r="AA9" s="26">
        <v>300.0</v>
      </c>
    </row>
    <row r="10" ht="14.25" customHeight="1">
      <c r="A10" s="26" t="s">
        <v>513</v>
      </c>
      <c r="B10" s="26" t="s">
        <v>4384</v>
      </c>
      <c r="C10" s="26" t="s">
        <v>947</v>
      </c>
      <c r="D10" s="26" t="str">
        <f>_xlfn.XLOOKUP(tblCitadel[[#This Row],[CitadelID]],tblTargets[TargetID],tblTargets[DisplayName],"")</f>
        <v>#ERROR!</v>
      </c>
      <c r="E10" s="26" t="b">
        <v>1</v>
      </c>
      <c r="H10" s="26" t="s">
        <v>4385</v>
      </c>
      <c r="I10" s="26" t="s">
        <v>4382</v>
      </c>
      <c r="J10" s="26" t="s">
        <v>511</v>
      </c>
      <c r="K10" s="26" t="s">
        <v>3818</v>
      </c>
      <c r="L10" s="26" t="str">
        <f>IF(tblCitadel[[#This Row],[costtext]]="", 0, LEN(tblCitadel[[#This Row],[costtext]]) - LEN(SUBSTITUTE(tblCitadel[[#This Row],[costtext]], ",", "")) + 1)</f>
        <v>#ERROR!</v>
      </c>
      <c r="M10" s="26" t="str">
        <f>COUNTA(tblCitadel[[#This Row],[beam]:[wood]])</f>
        <v>#ERROR!</v>
      </c>
      <c r="P10" s="26">
        <v>400.0</v>
      </c>
      <c r="R10" s="26">
        <v>19.0</v>
      </c>
      <c r="S10" s="26">
        <v>20.0</v>
      </c>
      <c r="V10" s="26">
        <v>10.0</v>
      </c>
      <c r="Z10" s="26">
        <v>6.0</v>
      </c>
      <c r="AA10" s="26">
        <v>600.0</v>
      </c>
    </row>
    <row r="11" ht="14.25" customHeight="1">
      <c r="A11" s="26" t="s">
        <v>515</v>
      </c>
      <c r="B11" s="26" t="s">
        <v>4386</v>
      </c>
      <c r="C11" s="26" t="s">
        <v>948</v>
      </c>
      <c r="D11" s="26" t="str">
        <f>_xlfn.XLOOKUP(tblCitadel[[#This Row],[CitadelID]],tblTargets[TargetID],tblTargets[DisplayName],"")</f>
        <v>#ERROR!</v>
      </c>
      <c r="E11" s="26" t="b">
        <v>1</v>
      </c>
      <c r="H11" s="26" t="s">
        <v>4387</v>
      </c>
      <c r="I11" s="26" t="s">
        <v>4388</v>
      </c>
      <c r="J11" s="26" t="s">
        <v>4389</v>
      </c>
      <c r="K11" s="26" t="s">
        <v>3810</v>
      </c>
      <c r="L11" s="26" t="str">
        <f>IF(tblCitadel[[#This Row],[costtext]]="", 0, LEN(tblCitadel[[#This Row],[costtext]]) - LEN(SUBSTITUTE(tblCitadel[[#This Row],[costtext]], ",", "")) + 1)</f>
        <v>#ERROR!</v>
      </c>
      <c r="M11" s="26" t="str">
        <f>COUNTA(tblCitadel[[#This Row],[beam]:[wood]])</f>
        <v>#ERROR!</v>
      </c>
      <c r="N11" s="26">
        <v>400.0</v>
      </c>
      <c r="O11" s="26">
        <v>400.0</v>
      </c>
      <c r="T11" s="26">
        <v>10.0</v>
      </c>
      <c r="V11" s="26">
        <v>2.0</v>
      </c>
      <c r="Y11" s="26">
        <v>400.0</v>
      </c>
    </row>
    <row r="12" ht="14.25" customHeight="1">
      <c r="A12" s="26" t="s">
        <v>516</v>
      </c>
      <c r="B12" s="26" t="s">
        <v>4390</v>
      </c>
      <c r="C12" s="26" t="s">
        <v>950</v>
      </c>
      <c r="D12" s="26" t="str">
        <f>_xlfn.XLOOKUP(tblCitadel[[#This Row],[CitadelID]],tblTargets[TargetID],tblTargets[DisplayName],"")</f>
        <v>#ERROR!</v>
      </c>
      <c r="E12" s="26" t="b">
        <v>1</v>
      </c>
      <c r="H12" s="26" t="s">
        <v>4391</v>
      </c>
      <c r="I12" s="26" t="s">
        <v>4392</v>
      </c>
      <c r="J12" s="26" t="s">
        <v>4393</v>
      </c>
      <c r="K12" s="26" t="s">
        <v>3810</v>
      </c>
      <c r="L12" s="26" t="str">
        <f>IF(tblCitadel[[#This Row],[costtext]]="", 0, LEN(tblCitadel[[#This Row],[costtext]]) - LEN(SUBSTITUTE(tblCitadel[[#This Row],[costtext]], ",", "")) + 1)</f>
        <v>#ERROR!</v>
      </c>
      <c r="M12" s="26" t="str">
        <f>COUNTA(tblCitadel[[#This Row],[beam]:[wood]])</f>
        <v>#ERROR!</v>
      </c>
      <c r="N12" s="26">
        <v>400.0</v>
      </c>
      <c r="O12" s="26">
        <v>400.0</v>
      </c>
      <c r="T12" s="26">
        <v>10.0</v>
      </c>
      <c r="V12" s="26">
        <v>2.0</v>
      </c>
      <c r="Y12" s="26">
        <v>400.0</v>
      </c>
    </row>
    <row r="13" ht="14.25" customHeight="1">
      <c r="A13" s="26" t="s">
        <v>518</v>
      </c>
      <c r="B13" s="26" t="s">
        <v>4394</v>
      </c>
      <c r="C13" s="26" t="s">
        <v>952</v>
      </c>
      <c r="D13" s="26" t="str">
        <f>_xlfn.XLOOKUP(tblCitadel[[#This Row],[CitadelID]],tblTargets[TargetID],tblTargets[DisplayName],"")</f>
        <v>#ERROR!</v>
      </c>
      <c r="E13" s="26" t="b">
        <v>1</v>
      </c>
      <c r="H13" s="26" t="s">
        <v>4377</v>
      </c>
      <c r="I13" s="26" t="s">
        <v>4360</v>
      </c>
      <c r="J13" s="26" t="s">
        <v>4379</v>
      </c>
      <c r="K13" s="26" t="s">
        <v>3810</v>
      </c>
      <c r="L13" s="26" t="str">
        <f>IF(tblCitadel[[#This Row],[costtext]]="", 0, LEN(tblCitadel[[#This Row],[costtext]]) - LEN(SUBSTITUTE(tblCitadel[[#This Row],[costtext]], ",", "")) + 1)</f>
        <v>#ERROR!</v>
      </c>
      <c r="M13" s="26" t="str">
        <f>COUNTA(tblCitadel[[#This Row],[beam]:[wood]])</f>
        <v>#ERROR!</v>
      </c>
      <c r="N13" s="26">
        <v>400.0</v>
      </c>
      <c r="O13" s="26">
        <v>400.0</v>
      </c>
      <c r="T13" s="26">
        <v>10.0</v>
      </c>
      <c r="V13" s="26">
        <v>2.0</v>
      </c>
      <c r="Y13" s="26">
        <v>400.0</v>
      </c>
    </row>
    <row r="14" ht="14.25" customHeight="1">
      <c r="A14" s="26" t="s">
        <v>521</v>
      </c>
      <c r="B14" s="26" t="s">
        <v>4395</v>
      </c>
      <c r="C14" s="26" t="s">
        <v>954</v>
      </c>
      <c r="D14" s="26" t="str">
        <f>_xlfn.XLOOKUP(tblCitadel[[#This Row],[CitadelID]],tblTargets[TargetID],tblTargets[DisplayName],"")</f>
        <v>#ERROR!</v>
      </c>
      <c r="E14" s="26" t="b">
        <v>1</v>
      </c>
      <c r="H14" s="26" t="s">
        <v>4363</v>
      </c>
      <c r="I14" s="26" t="s">
        <v>4396</v>
      </c>
      <c r="J14" s="26" t="s">
        <v>4364</v>
      </c>
      <c r="K14" s="26" t="s">
        <v>3810</v>
      </c>
      <c r="L14" s="26" t="str">
        <f>IF(tblCitadel[[#This Row],[costtext]]="", 0, LEN(tblCitadel[[#This Row],[costtext]]) - LEN(SUBSTITUTE(tblCitadel[[#This Row],[costtext]], ",", "")) + 1)</f>
        <v>#ERROR!</v>
      </c>
      <c r="M14" s="26" t="str">
        <f>COUNTA(tblCitadel[[#This Row],[beam]:[wood]])</f>
        <v>#ERROR!</v>
      </c>
      <c r="N14" s="26">
        <v>400.0</v>
      </c>
      <c r="O14" s="26">
        <v>400.0</v>
      </c>
      <c r="T14" s="26">
        <v>10.0</v>
      </c>
      <c r="V14" s="26">
        <v>2.0</v>
      </c>
      <c r="Y14" s="26">
        <v>400.0</v>
      </c>
    </row>
    <row r="15" ht="14.25" customHeight="1">
      <c r="A15" s="26" t="s">
        <v>523</v>
      </c>
      <c r="B15" s="26" t="s">
        <v>4397</v>
      </c>
      <c r="C15" s="26" t="s">
        <v>955</v>
      </c>
      <c r="D15" s="26" t="str">
        <f>_xlfn.XLOOKUP(tblCitadel[[#This Row],[CitadelID]],tblTargets[TargetID],tblTargets[DisplayName],"")</f>
        <v>#ERROR!</v>
      </c>
      <c r="E15" s="26" t="b">
        <v>1</v>
      </c>
      <c r="H15" s="26" t="s">
        <v>4359</v>
      </c>
      <c r="I15" s="26" t="s">
        <v>4398</v>
      </c>
      <c r="J15" s="26" t="s">
        <v>4361</v>
      </c>
      <c r="K15" s="26" t="s">
        <v>3820</v>
      </c>
      <c r="L15" s="26" t="str">
        <f>IF(tblCitadel[[#This Row],[costtext]]="", 0, LEN(tblCitadel[[#This Row],[costtext]]) - LEN(SUBSTITUTE(tblCitadel[[#This Row],[costtext]], ",", "")) + 1)</f>
        <v>#ERROR!</v>
      </c>
      <c r="M15" s="26" t="str">
        <f>COUNTA(tblCitadel[[#This Row],[beam]:[wood]])</f>
        <v>#ERROR!</v>
      </c>
      <c r="N15" s="26">
        <v>600.0</v>
      </c>
      <c r="O15" s="26">
        <v>600.0</v>
      </c>
      <c r="T15" s="26">
        <v>20.0</v>
      </c>
      <c r="V15" s="26">
        <v>3.0</v>
      </c>
      <c r="X15" s="26">
        <v>300.0</v>
      </c>
      <c r="Y15" s="26">
        <v>600.0</v>
      </c>
    </row>
    <row r="16" ht="14.25" customHeight="1">
      <c r="A16" s="26" t="s">
        <v>525</v>
      </c>
      <c r="B16" s="26" t="s">
        <v>4065</v>
      </c>
      <c r="C16" s="26" t="s">
        <v>958</v>
      </c>
      <c r="D16" s="26" t="str">
        <f>_xlfn.XLOOKUP(tblCitadel[[#This Row],[CitadelID]],tblTargets[TargetID],tblTargets[DisplayName],"")</f>
        <v>#ERROR!</v>
      </c>
      <c r="E16" s="26" t="b">
        <v>1</v>
      </c>
      <c r="I16" s="26" t="s">
        <v>4066</v>
      </c>
      <c r="K16" s="26" t="s">
        <v>4068</v>
      </c>
      <c r="L16" s="26" t="str">
        <f>IF(tblCitadel[[#This Row],[costtext]]="", 0, LEN(tblCitadel[[#This Row],[costtext]]) - LEN(SUBSTITUTE(tblCitadel[[#This Row],[costtext]], ",", "")) + 1)</f>
        <v>#ERROR!</v>
      </c>
      <c r="M16" s="26" t="str">
        <f>COUNTA(tblCitadel[[#This Row],[beam]:[wood]])</f>
        <v>#ERROR!</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15408461-B31A-4DCF-8305-3E9C63063937}" filter="1" showAutoFilter="1">
      <autoFilter ref="$A$1:$AA$16"/>
    </customSheetView>
  </customSheetViews>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63"/>
    <col customWidth="1" min="2" max="2" width="19.75"/>
    <col customWidth="1" min="3" max="3" width="19.63"/>
    <col customWidth="1" min="4" max="4" width="15.13"/>
    <col customWidth="1" min="5" max="5" width="11.5"/>
    <col customWidth="1" min="6" max="6" width="7.88"/>
    <col customWidth="1" min="7" max="8" width="7.38"/>
    <col customWidth="1" min="9" max="9" width="13.25"/>
    <col customWidth="1" min="10" max="10" width="21.63"/>
    <col customWidth="1" min="11" max="11" width="74.38"/>
    <col customWidth="1" min="12" max="12" width="14.63"/>
    <col customWidth="1" min="13" max="13" width="18.0"/>
    <col customWidth="1" min="14" max="14" width="8.5"/>
    <col customWidth="1" min="15" max="18" width="11.5"/>
    <col customWidth="1" min="19" max="19" width="12.63"/>
    <col customWidth="1" min="20" max="21" width="12.38"/>
    <col customWidth="1" min="22" max="23" width="13.88"/>
    <col customWidth="1" min="24" max="24" width="10.5"/>
    <col customWidth="1" min="25" max="25" width="14.63"/>
    <col customWidth="1" min="26" max="26" width="13.25"/>
    <col customWidth="1" min="27" max="27" width="9.25"/>
    <col customWidth="1" min="28" max="28" width="12.38"/>
    <col customWidth="1" min="29" max="29" width="13.75"/>
    <col customWidth="1" min="30" max="30" width="10.75"/>
    <col customWidth="1" min="31" max="35" width="12.25"/>
    <col customWidth="1" min="36" max="36" width="12.63"/>
    <col customWidth="1" min="37" max="37" width="9.0"/>
    <col customWidth="1" min="38" max="38" width="10.5"/>
    <col customWidth="1" min="39" max="39" width="10.75"/>
    <col customWidth="1" min="40" max="40" width="8.5"/>
    <col customWidth="1" min="41" max="41" width="10.13"/>
    <col customWidth="1" min="42" max="42" width="12.88"/>
    <col customWidth="1" min="43" max="44" width="9.88"/>
    <col customWidth="1" min="45" max="45" width="8.5"/>
    <col customWidth="1" min="46" max="46" width="8.13"/>
    <col customWidth="1" min="47" max="47" width="12.63"/>
    <col customWidth="1" min="48" max="50" width="9.5"/>
    <col customWidth="1" min="51" max="51" width="10.88"/>
    <col customWidth="1" min="52" max="52" width="11.0"/>
    <col customWidth="1" min="53" max="53" width="9.5"/>
    <col customWidth="1" min="54" max="54" width="15.88"/>
    <col customWidth="1" min="55" max="55" width="12.63"/>
    <col customWidth="1" min="56" max="56" width="15.13"/>
    <col customWidth="1" min="57" max="57" width="10.13"/>
    <col customWidth="1" min="58" max="59" width="11.75"/>
    <col customWidth="1" min="60" max="60" width="9.25"/>
    <col customWidth="1" min="61" max="61" width="10.75"/>
    <col customWidth="1" min="62" max="62" width="9.5"/>
    <col customWidth="1" min="63" max="64" width="9.88"/>
    <col customWidth="1" min="65" max="65" width="8.5"/>
    <col customWidth="1" min="66" max="66" width="11.13"/>
    <col customWidth="1" min="67" max="67" width="11.88"/>
    <col customWidth="1" min="68" max="68" width="13.88"/>
    <col customWidth="1" min="69" max="71" width="10.13"/>
    <col customWidth="1" min="72" max="72" width="10.5"/>
    <col customWidth="1" min="73" max="73" width="9.13"/>
    <col customWidth="1" min="74" max="74" width="10.5"/>
    <col customWidth="1" min="75" max="75" width="15.38"/>
    <col customWidth="1" min="76" max="80" width="16.88"/>
    <col customWidth="1" min="81" max="81" width="9.63"/>
    <col customWidth="1" min="82" max="82" width="7.63"/>
    <col customWidth="1" min="83" max="83" width="9.5"/>
    <col customWidth="1" min="84" max="84" width="10.38"/>
    <col customWidth="1" min="85" max="86" width="9.88"/>
    <col customWidth="1" min="87" max="87" width="10.13"/>
    <col customWidth="1" min="88" max="94" width="11.5"/>
    <col customWidth="1" min="95" max="95" width="8.5"/>
    <col customWidth="1" min="96" max="96" width="11.25"/>
    <col customWidth="1" min="97" max="97" width="10.75"/>
    <col customWidth="1" min="98" max="98" width="10.88"/>
    <col customWidth="1" min="99" max="99" width="12.0"/>
    <col customWidth="1" min="100" max="100" width="13.75"/>
    <col customWidth="1" min="101" max="101" width="15.88"/>
    <col customWidth="1" min="102" max="102" width="8.5"/>
    <col customWidth="1" min="103" max="106" width="9.63"/>
    <col customWidth="1" min="107" max="107" width="10.75"/>
    <col customWidth="1" min="108" max="108" width="9.25"/>
    <col customWidth="1" min="109" max="109" width="11.5"/>
    <col customWidth="1" min="110" max="110" width="12.13"/>
    <col customWidth="1" min="111" max="111" width="9.88"/>
    <col customWidth="1" min="112" max="115" width="11.5"/>
    <col customWidth="1" min="116" max="116" width="12.63"/>
    <col customWidth="1" min="117" max="117" width="12.88"/>
    <col customWidth="1" min="118" max="118" width="8.13"/>
    <col customWidth="1" min="119" max="119" width="14.38"/>
    <col customWidth="1" min="120" max="120" width="8.13"/>
    <col customWidth="1" min="121" max="121" width="10.63"/>
    <col customWidth="1" min="122" max="122" width="10.75"/>
    <col customWidth="1" min="123" max="123" width="9.63"/>
    <col customWidth="1" min="124" max="124" width="10.13"/>
    <col customWidth="1" min="125" max="125" width="11.75"/>
    <col customWidth="1" min="126" max="126" width="14.5"/>
    <col customWidth="1" min="127" max="128" width="16.13"/>
    <col customWidth="1" min="129" max="129" width="9.88"/>
    <col customWidth="1" min="130" max="133" width="11.5"/>
    <col customWidth="1" min="134" max="134" width="12.63"/>
    <col customWidth="1" min="135" max="135" width="10.13"/>
    <col customWidth="1" min="136" max="136" width="11.88"/>
    <col customWidth="1" min="137" max="137" width="11.0"/>
    <col customWidth="1" min="138" max="138" width="12.63"/>
    <col customWidth="1" min="139" max="139" width="12.5"/>
    <col customWidth="1" min="140" max="140" width="9.25"/>
    <col customWidth="1" min="141" max="141" width="14.63"/>
    <col customWidth="1" min="142" max="142" width="15.88"/>
    <col customWidth="1" min="143" max="144" width="10.13"/>
  </cols>
  <sheetData>
    <row r="1" ht="14.25" customHeight="1">
      <c r="A1" s="12" t="s">
        <v>4399</v>
      </c>
      <c r="B1" s="12" t="s">
        <v>3951</v>
      </c>
      <c r="C1" s="12" t="s">
        <v>4400</v>
      </c>
      <c r="D1" s="12" t="s">
        <v>39</v>
      </c>
      <c r="E1" s="12" t="s">
        <v>620</v>
      </c>
      <c r="F1" s="12" t="s">
        <v>3953</v>
      </c>
      <c r="G1" s="12" t="s">
        <v>1961</v>
      </c>
      <c r="H1" s="12" t="s">
        <v>11</v>
      </c>
      <c r="I1" s="12" t="s">
        <v>4356</v>
      </c>
      <c r="J1" s="12" t="s">
        <v>3959</v>
      </c>
      <c r="K1" s="109" t="s">
        <v>3524</v>
      </c>
      <c r="L1" s="107" t="s">
        <v>3961</v>
      </c>
      <c r="M1" s="108" t="s">
        <v>3962</v>
      </c>
      <c r="N1" s="101" t="s">
        <v>1230</v>
      </c>
      <c r="O1" s="101" t="s">
        <v>2348</v>
      </c>
      <c r="P1" s="101" t="s">
        <v>2350</v>
      </c>
      <c r="Q1" s="101" t="s">
        <v>2352</v>
      </c>
      <c r="R1" s="101" t="s">
        <v>2354</v>
      </c>
      <c r="S1" s="101" t="s">
        <v>2396</v>
      </c>
      <c r="T1" s="101" t="s">
        <v>2704</v>
      </c>
      <c r="U1" s="101" t="s">
        <v>520</v>
      </c>
      <c r="V1" s="101" t="s">
        <v>4401</v>
      </c>
      <c r="W1" s="101" t="s">
        <v>4402</v>
      </c>
      <c r="X1" s="101" t="s">
        <v>367</v>
      </c>
      <c r="Y1" s="101" t="s">
        <v>1497</v>
      </c>
      <c r="Z1" s="101" t="s">
        <v>1055</v>
      </c>
      <c r="AA1" s="101" t="s">
        <v>2864</v>
      </c>
      <c r="AB1" s="101" t="s">
        <v>283</v>
      </c>
      <c r="AC1" s="101" t="s">
        <v>113</v>
      </c>
      <c r="AD1" s="101" t="s">
        <v>2299</v>
      </c>
      <c r="AE1" s="101" t="s">
        <v>4403</v>
      </c>
      <c r="AF1" s="101" t="s">
        <v>4404</v>
      </c>
      <c r="AG1" s="101" t="s">
        <v>4405</v>
      </c>
      <c r="AH1" s="101" t="s">
        <v>4406</v>
      </c>
      <c r="AI1" s="101" t="s">
        <v>4407</v>
      </c>
      <c r="AJ1" s="101" t="s">
        <v>2514</v>
      </c>
      <c r="AK1" s="101" t="s">
        <v>119</v>
      </c>
      <c r="AL1" s="101" t="s">
        <v>4408</v>
      </c>
      <c r="AM1" s="101" t="s">
        <v>1060</v>
      </c>
      <c r="AN1" s="101" t="s">
        <v>2868</v>
      </c>
      <c r="AO1" s="101" t="s">
        <v>2707</v>
      </c>
      <c r="AP1" s="101" t="s">
        <v>2458</v>
      </c>
      <c r="AQ1" s="101" t="s">
        <v>2915</v>
      </c>
      <c r="AR1" s="101" t="s">
        <v>1066</v>
      </c>
      <c r="AS1" s="101" t="s">
        <v>452</v>
      </c>
      <c r="AT1" s="101" t="s">
        <v>171</v>
      </c>
      <c r="AU1" s="101" t="s">
        <v>2404</v>
      </c>
      <c r="AV1" s="101" t="s">
        <v>2709</v>
      </c>
      <c r="AW1" s="101" t="s">
        <v>2871</v>
      </c>
      <c r="AX1" s="101" t="s">
        <v>3035</v>
      </c>
      <c r="AY1" s="101" t="s">
        <v>4409</v>
      </c>
      <c r="AZ1" s="101" t="s">
        <v>2339</v>
      </c>
      <c r="BA1" s="101" t="s">
        <v>360</v>
      </c>
      <c r="BB1" s="101" t="s">
        <v>1583</v>
      </c>
      <c r="BC1" s="101" t="s">
        <v>530</v>
      </c>
      <c r="BD1" s="101" t="s">
        <v>318</v>
      </c>
      <c r="BE1" s="101" t="s">
        <v>508</v>
      </c>
      <c r="BF1" s="101" t="s">
        <v>4410</v>
      </c>
      <c r="BG1" s="101" t="s">
        <v>4411</v>
      </c>
      <c r="BH1" s="101" t="s">
        <v>2302</v>
      </c>
      <c r="BI1" s="101" t="s">
        <v>2486</v>
      </c>
      <c r="BJ1" s="101" t="s">
        <v>2545</v>
      </c>
      <c r="BK1" s="101" t="s">
        <v>412</v>
      </c>
      <c r="BL1" s="101" t="s">
        <v>2811</v>
      </c>
      <c r="BM1" s="101" t="s">
        <v>2611</v>
      </c>
      <c r="BN1" s="101" t="s">
        <v>1922</v>
      </c>
      <c r="BO1" s="101" t="s">
        <v>2083</v>
      </c>
      <c r="BP1" s="101" t="s">
        <v>2304</v>
      </c>
      <c r="BQ1" s="101" t="s">
        <v>2597</v>
      </c>
      <c r="BR1" s="101" t="s">
        <v>2599</v>
      </c>
      <c r="BS1" s="101" t="s">
        <v>2601</v>
      </c>
      <c r="BT1" s="101" t="s">
        <v>2874</v>
      </c>
      <c r="BU1" s="101" t="s">
        <v>4412</v>
      </c>
      <c r="BV1" s="101" t="s">
        <v>533</v>
      </c>
      <c r="BW1" s="101" t="s">
        <v>126</v>
      </c>
      <c r="BX1" s="101" t="s">
        <v>2323</v>
      </c>
      <c r="BY1" s="101" t="s">
        <v>4413</v>
      </c>
      <c r="BZ1" s="101" t="s">
        <v>4414</v>
      </c>
      <c r="CA1" s="101" t="s">
        <v>4415</v>
      </c>
      <c r="CB1" s="101" t="s">
        <v>4416</v>
      </c>
      <c r="CC1" s="101" t="s">
        <v>4417</v>
      </c>
      <c r="CD1" s="101" t="s">
        <v>1095</v>
      </c>
      <c r="CE1" s="101" t="s">
        <v>588</v>
      </c>
      <c r="CF1" s="101" t="s">
        <v>132</v>
      </c>
      <c r="CG1" s="101" t="s">
        <v>423</v>
      </c>
      <c r="CH1" s="101" t="s">
        <v>2877</v>
      </c>
      <c r="CI1" s="101" t="s">
        <v>426</v>
      </c>
      <c r="CJ1" s="101" t="s">
        <v>187</v>
      </c>
      <c r="CK1" s="101" t="s">
        <v>4418</v>
      </c>
      <c r="CL1" s="101" t="s">
        <v>4419</v>
      </c>
      <c r="CM1" s="101" t="s">
        <v>4420</v>
      </c>
      <c r="CN1" s="101" t="s">
        <v>4421</v>
      </c>
      <c r="CO1" s="101" t="s">
        <v>4422</v>
      </c>
      <c r="CP1" s="101" t="s">
        <v>4423</v>
      </c>
      <c r="CQ1" s="101" t="s">
        <v>4424</v>
      </c>
      <c r="CR1" s="101" t="s">
        <v>3040</v>
      </c>
      <c r="CS1" s="101" t="s">
        <v>2488</v>
      </c>
      <c r="CT1" s="101" t="s">
        <v>1282</v>
      </c>
      <c r="CU1" s="101" t="s">
        <v>576</v>
      </c>
      <c r="CV1" s="101" t="s">
        <v>140</v>
      </c>
      <c r="CW1" s="101" t="s">
        <v>1606</v>
      </c>
      <c r="CX1" s="101" t="s">
        <v>3043</v>
      </c>
      <c r="CY1" s="101" t="s">
        <v>701</v>
      </c>
      <c r="CZ1" s="101" t="s">
        <v>2997</v>
      </c>
      <c r="DA1" s="101" t="s">
        <v>3000</v>
      </c>
      <c r="DB1" s="101" t="s">
        <v>3003</v>
      </c>
      <c r="DC1" s="101" t="s">
        <v>3006</v>
      </c>
      <c r="DD1" s="101" t="s">
        <v>3009</v>
      </c>
      <c r="DE1" s="101" t="s">
        <v>6</v>
      </c>
      <c r="DF1" s="101" t="s">
        <v>2714</v>
      </c>
      <c r="DG1" s="101" t="s">
        <v>1948</v>
      </c>
      <c r="DH1" s="101" t="s">
        <v>2007</v>
      </c>
      <c r="DI1" s="101" t="s">
        <v>2356</v>
      </c>
      <c r="DJ1" s="101" t="s">
        <v>2358</v>
      </c>
      <c r="DK1" s="101" t="s">
        <v>2360</v>
      </c>
      <c r="DL1" s="101" t="s">
        <v>2362</v>
      </c>
      <c r="DM1" s="101" t="s">
        <v>2398</v>
      </c>
      <c r="DN1" s="101" t="s">
        <v>2410</v>
      </c>
      <c r="DO1" s="101" t="s">
        <v>152</v>
      </c>
      <c r="DP1" s="101" t="s">
        <v>2882</v>
      </c>
      <c r="DQ1" s="101" t="s">
        <v>711</v>
      </c>
      <c r="DR1" s="101" t="s">
        <v>443</v>
      </c>
      <c r="DS1" s="101" t="s">
        <v>2412</v>
      </c>
      <c r="DT1" s="101" t="s">
        <v>392</v>
      </c>
      <c r="DU1" s="101" t="s">
        <v>237</v>
      </c>
      <c r="DV1" s="101" t="s">
        <v>4425</v>
      </c>
      <c r="DW1" s="101" t="s">
        <v>2490</v>
      </c>
      <c r="DX1" s="101" t="s">
        <v>4426</v>
      </c>
      <c r="DY1" s="101" t="s">
        <v>4427</v>
      </c>
      <c r="DZ1" s="101" t="s">
        <v>405</v>
      </c>
      <c r="EA1" s="101" t="s">
        <v>2364</v>
      </c>
      <c r="EB1" s="101" t="s">
        <v>2366</v>
      </c>
      <c r="EC1" s="101" t="s">
        <v>2368</v>
      </c>
      <c r="ED1" s="101" t="s">
        <v>2370</v>
      </c>
      <c r="EE1" s="101" t="s">
        <v>2400</v>
      </c>
      <c r="EF1" s="101" t="s">
        <v>2461</v>
      </c>
      <c r="EG1" s="101" t="s">
        <v>2887</v>
      </c>
      <c r="EH1" s="101" t="s">
        <v>158</v>
      </c>
      <c r="EI1" s="101" t="s">
        <v>1489</v>
      </c>
      <c r="EJ1" s="101" t="s">
        <v>2011</v>
      </c>
      <c r="EK1" s="101" t="s">
        <v>2719</v>
      </c>
      <c r="EL1" s="101" t="s">
        <v>2849</v>
      </c>
      <c r="EM1" s="101" t="s">
        <v>2308</v>
      </c>
      <c r="EN1" s="101" t="s">
        <v>244</v>
      </c>
    </row>
    <row r="2" ht="14.25" customHeight="1">
      <c r="A2" s="26" t="s">
        <v>544</v>
      </c>
      <c r="B2" s="26" t="s">
        <v>4428</v>
      </c>
      <c r="C2" s="26" t="s">
        <v>4429</v>
      </c>
      <c r="D2" s="26" t="str">
        <f>_xlfn.XLOOKUP(tblCollections[[#This Row],[CollectionID]],tblTargets[TargetID],tblTargets[DisplayName],"")</f>
        <v>#ERROR!</v>
      </c>
      <c r="E2" s="26" t="b">
        <v>1</v>
      </c>
      <c r="F2" s="26">
        <v>1.0</v>
      </c>
      <c r="I2" s="26" t="s">
        <v>931</v>
      </c>
      <c r="J2" s="26" t="s">
        <v>4430</v>
      </c>
      <c r="K2" s="21" t="s">
        <v>3822</v>
      </c>
      <c r="L2" s="21" t="str">
        <f>IF(tblCollections[[#This Row],[costtext]]="", 0, LEN(tblCollections[[#This Row],[costtext]]) - LEN(SUBSTITUTE(tblCollections[[#This Row],[costtext]], ",", "")) + 1)</f>
        <v>#ERROR!</v>
      </c>
      <c r="M2" s="21" t="str">
        <f>COUNTA(tblCollections[[#This Row],[apy]:[wood]])</f>
        <v>#ERROR!</v>
      </c>
      <c r="O2" s="26">
        <v>3.0</v>
      </c>
      <c r="P2" s="26">
        <v>3.0</v>
      </c>
      <c r="Q2" s="26">
        <v>3.0</v>
      </c>
      <c r="R2" s="26">
        <v>3.0</v>
      </c>
      <c r="DI2" s="26">
        <v>3.0</v>
      </c>
      <c r="DJ2" s="26">
        <v>3.0</v>
      </c>
      <c r="DK2" s="26">
        <v>3.0</v>
      </c>
      <c r="DL2" s="26">
        <v>3.0</v>
      </c>
      <c r="EA2" s="26">
        <v>3.0</v>
      </c>
      <c r="EB2" s="26">
        <v>3.0</v>
      </c>
      <c r="EC2" s="26">
        <v>3.0</v>
      </c>
      <c r="ED2" s="26">
        <v>3.0</v>
      </c>
    </row>
    <row r="3" ht="14.25" customHeight="1">
      <c r="A3" s="26" t="s">
        <v>546</v>
      </c>
      <c r="B3" s="26" t="s">
        <v>4428</v>
      </c>
      <c r="C3" s="26" t="s">
        <v>4429</v>
      </c>
      <c r="D3" s="26" t="str">
        <f>_xlfn.XLOOKUP(tblCollections[[#This Row],[CollectionID]],tblTargets[TargetID],tblTargets[DisplayName],"")</f>
        <v>#ERROR!</v>
      </c>
      <c r="E3" s="26" t="b">
        <v>1</v>
      </c>
      <c r="F3" s="26">
        <v>2.0</v>
      </c>
      <c r="I3" s="26" t="s">
        <v>931</v>
      </c>
      <c r="J3" s="26" t="s">
        <v>4431</v>
      </c>
      <c r="K3" s="21" t="s">
        <v>3823</v>
      </c>
      <c r="L3" s="21" t="str">
        <f>IF(tblCollections[[#This Row],[costtext]]="", 0, LEN(tblCollections[[#This Row],[costtext]]) - LEN(SUBSTITUTE(tblCollections[[#This Row],[costtext]], ",", "")) + 1)</f>
        <v>#ERROR!</v>
      </c>
      <c r="M3" s="21" t="str">
        <f>COUNTA(tblCollections[[#This Row],[apy]:[wood]])</f>
        <v>#ERROR!</v>
      </c>
      <c r="O3" s="26">
        <v>6.0</v>
      </c>
      <c r="P3" s="26">
        <v>6.0</v>
      </c>
      <c r="Q3" s="26">
        <v>6.0</v>
      </c>
      <c r="R3" s="26">
        <v>6.0</v>
      </c>
      <c r="DI3" s="26">
        <v>6.0</v>
      </c>
      <c r="DJ3" s="26">
        <v>6.0</v>
      </c>
      <c r="DK3" s="26">
        <v>6.0</v>
      </c>
      <c r="DL3" s="26">
        <v>6.0</v>
      </c>
      <c r="EA3" s="26">
        <v>6.0</v>
      </c>
      <c r="EB3" s="26">
        <v>6.0</v>
      </c>
      <c r="EC3" s="26">
        <v>6.0</v>
      </c>
      <c r="ED3" s="26">
        <v>6.0</v>
      </c>
    </row>
    <row r="4" ht="14.25" customHeight="1">
      <c r="A4" s="26" t="s">
        <v>549</v>
      </c>
      <c r="B4" s="26" t="s">
        <v>4428</v>
      </c>
      <c r="C4" s="26" t="s">
        <v>4429</v>
      </c>
      <c r="D4" s="26" t="str">
        <f>_xlfn.XLOOKUP(tblCollections[[#This Row],[CollectionID]],tblTargets[TargetID],tblTargets[DisplayName],"")</f>
        <v>#ERROR!</v>
      </c>
      <c r="E4" s="26" t="b">
        <v>1</v>
      </c>
      <c r="F4" s="26">
        <v>3.0</v>
      </c>
      <c r="I4" s="26" t="s">
        <v>931</v>
      </c>
      <c r="J4" s="26" t="s">
        <v>4432</v>
      </c>
      <c r="K4" s="21" t="s">
        <v>3824</v>
      </c>
      <c r="L4" s="21" t="str">
        <f>IF(tblCollections[[#This Row],[costtext]]="", 0, LEN(tblCollections[[#This Row],[costtext]]) - LEN(SUBSTITUTE(tblCollections[[#This Row],[costtext]], ",", "")) + 1)</f>
        <v>#ERROR!</v>
      </c>
      <c r="M4" s="21" t="str">
        <f>COUNTA(tblCollections[[#This Row],[apy]:[wood]])</f>
        <v>#ERROR!</v>
      </c>
      <c r="O4" s="26">
        <v>9.0</v>
      </c>
      <c r="P4" s="26">
        <v>9.0</v>
      </c>
      <c r="Q4" s="26">
        <v>9.0</v>
      </c>
      <c r="R4" s="26">
        <v>9.0</v>
      </c>
      <c r="DI4" s="26">
        <v>9.0</v>
      </c>
      <c r="DJ4" s="26">
        <v>9.0</v>
      </c>
      <c r="DK4" s="26">
        <v>9.0</v>
      </c>
      <c r="DL4" s="26">
        <v>9.0</v>
      </c>
      <c r="EA4" s="26">
        <v>9.0</v>
      </c>
      <c r="EB4" s="26">
        <v>9.0</v>
      </c>
      <c r="EC4" s="26">
        <v>9.0</v>
      </c>
      <c r="ED4" s="26">
        <v>9.0</v>
      </c>
    </row>
    <row r="5" ht="14.25" customHeight="1">
      <c r="A5" s="26" t="s">
        <v>551</v>
      </c>
      <c r="B5" s="26" t="s">
        <v>4433</v>
      </c>
      <c r="C5" s="26" t="s">
        <v>4434</v>
      </c>
      <c r="D5" s="26" t="str">
        <f>_xlfn.XLOOKUP(tblCollections[[#This Row],[CollectionID]],tblTargets[TargetID],tblTargets[DisplayName],"")</f>
        <v>#ERROR!</v>
      </c>
      <c r="E5" s="26" t="b">
        <v>1</v>
      </c>
      <c r="F5" s="26">
        <v>1.0</v>
      </c>
      <c r="I5" s="26" t="s">
        <v>4435</v>
      </c>
      <c r="J5" s="26" t="s">
        <v>4436</v>
      </c>
      <c r="K5" s="21" t="s">
        <v>3826</v>
      </c>
      <c r="L5" s="21" t="str">
        <f>IF(tblCollections[[#This Row],[costtext]]="", 0, LEN(tblCollections[[#This Row],[costtext]]) - LEN(SUBSTITUTE(tblCollections[[#This Row],[costtext]], ",", "")) + 1)</f>
        <v>#ERROR!</v>
      </c>
      <c r="M5" s="21" t="str">
        <f>COUNTA(tblCollections[[#This Row],[apy]:[wood]])</f>
        <v>#ERROR!</v>
      </c>
      <c r="S5" s="26">
        <v>3.0</v>
      </c>
      <c r="DM5" s="26">
        <v>3.0</v>
      </c>
      <c r="EE5" s="26">
        <v>3.0</v>
      </c>
    </row>
    <row r="6" ht="14.25" customHeight="1">
      <c r="A6" s="26" t="s">
        <v>553</v>
      </c>
      <c r="B6" s="26" t="s">
        <v>4362</v>
      </c>
      <c r="C6" s="26" t="s">
        <v>934</v>
      </c>
      <c r="D6" s="26" t="str">
        <f>_xlfn.XLOOKUP(tblCollections[[#This Row],[CollectionID]],tblTargets[TargetID],tblTargets[DisplayName],"")</f>
        <v>#ERROR!</v>
      </c>
      <c r="E6" s="26" t="b">
        <v>1</v>
      </c>
      <c r="F6" s="26">
        <v>1.0</v>
      </c>
      <c r="I6" s="26" t="s">
        <v>934</v>
      </c>
      <c r="J6" s="26" t="s">
        <v>4437</v>
      </c>
      <c r="K6" s="21" t="s">
        <v>3827</v>
      </c>
      <c r="L6" s="21" t="str">
        <f>IF(tblCollections[[#This Row],[costtext]]="", 0, LEN(tblCollections[[#This Row],[costtext]]) - LEN(SUBSTITUTE(tblCollections[[#This Row],[costtext]], ",", "")) + 1)</f>
        <v>#ERROR!</v>
      </c>
      <c r="M6" s="21" t="str">
        <f>COUNTA(tblCollections[[#This Row],[apy]:[wood]])</f>
        <v>#ERROR!</v>
      </c>
      <c r="AR6" s="26">
        <v>3.0</v>
      </c>
      <c r="AT6" s="26">
        <v>20.0</v>
      </c>
      <c r="AU6" s="26">
        <v>3.0</v>
      </c>
      <c r="BN6" s="26">
        <v>10.0</v>
      </c>
      <c r="BO6" s="26">
        <v>3.0</v>
      </c>
      <c r="CD6" s="26">
        <v>3.0</v>
      </c>
      <c r="DG6" s="26">
        <v>3.0</v>
      </c>
      <c r="DN6" s="26">
        <v>20.0</v>
      </c>
      <c r="DS6" s="26">
        <v>20.0</v>
      </c>
    </row>
    <row r="7" ht="14.25" customHeight="1">
      <c r="A7" s="26" t="s">
        <v>556</v>
      </c>
      <c r="B7" s="26" t="s">
        <v>4362</v>
      </c>
      <c r="C7" s="26" t="s">
        <v>934</v>
      </c>
      <c r="D7" s="26" t="str">
        <f>_xlfn.XLOOKUP(tblCollections[[#This Row],[CollectionID]],tblTargets[TargetID],tblTargets[DisplayName],"")</f>
        <v>#ERROR!</v>
      </c>
      <c r="E7" s="26" t="b">
        <v>1</v>
      </c>
      <c r="F7" s="26">
        <v>2.0</v>
      </c>
      <c r="I7" s="26" t="s">
        <v>934</v>
      </c>
      <c r="J7" s="26" t="s">
        <v>4438</v>
      </c>
      <c r="K7" s="21" t="s">
        <v>3828</v>
      </c>
      <c r="L7" s="21" t="str">
        <f>IF(tblCollections[[#This Row],[costtext]]="", 0, LEN(tblCollections[[#This Row],[costtext]]) - LEN(SUBSTITUTE(tblCollections[[#This Row],[costtext]], ",", "")) + 1)</f>
        <v>#ERROR!</v>
      </c>
      <c r="M7" s="21" t="str">
        <f>COUNTA(tblCollections[[#This Row],[apy]:[wood]])</f>
        <v>#ERROR!</v>
      </c>
      <c r="AR7" s="26">
        <v>6.0</v>
      </c>
      <c r="AT7" s="26">
        <v>40.0</v>
      </c>
      <c r="AU7" s="26">
        <v>6.0</v>
      </c>
      <c r="BN7" s="26">
        <v>20.0</v>
      </c>
      <c r="BO7" s="26">
        <v>6.0</v>
      </c>
      <c r="CD7" s="26">
        <v>6.0</v>
      </c>
      <c r="DG7" s="26">
        <v>6.0</v>
      </c>
      <c r="DN7" s="26">
        <v>40.0</v>
      </c>
      <c r="DS7" s="26">
        <v>40.0</v>
      </c>
    </row>
    <row r="8" ht="14.25" customHeight="1">
      <c r="A8" s="26" t="s">
        <v>558</v>
      </c>
      <c r="B8" s="26" t="s">
        <v>4362</v>
      </c>
      <c r="C8" s="26" t="s">
        <v>934</v>
      </c>
      <c r="D8" s="26" t="str">
        <f>_xlfn.XLOOKUP(tblCollections[[#This Row],[CollectionID]],tblTargets[TargetID],tblTargets[DisplayName],"")</f>
        <v>#ERROR!</v>
      </c>
      <c r="E8" s="26" t="b">
        <v>1</v>
      </c>
      <c r="F8" s="26">
        <v>3.0</v>
      </c>
      <c r="I8" s="26" t="s">
        <v>934</v>
      </c>
      <c r="J8" s="26" t="s">
        <v>4439</v>
      </c>
      <c r="K8" s="21" t="s">
        <v>3829</v>
      </c>
      <c r="L8" s="21" t="str">
        <f>IF(tblCollections[[#This Row],[costtext]]="", 0, LEN(tblCollections[[#This Row],[costtext]]) - LEN(SUBSTITUTE(tblCollections[[#This Row],[costtext]], ",", "")) + 1)</f>
        <v>#ERROR!</v>
      </c>
      <c r="M8" s="21" t="str">
        <f>COUNTA(tblCollections[[#This Row],[apy]:[wood]])</f>
        <v>#ERROR!</v>
      </c>
      <c r="AR8" s="26">
        <v>9.0</v>
      </c>
      <c r="AT8" s="26">
        <v>60.0</v>
      </c>
      <c r="AU8" s="26">
        <v>9.0</v>
      </c>
      <c r="BN8" s="26">
        <v>30.0</v>
      </c>
      <c r="BO8" s="26">
        <v>9.0</v>
      </c>
      <c r="CD8" s="26">
        <v>9.0</v>
      </c>
      <c r="DG8" s="26">
        <v>9.0</v>
      </c>
      <c r="DN8" s="26">
        <v>60.0</v>
      </c>
      <c r="DS8" s="26">
        <v>60.0</v>
      </c>
    </row>
    <row r="9" ht="14.25" customHeight="1">
      <c r="A9" s="26" t="s">
        <v>560</v>
      </c>
      <c r="B9" s="26" t="s">
        <v>4362</v>
      </c>
      <c r="C9" s="26" t="s">
        <v>934</v>
      </c>
      <c r="D9" s="26" t="str">
        <f>_xlfn.XLOOKUP(tblCollections[[#This Row],[CollectionID]],tblTargets[TargetID],tblTargets[DisplayName],"")</f>
        <v>#ERROR!</v>
      </c>
      <c r="E9" s="26" t="b">
        <v>1</v>
      </c>
      <c r="F9" s="26">
        <v>4.0</v>
      </c>
      <c r="I9" s="26" t="s">
        <v>934</v>
      </c>
      <c r="J9" s="26" t="s">
        <v>4440</v>
      </c>
      <c r="K9" s="21" t="s">
        <v>3831</v>
      </c>
      <c r="L9" s="21" t="str">
        <f>IF(tblCollections[[#This Row],[costtext]]="", 0, LEN(tblCollections[[#This Row],[costtext]]) - LEN(SUBSTITUTE(tblCollections[[#This Row],[costtext]], ",", "")) + 1)</f>
        <v>#ERROR!</v>
      </c>
      <c r="M9" s="21" t="str">
        <f>COUNTA(tblCollections[[#This Row],[apy]:[wood]])</f>
        <v>#ERROR!</v>
      </c>
      <c r="AR9" s="26">
        <v>12.0</v>
      </c>
      <c r="AT9" s="26">
        <v>80.0</v>
      </c>
      <c r="AU9" s="26">
        <v>12.0</v>
      </c>
      <c r="BN9" s="26">
        <v>40.0</v>
      </c>
      <c r="BO9" s="26">
        <v>12.0</v>
      </c>
      <c r="CD9" s="26">
        <v>12.0</v>
      </c>
      <c r="DG9" s="26">
        <v>12.0</v>
      </c>
      <c r="DN9" s="26">
        <v>80.0</v>
      </c>
      <c r="DS9" s="26">
        <v>80.0</v>
      </c>
    </row>
    <row r="10" ht="14.25" customHeight="1">
      <c r="A10" s="26" t="s">
        <v>563</v>
      </c>
      <c r="B10" s="26" t="s">
        <v>4362</v>
      </c>
      <c r="C10" s="26" t="s">
        <v>934</v>
      </c>
      <c r="D10" s="26" t="str">
        <f>_xlfn.XLOOKUP(tblCollections[[#This Row],[CollectionID]],tblTargets[TargetID],tblTargets[DisplayName],"")</f>
        <v>#ERROR!</v>
      </c>
      <c r="E10" s="26" t="b">
        <v>1</v>
      </c>
      <c r="F10" s="26">
        <v>5.0</v>
      </c>
      <c r="I10" s="26" t="s">
        <v>934</v>
      </c>
      <c r="J10" s="26" t="s">
        <v>4441</v>
      </c>
      <c r="K10" s="21" t="s">
        <v>3832</v>
      </c>
      <c r="L10" s="21" t="str">
        <f>IF(tblCollections[[#This Row],[costtext]]="", 0, LEN(tblCollections[[#This Row],[costtext]]) - LEN(SUBSTITUTE(tblCollections[[#This Row],[costtext]], ",", "")) + 1)</f>
        <v>#ERROR!</v>
      </c>
      <c r="M10" s="21" t="str">
        <f>COUNTA(tblCollections[[#This Row],[apy]:[wood]])</f>
        <v>#ERROR!</v>
      </c>
      <c r="AR10" s="26">
        <v>15.0</v>
      </c>
      <c r="AT10" s="26">
        <v>100.0</v>
      </c>
      <c r="AU10" s="26">
        <v>15.0</v>
      </c>
      <c r="BN10" s="26">
        <v>50.0</v>
      </c>
      <c r="BO10" s="26">
        <v>15.0</v>
      </c>
      <c r="CD10" s="26">
        <v>15.0</v>
      </c>
      <c r="DG10" s="26">
        <v>15.0</v>
      </c>
      <c r="DN10" s="26">
        <v>100.0</v>
      </c>
      <c r="DS10" s="26">
        <v>100.0</v>
      </c>
    </row>
    <row r="11" ht="14.25" customHeight="1">
      <c r="A11" s="26" t="s">
        <v>584</v>
      </c>
      <c r="B11" s="26" t="s">
        <v>4442</v>
      </c>
      <c r="C11" s="26" t="s">
        <v>4443</v>
      </c>
      <c r="D11" s="26" t="str">
        <f>_xlfn.XLOOKUP(tblCollections[[#This Row],[CollectionID]],tblTargets[TargetID],tblTargets[DisplayName],"")</f>
        <v>#ERROR!</v>
      </c>
      <c r="E11" s="26" t="b">
        <v>1</v>
      </c>
      <c r="F11" s="26">
        <v>1.0</v>
      </c>
      <c r="I11" s="26" t="s">
        <v>4444</v>
      </c>
      <c r="J11" s="26" t="s">
        <v>4445</v>
      </c>
      <c r="K11" s="21" t="s">
        <v>3833</v>
      </c>
      <c r="L11" s="21" t="str">
        <f>IF(tblCollections[[#This Row],[costtext]]="", 0, LEN(tblCollections[[#This Row],[costtext]]) - LEN(SUBSTITUTE(tblCollections[[#This Row],[costtext]], ",", "")) + 1)</f>
        <v>#ERROR!</v>
      </c>
      <c r="M11" s="21" t="str">
        <f>COUNTA(tblCollections[[#This Row],[apy]:[wood]])</f>
        <v>#ERROR!</v>
      </c>
      <c r="AZ11" s="26">
        <v>20.0</v>
      </c>
      <c r="BE11" s="26">
        <v>5.0</v>
      </c>
      <c r="BF11" s="26">
        <v>5.0</v>
      </c>
      <c r="BG11" s="26">
        <v>5.0</v>
      </c>
      <c r="BI11" s="26">
        <v>15.0</v>
      </c>
      <c r="CS11" s="26">
        <v>10.0</v>
      </c>
      <c r="DW11" s="26">
        <v>5.0</v>
      </c>
      <c r="DX11" s="26">
        <v>5.0</v>
      </c>
      <c r="DY11" s="26">
        <v>5.0</v>
      </c>
      <c r="EN11" s="26">
        <v>50.0</v>
      </c>
    </row>
    <row r="12" ht="14.25" customHeight="1">
      <c r="A12" s="26" t="s">
        <v>586</v>
      </c>
      <c r="B12" s="26" t="s">
        <v>4442</v>
      </c>
      <c r="C12" s="26" t="s">
        <v>4443</v>
      </c>
      <c r="D12" s="26" t="str">
        <f>_xlfn.XLOOKUP(tblCollections[[#This Row],[CollectionID]],tblTargets[TargetID],tblTargets[DisplayName],"")</f>
        <v>#ERROR!</v>
      </c>
      <c r="E12" s="26" t="b">
        <v>1</v>
      </c>
      <c r="F12" s="26">
        <v>2.0</v>
      </c>
      <c r="I12" s="26" t="s">
        <v>938</v>
      </c>
      <c r="J12" s="26" t="s">
        <v>4446</v>
      </c>
      <c r="K12" s="21" t="s">
        <v>3835</v>
      </c>
      <c r="L12" s="21" t="str">
        <f>IF(tblCollections[[#This Row],[costtext]]="", 0, LEN(tblCollections[[#This Row],[costtext]]) - LEN(SUBSTITUTE(tblCollections[[#This Row],[costtext]], ",", "")) + 1)</f>
        <v>#ERROR!</v>
      </c>
      <c r="M12" s="21" t="str">
        <f>COUNTA(tblCollections[[#This Row],[apy]:[wood]])</f>
        <v>#ERROR!</v>
      </c>
      <c r="AZ12" s="26">
        <v>40.0</v>
      </c>
      <c r="BE12" s="26">
        <v>10.0</v>
      </c>
      <c r="BF12" s="26">
        <v>10.0</v>
      </c>
      <c r="BG12" s="26">
        <v>10.0</v>
      </c>
      <c r="BI12" s="26">
        <v>30.0</v>
      </c>
      <c r="CS12" s="26">
        <v>20.0</v>
      </c>
      <c r="DW12" s="26">
        <v>10.0</v>
      </c>
      <c r="DX12" s="26">
        <v>10.0</v>
      </c>
      <c r="DY12" s="26">
        <v>10.0</v>
      </c>
      <c r="EN12" s="26">
        <v>100.0</v>
      </c>
    </row>
    <row r="13" ht="14.25" customHeight="1">
      <c r="A13" s="26" t="s">
        <v>589</v>
      </c>
      <c r="B13" s="26" t="s">
        <v>4447</v>
      </c>
      <c r="C13" s="26" t="s">
        <v>4448</v>
      </c>
      <c r="D13" s="26" t="str">
        <f>_xlfn.XLOOKUP(tblCollections[[#This Row],[CollectionID]],tblTargets[TargetID],tblTargets[DisplayName],"")</f>
        <v>#ERROR!</v>
      </c>
      <c r="E13" s="26" t="b">
        <v>1</v>
      </c>
      <c r="F13" s="26">
        <v>1.0</v>
      </c>
      <c r="I13" s="26" t="s">
        <v>4444</v>
      </c>
      <c r="J13" s="26" t="s">
        <v>4445</v>
      </c>
      <c r="K13" s="21" t="s">
        <v>3836</v>
      </c>
      <c r="L13" s="21" t="str">
        <f>IF(tblCollections[[#This Row],[costtext]]="", 0, LEN(tblCollections[[#This Row],[costtext]]) - LEN(SUBSTITUTE(tblCollections[[#This Row],[costtext]], ",", "")) + 1)</f>
        <v>#ERROR!</v>
      </c>
      <c r="M13" s="21" t="str">
        <f>COUNTA(tblCollections[[#This Row],[apy]:[wood]])</f>
        <v>#ERROR!</v>
      </c>
      <c r="U13" s="26">
        <v>15.0</v>
      </c>
      <c r="V13" s="26">
        <v>15.0</v>
      </c>
      <c r="W13" s="26">
        <v>15.0</v>
      </c>
    </row>
    <row r="14" ht="14.25" customHeight="1">
      <c r="A14" s="26" t="s">
        <v>594</v>
      </c>
      <c r="B14" s="26" t="s">
        <v>4449</v>
      </c>
      <c r="C14" s="26" t="s">
        <v>4450</v>
      </c>
      <c r="D14" s="26" t="str">
        <f>_xlfn.XLOOKUP(tblCollections[[#This Row],[CollectionID]],tblTargets[TargetID],tblTargets[DisplayName],"")</f>
        <v>#ERROR!</v>
      </c>
      <c r="E14" s="26" t="b">
        <v>1</v>
      </c>
      <c r="F14" s="26">
        <v>1.0</v>
      </c>
      <c r="I14" s="26" t="s">
        <v>939</v>
      </c>
      <c r="J14" s="26" t="s">
        <v>4451</v>
      </c>
      <c r="K14" s="21" t="s">
        <v>3837</v>
      </c>
      <c r="L14" s="21" t="str">
        <f>IF(tblCollections[[#This Row],[costtext]]="", 0, LEN(tblCollections[[#This Row],[costtext]]) - LEN(SUBSTITUTE(tblCollections[[#This Row],[costtext]], ",", "")) + 1)</f>
        <v>#ERROR!</v>
      </c>
      <c r="M14" s="21" t="str">
        <f>COUNTA(tblCollections[[#This Row],[apy]:[wood]])</f>
        <v>#ERROR!</v>
      </c>
      <c r="N14" s="26">
        <v>5.0</v>
      </c>
      <c r="AJ14" s="26">
        <v>10.0</v>
      </c>
      <c r="BP14" s="26">
        <v>10.0</v>
      </c>
      <c r="BW14" s="26">
        <v>15.0</v>
      </c>
      <c r="CV14" s="26">
        <v>15.0</v>
      </c>
      <c r="EI14" s="26">
        <v>5.0</v>
      </c>
    </row>
    <row r="15" ht="14.25" customHeight="1">
      <c r="A15" s="26" t="s">
        <v>596</v>
      </c>
      <c r="B15" s="26" t="s">
        <v>4449</v>
      </c>
      <c r="C15" s="26" t="s">
        <v>4450</v>
      </c>
      <c r="D15" s="26" t="str">
        <f>_xlfn.XLOOKUP(tblCollections[[#This Row],[CollectionID]],tblTargets[TargetID],tblTargets[DisplayName],"")</f>
        <v>#ERROR!</v>
      </c>
      <c r="E15" s="26" t="b">
        <v>1</v>
      </c>
      <c r="F15" s="26">
        <v>2.0</v>
      </c>
      <c r="I15" s="26" t="s">
        <v>939</v>
      </c>
      <c r="J15" s="26" t="s">
        <v>4452</v>
      </c>
      <c r="K15" s="21" t="s">
        <v>3838</v>
      </c>
      <c r="L15" s="21" t="str">
        <f>IF(tblCollections[[#This Row],[costtext]]="", 0, LEN(tblCollections[[#This Row],[costtext]]) - LEN(SUBSTITUTE(tblCollections[[#This Row],[costtext]], ",", "")) + 1)</f>
        <v>#ERROR!</v>
      </c>
      <c r="M15" s="21" t="str">
        <f>COUNTA(tblCollections[[#This Row],[apy]:[wood]])</f>
        <v>#ERROR!</v>
      </c>
      <c r="N15" s="26">
        <v>10.0</v>
      </c>
      <c r="AJ15" s="26">
        <v>20.0</v>
      </c>
      <c r="BP15" s="26">
        <v>20.0</v>
      </c>
      <c r="BW15" s="26">
        <v>30.0</v>
      </c>
      <c r="CV15" s="26">
        <v>30.0</v>
      </c>
      <c r="EI15" s="26">
        <v>10.0</v>
      </c>
    </row>
    <row r="16" ht="14.25" customHeight="1">
      <c r="A16" s="26" t="s">
        <v>598</v>
      </c>
      <c r="B16" s="26" t="s">
        <v>4449</v>
      </c>
      <c r="C16" s="26" t="s">
        <v>4450</v>
      </c>
      <c r="D16" s="26" t="str">
        <f>_xlfn.XLOOKUP(tblCollections[[#This Row],[CollectionID]],tblTargets[TargetID],tblTargets[DisplayName],"")</f>
        <v>#ERROR!</v>
      </c>
      <c r="E16" s="26" t="b">
        <v>1</v>
      </c>
      <c r="F16" s="26">
        <v>3.0</v>
      </c>
      <c r="I16" s="26" t="s">
        <v>939</v>
      </c>
      <c r="J16" s="26" t="s">
        <v>4453</v>
      </c>
      <c r="K16" s="21" t="s">
        <v>3840</v>
      </c>
      <c r="L16" s="21" t="str">
        <f>IF(tblCollections[[#This Row],[costtext]]="", 0, LEN(tblCollections[[#This Row],[costtext]]) - LEN(SUBSTITUTE(tblCollections[[#This Row],[costtext]], ",", "")) + 1)</f>
        <v>#ERROR!</v>
      </c>
      <c r="M16" s="21" t="str">
        <f>COUNTA(tblCollections[[#This Row],[apy]:[wood]])</f>
        <v>#ERROR!</v>
      </c>
      <c r="N16" s="26">
        <v>15.0</v>
      </c>
      <c r="AJ16" s="26">
        <v>30.0</v>
      </c>
      <c r="BP16" s="26">
        <v>30.0</v>
      </c>
      <c r="BW16" s="26">
        <v>45.0</v>
      </c>
      <c r="CV16" s="26">
        <v>45.0</v>
      </c>
      <c r="EI16" s="26">
        <v>15.0</v>
      </c>
    </row>
    <row r="17" ht="14.25" customHeight="1">
      <c r="A17" s="26" t="s">
        <v>600</v>
      </c>
      <c r="B17" s="26" t="s">
        <v>4449</v>
      </c>
      <c r="C17" s="26" t="s">
        <v>4450</v>
      </c>
      <c r="D17" s="26" t="str">
        <f>_xlfn.XLOOKUP(tblCollections[[#This Row],[CollectionID]],tblTargets[TargetID],tblTargets[DisplayName],"")</f>
        <v>#ERROR!</v>
      </c>
      <c r="E17" s="26" t="b">
        <v>1</v>
      </c>
      <c r="F17" s="26">
        <v>4.0</v>
      </c>
      <c r="I17" s="26" t="s">
        <v>939</v>
      </c>
      <c r="J17" s="26" t="s">
        <v>4454</v>
      </c>
      <c r="K17" s="21" t="s">
        <v>3841</v>
      </c>
      <c r="L17" s="21" t="str">
        <f>IF(tblCollections[[#This Row],[costtext]]="", 0, LEN(tblCollections[[#This Row],[costtext]]) - LEN(SUBSTITUTE(tblCollections[[#This Row],[costtext]], ",", "")) + 1)</f>
        <v>#ERROR!</v>
      </c>
      <c r="M17" s="21" t="str">
        <f>COUNTA(tblCollections[[#This Row],[apy]:[wood]])</f>
        <v>#ERROR!</v>
      </c>
      <c r="N17" s="26">
        <v>20.0</v>
      </c>
      <c r="AJ17" s="26">
        <v>40.0</v>
      </c>
      <c r="BP17" s="26">
        <v>40.0</v>
      </c>
      <c r="BW17" s="26">
        <v>60.0</v>
      </c>
      <c r="CV17" s="26">
        <v>60.0</v>
      </c>
      <c r="EI17" s="26">
        <v>20.0</v>
      </c>
    </row>
    <row r="18" ht="14.25" customHeight="1">
      <c r="A18" s="26" t="s">
        <v>603</v>
      </c>
      <c r="B18" s="26" t="s">
        <v>4449</v>
      </c>
      <c r="C18" s="26" t="s">
        <v>4450</v>
      </c>
      <c r="D18" s="26" t="str">
        <f>_xlfn.XLOOKUP(tblCollections[[#This Row],[CollectionID]],tblTargets[TargetID],tblTargets[DisplayName],"")</f>
        <v>#ERROR!</v>
      </c>
      <c r="E18" s="26" t="b">
        <v>1</v>
      </c>
      <c r="F18" s="26">
        <v>5.0</v>
      </c>
      <c r="I18" s="26" t="s">
        <v>939</v>
      </c>
      <c r="J18" s="26" t="s">
        <v>4455</v>
      </c>
      <c r="K18" s="21" t="s">
        <v>3842</v>
      </c>
      <c r="L18" s="21" t="str">
        <f>IF(tblCollections[[#This Row],[costtext]]="", 0, LEN(tblCollections[[#This Row],[costtext]]) - LEN(SUBSTITUTE(tblCollections[[#This Row],[costtext]], ",", "")) + 1)</f>
        <v>#ERROR!</v>
      </c>
      <c r="M18" s="21" t="str">
        <f>COUNTA(tblCollections[[#This Row],[apy]:[wood]])</f>
        <v>#ERROR!</v>
      </c>
      <c r="N18" s="26">
        <v>25.0</v>
      </c>
      <c r="AJ18" s="26">
        <v>50.0</v>
      </c>
      <c r="BP18" s="26">
        <v>50.0</v>
      </c>
      <c r="BW18" s="26">
        <v>75.0</v>
      </c>
      <c r="CV18" s="26">
        <v>75.0</v>
      </c>
      <c r="EI18" s="26">
        <v>25.0</v>
      </c>
    </row>
    <row r="19" ht="14.25" customHeight="1">
      <c r="A19" s="26" t="s">
        <v>605</v>
      </c>
      <c r="B19" s="26" t="s">
        <v>4456</v>
      </c>
      <c r="C19" s="26" t="s">
        <v>4457</v>
      </c>
      <c r="D19" s="26" t="str">
        <f>_xlfn.XLOOKUP(tblCollections[[#This Row],[CollectionID]],tblTargets[TargetID],tblTargets[DisplayName],"")</f>
        <v>#ERROR!</v>
      </c>
      <c r="E19" s="26" t="b">
        <v>1</v>
      </c>
      <c r="F19" s="26">
        <v>1.0</v>
      </c>
      <c r="I19" s="26" t="s">
        <v>939</v>
      </c>
      <c r="J19" s="26" t="s">
        <v>4451</v>
      </c>
      <c r="K19" s="21" t="s">
        <v>3844</v>
      </c>
      <c r="L19" s="21" t="str">
        <f>IF(tblCollections[[#This Row],[costtext]]="", 0, LEN(tblCollections[[#This Row],[costtext]]) - LEN(SUBSTITUTE(tblCollections[[#This Row],[costtext]], ",", "")) + 1)</f>
        <v>#ERROR!</v>
      </c>
      <c r="M19" s="21" t="str">
        <f>COUNTA(tblCollections[[#This Row],[apy]:[wood]])</f>
        <v>#ERROR!</v>
      </c>
      <c r="BH19" s="26">
        <v>3.0</v>
      </c>
      <c r="BJ19" s="26">
        <v>1.0</v>
      </c>
      <c r="EF19" s="26">
        <v>3.0</v>
      </c>
    </row>
    <row r="20" ht="14.25" customHeight="1">
      <c r="A20" s="26" t="s">
        <v>607</v>
      </c>
      <c r="B20" s="26" t="s">
        <v>4456</v>
      </c>
      <c r="C20" s="26" t="s">
        <v>4457</v>
      </c>
      <c r="D20" s="26" t="str">
        <f>_xlfn.XLOOKUP(tblCollections[[#This Row],[CollectionID]],tblTargets[TargetID],tblTargets[DisplayName],"")</f>
        <v>#ERROR!</v>
      </c>
      <c r="E20" s="26" t="b">
        <v>1</v>
      </c>
      <c r="F20" s="26">
        <v>2.0</v>
      </c>
      <c r="I20" s="26" t="s">
        <v>939</v>
      </c>
      <c r="J20" s="26" t="s">
        <v>4458</v>
      </c>
      <c r="K20" s="21" t="s">
        <v>3845</v>
      </c>
      <c r="L20" s="21" t="str">
        <f>IF(tblCollections[[#This Row],[costtext]]="", 0, LEN(tblCollections[[#This Row],[costtext]]) - LEN(SUBSTITUTE(tblCollections[[#This Row],[costtext]], ",", "")) + 1)</f>
        <v>#ERROR!</v>
      </c>
      <c r="M20" s="21" t="str">
        <f>COUNTA(tblCollections[[#This Row],[apy]:[wood]])</f>
        <v>#ERROR!</v>
      </c>
      <c r="BH20" s="26">
        <v>6.0</v>
      </c>
      <c r="BJ20" s="26">
        <v>2.0</v>
      </c>
      <c r="EF20" s="26">
        <v>6.0</v>
      </c>
    </row>
    <row r="21" ht="14.25" customHeight="1">
      <c r="A21" s="26" t="s">
        <v>610</v>
      </c>
      <c r="B21" s="26" t="s">
        <v>4456</v>
      </c>
      <c r="C21" s="26" t="s">
        <v>4457</v>
      </c>
      <c r="D21" s="26" t="str">
        <f>_xlfn.XLOOKUP(tblCollections[[#This Row],[CollectionID]],tblTargets[TargetID],tblTargets[DisplayName],"")</f>
        <v>#ERROR!</v>
      </c>
      <c r="E21" s="26" t="b">
        <v>1</v>
      </c>
      <c r="F21" s="26">
        <v>3.0</v>
      </c>
      <c r="I21" s="26" t="s">
        <v>939</v>
      </c>
      <c r="J21" s="26" t="s">
        <v>4459</v>
      </c>
      <c r="K21" s="21" t="s">
        <v>3846</v>
      </c>
      <c r="L21" s="21" t="str">
        <f>IF(tblCollections[[#This Row],[costtext]]="", 0, LEN(tblCollections[[#This Row],[costtext]]) - LEN(SUBSTITUTE(tblCollections[[#This Row],[costtext]], ",", "")) + 1)</f>
        <v>#ERROR!</v>
      </c>
      <c r="M21" s="21" t="str">
        <f>COUNTA(tblCollections[[#This Row],[apy]:[wood]])</f>
        <v>#ERROR!</v>
      </c>
      <c r="BH21" s="26">
        <v>9.0</v>
      </c>
      <c r="BJ21" s="26">
        <v>3.0</v>
      </c>
      <c r="EF21" s="26">
        <v>9.0</v>
      </c>
    </row>
    <row r="22" ht="14.25" customHeight="1">
      <c r="A22" s="26" t="s">
        <v>612</v>
      </c>
      <c r="B22" s="26" t="s">
        <v>4456</v>
      </c>
      <c r="C22" s="26" t="s">
        <v>4457</v>
      </c>
      <c r="D22" s="26" t="str">
        <f>_xlfn.XLOOKUP(tblCollections[[#This Row],[CollectionID]],tblTargets[TargetID],tblTargets[DisplayName],"")</f>
        <v>#ERROR!</v>
      </c>
      <c r="E22" s="26" t="b">
        <v>1</v>
      </c>
      <c r="F22" s="26">
        <v>4.0</v>
      </c>
      <c r="I22" s="26" t="s">
        <v>939</v>
      </c>
      <c r="J22" s="26" t="s">
        <v>4460</v>
      </c>
      <c r="K22" s="21" t="s">
        <v>3848</v>
      </c>
      <c r="L22" s="21" t="str">
        <f>IF(tblCollections[[#This Row],[costtext]]="", 0, LEN(tblCollections[[#This Row],[costtext]]) - LEN(SUBSTITUTE(tblCollections[[#This Row],[costtext]], ",", "")) + 1)</f>
        <v>#ERROR!</v>
      </c>
      <c r="M22" s="21" t="str">
        <f>COUNTA(tblCollections[[#This Row],[apy]:[wood]])</f>
        <v>#ERROR!</v>
      </c>
      <c r="BH22" s="26">
        <v>12.0</v>
      </c>
      <c r="BJ22" s="26">
        <v>4.0</v>
      </c>
      <c r="EF22" s="26">
        <v>12.0</v>
      </c>
    </row>
    <row r="23" ht="14.25" customHeight="1">
      <c r="A23" s="26" t="s">
        <v>614</v>
      </c>
      <c r="B23" s="26" t="s">
        <v>4456</v>
      </c>
      <c r="C23" s="26" t="s">
        <v>4457</v>
      </c>
      <c r="D23" s="26" t="str">
        <f>_xlfn.XLOOKUP(tblCollections[[#This Row],[CollectionID]],tblTargets[TargetID],tblTargets[DisplayName],"")</f>
        <v>#ERROR!</v>
      </c>
      <c r="E23" s="26" t="b">
        <v>1</v>
      </c>
      <c r="F23" s="26">
        <v>5.0</v>
      </c>
      <c r="I23" s="26" t="s">
        <v>939</v>
      </c>
      <c r="J23" s="26" t="s">
        <v>4461</v>
      </c>
      <c r="K23" s="21" t="s">
        <v>3849</v>
      </c>
      <c r="L23" s="21" t="str">
        <f>IF(tblCollections[[#This Row],[costtext]]="", 0, LEN(tblCollections[[#This Row],[costtext]]) - LEN(SUBSTITUTE(tblCollections[[#This Row],[costtext]], ",", "")) + 1)</f>
        <v>#ERROR!</v>
      </c>
      <c r="M23" s="21" t="str">
        <f>COUNTA(tblCollections[[#This Row],[apy]:[wood]])</f>
        <v>#ERROR!</v>
      </c>
      <c r="BH23" s="26">
        <v>15.0</v>
      </c>
      <c r="BJ23" s="26">
        <v>5.0</v>
      </c>
      <c r="EF23" s="26">
        <v>15.0</v>
      </c>
    </row>
    <row r="24" ht="14.25" customHeight="1">
      <c r="A24" s="26" t="s">
        <v>616</v>
      </c>
      <c r="B24" s="26" t="s">
        <v>4462</v>
      </c>
      <c r="C24" s="26" t="s">
        <v>4463</v>
      </c>
      <c r="D24" s="26" t="str">
        <f>_xlfn.XLOOKUP(tblCollections[[#This Row],[CollectionID]],tblTargets[TargetID],tblTargets[DisplayName],"")</f>
        <v>#ERROR!</v>
      </c>
      <c r="E24" s="26" t="b">
        <v>1</v>
      </c>
      <c r="F24" s="26">
        <v>1.0</v>
      </c>
      <c r="I24" s="26" t="s">
        <v>4464</v>
      </c>
      <c r="J24" s="26" t="s">
        <v>4465</v>
      </c>
      <c r="K24" s="21" t="s">
        <v>3850</v>
      </c>
      <c r="L24" s="21" t="str">
        <f>IF(tblCollections[[#This Row],[costtext]]="", 0, LEN(tblCollections[[#This Row],[costtext]]) - LEN(SUBSTITUTE(tblCollections[[#This Row],[costtext]], ",", "")) + 1)</f>
        <v>#ERROR!</v>
      </c>
      <c r="M24" s="21" t="str">
        <f>COUNTA(tblCollections[[#This Row],[apy]:[wood]])</f>
        <v>#ERROR!</v>
      </c>
      <c r="Y24" s="26">
        <v>5.0</v>
      </c>
      <c r="BB24" s="26">
        <v>5.0</v>
      </c>
      <c r="CT24" s="26">
        <v>5.0</v>
      </c>
      <c r="CW24" s="26">
        <v>5.0</v>
      </c>
      <c r="EM24" s="26">
        <v>5.0</v>
      </c>
    </row>
    <row r="25" ht="14.25" customHeight="1">
      <c r="A25" s="26" t="s">
        <v>618</v>
      </c>
      <c r="B25" s="26" t="s">
        <v>4462</v>
      </c>
      <c r="C25" s="26" t="s">
        <v>4463</v>
      </c>
      <c r="D25" s="26" t="str">
        <f>_xlfn.XLOOKUP(tblCollections[[#This Row],[CollectionID]],tblTargets[TargetID],tblTargets[DisplayName],"")</f>
        <v>#ERROR!</v>
      </c>
      <c r="E25" s="26" t="b">
        <v>1</v>
      </c>
      <c r="F25" s="26">
        <v>2.0</v>
      </c>
      <c r="I25" s="26" t="s">
        <v>939</v>
      </c>
      <c r="J25" s="26" t="s">
        <v>4466</v>
      </c>
      <c r="K25" s="21" t="s">
        <v>3852</v>
      </c>
      <c r="L25" s="21" t="str">
        <f>IF(tblCollections[[#This Row],[costtext]]="", 0, LEN(tblCollections[[#This Row],[costtext]]) - LEN(SUBSTITUTE(tblCollections[[#This Row],[costtext]], ",", "")) + 1)</f>
        <v>#ERROR!</v>
      </c>
      <c r="M25" s="21" t="str">
        <f>COUNTA(tblCollections[[#This Row],[apy]:[wood]])</f>
        <v>#ERROR!</v>
      </c>
      <c r="Y25" s="26">
        <v>10.0</v>
      </c>
      <c r="BB25" s="26">
        <v>10.0</v>
      </c>
      <c r="CT25" s="26">
        <v>10.0</v>
      </c>
      <c r="CW25" s="26">
        <v>10.0</v>
      </c>
      <c r="EM25" s="26">
        <v>10.0</v>
      </c>
    </row>
    <row r="26" ht="14.25" customHeight="1">
      <c r="A26" s="26" t="s">
        <v>627</v>
      </c>
      <c r="B26" s="26" t="s">
        <v>4462</v>
      </c>
      <c r="C26" s="26" t="s">
        <v>4463</v>
      </c>
      <c r="D26" s="26" t="str">
        <f>_xlfn.XLOOKUP(tblCollections[[#This Row],[CollectionID]],tblTargets[TargetID],tblTargets[DisplayName],"")</f>
        <v>#ERROR!</v>
      </c>
      <c r="E26" s="26" t="b">
        <v>1</v>
      </c>
      <c r="F26" s="26">
        <v>3.0</v>
      </c>
      <c r="I26" s="26" t="s">
        <v>939</v>
      </c>
      <c r="J26" s="26" t="s">
        <v>4467</v>
      </c>
      <c r="K26" s="21" t="s">
        <v>3853</v>
      </c>
      <c r="L26" s="21" t="str">
        <f>IF(tblCollections[[#This Row],[costtext]]="", 0, LEN(tblCollections[[#This Row],[costtext]]) - LEN(SUBSTITUTE(tblCollections[[#This Row],[costtext]], ",", "")) + 1)</f>
        <v>#ERROR!</v>
      </c>
      <c r="M26" s="21" t="str">
        <f>COUNTA(tblCollections[[#This Row],[apy]:[wood]])</f>
        <v>#ERROR!</v>
      </c>
      <c r="Y26" s="26">
        <v>15.0</v>
      </c>
      <c r="BB26" s="26">
        <v>15.0</v>
      </c>
      <c r="CT26" s="26">
        <v>15.0</v>
      </c>
      <c r="CW26" s="26">
        <v>15.0</v>
      </c>
      <c r="EM26" s="26">
        <v>15.0</v>
      </c>
    </row>
    <row r="27" ht="14.25" customHeight="1">
      <c r="A27" s="26" t="s">
        <v>631</v>
      </c>
      <c r="B27" s="26" t="s">
        <v>4462</v>
      </c>
      <c r="C27" s="26" t="s">
        <v>4463</v>
      </c>
      <c r="D27" s="26" t="str">
        <f>_xlfn.XLOOKUP(tblCollections[[#This Row],[CollectionID]],tblTargets[TargetID],tblTargets[DisplayName],"")</f>
        <v>#ERROR!</v>
      </c>
      <c r="E27" s="26" t="b">
        <v>1</v>
      </c>
      <c r="F27" s="26">
        <v>4.0</v>
      </c>
      <c r="I27" s="26" t="s">
        <v>939</v>
      </c>
      <c r="J27" s="26" t="s">
        <v>4468</v>
      </c>
      <c r="K27" s="21" t="s">
        <v>3854</v>
      </c>
      <c r="L27" s="21" t="str">
        <f>IF(tblCollections[[#This Row],[costtext]]="", 0, LEN(tblCollections[[#This Row],[costtext]]) - LEN(SUBSTITUTE(tblCollections[[#This Row],[costtext]], ",", "")) + 1)</f>
        <v>#ERROR!</v>
      </c>
      <c r="M27" s="21" t="str">
        <f>COUNTA(tblCollections[[#This Row],[apy]:[wood]])</f>
        <v>#ERROR!</v>
      </c>
      <c r="Y27" s="26">
        <v>20.0</v>
      </c>
      <c r="BB27" s="26">
        <v>20.0</v>
      </c>
      <c r="CT27" s="26">
        <v>20.0</v>
      </c>
      <c r="CW27" s="26">
        <v>20.0</v>
      </c>
      <c r="EM27" s="26">
        <v>20.0</v>
      </c>
    </row>
    <row r="28" ht="14.25" customHeight="1">
      <c r="A28" s="26" t="s">
        <v>635</v>
      </c>
      <c r="B28" s="26" t="s">
        <v>4462</v>
      </c>
      <c r="C28" s="26" t="s">
        <v>4463</v>
      </c>
      <c r="D28" s="26" t="str">
        <f>_xlfn.XLOOKUP(tblCollections[[#This Row],[CollectionID]],tblTargets[TargetID],tblTargets[DisplayName],"")</f>
        <v>#ERROR!</v>
      </c>
      <c r="E28" s="26" t="b">
        <v>1</v>
      </c>
      <c r="F28" s="26">
        <v>5.0</v>
      </c>
      <c r="I28" s="26" t="s">
        <v>939</v>
      </c>
      <c r="J28" s="26" t="s">
        <v>4469</v>
      </c>
      <c r="K28" s="21" t="s">
        <v>3856</v>
      </c>
      <c r="L28" s="21" t="str">
        <f>IF(tblCollections[[#This Row],[costtext]]="", 0, LEN(tblCollections[[#This Row],[costtext]]) - LEN(SUBSTITUTE(tblCollections[[#This Row],[costtext]], ",", "")) + 1)</f>
        <v>#ERROR!</v>
      </c>
      <c r="M28" s="21" t="str">
        <f>COUNTA(tblCollections[[#This Row],[apy]:[wood]])</f>
        <v>#ERROR!</v>
      </c>
      <c r="Y28" s="26">
        <v>25.0</v>
      </c>
      <c r="BB28" s="26">
        <v>25.0</v>
      </c>
      <c r="CT28" s="26">
        <v>25.0</v>
      </c>
      <c r="CW28" s="26">
        <v>25.0</v>
      </c>
      <c r="EM28" s="26">
        <v>25.0</v>
      </c>
    </row>
    <row r="29" ht="14.25" customHeight="1">
      <c r="A29" s="26" t="s">
        <v>640</v>
      </c>
      <c r="B29" s="26" t="s">
        <v>4470</v>
      </c>
      <c r="C29" s="26" t="s">
        <v>4471</v>
      </c>
      <c r="D29" s="26" t="str">
        <f>_xlfn.XLOOKUP(tblCollections[[#This Row],[CollectionID]],tblTargets[TargetID],tblTargets[DisplayName],"")</f>
        <v>#ERROR!</v>
      </c>
      <c r="E29" s="26" t="b">
        <v>1</v>
      </c>
      <c r="F29" s="26">
        <v>1.0</v>
      </c>
      <c r="I29" s="26" t="s">
        <v>4472</v>
      </c>
      <c r="J29" s="26" t="s">
        <v>4473</v>
      </c>
      <c r="K29" s="21" t="s">
        <v>3857</v>
      </c>
      <c r="L29" s="21" t="str">
        <f>IF(tblCollections[[#This Row],[costtext]]="", 0, LEN(tblCollections[[#This Row],[costtext]]) - LEN(SUBSTITUTE(tblCollections[[#This Row],[costtext]], ",", "")) + 1)</f>
        <v>#ERROR!</v>
      </c>
      <c r="M29" s="21" t="str">
        <f>COUNTA(tblCollections[[#This Row],[apy]:[wood]])</f>
        <v>#ERROR!</v>
      </c>
      <c r="Z29" s="26">
        <v>20.0</v>
      </c>
      <c r="BC29" s="26">
        <v>10.0</v>
      </c>
      <c r="CF29" s="26">
        <v>30.0</v>
      </c>
      <c r="DH29" s="26">
        <v>1.0</v>
      </c>
    </row>
    <row r="30" ht="14.25" customHeight="1">
      <c r="A30" s="26" t="s">
        <v>643</v>
      </c>
      <c r="B30" s="26" t="s">
        <v>4470</v>
      </c>
      <c r="C30" s="26" t="s">
        <v>4471</v>
      </c>
      <c r="D30" s="26" t="str">
        <f>_xlfn.XLOOKUP(tblCollections[[#This Row],[CollectionID]],tblTargets[TargetID],tblTargets[DisplayName],"")</f>
        <v>#ERROR!</v>
      </c>
      <c r="E30" s="26" t="b">
        <v>1</v>
      </c>
      <c r="F30" s="26">
        <v>2.0</v>
      </c>
      <c r="I30" s="26" t="s">
        <v>4474</v>
      </c>
      <c r="J30" s="26" t="s">
        <v>4475</v>
      </c>
      <c r="K30" s="21" t="s">
        <v>3858</v>
      </c>
      <c r="L30" s="21" t="str">
        <f>IF(tblCollections[[#This Row],[costtext]]="", 0, LEN(tblCollections[[#This Row],[costtext]]) - LEN(SUBSTITUTE(tblCollections[[#This Row],[costtext]], ",", "")) + 1)</f>
        <v>#ERROR!</v>
      </c>
      <c r="M30" s="21" t="str">
        <f>COUNTA(tblCollections[[#This Row],[apy]:[wood]])</f>
        <v>#ERROR!</v>
      </c>
      <c r="Z30" s="26">
        <v>40.0</v>
      </c>
      <c r="BC30" s="26">
        <v>20.0</v>
      </c>
      <c r="CF30" s="26">
        <v>60.0</v>
      </c>
      <c r="DH30" s="26">
        <v>2.0</v>
      </c>
    </row>
    <row r="31" ht="14.25" customHeight="1">
      <c r="A31" s="26" t="s">
        <v>647</v>
      </c>
      <c r="B31" s="26" t="s">
        <v>4470</v>
      </c>
      <c r="C31" s="26" t="s">
        <v>4471</v>
      </c>
      <c r="D31" s="26" t="str">
        <f>_xlfn.XLOOKUP(tblCollections[[#This Row],[CollectionID]],tblTargets[TargetID],tblTargets[DisplayName],"")</f>
        <v>#ERROR!</v>
      </c>
      <c r="E31" s="26" t="b">
        <v>1</v>
      </c>
      <c r="F31" s="26">
        <v>3.0</v>
      </c>
      <c r="I31" s="26" t="s">
        <v>4474</v>
      </c>
      <c r="J31" s="26" t="s">
        <v>4476</v>
      </c>
      <c r="K31" s="21" t="s">
        <v>3860</v>
      </c>
      <c r="L31" s="21" t="str">
        <f>IF(tblCollections[[#This Row],[costtext]]="", 0, LEN(tblCollections[[#This Row],[costtext]]) - LEN(SUBSTITUTE(tblCollections[[#This Row],[costtext]], ",", "")) + 1)</f>
        <v>#ERROR!</v>
      </c>
      <c r="M31" s="21" t="str">
        <f>COUNTA(tblCollections[[#This Row],[apy]:[wood]])</f>
        <v>#ERROR!</v>
      </c>
      <c r="Z31" s="26">
        <v>60.0</v>
      </c>
      <c r="BC31" s="26">
        <v>30.0</v>
      </c>
      <c r="CF31" s="26">
        <v>90.0</v>
      </c>
      <c r="DH31" s="26">
        <v>3.0</v>
      </c>
    </row>
    <row r="32" ht="14.25" customHeight="1">
      <c r="A32" s="26" t="s">
        <v>649</v>
      </c>
      <c r="B32" s="26" t="s">
        <v>4477</v>
      </c>
      <c r="C32" s="26" t="s">
        <v>4478</v>
      </c>
      <c r="D32" s="26" t="str">
        <f>_xlfn.XLOOKUP(tblCollections[[#This Row],[CollectionID]],tblTargets[TargetID],tblTargets[DisplayName],"")</f>
        <v>#ERROR!</v>
      </c>
      <c r="E32" s="26" t="b">
        <v>1</v>
      </c>
      <c r="F32" s="26">
        <v>1.0</v>
      </c>
      <c r="I32" s="26" t="s">
        <v>4474</v>
      </c>
      <c r="J32" s="26" t="s">
        <v>4479</v>
      </c>
      <c r="K32" s="21" t="s">
        <v>3861</v>
      </c>
      <c r="L32" s="21" t="str">
        <f>IF(tblCollections[[#This Row],[costtext]]="", 0, LEN(tblCollections[[#This Row],[costtext]]) - LEN(SUBSTITUTE(tblCollections[[#This Row],[costtext]], ",", "")) + 1)</f>
        <v>#ERROR!</v>
      </c>
      <c r="M32" s="21" t="str">
        <f>COUNTA(tblCollections[[#This Row],[apy]:[wood]])</f>
        <v>#ERROR!</v>
      </c>
      <c r="BQ32" s="26">
        <v>20.0</v>
      </c>
      <c r="BR32" s="26">
        <v>10.0</v>
      </c>
      <c r="BS32" s="26">
        <v>5.0</v>
      </c>
    </row>
    <row r="33" ht="14.25" customHeight="1">
      <c r="A33" s="26" t="s">
        <v>654</v>
      </c>
      <c r="B33" s="26" t="s">
        <v>4477</v>
      </c>
      <c r="C33" s="26" t="s">
        <v>4478</v>
      </c>
      <c r="D33" s="26" t="str">
        <f>_xlfn.XLOOKUP(tblCollections[[#This Row],[CollectionID]],tblTargets[TargetID],tblTargets[DisplayName],"")</f>
        <v>#ERROR!</v>
      </c>
      <c r="E33" s="26" t="b">
        <v>1</v>
      </c>
      <c r="F33" s="26">
        <v>2.0</v>
      </c>
      <c r="I33" s="26" t="s">
        <v>4474</v>
      </c>
      <c r="J33" s="26" t="s">
        <v>4480</v>
      </c>
      <c r="K33" s="21" t="s">
        <v>3862</v>
      </c>
      <c r="L33" s="21" t="str">
        <f>IF(tblCollections[[#This Row],[costtext]]="", 0, LEN(tblCollections[[#This Row],[costtext]]) - LEN(SUBSTITUTE(tblCollections[[#This Row],[costtext]], ",", "")) + 1)</f>
        <v>#ERROR!</v>
      </c>
      <c r="M33" s="21" t="str">
        <f>COUNTA(tblCollections[[#This Row],[apy]:[wood]])</f>
        <v>#ERROR!</v>
      </c>
      <c r="BQ33" s="26">
        <v>40.0</v>
      </c>
      <c r="BR33" s="26">
        <v>20.0</v>
      </c>
      <c r="BS33" s="26">
        <v>10.0</v>
      </c>
    </row>
    <row r="34" ht="14.25" customHeight="1">
      <c r="A34" s="26" t="s">
        <v>658</v>
      </c>
      <c r="B34" s="26" t="s">
        <v>4477</v>
      </c>
      <c r="C34" s="26" t="s">
        <v>4478</v>
      </c>
      <c r="D34" s="26" t="str">
        <f>_xlfn.XLOOKUP(tblCollections[[#This Row],[CollectionID]],tblTargets[TargetID],tblTargets[DisplayName],"")</f>
        <v>#ERROR!</v>
      </c>
      <c r="E34" s="26" t="b">
        <v>1</v>
      </c>
      <c r="F34" s="26">
        <v>3.0</v>
      </c>
      <c r="I34" s="26" t="s">
        <v>4474</v>
      </c>
      <c r="J34" s="26" t="s">
        <v>4481</v>
      </c>
      <c r="K34" s="21" t="s">
        <v>3864</v>
      </c>
      <c r="L34" s="21" t="str">
        <f>IF(tblCollections[[#This Row],[costtext]]="", 0, LEN(tblCollections[[#This Row],[costtext]]) - LEN(SUBSTITUTE(tblCollections[[#This Row],[costtext]], ",", "")) + 1)</f>
        <v>#ERROR!</v>
      </c>
      <c r="M34" s="21" t="str">
        <f>COUNTA(tblCollections[[#This Row],[apy]:[wood]])</f>
        <v>#ERROR!</v>
      </c>
      <c r="BQ34" s="26">
        <v>60.0</v>
      </c>
      <c r="BR34" s="26">
        <v>30.0</v>
      </c>
      <c r="BS34" s="26">
        <v>15.0</v>
      </c>
    </row>
    <row r="35" ht="14.25" customHeight="1">
      <c r="A35" s="26" t="s">
        <v>662</v>
      </c>
      <c r="B35" s="26" t="s">
        <v>4482</v>
      </c>
      <c r="C35" s="26" t="s">
        <v>4483</v>
      </c>
      <c r="D35" s="26" t="str">
        <f>_xlfn.XLOOKUP(tblCollections[[#This Row],[CollectionID]],tblTargets[TargetID],tblTargets[DisplayName],"")</f>
        <v>#ERROR!</v>
      </c>
      <c r="E35" s="26" t="b">
        <v>1</v>
      </c>
      <c r="F35" s="26">
        <v>1.0</v>
      </c>
      <c r="I35" s="26" t="s">
        <v>4484</v>
      </c>
      <c r="J35" s="26" t="s">
        <v>4485</v>
      </c>
      <c r="K35" s="21" t="s">
        <v>3865</v>
      </c>
      <c r="L35" s="21" t="str">
        <f>IF(tblCollections[[#This Row],[costtext]]="", 0, LEN(tblCollections[[#This Row],[costtext]]) - LEN(SUBSTITUTE(tblCollections[[#This Row],[costtext]], ",", "")) + 1)</f>
        <v>#ERROR!</v>
      </c>
      <c r="M35" s="21" t="str">
        <f>COUNTA(tblCollections[[#This Row],[apy]:[wood]])</f>
        <v>#ERROR!</v>
      </c>
      <c r="AK35" s="26">
        <v>3000.0</v>
      </c>
    </row>
    <row r="36" ht="14.25" customHeight="1">
      <c r="A36" s="26" t="s">
        <v>666</v>
      </c>
      <c r="B36" s="26" t="s">
        <v>4486</v>
      </c>
      <c r="C36" s="26" t="s">
        <v>4487</v>
      </c>
      <c r="D36" s="26" t="str">
        <f>_xlfn.XLOOKUP(tblCollections[[#This Row],[CollectionID]],tblTargets[TargetID],tblTargets[DisplayName],"")</f>
        <v>#ERROR!</v>
      </c>
      <c r="E36" s="26" t="b">
        <v>1</v>
      </c>
      <c r="F36" s="26">
        <v>1.0</v>
      </c>
      <c r="I36" s="26" t="s">
        <v>4488</v>
      </c>
      <c r="J36" s="26" t="s">
        <v>4489</v>
      </c>
      <c r="K36" s="21" t="s">
        <v>3866</v>
      </c>
      <c r="L36" s="21" t="str">
        <f>IF(tblCollections[[#This Row],[costtext]]="", 0, LEN(tblCollections[[#This Row],[costtext]]) - LEN(SUBSTITUTE(tblCollections[[#This Row],[costtext]], ",", "")) + 1)</f>
        <v>#ERROR!</v>
      </c>
      <c r="M36" s="21" t="str">
        <f>COUNTA(tblCollections[[#This Row],[apy]:[wood]])</f>
        <v>#ERROR!</v>
      </c>
      <c r="BI36" s="26">
        <v>10.0</v>
      </c>
      <c r="BM36" s="26">
        <v>10.0</v>
      </c>
      <c r="CE36" s="26">
        <v>15.0</v>
      </c>
      <c r="CJ36" s="26">
        <v>50.0</v>
      </c>
      <c r="CK36" s="26">
        <v>50.0</v>
      </c>
      <c r="CL36" s="26">
        <v>50.0</v>
      </c>
      <c r="CM36" s="26">
        <v>50.0</v>
      </c>
      <c r="CN36" s="26">
        <v>50.0</v>
      </c>
      <c r="CO36" s="26">
        <v>50.0</v>
      </c>
      <c r="CP36" s="26">
        <v>50.0</v>
      </c>
      <c r="CQ36" s="26">
        <v>50.0</v>
      </c>
      <c r="DQ36" s="26">
        <v>15.0</v>
      </c>
    </row>
    <row r="37" ht="14.25" customHeight="1">
      <c r="A37" s="26" t="s">
        <v>669</v>
      </c>
      <c r="B37" s="26" t="s">
        <v>4486</v>
      </c>
      <c r="C37" s="26" t="s">
        <v>4487</v>
      </c>
      <c r="D37" s="26" t="str">
        <f>_xlfn.XLOOKUP(tblCollections[[#This Row],[CollectionID]],tblTargets[TargetID],tblTargets[DisplayName],"")</f>
        <v>#ERROR!</v>
      </c>
      <c r="E37" s="26" t="b">
        <v>1</v>
      </c>
      <c r="F37" s="26">
        <v>2.0</v>
      </c>
      <c r="I37" s="26" t="s">
        <v>4488</v>
      </c>
      <c r="J37" s="26" t="s">
        <v>4490</v>
      </c>
      <c r="K37" s="21" t="s">
        <v>3868</v>
      </c>
      <c r="L37" s="21" t="str">
        <f>IF(tblCollections[[#This Row],[costtext]]="", 0, LEN(tblCollections[[#This Row],[costtext]]) - LEN(SUBSTITUTE(tblCollections[[#This Row],[costtext]], ",", "")) + 1)</f>
        <v>#ERROR!</v>
      </c>
      <c r="M37" s="21" t="str">
        <f>COUNTA(tblCollections[[#This Row],[apy]:[wood]])</f>
        <v>#ERROR!</v>
      </c>
      <c r="BI37" s="26">
        <v>20.0</v>
      </c>
      <c r="BM37" s="26">
        <v>20.0</v>
      </c>
      <c r="CE37" s="26">
        <v>30.0</v>
      </c>
      <c r="CJ37" s="26">
        <v>100.0</v>
      </c>
      <c r="CK37" s="26">
        <v>100.0</v>
      </c>
      <c r="CL37" s="26">
        <v>100.0</v>
      </c>
      <c r="CM37" s="26">
        <v>100.0</v>
      </c>
      <c r="CN37" s="26">
        <v>100.0</v>
      </c>
      <c r="CO37" s="26">
        <v>100.0</v>
      </c>
      <c r="CP37" s="26">
        <v>100.0</v>
      </c>
      <c r="CQ37" s="26">
        <v>100.0</v>
      </c>
      <c r="DQ37" s="26">
        <v>30.0</v>
      </c>
    </row>
    <row r="38" ht="14.25" customHeight="1">
      <c r="A38" s="26" t="s">
        <v>673</v>
      </c>
      <c r="B38" s="26" t="s">
        <v>4486</v>
      </c>
      <c r="C38" s="26" t="s">
        <v>4487</v>
      </c>
      <c r="D38" s="26" t="str">
        <f>_xlfn.XLOOKUP(tblCollections[[#This Row],[CollectionID]],tblTargets[TargetID],tblTargets[DisplayName],"")</f>
        <v>#ERROR!</v>
      </c>
      <c r="E38" s="26" t="b">
        <v>1</v>
      </c>
      <c r="F38" s="26">
        <v>3.0</v>
      </c>
      <c r="I38" s="26" t="s">
        <v>4488</v>
      </c>
      <c r="J38" s="26" t="s">
        <v>4491</v>
      </c>
      <c r="K38" s="21" t="s">
        <v>3869</v>
      </c>
      <c r="L38" s="21" t="str">
        <f>IF(tblCollections[[#This Row],[costtext]]="", 0, LEN(tblCollections[[#This Row],[costtext]]) - LEN(SUBSTITUTE(tblCollections[[#This Row],[costtext]], ",", "")) + 1)</f>
        <v>#ERROR!</v>
      </c>
      <c r="M38" s="21" t="str">
        <f>COUNTA(tblCollections[[#This Row],[apy]:[wood]])</f>
        <v>#ERROR!</v>
      </c>
      <c r="BI38" s="26">
        <v>30.0</v>
      </c>
      <c r="BM38" s="26">
        <v>30.0</v>
      </c>
      <c r="CE38" s="26">
        <v>45.0</v>
      </c>
      <c r="CJ38" s="26">
        <v>150.0</v>
      </c>
      <c r="CK38" s="26">
        <v>150.0</v>
      </c>
      <c r="CL38" s="26">
        <v>150.0</v>
      </c>
      <c r="CM38" s="26">
        <v>150.0</v>
      </c>
      <c r="CN38" s="26">
        <v>150.0</v>
      </c>
      <c r="CO38" s="26">
        <v>150.0</v>
      </c>
      <c r="CP38" s="26">
        <v>150.0</v>
      </c>
      <c r="CQ38" s="26">
        <v>150.0</v>
      </c>
      <c r="DQ38" s="26">
        <v>45.0</v>
      </c>
    </row>
    <row r="39" ht="14.25" customHeight="1">
      <c r="A39" s="26" t="s">
        <v>677</v>
      </c>
      <c r="B39" s="26" t="s">
        <v>4486</v>
      </c>
      <c r="C39" s="26" t="s">
        <v>4487</v>
      </c>
      <c r="D39" s="26" t="str">
        <f>_xlfn.XLOOKUP(tblCollections[[#This Row],[CollectionID]],tblTargets[TargetID],tblTargets[DisplayName],"")</f>
        <v>#ERROR!</v>
      </c>
      <c r="E39" s="26" t="b">
        <v>1</v>
      </c>
      <c r="F39" s="26">
        <v>4.0</v>
      </c>
      <c r="I39" s="26" t="s">
        <v>4488</v>
      </c>
      <c r="J39" s="26" t="s">
        <v>4492</v>
      </c>
      <c r="K39" s="21" t="s">
        <v>3871</v>
      </c>
      <c r="L39" s="21" t="str">
        <f>IF(tblCollections[[#This Row],[costtext]]="", 0, LEN(tblCollections[[#This Row],[costtext]]) - LEN(SUBSTITUTE(tblCollections[[#This Row],[costtext]], ",", "")) + 1)</f>
        <v>#ERROR!</v>
      </c>
      <c r="M39" s="21" t="str">
        <f>COUNTA(tblCollections[[#This Row],[apy]:[wood]])</f>
        <v>#ERROR!</v>
      </c>
      <c r="BI39" s="26">
        <v>40.0</v>
      </c>
      <c r="BM39" s="26">
        <v>40.0</v>
      </c>
      <c r="CE39" s="26">
        <v>60.0</v>
      </c>
      <c r="CJ39" s="26">
        <v>200.0</v>
      </c>
      <c r="CK39" s="26">
        <v>200.0</v>
      </c>
      <c r="CL39" s="26">
        <v>200.0</v>
      </c>
      <c r="CM39" s="26">
        <v>200.0</v>
      </c>
      <c r="CN39" s="26">
        <v>200.0</v>
      </c>
      <c r="CO39" s="26">
        <v>200.0</v>
      </c>
      <c r="CP39" s="26">
        <v>200.0</v>
      </c>
      <c r="CQ39" s="26">
        <v>200.0</v>
      </c>
      <c r="DQ39" s="26">
        <v>60.0</v>
      </c>
    </row>
    <row r="40" ht="14.25" customHeight="1">
      <c r="A40" s="26" t="s">
        <v>681</v>
      </c>
      <c r="B40" s="26" t="s">
        <v>4486</v>
      </c>
      <c r="C40" s="26" t="s">
        <v>4487</v>
      </c>
      <c r="D40" s="26" t="str">
        <f>_xlfn.XLOOKUP(tblCollections[[#This Row],[CollectionID]],tblTargets[TargetID],tblTargets[DisplayName],"")</f>
        <v>#ERROR!</v>
      </c>
      <c r="E40" s="26" t="b">
        <v>1</v>
      </c>
      <c r="F40" s="26">
        <v>5.0</v>
      </c>
      <c r="I40" s="26" t="s">
        <v>4488</v>
      </c>
      <c r="J40" s="26" t="s">
        <v>4493</v>
      </c>
      <c r="K40" s="21" t="s">
        <v>3872</v>
      </c>
      <c r="L40" s="21" t="str">
        <f>IF(tblCollections[[#This Row],[costtext]]="", 0, LEN(tblCollections[[#This Row],[costtext]]) - LEN(SUBSTITUTE(tblCollections[[#This Row],[costtext]], ",", "")) + 1)</f>
        <v>#ERROR!</v>
      </c>
      <c r="M40" s="21" t="str">
        <f>COUNTA(tblCollections[[#This Row],[apy]:[wood]])</f>
        <v>#ERROR!</v>
      </c>
      <c r="BI40" s="26">
        <v>50.0</v>
      </c>
      <c r="BM40" s="26">
        <v>50.0</v>
      </c>
      <c r="CE40" s="26">
        <v>75.0</v>
      </c>
      <c r="CJ40" s="26">
        <v>250.0</v>
      </c>
      <c r="CK40" s="26">
        <v>250.0</v>
      </c>
      <c r="CL40" s="26">
        <v>250.0</v>
      </c>
      <c r="CM40" s="26">
        <v>250.0</v>
      </c>
      <c r="CN40" s="26">
        <v>250.0</v>
      </c>
      <c r="CO40" s="26">
        <v>250.0</v>
      </c>
      <c r="CP40" s="26">
        <v>250.0</v>
      </c>
      <c r="CQ40" s="26">
        <v>250.0</v>
      </c>
      <c r="DQ40" s="26">
        <v>75.0</v>
      </c>
    </row>
    <row r="41" ht="14.25" customHeight="1">
      <c r="A41" s="26" t="s">
        <v>685</v>
      </c>
      <c r="B41" s="26" t="s">
        <v>4494</v>
      </c>
      <c r="C41" s="26" t="s">
        <v>4495</v>
      </c>
      <c r="D41" s="26" t="str">
        <f>_xlfn.XLOOKUP(tblCollections[[#This Row],[CollectionID]],tblTargets[TargetID],tblTargets[DisplayName],"")</f>
        <v>#ERROR!</v>
      </c>
      <c r="E41" s="26" t="b">
        <v>1</v>
      </c>
      <c r="F41" s="26">
        <v>1.0</v>
      </c>
      <c r="I41" s="26" t="s">
        <v>4488</v>
      </c>
      <c r="J41" s="26" t="s">
        <v>4489</v>
      </c>
      <c r="K41" s="21" t="s">
        <v>3873</v>
      </c>
      <c r="L41" s="21" t="str">
        <f>IF(tblCollections[[#This Row],[costtext]]="", 0, LEN(tblCollections[[#This Row],[costtext]]) - LEN(SUBSTITUTE(tblCollections[[#This Row],[costtext]], ",", "")) + 1)</f>
        <v>#ERROR!</v>
      </c>
      <c r="M41" s="21" t="str">
        <f>COUNTA(tblCollections[[#This Row],[apy]:[wood]])</f>
        <v>#ERROR!</v>
      </c>
      <c r="AB41" s="26">
        <v>100.0</v>
      </c>
      <c r="CE41" s="26">
        <v>20.0</v>
      </c>
      <c r="CJ41" s="26">
        <v>100.0</v>
      </c>
      <c r="CK41" s="26">
        <v>100.0</v>
      </c>
      <c r="CL41" s="26">
        <v>200.0</v>
      </c>
    </row>
    <row r="42" ht="14.25" customHeight="1">
      <c r="A42" s="26" t="s">
        <v>691</v>
      </c>
      <c r="B42" s="26" t="s">
        <v>4386</v>
      </c>
      <c r="C42" s="26" t="s">
        <v>4496</v>
      </c>
      <c r="D42" s="26" t="str">
        <f>_xlfn.XLOOKUP(tblCollections[[#This Row],[CollectionID]],tblTargets[TargetID],tblTargets[DisplayName],"")</f>
        <v>#ERROR!</v>
      </c>
      <c r="E42" s="26" t="b">
        <v>1</v>
      </c>
      <c r="F42" s="26">
        <v>1.0</v>
      </c>
      <c r="I42" s="26" t="s">
        <v>4496</v>
      </c>
      <c r="J42" s="26" t="s">
        <v>4497</v>
      </c>
      <c r="K42" s="21" t="s">
        <v>3874</v>
      </c>
      <c r="L42" s="21" t="str">
        <f>IF(tblCollections[[#This Row],[costtext]]="", 0, LEN(tblCollections[[#This Row],[costtext]]) - LEN(SUBSTITUTE(tblCollections[[#This Row],[costtext]], ",", "")) + 1)</f>
        <v>#ERROR!</v>
      </c>
      <c r="M42" s="21" t="str">
        <f>COUNTA(tblCollections[[#This Row],[apy]:[wood]])</f>
        <v>#ERROR!</v>
      </c>
      <c r="BX42" s="26">
        <v>10.0</v>
      </c>
      <c r="BY42" s="26">
        <v>10.0</v>
      </c>
      <c r="BZ42" s="26">
        <v>10.0</v>
      </c>
      <c r="CA42" s="26">
        <v>10.0</v>
      </c>
      <c r="CB42" s="26">
        <v>10.0</v>
      </c>
      <c r="CC42" s="26">
        <v>10.0</v>
      </c>
    </row>
    <row r="43" ht="14.25" customHeight="1">
      <c r="A43" s="26" t="s">
        <v>695</v>
      </c>
      <c r="B43" s="26" t="s">
        <v>4386</v>
      </c>
      <c r="C43" s="26" t="s">
        <v>4496</v>
      </c>
      <c r="D43" s="26" t="str">
        <f>_xlfn.XLOOKUP(tblCollections[[#This Row],[CollectionID]],tblTargets[TargetID],tblTargets[DisplayName],"")</f>
        <v>#ERROR!</v>
      </c>
      <c r="E43" s="26" t="b">
        <v>1</v>
      </c>
      <c r="F43" s="26">
        <v>2.0</v>
      </c>
      <c r="I43" s="26" t="s">
        <v>4496</v>
      </c>
      <c r="J43" s="26" t="s">
        <v>4498</v>
      </c>
      <c r="K43" s="21" t="s">
        <v>3876</v>
      </c>
      <c r="L43" s="21" t="str">
        <f>IF(tblCollections[[#This Row],[costtext]]="", 0, LEN(tblCollections[[#This Row],[costtext]]) - LEN(SUBSTITUTE(tblCollections[[#This Row],[costtext]], ",", "")) + 1)</f>
        <v>#ERROR!</v>
      </c>
      <c r="M43" s="21" t="str">
        <f>COUNTA(tblCollections[[#This Row],[apy]:[wood]])</f>
        <v>#ERROR!</v>
      </c>
      <c r="BX43" s="26">
        <v>20.0</v>
      </c>
      <c r="BY43" s="26">
        <v>20.0</v>
      </c>
      <c r="BZ43" s="26">
        <v>20.0</v>
      </c>
      <c r="CA43" s="26">
        <v>20.0</v>
      </c>
      <c r="CB43" s="26">
        <v>20.0</v>
      </c>
      <c r="CC43" s="26">
        <v>20.0</v>
      </c>
    </row>
    <row r="44" ht="14.25" customHeight="1">
      <c r="A44" s="26" t="s">
        <v>698</v>
      </c>
      <c r="B44" s="26" t="s">
        <v>4390</v>
      </c>
      <c r="C44" s="26" t="s">
        <v>950</v>
      </c>
      <c r="D44" s="26" t="str">
        <f>_xlfn.XLOOKUP(tblCollections[[#This Row],[CollectionID]],tblTargets[TargetID],tblTargets[DisplayName],"")</f>
        <v>#ERROR!</v>
      </c>
      <c r="E44" s="26" t="b">
        <v>1</v>
      </c>
      <c r="F44" s="26">
        <v>1.0</v>
      </c>
      <c r="I44" s="26" t="s">
        <v>950</v>
      </c>
      <c r="J44" s="26" t="s">
        <v>4499</v>
      </c>
      <c r="K44" s="21" t="s">
        <v>3877</v>
      </c>
      <c r="L44" s="21" t="str">
        <f>IF(tblCollections[[#This Row],[costtext]]="", 0, LEN(tblCollections[[#This Row],[costtext]]) - LEN(SUBSTITUTE(tblCollections[[#This Row],[costtext]], ",", "")) + 1)</f>
        <v>#ERROR!</v>
      </c>
      <c r="M44" s="21" t="str">
        <f>COUNTA(tblCollections[[#This Row],[apy]:[wood]])</f>
        <v>#ERROR!</v>
      </c>
      <c r="AD44" s="26">
        <v>10.0</v>
      </c>
      <c r="AE44" s="26">
        <v>10.0</v>
      </c>
      <c r="AF44" s="26">
        <v>10.0</v>
      </c>
      <c r="AG44" s="26">
        <v>10.0</v>
      </c>
      <c r="AH44" s="26">
        <v>10.0</v>
      </c>
      <c r="AI44" s="26">
        <v>10.0</v>
      </c>
      <c r="DU44" s="26">
        <v>50.0</v>
      </c>
      <c r="DV44" s="26">
        <v>50.0</v>
      </c>
    </row>
    <row r="45" ht="14.25" customHeight="1">
      <c r="A45" s="26" t="s">
        <v>703</v>
      </c>
      <c r="B45" s="26" t="s">
        <v>4390</v>
      </c>
      <c r="C45" s="26" t="s">
        <v>950</v>
      </c>
      <c r="D45" s="26" t="str">
        <f>_xlfn.XLOOKUP(tblCollections[[#This Row],[CollectionID]],tblTargets[TargetID],tblTargets[DisplayName],"")</f>
        <v>#ERROR!</v>
      </c>
      <c r="E45" s="26" t="b">
        <v>1</v>
      </c>
      <c r="F45" s="26">
        <v>2.0</v>
      </c>
      <c r="I45" s="26" t="s">
        <v>950</v>
      </c>
      <c r="J45" s="26" t="s">
        <v>4500</v>
      </c>
      <c r="K45" s="21" t="s">
        <v>3879</v>
      </c>
      <c r="L45" s="21" t="str">
        <f>IF(tblCollections[[#This Row],[costtext]]="", 0, LEN(tblCollections[[#This Row],[costtext]]) - LEN(SUBSTITUTE(tblCollections[[#This Row],[costtext]], ",", "")) + 1)</f>
        <v>#ERROR!</v>
      </c>
      <c r="M45" s="21" t="str">
        <f>COUNTA(tblCollections[[#This Row],[apy]:[wood]])</f>
        <v>#ERROR!</v>
      </c>
      <c r="AD45" s="26">
        <v>20.0</v>
      </c>
      <c r="AE45" s="26">
        <v>20.0</v>
      </c>
      <c r="AF45" s="26">
        <v>20.0</v>
      </c>
      <c r="AG45" s="26">
        <v>20.0</v>
      </c>
      <c r="AH45" s="26">
        <v>20.0</v>
      </c>
      <c r="AI45" s="26">
        <v>20.0</v>
      </c>
      <c r="DU45" s="26">
        <v>100.0</v>
      </c>
      <c r="DV45" s="26">
        <v>100.0</v>
      </c>
    </row>
    <row r="46" ht="14.25" customHeight="1">
      <c r="A46" s="26" t="s">
        <v>707</v>
      </c>
      <c r="B46" s="26" t="s">
        <v>4501</v>
      </c>
      <c r="C46" s="26" t="s">
        <v>4502</v>
      </c>
      <c r="D46" s="26" t="str">
        <f>_xlfn.XLOOKUP(tblCollections[[#This Row],[CollectionID]],tblTargets[TargetID],tblTargets[DisplayName],"")</f>
        <v>#ERROR!</v>
      </c>
      <c r="E46" s="26" t="b">
        <v>1</v>
      </c>
      <c r="F46" s="26">
        <v>1.0</v>
      </c>
      <c r="I46" s="26" t="s">
        <v>952</v>
      </c>
      <c r="J46" s="26" t="s">
        <v>4503</v>
      </c>
      <c r="K46" s="21" t="s">
        <v>3880</v>
      </c>
      <c r="L46" s="21" t="str">
        <f>IF(tblCollections[[#This Row],[costtext]]="", 0, LEN(tblCollections[[#This Row],[costtext]]) - LEN(SUBSTITUTE(tblCollections[[#This Row],[costtext]], ",", "")) + 1)</f>
        <v>#ERROR!</v>
      </c>
      <c r="M46" s="21" t="str">
        <f>COUNTA(tblCollections[[#This Row],[apy]:[wood]])</f>
        <v>#ERROR!</v>
      </c>
      <c r="T46" s="26">
        <v>5.0</v>
      </c>
      <c r="X46" s="26">
        <v>10.0</v>
      </c>
      <c r="AO46" s="26">
        <v>10.0</v>
      </c>
      <c r="AV46" s="26">
        <v>40.0</v>
      </c>
      <c r="BA46" s="26">
        <v>10.0</v>
      </c>
      <c r="CG46" s="26">
        <v>10.0</v>
      </c>
      <c r="CY46" s="26">
        <v>40.0</v>
      </c>
      <c r="DF46" s="26">
        <v>10.0</v>
      </c>
      <c r="DO46" s="26">
        <v>10.0</v>
      </c>
      <c r="DR46" s="26">
        <v>5.0</v>
      </c>
      <c r="EH46" s="26">
        <v>10.0</v>
      </c>
      <c r="EK46" s="26">
        <v>5.0</v>
      </c>
    </row>
    <row r="47" ht="14.25" customHeight="1">
      <c r="A47" s="26" t="s">
        <v>710</v>
      </c>
      <c r="B47" s="26" t="s">
        <v>4501</v>
      </c>
      <c r="C47" s="26" t="s">
        <v>4502</v>
      </c>
      <c r="D47" s="26" t="str">
        <f>_xlfn.XLOOKUP(tblCollections[[#This Row],[CollectionID]],tblTargets[TargetID],tblTargets[DisplayName],"")</f>
        <v>#ERROR!</v>
      </c>
      <c r="E47" s="26" t="b">
        <v>1</v>
      </c>
      <c r="F47" s="26">
        <v>2.0</v>
      </c>
      <c r="I47" s="26" t="s">
        <v>952</v>
      </c>
      <c r="J47" s="26" t="s">
        <v>4504</v>
      </c>
      <c r="K47" s="21" t="s">
        <v>3881</v>
      </c>
      <c r="L47" s="21" t="str">
        <f>IF(tblCollections[[#This Row],[costtext]]="", 0, LEN(tblCollections[[#This Row],[costtext]]) - LEN(SUBSTITUTE(tblCollections[[#This Row],[costtext]], ",", "")) + 1)</f>
        <v>#ERROR!</v>
      </c>
      <c r="M47" s="21" t="str">
        <f>COUNTA(tblCollections[[#This Row],[apy]:[wood]])</f>
        <v>#ERROR!</v>
      </c>
      <c r="T47" s="26">
        <v>10.0</v>
      </c>
      <c r="X47" s="26">
        <v>20.0</v>
      </c>
      <c r="AO47" s="26">
        <v>20.0</v>
      </c>
      <c r="AV47" s="26">
        <v>80.0</v>
      </c>
      <c r="BA47" s="26">
        <v>20.0</v>
      </c>
      <c r="CG47" s="26">
        <v>20.0</v>
      </c>
      <c r="CY47" s="26">
        <v>80.0</v>
      </c>
      <c r="DF47" s="26">
        <v>20.0</v>
      </c>
      <c r="DO47" s="26">
        <v>20.0</v>
      </c>
      <c r="DR47" s="26">
        <v>10.0</v>
      </c>
      <c r="EH47" s="26">
        <v>20.0</v>
      </c>
      <c r="EK47" s="26">
        <v>10.0</v>
      </c>
    </row>
    <row r="48" ht="14.25" customHeight="1">
      <c r="A48" s="26" t="s">
        <v>713</v>
      </c>
      <c r="B48" s="26" t="s">
        <v>4501</v>
      </c>
      <c r="C48" s="26" t="s">
        <v>4502</v>
      </c>
      <c r="D48" s="26" t="str">
        <f>_xlfn.XLOOKUP(tblCollections[[#This Row],[CollectionID]],tblTargets[TargetID],tblTargets[DisplayName],"")</f>
        <v>#ERROR!</v>
      </c>
      <c r="E48" s="26" t="b">
        <v>1</v>
      </c>
      <c r="F48" s="26">
        <v>3.0</v>
      </c>
      <c r="I48" s="26" t="s">
        <v>952</v>
      </c>
      <c r="J48" s="26" t="s">
        <v>4505</v>
      </c>
      <c r="K48" s="21" t="s">
        <v>3883</v>
      </c>
      <c r="L48" s="21" t="str">
        <f>IF(tblCollections[[#This Row],[costtext]]="", 0, LEN(tblCollections[[#This Row],[costtext]]) - LEN(SUBSTITUTE(tblCollections[[#This Row],[costtext]], ",", "")) + 1)</f>
        <v>#ERROR!</v>
      </c>
      <c r="M48" s="21" t="str">
        <f>COUNTA(tblCollections[[#This Row],[apy]:[wood]])</f>
        <v>#ERROR!</v>
      </c>
      <c r="T48" s="26">
        <v>15.0</v>
      </c>
      <c r="X48" s="26">
        <v>30.0</v>
      </c>
      <c r="AO48" s="26">
        <v>30.0</v>
      </c>
      <c r="AV48" s="26">
        <v>120.0</v>
      </c>
      <c r="BA48" s="26">
        <v>30.0</v>
      </c>
      <c r="CG48" s="26">
        <v>30.0</v>
      </c>
      <c r="CY48" s="26">
        <v>120.0</v>
      </c>
      <c r="DF48" s="26">
        <v>30.0</v>
      </c>
      <c r="DO48" s="26">
        <v>30.0</v>
      </c>
      <c r="DR48" s="26">
        <v>15.0</v>
      </c>
      <c r="EH48" s="26">
        <v>30.0</v>
      </c>
      <c r="EK48" s="26">
        <v>15.0</v>
      </c>
    </row>
    <row r="49" ht="14.25" customHeight="1">
      <c r="A49" s="26" t="s">
        <v>716</v>
      </c>
      <c r="B49" s="26" t="s">
        <v>4501</v>
      </c>
      <c r="C49" s="26" t="s">
        <v>4502</v>
      </c>
      <c r="D49" s="26" t="str">
        <f>_xlfn.XLOOKUP(tblCollections[[#This Row],[CollectionID]],tblTargets[TargetID],tblTargets[DisplayName],"")</f>
        <v>#ERROR!</v>
      </c>
      <c r="E49" s="26" t="b">
        <v>1</v>
      </c>
      <c r="F49" s="26">
        <v>4.0</v>
      </c>
      <c r="I49" s="26" t="s">
        <v>952</v>
      </c>
      <c r="J49" s="26" t="s">
        <v>4506</v>
      </c>
      <c r="K49" s="21" t="s">
        <v>3884</v>
      </c>
      <c r="L49" s="21" t="str">
        <f>IF(tblCollections[[#This Row],[costtext]]="", 0, LEN(tblCollections[[#This Row],[costtext]]) - LEN(SUBSTITUTE(tblCollections[[#This Row],[costtext]], ",", "")) + 1)</f>
        <v>#ERROR!</v>
      </c>
      <c r="M49" s="21" t="str">
        <f>COUNTA(tblCollections[[#This Row],[apy]:[wood]])</f>
        <v>#ERROR!</v>
      </c>
      <c r="T49" s="26">
        <v>20.0</v>
      </c>
      <c r="X49" s="26">
        <v>40.0</v>
      </c>
      <c r="AO49" s="26">
        <v>40.0</v>
      </c>
      <c r="AV49" s="26">
        <v>160.0</v>
      </c>
      <c r="BA49" s="26">
        <v>40.0</v>
      </c>
      <c r="CG49" s="26">
        <v>40.0</v>
      </c>
      <c r="CY49" s="26">
        <v>160.0</v>
      </c>
      <c r="DF49" s="26">
        <v>40.0</v>
      </c>
      <c r="DO49" s="26">
        <v>40.0</v>
      </c>
      <c r="DR49" s="26">
        <v>20.0</v>
      </c>
      <c r="EH49" s="26">
        <v>40.0</v>
      </c>
      <c r="EK49" s="26">
        <v>20.0</v>
      </c>
    </row>
    <row r="50" ht="14.25" customHeight="1">
      <c r="A50" s="26" t="s">
        <v>719</v>
      </c>
      <c r="B50" s="26" t="s">
        <v>4501</v>
      </c>
      <c r="C50" s="26" t="s">
        <v>4502</v>
      </c>
      <c r="D50" s="26" t="str">
        <f>_xlfn.XLOOKUP(tblCollections[[#This Row],[CollectionID]],tblTargets[TargetID],tblTargets[DisplayName],"")</f>
        <v>#ERROR!</v>
      </c>
      <c r="E50" s="26" t="b">
        <v>1</v>
      </c>
      <c r="F50" s="26">
        <v>5.0</v>
      </c>
      <c r="I50" s="26" t="s">
        <v>952</v>
      </c>
      <c r="J50" s="26" t="s">
        <v>4507</v>
      </c>
      <c r="K50" s="21" t="s">
        <v>3885</v>
      </c>
      <c r="L50" s="21" t="str">
        <f>IF(tblCollections[[#This Row],[costtext]]="", 0, LEN(tblCollections[[#This Row],[costtext]]) - LEN(SUBSTITUTE(tblCollections[[#This Row],[costtext]], ",", "")) + 1)</f>
        <v>#ERROR!</v>
      </c>
      <c r="M50" s="21" t="str">
        <f>COUNTA(tblCollections[[#This Row],[apy]:[wood]])</f>
        <v>#ERROR!</v>
      </c>
      <c r="T50" s="26">
        <v>25.0</v>
      </c>
      <c r="X50" s="26">
        <v>50.0</v>
      </c>
      <c r="AO50" s="26">
        <v>50.0</v>
      </c>
      <c r="AV50" s="26">
        <v>200.0</v>
      </c>
      <c r="BA50" s="26">
        <v>50.0</v>
      </c>
      <c r="CG50" s="26">
        <v>50.0</v>
      </c>
      <c r="CY50" s="26">
        <v>200.0</v>
      </c>
      <c r="DF50" s="26">
        <v>50.0</v>
      </c>
      <c r="DO50" s="26">
        <v>50.0</v>
      </c>
      <c r="DR50" s="26">
        <v>25.0</v>
      </c>
      <c r="EH50" s="26">
        <v>50.0</v>
      </c>
      <c r="EK50" s="26">
        <v>25.0</v>
      </c>
    </row>
    <row r="51" ht="14.25" customHeight="1">
      <c r="A51" s="26" t="s">
        <v>722</v>
      </c>
      <c r="B51" s="26" t="s">
        <v>4508</v>
      </c>
      <c r="C51" s="26" t="s">
        <v>4509</v>
      </c>
      <c r="D51" s="26" t="str">
        <f>_xlfn.XLOOKUP(tblCollections[[#This Row],[CollectionID]],tblTargets[TargetID],tblTargets[DisplayName],"")</f>
        <v>#ERROR!</v>
      </c>
      <c r="E51" s="26" t="b">
        <v>1</v>
      </c>
      <c r="F51" s="26">
        <v>1.0</v>
      </c>
      <c r="I51" s="26" t="s">
        <v>952</v>
      </c>
      <c r="J51" s="26" t="s">
        <v>4503</v>
      </c>
      <c r="K51" s="21" t="s">
        <v>3887</v>
      </c>
      <c r="L51" s="21" t="str">
        <f>IF(tblCollections[[#This Row],[costtext]]="", 0, LEN(tblCollections[[#This Row],[costtext]]) - LEN(SUBSTITUTE(tblCollections[[#This Row],[costtext]], ",", "")) + 1)</f>
        <v>#ERROR!</v>
      </c>
      <c r="M51" s="21" t="str">
        <f>COUNTA(tblCollections[[#This Row],[apy]:[wood]])</f>
        <v>#ERROR!</v>
      </c>
      <c r="CJ51" s="26">
        <v>100.0</v>
      </c>
      <c r="CK51" s="26">
        <v>100.0</v>
      </c>
      <c r="DT51" s="26">
        <v>100.0</v>
      </c>
      <c r="DU51" s="26">
        <v>100.0</v>
      </c>
    </row>
    <row r="52" ht="14.25" customHeight="1">
      <c r="A52" s="26" t="s">
        <v>727</v>
      </c>
      <c r="B52" s="26" t="s">
        <v>4508</v>
      </c>
      <c r="C52" s="26" t="s">
        <v>4509</v>
      </c>
      <c r="D52" s="26" t="str">
        <f>_xlfn.XLOOKUP(tblCollections[[#This Row],[CollectionID]],tblTargets[TargetID],tblTargets[DisplayName],"")</f>
        <v>#ERROR!</v>
      </c>
      <c r="E52" s="26" t="b">
        <v>1</v>
      </c>
      <c r="F52" s="26">
        <v>2.0</v>
      </c>
      <c r="I52" s="26" t="s">
        <v>952</v>
      </c>
      <c r="J52" s="26" t="s">
        <v>4510</v>
      </c>
      <c r="K52" s="21" t="s">
        <v>3888</v>
      </c>
      <c r="L52" s="21" t="str">
        <f>IF(tblCollections[[#This Row],[costtext]]="", 0, LEN(tblCollections[[#This Row],[costtext]]) - LEN(SUBSTITUTE(tblCollections[[#This Row],[costtext]], ",", "")) + 1)</f>
        <v>#ERROR!</v>
      </c>
      <c r="M52" s="21" t="str">
        <f>COUNTA(tblCollections[[#This Row],[apy]:[wood]])</f>
        <v>#ERROR!</v>
      </c>
      <c r="CJ52" s="26">
        <v>200.0</v>
      </c>
      <c r="CK52" s="26">
        <v>200.0</v>
      </c>
      <c r="DT52" s="26">
        <v>200.0</v>
      </c>
      <c r="DU52" s="26">
        <v>200.0</v>
      </c>
    </row>
    <row r="53" ht="14.25" customHeight="1">
      <c r="A53" s="26" t="s">
        <v>731</v>
      </c>
      <c r="B53" s="26" t="s">
        <v>4508</v>
      </c>
      <c r="C53" s="26" t="s">
        <v>4509</v>
      </c>
      <c r="D53" s="26" t="str">
        <f>_xlfn.XLOOKUP(tblCollections[[#This Row],[CollectionID]],tblTargets[TargetID],tblTargets[DisplayName],"")</f>
        <v>#ERROR!</v>
      </c>
      <c r="E53" s="26" t="b">
        <v>1</v>
      </c>
      <c r="F53" s="26">
        <v>3.0</v>
      </c>
      <c r="I53" s="26" t="s">
        <v>952</v>
      </c>
      <c r="J53" s="26" t="s">
        <v>4511</v>
      </c>
      <c r="K53" s="21" t="s">
        <v>3889</v>
      </c>
      <c r="L53" s="21" t="str">
        <f>IF(tblCollections[[#This Row],[costtext]]="", 0, LEN(tblCollections[[#This Row],[costtext]]) - LEN(SUBSTITUTE(tblCollections[[#This Row],[costtext]], ",", "")) + 1)</f>
        <v>#ERROR!</v>
      </c>
      <c r="M53" s="21" t="str">
        <f>COUNTA(tblCollections[[#This Row],[apy]:[wood]])</f>
        <v>#ERROR!</v>
      </c>
      <c r="CJ53" s="26">
        <v>300.0</v>
      </c>
      <c r="CK53" s="26">
        <v>300.0</v>
      </c>
      <c r="DT53" s="26">
        <v>300.0</v>
      </c>
      <c r="DU53" s="26">
        <v>300.0</v>
      </c>
    </row>
    <row r="54" ht="14.25" customHeight="1">
      <c r="A54" s="26" t="s">
        <v>735</v>
      </c>
      <c r="B54" s="26" t="s">
        <v>4508</v>
      </c>
      <c r="C54" s="26" t="s">
        <v>4509</v>
      </c>
      <c r="D54" s="26" t="str">
        <f>_xlfn.XLOOKUP(tblCollections[[#This Row],[CollectionID]],tblTargets[TargetID],tblTargets[DisplayName],"")</f>
        <v>#ERROR!</v>
      </c>
      <c r="E54" s="26" t="b">
        <v>1</v>
      </c>
      <c r="F54" s="26">
        <v>4.0</v>
      </c>
      <c r="I54" s="26" t="s">
        <v>952</v>
      </c>
      <c r="J54" s="26" t="s">
        <v>4512</v>
      </c>
      <c r="K54" s="21" t="s">
        <v>3891</v>
      </c>
      <c r="L54" s="21" t="str">
        <f>IF(tblCollections[[#This Row],[costtext]]="", 0, LEN(tblCollections[[#This Row],[costtext]]) - LEN(SUBSTITUTE(tblCollections[[#This Row],[costtext]], ",", "")) + 1)</f>
        <v>#ERROR!</v>
      </c>
      <c r="M54" s="21" t="str">
        <f>COUNTA(tblCollections[[#This Row],[apy]:[wood]])</f>
        <v>#ERROR!</v>
      </c>
      <c r="CJ54" s="26">
        <v>400.0</v>
      </c>
      <c r="CK54" s="26">
        <v>400.0</v>
      </c>
      <c r="DT54" s="26">
        <v>400.0</v>
      </c>
      <c r="DU54" s="26">
        <v>400.0</v>
      </c>
    </row>
    <row r="55" ht="14.25" customHeight="1">
      <c r="A55" s="26" t="s">
        <v>739</v>
      </c>
      <c r="B55" s="26" t="s">
        <v>4508</v>
      </c>
      <c r="C55" s="26" t="s">
        <v>4509</v>
      </c>
      <c r="D55" s="26" t="str">
        <f>_xlfn.XLOOKUP(tblCollections[[#This Row],[CollectionID]],tblTargets[TargetID],tblTargets[DisplayName],"")</f>
        <v>#ERROR!</v>
      </c>
      <c r="E55" s="26" t="b">
        <v>1</v>
      </c>
      <c r="F55" s="26">
        <v>5.0</v>
      </c>
      <c r="I55" s="26" t="s">
        <v>952</v>
      </c>
      <c r="J55" s="26" t="s">
        <v>4513</v>
      </c>
      <c r="K55" s="21" t="s">
        <v>3892</v>
      </c>
      <c r="L55" s="21" t="str">
        <f>IF(tblCollections[[#This Row],[costtext]]="", 0, LEN(tblCollections[[#This Row],[costtext]]) - LEN(SUBSTITUTE(tblCollections[[#This Row],[costtext]], ",", "")) + 1)</f>
        <v>#ERROR!</v>
      </c>
      <c r="M55" s="21" t="str">
        <f>COUNTA(tblCollections[[#This Row],[apy]:[wood]])</f>
        <v>#ERROR!</v>
      </c>
      <c r="CJ55" s="26">
        <v>500.0</v>
      </c>
      <c r="CK55" s="26">
        <v>500.0</v>
      </c>
      <c r="DT55" s="26">
        <v>500.0</v>
      </c>
      <c r="DU55" s="26">
        <v>500.0</v>
      </c>
    </row>
    <row r="56" ht="14.25" customHeight="1">
      <c r="A56" s="26" t="s">
        <v>754</v>
      </c>
      <c r="B56" s="26" t="s">
        <v>4514</v>
      </c>
      <c r="C56" s="26" t="s">
        <v>4515</v>
      </c>
      <c r="D56" s="26" t="str">
        <f>_xlfn.XLOOKUP(tblCollections[[#This Row],[CollectionID]],tblTargets[TargetID],tblTargets[DisplayName],"")</f>
        <v>#ERROR!</v>
      </c>
      <c r="E56" s="26" t="b">
        <v>1</v>
      </c>
      <c r="F56" s="26">
        <v>1.0</v>
      </c>
      <c r="I56" s="26" t="s">
        <v>952</v>
      </c>
      <c r="J56" s="26" t="s">
        <v>4503</v>
      </c>
      <c r="K56" s="21" t="s">
        <v>3893</v>
      </c>
      <c r="L56" s="21" t="str">
        <f>IF(tblCollections[[#This Row],[costtext]]="", 0, LEN(tblCollections[[#This Row],[costtext]]) - LEN(SUBSTITUTE(tblCollections[[#This Row],[costtext]], ",", "")) + 1)</f>
        <v>#ERROR!</v>
      </c>
      <c r="M56" s="21" t="str">
        <f>COUNTA(tblCollections[[#This Row],[apy]:[wood]])</f>
        <v>#ERROR!</v>
      </c>
      <c r="AB56" s="26">
        <v>100.0</v>
      </c>
      <c r="AC56" s="26">
        <v>100.0</v>
      </c>
      <c r="BD56" s="26">
        <v>100.0</v>
      </c>
      <c r="BL56" s="26">
        <v>100.0</v>
      </c>
    </row>
    <row r="57" ht="14.25" customHeight="1">
      <c r="A57" s="26" t="s">
        <v>758</v>
      </c>
      <c r="B57" s="26" t="s">
        <v>4514</v>
      </c>
      <c r="C57" s="26" t="s">
        <v>4515</v>
      </c>
      <c r="D57" s="26" t="str">
        <f>_xlfn.XLOOKUP(tblCollections[[#This Row],[CollectionID]],tblTargets[TargetID],tblTargets[DisplayName],"")</f>
        <v>#ERROR!</v>
      </c>
      <c r="E57" s="26" t="b">
        <v>1</v>
      </c>
      <c r="F57" s="26">
        <v>2.0</v>
      </c>
      <c r="I57" s="26" t="s">
        <v>952</v>
      </c>
      <c r="J57" s="26" t="s">
        <v>4516</v>
      </c>
      <c r="K57" s="21" t="s">
        <v>3895</v>
      </c>
      <c r="L57" s="21" t="str">
        <f>IF(tblCollections[[#This Row],[costtext]]="", 0, LEN(tblCollections[[#This Row],[costtext]]) - LEN(SUBSTITUTE(tblCollections[[#This Row],[costtext]], ",", "")) + 1)</f>
        <v>#ERROR!</v>
      </c>
      <c r="M57" s="21" t="str">
        <f>COUNTA(tblCollections[[#This Row],[apy]:[wood]])</f>
        <v>#ERROR!</v>
      </c>
      <c r="AB57" s="26">
        <v>200.0</v>
      </c>
      <c r="AC57" s="26">
        <v>200.0</v>
      </c>
      <c r="BD57" s="26">
        <v>200.0</v>
      </c>
      <c r="BL57" s="26">
        <v>200.0</v>
      </c>
    </row>
    <row r="58" ht="14.25" customHeight="1">
      <c r="A58" s="26" t="s">
        <v>762</v>
      </c>
      <c r="B58" s="26" t="s">
        <v>4514</v>
      </c>
      <c r="C58" s="26" t="s">
        <v>4515</v>
      </c>
      <c r="D58" s="26" t="str">
        <f>_xlfn.XLOOKUP(tblCollections[[#This Row],[CollectionID]],tblTargets[TargetID],tblTargets[DisplayName],"")</f>
        <v>#ERROR!</v>
      </c>
      <c r="E58" s="26" t="b">
        <v>1</v>
      </c>
      <c r="F58" s="26">
        <v>3.0</v>
      </c>
      <c r="I58" s="26" t="s">
        <v>952</v>
      </c>
      <c r="J58" s="26" t="s">
        <v>4517</v>
      </c>
      <c r="K58" s="21" t="s">
        <v>3896</v>
      </c>
      <c r="L58" s="21" t="str">
        <f>IF(tblCollections[[#This Row],[costtext]]="", 0, LEN(tblCollections[[#This Row],[costtext]]) - LEN(SUBSTITUTE(tblCollections[[#This Row],[costtext]], ",", "")) + 1)</f>
        <v>#ERROR!</v>
      </c>
      <c r="M58" s="21" t="str">
        <f>COUNTA(tblCollections[[#This Row],[apy]:[wood]])</f>
        <v>#ERROR!</v>
      </c>
      <c r="AB58" s="26">
        <v>300.0</v>
      </c>
      <c r="AC58" s="26">
        <v>300.0</v>
      </c>
      <c r="BD58" s="26">
        <v>300.0</v>
      </c>
      <c r="BL58" s="26">
        <v>300.0</v>
      </c>
    </row>
    <row r="59" ht="14.25" customHeight="1">
      <c r="A59" s="26" t="s">
        <v>765</v>
      </c>
      <c r="B59" s="26" t="s">
        <v>4514</v>
      </c>
      <c r="C59" s="26" t="s">
        <v>4515</v>
      </c>
      <c r="D59" s="26" t="str">
        <f>_xlfn.XLOOKUP(tblCollections[[#This Row],[CollectionID]],tblTargets[TargetID],tblTargets[DisplayName],"")</f>
        <v>#ERROR!</v>
      </c>
      <c r="E59" s="26" t="b">
        <v>1</v>
      </c>
      <c r="F59" s="26">
        <v>4.0</v>
      </c>
      <c r="I59" s="26" t="s">
        <v>952</v>
      </c>
      <c r="J59" s="26" t="s">
        <v>4518</v>
      </c>
      <c r="K59" s="21" t="s">
        <v>3897</v>
      </c>
      <c r="L59" s="21" t="str">
        <f>IF(tblCollections[[#This Row],[costtext]]="", 0, LEN(tblCollections[[#This Row],[costtext]]) - LEN(SUBSTITUTE(tblCollections[[#This Row],[costtext]], ",", "")) + 1)</f>
        <v>#ERROR!</v>
      </c>
      <c r="M59" s="21" t="str">
        <f>COUNTA(tblCollections[[#This Row],[apy]:[wood]])</f>
        <v>#ERROR!</v>
      </c>
      <c r="AB59" s="26">
        <v>400.0</v>
      </c>
      <c r="AC59" s="26">
        <v>400.0</v>
      </c>
      <c r="BD59" s="26">
        <v>400.0</v>
      </c>
      <c r="BL59" s="26">
        <v>400.0</v>
      </c>
    </row>
    <row r="60" ht="14.25" customHeight="1">
      <c r="A60" s="26" t="s">
        <v>769</v>
      </c>
      <c r="B60" s="26" t="s">
        <v>4514</v>
      </c>
      <c r="C60" s="26" t="s">
        <v>4515</v>
      </c>
      <c r="D60" s="26" t="str">
        <f>_xlfn.XLOOKUP(tblCollections[[#This Row],[CollectionID]],tblTargets[TargetID],tblTargets[DisplayName],"")</f>
        <v>#ERROR!</v>
      </c>
      <c r="E60" s="26" t="b">
        <v>1</v>
      </c>
      <c r="F60" s="26">
        <v>5.0</v>
      </c>
      <c r="I60" s="26" t="s">
        <v>952</v>
      </c>
      <c r="J60" s="26" t="s">
        <v>4519</v>
      </c>
      <c r="K60" s="21" t="s">
        <v>3899</v>
      </c>
      <c r="L60" s="21" t="str">
        <f>IF(tblCollections[[#This Row],[costtext]]="", 0, LEN(tblCollections[[#This Row],[costtext]]) - LEN(SUBSTITUTE(tblCollections[[#This Row],[costtext]], ",", "")) + 1)</f>
        <v>#ERROR!</v>
      </c>
      <c r="M60" s="21" t="str">
        <f>COUNTA(tblCollections[[#This Row],[apy]:[wood]])</f>
        <v>#ERROR!</v>
      </c>
      <c r="AB60" s="26">
        <v>500.0</v>
      </c>
      <c r="AC60" s="26">
        <v>500.0</v>
      </c>
      <c r="BD60" s="26">
        <v>500.0</v>
      </c>
      <c r="BL60" s="26">
        <v>500.0</v>
      </c>
    </row>
    <row r="61" ht="14.25" customHeight="1">
      <c r="A61" s="26" t="s">
        <v>773</v>
      </c>
      <c r="B61" s="26" t="s">
        <v>4520</v>
      </c>
      <c r="C61" s="26" t="s">
        <v>4521</v>
      </c>
      <c r="D61" s="26" t="str">
        <f>_xlfn.XLOOKUP(tblCollections[[#This Row],[CollectionID]],tblTargets[TargetID],tblTargets[DisplayName],"")</f>
        <v>#ERROR!</v>
      </c>
      <c r="E61" s="26" t="b">
        <v>1</v>
      </c>
      <c r="F61" s="26">
        <v>1.0</v>
      </c>
      <c r="I61" s="26" t="s">
        <v>4522</v>
      </c>
      <c r="J61" s="26" t="s">
        <v>4523</v>
      </c>
      <c r="K61" s="21" t="s">
        <v>3900</v>
      </c>
      <c r="L61" s="21" t="str">
        <f>IF(tblCollections[[#This Row],[costtext]]="", 0, LEN(tblCollections[[#This Row],[costtext]]) - LEN(SUBSTITUTE(tblCollections[[#This Row],[costtext]], ",", "")) + 1)</f>
        <v>#ERROR!</v>
      </c>
      <c r="M61" s="21" t="str">
        <f>COUNTA(tblCollections[[#This Row],[apy]:[wood]])</f>
        <v>#ERROR!</v>
      </c>
      <c r="AS61" s="26">
        <v>20.0</v>
      </c>
      <c r="BV61" s="26">
        <v>20.0</v>
      </c>
      <c r="EL61" s="26">
        <v>10.0</v>
      </c>
    </row>
    <row r="62" ht="14.25" customHeight="1">
      <c r="A62" s="26" t="s">
        <v>785</v>
      </c>
      <c r="B62" s="26" t="s">
        <v>4524</v>
      </c>
      <c r="C62" s="26" t="s">
        <v>4525</v>
      </c>
      <c r="D62" s="26" t="str">
        <f>_xlfn.XLOOKUP(tblCollections[[#This Row],[CollectionID]],tblTargets[TargetID],tblTargets[DisplayName],"")</f>
        <v>#ERROR!</v>
      </c>
      <c r="E62" s="26" t="b">
        <v>1</v>
      </c>
      <c r="F62" s="26">
        <v>1.0</v>
      </c>
      <c r="I62" s="26" t="s">
        <v>4474</v>
      </c>
      <c r="J62" s="26" t="s">
        <v>4479</v>
      </c>
      <c r="K62" s="21" t="s">
        <v>3901</v>
      </c>
      <c r="L62" s="21" t="str">
        <f>IF(tblCollections[[#This Row],[costtext]]="", 0, LEN(tblCollections[[#This Row],[costtext]]) - LEN(SUBSTITUTE(tblCollections[[#This Row],[costtext]], ",", "")) + 1)</f>
        <v>#ERROR!</v>
      </c>
      <c r="M62" s="21" t="str">
        <f>COUNTA(tblCollections[[#This Row],[apy]:[wood]])</f>
        <v>#ERROR!</v>
      </c>
      <c r="DU62" s="26">
        <v>200.0</v>
      </c>
    </row>
    <row r="63" ht="14.25" customHeight="1">
      <c r="A63" s="26" t="s">
        <v>789</v>
      </c>
      <c r="B63" s="26" t="s">
        <v>4395</v>
      </c>
      <c r="C63" s="26" t="s">
        <v>954</v>
      </c>
      <c r="D63" s="26" t="str">
        <f>_xlfn.XLOOKUP(tblCollections[[#This Row],[CollectionID]],tblTargets[TargetID],tblTargets[DisplayName],"")</f>
        <v>#ERROR!</v>
      </c>
      <c r="E63" s="26" t="b">
        <v>1</v>
      </c>
      <c r="F63" s="26">
        <v>1.0</v>
      </c>
      <c r="I63" s="26" t="s">
        <v>954</v>
      </c>
      <c r="J63" s="26" t="s">
        <v>4526</v>
      </c>
      <c r="K63" s="21" t="s">
        <v>3903</v>
      </c>
      <c r="L63" s="21" t="str">
        <f>IF(tblCollections[[#This Row],[costtext]]="", 0, LEN(tblCollections[[#This Row],[costtext]]) - LEN(SUBSTITUTE(tblCollections[[#This Row],[costtext]], ",", "")) + 1)</f>
        <v>#ERROR!</v>
      </c>
      <c r="M63" s="21" t="str">
        <f>COUNTA(tblCollections[[#This Row],[apy]:[wood]])</f>
        <v>#ERROR!</v>
      </c>
      <c r="AA63" s="26">
        <v>10.0</v>
      </c>
      <c r="AN63" s="26">
        <v>10.0</v>
      </c>
      <c r="AW63" s="26">
        <v>10.0</v>
      </c>
      <c r="BT63" s="26">
        <v>20.0</v>
      </c>
      <c r="CH63" s="26">
        <v>10.0</v>
      </c>
      <c r="CU63" s="26">
        <v>10.0</v>
      </c>
      <c r="DP63" s="26">
        <v>10.0</v>
      </c>
      <c r="DZ63" s="26">
        <v>10.0</v>
      </c>
      <c r="EG63" s="26">
        <v>10.0</v>
      </c>
    </row>
    <row r="64" ht="14.25" customHeight="1">
      <c r="A64" s="26" t="s">
        <v>795</v>
      </c>
      <c r="B64" s="26" t="s">
        <v>4395</v>
      </c>
      <c r="C64" s="26" t="s">
        <v>954</v>
      </c>
      <c r="D64" s="26" t="str">
        <f>_xlfn.XLOOKUP(tblCollections[[#This Row],[CollectionID]],tblTargets[TargetID],tblTargets[DisplayName],"")</f>
        <v>#ERROR!</v>
      </c>
      <c r="E64" s="26" t="b">
        <v>1</v>
      </c>
      <c r="F64" s="26">
        <v>2.0</v>
      </c>
      <c r="I64" s="26" t="s">
        <v>954</v>
      </c>
      <c r="J64" s="26" t="s">
        <v>4527</v>
      </c>
      <c r="K64" s="21" t="s">
        <v>3904</v>
      </c>
      <c r="L64" s="21" t="str">
        <f>IF(tblCollections[[#This Row],[costtext]]="", 0, LEN(tblCollections[[#This Row],[costtext]]) - LEN(SUBSTITUTE(tblCollections[[#This Row],[costtext]], ",", "")) + 1)</f>
        <v>#ERROR!</v>
      </c>
      <c r="M64" s="21" t="str">
        <f>COUNTA(tblCollections[[#This Row],[apy]:[wood]])</f>
        <v>#ERROR!</v>
      </c>
      <c r="AA64" s="26">
        <v>20.0</v>
      </c>
      <c r="AN64" s="26">
        <v>20.0</v>
      </c>
      <c r="AW64" s="26">
        <v>20.0</v>
      </c>
      <c r="BT64" s="26">
        <v>40.0</v>
      </c>
      <c r="CH64" s="26">
        <v>20.0</v>
      </c>
      <c r="CU64" s="26">
        <v>20.0</v>
      </c>
      <c r="DP64" s="26">
        <v>20.0</v>
      </c>
      <c r="DZ64" s="26">
        <v>20.0</v>
      </c>
      <c r="EG64" s="26">
        <v>20.0</v>
      </c>
    </row>
    <row r="65" ht="14.25" customHeight="1">
      <c r="A65" s="26" t="s">
        <v>799</v>
      </c>
      <c r="B65" s="26" t="s">
        <v>4528</v>
      </c>
      <c r="C65" s="26" t="s">
        <v>4529</v>
      </c>
      <c r="D65" s="26" t="str">
        <f>_xlfn.XLOOKUP(tblCollections[[#This Row],[CollectionID]],tblTargets[TargetID],tblTargets[DisplayName],"")</f>
        <v>#ERROR!</v>
      </c>
      <c r="E65" s="26" t="b">
        <v>1</v>
      </c>
      <c r="F65" s="26">
        <v>1.0</v>
      </c>
      <c r="I65" s="26" t="s">
        <v>955</v>
      </c>
      <c r="J65" s="26" t="s">
        <v>4530</v>
      </c>
      <c r="K65" s="21" t="s">
        <v>3905</v>
      </c>
      <c r="L65" s="21" t="str">
        <f>IF(tblCollections[[#This Row],[costtext]]="", 0, LEN(tblCollections[[#This Row],[costtext]]) - LEN(SUBSTITUTE(tblCollections[[#This Row],[costtext]], ",", "")) + 1)</f>
        <v>#ERROR!</v>
      </c>
      <c r="M65" s="21" t="str">
        <f>COUNTA(tblCollections[[#This Row],[apy]:[wood]])</f>
        <v>#ERROR!</v>
      </c>
      <c r="AK65" s="26">
        <v>1000.0</v>
      </c>
      <c r="AL65" s="26">
        <v>1000.0</v>
      </c>
      <c r="AM65" s="26">
        <v>250.0</v>
      </c>
      <c r="AQ65" s="26">
        <v>250.0</v>
      </c>
      <c r="BK65" s="26">
        <v>10.0</v>
      </c>
      <c r="CI65" s="26">
        <v>5.0</v>
      </c>
      <c r="DE65" s="26">
        <v>5.0</v>
      </c>
      <c r="EJ65" s="26">
        <v>10.0</v>
      </c>
    </row>
    <row r="66" ht="14.25" customHeight="1">
      <c r="A66" s="26" t="s">
        <v>803</v>
      </c>
      <c r="B66" s="26" t="s">
        <v>4528</v>
      </c>
      <c r="C66" s="26" t="s">
        <v>4529</v>
      </c>
      <c r="D66" s="26" t="str">
        <f>_xlfn.XLOOKUP(tblCollections[[#This Row],[CollectionID]],tblTargets[TargetID],tblTargets[DisplayName],"")</f>
        <v>#ERROR!</v>
      </c>
      <c r="E66" s="26" t="b">
        <v>1</v>
      </c>
      <c r="F66" s="26">
        <v>2.0</v>
      </c>
      <c r="I66" s="26" t="s">
        <v>955</v>
      </c>
      <c r="J66" s="26" t="s">
        <v>4531</v>
      </c>
      <c r="K66" s="21" t="s">
        <v>3907</v>
      </c>
      <c r="L66" s="21" t="str">
        <f>IF(tblCollections[[#This Row],[costtext]]="", 0, LEN(tblCollections[[#This Row],[costtext]]) - LEN(SUBSTITUTE(tblCollections[[#This Row],[costtext]], ",", "")) + 1)</f>
        <v>#ERROR!</v>
      </c>
      <c r="M66" s="21" t="str">
        <f>COUNTA(tblCollections[[#This Row],[apy]:[wood]])</f>
        <v>#ERROR!</v>
      </c>
      <c r="AK66" s="26">
        <v>2000.0</v>
      </c>
      <c r="AL66" s="26">
        <v>2000.0</v>
      </c>
      <c r="AM66" s="26">
        <v>500.0</v>
      </c>
      <c r="AQ66" s="26">
        <v>500.0</v>
      </c>
      <c r="BK66" s="26">
        <v>20.0</v>
      </c>
      <c r="CI66" s="26">
        <v>10.0</v>
      </c>
      <c r="DE66" s="26">
        <v>10.0</v>
      </c>
      <c r="EJ66" s="26">
        <v>20.0</v>
      </c>
    </row>
    <row r="67" ht="14.25" customHeight="1">
      <c r="A67" s="26" t="s">
        <v>808</v>
      </c>
      <c r="B67" s="26" t="s">
        <v>4528</v>
      </c>
      <c r="C67" s="26" t="s">
        <v>4529</v>
      </c>
      <c r="D67" s="26" t="str">
        <f>_xlfn.XLOOKUP(tblCollections[[#This Row],[CollectionID]],tblTargets[TargetID],tblTargets[DisplayName],"")</f>
        <v>#ERROR!</v>
      </c>
      <c r="E67" s="26" t="b">
        <v>1</v>
      </c>
      <c r="F67" s="26">
        <v>3.0</v>
      </c>
      <c r="I67" s="26" t="s">
        <v>955</v>
      </c>
      <c r="J67" s="26" t="s">
        <v>4532</v>
      </c>
      <c r="K67" s="21" t="s">
        <v>3908</v>
      </c>
      <c r="L67" s="21" t="str">
        <f>IF(tblCollections[[#This Row],[costtext]]="", 0, LEN(tblCollections[[#This Row],[costtext]]) - LEN(SUBSTITUTE(tblCollections[[#This Row],[costtext]], ",", "")) + 1)</f>
        <v>#ERROR!</v>
      </c>
      <c r="M67" s="21" t="str">
        <f>COUNTA(tblCollections[[#This Row],[apy]:[wood]])</f>
        <v>#ERROR!</v>
      </c>
      <c r="AK67" s="26">
        <v>3000.0</v>
      </c>
      <c r="AL67" s="26">
        <v>3000.0</v>
      </c>
      <c r="AM67" s="26">
        <v>750.0</v>
      </c>
      <c r="AQ67" s="26">
        <v>750.0</v>
      </c>
      <c r="BK67" s="26">
        <v>30.0</v>
      </c>
      <c r="CI67" s="26">
        <v>15.0</v>
      </c>
      <c r="DE67" s="26">
        <v>15.0</v>
      </c>
      <c r="EJ67" s="26">
        <v>30.0</v>
      </c>
    </row>
    <row r="68" ht="14.25" customHeight="1">
      <c r="A68" s="26" t="s">
        <v>811</v>
      </c>
      <c r="B68" s="26" t="s">
        <v>4528</v>
      </c>
      <c r="C68" s="26" t="s">
        <v>4529</v>
      </c>
      <c r="D68" s="26" t="str">
        <f>_xlfn.XLOOKUP(tblCollections[[#This Row],[CollectionID]],tblTargets[TargetID],tblTargets[DisplayName],"")</f>
        <v>#ERROR!</v>
      </c>
      <c r="E68" s="26" t="b">
        <v>1</v>
      </c>
      <c r="F68" s="26">
        <v>4.0</v>
      </c>
      <c r="I68" s="26" t="s">
        <v>955</v>
      </c>
      <c r="J68" s="26" t="s">
        <v>4533</v>
      </c>
      <c r="K68" s="21" t="s">
        <v>3910</v>
      </c>
      <c r="L68" s="21" t="str">
        <f>IF(tblCollections[[#This Row],[costtext]]="", 0, LEN(tblCollections[[#This Row],[costtext]]) - LEN(SUBSTITUTE(tblCollections[[#This Row],[costtext]], ",", "")) + 1)</f>
        <v>#ERROR!</v>
      </c>
      <c r="M68" s="21" t="str">
        <f>COUNTA(tblCollections[[#This Row],[apy]:[wood]])</f>
        <v>#ERROR!</v>
      </c>
      <c r="AK68" s="26">
        <v>4000.0</v>
      </c>
      <c r="AL68" s="26">
        <v>4000.0</v>
      </c>
      <c r="AM68" s="26">
        <v>1000.0</v>
      </c>
      <c r="AQ68" s="26">
        <v>1000.0</v>
      </c>
      <c r="BK68" s="26">
        <v>40.0</v>
      </c>
      <c r="CI68" s="26">
        <v>20.0</v>
      </c>
      <c r="DE68" s="26">
        <v>20.0</v>
      </c>
      <c r="EJ68" s="26">
        <v>40.0</v>
      </c>
    </row>
    <row r="69" ht="14.25" customHeight="1">
      <c r="A69" s="26" t="s">
        <v>815</v>
      </c>
      <c r="B69" s="26" t="s">
        <v>4528</v>
      </c>
      <c r="C69" s="26" t="s">
        <v>4529</v>
      </c>
      <c r="D69" s="26" t="str">
        <f>_xlfn.XLOOKUP(tblCollections[[#This Row],[CollectionID]],tblTargets[TargetID],tblTargets[DisplayName],"")</f>
        <v>#ERROR!</v>
      </c>
      <c r="E69" s="26" t="b">
        <v>1</v>
      </c>
      <c r="F69" s="26">
        <v>5.0</v>
      </c>
      <c r="I69" s="26" t="s">
        <v>955</v>
      </c>
      <c r="J69" s="26" t="s">
        <v>4534</v>
      </c>
      <c r="K69" s="21" t="s">
        <v>3911</v>
      </c>
      <c r="L69" s="21" t="str">
        <f>IF(tblCollections[[#This Row],[costtext]]="", 0, LEN(tblCollections[[#This Row],[costtext]]) - LEN(SUBSTITUTE(tblCollections[[#This Row],[costtext]], ",", "")) + 1)</f>
        <v>#ERROR!</v>
      </c>
      <c r="M69" s="21" t="str">
        <f>COUNTA(tblCollections[[#This Row],[apy]:[wood]])</f>
        <v>#ERROR!</v>
      </c>
      <c r="AK69" s="26">
        <v>5000.0</v>
      </c>
      <c r="AL69" s="26">
        <v>5000.0</v>
      </c>
      <c r="AM69" s="26">
        <v>1250.0</v>
      </c>
      <c r="AQ69" s="26">
        <v>1250.0</v>
      </c>
      <c r="BK69" s="26">
        <v>50.0</v>
      </c>
      <c r="CI69" s="26">
        <v>25.0</v>
      </c>
      <c r="DE69" s="26">
        <v>25.0</v>
      </c>
      <c r="EJ69" s="26">
        <v>50.0</v>
      </c>
    </row>
    <row r="70" ht="14.25" customHeight="1">
      <c r="A70" s="26" t="s">
        <v>818</v>
      </c>
      <c r="B70" s="26" t="s">
        <v>4535</v>
      </c>
      <c r="C70" s="26" t="s">
        <v>4536</v>
      </c>
      <c r="D70" s="26" t="str">
        <f>_xlfn.XLOOKUP(tblCollections[[#This Row],[CollectionID]],tblTargets[TargetID],tblTargets[DisplayName],"")</f>
        <v>#ERROR!</v>
      </c>
      <c r="E70" s="26" t="b">
        <v>1</v>
      </c>
      <c r="F70" s="26">
        <v>1.0</v>
      </c>
      <c r="I70" s="26" t="s">
        <v>955</v>
      </c>
      <c r="J70" s="26" t="s">
        <v>4530</v>
      </c>
      <c r="K70" s="21" t="s">
        <v>3912</v>
      </c>
      <c r="L70" s="21" t="str">
        <f>IF(tblCollections[[#This Row],[costtext]]="", 0, LEN(tblCollections[[#This Row],[costtext]]) - LEN(SUBSTITUTE(tblCollections[[#This Row],[costtext]], ",", "")) + 1)</f>
        <v>#ERROR!</v>
      </c>
      <c r="M70" s="21" t="str">
        <f>COUNTA(tblCollections[[#This Row],[apy]:[wood]])</f>
        <v>#ERROR!</v>
      </c>
      <c r="CZ70" s="26">
        <v>3.0</v>
      </c>
      <c r="DA70" s="26">
        <v>3.0</v>
      </c>
      <c r="DB70" s="26">
        <v>3.0</v>
      </c>
      <c r="DC70" s="26">
        <v>3.0</v>
      </c>
      <c r="DD70" s="26">
        <v>3.0</v>
      </c>
    </row>
    <row r="71" ht="14.25" customHeight="1">
      <c r="A71" s="26" t="s">
        <v>822</v>
      </c>
      <c r="B71" s="26" t="s">
        <v>4535</v>
      </c>
      <c r="C71" s="26" t="s">
        <v>4536</v>
      </c>
      <c r="D71" s="26" t="str">
        <f>_xlfn.XLOOKUP(tblCollections[[#This Row],[CollectionID]],tblTargets[TargetID],tblTargets[DisplayName],"")</f>
        <v>#ERROR!</v>
      </c>
      <c r="E71" s="26" t="b">
        <v>1</v>
      </c>
      <c r="F71" s="26">
        <v>2.0</v>
      </c>
      <c r="I71" s="26" t="s">
        <v>955</v>
      </c>
      <c r="J71" s="26" t="s">
        <v>4537</v>
      </c>
      <c r="K71" s="21" t="s">
        <v>3914</v>
      </c>
      <c r="L71" s="21" t="str">
        <f>IF(tblCollections[[#This Row],[costtext]]="", 0, LEN(tblCollections[[#This Row],[costtext]]) - LEN(SUBSTITUTE(tblCollections[[#This Row],[costtext]], ",", "")) + 1)</f>
        <v>#ERROR!</v>
      </c>
      <c r="M71" s="21" t="str">
        <f>COUNTA(tblCollections[[#This Row],[apy]:[wood]])</f>
        <v>#ERROR!</v>
      </c>
      <c r="CZ71" s="26">
        <v>6.0</v>
      </c>
      <c r="DA71" s="26">
        <v>6.0</v>
      </c>
      <c r="DB71" s="26">
        <v>6.0</v>
      </c>
      <c r="DC71" s="26">
        <v>6.0</v>
      </c>
      <c r="DD71" s="26">
        <v>6.0</v>
      </c>
    </row>
    <row r="72" ht="14.25" customHeight="1">
      <c r="A72" s="26" t="s">
        <v>826</v>
      </c>
      <c r="B72" s="26" t="s">
        <v>4535</v>
      </c>
      <c r="C72" s="26" t="s">
        <v>4536</v>
      </c>
      <c r="D72" s="26" t="str">
        <f>_xlfn.XLOOKUP(tblCollections[[#This Row],[CollectionID]],tblTargets[TargetID],tblTargets[DisplayName],"")</f>
        <v>#ERROR!</v>
      </c>
      <c r="E72" s="26" t="b">
        <v>1</v>
      </c>
      <c r="F72" s="26">
        <v>3.0</v>
      </c>
      <c r="I72" s="26" t="s">
        <v>955</v>
      </c>
      <c r="J72" s="26" t="s">
        <v>4538</v>
      </c>
      <c r="K72" s="21" t="s">
        <v>3915</v>
      </c>
      <c r="L72" s="21" t="str">
        <f>IF(tblCollections[[#This Row],[costtext]]="", 0, LEN(tblCollections[[#This Row],[costtext]]) - LEN(SUBSTITUTE(tblCollections[[#This Row],[costtext]], ",", "")) + 1)</f>
        <v>#ERROR!</v>
      </c>
      <c r="M72" s="21" t="str">
        <f>COUNTA(tblCollections[[#This Row],[apy]:[wood]])</f>
        <v>#ERROR!</v>
      </c>
      <c r="CZ72" s="26">
        <v>9.0</v>
      </c>
      <c r="DA72" s="26">
        <v>9.0</v>
      </c>
      <c r="DB72" s="26">
        <v>9.0</v>
      </c>
      <c r="DC72" s="26">
        <v>9.0</v>
      </c>
      <c r="DD72" s="26">
        <v>9.0</v>
      </c>
    </row>
    <row r="73" ht="14.25" customHeight="1">
      <c r="A73" s="26" t="s">
        <v>829</v>
      </c>
      <c r="B73" s="26" t="s">
        <v>4539</v>
      </c>
      <c r="C73" s="26" t="s">
        <v>4540</v>
      </c>
      <c r="D73" s="26" t="str">
        <f>_xlfn.XLOOKUP(tblCollections[[#This Row],[CollectionID]],tblTargets[TargetID],tblTargets[DisplayName],"")</f>
        <v>#ERROR!</v>
      </c>
      <c r="E73" s="26" t="b">
        <v>1</v>
      </c>
      <c r="F73" s="26">
        <v>1.0</v>
      </c>
      <c r="I73" s="26" t="s">
        <v>4541</v>
      </c>
      <c r="J73" s="26" t="s">
        <v>4542</v>
      </c>
      <c r="K73" s="21" t="s">
        <v>3916</v>
      </c>
      <c r="L73" s="21" t="str">
        <f>IF(tblCollections[[#This Row],[costtext]]="", 0, LEN(tblCollections[[#This Row],[costtext]]) - LEN(SUBSTITUTE(tblCollections[[#This Row],[costtext]], ",", "")) + 1)</f>
        <v>#ERROR!</v>
      </c>
      <c r="M73" s="21" t="str">
        <f>COUNTA(tblCollections[[#This Row],[apy]:[wood]])</f>
        <v>#ERROR!</v>
      </c>
      <c r="AP73" s="26">
        <v>3.0</v>
      </c>
      <c r="AX73" s="26">
        <v>1.0</v>
      </c>
      <c r="AY73" s="26">
        <v>1.0</v>
      </c>
      <c r="CR73" s="26">
        <v>1.0</v>
      </c>
      <c r="CX73" s="26">
        <v>1.0</v>
      </c>
    </row>
    <row r="74" ht="14.25" customHeight="1">
      <c r="A74" s="26" t="s">
        <v>569</v>
      </c>
      <c r="B74" s="26" t="s">
        <v>4543</v>
      </c>
      <c r="C74" s="26" t="s">
        <v>987</v>
      </c>
      <c r="D74" s="26" t="str">
        <f>_xlfn.XLOOKUP(tblCollections[[#This Row],[CollectionID]],tblTargets[TargetID],tblTargets[DisplayName],"")</f>
        <v>#ERROR!</v>
      </c>
      <c r="F74" s="26">
        <v>1.0</v>
      </c>
      <c r="K74" s="21" t="s">
        <v>4544</v>
      </c>
      <c r="L74" s="21"/>
      <c r="M74" s="21"/>
    </row>
    <row r="75" ht="14.25" customHeight="1">
      <c r="A75" s="26" t="s">
        <v>581</v>
      </c>
      <c r="B75" s="26" t="s">
        <v>4545</v>
      </c>
      <c r="C75" s="26" t="s">
        <v>993</v>
      </c>
      <c r="D75" s="26" t="str">
        <f>_xlfn.XLOOKUP(tblCollections[[#This Row],[CollectionID]],tblTargets[TargetID],tblTargets[DisplayName],"")</f>
        <v>#ERROR!</v>
      </c>
      <c r="F75" s="26">
        <v>1.0</v>
      </c>
      <c r="K75" s="21" t="s">
        <v>4546</v>
      </c>
      <c r="L75" s="21" t="str">
        <f>IF(tblCollections[[#This Row],[costtext]]="", 0, LEN(tblCollections[[#This Row],[costtext]]) - LEN(SUBSTITUTE(tblCollections[[#This Row],[costtext]], ",", "")) + 1)</f>
        <v>#ERROR!</v>
      </c>
      <c r="M75" s="21" t="str">
        <f>COUNTA(tblCollections[[#This Row],[apy]:[wood]])</f>
        <v>#ERROR!</v>
      </c>
    </row>
    <row r="76" ht="14.25" customHeight="1">
      <c r="A76" s="26" t="s">
        <v>776</v>
      </c>
      <c r="B76" s="26" t="s">
        <v>4547</v>
      </c>
      <c r="C76" s="26" t="s">
        <v>1091</v>
      </c>
      <c r="D76" s="26" t="str">
        <f>_xlfn.XLOOKUP(tblCollections[[#This Row],[CollectionID]],tblTargets[TargetID],tblTargets[DisplayName],"")</f>
        <v>#ERROR!</v>
      </c>
      <c r="F76" s="26">
        <v>1.0</v>
      </c>
      <c r="K76" s="21" t="s">
        <v>4548</v>
      </c>
      <c r="L76" s="21" t="str">
        <f>IF(tblCollections[[#This Row],[costtext]]="", 0, LEN(tblCollections[[#This Row],[costtext]]) - LEN(SUBSTITUTE(tblCollections[[#This Row],[costtext]], ",", "")) + 1)</f>
        <v>#ERROR!</v>
      </c>
      <c r="M76" s="21" t="str">
        <f>COUNTA(tblCollections[[#This Row],[apy]:[wood]])</f>
        <v>#ERROR!</v>
      </c>
    </row>
    <row r="77" ht="14.25" customHeight="1">
      <c r="A77" s="26" t="s">
        <v>578</v>
      </c>
      <c r="B77" s="26" t="s">
        <v>4549</v>
      </c>
      <c r="C77" s="26" t="s">
        <v>992</v>
      </c>
      <c r="D77" s="26" t="str">
        <f>_xlfn.XLOOKUP(tblCollections[[#This Row],[CollectionID]],tblTargets[TargetID],tblTargets[DisplayName],"")</f>
        <v>#ERROR!</v>
      </c>
      <c r="F77" s="26">
        <v>1.0</v>
      </c>
      <c r="K77" s="21" t="s">
        <v>4550</v>
      </c>
      <c r="L77" s="21" t="str">
        <f>IF(tblCollections[[#This Row],[costtext]]="", 0, LEN(tblCollections[[#This Row],[costtext]]) - LEN(SUBSTITUTE(tblCollections[[#This Row],[costtext]], ",", "")) + 1)</f>
        <v>#ERROR!</v>
      </c>
      <c r="M77" s="21" t="str">
        <f>COUNTA(tblCollections[[#This Row],[apy]:[wood]])</f>
        <v>#ERROR!</v>
      </c>
    </row>
    <row r="78" ht="14.25" customHeight="1">
      <c r="A78" s="26" t="s">
        <v>575</v>
      </c>
      <c r="B78" s="26" t="s">
        <v>4551</v>
      </c>
      <c r="C78" s="26" t="s">
        <v>990</v>
      </c>
      <c r="D78" s="26" t="str">
        <f>_xlfn.XLOOKUP(tblCollections[[#This Row],[CollectionID]],tblTargets[TargetID],tblTargets[DisplayName],"")</f>
        <v>#ERROR!</v>
      </c>
      <c r="F78" s="26">
        <v>1.0</v>
      </c>
      <c r="K78" s="21" t="s">
        <v>4550</v>
      </c>
      <c r="L78" s="21" t="str">
        <f>IF(tblCollections[[#This Row],[costtext]]="", 0, LEN(tblCollections[[#This Row],[costtext]]) - LEN(SUBSTITUTE(tblCollections[[#This Row],[costtext]], ",", "")) + 1)</f>
        <v>#ERROR!</v>
      </c>
      <c r="M78" s="21" t="str">
        <f>COUNTA(tblCollections[[#This Row],[apy]:[wood]])</f>
        <v>#ERROR!</v>
      </c>
    </row>
    <row r="79" ht="14.25" customHeight="1">
      <c r="A79" s="26" t="s">
        <v>565</v>
      </c>
      <c r="B79" s="26" t="s">
        <v>4552</v>
      </c>
      <c r="C79" s="26" t="s">
        <v>4553</v>
      </c>
      <c r="D79" s="26" t="str">
        <f>_xlfn.XLOOKUP(tblCollections[[#This Row],[CollectionID]],tblTargets[TargetID],tblTargets[DisplayName],"")</f>
        <v>#ERROR!</v>
      </c>
      <c r="F79" s="26">
        <v>1.0</v>
      </c>
      <c r="K79" s="21" t="s">
        <v>4554</v>
      </c>
      <c r="L79" s="21" t="str">
        <f>IF(tblCollections[[#This Row],[costtext]]="", 0, LEN(tblCollections[[#This Row],[costtext]]) - LEN(SUBSTITUTE(tblCollections[[#This Row],[costtext]], ",", "")) + 1)</f>
        <v>#ERROR!</v>
      </c>
      <c r="M79" s="21" t="str">
        <f>COUNTA(tblCollections[[#This Row],[apy]:[wood]])</f>
        <v>#ERROR!</v>
      </c>
    </row>
    <row r="80" ht="14.25" customHeight="1">
      <c r="A80" s="26" t="s">
        <v>567</v>
      </c>
      <c r="B80" s="26" t="s">
        <v>4552</v>
      </c>
      <c r="C80" s="26" t="s">
        <v>4553</v>
      </c>
      <c r="D80" s="26" t="str">
        <f>_xlfn.XLOOKUP(tblCollections[[#This Row],[CollectionID]],tblTargets[TargetID],tblTargets[DisplayName],"")</f>
        <v>#ERROR!</v>
      </c>
      <c r="F80" s="26">
        <v>2.0</v>
      </c>
      <c r="K80" s="21" t="s">
        <v>4555</v>
      </c>
      <c r="L80" s="21" t="str">
        <f>IF(tblCollections[[#This Row],[costtext]]="", 0, LEN(tblCollections[[#This Row],[costtext]]) - LEN(SUBSTITUTE(tblCollections[[#This Row],[costtext]], ",", "")) + 1)</f>
        <v>#ERROR!</v>
      </c>
      <c r="M80" s="21" t="str">
        <f>COUNTA(tblCollections[[#This Row],[apy]:[wood]])</f>
        <v>#ERROR!</v>
      </c>
    </row>
    <row r="81" ht="14.25" customHeight="1">
      <c r="A81" s="26" t="s">
        <v>528</v>
      </c>
      <c r="B81" s="26" t="s">
        <v>4556</v>
      </c>
      <c r="C81" s="26" t="s">
        <v>4557</v>
      </c>
      <c r="D81" s="26" t="str">
        <f>_xlfn.XLOOKUP(tblCollections[[#This Row],[CollectionID]],tblTargets[TargetID],tblTargets[DisplayName],"")</f>
        <v>#ERROR!</v>
      </c>
      <c r="F81" s="26">
        <v>1.0</v>
      </c>
      <c r="K81" s="21" t="s">
        <v>4558</v>
      </c>
      <c r="L81" s="21" t="str">
        <f>IF(tblCollections[[#This Row],[costtext]]="", 0, LEN(tblCollections[[#This Row],[costtext]]) - LEN(SUBSTITUTE(tblCollections[[#This Row],[costtext]], ",", "")) + 1)</f>
        <v>#ERROR!</v>
      </c>
      <c r="M81" s="21" t="str">
        <f>COUNTA(tblCollections[[#This Row],[apy]:[wood]])</f>
        <v>#ERROR!</v>
      </c>
    </row>
    <row r="82" ht="14.25" customHeight="1">
      <c r="A82" s="26" t="s">
        <v>532</v>
      </c>
      <c r="B82" s="26" t="s">
        <v>4556</v>
      </c>
      <c r="C82" s="26" t="s">
        <v>4557</v>
      </c>
      <c r="D82" s="26" t="str">
        <f>_xlfn.XLOOKUP(tblCollections[[#This Row],[CollectionID]],tblTargets[TargetID],tblTargets[DisplayName],"")</f>
        <v>#ERROR!</v>
      </c>
      <c r="F82" s="26">
        <v>2.0</v>
      </c>
      <c r="K82" s="21" t="s">
        <v>4559</v>
      </c>
      <c r="L82" s="21" t="str">
        <f>IF(tblCollections[[#This Row],[costtext]]="", 0, LEN(tblCollections[[#This Row],[costtext]]) - LEN(SUBSTITUTE(tblCollections[[#This Row],[costtext]], ",", "")) + 1)</f>
        <v>#ERROR!</v>
      </c>
      <c r="M82" s="21" t="str">
        <f>COUNTA(tblCollections[[#This Row],[apy]:[wood]])</f>
        <v>#ERROR!</v>
      </c>
    </row>
    <row r="83" ht="14.25" customHeight="1">
      <c r="A83" s="26" t="s">
        <v>535</v>
      </c>
      <c r="B83" s="26" t="s">
        <v>4560</v>
      </c>
      <c r="C83" s="26" t="s">
        <v>4561</v>
      </c>
      <c r="D83" s="26" t="str">
        <f>_xlfn.XLOOKUP(tblCollections[[#This Row],[CollectionID]],tblTargets[TargetID],tblTargets[DisplayName],"")</f>
        <v>#ERROR!</v>
      </c>
      <c r="F83" s="26">
        <v>1.0</v>
      </c>
      <c r="K83" s="21" t="s">
        <v>4562</v>
      </c>
      <c r="L83" s="21" t="str">
        <f>IF(tblCollections[[#This Row],[costtext]]="", 0, LEN(tblCollections[[#This Row],[costtext]]) - LEN(SUBSTITUTE(tblCollections[[#This Row],[costtext]], ",", "")) + 1)</f>
        <v>#ERROR!</v>
      </c>
      <c r="M83" s="21" t="str">
        <f>COUNTA(tblCollections[[#This Row],[apy]:[wood]])</f>
        <v>#ERROR!</v>
      </c>
    </row>
    <row r="84" ht="14.25" customHeight="1">
      <c r="A84" s="26" t="s">
        <v>537</v>
      </c>
      <c r="B84" s="26" t="s">
        <v>4560</v>
      </c>
      <c r="C84" s="26" t="s">
        <v>4561</v>
      </c>
      <c r="D84" s="26" t="str">
        <f>_xlfn.XLOOKUP(tblCollections[[#This Row],[CollectionID]],tblTargets[TargetID],tblTargets[DisplayName],"")</f>
        <v>#ERROR!</v>
      </c>
      <c r="F84" s="26">
        <v>2.0</v>
      </c>
      <c r="K84" s="21" t="s">
        <v>4563</v>
      </c>
      <c r="L84" s="21" t="str">
        <f>IF(tblCollections[[#This Row],[costtext]]="", 0, LEN(tblCollections[[#This Row],[costtext]]) - LEN(SUBSTITUTE(tblCollections[[#This Row],[costtext]], ",", "")) + 1)</f>
        <v>#ERROR!</v>
      </c>
      <c r="M84" s="21" t="str">
        <f>COUNTA(tblCollections[[#This Row],[apy]:[wood]])</f>
        <v>#ERROR!</v>
      </c>
    </row>
    <row r="85" ht="14.25" customHeight="1">
      <c r="A85" s="26" t="s">
        <v>540</v>
      </c>
      <c r="B85" s="26" t="s">
        <v>4564</v>
      </c>
      <c r="C85" s="26" t="s">
        <v>4565</v>
      </c>
      <c r="D85" s="26" t="str">
        <f>_xlfn.XLOOKUP(tblCollections[[#This Row],[CollectionID]],tblTargets[TargetID],tblTargets[DisplayName],"")</f>
        <v>#ERROR!</v>
      </c>
      <c r="F85" s="26">
        <v>1.0</v>
      </c>
      <c r="K85" s="21" t="s">
        <v>4566</v>
      </c>
      <c r="L85" s="21" t="str">
        <f>IF(tblCollections[[#This Row],[costtext]]="", 0, LEN(tblCollections[[#This Row],[costtext]]) - LEN(SUBSTITUTE(tblCollections[[#This Row],[costtext]], ",", "")) + 1)</f>
        <v>#ERROR!</v>
      </c>
      <c r="M85" s="21" t="str">
        <f>COUNTA(tblCollections[[#This Row],[apy]:[wood]])</f>
        <v>#ERROR!</v>
      </c>
    </row>
    <row r="86" ht="14.25" customHeight="1">
      <c r="A86" s="26" t="s">
        <v>542</v>
      </c>
      <c r="B86" s="26" t="s">
        <v>4564</v>
      </c>
      <c r="C86" s="26" t="s">
        <v>4565</v>
      </c>
      <c r="D86" s="26" t="str">
        <f>_xlfn.XLOOKUP(tblCollections[[#This Row],[CollectionID]],tblTargets[TargetID],tblTargets[DisplayName],"")</f>
        <v>#ERROR!</v>
      </c>
      <c r="F86" s="26">
        <v>2.0</v>
      </c>
      <c r="K86" s="21" t="s">
        <v>4567</v>
      </c>
      <c r="L86" s="21" t="str">
        <f>IF(tblCollections[[#This Row],[costtext]]="", 0, LEN(tblCollections[[#This Row],[costtext]]) - LEN(SUBSTITUTE(tblCollections[[#This Row],[costtext]], ",", "")) + 1)</f>
        <v>#ERROR!</v>
      </c>
      <c r="M86" s="21" t="str">
        <f>COUNTA(tblCollections[[#This Row],[apy]:[wood]])</f>
        <v>#ERROR!</v>
      </c>
    </row>
    <row r="87" ht="14.25" customHeight="1">
      <c r="A87" s="26" t="s">
        <v>572</v>
      </c>
      <c r="B87" s="26" t="s">
        <v>4568</v>
      </c>
      <c r="C87" s="26" t="s">
        <v>988</v>
      </c>
      <c r="D87" s="26" t="str">
        <f>_xlfn.XLOOKUP(tblCollections[[#This Row],[CollectionID]],tblTargets[TargetID],tblTargets[DisplayName],"")</f>
        <v>#ERROR!</v>
      </c>
      <c r="F87" s="26">
        <v>1.0</v>
      </c>
      <c r="K87" s="21" t="s">
        <v>4569</v>
      </c>
      <c r="L87" s="21" t="str">
        <f>IF(tblCollections[[#This Row],[costtext]]="", 0, LEN(tblCollections[[#This Row],[costtext]]) - LEN(SUBSTITUTE(tblCollections[[#This Row],[costtext]], ",", "")) + 1)</f>
        <v>#ERROR!</v>
      </c>
      <c r="M87" s="21" t="str">
        <f>COUNTA(tblCollections[[#This Row],[apy]:[wood]])</f>
        <v>#ERROR!</v>
      </c>
    </row>
    <row r="88" ht="14.25" customHeight="1">
      <c r="A88" s="26" t="s">
        <v>591</v>
      </c>
      <c r="B88" s="26" t="s">
        <v>4570</v>
      </c>
      <c r="C88" s="26" t="s">
        <v>1001</v>
      </c>
      <c r="D88" s="26" t="str">
        <f>_xlfn.XLOOKUP(tblCollections[[#This Row],[CollectionID]],tblTargets[TargetID],tblTargets[DisplayName],"")</f>
        <v>#ERROR!</v>
      </c>
      <c r="F88" s="26">
        <v>1.0</v>
      </c>
      <c r="K88" s="21" t="s">
        <v>4571</v>
      </c>
      <c r="L88" s="21" t="str">
        <f>IF(tblCollections[[#This Row],[costtext]]="", 0, LEN(tblCollections[[#This Row],[costtext]]) - LEN(SUBSTITUTE(tblCollections[[#This Row],[costtext]], ",", "")) + 1)</f>
        <v>#ERROR!</v>
      </c>
      <c r="M88" s="21" t="str">
        <f>COUNTA(tblCollections[[#This Row],[apy]:[wood]])</f>
        <v>#ERROR!</v>
      </c>
    </row>
    <row r="89" ht="14.25" customHeight="1">
      <c r="A89" s="26" t="s">
        <v>781</v>
      </c>
      <c r="B89" s="26" t="s">
        <v>4572</v>
      </c>
      <c r="C89" s="26" t="s">
        <v>1093</v>
      </c>
      <c r="D89" s="26" t="str">
        <f>_xlfn.XLOOKUP(tblCollections[[#This Row],[CollectionID]],tblTargets[TargetID],tblTargets[DisplayName],"")</f>
        <v>#ERROR!</v>
      </c>
      <c r="F89" s="26">
        <v>1.0</v>
      </c>
      <c r="K89" s="21" t="s">
        <v>4546</v>
      </c>
      <c r="L89" s="21" t="str">
        <f>IF(tblCollections[[#This Row],[costtext]]="", 0, LEN(tblCollections[[#This Row],[costtext]]) - LEN(SUBSTITUTE(tblCollections[[#This Row],[costtext]], ",", "")) + 1)</f>
        <v>#ERROR!</v>
      </c>
      <c r="M89" s="21" t="str">
        <f>COUNTA(tblCollections[[#This Row],[apy]:[wood]])</f>
        <v>#ERROR!</v>
      </c>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C79D4EBE-B997-420E-80FD-50CFAE5C57B0}" filter="1" showAutoFilter="1">
      <autoFilter ref="$A$1:$EN$89"/>
    </customSheetView>
  </customSheetViews>
  <printOptions/>
  <pageMargins bottom="0.75" footer="0.0" header="0.0" left="0.7" right="0.7" top="0.75"/>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25"/>
    <col customWidth="1" min="2" max="2" width="19.0"/>
    <col customWidth="1" min="3" max="4" width="18.75"/>
    <col customWidth="1" min="5" max="5" width="11.5"/>
    <col customWidth="1" min="6" max="6" width="7.88"/>
    <col customWidth="1" min="7" max="7" width="7.38"/>
    <col customWidth="1" min="8" max="8" width="76.38"/>
    <col customWidth="1" min="9" max="9" width="30.25"/>
    <col customWidth="1" min="10" max="10" width="32.5"/>
    <col customWidth="1" min="11" max="13" width="31.38"/>
    <col customWidth="1" min="14" max="14" width="8.5"/>
    <col customWidth="1" min="15" max="15" width="13.25"/>
    <col customWidth="1" min="16" max="16" width="12.13"/>
    <col customWidth="1" min="17" max="17" width="12.63"/>
    <col customWidth="1" min="18" max="18" width="14.13"/>
    <col customWidth="1" min="19" max="19" width="9.13"/>
    <col customWidth="1" min="20" max="20" width="10.88"/>
    <col customWidth="1" min="21" max="21" width="10.13"/>
    <col customWidth="1" min="22" max="22" width="13.5"/>
    <col customWidth="1" min="23" max="23" width="9.5"/>
    <col customWidth="1" min="24" max="24" width="11.0"/>
    <col customWidth="1" min="25" max="25" width="9.88"/>
    <col customWidth="1" min="26" max="26" width="12.63"/>
    <col customWidth="1" min="27" max="27" width="10.38"/>
    <col customWidth="1" min="28" max="28" width="10.75"/>
    <col customWidth="1" min="29" max="29" width="9.88"/>
    <col customWidth="1" min="30" max="30" width="9.63"/>
    <col customWidth="1" min="31" max="31" width="15.38"/>
    <col customWidth="1" min="32" max="32" width="12.5"/>
    <col customWidth="1" min="33" max="33" width="10.5"/>
    <col customWidth="1" min="34" max="34" width="11.5"/>
    <col customWidth="1" min="35" max="35" width="7.63"/>
    <col customWidth="1" min="36" max="36" width="9.5"/>
    <col customWidth="1" min="37" max="37" width="10.38"/>
    <col customWidth="1" min="38" max="38" width="10.13"/>
    <col customWidth="1" min="39" max="39" width="9.88"/>
    <col customWidth="1" min="40" max="40" width="12.0"/>
    <col customWidth="1" min="41" max="41" width="8.75"/>
    <col customWidth="1" min="42" max="42" width="9.25"/>
    <col customWidth="1" min="43" max="43" width="10.13"/>
    <col customWidth="1" min="44" max="44" width="8.5"/>
    <col customWidth="1" min="45" max="45" width="9.88"/>
    <col customWidth="1" min="46" max="46" width="10.13"/>
    <col customWidth="1" min="47" max="47" width="11.0"/>
    <col customWidth="1" min="48" max="48" width="10.5"/>
    <col customWidth="1" min="49" max="49" width="9.25"/>
    <col customWidth="1" min="50" max="50" width="10.88"/>
  </cols>
  <sheetData>
    <row r="1" ht="14.25" customHeight="1">
      <c r="A1" s="110" t="s">
        <v>4573</v>
      </c>
      <c r="B1" s="111" t="s">
        <v>3951</v>
      </c>
      <c r="C1" s="111" t="s">
        <v>4574</v>
      </c>
      <c r="D1" s="111" t="s">
        <v>39</v>
      </c>
      <c r="E1" s="111" t="s">
        <v>620</v>
      </c>
      <c r="F1" s="111" t="s">
        <v>3953</v>
      </c>
      <c r="G1" s="111" t="s">
        <v>1961</v>
      </c>
      <c r="H1" s="111" t="s">
        <v>11</v>
      </c>
      <c r="I1" s="111" t="s">
        <v>4356</v>
      </c>
      <c r="J1" s="111" t="s">
        <v>3959</v>
      </c>
      <c r="K1" s="112" t="s">
        <v>3524</v>
      </c>
      <c r="L1" s="107" t="s">
        <v>3961</v>
      </c>
      <c r="M1" s="108" t="s">
        <v>3962</v>
      </c>
      <c r="N1" s="112" t="s">
        <v>1230</v>
      </c>
      <c r="O1" s="112" t="s">
        <v>1055</v>
      </c>
      <c r="P1" s="112" t="s">
        <v>2297</v>
      </c>
      <c r="Q1" s="112" t="s">
        <v>283</v>
      </c>
      <c r="R1" s="112" t="s">
        <v>113</v>
      </c>
      <c r="S1" s="112" t="s">
        <v>119</v>
      </c>
      <c r="T1" s="112" t="s">
        <v>1060</v>
      </c>
      <c r="U1" s="112" t="s">
        <v>2707</v>
      </c>
      <c r="V1" s="112" t="s">
        <v>3098</v>
      </c>
      <c r="W1" s="112" t="s">
        <v>2709</v>
      </c>
      <c r="X1" s="112" t="s">
        <v>2339</v>
      </c>
      <c r="Y1" s="112" t="s">
        <v>360</v>
      </c>
      <c r="Z1" s="112" t="s">
        <v>530</v>
      </c>
      <c r="AA1" s="112" t="s">
        <v>508</v>
      </c>
      <c r="AB1" s="112" t="s">
        <v>2486</v>
      </c>
      <c r="AC1" s="112" t="s">
        <v>412</v>
      </c>
      <c r="AD1" s="112" t="s">
        <v>1375</v>
      </c>
      <c r="AE1" s="112" t="s">
        <v>1078</v>
      </c>
      <c r="AF1" s="112" t="s">
        <v>1456</v>
      </c>
      <c r="AG1" s="112" t="s">
        <v>126</v>
      </c>
      <c r="AH1" s="112" t="s">
        <v>2135</v>
      </c>
      <c r="AI1" s="112" t="s">
        <v>588</v>
      </c>
      <c r="AJ1" s="112" t="s">
        <v>132</v>
      </c>
      <c r="AK1" s="112" t="s">
        <v>423</v>
      </c>
      <c r="AL1" s="112" t="s">
        <v>1537</v>
      </c>
      <c r="AM1" s="112" t="s">
        <v>426</v>
      </c>
      <c r="AN1" s="112" t="s">
        <v>140</v>
      </c>
      <c r="AO1" s="112" t="s">
        <v>701</v>
      </c>
      <c r="AP1" s="112" t="s">
        <v>6</v>
      </c>
      <c r="AQ1" s="112" t="s">
        <v>2007</v>
      </c>
      <c r="AR1" s="112" t="s">
        <v>152</v>
      </c>
      <c r="AS1" s="112" t="s">
        <v>392</v>
      </c>
      <c r="AT1" s="112" t="s">
        <v>2461</v>
      </c>
      <c r="AU1" s="112" t="s">
        <v>158</v>
      </c>
      <c r="AV1" s="112" t="s">
        <v>2786</v>
      </c>
      <c r="AW1" s="112" t="s">
        <v>2719</v>
      </c>
      <c r="AX1" s="113" t="s">
        <v>3153</v>
      </c>
    </row>
    <row r="2" ht="14.25" customHeight="1">
      <c r="A2" s="21" t="s">
        <v>833</v>
      </c>
      <c r="B2" s="21" t="s">
        <v>4575</v>
      </c>
      <c r="C2" s="21" t="s">
        <v>1116</v>
      </c>
      <c r="D2" s="21" t="str">
        <f>_xlfn.XLOOKUP(tblCraftifacts[[#This Row],[CraftifactID]],tblTargets[TargetID],tblTargets[DisplayName],"")</f>
        <v>#ERROR!</v>
      </c>
      <c r="E2" s="21" t="b">
        <v>1</v>
      </c>
      <c r="F2" s="21"/>
      <c r="G2" s="21"/>
      <c r="H2" s="21" t="s">
        <v>4576</v>
      </c>
      <c r="I2" s="21" t="s">
        <v>4577</v>
      </c>
      <c r="J2" s="21" t="s">
        <v>4578</v>
      </c>
      <c r="K2" s="21" t="s">
        <v>3918</v>
      </c>
      <c r="L2" s="21" t="str">
        <f>IF(tblCraftifacts[[#This Row],[costtext]]="", 0, LEN(tblCraftifacts[[#This Row],[costtext]]) - LEN(SUBSTITUTE(tblCraftifacts[[#This Row],[costtext]], ",", "")) + 1)</f>
        <v>#ERROR!</v>
      </c>
      <c r="M2" s="21" t="str">
        <f>COUNTA(tblCraftifacts[[#This Row],[apy]:[velour]])</f>
        <v>#ERROR!</v>
      </c>
      <c r="N2" s="21"/>
      <c r="O2" s="21">
        <v>15.0</v>
      </c>
      <c r="P2" s="21"/>
      <c r="Q2" s="21"/>
      <c r="R2" s="21"/>
      <c r="S2" s="21">
        <v>1000.0</v>
      </c>
      <c r="T2" s="21"/>
      <c r="U2" s="21"/>
      <c r="V2" s="21"/>
      <c r="W2" s="21"/>
      <c r="X2" s="21"/>
      <c r="Y2" s="21"/>
      <c r="Z2" s="21"/>
      <c r="AA2" s="21"/>
      <c r="AB2" s="21"/>
      <c r="AC2" s="21"/>
      <c r="AD2" s="21"/>
      <c r="AE2" s="21">
        <v>10.0</v>
      </c>
      <c r="AF2" s="21"/>
      <c r="AG2" s="21"/>
      <c r="AH2" s="21"/>
      <c r="AI2" s="21"/>
      <c r="AJ2" s="21">
        <v>40.0</v>
      </c>
      <c r="AK2" s="21"/>
      <c r="AL2" s="21"/>
      <c r="AM2" s="21"/>
      <c r="AN2" s="21"/>
      <c r="AO2" s="21"/>
      <c r="AP2" s="21">
        <v>10.0</v>
      </c>
      <c r="AQ2" s="21"/>
      <c r="AR2" s="21"/>
      <c r="AS2" s="21"/>
      <c r="AT2" s="21"/>
      <c r="AU2" s="21"/>
      <c r="AV2" s="21"/>
      <c r="AW2" s="21"/>
      <c r="AX2" s="21"/>
    </row>
    <row r="3" ht="14.25" customHeight="1">
      <c r="A3" s="21" t="s">
        <v>838</v>
      </c>
      <c r="B3" s="21" t="s">
        <v>4579</v>
      </c>
      <c r="C3" s="21" t="s">
        <v>1119</v>
      </c>
      <c r="D3" s="21" t="str">
        <f>_xlfn.XLOOKUP(tblCraftifacts[[#This Row],[CraftifactID]],tblTargets[TargetID],tblTargets[DisplayName],"")</f>
        <v>#ERROR!</v>
      </c>
      <c r="E3" s="21" t="b">
        <v>1</v>
      </c>
      <c r="F3" s="21"/>
      <c r="G3" s="21"/>
      <c r="H3" s="21" t="s">
        <v>4580</v>
      </c>
      <c r="I3" s="21" t="s">
        <v>4581</v>
      </c>
      <c r="J3" s="21" t="s">
        <v>4582</v>
      </c>
      <c r="K3" s="21" t="s">
        <v>3919</v>
      </c>
      <c r="L3" s="21" t="str">
        <f>IF(tblCraftifacts[[#This Row],[costtext]]="", 0, LEN(tblCraftifacts[[#This Row],[costtext]]) - LEN(SUBSTITUTE(tblCraftifacts[[#This Row],[costtext]], ",", "")) + 1)</f>
        <v>#ERROR!</v>
      </c>
      <c r="M3" s="21" t="str">
        <f>COUNTA(tblCraftifacts[[#This Row],[apy]:[velour]])</f>
        <v>#ERROR!</v>
      </c>
      <c r="N3" s="21"/>
      <c r="O3" s="21">
        <v>40.0</v>
      </c>
      <c r="P3" s="21"/>
      <c r="Q3" s="21"/>
      <c r="R3" s="21"/>
      <c r="S3" s="21">
        <v>1000.0</v>
      </c>
      <c r="T3" s="21"/>
      <c r="U3" s="21"/>
      <c r="V3" s="21"/>
      <c r="W3" s="21"/>
      <c r="X3" s="21"/>
      <c r="Y3" s="21">
        <v>20.0</v>
      </c>
      <c r="Z3" s="21"/>
      <c r="AA3" s="21"/>
      <c r="AB3" s="21"/>
      <c r="AC3" s="21"/>
      <c r="AD3" s="21"/>
      <c r="AE3" s="21"/>
      <c r="AF3" s="21">
        <v>25.0</v>
      </c>
      <c r="AG3" s="21"/>
      <c r="AH3" s="21"/>
      <c r="AI3" s="21"/>
      <c r="AJ3" s="21"/>
      <c r="AK3" s="21">
        <v>20.0</v>
      </c>
      <c r="AL3" s="21"/>
      <c r="AM3" s="21"/>
      <c r="AN3" s="21"/>
      <c r="AO3" s="21"/>
      <c r="AP3" s="21"/>
      <c r="AQ3" s="21"/>
      <c r="AR3" s="21"/>
      <c r="AS3" s="21"/>
      <c r="AT3" s="21"/>
      <c r="AU3" s="21"/>
      <c r="AV3" s="21"/>
      <c r="AW3" s="21"/>
      <c r="AX3" s="21"/>
    </row>
    <row r="4" ht="14.25" customHeight="1">
      <c r="A4" s="21" t="s">
        <v>841</v>
      </c>
      <c r="B4" s="21" t="s">
        <v>4583</v>
      </c>
      <c r="C4" s="21" t="s">
        <v>1121</v>
      </c>
      <c r="D4" s="21" t="str">
        <f>_xlfn.XLOOKUP(tblCraftifacts[[#This Row],[CraftifactID]],tblTargets[TargetID],tblTargets[DisplayName],"")</f>
        <v>#ERROR!</v>
      </c>
      <c r="E4" s="21" t="b">
        <v>1</v>
      </c>
      <c r="F4" s="21"/>
      <c r="G4" s="21"/>
      <c r="H4" s="21" t="s">
        <v>4584</v>
      </c>
      <c r="I4" s="21" t="s">
        <v>4585</v>
      </c>
      <c r="J4" s="21" t="s">
        <v>4586</v>
      </c>
      <c r="K4" s="21" t="s">
        <v>3920</v>
      </c>
      <c r="L4" s="21" t="str">
        <f>IF(tblCraftifacts[[#This Row],[costtext]]="", 0, LEN(tblCraftifacts[[#This Row],[costtext]]) - LEN(SUBSTITUTE(tblCraftifacts[[#This Row],[costtext]], ",", "")) + 1)</f>
        <v>#ERROR!</v>
      </c>
      <c r="M4" s="21" t="str">
        <f>COUNTA(tblCraftifacts[[#This Row],[apy]:[velour]])</f>
        <v>#ERROR!</v>
      </c>
      <c r="N4" s="21"/>
      <c r="O4" s="21">
        <v>80.0</v>
      </c>
      <c r="P4" s="21">
        <v>10.0</v>
      </c>
      <c r="Q4" s="21"/>
      <c r="R4" s="21">
        <v>30.0</v>
      </c>
      <c r="S4" s="21"/>
      <c r="T4" s="21"/>
      <c r="U4" s="21"/>
      <c r="V4" s="21"/>
      <c r="W4" s="21"/>
      <c r="X4" s="21"/>
      <c r="Y4" s="21">
        <v>30.0</v>
      </c>
      <c r="Z4" s="21"/>
      <c r="AA4" s="21"/>
      <c r="AB4" s="21"/>
      <c r="AC4" s="21"/>
      <c r="AD4" s="21"/>
      <c r="AE4" s="21">
        <v>30.0</v>
      </c>
      <c r="AF4" s="21"/>
      <c r="AG4" s="21"/>
      <c r="AH4" s="21"/>
      <c r="AI4" s="21"/>
      <c r="AJ4" s="21"/>
      <c r="AK4" s="21"/>
      <c r="AL4" s="21"/>
      <c r="AM4" s="21"/>
      <c r="AN4" s="21">
        <v>30.0</v>
      </c>
      <c r="AO4" s="21"/>
      <c r="AP4" s="21"/>
      <c r="AQ4" s="21"/>
      <c r="AR4" s="21">
        <v>10.0</v>
      </c>
      <c r="AS4" s="21"/>
      <c r="AT4" s="21"/>
      <c r="AU4" s="21"/>
      <c r="AV4" s="21"/>
      <c r="AW4" s="21"/>
      <c r="AX4" s="21"/>
    </row>
    <row r="5" ht="14.25" customHeight="1">
      <c r="A5" s="21" t="s">
        <v>846</v>
      </c>
      <c r="B5" s="21" t="s">
        <v>4587</v>
      </c>
      <c r="C5" s="21" t="s">
        <v>1123</v>
      </c>
      <c r="D5" s="21" t="str">
        <f>_xlfn.XLOOKUP(tblCraftifacts[[#This Row],[CraftifactID]],tblTargets[TargetID],tblTargets[DisplayName],"")</f>
        <v>#ERROR!</v>
      </c>
      <c r="E5" s="21" t="b">
        <v>1</v>
      </c>
      <c r="F5" s="21"/>
      <c r="G5" s="21"/>
      <c r="H5" s="21" t="s">
        <v>4588</v>
      </c>
      <c r="I5" s="21" t="s">
        <v>4589</v>
      </c>
      <c r="J5" s="21" t="s">
        <v>4590</v>
      </c>
      <c r="K5" s="21" t="s">
        <v>3922</v>
      </c>
      <c r="L5" s="21" t="str">
        <f>IF(tblCraftifacts[[#This Row],[costtext]]="", 0, LEN(tblCraftifacts[[#This Row],[costtext]]) - LEN(SUBSTITUTE(tblCraftifacts[[#This Row],[costtext]], ",", "")) + 1)</f>
        <v>#ERROR!</v>
      </c>
      <c r="M5" s="21" t="str">
        <f>COUNTA(tblCraftifacts[[#This Row],[apy]:[velour]])</f>
        <v>#ERROR!</v>
      </c>
      <c r="N5" s="21"/>
      <c r="O5" s="21"/>
      <c r="P5" s="21"/>
      <c r="Q5" s="21"/>
      <c r="R5" s="21"/>
      <c r="S5" s="21"/>
      <c r="T5" s="21">
        <v>100.0</v>
      </c>
      <c r="U5" s="21"/>
      <c r="V5" s="21"/>
      <c r="W5" s="21"/>
      <c r="X5" s="21"/>
      <c r="Y5" s="21"/>
      <c r="Z5" s="21"/>
      <c r="AA5" s="21"/>
      <c r="AB5" s="21"/>
      <c r="AC5" s="21">
        <v>10.0</v>
      </c>
      <c r="AD5" s="21"/>
      <c r="AE5" s="21"/>
      <c r="AF5" s="21"/>
      <c r="AG5" s="21"/>
      <c r="AH5" s="21">
        <v>30.0</v>
      </c>
      <c r="AI5" s="21"/>
      <c r="AJ5" s="21">
        <v>20.0</v>
      </c>
      <c r="AK5" s="21"/>
      <c r="AL5" s="21"/>
      <c r="AM5" s="21"/>
      <c r="AN5" s="21"/>
      <c r="AO5" s="21"/>
      <c r="AP5" s="21">
        <v>5.0</v>
      </c>
      <c r="AQ5" s="21">
        <v>1.0</v>
      </c>
      <c r="AR5" s="21"/>
      <c r="AS5" s="21"/>
      <c r="AT5" s="21"/>
      <c r="AU5" s="21"/>
      <c r="AV5" s="21"/>
      <c r="AW5" s="21"/>
      <c r="AX5" s="21"/>
    </row>
    <row r="6" ht="14.25" customHeight="1">
      <c r="A6" s="21" t="s">
        <v>850</v>
      </c>
      <c r="B6" s="21" t="s">
        <v>4591</v>
      </c>
      <c r="C6" s="21" t="s">
        <v>1124</v>
      </c>
      <c r="D6" s="21" t="str">
        <f>_xlfn.XLOOKUP(tblCraftifacts[[#This Row],[CraftifactID]],tblTargets[TargetID],tblTargets[DisplayName],"")</f>
        <v>#ERROR!</v>
      </c>
      <c r="E6" s="21" t="b">
        <v>1</v>
      </c>
      <c r="F6" s="21"/>
      <c r="G6" s="21"/>
      <c r="H6" s="21" t="s">
        <v>4592</v>
      </c>
      <c r="I6" s="21" t="s">
        <v>4593</v>
      </c>
      <c r="J6" s="21" t="s">
        <v>4594</v>
      </c>
      <c r="K6" s="21" t="s">
        <v>3923</v>
      </c>
      <c r="L6" s="21" t="str">
        <f>IF(tblCraftifacts[[#This Row],[costtext]]="", 0, LEN(tblCraftifacts[[#This Row],[costtext]]) - LEN(SUBSTITUTE(tblCraftifacts[[#This Row],[costtext]], ",", "")) + 1)</f>
        <v>#ERROR!</v>
      </c>
      <c r="M6" s="21" t="str">
        <f>COUNTA(tblCraftifacts[[#This Row],[apy]:[velour]])</f>
        <v>#ERROR!</v>
      </c>
      <c r="N6" s="21"/>
      <c r="O6" s="21"/>
      <c r="P6" s="21"/>
      <c r="Q6" s="21"/>
      <c r="R6" s="21"/>
      <c r="S6" s="21"/>
      <c r="T6" s="21"/>
      <c r="U6" s="21"/>
      <c r="V6" s="21">
        <v>15.0</v>
      </c>
      <c r="W6" s="21"/>
      <c r="X6" s="21"/>
      <c r="Y6" s="21"/>
      <c r="Z6" s="21"/>
      <c r="AA6" s="21"/>
      <c r="AB6" s="21"/>
      <c r="AC6" s="21"/>
      <c r="AD6" s="21"/>
      <c r="AE6" s="21"/>
      <c r="AF6" s="21"/>
      <c r="AG6" s="21"/>
      <c r="AH6" s="21"/>
      <c r="AI6" s="21"/>
      <c r="AJ6" s="21">
        <v>30.0</v>
      </c>
      <c r="AK6" s="21"/>
      <c r="AL6" s="21"/>
      <c r="AM6" s="21"/>
      <c r="AN6" s="21"/>
      <c r="AO6" s="21"/>
      <c r="AP6" s="21"/>
      <c r="AQ6" s="21"/>
      <c r="AR6" s="21"/>
      <c r="AS6" s="21"/>
      <c r="AT6" s="21"/>
      <c r="AU6" s="21"/>
      <c r="AV6" s="21"/>
      <c r="AW6" s="21"/>
      <c r="AX6" s="21"/>
    </row>
    <row r="7" ht="14.25" customHeight="1">
      <c r="A7" s="21" t="s">
        <v>853</v>
      </c>
      <c r="B7" s="21" t="s">
        <v>4595</v>
      </c>
      <c r="C7" s="21" t="s">
        <v>1126</v>
      </c>
      <c r="D7" s="21" t="str">
        <f>_xlfn.XLOOKUP(tblCraftifacts[[#This Row],[CraftifactID]],tblTargets[TargetID],tblTargets[DisplayName],"")</f>
        <v>#ERROR!</v>
      </c>
      <c r="E7" s="21" t="b">
        <v>1</v>
      </c>
      <c r="F7" s="21"/>
      <c r="G7" s="21"/>
      <c r="H7" s="21" t="s">
        <v>4596</v>
      </c>
      <c r="I7" s="21" t="s">
        <v>4597</v>
      </c>
      <c r="J7" s="21" t="s">
        <v>4598</v>
      </c>
      <c r="K7" s="21" t="s">
        <v>3924</v>
      </c>
      <c r="L7" s="21" t="str">
        <f>IF(tblCraftifacts[[#This Row],[costtext]]="", 0, LEN(tblCraftifacts[[#This Row],[costtext]]) - LEN(SUBSTITUTE(tblCraftifacts[[#This Row],[costtext]], ",", "")) + 1)</f>
        <v>#ERROR!</v>
      </c>
      <c r="M7" s="21" t="str">
        <f>COUNTA(tblCraftifacts[[#This Row],[apy]:[velour]])</f>
        <v>#ERROR!</v>
      </c>
      <c r="N7" s="21">
        <v>10.0</v>
      </c>
      <c r="O7" s="21">
        <v>30.0</v>
      </c>
      <c r="P7" s="21">
        <v>10.0</v>
      </c>
      <c r="Q7" s="21"/>
      <c r="R7" s="21">
        <v>40.0</v>
      </c>
      <c r="S7" s="21"/>
      <c r="T7" s="21"/>
      <c r="U7" s="21"/>
      <c r="V7" s="21"/>
      <c r="W7" s="21"/>
      <c r="X7" s="21"/>
      <c r="Y7" s="21">
        <v>10.0</v>
      </c>
      <c r="Z7" s="21"/>
      <c r="AA7" s="21"/>
      <c r="AB7" s="21"/>
      <c r="AC7" s="21"/>
      <c r="AD7" s="21"/>
      <c r="AE7" s="21">
        <v>5.0</v>
      </c>
      <c r="AF7" s="21"/>
      <c r="AG7" s="21"/>
      <c r="AH7" s="21"/>
      <c r="AI7" s="21">
        <v>20.0</v>
      </c>
      <c r="AJ7" s="21"/>
      <c r="AK7" s="21"/>
      <c r="AL7" s="21"/>
      <c r="AM7" s="21"/>
      <c r="AN7" s="21"/>
      <c r="AO7" s="21"/>
      <c r="AP7" s="21"/>
      <c r="AQ7" s="21"/>
      <c r="AR7" s="21"/>
      <c r="AS7" s="21"/>
      <c r="AT7" s="21"/>
      <c r="AU7" s="21"/>
      <c r="AV7" s="21">
        <v>20.0</v>
      </c>
      <c r="AW7" s="21"/>
      <c r="AX7" s="21"/>
    </row>
    <row r="8" ht="14.25" customHeight="1">
      <c r="A8" s="21" t="s">
        <v>858</v>
      </c>
      <c r="B8" s="21" t="s">
        <v>4599</v>
      </c>
      <c r="C8" s="21" t="s">
        <v>1128</v>
      </c>
      <c r="D8" s="21" t="str">
        <f>_xlfn.XLOOKUP(tblCraftifacts[[#This Row],[CraftifactID]],tblTargets[TargetID],tblTargets[DisplayName],"")</f>
        <v>#ERROR!</v>
      </c>
      <c r="E8" s="21" t="b">
        <v>1</v>
      </c>
      <c r="F8" s="21"/>
      <c r="G8" s="21"/>
      <c r="H8" s="21" t="s">
        <v>4600</v>
      </c>
      <c r="I8" s="21" t="s">
        <v>4601</v>
      </c>
      <c r="J8" s="21" t="s">
        <v>4602</v>
      </c>
      <c r="K8" s="21" t="s">
        <v>3926</v>
      </c>
      <c r="L8" s="21" t="str">
        <f>IF(tblCraftifacts[[#This Row],[costtext]]="", 0, LEN(tblCraftifacts[[#This Row],[costtext]]) - LEN(SUBSTITUTE(tblCraftifacts[[#This Row],[costtext]], ",", "")) + 1)</f>
        <v>#ERROR!</v>
      </c>
      <c r="M8" s="21" t="str">
        <f>COUNTA(tblCraftifacts[[#This Row],[apy]:[velour]])</f>
        <v>#ERROR!</v>
      </c>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v>100.0</v>
      </c>
      <c r="AS8" s="21"/>
      <c r="AT8" s="21"/>
      <c r="AU8" s="21"/>
      <c r="AV8" s="21"/>
      <c r="AW8" s="21"/>
      <c r="AX8" s="21"/>
    </row>
    <row r="9" ht="14.25" customHeight="1">
      <c r="A9" s="21" t="s">
        <v>861</v>
      </c>
      <c r="B9" s="21" t="s">
        <v>4603</v>
      </c>
      <c r="C9" s="21" t="s">
        <v>1129</v>
      </c>
      <c r="D9" s="21" t="str">
        <f>_xlfn.XLOOKUP(tblCraftifacts[[#This Row],[CraftifactID]],tblTargets[TargetID],tblTargets[DisplayName],"")</f>
        <v>#ERROR!</v>
      </c>
      <c r="E9" s="21" t="b">
        <v>1</v>
      </c>
      <c r="F9" s="21"/>
      <c r="G9" s="21"/>
      <c r="H9" s="21" t="s">
        <v>4604</v>
      </c>
      <c r="I9" s="21" t="s">
        <v>4605</v>
      </c>
      <c r="J9" s="21" t="s">
        <v>4606</v>
      </c>
      <c r="K9" s="21" t="s">
        <v>3927</v>
      </c>
      <c r="L9" s="21" t="str">
        <f>IF(tblCraftifacts[[#This Row],[costtext]]="", 0, LEN(tblCraftifacts[[#This Row],[costtext]]) - LEN(SUBSTITUTE(tblCraftifacts[[#This Row],[costtext]], ",", "")) + 1)</f>
        <v>#ERROR!</v>
      </c>
      <c r="M9" s="21" t="str">
        <f>COUNTA(tblCraftifacts[[#This Row],[apy]:[velour]])</f>
        <v>#ERROR!</v>
      </c>
      <c r="N9" s="21"/>
      <c r="O9" s="21"/>
      <c r="P9" s="21"/>
      <c r="Q9" s="21"/>
      <c r="R9" s="21"/>
      <c r="S9" s="21"/>
      <c r="T9" s="21"/>
      <c r="U9" s="21"/>
      <c r="V9" s="21"/>
      <c r="W9" s="21"/>
      <c r="X9" s="21"/>
      <c r="Y9" s="21"/>
      <c r="Z9" s="21"/>
      <c r="AA9" s="21"/>
      <c r="AB9" s="21"/>
      <c r="AC9" s="21"/>
      <c r="AD9" s="21"/>
      <c r="AE9" s="21"/>
      <c r="AF9" s="21"/>
      <c r="AG9" s="21"/>
      <c r="AH9" s="21"/>
      <c r="AI9" s="21"/>
      <c r="AJ9" s="21"/>
      <c r="AK9" s="21">
        <v>100.0</v>
      </c>
      <c r="AL9" s="21"/>
      <c r="AM9" s="21"/>
      <c r="AN9" s="21"/>
      <c r="AO9" s="21"/>
      <c r="AP9" s="21"/>
      <c r="AQ9" s="21"/>
      <c r="AR9" s="21"/>
      <c r="AS9" s="21"/>
      <c r="AT9" s="21"/>
      <c r="AU9" s="21"/>
      <c r="AV9" s="21"/>
      <c r="AW9" s="21"/>
      <c r="AX9" s="21"/>
    </row>
    <row r="10" ht="14.25" customHeight="1">
      <c r="A10" s="21" t="s">
        <v>864</v>
      </c>
      <c r="B10" s="21" t="s">
        <v>4607</v>
      </c>
      <c r="C10" s="21" t="s">
        <v>1131</v>
      </c>
      <c r="D10" s="21" t="str">
        <f>_xlfn.XLOOKUP(tblCraftifacts[[#This Row],[CraftifactID]],tblTargets[TargetID],tblTargets[DisplayName],"")</f>
        <v>#ERROR!</v>
      </c>
      <c r="E10" s="21" t="b">
        <v>1</v>
      </c>
      <c r="F10" s="21"/>
      <c r="G10" s="21"/>
      <c r="H10" s="21" t="s">
        <v>4608</v>
      </c>
      <c r="I10" s="21" t="s">
        <v>4609</v>
      </c>
      <c r="J10" s="21" t="s">
        <v>4610</v>
      </c>
      <c r="K10" s="21" t="s">
        <v>3928</v>
      </c>
      <c r="L10" s="21" t="str">
        <f>IF(tblCraftifacts[[#This Row],[costtext]]="", 0, LEN(tblCraftifacts[[#This Row],[costtext]]) - LEN(SUBSTITUTE(tblCraftifacts[[#This Row],[costtext]], ",", "")) + 1)</f>
        <v>#ERROR!</v>
      </c>
      <c r="M10" s="21" t="str">
        <f>COUNTA(tblCraftifacts[[#This Row],[apy]:[velour]])</f>
        <v>#ERROR!</v>
      </c>
      <c r="N10" s="21"/>
      <c r="O10" s="21"/>
      <c r="P10" s="21"/>
      <c r="Q10" s="21"/>
      <c r="R10" s="21"/>
      <c r="S10" s="21"/>
      <c r="T10" s="21"/>
      <c r="U10" s="21">
        <v>50.0</v>
      </c>
      <c r="V10" s="21"/>
      <c r="W10" s="21">
        <v>25.0</v>
      </c>
      <c r="X10" s="21"/>
      <c r="Y10" s="21">
        <v>25.0</v>
      </c>
      <c r="Z10" s="21"/>
      <c r="AA10" s="21"/>
      <c r="AB10" s="21">
        <v>50.0</v>
      </c>
      <c r="AC10" s="21"/>
      <c r="AD10" s="21"/>
      <c r="AE10" s="21"/>
      <c r="AF10" s="21"/>
      <c r="AG10" s="21"/>
      <c r="AH10" s="21"/>
      <c r="AI10" s="21">
        <v>50.0</v>
      </c>
      <c r="AJ10" s="21"/>
      <c r="AK10" s="21"/>
      <c r="AL10" s="21"/>
      <c r="AM10" s="21"/>
      <c r="AN10" s="21"/>
      <c r="AO10" s="21">
        <v>25.0</v>
      </c>
      <c r="AP10" s="21"/>
      <c r="AQ10" s="21"/>
      <c r="AR10" s="21"/>
      <c r="AS10" s="21"/>
      <c r="AT10" s="21"/>
      <c r="AU10" s="21"/>
      <c r="AV10" s="21"/>
      <c r="AW10" s="21">
        <v>25.0</v>
      </c>
      <c r="AX10" s="21"/>
    </row>
    <row r="11" ht="14.25" customHeight="1">
      <c r="A11" s="21" t="s">
        <v>867</v>
      </c>
      <c r="B11" s="21" t="s">
        <v>4611</v>
      </c>
      <c r="C11" s="21" t="s">
        <v>1132</v>
      </c>
      <c r="D11" s="21" t="str">
        <f>_xlfn.XLOOKUP(tblCraftifacts[[#This Row],[CraftifactID]],tblTargets[TargetID],tblTargets[DisplayName],"")</f>
        <v>#ERROR!</v>
      </c>
      <c r="E11" s="21" t="b">
        <v>1</v>
      </c>
      <c r="F11" s="21"/>
      <c r="G11" s="21"/>
      <c r="H11" s="21" t="s">
        <v>4612</v>
      </c>
      <c r="I11" s="21" t="s">
        <v>4613</v>
      </c>
      <c r="J11" s="21" t="s">
        <v>4614</v>
      </c>
      <c r="K11" s="21" t="s">
        <v>3930</v>
      </c>
      <c r="L11" s="21" t="str">
        <f>IF(tblCraftifacts[[#This Row],[costtext]]="", 0, LEN(tblCraftifacts[[#This Row],[costtext]]) - LEN(SUBSTITUTE(tblCraftifacts[[#This Row],[costtext]], ",", "")) + 1)</f>
        <v>#ERROR!</v>
      </c>
      <c r="M11" s="21" t="str">
        <f>COUNTA(tblCraftifacts[[#This Row],[apy]:[velour]])</f>
        <v>#ERROR!</v>
      </c>
      <c r="N11" s="21"/>
      <c r="O11" s="21"/>
      <c r="P11" s="21"/>
      <c r="Q11" s="21"/>
      <c r="R11" s="21"/>
      <c r="S11" s="21"/>
      <c r="T11" s="21"/>
      <c r="U11" s="21"/>
      <c r="V11" s="21"/>
      <c r="W11" s="21"/>
      <c r="X11" s="21">
        <v>20.0</v>
      </c>
      <c r="Y11" s="21"/>
      <c r="Z11" s="21">
        <v>20.0</v>
      </c>
      <c r="AA11" s="21">
        <v>10.0</v>
      </c>
      <c r="AB11" s="21"/>
      <c r="AC11" s="21"/>
      <c r="AD11" s="21"/>
      <c r="AE11" s="21"/>
      <c r="AF11" s="21">
        <v>10.0</v>
      </c>
      <c r="AG11" s="21"/>
      <c r="AH11" s="21"/>
      <c r="AI11" s="21"/>
      <c r="AJ11" s="21"/>
      <c r="AK11" s="21"/>
      <c r="AL11" s="21"/>
      <c r="AM11" s="21"/>
      <c r="AN11" s="21"/>
      <c r="AO11" s="21"/>
      <c r="AP11" s="21"/>
      <c r="AQ11" s="21"/>
      <c r="AR11" s="21">
        <v>10.0</v>
      </c>
      <c r="AS11" s="21"/>
      <c r="AT11" s="21">
        <v>2.0</v>
      </c>
      <c r="AU11" s="21"/>
      <c r="AV11" s="21"/>
      <c r="AW11" s="21"/>
      <c r="AX11" s="21">
        <v>12.0</v>
      </c>
    </row>
    <row r="12" ht="14.25" customHeight="1">
      <c r="A12" s="21" t="s">
        <v>872</v>
      </c>
      <c r="B12" s="21" t="s">
        <v>4615</v>
      </c>
      <c r="C12" s="21" t="s">
        <v>1135</v>
      </c>
      <c r="D12" s="21" t="str">
        <f>_xlfn.XLOOKUP(tblCraftifacts[[#This Row],[CraftifactID]],tblTargets[TargetID],tblTargets[DisplayName],"")</f>
        <v>#ERROR!</v>
      </c>
      <c r="E12" s="21" t="b">
        <v>1</v>
      </c>
      <c r="F12" s="21"/>
      <c r="G12" s="21"/>
      <c r="H12" s="21" t="s">
        <v>4616</v>
      </c>
      <c r="I12" s="21" t="s">
        <v>4617</v>
      </c>
      <c r="J12" s="21" t="s">
        <v>4618</v>
      </c>
      <c r="K12" s="21" t="s">
        <v>3931</v>
      </c>
      <c r="L12" s="21" t="str">
        <f>IF(tblCraftifacts[[#This Row],[costtext]]="", 0, LEN(tblCraftifacts[[#This Row],[costtext]]) - LEN(SUBSTITUTE(tblCraftifacts[[#This Row],[costtext]], ",", "")) + 1)</f>
        <v>#ERROR!</v>
      </c>
      <c r="M12" s="21" t="str">
        <f>COUNTA(tblCraftifacts[[#This Row],[apy]:[velour]])</f>
        <v>#ERROR!</v>
      </c>
      <c r="N12" s="21"/>
      <c r="O12" s="21"/>
      <c r="P12" s="21"/>
      <c r="Q12" s="21"/>
      <c r="R12" s="21"/>
      <c r="S12" s="21"/>
      <c r="T12" s="21">
        <v>100.0</v>
      </c>
      <c r="U12" s="21"/>
      <c r="V12" s="21"/>
      <c r="W12" s="21"/>
      <c r="X12" s="21"/>
      <c r="Y12" s="21"/>
      <c r="Z12" s="21"/>
      <c r="AA12" s="21"/>
      <c r="AB12" s="21"/>
      <c r="AC12" s="21"/>
      <c r="AD12" s="21"/>
      <c r="AE12" s="21"/>
      <c r="AF12" s="21"/>
      <c r="AG12" s="21"/>
      <c r="AH12" s="21">
        <v>40.0</v>
      </c>
      <c r="AI12" s="21"/>
      <c r="AJ12" s="21">
        <v>20.0</v>
      </c>
      <c r="AK12" s="21"/>
      <c r="AL12" s="21"/>
      <c r="AM12" s="21"/>
      <c r="AN12" s="21"/>
      <c r="AO12" s="21"/>
      <c r="AP12" s="21"/>
      <c r="AQ12" s="21">
        <v>1.0</v>
      </c>
      <c r="AR12" s="21"/>
      <c r="AS12" s="21"/>
      <c r="AT12" s="21"/>
      <c r="AU12" s="21"/>
      <c r="AV12" s="21"/>
      <c r="AW12" s="21"/>
      <c r="AX12" s="21"/>
    </row>
    <row r="13" ht="14.25" customHeight="1">
      <c r="A13" s="21" t="s">
        <v>876</v>
      </c>
      <c r="B13" s="21" t="s">
        <v>4619</v>
      </c>
      <c r="C13" s="21" t="s">
        <v>1136</v>
      </c>
      <c r="D13" s="21" t="str">
        <f>_xlfn.XLOOKUP(tblCraftifacts[[#This Row],[CraftifactID]],tblTargets[TargetID],tblTargets[DisplayName],"")</f>
        <v>#ERROR!</v>
      </c>
      <c r="E13" s="21" t="b">
        <v>1</v>
      </c>
      <c r="F13" s="21"/>
      <c r="G13" s="21"/>
      <c r="H13" s="21" t="s">
        <v>4620</v>
      </c>
      <c r="I13" s="21" t="s">
        <v>4593</v>
      </c>
      <c r="J13" s="21" t="s">
        <v>4594</v>
      </c>
      <c r="K13" s="21" t="s">
        <v>3932</v>
      </c>
      <c r="L13" s="21" t="str">
        <f>IF(tblCraftifacts[[#This Row],[costtext]]="", 0, LEN(tblCraftifacts[[#This Row],[costtext]]) - LEN(SUBSTITUTE(tblCraftifacts[[#This Row],[costtext]], ",", "")) + 1)</f>
        <v>#ERROR!</v>
      </c>
      <c r="M13" s="21" t="str">
        <f>COUNTA(tblCraftifacts[[#This Row],[apy]:[velour]])</f>
        <v>#ERROR!</v>
      </c>
      <c r="N13" s="21"/>
      <c r="O13" s="21">
        <v>15.0</v>
      </c>
      <c r="P13" s="21"/>
      <c r="Q13" s="21"/>
      <c r="R13" s="21"/>
      <c r="S13" s="21"/>
      <c r="T13" s="21"/>
      <c r="U13" s="21"/>
      <c r="V13" s="21"/>
      <c r="W13" s="21"/>
      <c r="X13" s="21"/>
      <c r="Y13" s="21"/>
      <c r="Z13" s="21">
        <v>9.0</v>
      </c>
      <c r="AA13" s="21"/>
      <c r="AB13" s="21"/>
      <c r="AC13" s="21"/>
      <c r="AD13" s="21"/>
      <c r="AE13" s="21"/>
      <c r="AF13" s="21"/>
      <c r="AG13" s="21"/>
      <c r="AH13" s="21"/>
      <c r="AI13" s="21"/>
      <c r="AJ13" s="21">
        <v>40.0</v>
      </c>
      <c r="AK13" s="21"/>
      <c r="AL13" s="21"/>
      <c r="AM13" s="21"/>
      <c r="AN13" s="21"/>
      <c r="AO13" s="21"/>
      <c r="AP13" s="21"/>
      <c r="AQ13" s="21">
        <v>12.0</v>
      </c>
      <c r="AR13" s="21"/>
      <c r="AS13" s="21"/>
      <c r="AT13" s="21"/>
      <c r="AU13" s="21"/>
      <c r="AV13" s="21"/>
      <c r="AW13" s="21"/>
      <c r="AX13" s="21"/>
    </row>
    <row r="14" ht="14.25" customHeight="1">
      <c r="A14" s="21" t="s">
        <v>881</v>
      </c>
      <c r="B14" s="21" t="s">
        <v>4621</v>
      </c>
      <c r="C14" s="21" t="s">
        <v>1137</v>
      </c>
      <c r="D14" s="21" t="str">
        <f>_xlfn.XLOOKUP(tblCraftifacts[[#This Row],[CraftifactID]],tblTargets[TargetID],tblTargets[DisplayName],"")</f>
        <v>#ERROR!</v>
      </c>
      <c r="E14" s="21" t="b">
        <v>1</v>
      </c>
      <c r="F14" s="21"/>
      <c r="G14" s="21"/>
      <c r="H14" s="21" t="s">
        <v>4622</v>
      </c>
      <c r="I14" s="21" t="s">
        <v>220</v>
      </c>
      <c r="J14" s="21" t="s">
        <v>4623</v>
      </c>
      <c r="K14" s="21" t="s">
        <v>3933</v>
      </c>
      <c r="L14" s="21" t="str">
        <f>IF(tblCraftifacts[[#This Row],[costtext]]="", 0, LEN(tblCraftifacts[[#This Row],[costtext]]) - LEN(SUBSTITUTE(tblCraftifacts[[#This Row],[costtext]], ",", "")) + 1)</f>
        <v>#ERROR!</v>
      </c>
      <c r="M14" s="21" t="str">
        <f>COUNTA(tblCraftifacts[[#This Row],[apy]:[velour]])</f>
        <v>#ERROR!</v>
      </c>
      <c r="N14" s="21"/>
      <c r="O14" s="21"/>
      <c r="P14" s="21"/>
      <c r="Q14" s="21">
        <v>200.0</v>
      </c>
      <c r="R14" s="21"/>
      <c r="S14" s="21">
        <v>200.0</v>
      </c>
      <c r="T14" s="21"/>
      <c r="U14" s="21"/>
      <c r="V14" s="21"/>
      <c r="W14" s="21"/>
      <c r="X14" s="21"/>
      <c r="Y14" s="21"/>
      <c r="Z14" s="21"/>
      <c r="AA14" s="21"/>
      <c r="AB14" s="21"/>
      <c r="AC14" s="21">
        <v>200.0</v>
      </c>
      <c r="AD14" s="21"/>
      <c r="AE14" s="21"/>
      <c r="AF14" s="21"/>
      <c r="AG14" s="21"/>
      <c r="AH14" s="21"/>
      <c r="AI14" s="21"/>
      <c r="AJ14" s="21"/>
      <c r="AK14" s="21"/>
      <c r="AL14" s="21"/>
      <c r="AM14" s="21"/>
      <c r="AN14" s="21"/>
      <c r="AO14" s="21"/>
      <c r="AP14" s="21"/>
      <c r="AQ14" s="21"/>
      <c r="AR14" s="21"/>
      <c r="AS14" s="21"/>
      <c r="AT14" s="21"/>
      <c r="AU14" s="21"/>
      <c r="AV14" s="21"/>
      <c r="AW14" s="21"/>
      <c r="AX14" s="21"/>
    </row>
    <row r="15" ht="14.25" customHeight="1">
      <c r="A15" s="21" t="s">
        <v>885</v>
      </c>
      <c r="B15" s="21" t="s">
        <v>4624</v>
      </c>
      <c r="C15" s="21" t="s">
        <v>1138</v>
      </c>
      <c r="D15" s="21" t="str">
        <f>_xlfn.XLOOKUP(tblCraftifacts[[#This Row],[CraftifactID]],tblTargets[TargetID],tblTargets[DisplayName],"")</f>
        <v>#ERROR!</v>
      </c>
      <c r="E15" s="21" t="b">
        <v>1</v>
      </c>
      <c r="F15" s="21"/>
      <c r="G15" s="21"/>
      <c r="H15" s="21" t="s">
        <v>4625</v>
      </c>
      <c r="I15" s="21" t="s">
        <v>4626</v>
      </c>
      <c r="J15" s="21" t="s">
        <v>4627</v>
      </c>
      <c r="K15" s="21" t="s">
        <v>3935</v>
      </c>
      <c r="L15" s="21" t="str">
        <f>IF(tblCraftifacts[[#This Row],[costtext]]="", 0, LEN(tblCraftifacts[[#This Row],[costtext]]) - LEN(SUBSTITUTE(tblCraftifacts[[#This Row],[costtext]], ",", "")) + 1)</f>
        <v>#ERROR!</v>
      </c>
      <c r="M15" s="21" t="str">
        <f>COUNTA(tblCraftifacts[[#This Row],[apy]:[velour]])</f>
        <v>#ERROR!</v>
      </c>
      <c r="N15" s="21">
        <v>20.0</v>
      </c>
      <c r="O15" s="21">
        <v>30.0</v>
      </c>
      <c r="P15" s="21">
        <v>10.0</v>
      </c>
      <c r="Q15" s="21"/>
      <c r="R15" s="21">
        <v>20.0</v>
      </c>
      <c r="S15" s="21"/>
      <c r="T15" s="21"/>
      <c r="U15" s="21"/>
      <c r="V15" s="21"/>
      <c r="W15" s="21"/>
      <c r="X15" s="21"/>
      <c r="Y15" s="21"/>
      <c r="Z15" s="21"/>
      <c r="AA15" s="21"/>
      <c r="AB15" s="21"/>
      <c r="AC15" s="21"/>
      <c r="AD15" s="21"/>
      <c r="AE15" s="21"/>
      <c r="AF15" s="21">
        <v>5.0</v>
      </c>
      <c r="AG15" s="21">
        <v>30.0</v>
      </c>
      <c r="AH15" s="21"/>
      <c r="AI15" s="21"/>
      <c r="AJ15" s="21"/>
      <c r="AK15" s="21"/>
      <c r="AL15" s="21"/>
      <c r="AM15" s="21"/>
      <c r="AN15" s="21">
        <v>10.0</v>
      </c>
      <c r="AO15" s="21"/>
      <c r="AP15" s="21"/>
      <c r="AQ15" s="21"/>
      <c r="AR15" s="21"/>
      <c r="AS15" s="21"/>
      <c r="AT15" s="21"/>
      <c r="AU15" s="21"/>
      <c r="AV15" s="21">
        <v>10.0</v>
      </c>
      <c r="AW15" s="21"/>
      <c r="AX15" s="21"/>
    </row>
    <row r="16" ht="14.25" customHeight="1">
      <c r="A16" s="21" t="s">
        <v>891</v>
      </c>
      <c r="B16" s="21" t="s">
        <v>4628</v>
      </c>
      <c r="C16" s="21" t="s">
        <v>1141</v>
      </c>
      <c r="D16" s="21" t="str">
        <f>_xlfn.XLOOKUP(tblCraftifacts[[#This Row],[CraftifactID]],tblTargets[TargetID],tblTargets[DisplayName],"")</f>
        <v>#ERROR!</v>
      </c>
      <c r="E16" s="21" t="b">
        <v>1</v>
      </c>
      <c r="F16" s="21"/>
      <c r="G16" s="21"/>
      <c r="H16" s="21" t="s">
        <v>4629</v>
      </c>
      <c r="I16" s="21" t="s">
        <v>4630</v>
      </c>
      <c r="J16" s="21" t="s">
        <v>4631</v>
      </c>
      <c r="K16" s="21" t="s">
        <v>3936</v>
      </c>
      <c r="L16" s="21" t="str">
        <f>IF(tblCraftifacts[[#This Row],[costtext]]="", 0, LEN(tblCraftifacts[[#This Row],[costtext]]) - LEN(SUBSTITUTE(tblCraftifacts[[#This Row],[costtext]], ",", "")) + 1)</f>
        <v>#ERROR!</v>
      </c>
      <c r="M16" s="21" t="str">
        <f>COUNTA(tblCraftifacts[[#This Row],[apy]:[velour]])</f>
        <v>#ERROR!</v>
      </c>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v>50.0</v>
      </c>
      <c r="AN16" s="21"/>
      <c r="AO16" s="21"/>
      <c r="AP16" s="21"/>
      <c r="AQ16" s="21"/>
      <c r="AR16" s="21"/>
      <c r="AS16" s="21"/>
      <c r="AT16" s="21"/>
      <c r="AU16" s="21">
        <v>1.0</v>
      </c>
      <c r="AV16" s="21"/>
      <c r="AW16" s="21"/>
      <c r="AX16" s="21"/>
    </row>
    <row r="17" ht="14.25" customHeight="1">
      <c r="A17" s="21" t="s">
        <v>895</v>
      </c>
      <c r="B17" s="21" t="s">
        <v>4632</v>
      </c>
      <c r="C17" s="21" t="s">
        <v>1142</v>
      </c>
      <c r="D17" s="21" t="str">
        <f>_xlfn.XLOOKUP(tblCraftifacts[[#This Row],[CraftifactID]],tblTargets[TargetID],tblTargets[DisplayName],"")</f>
        <v>#ERROR!</v>
      </c>
      <c r="E17" s="21" t="b">
        <v>1</v>
      </c>
      <c r="F17" s="21"/>
      <c r="G17" s="21"/>
      <c r="H17" s="21" t="s">
        <v>4633</v>
      </c>
      <c r="I17" s="21" t="s">
        <v>4585</v>
      </c>
      <c r="J17" s="21" t="s">
        <v>4586</v>
      </c>
      <c r="K17" s="21" t="s">
        <v>3937</v>
      </c>
      <c r="L17" s="21" t="str">
        <f>IF(tblCraftifacts[[#This Row],[costtext]]="", 0, LEN(tblCraftifacts[[#This Row],[costtext]]) - LEN(SUBSTITUTE(tblCraftifacts[[#This Row],[costtext]], ",", "")) + 1)</f>
        <v>#ERROR!</v>
      </c>
      <c r="M17" s="21" t="str">
        <f>COUNTA(tblCraftifacts[[#This Row],[apy]:[velour]])</f>
        <v>#ERROR!</v>
      </c>
      <c r="N17" s="21"/>
      <c r="O17" s="21">
        <v>30.0</v>
      </c>
      <c r="P17" s="21"/>
      <c r="Q17" s="21"/>
      <c r="R17" s="21"/>
      <c r="S17" s="21">
        <v>500.0</v>
      </c>
      <c r="T17" s="21"/>
      <c r="U17" s="21"/>
      <c r="V17" s="21"/>
      <c r="W17" s="21"/>
      <c r="X17" s="21"/>
      <c r="Y17" s="21"/>
      <c r="Z17" s="21"/>
      <c r="AA17" s="21"/>
      <c r="AB17" s="21"/>
      <c r="AC17" s="21"/>
      <c r="AD17" s="21"/>
      <c r="AE17" s="21">
        <v>10.0</v>
      </c>
      <c r="AF17" s="21"/>
      <c r="AG17" s="21"/>
      <c r="AH17" s="21">
        <v>50.0</v>
      </c>
      <c r="AI17" s="21"/>
      <c r="AJ17" s="21"/>
      <c r="AK17" s="21"/>
      <c r="AL17" s="21"/>
      <c r="AM17" s="21"/>
      <c r="AN17" s="21"/>
      <c r="AO17" s="21"/>
      <c r="AP17" s="21"/>
      <c r="AQ17" s="21"/>
      <c r="AR17" s="21"/>
      <c r="AS17" s="21">
        <v>500.0</v>
      </c>
      <c r="AT17" s="21"/>
      <c r="AU17" s="21"/>
      <c r="AV17" s="21"/>
      <c r="AW17" s="21"/>
      <c r="AX17" s="21"/>
    </row>
    <row r="18" ht="14.25" customHeight="1">
      <c r="A18" s="21" t="s">
        <v>898</v>
      </c>
      <c r="B18" s="21" t="s">
        <v>4634</v>
      </c>
      <c r="C18" s="21" t="s">
        <v>1143</v>
      </c>
      <c r="D18" s="21" t="str">
        <f>_xlfn.XLOOKUP(tblCraftifacts[[#This Row],[CraftifactID]],tblTargets[TargetID],tblTargets[DisplayName],"")</f>
        <v>#ERROR!</v>
      </c>
      <c r="E18" s="21" t="b">
        <v>1</v>
      </c>
      <c r="F18" s="21"/>
      <c r="G18" s="21"/>
      <c r="H18" s="21" t="s">
        <v>4635</v>
      </c>
      <c r="I18" s="21" t="s">
        <v>4636</v>
      </c>
      <c r="J18" s="21" t="s">
        <v>4637</v>
      </c>
      <c r="K18" s="21" t="s">
        <v>3939</v>
      </c>
      <c r="L18" s="21" t="str">
        <f>IF(tblCraftifacts[[#This Row],[costtext]]="", 0, LEN(tblCraftifacts[[#This Row],[costtext]]) - LEN(SUBSTITUTE(tblCraftifacts[[#This Row],[costtext]], ",", "")) + 1)</f>
        <v>#ERROR!</v>
      </c>
      <c r="M18" s="21" t="str">
        <f>COUNTA(tblCraftifacts[[#This Row],[apy]:[velour]])</f>
        <v>#ERROR!</v>
      </c>
      <c r="N18" s="21"/>
      <c r="O18" s="21">
        <v>32.0</v>
      </c>
      <c r="P18" s="21"/>
      <c r="Q18" s="21"/>
      <c r="R18" s="21"/>
      <c r="S18" s="21"/>
      <c r="T18" s="21"/>
      <c r="U18" s="21"/>
      <c r="V18" s="21"/>
      <c r="W18" s="21"/>
      <c r="X18" s="21"/>
      <c r="Y18" s="21"/>
      <c r="Z18" s="21"/>
      <c r="AA18" s="21"/>
      <c r="AB18" s="21"/>
      <c r="AC18" s="21">
        <v>16.0</v>
      </c>
      <c r="AD18" s="21">
        <v>8.0</v>
      </c>
      <c r="AE18" s="21">
        <v>16.0</v>
      </c>
      <c r="AF18" s="21"/>
      <c r="AG18" s="21"/>
      <c r="AH18" s="21"/>
      <c r="AI18" s="21"/>
      <c r="AJ18" s="21"/>
      <c r="AK18" s="21"/>
      <c r="AL18" s="21">
        <v>4.0</v>
      </c>
      <c r="AM18" s="21"/>
      <c r="AN18" s="21"/>
      <c r="AO18" s="21"/>
      <c r="AP18" s="21"/>
      <c r="AQ18" s="21"/>
      <c r="AR18" s="21"/>
      <c r="AS18" s="21"/>
      <c r="AT18" s="21"/>
      <c r="AU18" s="21"/>
      <c r="AV18" s="21">
        <v>40.0</v>
      </c>
      <c r="AW18" s="21"/>
      <c r="AX18" s="21"/>
    </row>
    <row r="19" ht="14.25" customHeight="1">
      <c r="A19" s="21" t="s">
        <v>905</v>
      </c>
      <c r="B19" s="21" t="s">
        <v>4638</v>
      </c>
      <c r="C19" s="21" t="s">
        <v>1145</v>
      </c>
      <c r="D19" s="21" t="str">
        <f>_xlfn.XLOOKUP(tblCraftifacts[[#This Row],[CraftifactID]],tblTargets[TargetID],tblTargets[DisplayName],"")</f>
        <v>#ERROR!</v>
      </c>
      <c r="E19" s="21" t="b">
        <v>1</v>
      </c>
      <c r="F19" s="21"/>
      <c r="G19" s="21"/>
      <c r="H19" s="21" t="s">
        <v>4639</v>
      </c>
      <c r="I19" s="21" t="s">
        <v>4585</v>
      </c>
      <c r="J19" s="21" t="s">
        <v>4586</v>
      </c>
      <c r="K19" s="21" t="s">
        <v>3940</v>
      </c>
      <c r="L19" s="21" t="str">
        <f>IF(tblCraftifacts[[#This Row],[costtext]]="", 0, LEN(tblCraftifacts[[#This Row],[costtext]]) - LEN(SUBSTITUTE(tblCraftifacts[[#This Row],[costtext]], ",", "")) + 1)</f>
        <v>#ERROR!</v>
      </c>
      <c r="M19" s="21" t="str">
        <f>COUNTA(tblCraftifacts[[#This Row],[apy]:[velour]])</f>
        <v>#ERROR!</v>
      </c>
      <c r="N19" s="21"/>
      <c r="O19" s="21">
        <v>40.0</v>
      </c>
      <c r="P19" s="21"/>
      <c r="Q19" s="21"/>
      <c r="R19" s="21"/>
      <c r="S19" s="21"/>
      <c r="T19" s="21"/>
      <c r="U19" s="21"/>
      <c r="V19" s="21"/>
      <c r="W19" s="21"/>
      <c r="X19" s="21"/>
      <c r="Y19" s="21">
        <v>60.0</v>
      </c>
      <c r="Z19" s="21"/>
      <c r="AA19" s="21"/>
      <c r="AB19" s="21"/>
      <c r="AC19" s="21"/>
      <c r="AD19" s="21"/>
      <c r="AE19" s="21">
        <v>20.0</v>
      </c>
      <c r="AF19" s="21"/>
      <c r="AG19" s="21"/>
      <c r="AH19" s="21"/>
      <c r="AI19" s="21"/>
      <c r="AJ19" s="21"/>
      <c r="AK19" s="21"/>
      <c r="AL19" s="21"/>
      <c r="AM19" s="21"/>
      <c r="AN19" s="21"/>
      <c r="AO19" s="21"/>
      <c r="AP19" s="21">
        <v>5.0</v>
      </c>
      <c r="AQ19" s="21"/>
      <c r="AR19" s="21"/>
      <c r="AS19" s="21"/>
      <c r="AT19" s="21"/>
      <c r="AU19" s="21"/>
      <c r="AV19" s="21"/>
      <c r="AW19" s="21"/>
      <c r="AX19" s="21"/>
    </row>
    <row r="20" ht="14.25" customHeight="1">
      <c r="A20" s="21" t="s">
        <v>910</v>
      </c>
      <c r="B20" s="21" t="s">
        <v>4640</v>
      </c>
      <c r="C20" s="21" t="s">
        <v>1147</v>
      </c>
      <c r="D20" s="21" t="str">
        <f>_xlfn.XLOOKUP(tblCraftifacts[[#This Row],[CraftifactID]],tblTargets[TargetID],tblTargets[DisplayName],"")</f>
        <v>#ERROR!</v>
      </c>
      <c r="E20" s="21" t="b">
        <v>1</v>
      </c>
      <c r="F20" s="21"/>
      <c r="G20" s="21"/>
      <c r="H20" s="21" t="s">
        <v>4641</v>
      </c>
      <c r="I20" s="21" t="s">
        <v>4642</v>
      </c>
      <c r="J20" s="21" t="s">
        <v>4643</v>
      </c>
      <c r="K20" s="21" t="s">
        <v>3941</v>
      </c>
      <c r="L20" s="21" t="str">
        <f>IF(tblCraftifacts[[#This Row],[costtext]]="", 0, LEN(tblCraftifacts[[#This Row],[costtext]]) - LEN(SUBSTITUTE(tblCraftifacts[[#This Row],[costtext]], ",", "")) + 1)</f>
        <v>#ERROR!</v>
      </c>
      <c r="M20" s="21" t="str">
        <f>COUNTA(tblCraftifacts[[#This Row],[apy]:[velour]])</f>
        <v>#ERROR!</v>
      </c>
      <c r="N20" s="21"/>
      <c r="O20" s="21"/>
      <c r="P20" s="21">
        <v>30.0</v>
      </c>
      <c r="Q20" s="21"/>
      <c r="R20" s="21">
        <v>50.0</v>
      </c>
      <c r="S20" s="21"/>
      <c r="T20" s="21"/>
      <c r="U20" s="21"/>
      <c r="V20" s="21"/>
      <c r="W20" s="21"/>
      <c r="X20" s="21"/>
      <c r="Y20" s="21">
        <v>30.0</v>
      </c>
      <c r="Z20" s="21"/>
      <c r="AA20" s="21"/>
      <c r="AB20" s="21"/>
      <c r="AC20" s="21">
        <v>50.0</v>
      </c>
      <c r="AD20" s="21"/>
      <c r="AE20" s="21"/>
      <c r="AF20" s="21"/>
      <c r="AG20" s="21"/>
      <c r="AH20" s="21"/>
      <c r="AI20" s="21"/>
      <c r="AJ20" s="21"/>
      <c r="AK20" s="21"/>
      <c r="AL20" s="21"/>
      <c r="AM20" s="21"/>
      <c r="AN20" s="21">
        <v>40.0</v>
      </c>
      <c r="AO20" s="21"/>
      <c r="AP20" s="21"/>
      <c r="AQ20" s="21"/>
      <c r="AR20" s="21"/>
      <c r="AS20" s="21"/>
      <c r="AT20" s="21"/>
      <c r="AU20" s="21"/>
      <c r="AV20" s="21"/>
      <c r="AW20" s="21"/>
      <c r="AX20" s="21"/>
    </row>
    <row r="21" ht="14.25" customHeight="1">
      <c r="A21" s="21" t="s">
        <v>914</v>
      </c>
      <c r="B21" s="21" t="s">
        <v>4644</v>
      </c>
      <c r="C21" s="21" t="s">
        <v>1148</v>
      </c>
      <c r="D21" s="21" t="str">
        <f>_xlfn.XLOOKUP(tblCraftifacts[[#This Row],[CraftifactID]],tblTargets[TargetID],tblTargets[DisplayName],"")</f>
        <v>#ERROR!</v>
      </c>
      <c r="E21" s="21" t="b">
        <v>1</v>
      </c>
      <c r="F21" s="21"/>
      <c r="G21" s="21"/>
      <c r="H21" s="21" t="s">
        <v>4645</v>
      </c>
      <c r="I21" s="21" t="s">
        <v>4593</v>
      </c>
      <c r="J21" s="21" t="s">
        <v>4594</v>
      </c>
      <c r="K21" s="21" t="s">
        <v>3943</v>
      </c>
      <c r="L21" s="21" t="str">
        <f>IF(tblCraftifacts[[#This Row],[costtext]]="", 0, LEN(tblCraftifacts[[#This Row],[costtext]]) - LEN(SUBSTITUTE(tblCraftifacts[[#This Row],[costtext]], ",", "")) + 1)</f>
        <v>#ERROR!</v>
      </c>
      <c r="M21" s="21" t="str">
        <f>COUNTA(tblCraftifacts[[#This Row],[apy]:[velour]])</f>
        <v>#ERROR!</v>
      </c>
      <c r="N21" s="21"/>
      <c r="O21" s="21"/>
      <c r="P21" s="21"/>
      <c r="Q21" s="21"/>
      <c r="R21" s="21"/>
      <c r="S21" s="21"/>
      <c r="T21" s="21"/>
      <c r="U21" s="21"/>
      <c r="V21" s="21"/>
      <c r="W21" s="21"/>
      <c r="X21" s="21"/>
      <c r="Y21" s="21"/>
      <c r="Z21" s="21"/>
      <c r="AA21" s="21"/>
      <c r="AB21" s="21"/>
      <c r="AC21" s="21"/>
      <c r="AD21" s="21"/>
      <c r="AE21" s="21"/>
      <c r="AF21" s="21"/>
      <c r="AG21" s="21"/>
      <c r="AH21" s="21"/>
      <c r="AI21" s="21"/>
      <c r="AJ21" s="21">
        <v>60.0</v>
      </c>
      <c r="AK21" s="21"/>
      <c r="AL21" s="21"/>
      <c r="AM21" s="21"/>
      <c r="AN21" s="21"/>
      <c r="AO21" s="21"/>
      <c r="AP21" s="21"/>
      <c r="AQ21" s="21">
        <v>1.0</v>
      </c>
      <c r="AR21" s="21"/>
      <c r="AS21" s="21"/>
      <c r="AT21" s="21"/>
      <c r="AU21" s="21"/>
      <c r="AV21" s="21"/>
      <c r="AW21" s="21"/>
      <c r="AX21" s="21"/>
    </row>
    <row r="22"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row>
    <row r="23"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row>
    <row r="24" ht="14.2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row>
    <row r="25"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row>
    <row r="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row>
    <row r="27"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row>
    <row r="28"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row>
  </sheetData>
  <customSheetViews>
    <customSheetView guid="{D8F3BFB9-F7DD-40E8-B222-4DFC92BB1BE9}" filter="1" showAutoFilter="1">
      <autoFilter ref="$A$1:$AX$21"/>
    </customSheetView>
  </customSheetViews>
  <printOptions/>
  <pageMargins bottom="0.75" footer="0.0" header="0.0" left="0.7" right="0.7" top="0.75"/>
  <pageSetup orientation="landscape"/>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88"/>
    <col customWidth="1" min="2" max="2" width="26.75"/>
    <col customWidth="1" min="3" max="3" width="19.13"/>
    <col customWidth="1" min="4" max="4" width="22.63"/>
    <col customWidth="1" min="5" max="5" width="7.13"/>
    <col customWidth="1" min="6" max="7" width="20.25"/>
    <col customWidth="1" min="8" max="8" width="22.13"/>
    <col customWidth="1" min="9" max="9" width="27.0"/>
    <col customWidth="1" min="10" max="10" width="20.25"/>
    <col customWidth="1" min="11" max="11" width="39.0"/>
    <col customWidth="1" min="12" max="12" width="35.38"/>
    <col customWidth="1" min="13" max="26" width="20.25"/>
  </cols>
  <sheetData>
    <row r="1" ht="14.25" customHeight="1">
      <c r="A1" s="12" t="s">
        <v>4647</v>
      </c>
      <c r="B1" s="12" t="s">
        <v>3951</v>
      </c>
      <c r="C1" s="90" t="s">
        <v>4648</v>
      </c>
      <c r="D1" s="12" t="s">
        <v>39</v>
      </c>
      <c r="E1" s="12" t="s">
        <v>620</v>
      </c>
      <c r="F1" s="12" t="s">
        <v>4649</v>
      </c>
      <c r="G1" s="12" t="s">
        <v>4650</v>
      </c>
      <c r="H1" s="90" t="s">
        <v>4651</v>
      </c>
      <c r="I1" s="90" t="s">
        <v>4652</v>
      </c>
      <c r="J1" s="90" t="s">
        <v>4653</v>
      </c>
      <c r="K1" s="90" t="s">
        <v>11</v>
      </c>
      <c r="L1" s="90" t="s">
        <v>4356</v>
      </c>
      <c r="M1" s="90" t="s">
        <v>4654</v>
      </c>
      <c r="N1" s="106" t="s">
        <v>4655</v>
      </c>
      <c r="O1" s="106" t="s">
        <v>3959</v>
      </c>
    </row>
    <row r="2" ht="14.25" customHeight="1">
      <c r="A2" s="26" t="s">
        <v>4656</v>
      </c>
      <c r="B2" s="21" t="s">
        <v>4657</v>
      </c>
      <c r="C2" s="21" t="s">
        <v>4658</v>
      </c>
      <c r="D2" s="26" t="str">
        <f>_xlfn.LET(_xlpm.x,_xlfn.XLOOKUP(tblQuests[[#This Row],[QuestID]]&amp;".accepted",tblTargets[TargetID],tblTargets[DisplayName],""),LEFT(_xlpm.x,LEN(_xlpm.x)-9))</f>
        <v>#ERROR!</v>
      </c>
      <c r="E2" s="26" t="b">
        <v>1</v>
      </c>
      <c r="F2" s="21" t="s">
        <v>4659</v>
      </c>
      <c r="G2" s="21">
        <v>1.0</v>
      </c>
      <c r="H2" s="21" t="s">
        <v>4660</v>
      </c>
      <c r="I2" s="21"/>
      <c r="J2" s="21" t="s">
        <v>4661</v>
      </c>
      <c r="K2" s="21" t="s">
        <v>4662</v>
      </c>
      <c r="L2" s="21" t="s">
        <v>4663</v>
      </c>
      <c r="M2" s="21" t="s">
        <v>4077</v>
      </c>
      <c r="N2" s="21" t="s">
        <v>186</v>
      </c>
      <c r="O2" s="115" t="s">
        <v>4077</v>
      </c>
    </row>
    <row r="3" ht="14.25" customHeight="1">
      <c r="A3" s="26" t="s">
        <v>4664</v>
      </c>
      <c r="B3" s="21" t="s">
        <v>4665</v>
      </c>
      <c r="C3" s="21" t="s">
        <v>4666</v>
      </c>
      <c r="D3" s="26" t="str">
        <f>_xlfn.LET(_xlpm.x,_xlfn.XLOOKUP(tblQuests[[#This Row],[QuestID]]&amp;".accepted",tblTargets[TargetID],tblTargets[DisplayName],""),LEFT(_xlpm.x,LEN(_xlpm.x)-9))</f>
        <v>#ERROR!</v>
      </c>
      <c r="E3" s="26" t="b">
        <v>1</v>
      </c>
      <c r="F3" s="21" t="s">
        <v>4659</v>
      </c>
      <c r="G3" s="21">
        <v>2.0</v>
      </c>
      <c r="H3" s="21"/>
      <c r="I3" s="21"/>
      <c r="J3" s="21" t="s">
        <v>4667</v>
      </c>
      <c r="K3" s="21" t="s">
        <v>4668</v>
      </c>
      <c r="L3" s="21" t="s">
        <v>4669</v>
      </c>
      <c r="M3" s="21" t="s">
        <v>4670</v>
      </c>
      <c r="N3" s="21" t="s">
        <v>186</v>
      </c>
      <c r="O3" s="115" t="s">
        <v>4670</v>
      </c>
    </row>
    <row r="4" ht="14.25" customHeight="1">
      <c r="A4" s="26" t="s">
        <v>4671</v>
      </c>
      <c r="B4" s="21" t="s">
        <v>4672</v>
      </c>
      <c r="C4" s="21" t="s">
        <v>4673</v>
      </c>
      <c r="D4" s="26" t="str">
        <f>_xlfn.LET(_xlpm.x,_xlfn.XLOOKUP(tblQuests[[#This Row],[QuestID]]&amp;".accepted",tblTargets[TargetID],tblTargets[DisplayName],""),LEFT(_xlpm.x,LEN(_xlpm.x)-9))</f>
        <v>#ERROR!</v>
      </c>
      <c r="E4" s="26" t="b">
        <v>1</v>
      </c>
      <c r="F4" s="21" t="s">
        <v>4659</v>
      </c>
      <c r="G4" s="21">
        <v>3.0</v>
      </c>
      <c r="H4" s="21"/>
      <c r="I4" s="21"/>
      <c r="J4" s="21" t="s">
        <v>4674</v>
      </c>
      <c r="K4" s="21" t="s">
        <v>4675</v>
      </c>
      <c r="L4" s="21" t="s">
        <v>4676</v>
      </c>
      <c r="M4" s="21" t="s">
        <v>4677</v>
      </c>
      <c r="N4" s="21" t="s">
        <v>186</v>
      </c>
      <c r="O4" s="115" t="s">
        <v>4677</v>
      </c>
    </row>
    <row r="5" ht="14.25" customHeight="1">
      <c r="A5" s="26" t="s">
        <v>4678</v>
      </c>
      <c r="B5" s="21" t="s">
        <v>4679</v>
      </c>
      <c r="C5" s="21" t="s">
        <v>4680</v>
      </c>
      <c r="D5" s="26" t="str">
        <f>_xlfn.LET(_xlpm.x,_xlfn.XLOOKUP(tblQuests[[#This Row],[QuestID]]&amp;".accepted",tblTargets[TargetID],tblTargets[DisplayName],""),LEFT(_xlpm.x,LEN(_xlpm.x)-9))</f>
        <v>#ERROR!</v>
      </c>
      <c r="E5" s="26" t="b">
        <v>1</v>
      </c>
      <c r="F5" s="21" t="s">
        <v>4659</v>
      </c>
      <c r="G5" s="21">
        <v>4.0</v>
      </c>
      <c r="H5" s="21"/>
      <c r="I5" s="21"/>
      <c r="J5" s="21" t="s">
        <v>4681</v>
      </c>
      <c r="K5" s="21" t="s">
        <v>4675</v>
      </c>
      <c r="L5" s="21" t="s">
        <v>4682</v>
      </c>
      <c r="M5" s="21" t="s">
        <v>4683</v>
      </c>
      <c r="N5" s="21" t="s">
        <v>186</v>
      </c>
      <c r="O5" s="115" t="s">
        <v>4683</v>
      </c>
    </row>
    <row r="6" ht="14.25" customHeight="1">
      <c r="A6" s="26" t="s">
        <v>4684</v>
      </c>
      <c r="B6" s="21" t="s">
        <v>4685</v>
      </c>
      <c r="C6" s="21" t="s">
        <v>4686</v>
      </c>
      <c r="D6" s="26" t="str">
        <f>_xlfn.LET(_xlpm.x,_xlfn.XLOOKUP(tblQuests[[#This Row],[QuestID]]&amp;".accepted",tblTargets[TargetID],tblTargets[DisplayName],""),LEFT(_xlpm.x,LEN(_xlpm.x)-9))</f>
        <v>#ERROR!</v>
      </c>
      <c r="E6" s="26" t="b">
        <v>1</v>
      </c>
      <c r="F6" s="21" t="s">
        <v>4659</v>
      </c>
      <c r="G6" s="21">
        <v>5.0</v>
      </c>
      <c r="H6" s="21"/>
      <c r="I6" s="21"/>
      <c r="J6" s="21" t="s">
        <v>4687</v>
      </c>
      <c r="K6" s="21" t="s">
        <v>4675</v>
      </c>
      <c r="L6" s="21" t="s">
        <v>4688</v>
      </c>
      <c r="M6" s="21" t="s">
        <v>4689</v>
      </c>
      <c r="N6" s="21" t="s">
        <v>186</v>
      </c>
      <c r="O6" s="115" t="s">
        <v>4689</v>
      </c>
    </row>
    <row r="7" ht="14.25" customHeight="1">
      <c r="A7" s="26" t="s">
        <v>4690</v>
      </c>
      <c r="B7" s="21" t="s">
        <v>4691</v>
      </c>
      <c r="C7" s="21"/>
      <c r="D7" s="26" t="str">
        <f>_xlfn.LET(_xlpm.x,_xlfn.XLOOKUP(tblQuests[[#This Row],[QuestID]]&amp;".accepted",tblTargets[TargetID],tblTargets[DisplayName],""),LEFT(_xlpm.x,LEN(_xlpm.x)-9))</f>
        <v>#ERROR!</v>
      </c>
      <c r="E7" s="26" t="b">
        <v>1</v>
      </c>
      <c r="F7" s="21" t="s">
        <v>4692</v>
      </c>
      <c r="G7" s="21" t="s">
        <v>186</v>
      </c>
      <c r="H7" s="21"/>
      <c r="I7" s="21"/>
      <c r="J7" s="116" t="s">
        <v>4693</v>
      </c>
      <c r="K7" s="21" t="s">
        <v>4694</v>
      </c>
      <c r="L7" s="21"/>
      <c r="M7" s="21" t="s">
        <v>186</v>
      </c>
      <c r="N7" s="21" t="s">
        <v>186</v>
      </c>
      <c r="O7" s="115" t="s">
        <v>186</v>
      </c>
    </row>
    <row r="8" ht="14.25" customHeight="1">
      <c r="A8" s="26" t="s">
        <v>4695</v>
      </c>
      <c r="B8" s="21" t="s">
        <v>4696</v>
      </c>
      <c r="C8" s="21"/>
      <c r="D8" s="26" t="str">
        <f>_xlfn.LET(_xlpm.x,_xlfn.XLOOKUP(tblQuests[[#This Row],[QuestID]]&amp;".accepted",tblTargets[TargetID],tblTargets[DisplayName],""),LEFT(_xlpm.x,LEN(_xlpm.x)-9))</f>
        <v>#ERROR!</v>
      </c>
      <c r="E8" s="26" t="b">
        <v>1</v>
      </c>
      <c r="F8" s="21" t="s">
        <v>4697</v>
      </c>
      <c r="G8" s="21" t="s">
        <v>186</v>
      </c>
      <c r="H8" s="21"/>
      <c r="I8" s="21"/>
      <c r="J8" s="116" t="s">
        <v>4698</v>
      </c>
      <c r="K8" s="21" t="s">
        <v>4699</v>
      </c>
      <c r="L8" s="21"/>
      <c r="M8" s="21" t="s">
        <v>186</v>
      </c>
      <c r="N8" s="21" t="s">
        <v>186</v>
      </c>
      <c r="O8" s="115" t="s">
        <v>186</v>
      </c>
    </row>
    <row r="9" ht="14.25" customHeight="1">
      <c r="A9" s="26" t="s">
        <v>4700</v>
      </c>
      <c r="B9" s="21" t="s">
        <v>4701</v>
      </c>
      <c r="C9" s="21"/>
      <c r="D9" s="26" t="str">
        <f>_xlfn.LET(_xlpm.x,_xlfn.XLOOKUP(tblQuests[[#This Row],[QuestID]]&amp;".accepted",tblTargets[TargetID],tblTargets[DisplayName],""),LEFT(_xlpm.x,LEN(_xlpm.x)-9))</f>
        <v>#ERROR!</v>
      </c>
      <c r="E9" s="26" t="b">
        <v>1</v>
      </c>
      <c r="F9" s="21" t="s">
        <v>4702</v>
      </c>
      <c r="G9" s="21" t="s">
        <v>186</v>
      </c>
      <c r="H9" s="116" t="s">
        <v>4703</v>
      </c>
      <c r="I9" s="116" t="s">
        <v>4704</v>
      </c>
      <c r="J9" s="116" t="s">
        <v>4705</v>
      </c>
      <c r="K9" s="21" t="s">
        <v>4706</v>
      </c>
      <c r="L9" s="21" t="s">
        <v>4707</v>
      </c>
      <c r="M9" s="21" t="s">
        <v>186</v>
      </c>
      <c r="N9" s="21" t="s">
        <v>186</v>
      </c>
      <c r="O9" s="115" t="s">
        <v>186</v>
      </c>
    </row>
    <row r="10" ht="14.25" customHeight="1">
      <c r="A10" s="26" t="s">
        <v>4708</v>
      </c>
      <c r="B10" s="21" t="s">
        <v>4709</v>
      </c>
      <c r="C10" s="21"/>
      <c r="D10" s="26" t="str">
        <f>_xlfn.LET(_xlpm.x,_xlfn.XLOOKUP(tblQuests[[#This Row],[QuestID]]&amp;".accepted",tblTargets[TargetID],tblTargets[DisplayName],""),LEFT(_xlpm.x,LEN(_xlpm.x)-9))</f>
        <v>#ERROR!</v>
      </c>
      <c r="E10" s="26" t="b">
        <v>1</v>
      </c>
      <c r="F10" s="21" t="s">
        <v>4710</v>
      </c>
      <c r="G10" s="21" t="s">
        <v>186</v>
      </c>
      <c r="H10" s="21"/>
      <c r="I10" s="116" t="s">
        <v>4711</v>
      </c>
      <c r="J10" s="116" t="s">
        <v>4712</v>
      </c>
      <c r="K10" s="21" t="s">
        <v>4713</v>
      </c>
      <c r="L10" s="21" t="s">
        <v>4714</v>
      </c>
      <c r="M10" s="21" t="s">
        <v>186</v>
      </c>
      <c r="N10" s="21" t="s">
        <v>186</v>
      </c>
      <c r="O10" s="115" t="s">
        <v>186</v>
      </c>
    </row>
    <row r="11" ht="14.25" customHeight="1">
      <c r="A11" s="26" t="s">
        <v>4715</v>
      </c>
      <c r="B11" s="21" t="s">
        <v>4716</v>
      </c>
      <c r="C11" s="21"/>
      <c r="D11" s="26" t="str">
        <f>_xlfn.LET(_xlpm.x,_xlfn.XLOOKUP(tblQuests[[#This Row],[QuestID]]&amp;".accepted",tblTargets[TargetID],tblTargets[DisplayName],""),LEFT(_xlpm.x,LEN(_xlpm.x)-9))</f>
        <v>#ERROR!</v>
      </c>
      <c r="E11" s="26" t="b">
        <v>1</v>
      </c>
      <c r="F11" s="21" t="s">
        <v>4717</v>
      </c>
      <c r="G11" s="21" t="s">
        <v>186</v>
      </c>
      <c r="H11" s="116" t="s">
        <v>4718</v>
      </c>
      <c r="I11" s="21"/>
      <c r="J11" s="116" t="s">
        <v>4719</v>
      </c>
      <c r="K11" s="21" t="s">
        <v>4720</v>
      </c>
      <c r="L11" s="21" t="s">
        <v>4721</v>
      </c>
      <c r="M11" s="21" t="s">
        <v>3971</v>
      </c>
      <c r="N11" s="21" t="s">
        <v>186</v>
      </c>
      <c r="O11" s="115" t="s">
        <v>3971</v>
      </c>
    </row>
    <row r="12" ht="14.25" customHeight="1">
      <c r="A12" s="26" t="s">
        <v>4722</v>
      </c>
      <c r="B12" s="21" t="s">
        <v>4723</v>
      </c>
      <c r="C12" s="21"/>
      <c r="D12" s="26" t="str">
        <f>_xlfn.LET(_xlpm.x,_xlfn.XLOOKUP(tblQuests[[#This Row],[QuestID]]&amp;".accepted",tblTargets[TargetID],tblTargets[DisplayName],""),LEFT(_xlpm.x,LEN(_xlpm.x)-9))</f>
        <v>#ERROR!</v>
      </c>
      <c r="E12" s="26" t="b">
        <v>1</v>
      </c>
      <c r="F12" s="21" t="s">
        <v>4724</v>
      </c>
      <c r="G12" s="21" t="s">
        <v>186</v>
      </c>
      <c r="H12" s="116" t="s">
        <v>4725</v>
      </c>
      <c r="I12" s="21"/>
      <c r="J12" s="116" t="s">
        <v>4726</v>
      </c>
      <c r="K12" s="21" t="s">
        <v>4727</v>
      </c>
      <c r="L12" s="21" t="s">
        <v>4728</v>
      </c>
      <c r="M12" s="21" t="s">
        <v>4729</v>
      </c>
      <c r="N12" s="21" t="s">
        <v>186</v>
      </c>
      <c r="O12" s="115" t="s">
        <v>4729</v>
      </c>
    </row>
    <row r="13" ht="88.5" customHeight="1">
      <c r="A13" s="26" t="s">
        <v>4730</v>
      </c>
      <c r="B13" s="21" t="s">
        <v>4731</v>
      </c>
      <c r="C13" s="21"/>
      <c r="D13" s="26" t="str">
        <f>_xlfn.LET(_xlpm.x,_xlfn.XLOOKUP(tblQuests[[#This Row],[QuestID]]&amp;".accepted",tblTargets[TargetID],tblTargets[DisplayName],""),LEFT(_xlpm.x,LEN(_xlpm.x)-9))</f>
        <v>#ERROR!</v>
      </c>
      <c r="E13" s="26" t="b">
        <v>1</v>
      </c>
      <c r="F13" s="21" t="s">
        <v>4732</v>
      </c>
      <c r="G13" s="21" t="s">
        <v>186</v>
      </c>
      <c r="H13" s="116" t="s">
        <v>4733</v>
      </c>
      <c r="I13" s="21"/>
      <c r="J13" s="116" t="s">
        <v>4734</v>
      </c>
      <c r="K13" s="21" t="s">
        <v>4735</v>
      </c>
      <c r="L13" s="21" t="s">
        <v>4736</v>
      </c>
      <c r="M13" s="21" t="s">
        <v>4737</v>
      </c>
      <c r="N13" s="21" t="s">
        <v>186</v>
      </c>
      <c r="O13" s="115" t="s">
        <v>4737</v>
      </c>
    </row>
    <row r="14" ht="14.25" customHeight="1">
      <c r="A14" s="26" t="s">
        <v>4738</v>
      </c>
      <c r="B14" s="21" t="s">
        <v>4739</v>
      </c>
      <c r="C14" s="21"/>
      <c r="D14" s="26" t="str">
        <f>_xlfn.LET(_xlpm.x,_xlfn.XLOOKUP(tblQuests[[#This Row],[QuestID]]&amp;".accepted",tblTargets[TargetID],tblTargets[DisplayName],""),LEFT(_xlpm.x,LEN(_xlpm.x)-9))</f>
        <v>#ERROR!</v>
      </c>
      <c r="E14" s="26" t="b">
        <v>1</v>
      </c>
      <c r="F14" s="21" t="s">
        <v>4740</v>
      </c>
      <c r="G14" s="21" t="s">
        <v>186</v>
      </c>
      <c r="H14" s="116" t="s">
        <v>4741</v>
      </c>
      <c r="I14" s="117" t="s">
        <v>4742</v>
      </c>
      <c r="J14" s="116" t="s">
        <v>4743</v>
      </c>
      <c r="K14" s="21" t="s">
        <v>4744</v>
      </c>
      <c r="L14" s="21" t="s">
        <v>4745</v>
      </c>
      <c r="M14" s="21" t="s">
        <v>186</v>
      </c>
      <c r="N14" s="21" t="s">
        <v>186</v>
      </c>
      <c r="O14" s="115" t="s">
        <v>186</v>
      </c>
    </row>
    <row r="15" ht="14.25" customHeight="1">
      <c r="A15" s="26" t="s">
        <v>4746</v>
      </c>
      <c r="B15" s="21" t="s">
        <v>4747</v>
      </c>
      <c r="C15" s="21"/>
      <c r="D15" s="26" t="str">
        <f>_xlfn.LET(_xlpm.x,_xlfn.XLOOKUP(tblQuests[[#This Row],[QuestID]]&amp;".accepted",tblTargets[TargetID],tblTargets[DisplayName],""),LEFT(_xlpm.x,LEN(_xlpm.x)-9))</f>
        <v>#ERROR!</v>
      </c>
      <c r="E15" s="26" t="b">
        <v>1</v>
      </c>
      <c r="F15" s="21" t="s">
        <v>4748</v>
      </c>
      <c r="G15" s="21" t="s">
        <v>186</v>
      </c>
      <c r="H15" s="21"/>
      <c r="I15" s="117" t="s">
        <v>4749</v>
      </c>
      <c r="J15" s="116" t="s">
        <v>4750</v>
      </c>
      <c r="K15" s="21" t="s">
        <v>4751</v>
      </c>
      <c r="L15" s="21" t="s">
        <v>3970</v>
      </c>
      <c r="M15" s="21" t="s">
        <v>3971</v>
      </c>
      <c r="N15" s="21" t="s">
        <v>186</v>
      </c>
      <c r="O15" s="115" t="s">
        <v>3971</v>
      </c>
    </row>
    <row r="16" ht="14.25" customHeight="1">
      <c r="A16" s="26" t="s">
        <v>4752</v>
      </c>
      <c r="B16" s="21" t="s">
        <v>4753</v>
      </c>
      <c r="C16" s="21"/>
      <c r="D16" s="26" t="str">
        <f>_xlfn.LET(_xlpm.x,_xlfn.XLOOKUP(tblQuests[[#This Row],[QuestID]]&amp;".accepted",tblTargets[TargetID],tblTargets[DisplayName],""),LEFT(_xlpm.x,LEN(_xlpm.x)-9))</f>
        <v>#ERROR!</v>
      </c>
      <c r="E16" s="26" t="b">
        <v>1</v>
      </c>
      <c r="F16" s="21" t="s">
        <v>4754</v>
      </c>
      <c r="G16" s="21" t="s">
        <v>186</v>
      </c>
      <c r="H16" s="21"/>
      <c r="I16" s="117" t="s">
        <v>4755</v>
      </c>
      <c r="J16" s="116" t="s">
        <v>4756</v>
      </c>
      <c r="K16" s="21" t="s">
        <v>4757</v>
      </c>
      <c r="L16" s="21" t="s">
        <v>4299</v>
      </c>
      <c r="M16" s="21" t="s">
        <v>4300</v>
      </c>
      <c r="N16" s="21" t="s">
        <v>186</v>
      </c>
      <c r="O16" s="115" t="s">
        <v>4300</v>
      </c>
    </row>
    <row r="17" ht="14.25" customHeight="1">
      <c r="A17" s="26" t="s">
        <v>4758</v>
      </c>
      <c r="B17" s="21" t="s">
        <v>4759</v>
      </c>
      <c r="C17" s="21"/>
      <c r="D17" s="26" t="str">
        <f>_xlfn.LET(_xlpm.x,_xlfn.XLOOKUP(tblQuests[[#This Row],[QuestID]]&amp;".accepted",tblTargets[TargetID],tblTargets[DisplayName],""),LEFT(_xlpm.x,LEN(_xlpm.x)-9))</f>
        <v>#ERROR!</v>
      </c>
      <c r="E17" s="26" t="b">
        <v>1</v>
      </c>
      <c r="F17" s="26" t="s">
        <v>4760</v>
      </c>
      <c r="G17" s="21"/>
      <c r="H17" s="21"/>
      <c r="I17" s="21" t="s">
        <v>4761</v>
      </c>
      <c r="J17" s="21" t="s">
        <v>4762</v>
      </c>
      <c r="K17" s="21"/>
      <c r="L17" s="21"/>
      <c r="M17" s="21"/>
      <c r="N17" s="21"/>
      <c r="O17" s="115"/>
    </row>
    <row r="18" ht="14.25" customHeight="1">
      <c r="A18" s="26" t="s">
        <v>4763</v>
      </c>
      <c r="B18" s="21" t="s">
        <v>4764</v>
      </c>
      <c r="C18" s="21"/>
      <c r="D18" s="26" t="str">
        <f>_xlfn.LET(_xlpm.x,_xlfn.XLOOKUP(tblQuests[[#This Row],[QuestID]]&amp;".accepted",tblTargets[TargetID],tblTargets[DisplayName],""),LEFT(_xlpm.x,LEN(_xlpm.x)-9))</f>
        <v>#ERROR!</v>
      </c>
      <c r="E18" s="26" t="b">
        <v>1</v>
      </c>
      <c r="F18" s="21" t="s">
        <v>4765</v>
      </c>
      <c r="G18" s="21" t="s">
        <v>186</v>
      </c>
      <c r="H18" s="116" t="s">
        <v>4766</v>
      </c>
      <c r="I18" s="117" t="s">
        <v>4767</v>
      </c>
      <c r="J18" s="116" t="s">
        <v>4768</v>
      </c>
      <c r="K18" s="21" t="s">
        <v>4769</v>
      </c>
      <c r="L18" s="21" t="s">
        <v>4770</v>
      </c>
      <c r="M18" s="21" t="s">
        <v>4771</v>
      </c>
      <c r="N18" s="21" t="s">
        <v>186</v>
      </c>
      <c r="O18" s="115" t="s">
        <v>4771</v>
      </c>
    </row>
    <row r="19" ht="14.25" customHeight="1">
      <c r="A19" s="26" t="s">
        <v>4772</v>
      </c>
      <c r="B19" s="21" t="s">
        <v>4773</v>
      </c>
      <c r="C19" s="21" t="s">
        <v>4774</v>
      </c>
      <c r="D19" s="26" t="str">
        <f>_xlfn.LET(_xlpm.x,_xlfn.XLOOKUP(tblQuests[[#This Row],[QuestID]]&amp;".accepted",tblTargets[TargetID],tblTargets[DisplayName],""),LEFT(_xlpm.x,LEN(_xlpm.x)-9))</f>
        <v>#ERROR!</v>
      </c>
      <c r="E19" s="26" t="b">
        <v>1</v>
      </c>
      <c r="F19" s="21" t="s">
        <v>4775</v>
      </c>
      <c r="G19" s="21">
        <v>1.0</v>
      </c>
      <c r="H19" s="21"/>
      <c r="I19" s="21"/>
      <c r="J19" s="21" t="s">
        <v>4776</v>
      </c>
      <c r="K19" s="21" t="s">
        <v>4777</v>
      </c>
      <c r="L19" s="21" t="s">
        <v>4778</v>
      </c>
      <c r="M19" s="21" t="s">
        <v>186</v>
      </c>
      <c r="N19" s="21" t="s">
        <v>186</v>
      </c>
      <c r="O19" s="115" t="s">
        <v>186</v>
      </c>
    </row>
    <row r="20" ht="14.25" customHeight="1">
      <c r="A20" s="26" t="s">
        <v>4779</v>
      </c>
      <c r="B20" s="21" t="s">
        <v>4780</v>
      </c>
      <c r="C20" s="21" t="s">
        <v>4781</v>
      </c>
      <c r="D20" s="26" t="str">
        <f>_xlfn.LET(_xlpm.x,_xlfn.XLOOKUP(tblQuests[[#This Row],[QuestID]]&amp;".accepted",tblTargets[TargetID],tblTargets[DisplayName],""),LEFT(_xlpm.x,LEN(_xlpm.x)-9))</f>
        <v>#ERROR!</v>
      </c>
      <c r="E20" s="26" t="b">
        <v>1</v>
      </c>
      <c r="F20" s="21" t="s">
        <v>4775</v>
      </c>
      <c r="G20" s="21">
        <v>10.0</v>
      </c>
      <c r="H20" s="21"/>
      <c r="I20" s="21"/>
      <c r="J20" s="21" t="s">
        <v>4776</v>
      </c>
      <c r="K20" s="21" t="s">
        <v>4782</v>
      </c>
      <c r="L20" s="21" t="s">
        <v>4783</v>
      </c>
      <c r="M20" s="21" t="s">
        <v>4784</v>
      </c>
      <c r="N20" s="21" t="s">
        <v>186</v>
      </c>
      <c r="O20" s="115" t="s">
        <v>4784</v>
      </c>
    </row>
    <row r="21" ht="14.25" customHeight="1">
      <c r="A21" s="26" t="s">
        <v>4785</v>
      </c>
      <c r="B21" s="21" t="s">
        <v>4786</v>
      </c>
      <c r="C21" s="21" t="s">
        <v>4787</v>
      </c>
      <c r="D21" s="26" t="str">
        <f>_xlfn.LET(_xlpm.x,_xlfn.XLOOKUP(tblQuests[[#This Row],[QuestID]]&amp;".accepted",tblTargets[TargetID],tblTargets[DisplayName],""),LEFT(_xlpm.x,LEN(_xlpm.x)-9))</f>
        <v>#ERROR!</v>
      </c>
      <c r="E21" s="26" t="b">
        <v>1</v>
      </c>
      <c r="F21" s="21" t="s">
        <v>4775</v>
      </c>
      <c r="G21" s="21">
        <v>11.0</v>
      </c>
      <c r="H21" s="21"/>
      <c r="I21" s="21"/>
      <c r="J21" s="21" t="s">
        <v>4788</v>
      </c>
      <c r="K21" s="21" t="s">
        <v>4789</v>
      </c>
      <c r="L21" s="21" t="s">
        <v>4790</v>
      </c>
      <c r="M21" s="21" t="s">
        <v>4791</v>
      </c>
      <c r="N21" s="21" t="s">
        <v>186</v>
      </c>
      <c r="O21" s="115" t="s">
        <v>4791</v>
      </c>
    </row>
    <row r="22" ht="14.25" customHeight="1">
      <c r="A22" s="26" t="s">
        <v>4792</v>
      </c>
      <c r="B22" s="21" t="s">
        <v>4793</v>
      </c>
      <c r="C22" s="21" t="s">
        <v>4794</v>
      </c>
      <c r="D22" s="26" t="str">
        <f>_xlfn.LET(_xlpm.x,_xlfn.XLOOKUP(tblQuests[[#This Row],[QuestID]]&amp;".accepted",tblTargets[TargetID],tblTargets[DisplayName],""),LEFT(_xlpm.x,LEN(_xlpm.x)-9))</f>
        <v>#ERROR!</v>
      </c>
      <c r="E22" s="26" t="b">
        <v>1</v>
      </c>
      <c r="F22" s="21" t="s">
        <v>4775</v>
      </c>
      <c r="G22" s="21">
        <v>12.0</v>
      </c>
      <c r="H22" s="21"/>
      <c r="I22" s="21"/>
      <c r="J22" s="21" t="s">
        <v>4795</v>
      </c>
      <c r="K22" s="21" t="s">
        <v>4796</v>
      </c>
      <c r="L22" s="21" t="s">
        <v>4797</v>
      </c>
      <c r="M22" s="21" t="s">
        <v>4798</v>
      </c>
      <c r="N22" s="21" t="s">
        <v>186</v>
      </c>
      <c r="O22" s="115" t="s">
        <v>4798</v>
      </c>
    </row>
    <row r="23" ht="14.25" customHeight="1">
      <c r="A23" s="26" t="s">
        <v>4799</v>
      </c>
      <c r="B23" s="21" t="s">
        <v>4800</v>
      </c>
      <c r="C23" s="21" t="s">
        <v>4801</v>
      </c>
      <c r="D23" s="26" t="str">
        <f>_xlfn.LET(_xlpm.x,_xlfn.XLOOKUP(tblQuests[[#This Row],[QuestID]]&amp;".accepted",tblTargets[TargetID],tblTargets[DisplayName],""),LEFT(_xlpm.x,LEN(_xlpm.x)-9))</f>
        <v>#ERROR!</v>
      </c>
      <c r="E23" s="26" t="b">
        <v>1</v>
      </c>
      <c r="F23" s="21" t="s">
        <v>4775</v>
      </c>
      <c r="G23" s="21">
        <v>13.0</v>
      </c>
      <c r="H23" s="21" t="s">
        <v>4802</v>
      </c>
      <c r="I23" s="21"/>
      <c r="J23" s="21" t="s">
        <v>4803</v>
      </c>
      <c r="K23" s="21" t="s">
        <v>4804</v>
      </c>
      <c r="L23" s="21" t="s">
        <v>4805</v>
      </c>
      <c r="M23" s="21" t="s">
        <v>4806</v>
      </c>
      <c r="N23" s="21" t="s">
        <v>186</v>
      </c>
      <c r="O23" s="115" t="s">
        <v>4806</v>
      </c>
    </row>
    <row r="24" ht="14.25" customHeight="1">
      <c r="A24" s="26" t="s">
        <v>4807</v>
      </c>
      <c r="B24" s="21" t="s">
        <v>4808</v>
      </c>
      <c r="C24" s="21" t="s">
        <v>4809</v>
      </c>
      <c r="D24" s="26" t="str">
        <f>_xlfn.LET(_xlpm.x,_xlfn.XLOOKUP(tblQuests[[#This Row],[QuestID]]&amp;".accepted",tblTargets[TargetID],tblTargets[DisplayName],""),LEFT(_xlpm.x,LEN(_xlpm.x)-9))</f>
        <v>#ERROR!</v>
      </c>
      <c r="E24" s="26" t="b">
        <v>1</v>
      </c>
      <c r="F24" s="21" t="s">
        <v>4775</v>
      </c>
      <c r="G24" s="21">
        <v>14.0</v>
      </c>
      <c r="H24" s="21"/>
      <c r="I24" s="21"/>
      <c r="J24" s="21" t="s">
        <v>4795</v>
      </c>
      <c r="K24" s="21" t="s">
        <v>4810</v>
      </c>
      <c r="L24" s="21" t="s">
        <v>4811</v>
      </c>
      <c r="M24" s="21" t="s">
        <v>4812</v>
      </c>
      <c r="N24" s="21" t="s">
        <v>186</v>
      </c>
      <c r="O24" s="115" t="s">
        <v>4812</v>
      </c>
    </row>
    <row r="25" ht="14.25" customHeight="1">
      <c r="A25" s="26" t="s">
        <v>4813</v>
      </c>
      <c r="B25" s="21" t="s">
        <v>4814</v>
      </c>
      <c r="C25" s="21" t="s">
        <v>4815</v>
      </c>
      <c r="D25" s="26" t="str">
        <f>_xlfn.LET(_xlpm.x,_xlfn.XLOOKUP(tblQuests[[#This Row],[QuestID]]&amp;".accepted",tblTargets[TargetID],tblTargets[DisplayName],""),LEFT(_xlpm.x,LEN(_xlpm.x)-9))</f>
        <v>#ERROR!</v>
      </c>
      <c r="E25" s="26" t="b">
        <v>1</v>
      </c>
      <c r="F25" s="21" t="s">
        <v>4775</v>
      </c>
      <c r="G25" s="21">
        <v>15.0</v>
      </c>
      <c r="H25" s="21"/>
      <c r="I25" s="21"/>
      <c r="J25" s="21" t="s">
        <v>4816</v>
      </c>
      <c r="K25" s="21" t="s">
        <v>4817</v>
      </c>
      <c r="L25" s="21" t="s">
        <v>4818</v>
      </c>
      <c r="M25" s="21" t="s">
        <v>4819</v>
      </c>
      <c r="N25" s="21" t="s">
        <v>186</v>
      </c>
      <c r="O25" s="115" t="s">
        <v>4819</v>
      </c>
    </row>
    <row r="26" ht="14.25" customHeight="1">
      <c r="A26" s="26" t="s">
        <v>4820</v>
      </c>
      <c r="B26" s="21" t="s">
        <v>4821</v>
      </c>
      <c r="C26" s="21" t="s">
        <v>4822</v>
      </c>
      <c r="D26" s="26" t="str">
        <f>_xlfn.LET(_xlpm.x,_xlfn.XLOOKUP(tblQuests[[#This Row],[QuestID]]&amp;".accepted",tblTargets[TargetID],tblTargets[DisplayName],""),LEFT(_xlpm.x,LEN(_xlpm.x)-9))</f>
        <v>#ERROR!</v>
      </c>
      <c r="E26" s="26" t="b">
        <v>1</v>
      </c>
      <c r="F26" s="21" t="s">
        <v>4775</v>
      </c>
      <c r="G26" s="21">
        <v>2.0</v>
      </c>
      <c r="H26" s="21"/>
      <c r="I26" s="21"/>
      <c r="J26" s="21" t="s">
        <v>4776</v>
      </c>
      <c r="K26" s="21" t="s">
        <v>4823</v>
      </c>
      <c r="L26" s="21" t="s">
        <v>4824</v>
      </c>
      <c r="M26" s="21" t="s">
        <v>4825</v>
      </c>
      <c r="N26" s="21" t="s">
        <v>186</v>
      </c>
      <c r="O26" s="115" t="s">
        <v>4825</v>
      </c>
    </row>
    <row r="27" ht="14.25" customHeight="1">
      <c r="A27" s="26" t="s">
        <v>4826</v>
      </c>
      <c r="B27" s="21" t="s">
        <v>4827</v>
      </c>
      <c r="C27" s="21" t="s">
        <v>4828</v>
      </c>
      <c r="D27" s="26" t="str">
        <f>_xlfn.LET(_xlpm.x,_xlfn.XLOOKUP(tblQuests[[#This Row],[QuestID]]&amp;".accepted",tblTargets[TargetID],tblTargets[DisplayName],""),LEFT(_xlpm.x,LEN(_xlpm.x)-9))</f>
        <v>#ERROR!</v>
      </c>
      <c r="E27" s="26" t="b">
        <v>1</v>
      </c>
      <c r="F27" s="21" t="s">
        <v>4775</v>
      </c>
      <c r="G27" s="21">
        <v>3.0</v>
      </c>
      <c r="H27" s="21"/>
      <c r="I27" s="21"/>
      <c r="J27" s="21" t="s">
        <v>4795</v>
      </c>
      <c r="K27" s="21" t="s">
        <v>4829</v>
      </c>
      <c r="L27" s="21" t="s">
        <v>4830</v>
      </c>
      <c r="M27" s="21" t="s">
        <v>4831</v>
      </c>
      <c r="N27" s="21" t="s">
        <v>186</v>
      </c>
      <c r="O27" s="115" t="s">
        <v>4831</v>
      </c>
    </row>
    <row r="28" ht="14.25" customHeight="1">
      <c r="A28" s="26" t="s">
        <v>4832</v>
      </c>
      <c r="B28" s="21" t="s">
        <v>4833</v>
      </c>
      <c r="C28" s="21" t="s">
        <v>4834</v>
      </c>
      <c r="D28" s="26" t="str">
        <f>_xlfn.LET(_xlpm.x,_xlfn.XLOOKUP(tblQuests[[#This Row],[QuestID]]&amp;".accepted",tblTargets[TargetID],tblTargets[DisplayName],""),LEFT(_xlpm.x,LEN(_xlpm.x)-9))</f>
        <v>#ERROR!</v>
      </c>
      <c r="E28" s="26" t="b">
        <v>1</v>
      </c>
      <c r="F28" s="21" t="s">
        <v>4775</v>
      </c>
      <c r="G28" s="21">
        <v>4.0</v>
      </c>
      <c r="H28" s="21"/>
      <c r="I28" s="21"/>
      <c r="J28" s="21" t="s">
        <v>4835</v>
      </c>
      <c r="K28" s="21" t="s">
        <v>4836</v>
      </c>
      <c r="L28" s="21" t="s">
        <v>4837</v>
      </c>
      <c r="M28" s="21"/>
      <c r="N28" s="21" t="s">
        <v>186</v>
      </c>
      <c r="O28" s="115" t="s">
        <v>186</v>
      </c>
    </row>
    <row r="29" ht="14.25" customHeight="1">
      <c r="A29" s="26" t="s">
        <v>4838</v>
      </c>
      <c r="B29" s="21" t="s">
        <v>4839</v>
      </c>
      <c r="C29" s="21" t="s">
        <v>4840</v>
      </c>
      <c r="D29" s="26" t="str">
        <f>_xlfn.LET(_xlpm.x,_xlfn.XLOOKUP(tblQuests[[#This Row],[QuestID]]&amp;".accepted",tblTargets[TargetID],tblTargets[DisplayName],""),LEFT(_xlpm.x,LEN(_xlpm.x)-9))</f>
        <v>#ERROR!</v>
      </c>
      <c r="E29" s="26" t="b">
        <v>1</v>
      </c>
      <c r="F29" s="21" t="s">
        <v>4775</v>
      </c>
      <c r="G29" s="21">
        <v>5.0</v>
      </c>
      <c r="H29" s="21" t="s">
        <v>4841</v>
      </c>
      <c r="I29" s="21"/>
      <c r="J29" s="21" t="s">
        <v>4842</v>
      </c>
      <c r="K29" s="21" t="s">
        <v>4843</v>
      </c>
      <c r="L29" s="21" t="s">
        <v>4844</v>
      </c>
      <c r="M29" s="21" t="s">
        <v>4845</v>
      </c>
      <c r="N29" s="21" t="s">
        <v>186</v>
      </c>
      <c r="O29" s="115" t="s">
        <v>4845</v>
      </c>
    </row>
    <row r="30" ht="14.25" customHeight="1">
      <c r="A30" s="26" t="s">
        <v>4846</v>
      </c>
      <c r="B30" s="21" t="s">
        <v>4847</v>
      </c>
      <c r="C30" s="21" t="s">
        <v>4848</v>
      </c>
      <c r="D30" s="26" t="str">
        <f>_xlfn.LET(_xlpm.x,_xlfn.XLOOKUP(tblQuests[[#This Row],[QuestID]]&amp;".accepted",tblTargets[TargetID],tblTargets[DisplayName],""),LEFT(_xlpm.x,LEN(_xlpm.x)-9))</f>
        <v>#ERROR!</v>
      </c>
      <c r="E30" s="26" t="b">
        <v>1</v>
      </c>
      <c r="F30" s="21" t="s">
        <v>4775</v>
      </c>
      <c r="G30" s="21">
        <v>6.0</v>
      </c>
      <c r="H30" s="21"/>
      <c r="I30" s="21"/>
      <c r="J30" s="21" t="s">
        <v>4849</v>
      </c>
      <c r="K30" s="21" t="s">
        <v>4850</v>
      </c>
      <c r="L30" s="21" t="s">
        <v>4851</v>
      </c>
      <c r="M30" s="21" t="s">
        <v>4852</v>
      </c>
      <c r="N30" s="21" t="s">
        <v>186</v>
      </c>
      <c r="O30" s="115" t="s">
        <v>4852</v>
      </c>
    </row>
    <row r="31" ht="14.25" customHeight="1">
      <c r="A31" s="26" t="s">
        <v>4853</v>
      </c>
      <c r="B31" s="21" t="s">
        <v>4854</v>
      </c>
      <c r="C31" s="21" t="s">
        <v>4855</v>
      </c>
      <c r="D31" s="26" t="str">
        <f>_xlfn.LET(_xlpm.x,_xlfn.XLOOKUP(tblQuests[[#This Row],[QuestID]]&amp;".accepted",tblTargets[TargetID],tblTargets[DisplayName],""),LEFT(_xlpm.x,LEN(_xlpm.x)-9))</f>
        <v>#ERROR!</v>
      </c>
      <c r="E31" s="26" t="b">
        <v>1</v>
      </c>
      <c r="F31" s="21" t="s">
        <v>4775</v>
      </c>
      <c r="G31" s="21">
        <v>7.0</v>
      </c>
      <c r="H31" s="21"/>
      <c r="I31" s="21"/>
      <c r="J31" s="21" t="s">
        <v>4856</v>
      </c>
      <c r="K31" s="21" t="s">
        <v>4857</v>
      </c>
      <c r="L31" s="21" t="s">
        <v>4858</v>
      </c>
      <c r="M31" s="21" t="s">
        <v>4859</v>
      </c>
      <c r="N31" s="21" t="s">
        <v>186</v>
      </c>
      <c r="O31" s="115" t="s">
        <v>4859</v>
      </c>
    </row>
    <row r="32" ht="14.25" customHeight="1">
      <c r="A32" s="26" t="s">
        <v>4860</v>
      </c>
      <c r="B32" s="21" t="s">
        <v>4861</v>
      </c>
      <c r="C32" s="21" t="s">
        <v>4862</v>
      </c>
      <c r="D32" s="26" t="str">
        <f>_xlfn.LET(_xlpm.x,_xlfn.XLOOKUP(tblQuests[[#This Row],[QuestID]]&amp;".accepted",tblTargets[TargetID],tblTargets[DisplayName],""),LEFT(_xlpm.x,LEN(_xlpm.x)-9))</f>
        <v>#ERROR!</v>
      </c>
      <c r="E32" s="26" t="b">
        <v>1</v>
      </c>
      <c r="F32" s="21" t="s">
        <v>4775</v>
      </c>
      <c r="G32" s="21">
        <v>8.0</v>
      </c>
      <c r="H32" s="21" t="s">
        <v>4863</v>
      </c>
      <c r="I32" s="21"/>
      <c r="J32" s="21" t="s">
        <v>4776</v>
      </c>
      <c r="K32" s="21" t="s">
        <v>4864</v>
      </c>
      <c r="L32" s="21" t="s">
        <v>4865</v>
      </c>
      <c r="M32" s="21" t="s">
        <v>4866</v>
      </c>
      <c r="N32" s="21" t="s">
        <v>186</v>
      </c>
      <c r="O32" s="115" t="s">
        <v>4866</v>
      </c>
    </row>
    <row r="33" ht="14.25" customHeight="1">
      <c r="A33" s="26" t="s">
        <v>4867</v>
      </c>
      <c r="B33" s="21" t="s">
        <v>4868</v>
      </c>
      <c r="C33" s="21" t="s">
        <v>4869</v>
      </c>
      <c r="D33" s="26" t="str">
        <f>_xlfn.LET(_xlpm.x,_xlfn.XLOOKUP(tblQuests[[#This Row],[QuestID]]&amp;".accepted",tblTargets[TargetID],tblTargets[DisplayName],""),LEFT(_xlpm.x,LEN(_xlpm.x)-9))</f>
        <v>#ERROR!</v>
      </c>
      <c r="E33" s="26" t="b">
        <v>1</v>
      </c>
      <c r="F33" s="21" t="s">
        <v>4775</v>
      </c>
      <c r="G33" s="21">
        <v>9.0</v>
      </c>
      <c r="H33" s="21"/>
      <c r="I33" s="21"/>
      <c r="J33" s="21" t="s">
        <v>4870</v>
      </c>
      <c r="K33" s="21" t="s">
        <v>4871</v>
      </c>
      <c r="L33" s="21" t="s">
        <v>4872</v>
      </c>
      <c r="M33" s="21" t="s">
        <v>4873</v>
      </c>
      <c r="N33" s="21" t="s">
        <v>186</v>
      </c>
      <c r="O33" s="115" t="s">
        <v>4873</v>
      </c>
    </row>
    <row r="34" ht="14.25" customHeight="1">
      <c r="A34" s="26" t="s">
        <v>4874</v>
      </c>
      <c r="B34" s="21" t="s">
        <v>4875</v>
      </c>
      <c r="C34" s="21" t="s">
        <v>4876</v>
      </c>
      <c r="D34" s="26" t="str">
        <f>_xlfn.LET(_xlpm.x,_xlfn.XLOOKUP(tblQuests[[#This Row],[QuestID]]&amp;".accepted",tblTargets[TargetID],tblTargets[DisplayName],""),LEFT(_xlpm.x,LEN(_xlpm.x)-9))</f>
        <v>#ERROR!</v>
      </c>
      <c r="E34" s="26" t="b">
        <v>1</v>
      </c>
      <c r="F34" s="21" t="s">
        <v>4877</v>
      </c>
      <c r="G34" s="21">
        <v>1.0</v>
      </c>
      <c r="H34" s="21"/>
      <c r="I34" s="21"/>
      <c r="J34" s="21" t="s">
        <v>4878</v>
      </c>
      <c r="K34" s="21" t="s">
        <v>4879</v>
      </c>
      <c r="L34" s="21" t="s">
        <v>4880</v>
      </c>
      <c r="M34" s="21" t="s">
        <v>4881</v>
      </c>
      <c r="N34" s="21" t="s">
        <v>186</v>
      </c>
      <c r="O34" s="115" t="s">
        <v>4881</v>
      </c>
    </row>
    <row r="35" ht="14.25" customHeight="1">
      <c r="A35" s="26" t="s">
        <v>4882</v>
      </c>
      <c r="B35" s="21" t="s">
        <v>4883</v>
      </c>
      <c r="C35" s="21" t="s">
        <v>4884</v>
      </c>
      <c r="D35" s="26" t="str">
        <f>_xlfn.LET(_xlpm.x,_xlfn.XLOOKUP(tblQuests[[#This Row],[QuestID]]&amp;".accepted",tblTargets[TargetID],tblTargets[DisplayName],""),LEFT(_xlpm.x,LEN(_xlpm.x)-9))</f>
        <v>#ERROR!</v>
      </c>
      <c r="E35" s="26" t="b">
        <v>1</v>
      </c>
      <c r="F35" s="21" t="s">
        <v>4877</v>
      </c>
      <c r="G35" s="21">
        <v>2.0</v>
      </c>
      <c r="H35" s="21"/>
      <c r="I35" s="21"/>
      <c r="J35" s="21" t="s">
        <v>4776</v>
      </c>
      <c r="K35" s="21" t="s">
        <v>4885</v>
      </c>
      <c r="L35" s="21" t="s">
        <v>4886</v>
      </c>
      <c r="M35" s="21" t="s">
        <v>4887</v>
      </c>
      <c r="N35" s="21" t="s">
        <v>186</v>
      </c>
      <c r="O35" s="115" t="s">
        <v>4887</v>
      </c>
    </row>
    <row r="36" ht="14.25" customHeight="1">
      <c r="A36" s="26" t="s">
        <v>4888</v>
      </c>
      <c r="B36" s="21" t="s">
        <v>4889</v>
      </c>
      <c r="C36" s="21" t="s">
        <v>4890</v>
      </c>
      <c r="D36" s="26" t="str">
        <f>_xlfn.LET(_xlpm.x,_xlfn.XLOOKUP(tblQuests[[#This Row],[QuestID]]&amp;".accepted",tblTargets[TargetID],tblTargets[DisplayName],""),LEFT(_xlpm.x,LEN(_xlpm.x)-9))</f>
        <v>#ERROR!</v>
      </c>
      <c r="E36" s="26" t="b">
        <v>1</v>
      </c>
      <c r="F36" s="21" t="s">
        <v>4877</v>
      </c>
      <c r="G36" s="21">
        <v>3.0</v>
      </c>
      <c r="H36" s="21"/>
      <c r="I36" s="21"/>
      <c r="J36" s="21" t="s">
        <v>4795</v>
      </c>
      <c r="K36" s="21" t="s">
        <v>4891</v>
      </c>
      <c r="L36" s="21" t="s">
        <v>4886</v>
      </c>
      <c r="M36" s="21" t="s">
        <v>4887</v>
      </c>
      <c r="N36" s="21" t="s">
        <v>186</v>
      </c>
      <c r="O36" s="115" t="s">
        <v>4887</v>
      </c>
    </row>
    <row r="37" ht="14.25" customHeight="1">
      <c r="A37" s="26" t="s">
        <v>4892</v>
      </c>
      <c r="B37" s="21" t="s">
        <v>4893</v>
      </c>
      <c r="C37" s="21" t="s">
        <v>4894</v>
      </c>
      <c r="D37" s="26" t="str">
        <f>_xlfn.LET(_xlpm.x,_xlfn.XLOOKUP(tblQuests[[#This Row],[QuestID]]&amp;".accepted",tblTargets[TargetID],tblTargets[DisplayName],""),LEFT(_xlpm.x,LEN(_xlpm.x)-9))</f>
        <v>#ERROR!</v>
      </c>
      <c r="E37" s="26" t="b">
        <v>1</v>
      </c>
      <c r="F37" s="21" t="s">
        <v>4877</v>
      </c>
      <c r="G37" s="21">
        <v>4.0</v>
      </c>
      <c r="H37" s="21"/>
      <c r="I37" s="21"/>
      <c r="J37" s="21" t="s">
        <v>4895</v>
      </c>
      <c r="K37" s="21" t="s">
        <v>4896</v>
      </c>
      <c r="L37" s="21" t="s">
        <v>4897</v>
      </c>
      <c r="M37" s="21" t="s">
        <v>186</v>
      </c>
      <c r="N37" s="21" t="s">
        <v>186</v>
      </c>
      <c r="O37" s="115" t="s">
        <v>186</v>
      </c>
    </row>
    <row r="38" ht="14.25" customHeight="1">
      <c r="A38" s="26" t="s">
        <v>4898</v>
      </c>
      <c r="B38" s="21" t="s">
        <v>4899</v>
      </c>
      <c r="C38" s="21" t="s">
        <v>4900</v>
      </c>
      <c r="D38" s="26" t="str">
        <f>_xlfn.LET(_xlpm.x,_xlfn.XLOOKUP(tblQuests[[#This Row],[QuestID]]&amp;".accepted",tblTargets[TargetID],tblTargets[DisplayName],""),LEFT(_xlpm.x,LEN(_xlpm.x)-9))</f>
        <v>#ERROR!</v>
      </c>
      <c r="E38" s="26" t="b">
        <v>1</v>
      </c>
      <c r="F38" s="21" t="s">
        <v>4877</v>
      </c>
      <c r="G38" s="21">
        <v>5.0</v>
      </c>
      <c r="H38" s="21"/>
      <c r="I38" s="21"/>
      <c r="J38" s="21" t="s">
        <v>4901</v>
      </c>
      <c r="K38" s="21" t="s">
        <v>4902</v>
      </c>
      <c r="L38" s="21" t="s">
        <v>4903</v>
      </c>
      <c r="M38" s="21" t="s">
        <v>3975</v>
      </c>
      <c r="N38" s="21" t="s">
        <v>186</v>
      </c>
      <c r="O38" s="115" t="s">
        <v>3975</v>
      </c>
    </row>
    <row r="39" ht="14.25" customHeight="1">
      <c r="A39" s="26" t="s">
        <v>4904</v>
      </c>
      <c r="B39" s="21" t="s">
        <v>4905</v>
      </c>
      <c r="C39" s="21" t="s">
        <v>4906</v>
      </c>
      <c r="D39" s="26" t="str">
        <f>_xlfn.LET(_xlpm.x,_xlfn.XLOOKUP(tblQuests[[#This Row],[QuestID]]&amp;".accepted",tblTargets[TargetID],tblTargets[DisplayName],""),LEFT(_xlpm.x,LEN(_xlpm.x)-9))</f>
        <v>#ERROR!</v>
      </c>
      <c r="E39" s="26" t="b">
        <v>1</v>
      </c>
      <c r="F39" s="21" t="s">
        <v>4907</v>
      </c>
      <c r="G39" s="21">
        <v>1.0</v>
      </c>
      <c r="H39" s="21" t="s">
        <v>4908</v>
      </c>
      <c r="I39" s="21"/>
      <c r="J39" s="21" t="s">
        <v>4909</v>
      </c>
      <c r="K39" s="21" t="s">
        <v>4910</v>
      </c>
      <c r="L39" s="21" t="s">
        <v>4911</v>
      </c>
      <c r="M39" s="21" t="s">
        <v>186</v>
      </c>
      <c r="N39" s="21" t="s">
        <v>186</v>
      </c>
      <c r="O39" s="115" t="s">
        <v>186</v>
      </c>
    </row>
    <row r="40" ht="14.25" customHeight="1">
      <c r="A40" s="26" t="s">
        <v>4912</v>
      </c>
      <c r="B40" s="21" t="s">
        <v>4913</v>
      </c>
      <c r="C40" s="21" t="s">
        <v>4914</v>
      </c>
      <c r="D40" s="26" t="str">
        <f>_xlfn.LET(_xlpm.x,_xlfn.XLOOKUP(tblQuests[[#This Row],[QuestID]]&amp;".accepted",tblTargets[TargetID],tblTargets[DisplayName],""),LEFT(_xlpm.x,LEN(_xlpm.x)-9))</f>
        <v>#ERROR!</v>
      </c>
      <c r="E40" s="26" t="b">
        <v>1</v>
      </c>
      <c r="F40" s="21" t="s">
        <v>4907</v>
      </c>
      <c r="G40" s="21">
        <v>2.0</v>
      </c>
      <c r="H40" s="21" t="s">
        <v>4915</v>
      </c>
      <c r="I40" s="21"/>
      <c r="J40" s="21" t="s">
        <v>4878</v>
      </c>
      <c r="K40" s="21" t="s">
        <v>4910</v>
      </c>
      <c r="L40" s="21" t="s">
        <v>4916</v>
      </c>
      <c r="M40" s="21" t="s">
        <v>4917</v>
      </c>
      <c r="N40" s="21" t="s">
        <v>186</v>
      </c>
      <c r="O40" s="115" t="s">
        <v>4917</v>
      </c>
    </row>
    <row r="41" ht="14.25" customHeight="1">
      <c r="A41" s="26" t="s">
        <v>4918</v>
      </c>
      <c r="B41" s="21" t="s">
        <v>4919</v>
      </c>
      <c r="C41" s="21" t="s">
        <v>4920</v>
      </c>
      <c r="D41" s="26" t="str">
        <f>_xlfn.LET(_xlpm.x,_xlfn.XLOOKUP(tblQuests[[#This Row],[QuestID]]&amp;".accepted",tblTargets[TargetID],tblTargets[DisplayName],""),LEFT(_xlpm.x,LEN(_xlpm.x)-9))</f>
        <v>#ERROR!</v>
      </c>
      <c r="E41" s="26" t="b">
        <v>1</v>
      </c>
      <c r="F41" s="21" t="s">
        <v>4907</v>
      </c>
      <c r="G41" s="21">
        <v>3.0</v>
      </c>
      <c r="H41" s="21" t="s">
        <v>4921</v>
      </c>
      <c r="I41" s="21"/>
      <c r="J41" s="21" t="s">
        <v>4922</v>
      </c>
      <c r="K41" s="21" t="s">
        <v>4923</v>
      </c>
      <c r="L41" s="21" t="s">
        <v>4924</v>
      </c>
      <c r="M41" s="21" t="s">
        <v>4925</v>
      </c>
      <c r="N41" s="21" t="s">
        <v>186</v>
      </c>
      <c r="O41" s="115" t="s">
        <v>4925</v>
      </c>
    </row>
    <row r="42" ht="14.25" customHeight="1">
      <c r="A42" s="26" t="s">
        <v>4926</v>
      </c>
      <c r="B42" s="21" t="s">
        <v>4927</v>
      </c>
      <c r="C42" s="21" t="s">
        <v>4928</v>
      </c>
      <c r="D42" s="26" t="str">
        <f>_xlfn.LET(_xlpm.x,_xlfn.XLOOKUP(tblQuests[[#This Row],[QuestID]]&amp;".accepted",tblTargets[TargetID],tblTargets[DisplayName],""),LEFT(_xlpm.x,LEN(_xlpm.x)-9))</f>
        <v>#ERROR!</v>
      </c>
      <c r="E42" s="26" t="b">
        <v>1</v>
      </c>
      <c r="F42" s="21" t="s">
        <v>4907</v>
      </c>
      <c r="G42" s="21">
        <v>4.0</v>
      </c>
      <c r="H42" s="21" t="s">
        <v>4921</v>
      </c>
      <c r="I42" s="21"/>
      <c r="J42" s="21" t="s">
        <v>4929</v>
      </c>
      <c r="K42" s="21" t="s">
        <v>4923</v>
      </c>
      <c r="L42" s="21" t="s">
        <v>4930</v>
      </c>
      <c r="M42" s="21" t="s">
        <v>4931</v>
      </c>
      <c r="N42" s="21" t="s">
        <v>186</v>
      </c>
      <c r="O42" s="115" t="s">
        <v>4931</v>
      </c>
    </row>
    <row r="43" ht="14.25" customHeight="1">
      <c r="A43" s="26" t="s">
        <v>4932</v>
      </c>
      <c r="B43" s="21" t="s">
        <v>4933</v>
      </c>
      <c r="C43" s="21" t="s">
        <v>4934</v>
      </c>
      <c r="D43" s="26" t="str">
        <f>_xlfn.LET(_xlpm.x,_xlfn.XLOOKUP(tblQuests[[#This Row],[QuestID]]&amp;".accepted",tblTargets[TargetID],tblTargets[DisplayName],""),LEFT(_xlpm.x,LEN(_xlpm.x)-9))</f>
        <v>#ERROR!</v>
      </c>
      <c r="E43" s="26" t="b">
        <v>1</v>
      </c>
      <c r="F43" s="21" t="s">
        <v>4907</v>
      </c>
      <c r="G43" s="21">
        <v>5.0</v>
      </c>
      <c r="H43" s="21" t="s">
        <v>4921</v>
      </c>
      <c r="I43" s="21"/>
      <c r="J43" s="21" t="s">
        <v>4776</v>
      </c>
      <c r="K43" s="21" t="s">
        <v>4923</v>
      </c>
      <c r="L43" s="21" t="s">
        <v>4930</v>
      </c>
      <c r="M43" s="21" t="s">
        <v>4931</v>
      </c>
      <c r="N43" s="21" t="s">
        <v>186</v>
      </c>
      <c r="O43" s="115" t="s">
        <v>4931</v>
      </c>
    </row>
    <row r="44" ht="14.25" customHeight="1">
      <c r="A44" s="26" t="s">
        <v>4935</v>
      </c>
      <c r="B44" s="21" t="s">
        <v>4936</v>
      </c>
      <c r="C44" s="21" t="s">
        <v>4937</v>
      </c>
      <c r="D44" s="26" t="str">
        <f>_xlfn.LET(_xlpm.x,_xlfn.XLOOKUP(tblQuests[[#This Row],[QuestID]]&amp;".accepted",tblTargets[TargetID],tblTargets[DisplayName],""),LEFT(_xlpm.x,LEN(_xlpm.x)-9))</f>
        <v>#ERROR!</v>
      </c>
      <c r="E44" s="26" t="b">
        <v>1</v>
      </c>
      <c r="F44" s="21" t="s">
        <v>4907</v>
      </c>
      <c r="G44" s="21">
        <v>6.0</v>
      </c>
      <c r="H44" s="21" t="s">
        <v>4938</v>
      </c>
      <c r="I44" s="21"/>
      <c r="J44" s="21" t="s">
        <v>4939</v>
      </c>
      <c r="K44" s="21" t="s">
        <v>4940</v>
      </c>
      <c r="L44" s="21" t="s">
        <v>4941</v>
      </c>
      <c r="M44" s="21" t="s">
        <v>4942</v>
      </c>
      <c r="N44" s="21" t="s">
        <v>186</v>
      </c>
      <c r="O44" s="115" t="s">
        <v>4942</v>
      </c>
    </row>
    <row r="45" ht="14.25" customHeight="1">
      <c r="A45" s="26" t="s">
        <v>4943</v>
      </c>
      <c r="B45" s="21" t="s">
        <v>4944</v>
      </c>
      <c r="C45" s="21" t="s">
        <v>4945</v>
      </c>
      <c r="D45" s="26" t="str">
        <f>_xlfn.LET(_xlpm.x,_xlfn.XLOOKUP(tblQuests[[#This Row],[QuestID]]&amp;".accepted",tblTargets[TargetID],tblTargets[DisplayName],""),LEFT(_xlpm.x,LEN(_xlpm.x)-9))</f>
        <v>#ERROR!</v>
      </c>
      <c r="E45" s="26" t="b">
        <v>1</v>
      </c>
      <c r="F45" s="21" t="s">
        <v>4907</v>
      </c>
      <c r="G45" s="21">
        <v>7.0</v>
      </c>
      <c r="H45" s="21" t="s">
        <v>4938</v>
      </c>
      <c r="I45" s="21"/>
      <c r="J45" s="21" t="s">
        <v>4946</v>
      </c>
      <c r="K45" s="21" t="s">
        <v>4947</v>
      </c>
      <c r="L45" s="21" t="s">
        <v>4948</v>
      </c>
      <c r="M45" s="21" t="s">
        <v>4949</v>
      </c>
      <c r="N45" s="21" t="s">
        <v>186</v>
      </c>
      <c r="O45" s="115" t="s">
        <v>4949</v>
      </c>
    </row>
    <row r="46" ht="14.25" customHeight="1">
      <c r="A46" s="26" t="s">
        <v>4950</v>
      </c>
      <c r="B46" s="21" t="s">
        <v>4951</v>
      </c>
      <c r="C46" s="21"/>
      <c r="D46" s="26" t="str">
        <f>_xlfn.LET(_xlpm.x,_xlfn.XLOOKUP(tblQuests[[#This Row],[QuestID]]&amp;".accepted",tblTargets[TargetID],tblTargets[DisplayName],""),LEFT(_xlpm.x,LEN(_xlpm.x)-9))</f>
        <v>#ERROR!</v>
      </c>
      <c r="E46" s="26" t="b">
        <v>1</v>
      </c>
      <c r="F46" s="21" t="s">
        <v>4952</v>
      </c>
      <c r="G46" s="21" t="s">
        <v>186</v>
      </c>
      <c r="H46" s="21"/>
      <c r="I46" s="117" t="s">
        <v>4953</v>
      </c>
      <c r="J46" s="116" t="s">
        <v>4954</v>
      </c>
      <c r="K46" s="21" t="s">
        <v>4955</v>
      </c>
      <c r="L46" s="21" t="s">
        <v>3970</v>
      </c>
      <c r="M46" s="21" t="s">
        <v>3971</v>
      </c>
      <c r="N46" s="21" t="s">
        <v>186</v>
      </c>
      <c r="O46" s="115" t="s">
        <v>3971</v>
      </c>
    </row>
    <row r="47" ht="14.25" customHeight="1">
      <c r="A47" s="26" t="s">
        <v>4956</v>
      </c>
      <c r="B47" s="21" t="s">
        <v>4957</v>
      </c>
      <c r="C47" s="21"/>
      <c r="D47" s="26" t="str">
        <f>_xlfn.LET(_xlpm.x,_xlfn.XLOOKUP(tblQuests[[#This Row],[QuestID]]&amp;".accepted",tblTargets[TargetID],tblTargets[DisplayName],""),LEFT(_xlpm.x,LEN(_xlpm.x)-9))</f>
        <v>#ERROR!</v>
      </c>
      <c r="E47" s="26" t="b">
        <v>1</v>
      </c>
      <c r="F47" s="21" t="s">
        <v>4958</v>
      </c>
      <c r="G47" s="21" t="s">
        <v>186</v>
      </c>
      <c r="H47" s="21"/>
      <c r="I47" s="117" t="s">
        <v>4959</v>
      </c>
      <c r="J47" s="116" t="s">
        <v>4960</v>
      </c>
      <c r="K47" s="21" t="s">
        <v>4961</v>
      </c>
      <c r="L47" s="21" t="s">
        <v>4962</v>
      </c>
      <c r="M47" s="21" t="s">
        <v>4963</v>
      </c>
      <c r="N47" s="21" t="s">
        <v>186</v>
      </c>
      <c r="O47" s="115" t="s">
        <v>4963</v>
      </c>
    </row>
    <row r="48" ht="14.25" customHeight="1">
      <c r="A48" s="26" t="s">
        <v>4964</v>
      </c>
      <c r="B48" s="21" t="s">
        <v>4965</v>
      </c>
      <c r="C48" s="21" t="s">
        <v>4966</v>
      </c>
      <c r="D48" s="26" t="str">
        <f>_xlfn.LET(_xlpm.x,_xlfn.XLOOKUP(tblQuests[[#This Row],[QuestID]]&amp;".accepted",tblTargets[TargetID],tblTargets[DisplayName],""),LEFT(_xlpm.x,LEN(_xlpm.x)-9))</f>
        <v>#ERROR!</v>
      </c>
      <c r="E48" s="26" t="b">
        <v>1</v>
      </c>
      <c r="F48" s="21" t="s">
        <v>4967</v>
      </c>
      <c r="G48" s="21">
        <v>1.0</v>
      </c>
      <c r="H48" s="21"/>
      <c r="I48" s="21"/>
      <c r="J48" s="21" t="s">
        <v>4968</v>
      </c>
      <c r="K48" s="21" t="s">
        <v>4969</v>
      </c>
      <c r="L48" s="21" t="s">
        <v>4970</v>
      </c>
      <c r="M48" s="21" t="s">
        <v>4971</v>
      </c>
      <c r="N48" s="21" t="s">
        <v>186</v>
      </c>
      <c r="O48" s="115" t="s">
        <v>4971</v>
      </c>
    </row>
    <row r="49" ht="14.25" customHeight="1">
      <c r="A49" s="26" t="s">
        <v>4972</v>
      </c>
      <c r="B49" s="21" t="s">
        <v>4973</v>
      </c>
      <c r="C49" s="21" t="s">
        <v>4974</v>
      </c>
      <c r="D49" s="26" t="str">
        <f>_xlfn.LET(_xlpm.x,_xlfn.XLOOKUP(tblQuests[[#This Row],[QuestID]]&amp;".accepted",tblTargets[TargetID],tblTargets[DisplayName],""),LEFT(_xlpm.x,LEN(_xlpm.x)-9))</f>
        <v>#ERROR!</v>
      </c>
      <c r="E49" s="26" t="b">
        <v>1</v>
      </c>
      <c r="F49" s="21" t="s">
        <v>4967</v>
      </c>
      <c r="G49" s="21">
        <v>2.0</v>
      </c>
      <c r="H49" s="21" t="s">
        <v>4975</v>
      </c>
      <c r="I49" s="21"/>
      <c r="J49" s="21" t="s">
        <v>4976</v>
      </c>
      <c r="K49" s="21" t="s">
        <v>4977</v>
      </c>
      <c r="L49" s="21" t="s">
        <v>4978</v>
      </c>
      <c r="M49" s="21" t="s">
        <v>4812</v>
      </c>
      <c r="N49" s="21" t="s">
        <v>186</v>
      </c>
      <c r="O49" s="115" t="s">
        <v>4812</v>
      </c>
    </row>
    <row r="50" ht="14.25" customHeight="1">
      <c r="A50" s="26" t="s">
        <v>4979</v>
      </c>
      <c r="B50" s="21" t="s">
        <v>4980</v>
      </c>
      <c r="C50" s="21" t="s">
        <v>4981</v>
      </c>
      <c r="D50" s="26" t="str">
        <f>_xlfn.LET(_xlpm.x,_xlfn.XLOOKUP(tblQuests[[#This Row],[QuestID]]&amp;".accepted",tblTargets[TargetID],tblTargets[DisplayName],""),LEFT(_xlpm.x,LEN(_xlpm.x)-9))</f>
        <v>#ERROR!</v>
      </c>
      <c r="E50" s="26" t="b">
        <v>1</v>
      </c>
      <c r="F50" s="21" t="s">
        <v>4967</v>
      </c>
      <c r="G50" s="21">
        <v>3.0</v>
      </c>
      <c r="H50" s="21"/>
      <c r="I50" s="21"/>
      <c r="J50" s="21" t="s">
        <v>4982</v>
      </c>
      <c r="K50" s="21" t="s">
        <v>4983</v>
      </c>
      <c r="L50" s="21" t="s">
        <v>4984</v>
      </c>
      <c r="M50" s="21" t="s">
        <v>4985</v>
      </c>
      <c r="N50" s="21" t="s">
        <v>186</v>
      </c>
      <c r="O50" s="115" t="s">
        <v>4985</v>
      </c>
    </row>
    <row r="51" ht="14.25" customHeight="1">
      <c r="A51" s="26" t="s">
        <v>4986</v>
      </c>
      <c r="B51" s="21" t="s">
        <v>4987</v>
      </c>
      <c r="C51" s="21" t="s">
        <v>4988</v>
      </c>
      <c r="D51" s="26" t="str">
        <f>_xlfn.LET(_xlpm.x,_xlfn.XLOOKUP(tblQuests[[#This Row],[QuestID]]&amp;".accepted",tblTargets[TargetID],tblTargets[DisplayName],""),LEFT(_xlpm.x,LEN(_xlpm.x)-9))</f>
        <v>#ERROR!</v>
      </c>
      <c r="E51" s="26" t="b">
        <v>1</v>
      </c>
      <c r="F51" s="21" t="s">
        <v>4967</v>
      </c>
      <c r="G51" s="21">
        <v>4.0</v>
      </c>
      <c r="H51" s="21"/>
      <c r="I51" s="21"/>
      <c r="J51" s="21" t="s">
        <v>4989</v>
      </c>
      <c r="K51" s="21" t="s">
        <v>4990</v>
      </c>
      <c r="L51" s="21" t="s">
        <v>4991</v>
      </c>
      <c r="M51" s="21" t="s">
        <v>4992</v>
      </c>
      <c r="N51" s="21" t="s">
        <v>186</v>
      </c>
      <c r="O51" s="115" t="s">
        <v>4992</v>
      </c>
    </row>
    <row r="52" ht="14.25" customHeight="1">
      <c r="A52" s="26" t="s">
        <v>4993</v>
      </c>
      <c r="B52" s="21" t="s">
        <v>4994</v>
      </c>
      <c r="C52" s="21" t="s">
        <v>4995</v>
      </c>
      <c r="D52" s="26" t="str">
        <f>_xlfn.LET(_xlpm.x,_xlfn.XLOOKUP(tblQuests[[#This Row],[QuestID]]&amp;".accepted",tblTargets[TargetID],tblTargets[DisplayName],""),LEFT(_xlpm.x,LEN(_xlpm.x)-9))</f>
        <v>#ERROR!</v>
      </c>
      <c r="E52" s="26" t="b">
        <v>1</v>
      </c>
      <c r="F52" s="21" t="s">
        <v>4967</v>
      </c>
      <c r="G52" s="21">
        <v>5.0</v>
      </c>
      <c r="H52" s="21" t="s">
        <v>4996</v>
      </c>
      <c r="I52" s="21"/>
      <c r="J52" s="21" t="s">
        <v>4997</v>
      </c>
      <c r="K52" s="21" t="s">
        <v>4998</v>
      </c>
      <c r="L52" s="21" t="s">
        <v>4999</v>
      </c>
      <c r="M52" s="21" t="s">
        <v>5000</v>
      </c>
      <c r="N52" s="21" t="s">
        <v>186</v>
      </c>
      <c r="O52" s="115" t="s">
        <v>5000</v>
      </c>
    </row>
    <row r="53" ht="14.25" customHeight="1">
      <c r="A53" s="26" t="s">
        <v>5001</v>
      </c>
      <c r="B53" s="21" t="s">
        <v>5002</v>
      </c>
      <c r="C53" s="21" t="s">
        <v>5003</v>
      </c>
      <c r="D53" s="26" t="str">
        <f>_xlfn.LET(_xlpm.x,_xlfn.XLOOKUP(tblQuests[[#This Row],[QuestID]]&amp;".accepted",tblTargets[TargetID],tblTargets[DisplayName],""),LEFT(_xlpm.x,LEN(_xlpm.x)-9))</f>
        <v>#ERROR!</v>
      </c>
      <c r="E53" s="26" t="b">
        <v>1</v>
      </c>
      <c r="F53" s="21" t="s">
        <v>4967</v>
      </c>
      <c r="G53" s="21">
        <v>6.0</v>
      </c>
      <c r="H53" s="21" t="s">
        <v>5004</v>
      </c>
      <c r="I53" s="21"/>
      <c r="J53" s="21" t="s">
        <v>4795</v>
      </c>
      <c r="K53" s="21" t="s">
        <v>5005</v>
      </c>
      <c r="L53" s="21" t="s">
        <v>5006</v>
      </c>
      <c r="M53" s="21" t="s">
        <v>5007</v>
      </c>
      <c r="N53" s="21" t="s">
        <v>186</v>
      </c>
      <c r="O53" s="115" t="s">
        <v>5007</v>
      </c>
    </row>
    <row r="54" ht="14.25" customHeight="1">
      <c r="A54" s="26" t="s">
        <v>5008</v>
      </c>
      <c r="B54" s="21" t="s">
        <v>5009</v>
      </c>
      <c r="C54" s="21" t="s">
        <v>5010</v>
      </c>
      <c r="D54" s="26" t="str">
        <f>_xlfn.LET(_xlpm.x,_xlfn.XLOOKUP(tblQuests[[#This Row],[QuestID]]&amp;".accepted",tblTargets[TargetID],tblTargets[DisplayName],""),LEFT(_xlpm.x,LEN(_xlpm.x)-9))</f>
        <v>#ERROR!</v>
      </c>
      <c r="E54" s="26" t="b">
        <v>1</v>
      </c>
      <c r="F54" s="21" t="s">
        <v>4967</v>
      </c>
      <c r="G54" s="21">
        <v>7.0</v>
      </c>
      <c r="H54" s="21"/>
      <c r="I54" s="21"/>
      <c r="J54" s="21" t="s">
        <v>5011</v>
      </c>
      <c r="K54" s="21" t="s">
        <v>5012</v>
      </c>
      <c r="L54" s="21" t="s">
        <v>5013</v>
      </c>
      <c r="M54" s="21" t="s">
        <v>5014</v>
      </c>
      <c r="N54" s="21" t="s">
        <v>186</v>
      </c>
      <c r="O54" s="115" t="s">
        <v>5014</v>
      </c>
    </row>
    <row r="55" ht="14.25" customHeight="1">
      <c r="A55" s="26" t="s">
        <v>5015</v>
      </c>
      <c r="B55" s="21" t="s">
        <v>5016</v>
      </c>
      <c r="C55" s="21" t="s">
        <v>5017</v>
      </c>
      <c r="D55" s="26" t="str">
        <f>_xlfn.LET(_xlpm.x,_xlfn.XLOOKUP(tblQuests[[#This Row],[QuestID]]&amp;".accepted",tblTargets[TargetID],tblTargets[DisplayName],""),LEFT(_xlpm.x,LEN(_xlpm.x)-9))</f>
        <v>#ERROR!</v>
      </c>
      <c r="E55" s="26" t="b">
        <v>1</v>
      </c>
      <c r="F55" s="21" t="s">
        <v>4967</v>
      </c>
      <c r="G55" s="21">
        <v>8.0</v>
      </c>
      <c r="H55" s="21"/>
      <c r="I55" s="21"/>
      <c r="J55" s="21" t="s">
        <v>5018</v>
      </c>
      <c r="K55" s="21" t="s">
        <v>5019</v>
      </c>
      <c r="L55" s="21" t="s">
        <v>5020</v>
      </c>
      <c r="M55" s="21" t="s">
        <v>5021</v>
      </c>
      <c r="N55" s="21" t="s">
        <v>186</v>
      </c>
      <c r="O55" s="115" t="s">
        <v>5021</v>
      </c>
    </row>
    <row r="56" ht="14.25" customHeight="1">
      <c r="A56" s="26" t="s">
        <v>5022</v>
      </c>
      <c r="B56" s="21" t="s">
        <v>5023</v>
      </c>
      <c r="C56" s="21"/>
      <c r="D56" s="26" t="str">
        <f>_xlfn.LET(_xlpm.x,_xlfn.XLOOKUP(tblQuests[[#This Row],[QuestID]]&amp;".accepted",tblTargets[TargetID],tblTargets[DisplayName],""),LEFT(_xlpm.x,LEN(_xlpm.x)-9))</f>
        <v>#ERROR!</v>
      </c>
      <c r="E56" s="26" t="b">
        <v>1</v>
      </c>
      <c r="F56" s="21" t="s">
        <v>5024</v>
      </c>
      <c r="G56" s="21" t="s">
        <v>186</v>
      </c>
      <c r="H56" s="21"/>
      <c r="I56" s="117" t="s">
        <v>5025</v>
      </c>
      <c r="J56" s="116" t="s">
        <v>5026</v>
      </c>
      <c r="K56" s="21" t="s">
        <v>5027</v>
      </c>
      <c r="L56" s="21" t="s">
        <v>5028</v>
      </c>
      <c r="M56" s="21" t="s">
        <v>5029</v>
      </c>
      <c r="N56" s="21" t="s">
        <v>186</v>
      </c>
      <c r="O56" s="115" t="s">
        <v>5029</v>
      </c>
    </row>
    <row r="57" ht="14.25" customHeight="1">
      <c r="A57" s="26" t="s">
        <v>5030</v>
      </c>
      <c r="B57" s="21" t="s">
        <v>5031</v>
      </c>
      <c r="C57" s="21"/>
      <c r="D57" s="26" t="str">
        <f>_xlfn.LET(_xlpm.x,_xlfn.XLOOKUP(tblQuests[[#This Row],[QuestID]]&amp;".accepted",tblTargets[TargetID],tblTargets[DisplayName],""),LEFT(_xlpm.x,LEN(_xlpm.x)-9))</f>
        <v>#ERROR!</v>
      </c>
      <c r="E57" s="26" t="b">
        <v>1</v>
      </c>
      <c r="F57" s="21" t="s">
        <v>5032</v>
      </c>
      <c r="G57" s="21" t="s">
        <v>186</v>
      </c>
      <c r="H57" s="21"/>
      <c r="I57" s="117" t="s">
        <v>5033</v>
      </c>
      <c r="J57" s="116" t="s">
        <v>5034</v>
      </c>
      <c r="K57" s="21" t="s">
        <v>5035</v>
      </c>
      <c r="L57" s="21" t="s">
        <v>5036</v>
      </c>
      <c r="M57" s="21" t="s">
        <v>5037</v>
      </c>
      <c r="N57" s="21" t="s">
        <v>186</v>
      </c>
      <c r="O57" s="115" t="s">
        <v>5037</v>
      </c>
    </row>
    <row r="58" ht="14.25" customHeight="1">
      <c r="A58" s="26" t="s">
        <v>5038</v>
      </c>
      <c r="B58" s="21" t="s">
        <v>5039</v>
      </c>
      <c r="C58" s="21"/>
      <c r="D58" s="26" t="str">
        <f>_xlfn.LET(_xlpm.x,_xlfn.XLOOKUP(tblQuests[[#This Row],[QuestID]]&amp;".accepted",tblTargets[TargetID],tblTargets[DisplayName],""),LEFT(_xlpm.x,LEN(_xlpm.x)-9))</f>
        <v>#ERROR!</v>
      </c>
      <c r="E58" s="26" t="b">
        <v>1</v>
      </c>
      <c r="F58" s="21" t="s">
        <v>5040</v>
      </c>
      <c r="G58" s="21" t="s">
        <v>186</v>
      </c>
      <c r="H58" s="21"/>
      <c r="I58" s="117" t="s">
        <v>5041</v>
      </c>
      <c r="J58" s="116" t="s">
        <v>5042</v>
      </c>
      <c r="K58" s="21" t="s">
        <v>5043</v>
      </c>
      <c r="L58" s="21" t="s">
        <v>5044</v>
      </c>
      <c r="M58" s="21" t="s">
        <v>5029</v>
      </c>
      <c r="N58" s="21" t="s">
        <v>186</v>
      </c>
      <c r="O58" s="115" t="s">
        <v>5029</v>
      </c>
    </row>
    <row r="59" ht="14.25" customHeight="1">
      <c r="A59" s="26" t="s">
        <v>5045</v>
      </c>
      <c r="B59" s="21" t="s">
        <v>5046</v>
      </c>
      <c r="C59" s="21"/>
      <c r="D59" s="26" t="str">
        <f>_xlfn.LET(_xlpm.x,_xlfn.XLOOKUP(tblQuests[[#This Row],[QuestID]]&amp;".accepted",tblTargets[TargetID],tblTargets[DisplayName],""),LEFT(_xlpm.x,LEN(_xlpm.x)-9))</f>
        <v>#ERROR!</v>
      </c>
      <c r="E59" s="26" t="b">
        <v>0</v>
      </c>
      <c r="F59" s="21" t="s">
        <v>5047</v>
      </c>
      <c r="G59" s="21" t="s">
        <v>186</v>
      </c>
      <c r="H59" s="21"/>
      <c r="I59" s="21"/>
      <c r="J59" s="21" t="s">
        <v>5048</v>
      </c>
      <c r="K59" s="21"/>
      <c r="L59" s="21"/>
      <c r="M59" s="21" t="s">
        <v>186</v>
      </c>
      <c r="N59" s="21" t="s">
        <v>186</v>
      </c>
      <c r="O59" s="115" t="s">
        <v>186</v>
      </c>
    </row>
    <row r="60" ht="14.25" customHeight="1">
      <c r="A60" s="26" t="s">
        <v>5045</v>
      </c>
      <c r="B60" s="21" t="s">
        <v>5046</v>
      </c>
      <c r="C60" s="21"/>
      <c r="D60" s="26" t="str">
        <f>_xlfn.LET(_xlpm.x,_xlfn.XLOOKUP(tblQuests[[#This Row],[QuestID]]&amp;".accepted",tblTargets[TargetID],tblTargets[DisplayName],""),LEFT(_xlpm.x,LEN(_xlpm.x)-9))</f>
        <v>#ERROR!</v>
      </c>
      <c r="E60" s="26" t="b">
        <v>0</v>
      </c>
      <c r="F60" s="21" t="s">
        <v>5047</v>
      </c>
      <c r="G60" s="21" t="s">
        <v>186</v>
      </c>
      <c r="H60" s="21"/>
      <c r="I60" s="21"/>
      <c r="J60" s="21" t="s">
        <v>5049</v>
      </c>
      <c r="K60" s="21" t="s">
        <v>5050</v>
      </c>
      <c r="L60" s="21"/>
      <c r="M60" s="21" t="s">
        <v>186</v>
      </c>
      <c r="N60" s="21" t="s">
        <v>186</v>
      </c>
      <c r="O60" s="115" t="s">
        <v>186</v>
      </c>
    </row>
    <row r="61" ht="156.75" customHeight="1">
      <c r="A61" s="26" t="s">
        <v>5045</v>
      </c>
      <c r="B61" s="21" t="s">
        <v>5046</v>
      </c>
      <c r="C61" s="21"/>
      <c r="D61" s="26" t="str">
        <f>_xlfn.LET(_xlpm.x,_xlfn.XLOOKUP(tblQuests[[#This Row],[QuestID]]&amp;".accepted",tblTargets[TargetID],tblTargets[DisplayName],""),LEFT(_xlpm.x,LEN(_xlpm.x)-9))</f>
        <v>#ERROR!</v>
      </c>
      <c r="E61" s="26" t="b">
        <v>0</v>
      </c>
      <c r="F61" s="21" t="s">
        <v>5047</v>
      </c>
      <c r="G61" s="21" t="s">
        <v>186</v>
      </c>
      <c r="H61" s="21"/>
      <c r="I61" s="21"/>
      <c r="J61" s="21" t="s">
        <v>5051</v>
      </c>
      <c r="K61" s="21" t="s">
        <v>5052</v>
      </c>
      <c r="L61" s="21"/>
      <c r="M61" s="21" t="s">
        <v>186</v>
      </c>
      <c r="N61" s="21" t="s">
        <v>186</v>
      </c>
      <c r="O61" s="115" t="s">
        <v>186</v>
      </c>
    </row>
    <row r="62" ht="14.25" customHeight="1">
      <c r="C62" s="6"/>
    </row>
    <row r="63" ht="14.25" customHeight="1">
      <c r="C63" s="6"/>
    </row>
    <row r="64" ht="14.25" customHeight="1">
      <c r="C64" s="6"/>
    </row>
    <row r="65" ht="14.25" customHeight="1">
      <c r="C65" s="6"/>
    </row>
    <row r="66" ht="14.25" customHeight="1">
      <c r="C66" s="6"/>
    </row>
    <row r="67" ht="14.25" customHeight="1">
      <c r="C67" s="6"/>
    </row>
    <row r="68" ht="14.25" customHeight="1">
      <c r="C68" s="6"/>
    </row>
    <row r="69" ht="14.25" customHeight="1">
      <c r="C69" s="6"/>
    </row>
    <row r="70" ht="14.25" customHeight="1">
      <c r="C70" s="6"/>
    </row>
    <row r="71" ht="14.25" customHeight="1">
      <c r="C71" s="6"/>
    </row>
    <row r="72" ht="14.25" customHeight="1">
      <c r="C72" s="6"/>
    </row>
    <row r="73" ht="14.25" customHeight="1">
      <c r="C73" s="6"/>
    </row>
    <row r="74" ht="14.25" customHeight="1">
      <c r="C74" s="6"/>
    </row>
    <row r="75" ht="14.25" customHeight="1">
      <c r="C75" s="6"/>
    </row>
    <row r="76" ht="14.25" customHeight="1">
      <c r="C76" s="6"/>
    </row>
    <row r="77" ht="14.25" customHeight="1">
      <c r="C77" s="6"/>
    </row>
    <row r="78" ht="14.25" customHeight="1">
      <c r="C78" s="6"/>
    </row>
    <row r="79" ht="14.25" customHeight="1">
      <c r="C79" s="6"/>
    </row>
    <row r="80" ht="14.25" customHeight="1">
      <c r="C80" s="6"/>
    </row>
    <row r="81" ht="14.25" customHeight="1">
      <c r="C81" s="6"/>
    </row>
    <row r="82" ht="14.25" customHeight="1">
      <c r="C82" s="6"/>
    </row>
    <row r="83" ht="14.25" customHeight="1">
      <c r="C83" s="6"/>
    </row>
    <row r="84" ht="14.25" customHeight="1">
      <c r="C84" s="6"/>
    </row>
    <row r="85" ht="14.25" customHeight="1">
      <c r="C85" s="6"/>
    </row>
    <row r="86" ht="14.25" customHeight="1">
      <c r="C86" s="6"/>
    </row>
    <row r="87" ht="14.25" customHeight="1">
      <c r="C87" s="6"/>
    </row>
    <row r="88" ht="14.25" customHeight="1">
      <c r="C88" s="6"/>
    </row>
    <row r="89" ht="14.25" customHeight="1">
      <c r="C89" s="6"/>
    </row>
    <row r="90" ht="14.25" customHeight="1">
      <c r="C90" s="6"/>
    </row>
    <row r="91" ht="14.25" customHeight="1">
      <c r="C91" s="6"/>
    </row>
    <row r="92" ht="14.25" customHeight="1">
      <c r="C92" s="6"/>
    </row>
    <row r="93" ht="14.25" customHeight="1">
      <c r="C93" s="6"/>
    </row>
    <row r="94" ht="14.25" customHeight="1">
      <c r="C94" s="6"/>
    </row>
    <row r="95" ht="14.25" customHeight="1">
      <c r="C95" s="6"/>
    </row>
    <row r="96" ht="14.25" customHeight="1">
      <c r="C96" s="6"/>
    </row>
    <row r="97" ht="14.25" customHeight="1">
      <c r="C97" s="6"/>
    </row>
    <row r="98" ht="14.25" customHeight="1">
      <c r="C98" s="6"/>
    </row>
    <row r="99" ht="14.25" customHeight="1">
      <c r="C99" s="6"/>
    </row>
    <row r="100" ht="14.25" customHeight="1">
      <c r="C100" s="6"/>
    </row>
    <row r="101" ht="14.25" customHeight="1">
      <c r="C101" s="6"/>
    </row>
    <row r="102" ht="14.25" customHeight="1">
      <c r="C102" s="6"/>
    </row>
    <row r="103" ht="14.25" customHeight="1">
      <c r="C103" s="6"/>
    </row>
    <row r="104" ht="14.25" customHeight="1">
      <c r="C104" s="6"/>
    </row>
    <row r="105" ht="14.25" customHeight="1">
      <c r="C105" s="6"/>
    </row>
    <row r="106" ht="14.25" customHeight="1">
      <c r="C106" s="6"/>
    </row>
    <row r="107" ht="14.25" customHeight="1">
      <c r="C107" s="6"/>
    </row>
    <row r="108" ht="14.25" customHeight="1">
      <c r="C108" s="6"/>
    </row>
    <row r="109" ht="14.25" customHeight="1">
      <c r="C109" s="6"/>
    </row>
    <row r="110" ht="14.25" customHeight="1">
      <c r="C110" s="6"/>
    </row>
    <row r="111" ht="14.25" customHeight="1">
      <c r="C111" s="6"/>
    </row>
    <row r="112" ht="14.25" customHeight="1">
      <c r="C112" s="6"/>
    </row>
    <row r="113" ht="14.25" customHeight="1">
      <c r="C113" s="6"/>
    </row>
    <row r="114" ht="14.25" customHeight="1">
      <c r="C114" s="6"/>
    </row>
    <row r="115" ht="14.25" customHeight="1">
      <c r="C115" s="6"/>
    </row>
    <row r="116" ht="14.25" customHeight="1">
      <c r="C116" s="6"/>
    </row>
    <row r="117" ht="14.25" customHeight="1">
      <c r="C117" s="6"/>
    </row>
    <row r="118" ht="14.25" customHeight="1">
      <c r="C118" s="6"/>
    </row>
    <row r="119" ht="14.25" customHeight="1">
      <c r="C119" s="6"/>
    </row>
    <row r="120" ht="14.25" customHeight="1">
      <c r="C120" s="6"/>
    </row>
    <row r="121" ht="14.25" customHeight="1">
      <c r="C121" s="6"/>
    </row>
    <row r="122" ht="14.25" customHeight="1">
      <c r="C122" s="6"/>
    </row>
    <row r="123" ht="14.25" customHeight="1">
      <c r="C123" s="6"/>
    </row>
    <row r="124" ht="14.25" customHeight="1">
      <c r="C124" s="6"/>
    </row>
    <row r="125" ht="14.25" customHeight="1">
      <c r="C125" s="6"/>
    </row>
    <row r="126" ht="14.25" customHeight="1">
      <c r="C126" s="6"/>
    </row>
    <row r="127" ht="14.25" customHeight="1">
      <c r="C127" s="6"/>
    </row>
    <row r="128" ht="14.25" customHeight="1">
      <c r="C128" s="6"/>
    </row>
    <row r="129" ht="14.25" customHeight="1">
      <c r="C129" s="6"/>
    </row>
    <row r="130" ht="14.25" customHeight="1">
      <c r="C130" s="6"/>
    </row>
    <row r="131" ht="14.25" customHeight="1">
      <c r="C131" s="6"/>
    </row>
    <row r="132" ht="14.25" customHeight="1">
      <c r="C132" s="6"/>
    </row>
    <row r="133" ht="14.25" customHeight="1">
      <c r="C133" s="6"/>
    </row>
    <row r="134" ht="14.25" customHeight="1">
      <c r="C134" s="6"/>
    </row>
    <row r="135" ht="14.25" customHeight="1">
      <c r="C135" s="6"/>
    </row>
    <row r="136" ht="14.25" customHeight="1">
      <c r="C136" s="6"/>
    </row>
    <row r="137" ht="14.25" customHeight="1">
      <c r="C137" s="6"/>
    </row>
    <row r="138" ht="14.25" customHeight="1">
      <c r="C138" s="6"/>
    </row>
    <row r="139" ht="14.25" customHeight="1">
      <c r="C139" s="6"/>
    </row>
    <row r="140" ht="14.25" customHeight="1">
      <c r="C140" s="6"/>
    </row>
    <row r="141" ht="14.25" customHeight="1">
      <c r="C141" s="6"/>
    </row>
    <row r="142" ht="14.25" customHeight="1">
      <c r="C142" s="6"/>
    </row>
    <row r="143" ht="14.25" customHeight="1">
      <c r="C143" s="6"/>
    </row>
    <row r="144" ht="14.25" customHeight="1">
      <c r="C144" s="6"/>
    </row>
    <row r="145" ht="14.25" customHeight="1">
      <c r="C145" s="6"/>
    </row>
    <row r="146" ht="14.25" customHeight="1">
      <c r="C146" s="6"/>
    </row>
    <row r="147" ht="14.25" customHeight="1">
      <c r="C147" s="6"/>
    </row>
    <row r="148" ht="14.25" customHeight="1">
      <c r="C148" s="6"/>
    </row>
    <row r="149" ht="14.25" customHeight="1">
      <c r="C149" s="6"/>
    </row>
    <row r="150" ht="14.25" customHeight="1">
      <c r="C150" s="6"/>
    </row>
    <row r="151" ht="14.25" customHeight="1">
      <c r="C151" s="6"/>
    </row>
    <row r="152" ht="14.25" customHeight="1">
      <c r="C152" s="6"/>
    </row>
    <row r="153" ht="14.25" customHeight="1">
      <c r="C153" s="6"/>
    </row>
    <row r="154" ht="14.25" customHeight="1">
      <c r="C154" s="6"/>
    </row>
    <row r="155" ht="14.25" customHeight="1">
      <c r="C155" s="6"/>
    </row>
    <row r="156" ht="14.25" customHeight="1">
      <c r="C156" s="6"/>
    </row>
    <row r="157" ht="14.25" customHeight="1">
      <c r="C157" s="6"/>
    </row>
    <row r="158" ht="14.25" customHeight="1">
      <c r="C158" s="6"/>
    </row>
    <row r="159" ht="14.25" customHeight="1">
      <c r="C159" s="6"/>
    </row>
    <row r="160" ht="14.25" customHeight="1">
      <c r="C160" s="6"/>
    </row>
    <row r="161" ht="14.25" customHeight="1">
      <c r="C161" s="6"/>
    </row>
    <row r="162" ht="14.25" customHeight="1">
      <c r="C162" s="6"/>
    </row>
    <row r="163" ht="14.25" customHeight="1">
      <c r="C163" s="6"/>
    </row>
    <row r="164" ht="14.25" customHeight="1">
      <c r="C164" s="6"/>
    </row>
    <row r="165" ht="14.25" customHeight="1">
      <c r="C165" s="6"/>
    </row>
    <row r="166" ht="14.25" customHeight="1">
      <c r="C166" s="6"/>
    </row>
    <row r="167" ht="14.25" customHeight="1">
      <c r="C167" s="6"/>
    </row>
    <row r="168" ht="14.25" customHeight="1">
      <c r="C168" s="6"/>
    </row>
    <row r="169" ht="14.25" customHeight="1">
      <c r="C169" s="6"/>
    </row>
    <row r="170" ht="14.25" customHeight="1">
      <c r="C170" s="6"/>
    </row>
    <row r="171" ht="14.25" customHeight="1">
      <c r="C171" s="6"/>
    </row>
    <row r="172" ht="14.25" customHeight="1">
      <c r="C172" s="6"/>
    </row>
    <row r="173" ht="14.25" customHeight="1">
      <c r="C173" s="6"/>
    </row>
    <row r="174" ht="14.25" customHeight="1">
      <c r="C174" s="6"/>
    </row>
    <row r="175" ht="14.25" customHeight="1">
      <c r="C175" s="6"/>
    </row>
    <row r="176" ht="14.25" customHeight="1">
      <c r="C176" s="6"/>
    </row>
    <row r="177" ht="14.25" customHeight="1">
      <c r="C177" s="6"/>
    </row>
    <row r="178" ht="14.25" customHeight="1">
      <c r="C178" s="6"/>
    </row>
    <row r="179" ht="14.25" customHeight="1">
      <c r="C179" s="6"/>
    </row>
    <row r="180" ht="14.25" customHeight="1">
      <c r="C180" s="6"/>
    </row>
    <row r="181" ht="14.25" customHeight="1">
      <c r="C181" s="6"/>
    </row>
    <row r="182" ht="14.25" customHeight="1">
      <c r="C182" s="6"/>
    </row>
    <row r="183" ht="14.25" customHeight="1">
      <c r="C183" s="6"/>
    </row>
    <row r="184" ht="14.25" customHeight="1">
      <c r="C184" s="6"/>
    </row>
    <row r="185" ht="14.25" customHeight="1">
      <c r="C185" s="6"/>
    </row>
    <row r="186" ht="14.25" customHeight="1">
      <c r="C186" s="6"/>
    </row>
    <row r="187" ht="14.25" customHeight="1">
      <c r="C187" s="6"/>
    </row>
    <row r="188" ht="14.25" customHeight="1">
      <c r="C188" s="6"/>
    </row>
    <row r="189" ht="14.25" customHeight="1">
      <c r="C189" s="6"/>
    </row>
    <row r="190" ht="14.25" customHeight="1">
      <c r="C190" s="6"/>
    </row>
    <row r="191" ht="14.25" customHeight="1">
      <c r="C191" s="6"/>
    </row>
    <row r="192" ht="14.25" customHeight="1">
      <c r="C192" s="6"/>
    </row>
    <row r="193" ht="14.25" customHeight="1">
      <c r="C193" s="6"/>
    </row>
    <row r="194" ht="14.25" customHeight="1">
      <c r="C194" s="6"/>
    </row>
    <row r="195" ht="14.25" customHeight="1">
      <c r="C195" s="6"/>
    </row>
    <row r="196" ht="14.25" customHeight="1">
      <c r="C196" s="6"/>
    </row>
    <row r="197" ht="14.25" customHeight="1">
      <c r="C197" s="6"/>
    </row>
    <row r="198" ht="14.25" customHeight="1">
      <c r="C198" s="6"/>
    </row>
    <row r="199" ht="14.25" customHeight="1">
      <c r="C199" s="6"/>
    </row>
    <row r="200" ht="14.25" customHeight="1">
      <c r="C200" s="6"/>
    </row>
    <row r="201" ht="14.25" customHeight="1">
      <c r="C201" s="6"/>
    </row>
    <row r="202" ht="14.25" customHeight="1">
      <c r="C202" s="6"/>
    </row>
    <row r="203" ht="14.25" customHeight="1">
      <c r="C203" s="6"/>
    </row>
    <row r="204" ht="14.25" customHeight="1">
      <c r="C204" s="6"/>
    </row>
    <row r="205" ht="14.25" customHeight="1">
      <c r="C205" s="6"/>
    </row>
    <row r="206" ht="14.25" customHeight="1">
      <c r="C206" s="6"/>
    </row>
    <row r="207" ht="14.25" customHeight="1">
      <c r="C207" s="6"/>
    </row>
    <row r="208" ht="14.25" customHeight="1">
      <c r="C208" s="6"/>
    </row>
    <row r="209" ht="14.25" customHeight="1">
      <c r="C209" s="6"/>
    </row>
    <row r="210" ht="14.25" customHeight="1">
      <c r="C210" s="6"/>
    </row>
    <row r="211" ht="14.25" customHeight="1">
      <c r="C211" s="6"/>
    </row>
    <row r="212" ht="14.25" customHeight="1">
      <c r="C212" s="6"/>
    </row>
    <row r="213" ht="14.25" customHeight="1">
      <c r="C213" s="6"/>
    </row>
    <row r="214" ht="14.25" customHeight="1">
      <c r="C214" s="6"/>
    </row>
    <row r="215" ht="14.25" customHeight="1">
      <c r="C215" s="6"/>
    </row>
    <row r="216" ht="14.25" customHeight="1">
      <c r="C216" s="6"/>
    </row>
    <row r="217" ht="14.25" customHeight="1">
      <c r="C217" s="6"/>
    </row>
    <row r="218" ht="14.25" customHeight="1">
      <c r="C218" s="6"/>
    </row>
    <row r="219" ht="14.25" customHeight="1">
      <c r="C219" s="6"/>
    </row>
    <row r="220" ht="14.25" customHeight="1">
      <c r="C220" s="6"/>
    </row>
    <row r="221" ht="14.25" customHeight="1">
      <c r="C221" s="6"/>
    </row>
    <row r="222" ht="14.25" customHeight="1">
      <c r="C222" s="6"/>
    </row>
    <row r="223" ht="14.25" customHeight="1">
      <c r="C223" s="6"/>
    </row>
    <row r="224" ht="14.25" customHeight="1">
      <c r="C224" s="6"/>
    </row>
    <row r="225" ht="14.25" customHeight="1">
      <c r="C225" s="6"/>
    </row>
    <row r="226" ht="14.25" customHeight="1">
      <c r="C226" s="6"/>
    </row>
    <row r="227" ht="14.25" customHeight="1">
      <c r="C227" s="6"/>
    </row>
    <row r="228" ht="14.25" customHeight="1">
      <c r="C228" s="6"/>
    </row>
    <row r="229" ht="14.25" customHeight="1">
      <c r="C229" s="6"/>
    </row>
    <row r="230" ht="14.25" customHeight="1">
      <c r="C230" s="6"/>
    </row>
    <row r="231" ht="14.25" customHeight="1">
      <c r="C231" s="6"/>
    </row>
    <row r="232" ht="14.25" customHeight="1">
      <c r="C232" s="6"/>
    </row>
    <row r="233" ht="14.25" customHeight="1">
      <c r="C233" s="6"/>
    </row>
    <row r="234" ht="14.25" customHeight="1">
      <c r="C234" s="6"/>
    </row>
    <row r="235" ht="14.25" customHeight="1">
      <c r="C235" s="6"/>
    </row>
    <row r="236" ht="14.25" customHeight="1">
      <c r="C236" s="6"/>
    </row>
    <row r="237" ht="14.25" customHeight="1">
      <c r="C237" s="6"/>
    </row>
    <row r="238" ht="14.25" customHeight="1">
      <c r="C238" s="6"/>
    </row>
    <row r="239" ht="14.25" customHeight="1">
      <c r="C239" s="6"/>
    </row>
    <row r="240" ht="14.25" customHeight="1">
      <c r="C240" s="6"/>
    </row>
    <row r="241" ht="14.25" customHeight="1">
      <c r="C241" s="6"/>
    </row>
    <row r="242" ht="14.25" customHeight="1">
      <c r="C242" s="6"/>
    </row>
    <row r="243" ht="14.25" customHeight="1">
      <c r="C243" s="6"/>
    </row>
    <row r="244" ht="14.25" customHeight="1">
      <c r="C244" s="6"/>
    </row>
    <row r="245" ht="14.25" customHeight="1">
      <c r="C245" s="6"/>
    </row>
    <row r="246" ht="14.25" customHeight="1">
      <c r="C246" s="6"/>
    </row>
    <row r="247" ht="14.25" customHeight="1">
      <c r="C247" s="6"/>
    </row>
    <row r="248" ht="14.25" customHeight="1">
      <c r="C248" s="6"/>
    </row>
    <row r="249" ht="14.25" customHeight="1">
      <c r="C249" s="6"/>
    </row>
    <row r="250" ht="14.25" customHeight="1">
      <c r="C250" s="6"/>
    </row>
    <row r="251" ht="14.25" customHeight="1">
      <c r="C251" s="6"/>
    </row>
    <row r="252" ht="14.25" customHeight="1">
      <c r="C252" s="6"/>
    </row>
    <row r="253" ht="14.25" customHeight="1">
      <c r="C253" s="6"/>
    </row>
    <row r="254" ht="14.25" customHeight="1">
      <c r="C254" s="6"/>
    </row>
    <row r="255" ht="14.25" customHeight="1">
      <c r="C255" s="6"/>
    </row>
    <row r="256" ht="14.25" customHeight="1">
      <c r="C256" s="6"/>
    </row>
    <row r="257" ht="14.25" customHeight="1">
      <c r="C257" s="6"/>
    </row>
    <row r="258" ht="14.25" customHeight="1">
      <c r="C258" s="6"/>
    </row>
    <row r="259" ht="14.25" customHeight="1">
      <c r="C259" s="6"/>
    </row>
    <row r="260" ht="14.25" customHeight="1">
      <c r="C260" s="6"/>
    </row>
    <row r="261" ht="14.25" customHeight="1">
      <c r="C261" s="6"/>
    </row>
    <row r="262" ht="14.25" customHeight="1">
      <c r="C262" s="6"/>
    </row>
    <row r="263" ht="14.25" customHeight="1">
      <c r="C263" s="6"/>
    </row>
    <row r="264" ht="14.25" customHeight="1">
      <c r="C264" s="6"/>
    </row>
    <row r="265" ht="14.25" customHeight="1">
      <c r="C265" s="6"/>
    </row>
    <row r="266" ht="14.25" customHeight="1">
      <c r="C266" s="6"/>
    </row>
    <row r="267" ht="14.25" customHeight="1">
      <c r="C267" s="6"/>
    </row>
    <row r="268" ht="14.25" customHeight="1">
      <c r="C268" s="6"/>
    </row>
    <row r="269" ht="14.25" customHeight="1">
      <c r="C269" s="6"/>
    </row>
    <row r="270" ht="14.25" customHeight="1">
      <c r="C270" s="6"/>
    </row>
    <row r="271" ht="14.25" customHeight="1">
      <c r="C271" s="6"/>
    </row>
    <row r="272" ht="14.25" customHeight="1">
      <c r="C272" s="6"/>
    </row>
    <row r="273" ht="14.25" customHeight="1">
      <c r="C273" s="6"/>
    </row>
    <row r="274" ht="14.25" customHeight="1">
      <c r="C274" s="6"/>
    </row>
    <row r="275" ht="14.25" customHeight="1">
      <c r="C275" s="6"/>
    </row>
    <row r="276" ht="14.25" customHeight="1">
      <c r="C276" s="6"/>
    </row>
    <row r="277" ht="14.25" customHeight="1">
      <c r="C277" s="6"/>
    </row>
    <row r="278" ht="14.25" customHeight="1">
      <c r="C278" s="6"/>
    </row>
    <row r="279" ht="14.25" customHeight="1">
      <c r="C279" s="6"/>
    </row>
    <row r="280" ht="14.25" customHeight="1">
      <c r="C280" s="6"/>
    </row>
    <row r="281" ht="14.25" customHeight="1">
      <c r="C281" s="6"/>
    </row>
    <row r="282" ht="14.25" customHeight="1">
      <c r="C282" s="6"/>
    </row>
    <row r="283" ht="14.25" customHeight="1">
      <c r="C283" s="6"/>
    </row>
    <row r="284" ht="14.25" customHeight="1">
      <c r="C284" s="6"/>
    </row>
    <row r="285" ht="14.25" customHeight="1">
      <c r="C285" s="6"/>
    </row>
    <row r="286" ht="14.25" customHeight="1">
      <c r="C286" s="6"/>
    </row>
    <row r="287" ht="14.25" customHeight="1">
      <c r="C287" s="6"/>
    </row>
    <row r="288" ht="14.25" customHeight="1">
      <c r="C288" s="6"/>
    </row>
    <row r="289" ht="14.25" customHeight="1">
      <c r="C289" s="6"/>
    </row>
    <row r="290" ht="14.25" customHeight="1">
      <c r="C290" s="6"/>
    </row>
    <row r="291" ht="14.25" customHeight="1">
      <c r="C291" s="6"/>
    </row>
    <row r="292" ht="14.25" customHeight="1">
      <c r="C292" s="6"/>
    </row>
    <row r="293" ht="14.25" customHeight="1">
      <c r="C293" s="6"/>
    </row>
    <row r="294" ht="14.25" customHeight="1">
      <c r="C294" s="6"/>
    </row>
    <row r="295" ht="14.25" customHeight="1">
      <c r="C295" s="6"/>
    </row>
    <row r="296" ht="14.25" customHeight="1">
      <c r="C296" s="6"/>
    </row>
    <row r="297" ht="14.25" customHeight="1">
      <c r="C297" s="6"/>
    </row>
    <row r="298" ht="14.25" customHeight="1">
      <c r="C298" s="6"/>
    </row>
    <row r="299" ht="14.25" customHeight="1">
      <c r="C299" s="6"/>
    </row>
    <row r="300" ht="14.25" customHeight="1">
      <c r="C300" s="6"/>
    </row>
    <row r="301" ht="14.25" customHeight="1">
      <c r="C301" s="6"/>
    </row>
    <row r="302" ht="14.25" customHeight="1">
      <c r="C302" s="6"/>
    </row>
    <row r="303" ht="14.25" customHeight="1">
      <c r="C303" s="6"/>
    </row>
    <row r="304" ht="14.25" customHeight="1">
      <c r="C304" s="6"/>
    </row>
    <row r="305" ht="14.25" customHeight="1">
      <c r="C305" s="6"/>
    </row>
    <row r="306" ht="14.25" customHeight="1">
      <c r="C306" s="6"/>
    </row>
    <row r="307" ht="14.25" customHeight="1">
      <c r="C307" s="6"/>
    </row>
    <row r="308" ht="14.25" customHeight="1">
      <c r="C308" s="6"/>
    </row>
    <row r="309" ht="14.25" customHeight="1">
      <c r="C309" s="6"/>
    </row>
    <row r="310" ht="14.25" customHeight="1">
      <c r="C310" s="6"/>
    </row>
    <row r="311" ht="14.25" customHeight="1">
      <c r="C311" s="6"/>
    </row>
    <row r="312" ht="14.25" customHeight="1">
      <c r="C312" s="6"/>
    </row>
    <row r="313" ht="14.25" customHeight="1">
      <c r="C313" s="6"/>
    </row>
    <row r="314" ht="14.25" customHeight="1">
      <c r="C314" s="6"/>
    </row>
    <row r="315" ht="14.25" customHeight="1">
      <c r="C315" s="6"/>
    </row>
    <row r="316" ht="14.25" customHeight="1">
      <c r="C316" s="6"/>
    </row>
    <row r="317" ht="14.25" customHeight="1">
      <c r="C317" s="6"/>
    </row>
    <row r="318" ht="14.25" customHeight="1">
      <c r="C318" s="6"/>
    </row>
    <row r="319" ht="14.25" customHeight="1">
      <c r="C319" s="6"/>
    </row>
    <row r="320" ht="14.25" customHeight="1">
      <c r="C320" s="6"/>
    </row>
    <row r="321" ht="14.25" customHeight="1">
      <c r="C321" s="6"/>
    </row>
    <row r="322" ht="14.25" customHeight="1">
      <c r="C322" s="6"/>
    </row>
    <row r="323" ht="14.25" customHeight="1">
      <c r="C323" s="6"/>
    </row>
    <row r="324" ht="14.25" customHeight="1">
      <c r="C324" s="6"/>
    </row>
    <row r="325" ht="14.25" customHeight="1">
      <c r="C325" s="6"/>
    </row>
    <row r="326" ht="14.25" customHeight="1">
      <c r="C326" s="6"/>
    </row>
    <row r="327" ht="14.25" customHeight="1">
      <c r="C327" s="6"/>
    </row>
    <row r="328" ht="14.25" customHeight="1">
      <c r="C328" s="6"/>
    </row>
    <row r="329" ht="14.25" customHeight="1">
      <c r="C329" s="6"/>
    </row>
    <row r="330" ht="14.25" customHeight="1">
      <c r="C330" s="6"/>
    </row>
    <row r="331" ht="14.25" customHeight="1">
      <c r="C331" s="6"/>
    </row>
    <row r="332" ht="14.25" customHeight="1">
      <c r="C332" s="6"/>
    </row>
    <row r="333" ht="14.25" customHeight="1">
      <c r="C333" s="6"/>
    </row>
    <row r="334" ht="14.25" customHeight="1">
      <c r="C334" s="6"/>
    </row>
    <row r="335" ht="14.25" customHeight="1">
      <c r="C335" s="6"/>
    </row>
    <row r="336" ht="14.25" customHeight="1">
      <c r="C336" s="6"/>
    </row>
    <row r="337" ht="14.25" customHeight="1">
      <c r="C337" s="6"/>
    </row>
    <row r="338" ht="14.25" customHeight="1">
      <c r="C338" s="6"/>
    </row>
    <row r="339" ht="14.25" customHeight="1">
      <c r="C339" s="6"/>
    </row>
    <row r="340" ht="14.25" customHeight="1">
      <c r="C340" s="6"/>
    </row>
    <row r="341" ht="14.25" customHeight="1">
      <c r="C341" s="6"/>
    </row>
    <row r="342" ht="14.25" customHeight="1">
      <c r="C342" s="6"/>
    </row>
    <row r="343" ht="14.25" customHeight="1">
      <c r="C343" s="6"/>
    </row>
    <row r="344" ht="14.25" customHeight="1">
      <c r="C344" s="6"/>
    </row>
    <row r="345" ht="14.25" customHeight="1">
      <c r="C345" s="6"/>
    </row>
    <row r="346" ht="14.25" customHeight="1">
      <c r="C346" s="6"/>
    </row>
    <row r="347" ht="14.25" customHeight="1">
      <c r="C347" s="6"/>
    </row>
    <row r="348" ht="14.25" customHeight="1">
      <c r="C348" s="6"/>
    </row>
    <row r="349" ht="14.25" customHeight="1">
      <c r="C349" s="6"/>
    </row>
    <row r="350" ht="14.25" customHeight="1">
      <c r="C350" s="6"/>
    </row>
    <row r="351" ht="14.25" customHeight="1">
      <c r="C351" s="6"/>
    </row>
    <row r="352" ht="14.25" customHeight="1">
      <c r="C352" s="6"/>
    </row>
    <row r="353" ht="14.25" customHeight="1">
      <c r="C353" s="6"/>
    </row>
    <row r="354" ht="14.25" customHeight="1">
      <c r="C354" s="6"/>
    </row>
    <row r="355" ht="14.25" customHeight="1">
      <c r="C355" s="6"/>
    </row>
    <row r="356" ht="14.25" customHeight="1">
      <c r="C356" s="6"/>
    </row>
    <row r="357" ht="14.25" customHeight="1">
      <c r="C357" s="6"/>
    </row>
    <row r="358" ht="14.25" customHeight="1">
      <c r="C358" s="6"/>
    </row>
    <row r="359" ht="14.25" customHeight="1">
      <c r="C359" s="6"/>
    </row>
    <row r="360" ht="14.25" customHeight="1">
      <c r="C360" s="6"/>
    </row>
    <row r="361" ht="14.25" customHeight="1">
      <c r="C361" s="6"/>
    </row>
    <row r="362" ht="14.25" customHeight="1">
      <c r="C362" s="6"/>
    </row>
    <row r="363" ht="14.25" customHeight="1">
      <c r="C363" s="6"/>
    </row>
    <row r="364" ht="14.25" customHeight="1">
      <c r="C364" s="6"/>
    </row>
    <row r="365" ht="14.25" customHeight="1">
      <c r="C365" s="6"/>
    </row>
    <row r="366" ht="14.25" customHeight="1">
      <c r="C366" s="6"/>
    </row>
    <row r="367" ht="14.25" customHeight="1">
      <c r="C367" s="6"/>
    </row>
    <row r="368" ht="14.25" customHeight="1">
      <c r="C368" s="6"/>
    </row>
    <row r="369" ht="14.25" customHeight="1">
      <c r="C369" s="6"/>
    </row>
    <row r="370" ht="14.25" customHeight="1">
      <c r="C370" s="6"/>
    </row>
    <row r="371" ht="14.25" customHeight="1">
      <c r="C371" s="6"/>
    </row>
    <row r="372" ht="14.25" customHeight="1">
      <c r="C372" s="6"/>
    </row>
    <row r="373" ht="14.25" customHeight="1">
      <c r="C373" s="6"/>
    </row>
    <row r="374" ht="14.25" customHeight="1">
      <c r="C374" s="6"/>
    </row>
    <row r="375" ht="14.25" customHeight="1">
      <c r="C375" s="6"/>
    </row>
    <row r="376" ht="14.25" customHeight="1">
      <c r="C376" s="6"/>
    </row>
    <row r="377" ht="14.25" customHeight="1">
      <c r="C377" s="6"/>
    </row>
    <row r="378" ht="14.25" customHeight="1">
      <c r="C378" s="6"/>
    </row>
    <row r="379" ht="14.25" customHeight="1">
      <c r="C379" s="6"/>
    </row>
    <row r="380" ht="14.25" customHeight="1">
      <c r="C380" s="6"/>
    </row>
    <row r="381" ht="14.25" customHeight="1">
      <c r="C381" s="6"/>
    </row>
    <row r="382" ht="14.25" customHeight="1">
      <c r="C382" s="6"/>
    </row>
    <row r="383" ht="14.25" customHeight="1">
      <c r="C383" s="6"/>
    </row>
    <row r="384" ht="14.25" customHeight="1">
      <c r="C384" s="6"/>
    </row>
    <row r="385" ht="14.25" customHeight="1">
      <c r="C385" s="6"/>
    </row>
    <row r="386" ht="14.25" customHeight="1">
      <c r="C386" s="6"/>
    </row>
    <row r="387" ht="14.25" customHeight="1">
      <c r="C387" s="6"/>
    </row>
    <row r="388" ht="14.25" customHeight="1">
      <c r="C388" s="6"/>
    </row>
    <row r="389" ht="14.25" customHeight="1">
      <c r="C389" s="6"/>
    </row>
    <row r="390" ht="14.25" customHeight="1">
      <c r="C390" s="6"/>
    </row>
    <row r="391" ht="14.25" customHeight="1">
      <c r="C391" s="6"/>
    </row>
    <row r="392" ht="14.25" customHeight="1">
      <c r="C392" s="6"/>
    </row>
    <row r="393" ht="14.25" customHeight="1">
      <c r="C393" s="6"/>
    </row>
    <row r="394" ht="14.25" customHeight="1">
      <c r="C394" s="6"/>
    </row>
    <row r="395" ht="14.25" customHeight="1">
      <c r="C395" s="6"/>
    </row>
    <row r="396" ht="14.25" customHeight="1">
      <c r="C396" s="6"/>
    </row>
    <row r="397" ht="14.25" customHeight="1">
      <c r="C397" s="6"/>
    </row>
    <row r="398" ht="14.25" customHeight="1">
      <c r="C398" s="6"/>
    </row>
    <row r="399" ht="14.25" customHeight="1">
      <c r="C399" s="6"/>
    </row>
    <row r="400" ht="14.25" customHeight="1">
      <c r="C400" s="6"/>
    </row>
    <row r="401" ht="14.25" customHeight="1">
      <c r="C401" s="6"/>
    </row>
    <row r="402" ht="14.25" customHeight="1">
      <c r="C402" s="6"/>
    </row>
    <row r="403" ht="14.25" customHeight="1">
      <c r="C403" s="6"/>
    </row>
    <row r="404" ht="14.25" customHeight="1">
      <c r="C404" s="6"/>
    </row>
    <row r="405" ht="14.25" customHeight="1">
      <c r="C405" s="6"/>
    </row>
    <row r="406" ht="14.25" customHeight="1">
      <c r="C406" s="6"/>
    </row>
    <row r="407" ht="14.25" customHeight="1">
      <c r="C407" s="6"/>
    </row>
    <row r="408" ht="14.25" customHeight="1">
      <c r="C408" s="6"/>
    </row>
    <row r="409" ht="14.25" customHeight="1">
      <c r="C409" s="6"/>
    </row>
    <row r="410" ht="14.25" customHeight="1">
      <c r="C410" s="6"/>
    </row>
    <row r="411" ht="14.25" customHeight="1">
      <c r="C411" s="6"/>
    </row>
    <row r="412" ht="14.25" customHeight="1">
      <c r="C412" s="6"/>
    </row>
    <row r="413" ht="14.25" customHeight="1">
      <c r="C413" s="6"/>
    </row>
    <row r="414" ht="14.25" customHeight="1">
      <c r="C414" s="6"/>
    </row>
    <row r="415" ht="14.25" customHeight="1">
      <c r="C415" s="6"/>
    </row>
    <row r="416" ht="14.25" customHeight="1">
      <c r="C416" s="6"/>
    </row>
    <row r="417" ht="14.25" customHeight="1">
      <c r="C417" s="6"/>
    </row>
    <row r="418" ht="14.25" customHeight="1">
      <c r="C418" s="6"/>
    </row>
    <row r="419" ht="14.25" customHeight="1">
      <c r="C419" s="6"/>
    </row>
    <row r="420" ht="14.25" customHeight="1">
      <c r="C420" s="6"/>
    </row>
    <row r="421" ht="14.25" customHeight="1">
      <c r="C421" s="6"/>
    </row>
    <row r="422" ht="14.25" customHeight="1">
      <c r="C422" s="6"/>
    </row>
    <row r="423" ht="14.25" customHeight="1">
      <c r="C423" s="6"/>
    </row>
    <row r="424" ht="14.25" customHeight="1">
      <c r="C424" s="6"/>
    </row>
    <row r="425" ht="14.25" customHeight="1">
      <c r="C425" s="6"/>
    </row>
    <row r="426" ht="14.25" customHeight="1">
      <c r="C426" s="6"/>
    </row>
    <row r="427" ht="14.25" customHeight="1">
      <c r="C427" s="6"/>
    </row>
    <row r="428" ht="14.25" customHeight="1">
      <c r="C428" s="6"/>
    </row>
    <row r="429" ht="14.25" customHeight="1">
      <c r="C429" s="6"/>
    </row>
    <row r="430" ht="14.25" customHeight="1">
      <c r="C430" s="6"/>
    </row>
    <row r="431" ht="14.25" customHeight="1">
      <c r="C431" s="6"/>
    </row>
    <row r="432" ht="14.25" customHeight="1">
      <c r="C432" s="6"/>
    </row>
    <row r="433" ht="14.25" customHeight="1">
      <c r="C433" s="6"/>
    </row>
    <row r="434" ht="14.25" customHeight="1">
      <c r="C434" s="6"/>
    </row>
    <row r="435" ht="14.25" customHeight="1">
      <c r="C435" s="6"/>
    </row>
    <row r="436" ht="14.25" customHeight="1">
      <c r="C436" s="6"/>
    </row>
    <row r="437" ht="14.25" customHeight="1">
      <c r="C437" s="6"/>
    </row>
    <row r="438" ht="14.25" customHeight="1">
      <c r="C438" s="6"/>
    </row>
    <row r="439" ht="14.25" customHeight="1">
      <c r="C439" s="6"/>
    </row>
    <row r="440" ht="14.25" customHeight="1">
      <c r="C440" s="6"/>
    </row>
    <row r="441" ht="14.25" customHeight="1">
      <c r="C441" s="6"/>
    </row>
    <row r="442" ht="14.25" customHeight="1">
      <c r="C442" s="6"/>
    </row>
    <row r="443" ht="14.25" customHeight="1">
      <c r="C443" s="6"/>
    </row>
    <row r="444" ht="14.25" customHeight="1">
      <c r="C444" s="6"/>
    </row>
    <row r="445" ht="14.25" customHeight="1">
      <c r="C445" s="6"/>
    </row>
    <row r="446" ht="14.25" customHeight="1">
      <c r="C446" s="6"/>
    </row>
    <row r="447" ht="14.25" customHeight="1">
      <c r="C447" s="6"/>
    </row>
    <row r="448" ht="14.25" customHeight="1">
      <c r="C448" s="6"/>
    </row>
    <row r="449" ht="14.25" customHeight="1">
      <c r="C449" s="6"/>
    </row>
    <row r="450" ht="14.25" customHeight="1">
      <c r="C450" s="6"/>
    </row>
    <row r="451" ht="14.25" customHeight="1">
      <c r="C451" s="6"/>
    </row>
    <row r="452" ht="14.25" customHeight="1">
      <c r="C452" s="6"/>
    </row>
    <row r="453" ht="14.25" customHeight="1">
      <c r="C453" s="6"/>
    </row>
    <row r="454" ht="14.25" customHeight="1">
      <c r="C454" s="6"/>
    </row>
    <row r="455" ht="14.25" customHeight="1">
      <c r="C455" s="6"/>
    </row>
    <row r="456" ht="14.25" customHeight="1">
      <c r="C456" s="6"/>
    </row>
    <row r="457" ht="14.25" customHeight="1">
      <c r="C457" s="6"/>
    </row>
    <row r="458" ht="14.25" customHeight="1">
      <c r="C458" s="6"/>
    </row>
    <row r="459" ht="14.25" customHeight="1">
      <c r="C459" s="6"/>
    </row>
    <row r="460" ht="14.25" customHeight="1">
      <c r="C460" s="6"/>
    </row>
    <row r="461" ht="14.25" customHeight="1">
      <c r="C461" s="6"/>
    </row>
    <row r="462" ht="14.25" customHeight="1">
      <c r="C462" s="6"/>
    </row>
    <row r="463" ht="14.25" customHeight="1">
      <c r="C463" s="6"/>
    </row>
    <row r="464" ht="14.25" customHeight="1">
      <c r="C464" s="6"/>
    </row>
    <row r="465" ht="14.25" customHeight="1">
      <c r="C465" s="6"/>
    </row>
    <row r="466" ht="14.25" customHeight="1">
      <c r="C466" s="6"/>
    </row>
    <row r="467" ht="14.25" customHeight="1">
      <c r="C467" s="6"/>
    </row>
    <row r="468" ht="14.25" customHeight="1">
      <c r="C468" s="6"/>
    </row>
    <row r="469" ht="14.25" customHeight="1">
      <c r="C469" s="6"/>
    </row>
    <row r="470" ht="14.25" customHeight="1">
      <c r="C470" s="6"/>
    </row>
    <row r="471" ht="14.25" customHeight="1">
      <c r="C471" s="6"/>
    </row>
    <row r="472" ht="14.25" customHeight="1">
      <c r="C472" s="6"/>
    </row>
    <row r="473" ht="14.25" customHeight="1">
      <c r="C473" s="6"/>
    </row>
    <row r="474" ht="14.25" customHeight="1">
      <c r="C474" s="6"/>
    </row>
    <row r="475" ht="14.25" customHeight="1">
      <c r="C475" s="6"/>
    </row>
    <row r="476" ht="14.25" customHeight="1">
      <c r="C476" s="6"/>
    </row>
    <row r="477" ht="14.25" customHeight="1">
      <c r="C477" s="6"/>
    </row>
    <row r="478" ht="14.25" customHeight="1">
      <c r="C478" s="6"/>
    </row>
    <row r="479" ht="14.25" customHeight="1">
      <c r="C479" s="6"/>
    </row>
    <row r="480" ht="14.25" customHeight="1">
      <c r="C480" s="6"/>
    </row>
    <row r="481" ht="14.25" customHeight="1">
      <c r="C481" s="6"/>
    </row>
    <row r="482" ht="14.25" customHeight="1">
      <c r="C482" s="6"/>
    </row>
    <row r="483" ht="14.25" customHeight="1">
      <c r="C483" s="6"/>
    </row>
    <row r="484" ht="14.25" customHeight="1">
      <c r="C484" s="6"/>
    </row>
    <row r="485" ht="14.25" customHeight="1">
      <c r="C485" s="6"/>
    </row>
    <row r="486" ht="14.25" customHeight="1">
      <c r="C486" s="6"/>
    </row>
    <row r="487" ht="14.25" customHeight="1">
      <c r="C487" s="6"/>
    </row>
    <row r="488" ht="14.25" customHeight="1">
      <c r="C488" s="6"/>
    </row>
    <row r="489" ht="14.25" customHeight="1">
      <c r="C489" s="6"/>
    </row>
    <row r="490" ht="14.25" customHeight="1">
      <c r="C490" s="6"/>
    </row>
    <row r="491" ht="14.25" customHeight="1">
      <c r="C491" s="6"/>
    </row>
    <row r="492" ht="14.25" customHeight="1">
      <c r="C492" s="6"/>
    </row>
    <row r="493" ht="14.25" customHeight="1">
      <c r="C493" s="6"/>
    </row>
    <row r="494" ht="14.25" customHeight="1">
      <c r="C494" s="6"/>
    </row>
    <row r="495" ht="14.25" customHeight="1">
      <c r="C495" s="6"/>
    </row>
    <row r="496" ht="14.25" customHeight="1">
      <c r="C496" s="6"/>
    </row>
    <row r="497" ht="14.25" customHeight="1">
      <c r="C497" s="6"/>
    </row>
    <row r="498" ht="14.25" customHeight="1">
      <c r="C498" s="6"/>
    </row>
    <row r="499" ht="14.25" customHeight="1">
      <c r="C499" s="6"/>
    </row>
    <row r="500" ht="14.25" customHeight="1">
      <c r="C500" s="6"/>
    </row>
    <row r="501" ht="14.25" customHeight="1">
      <c r="C501" s="6"/>
    </row>
    <row r="502" ht="14.25" customHeight="1">
      <c r="C502" s="6"/>
    </row>
    <row r="503" ht="14.25" customHeight="1">
      <c r="C503" s="6"/>
    </row>
    <row r="504" ht="14.25" customHeight="1">
      <c r="C504" s="6"/>
    </row>
    <row r="505" ht="14.25" customHeight="1">
      <c r="C505" s="6"/>
    </row>
    <row r="506" ht="14.25" customHeight="1">
      <c r="C506" s="6"/>
    </row>
    <row r="507" ht="14.25" customHeight="1">
      <c r="C507" s="6"/>
    </row>
    <row r="508" ht="14.25" customHeight="1">
      <c r="C508" s="6"/>
    </row>
    <row r="509" ht="14.25" customHeight="1">
      <c r="C509" s="6"/>
    </row>
    <row r="510" ht="14.25" customHeight="1">
      <c r="C510" s="6"/>
    </row>
    <row r="511" ht="14.25" customHeight="1">
      <c r="C511" s="6"/>
    </row>
    <row r="512" ht="14.25" customHeight="1">
      <c r="C512" s="6"/>
    </row>
    <row r="513" ht="14.25" customHeight="1">
      <c r="C513" s="6"/>
    </row>
    <row r="514" ht="14.25" customHeight="1">
      <c r="C514" s="6"/>
    </row>
    <row r="515" ht="14.25" customHeight="1">
      <c r="C515" s="6"/>
    </row>
    <row r="516" ht="14.25" customHeight="1">
      <c r="C516" s="6"/>
    </row>
    <row r="517" ht="14.25" customHeight="1">
      <c r="C517" s="6"/>
    </row>
    <row r="518" ht="14.25" customHeight="1">
      <c r="C518" s="6"/>
    </row>
    <row r="519" ht="14.25" customHeight="1">
      <c r="C519" s="6"/>
    </row>
    <row r="520" ht="14.25" customHeight="1">
      <c r="C520" s="6"/>
    </row>
    <row r="521" ht="14.25" customHeight="1">
      <c r="C521" s="6"/>
    </row>
    <row r="522" ht="14.25" customHeight="1">
      <c r="C522" s="6"/>
    </row>
    <row r="523" ht="14.25" customHeight="1">
      <c r="C523" s="6"/>
    </row>
    <row r="524" ht="14.25" customHeight="1">
      <c r="C524" s="6"/>
    </row>
    <row r="525" ht="14.25" customHeight="1">
      <c r="C525" s="6"/>
    </row>
    <row r="526" ht="14.25" customHeight="1">
      <c r="C526" s="6"/>
    </row>
    <row r="527" ht="14.25" customHeight="1">
      <c r="C527" s="6"/>
    </row>
    <row r="528" ht="14.25" customHeight="1">
      <c r="C528" s="6"/>
    </row>
    <row r="529" ht="14.25" customHeight="1">
      <c r="C529" s="6"/>
    </row>
    <row r="530" ht="14.25" customHeight="1">
      <c r="C530" s="6"/>
    </row>
    <row r="531" ht="14.25" customHeight="1">
      <c r="C531" s="6"/>
    </row>
    <row r="532" ht="14.25" customHeight="1">
      <c r="C532" s="6"/>
    </row>
    <row r="533" ht="14.25" customHeight="1">
      <c r="C533" s="6"/>
    </row>
    <row r="534" ht="14.25" customHeight="1">
      <c r="C534" s="6"/>
    </row>
    <row r="535" ht="14.25" customHeight="1">
      <c r="C535" s="6"/>
    </row>
    <row r="536" ht="14.25" customHeight="1">
      <c r="C536" s="6"/>
    </row>
    <row r="537" ht="14.25" customHeight="1">
      <c r="C537" s="6"/>
    </row>
    <row r="538" ht="14.25" customHeight="1">
      <c r="C538" s="6"/>
    </row>
    <row r="539" ht="14.25" customHeight="1">
      <c r="C539" s="6"/>
    </row>
    <row r="540" ht="14.25" customHeight="1">
      <c r="C540" s="6"/>
    </row>
    <row r="541" ht="14.25" customHeight="1">
      <c r="C541" s="6"/>
    </row>
    <row r="542" ht="14.25" customHeight="1">
      <c r="C542" s="6"/>
    </row>
    <row r="543" ht="14.25" customHeight="1">
      <c r="C543" s="6"/>
    </row>
    <row r="544" ht="14.25" customHeight="1">
      <c r="C544" s="6"/>
    </row>
    <row r="545" ht="14.25" customHeight="1">
      <c r="C545" s="6"/>
    </row>
    <row r="546" ht="14.25" customHeight="1">
      <c r="C546" s="6"/>
    </row>
    <row r="547" ht="14.25" customHeight="1">
      <c r="C547" s="6"/>
    </row>
    <row r="548" ht="14.25" customHeight="1">
      <c r="C548" s="6"/>
    </row>
    <row r="549" ht="14.25" customHeight="1">
      <c r="C549" s="6"/>
    </row>
    <row r="550" ht="14.25" customHeight="1">
      <c r="C550" s="6"/>
    </row>
    <row r="551" ht="14.25" customHeight="1">
      <c r="C551" s="6"/>
    </row>
    <row r="552" ht="14.25" customHeight="1">
      <c r="C552" s="6"/>
    </row>
    <row r="553" ht="14.25" customHeight="1">
      <c r="C553" s="6"/>
    </row>
    <row r="554" ht="14.25" customHeight="1">
      <c r="C554" s="6"/>
    </row>
    <row r="555" ht="14.25" customHeight="1">
      <c r="C555" s="6"/>
    </row>
    <row r="556" ht="14.25" customHeight="1">
      <c r="C556" s="6"/>
    </row>
    <row r="557" ht="14.25" customHeight="1">
      <c r="C557" s="6"/>
    </row>
    <row r="558" ht="14.25" customHeight="1">
      <c r="C558" s="6"/>
    </row>
    <row r="559" ht="14.25" customHeight="1">
      <c r="C559" s="6"/>
    </row>
    <row r="560" ht="14.25" customHeight="1">
      <c r="C560" s="6"/>
    </row>
    <row r="561" ht="14.25" customHeight="1">
      <c r="C561" s="6"/>
    </row>
    <row r="562" ht="14.25" customHeight="1">
      <c r="C562" s="6"/>
    </row>
    <row r="563" ht="14.25" customHeight="1">
      <c r="C563" s="6"/>
    </row>
    <row r="564" ht="14.25" customHeight="1">
      <c r="C564" s="6"/>
    </row>
    <row r="565" ht="14.25" customHeight="1">
      <c r="C565" s="6"/>
    </row>
    <row r="566" ht="14.25" customHeight="1">
      <c r="C566" s="6"/>
    </row>
    <row r="567" ht="14.25" customHeight="1">
      <c r="C567" s="6"/>
    </row>
    <row r="568" ht="14.25" customHeight="1">
      <c r="C568" s="6"/>
    </row>
    <row r="569" ht="14.25" customHeight="1">
      <c r="C569" s="6"/>
    </row>
    <row r="570" ht="14.25" customHeight="1">
      <c r="C570" s="6"/>
    </row>
    <row r="571" ht="14.25" customHeight="1">
      <c r="C571" s="6"/>
    </row>
    <row r="572" ht="14.25" customHeight="1">
      <c r="C572" s="6"/>
    </row>
    <row r="573" ht="14.25" customHeight="1">
      <c r="C573" s="6"/>
    </row>
    <row r="574" ht="14.25" customHeight="1">
      <c r="C574" s="6"/>
    </row>
    <row r="575" ht="14.25" customHeight="1">
      <c r="C575" s="6"/>
    </row>
    <row r="576" ht="14.25" customHeight="1">
      <c r="C576" s="6"/>
    </row>
    <row r="577" ht="14.25" customHeight="1">
      <c r="C577" s="6"/>
    </row>
    <row r="578" ht="14.25" customHeight="1">
      <c r="C578" s="6"/>
    </row>
    <row r="579" ht="14.25" customHeight="1">
      <c r="C579" s="6"/>
    </row>
    <row r="580" ht="14.25" customHeight="1">
      <c r="C580" s="6"/>
    </row>
    <row r="581" ht="14.25" customHeight="1">
      <c r="C581" s="6"/>
    </row>
    <row r="582" ht="14.25" customHeight="1">
      <c r="C582" s="6"/>
    </row>
    <row r="583" ht="14.25" customHeight="1">
      <c r="C583" s="6"/>
    </row>
    <row r="584" ht="14.25" customHeight="1">
      <c r="C584" s="6"/>
    </row>
    <row r="585" ht="14.25" customHeight="1">
      <c r="C585" s="6"/>
    </row>
    <row r="586" ht="14.25" customHeight="1">
      <c r="C586" s="6"/>
    </row>
    <row r="587" ht="14.25" customHeight="1">
      <c r="C587" s="6"/>
    </row>
    <row r="588" ht="14.25" customHeight="1">
      <c r="C588" s="6"/>
    </row>
    <row r="589" ht="14.25" customHeight="1">
      <c r="C589" s="6"/>
    </row>
    <row r="590" ht="14.25" customHeight="1">
      <c r="C590" s="6"/>
    </row>
    <row r="591" ht="14.25" customHeight="1">
      <c r="C591" s="6"/>
    </row>
    <row r="592" ht="14.25" customHeight="1">
      <c r="C592" s="6"/>
    </row>
    <row r="593" ht="14.25" customHeight="1">
      <c r="C593" s="6"/>
    </row>
    <row r="594" ht="14.25" customHeight="1">
      <c r="C594" s="6"/>
    </row>
    <row r="595" ht="14.25" customHeight="1">
      <c r="C595" s="6"/>
    </row>
    <row r="596" ht="14.25" customHeight="1">
      <c r="C596" s="6"/>
    </row>
    <row r="597" ht="14.25" customHeight="1">
      <c r="C597" s="6"/>
    </row>
    <row r="598" ht="14.25" customHeight="1">
      <c r="C598" s="6"/>
    </row>
    <row r="599" ht="14.25" customHeight="1">
      <c r="C599" s="6"/>
    </row>
    <row r="600" ht="14.25" customHeight="1">
      <c r="C600" s="6"/>
    </row>
    <row r="601" ht="14.25" customHeight="1">
      <c r="C601" s="6"/>
    </row>
    <row r="602" ht="14.25" customHeight="1">
      <c r="C602" s="6"/>
    </row>
    <row r="603" ht="14.25" customHeight="1">
      <c r="C603" s="6"/>
    </row>
    <row r="604" ht="14.25" customHeight="1">
      <c r="C604" s="6"/>
    </row>
    <row r="605" ht="14.25" customHeight="1">
      <c r="C605" s="6"/>
    </row>
    <row r="606" ht="14.25" customHeight="1">
      <c r="C606" s="6"/>
    </row>
    <row r="607" ht="14.25" customHeight="1">
      <c r="C607" s="6"/>
    </row>
    <row r="608" ht="14.25" customHeight="1">
      <c r="C608" s="6"/>
    </row>
    <row r="609" ht="14.25" customHeight="1">
      <c r="C609" s="6"/>
    </row>
    <row r="610" ht="14.25" customHeight="1">
      <c r="C610" s="6"/>
    </row>
    <row r="611" ht="14.25" customHeight="1">
      <c r="C611" s="6"/>
    </row>
    <row r="612" ht="14.25" customHeight="1">
      <c r="C612" s="6"/>
    </row>
    <row r="613" ht="14.25" customHeight="1">
      <c r="C613" s="6"/>
    </row>
    <row r="614" ht="14.25" customHeight="1">
      <c r="C614" s="6"/>
    </row>
    <row r="615" ht="14.25" customHeight="1">
      <c r="C615" s="6"/>
    </row>
    <row r="616" ht="14.25" customHeight="1">
      <c r="C616" s="6"/>
    </row>
    <row r="617" ht="14.25" customHeight="1">
      <c r="C617" s="6"/>
    </row>
    <row r="618" ht="14.25" customHeight="1">
      <c r="C618" s="6"/>
    </row>
    <row r="619" ht="14.25" customHeight="1">
      <c r="C619" s="6"/>
    </row>
    <row r="620" ht="14.25" customHeight="1">
      <c r="C620" s="6"/>
    </row>
    <row r="621" ht="14.25" customHeight="1">
      <c r="C621" s="6"/>
    </row>
    <row r="622" ht="14.25" customHeight="1">
      <c r="C622" s="6"/>
    </row>
    <row r="623" ht="14.25" customHeight="1">
      <c r="C623" s="6"/>
    </row>
    <row r="624" ht="14.25" customHeight="1">
      <c r="C624" s="6"/>
    </row>
    <row r="625" ht="14.25" customHeight="1">
      <c r="C625" s="6"/>
    </row>
    <row r="626" ht="14.25" customHeight="1">
      <c r="C626" s="6"/>
    </row>
    <row r="627" ht="14.25" customHeight="1">
      <c r="C627" s="6"/>
    </row>
    <row r="628" ht="14.25" customHeight="1">
      <c r="C628" s="6"/>
    </row>
    <row r="629" ht="14.25" customHeight="1">
      <c r="C629" s="6"/>
    </row>
    <row r="630" ht="14.25" customHeight="1">
      <c r="C630" s="6"/>
    </row>
    <row r="631" ht="14.25" customHeight="1">
      <c r="C631" s="6"/>
    </row>
    <row r="632" ht="14.25" customHeight="1">
      <c r="C632" s="6"/>
    </row>
    <row r="633" ht="14.25" customHeight="1">
      <c r="C633" s="6"/>
    </row>
    <row r="634" ht="14.25" customHeight="1">
      <c r="C634" s="6"/>
    </row>
    <row r="635" ht="14.25" customHeight="1">
      <c r="C635" s="6"/>
    </row>
    <row r="636" ht="14.25" customHeight="1">
      <c r="C636" s="6"/>
    </row>
    <row r="637" ht="14.25" customHeight="1">
      <c r="C637" s="6"/>
    </row>
    <row r="638" ht="14.25" customHeight="1">
      <c r="C638" s="6"/>
    </row>
    <row r="639" ht="14.25" customHeight="1">
      <c r="C639" s="6"/>
    </row>
    <row r="640" ht="14.25" customHeight="1">
      <c r="C640" s="6"/>
    </row>
    <row r="641" ht="14.25" customHeight="1">
      <c r="C641" s="6"/>
    </row>
    <row r="642" ht="14.25" customHeight="1">
      <c r="C642" s="6"/>
    </row>
    <row r="643" ht="14.25" customHeight="1">
      <c r="C643" s="6"/>
    </row>
    <row r="644" ht="14.25" customHeight="1">
      <c r="C644" s="6"/>
    </row>
    <row r="645" ht="14.25" customHeight="1">
      <c r="C645" s="6"/>
    </row>
    <row r="646" ht="14.25" customHeight="1">
      <c r="C646" s="6"/>
    </row>
    <row r="647" ht="14.25" customHeight="1">
      <c r="C647" s="6"/>
    </row>
    <row r="648" ht="14.25" customHeight="1">
      <c r="C648" s="6"/>
    </row>
    <row r="649" ht="14.25" customHeight="1">
      <c r="C649" s="6"/>
    </row>
    <row r="650" ht="14.25" customHeight="1">
      <c r="C650" s="6"/>
    </row>
    <row r="651" ht="14.25" customHeight="1">
      <c r="C651" s="6"/>
    </row>
    <row r="652" ht="14.25" customHeight="1">
      <c r="C652" s="6"/>
    </row>
    <row r="653" ht="14.25" customHeight="1">
      <c r="C653" s="6"/>
    </row>
    <row r="654" ht="14.25" customHeight="1">
      <c r="C654" s="6"/>
    </row>
    <row r="655" ht="14.25" customHeight="1">
      <c r="C655" s="6"/>
    </row>
    <row r="656" ht="14.25" customHeight="1">
      <c r="C656" s="6"/>
    </row>
    <row r="657" ht="14.25" customHeight="1">
      <c r="C657" s="6"/>
    </row>
    <row r="658" ht="14.25" customHeight="1">
      <c r="C658" s="6"/>
    </row>
    <row r="659" ht="14.25" customHeight="1">
      <c r="C659" s="6"/>
    </row>
    <row r="660" ht="14.25" customHeight="1">
      <c r="C660" s="6"/>
    </row>
    <row r="661" ht="14.25" customHeight="1">
      <c r="C661" s="6"/>
    </row>
    <row r="662" ht="14.25" customHeight="1">
      <c r="C662" s="6"/>
    </row>
    <row r="663" ht="14.25" customHeight="1">
      <c r="C663" s="6"/>
    </row>
    <row r="664" ht="14.25" customHeight="1">
      <c r="C664" s="6"/>
    </row>
    <row r="665" ht="14.25" customHeight="1">
      <c r="C665" s="6"/>
    </row>
    <row r="666" ht="14.25" customHeight="1">
      <c r="C666" s="6"/>
    </row>
    <row r="667" ht="14.25" customHeight="1">
      <c r="C667" s="6"/>
    </row>
    <row r="668" ht="14.25" customHeight="1">
      <c r="C668" s="6"/>
    </row>
    <row r="669" ht="14.25" customHeight="1">
      <c r="C669" s="6"/>
    </row>
    <row r="670" ht="14.25" customHeight="1">
      <c r="C670" s="6"/>
    </row>
    <row r="671" ht="14.25" customHeight="1">
      <c r="C671" s="6"/>
    </row>
    <row r="672" ht="14.25" customHeight="1">
      <c r="C672" s="6"/>
    </row>
    <row r="673" ht="14.25" customHeight="1">
      <c r="C673" s="6"/>
    </row>
    <row r="674" ht="14.25" customHeight="1">
      <c r="C674" s="6"/>
    </row>
    <row r="675" ht="14.25" customHeight="1">
      <c r="C675" s="6"/>
    </row>
    <row r="676" ht="14.25" customHeight="1">
      <c r="C676" s="6"/>
    </row>
    <row r="677" ht="14.25" customHeight="1">
      <c r="C677" s="6"/>
    </row>
    <row r="678" ht="14.25" customHeight="1">
      <c r="C678" s="6"/>
    </row>
    <row r="679" ht="14.25" customHeight="1">
      <c r="C679" s="6"/>
    </row>
    <row r="680" ht="14.25" customHeight="1">
      <c r="C680" s="6"/>
    </row>
    <row r="681" ht="14.25" customHeight="1">
      <c r="C681" s="6"/>
    </row>
    <row r="682" ht="14.25" customHeight="1">
      <c r="C682" s="6"/>
    </row>
    <row r="683" ht="14.25" customHeight="1">
      <c r="C683" s="6"/>
    </row>
    <row r="684" ht="14.25" customHeight="1">
      <c r="C684" s="6"/>
    </row>
    <row r="685" ht="14.25" customHeight="1">
      <c r="C685" s="6"/>
    </row>
    <row r="686" ht="14.25" customHeight="1">
      <c r="C686" s="6"/>
    </row>
    <row r="687" ht="14.25" customHeight="1">
      <c r="C687" s="6"/>
    </row>
    <row r="688" ht="14.25" customHeight="1">
      <c r="C688" s="6"/>
    </row>
    <row r="689" ht="14.25" customHeight="1">
      <c r="C689" s="6"/>
    </row>
    <row r="690" ht="14.25" customHeight="1">
      <c r="C690" s="6"/>
    </row>
    <row r="691" ht="14.25" customHeight="1">
      <c r="C691" s="6"/>
    </row>
    <row r="692" ht="14.25" customHeight="1">
      <c r="C692" s="6"/>
    </row>
    <row r="693" ht="14.25" customHeight="1">
      <c r="C693" s="6"/>
    </row>
    <row r="694" ht="14.25" customHeight="1">
      <c r="C694" s="6"/>
    </row>
    <row r="695" ht="14.25" customHeight="1">
      <c r="C695" s="6"/>
    </row>
    <row r="696" ht="14.25" customHeight="1">
      <c r="C696" s="6"/>
    </row>
    <row r="697" ht="14.25" customHeight="1">
      <c r="C697" s="6"/>
    </row>
    <row r="698" ht="14.25" customHeight="1">
      <c r="C698" s="6"/>
    </row>
    <row r="699" ht="14.25" customHeight="1">
      <c r="C699" s="6"/>
    </row>
    <row r="700" ht="14.25" customHeight="1">
      <c r="C700" s="6"/>
    </row>
    <row r="701" ht="14.25" customHeight="1">
      <c r="C701" s="6"/>
    </row>
    <row r="702" ht="14.25" customHeight="1">
      <c r="C702" s="6"/>
    </row>
    <row r="703" ht="14.25" customHeight="1">
      <c r="C703" s="6"/>
    </row>
    <row r="704" ht="14.25" customHeight="1">
      <c r="C704" s="6"/>
    </row>
    <row r="705" ht="14.25" customHeight="1">
      <c r="C705" s="6"/>
    </row>
    <row r="706" ht="14.25" customHeight="1">
      <c r="C706" s="6"/>
    </row>
    <row r="707" ht="14.25" customHeight="1">
      <c r="C707" s="6"/>
    </row>
    <row r="708" ht="14.25" customHeight="1">
      <c r="C708" s="6"/>
    </row>
    <row r="709" ht="14.25" customHeight="1">
      <c r="C709" s="6"/>
    </row>
    <row r="710" ht="14.25" customHeight="1">
      <c r="C710" s="6"/>
    </row>
    <row r="711" ht="14.25" customHeight="1">
      <c r="C711" s="6"/>
    </row>
    <row r="712" ht="14.25" customHeight="1">
      <c r="C712" s="6"/>
    </row>
    <row r="713" ht="14.25" customHeight="1">
      <c r="C713" s="6"/>
    </row>
    <row r="714" ht="14.25" customHeight="1">
      <c r="C714" s="6"/>
    </row>
    <row r="715" ht="14.25" customHeight="1">
      <c r="C715" s="6"/>
    </row>
    <row r="716" ht="14.25" customHeight="1">
      <c r="C716" s="6"/>
    </row>
    <row r="717" ht="14.25" customHeight="1">
      <c r="C717" s="6"/>
    </row>
    <row r="718" ht="14.25" customHeight="1">
      <c r="C718" s="6"/>
    </row>
    <row r="719" ht="14.25" customHeight="1">
      <c r="C719" s="6"/>
    </row>
    <row r="720" ht="14.25" customHeight="1">
      <c r="C720" s="6"/>
    </row>
    <row r="721" ht="14.25" customHeight="1">
      <c r="C721" s="6"/>
    </row>
    <row r="722" ht="14.25" customHeight="1">
      <c r="C722" s="6"/>
    </row>
    <row r="723" ht="14.25" customHeight="1">
      <c r="C723" s="6"/>
    </row>
    <row r="724" ht="14.25" customHeight="1">
      <c r="C724" s="6"/>
    </row>
    <row r="725" ht="14.25" customHeight="1">
      <c r="C725" s="6"/>
    </row>
    <row r="726" ht="14.25" customHeight="1">
      <c r="C726" s="6"/>
    </row>
    <row r="727" ht="14.25" customHeight="1">
      <c r="C727" s="6"/>
    </row>
    <row r="728" ht="14.25" customHeight="1">
      <c r="C728" s="6"/>
    </row>
    <row r="729" ht="14.25" customHeight="1">
      <c r="C729" s="6"/>
    </row>
    <row r="730" ht="14.25" customHeight="1">
      <c r="C730" s="6"/>
    </row>
    <row r="731" ht="14.25" customHeight="1">
      <c r="C731" s="6"/>
    </row>
    <row r="732" ht="14.25" customHeight="1">
      <c r="C732" s="6"/>
    </row>
    <row r="733" ht="14.25" customHeight="1">
      <c r="C733" s="6"/>
    </row>
    <row r="734" ht="14.25" customHeight="1">
      <c r="C734" s="6"/>
    </row>
    <row r="735" ht="14.25" customHeight="1">
      <c r="C735" s="6"/>
    </row>
    <row r="736" ht="14.25" customHeight="1">
      <c r="C736" s="6"/>
    </row>
    <row r="737" ht="14.25" customHeight="1">
      <c r="C737" s="6"/>
    </row>
    <row r="738" ht="14.25" customHeight="1">
      <c r="C738" s="6"/>
    </row>
    <row r="739" ht="14.25" customHeight="1">
      <c r="C739" s="6"/>
    </row>
    <row r="740" ht="14.25" customHeight="1">
      <c r="C740" s="6"/>
    </row>
    <row r="741" ht="14.25" customHeight="1">
      <c r="C741" s="6"/>
    </row>
    <row r="742" ht="14.25" customHeight="1">
      <c r="C742" s="6"/>
    </row>
    <row r="743" ht="14.25" customHeight="1">
      <c r="C743" s="6"/>
    </row>
    <row r="744" ht="14.25" customHeight="1">
      <c r="C744" s="6"/>
    </row>
    <row r="745" ht="14.25" customHeight="1">
      <c r="C745" s="6"/>
    </row>
    <row r="746" ht="14.25" customHeight="1">
      <c r="C746" s="6"/>
    </row>
    <row r="747" ht="14.25" customHeight="1">
      <c r="C747" s="6"/>
    </row>
    <row r="748" ht="14.25" customHeight="1">
      <c r="C748" s="6"/>
    </row>
    <row r="749" ht="14.25" customHeight="1">
      <c r="C749" s="6"/>
    </row>
    <row r="750" ht="14.25" customHeight="1">
      <c r="C750" s="6"/>
    </row>
    <row r="751" ht="14.25" customHeight="1">
      <c r="C751" s="6"/>
    </row>
    <row r="752" ht="14.25" customHeight="1">
      <c r="C752" s="6"/>
    </row>
    <row r="753" ht="14.25" customHeight="1">
      <c r="C753" s="6"/>
    </row>
    <row r="754" ht="14.25" customHeight="1">
      <c r="C754" s="6"/>
    </row>
    <row r="755" ht="14.25" customHeight="1">
      <c r="C755" s="6"/>
    </row>
    <row r="756" ht="14.25" customHeight="1">
      <c r="C756" s="6"/>
    </row>
    <row r="757" ht="14.25" customHeight="1">
      <c r="C757" s="6"/>
    </row>
    <row r="758" ht="14.25" customHeight="1">
      <c r="C758" s="6"/>
    </row>
    <row r="759" ht="14.25" customHeight="1">
      <c r="C759" s="6"/>
    </row>
    <row r="760" ht="14.25" customHeight="1">
      <c r="C760" s="6"/>
    </row>
    <row r="761" ht="14.25" customHeight="1">
      <c r="C761" s="6"/>
    </row>
    <row r="762" ht="14.25" customHeight="1">
      <c r="C762" s="6"/>
    </row>
    <row r="763" ht="14.25" customHeight="1">
      <c r="C763" s="6"/>
    </row>
    <row r="764" ht="14.25" customHeight="1">
      <c r="C764" s="6"/>
    </row>
    <row r="765" ht="14.25" customHeight="1">
      <c r="C765" s="6"/>
    </row>
    <row r="766" ht="14.25" customHeight="1">
      <c r="C766" s="6"/>
    </row>
    <row r="767" ht="14.25" customHeight="1">
      <c r="C767" s="6"/>
    </row>
    <row r="768" ht="14.25" customHeight="1">
      <c r="C768" s="6"/>
    </row>
    <row r="769" ht="14.25" customHeight="1">
      <c r="C769" s="6"/>
    </row>
    <row r="770" ht="14.25" customHeight="1">
      <c r="C770" s="6"/>
    </row>
    <row r="771" ht="14.25" customHeight="1">
      <c r="C771" s="6"/>
    </row>
    <row r="772" ht="14.25" customHeight="1">
      <c r="C772" s="6"/>
    </row>
    <row r="773" ht="14.25" customHeight="1">
      <c r="C773" s="6"/>
    </row>
    <row r="774" ht="14.25" customHeight="1">
      <c r="C774" s="6"/>
    </row>
    <row r="775" ht="14.25" customHeight="1">
      <c r="C775" s="6"/>
    </row>
    <row r="776" ht="14.25" customHeight="1">
      <c r="C776" s="6"/>
    </row>
    <row r="777" ht="14.25" customHeight="1">
      <c r="C777" s="6"/>
    </row>
    <row r="778" ht="14.25" customHeight="1">
      <c r="C778" s="6"/>
    </row>
    <row r="779" ht="14.25" customHeight="1">
      <c r="C779" s="6"/>
    </row>
    <row r="780" ht="14.25" customHeight="1">
      <c r="C780" s="6"/>
    </row>
    <row r="781" ht="14.25" customHeight="1">
      <c r="C781" s="6"/>
    </row>
    <row r="782" ht="14.25" customHeight="1">
      <c r="C782" s="6"/>
    </row>
    <row r="783" ht="14.25" customHeight="1">
      <c r="C783" s="6"/>
    </row>
    <row r="784" ht="14.25" customHeight="1">
      <c r="C784" s="6"/>
    </row>
    <row r="785" ht="14.25" customHeight="1">
      <c r="C785" s="6"/>
    </row>
    <row r="786" ht="14.25" customHeight="1">
      <c r="C786" s="6"/>
    </row>
    <row r="787" ht="14.25" customHeight="1">
      <c r="C787" s="6"/>
    </row>
    <row r="788" ht="14.25" customHeight="1">
      <c r="C788" s="6"/>
    </row>
    <row r="789" ht="14.25" customHeight="1">
      <c r="C789" s="6"/>
    </row>
    <row r="790" ht="14.25" customHeight="1">
      <c r="C790" s="6"/>
    </row>
    <row r="791" ht="14.25" customHeight="1">
      <c r="C791" s="6"/>
    </row>
    <row r="792" ht="14.25" customHeight="1">
      <c r="C792" s="6"/>
    </row>
    <row r="793" ht="14.25" customHeight="1">
      <c r="C793" s="6"/>
    </row>
    <row r="794" ht="14.25" customHeight="1">
      <c r="C794" s="6"/>
    </row>
    <row r="795" ht="14.25" customHeight="1">
      <c r="C795" s="6"/>
    </row>
    <row r="796" ht="14.25" customHeight="1">
      <c r="C796" s="6"/>
    </row>
    <row r="797" ht="14.25" customHeight="1">
      <c r="C797" s="6"/>
    </row>
    <row r="798" ht="14.25" customHeight="1">
      <c r="C798" s="6"/>
    </row>
    <row r="799" ht="14.25" customHeight="1">
      <c r="C799" s="6"/>
    </row>
    <row r="800" ht="14.25" customHeight="1">
      <c r="C800" s="6"/>
    </row>
    <row r="801" ht="14.25" customHeight="1">
      <c r="C801" s="6"/>
    </row>
    <row r="802" ht="14.25" customHeight="1">
      <c r="C802" s="6"/>
    </row>
    <row r="803" ht="14.25" customHeight="1">
      <c r="C803" s="6"/>
    </row>
    <row r="804" ht="14.25" customHeight="1">
      <c r="C804" s="6"/>
    </row>
    <row r="805" ht="14.25" customHeight="1">
      <c r="C805" s="6"/>
    </row>
    <row r="806" ht="14.25" customHeight="1">
      <c r="C806" s="6"/>
    </row>
    <row r="807" ht="14.25" customHeight="1">
      <c r="C807" s="6"/>
    </row>
    <row r="808" ht="14.25" customHeight="1">
      <c r="C808" s="6"/>
    </row>
    <row r="809" ht="14.25" customHeight="1">
      <c r="C809" s="6"/>
    </row>
    <row r="810" ht="14.25" customHeight="1">
      <c r="C810" s="6"/>
    </row>
    <row r="811" ht="14.25" customHeight="1">
      <c r="C811" s="6"/>
    </row>
    <row r="812" ht="14.25" customHeight="1">
      <c r="C812" s="6"/>
    </row>
    <row r="813" ht="14.25" customHeight="1">
      <c r="C813" s="6"/>
    </row>
    <row r="814" ht="14.25" customHeight="1">
      <c r="C814" s="6"/>
    </row>
    <row r="815" ht="14.25" customHeight="1">
      <c r="C815" s="6"/>
    </row>
    <row r="816" ht="14.25" customHeight="1">
      <c r="C816" s="6"/>
    </row>
    <row r="817" ht="14.25" customHeight="1">
      <c r="C817" s="6"/>
    </row>
    <row r="818" ht="14.25" customHeight="1">
      <c r="C818" s="6"/>
    </row>
    <row r="819" ht="14.25" customHeight="1">
      <c r="C819" s="6"/>
    </row>
    <row r="820" ht="14.25" customHeight="1">
      <c r="C820" s="6"/>
    </row>
    <row r="821" ht="14.25" customHeight="1">
      <c r="C821" s="6"/>
    </row>
    <row r="822" ht="14.25" customHeight="1">
      <c r="C822" s="6"/>
    </row>
    <row r="823" ht="14.25" customHeight="1">
      <c r="C823" s="6"/>
    </row>
    <row r="824" ht="14.25" customHeight="1">
      <c r="C824" s="6"/>
    </row>
    <row r="825" ht="14.25" customHeight="1">
      <c r="C825" s="6"/>
    </row>
    <row r="826" ht="14.25" customHeight="1">
      <c r="C826" s="6"/>
    </row>
    <row r="827" ht="14.25" customHeight="1">
      <c r="C827" s="6"/>
    </row>
    <row r="828" ht="14.25" customHeight="1">
      <c r="C828" s="6"/>
    </row>
    <row r="829" ht="14.25" customHeight="1">
      <c r="C829" s="6"/>
    </row>
    <row r="830" ht="14.25" customHeight="1">
      <c r="C830" s="6"/>
    </row>
    <row r="831" ht="14.25" customHeight="1">
      <c r="C831" s="6"/>
    </row>
    <row r="832" ht="14.25" customHeight="1">
      <c r="C832" s="6"/>
    </row>
    <row r="833" ht="14.25" customHeight="1">
      <c r="C833" s="6"/>
    </row>
    <row r="834" ht="14.25" customHeight="1">
      <c r="C834" s="6"/>
    </row>
    <row r="835" ht="14.25" customHeight="1">
      <c r="C835" s="6"/>
    </row>
    <row r="836" ht="14.25" customHeight="1">
      <c r="C836" s="6"/>
    </row>
    <row r="837" ht="14.25" customHeight="1">
      <c r="C837" s="6"/>
    </row>
    <row r="838" ht="14.25" customHeight="1">
      <c r="C838" s="6"/>
    </row>
    <row r="839" ht="14.25" customHeight="1">
      <c r="C839" s="6"/>
    </row>
    <row r="840" ht="14.25" customHeight="1">
      <c r="C840" s="6"/>
    </row>
    <row r="841" ht="14.25" customHeight="1">
      <c r="C841" s="6"/>
    </row>
    <row r="842" ht="14.25" customHeight="1">
      <c r="C842" s="6"/>
    </row>
    <row r="843" ht="14.25" customHeight="1">
      <c r="C843" s="6"/>
    </row>
    <row r="844" ht="14.25" customHeight="1">
      <c r="C844" s="6"/>
    </row>
    <row r="845" ht="14.25" customHeight="1">
      <c r="C845" s="6"/>
    </row>
    <row r="846" ht="14.25" customHeight="1">
      <c r="C846" s="6"/>
    </row>
    <row r="847" ht="14.25" customHeight="1">
      <c r="C847" s="6"/>
    </row>
    <row r="848" ht="14.25" customHeight="1">
      <c r="C848" s="6"/>
    </row>
    <row r="849" ht="14.25" customHeight="1">
      <c r="C849" s="6"/>
    </row>
    <row r="850" ht="14.25" customHeight="1">
      <c r="C850" s="6"/>
    </row>
    <row r="851" ht="14.25" customHeight="1">
      <c r="C851" s="6"/>
    </row>
    <row r="852" ht="14.25" customHeight="1">
      <c r="C852" s="6"/>
    </row>
    <row r="853" ht="14.25" customHeight="1">
      <c r="C853" s="6"/>
    </row>
    <row r="854" ht="14.25" customHeight="1">
      <c r="C854" s="6"/>
    </row>
    <row r="855" ht="14.25" customHeight="1">
      <c r="C855" s="6"/>
    </row>
    <row r="856" ht="14.25" customHeight="1">
      <c r="C856" s="6"/>
    </row>
    <row r="857" ht="14.25" customHeight="1">
      <c r="C857" s="6"/>
    </row>
    <row r="858" ht="14.25" customHeight="1">
      <c r="C858" s="6"/>
    </row>
    <row r="859" ht="14.25" customHeight="1">
      <c r="C859" s="6"/>
    </row>
    <row r="860" ht="14.25" customHeight="1">
      <c r="C860" s="6"/>
    </row>
    <row r="861" ht="14.25" customHeight="1">
      <c r="C861" s="6"/>
    </row>
    <row r="862" ht="14.25" customHeight="1">
      <c r="C862" s="6"/>
    </row>
    <row r="863" ht="14.25" customHeight="1">
      <c r="C863" s="6"/>
    </row>
    <row r="864" ht="14.25" customHeight="1">
      <c r="C864" s="6"/>
    </row>
    <row r="865" ht="14.25" customHeight="1">
      <c r="C865" s="6"/>
    </row>
    <row r="866" ht="14.25" customHeight="1">
      <c r="C866" s="6"/>
    </row>
    <row r="867" ht="14.25" customHeight="1">
      <c r="C867" s="6"/>
    </row>
    <row r="868" ht="14.25" customHeight="1">
      <c r="C868" s="6"/>
    </row>
    <row r="869" ht="14.25" customHeight="1">
      <c r="C869" s="6"/>
    </row>
    <row r="870" ht="14.25" customHeight="1">
      <c r="C870" s="6"/>
    </row>
    <row r="871" ht="14.25" customHeight="1">
      <c r="C871" s="6"/>
    </row>
    <row r="872" ht="14.25" customHeight="1">
      <c r="C872" s="6"/>
    </row>
    <row r="873" ht="14.25" customHeight="1">
      <c r="C873" s="6"/>
    </row>
    <row r="874" ht="14.25" customHeight="1">
      <c r="C874" s="6"/>
    </row>
    <row r="875" ht="14.25" customHeight="1">
      <c r="C875" s="6"/>
    </row>
    <row r="876" ht="14.25" customHeight="1">
      <c r="C876" s="6"/>
    </row>
    <row r="877" ht="14.25" customHeight="1">
      <c r="C877" s="6"/>
    </row>
    <row r="878" ht="14.25" customHeight="1">
      <c r="C878" s="6"/>
    </row>
    <row r="879" ht="14.25" customHeight="1">
      <c r="C879" s="6"/>
    </row>
    <row r="880" ht="14.25" customHeight="1">
      <c r="C880" s="6"/>
    </row>
    <row r="881" ht="14.25" customHeight="1">
      <c r="C881" s="6"/>
    </row>
    <row r="882" ht="14.25" customHeight="1">
      <c r="C882" s="6"/>
    </row>
    <row r="883" ht="14.25" customHeight="1">
      <c r="C883" s="6"/>
    </row>
    <row r="884" ht="14.25" customHeight="1">
      <c r="C884" s="6"/>
    </row>
    <row r="885" ht="14.25" customHeight="1">
      <c r="C885" s="6"/>
    </row>
    <row r="886" ht="14.25" customHeight="1">
      <c r="C886" s="6"/>
    </row>
    <row r="887" ht="14.25" customHeight="1">
      <c r="C887" s="6"/>
    </row>
    <row r="888" ht="14.25" customHeight="1">
      <c r="C888" s="6"/>
    </row>
    <row r="889" ht="14.25" customHeight="1">
      <c r="C889" s="6"/>
    </row>
    <row r="890" ht="14.25" customHeight="1">
      <c r="C890" s="6"/>
    </row>
    <row r="891" ht="14.25" customHeight="1">
      <c r="C891" s="6"/>
    </row>
    <row r="892" ht="14.25" customHeight="1">
      <c r="C892" s="6"/>
    </row>
    <row r="893" ht="14.25" customHeight="1">
      <c r="C893" s="6"/>
    </row>
    <row r="894" ht="14.25" customHeight="1">
      <c r="C894" s="6"/>
    </row>
    <row r="895" ht="14.25" customHeight="1">
      <c r="C895" s="6"/>
    </row>
    <row r="896" ht="14.25" customHeight="1">
      <c r="C896" s="6"/>
    </row>
    <row r="897" ht="14.25" customHeight="1">
      <c r="C897" s="6"/>
    </row>
    <row r="898" ht="14.25" customHeight="1">
      <c r="C898" s="6"/>
    </row>
    <row r="899" ht="14.25" customHeight="1">
      <c r="C899" s="6"/>
    </row>
    <row r="900" ht="14.25" customHeight="1">
      <c r="C900" s="6"/>
    </row>
    <row r="901" ht="14.25" customHeight="1">
      <c r="C901" s="6"/>
    </row>
    <row r="902" ht="14.25" customHeight="1">
      <c r="C902" s="6"/>
    </row>
    <row r="903" ht="14.25" customHeight="1">
      <c r="C903" s="6"/>
    </row>
    <row r="904" ht="14.25" customHeight="1">
      <c r="C904" s="6"/>
    </row>
    <row r="905" ht="14.25" customHeight="1">
      <c r="C905" s="6"/>
    </row>
    <row r="906" ht="14.25" customHeight="1">
      <c r="C906" s="6"/>
    </row>
    <row r="907" ht="14.25" customHeight="1">
      <c r="C907" s="6"/>
    </row>
    <row r="908" ht="14.25" customHeight="1">
      <c r="C908" s="6"/>
    </row>
    <row r="909" ht="14.25" customHeight="1">
      <c r="C909" s="6"/>
    </row>
    <row r="910" ht="14.25" customHeight="1">
      <c r="C910" s="6"/>
    </row>
    <row r="911" ht="14.25" customHeight="1">
      <c r="C911" s="6"/>
    </row>
    <row r="912" ht="14.25" customHeight="1">
      <c r="C912" s="6"/>
    </row>
    <row r="913" ht="14.25" customHeight="1">
      <c r="C913" s="6"/>
    </row>
    <row r="914" ht="14.25" customHeight="1">
      <c r="C914" s="6"/>
    </row>
    <row r="915" ht="14.25" customHeight="1">
      <c r="C915" s="6"/>
    </row>
    <row r="916" ht="14.25" customHeight="1">
      <c r="C916" s="6"/>
    </row>
    <row r="917" ht="14.25" customHeight="1">
      <c r="C917" s="6"/>
    </row>
    <row r="918" ht="14.25" customHeight="1">
      <c r="C918" s="6"/>
    </row>
    <row r="919" ht="14.25" customHeight="1">
      <c r="C919" s="6"/>
    </row>
    <row r="920" ht="14.25" customHeight="1">
      <c r="C920" s="6"/>
    </row>
    <row r="921" ht="14.25" customHeight="1">
      <c r="C921" s="6"/>
    </row>
    <row r="922" ht="14.25" customHeight="1">
      <c r="C922" s="6"/>
    </row>
    <row r="923" ht="14.25" customHeight="1">
      <c r="C923" s="6"/>
    </row>
    <row r="924" ht="14.25" customHeight="1">
      <c r="C924" s="6"/>
    </row>
    <row r="925" ht="14.25" customHeight="1">
      <c r="C925" s="6"/>
    </row>
    <row r="926" ht="14.25" customHeight="1">
      <c r="C926" s="6"/>
    </row>
    <row r="927" ht="14.25" customHeight="1">
      <c r="C927" s="6"/>
    </row>
    <row r="928" ht="14.25" customHeight="1">
      <c r="C928" s="6"/>
    </row>
    <row r="929" ht="14.25" customHeight="1">
      <c r="C929" s="6"/>
    </row>
    <row r="930" ht="14.25" customHeight="1">
      <c r="C930" s="6"/>
    </row>
    <row r="931" ht="14.25" customHeight="1">
      <c r="C931" s="6"/>
    </row>
    <row r="932" ht="14.25" customHeight="1">
      <c r="C932" s="6"/>
    </row>
    <row r="933" ht="14.25" customHeight="1">
      <c r="C933" s="6"/>
    </row>
    <row r="934" ht="14.25" customHeight="1">
      <c r="C934" s="6"/>
    </row>
    <row r="935" ht="14.25" customHeight="1">
      <c r="C935" s="6"/>
    </row>
    <row r="936" ht="14.25" customHeight="1">
      <c r="C936" s="6"/>
    </row>
    <row r="937" ht="14.25" customHeight="1">
      <c r="C937" s="6"/>
    </row>
    <row r="938" ht="14.25" customHeight="1">
      <c r="C938" s="6"/>
    </row>
    <row r="939" ht="14.25" customHeight="1">
      <c r="C939" s="6"/>
    </row>
    <row r="940" ht="14.25" customHeight="1">
      <c r="C940" s="6"/>
    </row>
    <row r="941" ht="14.25" customHeight="1">
      <c r="C941" s="6"/>
    </row>
    <row r="942" ht="14.25" customHeight="1">
      <c r="C942" s="6"/>
    </row>
    <row r="943" ht="14.25" customHeight="1">
      <c r="C943" s="6"/>
    </row>
    <row r="944" ht="14.25" customHeight="1">
      <c r="C944" s="6"/>
    </row>
    <row r="945" ht="14.25" customHeight="1">
      <c r="C945" s="6"/>
    </row>
    <row r="946" ht="14.25" customHeight="1">
      <c r="C946" s="6"/>
    </row>
    <row r="947" ht="14.25" customHeight="1">
      <c r="C947" s="6"/>
    </row>
    <row r="948" ht="14.25" customHeight="1">
      <c r="C948" s="6"/>
    </row>
    <row r="949" ht="14.25" customHeight="1">
      <c r="C949" s="6"/>
    </row>
    <row r="950" ht="14.25" customHeight="1">
      <c r="C950" s="6"/>
    </row>
    <row r="951" ht="14.25" customHeight="1">
      <c r="C951" s="6"/>
    </row>
    <row r="952" ht="14.25" customHeight="1">
      <c r="C952" s="6"/>
    </row>
    <row r="953" ht="14.25" customHeight="1">
      <c r="C953" s="6"/>
    </row>
    <row r="954" ht="14.25" customHeight="1">
      <c r="C954" s="6"/>
    </row>
    <row r="955" ht="14.25" customHeight="1">
      <c r="C955" s="6"/>
    </row>
    <row r="956" ht="14.25" customHeight="1">
      <c r="C956" s="6"/>
    </row>
    <row r="957" ht="14.25" customHeight="1">
      <c r="C957" s="6"/>
    </row>
    <row r="958" ht="14.25" customHeight="1">
      <c r="C958" s="6"/>
    </row>
    <row r="959" ht="14.25" customHeight="1">
      <c r="C959" s="6"/>
    </row>
    <row r="960" ht="14.25" customHeight="1">
      <c r="C960" s="6"/>
    </row>
    <row r="961" ht="14.25" customHeight="1">
      <c r="C961" s="6"/>
    </row>
    <row r="962" ht="14.25" customHeight="1">
      <c r="C962" s="6"/>
    </row>
    <row r="963" ht="14.25" customHeight="1">
      <c r="C963" s="6"/>
    </row>
    <row r="964" ht="14.25" customHeight="1">
      <c r="C964" s="6"/>
    </row>
    <row r="965" ht="14.25" customHeight="1">
      <c r="C965" s="6"/>
    </row>
    <row r="966" ht="14.25" customHeight="1">
      <c r="C966" s="6"/>
    </row>
    <row r="967" ht="14.25" customHeight="1">
      <c r="C967" s="6"/>
    </row>
    <row r="968" ht="14.25" customHeight="1">
      <c r="C968" s="6"/>
    </row>
    <row r="969" ht="14.25" customHeight="1">
      <c r="C969" s="6"/>
    </row>
    <row r="970" ht="14.25" customHeight="1">
      <c r="C970" s="6"/>
    </row>
    <row r="971" ht="14.25" customHeight="1">
      <c r="C971" s="6"/>
    </row>
    <row r="972" ht="14.25" customHeight="1">
      <c r="C972" s="6"/>
    </row>
    <row r="973" ht="14.25" customHeight="1">
      <c r="C973" s="6"/>
    </row>
    <row r="974" ht="14.25" customHeight="1">
      <c r="C974" s="6"/>
    </row>
    <row r="975" ht="14.25" customHeight="1">
      <c r="C975" s="6"/>
    </row>
    <row r="976" ht="14.25" customHeight="1">
      <c r="C976" s="6"/>
    </row>
    <row r="977" ht="14.25" customHeight="1">
      <c r="C977" s="6"/>
    </row>
    <row r="978" ht="14.25" customHeight="1">
      <c r="C978" s="6"/>
    </row>
    <row r="979" ht="14.25" customHeight="1">
      <c r="C979" s="6"/>
    </row>
    <row r="980" ht="14.25" customHeight="1">
      <c r="C980" s="6"/>
    </row>
    <row r="981" ht="14.25" customHeight="1">
      <c r="C981" s="6"/>
    </row>
    <row r="982" ht="14.25" customHeight="1">
      <c r="C982" s="6"/>
    </row>
    <row r="983" ht="14.25" customHeight="1">
      <c r="C983" s="6"/>
    </row>
    <row r="984" ht="14.25" customHeight="1">
      <c r="C984" s="6"/>
    </row>
    <row r="985" ht="14.25" customHeight="1">
      <c r="C985" s="6"/>
    </row>
    <row r="986" ht="14.25" customHeight="1">
      <c r="C986" s="6"/>
    </row>
    <row r="987" ht="14.25" customHeight="1">
      <c r="C987" s="6"/>
    </row>
    <row r="988" ht="14.25" customHeight="1">
      <c r="C988" s="6"/>
    </row>
    <row r="989" ht="14.25" customHeight="1">
      <c r="C989" s="6"/>
    </row>
    <row r="990" ht="14.25" customHeight="1">
      <c r="C990" s="6"/>
    </row>
    <row r="991" ht="14.25" customHeight="1">
      <c r="C991" s="6"/>
    </row>
    <row r="992" ht="14.25" customHeight="1">
      <c r="C992" s="6"/>
    </row>
    <row r="993" ht="14.25" customHeight="1">
      <c r="C993" s="6"/>
    </row>
    <row r="994" ht="14.25" customHeight="1">
      <c r="C994" s="6"/>
    </row>
    <row r="995" ht="14.25" customHeight="1">
      <c r="C995" s="6"/>
    </row>
    <row r="996" ht="14.25" customHeight="1">
      <c r="C996" s="6"/>
    </row>
    <row r="997" ht="14.25" customHeight="1">
      <c r="C997" s="6"/>
    </row>
    <row r="998" ht="14.25" customHeight="1">
      <c r="C998" s="6"/>
    </row>
    <row r="999" ht="14.25" customHeight="1">
      <c r="C999" s="6"/>
    </row>
    <row r="1000" ht="14.25" customHeight="1">
      <c r="C1000" s="6"/>
    </row>
  </sheetData>
  <customSheetViews>
    <customSheetView guid="{7D98E74F-7E7D-45CD-A040-476CE37CAA71}" filter="1" showAutoFilter="1">
      <autoFilter ref="$A$1:$O$61"/>
    </customSheetView>
  </customSheetViews>
  <printOptions/>
  <pageMargins bottom="0.75" footer="0.0" header="0.0" left="0.7" right="0.7" top="0.75"/>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63"/>
    <col customWidth="1" min="2" max="2" width="24.38"/>
    <col customWidth="1" min="3" max="3" width="55.5"/>
    <col customWidth="1" min="4" max="4" width="54.5"/>
    <col customWidth="1" min="5" max="5" width="43.25"/>
    <col customWidth="1" min="6" max="6" width="11.0"/>
    <col customWidth="1" min="7" max="7" width="10.88"/>
    <col customWidth="1" min="8" max="26" width="8.63"/>
  </cols>
  <sheetData>
    <row r="1" ht="14.25" customHeight="1">
      <c r="A1" s="12" t="s">
        <v>5053</v>
      </c>
      <c r="B1" s="12" t="s">
        <v>39</v>
      </c>
      <c r="C1" s="12" t="s">
        <v>5054</v>
      </c>
      <c r="D1" s="12" t="s">
        <v>4652</v>
      </c>
      <c r="E1" s="12" t="s">
        <v>5055</v>
      </c>
      <c r="F1" s="12" t="s">
        <v>619</v>
      </c>
      <c r="G1" s="12" t="s">
        <v>620</v>
      </c>
    </row>
    <row r="2" ht="14.25" customHeight="1">
      <c r="A2" s="26" t="s">
        <v>1354</v>
      </c>
      <c r="B2" s="26" t="str">
        <f>_xlfn.XLOOKUP(tblStates[[#This Row],[StateID]],tblTargets[TargetID],tblTargets[DisplayName],"")</f>
        <v>#ERROR!</v>
      </c>
      <c r="C2" s="26" t="str">
        <f>IFERROR(_xlfn.XLOOKUP(tblStates[[#This Row],[StateID]],tblQuestObjectives[ObjectiveID],tblQuestObjectives[QuestTargetID]),_xlfn.XLOOKUP(tblStates[[#This Row],[StateID]],tblDependencies[DependencyID],tblDependencies[TargetID]))</f>
        <v>#ERROR!</v>
      </c>
      <c r="D2" s="26" t="str">
        <f>IFERROR(_xlfn.XLOOKUP(tblStates[[#This Row],[StateID]],tblQuestObjectives[ObjectiveID],tblQuestObjectives[QuestTargetID]),"")</f>
        <v>#ERROR!</v>
      </c>
      <c r="E2" s="26" t="str">
        <f>IFERROR(_xlfn.XLOOKUP(tblStates[[#This Row],[StateID]],tblDependencies[DependencyID],tblDependencies[TargetID]),"")</f>
        <v>#ERROR!</v>
      </c>
      <c r="F2" s="26" t="str">
        <f>_xlfn.XLOOKUP(tblStates[[#This Row],[StateID]],tblTargets[TargetID],tblTargets[StateType],"")</f>
        <v>#ERROR!</v>
      </c>
      <c r="G2" s="26" t="str">
        <f>_xlfn.XLOOKUP(tblStates[[#This Row],[StateID]],tblTargets[TargetID],tblTargets[Trackable],"")</f>
        <v>#ERROR!</v>
      </c>
    </row>
    <row r="3" ht="14.25" customHeight="1">
      <c r="A3" s="26" t="s">
        <v>1356</v>
      </c>
      <c r="B3" s="26" t="str">
        <f>_xlfn.XLOOKUP(tblStates[[#This Row],[StateID]],tblTargets[TargetID],tblTargets[DisplayName],"")</f>
        <v>#ERROR!</v>
      </c>
      <c r="C3" s="26" t="str">
        <f>IFERROR(_xlfn.XLOOKUP(tblStates[[#This Row],[StateID]],tblQuestObjectives[ObjectiveID],tblQuestObjectives[QuestTargetID]),_xlfn.XLOOKUP(tblStates[[#This Row],[StateID]],tblDependencies[DependencyID],tblDependencies[TargetID]))</f>
        <v>#ERROR!</v>
      </c>
      <c r="D3" s="26" t="str">
        <f>IFERROR(_xlfn.XLOOKUP(tblStates[[#This Row],[StateID]],tblQuestObjectives[ObjectiveID],tblQuestObjectives[QuestTargetID]),"")</f>
        <v>#ERROR!</v>
      </c>
      <c r="E3" s="26" t="str">
        <f>IFERROR(_xlfn.XLOOKUP(tblStates[[#This Row],[StateID]],tblDependencies[DependencyID],tblDependencies[TargetID]),"")</f>
        <v>#ERROR!</v>
      </c>
      <c r="F3" s="26" t="str">
        <f>_xlfn.XLOOKUP(tblStates[[#This Row],[StateID]],tblTargets[TargetID],tblTargets[StateType],"")</f>
        <v>#ERROR!</v>
      </c>
      <c r="G3" s="26" t="str">
        <f>_xlfn.XLOOKUP(tblStates[[#This Row],[StateID]],tblTargets[TargetID],tblTargets[Trackable],"")</f>
        <v>#ERROR!</v>
      </c>
    </row>
    <row r="4" ht="14.25" customHeight="1">
      <c r="A4" s="26" t="s">
        <v>1363</v>
      </c>
      <c r="B4" s="26" t="str">
        <f>_xlfn.XLOOKUP(tblStates[[#This Row],[StateID]],tblTargets[TargetID],tblTargets[DisplayName],"")</f>
        <v>#ERROR!</v>
      </c>
      <c r="C4" s="26" t="str">
        <f>IFERROR(_xlfn.XLOOKUP(tblStates[[#This Row],[StateID]],tblQuestObjectives[ObjectiveID],tblQuestObjectives[QuestTargetID]),_xlfn.XLOOKUP(tblStates[[#This Row],[StateID]],tblDependencies[DependencyID],tblDependencies[TargetID]))</f>
        <v>#ERROR!</v>
      </c>
      <c r="D4" s="26" t="str">
        <f>IFERROR(_xlfn.XLOOKUP(tblStates[[#This Row],[StateID]],tblQuestObjectives[ObjectiveID],tblQuestObjectives[QuestTargetID]),"")</f>
        <v>#ERROR!</v>
      </c>
      <c r="E4" s="26" t="str">
        <f>IFERROR(_xlfn.XLOOKUP(tblStates[[#This Row],[StateID]],tblDependencies[DependencyID],tblDependencies[TargetID]),"")</f>
        <v>#ERROR!</v>
      </c>
      <c r="F4" s="26" t="str">
        <f>_xlfn.XLOOKUP(tblStates[[#This Row],[StateID]],tblTargets[TargetID],tblTargets[StateType],"")</f>
        <v>#ERROR!</v>
      </c>
      <c r="G4" s="26" t="str">
        <f>_xlfn.XLOOKUP(tblStates[[#This Row],[StateID]],tblTargets[TargetID],tblTargets[Trackable],"")</f>
        <v>#ERROR!</v>
      </c>
    </row>
    <row r="5" ht="14.25" customHeight="1">
      <c r="A5" s="26" t="s">
        <v>1367</v>
      </c>
      <c r="B5" s="26" t="str">
        <f>_xlfn.XLOOKUP(tblStates[[#This Row],[StateID]],tblTargets[TargetID],tblTargets[DisplayName],"")</f>
        <v>#ERROR!</v>
      </c>
      <c r="C5" s="26" t="str">
        <f>IFERROR(_xlfn.XLOOKUP(tblStates[[#This Row],[StateID]],tblQuestObjectives[ObjectiveID],tblQuestObjectives[QuestTargetID]),_xlfn.XLOOKUP(tblStates[[#This Row],[StateID]],tblDependencies[DependencyID],tblDependencies[TargetID]))</f>
        <v>#ERROR!</v>
      </c>
      <c r="D5" s="26" t="str">
        <f>IFERROR(_xlfn.XLOOKUP(tblStates[[#This Row],[StateID]],tblQuestObjectives[ObjectiveID],tblQuestObjectives[QuestTargetID]),"")</f>
        <v>#ERROR!</v>
      </c>
      <c r="E5" s="26" t="str">
        <f>IFERROR(_xlfn.XLOOKUP(tblStates[[#This Row],[StateID]],tblDependencies[DependencyID],tblDependencies[TargetID]),"")</f>
        <v>#ERROR!</v>
      </c>
      <c r="F5" s="26" t="str">
        <f>_xlfn.XLOOKUP(tblStates[[#This Row],[StateID]],tblTargets[TargetID],tblTargets[StateType],"")</f>
        <v>#ERROR!</v>
      </c>
      <c r="G5" s="26" t="str">
        <f>_xlfn.XLOOKUP(tblStates[[#This Row],[StateID]],tblTargets[TargetID],tblTargets[Trackable],"")</f>
        <v>#ERROR!</v>
      </c>
    </row>
    <row r="6" ht="14.25" customHeight="1">
      <c r="A6" s="26" t="s">
        <v>1374</v>
      </c>
      <c r="B6" s="26" t="str">
        <f>_xlfn.XLOOKUP(tblStates[[#This Row],[StateID]],tblTargets[TargetID],tblTargets[DisplayName],"")</f>
        <v>#ERROR!</v>
      </c>
      <c r="C6" s="26" t="str">
        <f>IFERROR(_xlfn.XLOOKUP(tblStates[[#This Row],[StateID]],tblQuestObjectives[ObjectiveID],tblQuestObjectives[QuestTargetID]),_xlfn.XLOOKUP(tblStates[[#This Row],[StateID]],tblDependencies[DependencyID],tblDependencies[TargetID]))</f>
        <v>#ERROR!</v>
      </c>
      <c r="D6" s="26" t="str">
        <f>IFERROR(_xlfn.XLOOKUP(tblStates[[#This Row],[StateID]],tblQuestObjectives[ObjectiveID],tblQuestObjectives[QuestTargetID]),"")</f>
        <v>#ERROR!</v>
      </c>
      <c r="E6" s="26" t="str">
        <f>IFERROR(_xlfn.XLOOKUP(tblStates[[#This Row],[StateID]],tblDependencies[DependencyID],tblDependencies[TargetID]),"")</f>
        <v>#ERROR!</v>
      </c>
      <c r="F6" s="26" t="str">
        <f>_xlfn.XLOOKUP(tblStates[[#This Row],[StateID]],tblTargets[TargetID],tblTargets[StateType],"")</f>
        <v>#ERROR!</v>
      </c>
      <c r="G6" s="26" t="str">
        <f>_xlfn.XLOOKUP(tblStates[[#This Row],[StateID]],tblTargets[TargetID],tblTargets[Trackable],"")</f>
        <v>#ERROR!</v>
      </c>
    </row>
    <row r="7" ht="14.25" customHeight="1">
      <c r="A7" s="26" t="s">
        <v>1377</v>
      </c>
      <c r="B7" s="26" t="str">
        <f>_xlfn.XLOOKUP(tblStates[[#This Row],[StateID]],tblTargets[TargetID],tblTargets[DisplayName],"")</f>
        <v>#ERROR!</v>
      </c>
      <c r="C7" s="26" t="str">
        <f>IFERROR(_xlfn.XLOOKUP(tblStates[[#This Row],[StateID]],tblQuestObjectives[ObjectiveID],tblQuestObjectives[QuestTargetID]),_xlfn.XLOOKUP(tblStates[[#This Row],[StateID]],tblDependencies[DependencyID],tblDependencies[TargetID]))</f>
        <v>#ERROR!</v>
      </c>
      <c r="D7" s="26" t="str">
        <f>IFERROR(_xlfn.XLOOKUP(tblStates[[#This Row],[StateID]],tblQuestObjectives[ObjectiveID],tblQuestObjectives[QuestTargetID]),"")</f>
        <v>#ERROR!</v>
      </c>
      <c r="E7" s="26" t="str">
        <f>IFERROR(_xlfn.XLOOKUP(tblStates[[#This Row],[StateID]],tblDependencies[DependencyID],tblDependencies[TargetID]),"")</f>
        <v>#ERROR!</v>
      </c>
      <c r="F7" s="26" t="str">
        <f>_xlfn.XLOOKUP(tblStates[[#This Row],[StateID]],tblTargets[TargetID],tblTargets[StateType],"")</f>
        <v>#ERROR!</v>
      </c>
      <c r="G7" s="26" t="str">
        <f>_xlfn.XLOOKUP(tblStates[[#This Row],[StateID]],tblTargets[TargetID],tblTargets[Trackable],"")</f>
        <v>#ERROR!</v>
      </c>
    </row>
    <row r="8" ht="14.25" customHeight="1">
      <c r="A8" s="26" t="s">
        <v>1379</v>
      </c>
      <c r="B8" s="26" t="str">
        <f>_xlfn.XLOOKUP(tblStates[[#This Row],[StateID]],tblTargets[TargetID],tblTargets[DisplayName],"")</f>
        <v>#ERROR!</v>
      </c>
      <c r="C8" s="26" t="str">
        <f>IFERROR(_xlfn.XLOOKUP(tblStates[[#This Row],[StateID]],tblQuestObjectives[ObjectiveID],tblQuestObjectives[QuestTargetID]),_xlfn.XLOOKUP(tblStates[[#This Row],[StateID]],tblDependencies[DependencyID],tblDependencies[TargetID]))</f>
        <v>#ERROR!</v>
      </c>
      <c r="D8" s="26" t="str">
        <f>IFERROR(_xlfn.XLOOKUP(tblStates[[#This Row],[StateID]],tblQuestObjectives[ObjectiveID],tblQuestObjectives[QuestTargetID]),"")</f>
        <v>#ERROR!</v>
      </c>
      <c r="E8" s="26" t="str">
        <f>IFERROR(_xlfn.XLOOKUP(tblStates[[#This Row],[StateID]],tblDependencies[DependencyID],tblDependencies[TargetID]),"")</f>
        <v>#ERROR!</v>
      </c>
      <c r="F8" s="26" t="str">
        <f>_xlfn.XLOOKUP(tblStates[[#This Row],[StateID]],tblTargets[TargetID],tblTargets[StateType],"")</f>
        <v>#ERROR!</v>
      </c>
      <c r="G8" s="26" t="str">
        <f>_xlfn.XLOOKUP(tblStates[[#This Row],[StateID]],tblTargets[TargetID],tblTargets[Trackable],"")</f>
        <v>#ERROR!</v>
      </c>
    </row>
    <row r="9" ht="14.25" customHeight="1">
      <c r="A9" s="26" t="s">
        <v>1382</v>
      </c>
      <c r="B9" s="26" t="str">
        <f>_xlfn.XLOOKUP(tblStates[[#This Row],[StateID]],tblTargets[TargetID],tblTargets[DisplayName],"")</f>
        <v>#ERROR!</v>
      </c>
      <c r="C9" s="26" t="str">
        <f>IFERROR(_xlfn.XLOOKUP(tblStates[[#This Row],[StateID]],tblQuestObjectives[ObjectiveID],tblQuestObjectives[QuestTargetID]),_xlfn.XLOOKUP(tblStates[[#This Row],[StateID]],tblDependencies[DependencyID],tblDependencies[TargetID]))</f>
        <v>#ERROR!</v>
      </c>
      <c r="D9" s="26" t="str">
        <f>IFERROR(_xlfn.XLOOKUP(tblStates[[#This Row],[StateID]],tblQuestObjectives[ObjectiveID],tblQuestObjectives[QuestTargetID]),"")</f>
        <v>#ERROR!</v>
      </c>
      <c r="E9" s="26" t="str">
        <f>IFERROR(_xlfn.XLOOKUP(tblStates[[#This Row],[StateID]],tblDependencies[DependencyID],tblDependencies[TargetID]),"")</f>
        <v>#ERROR!</v>
      </c>
      <c r="F9" s="26" t="str">
        <f>_xlfn.XLOOKUP(tblStates[[#This Row],[StateID]],tblTargets[TargetID],tblTargets[StateType],"")</f>
        <v>#ERROR!</v>
      </c>
      <c r="G9" s="26" t="str">
        <f>_xlfn.XLOOKUP(tblStates[[#This Row],[StateID]],tblTargets[TargetID],tblTargets[Trackable],"")</f>
        <v>#ERROR!</v>
      </c>
    </row>
    <row r="10" ht="14.25" customHeight="1">
      <c r="A10" s="26" t="s">
        <v>1384</v>
      </c>
      <c r="B10" s="26" t="str">
        <f>_xlfn.XLOOKUP(tblStates[[#This Row],[StateID]],tblTargets[TargetID],tblTargets[DisplayName],"")</f>
        <v>#ERROR!</v>
      </c>
      <c r="C10" s="26" t="str">
        <f>IFERROR(_xlfn.XLOOKUP(tblStates[[#This Row],[StateID]],tblQuestObjectives[ObjectiveID],tblQuestObjectives[QuestTargetID]),_xlfn.XLOOKUP(tblStates[[#This Row],[StateID]],tblDependencies[DependencyID],tblDependencies[TargetID]))</f>
        <v>#ERROR!</v>
      </c>
      <c r="D10" s="26" t="str">
        <f>IFERROR(_xlfn.XLOOKUP(tblStates[[#This Row],[StateID]],tblQuestObjectives[ObjectiveID],tblQuestObjectives[QuestTargetID]),"")</f>
        <v>#ERROR!</v>
      </c>
      <c r="E10" s="26" t="str">
        <f>IFERROR(_xlfn.XLOOKUP(tblStates[[#This Row],[StateID]],tblDependencies[DependencyID],tblDependencies[TargetID]),"")</f>
        <v>#ERROR!</v>
      </c>
      <c r="F10" s="26" t="str">
        <f>_xlfn.XLOOKUP(tblStates[[#This Row],[StateID]],tblTargets[TargetID],tblTargets[StateType],"")</f>
        <v>#ERROR!</v>
      </c>
      <c r="G10" s="26" t="str">
        <f>_xlfn.XLOOKUP(tblStates[[#This Row],[StateID]],tblTargets[TargetID],tblTargets[Trackable],"")</f>
        <v>#ERROR!</v>
      </c>
    </row>
    <row r="11" ht="14.25" customHeight="1">
      <c r="A11" s="26" t="s">
        <v>1386</v>
      </c>
      <c r="B11" s="26" t="str">
        <f>_xlfn.XLOOKUP(tblStates[[#This Row],[StateID]],tblTargets[TargetID],tblTargets[DisplayName],"")</f>
        <v>#ERROR!</v>
      </c>
      <c r="C11" s="26" t="str">
        <f>IFERROR(_xlfn.XLOOKUP(tblStates[[#This Row],[StateID]],tblQuestObjectives[ObjectiveID],tblQuestObjectives[QuestTargetID]),_xlfn.XLOOKUP(tblStates[[#This Row],[StateID]],tblDependencies[DependencyID],tblDependencies[TargetID]))</f>
        <v>#ERROR!</v>
      </c>
      <c r="D11" s="26" t="str">
        <f>IFERROR(_xlfn.XLOOKUP(tblStates[[#This Row],[StateID]],tblQuestObjectives[ObjectiveID],tblQuestObjectives[QuestTargetID]),"")</f>
        <v>#ERROR!</v>
      </c>
      <c r="E11" s="26" t="str">
        <f>IFERROR(_xlfn.XLOOKUP(tblStates[[#This Row],[StateID]],tblDependencies[DependencyID],tblDependencies[TargetID]),"")</f>
        <v>#ERROR!</v>
      </c>
      <c r="F11" s="26" t="str">
        <f>_xlfn.XLOOKUP(tblStates[[#This Row],[StateID]],tblTargets[TargetID],tblTargets[StateType],"")</f>
        <v>#ERROR!</v>
      </c>
      <c r="G11" s="26" t="str">
        <f>_xlfn.XLOOKUP(tblStates[[#This Row],[StateID]],tblTargets[TargetID],tblTargets[Trackable],"")</f>
        <v>#ERROR!</v>
      </c>
    </row>
    <row r="12" ht="14.25" customHeight="1">
      <c r="A12" s="26" t="s">
        <v>1388</v>
      </c>
      <c r="B12" s="26" t="str">
        <f>_xlfn.XLOOKUP(tblStates[[#This Row],[StateID]],tblTargets[TargetID],tblTargets[DisplayName],"")</f>
        <v>#ERROR!</v>
      </c>
      <c r="C12" s="26" t="str">
        <f>IFERROR(_xlfn.XLOOKUP(tblStates[[#This Row],[StateID]],tblQuestObjectives[ObjectiveID],tblQuestObjectives[QuestTargetID]),_xlfn.XLOOKUP(tblStates[[#This Row],[StateID]],tblDependencies[DependencyID],tblDependencies[TargetID]))</f>
        <v>#ERROR!</v>
      </c>
      <c r="D12" s="26" t="str">
        <f>IFERROR(_xlfn.XLOOKUP(tblStates[[#This Row],[StateID]],tblQuestObjectives[ObjectiveID],tblQuestObjectives[QuestTargetID]),"")</f>
        <v>#ERROR!</v>
      </c>
      <c r="E12" s="26" t="str">
        <f>IFERROR(_xlfn.XLOOKUP(tblStates[[#This Row],[StateID]],tblDependencies[DependencyID],tblDependencies[TargetID]),"")</f>
        <v>#ERROR!</v>
      </c>
      <c r="F12" s="26" t="str">
        <f>_xlfn.XLOOKUP(tblStates[[#This Row],[StateID]],tblTargets[TargetID],tblTargets[StateType],"")</f>
        <v>#ERROR!</v>
      </c>
      <c r="G12" s="26" t="str">
        <f>_xlfn.XLOOKUP(tblStates[[#This Row],[StateID]],tblTargets[TargetID],tblTargets[Trackable],"")</f>
        <v>#ERROR!</v>
      </c>
    </row>
    <row r="13" ht="14.25" customHeight="1">
      <c r="A13" s="26" t="s">
        <v>1391</v>
      </c>
      <c r="B13" s="26" t="str">
        <f>_xlfn.XLOOKUP(tblStates[[#This Row],[StateID]],tblTargets[TargetID],tblTargets[DisplayName],"")</f>
        <v>#ERROR!</v>
      </c>
      <c r="C13" s="26" t="str">
        <f>IFERROR(_xlfn.XLOOKUP(tblStates[[#This Row],[StateID]],tblQuestObjectives[ObjectiveID],tblQuestObjectives[QuestTargetID]),_xlfn.XLOOKUP(tblStates[[#This Row],[StateID]],tblDependencies[DependencyID],tblDependencies[TargetID]))</f>
        <v>#ERROR!</v>
      </c>
      <c r="D13" s="26" t="str">
        <f>IFERROR(_xlfn.XLOOKUP(tblStates[[#This Row],[StateID]],tblQuestObjectives[ObjectiveID],tblQuestObjectives[QuestTargetID]),"")</f>
        <v>#ERROR!</v>
      </c>
      <c r="E13" s="26" t="str">
        <f>IFERROR(_xlfn.XLOOKUP(tblStates[[#This Row],[StateID]],tblDependencies[DependencyID],tblDependencies[TargetID]),"")</f>
        <v>#ERROR!</v>
      </c>
      <c r="F13" s="26" t="str">
        <f>_xlfn.XLOOKUP(tblStates[[#This Row],[StateID]],tblTargets[TargetID],tblTargets[StateType],"")</f>
        <v>#ERROR!</v>
      </c>
      <c r="G13" s="26" t="str">
        <f>_xlfn.XLOOKUP(tblStates[[#This Row],[StateID]],tblTargets[TargetID],tblTargets[Trackable],"")</f>
        <v>#ERROR!</v>
      </c>
    </row>
    <row r="14" ht="14.25" customHeight="1">
      <c r="A14" s="26" t="s">
        <v>1393</v>
      </c>
      <c r="B14" s="26" t="str">
        <f>_xlfn.XLOOKUP(tblStates[[#This Row],[StateID]],tblTargets[TargetID],tblTargets[DisplayName],"")</f>
        <v>#ERROR!</v>
      </c>
      <c r="C14" s="26" t="str">
        <f>IFERROR(_xlfn.XLOOKUP(tblStates[[#This Row],[StateID]],tblQuestObjectives[ObjectiveID],tblQuestObjectives[QuestTargetID]),_xlfn.XLOOKUP(tblStates[[#This Row],[StateID]],tblDependencies[DependencyID],tblDependencies[TargetID]))</f>
        <v>#ERROR!</v>
      </c>
      <c r="D14" s="26" t="str">
        <f>IFERROR(_xlfn.XLOOKUP(tblStates[[#This Row],[StateID]],tblQuestObjectives[ObjectiveID],tblQuestObjectives[QuestTargetID]),"")</f>
        <v>#ERROR!</v>
      </c>
      <c r="E14" s="26" t="str">
        <f>IFERROR(_xlfn.XLOOKUP(tblStates[[#This Row],[StateID]],tblDependencies[DependencyID],tblDependencies[TargetID]),"")</f>
        <v>#ERROR!</v>
      </c>
      <c r="F14" s="26" t="str">
        <f>_xlfn.XLOOKUP(tblStates[[#This Row],[StateID]],tblTargets[TargetID],tblTargets[StateType],"")</f>
        <v>#ERROR!</v>
      </c>
      <c r="G14" s="26" t="str">
        <f>_xlfn.XLOOKUP(tblStates[[#This Row],[StateID]],tblTargets[TargetID],tblTargets[Trackable],"")</f>
        <v>#ERROR!</v>
      </c>
    </row>
    <row r="15" ht="14.25" customHeight="1">
      <c r="A15" s="26" t="s">
        <v>1395</v>
      </c>
      <c r="B15" s="26" t="str">
        <f>_xlfn.XLOOKUP(tblStates[[#This Row],[StateID]],tblTargets[TargetID],tblTargets[DisplayName],"")</f>
        <v>#ERROR!</v>
      </c>
      <c r="C15" s="26" t="str">
        <f>IFERROR(_xlfn.XLOOKUP(tblStates[[#This Row],[StateID]],tblQuestObjectives[ObjectiveID],tblQuestObjectives[QuestTargetID]),_xlfn.XLOOKUP(tblStates[[#This Row],[StateID]],tblDependencies[DependencyID],tblDependencies[TargetID]))</f>
        <v>#ERROR!</v>
      </c>
      <c r="D15" s="26" t="str">
        <f>IFERROR(_xlfn.XLOOKUP(tblStates[[#This Row],[StateID]],tblQuestObjectives[ObjectiveID],tblQuestObjectives[QuestTargetID]),"")</f>
        <v>#ERROR!</v>
      </c>
      <c r="E15" s="26" t="str">
        <f>IFERROR(_xlfn.XLOOKUP(tblStates[[#This Row],[StateID]],tblDependencies[DependencyID],tblDependencies[TargetID]),"")</f>
        <v>#ERROR!</v>
      </c>
      <c r="F15" s="26" t="str">
        <f>_xlfn.XLOOKUP(tblStates[[#This Row],[StateID]],tblTargets[TargetID],tblTargets[StateType],"")</f>
        <v>#ERROR!</v>
      </c>
      <c r="G15" s="26" t="str">
        <f>_xlfn.XLOOKUP(tblStates[[#This Row],[StateID]],tblTargets[TargetID],tblTargets[Trackable],"")</f>
        <v>#ERROR!</v>
      </c>
    </row>
    <row r="16" ht="14.25" customHeight="1">
      <c r="A16" s="26" t="s">
        <v>1397</v>
      </c>
      <c r="B16" s="26" t="str">
        <f>_xlfn.XLOOKUP(tblStates[[#This Row],[StateID]],tblTargets[TargetID],tblTargets[DisplayName],"")</f>
        <v>#ERROR!</v>
      </c>
      <c r="C16" s="26" t="str">
        <f>IFERROR(_xlfn.XLOOKUP(tblStates[[#This Row],[StateID]],tblQuestObjectives[ObjectiveID],tblQuestObjectives[QuestTargetID]),_xlfn.XLOOKUP(tblStates[[#This Row],[StateID]],tblDependencies[DependencyID],tblDependencies[TargetID]))</f>
        <v>#ERROR!</v>
      </c>
      <c r="D16" s="26" t="str">
        <f>IFERROR(_xlfn.XLOOKUP(tblStates[[#This Row],[StateID]],tblQuestObjectives[ObjectiveID],tblQuestObjectives[QuestTargetID]),"")</f>
        <v>#ERROR!</v>
      </c>
      <c r="E16" s="26" t="str">
        <f>IFERROR(_xlfn.XLOOKUP(tblStates[[#This Row],[StateID]],tblDependencies[DependencyID],tblDependencies[TargetID]),"")</f>
        <v>#ERROR!</v>
      </c>
      <c r="F16" s="26" t="str">
        <f>_xlfn.XLOOKUP(tblStates[[#This Row],[StateID]],tblTargets[TargetID],tblTargets[StateType],"")</f>
        <v>#ERROR!</v>
      </c>
      <c r="G16" s="26" t="str">
        <f>_xlfn.XLOOKUP(tblStates[[#This Row],[StateID]],tblTargets[TargetID],tblTargets[Trackable],"")</f>
        <v>#ERROR!</v>
      </c>
    </row>
    <row r="17" ht="14.25" customHeight="1">
      <c r="A17" s="26" t="s">
        <v>1400</v>
      </c>
      <c r="B17" s="26" t="str">
        <f>_xlfn.XLOOKUP(tblStates[[#This Row],[StateID]],tblTargets[TargetID],tblTargets[DisplayName],"")</f>
        <v>#ERROR!</v>
      </c>
      <c r="C17" s="26" t="str">
        <f>IFERROR(_xlfn.XLOOKUP(tblStates[[#This Row],[StateID]],tblQuestObjectives[ObjectiveID],tblQuestObjectives[QuestTargetID]),_xlfn.XLOOKUP(tblStates[[#This Row],[StateID]],tblDependencies[DependencyID],tblDependencies[TargetID]))</f>
        <v>#ERROR!</v>
      </c>
      <c r="D17" s="26" t="str">
        <f>IFERROR(_xlfn.XLOOKUP(tblStates[[#This Row],[StateID]],tblQuestObjectives[ObjectiveID],tblQuestObjectives[QuestTargetID]),"")</f>
        <v>#ERROR!</v>
      </c>
      <c r="E17" s="26" t="str">
        <f>IFERROR(_xlfn.XLOOKUP(tblStates[[#This Row],[StateID]],tblDependencies[DependencyID],tblDependencies[TargetID]),"")</f>
        <v>#ERROR!</v>
      </c>
      <c r="F17" s="26" t="str">
        <f>_xlfn.XLOOKUP(tblStates[[#This Row],[StateID]],tblTargets[TargetID],tblTargets[StateType],"")</f>
        <v>#ERROR!</v>
      </c>
      <c r="G17" s="26" t="str">
        <f>_xlfn.XLOOKUP(tblStates[[#This Row],[StateID]],tblTargets[TargetID],tblTargets[Trackable],"")</f>
        <v>#ERROR!</v>
      </c>
    </row>
    <row r="18" ht="14.25" customHeight="1">
      <c r="A18" s="26" t="s">
        <v>1402</v>
      </c>
      <c r="B18" s="26" t="str">
        <f>_xlfn.XLOOKUP(tblStates[[#This Row],[StateID]],tblTargets[TargetID],tblTargets[DisplayName],"")</f>
        <v>#ERROR!</v>
      </c>
      <c r="C18" s="26" t="str">
        <f>IFERROR(_xlfn.XLOOKUP(tblStates[[#This Row],[StateID]],tblQuestObjectives[ObjectiveID],tblQuestObjectives[QuestTargetID]),_xlfn.XLOOKUP(tblStates[[#This Row],[StateID]],tblDependencies[DependencyID],tblDependencies[TargetID]))</f>
        <v>#ERROR!</v>
      </c>
      <c r="D18" s="26" t="str">
        <f>IFERROR(_xlfn.XLOOKUP(tblStates[[#This Row],[StateID]],tblQuestObjectives[ObjectiveID],tblQuestObjectives[QuestTargetID]),"")</f>
        <v>#ERROR!</v>
      </c>
      <c r="E18" s="26" t="str">
        <f>IFERROR(_xlfn.XLOOKUP(tblStates[[#This Row],[StateID]],tblDependencies[DependencyID],tblDependencies[TargetID]),"")</f>
        <v>#ERROR!</v>
      </c>
      <c r="F18" s="26" t="str">
        <f>_xlfn.XLOOKUP(tblStates[[#This Row],[StateID]],tblTargets[TargetID],tblTargets[StateType],"")</f>
        <v>#ERROR!</v>
      </c>
      <c r="G18" s="26" t="str">
        <f>_xlfn.XLOOKUP(tblStates[[#This Row],[StateID]],tblTargets[TargetID],tblTargets[Trackable],"")</f>
        <v>#ERROR!</v>
      </c>
    </row>
    <row r="19" ht="14.25" customHeight="1">
      <c r="A19" s="26" t="s">
        <v>1404</v>
      </c>
      <c r="B19" s="26" t="str">
        <f>_xlfn.XLOOKUP(tblStates[[#This Row],[StateID]],tblTargets[TargetID],tblTargets[DisplayName],"")</f>
        <v>#ERROR!</v>
      </c>
      <c r="C19" s="26" t="str">
        <f>IFERROR(_xlfn.XLOOKUP(tblStates[[#This Row],[StateID]],tblQuestObjectives[ObjectiveID],tblQuestObjectives[QuestTargetID]),_xlfn.XLOOKUP(tblStates[[#This Row],[StateID]],tblDependencies[DependencyID],tblDependencies[TargetID]))</f>
        <v>#ERROR!</v>
      </c>
      <c r="D19" s="26" t="str">
        <f>IFERROR(_xlfn.XLOOKUP(tblStates[[#This Row],[StateID]],tblQuestObjectives[ObjectiveID],tblQuestObjectives[QuestTargetID]),"")</f>
        <v>#ERROR!</v>
      </c>
      <c r="E19" s="26" t="str">
        <f>IFERROR(_xlfn.XLOOKUP(tblStates[[#This Row],[StateID]],tblDependencies[DependencyID],tblDependencies[TargetID]),"")</f>
        <v>#ERROR!</v>
      </c>
      <c r="F19" s="26" t="str">
        <f>_xlfn.XLOOKUP(tblStates[[#This Row],[StateID]],tblTargets[TargetID],tblTargets[StateType],"")</f>
        <v>#ERROR!</v>
      </c>
      <c r="G19" s="26" t="str">
        <f>_xlfn.XLOOKUP(tblStates[[#This Row],[StateID]],tblTargets[TargetID],tblTargets[Trackable],"")</f>
        <v>#ERROR!</v>
      </c>
    </row>
    <row r="20" ht="14.25" customHeight="1">
      <c r="A20" s="26" t="s">
        <v>1406</v>
      </c>
      <c r="B20" s="26" t="str">
        <f>_xlfn.XLOOKUP(tblStates[[#This Row],[StateID]],tblTargets[TargetID],tblTargets[DisplayName],"")</f>
        <v>#ERROR!</v>
      </c>
      <c r="C20" s="26" t="str">
        <f>IFERROR(_xlfn.XLOOKUP(tblStates[[#This Row],[StateID]],tblQuestObjectives[ObjectiveID],tblQuestObjectives[QuestTargetID]),_xlfn.XLOOKUP(tblStates[[#This Row],[StateID]],tblDependencies[DependencyID],tblDependencies[TargetID]))</f>
        <v>#ERROR!</v>
      </c>
      <c r="D20" s="26" t="str">
        <f>IFERROR(_xlfn.XLOOKUP(tblStates[[#This Row],[StateID]],tblQuestObjectives[ObjectiveID],tblQuestObjectives[QuestTargetID]),"")</f>
        <v>#ERROR!</v>
      </c>
      <c r="E20" s="26" t="str">
        <f>IFERROR(_xlfn.XLOOKUP(tblStates[[#This Row],[StateID]],tblDependencies[DependencyID],tblDependencies[TargetID]),"")</f>
        <v>#ERROR!</v>
      </c>
      <c r="F20" s="26" t="str">
        <f>_xlfn.XLOOKUP(tblStates[[#This Row],[StateID]],tblTargets[TargetID],tblTargets[StateType],"")</f>
        <v>#ERROR!</v>
      </c>
      <c r="G20" s="26" t="str">
        <f>_xlfn.XLOOKUP(tblStates[[#This Row],[StateID]],tblTargets[TargetID],tblTargets[Trackable],"")</f>
        <v>#ERROR!</v>
      </c>
    </row>
    <row r="21" ht="14.25" customHeight="1">
      <c r="A21" s="26" t="s">
        <v>1409</v>
      </c>
      <c r="B21" s="26" t="str">
        <f>_xlfn.XLOOKUP(tblStates[[#This Row],[StateID]],tblTargets[TargetID],tblTargets[DisplayName],"")</f>
        <v>#ERROR!</v>
      </c>
      <c r="C21" s="26" t="str">
        <f>IFERROR(_xlfn.XLOOKUP(tblStates[[#This Row],[StateID]],tblQuestObjectives[ObjectiveID],tblQuestObjectives[QuestTargetID]),_xlfn.XLOOKUP(tblStates[[#This Row],[StateID]],tblDependencies[DependencyID],tblDependencies[TargetID]))</f>
        <v>#ERROR!</v>
      </c>
      <c r="D21" s="26" t="str">
        <f>IFERROR(_xlfn.XLOOKUP(tblStates[[#This Row],[StateID]],tblQuestObjectives[ObjectiveID],tblQuestObjectives[QuestTargetID]),"")</f>
        <v>#ERROR!</v>
      </c>
      <c r="E21" s="26" t="str">
        <f>IFERROR(_xlfn.XLOOKUP(tblStates[[#This Row],[StateID]],tblDependencies[DependencyID],tblDependencies[TargetID]),"")</f>
        <v>#ERROR!</v>
      </c>
      <c r="F21" s="26" t="str">
        <f>_xlfn.XLOOKUP(tblStates[[#This Row],[StateID]],tblTargets[TargetID],tblTargets[StateType],"")</f>
        <v>#ERROR!</v>
      </c>
      <c r="G21" s="26" t="str">
        <f>_xlfn.XLOOKUP(tblStates[[#This Row],[StateID]],tblTargets[TargetID],tblTargets[Trackable],"")</f>
        <v>#ERROR!</v>
      </c>
    </row>
    <row r="22" ht="14.25" customHeight="1">
      <c r="A22" s="26" t="s">
        <v>1411</v>
      </c>
      <c r="B22" s="26" t="str">
        <f>_xlfn.XLOOKUP(tblStates[[#This Row],[StateID]],tblTargets[TargetID],tblTargets[DisplayName],"")</f>
        <v>#ERROR!</v>
      </c>
      <c r="C22" s="26" t="str">
        <f>IFERROR(_xlfn.XLOOKUP(tblStates[[#This Row],[StateID]],tblQuestObjectives[ObjectiveID],tblQuestObjectives[QuestTargetID]),_xlfn.XLOOKUP(tblStates[[#This Row],[StateID]],tblDependencies[DependencyID],tblDependencies[TargetID]))</f>
        <v>#ERROR!</v>
      </c>
      <c r="D22" s="26" t="str">
        <f>IFERROR(_xlfn.XLOOKUP(tblStates[[#This Row],[StateID]],tblQuestObjectives[ObjectiveID],tblQuestObjectives[QuestTargetID]),"")</f>
        <v>#ERROR!</v>
      </c>
      <c r="E22" s="26" t="str">
        <f>IFERROR(_xlfn.XLOOKUP(tblStates[[#This Row],[StateID]],tblDependencies[DependencyID],tblDependencies[TargetID]),"")</f>
        <v>#ERROR!</v>
      </c>
      <c r="F22" s="26" t="str">
        <f>_xlfn.XLOOKUP(tblStates[[#This Row],[StateID]],tblTargets[TargetID],tblTargets[StateType],"")</f>
        <v>#ERROR!</v>
      </c>
      <c r="G22" s="26" t="str">
        <f>_xlfn.XLOOKUP(tblStates[[#This Row],[StateID]],tblTargets[TargetID],tblTargets[Trackable],"")</f>
        <v>#ERROR!</v>
      </c>
    </row>
    <row r="23" ht="14.25" customHeight="1">
      <c r="A23" s="26" t="s">
        <v>1413</v>
      </c>
      <c r="B23" s="26" t="str">
        <f>_xlfn.XLOOKUP(tblStates[[#This Row],[StateID]],tblTargets[TargetID],tblTargets[DisplayName],"")</f>
        <v>#ERROR!</v>
      </c>
      <c r="C23" s="26" t="str">
        <f>IFERROR(_xlfn.XLOOKUP(tblStates[[#This Row],[StateID]],tblQuestObjectives[ObjectiveID],tblQuestObjectives[QuestTargetID]),_xlfn.XLOOKUP(tblStates[[#This Row],[StateID]],tblDependencies[DependencyID],tblDependencies[TargetID]))</f>
        <v>#ERROR!</v>
      </c>
      <c r="D23" s="26" t="str">
        <f>IFERROR(_xlfn.XLOOKUP(tblStates[[#This Row],[StateID]],tblQuestObjectives[ObjectiveID],tblQuestObjectives[QuestTargetID]),"")</f>
        <v>#ERROR!</v>
      </c>
      <c r="E23" s="26" t="str">
        <f>IFERROR(_xlfn.XLOOKUP(tblStates[[#This Row],[StateID]],tblDependencies[DependencyID],tblDependencies[TargetID]),"")</f>
        <v>#ERROR!</v>
      </c>
      <c r="F23" s="26" t="str">
        <f>_xlfn.XLOOKUP(tblStates[[#This Row],[StateID]],tblTargets[TargetID],tblTargets[StateType],"")</f>
        <v>#ERROR!</v>
      </c>
      <c r="G23" s="26" t="str">
        <f>_xlfn.XLOOKUP(tblStates[[#This Row],[StateID]],tblTargets[TargetID],tblTargets[Trackable],"")</f>
        <v>#ERROR!</v>
      </c>
    </row>
    <row r="24" ht="14.25" customHeight="1">
      <c r="A24" s="26" t="s">
        <v>1415</v>
      </c>
      <c r="B24" s="26" t="str">
        <f>_xlfn.XLOOKUP(tblStates[[#This Row],[StateID]],tblTargets[TargetID],tblTargets[DisplayName],"")</f>
        <v>#ERROR!</v>
      </c>
      <c r="C24" s="26" t="str">
        <f>IFERROR(_xlfn.XLOOKUP(tblStates[[#This Row],[StateID]],tblQuestObjectives[ObjectiveID],tblQuestObjectives[QuestTargetID]),_xlfn.XLOOKUP(tblStates[[#This Row],[StateID]],tblDependencies[DependencyID],tblDependencies[TargetID]))</f>
        <v>#ERROR!</v>
      </c>
      <c r="D24" s="26" t="str">
        <f>IFERROR(_xlfn.XLOOKUP(tblStates[[#This Row],[StateID]],tblQuestObjectives[ObjectiveID],tblQuestObjectives[QuestTargetID]),"")</f>
        <v>#ERROR!</v>
      </c>
      <c r="E24" s="26" t="str">
        <f>IFERROR(_xlfn.XLOOKUP(tblStates[[#This Row],[StateID]],tblDependencies[DependencyID],tblDependencies[TargetID]),"")</f>
        <v>#ERROR!</v>
      </c>
      <c r="F24" s="26" t="str">
        <f>_xlfn.XLOOKUP(tblStates[[#This Row],[StateID]],tblTargets[TargetID],tblTargets[StateType],"")</f>
        <v>#ERROR!</v>
      </c>
      <c r="G24" s="26" t="str">
        <f>_xlfn.XLOOKUP(tblStates[[#This Row],[StateID]],tblTargets[TargetID],tblTargets[Trackable],"")</f>
        <v>#ERROR!</v>
      </c>
    </row>
    <row r="25" ht="14.25" customHeight="1">
      <c r="A25" s="26" t="s">
        <v>1418</v>
      </c>
      <c r="B25" s="26" t="str">
        <f>_xlfn.XLOOKUP(tblStates[[#This Row],[StateID]],tblTargets[TargetID],tblTargets[DisplayName],"")</f>
        <v>#ERROR!</v>
      </c>
      <c r="C25" s="26" t="str">
        <f>IFERROR(_xlfn.XLOOKUP(tblStates[[#This Row],[StateID]],tblQuestObjectives[ObjectiveID],tblQuestObjectives[QuestTargetID]),_xlfn.XLOOKUP(tblStates[[#This Row],[StateID]],tblDependencies[DependencyID],tblDependencies[TargetID]))</f>
        <v>#ERROR!</v>
      </c>
      <c r="D25" s="26" t="str">
        <f>IFERROR(_xlfn.XLOOKUP(tblStates[[#This Row],[StateID]],tblQuestObjectives[ObjectiveID],tblQuestObjectives[QuestTargetID]),"")</f>
        <v>#ERROR!</v>
      </c>
      <c r="E25" s="26" t="str">
        <f>IFERROR(_xlfn.XLOOKUP(tblStates[[#This Row],[StateID]],tblDependencies[DependencyID],tblDependencies[TargetID]),"")</f>
        <v>#ERROR!</v>
      </c>
      <c r="F25" s="26" t="str">
        <f>_xlfn.XLOOKUP(tblStates[[#This Row],[StateID]],tblTargets[TargetID],tblTargets[StateType],"")</f>
        <v>#ERROR!</v>
      </c>
      <c r="G25" s="26" t="str">
        <f>_xlfn.XLOOKUP(tblStates[[#This Row],[StateID]],tblTargets[TargetID],tblTargets[Trackable],"")</f>
        <v>#ERROR!</v>
      </c>
    </row>
    <row r="26" ht="14.25" customHeight="1">
      <c r="A26" s="26" t="s">
        <v>1420</v>
      </c>
      <c r="B26" s="26" t="str">
        <f>_xlfn.XLOOKUP(tblStates[[#This Row],[StateID]],tblTargets[TargetID],tblTargets[DisplayName],"")</f>
        <v>#ERROR!</v>
      </c>
      <c r="C26" s="26" t="str">
        <f>IFERROR(_xlfn.XLOOKUP(tblStates[[#This Row],[StateID]],tblQuestObjectives[ObjectiveID],tblQuestObjectives[QuestTargetID]),_xlfn.XLOOKUP(tblStates[[#This Row],[StateID]],tblDependencies[DependencyID],tblDependencies[TargetID]))</f>
        <v>#ERROR!</v>
      </c>
      <c r="D26" s="26" t="str">
        <f>IFERROR(_xlfn.XLOOKUP(tblStates[[#This Row],[StateID]],tblQuestObjectives[ObjectiveID],tblQuestObjectives[QuestTargetID]),"")</f>
        <v>#ERROR!</v>
      </c>
      <c r="E26" s="26" t="str">
        <f>IFERROR(_xlfn.XLOOKUP(tblStates[[#This Row],[StateID]],tblDependencies[DependencyID],tblDependencies[TargetID]),"")</f>
        <v>#ERROR!</v>
      </c>
      <c r="F26" s="26" t="str">
        <f>_xlfn.XLOOKUP(tblStates[[#This Row],[StateID]],tblTargets[TargetID],tblTargets[StateType],"")</f>
        <v>#ERROR!</v>
      </c>
      <c r="G26" s="26" t="str">
        <f>_xlfn.XLOOKUP(tblStates[[#This Row],[StateID]],tblTargets[TargetID],tblTargets[Trackable],"")</f>
        <v>#ERROR!</v>
      </c>
    </row>
    <row r="27" ht="14.25" customHeight="1">
      <c r="A27" s="26" t="s">
        <v>1422</v>
      </c>
      <c r="B27" s="26" t="str">
        <f>_xlfn.XLOOKUP(tblStates[[#This Row],[StateID]],tblTargets[TargetID],tblTargets[DisplayName],"")</f>
        <v>#ERROR!</v>
      </c>
      <c r="C27" s="26" t="str">
        <f>IFERROR(_xlfn.XLOOKUP(tblStates[[#This Row],[StateID]],tblQuestObjectives[ObjectiveID],tblQuestObjectives[QuestTargetID]),_xlfn.XLOOKUP(tblStates[[#This Row],[StateID]],tblDependencies[DependencyID],tblDependencies[TargetID]))</f>
        <v>#ERROR!</v>
      </c>
      <c r="D27" s="26" t="str">
        <f>IFERROR(_xlfn.XLOOKUP(tblStates[[#This Row],[StateID]],tblQuestObjectives[ObjectiveID],tblQuestObjectives[QuestTargetID]),"")</f>
        <v>#ERROR!</v>
      </c>
      <c r="E27" s="26" t="str">
        <f>IFERROR(_xlfn.XLOOKUP(tblStates[[#This Row],[StateID]],tblDependencies[DependencyID],tblDependencies[TargetID]),"")</f>
        <v>#ERROR!</v>
      </c>
      <c r="F27" s="26" t="str">
        <f>_xlfn.XLOOKUP(tblStates[[#This Row],[StateID]],tblTargets[TargetID],tblTargets[StateType],"")</f>
        <v>#ERROR!</v>
      </c>
      <c r="G27" s="26" t="str">
        <f>_xlfn.XLOOKUP(tblStates[[#This Row],[StateID]],tblTargets[TargetID],tblTargets[Trackable],"")</f>
        <v>#ERROR!</v>
      </c>
    </row>
    <row r="28" ht="14.25" customHeight="1">
      <c r="A28" s="26" t="s">
        <v>1424</v>
      </c>
      <c r="B28" s="26" t="str">
        <f>_xlfn.XLOOKUP(tblStates[[#This Row],[StateID]],tblTargets[TargetID],tblTargets[DisplayName],"")</f>
        <v>#ERROR!</v>
      </c>
      <c r="C28" s="26" t="str">
        <f>IFERROR(_xlfn.XLOOKUP(tblStates[[#This Row],[StateID]],tblQuestObjectives[ObjectiveID],tblQuestObjectives[QuestTargetID]),_xlfn.XLOOKUP(tblStates[[#This Row],[StateID]],tblDependencies[DependencyID],tblDependencies[TargetID]))</f>
        <v>#ERROR!</v>
      </c>
      <c r="D28" s="26" t="str">
        <f>IFERROR(_xlfn.XLOOKUP(tblStates[[#This Row],[StateID]],tblQuestObjectives[ObjectiveID],tblQuestObjectives[QuestTargetID]),"")</f>
        <v>#ERROR!</v>
      </c>
      <c r="E28" s="26" t="str">
        <f>IFERROR(_xlfn.XLOOKUP(tblStates[[#This Row],[StateID]],tblDependencies[DependencyID],tblDependencies[TargetID]),"")</f>
        <v>#ERROR!</v>
      </c>
      <c r="F28" s="26" t="str">
        <f>_xlfn.XLOOKUP(tblStates[[#This Row],[StateID]],tblTargets[TargetID],tblTargets[StateType],"")</f>
        <v>#ERROR!</v>
      </c>
      <c r="G28" s="26" t="str">
        <f>_xlfn.XLOOKUP(tblStates[[#This Row],[StateID]],tblTargets[TargetID],tblTargets[Trackable],"")</f>
        <v>#ERROR!</v>
      </c>
    </row>
    <row r="29" ht="14.25" customHeight="1">
      <c r="A29" s="26" t="s">
        <v>1426</v>
      </c>
      <c r="B29" s="26" t="str">
        <f>_xlfn.XLOOKUP(tblStates[[#This Row],[StateID]],tblTargets[TargetID],tblTargets[DisplayName],"")</f>
        <v>#ERROR!</v>
      </c>
      <c r="C29" s="26" t="str">
        <f>IFERROR(_xlfn.XLOOKUP(tblStates[[#This Row],[StateID]],tblQuestObjectives[ObjectiveID],tblQuestObjectives[QuestTargetID]),_xlfn.XLOOKUP(tblStates[[#This Row],[StateID]],tblDependencies[DependencyID],tblDependencies[TargetID]))</f>
        <v>#ERROR!</v>
      </c>
      <c r="D29" s="26" t="str">
        <f>IFERROR(_xlfn.XLOOKUP(tblStates[[#This Row],[StateID]],tblQuestObjectives[ObjectiveID],tblQuestObjectives[QuestTargetID]),"")</f>
        <v>#ERROR!</v>
      </c>
      <c r="E29" s="26" t="str">
        <f>IFERROR(_xlfn.XLOOKUP(tblStates[[#This Row],[StateID]],tblDependencies[DependencyID],tblDependencies[TargetID]),"")</f>
        <v>#ERROR!</v>
      </c>
      <c r="F29" s="26" t="str">
        <f>_xlfn.XLOOKUP(tblStates[[#This Row],[StateID]],tblTargets[TargetID],tblTargets[StateType],"")</f>
        <v>#ERROR!</v>
      </c>
      <c r="G29" s="26" t="str">
        <f>_xlfn.XLOOKUP(tblStates[[#This Row],[StateID]],tblTargets[TargetID],tblTargets[Trackable],"")</f>
        <v>#ERROR!</v>
      </c>
    </row>
    <row r="30" ht="14.25" customHeight="1">
      <c r="A30" s="26" t="s">
        <v>1429</v>
      </c>
      <c r="B30" s="26" t="str">
        <f>_xlfn.XLOOKUP(tblStates[[#This Row],[StateID]],tblTargets[TargetID],tblTargets[DisplayName],"")</f>
        <v>#ERROR!</v>
      </c>
      <c r="C30" s="26" t="str">
        <f>IFERROR(_xlfn.XLOOKUP(tblStates[[#This Row],[StateID]],tblQuestObjectives[ObjectiveID],tblQuestObjectives[QuestTargetID]),_xlfn.XLOOKUP(tblStates[[#This Row],[StateID]],tblDependencies[DependencyID],tblDependencies[TargetID]))</f>
        <v>#ERROR!</v>
      </c>
      <c r="D30" s="26" t="str">
        <f>IFERROR(_xlfn.XLOOKUP(tblStates[[#This Row],[StateID]],tblQuestObjectives[ObjectiveID],tblQuestObjectives[QuestTargetID]),"")</f>
        <v>#ERROR!</v>
      </c>
      <c r="E30" s="26" t="str">
        <f>IFERROR(_xlfn.XLOOKUP(tblStates[[#This Row],[StateID]],tblDependencies[DependencyID],tblDependencies[TargetID]),"")</f>
        <v>#ERROR!</v>
      </c>
      <c r="F30" s="26" t="str">
        <f>_xlfn.XLOOKUP(tblStates[[#This Row],[StateID]],tblTargets[TargetID],tblTargets[StateType],"")</f>
        <v>#ERROR!</v>
      </c>
      <c r="G30" s="26" t="str">
        <f>_xlfn.XLOOKUP(tblStates[[#This Row],[StateID]],tblTargets[TargetID],tblTargets[Trackable],"")</f>
        <v>#ERROR!</v>
      </c>
    </row>
    <row r="31" ht="14.25" customHeight="1">
      <c r="A31" s="26" t="s">
        <v>1431</v>
      </c>
      <c r="B31" s="26" t="str">
        <f>_xlfn.XLOOKUP(tblStates[[#This Row],[StateID]],tblTargets[TargetID],tblTargets[DisplayName],"")</f>
        <v>#ERROR!</v>
      </c>
      <c r="C31" s="26" t="str">
        <f>IFERROR(_xlfn.XLOOKUP(tblStates[[#This Row],[StateID]],tblQuestObjectives[ObjectiveID],tblQuestObjectives[QuestTargetID]),_xlfn.XLOOKUP(tblStates[[#This Row],[StateID]],tblDependencies[DependencyID],tblDependencies[TargetID]))</f>
        <v>#ERROR!</v>
      </c>
      <c r="D31" s="26" t="str">
        <f>IFERROR(_xlfn.XLOOKUP(tblStates[[#This Row],[StateID]],tblQuestObjectives[ObjectiveID],tblQuestObjectives[QuestTargetID]),"")</f>
        <v>#ERROR!</v>
      </c>
      <c r="E31" s="26" t="str">
        <f>IFERROR(_xlfn.XLOOKUP(tblStates[[#This Row],[StateID]],tblDependencies[DependencyID],tblDependencies[TargetID]),"")</f>
        <v>#ERROR!</v>
      </c>
      <c r="F31" s="26" t="str">
        <f>_xlfn.XLOOKUP(tblStates[[#This Row],[StateID]],tblTargets[TargetID],tblTargets[StateType],"")</f>
        <v>#ERROR!</v>
      </c>
      <c r="G31" s="26" t="str">
        <f>_xlfn.XLOOKUP(tblStates[[#This Row],[StateID]],tblTargets[TargetID],tblTargets[Trackable],"")</f>
        <v>#ERROR!</v>
      </c>
    </row>
    <row r="32" ht="14.25" customHeight="1">
      <c r="A32" s="26" t="s">
        <v>1433</v>
      </c>
      <c r="B32" s="26" t="str">
        <f>_xlfn.XLOOKUP(tblStates[[#This Row],[StateID]],tblTargets[TargetID],tblTargets[DisplayName],"")</f>
        <v>#ERROR!</v>
      </c>
      <c r="C32" s="26" t="str">
        <f>IFERROR(_xlfn.XLOOKUP(tblStates[[#This Row],[StateID]],tblQuestObjectives[ObjectiveID],tblQuestObjectives[QuestTargetID]),_xlfn.XLOOKUP(tblStates[[#This Row],[StateID]],tblDependencies[DependencyID],tblDependencies[TargetID]))</f>
        <v>#ERROR!</v>
      </c>
      <c r="D32" s="26" t="str">
        <f>IFERROR(_xlfn.XLOOKUP(tblStates[[#This Row],[StateID]],tblQuestObjectives[ObjectiveID],tblQuestObjectives[QuestTargetID]),"")</f>
        <v>#ERROR!</v>
      </c>
      <c r="E32" s="26" t="str">
        <f>IFERROR(_xlfn.XLOOKUP(tblStates[[#This Row],[StateID]],tblDependencies[DependencyID],tblDependencies[TargetID]),"")</f>
        <v>#ERROR!</v>
      </c>
      <c r="F32" s="26" t="str">
        <f>_xlfn.XLOOKUP(tblStates[[#This Row],[StateID]],tblTargets[TargetID],tblTargets[StateType],"")</f>
        <v>#ERROR!</v>
      </c>
      <c r="G32" s="26" t="str">
        <f>_xlfn.XLOOKUP(tblStates[[#This Row],[StateID]],tblTargets[TargetID],tblTargets[Trackable],"")</f>
        <v>#ERROR!</v>
      </c>
    </row>
    <row r="33" ht="14.25" customHeight="1">
      <c r="A33" s="26" t="s">
        <v>1435</v>
      </c>
      <c r="B33" s="26" t="str">
        <f>_xlfn.XLOOKUP(tblStates[[#This Row],[StateID]],tblTargets[TargetID],tblTargets[DisplayName],"")</f>
        <v>#ERROR!</v>
      </c>
      <c r="C33" s="26" t="str">
        <f>IFERROR(_xlfn.XLOOKUP(tblStates[[#This Row],[StateID]],tblQuestObjectives[ObjectiveID],tblQuestObjectives[QuestTargetID]),_xlfn.XLOOKUP(tblStates[[#This Row],[StateID]],tblDependencies[DependencyID],tblDependencies[TargetID]))</f>
        <v>#ERROR!</v>
      </c>
      <c r="D33" s="26" t="str">
        <f>IFERROR(_xlfn.XLOOKUP(tblStates[[#This Row],[StateID]],tblQuestObjectives[ObjectiveID],tblQuestObjectives[QuestTargetID]),"")</f>
        <v>#ERROR!</v>
      </c>
      <c r="E33" s="26" t="str">
        <f>IFERROR(_xlfn.XLOOKUP(tblStates[[#This Row],[StateID]],tblDependencies[DependencyID],tblDependencies[TargetID]),"")</f>
        <v>#ERROR!</v>
      </c>
      <c r="F33" s="26" t="str">
        <f>_xlfn.XLOOKUP(tblStates[[#This Row],[StateID]],tblTargets[TargetID],tblTargets[StateType],"")</f>
        <v>#ERROR!</v>
      </c>
      <c r="G33" s="26" t="str">
        <f>_xlfn.XLOOKUP(tblStates[[#This Row],[StateID]],tblTargets[TargetID],tblTargets[Trackable],"")</f>
        <v>#ERROR!</v>
      </c>
    </row>
    <row r="34" ht="14.25" customHeight="1">
      <c r="A34" s="26" t="s">
        <v>1438</v>
      </c>
      <c r="B34" s="26" t="str">
        <f>_xlfn.XLOOKUP(tblStates[[#This Row],[StateID]],tblTargets[TargetID],tblTargets[DisplayName],"")</f>
        <v>#ERROR!</v>
      </c>
      <c r="C34" s="26" t="str">
        <f>IFERROR(_xlfn.XLOOKUP(tblStates[[#This Row],[StateID]],tblQuestObjectives[ObjectiveID],tblQuestObjectives[QuestTargetID]),_xlfn.XLOOKUP(tblStates[[#This Row],[StateID]],tblDependencies[DependencyID],tblDependencies[TargetID]))</f>
        <v>#ERROR!</v>
      </c>
      <c r="D34" s="26" t="str">
        <f>IFERROR(_xlfn.XLOOKUP(tblStates[[#This Row],[StateID]],tblQuestObjectives[ObjectiveID],tblQuestObjectives[QuestTargetID]),"")</f>
        <v>#ERROR!</v>
      </c>
      <c r="E34" s="26" t="str">
        <f>IFERROR(_xlfn.XLOOKUP(tblStates[[#This Row],[StateID]],tblDependencies[DependencyID],tblDependencies[TargetID]),"")</f>
        <v>#ERROR!</v>
      </c>
      <c r="F34" s="26" t="str">
        <f>_xlfn.XLOOKUP(tblStates[[#This Row],[StateID]],tblTargets[TargetID],tblTargets[StateType],"")</f>
        <v>#ERROR!</v>
      </c>
      <c r="G34" s="26" t="str">
        <f>_xlfn.XLOOKUP(tblStates[[#This Row],[StateID]],tblTargets[TargetID],tblTargets[Trackable],"")</f>
        <v>#ERROR!</v>
      </c>
    </row>
    <row r="35" ht="14.25" customHeight="1">
      <c r="A35" s="26" t="s">
        <v>1440</v>
      </c>
      <c r="B35" s="26" t="str">
        <f>_xlfn.XLOOKUP(tblStates[[#This Row],[StateID]],tblTargets[TargetID],tblTargets[DisplayName],"")</f>
        <v>#ERROR!</v>
      </c>
      <c r="C35" s="26" t="str">
        <f>IFERROR(_xlfn.XLOOKUP(tblStates[[#This Row],[StateID]],tblQuestObjectives[ObjectiveID],tblQuestObjectives[QuestTargetID]),_xlfn.XLOOKUP(tblStates[[#This Row],[StateID]],tblDependencies[DependencyID],tblDependencies[TargetID]))</f>
        <v>#ERROR!</v>
      </c>
      <c r="D35" s="26" t="str">
        <f>IFERROR(_xlfn.XLOOKUP(tblStates[[#This Row],[StateID]],tblQuestObjectives[ObjectiveID],tblQuestObjectives[QuestTargetID]),"")</f>
        <v>#ERROR!</v>
      </c>
      <c r="E35" s="26" t="str">
        <f>IFERROR(_xlfn.XLOOKUP(tblStates[[#This Row],[StateID]],tblDependencies[DependencyID],tblDependencies[TargetID]),"")</f>
        <v>#ERROR!</v>
      </c>
      <c r="F35" s="26" t="str">
        <f>_xlfn.XLOOKUP(tblStates[[#This Row],[StateID]],tblTargets[TargetID],tblTargets[StateType],"")</f>
        <v>#ERROR!</v>
      </c>
      <c r="G35" s="26" t="str">
        <f>_xlfn.XLOOKUP(tblStates[[#This Row],[StateID]],tblTargets[TargetID],tblTargets[Trackable],"")</f>
        <v>#ERROR!</v>
      </c>
    </row>
    <row r="36" ht="14.25" customHeight="1">
      <c r="A36" s="26" t="s">
        <v>1442</v>
      </c>
      <c r="B36" s="26" t="str">
        <f>_xlfn.XLOOKUP(tblStates[[#This Row],[StateID]],tblTargets[TargetID],tblTargets[DisplayName],"")</f>
        <v>#ERROR!</v>
      </c>
      <c r="C36" s="26" t="str">
        <f>IFERROR(_xlfn.XLOOKUP(tblStates[[#This Row],[StateID]],tblQuestObjectives[ObjectiveID],tblQuestObjectives[QuestTargetID]),_xlfn.XLOOKUP(tblStates[[#This Row],[StateID]],tblDependencies[DependencyID],tblDependencies[TargetID]))</f>
        <v>#ERROR!</v>
      </c>
      <c r="D36" s="26" t="str">
        <f>IFERROR(_xlfn.XLOOKUP(tblStates[[#This Row],[StateID]],tblQuestObjectives[ObjectiveID],tblQuestObjectives[QuestTargetID]),"")</f>
        <v>#ERROR!</v>
      </c>
      <c r="E36" s="26" t="str">
        <f>IFERROR(_xlfn.XLOOKUP(tblStates[[#This Row],[StateID]],tblDependencies[DependencyID],tblDependencies[TargetID]),"")</f>
        <v>#ERROR!</v>
      </c>
      <c r="F36" s="26" t="str">
        <f>_xlfn.XLOOKUP(tblStates[[#This Row],[StateID]],tblTargets[TargetID],tblTargets[StateType],"")</f>
        <v>#ERROR!</v>
      </c>
      <c r="G36" s="26" t="str">
        <f>_xlfn.XLOOKUP(tblStates[[#This Row],[StateID]],tblTargets[TargetID],tblTargets[Trackable],"")</f>
        <v>#ERROR!</v>
      </c>
    </row>
    <row r="37" ht="14.25" customHeight="1">
      <c r="A37" s="26" t="s">
        <v>1444</v>
      </c>
      <c r="B37" s="26" t="str">
        <f>_xlfn.XLOOKUP(tblStates[[#This Row],[StateID]],tblTargets[TargetID],tblTargets[DisplayName],"")</f>
        <v>#ERROR!</v>
      </c>
      <c r="C37" s="26" t="str">
        <f>IFERROR(_xlfn.XLOOKUP(tblStates[[#This Row],[StateID]],tblQuestObjectives[ObjectiveID],tblQuestObjectives[QuestTargetID]),_xlfn.XLOOKUP(tblStates[[#This Row],[StateID]],tblDependencies[DependencyID],tblDependencies[TargetID]))</f>
        <v>#ERROR!</v>
      </c>
      <c r="D37" s="26" t="str">
        <f>IFERROR(_xlfn.XLOOKUP(tblStates[[#This Row],[StateID]],tblQuestObjectives[ObjectiveID],tblQuestObjectives[QuestTargetID]),"")</f>
        <v>#ERROR!</v>
      </c>
      <c r="E37" s="26" t="str">
        <f>IFERROR(_xlfn.XLOOKUP(tblStates[[#This Row],[StateID]],tblDependencies[DependencyID],tblDependencies[TargetID]),"")</f>
        <v>#ERROR!</v>
      </c>
      <c r="F37" s="26" t="str">
        <f>_xlfn.XLOOKUP(tblStates[[#This Row],[StateID]],tblTargets[TargetID],tblTargets[StateType],"")</f>
        <v>#ERROR!</v>
      </c>
      <c r="G37" s="26" t="str">
        <f>_xlfn.XLOOKUP(tblStates[[#This Row],[StateID]],tblTargets[TargetID],tblTargets[Trackable],"")</f>
        <v>#ERROR!</v>
      </c>
    </row>
    <row r="38" ht="14.25" customHeight="1">
      <c r="A38" s="26" t="s">
        <v>1447</v>
      </c>
      <c r="B38" s="26" t="str">
        <f>_xlfn.XLOOKUP(tblStates[[#This Row],[StateID]],tblTargets[TargetID],tblTargets[DisplayName],"")</f>
        <v>#ERROR!</v>
      </c>
      <c r="C38" s="26" t="str">
        <f>IFERROR(_xlfn.XLOOKUP(tblStates[[#This Row],[StateID]],tblQuestObjectives[ObjectiveID],tblQuestObjectives[QuestTargetID]),_xlfn.XLOOKUP(tblStates[[#This Row],[StateID]],tblDependencies[DependencyID],tblDependencies[TargetID]))</f>
        <v>#ERROR!</v>
      </c>
      <c r="D38" s="26" t="str">
        <f>IFERROR(_xlfn.XLOOKUP(tblStates[[#This Row],[StateID]],tblQuestObjectives[ObjectiveID],tblQuestObjectives[QuestTargetID]),"")</f>
        <v>#ERROR!</v>
      </c>
      <c r="E38" s="26" t="str">
        <f>IFERROR(_xlfn.XLOOKUP(tblStates[[#This Row],[StateID]],tblDependencies[DependencyID],tblDependencies[TargetID]),"")</f>
        <v>#ERROR!</v>
      </c>
      <c r="F38" s="26" t="str">
        <f>_xlfn.XLOOKUP(tblStates[[#This Row],[StateID]],tblTargets[TargetID],tblTargets[StateType],"")</f>
        <v>#ERROR!</v>
      </c>
      <c r="G38" s="26" t="str">
        <f>_xlfn.XLOOKUP(tblStates[[#This Row],[StateID]],tblTargets[TargetID],tblTargets[Trackable],"")</f>
        <v>#ERROR!</v>
      </c>
    </row>
    <row r="39" ht="14.25" customHeight="1">
      <c r="A39" s="26" t="s">
        <v>1449</v>
      </c>
      <c r="B39" s="26" t="str">
        <f>_xlfn.XLOOKUP(tblStates[[#This Row],[StateID]],tblTargets[TargetID],tblTargets[DisplayName],"")</f>
        <v>#ERROR!</v>
      </c>
      <c r="C39" s="26" t="str">
        <f>IFERROR(_xlfn.XLOOKUP(tblStates[[#This Row],[StateID]],tblQuestObjectives[ObjectiveID],tblQuestObjectives[QuestTargetID]),_xlfn.XLOOKUP(tblStates[[#This Row],[StateID]],tblDependencies[DependencyID],tblDependencies[TargetID]))</f>
        <v>#ERROR!</v>
      </c>
      <c r="D39" s="26" t="str">
        <f>IFERROR(_xlfn.XLOOKUP(tblStates[[#This Row],[StateID]],tblQuestObjectives[ObjectiveID],tblQuestObjectives[QuestTargetID]),"")</f>
        <v>#ERROR!</v>
      </c>
      <c r="E39" s="26" t="str">
        <f>IFERROR(_xlfn.XLOOKUP(tblStates[[#This Row],[StateID]],tblDependencies[DependencyID],tblDependencies[TargetID]),"")</f>
        <v>#ERROR!</v>
      </c>
      <c r="F39" s="26" t="str">
        <f>_xlfn.XLOOKUP(tblStates[[#This Row],[StateID]],tblTargets[TargetID],tblTargets[StateType],"")</f>
        <v>#ERROR!</v>
      </c>
      <c r="G39" s="26" t="str">
        <f>_xlfn.XLOOKUP(tblStates[[#This Row],[StateID]],tblTargets[TargetID],tblTargets[Trackable],"")</f>
        <v>#ERROR!</v>
      </c>
    </row>
    <row r="40" ht="14.25" customHeight="1">
      <c r="A40" s="26" t="s">
        <v>1451</v>
      </c>
      <c r="B40" s="26" t="str">
        <f>_xlfn.XLOOKUP(tblStates[[#This Row],[StateID]],tblTargets[TargetID],tblTargets[DisplayName],"")</f>
        <v>#ERROR!</v>
      </c>
      <c r="C40" s="26" t="str">
        <f>IFERROR(_xlfn.XLOOKUP(tblStates[[#This Row],[StateID]],tblQuestObjectives[ObjectiveID],tblQuestObjectives[QuestTargetID]),_xlfn.XLOOKUP(tblStates[[#This Row],[StateID]],tblDependencies[DependencyID],tblDependencies[TargetID]))</f>
        <v>#ERROR!</v>
      </c>
      <c r="D40" s="26" t="str">
        <f>IFERROR(_xlfn.XLOOKUP(tblStates[[#This Row],[StateID]],tblQuestObjectives[ObjectiveID],tblQuestObjectives[QuestTargetID]),"")</f>
        <v>#ERROR!</v>
      </c>
      <c r="E40" s="26" t="str">
        <f>IFERROR(_xlfn.XLOOKUP(tblStates[[#This Row],[StateID]],tblDependencies[DependencyID],tblDependencies[TargetID]),"")</f>
        <v>#ERROR!</v>
      </c>
      <c r="F40" s="26" t="str">
        <f>_xlfn.XLOOKUP(tblStates[[#This Row],[StateID]],tblTargets[TargetID],tblTargets[StateType],"")</f>
        <v>#ERROR!</v>
      </c>
      <c r="G40" s="26" t="str">
        <f>_xlfn.XLOOKUP(tblStates[[#This Row],[StateID]],tblTargets[TargetID],tblTargets[Trackable],"")</f>
        <v>#ERROR!</v>
      </c>
    </row>
    <row r="41" ht="14.25" customHeight="1">
      <c r="A41" s="26" t="s">
        <v>1454</v>
      </c>
      <c r="B41" s="26" t="str">
        <f>_xlfn.XLOOKUP(tblStates[[#This Row],[StateID]],tblTargets[TargetID],tblTargets[DisplayName],"")</f>
        <v>#ERROR!</v>
      </c>
      <c r="C41" s="26" t="str">
        <f>IFERROR(_xlfn.XLOOKUP(tblStates[[#This Row],[StateID]],tblQuestObjectives[ObjectiveID],tblQuestObjectives[QuestTargetID]),_xlfn.XLOOKUP(tblStates[[#This Row],[StateID]],tblDependencies[DependencyID],tblDependencies[TargetID]))</f>
        <v>#ERROR!</v>
      </c>
      <c r="D41" s="26" t="str">
        <f>IFERROR(_xlfn.XLOOKUP(tblStates[[#This Row],[StateID]],tblQuestObjectives[ObjectiveID],tblQuestObjectives[QuestTargetID]),"")</f>
        <v>#ERROR!</v>
      </c>
      <c r="E41" s="26" t="str">
        <f>IFERROR(_xlfn.XLOOKUP(tblStates[[#This Row],[StateID]],tblDependencies[DependencyID],tblDependencies[TargetID]),"")</f>
        <v>#ERROR!</v>
      </c>
      <c r="F41" s="26" t="str">
        <f>_xlfn.XLOOKUP(tblStates[[#This Row],[StateID]],tblTargets[TargetID],tblTargets[StateType],"")</f>
        <v>#ERROR!</v>
      </c>
      <c r="G41" s="26" t="str">
        <f>_xlfn.XLOOKUP(tblStates[[#This Row],[StateID]],tblTargets[TargetID],tblTargets[Trackable],"")</f>
        <v>#ERROR!</v>
      </c>
    </row>
    <row r="42" ht="14.25" customHeight="1">
      <c r="A42" s="26" t="s">
        <v>1457</v>
      </c>
      <c r="B42" s="26" t="str">
        <f>_xlfn.XLOOKUP(tblStates[[#This Row],[StateID]],tblTargets[TargetID],tblTargets[DisplayName],"")</f>
        <v>#ERROR!</v>
      </c>
      <c r="C42" s="26" t="str">
        <f>IFERROR(_xlfn.XLOOKUP(tblStates[[#This Row],[StateID]],tblQuestObjectives[ObjectiveID],tblQuestObjectives[QuestTargetID]),_xlfn.XLOOKUP(tblStates[[#This Row],[StateID]],tblDependencies[DependencyID],tblDependencies[TargetID]))</f>
        <v>#ERROR!</v>
      </c>
      <c r="D42" s="26" t="str">
        <f>IFERROR(_xlfn.XLOOKUP(tblStates[[#This Row],[StateID]],tblQuestObjectives[ObjectiveID],tblQuestObjectives[QuestTargetID]),"")</f>
        <v>#ERROR!</v>
      </c>
      <c r="E42" s="26" t="str">
        <f>IFERROR(_xlfn.XLOOKUP(tblStates[[#This Row],[StateID]],tblDependencies[DependencyID],tblDependencies[TargetID]),"")</f>
        <v>#ERROR!</v>
      </c>
      <c r="F42" s="26" t="str">
        <f>_xlfn.XLOOKUP(tblStates[[#This Row],[StateID]],tblTargets[TargetID],tblTargets[StateType],"")</f>
        <v>#ERROR!</v>
      </c>
      <c r="G42" s="26" t="str">
        <f>_xlfn.XLOOKUP(tblStates[[#This Row],[StateID]],tblTargets[TargetID],tblTargets[Trackable],"")</f>
        <v>#ERROR!</v>
      </c>
    </row>
    <row r="43" ht="14.25" customHeight="1">
      <c r="A43" s="26" t="s">
        <v>1459</v>
      </c>
      <c r="B43" s="26" t="str">
        <f>_xlfn.XLOOKUP(tblStates[[#This Row],[StateID]],tblTargets[TargetID],tblTargets[DisplayName],"")</f>
        <v>#ERROR!</v>
      </c>
      <c r="C43" s="26" t="str">
        <f>IFERROR(_xlfn.XLOOKUP(tblStates[[#This Row],[StateID]],tblQuestObjectives[ObjectiveID],tblQuestObjectives[QuestTargetID]),_xlfn.XLOOKUP(tblStates[[#This Row],[StateID]],tblDependencies[DependencyID],tblDependencies[TargetID]))</f>
        <v>#ERROR!</v>
      </c>
      <c r="D43" s="26" t="str">
        <f>IFERROR(_xlfn.XLOOKUP(tblStates[[#This Row],[StateID]],tblQuestObjectives[ObjectiveID],tblQuestObjectives[QuestTargetID]),"")</f>
        <v>#ERROR!</v>
      </c>
      <c r="E43" s="26" t="str">
        <f>IFERROR(_xlfn.XLOOKUP(tblStates[[#This Row],[StateID]],tblDependencies[DependencyID],tblDependencies[TargetID]),"")</f>
        <v>#ERROR!</v>
      </c>
      <c r="F43" s="26" t="str">
        <f>_xlfn.XLOOKUP(tblStates[[#This Row],[StateID]],tblTargets[TargetID],tblTargets[StateType],"")</f>
        <v>#ERROR!</v>
      </c>
      <c r="G43" s="26" t="str">
        <f>_xlfn.XLOOKUP(tblStates[[#This Row],[StateID]],tblTargets[TargetID],tblTargets[Trackable],"")</f>
        <v>#ERROR!</v>
      </c>
    </row>
    <row r="44" ht="14.25" customHeight="1">
      <c r="A44" s="26" t="s">
        <v>1462</v>
      </c>
      <c r="B44" s="26" t="str">
        <f>_xlfn.XLOOKUP(tblStates[[#This Row],[StateID]],tblTargets[TargetID],tblTargets[DisplayName],"")</f>
        <v>#ERROR!</v>
      </c>
      <c r="C44" s="26" t="str">
        <f>IFERROR(_xlfn.XLOOKUP(tblStates[[#This Row],[StateID]],tblQuestObjectives[ObjectiveID],tblQuestObjectives[QuestTargetID]),_xlfn.XLOOKUP(tblStates[[#This Row],[StateID]],tblDependencies[DependencyID],tblDependencies[TargetID]))</f>
        <v>#ERROR!</v>
      </c>
      <c r="D44" s="26" t="str">
        <f>IFERROR(_xlfn.XLOOKUP(tblStates[[#This Row],[StateID]],tblQuestObjectives[ObjectiveID],tblQuestObjectives[QuestTargetID]),"")</f>
        <v>#ERROR!</v>
      </c>
      <c r="E44" s="26" t="str">
        <f>IFERROR(_xlfn.XLOOKUP(tblStates[[#This Row],[StateID]],tblDependencies[DependencyID],tblDependencies[TargetID]),"")</f>
        <v>#ERROR!</v>
      </c>
      <c r="F44" s="26" t="str">
        <f>_xlfn.XLOOKUP(tblStates[[#This Row],[StateID]],tblTargets[TargetID],tblTargets[StateType],"")</f>
        <v>#ERROR!</v>
      </c>
      <c r="G44" s="26" t="str">
        <f>_xlfn.XLOOKUP(tblStates[[#This Row],[StateID]],tblTargets[TargetID],tblTargets[Trackable],"")</f>
        <v>#ERROR!</v>
      </c>
    </row>
    <row r="45" ht="14.25" customHeight="1">
      <c r="A45" s="26" t="s">
        <v>1350</v>
      </c>
      <c r="B45" s="26" t="str">
        <f>_xlfn.XLOOKUP(tblStates[[#This Row],[StateID]],tblTargets[TargetID],tblTargets[DisplayName],"")</f>
        <v>#ERROR!</v>
      </c>
      <c r="C45" s="26" t="str">
        <f>IFERROR(_xlfn.XLOOKUP(tblStates[[#This Row],[StateID]],tblQuestObjectives[ObjectiveID],tblQuestObjectives[QuestTargetID]),_xlfn.XLOOKUP(tblStates[[#This Row],[StateID]],tblDependencies[DependencyID],tblDependencies[TargetID]))</f>
        <v>#ERROR!</v>
      </c>
      <c r="D45" s="26" t="str">
        <f>IFERROR(_xlfn.XLOOKUP(tblStates[[#This Row],[StateID]],tblQuestObjectives[ObjectiveID],tblQuestObjectives[QuestTargetID]),"")</f>
        <v>#ERROR!</v>
      </c>
      <c r="E45" s="26" t="str">
        <f>IFERROR(_xlfn.XLOOKUP(tblStates[[#This Row],[StateID]],tblDependencies[DependencyID],tblDependencies[TargetID]),"")</f>
        <v>#ERROR!</v>
      </c>
      <c r="F45" s="26" t="str">
        <f>_xlfn.XLOOKUP(tblStates[[#This Row],[StateID]],tblTargets[TargetID],tblTargets[StateType],"")</f>
        <v>#ERROR!</v>
      </c>
      <c r="G45" s="26" t="str">
        <f>_xlfn.XLOOKUP(tblStates[[#This Row],[StateID]],tblTargets[TargetID],tblTargets[Trackable],"")</f>
        <v>#ERROR!</v>
      </c>
    </row>
    <row r="46" ht="14.25" customHeight="1">
      <c r="A46" s="26" t="s">
        <v>1464</v>
      </c>
      <c r="B46" s="26" t="str">
        <f>_xlfn.XLOOKUP(tblStates[[#This Row],[StateID]],tblTargets[TargetID],tblTargets[DisplayName],"")</f>
        <v>#ERROR!</v>
      </c>
      <c r="C46" s="26" t="str">
        <f>IFERROR(_xlfn.XLOOKUP(tblStates[[#This Row],[StateID]],tblQuestObjectives[ObjectiveID],tblQuestObjectives[QuestTargetID]),_xlfn.XLOOKUP(tblStates[[#This Row],[StateID]],tblDependencies[DependencyID],tblDependencies[TargetID]))</f>
        <v>#ERROR!</v>
      </c>
      <c r="D46" s="26" t="str">
        <f>IFERROR(_xlfn.XLOOKUP(tblStates[[#This Row],[StateID]],tblQuestObjectives[ObjectiveID],tblQuestObjectives[QuestTargetID]),"")</f>
        <v>#ERROR!</v>
      </c>
      <c r="E46" s="26" t="str">
        <f>IFERROR(_xlfn.XLOOKUP(tblStates[[#This Row],[StateID]],tblDependencies[DependencyID],tblDependencies[TargetID]),"")</f>
        <v>#ERROR!</v>
      </c>
      <c r="F46" s="26" t="str">
        <f>_xlfn.XLOOKUP(tblStates[[#This Row],[StateID]],tblTargets[TargetID],tblTargets[StateType],"")</f>
        <v>#ERROR!</v>
      </c>
      <c r="G46" s="26" t="str">
        <f>_xlfn.XLOOKUP(tblStates[[#This Row],[StateID]],tblTargets[TargetID],tblTargets[Trackable],"")</f>
        <v>#ERROR!</v>
      </c>
    </row>
    <row r="47" ht="14.25" customHeight="1">
      <c r="A47" s="26" t="s">
        <v>1466</v>
      </c>
      <c r="B47" s="26" t="str">
        <f>_xlfn.XLOOKUP(tblStates[[#This Row],[StateID]],tblTargets[TargetID],tblTargets[DisplayName],"")</f>
        <v>#ERROR!</v>
      </c>
      <c r="C47" s="26" t="str">
        <f>IFERROR(_xlfn.XLOOKUP(tblStates[[#This Row],[StateID]],tblQuestObjectives[ObjectiveID],tblQuestObjectives[QuestTargetID]),_xlfn.XLOOKUP(tblStates[[#This Row],[StateID]],tblDependencies[DependencyID],tblDependencies[TargetID]))</f>
        <v>#ERROR!</v>
      </c>
      <c r="D47" s="26" t="str">
        <f>IFERROR(_xlfn.XLOOKUP(tblStates[[#This Row],[StateID]],tblQuestObjectives[ObjectiveID],tblQuestObjectives[QuestTargetID]),"")</f>
        <v>#ERROR!</v>
      </c>
      <c r="E47" s="26" t="str">
        <f>IFERROR(_xlfn.XLOOKUP(tblStates[[#This Row],[StateID]],tblDependencies[DependencyID],tblDependencies[TargetID]),"")</f>
        <v>#ERROR!</v>
      </c>
      <c r="F47" s="26" t="str">
        <f>_xlfn.XLOOKUP(tblStates[[#This Row],[StateID]],tblTargets[TargetID],tblTargets[StateType],"")</f>
        <v>#ERROR!</v>
      </c>
      <c r="G47" s="26" t="str">
        <f>_xlfn.XLOOKUP(tblStates[[#This Row],[StateID]],tblTargets[TargetID],tblTargets[Trackable],"")</f>
        <v>#ERROR!</v>
      </c>
    </row>
    <row r="48" ht="14.25" customHeight="1">
      <c r="A48" s="26" t="s">
        <v>1469</v>
      </c>
      <c r="B48" s="26" t="str">
        <f>_xlfn.XLOOKUP(tblStates[[#This Row],[StateID]],tblTargets[TargetID],tblTargets[DisplayName],"")</f>
        <v>#ERROR!</v>
      </c>
      <c r="C48" s="26" t="str">
        <f>IFERROR(_xlfn.XLOOKUP(tblStates[[#This Row],[StateID]],tblQuestObjectives[ObjectiveID],tblQuestObjectives[QuestTargetID]),_xlfn.XLOOKUP(tblStates[[#This Row],[StateID]],tblDependencies[DependencyID],tblDependencies[TargetID]))</f>
        <v>#ERROR!</v>
      </c>
      <c r="D48" s="26" t="str">
        <f>IFERROR(_xlfn.XLOOKUP(tblStates[[#This Row],[StateID]],tblQuestObjectives[ObjectiveID],tblQuestObjectives[QuestTargetID]),"")</f>
        <v>#ERROR!</v>
      </c>
      <c r="E48" s="26" t="str">
        <f>IFERROR(_xlfn.XLOOKUP(tblStates[[#This Row],[StateID]],tblDependencies[DependencyID],tblDependencies[TargetID]),"")</f>
        <v>#ERROR!</v>
      </c>
      <c r="F48" s="26" t="str">
        <f>_xlfn.XLOOKUP(tblStates[[#This Row],[StateID]],tblTargets[TargetID],tblTargets[StateType],"")</f>
        <v>#ERROR!</v>
      </c>
      <c r="G48" s="26" t="str">
        <f>_xlfn.XLOOKUP(tblStates[[#This Row],[StateID]],tblTargets[TargetID],tblTargets[Trackable],"")</f>
        <v>#ERROR!</v>
      </c>
    </row>
    <row r="49" ht="14.25" customHeight="1">
      <c r="A49" s="26" t="s">
        <v>1471</v>
      </c>
      <c r="B49" s="26" t="str">
        <f>_xlfn.XLOOKUP(tblStates[[#This Row],[StateID]],tblTargets[TargetID],tblTargets[DisplayName],"")</f>
        <v>#ERROR!</v>
      </c>
      <c r="C49" s="26" t="str">
        <f>IFERROR(_xlfn.XLOOKUP(tblStates[[#This Row],[StateID]],tblQuestObjectives[ObjectiveID],tblQuestObjectives[QuestTargetID]),_xlfn.XLOOKUP(tblStates[[#This Row],[StateID]],tblDependencies[DependencyID],tblDependencies[TargetID]))</f>
        <v>#ERROR!</v>
      </c>
      <c r="D49" s="26" t="str">
        <f>IFERROR(_xlfn.XLOOKUP(tblStates[[#This Row],[StateID]],tblQuestObjectives[ObjectiveID],tblQuestObjectives[QuestTargetID]),"")</f>
        <v>#ERROR!</v>
      </c>
      <c r="E49" s="26" t="str">
        <f>IFERROR(_xlfn.XLOOKUP(tblStates[[#This Row],[StateID]],tblDependencies[DependencyID],tblDependencies[TargetID]),"")</f>
        <v>#ERROR!</v>
      </c>
      <c r="F49" s="26" t="str">
        <f>_xlfn.XLOOKUP(tblStates[[#This Row],[StateID]],tblTargets[TargetID],tblTargets[StateType],"")</f>
        <v>#ERROR!</v>
      </c>
      <c r="G49" s="26" t="str">
        <f>_xlfn.XLOOKUP(tblStates[[#This Row],[StateID]],tblTargets[TargetID],tblTargets[Trackable],"")</f>
        <v>#ERROR!</v>
      </c>
    </row>
    <row r="50" ht="14.25" customHeight="1">
      <c r="A50" s="26" t="s">
        <v>1473</v>
      </c>
      <c r="B50" s="26" t="str">
        <f>_xlfn.XLOOKUP(tblStates[[#This Row],[StateID]],tblTargets[TargetID],tblTargets[DisplayName],"")</f>
        <v>#ERROR!</v>
      </c>
      <c r="C50" s="26" t="str">
        <f>IFERROR(_xlfn.XLOOKUP(tblStates[[#This Row],[StateID]],tblQuestObjectives[ObjectiveID],tblQuestObjectives[QuestTargetID]),_xlfn.XLOOKUP(tblStates[[#This Row],[StateID]],tblDependencies[DependencyID],tblDependencies[TargetID]))</f>
        <v>#ERROR!</v>
      </c>
      <c r="D50" s="26" t="str">
        <f>IFERROR(_xlfn.XLOOKUP(tblStates[[#This Row],[StateID]],tblQuestObjectives[ObjectiveID],tblQuestObjectives[QuestTargetID]),"")</f>
        <v>#ERROR!</v>
      </c>
      <c r="E50" s="26" t="str">
        <f>IFERROR(_xlfn.XLOOKUP(tblStates[[#This Row],[StateID]],tblDependencies[DependencyID],tblDependencies[TargetID]),"")</f>
        <v>#ERROR!</v>
      </c>
      <c r="F50" s="26" t="str">
        <f>_xlfn.XLOOKUP(tblStates[[#This Row],[StateID]],tblTargets[TargetID],tblTargets[StateType],"")</f>
        <v>#ERROR!</v>
      </c>
      <c r="G50" s="26" t="str">
        <f>_xlfn.XLOOKUP(tblStates[[#This Row],[StateID]],tblTargets[TargetID],tblTargets[Trackable],"")</f>
        <v>#ERROR!</v>
      </c>
    </row>
    <row r="51" ht="14.25" customHeight="1">
      <c r="A51" s="26" t="s">
        <v>1476</v>
      </c>
      <c r="B51" s="26" t="str">
        <f>_xlfn.XLOOKUP(tblStates[[#This Row],[StateID]],tblTargets[TargetID],tblTargets[DisplayName],"")</f>
        <v>#ERROR!</v>
      </c>
      <c r="C51" s="26" t="str">
        <f>IFERROR(_xlfn.XLOOKUP(tblStates[[#This Row],[StateID]],tblQuestObjectives[ObjectiveID],tblQuestObjectives[QuestTargetID]),_xlfn.XLOOKUP(tblStates[[#This Row],[StateID]],tblDependencies[DependencyID],tblDependencies[TargetID]))</f>
        <v>#ERROR!</v>
      </c>
      <c r="D51" s="26" t="str">
        <f>IFERROR(_xlfn.XLOOKUP(tblStates[[#This Row],[StateID]],tblQuestObjectives[ObjectiveID],tblQuestObjectives[QuestTargetID]),"")</f>
        <v>#ERROR!</v>
      </c>
      <c r="E51" s="26" t="str">
        <f>IFERROR(_xlfn.XLOOKUP(tblStates[[#This Row],[StateID]],tblDependencies[DependencyID],tblDependencies[TargetID]),"")</f>
        <v>#ERROR!</v>
      </c>
      <c r="F51" s="26" t="str">
        <f>_xlfn.XLOOKUP(tblStates[[#This Row],[StateID]],tblTargets[TargetID],tblTargets[StateType],"")</f>
        <v>#ERROR!</v>
      </c>
      <c r="G51" s="26" t="str">
        <f>_xlfn.XLOOKUP(tblStates[[#This Row],[StateID]],tblTargets[TargetID],tblTargets[Trackable],"")</f>
        <v>#ERROR!</v>
      </c>
    </row>
    <row r="52" ht="14.25" customHeight="1">
      <c r="A52" s="26" t="s">
        <v>1478</v>
      </c>
      <c r="B52" s="26" t="str">
        <f>_xlfn.XLOOKUP(tblStates[[#This Row],[StateID]],tblTargets[TargetID],tblTargets[DisplayName],"")</f>
        <v>#ERROR!</v>
      </c>
      <c r="C52" s="26" t="str">
        <f>IFERROR(_xlfn.XLOOKUP(tblStates[[#This Row],[StateID]],tblQuestObjectives[ObjectiveID],tblQuestObjectives[QuestTargetID]),_xlfn.XLOOKUP(tblStates[[#This Row],[StateID]],tblDependencies[DependencyID],tblDependencies[TargetID]))</f>
        <v>#ERROR!</v>
      </c>
      <c r="D52" s="26" t="str">
        <f>IFERROR(_xlfn.XLOOKUP(tblStates[[#This Row],[StateID]],tblQuestObjectives[ObjectiveID],tblQuestObjectives[QuestTargetID]),"")</f>
        <v>#ERROR!</v>
      </c>
      <c r="E52" s="26" t="str">
        <f>IFERROR(_xlfn.XLOOKUP(tblStates[[#This Row],[StateID]],tblDependencies[DependencyID],tblDependencies[TargetID]),"")</f>
        <v>#ERROR!</v>
      </c>
      <c r="F52" s="26" t="str">
        <f>_xlfn.XLOOKUP(tblStates[[#This Row],[StateID]],tblTargets[TargetID],tblTargets[StateType],"")</f>
        <v>#ERROR!</v>
      </c>
      <c r="G52" s="26" t="str">
        <f>_xlfn.XLOOKUP(tblStates[[#This Row],[StateID]],tblTargets[TargetID],tblTargets[Trackable],"")</f>
        <v>#ERROR!</v>
      </c>
    </row>
    <row r="53" ht="14.25" customHeight="1">
      <c r="A53" s="26" t="s">
        <v>1480</v>
      </c>
      <c r="B53" s="26" t="str">
        <f>_xlfn.XLOOKUP(tblStates[[#This Row],[StateID]],tblTargets[TargetID],tblTargets[DisplayName],"")</f>
        <v>#ERROR!</v>
      </c>
      <c r="C53" s="26" t="str">
        <f>IFERROR(_xlfn.XLOOKUP(tblStates[[#This Row],[StateID]],tblQuestObjectives[ObjectiveID],tblQuestObjectives[QuestTargetID]),_xlfn.XLOOKUP(tblStates[[#This Row],[StateID]],tblDependencies[DependencyID],tblDependencies[TargetID]))</f>
        <v>#ERROR!</v>
      </c>
      <c r="D53" s="26" t="str">
        <f>IFERROR(_xlfn.XLOOKUP(tblStates[[#This Row],[StateID]],tblQuestObjectives[ObjectiveID],tblQuestObjectives[QuestTargetID]),"")</f>
        <v>#ERROR!</v>
      </c>
      <c r="E53" s="26" t="str">
        <f>IFERROR(_xlfn.XLOOKUP(tblStates[[#This Row],[StateID]],tblDependencies[DependencyID],tblDependencies[TargetID]),"")</f>
        <v>#ERROR!</v>
      </c>
      <c r="F53" s="26" t="str">
        <f>_xlfn.XLOOKUP(tblStates[[#This Row],[StateID]],tblTargets[TargetID],tblTargets[StateType],"")</f>
        <v>#ERROR!</v>
      </c>
      <c r="G53" s="26" t="str">
        <f>_xlfn.XLOOKUP(tblStates[[#This Row],[StateID]],tblTargets[TargetID],tblTargets[Trackable],"")</f>
        <v>#ERROR!</v>
      </c>
    </row>
    <row r="54" ht="14.25" customHeight="1">
      <c r="A54" s="26" t="s">
        <v>1482</v>
      </c>
      <c r="B54" s="26" t="str">
        <f>_xlfn.XLOOKUP(tblStates[[#This Row],[StateID]],tblTargets[TargetID],tblTargets[DisplayName],"")</f>
        <v>#ERROR!</v>
      </c>
      <c r="C54" s="26" t="str">
        <f>IFERROR(_xlfn.XLOOKUP(tblStates[[#This Row],[StateID]],tblQuestObjectives[ObjectiveID],tblQuestObjectives[QuestTargetID]),_xlfn.XLOOKUP(tblStates[[#This Row],[StateID]],tblDependencies[DependencyID],tblDependencies[TargetID]))</f>
        <v>#ERROR!</v>
      </c>
      <c r="D54" s="26" t="str">
        <f>IFERROR(_xlfn.XLOOKUP(tblStates[[#This Row],[StateID]],tblQuestObjectives[ObjectiveID],tblQuestObjectives[QuestTargetID]),"")</f>
        <v>#ERROR!</v>
      </c>
      <c r="E54" s="26" t="str">
        <f>IFERROR(_xlfn.XLOOKUP(tblStates[[#This Row],[StateID]],tblDependencies[DependencyID],tblDependencies[TargetID]),"")</f>
        <v>#ERROR!</v>
      </c>
      <c r="F54" s="26" t="str">
        <f>_xlfn.XLOOKUP(tblStates[[#This Row],[StateID]],tblTargets[TargetID],tblTargets[StateType],"")</f>
        <v>#ERROR!</v>
      </c>
      <c r="G54" s="26" t="str">
        <f>_xlfn.XLOOKUP(tblStates[[#This Row],[StateID]],tblTargets[TargetID],tblTargets[Trackable],"")</f>
        <v>#ERROR!</v>
      </c>
    </row>
    <row r="55" ht="14.25" customHeight="1">
      <c r="A55" s="26" t="s">
        <v>1485</v>
      </c>
      <c r="B55" s="26" t="str">
        <f>_xlfn.XLOOKUP(tblStates[[#This Row],[StateID]],tblTargets[TargetID],tblTargets[DisplayName],"")</f>
        <v>#ERROR!</v>
      </c>
      <c r="C55" s="26" t="str">
        <f>IFERROR(_xlfn.XLOOKUP(tblStates[[#This Row],[StateID]],tblQuestObjectives[ObjectiveID],tblQuestObjectives[QuestTargetID]),_xlfn.XLOOKUP(tblStates[[#This Row],[StateID]],tblDependencies[DependencyID],tblDependencies[TargetID]))</f>
        <v>#ERROR!</v>
      </c>
      <c r="D55" s="26" t="str">
        <f>IFERROR(_xlfn.XLOOKUP(tblStates[[#This Row],[StateID]],tblQuestObjectives[ObjectiveID],tblQuestObjectives[QuestTargetID]),"")</f>
        <v>#ERROR!</v>
      </c>
      <c r="E55" s="26" t="str">
        <f>IFERROR(_xlfn.XLOOKUP(tblStates[[#This Row],[StateID]],tblDependencies[DependencyID],tblDependencies[TargetID]),"")</f>
        <v>#ERROR!</v>
      </c>
      <c r="F55" s="26" t="str">
        <f>_xlfn.XLOOKUP(tblStates[[#This Row],[StateID]],tblTargets[TargetID],tblTargets[StateType],"")</f>
        <v>#ERROR!</v>
      </c>
      <c r="G55" s="26" t="str">
        <f>_xlfn.XLOOKUP(tblStates[[#This Row],[StateID]],tblTargets[TargetID],tblTargets[Trackable],"")</f>
        <v>#ERROR!</v>
      </c>
    </row>
    <row r="56" ht="14.25" customHeight="1">
      <c r="A56" s="26" t="s">
        <v>1487</v>
      </c>
      <c r="B56" s="26" t="str">
        <f>_xlfn.XLOOKUP(tblStates[[#This Row],[StateID]],tblTargets[TargetID],tblTargets[DisplayName],"")</f>
        <v>#ERROR!</v>
      </c>
      <c r="C56" s="26" t="str">
        <f>IFERROR(_xlfn.XLOOKUP(tblStates[[#This Row],[StateID]],tblQuestObjectives[ObjectiveID],tblQuestObjectives[QuestTargetID]),_xlfn.XLOOKUP(tblStates[[#This Row],[StateID]],tblDependencies[DependencyID],tblDependencies[TargetID]))</f>
        <v>#ERROR!</v>
      </c>
      <c r="D56" s="26" t="str">
        <f>IFERROR(_xlfn.XLOOKUP(tblStates[[#This Row],[StateID]],tblQuestObjectives[ObjectiveID],tblQuestObjectives[QuestTargetID]),"")</f>
        <v>#ERROR!</v>
      </c>
      <c r="E56" s="26" t="str">
        <f>IFERROR(_xlfn.XLOOKUP(tblStates[[#This Row],[StateID]],tblDependencies[DependencyID],tblDependencies[TargetID]),"")</f>
        <v>#ERROR!</v>
      </c>
      <c r="F56" s="26" t="str">
        <f>_xlfn.XLOOKUP(tblStates[[#This Row],[StateID]],tblTargets[TargetID],tblTargets[StateType],"")</f>
        <v>#ERROR!</v>
      </c>
      <c r="G56" s="26" t="str">
        <f>_xlfn.XLOOKUP(tblStates[[#This Row],[StateID]],tblTargets[TargetID],tblTargets[Trackable],"")</f>
        <v>#ERROR!</v>
      </c>
    </row>
    <row r="57" ht="14.25" customHeight="1">
      <c r="A57" s="26" t="s">
        <v>1490</v>
      </c>
      <c r="B57" s="26" t="str">
        <f>_xlfn.XLOOKUP(tblStates[[#This Row],[StateID]],tblTargets[TargetID],tblTargets[DisplayName],"")</f>
        <v>#ERROR!</v>
      </c>
      <c r="C57" s="26" t="str">
        <f>IFERROR(_xlfn.XLOOKUP(tblStates[[#This Row],[StateID]],tblQuestObjectives[ObjectiveID],tblQuestObjectives[QuestTargetID]),_xlfn.XLOOKUP(tblStates[[#This Row],[StateID]],tblDependencies[DependencyID],tblDependencies[TargetID]))</f>
        <v>#ERROR!</v>
      </c>
      <c r="D57" s="26" t="str">
        <f>IFERROR(_xlfn.XLOOKUP(tblStates[[#This Row],[StateID]],tblQuestObjectives[ObjectiveID],tblQuestObjectives[QuestTargetID]),"")</f>
        <v>#ERROR!</v>
      </c>
      <c r="E57" s="26" t="str">
        <f>IFERROR(_xlfn.XLOOKUP(tblStates[[#This Row],[StateID]],tblDependencies[DependencyID],tblDependencies[TargetID]),"")</f>
        <v>#ERROR!</v>
      </c>
      <c r="F57" s="26" t="str">
        <f>_xlfn.XLOOKUP(tblStates[[#This Row],[StateID]],tblTargets[TargetID],tblTargets[StateType],"")</f>
        <v>#ERROR!</v>
      </c>
      <c r="G57" s="26" t="str">
        <f>_xlfn.XLOOKUP(tblStates[[#This Row],[StateID]],tblTargets[TargetID],tblTargets[Trackable],"")</f>
        <v>#ERROR!</v>
      </c>
    </row>
    <row r="58" ht="14.25" customHeight="1">
      <c r="A58" s="26" t="s">
        <v>1495</v>
      </c>
      <c r="B58" s="26" t="str">
        <f>_xlfn.XLOOKUP(tblStates[[#This Row],[StateID]],tblTargets[TargetID],tblTargets[DisplayName],"")</f>
        <v>#ERROR!</v>
      </c>
      <c r="C58" s="26" t="str">
        <f>IFERROR(_xlfn.XLOOKUP(tblStates[[#This Row],[StateID]],tblQuestObjectives[ObjectiveID],tblQuestObjectives[QuestTargetID]),_xlfn.XLOOKUP(tblStates[[#This Row],[StateID]],tblDependencies[DependencyID],tblDependencies[TargetID]))</f>
        <v>#ERROR!</v>
      </c>
      <c r="D58" s="26" t="str">
        <f>IFERROR(_xlfn.XLOOKUP(tblStates[[#This Row],[StateID]],tblQuestObjectives[ObjectiveID],tblQuestObjectives[QuestTargetID]),"")</f>
        <v>#ERROR!</v>
      </c>
      <c r="E58" s="26" t="str">
        <f>IFERROR(_xlfn.XLOOKUP(tblStates[[#This Row],[StateID]],tblDependencies[DependencyID],tblDependencies[TargetID]),"")</f>
        <v>#ERROR!</v>
      </c>
      <c r="F58" s="26" t="str">
        <f>_xlfn.XLOOKUP(tblStates[[#This Row],[StateID]],tblTargets[TargetID],tblTargets[StateType],"")</f>
        <v>#ERROR!</v>
      </c>
      <c r="G58" s="26" t="str">
        <f>_xlfn.XLOOKUP(tblStates[[#This Row],[StateID]],tblTargets[TargetID],tblTargets[Trackable],"")</f>
        <v>#ERROR!</v>
      </c>
    </row>
    <row r="59" ht="14.25" customHeight="1">
      <c r="A59" s="26" t="s">
        <v>1498</v>
      </c>
      <c r="B59" s="26" t="str">
        <f>_xlfn.XLOOKUP(tblStates[[#This Row],[StateID]],tblTargets[TargetID],tblTargets[DisplayName],"")</f>
        <v>#ERROR!</v>
      </c>
      <c r="C59" s="26" t="str">
        <f>IFERROR(_xlfn.XLOOKUP(tblStates[[#This Row],[StateID]],tblQuestObjectives[ObjectiveID],tblQuestObjectives[QuestTargetID]),_xlfn.XLOOKUP(tblStates[[#This Row],[StateID]],tblDependencies[DependencyID],tblDependencies[TargetID]))</f>
        <v>#ERROR!</v>
      </c>
      <c r="D59" s="26" t="str">
        <f>IFERROR(_xlfn.XLOOKUP(tblStates[[#This Row],[StateID]],tblQuestObjectives[ObjectiveID],tblQuestObjectives[QuestTargetID]),"")</f>
        <v>#ERROR!</v>
      </c>
      <c r="E59" s="26" t="str">
        <f>IFERROR(_xlfn.XLOOKUP(tblStates[[#This Row],[StateID]],tblDependencies[DependencyID],tblDependencies[TargetID]),"")</f>
        <v>#ERROR!</v>
      </c>
      <c r="F59" s="26" t="str">
        <f>_xlfn.XLOOKUP(tblStates[[#This Row],[StateID]],tblTargets[TargetID],tblTargets[StateType],"")</f>
        <v>#ERROR!</v>
      </c>
      <c r="G59" s="26" t="str">
        <f>_xlfn.XLOOKUP(tblStates[[#This Row],[StateID]],tblTargets[TargetID],tblTargets[Trackable],"")</f>
        <v>#ERROR!</v>
      </c>
    </row>
    <row r="60" ht="14.25" customHeight="1">
      <c r="A60" s="26" t="s">
        <v>1500</v>
      </c>
      <c r="B60" s="26" t="str">
        <f>_xlfn.XLOOKUP(tblStates[[#This Row],[StateID]],tblTargets[TargetID],tblTargets[DisplayName],"")</f>
        <v>#ERROR!</v>
      </c>
      <c r="C60" s="26" t="str">
        <f>IFERROR(_xlfn.XLOOKUP(tblStates[[#This Row],[StateID]],tblQuestObjectives[ObjectiveID],tblQuestObjectives[QuestTargetID]),_xlfn.XLOOKUP(tblStates[[#This Row],[StateID]],tblDependencies[DependencyID],tblDependencies[TargetID]))</f>
        <v>#ERROR!</v>
      </c>
      <c r="D60" s="26" t="str">
        <f>IFERROR(_xlfn.XLOOKUP(tblStates[[#This Row],[StateID]],tblQuestObjectives[ObjectiveID],tblQuestObjectives[QuestTargetID]),"")</f>
        <v>#ERROR!</v>
      </c>
      <c r="E60" s="26" t="str">
        <f>IFERROR(_xlfn.XLOOKUP(tblStates[[#This Row],[StateID]],tblDependencies[DependencyID],tblDependencies[TargetID]),"")</f>
        <v>#ERROR!</v>
      </c>
      <c r="F60" s="26" t="str">
        <f>_xlfn.XLOOKUP(tblStates[[#This Row],[StateID]],tblTargets[TargetID],tblTargets[StateType],"")</f>
        <v>#ERROR!</v>
      </c>
      <c r="G60" s="26" t="str">
        <f>_xlfn.XLOOKUP(tblStates[[#This Row],[StateID]],tblTargets[TargetID],tblTargets[Trackable],"")</f>
        <v>#ERROR!</v>
      </c>
    </row>
    <row r="61" ht="14.25" customHeight="1">
      <c r="A61" s="26" t="s">
        <v>1502</v>
      </c>
      <c r="B61" s="26" t="str">
        <f>_xlfn.XLOOKUP(tblStates[[#This Row],[StateID]],tblTargets[TargetID],tblTargets[DisplayName],"")</f>
        <v>#ERROR!</v>
      </c>
      <c r="C61" s="26" t="str">
        <f>IFERROR(_xlfn.XLOOKUP(tblStates[[#This Row],[StateID]],tblQuestObjectives[ObjectiveID],tblQuestObjectives[QuestTargetID]),_xlfn.XLOOKUP(tblStates[[#This Row],[StateID]],tblDependencies[DependencyID],tblDependencies[TargetID]))</f>
        <v>#ERROR!</v>
      </c>
      <c r="D61" s="26" t="str">
        <f>IFERROR(_xlfn.XLOOKUP(tblStates[[#This Row],[StateID]],tblQuestObjectives[ObjectiveID],tblQuestObjectives[QuestTargetID]),"")</f>
        <v>#ERROR!</v>
      </c>
      <c r="E61" s="26" t="str">
        <f>IFERROR(_xlfn.XLOOKUP(tblStates[[#This Row],[StateID]],tblDependencies[DependencyID],tblDependencies[TargetID]),"")</f>
        <v>#ERROR!</v>
      </c>
      <c r="F61" s="26" t="str">
        <f>_xlfn.XLOOKUP(tblStates[[#This Row],[StateID]],tblTargets[TargetID],tblTargets[StateType],"")</f>
        <v>#ERROR!</v>
      </c>
      <c r="G61" s="26" t="str">
        <f>_xlfn.XLOOKUP(tblStates[[#This Row],[StateID]],tblTargets[TargetID],tblTargets[Trackable],"")</f>
        <v>#ERROR!</v>
      </c>
    </row>
    <row r="62" ht="14.25" customHeight="1">
      <c r="A62" s="26" t="s">
        <v>1505</v>
      </c>
      <c r="B62" s="26" t="str">
        <f>_xlfn.XLOOKUP(tblStates[[#This Row],[StateID]],tblTargets[TargetID],tblTargets[DisplayName],"")</f>
        <v>#ERROR!</v>
      </c>
      <c r="C62" s="26" t="str">
        <f>IFERROR(_xlfn.XLOOKUP(tblStates[[#This Row],[StateID]],tblQuestObjectives[ObjectiveID],tblQuestObjectives[QuestTargetID]),_xlfn.XLOOKUP(tblStates[[#This Row],[StateID]],tblDependencies[DependencyID],tblDependencies[TargetID]))</f>
        <v>#ERROR!</v>
      </c>
      <c r="D62" s="26" t="str">
        <f>IFERROR(_xlfn.XLOOKUP(tblStates[[#This Row],[StateID]],tblQuestObjectives[ObjectiveID],tblQuestObjectives[QuestTargetID]),"")</f>
        <v>#ERROR!</v>
      </c>
      <c r="E62" s="26" t="str">
        <f>IFERROR(_xlfn.XLOOKUP(tblStates[[#This Row],[StateID]],tblDependencies[DependencyID],tblDependencies[TargetID]),"")</f>
        <v>#ERROR!</v>
      </c>
      <c r="F62" s="26" t="str">
        <f>_xlfn.XLOOKUP(tblStates[[#This Row],[StateID]],tblTargets[TargetID],tblTargets[StateType],"")</f>
        <v>#ERROR!</v>
      </c>
      <c r="G62" s="26" t="str">
        <f>_xlfn.XLOOKUP(tblStates[[#This Row],[StateID]],tblTargets[TargetID],tblTargets[Trackable],"")</f>
        <v>#ERROR!</v>
      </c>
    </row>
    <row r="63" ht="14.25" customHeight="1">
      <c r="A63" s="26" t="s">
        <v>1507</v>
      </c>
      <c r="B63" s="26" t="str">
        <f>_xlfn.XLOOKUP(tblStates[[#This Row],[StateID]],tblTargets[TargetID],tblTargets[DisplayName],"")</f>
        <v>#ERROR!</v>
      </c>
      <c r="C63" s="26" t="str">
        <f>IFERROR(_xlfn.XLOOKUP(tblStates[[#This Row],[StateID]],tblQuestObjectives[ObjectiveID],tblQuestObjectives[QuestTargetID]),_xlfn.XLOOKUP(tblStates[[#This Row],[StateID]],tblDependencies[DependencyID],tblDependencies[TargetID]))</f>
        <v>#ERROR!</v>
      </c>
      <c r="D63" s="26" t="str">
        <f>IFERROR(_xlfn.XLOOKUP(tblStates[[#This Row],[StateID]],tblQuestObjectives[ObjectiveID],tblQuestObjectives[QuestTargetID]),"")</f>
        <v>#ERROR!</v>
      </c>
      <c r="E63" s="26" t="str">
        <f>IFERROR(_xlfn.XLOOKUP(tblStates[[#This Row],[StateID]],tblDependencies[DependencyID],tblDependencies[TargetID]),"")</f>
        <v>#ERROR!</v>
      </c>
      <c r="F63" s="26" t="str">
        <f>_xlfn.XLOOKUP(tblStates[[#This Row],[StateID]],tblTargets[TargetID],tblTargets[StateType],"")</f>
        <v>#ERROR!</v>
      </c>
      <c r="G63" s="26" t="str">
        <f>_xlfn.XLOOKUP(tblStates[[#This Row],[StateID]],tblTargets[TargetID],tblTargets[Trackable],"")</f>
        <v>#ERROR!</v>
      </c>
    </row>
    <row r="64" ht="14.25" customHeight="1">
      <c r="A64" s="26" t="s">
        <v>1509</v>
      </c>
      <c r="B64" s="26" t="str">
        <f>_xlfn.XLOOKUP(tblStates[[#This Row],[StateID]],tblTargets[TargetID],tblTargets[DisplayName],"")</f>
        <v>#ERROR!</v>
      </c>
      <c r="C64" s="26" t="str">
        <f>IFERROR(_xlfn.XLOOKUP(tblStates[[#This Row],[StateID]],tblQuestObjectives[ObjectiveID],tblQuestObjectives[QuestTargetID]),_xlfn.XLOOKUP(tblStates[[#This Row],[StateID]],tblDependencies[DependencyID],tblDependencies[TargetID]))</f>
        <v>#ERROR!</v>
      </c>
      <c r="D64" s="26" t="str">
        <f>IFERROR(_xlfn.XLOOKUP(tblStates[[#This Row],[StateID]],tblQuestObjectives[ObjectiveID],tblQuestObjectives[QuestTargetID]),"")</f>
        <v>#ERROR!</v>
      </c>
      <c r="E64" s="26" t="str">
        <f>IFERROR(_xlfn.XLOOKUP(tblStates[[#This Row],[StateID]],tblDependencies[DependencyID],tblDependencies[TargetID]),"")</f>
        <v>#ERROR!</v>
      </c>
      <c r="F64" s="26" t="str">
        <f>_xlfn.XLOOKUP(tblStates[[#This Row],[StateID]],tblTargets[TargetID],tblTargets[StateType],"")</f>
        <v>#ERROR!</v>
      </c>
      <c r="G64" s="26" t="str">
        <f>_xlfn.XLOOKUP(tblStates[[#This Row],[StateID]],tblTargets[TargetID],tblTargets[Trackable],"")</f>
        <v>#ERROR!</v>
      </c>
    </row>
    <row r="65" ht="14.25" customHeight="1">
      <c r="A65" s="26" t="s">
        <v>1512</v>
      </c>
      <c r="B65" s="26" t="str">
        <f>_xlfn.XLOOKUP(tblStates[[#This Row],[StateID]],tblTargets[TargetID],tblTargets[DisplayName],"")</f>
        <v>#ERROR!</v>
      </c>
      <c r="C65" s="26" t="str">
        <f>IFERROR(_xlfn.XLOOKUP(tblStates[[#This Row],[StateID]],tblQuestObjectives[ObjectiveID],tblQuestObjectives[QuestTargetID]),_xlfn.XLOOKUP(tblStates[[#This Row],[StateID]],tblDependencies[DependencyID],tblDependencies[TargetID]))</f>
        <v>#ERROR!</v>
      </c>
      <c r="D65" s="26" t="str">
        <f>IFERROR(_xlfn.XLOOKUP(tblStates[[#This Row],[StateID]],tblQuestObjectives[ObjectiveID],tblQuestObjectives[QuestTargetID]),"")</f>
        <v>#ERROR!</v>
      </c>
      <c r="E65" s="26" t="str">
        <f>IFERROR(_xlfn.XLOOKUP(tblStates[[#This Row],[StateID]],tblDependencies[DependencyID],tblDependencies[TargetID]),"")</f>
        <v>#ERROR!</v>
      </c>
      <c r="F65" s="26" t="str">
        <f>_xlfn.XLOOKUP(tblStates[[#This Row],[StateID]],tblTargets[TargetID],tblTargets[StateType],"")</f>
        <v>#ERROR!</v>
      </c>
      <c r="G65" s="26" t="str">
        <f>_xlfn.XLOOKUP(tblStates[[#This Row],[StateID]],tblTargets[TargetID],tblTargets[Trackable],"")</f>
        <v>#ERROR!</v>
      </c>
    </row>
    <row r="66" ht="14.25" customHeight="1">
      <c r="A66" s="26" t="s">
        <v>1514</v>
      </c>
      <c r="B66" s="26" t="str">
        <f>_xlfn.XLOOKUP(tblStates[[#This Row],[StateID]],tblTargets[TargetID],tblTargets[DisplayName],"")</f>
        <v>#ERROR!</v>
      </c>
      <c r="C66" s="26" t="str">
        <f>IFERROR(_xlfn.XLOOKUP(tblStates[[#This Row],[StateID]],tblQuestObjectives[ObjectiveID],tblQuestObjectives[QuestTargetID]),_xlfn.XLOOKUP(tblStates[[#This Row],[StateID]],tblDependencies[DependencyID],tblDependencies[TargetID]))</f>
        <v>#ERROR!</v>
      </c>
      <c r="D66" s="26" t="str">
        <f>IFERROR(_xlfn.XLOOKUP(tblStates[[#This Row],[StateID]],tblQuestObjectives[ObjectiveID],tblQuestObjectives[QuestTargetID]),"")</f>
        <v>#ERROR!</v>
      </c>
      <c r="E66" s="26" t="str">
        <f>IFERROR(_xlfn.XLOOKUP(tblStates[[#This Row],[StateID]],tblDependencies[DependencyID],tblDependencies[TargetID]),"")</f>
        <v>#ERROR!</v>
      </c>
      <c r="F66" s="26" t="str">
        <f>_xlfn.XLOOKUP(tblStates[[#This Row],[StateID]],tblTargets[TargetID],tblTargets[StateType],"")</f>
        <v>#ERROR!</v>
      </c>
      <c r="G66" s="26" t="str">
        <f>_xlfn.XLOOKUP(tblStates[[#This Row],[StateID]],tblTargets[TargetID],tblTargets[Trackable],"")</f>
        <v>#ERROR!</v>
      </c>
    </row>
    <row r="67" ht="14.25" customHeight="1">
      <c r="A67" s="26" t="s">
        <v>1516</v>
      </c>
      <c r="B67" s="26" t="str">
        <f>_xlfn.XLOOKUP(tblStates[[#This Row],[StateID]],tblTargets[TargetID],tblTargets[DisplayName],"")</f>
        <v>#ERROR!</v>
      </c>
      <c r="C67" s="26" t="str">
        <f>IFERROR(_xlfn.XLOOKUP(tblStates[[#This Row],[StateID]],tblQuestObjectives[ObjectiveID],tblQuestObjectives[QuestTargetID]),_xlfn.XLOOKUP(tblStates[[#This Row],[StateID]],tblDependencies[DependencyID],tblDependencies[TargetID]))</f>
        <v>#ERROR!</v>
      </c>
      <c r="D67" s="26" t="str">
        <f>IFERROR(_xlfn.XLOOKUP(tblStates[[#This Row],[StateID]],tblQuestObjectives[ObjectiveID],tblQuestObjectives[QuestTargetID]),"")</f>
        <v>#ERROR!</v>
      </c>
      <c r="E67" s="26" t="str">
        <f>IFERROR(_xlfn.XLOOKUP(tblStates[[#This Row],[StateID]],tblDependencies[DependencyID],tblDependencies[TargetID]),"")</f>
        <v>#ERROR!</v>
      </c>
      <c r="F67" s="26" t="str">
        <f>_xlfn.XLOOKUP(tblStates[[#This Row],[StateID]],tblTargets[TargetID],tblTargets[StateType],"")</f>
        <v>#ERROR!</v>
      </c>
      <c r="G67" s="26" t="str">
        <f>_xlfn.XLOOKUP(tblStates[[#This Row],[StateID]],tblTargets[TargetID],tblTargets[Trackable],"")</f>
        <v>#ERROR!</v>
      </c>
    </row>
    <row r="68" ht="14.25" customHeight="1">
      <c r="A68" s="26" t="s">
        <v>1519</v>
      </c>
      <c r="B68" s="26" t="str">
        <f>_xlfn.XLOOKUP(tblStates[[#This Row],[StateID]],tblTargets[TargetID],tblTargets[DisplayName],"")</f>
        <v>#ERROR!</v>
      </c>
      <c r="C68" s="26" t="str">
        <f>IFERROR(_xlfn.XLOOKUP(tblStates[[#This Row],[StateID]],tblQuestObjectives[ObjectiveID],tblQuestObjectives[QuestTargetID]),_xlfn.XLOOKUP(tblStates[[#This Row],[StateID]],tblDependencies[DependencyID],tblDependencies[TargetID]))</f>
        <v>#ERROR!</v>
      </c>
      <c r="D68" s="26" t="str">
        <f>IFERROR(_xlfn.XLOOKUP(tblStates[[#This Row],[StateID]],tblQuestObjectives[ObjectiveID],tblQuestObjectives[QuestTargetID]),"")</f>
        <v>#ERROR!</v>
      </c>
      <c r="E68" s="26" t="str">
        <f>IFERROR(_xlfn.XLOOKUP(tblStates[[#This Row],[StateID]],tblDependencies[DependencyID],tblDependencies[TargetID]),"")</f>
        <v>#ERROR!</v>
      </c>
      <c r="F68" s="26" t="str">
        <f>_xlfn.XLOOKUP(tblStates[[#This Row],[StateID]],tblTargets[TargetID],tblTargets[StateType],"")</f>
        <v>#ERROR!</v>
      </c>
      <c r="G68" s="26" t="str">
        <f>_xlfn.XLOOKUP(tblStates[[#This Row],[StateID]],tblTargets[TargetID],tblTargets[Trackable],"")</f>
        <v>#ERROR!</v>
      </c>
    </row>
    <row r="69" ht="14.25" customHeight="1">
      <c r="A69" s="26" t="s">
        <v>1521</v>
      </c>
      <c r="B69" s="26" t="str">
        <f>_xlfn.XLOOKUP(tblStates[[#This Row],[StateID]],tblTargets[TargetID],tblTargets[DisplayName],"")</f>
        <v>#ERROR!</v>
      </c>
      <c r="C69" s="26" t="str">
        <f>IFERROR(_xlfn.XLOOKUP(tblStates[[#This Row],[StateID]],tblQuestObjectives[ObjectiveID],tblQuestObjectives[QuestTargetID]),_xlfn.XLOOKUP(tblStates[[#This Row],[StateID]],tblDependencies[DependencyID],tblDependencies[TargetID]))</f>
        <v>#ERROR!</v>
      </c>
      <c r="D69" s="26" t="str">
        <f>IFERROR(_xlfn.XLOOKUP(tblStates[[#This Row],[StateID]],tblQuestObjectives[ObjectiveID],tblQuestObjectives[QuestTargetID]),"")</f>
        <v>#ERROR!</v>
      </c>
      <c r="E69" s="26" t="str">
        <f>IFERROR(_xlfn.XLOOKUP(tblStates[[#This Row],[StateID]],tblDependencies[DependencyID],tblDependencies[TargetID]),"")</f>
        <v>#ERROR!</v>
      </c>
      <c r="F69" s="26" t="str">
        <f>_xlfn.XLOOKUP(tblStates[[#This Row],[StateID]],tblTargets[TargetID],tblTargets[StateType],"")</f>
        <v>#ERROR!</v>
      </c>
      <c r="G69" s="26" t="str">
        <f>_xlfn.XLOOKUP(tblStates[[#This Row],[StateID]],tblTargets[TargetID],tblTargets[Trackable],"")</f>
        <v>#ERROR!</v>
      </c>
    </row>
    <row r="70" ht="14.25" customHeight="1">
      <c r="A70" s="26" t="s">
        <v>1523</v>
      </c>
      <c r="B70" s="26" t="str">
        <f>_xlfn.XLOOKUP(tblStates[[#This Row],[StateID]],tblTargets[TargetID],tblTargets[DisplayName],"")</f>
        <v>#ERROR!</v>
      </c>
      <c r="C70" s="26" t="str">
        <f>IFERROR(_xlfn.XLOOKUP(tblStates[[#This Row],[StateID]],tblQuestObjectives[ObjectiveID],tblQuestObjectives[QuestTargetID]),_xlfn.XLOOKUP(tblStates[[#This Row],[StateID]],tblDependencies[DependencyID],tblDependencies[TargetID]))</f>
        <v>#ERROR!</v>
      </c>
      <c r="D70" s="26" t="str">
        <f>IFERROR(_xlfn.XLOOKUP(tblStates[[#This Row],[StateID]],tblQuestObjectives[ObjectiveID],tblQuestObjectives[QuestTargetID]),"")</f>
        <v>#ERROR!</v>
      </c>
      <c r="E70" s="26" t="str">
        <f>IFERROR(_xlfn.XLOOKUP(tblStates[[#This Row],[StateID]],tblDependencies[DependencyID],tblDependencies[TargetID]),"")</f>
        <v>#ERROR!</v>
      </c>
      <c r="F70" s="26" t="str">
        <f>_xlfn.XLOOKUP(tblStates[[#This Row],[StateID]],tblTargets[TargetID],tblTargets[StateType],"")</f>
        <v>#ERROR!</v>
      </c>
      <c r="G70" s="26" t="str">
        <f>_xlfn.XLOOKUP(tblStates[[#This Row],[StateID]],tblTargets[TargetID],tblTargets[Trackable],"")</f>
        <v>#ERROR!</v>
      </c>
    </row>
    <row r="71" ht="14.25" customHeight="1">
      <c r="A71" s="26" t="s">
        <v>1525</v>
      </c>
      <c r="B71" s="26" t="str">
        <f>_xlfn.XLOOKUP(tblStates[[#This Row],[StateID]],tblTargets[TargetID],tblTargets[DisplayName],"")</f>
        <v>#ERROR!</v>
      </c>
      <c r="C71" s="26" t="str">
        <f>IFERROR(_xlfn.XLOOKUP(tblStates[[#This Row],[StateID]],tblQuestObjectives[ObjectiveID],tblQuestObjectives[QuestTargetID]),_xlfn.XLOOKUP(tblStates[[#This Row],[StateID]],tblDependencies[DependencyID],tblDependencies[TargetID]))</f>
        <v>#ERROR!</v>
      </c>
      <c r="D71" s="26" t="str">
        <f>IFERROR(_xlfn.XLOOKUP(tblStates[[#This Row],[StateID]],tblQuestObjectives[ObjectiveID],tblQuestObjectives[QuestTargetID]),"")</f>
        <v>#ERROR!</v>
      </c>
      <c r="E71" s="26" t="str">
        <f>IFERROR(_xlfn.XLOOKUP(tblStates[[#This Row],[StateID]],tblDependencies[DependencyID],tblDependencies[TargetID]),"")</f>
        <v>#ERROR!</v>
      </c>
      <c r="F71" s="26" t="str">
        <f>_xlfn.XLOOKUP(tblStates[[#This Row],[StateID]],tblTargets[TargetID],tblTargets[StateType],"")</f>
        <v>#ERROR!</v>
      </c>
      <c r="G71" s="26" t="str">
        <f>_xlfn.XLOOKUP(tblStates[[#This Row],[StateID]],tblTargets[TargetID],tblTargets[Trackable],"")</f>
        <v>#ERROR!</v>
      </c>
    </row>
    <row r="72" ht="14.25" customHeight="1">
      <c r="A72" s="26" t="s">
        <v>1528</v>
      </c>
      <c r="B72" s="26" t="str">
        <f>_xlfn.XLOOKUP(tblStates[[#This Row],[StateID]],tblTargets[TargetID],tblTargets[DisplayName],"")</f>
        <v>#ERROR!</v>
      </c>
      <c r="C72" s="26" t="str">
        <f>IFERROR(_xlfn.XLOOKUP(tblStates[[#This Row],[StateID]],tblQuestObjectives[ObjectiveID],tblQuestObjectives[QuestTargetID]),_xlfn.XLOOKUP(tblStates[[#This Row],[StateID]],tblDependencies[DependencyID],tblDependencies[TargetID]))</f>
        <v>#ERROR!</v>
      </c>
      <c r="D72" s="26" t="str">
        <f>IFERROR(_xlfn.XLOOKUP(tblStates[[#This Row],[StateID]],tblQuestObjectives[ObjectiveID],tblQuestObjectives[QuestTargetID]),"")</f>
        <v>#ERROR!</v>
      </c>
      <c r="E72" s="26" t="str">
        <f>IFERROR(_xlfn.XLOOKUP(tblStates[[#This Row],[StateID]],tblDependencies[DependencyID],tblDependencies[TargetID]),"")</f>
        <v>#ERROR!</v>
      </c>
      <c r="F72" s="26" t="str">
        <f>_xlfn.XLOOKUP(tblStates[[#This Row],[StateID]],tblTargets[TargetID],tblTargets[StateType],"")</f>
        <v>#ERROR!</v>
      </c>
      <c r="G72" s="26" t="str">
        <f>_xlfn.XLOOKUP(tblStates[[#This Row],[StateID]],tblTargets[TargetID],tblTargets[Trackable],"")</f>
        <v>#ERROR!</v>
      </c>
    </row>
    <row r="73" ht="14.25" customHeight="1">
      <c r="A73" s="26" t="s">
        <v>1530</v>
      </c>
      <c r="B73" s="26" t="str">
        <f>_xlfn.XLOOKUP(tblStates[[#This Row],[StateID]],tblTargets[TargetID],tblTargets[DisplayName],"")</f>
        <v>#ERROR!</v>
      </c>
      <c r="C73" s="26" t="str">
        <f>IFERROR(_xlfn.XLOOKUP(tblStates[[#This Row],[StateID]],tblQuestObjectives[ObjectiveID],tblQuestObjectives[QuestTargetID]),_xlfn.XLOOKUP(tblStates[[#This Row],[StateID]],tblDependencies[DependencyID],tblDependencies[TargetID]))</f>
        <v>#ERROR!</v>
      </c>
      <c r="D73" s="26" t="str">
        <f>IFERROR(_xlfn.XLOOKUP(tblStates[[#This Row],[StateID]],tblQuestObjectives[ObjectiveID],tblQuestObjectives[QuestTargetID]),"")</f>
        <v>#ERROR!</v>
      </c>
      <c r="E73" s="26" t="str">
        <f>IFERROR(_xlfn.XLOOKUP(tblStates[[#This Row],[StateID]],tblDependencies[DependencyID],tblDependencies[TargetID]),"")</f>
        <v>#ERROR!</v>
      </c>
      <c r="F73" s="26" t="str">
        <f>_xlfn.XLOOKUP(tblStates[[#This Row],[StateID]],tblTargets[TargetID],tblTargets[StateType],"")</f>
        <v>#ERROR!</v>
      </c>
      <c r="G73" s="26" t="str">
        <f>_xlfn.XLOOKUP(tblStates[[#This Row],[StateID]],tblTargets[TargetID],tblTargets[Trackable],"")</f>
        <v>#ERROR!</v>
      </c>
    </row>
    <row r="74" ht="14.25" customHeight="1">
      <c r="A74" s="26" t="s">
        <v>1532</v>
      </c>
      <c r="B74" s="26" t="str">
        <f>_xlfn.XLOOKUP(tblStates[[#This Row],[StateID]],tblTargets[TargetID],tblTargets[DisplayName],"")</f>
        <v>#ERROR!</v>
      </c>
      <c r="C74" s="26" t="str">
        <f>IFERROR(_xlfn.XLOOKUP(tblStates[[#This Row],[StateID]],tblQuestObjectives[ObjectiveID],tblQuestObjectives[QuestTargetID]),_xlfn.XLOOKUP(tblStates[[#This Row],[StateID]],tblDependencies[DependencyID],tblDependencies[TargetID]))</f>
        <v>#ERROR!</v>
      </c>
      <c r="D74" s="26" t="str">
        <f>IFERROR(_xlfn.XLOOKUP(tblStates[[#This Row],[StateID]],tblQuestObjectives[ObjectiveID],tblQuestObjectives[QuestTargetID]),"")</f>
        <v>#ERROR!</v>
      </c>
      <c r="E74" s="26" t="str">
        <f>IFERROR(_xlfn.XLOOKUP(tblStates[[#This Row],[StateID]],tblDependencies[DependencyID],tblDependencies[TargetID]),"")</f>
        <v>#ERROR!</v>
      </c>
      <c r="F74" s="26" t="str">
        <f>_xlfn.XLOOKUP(tblStates[[#This Row],[StateID]],tblTargets[TargetID],tblTargets[StateType],"")</f>
        <v>#ERROR!</v>
      </c>
      <c r="G74" s="26" t="str">
        <f>_xlfn.XLOOKUP(tblStates[[#This Row],[StateID]],tblTargets[TargetID],tblTargets[Trackable],"")</f>
        <v>#ERROR!</v>
      </c>
    </row>
    <row r="75" ht="14.25" customHeight="1">
      <c r="A75" s="26" t="s">
        <v>1538</v>
      </c>
      <c r="B75" s="26" t="str">
        <f>_xlfn.XLOOKUP(tblStates[[#This Row],[StateID]],tblTargets[TargetID],tblTargets[DisplayName],"")</f>
        <v>#ERROR!</v>
      </c>
      <c r="C75" s="26" t="str">
        <f>IFERROR(_xlfn.XLOOKUP(tblStates[[#This Row],[StateID]],tblQuestObjectives[ObjectiveID],tblQuestObjectives[QuestTargetID]),_xlfn.XLOOKUP(tblStates[[#This Row],[StateID]],tblDependencies[DependencyID],tblDependencies[TargetID]))</f>
        <v>#ERROR!</v>
      </c>
      <c r="D75" s="26" t="str">
        <f>IFERROR(_xlfn.XLOOKUP(tblStates[[#This Row],[StateID]],tblQuestObjectives[ObjectiveID],tblQuestObjectives[QuestTargetID]),"")</f>
        <v>#ERROR!</v>
      </c>
      <c r="E75" s="26" t="str">
        <f>IFERROR(_xlfn.XLOOKUP(tblStates[[#This Row],[StateID]],tblDependencies[DependencyID],tblDependencies[TargetID]),"")</f>
        <v>#ERROR!</v>
      </c>
      <c r="F75" s="26" t="str">
        <f>_xlfn.XLOOKUP(tblStates[[#This Row],[StateID]],tblTargets[TargetID],tblTargets[StateType],"")</f>
        <v>#ERROR!</v>
      </c>
      <c r="G75" s="26" t="str">
        <f>_xlfn.XLOOKUP(tblStates[[#This Row],[StateID]],tblTargets[TargetID],tblTargets[Trackable],"")</f>
        <v>#ERROR!</v>
      </c>
    </row>
    <row r="76" ht="14.25" customHeight="1">
      <c r="A76" s="26" t="s">
        <v>1540</v>
      </c>
      <c r="B76" s="26" t="str">
        <f>_xlfn.XLOOKUP(tblStates[[#This Row],[StateID]],tblTargets[TargetID],tblTargets[DisplayName],"")</f>
        <v>#ERROR!</v>
      </c>
      <c r="C76" s="26" t="str">
        <f>IFERROR(_xlfn.XLOOKUP(tblStates[[#This Row],[StateID]],tblQuestObjectives[ObjectiveID],tblQuestObjectives[QuestTargetID]),_xlfn.XLOOKUP(tblStates[[#This Row],[StateID]],tblDependencies[DependencyID],tblDependencies[TargetID]))</f>
        <v>#ERROR!</v>
      </c>
      <c r="D76" s="26" t="str">
        <f>IFERROR(_xlfn.XLOOKUP(tblStates[[#This Row],[StateID]],tblQuestObjectives[ObjectiveID],tblQuestObjectives[QuestTargetID]),"")</f>
        <v>#ERROR!</v>
      </c>
      <c r="E76" s="26" t="str">
        <f>IFERROR(_xlfn.XLOOKUP(tblStates[[#This Row],[StateID]],tblDependencies[DependencyID],tblDependencies[TargetID]),"")</f>
        <v>#ERROR!</v>
      </c>
      <c r="F76" s="26" t="str">
        <f>_xlfn.XLOOKUP(tblStates[[#This Row],[StateID]],tblTargets[TargetID],tblTargets[StateType],"")</f>
        <v>#ERROR!</v>
      </c>
      <c r="G76" s="26" t="str">
        <f>_xlfn.XLOOKUP(tblStates[[#This Row],[StateID]],tblTargets[TargetID],tblTargets[Trackable],"")</f>
        <v>#ERROR!</v>
      </c>
    </row>
    <row r="77" ht="14.25" customHeight="1">
      <c r="A77" s="26" t="s">
        <v>1542</v>
      </c>
      <c r="B77" s="26" t="str">
        <f>_xlfn.XLOOKUP(tblStates[[#This Row],[StateID]],tblTargets[TargetID],tblTargets[DisplayName],"")</f>
        <v>#ERROR!</v>
      </c>
      <c r="C77" s="26" t="str">
        <f>IFERROR(_xlfn.XLOOKUP(tblStates[[#This Row],[StateID]],tblQuestObjectives[ObjectiveID],tblQuestObjectives[QuestTargetID]),_xlfn.XLOOKUP(tblStates[[#This Row],[StateID]],tblDependencies[DependencyID],tblDependencies[TargetID]))</f>
        <v>#ERROR!</v>
      </c>
      <c r="D77" s="26" t="str">
        <f>IFERROR(_xlfn.XLOOKUP(tblStates[[#This Row],[StateID]],tblQuestObjectives[ObjectiveID],tblQuestObjectives[QuestTargetID]),"")</f>
        <v>#ERROR!</v>
      </c>
      <c r="E77" s="26" t="str">
        <f>IFERROR(_xlfn.XLOOKUP(tblStates[[#This Row],[StateID]],tblDependencies[DependencyID],tblDependencies[TargetID]),"")</f>
        <v>#ERROR!</v>
      </c>
      <c r="F77" s="26" t="str">
        <f>_xlfn.XLOOKUP(tblStates[[#This Row],[StateID]],tblTargets[TargetID],tblTargets[StateType],"")</f>
        <v>#ERROR!</v>
      </c>
      <c r="G77" s="26" t="str">
        <f>_xlfn.XLOOKUP(tblStates[[#This Row],[StateID]],tblTargets[TargetID],tblTargets[Trackable],"")</f>
        <v>#ERROR!</v>
      </c>
    </row>
    <row r="78" ht="14.25" customHeight="1">
      <c r="A78" s="26" t="s">
        <v>1544</v>
      </c>
      <c r="B78" s="26" t="str">
        <f>_xlfn.XLOOKUP(tblStates[[#This Row],[StateID]],tblTargets[TargetID],tblTargets[DisplayName],"")</f>
        <v>#ERROR!</v>
      </c>
      <c r="C78" s="26" t="str">
        <f>IFERROR(_xlfn.XLOOKUP(tblStates[[#This Row],[StateID]],tblQuestObjectives[ObjectiveID],tblQuestObjectives[QuestTargetID]),_xlfn.XLOOKUP(tblStates[[#This Row],[StateID]],tblDependencies[DependencyID],tblDependencies[TargetID]))</f>
        <v>#ERROR!</v>
      </c>
      <c r="D78" s="26" t="str">
        <f>IFERROR(_xlfn.XLOOKUP(tblStates[[#This Row],[StateID]],tblQuestObjectives[ObjectiveID],tblQuestObjectives[QuestTargetID]),"")</f>
        <v>#ERROR!</v>
      </c>
      <c r="E78" s="26" t="str">
        <f>IFERROR(_xlfn.XLOOKUP(tblStates[[#This Row],[StateID]],tblDependencies[DependencyID],tblDependencies[TargetID]),"")</f>
        <v>#ERROR!</v>
      </c>
      <c r="F78" s="26" t="str">
        <f>_xlfn.XLOOKUP(tblStates[[#This Row],[StateID]],tblTargets[TargetID],tblTargets[StateType],"")</f>
        <v>#ERROR!</v>
      </c>
      <c r="G78" s="26" t="str">
        <f>_xlfn.XLOOKUP(tblStates[[#This Row],[StateID]],tblTargets[TargetID],tblTargets[Trackable],"")</f>
        <v>#ERROR!</v>
      </c>
    </row>
    <row r="79" ht="14.25" customHeight="1">
      <c r="A79" s="26" t="s">
        <v>1547</v>
      </c>
      <c r="B79" s="26" t="str">
        <f>_xlfn.XLOOKUP(tblStates[[#This Row],[StateID]],tblTargets[TargetID],tblTargets[DisplayName],"")</f>
        <v>#ERROR!</v>
      </c>
      <c r="C79" s="26" t="str">
        <f>IFERROR(_xlfn.XLOOKUP(tblStates[[#This Row],[StateID]],tblQuestObjectives[ObjectiveID],tblQuestObjectives[QuestTargetID]),_xlfn.XLOOKUP(tblStates[[#This Row],[StateID]],tblDependencies[DependencyID],tblDependencies[TargetID]))</f>
        <v>#ERROR!</v>
      </c>
      <c r="D79" s="26" t="str">
        <f>IFERROR(_xlfn.XLOOKUP(tblStates[[#This Row],[StateID]],tblQuestObjectives[ObjectiveID],tblQuestObjectives[QuestTargetID]),"")</f>
        <v>#ERROR!</v>
      </c>
      <c r="E79" s="26" t="str">
        <f>IFERROR(_xlfn.XLOOKUP(tblStates[[#This Row],[StateID]],tblDependencies[DependencyID],tblDependencies[TargetID]),"")</f>
        <v>#ERROR!</v>
      </c>
      <c r="F79" s="26" t="str">
        <f>_xlfn.XLOOKUP(tblStates[[#This Row],[StateID]],tblTargets[TargetID],tblTargets[StateType],"")</f>
        <v>#ERROR!</v>
      </c>
      <c r="G79" s="26" t="str">
        <f>_xlfn.XLOOKUP(tblStates[[#This Row],[StateID]],tblTargets[TargetID],tblTargets[Trackable],"")</f>
        <v>#ERROR!</v>
      </c>
    </row>
    <row r="80" ht="14.25" customHeight="1">
      <c r="A80" s="26" t="s">
        <v>1549</v>
      </c>
      <c r="B80" s="26" t="str">
        <f>_xlfn.XLOOKUP(tblStates[[#This Row],[StateID]],tblTargets[TargetID],tblTargets[DisplayName],"")</f>
        <v>#ERROR!</v>
      </c>
      <c r="C80" s="26" t="str">
        <f>IFERROR(_xlfn.XLOOKUP(tblStates[[#This Row],[StateID]],tblQuestObjectives[ObjectiveID],tblQuestObjectives[QuestTargetID]),_xlfn.XLOOKUP(tblStates[[#This Row],[StateID]],tblDependencies[DependencyID],tblDependencies[TargetID]))</f>
        <v>#ERROR!</v>
      </c>
      <c r="D80" s="26" t="str">
        <f>IFERROR(_xlfn.XLOOKUP(tblStates[[#This Row],[StateID]],tblQuestObjectives[ObjectiveID],tblQuestObjectives[QuestTargetID]),"")</f>
        <v>#ERROR!</v>
      </c>
      <c r="E80" s="26" t="str">
        <f>IFERROR(_xlfn.XLOOKUP(tblStates[[#This Row],[StateID]],tblDependencies[DependencyID],tblDependencies[TargetID]),"")</f>
        <v>#ERROR!</v>
      </c>
      <c r="F80" s="26" t="str">
        <f>_xlfn.XLOOKUP(tblStates[[#This Row],[StateID]],tblTargets[TargetID],tblTargets[StateType],"")</f>
        <v>#ERROR!</v>
      </c>
      <c r="G80" s="26" t="str">
        <f>_xlfn.XLOOKUP(tblStates[[#This Row],[StateID]],tblTargets[TargetID],tblTargets[Trackable],"")</f>
        <v>#ERROR!</v>
      </c>
    </row>
    <row r="81" ht="14.25" customHeight="1">
      <c r="A81" s="26" t="s">
        <v>1551</v>
      </c>
      <c r="B81" s="26" t="str">
        <f>_xlfn.XLOOKUP(tblStates[[#This Row],[StateID]],tblTargets[TargetID],tblTargets[DisplayName],"")</f>
        <v>#ERROR!</v>
      </c>
      <c r="C81" s="26" t="str">
        <f>IFERROR(_xlfn.XLOOKUP(tblStates[[#This Row],[StateID]],tblQuestObjectives[ObjectiveID],tblQuestObjectives[QuestTargetID]),_xlfn.XLOOKUP(tblStates[[#This Row],[StateID]],tblDependencies[DependencyID],tblDependencies[TargetID]))</f>
        <v>#ERROR!</v>
      </c>
      <c r="D81" s="26" t="str">
        <f>IFERROR(_xlfn.XLOOKUP(tblStates[[#This Row],[StateID]],tblQuestObjectives[ObjectiveID],tblQuestObjectives[QuestTargetID]),"")</f>
        <v>#ERROR!</v>
      </c>
      <c r="E81" s="26" t="str">
        <f>IFERROR(_xlfn.XLOOKUP(tblStates[[#This Row],[StateID]],tblDependencies[DependencyID],tblDependencies[TargetID]),"")</f>
        <v>#ERROR!</v>
      </c>
      <c r="F81" s="26" t="str">
        <f>_xlfn.XLOOKUP(tblStates[[#This Row],[StateID]],tblTargets[TargetID],tblTargets[StateType],"")</f>
        <v>#ERROR!</v>
      </c>
      <c r="G81" s="26" t="str">
        <f>_xlfn.XLOOKUP(tblStates[[#This Row],[StateID]],tblTargets[TargetID],tblTargets[Trackable],"")</f>
        <v>#ERROR!</v>
      </c>
    </row>
    <row r="82" ht="14.25" customHeight="1">
      <c r="A82" s="26" t="s">
        <v>1554</v>
      </c>
      <c r="B82" s="26" t="str">
        <f>_xlfn.XLOOKUP(tblStates[[#This Row],[StateID]],tblTargets[TargetID],tblTargets[DisplayName],"")</f>
        <v>#ERROR!</v>
      </c>
      <c r="C82" s="26" t="str">
        <f>IFERROR(_xlfn.XLOOKUP(tblStates[[#This Row],[StateID]],tblQuestObjectives[ObjectiveID],tblQuestObjectives[QuestTargetID]),_xlfn.XLOOKUP(tblStates[[#This Row],[StateID]],tblDependencies[DependencyID],tblDependencies[TargetID]))</f>
        <v>#ERROR!</v>
      </c>
      <c r="D82" s="26" t="str">
        <f>IFERROR(_xlfn.XLOOKUP(tblStates[[#This Row],[StateID]],tblQuestObjectives[ObjectiveID],tblQuestObjectives[QuestTargetID]),"")</f>
        <v>#ERROR!</v>
      </c>
      <c r="E82" s="26" t="str">
        <f>IFERROR(_xlfn.XLOOKUP(tblStates[[#This Row],[StateID]],tblDependencies[DependencyID],tblDependencies[TargetID]),"")</f>
        <v>#ERROR!</v>
      </c>
      <c r="F82" s="26" t="str">
        <f>_xlfn.XLOOKUP(tblStates[[#This Row],[StateID]],tblTargets[TargetID],tblTargets[StateType],"")</f>
        <v>#ERROR!</v>
      </c>
      <c r="G82" s="26" t="str">
        <f>_xlfn.XLOOKUP(tblStates[[#This Row],[StateID]],tblTargets[TargetID],tblTargets[Trackable],"")</f>
        <v>#ERROR!</v>
      </c>
    </row>
    <row r="83" ht="14.25" customHeight="1">
      <c r="A83" s="26" t="s">
        <v>1556</v>
      </c>
      <c r="B83" s="26" t="str">
        <f>_xlfn.XLOOKUP(tblStates[[#This Row],[StateID]],tblTargets[TargetID],tblTargets[DisplayName],"")</f>
        <v>#ERROR!</v>
      </c>
      <c r="C83" s="26" t="str">
        <f>IFERROR(_xlfn.XLOOKUP(tblStates[[#This Row],[StateID]],tblQuestObjectives[ObjectiveID],tblQuestObjectives[QuestTargetID]),_xlfn.XLOOKUP(tblStates[[#This Row],[StateID]],tblDependencies[DependencyID],tblDependencies[TargetID]))</f>
        <v>#ERROR!</v>
      </c>
      <c r="D83" s="26" t="str">
        <f>IFERROR(_xlfn.XLOOKUP(tblStates[[#This Row],[StateID]],tblQuestObjectives[ObjectiveID],tblQuestObjectives[QuestTargetID]),"")</f>
        <v>#ERROR!</v>
      </c>
      <c r="E83" s="26" t="str">
        <f>IFERROR(_xlfn.XLOOKUP(tblStates[[#This Row],[StateID]],tblDependencies[DependencyID],tblDependencies[TargetID]),"")</f>
        <v>#ERROR!</v>
      </c>
      <c r="F83" s="26" t="str">
        <f>_xlfn.XLOOKUP(tblStates[[#This Row],[StateID]],tblTargets[TargetID],tblTargets[StateType],"")</f>
        <v>#ERROR!</v>
      </c>
      <c r="G83" s="26" t="str">
        <f>_xlfn.XLOOKUP(tblStates[[#This Row],[StateID]],tblTargets[TargetID],tblTargets[Trackable],"")</f>
        <v>#ERROR!</v>
      </c>
    </row>
    <row r="84" ht="14.25" customHeight="1">
      <c r="A84" s="26" t="s">
        <v>1559</v>
      </c>
      <c r="B84" s="26" t="str">
        <f>_xlfn.XLOOKUP(tblStates[[#This Row],[StateID]],tblTargets[TargetID],tblTargets[DisplayName],"")</f>
        <v>#ERROR!</v>
      </c>
      <c r="C84" s="26" t="str">
        <f>IFERROR(_xlfn.XLOOKUP(tblStates[[#This Row],[StateID]],tblQuestObjectives[ObjectiveID],tblQuestObjectives[QuestTargetID]),_xlfn.XLOOKUP(tblStates[[#This Row],[StateID]],tblDependencies[DependencyID],tblDependencies[TargetID]))</f>
        <v>#ERROR!</v>
      </c>
      <c r="D84" s="26" t="str">
        <f>IFERROR(_xlfn.XLOOKUP(tblStates[[#This Row],[StateID]],tblQuestObjectives[ObjectiveID],tblQuestObjectives[QuestTargetID]),"")</f>
        <v>#ERROR!</v>
      </c>
      <c r="E84" s="26" t="str">
        <f>IFERROR(_xlfn.XLOOKUP(tblStates[[#This Row],[StateID]],tblDependencies[DependencyID],tblDependencies[TargetID]),"")</f>
        <v>#ERROR!</v>
      </c>
      <c r="F84" s="26" t="str">
        <f>_xlfn.XLOOKUP(tblStates[[#This Row],[StateID]],tblTargets[TargetID],tblTargets[StateType],"")</f>
        <v>#ERROR!</v>
      </c>
      <c r="G84" s="26" t="str">
        <f>_xlfn.XLOOKUP(tblStates[[#This Row],[StateID]],tblTargets[TargetID],tblTargets[Trackable],"")</f>
        <v>#ERROR!</v>
      </c>
    </row>
    <row r="85" ht="14.25" customHeight="1">
      <c r="A85" s="26" t="s">
        <v>1565</v>
      </c>
      <c r="B85" s="26" t="str">
        <f>_xlfn.XLOOKUP(tblStates[[#This Row],[StateID]],tblTargets[TargetID],tblTargets[DisplayName],"")</f>
        <v>#ERROR!</v>
      </c>
      <c r="C85" s="26" t="str">
        <f>IFERROR(_xlfn.XLOOKUP(tblStates[[#This Row],[StateID]],tblQuestObjectives[ObjectiveID],tblQuestObjectives[QuestTargetID]),_xlfn.XLOOKUP(tblStates[[#This Row],[StateID]],tblDependencies[DependencyID],tblDependencies[TargetID]))</f>
        <v>#ERROR!</v>
      </c>
      <c r="D85" s="26" t="str">
        <f>IFERROR(_xlfn.XLOOKUP(tblStates[[#This Row],[StateID]],tblQuestObjectives[ObjectiveID],tblQuestObjectives[QuestTargetID]),"")</f>
        <v>#ERROR!</v>
      </c>
      <c r="E85" s="26" t="str">
        <f>IFERROR(_xlfn.XLOOKUP(tblStates[[#This Row],[StateID]],tblDependencies[DependencyID],tblDependencies[TargetID]),"")</f>
        <v>#ERROR!</v>
      </c>
      <c r="F85" s="26" t="str">
        <f>_xlfn.XLOOKUP(tblStates[[#This Row],[StateID]],tblTargets[TargetID],tblTargets[StateType],"")</f>
        <v>#ERROR!</v>
      </c>
      <c r="G85" s="26" t="b">
        <v>1</v>
      </c>
    </row>
    <row r="86" ht="14.25" customHeight="1">
      <c r="A86" s="26" t="s">
        <v>1561</v>
      </c>
      <c r="B86" s="26" t="str">
        <f>_xlfn.XLOOKUP(tblStates[[#This Row],[StateID]],tblTargets[TargetID],tblTargets[DisplayName],"")</f>
        <v>#ERROR!</v>
      </c>
      <c r="C86" s="26" t="str">
        <f>IFERROR(_xlfn.XLOOKUP(tblStates[[#This Row],[StateID]],tblQuestObjectives[ObjectiveID],tblQuestObjectives[QuestTargetID]),_xlfn.XLOOKUP(tblStates[[#This Row],[StateID]],tblDependencies[DependencyID],tblDependencies[TargetID]))</f>
        <v>#ERROR!</v>
      </c>
      <c r="D86" s="26" t="str">
        <f>IFERROR(_xlfn.XLOOKUP(tblStates[[#This Row],[StateID]],tblQuestObjectives[ObjectiveID],tblQuestObjectives[QuestTargetID]),"")</f>
        <v>#ERROR!</v>
      </c>
      <c r="E86" s="26" t="str">
        <f>IFERROR(_xlfn.XLOOKUP(tblStates[[#This Row],[StateID]],tblDependencies[DependencyID],tblDependencies[TargetID]),"")</f>
        <v>#ERROR!</v>
      </c>
      <c r="F86" s="26" t="str">
        <f>_xlfn.XLOOKUP(tblStates[[#This Row],[StateID]],tblTargets[TargetID],tblTargets[StateType],"")</f>
        <v>#ERROR!</v>
      </c>
    </row>
    <row r="87" ht="14.25" customHeight="1">
      <c r="A87" s="26" t="s">
        <v>1568</v>
      </c>
      <c r="B87" s="26" t="str">
        <f>_xlfn.XLOOKUP(tblStates[[#This Row],[StateID]],tblTargets[TargetID],tblTargets[DisplayName],"")</f>
        <v>#ERROR!</v>
      </c>
      <c r="C87" s="26" t="str">
        <f>IFERROR(_xlfn.XLOOKUP(tblStates[[#This Row],[StateID]],tblQuestObjectives[ObjectiveID],tblQuestObjectives[QuestTargetID]),_xlfn.XLOOKUP(tblStates[[#This Row],[StateID]],tblDependencies[DependencyID],tblDependencies[TargetID]))</f>
        <v>#ERROR!</v>
      </c>
      <c r="D87" s="26" t="str">
        <f>IFERROR(_xlfn.XLOOKUP(tblStates[[#This Row],[StateID]],tblQuestObjectives[ObjectiveID],tblQuestObjectives[QuestTargetID]),"")</f>
        <v>#ERROR!</v>
      </c>
      <c r="E87" s="26" t="str">
        <f>IFERROR(_xlfn.XLOOKUP(tblStates[[#This Row],[StateID]],tblDependencies[DependencyID],tblDependencies[TargetID]),"")</f>
        <v>#ERROR!</v>
      </c>
      <c r="F87" s="26" t="str">
        <f>_xlfn.XLOOKUP(tblStates[[#This Row],[StateID]],tblTargets[TargetID],tblTargets[StateType],"")</f>
        <v>#ERROR!</v>
      </c>
      <c r="G87" s="26" t="b">
        <v>1</v>
      </c>
    </row>
    <row r="88" ht="14.25" customHeight="1">
      <c r="A88" s="26" t="s">
        <v>1570</v>
      </c>
      <c r="B88" s="26" t="str">
        <f>_xlfn.XLOOKUP(tblStates[[#This Row],[StateID]],tblTargets[TargetID],tblTargets[DisplayName],"")</f>
        <v>#ERROR!</v>
      </c>
      <c r="C88" s="26" t="str">
        <f>IFERROR(_xlfn.XLOOKUP(tblStates[[#This Row],[StateID]],tblQuestObjectives[ObjectiveID],tblQuestObjectives[QuestTargetID]),_xlfn.XLOOKUP(tblStates[[#This Row],[StateID]],tblDependencies[DependencyID],tblDependencies[TargetID]))</f>
        <v>#ERROR!</v>
      </c>
      <c r="D88" s="26" t="str">
        <f>IFERROR(_xlfn.XLOOKUP(tblStates[[#This Row],[StateID]],tblQuestObjectives[ObjectiveID],tblQuestObjectives[QuestTargetID]),"")</f>
        <v>#ERROR!</v>
      </c>
      <c r="E88" s="26" t="str">
        <f>IFERROR(_xlfn.XLOOKUP(tblStates[[#This Row],[StateID]],tblDependencies[DependencyID],tblDependencies[TargetID]),"")</f>
        <v>#ERROR!</v>
      </c>
      <c r="F88" s="26" t="str">
        <f>_xlfn.XLOOKUP(tblStates[[#This Row],[StateID]],tblTargets[TargetID],tblTargets[StateType],"")</f>
        <v>#ERROR!</v>
      </c>
      <c r="G88" s="26" t="b">
        <v>1</v>
      </c>
    </row>
    <row r="89" ht="14.25" customHeight="1">
      <c r="A89" s="26" t="s">
        <v>1572</v>
      </c>
      <c r="B89" s="26" t="str">
        <f>_xlfn.XLOOKUP(tblStates[[#This Row],[StateID]],tblTargets[TargetID],tblTargets[DisplayName],"")</f>
        <v>#ERROR!</v>
      </c>
      <c r="C89" s="26" t="str">
        <f>IFERROR(_xlfn.XLOOKUP(tblStates[[#This Row],[StateID]],tblQuestObjectives[ObjectiveID],tblQuestObjectives[QuestTargetID]),_xlfn.XLOOKUP(tblStates[[#This Row],[StateID]],tblDependencies[DependencyID],tblDependencies[TargetID]))</f>
        <v>#ERROR!</v>
      </c>
      <c r="D89" s="26" t="str">
        <f>IFERROR(_xlfn.XLOOKUP(tblStates[[#This Row],[StateID]],tblQuestObjectives[ObjectiveID],tblQuestObjectives[QuestTargetID]),"")</f>
        <v>#ERROR!</v>
      </c>
      <c r="E89" s="26" t="str">
        <f>IFERROR(_xlfn.XLOOKUP(tblStates[[#This Row],[StateID]],tblDependencies[DependencyID],tblDependencies[TargetID]),"")</f>
        <v>#ERROR!</v>
      </c>
      <c r="F89" s="26" t="str">
        <f>_xlfn.XLOOKUP(tblStates[[#This Row],[StateID]],tblTargets[TargetID],tblTargets[StateType],"")</f>
        <v>#ERROR!</v>
      </c>
      <c r="G89" s="26" t="b">
        <v>1</v>
      </c>
    </row>
    <row r="90" ht="14.25" customHeight="1">
      <c r="A90" s="26" t="s">
        <v>1575</v>
      </c>
      <c r="B90" s="26" t="str">
        <f>_xlfn.XLOOKUP(tblStates[[#This Row],[StateID]],tblTargets[TargetID],tblTargets[DisplayName],"")</f>
        <v>#ERROR!</v>
      </c>
      <c r="C90" s="26" t="str">
        <f>IFERROR(_xlfn.XLOOKUP(tblStates[[#This Row],[StateID]],tblQuestObjectives[ObjectiveID],tblQuestObjectives[QuestTargetID]),_xlfn.XLOOKUP(tblStates[[#This Row],[StateID]],tblDependencies[DependencyID],tblDependencies[TargetID]))</f>
        <v>#ERROR!</v>
      </c>
      <c r="D90" s="26" t="str">
        <f>IFERROR(_xlfn.XLOOKUP(tblStates[[#This Row],[StateID]],tblQuestObjectives[ObjectiveID],tblQuestObjectives[QuestTargetID]),"")</f>
        <v>#ERROR!</v>
      </c>
      <c r="E90" s="26" t="str">
        <f>IFERROR(_xlfn.XLOOKUP(tblStates[[#This Row],[StateID]],tblDependencies[DependencyID],tblDependencies[TargetID]),"")</f>
        <v>#ERROR!</v>
      </c>
      <c r="F90" s="26" t="str">
        <f>_xlfn.XLOOKUP(tblStates[[#This Row],[StateID]],tblTargets[TargetID],tblTargets[StateType],"")</f>
        <v>#ERROR!</v>
      </c>
      <c r="G90" s="26" t="b">
        <v>1</v>
      </c>
    </row>
    <row r="91" ht="14.25" customHeight="1">
      <c r="A91" s="26" t="s">
        <v>1577</v>
      </c>
      <c r="B91" s="26" t="str">
        <f>_xlfn.XLOOKUP(tblStates[[#This Row],[StateID]],tblTargets[TargetID],tblTargets[DisplayName],"")</f>
        <v>#ERROR!</v>
      </c>
      <c r="C91" s="26" t="str">
        <f>IFERROR(_xlfn.XLOOKUP(tblStates[[#This Row],[StateID]],tblQuestObjectives[ObjectiveID],tblQuestObjectives[QuestTargetID]),_xlfn.XLOOKUP(tblStates[[#This Row],[StateID]],tblDependencies[DependencyID],tblDependencies[TargetID]))</f>
        <v>#ERROR!</v>
      </c>
      <c r="D91" s="26" t="str">
        <f>IFERROR(_xlfn.XLOOKUP(tblStates[[#This Row],[StateID]],tblQuestObjectives[ObjectiveID],tblQuestObjectives[QuestTargetID]),"")</f>
        <v>#ERROR!</v>
      </c>
      <c r="E91" s="26" t="str">
        <f>IFERROR(_xlfn.XLOOKUP(tblStates[[#This Row],[StateID]],tblDependencies[DependencyID],tblDependencies[TargetID]),"")</f>
        <v>#ERROR!</v>
      </c>
      <c r="F91" s="26" t="str">
        <f>_xlfn.XLOOKUP(tblStates[[#This Row],[StateID]],tblTargets[TargetID],tblTargets[StateType],"")</f>
        <v>#ERROR!</v>
      </c>
      <c r="G91" s="26" t="b">
        <v>1</v>
      </c>
    </row>
    <row r="92" ht="14.25" customHeight="1">
      <c r="A92" s="26" t="s">
        <v>1579</v>
      </c>
      <c r="B92" s="26" t="str">
        <f>_xlfn.XLOOKUP(tblStates[[#This Row],[StateID]],tblTargets[TargetID],tblTargets[DisplayName],"")</f>
        <v>#ERROR!</v>
      </c>
      <c r="C92" s="26" t="str">
        <f>IFERROR(_xlfn.XLOOKUP(tblStates[[#This Row],[StateID]],tblQuestObjectives[ObjectiveID],tblQuestObjectives[QuestTargetID]),_xlfn.XLOOKUP(tblStates[[#This Row],[StateID]],tblDependencies[DependencyID],tblDependencies[TargetID]))</f>
        <v>#ERROR!</v>
      </c>
      <c r="D92" s="26" t="str">
        <f>IFERROR(_xlfn.XLOOKUP(tblStates[[#This Row],[StateID]],tblQuestObjectives[ObjectiveID],tblQuestObjectives[QuestTargetID]),"")</f>
        <v>#ERROR!</v>
      </c>
      <c r="E92" s="26" t="str">
        <f>IFERROR(_xlfn.XLOOKUP(tblStates[[#This Row],[StateID]],tblDependencies[DependencyID],tblDependencies[TargetID]),"")</f>
        <v>#ERROR!</v>
      </c>
      <c r="F92" s="26" t="str">
        <f>_xlfn.XLOOKUP(tblStates[[#This Row],[StateID]],tblTargets[TargetID],tblTargets[StateType],"")</f>
        <v>#ERROR!</v>
      </c>
      <c r="G92" s="26" t="b">
        <v>1</v>
      </c>
    </row>
    <row r="93" ht="14.25" customHeight="1">
      <c r="A93" s="26" t="s">
        <v>1582</v>
      </c>
      <c r="B93" s="26" t="str">
        <f>_xlfn.XLOOKUP(tblStates[[#This Row],[StateID]],tblTargets[TargetID],tblTargets[DisplayName],"")</f>
        <v>#ERROR!</v>
      </c>
      <c r="C93" s="26" t="str">
        <f>IFERROR(_xlfn.XLOOKUP(tblStates[[#This Row],[StateID]],tblQuestObjectives[ObjectiveID],tblQuestObjectives[QuestTargetID]),_xlfn.XLOOKUP(tblStates[[#This Row],[StateID]],tblDependencies[DependencyID],tblDependencies[TargetID]))</f>
        <v>#ERROR!</v>
      </c>
      <c r="D93" s="26" t="str">
        <f>IFERROR(_xlfn.XLOOKUP(tblStates[[#This Row],[StateID]],tblQuestObjectives[ObjectiveID],tblQuestObjectives[QuestTargetID]),"")</f>
        <v>#ERROR!</v>
      </c>
      <c r="E93" s="26" t="str">
        <f>IFERROR(_xlfn.XLOOKUP(tblStates[[#This Row],[StateID]],tblDependencies[DependencyID],tblDependencies[TargetID]),"")</f>
        <v>#ERROR!</v>
      </c>
      <c r="F93" s="26" t="str">
        <f>_xlfn.XLOOKUP(tblStates[[#This Row],[StateID]],tblTargets[TargetID],tblTargets[StateType],"")</f>
        <v>#ERROR!</v>
      </c>
      <c r="G93" s="26" t="b">
        <v>1</v>
      </c>
    </row>
    <row r="94" ht="14.25" customHeight="1">
      <c r="A94" s="26" t="s">
        <v>1585</v>
      </c>
      <c r="B94" s="26" t="str">
        <f>_xlfn.XLOOKUP(tblStates[[#This Row],[StateID]],tblTargets[TargetID],tblTargets[DisplayName],"")</f>
        <v>#ERROR!</v>
      </c>
      <c r="C94" s="26" t="str">
        <f>IFERROR(_xlfn.XLOOKUP(tblStates[[#This Row],[StateID]],tblQuestObjectives[ObjectiveID],tblQuestObjectives[QuestTargetID]),_xlfn.XLOOKUP(tblStates[[#This Row],[StateID]],tblDependencies[DependencyID],tblDependencies[TargetID]))</f>
        <v>#ERROR!</v>
      </c>
      <c r="D94" s="26" t="str">
        <f>IFERROR(_xlfn.XLOOKUP(tblStates[[#This Row],[StateID]],tblQuestObjectives[ObjectiveID],tblQuestObjectives[QuestTargetID]),"")</f>
        <v>#ERROR!</v>
      </c>
      <c r="E94" s="26" t="str">
        <f>IFERROR(_xlfn.XLOOKUP(tblStates[[#This Row],[StateID]],tblDependencies[DependencyID],tblDependencies[TargetID]),"")</f>
        <v>#ERROR!</v>
      </c>
      <c r="F94" s="26" t="str">
        <f>_xlfn.XLOOKUP(tblStates[[#This Row],[StateID]],tblTargets[TargetID],tblTargets[StateType],"")</f>
        <v>#ERROR!</v>
      </c>
      <c r="G94" s="26" t="b">
        <v>1</v>
      </c>
    </row>
    <row r="95" ht="14.25" customHeight="1">
      <c r="A95" s="26" t="s">
        <v>1587</v>
      </c>
      <c r="B95" s="26" t="str">
        <f>_xlfn.XLOOKUP(tblStates[[#This Row],[StateID]],tblTargets[TargetID],tblTargets[DisplayName],"")</f>
        <v>#ERROR!</v>
      </c>
      <c r="C95" s="26" t="str">
        <f>IFERROR(_xlfn.XLOOKUP(tblStates[[#This Row],[StateID]],tblQuestObjectives[ObjectiveID],tblQuestObjectives[QuestTargetID]),_xlfn.XLOOKUP(tblStates[[#This Row],[StateID]],tblDependencies[DependencyID],tblDependencies[TargetID]))</f>
        <v>#ERROR!</v>
      </c>
      <c r="D95" s="26" t="str">
        <f>IFERROR(_xlfn.XLOOKUP(tblStates[[#This Row],[StateID]],tblQuestObjectives[ObjectiveID],tblQuestObjectives[QuestTargetID]),"")</f>
        <v>#ERROR!</v>
      </c>
      <c r="E95" s="26" t="str">
        <f>IFERROR(_xlfn.XLOOKUP(tblStates[[#This Row],[StateID]],tblDependencies[DependencyID],tblDependencies[TargetID]),"")</f>
        <v>#ERROR!</v>
      </c>
      <c r="F95" s="26" t="str">
        <f>_xlfn.XLOOKUP(tblStates[[#This Row],[StateID]],tblTargets[TargetID],tblTargets[StateType],"")</f>
        <v>#ERROR!</v>
      </c>
      <c r="G95" s="26" t="b">
        <v>1</v>
      </c>
    </row>
    <row r="96" ht="14.25" customHeight="1">
      <c r="A96" s="26" t="s">
        <v>1590</v>
      </c>
      <c r="B96" s="26" t="str">
        <f>_xlfn.XLOOKUP(tblStates[[#This Row],[StateID]],tblTargets[TargetID],tblTargets[DisplayName],"")</f>
        <v>#ERROR!</v>
      </c>
      <c r="C96" s="26" t="str">
        <f>IFERROR(_xlfn.XLOOKUP(tblStates[[#This Row],[StateID]],tblQuestObjectives[ObjectiveID],tblQuestObjectives[QuestTargetID]),_xlfn.XLOOKUP(tblStates[[#This Row],[StateID]],tblDependencies[DependencyID],tblDependencies[TargetID]))</f>
        <v>#ERROR!</v>
      </c>
      <c r="D96" s="26" t="str">
        <f>IFERROR(_xlfn.XLOOKUP(tblStates[[#This Row],[StateID]],tblQuestObjectives[ObjectiveID],tblQuestObjectives[QuestTargetID]),"")</f>
        <v>#ERROR!</v>
      </c>
      <c r="E96" s="26" t="str">
        <f>IFERROR(_xlfn.XLOOKUP(tblStates[[#This Row],[StateID]],tblDependencies[DependencyID],tblDependencies[TargetID]),"")</f>
        <v>#ERROR!</v>
      </c>
      <c r="F96" s="26" t="str">
        <f>_xlfn.XLOOKUP(tblStates[[#This Row],[StateID]],tblTargets[TargetID],tblTargets[StateType],"")</f>
        <v>#ERROR!</v>
      </c>
      <c r="G96" s="26" t="b">
        <v>1</v>
      </c>
    </row>
    <row r="97" ht="14.25" customHeight="1">
      <c r="A97" s="26" t="s">
        <v>1592</v>
      </c>
      <c r="B97" s="26" t="str">
        <f>_xlfn.XLOOKUP(tblStates[[#This Row],[StateID]],tblTargets[TargetID],tblTargets[DisplayName],"")</f>
        <v>#ERROR!</v>
      </c>
      <c r="C97" s="26" t="str">
        <f>IFERROR(_xlfn.XLOOKUP(tblStates[[#This Row],[StateID]],tblQuestObjectives[ObjectiveID],tblQuestObjectives[QuestTargetID]),_xlfn.XLOOKUP(tblStates[[#This Row],[StateID]],tblDependencies[DependencyID],tblDependencies[TargetID]))</f>
        <v>#ERROR!</v>
      </c>
      <c r="D97" s="26" t="str">
        <f>IFERROR(_xlfn.XLOOKUP(tblStates[[#This Row],[StateID]],tblQuestObjectives[ObjectiveID],tblQuestObjectives[QuestTargetID]),"")</f>
        <v>#ERROR!</v>
      </c>
      <c r="E97" s="26" t="str">
        <f>IFERROR(_xlfn.XLOOKUP(tblStates[[#This Row],[StateID]],tblDependencies[DependencyID],tblDependencies[TargetID]),"")</f>
        <v>#ERROR!</v>
      </c>
      <c r="F97" s="26" t="str">
        <f>_xlfn.XLOOKUP(tblStates[[#This Row],[StateID]],tblTargets[TargetID],tblTargets[StateType],"")</f>
        <v>#ERROR!</v>
      </c>
      <c r="G97" s="26" t="b">
        <v>1</v>
      </c>
    </row>
    <row r="98" ht="14.25" customHeight="1">
      <c r="A98" s="26" t="s">
        <v>1594</v>
      </c>
      <c r="B98" s="26" t="str">
        <f>_xlfn.XLOOKUP(tblStates[[#This Row],[StateID]],tblTargets[TargetID],tblTargets[DisplayName],"")</f>
        <v>#ERROR!</v>
      </c>
      <c r="C98" s="26" t="str">
        <f>IFERROR(_xlfn.XLOOKUP(tblStates[[#This Row],[StateID]],tblQuestObjectives[ObjectiveID],tblQuestObjectives[QuestTargetID]),_xlfn.XLOOKUP(tblStates[[#This Row],[StateID]],tblDependencies[DependencyID],tblDependencies[TargetID]))</f>
        <v>#ERROR!</v>
      </c>
      <c r="D98" s="26" t="str">
        <f>IFERROR(_xlfn.XLOOKUP(tblStates[[#This Row],[StateID]],tblQuestObjectives[ObjectiveID],tblQuestObjectives[QuestTargetID]),"")</f>
        <v>#ERROR!</v>
      </c>
      <c r="E98" s="26" t="str">
        <f>IFERROR(_xlfn.XLOOKUP(tblStates[[#This Row],[StateID]],tblDependencies[DependencyID],tblDependencies[TargetID]),"")</f>
        <v>#ERROR!</v>
      </c>
      <c r="F98" s="26" t="str">
        <f>_xlfn.XLOOKUP(tblStates[[#This Row],[StateID]],tblTargets[TargetID],tblTargets[StateType],"")</f>
        <v>#ERROR!</v>
      </c>
      <c r="G98" s="26" t="b">
        <v>1</v>
      </c>
    </row>
    <row r="99" ht="14.25" customHeight="1">
      <c r="A99" s="26" t="s">
        <v>1597</v>
      </c>
      <c r="B99" s="26" t="str">
        <f>_xlfn.XLOOKUP(tblStates[[#This Row],[StateID]],tblTargets[TargetID],tblTargets[DisplayName],"")</f>
        <v>#ERROR!</v>
      </c>
      <c r="C99" s="26" t="str">
        <f>IFERROR(_xlfn.XLOOKUP(tblStates[[#This Row],[StateID]],tblQuestObjectives[ObjectiveID],tblQuestObjectives[QuestTargetID]),_xlfn.XLOOKUP(tblStates[[#This Row],[StateID]],tblDependencies[DependencyID],tblDependencies[TargetID]))</f>
        <v>#ERROR!</v>
      </c>
      <c r="D99" s="26" t="str">
        <f>IFERROR(_xlfn.XLOOKUP(tblStates[[#This Row],[StateID]],tblQuestObjectives[ObjectiveID],tblQuestObjectives[QuestTargetID]),"")</f>
        <v>#ERROR!</v>
      </c>
      <c r="E99" s="26" t="str">
        <f>IFERROR(_xlfn.XLOOKUP(tblStates[[#This Row],[StateID]],tblDependencies[DependencyID],tblDependencies[TargetID]),"")</f>
        <v>#ERROR!</v>
      </c>
      <c r="F99" s="26" t="str">
        <f>_xlfn.XLOOKUP(tblStates[[#This Row],[StateID]],tblTargets[TargetID],tblTargets[StateType],"")</f>
        <v>#ERROR!</v>
      </c>
      <c r="G99" s="26" t="b">
        <v>1</v>
      </c>
    </row>
    <row r="100" ht="14.25" customHeight="1">
      <c r="A100" s="26" t="s">
        <v>1599</v>
      </c>
      <c r="B100" s="26" t="str">
        <f>_xlfn.XLOOKUP(tblStates[[#This Row],[StateID]],tblTargets[TargetID],tblTargets[DisplayName],"")</f>
        <v>#ERROR!</v>
      </c>
      <c r="C100" s="26" t="str">
        <f>IFERROR(_xlfn.XLOOKUP(tblStates[[#This Row],[StateID]],tblQuestObjectives[ObjectiveID],tblQuestObjectives[QuestTargetID]),_xlfn.XLOOKUP(tblStates[[#This Row],[StateID]],tblDependencies[DependencyID],tblDependencies[TargetID]))</f>
        <v>#ERROR!</v>
      </c>
      <c r="D100" s="26" t="str">
        <f>IFERROR(_xlfn.XLOOKUP(tblStates[[#This Row],[StateID]],tblQuestObjectives[ObjectiveID],tblQuestObjectives[QuestTargetID]),"")</f>
        <v>#ERROR!</v>
      </c>
      <c r="E100" s="26" t="str">
        <f>IFERROR(_xlfn.XLOOKUP(tblStates[[#This Row],[StateID]],tblDependencies[DependencyID],tblDependencies[TargetID]),"")</f>
        <v>#ERROR!</v>
      </c>
      <c r="F100" s="26" t="str">
        <f>_xlfn.XLOOKUP(tblStates[[#This Row],[StateID]],tblTargets[TargetID],tblTargets[StateType],"")</f>
        <v>#ERROR!</v>
      </c>
      <c r="G100" s="26" t="b">
        <v>1</v>
      </c>
    </row>
    <row r="101" ht="14.25" customHeight="1">
      <c r="A101" s="26" t="s">
        <v>1601</v>
      </c>
      <c r="B101" s="26" t="str">
        <f>_xlfn.XLOOKUP(tblStates[[#This Row],[StateID]],tblTargets[TargetID],tblTargets[DisplayName],"")</f>
        <v>#ERROR!</v>
      </c>
      <c r="C101" s="26" t="str">
        <f>IFERROR(_xlfn.XLOOKUP(tblStates[[#This Row],[StateID]],tblQuestObjectives[ObjectiveID],tblQuestObjectives[QuestTargetID]),_xlfn.XLOOKUP(tblStates[[#This Row],[StateID]],tblDependencies[DependencyID],tblDependencies[TargetID]))</f>
        <v>#ERROR!</v>
      </c>
      <c r="D101" s="26" t="str">
        <f>IFERROR(_xlfn.XLOOKUP(tblStates[[#This Row],[StateID]],tblQuestObjectives[ObjectiveID],tblQuestObjectives[QuestTargetID]),"")</f>
        <v>#ERROR!</v>
      </c>
      <c r="E101" s="26" t="str">
        <f>IFERROR(_xlfn.XLOOKUP(tblStates[[#This Row],[StateID]],tblDependencies[DependencyID],tblDependencies[TargetID]),"")</f>
        <v>#ERROR!</v>
      </c>
      <c r="F101" s="26" t="str">
        <f>_xlfn.XLOOKUP(tblStates[[#This Row],[StateID]],tblTargets[TargetID],tblTargets[StateType],"")</f>
        <v>#ERROR!</v>
      </c>
      <c r="G101" s="26" t="str">
        <f>_xlfn.XLOOKUP(tblStates[[#This Row],[StateID]],tblTargets[TargetID],tblTargets[Trackable],"")</f>
        <v>#ERROR!</v>
      </c>
    </row>
    <row r="102" ht="14.25" customHeight="1">
      <c r="A102" s="26" t="s">
        <v>1604</v>
      </c>
      <c r="B102" s="26" t="str">
        <f>_xlfn.XLOOKUP(tblStates[[#This Row],[StateID]],tblTargets[TargetID],tblTargets[DisplayName],"")</f>
        <v>#ERROR!</v>
      </c>
      <c r="C102" s="26" t="str">
        <f>IFERROR(_xlfn.XLOOKUP(tblStates[[#This Row],[StateID]],tblQuestObjectives[ObjectiveID],tblQuestObjectives[QuestTargetID]),_xlfn.XLOOKUP(tblStates[[#This Row],[StateID]],tblDependencies[DependencyID],tblDependencies[TargetID]))</f>
        <v>#ERROR!</v>
      </c>
      <c r="D102" s="26" t="str">
        <f>IFERROR(_xlfn.XLOOKUP(tblStates[[#This Row],[StateID]],tblQuestObjectives[ObjectiveID],tblQuestObjectives[QuestTargetID]),"")</f>
        <v>#ERROR!</v>
      </c>
      <c r="E102" s="26" t="str">
        <f>IFERROR(_xlfn.XLOOKUP(tblStates[[#This Row],[StateID]],tblDependencies[DependencyID],tblDependencies[TargetID]),"")</f>
        <v>#ERROR!</v>
      </c>
      <c r="F102" s="26" t="str">
        <f>_xlfn.XLOOKUP(tblStates[[#This Row],[StateID]],tblTargets[TargetID],tblTargets[StateType],"")</f>
        <v>#ERROR!</v>
      </c>
      <c r="G102" s="26" t="b">
        <v>1</v>
      </c>
    </row>
    <row r="103" ht="14.25" customHeight="1">
      <c r="A103" s="26" t="s">
        <v>1607</v>
      </c>
      <c r="B103" s="26" t="str">
        <f>_xlfn.XLOOKUP(tblStates[[#This Row],[StateID]],tblTargets[TargetID],tblTargets[DisplayName],"")</f>
        <v>#ERROR!</v>
      </c>
      <c r="C103" s="26" t="str">
        <f>IFERROR(_xlfn.XLOOKUP(tblStates[[#This Row],[StateID]],tblQuestObjectives[ObjectiveID],tblQuestObjectives[QuestTargetID]),_xlfn.XLOOKUP(tblStates[[#This Row],[StateID]],tblDependencies[DependencyID],tblDependencies[TargetID]))</f>
        <v>#ERROR!</v>
      </c>
      <c r="D103" s="26" t="str">
        <f>IFERROR(_xlfn.XLOOKUP(tblStates[[#This Row],[StateID]],tblQuestObjectives[ObjectiveID],tblQuestObjectives[QuestTargetID]),"")</f>
        <v>#ERROR!</v>
      </c>
      <c r="E103" s="26" t="str">
        <f>IFERROR(_xlfn.XLOOKUP(tblStates[[#This Row],[StateID]],tblDependencies[DependencyID],tblDependencies[TargetID]),"")</f>
        <v>#ERROR!</v>
      </c>
      <c r="F103" s="26" t="str">
        <f>_xlfn.XLOOKUP(tblStates[[#This Row],[StateID]],tblTargets[TargetID],tblTargets[StateType],"")</f>
        <v>#ERROR!</v>
      </c>
      <c r="G103" s="26" t="b">
        <v>1</v>
      </c>
    </row>
    <row r="104" ht="14.25" customHeight="1">
      <c r="A104" s="26" t="s">
        <v>1609</v>
      </c>
      <c r="B104" s="26" t="str">
        <f>_xlfn.XLOOKUP(tblStates[[#This Row],[StateID]],tblTargets[TargetID],tblTargets[DisplayName],"")</f>
        <v>#ERROR!</v>
      </c>
      <c r="C104" s="26" t="str">
        <f>IFERROR(_xlfn.XLOOKUP(tblStates[[#This Row],[StateID]],tblQuestObjectives[ObjectiveID],tblQuestObjectives[QuestTargetID]),_xlfn.XLOOKUP(tblStates[[#This Row],[StateID]],tblDependencies[DependencyID],tblDependencies[TargetID]))</f>
        <v>#ERROR!</v>
      </c>
      <c r="D104" s="26" t="str">
        <f>IFERROR(_xlfn.XLOOKUP(tblStates[[#This Row],[StateID]],tblQuestObjectives[ObjectiveID],tblQuestObjectives[QuestTargetID]),"")</f>
        <v>#ERROR!</v>
      </c>
      <c r="E104" s="26" t="str">
        <f>IFERROR(_xlfn.XLOOKUP(tblStates[[#This Row],[StateID]],tblDependencies[DependencyID],tblDependencies[TargetID]),"")</f>
        <v>#ERROR!</v>
      </c>
      <c r="F104" s="26" t="str">
        <f>_xlfn.XLOOKUP(tblStates[[#This Row],[StateID]],tblTargets[TargetID],tblTargets[StateType],"")</f>
        <v>#ERROR!</v>
      </c>
      <c r="G104" s="26" t="b">
        <v>1</v>
      </c>
    </row>
    <row r="105" ht="14.25" customHeight="1">
      <c r="A105" s="26" t="s">
        <v>1611</v>
      </c>
      <c r="B105" s="26" t="str">
        <f>_xlfn.XLOOKUP(tblStates[[#This Row],[StateID]],tblTargets[TargetID],tblTargets[DisplayName],"")</f>
        <v>#ERROR!</v>
      </c>
      <c r="C105" s="26" t="str">
        <f>IFERROR(_xlfn.XLOOKUP(tblStates[[#This Row],[StateID]],tblQuestObjectives[ObjectiveID],tblQuestObjectives[QuestTargetID]),_xlfn.XLOOKUP(tblStates[[#This Row],[StateID]],tblDependencies[DependencyID],tblDependencies[TargetID]))</f>
        <v>#ERROR!</v>
      </c>
      <c r="D105" s="26" t="str">
        <f>IFERROR(_xlfn.XLOOKUP(tblStates[[#This Row],[StateID]],tblQuestObjectives[ObjectiveID],tblQuestObjectives[QuestTargetID]),"")</f>
        <v>#ERROR!</v>
      </c>
      <c r="E105" s="26" t="str">
        <f>IFERROR(_xlfn.XLOOKUP(tblStates[[#This Row],[StateID]],tblDependencies[DependencyID],tblDependencies[TargetID]),"")</f>
        <v>#ERROR!</v>
      </c>
      <c r="F105" s="26" t="str">
        <f>_xlfn.XLOOKUP(tblStates[[#This Row],[StateID]],tblTargets[TargetID],tblTargets[StateType],"")</f>
        <v>#ERROR!</v>
      </c>
      <c r="G105" s="26" t="b">
        <v>1</v>
      </c>
    </row>
    <row r="106" ht="14.25" customHeight="1">
      <c r="A106" s="26" t="s">
        <v>1614</v>
      </c>
      <c r="B106" s="26" t="str">
        <f>_xlfn.XLOOKUP(tblStates[[#This Row],[StateID]],tblTargets[TargetID],tblTargets[DisplayName],"")</f>
        <v>#ERROR!</v>
      </c>
      <c r="C106" s="26" t="str">
        <f>IFERROR(_xlfn.XLOOKUP(tblStates[[#This Row],[StateID]],tblQuestObjectives[ObjectiveID],tblQuestObjectives[QuestTargetID]),_xlfn.XLOOKUP(tblStates[[#This Row],[StateID]],tblDependencies[DependencyID],tblDependencies[TargetID]))</f>
        <v>#ERROR!</v>
      </c>
      <c r="D106" s="26" t="str">
        <f>IFERROR(_xlfn.XLOOKUP(tblStates[[#This Row],[StateID]],tblQuestObjectives[ObjectiveID],tblQuestObjectives[QuestTargetID]),"")</f>
        <v>#ERROR!</v>
      </c>
      <c r="E106" s="26" t="str">
        <f>IFERROR(_xlfn.XLOOKUP(tblStates[[#This Row],[StateID]],tblDependencies[DependencyID],tblDependencies[TargetID]),"")</f>
        <v>#ERROR!</v>
      </c>
      <c r="F106" s="26" t="str">
        <f>_xlfn.XLOOKUP(tblStates[[#This Row],[StateID]],tblTargets[TargetID],tblTargets[StateType],"")</f>
        <v>#ERROR!</v>
      </c>
      <c r="G106" s="26" t="b">
        <v>1</v>
      </c>
    </row>
    <row r="107" ht="14.25" customHeight="1">
      <c r="A107" s="26" t="s">
        <v>1616</v>
      </c>
      <c r="B107" s="26" t="str">
        <f>_xlfn.XLOOKUP(tblStates[[#This Row],[StateID]],tblTargets[TargetID],tblTargets[DisplayName],"")</f>
        <v>#ERROR!</v>
      </c>
      <c r="C107" s="26" t="str">
        <f>IFERROR(_xlfn.XLOOKUP(tblStates[[#This Row],[StateID]],tblQuestObjectives[ObjectiveID],tblQuestObjectives[QuestTargetID]),_xlfn.XLOOKUP(tblStates[[#This Row],[StateID]],tblDependencies[DependencyID],tblDependencies[TargetID]))</f>
        <v>#ERROR!</v>
      </c>
      <c r="D107" s="26" t="str">
        <f>IFERROR(_xlfn.XLOOKUP(tblStates[[#This Row],[StateID]],tblQuestObjectives[ObjectiveID],tblQuestObjectives[QuestTargetID]),"")</f>
        <v>#ERROR!</v>
      </c>
      <c r="E107" s="26" t="str">
        <f>IFERROR(_xlfn.XLOOKUP(tblStates[[#This Row],[StateID]],tblDependencies[DependencyID],tblDependencies[TargetID]),"")</f>
        <v>#ERROR!</v>
      </c>
      <c r="F107" s="26" t="str">
        <f>_xlfn.XLOOKUP(tblStates[[#This Row],[StateID]],tblTargets[TargetID],tblTargets[StateType],"")</f>
        <v>#ERROR!</v>
      </c>
      <c r="G107" s="26" t="b">
        <v>1</v>
      </c>
    </row>
    <row r="108" ht="14.25" customHeight="1">
      <c r="A108" s="26" t="s">
        <v>1618</v>
      </c>
      <c r="B108" s="26" t="str">
        <f>_xlfn.XLOOKUP(tblStates[[#This Row],[StateID]],tblTargets[TargetID],tblTargets[DisplayName],"")</f>
        <v>#ERROR!</v>
      </c>
      <c r="C108" s="26" t="str">
        <f>IFERROR(_xlfn.XLOOKUP(tblStates[[#This Row],[StateID]],tblQuestObjectives[ObjectiveID],tblQuestObjectives[QuestTargetID]),_xlfn.XLOOKUP(tblStates[[#This Row],[StateID]],tblDependencies[DependencyID],tblDependencies[TargetID]))</f>
        <v>#ERROR!</v>
      </c>
      <c r="D108" s="26" t="str">
        <f>IFERROR(_xlfn.XLOOKUP(tblStates[[#This Row],[StateID]],tblQuestObjectives[ObjectiveID],tblQuestObjectives[QuestTargetID]),"")</f>
        <v>#ERROR!</v>
      </c>
      <c r="E108" s="26" t="str">
        <f>IFERROR(_xlfn.XLOOKUP(tblStates[[#This Row],[StateID]],tblDependencies[DependencyID],tblDependencies[TargetID]),"")</f>
        <v>#ERROR!</v>
      </c>
      <c r="F108" s="26" t="str">
        <f>_xlfn.XLOOKUP(tblStates[[#This Row],[StateID]],tblTargets[TargetID],tblTargets[StateType],"")</f>
        <v>#ERROR!</v>
      </c>
      <c r="G108" s="26" t="b">
        <v>1</v>
      </c>
    </row>
    <row r="109" ht="14.25" customHeight="1">
      <c r="A109" s="26" t="s">
        <v>1621</v>
      </c>
      <c r="B109" s="26" t="str">
        <f>_xlfn.XLOOKUP(tblStates[[#This Row],[StateID]],tblTargets[TargetID],tblTargets[DisplayName],"")</f>
        <v>#ERROR!</v>
      </c>
      <c r="C109" s="26" t="str">
        <f>IFERROR(_xlfn.XLOOKUP(tblStates[[#This Row],[StateID]],tblQuestObjectives[ObjectiveID],tblQuestObjectives[QuestTargetID]),_xlfn.XLOOKUP(tblStates[[#This Row],[StateID]],tblDependencies[DependencyID],tblDependencies[TargetID]))</f>
        <v>#ERROR!</v>
      </c>
      <c r="D109" s="26" t="str">
        <f>IFERROR(_xlfn.XLOOKUP(tblStates[[#This Row],[StateID]],tblQuestObjectives[ObjectiveID],tblQuestObjectives[QuestTargetID]),"")</f>
        <v>#ERROR!</v>
      </c>
      <c r="E109" s="26" t="str">
        <f>IFERROR(_xlfn.XLOOKUP(tblStates[[#This Row],[StateID]],tblDependencies[DependencyID],tblDependencies[TargetID]),"")</f>
        <v>#ERROR!</v>
      </c>
      <c r="F109" s="26" t="str">
        <f>_xlfn.XLOOKUP(tblStates[[#This Row],[StateID]],tblTargets[TargetID],tblTargets[StateType],"")</f>
        <v>#ERROR!</v>
      </c>
      <c r="G109" s="26" t="b">
        <v>1</v>
      </c>
    </row>
    <row r="110" ht="14.25" customHeight="1">
      <c r="A110" s="26" t="s">
        <v>1623</v>
      </c>
      <c r="B110" s="26" t="str">
        <f>_xlfn.XLOOKUP(tblStates[[#This Row],[StateID]],tblTargets[TargetID],tblTargets[DisplayName],"")</f>
        <v>#ERROR!</v>
      </c>
      <c r="C110" s="26" t="str">
        <f>IFERROR(_xlfn.XLOOKUP(tblStates[[#This Row],[StateID]],tblQuestObjectives[ObjectiveID],tblQuestObjectives[QuestTargetID]),_xlfn.XLOOKUP(tblStates[[#This Row],[StateID]],tblDependencies[DependencyID],tblDependencies[TargetID]))</f>
        <v>#ERROR!</v>
      </c>
      <c r="D110" s="26" t="str">
        <f>IFERROR(_xlfn.XLOOKUP(tblStates[[#This Row],[StateID]],tblQuestObjectives[ObjectiveID],tblQuestObjectives[QuestTargetID]),"")</f>
        <v>#ERROR!</v>
      </c>
      <c r="E110" s="26" t="str">
        <f>IFERROR(_xlfn.XLOOKUP(tblStates[[#This Row],[StateID]],tblDependencies[DependencyID],tblDependencies[TargetID]),"")</f>
        <v>#ERROR!</v>
      </c>
      <c r="F110" s="26" t="str">
        <f>_xlfn.XLOOKUP(tblStates[[#This Row],[StateID]],tblTargets[TargetID],tblTargets[StateType],"")</f>
        <v>#ERROR!</v>
      </c>
      <c r="G110" s="26" t="b">
        <v>1</v>
      </c>
    </row>
    <row r="111" ht="14.25" customHeight="1">
      <c r="A111" s="26" t="s">
        <v>1625</v>
      </c>
      <c r="B111" s="26" t="str">
        <f>_xlfn.XLOOKUP(tblStates[[#This Row],[StateID]],tblTargets[TargetID],tblTargets[DisplayName],"")</f>
        <v>#ERROR!</v>
      </c>
      <c r="C111" s="26" t="str">
        <f>IFERROR(_xlfn.XLOOKUP(tblStates[[#This Row],[StateID]],tblQuestObjectives[ObjectiveID],tblQuestObjectives[QuestTargetID]),_xlfn.XLOOKUP(tblStates[[#This Row],[StateID]],tblDependencies[DependencyID],tblDependencies[TargetID]))</f>
        <v>#ERROR!</v>
      </c>
      <c r="D111" s="26" t="str">
        <f>IFERROR(_xlfn.XLOOKUP(tblStates[[#This Row],[StateID]],tblQuestObjectives[ObjectiveID],tblQuestObjectives[QuestTargetID]),"")</f>
        <v>#ERROR!</v>
      </c>
      <c r="E111" s="26" t="str">
        <f>IFERROR(_xlfn.XLOOKUP(tblStates[[#This Row],[StateID]],tblDependencies[DependencyID],tblDependencies[TargetID]),"")</f>
        <v>#ERROR!</v>
      </c>
      <c r="F111" s="26" t="str">
        <f>_xlfn.XLOOKUP(tblStates[[#This Row],[StateID]],tblTargets[TargetID],tblTargets[StateType],"")</f>
        <v>#ERROR!</v>
      </c>
      <c r="G111" s="26" t="b">
        <v>1</v>
      </c>
    </row>
    <row r="112" ht="14.25" customHeight="1">
      <c r="A112" s="26" t="s">
        <v>1628</v>
      </c>
      <c r="B112" s="26" t="str">
        <f>_xlfn.XLOOKUP(tblStates[[#This Row],[StateID]],tblTargets[TargetID],tblTargets[DisplayName],"")</f>
        <v>#ERROR!</v>
      </c>
      <c r="C112" s="26" t="str">
        <f>IFERROR(_xlfn.XLOOKUP(tblStates[[#This Row],[StateID]],tblQuestObjectives[ObjectiveID],tblQuestObjectives[QuestTargetID]),_xlfn.XLOOKUP(tblStates[[#This Row],[StateID]],tblDependencies[DependencyID],tblDependencies[TargetID]))</f>
        <v>#ERROR!</v>
      </c>
      <c r="D112" s="26" t="str">
        <f>IFERROR(_xlfn.XLOOKUP(tblStates[[#This Row],[StateID]],tblQuestObjectives[ObjectiveID],tblQuestObjectives[QuestTargetID]),"")</f>
        <v>#ERROR!</v>
      </c>
      <c r="E112" s="26" t="str">
        <f>IFERROR(_xlfn.XLOOKUP(tblStates[[#This Row],[StateID]],tblDependencies[DependencyID],tblDependencies[TargetID]),"")</f>
        <v>#ERROR!</v>
      </c>
      <c r="F112" s="26" t="str">
        <f>_xlfn.XLOOKUP(tblStates[[#This Row],[StateID]],tblTargets[TargetID],tblTargets[StateType],"")</f>
        <v>#ERROR!</v>
      </c>
      <c r="G112" s="26" t="b">
        <v>1</v>
      </c>
    </row>
    <row r="113" ht="14.25" customHeight="1">
      <c r="A113" s="26" t="s">
        <v>1630</v>
      </c>
      <c r="B113" s="26" t="str">
        <f>_xlfn.XLOOKUP(tblStates[[#This Row],[StateID]],tblTargets[TargetID],tblTargets[DisplayName],"")</f>
        <v>#ERROR!</v>
      </c>
      <c r="C113" s="26" t="str">
        <f>IFERROR(_xlfn.XLOOKUP(tblStates[[#This Row],[StateID]],tblQuestObjectives[ObjectiveID],tblQuestObjectives[QuestTargetID]),_xlfn.XLOOKUP(tblStates[[#This Row],[StateID]],tblDependencies[DependencyID],tblDependencies[TargetID]))</f>
        <v>#ERROR!</v>
      </c>
      <c r="D113" s="26" t="str">
        <f>IFERROR(_xlfn.XLOOKUP(tblStates[[#This Row],[StateID]],tblQuestObjectives[ObjectiveID],tblQuestObjectives[QuestTargetID]),"")</f>
        <v>#ERROR!</v>
      </c>
      <c r="E113" s="26" t="str">
        <f>IFERROR(_xlfn.XLOOKUP(tblStates[[#This Row],[StateID]],tblDependencies[DependencyID],tblDependencies[TargetID]),"")</f>
        <v>#ERROR!</v>
      </c>
      <c r="F113" s="26" t="str">
        <f>_xlfn.XLOOKUP(tblStates[[#This Row],[StateID]],tblTargets[TargetID],tblTargets[StateType],"")</f>
        <v>#ERROR!</v>
      </c>
      <c r="G113" s="26" t="b">
        <v>1</v>
      </c>
    </row>
    <row r="114" ht="14.25" customHeight="1">
      <c r="A114" s="26" t="s">
        <v>1632</v>
      </c>
      <c r="B114" s="26" t="str">
        <f>_xlfn.XLOOKUP(tblStates[[#This Row],[StateID]],tblTargets[TargetID],tblTargets[DisplayName],"")</f>
        <v>#ERROR!</v>
      </c>
      <c r="C114" s="26" t="str">
        <f>IFERROR(_xlfn.XLOOKUP(tblStates[[#This Row],[StateID]],tblQuestObjectives[ObjectiveID],tblQuestObjectives[QuestTargetID]),_xlfn.XLOOKUP(tblStates[[#This Row],[StateID]],tblDependencies[DependencyID],tblDependencies[TargetID]))</f>
        <v>#ERROR!</v>
      </c>
      <c r="D114" s="26" t="str">
        <f>IFERROR(_xlfn.XLOOKUP(tblStates[[#This Row],[StateID]],tblQuestObjectives[ObjectiveID],tblQuestObjectives[QuestTargetID]),"")</f>
        <v>#ERROR!</v>
      </c>
      <c r="E114" s="26" t="str">
        <f>IFERROR(_xlfn.XLOOKUP(tblStates[[#This Row],[StateID]],tblDependencies[DependencyID],tblDependencies[TargetID]),"")</f>
        <v>#ERROR!</v>
      </c>
      <c r="F114" s="26" t="str">
        <f>_xlfn.XLOOKUP(tblStates[[#This Row],[StateID]],tblTargets[TargetID],tblTargets[StateType],"")</f>
        <v>#ERROR!</v>
      </c>
      <c r="G114" s="26" t="b">
        <v>1</v>
      </c>
    </row>
    <row r="115" ht="14.25" customHeight="1">
      <c r="A115" s="26" t="s">
        <v>1635</v>
      </c>
      <c r="B115" s="26" t="str">
        <f>_xlfn.XLOOKUP(tblStates[[#This Row],[StateID]],tblTargets[TargetID],tblTargets[DisplayName],"")</f>
        <v>#ERROR!</v>
      </c>
      <c r="C115" s="26" t="str">
        <f>IFERROR(_xlfn.XLOOKUP(tblStates[[#This Row],[StateID]],tblQuestObjectives[ObjectiveID],tblQuestObjectives[QuestTargetID]),_xlfn.XLOOKUP(tblStates[[#This Row],[StateID]],tblDependencies[DependencyID],tblDependencies[TargetID]))</f>
        <v>#ERROR!</v>
      </c>
      <c r="D115" s="26" t="str">
        <f>IFERROR(_xlfn.XLOOKUP(tblStates[[#This Row],[StateID]],tblQuestObjectives[ObjectiveID],tblQuestObjectives[QuestTargetID]),"")</f>
        <v>#ERROR!</v>
      </c>
      <c r="E115" s="26" t="str">
        <f>IFERROR(_xlfn.XLOOKUP(tblStates[[#This Row],[StateID]],tblDependencies[DependencyID],tblDependencies[TargetID]),"")</f>
        <v>#ERROR!</v>
      </c>
      <c r="F115" s="26" t="str">
        <f>_xlfn.XLOOKUP(tblStates[[#This Row],[StateID]],tblTargets[TargetID],tblTargets[StateType],"")</f>
        <v>#ERROR!</v>
      </c>
      <c r="G115" s="26" t="b">
        <v>1</v>
      </c>
    </row>
    <row r="116" ht="14.25" customHeight="1">
      <c r="A116" s="26" t="s">
        <v>1637</v>
      </c>
      <c r="B116" s="26" t="str">
        <f>_xlfn.XLOOKUP(tblStates[[#This Row],[StateID]],tblTargets[TargetID],tblTargets[DisplayName],"")</f>
        <v>#ERROR!</v>
      </c>
      <c r="C116" s="26" t="str">
        <f>IFERROR(_xlfn.XLOOKUP(tblStates[[#This Row],[StateID]],tblQuestObjectives[ObjectiveID],tblQuestObjectives[QuestTargetID]),_xlfn.XLOOKUP(tblStates[[#This Row],[StateID]],tblDependencies[DependencyID],tblDependencies[TargetID]))</f>
        <v>#ERROR!</v>
      </c>
      <c r="D116" s="26" t="str">
        <f>IFERROR(_xlfn.XLOOKUP(tblStates[[#This Row],[StateID]],tblQuestObjectives[ObjectiveID],tblQuestObjectives[QuestTargetID]),"")</f>
        <v>#ERROR!</v>
      </c>
      <c r="E116" s="26" t="str">
        <f>IFERROR(_xlfn.XLOOKUP(tblStates[[#This Row],[StateID]],tblDependencies[DependencyID],tblDependencies[TargetID]),"")</f>
        <v>#ERROR!</v>
      </c>
      <c r="F116" s="26" t="str">
        <f>_xlfn.XLOOKUP(tblStates[[#This Row],[StateID]],tblTargets[TargetID],tblTargets[StateType],"")</f>
        <v>#ERROR!</v>
      </c>
      <c r="G116" s="26" t="b">
        <v>1</v>
      </c>
    </row>
    <row r="117" ht="14.25" customHeight="1">
      <c r="A117" s="26" t="s">
        <v>1639</v>
      </c>
      <c r="B117" s="26" t="str">
        <f>_xlfn.XLOOKUP(tblStates[[#This Row],[StateID]],tblTargets[TargetID],tblTargets[DisplayName],"")</f>
        <v>#ERROR!</v>
      </c>
      <c r="C117" s="26" t="str">
        <f>IFERROR(_xlfn.XLOOKUP(tblStates[[#This Row],[StateID]],tblQuestObjectives[ObjectiveID],tblQuestObjectives[QuestTargetID]),_xlfn.XLOOKUP(tblStates[[#This Row],[StateID]],tblDependencies[DependencyID],tblDependencies[TargetID]))</f>
        <v>#ERROR!</v>
      </c>
      <c r="D117" s="26" t="str">
        <f>IFERROR(_xlfn.XLOOKUP(tblStates[[#This Row],[StateID]],tblQuestObjectives[ObjectiveID],tblQuestObjectives[QuestTargetID]),"")</f>
        <v>#ERROR!</v>
      </c>
      <c r="E117" s="26" t="str">
        <f>IFERROR(_xlfn.XLOOKUP(tblStates[[#This Row],[StateID]],tblDependencies[DependencyID],tblDependencies[TargetID]),"")</f>
        <v>#ERROR!</v>
      </c>
      <c r="F117" s="26" t="str">
        <f>_xlfn.XLOOKUP(tblStates[[#This Row],[StateID]],tblTargets[TargetID],tblTargets[StateType],"")</f>
        <v>#ERROR!</v>
      </c>
      <c r="G117" s="26" t="b">
        <v>1</v>
      </c>
    </row>
    <row r="118" ht="14.25" customHeight="1">
      <c r="A118" s="26" t="s">
        <v>1641</v>
      </c>
      <c r="B118" s="26" t="str">
        <f>_xlfn.XLOOKUP(tblStates[[#This Row],[StateID]],tblTargets[TargetID],tblTargets[DisplayName],"")</f>
        <v>#ERROR!</v>
      </c>
      <c r="C118" s="26" t="str">
        <f>IFERROR(_xlfn.XLOOKUP(tblStates[[#This Row],[StateID]],tblQuestObjectives[ObjectiveID],tblQuestObjectives[QuestTargetID]),_xlfn.XLOOKUP(tblStates[[#This Row],[StateID]],tblDependencies[DependencyID],tblDependencies[TargetID]))</f>
        <v>#ERROR!</v>
      </c>
      <c r="D118" s="26" t="str">
        <f>IFERROR(_xlfn.XLOOKUP(tblStates[[#This Row],[StateID]],tblQuestObjectives[ObjectiveID],tblQuestObjectives[QuestTargetID]),"")</f>
        <v>#ERROR!</v>
      </c>
      <c r="E118" s="26" t="str">
        <f>IFERROR(_xlfn.XLOOKUP(tblStates[[#This Row],[StateID]],tblDependencies[DependencyID],tblDependencies[TargetID]),"")</f>
        <v>#ERROR!</v>
      </c>
      <c r="F118" s="26" t="str">
        <f>_xlfn.XLOOKUP(tblStates[[#This Row],[StateID]],tblTargets[TargetID],tblTargets[StateType],"")</f>
        <v>#ERROR!</v>
      </c>
      <c r="G118" s="26" t="b">
        <v>1</v>
      </c>
    </row>
    <row r="119" ht="14.25" customHeight="1">
      <c r="A119" s="26" t="s">
        <v>1644</v>
      </c>
      <c r="B119" s="26" t="str">
        <f>_xlfn.XLOOKUP(tblStates[[#This Row],[StateID]],tblTargets[TargetID],tblTargets[DisplayName],"")</f>
        <v>#ERROR!</v>
      </c>
      <c r="C119" s="26" t="str">
        <f>IFERROR(_xlfn.XLOOKUP(tblStates[[#This Row],[StateID]],tblQuestObjectives[ObjectiveID],tblQuestObjectives[QuestTargetID]),_xlfn.XLOOKUP(tblStates[[#This Row],[StateID]],tblDependencies[DependencyID],tblDependencies[TargetID]))</f>
        <v>#ERROR!</v>
      </c>
      <c r="D119" s="26" t="str">
        <f>IFERROR(_xlfn.XLOOKUP(tblStates[[#This Row],[StateID]],tblQuestObjectives[ObjectiveID],tblQuestObjectives[QuestTargetID]),"")</f>
        <v>#ERROR!</v>
      </c>
      <c r="E119" s="26" t="str">
        <f>IFERROR(_xlfn.XLOOKUP(tblStates[[#This Row],[StateID]],tblDependencies[DependencyID],tblDependencies[TargetID]),"")</f>
        <v>#ERROR!</v>
      </c>
      <c r="F119" s="26" t="str">
        <f>_xlfn.XLOOKUP(tblStates[[#This Row],[StateID]],tblTargets[TargetID],tblTargets[StateType],"")</f>
        <v>#ERROR!</v>
      </c>
      <c r="G119" s="26" t="b">
        <v>1</v>
      </c>
    </row>
    <row r="120" ht="14.25" customHeight="1">
      <c r="A120" s="26" t="s">
        <v>1646</v>
      </c>
      <c r="B120" s="26" t="str">
        <f>_xlfn.XLOOKUP(tblStates[[#This Row],[StateID]],tblTargets[TargetID],tblTargets[DisplayName],"")</f>
        <v>#ERROR!</v>
      </c>
      <c r="C120" s="26" t="str">
        <f>IFERROR(_xlfn.XLOOKUP(tblStates[[#This Row],[StateID]],tblQuestObjectives[ObjectiveID],tblQuestObjectives[QuestTargetID]),_xlfn.XLOOKUP(tblStates[[#This Row],[StateID]],tblDependencies[DependencyID],tblDependencies[TargetID]))</f>
        <v>#ERROR!</v>
      </c>
      <c r="D120" s="26" t="str">
        <f>IFERROR(_xlfn.XLOOKUP(tblStates[[#This Row],[StateID]],tblQuestObjectives[ObjectiveID],tblQuestObjectives[QuestTargetID]),"")</f>
        <v>#ERROR!</v>
      </c>
      <c r="E120" s="26" t="str">
        <f>IFERROR(_xlfn.XLOOKUP(tblStates[[#This Row],[StateID]],tblDependencies[DependencyID],tblDependencies[TargetID]),"")</f>
        <v>#ERROR!</v>
      </c>
      <c r="F120" s="26" t="str">
        <f>_xlfn.XLOOKUP(tblStates[[#This Row],[StateID]],tblTargets[TargetID],tblTargets[StateType],"")</f>
        <v>#ERROR!</v>
      </c>
      <c r="G120" s="26" t="b">
        <v>1</v>
      </c>
    </row>
    <row r="121" ht="14.25" customHeight="1">
      <c r="A121" s="26" t="s">
        <v>1648</v>
      </c>
      <c r="B121" s="26" t="str">
        <f>_xlfn.XLOOKUP(tblStates[[#This Row],[StateID]],tblTargets[TargetID],tblTargets[DisplayName],"")</f>
        <v>#ERROR!</v>
      </c>
      <c r="C121" s="26" t="str">
        <f>IFERROR(_xlfn.XLOOKUP(tblStates[[#This Row],[StateID]],tblQuestObjectives[ObjectiveID],tblQuestObjectives[QuestTargetID]),_xlfn.XLOOKUP(tblStates[[#This Row],[StateID]],tblDependencies[DependencyID],tblDependencies[TargetID]))</f>
        <v>#ERROR!</v>
      </c>
      <c r="D121" s="26" t="str">
        <f>IFERROR(_xlfn.XLOOKUP(tblStates[[#This Row],[StateID]],tblQuestObjectives[ObjectiveID],tblQuestObjectives[QuestTargetID]),"")</f>
        <v>#ERROR!</v>
      </c>
      <c r="E121" s="26" t="str">
        <f>IFERROR(_xlfn.XLOOKUP(tblStates[[#This Row],[StateID]],tblDependencies[DependencyID],tblDependencies[TargetID]),"")</f>
        <v>#ERROR!</v>
      </c>
      <c r="F121" s="26" t="str">
        <f>_xlfn.XLOOKUP(tblStates[[#This Row],[StateID]],tblTargets[TargetID],tblTargets[StateType],"")</f>
        <v>#ERROR!</v>
      </c>
      <c r="G121" s="26" t="b">
        <v>1</v>
      </c>
    </row>
    <row r="122" ht="14.25" customHeight="1">
      <c r="A122" s="26" t="s">
        <v>1650</v>
      </c>
      <c r="B122" s="26" t="str">
        <f>_xlfn.XLOOKUP(tblStates[[#This Row],[StateID]],tblTargets[TargetID],tblTargets[DisplayName],"")</f>
        <v>#ERROR!</v>
      </c>
      <c r="C122" s="26" t="str">
        <f>IFERROR(_xlfn.XLOOKUP(tblStates[[#This Row],[StateID]],tblQuestObjectives[ObjectiveID],tblQuestObjectives[QuestTargetID]),_xlfn.XLOOKUP(tblStates[[#This Row],[StateID]],tblDependencies[DependencyID],tblDependencies[TargetID]))</f>
        <v>#ERROR!</v>
      </c>
      <c r="D122" s="26" t="str">
        <f>IFERROR(_xlfn.XLOOKUP(tblStates[[#This Row],[StateID]],tblQuestObjectives[ObjectiveID],tblQuestObjectives[QuestTargetID]),"")</f>
        <v>#ERROR!</v>
      </c>
      <c r="E122" s="26" t="str">
        <f>IFERROR(_xlfn.XLOOKUP(tblStates[[#This Row],[StateID]],tblDependencies[DependencyID],tblDependencies[TargetID]),"")</f>
        <v>#ERROR!</v>
      </c>
      <c r="F122" s="26" t="str">
        <f>_xlfn.XLOOKUP(tblStates[[#This Row],[StateID]],tblTargets[TargetID],tblTargets[StateType],"")</f>
        <v>#ERROR!</v>
      </c>
      <c r="G122" s="26" t="b">
        <v>1</v>
      </c>
    </row>
    <row r="123" ht="14.25" customHeight="1">
      <c r="A123" s="26" t="s">
        <v>1563</v>
      </c>
      <c r="B123" s="26" t="str">
        <f>_xlfn.XLOOKUP(tblStates[[#This Row],[StateID]],tblTargets[TargetID],tblTargets[DisplayName],"")</f>
        <v>#ERROR!</v>
      </c>
      <c r="C123" s="26" t="str">
        <f>IFERROR(_xlfn.XLOOKUP(tblStates[[#This Row],[StateID]],tblQuestObjectives[ObjectiveID],tblQuestObjectives[QuestTargetID]),_xlfn.XLOOKUP(tblStates[[#This Row],[StateID]],tblDependencies[DependencyID],tblDependencies[TargetID]))</f>
        <v>#ERROR!</v>
      </c>
      <c r="D123" s="26" t="str">
        <f>IFERROR(_xlfn.XLOOKUP(tblStates[[#This Row],[StateID]],tblQuestObjectives[ObjectiveID],tblQuestObjectives[QuestTargetID]),"")</f>
        <v>#ERROR!</v>
      </c>
      <c r="E123" s="26" t="str">
        <f>IFERROR(_xlfn.XLOOKUP(tblStates[[#This Row],[StateID]],tblDependencies[DependencyID],tblDependencies[TargetID]),"")</f>
        <v>#ERROR!</v>
      </c>
      <c r="F123" s="26" t="str">
        <f>_xlfn.XLOOKUP(tblStates[[#This Row],[StateID]],tblTargets[TargetID],tblTargets[StateType],"")</f>
        <v>#ERROR!</v>
      </c>
      <c r="G123" s="26" t="b">
        <v>1</v>
      </c>
    </row>
    <row r="124" ht="14.25" customHeight="1">
      <c r="A124" s="26" t="s">
        <v>1492</v>
      </c>
      <c r="B124" s="26" t="str">
        <f>_xlfn.XLOOKUP(tblStates[[#This Row],[StateID]],tblTargets[TargetID],tblTargets[DisplayName],"")</f>
        <v>#ERROR!</v>
      </c>
      <c r="C124" s="26" t="str">
        <f>IFERROR(_xlfn.XLOOKUP(tblStates[[#This Row],[StateID]],tblQuestObjectives[ObjectiveID],tblQuestObjectives[QuestTargetID]),_xlfn.XLOOKUP(tblStates[[#This Row],[StateID]],tblDependencies[DependencyID],tblDependencies[TargetID]))</f>
        <v>#ERROR!</v>
      </c>
      <c r="D124" s="26" t="str">
        <f>IFERROR(_xlfn.XLOOKUP(tblStates[[#This Row],[StateID]],tblQuestObjectives[ObjectiveID],tblQuestObjectives[QuestTargetID]),"")</f>
        <v>#ERROR!</v>
      </c>
      <c r="E124" s="26" t="str">
        <f>IFERROR(_xlfn.XLOOKUP(tblStates[[#This Row],[StateID]],tblDependencies[DependencyID],tblDependencies[TargetID]),"")</f>
        <v>#ERROR!</v>
      </c>
      <c r="F124" s="26" t="str">
        <f>_xlfn.XLOOKUP(tblStates[[#This Row],[StateID]],tblTargets[TargetID],tblTargets[StateType],"")</f>
        <v>#ERROR!</v>
      </c>
      <c r="G124" s="26" t="b">
        <v>1</v>
      </c>
    </row>
    <row r="125" ht="14.25" customHeight="1">
      <c r="A125" s="26" t="s">
        <v>1358</v>
      </c>
      <c r="B125" s="26" t="str">
        <f>_xlfn.XLOOKUP(tblStates[[#This Row],[StateID]],tblTargets[TargetID],tblTargets[DisplayName],"")</f>
        <v>#ERROR!</v>
      </c>
      <c r="C125" s="26" t="str">
        <f>IFERROR(_xlfn.XLOOKUP(tblStates[[#This Row],[StateID]],tblQuestObjectives[ObjectiveID],tblQuestObjectives[QuestTargetID]),_xlfn.XLOOKUP(tblStates[[#This Row],[StateID]],tblDependencies[DependencyID],tblDependencies[TargetID]))</f>
        <v>#ERROR!</v>
      </c>
      <c r="D125" s="26" t="str">
        <f>IFERROR(_xlfn.XLOOKUP(tblStates[[#This Row],[StateID]],tblQuestObjectives[ObjectiveID],tblQuestObjectives[QuestTargetID]),"")</f>
        <v>#ERROR!</v>
      </c>
      <c r="E125" s="26" t="str">
        <f>IFERROR(_xlfn.XLOOKUP(tblStates[[#This Row],[StateID]],tblDependencies[DependencyID],tblDependencies[TargetID]),"")</f>
        <v>#ERROR!</v>
      </c>
      <c r="F125" s="26" t="str">
        <f>_xlfn.XLOOKUP(tblStates[[#This Row],[StateID]],tblTargets[TargetID],tblTargets[StateType],"")</f>
        <v>#ERROR!</v>
      </c>
      <c r="G125" s="26" t="b">
        <v>1</v>
      </c>
    </row>
    <row r="126" ht="14.25" customHeight="1">
      <c r="A126" s="26" t="s">
        <v>1653</v>
      </c>
      <c r="B126" s="26" t="str">
        <f>_xlfn.XLOOKUP(tblStates[[#This Row],[StateID]],tblTargets[TargetID],tblTargets[DisplayName],"")</f>
        <v>#ERROR!</v>
      </c>
      <c r="C126" s="26" t="str">
        <f>IFERROR(_xlfn.XLOOKUP(tblStates[[#This Row],[StateID]],tblQuestObjectives[ObjectiveID],tblQuestObjectives[QuestTargetID]),_xlfn.XLOOKUP(tblStates[[#This Row],[StateID]],tblDependencies[DependencyID],tblDependencies[TargetID]))</f>
        <v>#ERROR!</v>
      </c>
      <c r="D126" s="26" t="str">
        <f>IFERROR(_xlfn.XLOOKUP(tblStates[[#This Row],[StateID]],tblQuestObjectives[ObjectiveID],tblQuestObjectives[QuestTargetID]),"")</f>
        <v>#ERROR!</v>
      </c>
      <c r="E126" s="26" t="str">
        <f>IFERROR(_xlfn.XLOOKUP(tblStates[[#This Row],[StateID]],tblDependencies[DependencyID],tblDependencies[TargetID]),"")</f>
        <v>#ERROR!</v>
      </c>
      <c r="F126" s="26" t="str">
        <f>_xlfn.XLOOKUP(tblStates[[#This Row],[StateID]],tblTargets[TargetID],tblTargets[StateType],"")</f>
        <v>#ERROR!</v>
      </c>
      <c r="G126" s="26" t="b">
        <v>1</v>
      </c>
    </row>
    <row r="127" ht="14.25" customHeight="1">
      <c r="A127" s="26" t="s">
        <v>1655</v>
      </c>
      <c r="B127" s="26" t="str">
        <f>_xlfn.XLOOKUP(tblStates[[#This Row],[StateID]],tblTargets[TargetID],tblTargets[DisplayName],"")</f>
        <v>#ERROR!</v>
      </c>
      <c r="C127" s="26" t="str">
        <f>IFERROR(_xlfn.XLOOKUP(tblStates[[#This Row],[StateID]],tblQuestObjectives[ObjectiveID],tblQuestObjectives[QuestTargetID]),_xlfn.XLOOKUP(tblStates[[#This Row],[StateID]],tblDependencies[DependencyID],tblDependencies[TargetID]))</f>
        <v>#ERROR!</v>
      </c>
      <c r="D127" s="26" t="str">
        <f>IFERROR(_xlfn.XLOOKUP(tblStates[[#This Row],[StateID]],tblQuestObjectives[ObjectiveID],tblQuestObjectives[QuestTargetID]),"")</f>
        <v>#ERROR!</v>
      </c>
      <c r="E127" s="26" t="str">
        <f>IFERROR(_xlfn.XLOOKUP(tblStates[[#This Row],[StateID]],tblDependencies[DependencyID],tblDependencies[TargetID]),"")</f>
        <v>#ERROR!</v>
      </c>
      <c r="F127" s="26" t="str">
        <f>_xlfn.XLOOKUP(tblStates[[#This Row],[StateID]],tblTargets[TargetID],tblTargets[StateType],"")</f>
        <v>#ERROR!</v>
      </c>
      <c r="G127" s="26" t="b">
        <v>1</v>
      </c>
    </row>
    <row r="128" ht="14.25" customHeight="1">
      <c r="A128" s="26" t="s">
        <v>1657</v>
      </c>
      <c r="B128" s="26" t="str">
        <f>_xlfn.XLOOKUP(tblStates[[#This Row],[StateID]],tblTargets[TargetID],tblTargets[DisplayName],"")</f>
        <v>#ERROR!</v>
      </c>
      <c r="C128" s="26" t="str">
        <f>IFERROR(_xlfn.XLOOKUP(tblStates[[#This Row],[StateID]],tblQuestObjectives[ObjectiveID],tblQuestObjectives[QuestTargetID]),_xlfn.XLOOKUP(tblStates[[#This Row],[StateID]],tblDependencies[DependencyID],tblDependencies[TargetID]))</f>
        <v>#ERROR!</v>
      </c>
      <c r="D128" s="26" t="str">
        <f>IFERROR(_xlfn.XLOOKUP(tblStates[[#This Row],[StateID]],tblQuestObjectives[ObjectiveID],tblQuestObjectives[QuestTargetID]),"")</f>
        <v>#ERROR!</v>
      </c>
      <c r="E128" s="26" t="str">
        <f>IFERROR(_xlfn.XLOOKUP(tblStates[[#This Row],[StateID]],tblDependencies[DependencyID],tblDependencies[TargetID]),"")</f>
        <v>#ERROR!</v>
      </c>
      <c r="F128" s="26" t="str">
        <f>_xlfn.XLOOKUP(tblStates[[#This Row],[StateID]],tblTargets[TargetID],tblTargets[StateType],"")</f>
        <v>#ERROR!</v>
      </c>
      <c r="G128" s="26" t="b">
        <v>1</v>
      </c>
    </row>
    <row r="129" ht="14.25" customHeight="1">
      <c r="A129" s="26" t="s">
        <v>1660</v>
      </c>
      <c r="B129" s="26" t="str">
        <f>_xlfn.XLOOKUP(tblStates[[#This Row],[StateID]],tblTargets[TargetID],tblTargets[DisplayName],"")</f>
        <v>#ERROR!</v>
      </c>
      <c r="C129" s="26" t="str">
        <f>IFERROR(_xlfn.XLOOKUP(tblStates[[#This Row],[StateID]],tblQuestObjectives[ObjectiveID],tblQuestObjectives[QuestTargetID]),_xlfn.XLOOKUP(tblStates[[#This Row],[StateID]],tblDependencies[DependencyID],tblDependencies[TargetID]))</f>
        <v>#ERROR!</v>
      </c>
      <c r="D129" s="26" t="str">
        <f>IFERROR(_xlfn.XLOOKUP(tblStates[[#This Row],[StateID]],tblQuestObjectives[ObjectiveID],tblQuestObjectives[QuestTargetID]),"")</f>
        <v>#ERROR!</v>
      </c>
      <c r="E129" s="26" t="str">
        <f>IFERROR(_xlfn.XLOOKUP(tblStates[[#This Row],[StateID]],tblDependencies[DependencyID],tblDependencies[TargetID]),"")</f>
        <v>#ERROR!</v>
      </c>
      <c r="F129" s="26" t="str">
        <f>_xlfn.XLOOKUP(tblStates[[#This Row],[StateID]],tblTargets[TargetID],tblTargets[StateType],"")</f>
        <v>#ERROR!</v>
      </c>
      <c r="G129" s="26" t="b">
        <v>1</v>
      </c>
    </row>
    <row r="130" ht="14.25" customHeight="1">
      <c r="A130" s="26" t="s">
        <v>1662</v>
      </c>
      <c r="B130" s="26" t="str">
        <f>_xlfn.XLOOKUP(tblStates[[#This Row],[StateID]],tblTargets[TargetID],tblTargets[DisplayName],"")</f>
        <v>#ERROR!</v>
      </c>
      <c r="C130" s="26" t="str">
        <f>IFERROR(_xlfn.XLOOKUP(tblStates[[#This Row],[StateID]],tblQuestObjectives[ObjectiveID],tblQuestObjectives[QuestTargetID]),_xlfn.XLOOKUP(tblStates[[#This Row],[StateID]],tblDependencies[DependencyID],tblDependencies[TargetID]))</f>
        <v>#ERROR!</v>
      </c>
      <c r="D130" s="26" t="str">
        <f>IFERROR(_xlfn.XLOOKUP(tblStates[[#This Row],[StateID]],tblQuestObjectives[ObjectiveID],tblQuestObjectives[QuestTargetID]),"")</f>
        <v>#ERROR!</v>
      </c>
      <c r="E130" s="26" t="str">
        <f>IFERROR(_xlfn.XLOOKUP(tblStates[[#This Row],[StateID]],tblDependencies[DependencyID],tblDependencies[TargetID]),"")</f>
        <v>#ERROR!</v>
      </c>
      <c r="F130" s="26" t="str">
        <f>_xlfn.XLOOKUP(tblStates[[#This Row],[StateID]],tblTargets[TargetID],tblTargets[StateType],"")</f>
        <v>#ERROR!</v>
      </c>
      <c r="G130" s="26" t="b">
        <v>1</v>
      </c>
    </row>
    <row r="131" ht="14.25" customHeight="1">
      <c r="A131" s="26" t="s">
        <v>1665</v>
      </c>
      <c r="B131" s="26" t="str">
        <f>_xlfn.XLOOKUP(tblStates[[#This Row],[StateID]],tblTargets[TargetID],tblTargets[DisplayName],"")</f>
        <v>#ERROR!</v>
      </c>
      <c r="C131" s="26" t="str">
        <f>IFERROR(_xlfn.XLOOKUP(tblStates[[#This Row],[StateID]],tblQuestObjectives[ObjectiveID],tblQuestObjectives[QuestTargetID]),_xlfn.XLOOKUP(tblStates[[#This Row],[StateID]],tblDependencies[DependencyID],tblDependencies[TargetID]))</f>
        <v>#ERROR!</v>
      </c>
      <c r="D131" s="26" t="str">
        <f>IFERROR(_xlfn.XLOOKUP(tblStates[[#This Row],[StateID]],tblQuestObjectives[ObjectiveID],tblQuestObjectives[QuestTargetID]),"")</f>
        <v>#ERROR!</v>
      </c>
      <c r="E131" s="26" t="str">
        <f>IFERROR(_xlfn.XLOOKUP(tblStates[[#This Row],[StateID]],tblDependencies[DependencyID],tblDependencies[TargetID]),"")</f>
        <v>#ERROR!</v>
      </c>
      <c r="F131" s="26" t="str">
        <f>_xlfn.XLOOKUP(tblStates[[#This Row],[StateID]],tblTargets[TargetID],tblTargets[StateType],"")</f>
        <v>#ERROR!</v>
      </c>
      <c r="G131" s="26" t="b">
        <v>1</v>
      </c>
    </row>
    <row r="132" ht="14.25" customHeight="1">
      <c r="A132" s="26" t="s">
        <v>1667</v>
      </c>
      <c r="B132" s="26" t="str">
        <f>_xlfn.XLOOKUP(tblStates[[#This Row],[StateID]],tblTargets[TargetID],tblTargets[DisplayName],"")</f>
        <v>#ERROR!</v>
      </c>
      <c r="C132" s="26" t="str">
        <f>IFERROR(_xlfn.XLOOKUP(tblStates[[#This Row],[StateID]],tblQuestObjectives[ObjectiveID],tblQuestObjectives[QuestTargetID]),_xlfn.XLOOKUP(tblStates[[#This Row],[StateID]],tblDependencies[DependencyID],tblDependencies[TargetID]))</f>
        <v>#ERROR!</v>
      </c>
      <c r="D132" s="26" t="str">
        <f>IFERROR(_xlfn.XLOOKUP(tblStates[[#This Row],[StateID]],tblQuestObjectives[ObjectiveID],tblQuestObjectives[QuestTargetID]),"")</f>
        <v>#ERROR!</v>
      </c>
      <c r="E132" s="26" t="str">
        <f>IFERROR(_xlfn.XLOOKUP(tblStates[[#This Row],[StateID]],tblDependencies[DependencyID],tblDependencies[TargetID]),"")</f>
        <v>#ERROR!</v>
      </c>
      <c r="F132" s="26" t="str">
        <f>_xlfn.XLOOKUP(tblStates[[#This Row],[StateID]],tblTargets[TargetID],tblTargets[StateType],"")</f>
        <v>#ERROR!</v>
      </c>
      <c r="G132" s="26" t="b">
        <v>1</v>
      </c>
    </row>
    <row r="133" ht="14.25" customHeight="1">
      <c r="A133" s="26" t="s">
        <v>1669</v>
      </c>
      <c r="B133" s="26" t="str">
        <f>_xlfn.XLOOKUP(tblStates[[#This Row],[StateID]],tblTargets[TargetID],tblTargets[DisplayName],"")</f>
        <v>#ERROR!</v>
      </c>
      <c r="C133" s="26" t="str">
        <f>IFERROR(_xlfn.XLOOKUP(tblStates[[#This Row],[StateID]],tblQuestObjectives[ObjectiveID],tblQuestObjectives[QuestTargetID]),_xlfn.XLOOKUP(tblStates[[#This Row],[StateID]],tblDependencies[DependencyID],tblDependencies[TargetID]))</f>
        <v>#ERROR!</v>
      </c>
      <c r="D133" s="26" t="str">
        <f>IFERROR(_xlfn.XLOOKUP(tblStates[[#This Row],[StateID]],tblQuestObjectives[ObjectiveID],tblQuestObjectives[QuestTargetID]),"")</f>
        <v>#ERROR!</v>
      </c>
      <c r="E133" s="26" t="str">
        <f>IFERROR(_xlfn.XLOOKUP(tblStates[[#This Row],[StateID]],tblDependencies[DependencyID],tblDependencies[TargetID]),"")</f>
        <v>#ERROR!</v>
      </c>
      <c r="F133" s="26" t="str">
        <f>_xlfn.XLOOKUP(tblStates[[#This Row],[StateID]],tblTargets[TargetID],tblTargets[StateType],"")</f>
        <v>#ERROR!</v>
      </c>
      <c r="G133" s="26" t="b">
        <v>1</v>
      </c>
    </row>
    <row r="134" ht="14.25" customHeight="1">
      <c r="A134" s="26" t="s">
        <v>1671</v>
      </c>
      <c r="B134" s="26" t="str">
        <f>_xlfn.XLOOKUP(tblStates[[#This Row],[StateID]],tblTargets[TargetID],tblTargets[DisplayName],"")</f>
        <v>#ERROR!</v>
      </c>
      <c r="C134" s="26" t="str">
        <f>IFERROR(_xlfn.XLOOKUP(tblStates[[#This Row],[StateID]],tblQuestObjectives[ObjectiveID],tblQuestObjectives[QuestTargetID]),_xlfn.XLOOKUP(tblStates[[#This Row],[StateID]],tblDependencies[DependencyID],tblDependencies[TargetID]))</f>
        <v>#ERROR!</v>
      </c>
      <c r="D134" s="26" t="str">
        <f>IFERROR(_xlfn.XLOOKUP(tblStates[[#This Row],[StateID]],tblQuestObjectives[ObjectiveID],tblQuestObjectives[QuestTargetID]),"")</f>
        <v>#ERROR!</v>
      </c>
      <c r="E134" s="26" t="str">
        <f>IFERROR(_xlfn.XLOOKUP(tblStates[[#This Row],[StateID]],tblDependencies[DependencyID],tblDependencies[TargetID]),"")</f>
        <v>#ERROR!</v>
      </c>
      <c r="F134" s="26" t="str">
        <f>_xlfn.XLOOKUP(tblStates[[#This Row],[StateID]],tblTargets[TargetID],tblTargets[StateType],"")</f>
        <v>#ERROR!</v>
      </c>
      <c r="G134" s="26" t="b">
        <v>1</v>
      </c>
    </row>
    <row r="135" ht="14.25" customHeight="1">
      <c r="A135" s="26" t="s">
        <v>1674</v>
      </c>
      <c r="B135" s="26" t="str">
        <f>_xlfn.XLOOKUP(tblStates[[#This Row],[StateID]],tblTargets[TargetID],tblTargets[DisplayName],"")</f>
        <v>#ERROR!</v>
      </c>
      <c r="C135" s="26" t="str">
        <f>IFERROR(_xlfn.XLOOKUP(tblStates[[#This Row],[StateID]],tblQuestObjectives[ObjectiveID],tblQuestObjectives[QuestTargetID]),_xlfn.XLOOKUP(tblStates[[#This Row],[StateID]],tblDependencies[DependencyID],tblDependencies[TargetID]))</f>
        <v>#ERROR!</v>
      </c>
      <c r="D135" s="26" t="str">
        <f>IFERROR(_xlfn.XLOOKUP(tblStates[[#This Row],[StateID]],tblQuestObjectives[ObjectiveID],tblQuestObjectives[QuestTargetID]),"")</f>
        <v>#ERROR!</v>
      </c>
      <c r="E135" s="26" t="str">
        <f>IFERROR(_xlfn.XLOOKUP(tblStates[[#This Row],[StateID]],tblDependencies[DependencyID],tblDependencies[TargetID]),"")</f>
        <v>#ERROR!</v>
      </c>
      <c r="F135" s="26" t="str">
        <f>_xlfn.XLOOKUP(tblStates[[#This Row],[StateID]],tblTargets[TargetID],tblTargets[StateType],"")</f>
        <v>#ERROR!</v>
      </c>
      <c r="G135" s="26" t="b">
        <v>1</v>
      </c>
    </row>
    <row r="136" ht="14.25" customHeight="1">
      <c r="A136" s="26" t="s">
        <v>1534</v>
      </c>
      <c r="B136" s="26" t="str">
        <f>_xlfn.XLOOKUP(tblStates[[#This Row],[StateID]],tblTargets[TargetID],tblTargets[DisplayName],"")</f>
        <v>#ERROR!</v>
      </c>
      <c r="C136" s="26" t="str">
        <f>IFERROR(_xlfn.XLOOKUP(tblStates[[#This Row],[StateID]],tblQuestObjectives[ObjectiveID],tblQuestObjectives[QuestTargetID]),_xlfn.XLOOKUP(tblStates[[#This Row],[StateID]],tblDependencies[DependencyID],tblDependencies[TargetID]))</f>
        <v>#ERROR!</v>
      </c>
      <c r="D136" s="26" t="str">
        <f>IFERROR(_xlfn.XLOOKUP(tblStates[[#This Row],[StateID]],tblQuestObjectives[ObjectiveID],tblQuestObjectives[QuestTargetID]),"")</f>
        <v>#ERROR!</v>
      </c>
      <c r="E136" s="26" t="str">
        <f>IFERROR(_xlfn.XLOOKUP(tblStates[[#This Row],[StateID]],tblDependencies[DependencyID],tblDependencies[TargetID]),"")</f>
        <v>#ERROR!</v>
      </c>
      <c r="F136" s="26" t="str">
        <f>_xlfn.XLOOKUP(tblStates[[#This Row],[StateID]],tblTargets[TargetID],tblTargets[StateType],"")</f>
        <v>#ERROR!</v>
      </c>
      <c r="G136" s="26" t="b">
        <v>1</v>
      </c>
    </row>
    <row r="137" ht="14.25" customHeight="1">
      <c r="A137" s="26" t="s">
        <v>1677</v>
      </c>
      <c r="B137" s="26" t="str">
        <f>_xlfn.XLOOKUP(tblStates[[#This Row],[StateID]],tblTargets[TargetID],tblTargets[DisplayName],"")</f>
        <v>#ERROR!</v>
      </c>
      <c r="C137" s="26" t="str">
        <f>IFERROR(_xlfn.XLOOKUP(tblStates[[#This Row],[StateID]],tblQuestObjectives[ObjectiveID],tblQuestObjectives[QuestTargetID]),_xlfn.XLOOKUP(tblStates[[#This Row],[StateID]],tblDependencies[DependencyID],tblDependencies[TargetID]))</f>
        <v>#ERROR!</v>
      </c>
      <c r="D137" s="26" t="str">
        <f>IFERROR(_xlfn.XLOOKUP(tblStates[[#This Row],[StateID]],tblQuestObjectives[ObjectiveID],tblQuestObjectives[QuestTargetID]),"")</f>
        <v>#ERROR!</v>
      </c>
      <c r="E137" s="26" t="str">
        <f>IFERROR(_xlfn.XLOOKUP(tblStates[[#This Row],[StateID]],tblDependencies[DependencyID],tblDependencies[TargetID]),"")</f>
        <v>#ERROR!</v>
      </c>
      <c r="F137" s="26" t="str">
        <f>_xlfn.XLOOKUP(tblStates[[#This Row],[StateID]],tblTargets[TargetID],tblTargets[StateType],"")</f>
        <v>#ERROR!</v>
      </c>
      <c r="G137" s="26" t="b">
        <v>1</v>
      </c>
    </row>
    <row r="138" ht="14.25" customHeight="1">
      <c r="A138" s="26" t="s">
        <v>1679</v>
      </c>
      <c r="B138" s="26" t="str">
        <f>_xlfn.XLOOKUP(tblStates[[#This Row],[StateID]],tblTargets[TargetID],tblTargets[DisplayName],"")</f>
        <v>#ERROR!</v>
      </c>
      <c r="C138" s="26" t="str">
        <f>IFERROR(_xlfn.XLOOKUP(tblStates[[#This Row],[StateID]],tblQuestObjectives[ObjectiveID],tblQuestObjectives[QuestTargetID]),_xlfn.XLOOKUP(tblStates[[#This Row],[StateID]],tblDependencies[DependencyID],tblDependencies[TargetID]))</f>
        <v>#ERROR!</v>
      </c>
      <c r="D138" s="26" t="str">
        <f>IFERROR(_xlfn.XLOOKUP(tblStates[[#This Row],[StateID]],tblQuestObjectives[ObjectiveID],tblQuestObjectives[QuestTargetID]),"")</f>
        <v>#ERROR!</v>
      </c>
      <c r="E138" s="26" t="str">
        <f>IFERROR(_xlfn.XLOOKUP(tblStates[[#This Row],[StateID]],tblDependencies[DependencyID],tblDependencies[TargetID]),"")</f>
        <v>#ERROR!</v>
      </c>
      <c r="F138" s="26" t="str">
        <f>_xlfn.XLOOKUP(tblStates[[#This Row],[StateID]],tblTargets[TargetID],tblTargets[StateType],"")</f>
        <v>#ERROR!</v>
      </c>
      <c r="G138" s="26" t="b">
        <v>1</v>
      </c>
    </row>
    <row r="139" ht="14.25" customHeight="1">
      <c r="A139" s="26" t="s">
        <v>1682</v>
      </c>
      <c r="B139" s="26" t="str">
        <f>_xlfn.XLOOKUP(tblStates[[#This Row],[StateID]],tblTargets[TargetID],tblTargets[DisplayName],"")</f>
        <v>#ERROR!</v>
      </c>
      <c r="C139" s="26" t="str">
        <f>IFERROR(_xlfn.XLOOKUP(tblStates[[#This Row],[StateID]],tblQuestObjectives[ObjectiveID],tblQuestObjectives[QuestTargetID]),_xlfn.XLOOKUP(tblStates[[#This Row],[StateID]],tblDependencies[DependencyID],tblDependencies[TargetID]))</f>
        <v>#ERROR!</v>
      </c>
      <c r="D139" s="26" t="str">
        <f>IFERROR(_xlfn.XLOOKUP(tblStates[[#This Row],[StateID]],tblQuestObjectives[ObjectiveID],tblQuestObjectives[QuestTargetID]),"")</f>
        <v>#ERROR!</v>
      </c>
      <c r="E139" s="26" t="str">
        <f>IFERROR(_xlfn.XLOOKUP(tblStates[[#This Row],[StateID]],tblDependencies[DependencyID],tblDependencies[TargetID]),"")</f>
        <v>#ERROR!</v>
      </c>
      <c r="F139" s="26" t="str">
        <f>_xlfn.XLOOKUP(tblStates[[#This Row],[StateID]],tblTargets[TargetID],tblTargets[StateType],"")</f>
        <v>#ERROR!</v>
      </c>
      <c r="G139" s="26" t="b">
        <v>1</v>
      </c>
    </row>
    <row r="140" ht="14.25" customHeight="1">
      <c r="A140" s="26" t="s">
        <v>1684</v>
      </c>
      <c r="B140" s="26" t="str">
        <f>_xlfn.XLOOKUP(tblStates[[#This Row],[StateID]],tblTargets[TargetID],tblTargets[DisplayName],"")</f>
        <v>#ERROR!</v>
      </c>
      <c r="C140" s="26" t="str">
        <f>IFERROR(_xlfn.XLOOKUP(tblStates[[#This Row],[StateID]],tblQuestObjectives[ObjectiveID],tblQuestObjectives[QuestTargetID]),_xlfn.XLOOKUP(tblStates[[#This Row],[StateID]],tblDependencies[DependencyID],tblDependencies[TargetID]))</f>
        <v>#ERROR!</v>
      </c>
      <c r="D140" s="26" t="str">
        <f>IFERROR(_xlfn.XLOOKUP(tblStates[[#This Row],[StateID]],tblQuestObjectives[ObjectiveID],tblQuestObjectives[QuestTargetID]),"")</f>
        <v>#ERROR!</v>
      </c>
      <c r="E140" s="26" t="str">
        <f>IFERROR(_xlfn.XLOOKUP(tblStates[[#This Row],[StateID]],tblDependencies[DependencyID],tblDependencies[TargetID]),"")</f>
        <v>#ERROR!</v>
      </c>
      <c r="F140" s="26" t="str">
        <f>_xlfn.XLOOKUP(tblStates[[#This Row],[StateID]],tblTargets[TargetID],tblTargets[StateType],"")</f>
        <v>#ERROR!</v>
      </c>
      <c r="G140" s="26" t="b">
        <v>1</v>
      </c>
    </row>
    <row r="141" ht="14.25" customHeight="1">
      <c r="A141" s="26" t="s">
        <v>1686</v>
      </c>
      <c r="B141" s="26" t="str">
        <f>_xlfn.XLOOKUP(tblStates[[#This Row],[StateID]],tblTargets[TargetID],tblTargets[DisplayName],"")</f>
        <v>#ERROR!</v>
      </c>
      <c r="C141" s="26" t="str">
        <f>IFERROR(_xlfn.XLOOKUP(tblStates[[#This Row],[StateID]],tblQuestObjectives[ObjectiveID],tblQuestObjectives[QuestTargetID]),_xlfn.XLOOKUP(tblStates[[#This Row],[StateID]],tblDependencies[DependencyID],tblDependencies[TargetID]))</f>
        <v>#ERROR!</v>
      </c>
      <c r="D141" s="26" t="str">
        <f>IFERROR(_xlfn.XLOOKUP(tblStates[[#This Row],[StateID]],tblQuestObjectives[ObjectiveID],tblQuestObjectives[QuestTargetID]),"")</f>
        <v>#ERROR!</v>
      </c>
      <c r="E141" s="26" t="str">
        <f>IFERROR(_xlfn.XLOOKUP(tblStates[[#This Row],[StateID]],tblDependencies[DependencyID],tblDependencies[TargetID]),"")</f>
        <v>#ERROR!</v>
      </c>
      <c r="F141" s="26" t="str">
        <f>_xlfn.XLOOKUP(tblStates[[#This Row],[StateID]],tblTargets[TargetID],tblTargets[StateType],"")</f>
        <v>#ERROR!</v>
      </c>
      <c r="G141" s="26" t="b">
        <v>1</v>
      </c>
    </row>
    <row r="142" ht="14.25" customHeight="1">
      <c r="A142" s="26" t="s">
        <v>1690</v>
      </c>
      <c r="B142" s="26" t="str">
        <f>_xlfn.XLOOKUP(tblStates[[#This Row],[StateID]],tblTargets[TargetID],tblTargets[DisplayName],"")</f>
        <v>#ERROR!</v>
      </c>
      <c r="C142" s="26" t="str">
        <f>IFERROR(_xlfn.XLOOKUP(tblStates[[#This Row],[StateID]],tblQuestObjectives[ObjectiveID],tblQuestObjectives[QuestTargetID]),_xlfn.XLOOKUP(tblStates[[#This Row],[StateID]],tblDependencies[DependencyID],tblDependencies[TargetID]))</f>
        <v>#ERROR!</v>
      </c>
      <c r="D142" s="26" t="str">
        <f>IFERROR(_xlfn.XLOOKUP(tblStates[[#This Row],[StateID]],tblQuestObjectives[ObjectiveID],tblQuestObjectives[QuestTargetID]),"")</f>
        <v>#ERROR!</v>
      </c>
      <c r="E142" s="26" t="str">
        <f>IFERROR(_xlfn.XLOOKUP(tblStates[[#This Row],[StateID]],tblDependencies[DependencyID],tblDependencies[TargetID]),"")</f>
        <v>#ERROR!</v>
      </c>
      <c r="F142" s="26" t="str">
        <f>_xlfn.XLOOKUP(tblStates[[#This Row],[StateID]],tblTargets[TargetID],tblTargets[StateType],"")</f>
        <v>#ERROR!</v>
      </c>
      <c r="G142" s="26" t="b">
        <v>1</v>
      </c>
    </row>
    <row r="143" ht="14.25" customHeight="1">
      <c r="A143" s="26" t="s">
        <v>1692</v>
      </c>
      <c r="B143" s="26" t="str">
        <f>_xlfn.XLOOKUP(tblStates[[#This Row],[StateID]],tblTargets[TargetID],tblTargets[DisplayName],"")</f>
        <v>#ERROR!</v>
      </c>
      <c r="C143" s="26" t="str">
        <f>IFERROR(_xlfn.XLOOKUP(tblStates[[#This Row],[StateID]],tblQuestObjectives[ObjectiveID],tblQuestObjectives[QuestTargetID]),_xlfn.XLOOKUP(tblStates[[#This Row],[StateID]],tblDependencies[DependencyID],tblDependencies[TargetID]))</f>
        <v>#ERROR!</v>
      </c>
      <c r="D143" s="26" t="str">
        <f>IFERROR(_xlfn.XLOOKUP(tblStates[[#This Row],[StateID]],tblQuestObjectives[ObjectiveID],tblQuestObjectives[QuestTargetID]),"")</f>
        <v>#ERROR!</v>
      </c>
      <c r="E143" s="26" t="str">
        <f>IFERROR(_xlfn.XLOOKUP(tblStates[[#This Row],[StateID]],tblDependencies[DependencyID],tblDependencies[TargetID]),"")</f>
        <v>#ERROR!</v>
      </c>
      <c r="F143" s="26" t="str">
        <f>_xlfn.XLOOKUP(tblStates[[#This Row],[StateID]],tblTargets[TargetID],tblTargets[StateType],"")</f>
        <v>#ERROR!</v>
      </c>
      <c r="G143" s="26" t="b">
        <v>1</v>
      </c>
    </row>
    <row r="144" ht="14.25" customHeight="1">
      <c r="A144" s="26" t="s">
        <v>1694</v>
      </c>
      <c r="B144" s="26" t="str">
        <f>_xlfn.XLOOKUP(tblStates[[#This Row],[StateID]],tblTargets[TargetID],tblTargets[DisplayName],"")</f>
        <v>#ERROR!</v>
      </c>
      <c r="C144" s="26" t="str">
        <f>IFERROR(_xlfn.XLOOKUP(tblStates[[#This Row],[StateID]],tblQuestObjectives[ObjectiveID],tblQuestObjectives[QuestTargetID]),_xlfn.XLOOKUP(tblStates[[#This Row],[StateID]],tblDependencies[DependencyID],tblDependencies[TargetID]))</f>
        <v>#ERROR!</v>
      </c>
      <c r="D144" s="26" t="str">
        <f>IFERROR(_xlfn.XLOOKUP(tblStates[[#This Row],[StateID]],tblQuestObjectives[ObjectiveID],tblQuestObjectives[QuestTargetID]),"")</f>
        <v>#ERROR!</v>
      </c>
      <c r="E144" s="26" t="str">
        <f>IFERROR(_xlfn.XLOOKUP(tblStates[[#This Row],[StateID]],tblDependencies[DependencyID],tblDependencies[TargetID]),"")</f>
        <v>#ERROR!</v>
      </c>
      <c r="F144" s="26" t="str">
        <f>_xlfn.XLOOKUP(tblStates[[#This Row],[StateID]],tblTargets[TargetID],tblTargets[StateType],"")</f>
        <v>#ERROR!</v>
      </c>
      <c r="G144" s="26" t="b">
        <v>1</v>
      </c>
    </row>
    <row r="145" ht="14.25" customHeight="1">
      <c r="A145" s="26" t="s">
        <v>1697</v>
      </c>
      <c r="B145" s="26" t="str">
        <f>_xlfn.XLOOKUP(tblStates[[#This Row],[StateID]],tblTargets[TargetID],tblTargets[DisplayName],"")</f>
        <v>#ERROR!</v>
      </c>
      <c r="C145" s="26" t="str">
        <f>IFERROR(_xlfn.XLOOKUP(tblStates[[#This Row],[StateID]],tblQuestObjectives[ObjectiveID],tblQuestObjectives[QuestTargetID]),_xlfn.XLOOKUP(tblStates[[#This Row],[StateID]],tblDependencies[DependencyID],tblDependencies[TargetID]))</f>
        <v>#ERROR!</v>
      </c>
      <c r="D145" s="26" t="str">
        <f>IFERROR(_xlfn.XLOOKUP(tblStates[[#This Row],[StateID]],tblQuestObjectives[ObjectiveID],tblQuestObjectives[QuestTargetID]),"")</f>
        <v>#ERROR!</v>
      </c>
      <c r="E145" s="26" t="str">
        <f>IFERROR(_xlfn.XLOOKUP(tblStates[[#This Row],[StateID]],tblDependencies[DependencyID],tblDependencies[TargetID]),"")</f>
        <v>#ERROR!</v>
      </c>
      <c r="F145" s="26" t="str">
        <f>_xlfn.XLOOKUP(tblStates[[#This Row],[StateID]],tblTargets[TargetID],tblTargets[StateType],"")</f>
        <v>#ERROR!</v>
      </c>
      <c r="G145" s="26" t="b">
        <v>1</v>
      </c>
    </row>
    <row r="146" ht="14.25" customHeight="1">
      <c r="A146" s="26" t="s">
        <v>1699</v>
      </c>
      <c r="B146" s="26" t="str">
        <f>_xlfn.XLOOKUP(tblStates[[#This Row],[StateID]],tblTargets[TargetID],tblTargets[DisplayName],"")</f>
        <v>#ERROR!</v>
      </c>
      <c r="C146" s="26" t="str">
        <f>IFERROR(_xlfn.XLOOKUP(tblStates[[#This Row],[StateID]],tblQuestObjectives[ObjectiveID],tblQuestObjectives[QuestTargetID]),_xlfn.XLOOKUP(tblStates[[#This Row],[StateID]],tblDependencies[DependencyID],tblDependencies[TargetID]))</f>
        <v>#ERROR!</v>
      </c>
      <c r="D146" s="26" t="str">
        <f>IFERROR(_xlfn.XLOOKUP(tblStates[[#This Row],[StateID]],tblQuestObjectives[ObjectiveID],tblQuestObjectives[QuestTargetID]),"")</f>
        <v>#ERROR!</v>
      </c>
      <c r="E146" s="26" t="str">
        <f>IFERROR(_xlfn.XLOOKUP(tblStates[[#This Row],[StateID]],tblDependencies[DependencyID],tblDependencies[TargetID]),"")</f>
        <v>#ERROR!</v>
      </c>
      <c r="F146" s="26" t="str">
        <f>_xlfn.XLOOKUP(tblStates[[#This Row],[StateID]],tblTargets[TargetID],tblTargets[StateType],"")</f>
        <v>#ERROR!</v>
      </c>
      <c r="G146" s="26" t="b">
        <v>1</v>
      </c>
    </row>
    <row r="147" ht="14.25" customHeight="1">
      <c r="A147" s="26" t="s">
        <v>1701</v>
      </c>
      <c r="B147" s="26" t="str">
        <f>_xlfn.XLOOKUP(tblStates[[#This Row],[StateID]],tblTargets[TargetID],tblTargets[DisplayName],"")</f>
        <v>#ERROR!</v>
      </c>
      <c r="C147" s="26" t="str">
        <f>IFERROR(_xlfn.XLOOKUP(tblStates[[#This Row],[StateID]],tblQuestObjectives[ObjectiveID],tblQuestObjectives[QuestTargetID]),_xlfn.XLOOKUP(tblStates[[#This Row],[StateID]],tblDependencies[DependencyID],tblDependencies[TargetID]))</f>
        <v>#ERROR!</v>
      </c>
      <c r="D147" s="26" t="str">
        <f>IFERROR(_xlfn.XLOOKUP(tblStates[[#This Row],[StateID]],tblQuestObjectives[ObjectiveID],tblQuestObjectives[QuestTargetID]),"")</f>
        <v>#ERROR!</v>
      </c>
      <c r="E147" s="26" t="str">
        <f>IFERROR(_xlfn.XLOOKUP(tblStates[[#This Row],[StateID]],tblDependencies[DependencyID],tblDependencies[TargetID]),"")</f>
        <v>#ERROR!</v>
      </c>
      <c r="F147" s="26" t="str">
        <f>_xlfn.XLOOKUP(tblStates[[#This Row],[StateID]],tblTargets[TargetID],tblTargets[StateType],"")</f>
        <v>#ERROR!</v>
      </c>
      <c r="G147" s="26" t="b">
        <v>1</v>
      </c>
    </row>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092849A4-F2AD-4D29-9203-F94173527FFE}" filter="1" showAutoFilter="1">
      <autoFilter ref="$A$1:$G$147"/>
    </customSheetView>
  </customSheetViews>
  <printOptions/>
  <pageMargins bottom="0.75" footer="0.0" header="0.0" left="0.7" right="0.7" top="0.75"/>
  <pageSetup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88"/>
    <col customWidth="1" min="2" max="2" width="26.5"/>
    <col customWidth="1" min="3" max="3" width="26.75"/>
    <col customWidth="1" min="4" max="4" width="35.5"/>
    <col customWidth="1" min="5" max="5" width="11.5"/>
    <col customWidth="1" min="6" max="6" width="13.88"/>
    <col customWidth="1" min="7" max="7" width="40.75"/>
    <col customWidth="1" min="8" max="8" width="14.0"/>
    <col customWidth="1" min="9" max="9" width="26.88"/>
    <col customWidth="1" min="10" max="10" width="27.25"/>
    <col customWidth="1" min="11" max="11" width="26.5"/>
    <col customWidth="1" min="12" max="12" width="25.13"/>
    <col customWidth="1" min="13" max="13" width="30.38"/>
    <col customWidth="1" min="14" max="14" width="14.63"/>
    <col customWidth="1" min="15" max="15" width="18.0"/>
    <col customWidth="1" min="16" max="16" width="12.88"/>
    <col customWidth="1" min="17" max="17" width="8.5"/>
    <col customWidth="1" min="18" max="18" width="11.5"/>
    <col customWidth="1" min="19" max="19" width="12.38"/>
    <col customWidth="1" min="20" max="20" width="10.13"/>
    <col customWidth="1" min="21" max="21" width="10.63"/>
    <col customWidth="1" min="22" max="22" width="14.88"/>
    <col customWidth="1" min="23" max="25" width="13.25"/>
    <col customWidth="1" min="26" max="26" width="12.13"/>
    <col customWidth="1" min="27" max="27" width="12.63"/>
    <col customWidth="1" min="28" max="28" width="14.13"/>
    <col customWidth="1" min="29" max="29" width="12.88"/>
    <col customWidth="1" min="30" max="30" width="9.13"/>
    <col customWidth="1" min="31" max="31" width="10.88"/>
    <col customWidth="1" min="32" max="32" width="12.88"/>
    <col customWidth="1" min="33" max="33" width="8.5"/>
    <col customWidth="1" min="34" max="34" width="9.88"/>
    <col customWidth="1" min="35" max="35" width="12.13"/>
    <col customWidth="1" min="36" max="36" width="8.13"/>
    <col customWidth="1" min="37" max="37" width="12.88"/>
    <col customWidth="1" min="38" max="38" width="13.13"/>
    <col customWidth="1" min="39" max="39" width="10.88"/>
    <col customWidth="1" min="40" max="40" width="9.5"/>
    <col customWidth="1" min="41" max="41" width="10.13"/>
    <col customWidth="1" min="42" max="42" width="11.0"/>
    <col customWidth="1" min="43" max="43" width="9.88"/>
    <col customWidth="1" min="44" max="44" width="10.13"/>
    <col customWidth="1" min="45" max="45" width="16.13"/>
    <col customWidth="1" min="46" max="46" width="12.63"/>
    <col customWidth="1" min="47" max="47" width="14.88"/>
    <col customWidth="1" min="48" max="48" width="10.38"/>
    <col customWidth="1" min="49" max="49" width="9.25"/>
    <col customWidth="1" min="50" max="50" width="10.75"/>
    <col customWidth="1" min="51" max="51" width="9.5"/>
    <col customWidth="1" min="52" max="52" width="9.88"/>
    <col customWidth="1" min="53" max="53" width="13.88"/>
    <col customWidth="1" min="54" max="54" width="15.38"/>
    <col customWidth="1" min="55" max="55" width="12.5"/>
    <col customWidth="1" min="56" max="56" width="14.0"/>
    <col customWidth="1" min="57" max="57" width="9.13"/>
    <col customWidth="1" min="58" max="58" width="10.5"/>
    <col customWidth="1" min="59" max="59" width="14.38"/>
    <col customWidth="1" min="60" max="60" width="12.5"/>
    <col customWidth="1" min="61" max="61" width="11.5"/>
    <col customWidth="1" min="62" max="62" width="8.13"/>
    <col customWidth="1" min="63" max="63" width="7.63"/>
    <col customWidth="1" min="64" max="64" width="10.88"/>
    <col customWidth="1" min="65" max="65" width="9.5"/>
    <col customWidth="1" min="66" max="67" width="10.38"/>
    <col customWidth="1" min="68" max="68" width="10.13"/>
    <col customWidth="1" min="69" max="69" width="8.75"/>
    <col customWidth="1" min="70" max="70" width="9.63"/>
    <col customWidth="1" min="71" max="71" width="10.75"/>
    <col customWidth="1" min="72" max="72" width="12.0"/>
    <col customWidth="1" min="73" max="73" width="14.0"/>
    <col customWidth="1" min="74" max="74" width="15.88"/>
    <col customWidth="1" min="75" max="75" width="8.75"/>
    <col customWidth="1" min="76" max="76" width="9.63"/>
    <col customWidth="1" min="77" max="77" width="9.25"/>
    <col customWidth="1" min="78" max="80" width="11.75"/>
    <col customWidth="1" min="81" max="82" width="8.5"/>
    <col customWidth="1" min="83" max="83" width="11.0"/>
    <col customWidth="1" min="84" max="84" width="15.13"/>
    <col customWidth="1" min="85" max="85" width="9.88"/>
    <col customWidth="1" min="86" max="86" width="10.38"/>
    <col customWidth="1" min="87" max="87" width="14.5"/>
    <col customWidth="1" min="88" max="88" width="10.13"/>
    <col customWidth="1" min="89" max="90" width="11.5"/>
    <col customWidth="1" min="91" max="91" width="11.0"/>
    <col customWidth="1" min="92" max="92" width="12.63"/>
    <col customWidth="1" min="93" max="93" width="9.0"/>
    <col customWidth="1" min="94" max="94" width="10.5"/>
    <col customWidth="1" min="95" max="95" width="9.25"/>
    <col customWidth="1" min="96" max="96" width="10.88"/>
    <col customWidth="1" min="97" max="97" width="16.13"/>
    <col customWidth="1" min="98" max="98" width="10.63"/>
    <col customWidth="1" min="99" max="99" width="10.13"/>
  </cols>
  <sheetData>
    <row r="1" ht="14.25" customHeight="1">
      <c r="A1" s="90" t="s">
        <v>5056</v>
      </c>
      <c r="B1" s="90" t="s">
        <v>3951</v>
      </c>
      <c r="C1" s="90" t="s">
        <v>5057</v>
      </c>
      <c r="D1" s="90" t="s">
        <v>39</v>
      </c>
      <c r="E1" s="90" t="s">
        <v>620</v>
      </c>
      <c r="F1" s="90" t="s">
        <v>5058</v>
      </c>
      <c r="G1" s="118" t="s">
        <v>5059</v>
      </c>
      <c r="H1" s="118" t="s">
        <v>5060</v>
      </c>
      <c r="I1" s="118" t="s">
        <v>4356</v>
      </c>
      <c r="J1" s="118" t="s">
        <v>3959</v>
      </c>
      <c r="K1" s="118" t="s">
        <v>4357</v>
      </c>
      <c r="L1" s="118" t="s">
        <v>5061</v>
      </c>
      <c r="M1" s="118" t="s">
        <v>3524</v>
      </c>
      <c r="N1" s="107" t="s">
        <v>3961</v>
      </c>
      <c r="O1" s="108" t="s">
        <v>3962</v>
      </c>
      <c r="P1" s="118" t="s">
        <v>3099</v>
      </c>
      <c r="Q1" s="118" t="s">
        <v>1230</v>
      </c>
      <c r="R1" s="118" t="s">
        <v>2354</v>
      </c>
      <c r="S1" s="118" t="s">
        <v>520</v>
      </c>
      <c r="T1" s="118" t="s">
        <v>278</v>
      </c>
      <c r="U1" s="118" t="s">
        <v>367</v>
      </c>
      <c r="V1" s="118" t="s">
        <v>1497</v>
      </c>
      <c r="W1" s="118" t="s">
        <v>1055</v>
      </c>
      <c r="X1" s="118" t="s">
        <v>2318</v>
      </c>
      <c r="Y1" s="118" t="s">
        <v>5062</v>
      </c>
      <c r="Z1" s="118" t="s">
        <v>2297</v>
      </c>
      <c r="AA1" s="118" t="s">
        <v>283</v>
      </c>
      <c r="AB1" s="118" t="s">
        <v>113</v>
      </c>
      <c r="AC1" s="118" t="s">
        <v>2514</v>
      </c>
      <c r="AD1" s="118" t="s">
        <v>119</v>
      </c>
      <c r="AE1" s="118" t="s">
        <v>1060</v>
      </c>
      <c r="AF1" s="118" t="s">
        <v>2458</v>
      </c>
      <c r="AG1" s="118" t="s">
        <v>452</v>
      </c>
      <c r="AH1" s="118" t="s">
        <v>2964</v>
      </c>
      <c r="AI1" s="118" t="s">
        <v>527</v>
      </c>
      <c r="AJ1" s="118" t="s">
        <v>171</v>
      </c>
      <c r="AK1" s="118" t="s">
        <v>3017</v>
      </c>
      <c r="AL1" s="118" t="s">
        <v>3143</v>
      </c>
      <c r="AM1" s="118" t="s">
        <v>1072</v>
      </c>
      <c r="AN1" s="118" t="s">
        <v>2709</v>
      </c>
      <c r="AO1" s="118" t="s">
        <v>179</v>
      </c>
      <c r="AP1" s="118" t="s">
        <v>2339</v>
      </c>
      <c r="AQ1" s="118" t="s">
        <v>360</v>
      </c>
      <c r="AR1" s="118" t="s">
        <v>4078</v>
      </c>
      <c r="AS1" s="118" t="s">
        <v>1583</v>
      </c>
      <c r="AT1" s="118" t="s">
        <v>530</v>
      </c>
      <c r="AU1" s="118" t="s">
        <v>318</v>
      </c>
      <c r="AV1" s="118" t="s">
        <v>508</v>
      </c>
      <c r="AW1" s="118" t="s">
        <v>2302</v>
      </c>
      <c r="AX1" s="118" t="s">
        <v>2486</v>
      </c>
      <c r="AY1" s="118" t="s">
        <v>2545</v>
      </c>
      <c r="AZ1" s="118" t="s">
        <v>412</v>
      </c>
      <c r="BA1" s="118" t="s">
        <v>2304</v>
      </c>
      <c r="BB1" s="118" t="s">
        <v>1078</v>
      </c>
      <c r="BC1" s="118" t="s">
        <v>1456</v>
      </c>
      <c r="BD1" s="118" t="s">
        <v>1083</v>
      </c>
      <c r="BE1" s="118" t="s">
        <v>533</v>
      </c>
      <c r="BF1" s="118" t="s">
        <v>126</v>
      </c>
      <c r="BG1" s="118" t="s">
        <v>3244</v>
      </c>
      <c r="BH1" s="118" t="s">
        <v>602</v>
      </c>
      <c r="BI1" s="118" t="s">
        <v>2135</v>
      </c>
      <c r="BJ1" s="118" t="s">
        <v>3049</v>
      </c>
      <c r="BK1" s="118" t="s">
        <v>588</v>
      </c>
      <c r="BL1" s="118" t="s">
        <v>3146</v>
      </c>
      <c r="BM1" s="118" t="s">
        <v>132</v>
      </c>
      <c r="BN1" s="118" t="s">
        <v>423</v>
      </c>
      <c r="BO1" s="118" t="s">
        <v>1537</v>
      </c>
      <c r="BP1" s="118" t="s">
        <v>187</v>
      </c>
      <c r="BQ1" s="118" t="s">
        <v>2940</v>
      </c>
      <c r="BR1" s="118" t="s">
        <v>2954</v>
      </c>
      <c r="BS1" s="118" t="s">
        <v>1282</v>
      </c>
      <c r="BT1" s="118" t="s">
        <v>140</v>
      </c>
      <c r="BU1" s="118" t="s">
        <v>1606</v>
      </c>
      <c r="BV1" s="118" t="s">
        <v>3043</v>
      </c>
      <c r="BW1" s="118" t="s">
        <v>701</v>
      </c>
      <c r="BX1" s="118" t="s">
        <v>2997</v>
      </c>
      <c r="BY1" s="118" t="s">
        <v>6</v>
      </c>
      <c r="BZ1" s="118" t="s">
        <v>2714</v>
      </c>
      <c r="CA1" s="118" t="s">
        <v>2360</v>
      </c>
      <c r="CB1" s="118" t="s">
        <v>2362</v>
      </c>
      <c r="CC1" s="118" t="s">
        <v>152</v>
      </c>
      <c r="CD1" s="118" t="s">
        <v>711</v>
      </c>
      <c r="CE1" s="118" t="s">
        <v>443</v>
      </c>
      <c r="CF1" s="118" t="s">
        <v>3138</v>
      </c>
      <c r="CG1" s="118" t="s">
        <v>392</v>
      </c>
      <c r="CH1" s="118" t="s">
        <v>237</v>
      </c>
      <c r="CI1" s="118" t="s">
        <v>2490</v>
      </c>
      <c r="CJ1" s="118" t="s">
        <v>405</v>
      </c>
      <c r="CK1" s="118" t="s">
        <v>2368</v>
      </c>
      <c r="CL1" s="118" t="s">
        <v>2370</v>
      </c>
      <c r="CM1" s="118" t="s">
        <v>158</v>
      </c>
      <c r="CN1" s="118" t="s">
        <v>1489</v>
      </c>
      <c r="CO1" s="118" t="s">
        <v>3225</v>
      </c>
      <c r="CP1" s="118" t="s">
        <v>2786</v>
      </c>
      <c r="CQ1" s="118" t="s">
        <v>2719</v>
      </c>
      <c r="CR1" s="118" t="s">
        <v>3153</v>
      </c>
      <c r="CS1" s="118" t="s">
        <v>2308</v>
      </c>
      <c r="CT1" s="118" t="s">
        <v>461</v>
      </c>
      <c r="CU1" s="119" t="s">
        <v>244</v>
      </c>
    </row>
    <row r="2" ht="14.25" customHeight="1">
      <c r="A2" s="21" t="s">
        <v>1703</v>
      </c>
      <c r="B2" s="21" t="s">
        <v>5063</v>
      </c>
      <c r="C2" s="21" t="s">
        <v>5064</v>
      </c>
      <c r="D2" s="21" t="str">
        <f>_xlfn.XLOOKUP(tblTechnologies[[#This Row],[TechnologyID]],tblTargets[TargetID],tblTargets[DisplayName],"")</f>
        <v>#ERROR!</v>
      </c>
      <c r="E2" s="21" t="b">
        <v>1</v>
      </c>
      <c r="F2" s="21" t="s">
        <v>3966</v>
      </c>
      <c r="G2" s="120" t="s">
        <v>5065</v>
      </c>
      <c r="H2" s="121" t="s">
        <v>5066</v>
      </c>
      <c r="I2" s="121" t="s">
        <v>5067</v>
      </c>
      <c r="J2" s="121" t="s">
        <v>5068</v>
      </c>
      <c r="K2" s="121" t="s">
        <v>5069</v>
      </c>
      <c r="L2" s="121" t="s">
        <v>5070</v>
      </c>
      <c r="M2" s="121" t="s">
        <v>3680</v>
      </c>
      <c r="N2" s="122" t="str">
        <f>IF(tblTechnologies[[#This Row],[costtext]]="", 0, LEN(tblTechnologies[[#This Row],[costtext]]) - LEN(SUBSTITUTE(tblTechnologies[[#This Row],[costtext]], ",", "")) + 1)</f>
        <v>#ERROR!</v>
      </c>
      <c r="O2" s="122" t="str">
        <f>COUNTA(tblTechnologies[[#This Row],[amazake]:[wood]])</f>
        <v>#ERROR!</v>
      </c>
      <c r="P2" s="121"/>
      <c r="Q2" s="121">
        <v>10.0</v>
      </c>
      <c r="R2" s="121"/>
      <c r="S2" s="121"/>
      <c r="T2" s="121"/>
      <c r="U2" s="121"/>
      <c r="V2" s="121"/>
      <c r="W2" s="121">
        <v>30.0</v>
      </c>
      <c r="X2" s="121"/>
      <c r="Y2" s="121"/>
      <c r="Z2" s="121"/>
      <c r="AA2" s="121"/>
      <c r="AB2" s="121"/>
      <c r="AC2" s="121"/>
      <c r="AD2" s="121">
        <v>1000.0</v>
      </c>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v>20.0</v>
      </c>
      <c r="BU2" s="121"/>
      <c r="BV2" s="121"/>
      <c r="BW2" s="121"/>
      <c r="BX2" s="121"/>
      <c r="BY2" s="121">
        <v>5.0</v>
      </c>
      <c r="BZ2" s="121"/>
      <c r="CA2" s="121"/>
      <c r="CB2" s="121"/>
      <c r="CC2" s="121"/>
      <c r="CD2" s="121"/>
      <c r="CE2" s="121"/>
      <c r="CF2" s="121"/>
      <c r="CG2" s="121"/>
      <c r="CH2" s="121"/>
      <c r="CI2" s="121"/>
      <c r="CJ2" s="121"/>
      <c r="CK2" s="121"/>
      <c r="CL2" s="121"/>
      <c r="CM2" s="121"/>
      <c r="CN2" s="121"/>
      <c r="CO2" s="121"/>
      <c r="CP2" s="121">
        <v>30.0</v>
      </c>
      <c r="CQ2" s="121"/>
      <c r="CR2" s="121"/>
      <c r="CS2" s="121"/>
      <c r="CT2" s="121"/>
      <c r="CU2" s="121"/>
    </row>
    <row r="3" ht="14.25" customHeight="1">
      <c r="A3" s="21" t="s">
        <v>1721</v>
      </c>
      <c r="B3" s="21" t="s">
        <v>5071</v>
      </c>
      <c r="C3" s="21" t="s">
        <v>5072</v>
      </c>
      <c r="D3" s="21" t="str">
        <f>_xlfn.XLOOKUP(tblTechnologies[[#This Row],[TechnologyID]],tblTargets[TargetID],tblTargets[DisplayName],"")</f>
        <v>#ERROR!</v>
      </c>
      <c r="E3" s="21" t="b">
        <v>1</v>
      </c>
      <c r="F3" s="21" t="s">
        <v>3976</v>
      </c>
      <c r="G3" s="123" t="s">
        <v>5073</v>
      </c>
      <c r="H3" s="124" t="s">
        <v>3977</v>
      </c>
      <c r="I3" s="124" t="s">
        <v>5074</v>
      </c>
      <c r="J3" s="124" t="s">
        <v>5075</v>
      </c>
      <c r="K3" s="124" t="s">
        <v>5076</v>
      </c>
      <c r="L3" s="124"/>
      <c r="M3" s="125" t="s">
        <v>3682</v>
      </c>
      <c r="N3" s="126" t="str">
        <f>IF(tblTechnologies[[#This Row],[costtext]]="", 0, LEN(tblTechnologies[[#This Row],[costtext]]) - LEN(SUBSTITUTE(tblTechnologies[[#This Row],[costtext]], ",", "")) + 1)</f>
        <v>#ERROR!</v>
      </c>
      <c r="O3" s="126" t="str">
        <f>COUNTA(tblTechnologies[[#This Row],[amazake]:[wood]])</f>
        <v>#ERROR!</v>
      </c>
      <c r="P3" s="124"/>
      <c r="Q3" s="124"/>
      <c r="R3" s="124"/>
      <c r="S3" s="124"/>
      <c r="T3" s="124"/>
      <c r="U3" s="124"/>
      <c r="V3" s="124"/>
      <c r="W3" s="124"/>
      <c r="X3" s="124"/>
      <c r="Y3" s="124"/>
      <c r="Z3" s="124"/>
      <c r="AA3" s="124"/>
      <c r="AB3" s="124">
        <v>40.0</v>
      </c>
      <c r="AC3" s="124"/>
      <c r="AD3" s="124">
        <v>300.0</v>
      </c>
      <c r="AE3" s="124"/>
      <c r="AF3" s="124"/>
      <c r="AG3" s="124"/>
      <c r="AH3" s="124"/>
      <c r="AI3" s="124"/>
      <c r="AJ3" s="124"/>
      <c r="AK3" s="124"/>
      <c r="AL3" s="124"/>
      <c r="AM3" s="124"/>
      <c r="AN3" s="124"/>
      <c r="AO3" s="124"/>
      <c r="AP3" s="124"/>
      <c r="AQ3" s="124">
        <v>10.0</v>
      </c>
      <c r="AR3" s="124"/>
      <c r="AS3" s="124"/>
      <c r="AT3" s="124"/>
      <c r="AU3" s="124"/>
      <c r="AV3" s="124"/>
      <c r="AW3" s="124"/>
      <c r="AX3" s="124"/>
      <c r="AY3" s="124"/>
      <c r="AZ3" s="124"/>
      <c r="BA3" s="124"/>
      <c r="BB3" s="124"/>
      <c r="BC3" s="124"/>
      <c r="BD3" s="124"/>
      <c r="BE3" s="124"/>
      <c r="BF3" s="124"/>
      <c r="BG3" s="124"/>
      <c r="BH3" s="124"/>
      <c r="BI3" s="124"/>
      <c r="BJ3" s="124"/>
      <c r="BK3" s="124">
        <v>10.0</v>
      </c>
      <c r="BL3" s="124"/>
      <c r="BM3" s="124">
        <v>20.0</v>
      </c>
      <c r="BN3" s="124"/>
      <c r="BO3" s="124"/>
      <c r="BP3" s="124"/>
      <c r="BQ3" s="124"/>
      <c r="BR3" s="124"/>
      <c r="BS3" s="124"/>
      <c r="BT3" s="124"/>
      <c r="BU3" s="124"/>
      <c r="BV3" s="124"/>
      <c r="BW3" s="124"/>
      <c r="BX3" s="124"/>
      <c r="BY3" s="124">
        <v>1.0</v>
      </c>
      <c r="BZ3" s="124"/>
      <c r="CA3" s="124"/>
      <c r="CB3" s="124"/>
      <c r="CC3" s="124"/>
      <c r="CD3" s="124"/>
      <c r="CE3" s="124"/>
      <c r="CF3" s="124"/>
      <c r="CG3" s="124"/>
      <c r="CH3" s="124"/>
      <c r="CI3" s="124"/>
      <c r="CJ3" s="124"/>
      <c r="CK3" s="124"/>
      <c r="CL3" s="124"/>
      <c r="CM3" s="124"/>
      <c r="CN3" s="124"/>
      <c r="CO3" s="124"/>
      <c r="CP3" s="124"/>
      <c r="CQ3" s="124"/>
      <c r="CR3" s="124"/>
      <c r="CS3" s="124"/>
      <c r="CT3" s="124"/>
      <c r="CU3" s="124"/>
    </row>
    <row r="4" ht="14.25" customHeight="1">
      <c r="A4" s="21" t="s">
        <v>1747</v>
      </c>
      <c r="B4" s="21" t="s">
        <v>3612</v>
      </c>
      <c r="C4" s="21" t="s">
        <v>5077</v>
      </c>
      <c r="D4" s="21" t="str">
        <f>_xlfn.XLOOKUP(tblTechnologies[[#This Row],[TechnologyID]],tblTargets[TargetID],tblTargets[DisplayName],"")</f>
        <v>#ERROR!</v>
      </c>
      <c r="E4" s="21" t="b">
        <v>1</v>
      </c>
      <c r="F4" s="21" t="s">
        <v>3976</v>
      </c>
      <c r="G4" s="123" t="s">
        <v>5078</v>
      </c>
      <c r="H4" s="124" t="s">
        <v>3977</v>
      </c>
      <c r="I4" s="124" t="s">
        <v>5074</v>
      </c>
      <c r="J4" s="124" t="s">
        <v>5075</v>
      </c>
      <c r="K4" s="124" t="s">
        <v>5079</v>
      </c>
      <c r="L4" s="124"/>
      <c r="M4" s="125" t="s">
        <v>3683</v>
      </c>
      <c r="N4" s="126" t="str">
        <f>IF(tblTechnologies[[#This Row],[costtext]]="", 0, LEN(tblTechnologies[[#This Row],[costtext]]) - LEN(SUBSTITUTE(tblTechnologies[[#This Row],[costtext]], ",", "")) + 1)</f>
        <v>#ERROR!</v>
      </c>
      <c r="O4" s="126" t="str">
        <f>COUNTA(tblTechnologies[[#This Row],[amazake]:[wood]])</f>
        <v>#ERROR!</v>
      </c>
      <c r="P4" s="124"/>
      <c r="Q4" s="124"/>
      <c r="R4" s="124"/>
      <c r="S4" s="124"/>
      <c r="T4" s="124"/>
      <c r="U4" s="124"/>
      <c r="V4" s="124"/>
      <c r="W4" s="124">
        <v>15.0</v>
      </c>
      <c r="X4" s="124"/>
      <c r="Y4" s="124"/>
      <c r="Z4" s="124"/>
      <c r="AA4" s="124">
        <v>100.0</v>
      </c>
      <c r="AB4" s="124">
        <v>50.0</v>
      </c>
      <c r="AC4" s="124"/>
      <c r="AD4" s="124">
        <v>300.0</v>
      </c>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v>10.0</v>
      </c>
      <c r="BU4" s="124"/>
      <c r="BV4" s="124"/>
      <c r="BW4" s="124"/>
      <c r="BX4" s="124"/>
      <c r="BY4" s="124">
        <v>1.0</v>
      </c>
      <c r="BZ4" s="124"/>
      <c r="CA4" s="124"/>
      <c r="CB4" s="124"/>
      <c r="CC4" s="124"/>
      <c r="CD4" s="124"/>
      <c r="CE4" s="124"/>
      <c r="CF4" s="124"/>
      <c r="CG4" s="124"/>
      <c r="CH4" s="124"/>
      <c r="CI4" s="124"/>
      <c r="CJ4" s="124"/>
      <c r="CK4" s="124"/>
      <c r="CL4" s="124"/>
      <c r="CM4" s="124"/>
      <c r="CN4" s="124"/>
      <c r="CO4" s="124"/>
      <c r="CP4" s="124"/>
      <c r="CQ4" s="124"/>
      <c r="CR4" s="124"/>
      <c r="CS4" s="124"/>
      <c r="CT4" s="124"/>
      <c r="CU4" s="124"/>
    </row>
    <row r="5" ht="14.25" customHeight="1">
      <c r="A5" s="21" t="s">
        <v>1709</v>
      </c>
      <c r="B5" s="21" t="s">
        <v>5080</v>
      </c>
      <c r="C5" s="21" t="s">
        <v>5081</v>
      </c>
      <c r="D5" s="21" t="str">
        <f>_xlfn.XLOOKUP(tblTechnologies[[#This Row],[TechnologyID]],tblTargets[TargetID],tblTargets[DisplayName],"")</f>
        <v>#ERROR!</v>
      </c>
      <c r="E5" s="21" t="b">
        <v>1</v>
      </c>
      <c r="F5" s="21" t="s">
        <v>3976</v>
      </c>
      <c r="G5" s="123" t="s">
        <v>5084</v>
      </c>
      <c r="H5" s="124" t="s">
        <v>3977</v>
      </c>
      <c r="I5" s="124" t="s">
        <v>5087</v>
      </c>
      <c r="J5" s="124" t="s">
        <v>5088</v>
      </c>
      <c r="K5" s="124" t="s">
        <v>5089</v>
      </c>
      <c r="L5" s="124" t="s">
        <v>5092</v>
      </c>
      <c r="M5" s="125" t="s">
        <v>3685</v>
      </c>
      <c r="N5" s="126" t="str">
        <f>IF(tblTechnologies[[#This Row],[costtext]]="", 0, LEN(tblTechnologies[[#This Row],[costtext]]) - LEN(SUBSTITUTE(tblTechnologies[[#This Row],[costtext]], ",", "")) + 1)</f>
        <v>#ERROR!</v>
      </c>
      <c r="O5" s="126" t="str">
        <f>COUNTA(tblTechnologies[[#This Row],[amazake]:[wood]])</f>
        <v>#ERROR!</v>
      </c>
      <c r="P5" s="124"/>
      <c r="Q5" s="124"/>
      <c r="R5" s="124"/>
      <c r="S5" s="124"/>
      <c r="T5" s="124"/>
      <c r="U5" s="124"/>
      <c r="V5" s="124"/>
      <c r="W5" s="124"/>
      <c r="X5" s="124"/>
      <c r="Y5" s="124"/>
      <c r="Z5" s="124"/>
      <c r="AA5" s="124"/>
      <c r="AB5" s="124"/>
      <c r="AC5" s="124">
        <v>9.0</v>
      </c>
      <c r="AD5" s="124">
        <v>300.0</v>
      </c>
      <c r="AE5" s="124"/>
      <c r="AF5" s="124"/>
      <c r="AG5" s="124"/>
      <c r="AH5" s="124"/>
      <c r="AI5" s="124"/>
      <c r="AJ5" s="124"/>
      <c r="AK5" s="124"/>
      <c r="AL5" s="124"/>
      <c r="AM5" s="124"/>
      <c r="AN5" s="124"/>
      <c r="AO5" s="124"/>
      <c r="AP5" s="124"/>
      <c r="AQ5" s="124">
        <v>10.0</v>
      </c>
      <c r="AR5" s="124"/>
      <c r="AS5" s="124"/>
      <c r="AT5" s="124">
        <v>10.0</v>
      </c>
      <c r="AU5" s="124"/>
      <c r="AV5" s="124">
        <v>30.0</v>
      </c>
      <c r="AW5" s="124"/>
      <c r="AX5" s="124"/>
      <c r="AY5" s="124"/>
      <c r="AZ5" s="124"/>
      <c r="BA5" s="124"/>
      <c r="BB5" s="124"/>
      <c r="BC5" s="124"/>
      <c r="BD5" s="124"/>
      <c r="BE5" s="124"/>
      <c r="BF5" s="124"/>
      <c r="BG5" s="124"/>
      <c r="BH5" s="124"/>
      <c r="BI5" s="124"/>
      <c r="BJ5" s="124"/>
      <c r="BK5" s="124">
        <v>5.0</v>
      </c>
      <c r="BL5" s="124"/>
      <c r="BM5" s="124"/>
      <c r="BN5" s="124"/>
      <c r="BO5" s="124"/>
      <c r="BP5" s="124"/>
      <c r="BQ5" s="124"/>
      <c r="BR5" s="124"/>
      <c r="BS5" s="124"/>
      <c r="BT5" s="124"/>
      <c r="BU5" s="124"/>
      <c r="BV5" s="124"/>
      <c r="BW5" s="124"/>
      <c r="BX5" s="124"/>
      <c r="BY5" s="124">
        <v>1.0</v>
      </c>
      <c r="BZ5" s="124"/>
      <c r="CA5" s="124"/>
      <c r="CB5" s="124"/>
      <c r="CC5" s="124"/>
      <c r="CD5" s="124"/>
      <c r="CE5" s="124"/>
      <c r="CF5" s="124"/>
      <c r="CG5" s="124"/>
      <c r="CH5" s="124"/>
      <c r="CI5" s="124"/>
      <c r="CJ5" s="124"/>
      <c r="CK5" s="124"/>
      <c r="CL5" s="124"/>
      <c r="CM5" s="124"/>
      <c r="CN5" s="124"/>
      <c r="CO5" s="124"/>
      <c r="CP5" s="124"/>
      <c r="CQ5" s="124"/>
      <c r="CR5" s="124"/>
      <c r="CS5" s="124"/>
      <c r="CT5" s="124"/>
      <c r="CU5" s="124"/>
    </row>
    <row r="6" ht="14.25" customHeight="1">
      <c r="A6" s="21" t="s">
        <v>1744</v>
      </c>
      <c r="B6" s="21" t="s">
        <v>5101</v>
      </c>
      <c r="C6" s="21" t="s">
        <v>5102</v>
      </c>
      <c r="D6" s="21" t="str">
        <f>_xlfn.XLOOKUP(tblTechnologies[[#This Row],[TechnologyID]],tblTargets[TargetID],tblTargets[DisplayName],"")</f>
        <v>#ERROR!</v>
      </c>
      <c r="E6" s="21" t="b">
        <v>1</v>
      </c>
      <c r="F6" s="21" t="s">
        <v>3976</v>
      </c>
      <c r="G6" s="123" t="s">
        <v>5103</v>
      </c>
      <c r="H6" s="124" t="s">
        <v>3977</v>
      </c>
      <c r="I6" s="124" t="s">
        <v>5087</v>
      </c>
      <c r="J6" s="124" t="s">
        <v>5088</v>
      </c>
      <c r="K6" s="124" t="s">
        <v>5104</v>
      </c>
      <c r="L6" s="124" t="s">
        <v>5105</v>
      </c>
      <c r="M6" s="125" t="s">
        <v>3686</v>
      </c>
      <c r="N6" s="126" t="str">
        <f>IF(tblTechnologies[[#This Row],[costtext]]="", 0, LEN(tblTechnologies[[#This Row],[costtext]]) - LEN(SUBSTITUTE(tblTechnologies[[#This Row],[costtext]], ",", "")) + 1)</f>
        <v>#ERROR!</v>
      </c>
      <c r="O6" s="126" t="str">
        <f>COUNTA(tblTechnologies[[#This Row],[amazake]:[wood]])</f>
        <v>#ERROR!</v>
      </c>
      <c r="P6" s="124"/>
      <c r="Q6" s="124"/>
      <c r="R6" s="124"/>
      <c r="S6" s="124"/>
      <c r="T6" s="124"/>
      <c r="U6" s="124"/>
      <c r="V6" s="124"/>
      <c r="W6" s="124"/>
      <c r="X6" s="124"/>
      <c r="Y6" s="124"/>
      <c r="Z6" s="124"/>
      <c r="AA6" s="124"/>
      <c r="AB6" s="124"/>
      <c r="AC6" s="124">
        <v>15.0</v>
      </c>
      <c r="AD6" s="124">
        <v>300.0</v>
      </c>
      <c r="AE6" s="124"/>
      <c r="AF6" s="124"/>
      <c r="AG6" s="124"/>
      <c r="AH6" s="124"/>
      <c r="AI6" s="124"/>
      <c r="AJ6" s="124"/>
      <c r="AK6" s="124"/>
      <c r="AL6" s="124"/>
      <c r="AM6" s="124"/>
      <c r="AN6" s="124"/>
      <c r="AO6" s="124"/>
      <c r="AP6" s="124">
        <v>20.0</v>
      </c>
      <c r="AQ6" s="124">
        <v>10.0</v>
      </c>
      <c r="AR6" s="124"/>
      <c r="AS6" s="124"/>
      <c r="AT6" s="124">
        <v>10.0</v>
      </c>
      <c r="AU6" s="124"/>
      <c r="AV6" s="124">
        <v>10.0</v>
      </c>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v>10.0</v>
      </c>
      <c r="BU6" s="124"/>
      <c r="BV6" s="124"/>
      <c r="BW6" s="124"/>
      <c r="BX6" s="124"/>
      <c r="BY6" s="124">
        <v>1.0</v>
      </c>
      <c r="BZ6" s="124"/>
      <c r="CA6" s="124"/>
      <c r="CB6" s="124"/>
      <c r="CC6" s="124"/>
      <c r="CD6" s="124"/>
      <c r="CE6" s="124"/>
      <c r="CF6" s="124"/>
      <c r="CG6" s="124"/>
      <c r="CH6" s="124"/>
      <c r="CI6" s="124"/>
      <c r="CJ6" s="124"/>
      <c r="CK6" s="124"/>
      <c r="CL6" s="124"/>
      <c r="CM6" s="124"/>
      <c r="CN6" s="124"/>
      <c r="CO6" s="124"/>
      <c r="CP6" s="124"/>
      <c r="CQ6" s="124"/>
      <c r="CR6" s="124"/>
      <c r="CS6" s="124"/>
      <c r="CT6" s="124"/>
      <c r="CU6" s="124"/>
    </row>
    <row r="7" ht="14.25" customHeight="1">
      <c r="A7" s="21" t="s">
        <v>1726</v>
      </c>
      <c r="B7" s="21" t="s">
        <v>1456</v>
      </c>
      <c r="C7" s="21" t="s">
        <v>5118</v>
      </c>
      <c r="D7" s="21" t="str">
        <f>_xlfn.XLOOKUP(tblTechnologies[[#This Row],[TechnologyID]],tblTargets[TargetID],tblTargets[DisplayName],"")</f>
        <v>#ERROR!</v>
      </c>
      <c r="E7" s="21" t="b">
        <v>1</v>
      </c>
      <c r="F7" s="21" t="s">
        <v>3976</v>
      </c>
      <c r="G7" s="123" t="s">
        <v>5121</v>
      </c>
      <c r="H7" s="124" t="s">
        <v>3977</v>
      </c>
      <c r="I7" s="124" t="s">
        <v>5122</v>
      </c>
      <c r="J7" s="124" t="s">
        <v>5123</v>
      </c>
      <c r="K7" s="124" t="s">
        <v>5124</v>
      </c>
      <c r="L7" s="124" t="s">
        <v>5125</v>
      </c>
      <c r="M7" s="125" t="s">
        <v>3687</v>
      </c>
      <c r="N7" s="126" t="str">
        <f>IF(tblTechnologies[[#This Row],[costtext]]="", 0, LEN(tblTechnologies[[#This Row],[costtext]]) - LEN(SUBSTITUTE(tblTechnologies[[#This Row],[costtext]], ",", "")) + 1)</f>
        <v>#ERROR!</v>
      </c>
      <c r="O7" s="126" t="str">
        <f>COUNTA(tblTechnologies[[#This Row],[amazake]:[wood]])</f>
        <v>#ERROR!</v>
      </c>
      <c r="P7" s="124"/>
      <c r="Q7" s="124"/>
      <c r="R7" s="124"/>
      <c r="S7" s="124"/>
      <c r="T7" s="124"/>
      <c r="U7" s="124"/>
      <c r="V7" s="124"/>
      <c r="W7" s="124"/>
      <c r="X7" s="124"/>
      <c r="Y7" s="124"/>
      <c r="Z7" s="124"/>
      <c r="AA7" s="124">
        <v>100.0</v>
      </c>
      <c r="AB7" s="124"/>
      <c r="AC7" s="124">
        <v>30.0</v>
      </c>
      <c r="AD7" s="124">
        <v>400.0</v>
      </c>
      <c r="AE7" s="124"/>
      <c r="AF7" s="124"/>
      <c r="AG7" s="124"/>
      <c r="AH7" s="124"/>
      <c r="AI7" s="124"/>
      <c r="AJ7" s="124"/>
      <c r="AK7" s="124"/>
      <c r="AL7" s="124"/>
      <c r="AM7" s="124"/>
      <c r="AN7" s="124"/>
      <c r="AO7" s="124"/>
      <c r="AP7" s="124"/>
      <c r="AQ7" s="124">
        <v>10.0</v>
      </c>
      <c r="AR7" s="124"/>
      <c r="AS7" s="124"/>
      <c r="AT7" s="124">
        <v>10.0</v>
      </c>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v>10.0</v>
      </c>
      <c r="BU7" s="124"/>
      <c r="BV7" s="124"/>
      <c r="BW7" s="124"/>
      <c r="BX7" s="124"/>
      <c r="BY7" s="124">
        <v>1.0</v>
      </c>
      <c r="BZ7" s="124"/>
      <c r="CA7" s="124"/>
      <c r="CB7" s="124"/>
      <c r="CC7" s="124"/>
      <c r="CD7" s="124"/>
      <c r="CE7" s="124"/>
      <c r="CF7" s="124"/>
      <c r="CG7" s="124"/>
      <c r="CH7" s="124"/>
      <c r="CI7" s="124"/>
      <c r="CJ7" s="124"/>
      <c r="CK7" s="124"/>
      <c r="CL7" s="124"/>
      <c r="CM7" s="124"/>
      <c r="CN7" s="124"/>
      <c r="CO7" s="124"/>
      <c r="CP7" s="124"/>
      <c r="CQ7" s="124"/>
      <c r="CR7" s="124"/>
      <c r="CS7" s="124"/>
      <c r="CT7" s="124"/>
      <c r="CU7" s="124"/>
    </row>
    <row r="8" ht="14.25" customHeight="1">
      <c r="A8" s="21" t="s">
        <v>1719</v>
      </c>
      <c r="B8" s="21" t="s">
        <v>5142</v>
      </c>
      <c r="C8" s="21" t="s">
        <v>5143</v>
      </c>
      <c r="D8" s="21" t="str">
        <f>_xlfn.XLOOKUP(tblTechnologies[[#This Row],[TechnologyID]],tblTargets[TargetID],tblTargets[DisplayName],"")</f>
        <v>#ERROR!</v>
      </c>
      <c r="E8" s="21" t="b">
        <v>1</v>
      </c>
      <c r="F8" s="21" t="s">
        <v>3976</v>
      </c>
      <c r="G8" s="123" t="s">
        <v>5146</v>
      </c>
      <c r="H8" s="124" t="s">
        <v>3977</v>
      </c>
      <c r="I8" s="124" t="s">
        <v>5147</v>
      </c>
      <c r="J8" s="124" t="s">
        <v>5148</v>
      </c>
      <c r="K8" s="124" t="s">
        <v>5149</v>
      </c>
      <c r="L8" s="124" t="s">
        <v>5125</v>
      </c>
      <c r="M8" s="125" t="s">
        <v>3689</v>
      </c>
      <c r="N8" s="126" t="str">
        <f>IF(tblTechnologies[[#This Row],[costtext]]="", 0, LEN(tblTechnologies[[#This Row],[costtext]]) - LEN(SUBSTITUTE(tblTechnologies[[#This Row],[costtext]], ",", "")) + 1)</f>
        <v>#ERROR!</v>
      </c>
      <c r="O8" s="126" t="str">
        <f>COUNTA(tblTechnologies[[#This Row],[amazake]:[wood]])</f>
        <v>#ERROR!</v>
      </c>
      <c r="P8" s="124"/>
      <c r="Q8" s="124">
        <v>20.0</v>
      </c>
      <c r="R8" s="124"/>
      <c r="S8" s="124"/>
      <c r="T8" s="124"/>
      <c r="U8" s="124"/>
      <c r="V8" s="124"/>
      <c r="W8" s="124"/>
      <c r="X8" s="124"/>
      <c r="Y8" s="124"/>
      <c r="Z8" s="124"/>
      <c r="AA8" s="124">
        <v>100.0</v>
      </c>
      <c r="AB8" s="124"/>
      <c r="AC8" s="124"/>
      <c r="AD8" s="124"/>
      <c r="AE8" s="124"/>
      <c r="AF8" s="124"/>
      <c r="AG8" s="124"/>
      <c r="AH8" s="124"/>
      <c r="AI8" s="124"/>
      <c r="AJ8" s="124"/>
      <c r="AK8" s="124"/>
      <c r="AL8" s="124"/>
      <c r="AM8" s="124"/>
      <c r="AN8" s="124"/>
      <c r="AO8" s="124"/>
      <c r="AP8" s="124"/>
      <c r="AQ8" s="124"/>
      <c r="AR8" s="124"/>
      <c r="AS8" s="124"/>
      <c r="AT8" s="124">
        <v>10.0</v>
      </c>
      <c r="AU8" s="124"/>
      <c r="AV8" s="124"/>
      <c r="AW8" s="124"/>
      <c r="AX8" s="124"/>
      <c r="AY8" s="124"/>
      <c r="AZ8" s="124">
        <v>20.0</v>
      </c>
      <c r="BA8" s="124"/>
      <c r="BB8" s="124"/>
      <c r="BC8" s="124">
        <v>15.0</v>
      </c>
      <c r="BD8" s="124"/>
      <c r="BE8" s="124"/>
      <c r="BF8" s="124"/>
      <c r="BG8" s="124"/>
      <c r="BH8" s="124"/>
      <c r="BI8" s="124"/>
      <c r="BJ8" s="124"/>
      <c r="BK8" s="124"/>
      <c r="BL8" s="124"/>
      <c r="BM8" s="124"/>
      <c r="BN8" s="124"/>
      <c r="BO8" s="124"/>
      <c r="BP8" s="124"/>
      <c r="BQ8" s="124"/>
      <c r="BR8" s="124"/>
      <c r="BS8" s="124"/>
      <c r="BT8" s="124"/>
      <c r="BU8" s="124"/>
      <c r="BV8" s="124"/>
      <c r="BW8" s="124"/>
      <c r="BX8" s="124"/>
      <c r="BY8" s="124">
        <v>3.0</v>
      </c>
      <c r="BZ8" s="124"/>
      <c r="CA8" s="124"/>
      <c r="CB8" s="124"/>
      <c r="CC8" s="124"/>
      <c r="CD8" s="124"/>
      <c r="CE8" s="124"/>
      <c r="CF8" s="124"/>
      <c r="CG8" s="124"/>
      <c r="CH8" s="124"/>
      <c r="CI8" s="124"/>
      <c r="CJ8" s="124"/>
      <c r="CK8" s="124"/>
      <c r="CL8" s="124"/>
      <c r="CM8" s="124"/>
      <c r="CN8" s="124"/>
      <c r="CO8" s="124"/>
      <c r="CP8" s="124"/>
      <c r="CQ8" s="124"/>
      <c r="CR8" s="124"/>
      <c r="CS8" s="124"/>
      <c r="CT8" s="124"/>
      <c r="CU8" s="124"/>
    </row>
    <row r="9" ht="14.25" customHeight="1">
      <c r="A9" s="21" t="s">
        <v>1724</v>
      </c>
      <c r="B9" s="21" t="s">
        <v>5165</v>
      </c>
      <c r="C9" s="21" t="s">
        <v>5166</v>
      </c>
      <c r="D9" s="21" t="str">
        <f>_xlfn.XLOOKUP(tblTechnologies[[#This Row],[TechnologyID]],tblTargets[TargetID],tblTargets[DisplayName],"")</f>
        <v>#ERROR!</v>
      </c>
      <c r="E9" s="21" t="b">
        <v>1</v>
      </c>
      <c r="F9" s="21" t="s">
        <v>3976</v>
      </c>
      <c r="G9" s="123" t="s">
        <v>5168</v>
      </c>
      <c r="H9" s="124" t="s">
        <v>3977</v>
      </c>
      <c r="I9" s="124" t="s">
        <v>5147</v>
      </c>
      <c r="J9" s="124" t="s">
        <v>5148</v>
      </c>
      <c r="K9" s="124" t="s">
        <v>5169</v>
      </c>
      <c r="L9" s="124" t="s">
        <v>5125</v>
      </c>
      <c r="M9" s="125" t="s">
        <v>3690</v>
      </c>
      <c r="N9" s="126" t="str">
        <f>IF(tblTechnologies[[#This Row],[costtext]]="", 0, LEN(tblTechnologies[[#This Row],[costtext]]) - LEN(SUBSTITUTE(tblTechnologies[[#This Row],[costtext]], ",", "")) + 1)</f>
        <v>#ERROR!</v>
      </c>
      <c r="O9" s="126" t="str">
        <f>COUNTA(tblTechnologies[[#This Row],[amazake]:[wood]])</f>
        <v>#ERROR!</v>
      </c>
      <c r="P9" s="124"/>
      <c r="Q9" s="124">
        <v>5.0</v>
      </c>
      <c r="R9" s="124"/>
      <c r="S9" s="124"/>
      <c r="T9" s="124"/>
      <c r="U9" s="124"/>
      <c r="V9" s="124"/>
      <c r="W9" s="124"/>
      <c r="X9" s="124"/>
      <c r="Y9" s="124"/>
      <c r="Z9" s="124"/>
      <c r="AA9" s="124"/>
      <c r="AB9" s="124"/>
      <c r="AC9" s="124"/>
      <c r="AD9" s="124">
        <v>300.0</v>
      </c>
      <c r="AE9" s="124"/>
      <c r="AF9" s="124"/>
      <c r="AG9" s="124"/>
      <c r="AH9" s="124"/>
      <c r="AI9" s="124"/>
      <c r="AJ9" s="124"/>
      <c r="AK9" s="124"/>
      <c r="AL9" s="124"/>
      <c r="AM9" s="124"/>
      <c r="AN9" s="124"/>
      <c r="AO9" s="124"/>
      <c r="AP9" s="124"/>
      <c r="AQ9" s="124">
        <v>10.0</v>
      </c>
      <c r="AR9" s="124"/>
      <c r="AS9" s="124"/>
      <c r="AT9" s="124">
        <v>10.0</v>
      </c>
      <c r="AU9" s="124">
        <v>100.0</v>
      </c>
      <c r="AV9" s="124">
        <v>10.0</v>
      </c>
      <c r="AW9" s="124"/>
      <c r="AX9" s="124"/>
      <c r="AY9" s="124"/>
      <c r="AZ9" s="124"/>
      <c r="BA9" s="124"/>
      <c r="BB9" s="124"/>
      <c r="BC9" s="124">
        <v>10.0</v>
      </c>
      <c r="BD9" s="124"/>
      <c r="BE9" s="124"/>
      <c r="BF9" s="124"/>
      <c r="BG9" s="124"/>
      <c r="BH9" s="124"/>
      <c r="BI9" s="124"/>
      <c r="BJ9" s="124"/>
      <c r="BK9" s="124"/>
      <c r="BL9" s="124"/>
      <c r="BM9" s="124"/>
      <c r="BN9" s="124"/>
      <c r="BO9" s="124"/>
      <c r="BP9" s="124"/>
      <c r="BQ9" s="124"/>
      <c r="BR9" s="124"/>
      <c r="BS9" s="124"/>
      <c r="BT9" s="124"/>
      <c r="BU9" s="124"/>
      <c r="BV9" s="124"/>
      <c r="BW9" s="124"/>
      <c r="BX9" s="124"/>
      <c r="BY9" s="124">
        <v>1.0</v>
      </c>
      <c r="BZ9" s="124"/>
      <c r="CA9" s="124"/>
      <c r="CB9" s="124"/>
      <c r="CC9" s="124"/>
      <c r="CD9" s="124"/>
      <c r="CE9" s="124"/>
      <c r="CF9" s="124"/>
      <c r="CG9" s="124"/>
      <c r="CH9" s="124"/>
      <c r="CI9" s="124"/>
      <c r="CJ9" s="124"/>
      <c r="CK9" s="124"/>
      <c r="CL9" s="124"/>
      <c r="CM9" s="124"/>
      <c r="CN9" s="124"/>
      <c r="CO9" s="124"/>
      <c r="CP9" s="124"/>
      <c r="CQ9" s="124"/>
      <c r="CR9" s="124"/>
      <c r="CS9" s="124"/>
      <c r="CT9" s="124"/>
      <c r="CU9" s="124"/>
    </row>
    <row r="10" ht="14.25" customHeight="1">
      <c r="A10" s="21" t="s">
        <v>1740</v>
      </c>
      <c r="B10" s="21" t="s">
        <v>5179</v>
      </c>
      <c r="C10" s="21" t="s">
        <v>5180</v>
      </c>
      <c r="D10" s="21" t="str">
        <f>_xlfn.XLOOKUP(tblTechnologies[[#This Row],[TechnologyID]],tblTargets[TargetID],tblTargets[DisplayName],"")</f>
        <v>#ERROR!</v>
      </c>
      <c r="E10" s="21" t="b">
        <v>1</v>
      </c>
      <c r="F10" s="21" t="s">
        <v>3976</v>
      </c>
      <c r="G10" s="123" t="s">
        <v>5181</v>
      </c>
      <c r="H10" s="124" t="s">
        <v>3977</v>
      </c>
      <c r="I10" s="124" t="s">
        <v>5074</v>
      </c>
      <c r="J10" s="124" t="s">
        <v>5075</v>
      </c>
      <c r="K10" s="124" t="s">
        <v>5182</v>
      </c>
      <c r="L10" s="124"/>
      <c r="M10" s="125" t="s">
        <v>3692</v>
      </c>
      <c r="N10" s="126" t="str">
        <f>IF(tblTechnologies[[#This Row],[costtext]]="", 0, LEN(tblTechnologies[[#This Row],[costtext]]) - LEN(SUBSTITUTE(tblTechnologies[[#This Row],[costtext]], ",", "")) + 1)</f>
        <v>#ERROR!</v>
      </c>
      <c r="O10" s="126" t="str">
        <f>COUNTA(tblTechnologies[[#This Row],[amazake]:[wood]])</f>
        <v>#ERROR!</v>
      </c>
      <c r="P10" s="124"/>
      <c r="Q10" s="124"/>
      <c r="R10" s="124"/>
      <c r="S10" s="124"/>
      <c r="T10" s="124"/>
      <c r="U10" s="124"/>
      <c r="V10" s="124"/>
      <c r="W10" s="124"/>
      <c r="X10" s="124"/>
      <c r="Y10" s="124"/>
      <c r="Z10" s="124"/>
      <c r="AA10" s="124"/>
      <c r="AB10" s="124"/>
      <c r="AC10" s="124"/>
      <c r="AD10" s="124">
        <v>300.0</v>
      </c>
      <c r="AE10" s="124">
        <v>50.0</v>
      </c>
      <c r="AF10" s="124"/>
      <c r="AG10" s="124"/>
      <c r="AH10" s="124"/>
      <c r="AI10" s="124"/>
      <c r="AJ10" s="124"/>
      <c r="AK10" s="124"/>
      <c r="AL10" s="124"/>
      <c r="AM10" s="124"/>
      <c r="AN10" s="124"/>
      <c r="AO10" s="124"/>
      <c r="AP10" s="124"/>
      <c r="AQ10" s="124">
        <v>10.0</v>
      </c>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v>15.0</v>
      </c>
      <c r="BN10" s="124"/>
      <c r="BO10" s="124"/>
      <c r="BP10" s="124"/>
      <c r="BQ10" s="124"/>
      <c r="BR10" s="124"/>
      <c r="BS10" s="124"/>
      <c r="BT10" s="124">
        <v>15.0</v>
      </c>
      <c r="BU10" s="124"/>
      <c r="BV10" s="124"/>
      <c r="BW10" s="124"/>
      <c r="BX10" s="124"/>
      <c r="BY10" s="124">
        <v>1.0</v>
      </c>
      <c r="BZ10" s="124"/>
      <c r="CA10" s="124"/>
      <c r="CB10" s="124"/>
      <c r="CC10" s="124"/>
      <c r="CD10" s="124"/>
      <c r="CE10" s="124"/>
      <c r="CF10" s="124"/>
      <c r="CG10" s="124"/>
      <c r="CH10" s="124"/>
      <c r="CI10" s="124"/>
      <c r="CJ10" s="124"/>
      <c r="CK10" s="124"/>
      <c r="CL10" s="124"/>
      <c r="CM10" s="124"/>
      <c r="CN10" s="124"/>
      <c r="CO10" s="124"/>
      <c r="CP10" s="124"/>
      <c r="CQ10" s="124"/>
      <c r="CR10" s="124"/>
      <c r="CS10" s="124"/>
      <c r="CT10" s="124"/>
      <c r="CU10" s="124"/>
    </row>
    <row r="11" ht="14.25" customHeight="1">
      <c r="A11" s="21" t="s">
        <v>1737</v>
      </c>
      <c r="B11" s="21" t="s">
        <v>5187</v>
      </c>
      <c r="C11" s="21" t="s">
        <v>5188</v>
      </c>
      <c r="D11" s="21" t="str">
        <f>_xlfn.XLOOKUP(tblTechnologies[[#This Row],[TechnologyID]],tblTargets[TargetID],tblTargets[DisplayName],"")</f>
        <v>#ERROR!</v>
      </c>
      <c r="E11" s="21" t="b">
        <v>1</v>
      </c>
      <c r="F11" s="21" t="s">
        <v>3976</v>
      </c>
      <c r="G11" s="123" t="s">
        <v>5189</v>
      </c>
      <c r="H11" s="124" t="s">
        <v>3977</v>
      </c>
      <c r="I11" s="124" t="s">
        <v>5074</v>
      </c>
      <c r="J11" s="124" t="s">
        <v>5075</v>
      </c>
      <c r="K11" s="124" t="s">
        <v>5190</v>
      </c>
      <c r="L11" s="124"/>
      <c r="M11" s="125" t="s">
        <v>3692</v>
      </c>
      <c r="N11" s="126" t="str">
        <f>IF(tblTechnologies[[#This Row],[costtext]]="", 0, LEN(tblTechnologies[[#This Row],[costtext]]) - LEN(SUBSTITUTE(tblTechnologies[[#This Row],[costtext]], ",", "")) + 1)</f>
        <v>#ERROR!</v>
      </c>
      <c r="O11" s="126" t="str">
        <f>COUNTA(tblTechnologies[[#This Row],[amazake]:[wood]])</f>
        <v>#ERROR!</v>
      </c>
      <c r="P11" s="124"/>
      <c r="Q11" s="124"/>
      <c r="R11" s="124"/>
      <c r="S11" s="124"/>
      <c r="T11" s="124"/>
      <c r="U11" s="124"/>
      <c r="V11" s="124"/>
      <c r="W11" s="124"/>
      <c r="X11" s="124"/>
      <c r="Y11" s="124"/>
      <c r="Z11" s="124"/>
      <c r="AA11" s="124"/>
      <c r="AB11" s="124"/>
      <c r="AC11" s="124"/>
      <c r="AD11" s="124">
        <v>300.0</v>
      </c>
      <c r="AE11" s="124">
        <v>50.0</v>
      </c>
      <c r="AF11" s="124"/>
      <c r="AG11" s="124"/>
      <c r="AH11" s="124"/>
      <c r="AI11" s="124"/>
      <c r="AJ11" s="124"/>
      <c r="AK11" s="124"/>
      <c r="AL11" s="124"/>
      <c r="AM11" s="124"/>
      <c r="AN11" s="124"/>
      <c r="AO11" s="124"/>
      <c r="AP11" s="124"/>
      <c r="AQ11" s="124">
        <v>10.0</v>
      </c>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v>15.0</v>
      </c>
      <c r="BN11" s="124"/>
      <c r="BO11" s="124"/>
      <c r="BP11" s="124"/>
      <c r="BQ11" s="124"/>
      <c r="BR11" s="124"/>
      <c r="BS11" s="124"/>
      <c r="BT11" s="124">
        <v>15.0</v>
      </c>
      <c r="BU11" s="124"/>
      <c r="BV11" s="124"/>
      <c r="BW11" s="124"/>
      <c r="BX11" s="124"/>
      <c r="BY11" s="124">
        <v>1.0</v>
      </c>
      <c r="BZ11" s="124"/>
      <c r="CA11" s="124"/>
      <c r="CB11" s="124"/>
      <c r="CC11" s="124"/>
      <c r="CD11" s="124"/>
      <c r="CE11" s="124"/>
      <c r="CF11" s="124"/>
      <c r="CG11" s="124"/>
      <c r="CH11" s="124"/>
      <c r="CI11" s="124"/>
      <c r="CJ11" s="124"/>
      <c r="CK11" s="124"/>
      <c r="CL11" s="124"/>
      <c r="CM11" s="124"/>
      <c r="CN11" s="124"/>
      <c r="CO11" s="124"/>
      <c r="CP11" s="124"/>
      <c r="CQ11" s="124"/>
      <c r="CR11" s="124"/>
      <c r="CS11" s="124"/>
      <c r="CT11" s="124"/>
      <c r="CU11" s="124"/>
    </row>
    <row r="12" ht="14.25" customHeight="1">
      <c r="A12" s="21" t="s">
        <v>1735</v>
      </c>
      <c r="B12" s="21" t="s">
        <v>5199</v>
      </c>
      <c r="C12" s="21" t="s">
        <v>5200</v>
      </c>
      <c r="D12" s="21" t="str">
        <f>_xlfn.XLOOKUP(tblTechnologies[[#This Row],[TechnologyID]],tblTargets[TargetID],tblTargets[DisplayName],"")</f>
        <v>#ERROR!</v>
      </c>
      <c r="E12" s="21" t="b">
        <v>1</v>
      </c>
      <c r="F12" s="21" t="s">
        <v>3976</v>
      </c>
      <c r="G12" s="123" t="s">
        <v>5201</v>
      </c>
      <c r="H12" s="124" t="s">
        <v>3977</v>
      </c>
      <c r="I12" s="124" t="s">
        <v>5074</v>
      </c>
      <c r="J12" s="124" t="s">
        <v>5075</v>
      </c>
      <c r="K12" s="124" t="s">
        <v>5202</v>
      </c>
      <c r="L12" s="124"/>
      <c r="M12" s="125" t="s">
        <v>3693</v>
      </c>
      <c r="N12" s="126" t="str">
        <f>IF(tblTechnologies[[#This Row],[costtext]]="", 0, LEN(tblTechnologies[[#This Row],[costtext]]) - LEN(SUBSTITUTE(tblTechnologies[[#This Row],[costtext]], ",", "")) + 1)</f>
        <v>#ERROR!</v>
      </c>
      <c r="O12" s="126" t="str">
        <f>COUNTA(tblTechnologies[[#This Row],[amazake]:[wood]])</f>
        <v>#ERROR!</v>
      </c>
      <c r="P12" s="124"/>
      <c r="Q12" s="124"/>
      <c r="R12" s="124"/>
      <c r="S12" s="124"/>
      <c r="T12" s="124"/>
      <c r="U12" s="124"/>
      <c r="V12" s="124"/>
      <c r="W12" s="124"/>
      <c r="X12" s="124"/>
      <c r="Y12" s="124"/>
      <c r="Z12" s="124"/>
      <c r="AA12" s="124"/>
      <c r="AB12" s="124"/>
      <c r="AC12" s="124"/>
      <c r="AD12" s="124">
        <v>500.0</v>
      </c>
      <c r="AE12" s="124"/>
      <c r="AF12" s="124"/>
      <c r="AG12" s="124"/>
      <c r="AH12" s="124"/>
      <c r="AI12" s="124"/>
      <c r="AJ12" s="124"/>
      <c r="AK12" s="124"/>
      <c r="AL12" s="124"/>
      <c r="AM12" s="124"/>
      <c r="AN12" s="124"/>
      <c r="AO12" s="124"/>
      <c r="AP12" s="124"/>
      <c r="AQ12" s="124">
        <v>10.0</v>
      </c>
      <c r="AR12" s="124"/>
      <c r="AS12" s="124"/>
      <c r="AT12" s="124"/>
      <c r="AU12" s="124"/>
      <c r="AV12" s="124"/>
      <c r="AW12" s="124"/>
      <c r="AX12" s="124"/>
      <c r="AY12" s="124"/>
      <c r="AZ12" s="124"/>
      <c r="BA12" s="124">
        <v>10.0</v>
      </c>
      <c r="BB12" s="124"/>
      <c r="BC12" s="124"/>
      <c r="BD12" s="124"/>
      <c r="BE12" s="124"/>
      <c r="BF12" s="124"/>
      <c r="BG12" s="124"/>
      <c r="BH12" s="124"/>
      <c r="BI12" s="124"/>
      <c r="BJ12" s="124"/>
      <c r="BK12" s="124"/>
      <c r="BL12" s="124"/>
      <c r="BM12" s="124">
        <v>20.0</v>
      </c>
      <c r="BN12" s="124"/>
      <c r="BO12" s="124"/>
      <c r="BP12" s="124"/>
      <c r="BQ12" s="124"/>
      <c r="BR12" s="124"/>
      <c r="BS12" s="124"/>
      <c r="BT12" s="124">
        <v>20.0</v>
      </c>
      <c r="BU12" s="124"/>
      <c r="BV12" s="124"/>
      <c r="BW12" s="124"/>
      <c r="BX12" s="124"/>
      <c r="BY12" s="124">
        <v>3.0</v>
      </c>
      <c r="BZ12" s="124"/>
      <c r="CA12" s="124"/>
      <c r="CB12" s="124"/>
      <c r="CC12" s="124"/>
      <c r="CD12" s="124"/>
      <c r="CE12" s="124">
        <v>3.0</v>
      </c>
      <c r="CF12" s="124"/>
      <c r="CG12" s="124"/>
      <c r="CH12" s="124"/>
      <c r="CI12" s="124"/>
      <c r="CJ12" s="124"/>
      <c r="CK12" s="124"/>
      <c r="CL12" s="124"/>
      <c r="CM12" s="124"/>
      <c r="CN12" s="124"/>
      <c r="CO12" s="124"/>
      <c r="CP12" s="124"/>
      <c r="CQ12" s="124"/>
      <c r="CR12" s="124"/>
      <c r="CS12" s="124"/>
      <c r="CT12" s="124"/>
      <c r="CU12" s="124"/>
    </row>
    <row r="13" ht="14.25" customHeight="1">
      <c r="A13" s="21" t="s">
        <v>1742</v>
      </c>
      <c r="B13" s="21" t="s">
        <v>5206</v>
      </c>
      <c r="C13" s="21" t="s">
        <v>5207</v>
      </c>
      <c r="D13" s="21" t="str">
        <f>_xlfn.XLOOKUP(tblTechnologies[[#This Row],[TechnologyID]],tblTargets[TargetID],tblTargets[DisplayName],"")</f>
        <v>#ERROR!</v>
      </c>
      <c r="E13" s="21" t="b">
        <v>1</v>
      </c>
      <c r="F13" s="21" t="s">
        <v>3976</v>
      </c>
      <c r="G13" s="123" t="s">
        <v>5208</v>
      </c>
      <c r="H13" s="124" t="s">
        <v>3977</v>
      </c>
      <c r="I13" s="124" t="s">
        <v>5210</v>
      </c>
      <c r="J13" s="124" t="s">
        <v>5211</v>
      </c>
      <c r="K13" s="124" t="s">
        <v>5213</v>
      </c>
      <c r="L13" s="124"/>
      <c r="M13" s="125" t="s">
        <v>3695</v>
      </c>
      <c r="N13" s="126" t="str">
        <f>IF(tblTechnologies[[#This Row],[costtext]]="", 0, LEN(tblTechnologies[[#This Row],[costtext]]) - LEN(SUBSTITUTE(tblTechnologies[[#This Row],[costtext]], ",", "")) + 1)</f>
        <v>#ERROR!</v>
      </c>
      <c r="O13" s="126" t="str">
        <f>COUNTA(tblTechnologies[[#This Row],[amazake]:[wood]])</f>
        <v>#ERROR!</v>
      </c>
      <c r="P13" s="124"/>
      <c r="Q13" s="124"/>
      <c r="R13" s="124"/>
      <c r="S13" s="124"/>
      <c r="T13" s="124"/>
      <c r="U13" s="124"/>
      <c r="V13" s="124"/>
      <c r="W13" s="124"/>
      <c r="X13" s="124"/>
      <c r="Y13" s="124"/>
      <c r="Z13" s="124">
        <v>15.0</v>
      </c>
      <c r="AA13" s="124"/>
      <c r="AB13" s="124"/>
      <c r="AC13" s="124"/>
      <c r="AD13" s="124">
        <v>500.0</v>
      </c>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v>10.0</v>
      </c>
      <c r="BB13" s="124"/>
      <c r="BC13" s="124"/>
      <c r="BD13" s="124"/>
      <c r="BE13" s="124"/>
      <c r="BF13" s="124"/>
      <c r="BG13" s="124"/>
      <c r="BH13" s="124"/>
      <c r="BI13" s="124"/>
      <c r="BJ13" s="124"/>
      <c r="BK13" s="124"/>
      <c r="BL13" s="124"/>
      <c r="BM13" s="124">
        <v>20.0</v>
      </c>
      <c r="BN13" s="124"/>
      <c r="BO13" s="124"/>
      <c r="BP13" s="124"/>
      <c r="BQ13" s="124">
        <v>12.0</v>
      </c>
      <c r="BR13" s="124"/>
      <c r="BS13" s="124"/>
      <c r="BT13" s="124">
        <v>20.0</v>
      </c>
      <c r="BU13" s="124"/>
      <c r="BV13" s="124"/>
      <c r="BW13" s="124"/>
      <c r="BX13" s="124"/>
      <c r="BY13" s="124">
        <v>3.0</v>
      </c>
      <c r="BZ13" s="124"/>
      <c r="CA13" s="124"/>
      <c r="CB13" s="124"/>
      <c r="CC13" s="124"/>
      <c r="CD13" s="124"/>
      <c r="CE13" s="124"/>
      <c r="CF13" s="124"/>
      <c r="CG13" s="124"/>
      <c r="CH13" s="124"/>
      <c r="CI13" s="124"/>
      <c r="CJ13" s="124"/>
      <c r="CK13" s="124"/>
      <c r="CL13" s="124"/>
      <c r="CM13" s="124"/>
      <c r="CN13" s="124"/>
      <c r="CO13" s="124"/>
      <c r="CP13" s="124"/>
      <c r="CQ13" s="124"/>
      <c r="CR13" s="124"/>
      <c r="CS13" s="124"/>
      <c r="CT13" s="124"/>
      <c r="CU13" s="124"/>
    </row>
    <row r="14" ht="14.25" customHeight="1">
      <c r="A14" s="21" t="s">
        <v>1733</v>
      </c>
      <c r="B14" s="21" t="s">
        <v>5216</v>
      </c>
      <c r="C14" s="21" t="s">
        <v>5217</v>
      </c>
      <c r="D14" s="21" t="str">
        <f>_xlfn.XLOOKUP(tblTechnologies[[#This Row],[TechnologyID]],tblTargets[TargetID],tblTargets[DisplayName],"")</f>
        <v>#ERROR!</v>
      </c>
      <c r="E14" s="21" t="b">
        <v>1</v>
      </c>
      <c r="F14" s="21" t="s">
        <v>3976</v>
      </c>
      <c r="G14" s="123" t="s">
        <v>5219</v>
      </c>
      <c r="H14" s="124" t="s">
        <v>3977</v>
      </c>
      <c r="I14" s="124" t="s">
        <v>5220</v>
      </c>
      <c r="J14" s="124" t="s">
        <v>5221</v>
      </c>
      <c r="K14" s="124" t="s">
        <v>5222</v>
      </c>
      <c r="L14" s="124"/>
      <c r="M14" s="125" t="s">
        <v>3696</v>
      </c>
      <c r="N14" s="126" t="str">
        <f>IF(tblTechnologies[[#This Row],[costtext]]="", 0, LEN(tblTechnologies[[#This Row],[costtext]]) - LEN(SUBSTITUTE(tblTechnologies[[#This Row],[costtext]], ",", "")) + 1)</f>
        <v>#ERROR!</v>
      </c>
      <c r="O14" s="126" t="str">
        <f>COUNTA(tblTechnologies[[#This Row],[amazake]:[wood]])</f>
        <v>#ERROR!</v>
      </c>
      <c r="P14" s="124"/>
      <c r="Q14" s="124"/>
      <c r="R14" s="124"/>
      <c r="S14" s="124"/>
      <c r="T14" s="124"/>
      <c r="U14" s="124"/>
      <c r="V14" s="124"/>
      <c r="W14" s="124"/>
      <c r="X14" s="124"/>
      <c r="Y14" s="124"/>
      <c r="Z14" s="124">
        <v>20.0</v>
      </c>
      <c r="AA14" s="124"/>
      <c r="AB14" s="124"/>
      <c r="AC14" s="124"/>
      <c r="AD14" s="124">
        <v>1000.0</v>
      </c>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v>15.0</v>
      </c>
      <c r="BB14" s="124"/>
      <c r="BC14" s="124"/>
      <c r="BD14" s="124"/>
      <c r="BE14" s="124"/>
      <c r="BF14" s="124"/>
      <c r="BG14" s="124"/>
      <c r="BH14" s="124"/>
      <c r="BI14" s="124"/>
      <c r="BJ14" s="124"/>
      <c r="BK14" s="124"/>
      <c r="BL14" s="124"/>
      <c r="BM14" s="124">
        <v>30.0</v>
      </c>
      <c r="BN14" s="124"/>
      <c r="BO14" s="124"/>
      <c r="BP14" s="124"/>
      <c r="BQ14" s="124"/>
      <c r="BR14" s="124">
        <v>12.0</v>
      </c>
      <c r="BS14" s="124"/>
      <c r="BT14" s="124">
        <v>30.0</v>
      </c>
      <c r="BU14" s="124"/>
      <c r="BV14" s="124"/>
      <c r="BW14" s="124"/>
      <c r="BX14" s="124"/>
      <c r="BY14" s="124">
        <v>5.0</v>
      </c>
      <c r="BZ14" s="124"/>
      <c r="CA14" s="124"/>
      <c r="CB14" s="124"/>
      <c r="CC14" s="124"/>
      <c r="CD14" s="124"/>
      <c r="CE14" s="124"/>
      <c r="CF14" s="124"/>
      <c r="CG14" s="124"/>
      <c r="CH14" s="124"/>
      <c r="CI14" s="124"/>
      <c r="CJ14" s="124"/>
      <c r="CK14" s="124"/>
      <c r="CL14" s="124"/>
      <c r="CM14" s="124"/>
      <c r="CN14" s="124"/>
      <c r="CO14" s="124"/>
      <c r="CP14" s="124"/>
      <c r="CQ14" s="124"/>
      <c r="CR14" s="124"/>
      <c r="CS14" s="124"/>
      <c r="CT14" s="124"/>
      <c r="CU14" s="124"/>
    </row>
    <row r="15" ht="14.25" customHeight="1">
      <c r="A15" s="21" t="s">
        <v>1712</v>
      </c>
      <c r="B15" s="21" t="s">
        <v>5231</v>
      </c>
      <c r="C15" s="21" t="s">
        <v>5232</v>
      </c>
      <c r="D15" s="21" t="str">
        <f>_xlfn.XLOOKUP(tblTechnologies[[#This Row],[TechnologyID]],tblTargets[TargetID],tblTargets[DisplayName],"")</f>
        <v>#ERROR!</v>
      </c>
      <c r="E15" s="21" t="b">
        <v>1</v>
      </c>
      <c r="F15" s="21" t="s">
        <v>3976</v>
      </c>
      <c r="G15" s="123" t="s">
        <v>5233</v>
      </c>
      <c r="H15" s="124" t="s">
        <v>3977</v>
      </c>
      <c r="I15" s="124" t="s">
        <v>5074</v>
      </c>
      <c r="J15" s="124" t="s">
        <v>5075</v>
      </c>
      <c r="K15" s="124" t="s">
        <v>5234</v>
      </c>
      <c r="L15" s="124"/>
      <c r="M15" s="125" t="s">
        <v>3697</v>
      </c>
      <c r="N15" s="126" t="str">
        <f>IF(tblTechnologies[[#This Row],[costtext]]="", 0, LEN(tblTechnologies[[#This Row],[costtext]]) - LEN(SUBSTITUTE(tblTechnologies[[#This Row],[costtext]], ",", "")) + 1)</f>
        <v>#ERROR!</v>
      </c>
      <c r="O15" s="126" t="str">
        <f>COUNTA(tblTechnologies[[#This Row],[amazake]:[wood]])</f>
        <v>#ERROR!</v>
      </c>
      <c r="P15" s="124"/>
      <c r="Q15" s="124"/>
      <c r="R15" s="124"/>
      <c r="S15" s="124"/>
      <c r="T15" s="124"/>
      <c r="U15" s="124"/>
      <c r="V15" s="124"/>
      <c r="W15" s="124">
        <v>10.0</v>
      </c>
      <c r="X15" s="124"/>
      <c r="Y15" s="124"/>
      <c r="Z15" s="124"/>
      <c r="AA15" s="124"/>
      <c r="AB15" s="124"/>
      <c r="AC15" s="124"/>
      <c r="AD15" s="124">
        <v>400.0</v>
      </c>
      <c r="AE15" s="124"/>
      <c r="AF15" s="124"/>
      <c r="AG15" s="124"/>
      <c r="AH15" s="124">
        <v>40.0</v>
      </c>
      <c r="AI15" s="124"/>
      <c r="AJ15" s="124"/>
      <c r="AK15" s="124"/>
      <c r="AL15" s="124"/>
      <c r="AM15" s="124"/>
      <c r="AN15" s="124"/>
      <c r="AO15" s="124"/>
      <c r="AP15" s="124"/>
      <c r="AQ15" s="124"/>
      <c r="AR15" s="124"/>
      <c r="AS15" s="124"/>
      <c r="AT15" s="124"/>
      <c r="AU15" s="124"/>
      <c r="AV15" s="124"/>
      <c r="AW15" s="124"/>
      <c r="AX15" s="124"/>
      <c r="AY15" s="124"/>
      <c r="AZ15" s="124"/>
      <c r="BA15" s="124"/>
      <c r="BB15" s="124">
        <v>10.0</v>
      </c>
      <c r="BC15" s="124"/>
      <c r="BD15" s="124"/>
      <c r="BE15" s="124"/>
      <c r="BF15" s="124"/>
      <c r="BG15" s="124"/>
      <c r="BH15" s="124"/>
      <c r="BI15" s="124">
        <v>20.0</v>
      </c>
      <c r="BJ15" s="124"/>
      <c r="BK15" s="124"/>
      <c r="BL15" s="124"/>
      <c r="BM15" s="124"/>
      <c r="BN15" s="124"/>
      <c r="BO15" s="124"/>
      <c r="BP15" s="124"/>
      <c r="BQ15" s="124"/>
      <c r="BR15" s="124"/>
      <c r="BS15" s="124"/>
      <c r="BT15" s="124"/>
      <c r="BU15" s="124"/>
      <c r="BV15" s="124"/>
      <c r="BW15" s="124"/>
      <c r="BX15" s="124"/>
      <c r="BY15" s="124">
        <v>2.0</v>
      </c>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row>
    <row r="16" ht="14.25" customHeight="1">
      <c r="A16" s="21" t="s">
        <v>1715</v>
      </c>
      <c r="B16" s="21" t="s">
        <v>5250</v>
      </c>
      <c r="C16" s="21" t="s">
        <v>5251</v>
      </c>
      <c r="D16" s="21" t="str">
        <f>_xlfn.XLOOKUP(tblTechnologies[[#This Row],[TechnologyID]],tblTargets[TargetID],tblTargets[DisplayName],"")</f>
        <v>#ERROR!</v>
      </c>
      <c r="E16" s="21" t="b">
        <v>1</v>
      </c>
      <c r="F16" s="21" t="s">
        <v>3976</v>
      </c>
      <c r="G16" s="123" t="s">
        <v>5254</v>
      </c>
      <c r="H16" s="124" t="s">
        <v>3977</v>
      </c>
      <c r="I16" s="124" t="s">
        <v>5255</v>
      </c>
      <c r="J16" s="124" t="s">
        <v>5256</v>
      </c>
      <c r="K16" s="124" t="s">
        <v>5257</v>
      </c>
      <c r="L16" s="124"/>
      <c r="M16" s="125" t="s">
        <v>3699</v>
      </c>
      <c r="N16" s="126" t="str">
        <f>IF(tblTechnologies[[#This Row],[costtext]]="", 0, LEN(tblTechnologies[[#This Row],[costtext]]) - LEN(SUBSTITUTE(tblTechnologies[[#This Row],[costtext]], ",", "")) + 1)</f>
        <v>#ERROR!</v>
      </c>
      <c r="O16" s="126" t="str">
        <f>COUNTA(tblTechnologies[[#This Row],[amazake]:[wood]])</f>
        <v>#ERROR!</v>
      </c>
      <c r="P16" s="124"/>
      <c r="Q16" s="124"/>
      <c r="R16" s="124"/>
      <c r="S16" s="124"/>
      <c r="T16" s="124"/>
      <c r="U16" s="124"/>
      <c r="V16" s="124"/>
      <c r="W16" s="124">
        <v>15.0</v>
      </c>
      <c r="X16" s="124"/>
      <c r="Y16" s="124"/>
      <c r="Z16" s="124"/>
      <c r="AA16" s="124"/>
      <c r="AB16" s="124"/>
      <c r="AC16" s="124"/>
      <c r="AD16" s="124">
        <v>500.0</v>
      </c>
      <c r="AE16" s="124"/>
      <c r="AF16" s="124"/>
      <c r="AG16" s="124"/>
      <c r="AH16" s="124">
        <v>60.0</v>
      </c>
      <c r="AI16" s="124"/>
      <c r="AJ16" s="124"/>
      <c r="AK16" s="124"/>
      <c r="AL16" s="124"/>
      <c r="AM16" s="124"/>
      <c r="AN16" s="124"/>
      <c r="AO16" s="124"/>
      <c r="AP16" s="124"/>
      <c r="AQ16" s="124"/>
      <c r="AR16" s="124"/>
      <c r="AS16" s="124"/>
      <c r="AT16" s="124"/>
      <c r="AU16" s="124"/>
      <c r="AV16" s="124"/>
      <c r="AW16" s="124"/>
      <c r="AX16" s="124"/>
      <c r="AY16" s="124"/>
      <c r="AZ16" s="124"/>
      <c r="BA16" s="124"/>
      <c r="BB16" s="124">
        <v>15.0</v>
      </c>
      <c r="BC16" s="124"/>
      <c r="BD16" s="124"/>
      <c r="BE16" s="124"/>
      <c r="BF16" s="124"/>
      <c r="BG16" s="124"/>
      <c r="BH16" s="124"/>
      <c r="BI16" s="124">
        <v>30.0</v>
      </c>
      <c r="BJ16" s="124"/>
      <c r="BK16" s="124"/>
      <c r="BL16" s="124"/>
      <c r="BM16" s="124"/>
      <c r="BN16" s="124"/>
      <c r="BO16" s="124"/>
      <c r="BP16" s="124"/>
      <c r="BQ16" s="124"/>
      <c r="BR16" s="124"/>
      <c r="BS16" s="124"/>
      <c r="BT16" s="124"/>
      <c r="BU16" s="124"/>
      <c r="BV16" s="124"/>
      <c r="BW16" s="124"/>
      <c r="BX16" s="124"/>
      <c r="BY16" s="124">
        <v>3.0</v>
      </c>
      <c r="BZ16" s="124"/>
      <c r="CA16" s="124"/>
      <c r="CB16" s="124"/>
      <c r="CC16" s="124"/>
      <c r="CD16" s="124"/>
      <c r="CE16" s="124"/>
      <c r="CF16" s="124"/>
      <c r="CG16" s="124"/>
      <c r="CH16" s="124"/>
      <c r="CI16" s="124"/>
      <c r="CJ16" s="124"/>
      <c r="CK16" s="124"/>
      <c r="CL16" s="124"/>
      <c r="CM16" s="124"/>
      <c r="CN16" s="124"/>
      <c r="CO16" s="124"/>
      <c r="CP16" s="124"/>
      <c r="CQ16" s="124"/>
      <c r="CR16" s="124"/>
      <c r="CS16" s="124"/>
      <c r="CT16" s="124"/>
      <c r="CU16" s="124"/>
    </row>
    <row r="17" ht="14.25" customHeight="1">
      <c r="A17" s="21" t="s">
        <v>1717</v>
      </c>
      <c r="B17" s="21" t="s">
        <v>5274</v>
      </c>
      <c r="C17" s="21" t="s">
        <v>5276</v>
      </c>
      <c r="D17" s="21" t="str">
        <f>_xlfn.XLOOKUP(tblTechnologies[[#This Row],[TechnologyID]],tblTargets[TargetID],tblTargets[DisplayName],"")</f>
        <v>#ERROR!</v>
      </c>
      <c r="E17" s="21" t="b">
        <v>1</v>
      </c>
      <c r="F17" s="21" t="s">
        <v>3976</v>
      </c>
      <c r="G17" s="123" t="s">
        <v>5278</v>
      </c>
      <c r="H17" s="124" t="s">
        <v>3977</v>
      </c>
      <c r="I17" s="124" t="s">
        <v>5074</v>
      </c>
      <c r="J17" s="124" t="s">
        <v>5075</v>
      </c>
      <c r="K17" s="124" t="s">
        <v>5280</v>
      </c>
      <c r="L17" s="124" t="s">
        <v>5281</v>
      </c>
      <c r="M17" s="125" t="s">
        <v>3700</v>
      </c>
      <c r="N17" s="126" t="str">
        <f>IF(tblTechnologies[[#This Row],[costtext]]="", 0, LEN(tblTechnologies[[#This Row],[costtext]]) - LEN(SUBSTITUTE(tblTechnologies[[#This Row],[costtext]], ",", "")) + 1)</f>
        <v>#ERROR!</v>
      </c>
      <c r="O17" s="126" t="str">
        <f>COUNTA(tblTechnologies[[#This Row],[amazake]:[wood]])</f>
        <v>#ERROR!</v>
      </c>
      <c r="P17" s="124"/>
      <c r="Q17" s="124"/>
      <c r="R17" s="124"/>
      <c r="S17" s="124"/>
      <c r="T17" s="124"/>
      <c r="U17" s="124"/>
      <c r="V17" s="124"/>
      <c r="W17" s="124">
        <v>30.0</v>
      </c>
      <c r="X17" s="124"/>
      <c r="Y17" s="124"/>
      <c r="Z17" s="124">
        <v>20.0</v>
      </c>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v>25.0</v>
      </c>
      <c r="BA17" s="124"/>
      <c r="BB17" s="124"/>
      <c r="BC17" s="124"/>
      <c r="BD17" s="124"/>
      <c r="BE17" s="124"/>
      <c r="BF17" s="124"/>
      <c r="BG17" s="124"/>
      <c r="BH17" s="124"/>
      <c r="BI17" s="124"/>
      <c r="BJ17" s="124"/>
      <c r="BK17" s="124"/>
      <c r="BL17" s="124"/>
      <c r="BM17" s="124"/>
      <c r="BN17" s="124"/>
      <c r="BO17" s="124"/>
      <c r="BP17" s="124"/>
      <c r="BQ17" s="124"/>
      <c r="BR17" s="124"/>
      <c r="BS17" s="124"/>
      <c r="BT17" s="124">
        <v>40.0</v>
      </c>
      <c r="BU17" s="124"/>
      <c r="BV17" s="124"/>
      <c r="BW17" s="124"/>
      <c r="BX17" s="124"/>
      <c r="BY17" s="124">
        <v>2.0</v>
      </c>
      <c r="BZ17" s="124"/>
      <c r="CA17" s="124"/>
      <c r="CB17" s="124"/>
      <c r="CC17" s="124"/>
      <c r="CD17" s="124"/>
      <c r="CE17" s="124"/>
      <c r="CF17" s="124"/>
      <c r="CG17" s="124"/>
      <c r="CH17" s="124"/>
      <c r="CI17" s="124"/>
      <c r="CJ17" s="124"/>
      <c r="CK17" s="124"/>
      <c r="CL17" s="124"/>
      <c r="CM17" s="124"/>
      <c r="CN17" s="124"/>
      <c r="CO17" s="124"/>
      <c r="CP17" s="124"/>
      <c r="CQ17" s="124"/>
      <c r="CR17" s="124"/>
      <c r="CS17" s="124"/>
      <c r="CT17" s="124"/>
      <c r="CU17" s="124"/>
    </row>
    <row r="18" ht="14.25" customHeight="1">
      <c r="A18" s="21" t="s">
        <v>1728</v>
      </c>
      <c r="B18" s="21" t="s">
        <v>5291</v>
      </c>
      <c r="C18" s="21" t="s">
        <v>5292</v>
      </c>
      <c r="D18" s="21" t="str">
        <f>_xlfn.XLOOKUP(tblTechnologies[[#This Row],[TechnologyID]],tblTargets[TargetID],tblTargets[DisplayName],"")</f>
        <v>#ERROR!</v>
      </c>
      <c r="E18" s="21" t="b">
        <v>1</v>
      </c>
      <c r="F18" s="21" t="s">
        <v>3976</v>
      </c>
      <c r="G18" s="123" t="s">
        <v>5294</v>
      </c>
      <c r="H18" s="124" t="s">
        <v>3977</v>
      </c>
      <c r="I18" s="124" t="s">
        <v>5147</v>
      </c>
      <c r="J18" s="124" t="s">
        <v>5148</v>
      </c>
      <c r="K18" s="124" t="s">
        <v>5295</v>
      </c>
      <c r="L18" s="124" t="s">
        <v>5296</v>
      </c>
      <c r="M18" s="125" t="s">
        <v>3701</v>
      </c>
      <c r="N18" s="126" t="str">
        <f>IF(tblTechnologies[[#This Row],[costtext]]="", 0, LEN(tblTechnologies[[#This Row],[costtext]]) - LEN(SUBSTITUTE(tblTechnologies[[#This Row],[costtext]], ",", "")) + 1)</f>
        <v>#ERROR!</v>
      </c>
      <c r="O18" s="126" t="str">
        <f>COUNTA(tblTechnologies[[#This Row],[amazake]:[wood]])</f>
        <v>#ERROR!</v>
      </c>
      <c r="P18" s="124"/>
      <c r="Q18" s="124"/>
      <c r="R18" s="124"/>
      <c r="S18" s="124"/>
      <c r="T18" s="124"/>
      <c r="U18" s="124"/>
      <c r="V18" s="124"/>
      <c r="W18" s="124"/>
      <c r="X18" s="124"/>
      <c r="Y18" s="124"/>
      <c r="Z18" s="124"/>
      <c r="AA18" s="124"/>
      <c r="AB18" s="124"/>
      <c r="AC18" s="124"/>
      <c r="AD18" s="124">
        <v>300.0</v>
      </c>
      <c r="AE18" s="124"/>
      <c r="AF18" s="124"/>
      <c r="AG18" s="124"/>
      <c r="AH18" s="124"/>
      <c r="AI18" s="124"/>
      <c r="AJ18" s="124"/>
      <c r="AK18" s="124"/>
      <c r="AL18" s="124"/>
      <c r="AM18" s="124"/>
      <c r="AN18" s="124"/>
      <c r="AO18" s="124"/>
      <c r="AP18" s="124"/>
      <c r="AQ18" s="124"/>
      <c r="AR18" s="124"/>
      <c r="AS18" s="124"/>
      <c r="AT18" s="124">
        <v>5.0</v>
      </c>
      <c r="AU18" s="124"/>
      <c r="AV18" s="124"/>
      <c r="AW18" s="124"/>
      <c r="AX18" s="124"/>
      <c r="AY18" s="124"/>
      <c r="AZ18" s="124"/>
      <c r="BA18" s="124">
        <v>15.0</v>
      </c>
      <c r="BB18" s="124"/>
      <c r="BC18" s="124">
        <v>5.0</v>
      </c>
      <c r="BD18" s="124"/>
      <c r="BE18" s="124"/>
      <c r="BF18" s="124"/>
      <c r="BG18" s="124"/>
      <c r="BH18" s="124"/>
      <c r="BI18" s="124"/>
      <c r="BJ18" s="124"/>
      <c r="BK18" s="124"/>
      <c r="BL18" s="124"/>
      <c r="BM18" s="124"/>
      <c r="BN18" s="124"/>
      <c r="BO18" s="124"/>
      <c r="BP18" s="124"/>
      <c r="BQ18" s="124"/>
      <c r="BR18" s="124"/>
      <c r="BS18" s="124"/>
      <c r="BT18" s="124">
        <v>15.0</v>
      </c>
      <c r="BU18" s="124"/>
      <c r="BV18" s="124"/>
      <c r="BW18" s="124"/>
      <c r="BX18" s="124"/>
      <c r="BY18" s="124">
        <v>3.0</v>
      </c>
      <c r="BZ18" s="124"/>
      <c r="CA18" s="124"/>
      <c r="CB18" s="124"/>
      <c r="CC18" s="124"/>
      <c r="CD18" s="124"/>
      <c r="CE18" s="124"/>
      <c r="CF18" s="124"/>
      <c r="CG18" s="124"/>
      <c r="CH18" s="124"/>
      <c r="CI18" s="124"/>
      <c r="CJ18" s="124"/>
      <c r="CK18" s="124"/>
      <c r="CL18" s="124"/>
      <c r="CM18" s="124"/>
      <c r="CN18" s="124"/>
      <c r="CO18" s="124"/>
      <c r="CP18" s="124"/>
      <c r="CQ18" s="124"/>
      <c r="CR18" s="124"/>
      <c r="CS18" s="124"/>
      <c r="CT18" s="124"/>
      <c r="CU18" s="124"/>
    </row>
    <row r="19" ht="14.25" customHeight="1">
      <c r="A19" s="21" t="s">
        <v>1707</v>
      </c>
      <c r="B19" s="21" t="s">
        <v>5304</v>
      </c>
      <c r="C19" s="21" t="s">
        <v>5305</v>
      </c>
      <c r="D19" s="21" t="str">
        <f>_xlfn.XLOOKUP(tblTechnologies[[#This Row],[TechnologyID]],tblTargets[TargetID],tblTargets[DisplayName],"")</f>
        <v>#ERROR!</v>
      </c>
      <c r="E19" s="21" t="b">
        <v>1</v>
      </c>
      <c r="F19" s="21" t="s">
        <v>3976</v>
      </c>
      <c r="G19" s="123" t="s">
        <v>5307</v>
      </c>
      <c r="H19" s="124" t="s">
        <v>3977</v>
      </c>
      <c r="I19" s="124" t="s">
        <v>5308</v>
      </c>
      <c r="J19" s="124" t="s">
        <v>5309</v>
      </c>
      <c r="K19" s="124" t="s">
        <v>5310</v>
      </c>
      <c r="L19" s="124" t="s">
        <v>5311</v>
      </c>
      <c r="M19" s="125" t="s">
        <v>3703</v>
      </c>
      <c r="N19" s="126" t="str">
        <f>IF(tblTechnologies[[#This Row],[costtext]]="", 0, LEN(tblTechnologies[[#This Row],[costtext]]) - LEN(SUBSTITUTE(tblTechnologies[[#This Row],[costtext]], ",", "")) + 1)</f>
        <v>#ERROR!</v>
      </c>
      <c r="O19" s="126" t="str">
        <f>COUNTA(tblTechnologies[[#This Row],[amazake]:[wood]])</f>
        <v>#ERROR!</v>
      </c>
      <c r="P19" s="124"/>
      <c r="Q19" s="124"/>
      <c r="R19" s="124"/>
      <c r="S19" s="124"/>
      <c r="T19" s="124"/>
      <c r="U19" s="124"/>
      <c r="V19" s="124"/>
      <c r="W19" s="124">
        <v>30.0</v>
      </c>
      <c r="X19" s="124"/>
      <c r="Y19" s="124"/>
      <c r="Z19" s="124">
        <v>20.0</v>
      </c>
      <c r="AA19" s="124"/>
      <c r="AB19" s="124">
        <v>100.0</v>
      </c>
      <c r="AC19" s="124"/>
      <c r="AD19" s="124">
        <v>800.0</v>
      </c>
      <c r="AE19" s="124"/>
      <c r="AF19" s="124"/>
      <c r="AG19" s="124"/>
      <c r="AH19" s="124"/>
      <c r="AI19" s="124"/>
      <c r="AJ19" s="124"/>
      <c r="AK19" s="124">
        <v>50.0</v>
      </c>
      <c r="AL19" s="124"/>
      <c r="AM19" s="124"/>
      <c r="AN19" s="124"/>
      <c r="AO19" s="124"/>
      <c r="AP19" s="124"/>
      <c r="AQ19" s="124">
        <v>20.0</v>
      </c>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v>20.0</v>
      </c>
      <c r="BU19" s="124"/>
      <c r="BV19" s="124"/>
      <c r="BW19" s="124"/>
      <c r="BX19" s="124"/>
      <c r="BY19" s="124">
        <v>5.0</v>
      </c>
      <c r="BZ19" s="124"/>
      <c r="CA19" s="124"/>
      <c r="CB19" s="124"/>
      <c r="CC19" s="124"/>
      <c r="CD19" s="124"/>
      <c r="CE19" s="124"/>
      <c r="CF19" s="124"/>
      <c r="CG19" s="124"/>
      <c r="CH19" s="124"/>
      <c r="CI19" s="124"/>
      <c r="CJ19" s="124"/>
      <c r="CK19" s="124"/>
      <c r="CL19" s="124"/>
      <c r="CM19" s="124"/>
      <c r="CN19" s="124">
        <v>10.0</v>
      </c>
      <c r="CO19" s="124"/>
      <c r="CP19" s="124"/>
      <c r="CQ19" s="124"/>
      <c r="CR19" s="124"/>
      <c r="CS19" s="124"/>
      <c r="CT19" s="124"/>
      <c r="CU19" s="124"/>
    </row>
    <row r="20" ht="14.25" customHeight="1">
      <c r="A20" s="21" t="s">
        <v>1749</v>
      </c>
      <c r="B20" s="21" t="s">
        <v>5320</v>
      </c>
      <c r="C20" s="21" t="s">
        <v>5321</v>
      </c>
      <c r="D20" s="21" t="str">
        <f>_xlfn.XLOOKUP(tblTechnologies[[#This Row],[TechnologyID]],tblTargets[TargetID],tblTargets[DisplayName],"")</f>
        <v>#ERROR!</v>
      </c>
      <c r="E20" s="21" t="b">
        <v>1</v>
      </c>
      <c r="F20" s="21" t="s">
        <v>4006</v>
      </c>
      <c r="G20" s="123" t="s">
        <v>5322</v>
      </c>
      <c r="H20" s="124" t="s">
        <v>5323</v>
      </c>
      <c r="I20" s="124" t="s">
        <v>5324</v>
      </c>
      <c r="J20" s="124" t="s">
        <v>5171</v>
      </c>
      <c r="K20" s="124" t="s">
        <v>5325</v>
      </c>
      <c r="L20" s="124" t="s">
        <v>5326</v>
      </c>
      <c r="M20" s="125" t="s">
        <v>3704</v>
      </c>
      <c r="N20" s="126" t="str">
        <f>IF(tblTechnologies[[#This Row],[costtext]]="", 0, LEN(tblTechnologies[[#This Row],[costtext]]) - LEN(SUBSTITUTE(tblTechnologies[[#This Row],[costtext]], ",", "")) + 1)</f>
        <v>#ERROR!</v>
      </c>
      <c r="O20" s="126" t="str">
        <f>COUNTA(tblTechnologies[[#This Row],[amazake]:[wood]])</f>
        <v>#ERROR!</v>
      </c>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v>20.0</v>
      </c>
      <c r="BA20" s="124"/>
      <c r="BB20" s="124"/>
      <c r="BC20" s="124"/>
      <c r="BD20" s="124"/>
      <c r="BE20" s="124"/>
      <c r="BF20" s="124"/>
      <c r="BG20" s="124"/>
      <c r="BH20" s="124"/>
      <c r="BI20" s="124"/>
      <c r="BJ20" s="124"/>
      <c r="BK20" s="124"/>
      <c r="BL20" s="124"/>
      <c r="BM20" s="124"/>
      <c r="BN20" s="124">
        <v>20.0</v>
      </c>
      <c r="BO20" s="124"/>
      <c r="BP20" s="124"/>
      <c r="BQ20" s="124"/>
      <c r="BR20" s="124"/>
      <c r="BS20" s="124"/>
      <c r="BT20" s="124"/>
      <c r="BU20" s="124"/>
      <c r="BV20" s="124"/>
      <c r="BW20" s="124"/>
      <c r="BX20" s="124"/>
      <c r="BY20" s="124">
        <v>20.0</v>
      </c>
      <c r="BZ20" s="124">
        <v>20.0</v>
      </c>
      <c r="CA20" s="124"/>
      <c r="CB20" s="124"/>
      <c r="CC20" s="124"/>
      <c r="CD20" s="124"/>
      <c r="CE20" s="124"/>
      <c r="CF20" s="124"/>
      <c r="CG20" s="124"/>
      <c r="CH20" s="124"/>
      <c r="CI20" s="124"/>
      <c r="CJ20" s="124"/>
      <c r="CK20" s="124"/>
      <c r="CL20" s="124"/>
      <c r="CM20" s="124"/>
      <c r="CN20" s="124"/>
      <c r="CO20" s="124"/>
      <c r="CP20" s="124"/>
      <c r="CQ20" s="124">
        <v>20.0</v>
      </c>
      <c r="CR20" s="124"/>
      <c r="CS20" s="124"/>
      <c r="CT20" s="124">
        <v>20.0</v>
      </c>
      <c r="CU20" s="124"/>
    </row>
    <row r="21" ht="14.25" customHeight="1">
      <c r="A21" s="21" t="s">
        <v>1751</v>
      </c>
      <c r="B21" s="21" t="s">
        <v>5336</v>
      </c>
      <c r="C21" s="21" t="s">
        <v>5337</v>
      </c>
      <c r="D21" s="21" t="str">
        <f>_xlfn.XLOOKUP(tblTechnologies[[#This Row],[TechnologyID]],tblTargets[TargetID],tblTargets[DisplayName],"")</f>
        <v>#ERROR!</v>
      </c>
      <c r="E21" s="21" t="b">
        <v>1</v>
      </c>
      <c r="F21" s="21" t="s">
        <v>4006</v>
      </c>
      <c r="G21" s="123" t="s">
        <v>5339</v>
      </c>
      <c r="H21" s="124" t="s">
        <v>5323</v>
      </c>
      <c r="I21" s="124" t="s">
        <v>5324</v>
      </c>
      <c r="J21" s="124" t="s">
        <v>5171</v>
      </c>
      <c r="K21" s="124" t="s">
        <v>5341</v>
      </c>
      <c r="L21" s="124"/>
      <c r="M21" s="125" t="s">
        <v>3705</v>
      </c>
      <c r="N21" s="126" t="str">
        <f>IF(tblTechnologies[[#This Row],[costtext]]="", 0, LEN(tblTechnologies[[#This Row],[costtext]]) - LEN(SUBSTITUTE(tblTechnologies[[#This Row],[costtext]], ",", "")) + 1)</f>
        <v>#ERROR!</v>
      </c>
      <c r="O21" s="126" t="str">
        <f>COUNTA(tblTechnologies[[#This Row],[amazake]:[wood]])</f>
        <v>#ERROR!</v>
      </c>
      <c r="P21" s="124"/>
      <c r="Q21" s="124"/>
      <c r="R21" s="124"/>
      <c r="S21" s="124"/>
      <c r="T21" s="124"/>
      <c r="U21" s="124"/>
      <c r="V21" s="124"/>
      <c r="W21" s="124">
        <v>20.0</v>
      </c>
      <c r="X21" s="124"/>
      <c r="Y21" s="124"/>
      <c r="Z21" s="124"/>
      <c r="AA21" s="124"/>
      <c r="AB21" s="124"/>
      <c r="AC21" s="124"/>
      <c r="AD21" s="124"/>
      <c r="AE21" s="124"/>
      <c r="AF21" s="124"/>
      <c r="AG21" s="124"/>
      <c r="AH21" s="124"/>
      <c r="AI21" s="124"/>
      <c r="AJ21" s="124"/>
      <c r="AK21" s="124"/>
      <c r="AL21" s="124"/>
      <c r="AM21" s="124"/>
      <c r="AN21" s="124">
        <v>40.0</v>
      </c>
      <c r="AO21" s="124"/>
      <c r="AP21" s="124"/>
      <c r="AQ21" s="124">
        <v>20.0</v>
      </c>
      <c r="AR21" s="124"/>
      <c r="AS21" s="124"/>
      <c r="AT21" s="124"/>
      <c r="AU21" s="124"/>
      <c r="AV21" s="124"/>
      <c r="AW21" s="124"/>
      <c r="AX21" s="124"/>
      <c r="AY21" s="124"/>
      <c r="AZ21" s="124"/>
      <c r="BA21" s="124"/>
      <c r="BB21" s="124"/>
      <c r="BC21" s="124"/>
      <c r="BD21" s="124"/>
      <c r="BE21" s="124"/>
      <c r="BF21" s="124"/>
      <c r="BG21" s="124"/>
      <c r="BH21" s="124"/>
      <c r="BI21" s="124"/>
      <c r="BJ21" s="124">
        <v>10.0</v>
      </c>
      <c r="BK21" s="124"/>
      <c r="BL21" s="124"/>
      <c r="BM21" s="124"/>
      <c r="BN21" s="124"/>
      <c r="BO21" s="124"/>
      <c r="BP21" s="124"/>
      <c r="BQ21" s="124"/>
      <c r="BR21" s="124"/>
      <c r="BS21" s="124"/>
      <c r="BT21" s="124"/>
      <c r="BU21" s="124"/>
      <c r="BV21" s="124"/>
      <c r="BW21" s="124"/>
      <c r="BX21" s="124"/>
      <c r="BY21" s="124">
        <v>15.0</v>
      </c>
      <c r="BZ21" s="124">
        <v>20.0</v>
      </c>
      <c r="CA21" s="124"/>
      <c r="CB21" s="124"/>
      <c r="CC21" s="124"/>
      <c r="CD21" s="124"/>
      <c r="CE21" s="124"/>
      <c r="CF21" s="124"/>
      <c r="CG21" s="124"/>
      <c r="CH21" s="124">
        <v>400.0</v>
      </c>
      <c r="CI21" s="124"/>
      <c r="CJ21" s="124"/>
      <c r="CK21" s="124"/>
      <c r="CL21" s="124"/>
      <c r="CM21" s="124"/>
      <c r="CN21" s="124"/>
      <c r="CO21" s="124"/>
      <c r="CP21" s="124"/>
      <c r="CQ21" s="124"/>
      <c r="CR21" s="124"/>
      <c r="CS21" s="124"/>
      <c r="CT21" s="124"/>
      <c r="CU21" s="124"/>
    </row>
    <row r="22" ht="14.25" customHeight="1">
      <c r="A22" s="21" t="s">
        <v>1756</v>
      </c>
      <c r="B22" s="21" t="s">
        <v>5351</v>
      </c>
      <c r="C22" s="21" t="s">
        <v>5353</v>
      </c>
      <c r="D22" s="21" t="str">
        <f>_xlfn.XLOOKUP(tblTechnologies[[#This Row],[TechnologyID]],tblTargets[TargetID],tblTargets[DisplayName],"")</f>
        <v>#ERROR!</v>
      </c>
      <c r="E22" s="21" t="b">
        <v>1</v>
      </c>
      <c r="F22" s="21" t="s">
        <v>4033</v>
      </c>
      <c r="G22" s="123" t="s">
        <v>5354</v>
      </c>
      <c r="H22" s="124" t="s">
        <v>5355</v>
      </c>
      <c r="I22" s="124" t="s">
        <v>5356</v>
      </c>
      <c r="J22" s="124" t="s">
        <v>5193</v>
      </c>
      <c r="K22" s="124" t="s">
        <v>5358</v>
      </c>
      <c r="L22" s="124" t="s">
        <v>5359</v>
      </c>
      <c r="M22" s="125" t="s">
        <v>3707</v>
      </c>
      <c r="N22" s="126" t="str">
        <f>IF(tblTechnologies[[#This Row],[costtext]]="", 0, LEN(tblTechnologies[[#This Row],[costtext]]) - LEN(SUBSTITUTE(tblTechnologies[[#This Row],[costtext]], ",", "")) + 1)</f>
        <v>#ERROR!</v>
      </c>
      <c r="O22" s="126" t="str">
        <f>COUNTA(tblTechnologies[[#This Row],[amazake]:[wood]])</f>
        <v>#ERROR!</v>
      </c>
      <c r="P22" s="124"/>
      <c r="Q22" s="124"/>
      <c r="R22" s="124"/>
      <c r="S22" s="124"/>
      <c r="T22" s="124"/>
      <c r="U22" s="124"/>
      <c r="V22" s="124"/>
      <c r="W22" s="124">
        <v>20.0</v>
      </c>
      <c r="X22" s="124"/>
      <c r="Y22" s="124"/>
      <c r="Z22" s="124"/>
      <c r="AA22" s="124"/>
      <c r="AB22" s="124"/>
      <c r="AC22" s="124"/>
      <c r="AD22" s="124">
        <v>500.0</v>
      </c>
      <c r="AE22" s="124"/>
      <c r="AF22" s="124"/>
      <c r="AG22" s="124"/>
      <c r="AH22" s="124"/>
      <c r="AI22" s="124"/>
      <c r="AJ22" s="124"/>
      <c r="AK22" s="124"/>
      <c r="AL22" s="124"/>
      <c r="AM22" s="124"/>
      <c r="AN22" s="124"/>
      <c r="AO22" s="124"/>
      <c r="AP22" s="124"/>
      <c r="AQ22" s="124">
        <v>20.0</v>
      </c>
      <c r="AR22" s="124"/>
      <c r="AS22" s="124"/>
      <c r="AT22" s="124"/>
      <c r="AU22" s="124"/>
      <c r="AV22" s="124"/>
      <c r="AW22" s="124"/>
      <c r="AX22" s="124"/>
      <c r="AY22" s="124">
        <v>4.0</v>
      </c>
      <c r="AZ22" s="124"/>
      <c r="BA22" s="124"/>
      <c r="BB22" s="124">
        <v>15.0</v>
      </c>
      <c r="BC22" s="124"/>
      <c r="BD22" s="124"/>
      <c r="BE22" s="124">
        <v>20.0</v>
      </c>
      <c r="BF22" s="124"/>
      <c r="BG22" s="124"/>
      <c r="BH22" s="124"/>
      <c r="BI22" s="124"/>
      <c r="BJ22" s="124"/>
      <c r="BK22" s="124"/>
      <c r="BL22" s="124"/>
      <c r="BM22" s="124"/>
      <c r="BN22" s="124"/>
      <c r="BO22" s="124"/>
      <c r="BP22" s="124"/>
      <c r="BQ22" s="124"/>
      <c r="BR22" s="124"/>
      <c r="BS22" s="124">
        <v>20.0</v>
      </c>
      <c r="BT22" s="124"/>
      <c r="BU22" s="124"/>
      <c r="BV22" s="124"/>
      <c r="BW22" s="124"/>
      <c r="BX22" s="124"/>
      <c r="BY22" s="124">
        <v>3.0</v>
      </c>
      <c r="BZ22" s="124"/>
      <c r="CA22" s="124"/>
      <c r="CB22" s="124"/>
      <c r="CC22" s="124"/>
      <c r="CD22" s="124"/>
      <c r="CE22" s="124"/>
      <c r="CF22" s="124"/>
      <c r="CG22" s="124"/>
      <c r="CH22" s="124"/>
      <c r="CI22" s="124"/>
      <c r="CJ22" s="124"/>
      <c r="CK22" s="124"/>
      <c r="CL22" s="124"/>
      <c r="CM22" s="124"/>
      <c r="CN22" s="124"/>
      <c r="CO22" s="124"/>
      <c r="CP22" s="124"/>
      <c r="CQ22" s="124"/>
      <c r="CR22" s="124"/>
      <c r="CS22" s="124"/>
      <c r="CT22" s="124"/>
      <c r="CU22" s="124"/>
    </row>
    <row r="23" ht="14.25" customHeight="1">
      <c r="A23" s="21" t="s">
        <v>1753</v>
      </c>
      <c r="B23" s="21" t="s">
        <v>5370</v>
      </c>
      <c r="C23" s="21" t="s">
        <v>5371</v>
      </c>
      <c r="D23" s="21" t="str">
        <f>_xlfn.XLOOKUP(tblTechnologies[[#This Row],[TechnologyID]],tblTargets[TargetID],tblTargets[DisplayName],"")</f>
        <v>#ERROR!</v>
      </c>
      <c r="E23" s="21" t="b">
        <v>1</v>
      </c>
      <c r="F23" s="21" t="s">
        <v>4033</v>
      </c>
      <c r="G23" s="123" t="s">
        <v>5372</v>
      </c>
      <c r="H23" s="124" t="s">
        <v>5355</v>
      </c>
      <c r="I23" s="124" t="s">
        <v>5373</v>
      </c>
      <c r="J23" s="124" t="s">
        <v>5374</v>
      </c>
      <c r="K23" s="124" t="s">
        <v>5358</v>
      </c>
      <c r="L23" s="124" t="s">
        <v>5359</v>
      </c>
      <c r="M23" s="125" t="s">
        <v>3708</v>
      </c>
      <c r="N23" s="126" t="str">
        <f>IF(tblTechnologies[[#This Row],[costtext]]="", 0, LEN(tblTechnologies[[#This Row],[costtext]]) - LEN(SUBSTITUTE(tblTechnologies[[#This Row],[costtext]], ",", "")) + 1)</f>
        <v>#ERROR!</v>
      </c>
      <c r="O23" s="126" t="str">
        <f>COUNTA(tblTechnologies[[#This Row],[amazake]:[wood]])</f>
        <v>#ERROR!</v>
      </c>
      <c r="P23" s="124"/>
      <c r="Q23" s="124"/>
      <c r="R23" s="124"/>
      <c r="S23" s="124"/>
      <c r="T23" s="124"/>
      <c r="U23" s="124"/>
      <c r="V23" s="124"/>
      <c r="W23" s="124">
        <v>32.0</v>
      </c>
      <c r="X23" s="124"/>
      <c r="Y23" s="124"/>
      <c r="Z23" s="124"/>
      <c r="AA23" s="124"/>
      <c r="AB23" s="124"/>
      <c r="AC23" s="124"/>
      <c r="AD23" s="124">
        <v>1000.0</v>
      </c>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v>20.0</v>
      </c>
      <c r="BC23" s="124"/>
      <c r="BD23" s="124"/>
      <c r="BE23" s="124">
        <v>20.0</v>
      </c>
      <c r="BF23" s="124"/>
      <c r="BG23" s="124"/>
      <c r="BH23" s="124"/>
      <c r="BI23" s="124"/>
      <c r="BJ23" s="124"/>
      <c r="BK23" s="124"/>
      <c r="BL23" s="124"/>
      <c r="BM23" s="124"/>
      <c r="BN23" s="124">
        <v>40.0</v>
      </c>
      <c r="BO23" s="124"/>
      <c r="BP23" s="124"/>
      <c r="BQ23" s="124"/>
      <c r="BR23" s="124"/>
      <c r="BS23" s="124">
        <v>20.0</v>
      </c>
      <c r="BT23" s="124"/>
      <c r="BU23" s="124"/>
      <c r="BV23" s="124"/>
      <c r="BW23" s="124"/>
      <c r="BX23" s="124"/>
      <c r="BY23" s="124">
        <v>5.0</v>
      </c>
      <c r="BZ23" s="124"/>
      <c r="CA23" s="124"/>
      <c r="CB23" s="124"/>
      <c r="CC23" s="124"/>
      <c r="CD23" s="124"/>
      <c r="CE23" s="124"/>
      <c r="CF23" s="124"/>
      <c r="CG23" s="124"/>
      <c r="CH23" s="124"/>
      <c r="CI23" s="124"/>
      <c r="CJ23" s="124"/>
      <c r="CK23" s="124"/>
      <c r="CL23" s="124"/>
      <c r="CM23" s="124"/>
      <c r="CN23" s="124"/>
      <c r="CO23" s="124"/>
      <c r="CP23" s="124">
        <v>20.0</v>
      </c>
      <c r="CQ23" s="124"/>
      <c r="CR23" s="124"/>
      <c r="CS23" s="124">
        <v>10.0</v>
      </c>
      <c r="CT23" s="124"/>
      <c r="CU23" s="124"/>
    </row>
    <row r="24" ht="14.25" customHeight="1">
      <c r="A24" s="21" t="s">
        <v>1758</v>
      </c>
      <c r="B24" s="21" t="s">
        <v>4373</v>
      </c>
      <c r="C24" s="21" t="s">
        <v>941</v>
      </c>
      <c r="D24" s="21" t="str">
        <f>_xlfn.XLOOKUP(tblTechnologies[[#This Row],[TechnologyID]],tblTargets[TargetID],tblTargets[DisplayName],"")</f>
        <v>#ERROR!</v>
      </c>
      <c r="E24" s="21" t="b">
        <v>1</v>
      </c>
      <c r="F24" s="21" t="s">
        <v>4044</v>
      </c>
      <c r="G24" s="123" t="s">
        <v>5385</v>
      </c>
      <c r="H24" s="124" t="s">
        <v>5386</v>
      </c>
      <c r="I24" s="124" t="s">
        <v>212</v>
      </c>
      <c r="J24" s="124" t="s">
        <v>4375</v>
      </c>
      <c r="K24" s="124"/>
      <c r="L24" s="124"/>
      <c r="M24" s="124" t="s">
        <v>3710</v>
      </c>
      <c r="N24" s="126" t="str">
        <f>IF(tblTechnologies[[#This Row],[costtext]]="", 0, LEN(tblTechnologies[[#This Row],[costtext]]) - LEN(SUBSTITUTE(tblTechnologies[[#This Row],[costtext]], ",", "")) + 1)</f>
        <v>#ERROR!</v>
      </c>
      <c r="O24" s="126" t="str">
        <f>COUNTA(tblTechnologies[[#This Row],[amazake]:[wood]])</f>
        <v>#ERROR!</v>
      </c>
      <c r="P24" s="124"/>
      <c r="Q24" s="124"/>
      <c r="R24" s="124"/>
      <c r="S24" s="124"/>
      <c r="T24" s="124"/>
      <c r="U24" s="124"/>
      <c r="V24" s="124"/>
      <c r="W24" s="124"/>
      <c r="X24" s="124"/>
      <c r="Y24" s="124"/>
      <c r="Z24" s="124"/>
      <c r="AA24" s="124"/>
      <c r="AB24" s="124"/>
      <c r="AC24" s="124"/>
      <c r="AD24" s="124">
        <v>300.0</v>
      </c>
      <c r="AE24" s="124"/>
      <c r="AF24" s="124"/>
      <c r="AG24" s="124"/>
      <c r="AH24" s="124"/>
      <c r="AI24" s="124"/>
      <c r="AJ24" s="124">
        <v>30.0</v>
      </c>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4"/>
      <c r="BZ24" s="124"/>
      <c r="CA24" s="124"/>
      <c r="CB24" s="124"/>
      <c r="CC24" s="124"/>
      <c r="CD24" s="124"/>
      <c r="CE24" s="124"/>
      <c r="CF24" s="124"/>
      <c r="CG24" s="124">
        <v>100.0</v>
      </c>
      <c r="CH24" s="124">
        <v>50.0</v>
      </c>
      <c r="CI24" s="124"/>
      <c r="CJ24" s="124"/>
      <c r="CK24" s="124"/>
      <c r="CL24" s="124"/>
      <c r="CM24" s="124"/>
      <c r="CN24" s="124"/>
      <c r="CO24" s="124"/>
      <c r="CP24" s="124"/>
      <c r="CQ24" s="124"/>
      <c r="CR24" s="124"/>
      <c r="CS24" s="124"/>
      <c r="CT24" s="124"/>
      <c r="CU24" s="124">
        <v>200.0</v>
      </c>
    </row>
    <row r="25" ht="14.25" customHeight="1">
      <c r="A25" s="21" t="s">
        <v>1760</v>
      </c>
      <c r="B25" s="21" t="s">
        <v>5399</v>
      </c>
      <c r="C25" s="21" t="s">
        <v>5400</v>
      </c>
      <c r="D25" s="21" t="str">
        <f>_xlfn.XLOOKUP(tblTechnologies[[#This Row],[TechnologyID]],tblTargets[TargetID],tblTargets[DisplayName],"")</f>
        <v>#ERROR!</v>
      </c>
      <c r="E25" s="21" t="b">
        <v>1</v>
      </c>
      <c r="F25" s="21" t="s">
        <v>4072</v>
      </c>
      <c r="G25" s="123" t="s">
        <v>5403</v>
      </c>
      <c r="H25" s="124" t="s">
        <v>5404</v>
      </c>
      <c r="I25" s="124" t="s">
        <v>5405</v>
      </c>
      <c r="J25" s="124" t="s">
        <v>5224</v>
      </c>
      <c r="K25" s="124" t="s">
        <v>5407</v>
      </c>
      <c r="L25" s="124"/>
      <c r="M25" s="125" t="s">
        <v>3711</v>
      </c>
      <c r="N25" s="126" t="str">
        <f>IF(tblTechnologies[[#This Row],[costtext]]="", 0, LEN(tblTechnologies[[#This Row],[costtext]]) - LEN(SUBSTITUTE(tblTechnologies[[#This Row],[costtext]], ",", "")) + 1)</f>
        <v>#ERROR!</v>
      </c>
      <c r="O25" s="126" t="str">
        <f>COUNTA(tblTechnologies[[#This Row],[amazake]:[wood]])</f>
        <v>#ERROR!</v>
      </c>
      <c r="P25" s="124">
        <v>20.0</v>
      </c>
      <c r="Q25" s="124"/>
      <c r="R25" s="124"/>
      <c r="S25" s="124"/>
      <c r="T25" s="124"/>
      <c r="U25" s="124"/>
      <c r="V25" s="124"/>
      <c r="W25" s="124">
        <v>40.0</v>
      </c>
      <c r="X25" s="124"/>
      <c r="Y25" s="124"/>
      <c r="Z25" s="124">
        <v>20.0</v>
      </c>
      <c r="AA25" s="124"/>
      <c r="AB25" s="124"/>
      <c r="AC25" s="124"/>
      <c r="AD25" s="124">
        <v>1000.0</v>
      </c>
      <c r="AE25" s="124"/>
      <c r="AF25" s="124"/>
      <c r="AG25" s="124"/>
      <c r="AH25" s="124"/>
      <c r="AI25" s="124">
        <v>10.0</v>
      </c>
      <c r="AJ25" s="124"/>
      <c r="AK25" s="124"/>
      <c r="AL25" s="124"/>
      <c r="AM25" s="124"/>
      <c r="AN25" s="124"/>
      <c r="AO25" s="124"/>
      <c r="AP25" s="124"/>
      <c r="AQ25" s="124">
        <v>30.0</v>
      </c>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v>10.0</v>
      </c>
      <c r="BZ25" s="124"/>
      <c r="CA25" s="124"/>
      <c r="CB25" s="124"/>
      <c r="CC25" s="124"/>
      <c r="CD25" s="124"/>
      <c r="CE25" s="124"/>
      <c r="CF25" s="124"/>
      <c r="CG25" s="124">
        <v>200.0</v>
      </c>
      <c r="CH25" s="124"/>
      <c r="CI25" s="124"/>
      <c r="CJ25" s="124"/>
      <c r="CK25" s="124"/>
      <c r="CL25" s="124"/>
      <c r="CM25" s="124"/>
      <c r="CN25" s="124"/>
      <c r="CO25" s="124"/>
      <c r="CP25" s="124"/>
      <c r="CQ25" s="124"/>
      <c r="CR25" s="124"/>
      <c r="CS25" s="124"/>
      <c r="CT25" s="124"/>
      <c r="CU25" s="124"/>
    </row>
    <row r="26" ht="14.25" customHeight="1">
      <c r="A26" s="21" t="s">
        <v>1765</v>
      </c>
      <c r="B26" s="21" t="s">
        <v>5423</v>
      </c>
      <c r="C26" s="21" t="s">
        <v>5424</v>
      </c>
      <c r="D26" s="21" t="str">
        <f>_xlfn.XLOOKUP(tblTechnologies[[#This Row],[TechnologyID]],tblTargets[TargetID],tblTargets[DisplayName],"")</f>
        <v>#ERROR!</v>
      </c>
      <c r="E26" s="21" t="b">
        <v>1</v>
      </c>
      <c r="F26" s="21" t="s">
        <v>4095</v>
      </c>
      <c r="G26" s="123" t="s">
        <v>5426</v>
      </c>
      <c r="H26" s="124" t="s">
        <v>5427</v>
      </c>
      <c r="I26" s="124" t="s">
        <v>5428</v>
      </c>
      <c r="J26" s="124" t="s">
        <v>5429</v>
      </c>
      <c r="K26" s="124" t="s">
        <v>5430</v>
      </c>
      <c r="L26" s="124"/>
      <c r="M26" s="125" t="s">
        <v>3697</v>
      </c>
      <c r="N26" s="126" t="str">
        <f>IF(tblTechnologies[[#This Row],[costtext]]="", 0, LEN(tblTechnologies[[#This Row],[costtext]]) - LEN(SUBSTITUTE(tblTechnologies[[#This Row],[costtext]], ",", "")) + 1)</f>
        <v>#ERROR!</v>
      </c>
      <c r="O26" s="126" t="str">
        <f>COUNTA(tblTechnologies[[#This Row],[amazake]:[wood]])</f>
        <v>#ERROR!</v>
      </c>
      <c r="P26" s="124"/>
      <c r="Q26" s="124"/>
      <c r="R26" s="124"/>
      <c r="S26" s="124"/>
      <c r="T26" s="124"/>
      <c r="U26" s="124"/>
      <c r="V26" s="124"/>
      <c r="W26" s="124">
        <v>10.0</v>
      </c>
      <c r="X26" s="124"/>
      <c r="Y26" s="124"/>
      <c r="Z26" s="124"/>
      <c r="AA26" s="124"/>
      <c r="AB26" s="124"/>
      <c r="AC26" s="124"/>
      <c r="AD26" s="124">
        <v>400.0</v>
      </c>
      <c r="AE26" s="124"/>
      <c r="AF26" s="124"/>
      <c r="AG26" s="124"/>
      <c r="AH26" s="124">
        <v>40.0</v>
      </c>
      <c r="AI26" s="124"/>
      <c r="AJ26" s="124"/>
      <c r="AK26" s="124"/>
      <c r="AL26" s="124"/>
      <c r="AM26" s="124"/>
      <c r="AN26" s="124"/>
      <c r="AO26" s="124"/>
      <c r="AP26" s="124"/>
      <c r="AQ26" s="124"/>
      <c r="AR26" s="124"/>
      <c r="AS26" s="124"/>
      <c r="AT26" s="124"/>
      <c r="AU26" s="124"/>
      <c r="AV26" s="124"/>
      <c r="AW26" s="124"/>
      <c r="AX26" s="124"/>
      <c r="AY26" s="124"/>
      <c r="AZ26" s="124"/>
      <c r="BA26" s="124"/>
      <c r="BB26" s="124">
        <v>10.0</v>
      </c>
      <c r="BC26" s="124"/>
      <c r="BD26" s="124"/>
      <c r="BE26" s="124"/>
      <c r="BF26" s="124"/>
      <c r="BG26" s="124"/>
      <c r="BH26" s="124"/>
      <c r="BI26" s="124">
        <v>20.0</v>
      </c>
      <c r="BJ26" s="124"/>
      <c r="BK26" s="124"/>
      <c r="BL26" s="124"/>
      <c r="BM26" s="124"/>
      <c r="BN26" s="124"/>
      <c r="BO26" s="124"/>
      <c r="BP26" s="124"/>
      <c r="BQ26" s="124"/>
      <c r="BR26" s="124"/>
      <c r="BS26" s="124"/>
      <c r="BT26" s="124"/>
      <c r="BU26" s="124"/>
      <c r="BV26" s="124"/>
      <c r="BW26" s="124"/>
      <c r="BX26" s="124"/>
      <c r="BY26" s="124">
        <v>2.0</v>
      </c>
      <c r="BZ26" s="124"/>
      <c r="CA26" s="124"/>
      <c r="CB26" s="124"/>
      <c r="CC26" s="124"/>
      <c r="CD26" s="124"/>
      <c r="CE26" s="124"/>
      <c r="CF26" s="124"/>
      <c r="CG26" s="124"/>
      <c r="CH26" s="124"/>
      <c r="CI26" s="124"/>
      <c r="CJ26" s="124"/>
      <c r="CK26" s="124"/>
      <c r="CL26" s="124"/>
      <c r="CM26" s="124"/>
      <c r="CN26" s="124"/>
      <c r="CO26" s="124"/>
      <c r="CP26" s="124"/>
      <c r="CQ26" s="124"/>
      <c r="CR26" s="124"/>
      <c r="CS26" s="124"/>
      <c r="CT26" s="124"/>
      <c r="CU26" s="124"/>
    </row>
    <row r="27" ht="14.25" customHeight="1">
      <c r="A27" s="21" t="s">
        <v>1762</v>
      </c>
      <c r="B27" s="21" t="s">
        <v>5444</v>
      </c>
      <c r="C27" s="21" t="s">
        <v>5445</v>
      </c>
      <c r="D27" s="21" t="str">
        <f>_xlfn.XLOOKUP(tblTechnologies[[#This Row],[TechnologyID]],tblTargets[TargetID],tblTargets[DisplayName],"")</f>
        <v>#ERROR!</v>
      </c>
      <c r="E27" s="21" t="b">
        <v>1</v>
      </c>
      <c r="F27" s="21" t="s">
        <v>4095</v>
      </c>
      <c r="G27" s="123" t="s">
        <v>5447</v>
      </c>
      <c r="H27" s="124" t="s">
        <v>5427</v>
      </c>
      <c r="I27" s="124" t="s">
        <v>5448</v>
      </c>
      <c r="J27" s="124" t="s">
        <v>5449</v>
      </c>
      <c r="K27" s="124" t="s">
        <v>5450</v>
      </c>
      <c r="L27" s="124"/>
      <c r="M27" s="125" t="s">
        <v>3713</v>
      </c>
      <c r="N27" s="126" t="str">
        <f>IF(tblTechnologies[[#This Row],[costtext]]="", 0, LEN(tblTechnologies[[#This Row],[costtext]]) - LEN(SUBSTITUTE(tblTechnologies[[#This Row],[costtext]], ",", "")) + 1)</f>
        <v>#ERROR!</v>
      </c>
      <c r="O27" s="126" t="str">
        <f>COUNTA(tblTechnologies[[#This Row],[amazake]:[wood]])</f>
        <v>#ERROR!</v>
      </c>
      <c r="P27" s="124"/>
      <c r="Q27" s="124"/>
      <c r="R27" s="124"/>
      <c r="S27" s="124"/>
      <c r="T27" s="124"/>
      <c r="U27" s="124"/>
      <c r="V27" s="124"/>
      <c r="W27" s="124">
        <v>30.0</v>
      </c>
      <c r="X27" s="124"/>
      <c r="Y27" s="124"/>
      <c r="Z27" s="124"/>
      <c r="AA27" s="124"/>
      <c r="AB27" s="124"/>
      <c r="AC27" s="124"/>
      <c r="AD27" s="124">
        <v>600.0</v>
      </c>
      <c r="AE27" s="124"/>
      <c r="AF27" s="124"/>
      <c r="AG27" s="124"/>
      <c r="AH27" s="124">
        <v>60.0</v>
      </c>
      <c r="AI27" s="124"/>
      <c r="AJ27" s="124"/>
      <c r="AK27" s="124"/>
      <c r="AL27" s="124"/>
      <c r="AM27" s="124"/>
      <c r="AN27" s="124"/>
      <c r="AO27" s="124"/>
      <c r="AP27" s="124"/>
      <c r="AQ27" s="124"/>
      <c r="AR27" s="124"/>
      <c r="AS27" s="124"/>
      <c r="AT27" s="124"/>
      <c r="AU27" s="124"/>
      <c r="AV27" s="124"/>
      <c r="AW27" s="124"/>
      <c r="AX27" s="124"/>
      <c r="AY27" s="124"/>
      <c r="AZ27" s="124"/>
      <c r="BA27" s="124"/>
      <c r="BB27" s="124">
        <v>10.0</v>
      </c>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4">
        <v>4.0</v>
      </c>
      <c r="BZ27" s="124"/>
      <c r="CA27" s="124"/>
      <c r="CB27" s="124"/>
      <c r="CC27" s="124"/>
      <c r="CD27" s="124"/>
      <c r="CE27" s="124"/>
      <c r="CF27" s="124">
        <v>10.0</v>
      </c>
      <c r="CG27" s="124"/>
      <c r="CH27" s="124"/>
      <c r="CI27" s="124"/>
      <c r="CJ27" s="124"/>
      <c r="CK27" s="124"/>
      <c r="CL27" s="124"/>
      <c r="CM27" s="124"/>
      <c r="CN27" s="124"/>
      <c r="CO27" s="124"/>
      <c r="CP27" s="124"/>
      <c r="CQ27" s="124"/>
      <c r="CR27" s="124"/>
      <c r="CS27" s="124"/>
      <c r="CT27" s="124"/>
      <c r="CU27" s="124"/>
    </row>
    <row r="28" ht="14.25" customHeight="1">
      <c r="A28" s="21" t="s">
        <v>1768</v>
      </c>
      <c r="B28" s="21" t="s">
        <v>629</v>
      </c>
      <c r="C28" s="21" t="s">
        <v>5461</v>
      </c>
      <c r="D28" s="21" t="str">
        <f>_xlfn.XLOOKUP(tblTechnologies[[#This Row],[TechnologyID]],tblTargets[TargetID],tblTargets[DisplayName],"")</f>
        <v>#ERROR!</v>
      </c>
      <c r="E28" s="21" t="b">
        <v>1</v>
      </c>
      <c r="F28" s="21" t="s">
        <v>4095</v>
      </c>
      <c r="G28" s="123" t="s">
        <v>5462</v>
      </c>
      <c r="H28" s="124" t="s">
        <v>5427</v>
      </c>
      <c r="I28" s="124" t="s">
        <v>5463</v>
      </c>
      <c r="J28" s="124" t="s">
        <v>5464</v>
      </c>
      <c r="K28" s="124" t="s">
        <v>5465</v>
      </c>
      <c r="L28" s="124" t="s">
        <v>5466</v>
      </c>
      <c r="M28" s="125" t="s">
        <v>3714</v>
      </c>
      <c r="N28" s="126" t="str">
        <f>IF(tblTechnologies[[#This Row],[costtext]]="", 0, LEN(tblTechnologies[[#This Row],[costtext]]) - LEN(SUBSTITUTE(tblTechnologies[[#This Row],[costtext]], ",", "")) + 1)</f>
        <v>#ERROR!</v>
      </c>
      <c r="O28" s="126" t="str">
        <f>COUNTA(tblTechnologies[[#This Row],[amazake]:[wood]])</f>
        <v>#ERROR!</v>
      </c>
      <c r="P28" s="124"/>
      <c r="Q28" s="124"/>
      <c r="R28" s="124"/>
      <c r="S28" s="124"/>
      <c r="T28" s="124"/>
      <c r="U28" s="124"/>
      <c r="V28" s="124"/>
      <c r="W28" s="124"/>
      <c r="X28" s="124"/>
      <c r="Y28" s="124"/>
      <c r="Z28" s="124"/>
      <c r="AA28" s="124"/>
      <c r="AB28" s="124"/>
      <c r="AC28" s="124"/>
      <c r="AD28" s="124">
        <v>800.0</v>
      </c>
      <c r="AE28" s="124"/>
      <c r="AF28" s="124"/>
      <c r="AG28" s="124"/>
      <c r="AH28" s="124"/>
      <c r="AI28" s="124"/>
      <c r="AJ28" s="124"/>
      <c r="AK28" s="124"/>
      <c r="AL28" s="124">
        <v>20.0</v>
      </c>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v>20.0</v>
      </c>
      <c r="BM28" s="124">
        <v>20.0</v>
      </c>
      <c r="BN28" s="124"/>
      <c r="BO28" s="124"/>
      <c r="BP28" s="124"/>
      <c r="BQ28" s="124"/>
      <c r="BR28" s="124"/>
      <c r="BS28" s="124"/>
      <c r="BT28" s="124"/>
      <c r="BU28" s="124"/>
      <c r="BV28" s="124"/>
      <c r="BW28" s="124"/>
      <c r="BX28" s="124"/>
      <c r="BY28" s="124">
        <v>5.0</v>
      </c>
      <c r="BZ28" s="124"/>
      <c r="CA28" s="124"/>
      <c r="CB28" s="124"/>
      <c r="CC28" s="124"/>
      <c r="CD28" s="124"/>
      <c r="CE28" s="124"/>
      <c r="CF28" s="124"/>
      <c r="CG28" s="124">
        <v>200.0</v>
      </c>
      <c r="CH28" s="124"/>
      <c r="CI28" s="124"/>
      <c r="CJ28" s="124"/>
      <c r="CK28" s="124"/>
      <c r="CL28" s="124"/>
      <c r="CM28" s="124">
        <v>20.0</v>
      </c>
      <c r="CN28" s="124"/>
      <c r="CO28" s="124"/>
      <c r="CP28" s="124"/>
      <c r="CQ28" s="124"/>
      <c r="CR28" s="124"/>
      <c r="CS28" s="124"/>
      <c r="CT28" s="124"/>
      <c r="CU28" s="124">
        <v>500.0</v>
      </c>
    </row>
    <row r="29" ht="14.25" customHeight="1">
      <c r="A29" s="21" t="s">
        <v>1784</v>
      </c>
      <c r="B29" s="21" t="s">
        <v>5481</v>
      </c>
      <c r="C29" s="21" t="s">
        <v>5482</v>
      </c>
      <c r="D29" s="21" t="str">
        <f>_xlfn.XLOOKUP(tblTechnologies[[#This Row],[TechnologyID]],tblTargets[TargetID],tblTargets[DisplayName],"")</f>
        <v>#ERROR!</v>
      </c>
      <c r="E29" s="21" t="b">
        <v>1</v>
      </c>
      <c r="F29" s="21" t="s">
        <v>4102</v>
      </c>
      <c r="G29" s="123" t="s">
        <v>5484</v>
      </c>
      <c r="H29" s="124" t="s">
        <v>4103</v>
      </c>
      <c r="I29" s="124" t="s">
        <v>5485</v>
      </c>
      <c r="J29" s="124" t="s">
        <v>5246</v>
      </c>
      <c r="K29" s="124" t="s">
        <v>5486</v>
      </c>
      <c r="L29" s="124"/>
      <c r="M29" s="125" t="s">
        <v>3716</v>
      </c>
      <c r="N29" s="126" t="str">
        <f>IF(tblTechnologies[[#This Row],[costtext]]="", 0, LEN(tblTechnologies[[#This Row],[costtext]]) - LEN(SUBSTITUTE(tblTechnologies[[#This Row],[costtext]], ",", "")) + 1)</f>
        <v>#ERROR!</v>
      </c>
      <c r="O29" s="126" t="str">
        <f>COUNTA(tblTechnologies[[#This Row],[amazake]:[wood]])</f>
        <v>#ERROR!</v>
      </c>
      <c r="P29" s="124"/>
      <c r="Q29" s="124"/>
      <c r="R29" s="124"/>
      <c r="S29" s="124"/>
      <c r="T29" s="124"/>
      <c r="U29" s="124">
        <v>10.0</v>
      </c>
      <c r="V29" s="124"/>
      <c r="W29" s="124">
        <v>10.0</v>
      </c>
      <c r="X29" s="124"/>
      <c r="Y29" s="124"/>
      <c r="Z29" s="124"/>
      <c r="AA29" s="124"/>
      <c r="AB29" s="124"/>
      <c r="AC29" s="124"/>
      <c r="AD29" s="124">
        <v>300.0</v>
      </c>
      <c r="AE29" s="124"/>
      <c r="AF29" s="124"/>
      <c r="AG29" s="124"/>
      <c r="AH29" s="124"/>
      <c r="AI29" s="124"/>
      <c r="AJ29" s="124"/>
      <c r="AK29" s="124"/>
      <c r="AL29" s="124"/>
      <c r="AM29" s="124"/>
      <c r="AN29" s="124"/>
      <c r="AO29" s="124"/>
      <c r="AP29" s="124"/>
      <c r="AQ29" s="124"/>
      <c r="AR29" s="124"/>
      <c r="AS29" s="124"/>
      <c r="AT29" s="124"/>
      <c r="AU29" s="124"/>
      <c r="AV29" s="124"/>
      <c r="AW29" s="124"/>
      <c r="AX29" s="124">
        <v>10.0</v>
      </c>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4">
        <v>1.0</v>
      </c>
      <c r="BZ29" s="124"/>
      <c r="CA29" s="124"/>
      <c r="CB29" s="124"/>
      <c r="CC29" s="124"/>
      <c r="CD29" s="124"/>
      <c r="CE29" s="124">
        <v>1.0</v>
      </c>
      <c r="CF29" s="124"/>
      <c r="CG29" s="124"/>
      <c r="CH29" s="124"/>
      <c r="CI29" s="124"/>
      <c r="CJ29" s="124"/>
      <c r="CK29" s="124"/>
      <c r="CL29" s="124"/>
      <c r="CM29" s="124"/>
      <c r="CN29" s="124"/>
      <c r="CO29" s="124"/>
      <c r="CP29" s="124"/>
      <c r="CQ29" s="124"/>
      <c r="CR29" s="124"/>
      <c r="CS29" s="124"/>
      <c r="CT29" s="124"/>
      <c r="CU29" s="124"/>
    </row>
    <row r="30" ht="14.25" customHeight="1">
      <c r="A30" s="21" t="s">
        <v>1775</v>
      </c>
      <c r="B30" s="21" t="s">
        <v>2611</v>
      </c>
      <c r="C30" s="21" t="s">
        <v>5499</v>
      </c>
      <c r="D30" s="21" t="str">
        <f>_xlfn.XLOOKUP(tblTechnologies[[#This Row],[TechnologyID]],tblTargets[TargetID],tblTargets[DisplayName],"")</f>
        <v>#ERROR!</v>
      </c>
      <c r="E30" s="21" t="b">
        <v>1</v>
      </c>
      <c r="F30" s="21" t="s">
        <v>4102</v>
      </c>
      <c r="G30" s="123" t="s">
        <v>5500</v>
      </c>
      <c r="H30" s="124" t="s">
        <v>4103</v>
      </c>
      <c r="I30" s="124" t="s">
        <v>5502</v>
      </c>
      <c r="J30" s="124" t="s">
        <v>5503</v>
      </c>
      <c r="K30" s="124" t="s">
        <v>5504</v>
      </c>
      <c r="L30" s="124"/>
      <c r="M30" s="125" t="s">
        <v>3717</v>
      </c>
      <c r="N30" s="126" t="str">
        <f>IF(tblTechnologies[[#This Row],[costtext]]="", 0, LEN(tblTechnologies[[#This Row],[costtext]]) - LEN(SUBSTITUTE(tblTechnologies[[#This Row],[costtext]], ",", "")) + 1)</f>
        <v>#ERROR!</v>
      </c>
      <c r="O30" s="126" t="str">
        <f>COUNTA(tblTechnologies[[#This Row],[amazake]:[wood]])</f>
        <v>#ERROR!</v>
      </c>
      <c r="P30" s="124"/>
      <c r="Q30" s="124"/>
      <c r="R30" s="124"/>
      <c r="S30" s="124"/>
      <c r="T30" s="124"/>
      <c r="U30" s="124"/>
      <c r="V30" s="124"/>
      <c r="W30" s="124"/>
      <c r="X30" s="124"/>
      <c r="Y30" s="124"/>
      <c r="Z30" s="124"/>
      <c r="AA30" s="124"/>
      <c r="AB30" s="124"/>
      <c r="AC30" s="124"/>
      <c r="AD30" s="124">
        <v>400.0</v>
      </c>
      <c r="AE30" s="124"/>
      <c r="AF30" s="124"/>
      <c r="AG30" s="124"/>
      <c r="AH30" s="124"/>
      <c r="AI30" s="124"/>
      <c r="AJ30" s="124"/>
      <c r="AK30" s="124"/>
      <c r="AL30" s="124"/>
      <c r="AM30" s="124"/>
      <c r="AN30" s="124"/>
      <c r="AO30" s="124"/>
      <c r="AP30" s="124"/>
      <c r="AQ30" s="124">
        <v>5.0</v>
      </c>
      <c r="AR30" s="124"/>
      <c r="AS30" s="124"/>
      <c r="AT30" s="124">
        <v>10.0</v>
      </c>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4">
        <v>2.0</v>
      </c>
      <c r="BZ30" s="124"/>
      <c r="CA30" s="124"/>
      <c r="CB30" s="124"/>
      <c r="CC30" s="124"/>
      <c r="CD30" s="124"/>
      <c r="CE30" s="124"/>
      <c r="CF30" s="124"/>
      <c r="CG30" s="124"/>
      <c r="CH30" s="124"/>
      <c r="CI30" s="124">
        <v>20.0</v>
      </c>
      <c r="CJ30" s="124"/>
      <c r="CK30" s="124"/>
      <c r="CL30" s="124"/>
      <c r="CM30" s="124"/>
      <c r="CN30" s="124"/>
      <c r="CO30" s="124"/>
      <c r="CP30" s="124"/>
      <c r="CQ30" s="124"/>
      <c r="CR30" s="124"/>
      <c r="CS30" s="124"/>
      <c r="CT30" s="124"/>
      <c r="CU30" s="124"/>
    </row>
    <row r="31" ht="14.25" customHeight="1">
      <c r="A31" s="21" t="s">
        <v>1779</v>
      </c>
      <c r="B31" s="21" t="s">
        <v>5517</v>
      </c>
      <c r="C31" s="21" t="s">
        <v>5518</v>
      </c>
      <c r="D31" s="21" t="str">
        <f>_xlfn.XLOOKUP(tblTechnologies[[#This Row],[TechnologyID]],tblTargets[TargetID],tblTargets[DisplayName],"")</f>
        <v>#ERROR!</v>
      </c>
      <c r="E31" s="21" t="b">
        <v>1</v>
      </c>
      <c r="F31" s="21" t="s">
        <v>4102</v>
      </c>
      <c r="G31" s="123" t="s">
        <v>5520</v>
      </c>
      <c r="H31" s="124" t="s">
        <v>4103</v>
      </c>
      <c r="I31" s="124" t="s">
        <v>5485</v>
      </c>
      <c r="J31" s="124" t="s">
        <v>5246</v>
      </c>
      <c r="K31" s="124" t="s">
        <v>5522</v>
      </c>
      <c r="L31" s="124"/>
      <c r="M31" s="125" t="s">
        <v>3718</v>
      </c>
      <c r="N31" s="126" t="str">
        <f>IF(tblTechnologies[[#This Row],[costtext]]="", 0, LEN(tblTechnologies[[#This Row],[costtext]]) - LEN(SUBSTITUTE(tblTechnologies[[#This Row],[costtext]], ",", "")) + 1)</f>
        <v>#ERROR!</v>
      </c>
      <c r="O31" s="126" t="str">
        <f>COUNTA(tblTechnologies[[#This Row],[amazake]:[wood]])</f>
        <v>#ERROR!</v>
      </c>
      <c r="P31" s="124"/>
      <c r="Q31" s="124"/>
      <c r="R31" s="124"/>
      <c r="S31" s="124"/>
      <c r="T31" s="124"/>
      <c r="U31" s="124"/>
      <c r="V31" s="124"/>
      <c r="W31" s="124">
        <v>15.0</v>
      </c>
      <c r="X31" s="124"/>
      <c r="Y31" s="124"/>
      <c r="Z31" s="124"/>
      <c r="AA31" s="124"/>
      <c r="AB31" s="124"/>
      <c r="AC31" s="124"/>
      <c r="AD31" s="124">
        <v>400.0</v>
      </c>
      <c r="AE31" s="124"/>
      <c r="AF31" s="124"/>
      <c r="AG31" s="124">
        <v>25.0</v>
      </c>
      <c r="AH31" s="124"/>
      <c r="AI31" s="124"/>
      <c r="AJ31" s="124"/>
      <c r="AK31" s="124"/>
      <c r="AL31" s="124"/>
      <c r="AM31" s="124"/>
      <c r="AN31" s="124"/>
      <c r="AO31" s="124"/>
      <c r="AP31" s="124"/>
      <c r="AQ31" s="124">
        <v>1.0</v>
      </c>
      <c r="AR31" s="124"/>
      <c r="AS31" s="124"/>
      <c r="AT31" s="124"/>
      <c r="AU31" s="124"/>
      <c r="AV31" s="124"/>
      <c r="AW31" s="124"/>
      <c r="AX31" s="124"/>
      <c r="AY31" s="124"/>
      <c r="AZ31" s="124"/>
      <c r="BA31" s="124"/>
      <c r="BB31" s="124"/>
      <c r="BC31" s="124"/>
      <c r="BD31" s="124"/>
      <c r="BE31" s="124"/>
      <c r="BF31" s="124"/>
      <c r="BG31" s="124"/>
      <c r="BH31" s="124"/>
      <c r="BI31" s="124"/>
      <c r="BJ31" s="124"/>
      <c r="BK31" s="124">
        <v>10.0</v>
      </c>
      <c r="BL31" s="124"/>
      <c r="BM31" s="124"/>
      <c r="BN31" s="124"/>
      <c r="BO31" s="124"/>
      <c r="BP31" s="124"/>
      <c r="BQ31" s="124"/>
      <c r="BR31" s="124"/>
      <c r="BS31" s="124"/>
      <c r="BT31" s="124"/>
      <c r="BU31" s="124"/>
      <c r="BV31" s="124"/>
      <c r="BW31" s="124"/>
      <c r="BX31" s="124"/>
      <c r="BY31" s="124">
        <v>2.0</v>
      </c>
      <c r="BZ31" s="124"/>
      <c r="CA31" s="124"/>
      <c r="CB31" s="124"/>
      <c r="CC31" s="124"/>
      <c r="CD31" s="124"/>
      <c r="CE31" s="124"/>
      <c r="CF31" s="124"/>
      <c r="CG31" s="124"/>
      <c r="CH31" s="124"/>
      <c r="CI31" s="124"/>
      <c r="CJ31" s="124"/>
      <c r="CK31" s="124"/>
      <c r="CL31" s="124"/>
      <c r="CM31" s="124"/>
      <c r="CN31" s="124"/>
      <c r="CO31" s="124"/>
      <c r="CP31" s="124"/>
      <c r="CQ31" s="124"/>
      <c r="CR31" s="124"/>
      <c r="CS31" s="124"/>
      <c r="CT31" s="124"/>
      <c r="CU31" s="124"/>
    </row>
    <row r="32" ht="14.25" customHeight="1">
      <c r="A32" s="21" t="s">
        <v>1777</v>
      </c>
      <c r="B32" s="21" t="s">
        <v>5536</v>
      </c>
      <c r="C32" s="21" t="s">
        <v>5537</v>
      </c>
      <c r="D32" s="21" t="str">
        <f>_xlfn.XLOOKUP(tblTechnologies[[#This Row],[TechnologyID]],tblTargets[TargetID],tblTargets[DisplayName],"")</f>
        <v>#ERROR!</v>
      </c>
      <c r="E32" s="21" t="b">
        <v>1</v>
      </c>
      <c r="F32" s="21" t="s">
        <v>4102</v>
      </c>
      <c r="G32" s="123" t="s">
        <v>5538</v>
      </c>
      <c r="H32" s="124" t="s">
        <v>4103</v>
      </c>
      <c r="I32" s="124" t="s">
        <v>5485</v>
      </c>
      <c r="J32" s="124" t="s">
        <v>5246</v>
      </c>
      <c r="K32" s="124" t="s">
        <v>5539</v>
      </c>
      <c r="L32" s="124"/>
      <c r="M32" s="125" t="s">
        <v>3720</v>
      </c>
      <c r="N32" s="126" t="str">
        <f>IF(tblTechnologies[[#This Row],[costtext]]="", 0, LEN(tblTechnologies[[#This Row],[costtext]]) - LEN(SUBSTITUTE(tblTechnologies[[#This Row],[costtext]], ",", "")) + 1)</f>
        <v>#ERROR!</v>
      </c>
      <c r="O32" s="126" t="str">
        <f>COUNTA(tblTechnologies[[#This Row],[amazake]:[wood]])</f>
        <v>#ERROR!</v>
      </c>
      <c r="P32" s="124"/>
      <c r="Q32" s="124"/>
      <c r="R32" s="124"/>
      <c r="S32" s="124"/>
      <c r="T32" s="124"/>
      <c r="U32" s="124">
        <v>20.0</v>
      </c>
      <c r="V32" s="124"/>
      <c r="W32" s="124">
        <v>15.0</v>
      </c>
      <c r="X32" s="124"/>
      <c r="Y32" s="124"/>
      <c r="Z32" s="124"/>
      <c r="AA32" s="124"/>
      <c r="AB32" s="124"/>
      <c r="AC32" s="124"/>
      <c r="AD32" s="124">
        <v>400.0</v>
      </c>
      <c r="AE32" s="124"/>
      <c r="AF32" s="124"/>
      <c r="AG32" s="124"/>
      <c r="AH32" s="124"/>
      <c r="AI32" s="124"/>
      <c r="AJ32" s="124"/>
      <c r="AK32" s="124"/>
      <c r="AL32" s="124"/>
      <c r="AM32" s="124"/>
      <c r="AN32" s="124"/>
      <c r="AO32" s="124"/>
      <c r="AP32" s="124"/>
      <c r="AQ32" s="124">
        <v>5.0</v>
      </c>
      <c r="AR32" s="124"/>
      <c r="AS32" s="124"/>
      <c r="AT32" s="124"/>
      <c r="AU32" s="124"/>
      <c r="AV32" s="124"/>
      <c r="AW32" s="124"/>
      <c r="AX32" s="124">
        <v>10.0</v>
      </c>
      <c r="AY32" s="124"/>
      <c r="AZ32" s="124"/>
      <c r="BA32" s="124">
        <v>20.0</v>
      </c>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4">
        <v>2.0</v>
      </c>
      <c r="BZ32" s="124"/>
      <c r="CA32" s="124"/>
      <c r="CB32" s="124"/>
      <c r="CC32" s="124"/>
      <c r="CD32" s="124"/>
      <c r="CE32" s="124"/>
      <c r="CF32" s="124"/>
      <c r="CG32" s="124"/>
      <c r="CH32" s="124"/>
      <c r="CI32" s="124"/>
      <c r="CJ32" s="124"/>
      <c r="CK32" s="124"/>
      <c r="CL32" s="124"/>
      <c r="CM32" s="124"/>
      <c r="CN32" s="124"/>
      <c r="CO32" s="124"/>
      <c r="CP32" s="124"/>
      <c r="CQ32" s="124"/>
      <c r="CR32" s="124"/>
      <c r="CS32" s="124"/>
      <c r="CT32" s="124"/>
      <c r="CU32" s="124"/>
    </row>
    <row r="33" ht="14.25" customHeight="1">
      <c r="A33" s="21" t="s">
        <v>1772</v>
      </c>
      <c r="B33" s="21" t="s">
        <v>2251</v>
      </c>
      <c r="C33" s="21" t="s">
        <v>5551</v>
      </c>
      <c r="D33" s="21" t="str">
        <f>_xlfn.XLOOKUP(tblTechnologies[[#This Row],[TechnologyID]],tblTargets[TargetID],tblTargets[DisplayName],"")</f>
        <v>#ERROR!</v>
      </c>
      <c r="E33" s="21" t="b">
        <v>1</v>
      </c>
      <c r="F33" s="21" t="s">
        <v>4102</v>
      </c>
      <c r="G33" s="123" t="s">
        <v>5552</v>
      </c>
      <c r="H33" s="124" t="s">
        <v>4103</v>
      </c>
      <c r="I33" s="124" t="s">
        <v>5554</v>
      </c>
      <c r="J33" s="124" t="s">
        <v>5555</v>
      </c>
      <c r="K33" s="124" t="s">
        <v>5556</v>
      </c>
      <c r="L33" s="124"/>
      <c r="M33" s="125" t="s">
        <v>3721</v>
      </c>
      <c r="N33" s="126" t="str">
        <f>IF(tblTechnologies[[#This Row],[costtext]]="", 0, LEN(tblTechnologies[[#This Row],[costtext]]) - LEN(SUBSTITUTE(tblTechnologies[[#This Row],[costtext]], ",", "")) + 1)</f>
        <v>#ERROR!</v>
      </c>
      <c r="O33" s="126" t="str">
        <f>COUNTA(tblTechnologies[[#This Row],[amazake]:[wood]])</f>
        <v>#ERROR!</v>
      </c>
      <c r="P33" s="124"/>
      <c r="Q33" s="124"/>
      <c r="R33" s="124"/>
      <c r="S33" s="124"/>
      <c r="T33" s="124"/>
      <c r="U33" s="124"/>
      <c r="V33" s="124"/>
      <c r="W33" s="124"/>
      <c r="X33" s="124"/>
      <c r="Y33" s="124"/>
      <c r="Z33" s="124"/>
      <c r="AA33" s="124"/>
      <c r="AB33" s="124"/>
      <c r="AC33" s="124"/>
      <c r="AD33" s="124">
        <v>400.0</v>
      </c>
      <c r="AE33" s="124"/>
      <c r="AF33" s="124"/>
      <c r="AG33" s="124"/>
      <c r="AH33" s="124"/>
      <c r="AI33" s="124"/>
      <c r="AJ33" s="124"/>
      <c r="AK33" s="124"/>
      <c r="AL33" s="124"/>
      <c r="AM33" s="124"/>
      <c r="AN33" s="124"/>
      <c r="AO33" s="124"/>
      <c r="AP33" s="124"/>
      <c r="AQ33" s="124"/>
      <c r="AR33" s="124"/>
      <c r="AS33" s="124"/>
      <c r="AT33" s="124">
        <v>13.0</v>
      </c>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v>2.0</v>
      </c>
      <c r="BZ33" s="124"/>
      <c r="CA33" s="124"/>
      <c r="CB33" s="124"/>
      <c r="CC33" s="124"/>
      <c r="CD33" s="124">
        <v>8.0</v>
      </c>
      <c r="CE33" s="124"/>
      <c r="CF33" s="124"/>
      <c r="CG33" s="124"/>
      <c r="CH33" s="124"/>
      <c r="CI33" s="124"/>
      <c r="CJ33" s="124"/>
      <c r="CK33" s="124"/>
      <c r="CL33" s="124"/>
      <c r="CM33" s="124"/>
      <c r="CN33" s="124"/>
      <c r="CO33" s="124">
        <v>10.0</v>
      </c>
      <c r="CP33" s="124"/>
      <c r="CQ33" s="124"/>
      <c r="CR33" s="124"/>
      <c r="CS33" s="124"/>
      <c r="CT33" s="124"/>
      <c r="CU33" s="124"/>
    </row>
    <row r="34" ht="14.25" customHeight="1">
      <c r="A34" s="21" t="s">
        <v>1770</v>
      </c>
      <c r="B34" s="21" t="s">
        <v>5572</v>
      </c>
      <c r="C34" s="21" t="s">
        <v>5573</v>
      </c>
      <c r="D34" s="21" t="str">
        <f>_xlfn.XLOOKUP(tblTechnologies[[#This Row],[TechnologyID]],tblTargets[TargetID],tblTargets[DisplayName],"")</f>
        <v>#ERROR!</v>
      </c>
      <c r="E34" s="21" t="b">
        <v>1</v>
      </c>
      <c r="F34" s="21" t="s">
        <v>4102</v>
      </c>
      <c r="G34" s="123" t="s">
        <v>5574</v>
      </c>
      <c r="H34" s="124" t="s">
        <v>4103</v>
      </c>
      <c r="I34" s="124" t="s">
        <v>5485</v>
      </c>
      <c r="J34" s="124" t="s">
        <v>5246</v>
      </c>
      <c r="K34" s="124" t="s">
        <v>5576</v>
      </c>
      <c r="L34" s="124" t="s">
        <v>5577</v>
      </c>
      <c r="M34" s="125" t="s">
        <v>3722</v>
      </c>
      <c r="N34" s="126" t="str">
        <f>IF(tblTechnologies[[#This Row],[costtext]]="", 0, LEN(tblTechnologies[[#This Row],[costtext]]) - LEN(SUBSTITUTE(tblTechnologies[[#This Row],[costtext]], ",", "")) + 1)</f>
        <v>#ERROR!</v>
      </c>
      <c r="O34" s="126" t="str">
        <f>COUNTA(tblTechnologies[[#This Row],[amazake]:[wood]])</f>
        <v>#ERROR!</v>
      </c>
      <c r="P34" s="124"/>
      <c r="Q34" s="124"/>
      <c r="R34" s="124"/>
      <c r="S34" s="124"/>
      <c r="T34" s="124"/>
      <c r="U34" s="124"/>
      <c r="V34" s="124"/>
      <c r="W34" s="124">
        <v>10.0</v>
      </c>
      <c r="X34" s="124"/>
      <c r="Y34" s="124"/>
      <c r="Z34" s="124"/>
      <c r="AA34" s="124"/>
      <c r="AB34" s="124"/>
      <c r="AC34" s="124"/>
      <c r="AD34" s="124">
        <v>300.0</v>
      </c>
      <c r="AE34" s="124"/>
      <c r="AF34" s="124"/>
      <c r="AG34" s="124"/>
      <c r="AH34" s="124">
        <v>40.0</v>
      </c>
      <c r="AI34" s="124"/>
      <c r="AJ34" s="124"/>
      <c r="AK34" s="124"/>
      <c r="AL34" s="124"/>
      <c r="AM34" s="124"/>
      <c r="AN34" s="124"/>
      <c r="AO34" s="124"/>
      <c r="AP34" s="124"/>
      <c r="AQ34" s="124"/>
      <c r="AR34" s="124"/>
      <c r="AS34" s="124"/>
      <c r="AT34" s="124"/>
      <c r="AU34" s="124"/>
      <c r="AV34" s="124"/>
      <c r="AW34" s="124"/>
      <c r="AX34" s="124"/>
      <c r="AY34" s="124"/>
      <c r="AZ34" s="124"/>
      <c r="BA34" s="124"/>
      <c r="BB34" s="124">
        <v>5.0</v>
      </c>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4">
        <v>2.0</v>
      </c>
      <c r="BZ34" s="124"/>
      <c r="CA34" s="124"/>
      <c r="CB34" s="124"/>
      <c r="CC34" s="124"/>
      <c r="CD34" s="124"/>
      <c r="CE34" s="124"/>
      <c r="CF34" s="124"/>
      <c r="CG34" s="124">
        <v>20.0</v>
      </c>
      <c r="CH34" s="124"/>
      <c r="CI34" s="124"/>
      <c r="CJ34" s="124"/>
      <c r="CK34" s="124"/>
      <c r="CL34" s="124"/>
      <c r="CM34" s="124"/>
      <c r="CN34" s="124"/>
      <c r="CO34" s="124"/>
      <c r="CP34" s="124"/>
      <c r="CQ34" s="124"/>
      <c r="CR34" s="124"/>
      <c r="CS34" s="124"/>
      <c r="CT34" s="124"/>
      <c r="CU34" s="124"/>
    </row>
    <row r="35" ht="14.25" customHeight="1">
      <c r="A35" s="21" t="s">
        <v>1782</v>
      </c>
      <c r="B35" s="21" t="s">
        <v>5591</v>
      </c>
      <c r="C35" s="21" t="s">
        <v>5592</v>
      </c>
      <c r="D35" s="21" t="str">
        <f>_xlfn.XLOOKUP(tblTechnologies[[#This Row],[TechnologyID]],tblTargets[TargetID],tblTargets[DisplayName],"")</f>
        <v>#ERROR!</v>
      </c>
      <c r="E35" s="21" t="b">
        <v>1</v>
      </c>
      <c r="F35" s="21" t="s">
        <v>4102</v>
      </c>
      <c r="G35" s="123" t="s">
        <v>5594</v>
      </c>
      <c r="H35" s="124" t="s">
        <v>4103</v>
      </c>
      <c r="I35" s="124" t="s">
        <v>5485</v>
      </c>
      <c r="J35" s="124" t="s">
        <v>5246</v>
      </c>
      <c r="K35" s="124" t="s">
        <v>5596</v>
      </c>
      <c r="L35" s="124"/>
      <c r="M35" s="125" t="s">
        <v>3724</v>
      </c>
      <c r="N35" s="126" t="str">
        <f>IF(tblTechnologies[[#This Row],[costtext]]="", 0, LEN(tblTechnologies[[#This Row],[costtext]]) - LEN(SUBSTITUTE(tblTechnologies[[#This Row],[costtext]], ",", "")) + 1)</f>
        <v>#ERROR!</v>
      </c>
      <c r="O35" s="126" t="str">
        <f>COUNTA(tblTechnologies[[#This Row],[amazake]:[wood]])</f>
        <v>#ERROR!</v>
      </c>
      <c r="P35" s="124"/>
      <c r="Q35" s="124"/>
      <c r="R35" s="124"/>
      <c r="S35" s="124"/>
      <c r="T35" s="124"/>
      <c r="U35" s="124"/>
      <c r="V35" s="124"/>
      <c r="W35" s="124"/>
      <c r="X35" s="124"/>
      <c r="Y35" s="124"/>
      <c r="Z35" s="124"/>
      <c r="AA35" s="124"/>
      <c r="AB35" s="124"/>
      <c r="AC35" s="124"/>
      <c r="AD35" s="124">
        <v>500.0</v>
      </c>
      <c r="AE35" s="124"/>
      <c r="AF35" s="124"/>
      <c r="AG35" s="124"/>
      <c r="AH35" s="124">
        <v>20.0</v>
      </c>
      <c r="AI35" s="124"/>
      <c r="AJ35" s="124"/>
      <c r="AK35" s="124"/>
      <c r="AL35" s="124"/>
      <c r="AM35" s="124"/>
      <c r="AN35" s="124"/>
      <c r="AO35" s="124"/>
      <c r="AP35" s="124"/>
      <c r="AQ35" s="124"/>
      <c r="AR35" s="124"/>
      <c r="AS35" s="124"/>
      <c r="AT35" s="124">
        <v>10.0</v>
      </c>
      <c r="AU35" s="124"/>
      <c r="AV35" s="124"/>
      <c r="AW35" s="124"/>
      <c r="AX35" s="124"/>
      <c r="AY35" s="124"/>
      <c r="AZ35" s="124"/>
      <c r="BA35" s="124"/>
      <c r="BB35" s="124"/>
      <c r="BC35" s="124"/>
      <c r="BD35" s="124"/>
      <c r="BE35" s="124"/>
      <c r="BF35" s="124"/>
      <c r="BG35" s="124">
        <v>10.0</v>
      </c>
      <c r="BH35" s="124"/>
      <c r="BI35" s="124"/>
      <c r="BJ35" s="124"/>
      <c r="BK35" s="124"/>
      <c r="BL35" s="124"/>
      <c r="BM35" s="124"/>
      <c r="BN35" s="124"/>
      <c r="BO35" s="124"/>
      <c r="BP35" s="124"/>
      <c r="BQ35" s="124"/>
      <c r="BR35" s="124"/>
      <c r="BS35" s="124"/>
      <c r="BT35" s="124"/>
      <c r="BU35" s="124"/>
      <c r="BV35" s="124"/>
      <c r="BW35" s="124"/>
      <c r="BX35" s="124"/>
      <c r="BY35" s="124">
        <v>5.0</v>
      </c>
      <c r="BZ35" s="124"/>
      <c r="CA35" s="124"/>
      <c r="CB35" s="124"/>
      <c r="CC35" s="124"/>
      <c r="CD35" s="124"/>
      <c r="CE35" s="124"/>
      <c r="CF35" s="124"/>
      <c r="CG35" s="124"/>
      <c r="CH35" s="124"/>
      <c r="CI35" s="124"/>
      <c r="CJ35" s="124">
        <v>10.0</v>
      </c>
      <c r="CK35" s="124"/>
      <c r="CL35" s="124"/>
      <c r="CM35" s="124"/>
      <c r="CN35" s="124"/>
      <c r="CO35" s="124">
        <v>10.0</v>
      </c>
      <c r="CP35" s="124"/>
      <c r="CQ35" s="124"/>
      <c r="CR35" s="124"/>
      <c r="CS35" s="124"/>
      <c r="CT35" s="124"/>
      <c r="CU35" s="124"/>
    </row>
    <row r="36" ht="14.25" customHeight="1">
      <c r="A36" s="21" t="s">
        <v>1791</v>
      </c>
      <c r="B36" s="21" t="s">
        <v>5613</v>
      </c>
      <c r="C36" s="21" t="s">
        <v>5614</v>
      </c>
      <c r="D36" s="21" t="str">
        <f>_xlfn.XLOOKUP(tblTechnologies[[#This Row],[TechnologyID]],tblTargets[TargetID],tblTargets[DisplayName],"")</f>
        <v>#ERROR!</v>
      </c>
      <c r="E36" s="21" t="b">
        <v>1</v>
      </c>
      <c r="F36" s="21" t="s">
        <v>4112</v>
      </c>
      <c r="G36" s="123" t="s">
        <v>5616</v>
      </c>
      <c r="H36" s="124" t="s">
        <v>5617</v>
      </c>
      <c r="I36" s="124" t="s">
        <v>5618</v>
      </c>
      <c r="J36" s="124" t="s">
        <v>5275</v>
      </c>
      <c r="K36" s="124" t="s">
        <v>5619</v>
      </c>
      <c r="L36" s="124"/>
      <c r="M36" s="125" t="s">
        <v>3725</v>
      </c>
      <c r="N36" s="126" t="str">
        <f>IF(tblTechnologies[[#This Row],[costtext]]="", 0, LEN(tblTechnologies[[#This Row],[costtext]]) - LEN(SUBSTITUTE(tblTechnologies[[#This Row],[costtext]], ",", "")) + 1)</f>
        <v>#ERROR!</v>
      </c>
      <c r="O36" s="126" t="str">
        <f>COUNTA(tblTechnologies[[#This Row],[amazake]:[wood]])</f>
        <v>#ERROR!</v>
      </c>
      <c r="P36" s="124"/>
      <c r="Q36" s="124"/>
      <c r="R36" s="124"/>
      <c r="S36" s="124"/>
      <c r="T36" s="124"/>
      <c r="U36" s="124"/>
      <c r="V36" s="124"/>
      <c r="W36" s="124">
        <v>15.0</v>
      </c>
      <c r="X36" s="124"/>
      <c r="Y36" s="124"/>
      <c r="Z36" s="124"/>
      <c r="AA36" s="124"/>
      <c r="AB36" s="124"/>
      <c r="AC36" s="124"/>
      <c r="AD36" s="124">
        <v>1000.0</v>
      </c>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v>50.0</v>
      </c>
      <c r="BG36" s="124"/>
      <c r="BH36" s="124"/>
      <c r="BI36" s="124"/>
      <c r="BJ36" s="124"/>
      <c r="BK36" s="124"/>
      <c r="BL36" s="124"/>
      <c r="BM36" s="124"/>
      <c r="BN36" s="124"/>
      <c r="BO36" s="124"/>
      <c r="BP36" s="124"/>
      <c r="BQ36" s="124"/>
      <c r="BR36" s="124"/>
      <c r="BS36" s="124"/>
      <c r="BT36" s="124"/>
      <c r="BU36" s="124"/>
      <c r="BV36" s="124"/>
      <c r="BW36" s="124"/>
      <c r="BX36" s="124"/>
      <c r="BY36" s="124">
        <v>3.0</v>
      </c>
      <c r="BZ36" s="124"/>
      <c r="CA36" s="124"/>
      <c r="CB36" s="124"/>
      <c r="CC36" s="124"/>
      <c r="CD36" s="124"/>
      <c r="CE36" s="124"/>
      <c r="CF36" s="124"/>
      <c r="CG36" s="124"/>
      <c r="CH36" s="124"/>
      <c r="CI36" s="124"/>
      <c r="CJ36" s="124"/>
      <c r="CK36" s="124"/>
      <c r="CL36" s="124"/>
      <c r="CM36" s="124"/>
      <c r="CN36" s="124"/>
      <c r="CO36" s="124"/>
      <c r="CP36" s="124"/>
      <c r="CQ36" s="124"/>
      <c r="CR36" s="124"/>
      <c r="CS36" s="124"/>
      <c r="CT36" s="124"/>
      <c r="CU36" s="124"/>
    </row>
    <row r="37" ht="14.25" customHeight="1">
      <c r="A37" s="21" t="s">
        <v>1793</v>
      </c>
      <c r="B37" s="21" t="s">
        <v>5632</v>
      </c>
      <c r="C37" s="21" t="s">
        <v>5634</v>
      </c>
      <c r="D37" s="21" t="str">
        <f>_xlfn.XLOOKUP(tblTechnologies[[#This Row],[TechnologyID]],tblTargets[TargetID],tblTargets[DisplayName],"")</f>
        <v>#ERROR!</v>
      </c>
      <c r="E37" s="21" t="b">
        <v>1</v>
      </c>
      <c r="F37" s="21" t="s">
        <v>4112</v>
      </c>
      <c r="G37" s="123" t="s">
        <v>5635</v>
      </c>
      <c r="H37" s="124" t="s">
        <v>5617</v>
      </c>
      <c r="I37" s="124" t="s">
        <v>5637</v>
      </c>
      <c r="J37" s="124" t="s">
        <v>5638</v>
      </c>
      <c r="K37" s="124" t="s">
        <v>5639</v>
      </c>
      <c r="L37" s="124" t="s">
        <v>5070</v>
      </c>
      <c r="M37" s="125" t="s">
        <v>3726</v>
      </c>
      <c r="N37" s="126" t="str">
        <f>IF(tblTechnologies[[#This Row],[costtext]]="", 0, LEN(tblTechnologies[[#This Row],[costtext]]) - LEN(SUBSTITUTE(tblTechnologies[[#This Row],[costtext]], ",", "")) + 1)</f>
        <v>#ERROR!</v>
      </c>
      <c r="O37" s="126" t="str">
        <f>COUNTA(tblTechnologies[[#This Row],[amazake]:[wood]])</f>
        <v>#ERROR!</v>
      </c>
      <c r="P37" s="124"/>
      <c r="Q37" s="124"/>
      <c r="R37" s="124"/>
      <c r="S37" s="124"/>
      <c r="T37" s="124"/>
      <c r="U37" s="124"/>
      <c r="V37" s="124"/>
      <c r="W37" s="124">
        <v>20.0</v>
      </c>
      <c r="X37" s="124"/>
      <c r="Y37" s="124"/>
      <c r="Z37" s="124"/>
      <c r="AA37" s="124"/>
      <c r="AB37" s="124"/>
      <c r="AC37" s="124"/>
      <c r="AD37" s="124">
        <v>500.0</v>
      </c>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v>5.0</v>
      </c>
      <c r="BC37" s="124"/>
      <c r="BD37" s="124"/>
      <c r="BE37" s="124"/>
      <c r="BF37" s="124"/>
      <c r="BG37" s="124"/>
      <c r="BH37" s="124"/>
      <c r="BI37" s="124"/>
      <c r="BJ37" s="124"/>
      <c r="BK37" s="124"/>
      <c r="BL37" s="124"/>
      <c r="BM37" s="124"/>
      <c r="BN37" s="124"/>
      <c r="BO37" s="124"/>
      <c r="BP37" s="124"/>
      <c r="BQ37" s="124"/>
      <c r="BR37" s="124"/>
      <c r="BS37" s="124"/>
      <c r="BT37" s="124">
        <v>10.0</v>
      </c>
      <c r="BU37" s="124"/>
      <c r="BV37" s="124"/>
      <c r="BW37" s="124"/>
      <c r="BX37" s="124"/>
      <c r="BY37" s="124">
        <v>3.0</v>
      </c>
      <c r="BZ37" s="124"/>
      <c r="CA37" s="124"/>
      <c r="CB37" s="124"/>
      <c r="CC37" s="124"/>
      <c r="CD37" s="124"/>
      <c r="CE37" s="124"/>
      <c r="CF37" s="124"/>
      <c r="CG37" s="124"/>
      <c r="CH37" s="124"/>
      <c r="CI37" s="124"/>
      <c r="CJ37" s="124"/>
      <c r="CK37" s="124"/>
      <c r="CL37" s="124"/>
      <c r="CM37" s="124"/>
      <c r="CN37" s="124">
        <v>10.0</v>
      </c>
      <c r="CO37" s="124"/>
      <c r="CP37" s="124"/>
      <c r="CQ37" s="124"/>
      <c r="CR37" s="124"/>
      <c r="CS37" s="124"/>
      <c r="CT37" s="124"/>
      <c r="CU37" s="124"/>
    </row>
    <row r="38" ht="14.25" customHeight="1">
      <c r="A38" s="21" t="s">
        <v>1789</v>
      </c>
      <c r="B38" s="21" t="s">
        <v>360</v>
      </c>
      <c r="C38" s="21" t="s">
        <v>5655</v>
      </c>
      <c r="D38" s="21" t="str">
        <f>_xlfn.XLOOKUP(tblTechnologies[[#This Row],[TechnologyID]],tblTargets[TargetID],tblTargets[DisplayName],"")</f>
        <v>#ERROR!</v>
      </c>
      <c r="E38" s="21" t="b">
        <v>1</v>
      </c>
      <c r="F38" s="21" t="s">
        <v>4112</v>
      </c>
      <c r="G38" s="123" t="s">
        <v>5658</v>
      </c>
      <c r="H38" s="124" t="s">
        <v>5617</v>
      </c>
      <c r="I38" s="124" t="s">
        <v>5659</v>
      </c>
      <c r="J38" s="124" t="s">
        <v>5660</v>
      </c>
      <c r="K38" s="124" t="s">
        <v>5661</v>
      </c>
      <c r="L38" s="124" t="s">
        <v>5662</v>
      </c>
      <c r="M38" s="125" t="s">
        <v>3728</v>
      </c>
      <c r="N38" s="126" t="str">
        <f>IF(tblTechnologies[[#This Row],[costtext]]="", 0, LEN(tblTechnologies[[#This Row],[costtext]]) - LEN(SUBSTITUTE(tblTechnologies[[#This Row],[costtext]], ",", "")) + 1)</f>
        <v>#ERROR!</v>
      </c>
      <c r="O38" s="126" t="str">
        <f>COUNTA(tblTechnologies[[#This Row],[amazake]:[wood]])</f>
        <v>#ERROR!</v>
      </c>
      <c r="P38" s="124"/>
      <c r="Q38" s="124"/>
      <c r="R38" s="124"/>
      <c r="S38" s="124"/>
      <c r="T38" s="124"/>
      <c r="U38" s="124"/>
      <c r="V38" s="124"/>
      <c r="W38" s="124">
        <v>20.0</v>
      </c>
      <c r="X38" s="124"/>
      <c r="Y38" s="124"/>
      <c r="Z38" s="124"/>
      <c r="AA38" s="124"/>
      <c r="AB38" s="124">
        <v>20.0</v>
      </c>
      <c r="AC38" s="124"/>
      <c r="AD38" s="124">
        <v>500.0</v>
      </c>
      <c r="AE38" s="124"/>
      <c r="AF38" s="124"/>
      <c r="AG38" s="124"/>
      <c r="AH38" s="124"/>
      <c r="AI38" s="124"/>
      <c r="AJ38" s="124"/>
      <c r="AK38" s="124"/>
      <c r="AL38" s="124"/>
      <c r="AM38" s="124"/>
      <c r="AN38" s="124"/>
      <c r="AO38" s="124"/>
      <c r="AP38" s="124"/>
      <c r="AQ38" s="124">
        <v>20.0</v>
      </c>
      <c r="AR38" s="124"/>
      <c r="AS38" s="124"/>
      <c r="AT38" s="124"/>
      <c r="AU38" s="124"/>
      <c r="AV38" s="124"/>
      <c r="AW38" s="124"/>
      <c r="AX38" s="124"/>
      <c r="AY38" s="124"/>
      <c r="AZ38" s="124"/>
      <c r="BA38" s="124"/>
      <c r="BB38" s="124">
        <v>5.0</v>
      </c>
      <c r="BC38" s="124"/>
      <c r="BD38" s="124"/>
      <c r="BE38" s="124"/>
      <c r="BF38" s="124"/>
      <c r="BG38" s="124"/>
      <c r="BH38" s="124"/>
      <c r="BI38" s="124"/>
      <c r="BJ38" s="124"/>
      <c r="BK38" s="124"/>
      <c r="BL38" s="124"/>
      <c r="BM38" s="124"/>
      <c r="BN38" s="124"/>
      <c r="BO38" s="124"/>
      <c r="BP38" s="124"/>
      <c r="BQ38" s="124"/>
      <c r="BR38" s="124"/>
      <c r="BS38" s="124">
        <v>40.0</v>
      </c>
      <c r="BT38" s="124"/>
      <c r="BU38" s="124"/>
      <c r="BV38" s="124"/>
      <c r="BW38" s="124"/>
      <c r="BX38" s="124"/>
      <c r="BY38" s="124">
        <v>3.0</v>
      </c>
      <c r="BZ38" s="124"/>
      <c r="CA38" s="124"/>
      <c r="CB38" s="124"/>
      <c r="CC38" s="124"/>
      <c r="CD38" s="124"/>
      <c r="CE38" s="124"/>
      <c r="CF38" s="124"/>
      <c r="CG38" s="124"/>
      <c r="CH38" s="124"/>
      <c r="CI38" s="124"/>
      <c r="CJ38" s="124"/>
      <c r="CK38" s="124"/>
      <c r="CL38" s="124"/>
      <c r="CM38" s="124"/>
      <c r="CN38" s="124"/>
      <c r="CO38" s="124"/>
      <c r="CP38" s="124"/>
      <c r="CQ38" s="124"/>
      <c r="CR38" s="124"/>
      <c r="CS38" s="124"/>
      <c r="CT38" s="124"/>
      <c r="CU38" s="124"/>
    </row>
    <row r="39" ht="14.25" customHeight="1">
      <c r="A39" s="21" t="s">
        <v>1786</v>
      </c>
      <c r="B39" s="21" t="s">
        <v>5688</v>
      </c>
      <c r="C39" s="21" t="s">
        <v>5689</v>
      </c>
      <c r="D39" s="21" t="str">
        <f>_xlfn.XLOOKUP(tblTechnologies[[#This Row],[TechnologyID]],tblTargets[TargetID],tblTargets[DisplayName],"")</f>
        <v>#ERROR!</v>
      </c>
      <c r="E39" s="21" t="b">
        <v>1</v>
      </c>
      <c r="F39" s="21" t="s">
        <v>4112</v>
      </c>
      <c r="G39" s="123" t="s">
        <v>5697</v>
      </c>
      <c r="H39" s="124" t="s">
        <v>5617</v>
      </c>
      <c r="I39" s="124" t="s">
        <v>5618</v>
      </c>
      <c r="J39" s="124" t="s">
        <v>5275</v>
      </c>
      <c r="K39" s="124" t="s">
        <v>5701</v>
      </c>
      <c r="L39" s="124"/>
      <c r="M39" s="125" t="s">
        <v>3729</v>
      </c>
      <c r="N39" s="126" t="str">
        <f>IF(tblTechnologies[[#This Row],[costtext]]="", 0, LEN(tblTechnologies[[#This Row],[costtext]]) - LEN(SUBSTITUTE(tblTechnologies[[#This Row],[costtext]], ",", "")) + 1)</f>
        <v>#ERROR!</v>
      </c>
      <c r="O39" s="126" t="str">
        <f>COUNTA(tblTechnologies[[#This Row],[amazake]:[wood]])</f>
        <v>#ERROR!</v>
      </c>
      <c r="P39" s="124"/>
      <c r="Q39" s="124"/>
      <c r="R39" s="124"/>
      <c r="S39" s="124"/>
      <c r="T39" s="124"/>
      <c r="U39" s="124"/>
      <c r="V39" s="124"/>
      <c r="W39" s="124">
        <v>15.0</v>
      </c>
      <c r="X39" s="124"/>
      <c r="Y39" s="124"/>
      <c r="Z39" s="124"/>
      <c r="AA39" s="124"/>
      <c r="AB39" s="124"/>
      <c r="AC39" s="124"/>
      <c r="AD39" s="124">
        <v>400.0</v>
      </c>
      <c r="AE39" s="124"/>
      <c r="AF39" s="124"/>
      <c r="AG39" s="124"/>
      <c r="AH39" s="124">
        <v>40.0</v>
      </c>
      <c r="AI39" s="124"/>
      <c r="AJ39" s="124"/>
      <c r="AK39" s="124"/>
      <c r="AL39" s="124"/>
      <c r="AM39" s="124"/>
      <c r="AN39" s="124"/>
      <c r="AO39" s="124"/>
      <c r="AP39" s="124"/>
      <c r="AQ39" s="124"/>
      <c r="AR39" s="124"/>
      <c r="AS39" s="124"/>
      <c r="AT39" s="124"/>
      <c r="AU39" s="124"/>
      <c r="AV39" s="124"/>
      <c r="AW39" s="124"/>
      <c r="AX39" s="124"/>
      <c r="AY39" s="124"/>
      <c r="AZ39" s="124"/>
      <c r="BA39" s="124"/>
      <c r="BB39" s="124">
        <v>10.0</v>
      </c>
      <c r="BC39" s="124"/>
      <c r="BD39" s="124"/>
      <c r="BE39" s="124"/>
      <c r="BF39" s="124"/>
      <c r="BG39" s="124"/>
      <c r="BH39" s="124"/>
      <c r="BI39" s="124">
        <v>20.0</v>
      </c>
      <c r="BJ39" s="124"/>
      <c r="BK39" s="124"/>
      <c r="BL39" s="124"/>
      <c r="BM39" s="124"/>
      <c r="BN39" s="124"/>
      <c r="BO39" s="124"/>
      <c r="BP39" s="124"/>
      <c r="BQ39" s="124"/>
      <c r="BR39" s="124"/>
      <c r="BS39" s="124"/>
      <c r="BT39" s="124"/>
      <c r="BU39" s="124"/>
      <c r="BV39" s="124"/>
      <c r="BW39" s="124"/>
      <c r="BX39" s="124"/>
      <c r="BY39" s="124">
        <v>2.0</v>
      </c>
      <c r="BZ39" s="124"/>
      <c r="CA39" s="124"/>
      <c r="CB39" s="124"/>
      <c r="CC39" s="124"/>
      <c r="CD39" s="124"/>
      <c r="CE39" s="124"/>
      <c r="CF39" s="124"/>
      <c r="CG39" s="124"/>
      <c r="CH39" s="124"/>
      <c r="CI39" s="124"/>
      <c r="CJ39" s="124"/>
      <c r="CK39" s="124"/>
      <c r="CL39" s="124"/>
      <c r="CM39" s="124"/>
      <c r="CN39" s="124"/>
      <c r="CO39" s="124"/>
      <c r="CP39" s="124"/>
      <c r="CQ39" s="124"/>
      <c r="CR39" s="124"/>
      <c r="CS39" s="124"/>
      <c r="CT39" s="124"/>
      <c r="CU39" s="124"/>
    </row>
    <row r="40" ht="14.25" customHeight="1">
      <c r="A40" s="21" t="s">
        <v>1795</v>
      </c>
      <c r="B40" s="21" t="s">
        <v>5776</v>
      </c>
      <c r="C40" s="21" t="s">
        <v>5778</v>
      </c>
      <c r="D40" s="21" t="str">
        <f>_xlfn.XLOOKUP(tblTechnologies[[#This Row],[TechnologyID]],tblTargets[TargetID],tblTargets[DisplayName],"")</f>
        <v>#ERROR!</v>
      </c>
      <c r="E40" s="21" t="b">
        <v>1</v>
      </c>
      <c r="F40" s="21" t="s">
        <v>4124</v>
      </c>
      <c r="G40" s="123" t="s">
        <v>5783</v>
      </c>
      <c r="H40" s="124" t="s">
        <v>5785</v>
      </c>
      <c r="I40" s="124" t="s">
        <v>5786</v>
      </c>
      <c r="J40" s="124" t="s">
        <v>5289</v>
      </c>
      <c r="K40" s="124" t="s">
        <v>5790</v>
      </c>
      <c r="L40" s="124"/>
      <c r="M40" s="125" t="s">
        <v>3730</v>
      </c>
      <c r="N40" s="126" t="str">
        <f>IF(tblTechnologies[[#This Row],[costtext]]="", 0, LEN(tblTechnologies[[#This Row],[costtext]]) - LEN(SUBSTITUTE(tblTechnologies[[#This Row],[costtext]], ",", "")) + 1)</f>
        <v>#ERROR!</v>
      </c>
      <c r="O40" s="126" t="str">
        <f>COUNTA(tblTechnologies[[#This Row],[amazake]:[wood]])</f>
        <v>#ERROR!</v>
      </c>
      <c r="P40" s="124"/>
      <c r="Q40" s="124"/>
      <c r="R40" s="124"/>
      <c r="S40" s="124"/>
      <c r="T40" s="124"/>
      <c r="U40" s="124"/>
      <c r="V40" s="124"/>
      <c r="W40" s="124">
        <v>30.0</v>
      </c>
      <c r="X40" s="124"/>
      <c r="Y40" s="124"/>
      <c r="Z40" s="124"/>
      <c r="AA40" s="124"/>
      <c r="AB40" s="124"/>
      <c r="AC40" s="124"/>
      <c r="AD40" s="124">
        <v>1500.0</v>
      </c>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v>50.0</v>
      </c>
      <c r="BG40" s="124"/>
      <c r="BH40" s="124"/>
      <c r="BI40" s="124"/>
      <c r="BJ40" s="124"/>
      <c r="BK40" s="124"/>
      <c r="BL40" s="124"/>
      <c r="BM40" s="124"/>
      <c r="BN40" s="124"/>
      <c r="BO40" s="124"/>
      <c r="BP40" s="124"/>
      <c r="BQ40" s="124"/>
      <c r="BR40" s="124"/>
      <c r="BS40" s="124"/>
      <c r="BT40" s="124"/>
      <c r="BU40" s="124"/>
      <c r="BV40" s="124"/>
      <c r="BW40" s="124"/>
      <c r="BX40" s="124"/>
      <c r="BY40" s="124">
        <v>6.0</v>
      </c>
      <c r="BZ40" s="124"/>
      <c r="CA40" s="124"/>
      <c r="CB40" s="124"/>
      <c r="CC40" s="124"/>
      <c r="CD40" s="124"/>
      <c r="CE40" s="124"/>
      <c r="CF40" s="124"/>
      <c r="CG40" s="124"/>
      <c r="CH40" s="124"/>
      <c r="CI40" s="124"/>
      <c r="CJ40" s="124"/>
      <c r="CK40" s="124"/>
      <c r="CL40" s="124"/>
      <c r="CM40" s="124"/>
      <c r="CN40" s="124"/>
      <c r="CO40" s="124"/>
      <c r="CP40" s="124"/>
      <c r="CQ40" s="124"/>
      <c r="CR40" s="124"/>
      <c r="CS40" s="124"/>
      <c r="CT40" s="124"/>
      <c r="CU40" s="124"/>
    </row>
    <row r="41" ht="14.25" customHeight="1">
      <c r="A41" s="21" t="s">
        <v>1802</v>
      </c>
      <c r="B41" s="21" t="s">
        <v>5884</v>
      </c>
      <c r="C41" s="21" t="s">
        <v>5886</v>
      </c>
      <c r="D41" s="21" t="str">
        <f>_xlfn.XLOOKUP(tblTechnologies[[#This Row],[TechnologyID]],tblTargets[TargetID],tblTargets[DisplayName],"")</f>
        <v>#ERROR!</v>
      </c>
      <c r="E41" s="21" t="b">
        <v>1</v>
      </c>
      <c r="F41" s="21" t="s">
        <v>4167</v>
      </c>
      <c r="G41" s="123" t="s">
        <v>5892</v>
      </c>
      <c r="H41" s="124" t="s">
        <v>4168</v>
      </c>
      <c r="I41" s="124" t="s">
        <v>5894</v>
      </c>
      <c r="J41" s="124" t="s">
        <v>5896</v>
      </c>
      <c r="K41" s="124" t="s">
        <v>5897</v>
      </c>
      <c r="L41" s="124" t="s">
        <v>5898</v>
      </c>
      <c r="M41" s="125" t="s">
        <v>3731</v>
      </c>
      <c r="N41" s="126" t="str">
        <f>IF(tblTechnologies[[#This Row],[costtext]]="", 0, LEN(tblTechnologies[[#This Row],[costtext]]) - LEN(SUBSTITUTE(tblTechnologies[[#This Row],[costtext]], ",", "")) + 1)</f>
        <v>#ERROR!</v>
      </c>
      <c r="O41" s="126" t="str">
        <f>COUNTA(tblTechnologies[[#This Row],[amazake]:[wood]])</f>
        <v>#ERROR!</v>
      </c>
      <c r="P41" s="124">
        <v>20.0</v>
      </c>
      <c r="Q41" s="124"/>
      <c r="R41" s="124"/>
      <c r="S41" s="124"/>
      <c r="T41" s="124"/>
      <c r="U41" s="124"/>
      <c r="V41" s="124"/>
      <c r="W41" s="124">
        <v>30.0</v>
      </c>
      <c r="X41" s="124"/>
      <c r="Y41" s="124"/>
      <c r="Z41" s="124">
        <v>20.0</v>
      </c>
      <c r="AA41" s="124"/>
      <c r="AB41" s="124"/>
      <c r="AC41" s="124"/>
      <c r="AD41" s="124">
        <v>1000.0</v>
      </c>
      <c r="AE41" s="124"/>
      <c r="AF41" s="124"/>
      <c r="AG41" s="124"/>
      <c r="AH41" s="124"/>
      <c r="AI41" s="124">
        <v>10.0</v>
      </c>
      <c r="AJ41" s="124"/>
      <c r="AK41" s="124"/>
      <c r="AL41" s="124"/>
      <c r="AM41" s="124">
        <v>20.0</v>
      </c>
      <c r="AN41" s="124"/>
      <c r="AO41" s="124"/>
      <c r="AP41" s="124"/>
      <c r="AQ41" s="124"/>
      <c r="AR41" s="124"/>
      <c r="AS41" s="124"/>
      <c r="AT41" s="124"/>
      <c r="AU41" s="124"/>
      <c r="AV41" s="124"/>
      <c r="AW41" s="124"/>
      <c r="AX41" s="124"/>
      <c r="AY41" s="124"/>
      <c r="AZ41" s="124"/>
      <c r="BA41" s="124"/>
      <c r="BB41" s="124"/>
      <c r="BC41" s="124"/>
      <c r="BD41" s="124">
        <v>20.0</v>
      </c>
      <c r="BE41" s="124"/>
      <c r="BF41" s="124"/>
      <c r="BG41" s="124"/>
      <c r="BH41" s="124"/>
      <c r="BI41" s="124"/>
      <c r="BJ41" s="124"/>
      <c r="BK41" s="124"/>
      <c r="BL41" s="124"/>
      <c r="BM41" s="124"/>
      <c r="BN41" s="124"/>
      <c r="BO41" s="124"/>
      <c r="BP41" s="124"/>
      <c r="BQ41" s="124"/>
      <c r="BR41" s="124"/>
      <c r="BS41" s="124"/>
      <c r="BT41" s="124">
        <v>20.0</v>
      </c>
      <c r="BU41" s="124"/>
      <c r="BV41" s="124"/>
      <c r="BW41" s="124"/>
      <c r="BX41" s="124"/>
      <c r="BY41" s="124">
        <v>5.0</v>
      </c>
      <c r="BZ41" s="124"/>
      <c r="CA41" s="124"/>
      <c r="CB41" s="124"/>
      <c r="CC41" s="124"/>
      <c r="CD41" s="124"/>
      <c r="CE41" s="124"/>
      <c r="CF41" s="124"/>
      <c r="CG41" s="124"/>
      <c r="CH41" s="124"/>
      <c r="CI41" s="124"/>
      <c r="CJ41" s="124"/>
      <c r="CK41" s="124"/>
      <c r="CL41" s="124"/>
      <c r="CM41" s="124"/>
      <c r="CN41" s="124"/>
      <c r="CO41" s="124"/>
      <c r="CP41" s="124"/>
      <c r="CQ41" s="124"/>
      <c r="CR41" s="124"/>
      <c r="CS41" s="124"/>
      <c r="CT41" s="124"/>
      <c r="CU41" s="124"/>
    </row>
    <row r="42" ht="14.25" customHeight="1">
      <c r="A42" s="21" t="s">
        <v>1798</v>
      </c>
      <c r="B42" s="21" t="s">
        <v>5927</v>
      </c>
      <c r="C42" s="21" t="s">
        <v>5929</v>
      </c>
      <c r="D42" s="21" t="str">
        <f>_xlfn.XLOOKUP(tblTechnologies[[#This Row],[TechnologyID]],tblTargets[TargetID],tblTargets[DisplayName],"")</f>
        <v>#ERROR!</v>
      </c>
      <c r="E42" s="21" t="b">
        <v>1</v>
      </c>
      <c r="F42" s="21" t="s">
        <v>4167</v>
      </c>
      <c r="G42" s="123" t="s">
        <v>5931</v>
      </c>
      <c r="H42" s="124" t="s">
        <v>4168</v>
      </c>
      <c r="I42" s="124" t="s">
        <v>5894</v>
      </c>
      <c r="J42" s="124" t="s">
        <v>5896</v>
      </c>
      <c r="K42" s="124" t="s">
        <v>5932</v>
      </c>
      <c r="L42" s="124" t="s">
        <v>5933</v>
      </c>
      <c r="M42" s="125" t="s">
        <v>3733</v>
      </c>
      <c r="N42" s="126" t="str">
        <f>IF(tblTechnologies[[#This Row],[costtext]]="", 0, LEN(tblTechnologies[[#This Row],[costtext]]) - LEN(SUBSTITUTE(tblTechnologies[[#This Row],[costtext]], ",", "")) + 1)</f>
        <v>#ERROR!</v>
      </c>
      <c r="O42" s="126" t="str">
        <f>COUNTA(tblTechnologies[[#This Row],[amazake]:[wood]])</f>
        <v>#ERROR!</v>
      </c>
      <c r="P42" s="124"/>
      <c r="Q42" s="124"/>
      <c r="R42" s="124"/>
      <c r="S42" s="124"/>
      <c r="T42" s="124"/>
      <c r="U42" s="124"/>
      <c r="V42" s="124"/>
      <c r="W42" s="124">
        <v>30.0</v>
      </c>
      <c r="X42" s="124"/>
      <c r="Y42" s="124"/>
      <c r="Z42" s="124"/>
      <c r="AA42" s="124"/>
      <c r="AB42" s="124">
        <v>100.0</v>
      </c>
      <c r="AC42" s="124"/>
      <c r="AD42" s="124">
        <v>1000.0</v>
      </c>
      <c r="AE42" s="124"/>
      <c r="AF42" s="124"/>
      <c r="AG42" s="124"/>
      <c r="AH42" s="124"/>
      <c r="AI42" s="124"/>
      <c r="AJ42" s="124"/>
      <c r="AK42" s="124"/>
      <c r="AL42" s="124"/>
      <c r="AM42" s="124">
        <v>20.0</v>
      </c>
      <c r="AN42" s="124"/>
      <c r="AO42" s="124"/>
      <c r="AP42" s="124"/>
      <c r="AQ42" s="124"/>
      <c r="AR42" s="124"/>
      <c r="AS42" s="124"/>
      <c r="AT42" s="124"/>
      <c r="AU42" s="124"/>
      <c r="AV42" s="124"/>
      <c r="AW42" s="124"/>
      <c r="AX42" s="124"/>
      <c r="AY42" s="124"/>
      <c r="AZ42" s="124"/>
      <c r="BA42" s="124"/>
      <c r="BB42" s="124">
        <v>30.0</v>
      </c>
      <c r="BC42" s="124"/>
      <c r="BD42" s="124">
        <v>20.0</v>
      </c>
      <c r="BE42" s="124"/>
      <c r="BF42" s="124"/>
      <c r="BG42" s="124"/>
      <c r="BH42" s="124"/>
      <c r="BI42" s="124"/>
      <c r="BJ42" s="124"/>
      <c r="BK42" s="124"/>
      <c r="BL42" s="124"/>
      <c r="BM42" s="124"/>
      <c r="BN42" s="124">
        <v>40.0</v>
      </c>
      <c r="BO42" s="124"/>
      <c r="BP42" s="124"/>
      <c r="BQ42" s="124"/>
      <c r="BR42" s="124"/>
      <c r="BS42" s="124">
        <v>20.0</v>
      </c>
      <c r="BT42" s="124"/>
      <c r="BU42" s="124"/>
      <c r="BV42" s="124"/>
      <c r="BW42" s="124"/>
      <c r="BX42" s="124"/>
      <c r="BY42" s="124">
        <v>5.0</v>
      </c>
      <c r="BZ42" s="124"/>
      <c r="CA42" s="124"/>
      <c r="CB42" s="124"/>
      <c r="CC42" s="124"/>
      <c r="CD42" s="124"/>
      <c r="CE42" s="124"/>
      <c r="CF42" s="124"/>
      <c r="CG42" s="124"/>
      <c r="CH42" s="124"/>
      <c r="CI42" s="124"/>
      <c r="CJ42" s="124"/>
      <c r="CK42" s="124"/>
      <c r="CL42" s="124"/>
      <c r="CM42" s="124"/>
      <c r="CN42" s="124"/>
      <c r="CO42" s="124"/>
      <c r="CP42" s="124"/>
      <c r="CQ42" s="124"/>
      <c r="CR42" s="124"/>
      <c r="CS42" s="124"/>
      <c r="CT42" s="124"/>
      <c r="CU42" s="124"/>
    </row>
    <row r="43" ht="14.25" customHeight="1">
      <c r="A43" s="21" t="s">
        <v>1800</v>
      </c>
      <c r="B43" s="21" t="s">
        <v>5940</v>
      </c>
      <c r="C43" s="21" t="s">
        <v>5941</v>
      </c>
      <c r="D43" s="21" t="str">
        <f>_xlfn.XLOOKUP(tblTechnologies[[#This Row],[TechnologyID]],tblTargets[TargetID],tblTargets[DisplayName],"")</f>
        <v>#ERROR!</v>
      </c>
      <c r="E43" s="21" t="b">
        <v>1</v>
      </c>
      <c r="F43" s="21" t="s">
        <v>4167</v>
      </c>
      <c r="G43" s="123" t="s">
        <v>5942</v>
      </c>
      <c r="H43" s="124" t="s">
        <v>4168</v>
      </c>
      <c r="I43" s="124" t="s">
        <v>5943</v>
      </c>
      <c r="J43" s="124" t="s">
        <v>5944</v>
      </c>
      <c r="K43" s="124"/>
      <c r="L43" s="124"/>
      <c r="M43" s="125" t="s">
        <v>3734</v>
      </c>
      <c r="N43" s="126" t="str">
        <f>IF(tblTechnologies[[#This Row],[costtext]]="", 0, LEN(tblTechnologies[[#This Row],[costtext]]) - LEN(SUBSTITUTE(tblTechnologies[[#This Row],[costtext]], ",", "")) + 1)</f>
        <v>#ERROR!</v>
      </c>
      <c r="O43" s="126" t="str">
        <f>COUNTA(tblTechnologies[[#This Row],[amazake]:[wood]])</f>
        <v>#ERROR!</v>
      </c>
      <c r="P43" s="124"/>
      <c r="Q43" s="124"/>
      <c r="R43" s="124"/>
      <c r="S43" s="124"/>
      <c r="T43" s="124"/>
      <c r="U43" s="124"/>
      <c r="V43" s="124"/>
      <c r="W43" s="124">
        <v>40.0</v>
      </c>
      <c r="X43" s="124"/>
      <c r="Y43" s="124"/>
      <c r="Z43" s="124"/>
      <c r="AA43" s="124"/>
      <c r="AB43" s="124"/>
      <c r="AC43" s="124"/>
      <c r="AD43" s="124">
        <v>1000.0</v>
      </c>
      <c r="AE43" s="124"/>
      <c r="AF43" s="124">
        <v>2.0</v>
      </c>
      <c r="AG43" s="124"/>
      <c r="AH43" s="124"/>
      <c r="AI43" s="124"/>
      <c r="AJ43" s="124"/>
      <c r="AK43" s="124"/>
      <c r="AL43" s="124"/>
      <c r="AM43" s="124">
        <v>30.0</v>
      </c>
      <c r="AN43" s="124"/>
      <c r="AO43" s="124"/>
      <c r="AP43" s="124"/>
      <c r="AQ43" s="124"/>
      <c r="AR43" s="124"/>
      <c r="AS43" s="124"/>
      <c r="AT43" s="124"/>
      <c r="AU43" s="124"/>
      <c r="AV43" s="124"/>
      <c r="AW43" s="124"/>
      <c r="AX43" s="124"/>
      <c r="AY43" s="124"/>
      <c r="AZ43" s="124"/>
      <c r="BA43" s="124"/>
      <c r="BB43" s="124"/>
      <c r="BC43" s="124">
        <v>20.0</v>
      </c>
      <c r="BD43" s="124">
        <v>30.0</v>
      </c>
      <c r="BE43" s="124"/>
      <c r="BF43" s="124"/>
      <c r="BG43" s="124"/>
      <c r="BH43" s="124"/>
      <c r="BI43" s="124"/>
      <c r="BJ43" s="124"/>
      <c r="BK43" s="124"/>
      <c r="BL43" s="124"/>
      <c r="BM43" s="124"/>
      <c r="BN43" s="124"/>
      <c r="BO43" s="124"/>
      <c r="BP43" s="124"/>
      <c r="BQ43" s="124"/>
      <c r="BR43" s="124"/>
      <c r="BS43" s="124"/>
      <c r="BT43" s="124"/>
      <c r="BU43" s="124"/>
      <c r="BV43" s="124"/>
      <c r="BW43" s="124"/>
      <c r="BX43" s="124"/>
      <c r="BY43" s="124">
        <v>5.0</v>
      </c>
      <c r="BZ43" s="124"/>
      <c r="CA43" s="124"/>
      <c r="CB43" s="124"/>
      <c r="CC43" s="124"/>
      <c r="CD43" s="124"/>
      <c r="CE43" s="124"/>
      <c r="CF43" s="124"/>
      <c r="CG43" s="124"/>
      <c r="CH43" s="124"/>
      <c r="CI43" s="124"/>
      <c r="CJ43" s="124"/>
      <c r="CK43" s="124"/>
      <c r="CL43" s="124"/>
      <c r="CM43" s="124"/>
      <c r="CN43" s="124"/>
      <c r="CO43" s="124"/>
      <c r="CP43" s="124">
        <v>20.0</v>
      </c>
      <c r="CQ43" s="124"/>
      <c r="CR43" s="124"/>
      <c r="CS43" s="124">
        <v>10.0</v>
      </c>
      <c r="CT43" s="124"/>
      <c r="CU43" s="124"/>
    </row>
    <row r="44" ht="14.25" customHeight="1">
      <c r="A44" s="21" t="s">
        <v>1814</v>
      </c>
      <c r="B44" s="21" t="s">
        <v>5950</v>
      </c>
      <c r="C44" s="21" t="s">
        <v>5951</v>
      </c>
      <c r="D44" s="21" t="str">
        <f>_xlfn.XLOOKUP(tblTechnologies[[#This Row],[TechnologyID]],tblTargets[TargetID],tblTargets[DisplayName],"")</f>
        <v>#ERROR!</v>
      </c>
      <c r="E44" s="21" t="b">
        <v>1</v>
      </c>
      <c r="F44" s="21" t="s">
        <v>4208</v>
      </c>
      <c r="G44" s="123" t="s">
        <v>5952</v>
      </c>
      <c r="H44" s="124" t="s">
        <v>5953</v>
      </c>
      <c r="I44" s="124" t="s">
        <v>5955</v>
      </c>
      <c r="J44" s="124" t="s">
        <v>5363</v>
      </c>
      <c r="K44" s="124" t="s">
        <v>5956</v>
      </c>
      <c r="L44" s="124"/>
      <c r="M44" s="125" t="s">
        <v>3735</v>
      </c>
      <c r="N44" s="126" t="str">
        <f>IF(tblTechnologies[[#This Row],[costtext]]="", 0, LEN(tblTechnologies[[#This Row],[costtext]]) - LEN(SUBSTITUTE(tblTechnologies[[#This Row],[costtext]], ",", "")) + 1)</f>
        <v>#ERROR!</v>
      </c>
      <c r="O44" s="126" t="str">
        <f>COUNTA(tblTechnologies[[#This Row],[amazake]:[wood]])</f>
        <v>#ERROR!</v>
      </c>
      <c r="P44" s="124"/>
      <c r="Q44" s="124"/>
      <c r="R44" s="124"/>
      <c r="S44" s="124"/>
      <c r="T44" s="124"/>
      <c r="U44" s="124"/>
      <c r="V44" s="124"/>
      <c r="W44" s="124">
        <v>30.0</v>
      </c>
      <c r="X44" s="124"/>
      <c r="Y44" s="124"/>
      <c r="Z44" s="124"/>
      <c r="AA44" s="124"/>
      <c r="AB44" s="124"/>
      <c r="AC44" s="124"/>
      <c r="AD44" s="124">
        <v>400.0</v>
      </c>
      <c r="AE44" s="124"/>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v>20.0</v>
      </c>
      <c r="BO44" s="124"/>
      <c r="BP44" s="124"/>
      <c r="BQ44" s="124"/>
      <c r="BR44" s="124"/>
      <c r="BS44" s="124"/>
      <c r="BT44" s="124"/>
      <c r="BU44" s="124"/>
      <c r="BV44" s="124"/>
      <c r="BW44" s="124"/>
      <c r="BX44" s="124"/>
      <c r="BY44" s="124">
        <v>2.0</v>
      </c>
      <c r="BZ44" s="124"/>
      <c r="CA44" s="124"/>
      <c r="CB44" s="124"/>
      <c r="CC44" s="124"/>
      <c r="CD44" s="124"/>
      <c r="CE44" s="124"/>
      <c r="CF44" s="124"/>
      <c r="CG44" s="124"/>
      <c r="CH44" s="124"/>
      <c r="CI44" s="124"/>
      <c r="CJ44" s="124"/>
      <c r="CK44" s="124"/>
      <c r="CL44" s="124"/>
      <c r="CM44" s="124"/>
      <c r="CN44" s="124"/>
      <c r="CO44" s="124"/>
      <c r="CP44" s="124"/>
      <c r="CQ44" s="124"/>
      <c r="CR44" s="124"/>
      <c r="CS44" s="124"/>
      <c r="CT44" s="124"/>
      <c r="CU44" s="124"/>
    </row>
    <row r="45" ht="14.25" customHeight="1">
      <c r="A45" s="21" t="s">
        <v>1805</v>
      </c>
      <c r="B45" s="21" t="s">
        <v>5959</v>
      </c>
      <c r="C45" s="21" t="s">
        <v>5960</v>
      </c>
      <c r="D45" s="21" t="str">
        <f>_xlfn.XLOOKUP(tblTechnologies[[#This Row],[TechnologyID]],tblTargets[TargetID],tblTargets[DisplayName],"")</f>
        <v>#ERROR!</v>
      </c>
      <c r="E45" s="21" t="b">
        <v>1</v>
      </c>
      <c r="F45" s="21" t="s">
        <v>4208</v>
      </c>
      <c r="G45" s="123" t="s">
        <v>5961</v>
      </c>
      <c r="H45" s="124" t="s">
        <v>5953</v>
      </c>
      <c r="I45" s="124" t="s">
        <v>5955</v>
      </c>
      <c r="J45" s="124" t="s">
        <v>5363</v>
      </c>
      <c r="K45" s="124" t="s">
        <v>5962</v>
      </c>
      <c r="L45" s="124"/>
      <c r="M45" s="125" t="s">
        <v>3737</v>
      </c>
      <c r="N45" s="126" t="str">
        <f>IF(tblTechnologies[[#This Row],[costtext]]="", 0, LEN(tblTechnologies[[#This Row],[costtext]]) - LEN(SUBSTITUTE(tblTechnologies[[#This Row],[costtext]], ",", "")) + 1)</f>
        <v>#ERROR!</v>
      </c>
      <c r="O45" s="126" t="str">
        <f>COUNTA(tblTechnologies[[#This Row],[amazake]:[wood]])</f>
        <v>#ERROR!</v>
      </c>
      <c r="P45" s="124"/>
      <c r="Q45" s="124"/>
      <c r="R45" s="124"/>
      <c r="S45" s="124"/>
      <c r="T45" s="124"/>
      <c r="U45" s="124"/>
      <c r="V45" s="124"/>
      <c r="W45" s="124">
        <v>40.0</v>
      </c>
      <c r="X45" s="124"/>
      <c r="Y45" s="124"/>
      <c r="Z45" s="124"/>
      <c r="AA45" s="124"/>
      <c r="AB45" s="124"/>
      <c r="AC45" s="124"/>
      <c r="AD45" s="124">
        <v>1000.0</v>
      </c>
      <c r="AE45" s="124"/>
      <c r="AF45" s="124"/>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v>400.0</v>
      </c>
      <c r="BQ45" s="124"/>
      <c r="BR45" s="124"/>
      <c r="BS45" s="124"/>
      <c r="BT45" s="124"/>
      <c r="BU45" s="124"/>
      <c r="BV45" s="124"/>
      <c r="BW45" s="124"/>
      <c r="BX45" s="124"/>
      <c r="BY45" s="124">
        <v>3.0</v>
      </c>
      <c r="BZ45" s="124"/>
      <c r="CA45" s="124"/>
      <c r="CB45" s="124"/>
      <c r="CC45" s="124"/>
      <c r="CD45" s="124"/>
      <c r="CE45" s="124"/>
      <c r="CF45" s="124"/>
      <c r="CG45" s="124">
        <v>200.0</v>
      </c>
      <c r="CH45" s="124"/>
      <c r="CI45" s="124"/>
      <c r="CJ45" s="124"/>
      <c r="CK45" s="124"/>
      <c r="CL45" s="124"/>
      <c r="CM45" s="124"/>
      <c r="CN45" s="124"/>
      <c r="CO45" s="124"/>
      <c r="CP45" s="124"/>
      <c r="CQ45" s="124"/>
      <c r="CR45" s="124"/>
      <c r="CS45" s="124"/>
      <c r="CT45" s="124"/>
      <c r="CU45" s="124"/>
    </row>
    <row r="46" ht="14.25" customHeight="1">
      <c r="A46" s="21" t="s">
        <v>1807</v>
      </c>
      <c r="B46" s="21" t="s">
        <v>5965</v>
      </c>
      <c r="C46" s="21" t="s">
        <v>5966</v>
      </c>
      <c r="D46" s="21" t="str">
        <f>_xlfn.XLOOKUP(tblTechnologies[[#This Row],[TechnologyID]],tblTargets[TargetID],tblTargets[DisplayName],"")</f>
        <v>#ERROR!</v>
      </c>
      <c r="E46" s="21" t="b">
        <v>1</v>
      </c>
      <c r="F46" s="21" t="s">
        <v>4208</v>
      </c>
      <c r="G46" s="123" t="s">
        <v>5967</v>
      </c>
      <c r="H46" s="124" t="s">
        <v>5953</v>
      </c>
      <c r="I46" s="124" t="s">
        <v>5968</v>
      </c>
      <c r="J46" s="124" t="s">
        <v>5969</v>
      </c>
      <c r="K46" s="124" t="s">
        <v>5962</v>
      </c>
      <c r="L46" s="124"/>
      <c r="M46" s="125" t="s">
        <v>3738</v>
      </c>
      <c r="N46" s="126" t="str">
        <f>IF(tblTechnologies[[#This Row],[costtext]]="", 0, LEN(tblTechnologies[[#This Row],[costtext]]) - LEN(SUBSTITUTE(tblTechnologies[[#This Row],[costtext]], ",", "")) + 1)</f>
        <v>#ERROR!</v>
      </c>
      <c r="O46" s="126" t="str">
        <f>COUNTA(tblTechnologies[[#This Row],[amazake]:[wood]])</f>
        <v>#ERROR!</v>
      </c>
      <c r="P46" s="124"/>
      <c r="Q46" s="124"/>
      <c r="R46" s="124"/>
      <c r="S46" s="124"/>
      <c r="T46" s="124"/>
      <c r="U46" s="124"/>
      <c r="V46" s="124"/>
      <c r="W46" s="124">
        <v>60.0</v>
      </c>
      <c r="X46" s="124"/>
      <c r="Y46" s="124"/>
      <c r="Z46" s="124"/>
      <c r="AA46" s="124"/>
      <c r="AB46" s="124"/>
      <c r="AC46" s="124"/>
      <c r="AD46" s="124">
        <v>1500.0</v>
      </c>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v>600.0</v>
      </c>
      <c r="BQ46" s="124"/>
      <c r="BR46" s="124"/>
      <c r="BS46" s="124"/>
      <c r="BT46" s="124"/>
      <c r="BU46" s="124"/>
      <c r="BV46" s="124"/>
      <c r="BW46" s="124"/>
      <c r="BX46" s="124"/>
      <c r="BY46" s="124">
        <v>5.0</v>
      </c>
      <c r="BZ46" s="124"/>
      <c r="CA46" s="124"/>
      <c r="CB46" s="124"/>
      <c r="CC46" s="124"/>
      <c r="CD46" s="124"/>
      <c r="CE46" s="124"/>
      <c r="CF46" s="124"/>
      <c r="CG46" s="124">
        <v>300.0</v>
      </c>
      <c r="CH46" s="124"/>
      <c r="CI46" s="124"/>
      <c r="CJ46" s="124"/>
      <c r="CK46" s="124"/>
      <c r="CL46" s="124"/>
      <c r="CM46" s="124"/>
      <c r="CN46" s="124"/>
      <c r="CO46" s="124"/>
      <c r="CP46" s="124"/>
      <c r="CQ46" s="124"/>
      <c r="CR46" s="124"/>
      <c r="CS46" s="124"/>
      <c r="CT46" s="124"/>
      <c r="CU46" s="124"/>
    </row>
    <row r="47" ht="14.25" customHeight="1">
      <c r="A47" s="21" t="s">
        <v>1812</v>
      </c>
      <c r="B47" s="21" t="s">
        <v>5972</v>
      </c>
      <c r="C47" s="21" t="s">
        <v>5973</v>
      </c>
      <c r="D47" s="21" t="str">
        <f>_xlfn.XLOOKUP(tblTechnologies[[#This Row],[TechnologyID]],tblTargets[TargetID],tblTargets[DisplayName],"")</f>
        <v>#ERROR!</v>
      </c>
      <c r="E47" s="21" t="b">
        <v>1</v>
      </c>
      <c r="F47" s="21" t="s">
        <v>4208</v>
      </c>
      <c r="G47" s="123" t="s">
        <v>5974</v>
      </c>
      <c r="H47" s="124" t="s">
        <v>5953</v>
      </c>
      <c r="I47" s="124" t="s">
        <v>5955</v>
      </c>
      <c r="J47" s="124" t="s">
        <v>5363</v>
      </c>
      <c r="K47" s="124" t="s">
        <v>5975</v>
      </c>
      <c r="L47" s="124"/>
      <c r="M47" s="125" t="s">
        <v>3740</v>
      </c>
      <c r="N47" s="126" t="str">
        <f>IF(tblTechnologies[[#This Row],[costtext]]="", 0, LEN(tblTechnologies[[#This Row],[costtext]]) - LEN(SUBSTITUTE(tblTechnologies[[#This Row],[costtext]], ",", "")) + 1)</f>
        <v>#ERROR!</v>
      </c>
      <c r="O47" s="126" t="str">
        <f>COUNTA(tblTechnologies[[#This Row],[amazake]:[wood]])</f>
        <v>#ERROR!</v>
      </c>
      <c r="P47" s="124"/>
      <c r="Q47" s="124"/>
      <c r="R47" s="124"/>
      <c r="S47" s="124"/>
      <c r="T47" s="124"/>
      <c r="U47" s="124"/>
      <c r="V47" s="124"/>
      <c r="W47" s="124"/>
      <c r="X47" s="124"/>
      <c r="Y47" s="124"/>
      <c r="Z47" s="124"/>
      <c r="AA47" s="124"/>
      <c r="AB47" s="124"/>
      <c r="AC47" s="124"/>
      <c r="AD47" s="124">
        <v>1000.0</v>
      </c>
      <c r="AE47" s="124"/>
      <c r="AF47" s="124"/>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v>25.0</v>
      </c>
      <c r="BL47" s="124"/>
      <c r="BM47" s="124">
        <v>40.0</v>
      </c>
      <c r="BN47" s="124">
        <v>20.0</v>
      </c>
      <c r="BO47" s="124"/>
      <c r="BP47" s="124"/>
      <c r="BQ47" s="124"/>
      <c r="BR47" s="124"/>
      <c r="BS47" s="124"/>
      <c r="BT47" s="124"/>
      <c r="BU47" s="124"/>
      <c r="BV47" s="124"/>
      <c r="BW47" s="124"/>
      <c r="BX47" s="124"/>
      <c r="BY47" s="124">
        <v>3.0</v>
      </c>
      <c r="BZ47" s="124"/>
      <c r="CA47" s="124"/>
      <c r="CB47" s="124"/>
      <c r="CC47" s="124"/>
      <c r="CD47" s="124"/>
      <c r="CE47" s="124"/>
      <c r="CF47" s="124"/>
      <c r="CG47" s="124"/>
      <c r="CH47" s="124"/>
      <c r="CI47" s="124"/>
      <c r="CJ47" s="124"/>
      <c r="CK47" s="124"/>
      <c r="CL47" s="124"/>
      <c r="CM47" s="124"/>
      <c r="CN47" s="124"/>
      <c r="CO47" s="124"/>
      <c r="CP47" s="124"/>
      <c r="CQ47" s="124"/>
      <c r="CR47" s="124"/>
      <c r="CS47" s="124"/>
      <c r="CT47" s="124"/>
      <c r="CU47" s="124"/>
    </row>
    <row r="48" ht="14.25" customHeight="1">
      <c r="A48" s="21" t="s">
        <v>1809</v>
      </c>
      <c r="B48" s="21" t="s">
        <v>5981</v>
      </c>
      <c r="C48" s="21" t="s">
        <v>5982</v>
      </c>
      <c r="D48" s="21" t="str">
        <f>_xlfn.XLOOKUP(tblTechnologies[[#This Row],[TechnologyID]],tblTargets[TargetID],tblTargets[DisplayName],"")</f>
        <v>#ERROR!</v>
      </c>
      <c r="E48" s="21" t="b">
        <v>1</v>
      </c>
      <c r="F48" s="21" t="s">
        <v>4208</v>
      </c>
      <c r="G48" s="123" t="s">
        <v>5983</v>
      </c>
      <c r="H48" s="124" t="s">
        <v>5953</v>
      </c>
      <c r="I48" s="124" t="s">
        <v>5984</v>
      </c>
      <c r="J48" s="124" t="s">
        <v>5987</v>
      </c>
      <c r="K48" s="124" t="s">
        <v>5988</v>
      </c>
      <c r="L48" s="124"/>
      <c r="M48" s="125" t="s">
        <v>3741</v>
      </c>
      <c r="N48" s="126" t="str">
        <f>IF(tblTechnologies[[#This Row],[costtext]]="", 0, LEN(tblTechnologies[[#This Row],[costtext]]) - LEN(SUBSTITUTE(tblTechnologies[[#This Row],[costtext]], ",", "")) + 1)</f>
        <v>#ERROR!</v>
      </c>
      <c r="O48" s="126" t="str">
        <f>COUNTA(tblTechnologies[[#This Row],[amazake]:[wood]])</f>
        <v>#ERROR!</v>
      </c>
      <c r="P48" s="124"/>
      <c r="Q48" s="124"/>
      <c r="R48" s="124"/>
      <c r="S48" s="124"/>
      <c r="T48" s="124"/>
      <c r="U48" s="124"/>
      <c r="V48" s="124"/>
      <c r="W48" s="124">
        <v>40.0</v>
      </c>
      <c r="X48" s="124"/>
      <c r="Y48" s="124"/>
      <c r="Z48" s="124"/>
      <c r="AA48" s="124"/>
      <c r="AB48" s="124"/>
      <c r="AC48" s="124"/>
      <c r="AD48" s="124">
        <v>1000.0</v>
      </c>
      <c r="AE48" s="124"/>
      <c r="AF48" s="124"/>
      <c r="AG48" s="124"/>
      <c r="AH48" s="124"/>
      <c r="AI48" s="124"/>
      <c r="AJ48" s="124"/>
      <c r="AK48" s="124"/>
      <c r="AL48" s="124"/>
      <c r="AM48" s="124"/>
      <c r="AN48" s="124"/>
      <c r="AO48" s="124"/>
      <c r="AP48" s="124"/>
      <c r="AQ48" s="124"/>
      <c r="AR48" s="124"/>
      <c r="AS48" s="124"/>
      <c r="AT48" s="124"/>
      <c r="AU48" s="124"/>
      <c r="AV48" s="124"/>
      <c r="AW48" s="124"/>
      <c r="AX48" s="124"/>
      <c r="AY48" s="124"/>
      <c r="AZ48" s="124"/>
      <c r="BA48" s="124"/>
      <c r="BB48" s="124"/>
      <c r="BC48" s="124"/>
      <c r="BD48" s="124"/>
      <c r="BE48" s="124"/>
      <c r="BF48" s="124"/>
      <c r="BG48" s="124"/>
      <c r="BH48" s="124"/>
      <c r="BI48" s="124"/>
      <c r="BJ48" s="124"/>
      <c r="BK48" s="124"/>
      <c r="BL48" s="124"/>
      <c r="BM48" s="124"/>
      <c r="BN48" s="124">
        <v>30.0</v>
      </c>
      <c r="BO48" s="124"/>
      <c r="BP48" s="124"/>
      <c r="BQ48" s="124"/>
      <c r="BR48" s="124"/>
      <c r="BS48" s="124"/>
      <c r="BT48" s="124"/>
      <c r="BU48" s="124"/>
      <c r="BV48" s="124"/>
      <c r="BW48" s="124">
        <v>50.0</v>
      </c>
      <c r="BX48" s="124"/>
      <c r="BY48" s="124">
        <v>5.0</v>
      </c>
      <c r="BZ48" s="124"/>
      <c r="CA48" s="124"/>
      <c r="CB48" s="124"/>
      <c r="CC48" s="124"/>
      <c r="CD48" s="124"/>
      <c r="CE48" s="124"/>
      <c r="CF48" s="124"/>
      <c r="CG48" s="124"/>
      <c r="CH48" s="124"/>
      <c r="CI48" s="124"/>
      <c r="CJ48" s="124"/>
      <c r="CK48" s="124"/>
      <c r="CL48" s="124"/>
      <c r="CM48" s="124"/>
      <c r="CN48" s="124"/>
      <c r="CO48" s="124"/>
      <c r="CP48" s="124"/>
      <c r="CQ48" s="124">
        <v>10.0</v>
      </c>
      <c r="CR48" s="124"/>
      <c r="CS48" s="124"/>
      <c r="CT48" s="124"/>
      <c r="CU48" s="124"/>
    </row>
    <row r="49" ht="14.25" customHeight="1">
      <c r="A49" s="21" t="s">
        <v>1816</v>
      </c>
      <c r="B49" s="21" t="s">
        <v>5996</v>
      </c>
      <c r="C49" s="21" t="s">
        <v>5997</v>
      </c>
      <c r="D49" s="21" t="str">
        <f>_xlfn.XLOOKUP(tblTechnologies[[#This Row],[TechnologyID]],tblTargets[TargetID],tblTargets[DisplayName],"")</f>
        <v>#ERROR!</v>
      </c>
      <c r="E49" s="21" t="b">
        <v>1</v>
      </c>
      <c r="F49" s="21" t="s">
        <v>4208</v>
      </c>
      <c r="G49" s="123" t="s">
        <v>5998</v>
      </c>
      <c r="H49" s="124" t="s">
        <v>5953</v>
      </c>
      <c r="I49" s="124" t="s">
        <v>5999</v>
      </c>
      <c r="J49" s="124" t="s">
        <v>6000</v>
      </c>
      <c r="K49" s="124" t="s">
        <v>6001</v>
      </c>
      <c r="L49" s="124" t="s">
        <v>4162</v>
      </c>
      <c r="M49" s="125" t="s">
        <v>3742</v>
      </c>
      <c r="N49" s="126" t="str">
        <f>IF(tblTechnologies[[#This Row],[costtext]]="", 0, LEN(tblTechnologies[[#This Row],[costtext]]) - LEN(SUBSTITUTE(tblTechnologies[[#This Row],[costtext]], ",", "")) + 1)</f>
        <v>#ERROR!</v>
      </c>
      <c r="O49" s="126" t="str">
        <f>COUNTA(tblTechnologies[[#This Row],[amazake]:[wood]])</f>
        <v>#ERROR!</v>
      </c>
      <c r="P49" s="124"/>
      <c r="Q49" s="124"/>
      <c r="R49" s="124"/>
      <c r="S49" s="124"/>
      <c r="T49" s="124"/>
      <c r="U49" s="124"/>
      <c r="V49" s="124"/>
      <c r="W49" s="124">
        <v>30.0</v>
      </c>
      <c r="X49" s="124"/>
      <c r="Y49" s="124"/>
      <c r="Z49" s="124"/>
      <c r="AA49" s="124"/>
      <c r="AB49" s="124"/>
      <c r="AC49" s="124"/>
      <c r="AD49" s="124">
        <v>400.0</v>
      </c>
      <c r="AE49" s="124"/>
      <c r="AF49" s="124"/>
      <c r="AG49" s="124"/>
      <c r="AH49" s="124"/>
      <c r="AI49" s="124"/>
      <c r="AJ49" s="124"/>
      <c r="AK49" s="124"/>
      <c r="AL49" s="124"/>
      <c r="AM49" s="124">
        <v>40.0</v>
      </c>
      <c r="AN49" s="124"/>
      <c r="AO49" s="124"/>
      <c r="AP49" s="124"/>
      <c r="AQ49" s="124"/>
      <c r="AR49" s="124"/>
      <c r="AS49" s="124"/>
      <c r="AT49" s="124"/>
      <c r="AU49" s="124"/>
      <c r="AV49" s="124"/>
      <c r="AW49" s="124"/>
      <c r="AX49" s="124"/>
      <c r="AY49" s="124"/>
      <c r="AZ49" s="124"/>
      <c r="BA49" s="124"/>
      <c r="BB49" s="124"/>
      <c r="BC49" s="124"/>
      <c r="BD49" s="124">
        <v>30.0</v>
      </c>
      <c r="BE49" s="124"/>
      <c r="BF49" s="124"/>
      <c r="BG49" s="124"/>
      <c r="BH49" s="124"/>
      <c r="BI49" s="124"/>
      <c r="BJ49" s="124"/>
      <c r="BK49" s="124"/>
      <c r="BL49" s="124"/>
      <c r="BM49" s="124"/>
      <c r="BN49" s="124"/>
      <c r="BO49" s="124"/>
      <c r="BP49" s="124"/>
      <c r="BQ49" s="124"/>
      <c r="BR49" s="124"/>
      <c r="BS49" s="124"/>
      <c r="BT49" s="124"/>
      <c r="BU49" s="124"/>
      <c r="BV49" s="124"/>
      <c r="BW49" s="124"/>
      <c r="BX49" s="124"/>
      <c r="BY49" s="124">
        <v>3.0</v>
      </c>
      <c r="BZ49" s="124"/>
      <c r="CA49" s="124"/>
      <c r="CB49" s="124"/>
      <c r="CC49" s="124"/>
      <c r="CD49" s="124"/>
      <c r="CE49" s="124"/>
      <c r="CF49" s="124"/>
      <c r="CG49" s="124">
        <v>200.0</v>
      </c>
      <c r="CH49" s="124"/>
      <c r="CI49" s="124"/>
      <c r="CJ49" s="124"/>
      <c r="CK49" s="124"/>
      <c r="CL49" s="124"/>
      <c r="CM49" s="124"/>
      <c r="CN49" s="124"/>
      <c r="CO49" s="124"/>
      <c r="CP49" s="124"/>
      <c r="CQ49" s="124"/>
      <c r="CR49" s="124"/>
      <c r="CS49" s="124"/>
      <c r="CT49" s="124"/>
      <c r="CU49" s="124"/>
    </row>
    <row r="50" ht="14.25" customHeight="1">
      <c r="A50" s="21" t="s">
        <v>1818</v>
      </c>
      <c r="B50" s="21" t="s">
        <v>6003</v>
      </c>
      <c r="C50" s="21" t="s">
        <v>6004</v>
      </c>
      <c r="D50" s="21" t="str">
        <f>_xlfn.XLOOKUP(tblTechnologies[[#This Row],[TechnologyID]],tblTargets[TargetID],tblTargets[DisplayName],"")</f>
        <v>#ERROR!</v>
      </c>
      <c r="E50" s="21" t="b">
        <v>1</v>
      </c>
      <c r="F50" s="21" t="s">
        <v>4247</v>
      </c>
      <c r="G50" s="123" t="s">
        <v>6005</v>
      </c>
      <c r="H50" s="124" t="s">
        <v>4248</v>
      </c>
      <c r="I50" s="124" t="s">
        <v>6006</v>
      </c>
      <c r="J50" s="124" t="s">
        <v>5389</v>
      </c>
      <c r="K50" s="124" t="s">
        <v>6009</v>
      </c>
      <c r="L50" s="124"/>
      <c r="M50" s="125" t="s">
        <v>3730</v>
      </c>
      <c r="N50" s="126" t="str">
        <f>IF(tblTechnologies[[#This Row],[costtext]]="", 0, LEN(tblTechnologies[[#This Row],[costtext]]) - LEN(SUBSTITUTE(tblTechnologies[[#This Row],[costtext]], ",", "")) + 1)</f>
        <v>#ERROR!</v>
      </c>
      <c r="O50" s="126" t="str">
        <f>COUNTA(tblTechnologies[[#This Row],[amazake]:[wood]])</f>
        <v>#ERROR!</v>
      </c>
      <c r="P50" s="124"/>
      <c r="Q50" s="124"/>
      <c r="R50" s="124"/>
      <c r="S50" s="124"/>
      <c r="T50" s="124"/>
      <c r="U50" s="124"/>
      <c r="V50" s="124"/>
      <c r="W50" s="124">
        <v>30.0</v>
      </c>
      <c r="X50" s="124"/>
      <c r="Y50" s="124"/>
      <c r="Z50" s="124"/>
      <c r="AA50" s="124"/>
      <c r="AB50" s="124"/>
      <c r="AC50" s="124"/>
      <c r="AD50" s="124">
        <v>1500.0</v>
      </c>
      <c r="AE50" s="124"/>
      <c r="AF50" s="124"/>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v>50.0</v>
      </c>
      <c r="BG50" s="124"/>
      <c r="BH50" s="124"/>
      <c r="BI50" s="124"/>
      <c r="BJ50" s="124"/>
      <c r="BK50" s="124"/>
      <c r="BL50" s="124"/>
      <c r="BM50" s="124"/>
      <c r="BN50" s="124"/>
      <c r="BO50" s="124"/>
      <c r="BP50" s="124"/>
      <c r="BQ50" s="124"/>
      <c r="BR50" s="124"/>
      <c r="BS50" s="124"/>
      <c r="BT50" s="124"/>
      <c r="BU50" s="124"/>
      <c r="BV50" s="124"/>
      <c r="BW50" s="124"/>
      <c r="BX50" s="124"/>
      <c r="BY50" s="124">
        <v>6.0</v>
      </c>
      <c r="BZ50" s="124"/>
      <c r="CA50" s="124"/>
      <c r="CB50" s="124"/>
      <c r="CC50" s="124"/>
      <c r="CD50" s="124"/>
      <c r="CE50" s="124"/>
      <c r="CF50" s="124"/>
      <c r="CG50" s="124"/>
      <c r="CH50" s="124"/>
      <c r="CI50" s="124"/>
      <c r="CJ50" s="124"/>
      <c r="CK50" s="124"/>
      <c r="CL50" s="124"/>
      <c r="CM50" s="124"/>
      <c r="CN50" s="124"/>
      <c r="CO50" s="124"/>
      <c r="CP50" s="124"/>
      <c r="CQ50" s="124"/>
      <c r="CR50" s="124"/>
      <c r="CS50" s="124"/>
      <c r="CT50" s="124"/>
      <c r="CU50" s="124"/>
    </row>
    <row r="51" ht="14.25" customHeight="1">
      <c r="A51" s="21" t="s">
        <v>1823</v>
      </c>
      <c r="B51" s="21" t="s">
        <v>6013</v>
      </c>
      <c r="C51" s="21" t="s">
        <v>6014</v>
      </c>
      <c r="D51" s="21" t="str">
        <f>_xlfn.XLOOKUP(tblTechnologies[[#This Row],[TechnologyID]],tblTargets[TargetID],tblTargets[DisplayName],"")</f>
        <v>#ERROR!</v>
      </c>
      <c r="E51" s="21" t="b">
        <v>1</v>
      </c>
      <c r="F51" s="21" t="s">
        <v>4271</v>
      </c>
      <c r="G51" s="123" t="s">
        <v>6015</v>
      </c>
      <c r="H51" s="124" t="s">
        <v>6016</v>
      </c>
      <c r="I51" s="124" t="s">
        <v>6017</v>
      </c>
      <c r="J51" s="124" t="s">
        <v>5408</v>
      </c>
      <c r="K51" s="124" t="s">
        <v>6018</v>
      </c>
      <c r="L51" s="124"/>
      <c r="M51" s="125" t="s">
        <v>3744</v>
      </c>
      <c r="N51" s="126" t="str">
        <f>IF(tblTechnologies[[#This Row],[costtext]]="", 0, LEN(tblTechnologies[[#This Row],[costtext]]) - LEN(SUBSTITUTE(tblTechnologies[[#This Row],[costtext]], ",", "")) + 1)</f>
        <v>#ERROR!</v>
      </c>
      <c r="O51" s="126" t="str">
        <f>COUNTA(tblTechnologies[[#This Row],[amazake]:[wood]])</f>
        <v>#ERROR!</v>
      </c>
      <c r="P51" s="124"/>
      <c r="Q51" s="124"/>
      <c r="R51" s="124"/>
      <c r="S51" s="124"/>
      <c r="T51" s="124"/>
      <c r="U51" s="124">
        <v>20.0</v>
      </c>
      <c r="V51" s="124"/>
      <c r="W51" s="124">
        <v>30.0</v>
      </c>
      <c r="X51" s="124"/>
      <c r="Y51" s="124"/>
      <c r="Z51" s="124"/>
      <c r="AA51" s="124"/>
      <c r="AB51" s="124"/>
      <c r="AC51" s="124"/>
      <c r="AD51" s="124">
        <v>300.0</v>
      </c>
      <c r="AE51" s="124"/>
      <c r="AF51" s="124"/>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v>30.0</v>
      </c>
      <c r="BO51" s="124"/>
      <c r="BP51" s="124"/>
      <c r="BQ51" s="124"/>
      <c r="BR51" s="124"/>
      <c r="BS51" s="124"/>
      <c r="BT51" s="124"/>
      <c r="BU51" s="124"/>
      <c r="BV51" s="124"/>
      <c r="BW51" s="124"/>
      <c r="BX51" s="124"/>
      <c r="BY51" s="124">
        <v>1.0</v>
      </c>
      <c r="BZ51" s="124"/>
      <c r="CA51" s="124"/>
      <c r="CB51" s="124"/>
      <c r="CC51" s="124"/>
      <c r="CD51" s="124"/>
      <c r="CE51" s="124"/>
      <c r="CF51" s="124"/>
      <c r="CG51" s="124"/>
      <c r="CH51" s="124"/>
      <c r="CI51" s="124"/>
      <c r="CJ51" s="124"/>
      <c r="CK51" s="124"/>
      <c r="CL51" s="124"/>
      <c r="CM51" s="124"/>
      <c r="CN51" s="124"/>
      <c r="CO51" s="124"/>
      <c r="CP51" s="124"/>
      <c r="CQ51" s="124"/>
      <c r="CR51" s="124"/>
      <c r="CS51" s="124"/>
      <c r="CT51" s="124"/>
      <c r="CU51" s="124"/>
    </row>
    <row r="52" ht="14.25" customHeight="1">
      <c r="A52" s="21" t="s">
        <v>1821</v>
      </c>
      <c r="B52" s="21" t="s">
        <v>6024</v>
      </c>
      <c r="C52" s="21" t="s">
        <v>6025</v>
      </c>
      <c r="D52" s="21" t="str">
        <f>_xlfn.XLOOKUP(tblTechnologies[[#This Row],[TechnologyID]],tblTargets[TargetID],tblTargets[DisplayName],"")</f>
        <v>#ERROR!</v>
      </c>
      <c r="E52" s="21" t="b">
        <v>1</v>
      </c>
      <c r="F52" s="21" t="s">
        <v>4271</v>
      </c>
      <c r="G52" s="123" t="s">
        <v>6026</v>
      </c>
      <c r="H52" s="124" t="s">
        <v>6016</v>
      </c>
      <c r="I52" s="124" t="s">
        <v>6017</v>
      </c>
      <c r="J52" s="124" t="s">
        <v>5408</v>
      </c>
      <c r="K52" s="124" t="s">
        <v>6027</v>
      </c>
      <c r="L52" s="124" t="s">
        <v>6028</v>
      </c>
      <c r="M52" s="125" t="s">
        <v>3746</v>
      </c>
      <c r="N52" s="126" t="str">
        <f>IF(tblTechnologies[[#This Row],[costtext]]="", 0, LEN(tblTechnologies[[#This Row],[costtext]]) - LEN(SUBSTITUTE(tblTechnologies[[#This Row],[costtext]], ",", "")) + 1)</f>
        <v>#ERROR!</v>
      </c>
      <c r="O52" s="126" t="str">
        <f>COUNTA(tblTechnologies[[#This Row],[amazake]:[wood]])</f>
        <v>#ERROR!</v>
      </c>
      <c r="P52" s="124"/>
      <c r="Q52" s="124"/>
      <c r="R52" s="124"/>
      <c r="S52" s="124"/>
      <c r="T52" s="124"/>
      <c r="U52" s="124"/>
      <c r="V52" s="124"/>
      <c r="W52" s="124">
        <v>20.0</v>
      </c>
      <c r="X52" s="124"/>
      <c r="Y52" s="124"/>
      <c r="Z52" s="124"/>
      <c r="AA52" s="124"/>
      <c r="AB52" s="124">
        <v>40.0</v>
      </c>
      <c r="AC52" s="124"/>
      <c r="AD52" s="124">
        <v>500.0</v>
      </c>
      <c r="AE52" s="124"/>
      <c r="AF52" s="124"/>
      <c r="AG52" s="124"/>
      <c r="AH52" s="124"/>
      <c r="AI52" s="124"/>
      <c r="AJ52" s="124"/>
      <c r="AK52" s="124"/>
      <c r="AL52" s="124"/>
      <c r="AM52" s="124"/>
      <c r="AN52" s="124"/>
      <c r="AO52" s="124"/>
      <c r="AP52" s="124"/>
      <c r="AQ52" s="124">
        <v>25.0</v>
      </c>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v>100.0</v>
      </c>
      <c r="BQ52" s="124"/>
      <c r="BR52" s="124"/>
      <c r="BS52" s="124"/>
      <c r="BT52" s="124"/>
      <c r="BU52" s="124"/>
      <c r="BV52" s="124"/>
      <c r="BW52" s="124"/>
      <c r="BX52" s="124"/>
      <c r="BY52" s="124">
        <v>5.0</v>
      </c>
      <c r="BZ52" s="124"/>
      <c r="CA52" s="124"/>
      <c r="CB52" s="124"/>
      <c r="CC52" s="124"/>
      <c r="CD52" s="124"/>
      <c r="CE52" s="124"/>
      <c r="CF52" s="124"/>
      <c r="CG52" s="124"/>
      <c r="CH52" s="124"/>
      <c r="CI52" s="124"/>
      <c r="CJ52" s="124"/>
      <c r="CK52" s="124"/>
      <c r="CL52" s="124"/>
      <c r="CM52" s="124"/>
      <c r="CN52" s="124"/>
      <c r="CO52" s="124"/>
      <c r="CP52" s="124"/>
      <c r="CQ52" s="124"/>
      <c r="CR52" s="124"/>
      <c r="CS52" s="124"/>
      <c r="CT52" s="124"/>
      <c r="CU52" s="124"/>
    </row>
    <row r="53" ht="14.25" customHeight="1">
      <c r="A53" s="21" t="s">
        <v>1838</v>
      </c>
      <c r="B53" s="21" t="s">
        <v>5861</v>
      </c>
      <c r="C53" s="21" t="s">
        <v>6035</v>
      </c>
      <c r="D53" s="21" t="str">
        <f>_xlfn.XLOOKUP(tblTechnologies[[#This Row],[TechnologyID]],tblTargets[TargetID],tblTargets[DisplayName],"")</f>
        <v>#ERROR!</v>
      </c>
      <c r="E53" s="21" t="b">
        <v>1</v>
      </c>
      <c r="F53" s="21" t="s">
        <v>4280</v>
      </c>
      <c r="G53" s="123" t="s">
        <v>6036</v>
      </c>
      <c r="H53" s="124" t="s">
        <v>6037</v>
      </c>
      <c r="I53" s="124" t="s">
        <v>6038</v>
      </c>
      <c r="J53" s="124" t="s">
        <v>5415</v>
      </c>
      <c r="K53" s="124" t="s">
        <v>6039</v>
      </c>
      <c r="L53" s="124"/>
      <c r="M53" s="125" t="s">
        <v>3747</v>
      </c>
      <c r="N53" s="126" t="str">
        <f>IF(tblTechnologies[[#This Row],[costtext]]="", 0, LEN(tblTechnologies[[#This Row],[costtext]]) - LEN(SUBSTITUTE(tblTechnologies[[#This Row],[costtext]], ",", "")) + 1)</f>
        <v>#ERROR!</v>
      </c>
      <c r="O53" s="126" t="str">
        <f>COUNTA(tblTechnologies[[#This Row],[amazake]:[wood]])</f>
        <v>#ERROR!</v>
      </c>
      <c r="P53" s="124"/>
      <c r="Q53" s="124"/>
      <c r="R53" s="124"/>
      <c r="S53" s="124"/>
      <c r="T53" s="124"/>
      <c r="U53" s="124"/>
      <c r="V53" s="124"/>
      <c r="W53" s="124"/>
      <c r="X53" s="124"/>
      <c r="Y53" s="124"/>
      <c r="Z53" s="124"/>
      <c r="AA53" s="124"/>
      <c r="AB53" s="124"/>
      <c r="AC53" s="124"/>
      <c r="AD53" s="124">
        <v>300.0</v>
      </c>
      <c r="AE53" s="124"/>
      <c r="AF53" s="124"/>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v>30.0</v>
      </c>
      <c r="BG53" s="124"/>
      <c r="BH53" s="124"/>
      <c r="BI53" s="124"/>
      <c r="BJ53" s="124"/>
      <c r="BK53" s="124"/>
      <c r="BL53" s="124"/>
      <c r="BM53" s="124">
        <v>15.0</v>
      </c>
      <c r="BN53" s="124"/>
      <c r="BO53" s="124"/>
      <c r="BP53" s="124"/>
      <c r="BQ53" s="124"/>
      <c r="BR53" s="124"/>
      <c r="BS53" s="124"/>
      <c r="BT53" s="124"/>
      <c r="BU53" s="124"/>
      <c r="BV53" s="124"/>
      <c r="BW53" s="124"/>
      <c r="BX53" s="124"/>
      <c r="BY53" s="124">
        <v>2.0</v>
      </c>
      <c r="BZ53" s="124"/>
      <c r="CA53" s="124"/>
      <c r="CB53" s="124"/>
      <c r="CC53" s="124"/>
      <c r="CD53" s="124"/>
      <c r="CE53" s="124"/>
      <c r="CF53" s="124"/>
      <c r="CG53" s="124"/>
      <c r="CH53" s="124"/>
      <c r="CI53" s="124"/>
      <c r="CJ53" s="124"/>
      <c r="CK53" s="124"/>
      <c r="CL53" s="124"/>
      <c r="CM53" s="124"/>
      <c r="CN53" s="124"/>
      <c r="CO53" s="124"/>
      <c r="CP53" s="124"/>
      <c r="CQ53" s="124"/>
      <c r="CR53" s="124"/>
      <c r="CS53" s="124"/>
      <c r="CT53" s="124"/>
      <c r="CU53" s="124"/>
    </row>
    <row r="54" ht="14.25" customHeight="1">
      <c r="A54" s="21" t="s">
        <v>1827</v>
      </c>
      <c r="B54" s="21" t="s">
        <v>5864</v>
      </c>
      <c r="C54" s="21" t="s">
        <v>6045</v>
      </c>
      <c r="D54" s="21" t="str">
        <f>_xlfn.XLOOKUP(tblTechnologies[[#This Row],[TechnologyID]],tblTargets[TargetID],tblTargets[DisplayName],"")</f>
        <v>#ERROR!</v>
      </c>
      <c r="E54" s="21" t="b">
        <v>1</v>
      </c>
      <c r="F54" s="21" t="s">
        <v>4280</v>
      </c>
      <c r="G54" s="123" t="s">
        <v>6046</v>
      </c>
      <c r="H54" s="124" t="s">
        <v>6037</v>
      </c>
      <c r="I54" s="124" t="s">
        <v>6038</v>
      </c>
      <c r="J54" s="124" t="s">
        <v>5415</v>
      </c>
      <c r="K54" s="124" t="s">
        <v>6047</v>
      </c>
      <c r="L54" s="124"/>
      <c r="M54" s="125" t="s">
        <v>3748</v>
      </c>
      <c r="N54" s="126" t="str">
        <f>IF(tblTechnologies[[#This Row],[costtext]]="", 0, LEN(tblTechnologies[[#This Row],[costtext]]) - LEN(SUBSTITUTE(tblTechnologies[[#This Row],[costtext]], ",", "")) + 1)</f>
        <v>#ERROR!</v>
      </c>
      <c r="O54" s="126" t="str">
        <f>COUNTA(tblTechnologies[[#This Row],[amazake]:[wood]])</f>
        <v>#ERROR!</v>
      </c>
      <c r="P54" s="124"/>
      <c r="Q54" s="124"/>
      <c r="R54" s="124"/>
      <c r="S54" s="124"/>
      <c r="T54" s="124"/>
      <c r="U54" s="124"/>
      <c r="V54" s="124"/>
      <c r="W54" s="124"/>
      <c r="X54" s="124"/>
      <c r="Y54" s="124"/>
      <c r="Z54" s="124"/>
      <c r="AA54" s="124">
        <v>50.0</v>
      </c>
      <c r="AB54" s="124"/>
      <c r="AC54" s="124"/>
      <c r="AD54" s="124">
        <v>300.0</v>
      </c>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v>40.0</v>
      </c>
      <c r="BG54" s="124"/>
      <c r="BH54" s="124"/>
      <c r="BI54" s="124"/>
      <c r="BJ54" s="124"/>
      <c r="BK54" s="124"/>
      <c r="BL54" s="124"/>
      <c r="BM54" s="124">
        <v>20.0</v>
      </c>
      <c r="BN54" s="124"/>
      <c r="BO54" s="124"/>
      <c r="BP54" s="124"/>
      <c r="BQ54" s="124"/>
      <c r="BR54" s="124"/>
      <c r="BS54" s="124"/>
      <c r="BT54" s="124"/>
      <c r="BU54" s="124"/>
      <c r="BV54" s="124"/>
      <c r="BW54" s="124"/>
      <c r="BX54" s="124"/>
      <c r="BY54" s="124">
        <v>2.0</v>
      </c>
      <c r="BZ54" s="124"/>
      <c r="CA54" s="124"/>
      <c r="CB54" s="124"/>
      <c r="CC54" s="124"/>
      <c r="CD54" s="124"/>
      <c r="CE54" s="124"/>
      <c r="CF54" s="124"/>
      <c r="CG54" s="124">
        <v>50.0</v>
      </c>
      <c r="CH54" s="124"/>
      <c r="CI54" s="124"/>
      <c r="CJ54" s="124"/>
      <c r="CK54" s="124"/>
      <c r="CL54" s="124"/>
      <c r="CM54" s="124"/>
      <c r="CN54" s="124"/>
      <c r="CO54" s="124"/>
      <c r="CP54" s="124"/>
      <c r="CQ54" s="124"/>
      <c r="CR54" s="124"/>
      <c r="CS54" s="124"/>
      <c r="CT54" s="124"/>
      <c r="CU54" s="124"/>
    </row>
    <row r="55" ht="14.25" customHeight="1">
      <c r="A55" s="21" t="s">
        <v>1829</v>
      </c>
      <c r="B55" s="21" t="s">
        <v>5869</v>
      </c>
      <c r="C55" s="21" t="s">
        <v>6051</v>
      </c>
      <c r="D55" s="21" t="str">
        <f>_xlfn.XLOOKUP(tblTechnologies[[#This Row],[TechnologyID]],tblTargets[TargetID],tblTargets[DisplayName],"")</f>
        <v>#ERROR!</v>
      </c>
      <c r="E55" s="21" t="b">
        <v>1</v>
      </c>
      <c r="F55" s="21" t="s">
        <v>4280</v>
      </c>
      <c r="G55" s="123" t="s">
        <v>6052</v>
      </c>
      <c r="H55" s="124" t="s">
        <v>6037</v>
      </c>
      <c r="I55" s="124" t="s">
        <v>6053</v>
      </c>
      <c r="J55" s="124" t="s">
        <v>6054</v>
      </c>
      <c r="K55" s="124" t="s">
        <v>6055</v>
      </c>
      <c r="L55" s="124"/>
      <c r="M55" s="125" t="s">
        <v>3750</v>
      </c>
      <c r="N55" s="126" t="str">
        <f>IF(tblTechnologies[[#This Row],[costtext]]="", 0, LEN(tblTechnologies[[#This Row],[costtext]]) - LEN(SUBSTITUTE(tblTechnologies[[#This Row],[costtext]], ",", "")) + 1)</f>
        <v>#ERROR!</v>
      </c>
      <c r="O55" s="126" t="str">
        <f>COUNTA(tblTechnologies[[#This Row],[amazake]:[wood]])</f>
        <v>#ERROR!</v>
      </c>
      <c r="P55" s="124"/>
      <c r="Q55" s="124"/>
      <c r="R55" s="124"/>
      <c r="S55" s="124"/>
      <c r="T55" s="124"/>
      <c r="U55" s="124"/>
      <c r="V55" s="124"/>
      <c r="W55" s="124">
        <v>15.0</v>
      </c>
      <c r="X55" s="124"/>
      <c r="Y55" s="124"/>
      <c r="Z55" s="124"/>
      <c r="AA55" s="124">
        <v>100.0</v>
      </c>
      <c r="AB55" s="124"/>
      <c r="AC55" s="124"/>
      <c r="AD55" s="124">
        <v>500.0</v>
      </c>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v>40.0</v>
      </c>
      <c r="BJ55" s="124"/>
      <c r="BK55" s="124"/>
      <c r="BL55" s="124"/>
      <c r="BM55" s="124"/>
      <c r="BN55" s="124"/>
      <c r="BO55" s="124"/>
      <c r="BP55" s="124"/>
      <c r="BQ55" s="124"/>
      <c r="BR55" s="124"/>
      <c r="BS55" s="124"/>
      <c r="BT55" s="124"/>
      <c r="BU55" s="124"/>
      <c r="BV55" s="124"/>
      <c r="BW55" s="124"/>
      <c r="BX55" s="124"/>
      <c r="BY55" s="124">
        <v>3.0</v>
      </c>
      <c r="BZ55" s="124"/>
      <c r="CA55" s="124"/>
      <c r="CB55" s="124"/>
      <c r="CC55" s="124"/>
      <c r="CD55" s="124"/>
      <c r="CE55" s="124"/>
      <c r="CF55" s="124"/>
      <c r="CG55" s="124">
        <v>100.0</v>
      </c>
      <c r="CH55" s="124"/>
      <c r="CI55" s="124"/>
      <c r="CJ55" s="124"/>
      <c r="CK55" s="124"/>
      <c r="CL55" s="124"/>
      <c r="CM55" s="124"/>
      <c r="CN55" s="124"/>
      <c r="CO55" s="124"/>
      <c r="CP55" s="124"/>
      <c r="CQ55" s="124"/>
      <c r="CR55" s="124"/>
      <c r="CS55" s="124"/>
      <c r="CT55" s="124"/>
      <c r="CU55" s="124"/>
    </row>
    <row r="56" ht="14.25" customHeight="1">
      <c r="A56" s="21" t="s">
        <v>1832</v>
      </c>
      <c r="B56" s="21" t="s">
        <v>5872</v>
      </c>
      <c r="C56" s="21" t="s">
        <v>6057</v>
      </c>
      <c r="D56" s="21" t="str">
        <f>_xlfn.XLOOKUP(tblTechnologies[[#This Row],[TechnologyID]],tblTargets[TargetID],tblTargets[DisplayName],"")</f>
        <v>#ERROR!</v>
      </c>
      <c r="E56" s="21" t="b">
        <v>1</v>
      </c>
      <c r="F56" s="21" t="s">
        <v>4280</v>
      </c>
      <c r="G56" s="123" t="s">
        <v>6059</v>
      </c>
      <c r="H56" s="124" t="s">
        <v>6037</v>
      </c>
      <c r="I56" s="124" t="s">
        <v>6060</v>
      </c>
      <c r="J56" s="124" t="s">
        <v>6061</v>
      </c>
      <c r="K56" s="124" t="s">
        <v>6062</v>
      </c>
      <c r="L56" s="124"/>
      <c r="M56" s="125" t="s">
        <v>3751</v>
      </c>
      <c r="N56" s="126" t="str">
        <f>IF(tblTechnologies[[#This Row],[costtext]]="", 0, LEN(tblTechnologies[[#This Row],[costtext]]) - LEN(SUBSTITUTE(tblTechnologies[[#This Row],[costtext]], ",", "")) + 1)</f>
        <v>#ERROR!</v>
      </c>
      <c r="O56" s="126" t="str">
        <f>COUNTA(tblTechnologies[[#This Row],[amazake]:[wood]])</f>
        <v>#ERROR!</v>
      </c>
      <c r="P56" s="124"/>
      <c r="Q56" s="124"/>
      <c r="R56" s="124"/>
      <c r="S56" s="124"/>
      <c r="T56" s="124"/>
      <c r="U56" s="124"/>
      <c r="V56" s="124"/>
      <c r="W56" s="124">
        <v>20.0</v>
      </c>
      <c r="X56" s="124"/>
      <c r="Y56" s="124"/>
      <c r="Z56" s="124"/>
      <c r="AA56" s="124">
        <v>200.0</v>
      </c>
      <c r="AB56" s="124"/>
      <c r="AC56" s="124"/>
      <c r="AD56" s="124">
        <v>1000.0</v>
      </c>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v>60.0</v>
      </c>
      <c r="BJ56" s="124"/>
      <c r="BK56" s="124"/>
      <c r="BL56" s="124"/>
      <c r="BM56" s="124"/>
      <c r="BN56" s="124"/>
      <c r="BO56" s="124"/>
      <c r="BP56" s="124"/>
      <c r="BQ56" s="124"/>
      <c r="BR56" s="124"/>
      <c r="BS56" s="124"/>
      <c r="BT56" s="124"/>
      <c r="BU56" s="124"/>
      <c r="BV56" s="124"/>
      <c r="BW56" s="124"/>
      <c r="BX56" s="124"/>
      <c r="BY56" s="124">
        <v>5.0</v>
      </c>
      <c r="BZ56" s="124"/>
      <c r="CA56" s="124"/>
      <c r="CB56" s="124"/>
      <c r="CC56" s="124"/>
      <c r="CD56" s="124"/>
      <c r="CE56" s="124"/>
      <c r="CF56" s="124"/>
      <c r="CG56" s="124">
        <v>200.0</v>
      </c>
      <c r="CH56" s="124"/>
      <c r="CI56" s="124"/>
      <c r="CJ56" s="124"/>
      <c r="CK56" s="124"/>
      <c r="CL56" s="124"/>
      <c r="CM56" s="124"/>
      <c r="CN56" s="124"/>
      <c r="CO56" s="124"/>
      <c r="CP56" s="124"/>
      <c r="CQ56" s="124"/>
      <c r="CR56" s="124"/>
      <c r="CS56" s="124"/>
      <c r="CT56" s="124"/>
      <c r="CU56" s="124"/>
    </row>
    <row r="57" ht="14.25" customHeight="1">
      <c r="A57" s="21" t="s">
        <v>1834</v>
      </c>
      <c r="B57" s="21" t="s">
        <v>5877</v>
      </c>
      <c r="C57" s="21" t="s">
        <v>6066</v>
      </c>
      <c r="D57" s="21" t="str">
        <f>_xlfn.XLOOKUP(tblTechnologies[[#This Row],[TechnologyID]],tblTargets[TargetID],tblTargets[DisplayName],"")</f>
        <v>#ERROR!</v>
      </c>
      <c r="E57" s="21" t="b">
        <v>1</v>
      </c>
      <c r="F57" s="21" t="s">
        <v>4280</v>
      </c>
      <c r="G57" s="123" t="s">
        <v>6067</v>
      </c>
      <c r="H57" s="124" t="s">
        <v>6037</v>
      </c>
      <c r="I57" s="124" t="s">
        <v>6069</v>
      </c>
      <c r="J57" s="124" t="s">
        <v>6070</v>
      </c>
      <c r="K57" s="124" t="s">
        <v>6071</v>
      </c>
      <c r="L57" s="124" t="s">
        <v>6072</v>
      </c>
      <c r="M57" s="125" t="s">
        <v>3752</v>
      </c>
      <c r="N57" s="126" t="str">
        <f>IF(tblTechnologies[[#This Row],[costtext]]="", 0, LEN(tblTechnologies[[#This Row],[costtext]]) - LEN(SUBSTITUTE(tblTechnologies[[#This Row],[costtext]], ",", "")) + 1)</f>
        <v>#ERROR!</v>
      </c>
      <c r="O57" s="126" t="str">
        <f>COUNTA(tblTechnologies[[#This Row],[amazake]:[wood]])</f>
        <v>#ERROR!</v>
      </c>
      <c r="P57" s="124"/>
      <c r="Q57" s="124"/>
      <c r="R57" s="124"/>
      <c r="S57" s="124"/>
      <c r="T57" s="124"/>
      <c r="U57" s="124"/>
      <c r="V57" s="124"/>
      <c r="W57" s="124">
        <v>40.0</v>
      </c>
      <c r="X57" s="124"/>
      <c r="Y57" s="124"/>
      <c r="Z57" s="124"/>
      <c r="AA57" s="124"/>
      <c r="AB57" s="124"/>
      <c r="AC57" s="124"/>
      <c r="AD57" s="124">
        <v>1000.0</v>
      </c>
      <c r="AE57" s="124"/>
      <c r="AF57" s="124"/>
      <c r="AG57" s="124"/>
      <c r="AH57" s="124"/>
      <c r="AI57" s="124"/>
      <c r="AJ57" s="124"/>
      <c r="AK57" s="124"/>
      <c r="AL57" s="124"/>
      <c r="AM57" s="124"/>
      <c r="AN57" s="124"/>
      <c r="AO57" s="124">
        <v>20.0</v>
      </c>
      <c r="AP57" s="124"/>
      <c r="AQ57" s="124"/>
      <c r="AR57" s="124"/>
      <c r="AS57" s="124"/>
      <c r="AT57" s="124"/>
      <c r="AU57" s="124"/>
      <c r="AV57" s="124"/>
      <c r="AW57" s="124"/>
      <c r="AX57" s="124"/>
      <c r="AY57" s="124"/>
      <c r="AZ57" s="124"/>
      <c r="BA57" s="124"/>
      <c r="BB57" s="124">
        <v>20.0</v>
      </c>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c r="BY57" s="124">
        <v>5.0</v>
      </c>
      <c r="BZ57" s="124"/>
      <c r="CA57" s="124"/>
      <c r="CB57" s="124"/>
      <c r="CC57" s="124"/>
      <c r="CD57" s="124"/>
      <c r="CE57" s="124"/>
      <c r="CF57" s="124"/>
      <c r="CG57" s="124"/>
      <c r="CH57" s="124"/>
      <c r="CI57" s="124"/>
      <c r="CJ57" s="124"/>
      <c r="CK57" s="124">
        <v>3.0</v>
      </c>
      <c r="CL57" s="124"/>
      <c r="CM57" s="124"/>
      <c r="CN57" s="124"/>
      <c r="CO57" s="124"/>
      <c r="CP57" s="124"/>
      <c r="CQ57" s="124"/>
      <c r="CR57" s="124"/>
      <c r="CS57" s="124"/>
      <c r="CT57" s="124"/>
      <c r="CU57" s="124"/>
    </row>
    <row r="58" ht="14.25" customHeight="1">
      <c r="A58" s="21" t="s">
        <v>1836</v>
      </c>
      <c r="B58" s="21" t="s">
        <v>5880</v>
      </c>
      <c r="C58" s="21" t="s">
        <v>6075</v>
      </c>
      <c r="D58" s="21" t="str">
        <f>_xlfn.XLOOKUP(tblTechnologies[[#This Row],[TechnologyID]],tblTargets[TargetID],tblTargets[DisplayName],"")</f>
        <v>#ERROR!</v>
      </c>
      <c r="E58" s="21" t="b">
        <v>1</v>
      </c>
      <c r="F58" s="21" t="s">
        <v>4280</v>
      </c>
      <c r="G58" s="123" t="s">
        <v>6076</v>
      </c>
      <c r="H58" s="124" t="s">
        <v>6037</v>
      </c>
      <c r="I58" s="124" t="s">
        <v>6077</v>
      </c>
      <c r="J58" s="124" t="s">
        <v>6078</v>
      </c>
      <c r="K58" s="124" t="s">
        <v>6079</v>
      </c>
      <c r="L58" s="124" t="s">
        <v>6080</v>
      </c>
      <c r="M58" s="125" t="s">
        <v>3754</v>
      </c>
      <c r="N58" s="126" t="str">
        <f>IF(tblTechnologies[[#This Row],[costtext]]="", 0, LEN(tblTechnologies[[#This Row],[costtext]]) - LEN(SUBSTITUTE(tblTechnologies[[#This Row],[costtext]], ",", "")) + 1)</f>
        <v>#ERROR!</v>
      </c>
      <c r="O58" s="126" t="str">
        <f>COUNTA(tblTechnologies[[#This Row],[amazake]:[wood]])</f>
        <v>#ERROR!</v>
      </c>
      <c r="P58" s="124"/>
      <c r="Q58" s="124"/>
      <c r="R58" s="124"/>
      <c r="S58" s="124">
        <v>20.0</v>
      </c>
      <c r="T58" s="124"/>
      <c r="U58" s="124"/>
      <c r="V58" s="124">
        <v>25.0</v>
      </c>
      <c r="W58" s="124"/>
      <c r="X58" s="124"/>
      <c r="Y58" s="124"/>
      <c r="Z58" s="124"/>
      <c r="AA58" s="124"/>
      <c r="AB58" s="124"/>
      <c r="AC58" s="124"/>
      <c r="AD58" s="124">
        <v>1000.0</v>
      </c>
      <c r="AE58" s="124"/>
      <c r="AF58" s="124"/>
      <c r="AG58" s="124"/>
      <c r="AH58" s="124"/>
      <c r="AI58" s="124"/>
      <c r="AJ58" s="124"/>
      <c r="AK58" s="124"/>
      <c r="AL58" s="124"/>
      <c r="AM58" s="124"/>
      <c r="AN58" s="124"/>
      <c r="AO58" s="124"/>
      <c r="AP58" s="124"/>
      <c r="AQ58" s="124"/>
      <c r="AR58" s="124"/>
      <c r="AS58" s="124"/>
      <c r="AT58" s="124">
        <v>10.0</v>
      </c>
      <c r="AU58" s="124"/>
      <c r="AV58" s="124"/>
      <c r="AW58" s="124"/>
      <c r="AX58" s="124"/>
      <c r="AY58" s="124"/>
      <c r="AZ58" s="124"/>
      <c r="BA58" s="124"/>
      <c r="BB58" s="124"/>
      <c r="BC58" s="124">
        <v>10.0</v>
      </c>
      <c r="BD58" s="124"/>
      <c r="BE58" s="124"/>
      <c r="BF58" s="124"/>
      <c r="BG58" s="124"/>
      <c r="BH58" s="124"/>
      <c r="BI58" s="124"/>
      <c r="BJ58" s="124"/>
      <c r="BK58" s="124"/>
      <c r="BL58" s="124"/>
      <c r="BM58" s="124"/>
      <c r="BN58" s="124"/>
      <c r="BO58" s="124"/>
      <c r="BP58" s="124"/>
      <c r="BQ58" s="124"/>
      <c r="BR58" s="124"/>
      <c r="BS58" s="124">
        <v>10.0</v>
      </c>
      <c r="BT58" s="124"/>
      <c r="BU58" s="124"/>
      <c r="BV58" s="124">
        <v>1.0</v>
      </c>
      <c r="BW58" s="124"/>
      <c r="BX58" s="124"/>
      <c r="BY58" s="124">
        <v>5.0</v>
      </c>
      <c r="BZ58" s="124"/>
      <c r="CA58" s="124"/>
      <c r="CB58" s="124"/>
      <c r="CC58" s="124"/>
      <c r="CD58" s="124"/>
      <c r="CE58" s="124"/>
      <c r="CF58" s="124"/>
      <c r="CG58" s="124"/>
      <c r="CH58" s="124"/>
      <c r="CI58" s="124"/>
      <c r="CJ58" s="124"/>
      <c r="CK58" s="124"/>
      <c r="CL58" s="124">
        <v>1.0</v>
      </c>
      <c r="CM58" s="124"/>
      <c r="CN58" s="124"/>
      <c r="CO58" s="124"/>
      <c r="CP58" s="124"/>
      <c r="CQ58" s="124"/>
      <c r="CR58" s="124"/>
      <c r="CS58" s="124"/>
      <c r="CT58" s="124"/>
      <c r="CU58" s="124"/>
    </row>
    <row r="59" ht="14.25" customHeight="1">
      <c r="A59" s="21" t="s">
        <v>1843</v>
      </c>
      <c r="B59" s="21" t="s">
        <v>6086</v>
      </c>
      <c r="C59" s="21" t="s">
        <v>6087</v>
      </c>
      <c r="D59" s="21" t="str">
        <f>_xlfn.XLOOKUP(tblTechnologies[[#This Row],[TechnologyID]],tblTargets[TargetID],tblTargets[DisplayName],"")</f>
        <v>#ERROR!</v>
      </c>
      <c r="E59" s="21" t="b">
        <v>1</v>
      </c>
      <c r="F59" s="21" t="s">
        <v>4280</v>
      </c>
      <c r="G59" s="123" t="s">
        <v>6089</v>
      </c>
      <c r="H59" s="124" t="s">
        <v>6037</v>
      </c>
      <c r="I59" s="124" t="s">
        <v>6053</v>
      </c>
      <c r="J59" s="124" t="s">
        <v>6054</v>
      </c>
      <c r="K59" s="124" t="s">
        <v>6091</v>
      </c>
      <c r="L59" s="124" t="s">
        <v>5281</v>
      </c>
      <c r="M59" s="125" t="s">
        <v>3755</v>
      </c>
      <c r="N59" s="126" t="str">
        <f>IF(tblTechnologies[[#This Row],[costtext]]="", 0, LEN(tblTechnologies[[#This Row],[costtext]]) - LEN(SUBSTITUTE(tblTechnologies[[#This Row],[costtext]], ",", "")) + 1)</f>
        <v>#ERROR!</v>
      </c>
      <c r="O59" s="126" t="str">
        <f>COUNTA(tblTechnologies[[#This Row],[amazake]:[wood]])</f>
        <v>#ERROR!</v>
      </c>
      <c r="P59" s="124"/>
      <c r="Q59" s="124"/>
      <c r="R59" s="124"/>
      <c r="S59" s="124"/>
      <c r="T59" s="124"/>
      <c r="U59" s="124"/>
      <c r="V59" s="124"/>
      <c r="W59" s="124">
        <v>15.0</v>
      </c>
      <c r="X59" s="124"/>
      <c r="Y59" s="124"/>
      <c r="Z59" s="124"/>
      <c r="AA59" s="124"/>
      <c r="AB59" s="124"/>
      <c r="AC59" s="124"/>
      <c r="AD59" s="124">
        <v>500.0</v>
      </c>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v>10.0</v>
      </c>
      <c r="BL59" s="124"/>
      <c r="BM59" s="124"/>
      <c r="BN59" s="124"/>
      <c r="BO59" s="124"/>
      <c r="BP59" s="124"/>
      <c r="BQ59" s="124"/>
      <c r="BR59" s="124"/>
      <c r="BS59" s="124"/>
      <c r="BT59" s="124">
        <v>15.0</v>
      </c>
      <c r="BU59" s="124"/>
      <c r="BV59" s="124"/>
      <c r="BW59" s="124"/>
      <c r="BX59" s="124"/>
      <c r="BY59" s="124">
        <v>2.0</v>
      </c>
      <c r="BZ59" s="124"/>
      <c r="CA59" s="124"/>
      <c r="CB59" s="124"/>
      <c r="CC59" s="124"/>
      <c r="CD59" s="124"/>
      <c r="CE59" s="124"/>
      <c r="CF59" s="124"/>
      <c r="CG59" s="124"/>
      <c r="CH59" s="124"/>
      <c r="CI59" s="124"/>
      <c r="CJ59" s="124"/>
      <c r="CK59" s="124"/>
      <c r="CL59" s="124"/>
      <c r="CM59" s="124"/>
      <c r="CN59" s="124"/>
      <c r="CO59" s="124"/>
      <c r="CP59" s="124"/>
      <c r="CQ59" s="124"/>
      <c r="CR59" s="124"/>
      <c r="CS59" s="124"/>
      <c r="CT59" s="124"/>
      <c r="CU59" s="124"/>
    </row>
    <row r="60" ht="14.25" customHeight="1">
      <c r="A60" s="21" t="s">
        <v>1825</v>
      </c>
      <c r="B60" s="21" t="s">
        <v>179</v>
      </c>
      <c r="C60" s="21" t="s">
        <v>6097</v>
      </c>
      <c r="D60" s="21" t="str">
        <f>_xlfn.XLOOKUP(tblTechnologies[[#This Row],[TechnologyID]],tblTargets[TargetID],tblTargets[DisplayName],"")</f>
        <v>#ERROR!</v>
      </c>
      <c r="E60" s="21" t="b">
        <v>1</v>
      </c>
      <c r="F60" s="21" t="s">
        <v>4280</v>
      </c>
      <c r="G60" s="123" t="s">
        <v>6098</v>
      </c>
      <c r="H60" s="124" t="s">
        <v>6037</v>
      </c>
      <c r="I60" s="124" t="s">
        <v>6038</v>
      </c>
      <c r="J60" s="124" t="s">
        <v>5415</v>
      </c>
      <c r="K60" s="124" t="s">
        <v>6100</v>
      </c>
      <c r="L60" s="124"/>
      <c r="M60" s="125" t="s">
        <v>3757</v>
      </c>
      <c r="N60" s="126" t="str">
        <f>IF(tblTechnologies[[#This Row],[costtext]]="", 0, LEN(tblTechnologies[[#This Row],[costtext]]) - LEN(SUBSTITUTE(tblTechnologies[[#This Row],[costtext]], ",", "")) + 1)</f>
        <v>#ERROR!</v>
      </c>
      <c r="O60" s="126" t="str">
        <f>COUNTA(tblTechnologies[[#This Row],[amazake]:[wood]])</f>
        <v>#ERROR!</v>
      </c>
      <c r="P60" s="124"/>
      <c r="Q60" s="124"/>
      <c r="R60" s="124"/>
      <c r="S60" s="124"/>
      <c r="T60" s="124"/>
      <c r="U60" s="124"/>
      <c r="V60" s="124"/>
      <c r="W60" s="124">
        <v>30.0</v>
      </c>
      <c r="X60" s="124"/>
      <c r="Y60" s="124"/>
      <c r="Z60" s="124"/>
      <c r="AA60" s="124"/>
      <c r="AB60" s="124"/>
      <c r="AC60" s="124"/>
      <c r="AD60" s="124">
        <v>1000.0</v>
      </c>
      <c r="AE60" s="124"/>
      <c r="AF60" s="124"/>
      <c r="AG60" s="124"/>
      <c r="AH60" s="124"/>
      <c r="AI60" s="124"/>
      <c r="AJ60" s="124"/>
      <c r="AK60" s="124"/>
      <c r="AL60" s="124"/>
      <c r="AM60" s="124"/>
      <c r="AN60" s="124"/>
      <c r="AO60" s="124">
        <v>30.0</v>
      </c>
      <c r="AP60" s="124"/>
      <c r="AQ60" s="124"/>
      <c r="AR60" s="124"/>
      <c r="AS60" s="124"/>
      <c r="AT60" s="124"/>
      <c r="AU60" s="124"/>
      <c r="AV60" s="124"/>
      <c r="AW60" s="124"/>
      <c r="AX60" s="124"/>
      <c r="AY60" s="124"/>
      <c r="AZ60" s="124"/>
      <c r="BA60" s="124"/>
      <c r="BB60" s="124"/>
      <c r="BC60" s="124"/>
      <c r="BD60" s="124"/>
      <c r="BE60" s="124"/>
      <c r="BF60" s="124">
        <v>20.0</v>
      </c>
      <c r="BG60" s="124"/>
      <c r="BH60" s="124"/>
      <c r="BI60" s="124"/>
      <c r="BJ60" s="124"/>
      <c r="BK60" s="124"/>
      <c r="BL60" s="124"/>
      <c r="BM60" s="124"/>
      <c r="BN60" s="124"/>
      <c r="BO60" s="124"/>
      <c r="BP60" s="124"/>
      <c r="BQ60" s="124"/>
      <c r="BR60" s="124"/>
      <c r="BS60" s="124"/>
      <c r="BT60" s="124"/>
      <c r="BU60" s="124"/>
      <c r="BV60" s="124"/>
      <c r="BW60" s="124"/>
      <c r="BX60" s="124"/>
      <c r="BY60" s="124">
        <v>5.0</v>
      </c>
      <c r="BZ60" s="124"/>
      <c r="CA60" s="124"/>
      <c r="CB60" s="124"/>
      <c r="CC60" s="124"/>
      <c r="CD60" s="124"/>
      <c r="CE60" s="124"/>
      <c r="CF60" s="124"/>
      <c r="CG60" s="124"/>
      <c r="CH60" s="124"/>
      <c r="CI60" s="124"/>
      <c r="CJ60" s="124"/>
      <c r="CK60" s="124"/>
      <c r="CL60" s="124"/>
      <c r="CM60" s="124"/>
      <c r="CN60" s="124"/>
      <c r="CO60" s="124"/>
      <c r="CP60" s="124"/>
      <c r="CQ60" s="124"/>
      <c r="CR60" s="124"/>
      <c r="CS60" s="124"/>
      <c r="CT60" s="124"/>
      <c r="CU60" s="124"/>
    </row>
    <row r="61" ht="14.25" customHeight="1">
      <c r="A61" s="21" t="s">
        <v>1841</v>
      </c>
      <c r="B61" s="21" t="s">
        <v>2011</v>
      </c>
      <c r="C61" s="21" t="s">
        <v>6106</v>
      </c>
      <c r="D61" s="21" t="str">
        <f>_xlfn.XLOOKUP(tblTechnologies[[#This Row],[TechnologyID]],tblTargets[TargetID],tblTargets[DisplayName],"")</f>
        <v>#ERROR!</v>
      </c>
      <c r="E61" s="21" t="b">
        <v>1</v>
      </c>
      <c r="F61" s="21" t="s">
        <v>4280</v>
      </c>
      <c r="G61" s="123" t="s">
        <v>6107</v>
      </c>
      <c r="H61" s="124" t="s">
        <v>6037</v>
      </c>
      <c r="I61" s="124" t="s">
        <v>6108</v>
      </c>
      <c r="J61" s="124" t="s">
        <v>6109</v>
      </c>
      <c r="K61" s="124" t="s">
        <v>6110</v>
      </c>
      <c r="L61" s="124" t="s">
        <v>6111</v>
      </c>
      <c r="M61" s="125" t="s">
        <v>3758</v>
      </c>
      <c r="N61" s="126" t="str">
        <f>IF(tblTechnologies[[#This Row],[costtext]]="", 0, LEN(tblTechnologies[[#This Row],[costtext]]) - LEN(SUBSTITUTE(tblTechnologies[[#This Row],[costtext]], ",", "")) + 1)</f>
        <v>#ERROR!</v>
      </c>
      <c r="O61" s="126" t="str">
        <f>COUNTA(tblTechnologies[[#This Row],[amazake]:[wood]])</f>
        <v>#ERROR!</v>
      </c>
      <c r="P61" s="124"/>
      <c r="Q61" s="124"/>
      <c r="R61" s="124"/>
      <c r="S61" s="124"/>
      <c r="T61" s="124"/>
      <c r="U61" s="124"/>
      <c r="V61" s="124">
        <v>30.0</v>
      </c>
      <c r="W61" s="124"/>
      <c r="X61" s="124"/>
      <c r="Y61" s="124"/>
      <c r="Z61" s="124"/>
      <c r="AA61" s="124"/>
      <c r="AB61" s="124"/>
      <c r="AC61" s="124"/>
      <c r="AD61" s="124">
        <v>500.0</v>
      </c>
      <c r="AE61" s="124"/>
      <c r="AF61" s="124"/>
      <c r="AG61" s="124"/>
      <c r="AH61" s="124"/>
      <c r="AI61" s="124"/>
      <c r="AJ61" s="124"/>
      <c r="AK61" s="124"/>
      <c r="AL61" s="124"/>
      <c r="AM61" s="124"/>
      <c r="AN61" s="124"/>
      <c r="AO61" s="124"/>
      <c r="AP61" s="124"/>
      <c r="AQ61" s="124"/>
      <c r="AR61" s="124"/>
      <c r="AS61" s="124">
        <v>20.0</v>
      </c>
      <c r="AT61" s="124">
        <v>10.0</v>
      </c>
      <c r="AU61" s="124"/>
      <c r="AV61" s="124"/>
      <c r="AW61" s="124"/>
      <c r="AX61" s="124"/>
      <c r="AY61" s="124"/>
      <c r="AZ61" s="124">
        <v>10.0</v>
      </c>
      <c r="BA61" s="124"/>
      <c r="BB61" s="124"/>
      <c r="BC61" s="124">
        <v>10.0</v>
      </c>
      <c r="BD61" s="124"/>
      <c r="BE61" s="124"/>
      <c r="BF61" s="124"/>
      <c r="BG61" s="124"/>
      <c r="BH61" s="124"/>
      <c r="BI61" s="124"/>
      <c r="BJ61" s="124"/>
      <c r="BK61" s="124"/>
      <c r="BL61" s="124"/>
      <c r="BM61" s="124"/>
      <c r="BN61" s="124"/>
      <c r="BO61" s="124"/>
      <c r="BP61" s="124"/>
      <c r="BQ61" s="124"/>
      <c r="BR61" s="124"/>
      <c r="BS61" s="124"/>
      <c r="BT61" s="124"/>
      <c r="BU61" s="124">
        <v>20.0</v>
      </c>
      <c r="BV61" s="124"/>
      <c r="BW61" s="124"/>
      <c r="BX61" s="124"/>
      <c r="BY61" s="124">
        <v>3.0</v>
      </c>
      <c r="BZ61" s="124"/>
      <c r="CA61" s="124"/>
      <c r="CB61" s="124"/>
      <c r="CC61" s="124"/>
      <c r="CD61" s="124"/>
      <c r="CE61" s="124"/>
      <c r="CF61" s="124"/>
      <c r="CG61" s="124"/>
      <c r="CH61" s="124"/>
      <c r="CI61" s="124"/>
      <c r="CJ61" s="124"/>
      <c r="CK61" s="124"/>
      <c r="CL61" s="124"/>
      <c r="CM61" s="124"/>
      <c r="CN61" s="124"/>
      <c r="CO61" s="124"/>
      <c r="CP61" s="124"/>
      <c r="CQ61" s="124"/>
      <c r="CR61" s="124"/>
      <c r="CS61" s="124">
        <v>15.0</v>
      </c>
      <c r="CT61" s="124"/>
      <c r="CU61" s="124"/>
    </row>
    <row r="62" ht="14.25" customHeight="1">
      <c r="A62" s="21" t="s">
        <v>1845</v>
      </c>
      <c r="B62" s="21" t="s">
        <v>5796</v>
      </c>
      <c r="C62" s="21" t="s">
        <v>6116</v>
      </c>
      <c r="D62" s="21" t="str">
        <f>_xlfn.XLOOKUP(tblTechnologies[[#This Row],[TechnologyID]],tblTargets[TargetID],tblTargets[DisplayName],"")</f>
        <v>#ERROR!</v>
      </c>
      <c r="E62" s="21" t="b">
        <v>1</v>
      </c>
      <c r="F62" s="21" t="s">
        <v>4289</v>
      </c>
      <c r="G62" s="123" t="s">
        <v>6117</v>
      </c>
      <c r="H62" s="124" t="s">
        <v>6118</v>
      </c>
      <c r="I62" s="124" t="s">
        <v>6119</v>
      </c>
      <c r="J62" s="124" t="s">
        <v>5440</v>
      </c>
      <c r="K62" s="124" t="s">
        <v>6120</v>
      </c>
      <c r="L62" s="124"/>
      <c r="M62" s="125" t="s">
        <v>3759</v>
      </c>
      <c r="N62" s="126" t="str">
        <f>IF(tblTechnologies[[#This Row],[costtext]]="", 0, LEN(tblTechnologies[[#This Row],[costtext]]) - LEN(SUBSTITUTE(tblTechnologies[[#This Row],[costtext]], ",", "")) + 1)</f>
        <v>#ERROR!</v>
      </c>
      <c r="O62" s="126" t="str">
        <f>COUNTA(tblTechnologies[[#This Row],[amazake]:[wood]])</f>
        <v>#ERROR!</v>
      </c>
      <c r="P62" s="124"/>
      <c r="Q62" s="124"/>
      <c r="R62" s="124"/>
      <c r="S62" s="124"/>
      <c r="T62" s="124"/>
      <c r="U62" s="124"/>
      <c r="V62" s="124"/>
      <c r="W62" s="124"/>
      <c r="X62" s="124"/>
      <c r="Y62" s="124"/>
      <c r="Z62" s="124"/>
      <c r="AA62" s="124"/>
      <c r="AB62" s="124"/>
      <c r="AC62" s="124"/>
      <c r="AD62" s="124">
        <v>300.0</v>
      </c>
      <c r="AE62" s="124"/>
      <c r="AF62" s="124"/>
      <c r="AG62" s="124"/>
      <c r="AH62" s="124">
        <v>20.0</v>
      </c>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v>10.0</v>
      </c>
      <c r="BN62" s="124"/>
      <c r="BO62" s="124"/>
      <c r="BP62" s="124"/>
      <c r="BQ62" s="124"/>
      <c r="BR62" s="124"/>
      <c r="BS62" s="124"/>
      <c r="BT62" s="124"/>
      <c r="BU62" s="124"/>
      <c r="BV62" s="124"/>
      <c r="BW62" s="124"/>
      <c r="BX62" s="124">
        <v>1.0</v>
      </c>
      <c r="BY62" s="124">
        <v>2.0</v>
      </c>
      <c r="BZ62" s="124"/>
      <c r="CA62" s="124"/>
      <c r="CB62" s="124"/>
      <c r="CC62" s="124"/>
      <c r="CD62" s="124"/>
      <c r="CE62" s="124"/>
      <c r="CF62" s="124"/>
      <c r="CG62" s="124"/>
      <c r="CH62" s="124"/>
      <c r="CI62" s="124"/>
      <c r="CJ62" s="124"/>
      <c r="CK62" s="124"/>
      <c r="CL62" s="124"/>
      <c r="CM62" s="124">
        <v>10.0</v>
      </c>
      <c r="CN62" s="124"/>
      <c r="CO62" s="124"/>
      <c r="CP62" s="124"/>
      <c r="CQ62" s="124"/>
      <c r="CR62" s="124"/>
      <c r="CS62" s="124"/>
      <c r="CT62" s="124"/>
      <c r="CU62" s="124"/>
    </row>
    <row r="63" ht="14.25" customHeight="1">
      <c r="A63" s="21" t="s">
        <v>1858</v>
      </c>
      <c r="B63" s="21" t="s">
        <v>3252</v>
      </c>
      <c r="C63" s="21" t="s">
        <v>6124</v>
      </c>
      <c r="D63" s="21" t="str">
        <f>_xlfn.XLOOKUP(tblTechnologies[[#This Row],[TechnologyID]],tblTargets[TargetID],tblTargets[DisplayName],"")</f>
        <v>#ERROR!</v>
      </c>
      <c r="E63" s="21" t="b">
        <v>1</v>
      </c>
      <c r="F63" s="21" t="s">
        <v>4289</v>
      </c>
      <c r="G63" s="123" t="s">
        <v>6125</v>
      </c>
      <c r="H63" s="124" t="s">
        <v>6118</v>
      </c>
      <c r="I63" s="124" t="s">
        <v>6126</v>
      </c>
      <c r="J63" s="124" t="s">
        <v>6127</v>
      </c>
      <c r="K63" s="124" t="s">
        <v>6128</v>
      </c>
      <c r="L63" s="124" t="s">
        <v>6129</v>
      </c>
      <c r="M63" s="125" t="s">
        <v>3761</v>
      </c>
      <c r="N63" s="126" t="str">
        <f>IF(tblTechnologies[[#This Row],[costtext]]="", 0, LEN(tblTechnologies[[#This Row],[costtext]]) - LEN(SUBSTITUTE(tblTechnologies[[#This Row],[costtext]], ",", "")) + 1)</f>
        <v>#ERROR!</v>
      </c>
      <c r="O63" s="126" t="str">
        <f>COUNTA(tblTechnologies[[#This Row],[amazake]:[wood]])</f>
        <v>#ERROR!</v>
      </c>
      <c r="P63" s="124"/>
      <c r="Q63" s="124"/>
      <c r="R63" s="124"/>
      <c r="S63" s="124"/>
      <c r="T63" s="124"/>
      <c r="U63" s="124"/>
      <c r="V63" s="124"/>
      <c r="W63" s="124">
        <v>10.0</v>
      </c>
      <c r="X63" s="124"/>
      <c r="Y63" s="124"/>
      <c r="Z63" s="124"/>
      <c r="AA63" s="124"/>
      <c r="AB63" s="124"/>
      <c r="AC63" s="124"/>
      <c r="AD63" s="124">
        <v>300.0</v>
      </c>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v>5.0</v>
      </c>
      <c r="BU63" s="124"/>
      <c r="BV63" s="124"/>
      <c r="BW63" s="124"/>
      <c r="BX63" s="124"/>
      <c r="BY63" s="124">
        <v>2.0</v>
      </c>
      <c r="BZ63" s="124"/>
      <c r="CA63" s="124"/>
      <c r="CB63" s="124"/>
      <c r="CC63" s="124">
        <v>15.0</v>
      </c>
      <c r="CD63" s="124"/>
      <c r="CE63" s="124"/>
      <c r="CF63" s="124"/>
      <c r="CG63" s="124"/>
      <c r="CH63" s="124"/>
      <c r="CI63" s="124"/>
      <c r="CJ63" s="124"/>
      <c r="CK63" s="124"/>
      <c r="CL63" s="124"/>
      <c r="CM63" s="124">
        <v>20.0</v>
      </c>
      <c r="CN63" s="124"/>
      <c r="CO63" s="124"/>
      <c r="CP63" s="124"/>
      <c r="CQ63" s="124"/>
      <c r="CR63" s="124"/>
      <c r="CS63" s="124"/>
      <c r="CT63" s="124"/>
      <c r="CU63" s="124"/>
    </row>
    <row r="64" ht="14.25" customHeight="1">
      <c r="A64" s="21" t="s">
        <v>1863</v>
      </c>
      <c r="B64" s="21" t="s">
        <v>5801</v>
      </c>
      <c r="C64" s="21" t="s">
        <v>6138</v>
      </c>
      <c r="D64" s="21" t="str">
        <f>_xlfn.XLOOKUP(tblTechnologies[[#This Row],[TechnologyID]],tblTargets[TargetID],tblTargets[DisplayName],"")</f>
        <v>#ERROR!</v>
      </c>
      <c r="E64" s="21" t="b">
        <v>1</v>
      </c>
      <c r="F64" s="21" t="s">
        <v>4289</v>
      </c>
      <c r="G64" s="123" t="s">
        <v>6139</v>
      </c>
      <c r="H64" s="124" t="s">
        <v>6118</v>
      </c>
      <c r="I64" s="124" t="s">
        <v>6142</v>
      </c>
      <c r="J64" s="124" t="s">
        <v>6143</v>
      </c>
      <c r="K64" s="124" t="s">
        <v>6144</v>
      </c>
      <c r="L64" s="124" t="s">
        <v>6145</v>
      </c>
      <c r="M64" s="125" t="s">
        <v>3762</v>
      </c>
      <c r="N64" s="126" t="str">
        <f>IF(tblTechnologies[[#This Row],[costtext]]="", 0, LEN(tblTechnologies[[#This Row],[costtext]]) - LEN(SUBSTITUTE(tblTechnologies[[#This Row],[costtext]], ",", "")) + 1)</f>
        <v>#ERROR!</v>
      </c>
      <c r="O64" s="126" t="str">
        <f>COUNTA(tblTechnologies[[#This Row],[amazake]:[wood]])</f>
        <v>#ERROR!</v>
      </c>
      <c r="P64" s="124"/>
      <c r="Q64" s="124"/>
      <c r="R64" s="124"/>
      <c r="S64" s="124"/>
      <c r="T64" s="124"/>
      <c r="U64" s="124"/>
      <c r="V64" s="124"/>
      <c r="W64" s="124"/>
      <c r="X64" s="124"/>
      <c r="Y64" s="124"/>
      <c r="Z64" s="124"/>
      <c r="AA64" s="124"/>
      <c r="AB64" s="124"/>
      <c r="AC64" s="124"/>
      <c r="AD64" s="124">
        <v>400.0</v>
      </c>
      <c r="AE64" s="124"/>
      <c r="AF64" s="124"/>
      <c r="AG64" s="124"/>
      <c r="AH64" s="124"/>
      <c r="AI64" s="124"/>
      <c r="AJ64" s="124"/>
      <c r="AK64" s="124"/>
      <c r="AL64" s="124"/>
      <c r="AM64" s="124"/>
      <c r="AN64" s="124"/>
      <c r="AO64" s="124"/>
      <c r="AP64" s="124">
        <v>10.0</v>
      </c>
      <c r="AQ64" s="124"/>
      <c r="AR64" s="124"/>
      <c r="AS64" s="124"/>
      <c r="AT64" s="124">
        <v>15.0</v>
      </c>
      <c r="AU64" s="124"/>
      <c r="AV64" s="124"/>
      <c r="AW64" s="124">
        <v>6.0</v>
      </c>
      <c r="AX64" s="124"/>
      <c r="AY64" s="124"/>
      <c r="AZ64" s="124"/>
      <c r="BA64" s="124"/>
      <c r="BB64" s="124"/>
      <c r="BC64" s="124">
        <v>15.0</v>
      </c>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4">
        <v>3.0</v>
      </c>
      <c r="BZ64" s="124"/>
      <c r="CA64" s="124"/>
      <c r="CB64" s="124"/>
      <c r="CC64" s="124"/>
      <c r="CD64" s="124"/>
      <c r="CE64" s="124"/>
      <c r="CF64" s="124"/>
      <c r="CG64" s="124"/>
      <c r="CH64" s="124"/>
      <c r="CI64" s="124"/>
      <c r="CJ64" s="124"/>
      <c r="CK64" s="124"/>
      <c r="CL64" s="124"/>
      <c r="CM64" s="124"/>
      <c r="CN64" s="124"/>
      <c r="CO64" s="124"/>
      <c r="CP64" s="124"/>
      <c r="CQ64" s="124"/>
      <c r="CR64" s="124"/>
      <c r="CS64" s="124"/>
      <c r="CT64" s="124"/>
      <c r="CU64" s="124"/>
    </row>
    <row r="65" ht="14.25" customHeight="1">
      <c r="A65" s="21" t="s">
        <v>1847</v>
      </c>
      <c r="B65" s="21" t="s">
        <v>5804</v>
      </c>
      <c r="C65" s="21" t="s">
        <v>6157</v>
      </c>
      <c r="D65" s="21" t="str">
        <f>_xlfn.XLOOKUP(tblTechnologies[[#This Row],[TechnologyID]],tblTargets[TargetID],tblTargets[DisplayName],"")</f>
        <v>#ERROR!</v>
      </c>
      <c r="E65" s="21" t="b">
        <v>1</v>
      </c>
      <c r="F65" s="21" t="s">
        <v>4289</v>
      </c>
      <c r="G65" s="123" t="s">
        <v>6159</v>
      </c>
      <c r="H65" s="124" t="s">
        <v>6118</v>
      </c>
      <c r="I65" s="124" t="s">
        <v>6119</v>
      </c>
      <c r="J65" s="124" t="s">
        <v>5440</v>
      </c>
      <c r="K65" s="124" t="s">
        <v>6160</v>
      </c>
      <c r="L65" s="124"/>
      <c r="M65" s="125" t="s">
        <v>3764</v>
      </c>
      <c r="N65" s="126" t="str">
        <f>IF(tblTechnologies[[#This Row],[costtext]]="", 0, LEN(tblTechnologies[[#This Row],[costtext]]) - LEN(SUBSTITUTE(tblTechnologies[[#This Row],[costtext]], ",", "")) + 1)</f>
        <v>#ERROR!</v>
      </c>
      <c r="O65" s="126" t="str">
        <f>COUNTA(tblTechnologies[[#This Row],[amazake]:[wood]])</f>
        <v>#ERROR!</v>
      </c>
      <c r="P65" s="124"/>
      <c r="Q65" s="124"/>
      <c r="R65" s="124"/>
      <c r="S65" s="124"/>
      <c r="T65" s="124"/>
      <c r="U65" s="124"/>
      <c r="V65" s="124"/>
      <c r="W65" s="124"/>
      <c r="X65" s="124"/>
      <c r="Y65" s="124"/>
      <c r="Z65" s="124"/>
      <c r="AA65" s="124"/>
      <c r="AB65" s="124"/>
      <c r="AC65" s="124"/>
      <c r="AD65" s="124">
        <v>500.0</v>
      </c>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v>50.0</v>
      </c>
      <c r="BG65" s="124"/>
      <c r="BH65" s="124"/>
      <c r="BI65" s="124"/>
      <c r="BJ65" s="124"/>
      <c r="BK65" s="124"/>
      <c r="BL65" s="124"/>
      <c r="BM65" s="124">
        <v>30.0</v>
      </c>
      <c r="BN65" s="124"/>
      <c r="BO65" s="124"/>
      <c r="BP65" s="124"/>
      <c r="BQ65" s="124"/>
      <c r="BR65" s="124"/>
      <c r="BS65" s="124"/>
      <c r="BT65" s="124"/>
      <c r="BU65" s="124"/>
      <c r="BV65" s="124"/>
      <c r="BW65" s="124"/>
      <c r="BX65" s="124"/>
      <c r="BY65" s="124">
        <v>3.0</v>
      </c>
      <c r="BZ65" s="124"/>
      <c r="CA65" s="124"/>
      <c r="CB65" s="124"/>
      <c r="CC65" s="124">
        <v>10.0</v>
      </c>
      <c r="CD65" s="124"/>
      <c r="CE65" s="124"/>
      <c r="CF65" s="124"/>
      <c r="CG65" s="124"/>
      <c r="CH65" s="124"/>
      <c r="CI65" s="124"/>
      <c r="CJ65" s="124"/>
      <c r="CK65" s="124"/>
      <c r="CL65" s="124"/>
      <c r="CM65" s="124">
        <v>5.0</v>
      </c>
      <c r="CN65" s="124"/>
      <c r="CO65" s="124"/>
      <c r="CP65" s="124"/>
      <c r="CQ65" s="124"/>
      <c r="CR65" s="124"/>
      <c r="CS65" s="124"/>
      <c r="CT65" s="124"/>
      <c r="CU65" s="124"/>
    </row>
    <row r="66" ht="14.25" customHeight="1">
      <c r="A66" s="21" t="s">
        <v>1850</v>
      </c>
      <c r="B66" s="21" t="s">
        <v>5809</v>
      </c>
      <c r="C66" s="21" t="s">
        <v>6171</v>
      </c>
      <c r="D66" s="21" t="str">
        <f>_xlfn.XLOOKUP(tblTechnologies[[#This Row],[TechnologyID]],tblTargets[TargetID],tblTargets[DisplayName],"")</f>
        <v>#ERROR!</v>
      </c>
      <c r="E66" s="21" t="b">
        <v>1</v>
      </c>
      <c r="F66" s="21" t="s">
        <v>4289</v>
      </c>
      <c r="G66" s="123" t="s">
        <v>6172</v>
      </c>
      <c r="H66" s="124" t="s">
        <v>6118</v>
      </c>
      <c r="I66" s="124" t="s">
        <v>6173</v>
      </c>
      <c r="J66" s="124" t="s">
        <v>6174</v>
      </c>
      <c r="K66" s="124" t="s">
        <v>6175</v>
      </c>
      <c r="L66" s="124"/>
      <c r="M66" s="125" t="s">
        <v>3765</v>
      </c>
      <c r="N66" s="126" t="str">
        <f>IF(tblTechnologies[[#This Row],[costtext]]="", 0, LEN(tblTechnologies[[#This Row],[costtext]]) - LEN(SUBSTITUTE(tblTechnologies[[#This Row],[costtext]], ",", "")) + 1)</f>
        <v>#ERROR!</v>
      </c>
      <c r="O66" s="126" t="str">
        <f>COUNTA(tblTechnologies[[#This Row],[amazake]:[wood]])</f>
        <v>#ERROR!</v>
      </c>
      <c r="P66" s="124"/>
      <c r="Q66" s="124"/>
      <c r="R66" s="124"/>
      <c r="S66" s="124"/>
      <c r="T66" s="124"/>
      <c r="U66" s="124"/>
      <c r="V66" s="124"/>
      <c r="W66" s="124">
        <v>20.0</v>
      </c>
      <c r="X66" s="124"/>
      <c r="Y66" s="124"/>
      <c r="Z66" s="124"/>
      <c r="AA66" s="124"/>
      <c r="AB66" s="124"/>
      <c r="AC66" s="124"/>
      <c r="AD66" s="124">
        <v>1000.0</v>
      </c>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v>50.0</v>
      </c>
      <c r="BJ66" s="124"/>
      <c r="BK66" s="124"/>
      <c r="BL66" s="124"/>
      <c r="BM66" s="124"/>
      <c r="BN66" s="124"/>
      <c r="BO66" s="124"/>
      <c r="BP66" s="124"/>
      <c r="BQ66" s="124"/>
      <c r="BR66" s="124"/>
      <c r="BS66" s="124"/>
      <c r="BT66" s="124"/>
      <c r="BU66" s="124"/>
      <c r="BV66" s="124"/>
      <c r="BW66" s="124"/>
      <c r="BX66" s="124"/>
      <c r="BY66" s="124">
        <v>5.0</v>
      </c>
      <c r="BZ66" s="124"/>
      <c r="CA66" s="124"/>
      <c r="CB66" s="124"/>
      <c r="CC66" s="124">
        <v>20.0</v>
      </c>
      <c r="CD66" s="124"/>
      <c r="CE66" s="124"/>
      <c r="CF66" s="124"/>
      <c r="CG66" s="124"/>
      <c r="CH66" s="124"/>
      <c r="CI66" s="124"/>
      <c r="CJ66" s="124"/>
      <c r="CK66" s="124"/>
      <c r="CL66" s="124"/>
      <c r="CM66" s="124">
        <v>10.0</v>
      </c>
      <c r="CN66" s="124"/>
      <c r="CO66" s="124"/>
      <c r="CP66" s="124"/>
      <c r="CQ66" s="124"/>
      <c r="CR66" s="124"/>
      <c r="CS66" s="124"/>
      <c r="CT66" s="124"/>
      <c r="CU66" s="124"/>
    </row>
    <row r="67" ht="14.25" customHeight="1">
      <c r="A67" s="21" t="s">
        <v>1852</v>
      </c>
      <c r="B67" s="21" t="s">
        <v>5812</v>
      </c>
      <c r="C67" s="21" t="s">
        <v>6181</v>
      </c>
      <c r="D67" s="21" t="str">
        <f>_xlfn.XLOOKUP(tblTechnologies[[#This Row],[TechnologyID]],tblTargets[TargetID],tblTargets[DisplayName],"")</f>
        <v>#ERROR!</v>
      </c>
      <c r="E67" s="21" t="b">
        <v>1</v>
      </c>
      <c r="F67" s="21" t="s">
        <v>4289</v>
      </c>
      <c r="G67" s="123" t="s">
        <v>6183</v>
      </c>
      <c r="H67" s="124" t="s">
        <v>6118</v>
      </c>
      <c r="I67" s="124" t="s">
        <v>6185</v>
      </c>
      <c r="J67" s="124" t="s">
        <v>6186</v>
      </c>
      <c r="K67" s="124" t="s">
        <v>6187</v>
      </c>
      <c r="L67" s="124"/>
      <c r="M67" s="125" t="s">
        <v>3767</v>
      </c>
      <c r="N67" s="126" t="str">
        <f>IF(tblTechnologies[[#This Row],[costtext]]="", 0, LEN(tblTechnologies[[#This Row],[costtext]]) - LEN(SUBSTITUTE(tblTechnologies[[#This Row],[costtext]], ",", "")) + 1)</f>
        <v>#ERROR!</v>
      </c>
      <c r="O67" s="126" t="str">
        <f>COUNTA(tblTechnologies[[#This Row],[amazake]:[wood]])</f>
        <v>#ERROR!</v>
      </c>
      <c r="P67" s="124"/>
      <c r="Q67" s="124"/>
      <c r="R67" s="124"/>
      <c r="S67" s="124"/>
      <c r="T67" s="124"/>
      <c r="U67" s="124"/>
      <c r="V67" s="124"/>
      <c r="W67" s="124">
        <v>30.0</v>
      </c>
      <c r="X67" s="124"/>
      <c r="Y67" s="124"/>
      <c r="Z67" s="124"/>
      <c r="AA67" s="124"/>
      <c r="AB67" s="124"/>
      <c r="AC67" s="124"/>
      <c r="AD67" s="124">
        <v>1500.0</v>
      </c>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v>75.0</v>
      </c>
      <c r="BJ67" s="124"/>
      <c r="BK67" s="124"/>
      <c r="BL67" s="124"/>
      <c r="BM67" s="124"/>
      <c r="BN67" s="124"/>
      <c r="BO67" s="124"/>
      <c r="BP67" s="124"/>
      <c r="BQ67" s="124"/>
      <c r="BR67" s="124"/>
      <c r="BS67" s="124"/>
      <c r="BT67" s="124"/>
      <c r="BU67" s="124"/>
      <c r="BV67" s="124"/>
      <c r="BW67" s="124"/>
      <c r="BX67" s="124"/>
      <c r="BY67" s="124">
        <v>7.0</v>
      </c>
      <c r="BZ67" s="124"/>
      <c r="CA67" s="124"/>
      <c r="CB67" s="124"/>
      <c r="CC67" s="124">
        <v>30.0</v>
      </c>
      <c r="CD67" s="124"/>
      <c r="CE67" s="124"/>
      <c r="CF67" s="124"/>
      <c r="CG67" s="124"/>
      <c r="CH67" s="124"/>
      <c r="CI67" s="124"/>
      <c r="CJ67" s="124"/>
      <c r="CK67" s="124"/>
      <c r="CL67" s="124"/>
      <c r="CM67" s="124">
        <v>15.0</v>
      </c>
      <c r="CN67" s="124"/>
      <c r="CO67" s="124"/>
      <c r="CP67" s="124"/>
      <c r="CQ67" s="124"/>
      <c r="CR67" s="124"/>
      <c r="CS67" s="124"/>
      <c r="CT67" s="124"/>
      <c r="CU67" s="124"/>
    </row>
    <row r="68" ht="14.25" customHeight="1">
      <c r="A68" s="21" t="s">
        <v>1854</v>
      </c>
      <c r="B68" s="21" t="s">
        <v>5817</v>
      </c>
      <c r="C68" s="21" t="s">
        <v>6196</v>
      </c>
      <c r="D68" s="21" t="str">
        <f>_xlfn.XLOOKUP(tblTechnologies[[#This Row],[TechnologyID]],tblTargets[TargetID],tblTargets[DisplayName],"")</f>
        <v>#ERROR!</v>
      </c>
      <c r="E68" s="21" t="b">
        <v>1</v>
      </c>
      <c r="F68" s="21" t="s">
        <v>4289</v>
      </c>
      <c r="G68" s="123" t="s">
        <v>6198</v>
      </c>
      <c r="H68" s="124" t="s">
        <v>6118</v>
      </c>
      <c r="I68" s="124" t="s">
        <v>6199</v>
      </c>
      <c r="J68" s="124" t="s">
        <v>6200</v>
      </c>
      <c r="K68" s="124" t="s">
        <v>6201</v>
      </c>
      <c r="L68" s="124" t="s">
        <v>6202</v>
      </c>
      <c r="M68" s="125" t="s">
        <v>3768</v>
      </c>
      <c r="N68" s="126" t="str">
        <f>IF(tblTechnologies[[#This Row],[costtext]]="", 0, LEN(tblTechnologies[[#This Row],[costtext]]) - LEN(SUBSTITUTE(tblTechnologies[[#This Row],[costtext]], ",", "")) + 1)</f>
        <v>#ERROR!</v>
      </c>
      <c r="O68" s="126" t="str">
        <f>COUNTA(tblTechnologies[[#This Row],[amazake]:[wood]])</f>
        <v>#ERROR!</v>
      </c>
      <c r="P68" s="124"/>
      <c r="Q68" s="124"/>
      <c r="R68" s="124"/>
      <c r="S68" s="124"/>
      <c r="T68" s="124"/>
      <c r="U68" s="124"/>
      <c r="V68" s="124"/>
      <c r="W68" s="124">
        <v>30.0</v>
      </c>
      <c r="X68" s="124"/>
      <c r="Y68" s="124"/>
      <c r="Z68" s="124"/>
      <c r="AA68" s="124"/>
      <c r="AB68" s="124"/>
      <c r="AC68" s="124"/>
      <c r="AD68" s="124">
        <v>500.0</v>
      </c>
      <c r="AE68" s="124"/>
      <c r="AF68" s="124"/>
      <c r="AG68" s="124"/>
      <c r="AH68" s="124"/>
      <c r="AI68" s="124"/>
      <c r="AJ68" s="124"/>
      <c r="AK68" s="124"/>
      <c r="AL68" s="124"/>
      <c r="AM68" s="124"/>
      <c r="AN68" s="124"/>
      <c r="AO68" s="124"/>
      <c r="AP68" s="124"/>
      <c r="AQ68" s="124"/>
      <c r="AR68" s="124"/>
      <c r="AS68" s="124"/>
      <c r="AT68" s="124">
        <v>20.0</v>
      </c>
      <c r="AU68" s="124"/>
      <c r="AV68" s="124"/>
      <c r="AW68" s="124"/>
      <c r="AX68" s="124"/>
      <c r="AY68" s="124"/>
      <c r="AZ68" s="124"/>
      <c r="BA68" s="124"/>
      <c r="BB68" s="124">
        <v>5.0</v>
      </c>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c r="BY68" s="124">
        <v>3.0</v>
      </c>
      <c r="BZ68" s="124"/>
      <c r="CA68" s="124"/>
      <c r="CB68" s="124"/>
      <c r="CC68" s="124"/>
      <c r="CD68" s="124"/>
      <c r="CE68" s="124"/>
      <c r="CF68" s="124"/>
      <c r="CG68" s="124"/>
      <c r="CH68" s="124"/>
      <c r="CI68" s="124"/>
      <c r="CJ68" s="124"/>
      <c r="CK68" s="124"/>
      <c r="CL68" s="124"/>
      <c r="CM68" s="124"/>
      <c r="CN68" s="124"/>
      <c r="CO68" s="124"/>
      <c r="CP68" s="124">
        <v>20.0</v>
      </c>
      <c r="CQ68" s="124"/>
      <c r="CR68" s="124">
        <v>6.0</v>
      </c>
      <c r="CS68" s="124"/>
      <c r="CT68" s="124"/>
      <c r="CU68" s="124"/>
    </row>
    <row r="69" ht="14.25" customHeight="1">
      <c r="A69" s="21" t="s">
        <v>1856</v>
      </c>
      <c r="B69" s="21" t="s">
        <v>5820</v>
      </c>
      <c r="C69" s="21" t="s">
        <v>6217</v>
      </c>
      <c r="D69" s="21" t="str">
        <f>_xlfn.XLOOKUP(tblTechnologies[[#This Row],[TechnologyID]],tblTargets[TargetID],tblTargets[DisplayName],"")</f>
        <v>#ERROR!</v>
      </c>
      <c r="E69" s="21" t="b">
        <v>1</v>
      </c>
      <c r="F69" s="21" t="s">
        <v>4289</v>
      </c>
      <c r="G69" s="123" t="s">
        <v>6220</v>
      </c>
      <c r="H69" s="124" t="s">
        <v>6118</v>
      </c>
      <c r="I69" s="124" t="s">
        <v>6221</v>
      </c>
      <c r="J69" s="124" t="s">
        <v>6222</v>
      </c>
      <c r="K69" s="124" t="s">
        <v>6223</v>
      </c>
      <c r="L69" s="124" t="s">
        <v>6224</v>
      </c>
      <c r="M69" s="125" t="s">
        <v>3769</v>
      </c>
      <c r="N69" s="126" t="str">
        <f>IF(tblTechnologies[[#This Row],[costtext]]="", 0, LEN(tblTechnologies[[#This Row],[costtext]]) - LEN(SUBSTITUTE(tblTechnologies[[#This Row],[costtext]], ",", "")) + 1)</f>
        <v>#ERROR!</v>
      </c>
      <c r="O69" s="126" t="str">
        <f>COUNTA(tblTechnologies[[#This Row],[amazake]:[wood]])</f>
        <v>#ERROR!</v>
      </c>
      <c r="P69" s="124"/>
      <c r="Q69" s="124"/>
      <c r="R69" s="124">
        <v>1.0</v>
      </c>
      <c r="S69" s="124"/>
      <c r="T69" s="124"/>
      <c r="U69" s="124"/>
      <c r="V69" s="124"/>
      <c r="W69" s="124">
        <v>20.0</v>
      </c>
      <c r="X69" s="124"/>
      <c r="Y69" s="124"/>
      <c r="Z69" s="124"/>
      <c r="AA69" s="124"/>
      <c r="AB69" s="124"/>
      <c r="AC69" s="124"/>
      <c r="AD69" s="124">
        <v>1000.0</v>
      </c>
      <c r="AE69" s="124"/>
      <c r="AF69" s="124"/>
      <c r="AG69" s="124"/>
      <c r="AH69" s="124"/>
      <c r="AI69" s="124"/>
      <c r="AJ69" s="124"/>
      <c r="AK69" s="124"/>
      <c r="AL69" s="124"/>
      <c r="AM69" s="124"/>
      <c r="AN69" s="124"/>
      <c r="AO69" s="124"/>
      <c r="AP69" s="124"/>
      <c r="AQ69" s="124"/>
      <c r="AR69" s="124"/>
      <c r="AS69" s="124"/>
      <c r="AT69" s="124">
        <v>10.0</v>
      </c>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v>10.0</v>
      </c>
      <c r="BT69" s="124"/>
      <c r="BU69" s="124">
        <v>25.0</v>
      </c>
      <c r="BV69" s="124">
        <v>1.0</v>
      </c>
      <c r="BW69" s="124"/>
      <c r="BX69" s="124"/>
      <c r="BY69" s="124">
        <v>5.0</v>
      </c>
      <c r="BZ69" s="124"/>
      <c r="CA69" s="124"/>
      <c r="CB69" s="124"/>
      <c r="CC69" s="124"/>
      <c r="CD69" s="124"/>
      <c r="CE69" s="124"/>
      <c r="CF69" s="124"/>
      <c r="CG69" s="124"/>
      <c r="CH69" s="124"/>
      <c r="CI69" s="124"/>
      <c r="CJ69" s="124"/>
      <c r="CK69" s="124"/>
      <c r="CL69" s="124"/>
      <c r="CM69" s="124"/>
      <c r="CN69" s="124"/>
      <c r="CO69" s="124"/>
      <c r="CP69" s="124">
        <v>20.0</v>
      </c>
      <c r="CQ69" s="124"/>
      <c r="CR69" s="124"/>
      <c r="CS69" s="124"/>
      <c r="CT69" s="124"/>
      <c r="CU69" s="124"/>
    </row>
    <row r="70" ht="14.25" customHeight="1">
      <c r="A70" s="21" t="s">
        <v>1867</v>
      </c>
      <c r="B70" s="21" t="s">
        <v>6244</v>
      </c>
      <c r="C70" s="21" t="s">
        <v>6246</v>
      </c>
      <c r="D70" s="21" t="str">
        <f>_xlfn.XLOOKUP(tblTechnologies[[#This Row],[TechnologyID]],tblTargets[TargetID],tblTargets[DisplayName],"")</f>
        <v>#ERROR!</v>
      </c>
      <c r="E70" s="21" t="b">
        <v>1</v>
      </c>
      <c r="F70" s="21" t="s">
        <v>4289</v>
      </c>
      <c r="G70" s="123" t="s">
        <v>6248</v>
      </c>
      <c r="H70" s="124" t="s">
        <v>6118</v>
      </c>
      <c r="I70" s="124" t="s">
        <v>6119</v>
      </c>
      <c r="J70" s="124" t="s">
        <v>5440</v>
      </c>
      <c r="K70" s="124" t="s">
        <v>6250</v>
      </c>
      <c r="L70" s="124" t="s">
        <v>5281</v>
      </c>
      <c r="M70" s="125" t="s">
        <v>3771</v>
      </c>
      <c r="N70" s="126" t="str">
        <f>IF(tblTechnologies[[#This Row],[costtext]]="", 0, LEN(tblTechnologies[[#This Row],[costtext]]) - LEN(SUBSTITUTE(tblTechnologies[[#This Row],[costtext]], ",", "")) + 1)</f>
        <v>#ERROR!</v>
      </c>
      <c r="O70" s="126" t="str">
        <f>COUNTA(tblTechnologies[[#This Row],[amazake]:[wood]])</f>
        <v>#ERROR!</v>
      </c>
      <c r="P70" s="124"/>
      <c r="Q70" s="124"/>
      <c r="R70" s="124"/>
      <c r="S70" s="124"/>
      <c r="T70" s="124"/>
      <c r="U70" s="124"/>
      <c r="V70" s="124"/>
      <c r="W70" s="124">
        <v>10.0</v>
      </c>
      <c r="X70" s="124"/>
      <c r="Y70" s="124"/>
      <c r="Z70" s="124"/>
      <c r="AA70" s="124"/>
      <c r="AB70" s="124"/>
      <c r="AC70" s="124"/>
      <c r="AD70" s="124">
        <v>300.0</v>
      </c>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c r="BY70" s="124">
        <v>1.0</v>
      </c>
      <c r="BZ70" s="124"/>
      <c r="CA70" s="124"/>
      <c r="CB70" s="124"/>
      <c r="CC70" s="124">
        <v>10.0</v>
      </c>
      <c r="CD70" s="124"/>
      <c r="CE70" s="124"/>
      <c r="CF70" s="124"/>
      <c r="CG70" s="124"/>
      <c r="CH70" s="124"/>
      <c r="CI70" s="124"/>
      <c r="CJ70" s="124"/>
      <c r="CK70" s="124"/>
      <c r="CL70" s="124"/>
      <c r="CM70" s="124">
        <v>10.0</v>
      </c>
      <c r="CN70" s="124"/>
      <c r="CO70" s="124"/>
      <c r="CP70" s="124"/>
      <c r="CQ70" s="124"/>
      <c r="CR70" s="124"/>
      <c r="CS70" s="124"/>
      <c r="CT70" s="124"/>
      <c r="CU70" s="124"/>
    </row>
    <row r="71" ht="14.25" customHeight="1">
      <c r="A71" s="21" t="s">
        <v>1865</v>
      </c>
      <c r="B71" s="21" t="s">
        <v>6268</v>
      </c>
      <c r="C71" s="21" t="s">
        <v>6269</v>
      </c>
      <c r="D71" s="21" t="str">
        <f>_xlfn.XLOOKUP(tblTechnologies[[#This Row],[TechnologyID]],tblTargets[TargetID],tblTargets[DisplayName],"")</f>
        <v>#ERROR!</v>
      </c>
      <c r="E71" s="21" t="b">
        <v>1</v>
      </c>
      <c r="F71" s="21" t="s">
        <v>4289</v>
      </c>
      <c r="G71" s="123" t="s">
        <v>6272</v>
      </c>
      <c r="H71" s="124" t="s">
        <v>6118</v>
      </c>
      <c r="I71" s="124" t="s">
        <v>6173</v>
      </c>
      <c r="J71" s="124" t="s">
        <v>6174</v>
      </c>
      <c r="K71" s="124" t="s">
        <v>6273</v>
      </c>
      <c r="L71" s="124" t="s">
        <v>5281</v>
      </c>
      <c r="M71" s="125" t="s">
        <v>3772</v>
      </c>
      <c r="N71" s="126" t="str">
        <f>IF(tblTechnologies[[#This Row],[costtext]]="", 0, LEN(tblTechnologies[[#This Row],[costtext]]) - LEN(SUBSTITUTE(tblTechnologies[[#This Row],[costtext]], ",", "")) + 1)</f>
        <v>#ERROR!</v>
      </c>
      <c r="O71" s="126" t="str">
        <f>COUNTA(tblTechnologies[[#This Row],[amazake]:[wood]])</f>
        <v>#ERROR!</v>
      </c>
      <c r="P71" s="124"/>
      <c r="Q71" s="124"/>
      <c r="R71" s="124"/>
      <c r="S71" s="124"/>
      <c r="T71" s="124"/>
      <c r="U71" s="124"/>
      <c r="V71" s="124"/>
      <c r="W71" s="124">
        <v>20.0</v>
      </c>
      <c r="X71" s="124"/>
      <c r="Y71" s="124"/>
      <c r="Z71" s="124"/>
      <c r="AA71" s="124"/>
      <c r="AB71" s="124"/>
      <c r="AC71" s="124"/>
      <c r="AD71" s="124">
        <v>500.0</v>
      </c>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v>30.0</v>
      </c>
      <c r="BG71" s="124"/>
      <c r="BH71" s="124"/>
      <c r="BI71" s="124"/>
      <c r="BJ71" s="124"/>
      <c r="BK71" s="124"/>
      <c r="BL71" s="124"/>
      <c r="BM71" s="124"/>
      <c r="BN71" s="124"/>
      <c r="BO71" s="124"/>
      <c r="BP71" s="124"/>
      <c r="BQ71" s="124"/>
      <c r="BR71" s="124"/>
      <c r="BS71" s="124"/>
      <c r="BT71" s="124"/>
      <c r="BU71" s="124"/>
      <c r="BV71" s="124"/>
      <c r="BW71" s="124"/>
      <c r="BX71" s="124"/>
      <c r="BY71" s="124">
        <v>2.0</v>
      </c>
      <c r="BZ71" s="124"/>
      <c r="CA71" s="124"/>
      <c r="CB71" s="124"/>
      <c r="CC71" s="124"/>
      <c r="CD71" s="124"/>
      <c r="CE71" s="124"/>
      <c r="CF71" s="124"/>
      <c r="CG71" s="124"/>
      <c r="CH71" s="124"/>
      <c r="CI71" s="124"/>
      <c r="CJ71" s="124"/>
      <c r="CK71" s="124"/>
      <c r="CL71" s="124"/>
      <c r="CM71" s="124">
        <v>10.0</v>
      </c>
      <c r="CN71" s="124"/>
      <c r="CO71" s="124"/>
      <c r="CP71" s="124"/>
      <c r="CQ71" s="124"/>
      <c r="CR71" s="124"/>
      <c r="CS71" s="124"/>
      <c r="CT71" s="124"/>
      <c r="CU71" s="124"/>
    </row>
    <row r="72" ht="14.25" customHeight="1">
      <c r="A72" s="21" t="s">
        <v>1861</v>
      </c>
      <c r="B72" s="21" t="s">
        <v>6294</v>
      </c>
      <c r="C72" s="21" t="s">
        <v>6295</v>
      </c>
      <c r="D72" s="21" t="str">
        <f>_xlfn.XLOOKUP(tblTechnologies[[#This Row],[TechnologyID]],tblTargets[TargetID],tblTargets[DisplayName],"")</f>
        <v>#ERROR!</v>
      </c>
      <c r="E72" s="21" t="b">
        <v>1</v>
      </c>
      <c r="F72" s="21" t="s">
        <v>4289</v>
      </c>
      <c r="G72" s="123" t="s">
        <v>6296</v>
      </c>
      <c r="H72" s="124" t="s">
        <v>6118</v>
      </c>
      <c r="I72" s="124" t="s">
        <v>6119</v>
      </c>
      <c r="J72" s="124" t="s">
        <v>5440</v>
      </c>
      <c r="K72" s="124" t="s">
        <v>6297</v>
      </c>
      <c r="L72" s="124"/>
      <c r="M72" s="125" t="s">
        <v>3773</v>
      </c>
      <c r="N72" s="126" t="str">
        <f>IF(tblTechnologies[[#This Row],[costtext]]="", 0, LEN(tblTechnologies[[#This Row],[costtext]]) - LEN(SUBSTITUTE(tblTechnologies[[#This Row],[costtext]], ",", "")) + 1)</f>
        <v>#ERROR!</v>
      </c>
      <c r="O72" s="126" t="str">
        <f>COUNTA(tblTechnologies[[#This Row],[amazake]:[wood]])</f>
        <v>#ERROR!</v>
      </c>
      <c r="P72" s="124"/>
      <c r="Q72" s="124"/>
      <c r="R72" s="124"/>
      <c r="S72" s="124"/>
      <c r="T72" s="124"/>
      <c r="U72" s="124"/>
      <c r="V72" s="124"/>
      <c r="W72" s="124"/>
      <c r="X72" s="124"/>
      <c r="Y72" s="124"/>
      <c r="Z72" s="124"/>
      <c r="AA72" s="124"/>
      <c r="AB72" s="124"/>
      <c r="AC72" s="124">
        <v>10.0</v>
      </c>
      <c r="AD72" s="124">
        <v>300.0</v>
      </c>
      <c r="AE72" s="124"/>
      <c r="AF72" s="124"/>
      <c r="AG72" s="124"/>
      <c r="AH72" s="124"/>
      <c r="AI72" s="124"/>
      <c r="AJ72" s="124"/>
      <c r="AK72" s="124"/>
      <c r="AL72" s="124"/>
      <c r="AM72" s="124"/>
      <c r="AN72" s="124"/>
      <c r="AO72" s="124"/>
      <c r="AP72" s="124"/>
      <c r="AQ72" s="124"/>
      <c r="AR72" s="124"/>
      <c r="AS72" s="124"/>
      <c r="AT72" s="124">
        <v>5.0</v>
      </c>
      <c r="AU72" s="124"/>
      <c r="AV72" s="124">
        <v>10.0</v>
      </c>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v>10.0</v>
      </c>
      <c r="BU72" s="124"/>
      <c r="BV72" s="124"/>
      <c r="BW72" s="124"/>
      <c r="BX72" s="124"/>
      <c r="BY72" s="124">
        <v>2.0</v>
      </c>
      <c r="BZ72" s="124"/>
      <c r="CA72" s="124"/>
      <c r="CB72" s="124"/>
      <c r="CC72" s="124"/>
      <c r="CD72" s="124"/>
      <c r="CE72" s="124"/>
      <c r="CF72" s="124"/>
      <c r="CG72" s="124"/>
      <c r="CH72" s="124"/>
      <c r="CI72" s="124"/>
      <c r="CJ72" s="124"/>
      <c r="CK72" s="124"/>
      <c r="CL72" s="124"/>
      <c r="CM72" s="124">
        <v>10.0</v>
      </c>
      <c r="CN72" s="124"/>
      <c r="CO72" s="124"/>
      <c r="CP72" s="124"/>
      <c r="CQ72" s="124"/>
      <c r="CR72" s="124"/>
      <c r="CS72" s="124"/>
      <c r="CT72" s="124"/>
      <c r="CU72" s="124"/>
    </row>
    <row r="73" ht="14.25" customHeight="1">
      <c r="A73" s="21" t="s">
        <v>1872</v>
      </c>
      <c r="B73" s="21" t="s">
        <v>6308</v>
      </c>
      <c r="C73" s="21" t="s">
        <v>6309</v>
      </c>
      <c r="D73" s="21" t="str">
        <f>_xlfn.XLOOKUP(tblTechnologies[[#This Row],[TechnologyID]],tblTargets[TargetID],tblTargets[DisplayName],"")</f>
        <v>#ERROR!</v>
      </c>
      <c r="E73" s="21" t="b">
        <v>1</v>
      </c>
      <c r="F73" s="21" t="s">
        <v>4295</v>
      </c>
      <c r="G73" s="123" t="s">
        <v>6310</v>
      </c>
      <c r="H73" s="124" t="s">
        <v>6311</v>
      </c>
      <c r="I73" s="124" t="s">
        <v>6312</v>
      </c>
      <c r="J73" s="124" t="s">
        <v>5471</v>
      </c>
      <c r="K73" s="124" t="s">
        <v>6315</v>
      </c>
      <c r="L73" s="124"/>
      <c r="M73" s="125" t="s">
        <v>3775</v>
      </c>
      <c r="N73" s="126" t="str">
        <f>IF(tblTechnologies[[#This Row],[costtext]]="", 0, LEN(tblTechnologies[[#This Row],[costtext]]) - LEN(SUBSTITUTE(tblTechnologies[[#This Row],[costtext]], ",", "")) + 1)</f>
        <v>#ERROR!</v>
      </c>
      <c r="O73" s="126" t="str">
        <f>COUNTA(tblTechnologies[[#This Row],[amazake]:[wood]])</f>
        <v>#ERROR!</v>
      </c>
      <c r="P73" s="124"/>
      <c r="Q73" s="124"/>
      <c r="R73" s="124"/>
      <c r="S73" s="124"/>
      <c r="T73" s="124"/>
      <c r="U73" s="124"/>
      <c r="V73" s="124"/>
      <c r="W73" s="124">
        <v>30.0</v>
      </c>
      <c r="X73" s="124"/>
      <c r="Y73" s="124"/>
      <c r="Z73" s="124"/>
      <c r="AA73" s="124"/>
      <c r="AB73" s="124"/>
      <c r="AC73" s="124"/>
      <c r="AD73" s="124">
        <v>1500.0</v>
      </c>
      <c r="AE73" s="124"/>
      <c r="AF73" s="124"/>
      <c r="AG73" s="124"/>
      <c r="AH73" s="124"/>
      <c r="AI73" s="124"/>
      <c r="AJ73" s="124"/>
      <c r="AK73" s="124"/>
      <c r="AL73" s="124"/>
      <c r="AM73" s="124"/>
      <c r="AN73" s="124"/>
      <c r="AO73" s="124">
        <v>50.0</v>
      </c>
      <c r="AP73" s="124"/>
      <c r="AQ73" s="124"/>
      <c r="AR73" s="124"/>
      <c r="AS73" s="124"/>
      <c r="AT73" s="124"/>
      <c r="AU73" s="124"/>
      <c r="AV73" s="124"/>
      <c r="AW73" s="124"/>
      <c r="AX73" s="124"/>
      <c r="AY73" s="124"/>
      <c r="AZ73" s="124"/>
      <c r="BA73" s="124"/>
      <c r="BB73" s="124">
        <v>30.0</v>
      </c>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c r="BY73" s="124">
        <v>4.0</v>
      </c>
      <c r="BZ73" s="124"/>
      <c r="CA73" s="124"/>
      <c r="CB73" s="124"/>
      <c r="CC73" s="124"/>
      <c r="CD73" s="124"/>
      <c r="CE73" s="124"/>
      <c r="CF73" s="124"/>
      <c r="CG73" s="124"/>
      <c r="CH73" s="124"/>
      <c r="CI73" s="124"/>
      <c r="CJ73" s="124"/>
      <c r="CK73" s="124"/>
      <c r="CL73" s="124"/>
      <c r="CM73" s="124"/>
      <c r="CN73" s="124"/>
      <c r="CO73" s="124"/>
      <c r="CP73" s="124"/>
      <c r="CQ73" s="124"/>
      <c r="CR73" s="124"/>
      <c r="CS73" s="124"/>
      <c r="CT73" s="124"/>
      <c r="CU73" s="124"/>
    </row>
    <row r="74" ht="14.25" customHeight="1">
      <c r="A74" s="21" t="s">
        <v>1877</v>
      </c>
      <c r="B74" s="21" t="s">
        <v>6319</v>
      </c>
      <c r="C74" s="21" t="s">
        <v>6320</v>
      </c>
      <c r="D74" s="21" t="str">
        <f>_xlfn.XLOOKUP(tblTechnologies[[#This Row],[TechnologyID]],tblTargets[TargetID],tblTargets[DisplayName],"")</f>
        <v>#ERROR!</v>
      </c>
      <c r="E74" s="21" t="b">
        <v>1</v>
      </c>
      <c r="F74" s="21" t="s">
        <v>4295</v>
      </c>
      <c r="G74" s="123" t="s">
        <v>6321</v>
      </c>
      <c r="H74" s="124" t="s">
        <v>6311</v>
      </c>
      <c r="I74" s="124" t="s">
        <v>6312</v>
      </c>
      <c r="J74" s="124" t="s">
        <v>5471</v>
      </c>
      <c r="K74" s="124" t="s">
        <v>6322</v>
      </c>
      <c r="L74" s="124"/>
      <c r="M74" s="125" t="s">
        <v>3776</v>
      </c>
      <c r="N74" s="126" t="str">
        <f>IF(tblTechnologies[[#This Row],[costtext]]="", 0, LEN(tblTechnologies[[#This Row],[costtext]]) - LEN(SUBSTITUTE(tblTechnologies[[#This Row],[costtext]], ",", "")) + 1)</f>
        <v>#ERROR!</v>
      </c>
      <c r="O74" s="126" t="str">
        <f>COUNTA(tblTechnologies[[#This Row],[amazake]:[wood]])</f>
        <v>#ERROR!</v>
      </c>
      <c r="P74" s="124"/>
      <c r="Q74" s="124"/>
      <c r="R74" s="124"/>
      <c r="S74" s="124"/>
      <c r="T74" s="124"/>
      <c r="U74" s="124"/>
      <c r="V74" s="124"/>
      <c r="W74" s="124">
        <v>30.0</v>
      </c>
      <c r="X74" s="124"/>
      <c r="Y74" s="124"/>
      <c r="Z74" s="124">
        <v>30.0</v>
      </c>
      <c r="AA74" s="124"/>
      <c r="AB74" s="124"/>
      <c r="AC74" s="124"/>
      <c r="AD74" s="124">
        <v>1500.0</v>
      </c>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v>30.0</v>
      </c>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c r="BY74" s="124">
        <v>4.0</v>
      </c>
      <c r="BZ74" s="124"/>
      <c r="CA74" s="124"/>
      <c r="CB74" s="124"/>
      <c r="CC74" s="124"/>
      <c r="CD74" s="124"/>
      <c r="CE74" s="124"/>
      <c r="CF74" s="124"/>
      <c r="CG74" s="124">
        <v>500.0</v>
      </c>
      <c r="CH74" s="124"/>
      <c r="CI74" s="124"/>
      <c r="CJ74" s="124"/>
      <c r="CK74" s="124"/>
      <c r="CL74" s="124"/>
      <c r="CM74" s="124"/>
      <c r="CN74" s="124"/>
      <c r="CO74" s="124"/>
      <c r="CP74" s="124"/>
      <c r="CQ74" s="124"/>
      <c r="CR74" s="124"/>
      <c r="CS74" s="124"/>
      <c r="CT74" s="124"/>
      <c r="CU74" s="124"/>
    </row>
    <row r="75" ht="14.25" customHeight="1">
      <c r="A75" s="21" t="s">
        <v>1870</v>
      </c>
      <c r="B75" s="21" t="s">
        <v>6337</v>
      </c>
      <c r="C75" s="21" t="s">
        <v>6338</v>
      </c>
      <c r="D75" s="21" t="str">
        <f>_xlfn.XLOOKUP(tblTechnologies[[#This Row],[TechnologyID]],tblTargets[TargetID],tblTargets[DisplayName],"")</f>
        <v>#ERROR!</v>
      </c>
      <c r="E75" s="21" t="b">
        <v>1</v>
      </c>
      <c r="F75" s="21" t="s">
        <v>4295</v>
      </c>
      <c r="G75" s="123" t="s">
        <v>6339</v>
      </c>
      <c r="H75" s="124" t="s">
        <v>6311</v>
      </c>
      <c r="I75" s="124" t="s">
        <v>6312</v>
      </c>
      <c r="J75" s="124" t="s">
        <v>5471</v>
      </c>
      <c r="K75" s="124" t="s">
        <v>6315</v>
      </c>
      <c r="L75" s="124"/>
      <c r="M75" s="125" t="s">
        <v>3778</v>
      </c>
      <c r="N75" s="126" t="str">
        <f>IF(tblTechnologies[[#This Row],[costtext]]="", 0, LEN(tblTechnologies[[#This Row],[costtext]]) - LEN(SUBSTITUTE(tblTechnologies[[#This Row],[costtext]], ",", "")) + 1)</f>
        <v>#ERROR!</v>
      </c>
      <c r="O75" s="126" t="str">
        <f>COUNTA(tblTechnologies[[#This Row],[amazake]:[wood]])</f>
        <v>#ERROR!</v>
      </c>
      <c r="P75" s="124"/>
      <c r="Q75" s="124"/>
      <c r="R75" s="124"/>
      <c r="S75" s="124"/>
      <c r="T75" s="124"/>
      <c r="U75" s="124"/>
      <c r="V75" s="124"/>
      <c r="W75" s="124">
        <v>30.0</v>
      </c>
      <c r="X75" s="124"/>
      <c r="Y75" s="124"/>
      <c r="Z75" s="124"/>
      <c r="AA75" s="124"/>
      <c r="AB75" s="124"/>
      <c r="AC75" s="124"/>
      <c r="AD75" s="124">
        <v>1500.0</v>
      </c>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v>30.0</v>
      </c>
      <c r="BC75" s="124"/>
      <c r="BD75" s="124"/>
      <c r="BE75" s="124"/>
      <c r="BF75" s="124"/>
      <c r="BG75" s="124"/>
      <c r="BH75" s="124"/>
      <c r="BI75" s="124"/>
      <c r="BJ75" s="124"/>
      <c r="BK75" s="124">
        <v>50.0</v>
      </c>
      <c r="BL75" s="124"/>
      <c r="BM75" s="124"/>
      <c r="BN75" s="124"/>
      <c r="BO75" s="124"/>
      <c r="BP75" s="124"/>
      <c r="BQ75" s="124"/>
      <c r="BR75" s="124"/>
      <c r="BS75" s="124"/>
      <c r="BT75" s="124"/>
      <c r="BU75" s="124"/>
      <c r="BV75" s="124"/>
      <c r="BW75" s="124"/>
      <c r="BX75" s="124"/>
      <c r="BY75" s="124">
        <v>4.0</v>
      </c>
      <c r="BZ75" s="124"/>
      <c r="CA75" s="124"/>
      <c r="CB75" s="124"/>
      <c r="CC75" s="124"/>
      <c r="CD75" s="124"/>
      <c r="CE75" s="124"/>
      <c r="CF75" s="124"/>
      <c r="CG75" s="124"/>
      <c r="CH75" s="124"/>
      <c r="CI75" s="124"/>
      <c r="CJ75" s="124"/>
      <c r="CK75" s="124"/>
      <c r="CL75" s="124"/>
      <c r="CM75" s="124"/>
      <c r="CN75" s="124"/>
      <c r="CO75" s="124"/>
      <c r="CP75" s="124"/>
      <c r="CQ75" s="124"/>
      <c r="CR75" s="124"/>
      <c r="CS75" s="124"/>
      <c r="CT75" s="124"/>
      <c r="CU75" s="124"/>
    </row>
    <row r="76" ht="14.25" customHeight="1">
      <c r="A76" s="21" t="s">
        <v>1879</v>
      </c>
      <c r="B76" s="21" t="s">
        <v>6354</v>
      </c>
      <c r="C76" s="21" t="s">
        <v>6355</v>
      </c>
      <c r="D76" s="21" t="str">
        <f>_xlfn.XLOOKUP(tblTechnologies[[#This Row],[TechnologyID]],tblTargets[TargetID],tblTargets[DisplayName],"")</f>
        <v>#ERROR!</v>
      </c>
      <c r="E76" s="21" t="b">
        <v>1</v>
      </c>
      <c r="F76" s="21" t="s">
        <v>4295</v>
      </c>
      <c r="G76" s="123" t="s">
        <v>6358</v>
      </c>
      <c r="H76" s="124" t="s">
        <v>6311</v>
      </c>
      <c r="I76" s="124" t="s">
        <v>6359</v>
      </c>
      <c r="J76" s="124" t="s">
        <v>6360</v>
      </c>
      <c r="K76" s="124" t="s">
        <v>6361</v>
      </c>
      <c r="L76" s="124" t="s">
        <v>5070</v>
      </c>
      <c r="M76" s="125" t="s">
        <v>3779</v>
      </c>
      <c r="N76" s="126" t="str">
        <f>IF(tblTechnologies[[#This Row],[costtext]]="", 0, LEN(tblTechnologies[[#This Row],[costtext]]) - LEN(SUBSTITUTE(tblTechnologies[[#This Row],[costtext]], ",", "")) + 1)</f>
        <v>#ERROR!</v>
      </c>
      <c r="O76" s="126" t="str">
        <f>COUNTA(tblTechnologies[[#This Row],[amazake]:[wood]])</f>
        <v>#ERROR!</v>
      </c>
      <c r="P76" s="124"/>
      <c r="Q76" s="124">
        <v>10.0</v>
      </c>
      <c r="R76" s="124"/>
      <c r="S76" s="124"/>
      <c r="T76" s="124"/>
      <c r="U76" s="124"/>
      <c r="V76" s="124"/>
      <c r="W76" s="124">
        <v>30.0</v>
      </c>
      <c r="X76" s="124"/>
      <c r="Y76" s="124"/>
      <c r="Z76" s="124"/>
      <c r="AA76" s="124"/>
      <c r="AB76" s="124"/>
      <c r="AC76" s="124"/>
      <c r="AD76" s="124">
        <v>1500.0</v>
      </c>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v>20.0</v>
      </c>
      <c r="BU76" s="124"/>
      <c r="BV76" s="124"/>
      <c r="BW76" s="124"/>
      <c r="BX76" s="124"/>
      <c r="BY76" s="124">
        <v>5.0</v>
      </c>
      <c r="BZ76" s="124"/>
      <c r="CA76" s="124"/>
      <c r="CB76" s="124"/>
      <c r="CC76" s="124"/>
      <c r="CD76" s="124"/>
      <c r="CE76" s="124"/>
      <c r="CF76" s="124"/>
      <c r="CG76" s="124"/>
      <c r="CH76" s="124"/>
      <c r="CI76" s="124"/>
      <c r="CJ76" s="124"/>
      <c r="CK76" s="124"/>
      <c r="CL76" s="124"/>
      <c r="CM76" s="124"/>
      <c r="CN76" s="124"/>
      <c r="CO76" s="124"/>
      <c r="CP76" s="124">
        <v>30.0</v>
      </c>
      <c r="CQ76" s="124"/>
      <c r="CR76" s="124"/>
      <c r="CS76" s="124"/>
      <c r="CT76" s="124"/>
      <c r="CU76" s="124"/>
    </row>
    <row r="77" ht="14.25" customHeight="1">
      <c r="A77" s="21" t="s">
        <v>1874</v>
      </c>
      <c r="B77" s="21" t="s">
        <v>6379</v>
      </c>
      <c r="C77" s="21" t="s">
        <v>6380</v>
      </c>
      <c r="D77" s="21" t="str">
        <f>_xlfn.XLOOKUP(tblTechnologies[[#This Row],[TechnologyID]],tblTargets[TargetID],tblTargets[DisplayName],"")</f>
        <v>#ERROR!</v>
      </c>
      <c r="E77" s="21" t="b">
        <v>1</v>
      </c>
      <c r="F77" s="21" t="s">
        <v>4295</v>
      </c>
      <c r="G77" s="123" t="s">
        <v>6382</v>
      </c>
      <c r="H77" s="124" t="s">
        <v>6311</v>
      </c>
      <c r="I77" s="124" t="s">
        <v>6383</v>
      </c>
      <c r="J77" s="124" t="s">
        <v>6384</v>
      </c>
      <c r="K77" s="124" t="s">
        <v>6361</v>
      </c>
      <c r="L77" s="124" t="s">
        <v>4162</v>
      </c>
      <c r="M77" s="125" t="s">
        <v>3781</v>
      </c>
      <c r="N77" s="126" t="str">
        <f>IF(tblTechnologies[[#This Row],[costtext]]="", 0, LEN(tblTechnologies[[#This Row],[costtext]]) - LEN(SUBSTITUTE(tblTechnologies[[#This Row],[costtext]], ",", "")) + 1)</f>
        <v>#ERROR!</v>
      </c>
      <c r="O77" s="126" t="str">
        <f>COUNTA(tblTechnologies[[#This Row],[amazake]:[wood]])</f>
        <v>#ERROR!</v>
      </c>
      <c r="P77" s="124"/>
      <c r="Q77" s="124">
        <v>20.0</v>
      </c>
      <c r="R77" s="124"/>
      <c r="S77" s="124"/>
      <c r="T77" s="124"/>
      <c r="U77" s="124"/>
      <c r="V77" s="124"/>
      <c r="W77" s="124">
        <v>40.0</v>
      </c>
      <c r="X77" s="124"/>
      <c r="Y77" s="124"/>
      <c r="Z77" s="124"/>
      <c r="AA77" s="124"/>
      <c r="AB77" s="124"/>
      <c r="AC77" s="124"/>
      <c r="AD77" s="124">
        <v>1500.0</v>
      </c>
      <c r="AE77" s="124"/>
      <c r="AF77" s="124"/>
      <c r="AG77" s="124"/>
      <c r="AH77" s="124"/>
      <c r="AI77" s="124"/>
      <c r="AJ77" s="124"/>
      <c r="AK77" s="124"/>
      <c r="AL77" s="124"/>
      <c r="AM77" s="124">
        <v>40.0</v>
      </c>
      <c r="AN77" s="124"/>
      <c r="AO77" s="124"/>
      <c r="AP77" s="124"/>
      <c r="AQ77" s="124"/>
      <c r="AR77" s="124"/>
      <c r="AS77" s="124"/>
      <c r="AT77" s="124"/>
      <c r="AU77" s="124"/>
      <c r="AV77" s="124"/>
      <c r="AW77" s="124"/>
      <c r="AX77" s="124"/>
      <c r="AY77" s="124"/>
      <c r="AZ77" s="124"/>
      <c r="BA77" s="124"/>
      <c r="BB77" s="124">
        <v>30.0</v>
      </c>
      <c r="BC77" s="124">
        <v>20.0</v>
      </c>
      <c r="BD77" s="124">
        <v>40.0</v>
      </c>
      <c r="BE77" s="124"/>
      <c r="BF77" s="124"/>
      <c r="BG77" s="124"/>
      <c r="BH77" s="124"/>
      <c r="BI77" s="124"/>
      <c r="BJ77" s="124"/>
      <c r="BK77" s="124"/>
      <c r="BL77" s="124"/>
      <c r="BM77" s="124"/>
      <c r="BN77" s="124"/>
      <c r="BO77" s="124"/>
      <c r="BP77" s="124"/>
      <c r="BQ77" s="124"/>
      <c r="BR77" s="124"/>
      <c r="BS77" s="124"/>
      <c r="BT77" s="124"/>
      <c r="BU77" s="124"/>
      <c r="BV77" s="124"/>
      <c r="BW77" s="124"/>
      <c r="BX77" s="124"/>
      <c r="BY77" s="124">
        <v>5.0</v>
      </c>
      <c r="BZ77" s="124"/>
      <c r="CA77" s="124"/>
      <c r="CB77" s="124"/>
      <c r="CC77" s="124"/>
      <c r="CD77" s="124"/>
      <c r="CE77" s="124"/>
      <c r="CF77" s="124"/>
      <c r="CG77" s="124">
        <v>200.0</v>
      </c>
      <c r="CH77" s="124"/>
      <c r="CI77" s="124"/>
      <c r="CJ77" s="124"/>
      <c r="CK77" s="124"/>
      <c r="CL77" s="124"/>
      <c r="CM77" s="124"/>
      <c r="CN77" s="124"/>
      <c r="CO77" s="124"/>
      <c r="CP77" s="124"/>
      <c r="CQ77" s="124"/>
      <c r="CR77" s="124"/>
      <c r="CS77" s="124"/>
      <c r="CT77" s="124"/>
      <c r="CU77" s="124"/>
    </row>
    <row r="78" ht="14.25" customHeight="1">
      <c r="A78" s="21" t="s">
        <v>1881</v>
      </c>
      <c r="B78" s="21" t="s">
        <v>6387</v>
      </c>
      <c r="C78" s="21" t="s">
        <v>6388</v>
      </c>
      <c r="D78" s="21" t="str">
        <f>_xlfn.XLOOKUP(tblTechnologies[[#This Row],[TechnologyID]],tblTargets[TargetID],tblTargets[DisplayName],"")</f>
        <v>#ERROR!</v>
      </c>
      <c r="E78" s="21" t="b">
        <v>1</v>
      </c>
      <c r="F78" s="21" t="s">
        <v>4321</v>
      </c>
      <c r="G78" s="123" t="s">
        <v>6389</v>
      </c>
      <c r="H78" s="124" t="s">
        <v>6390</v>
      </c>
      <c r="I78" s="124" t="s">
        <v>6391</v>
      </c>
      <c r="J78" s="124" t="s">
        <v>5492</v>
      </c>
      <c r="K78" s="124" t="s">
        <v>6392</v>
      </c>
      <c r="L78" s="124"/>
      <c r="M78" s="125" t="s">
        <v>3782</v>
      </c>
      <c r="N78" s="126" t="str">
        <f>IF(tblTechnologies[[#This Row],[costtext]]="", 0, LEN(tblTechnologies[[#This Row],[costtext]]) - LEN(SUBSTITUTE(tblTechnologies[[#This Row],[costtext]], ",", "")) + 1)</f>
        <v>#ERROR!</v>
      </c>
      <c r="O78" s="126" t="str">
        <f>COUNTA(tblTechnologies[[#This Row],[amazake]:[wood]])</f>
        <v>#ERROR!</v>
      </c>
      <c r="P78" s="124"/>
      <c r="Q78" s="124"/>
      <c r="R78" s="124"/>
      <c r="S78" s="124"/>
      <c r="T78" s="124"/>
      <c r="U78" s="124"/>
      <c r="V78" s="124"/>
      <c r="W78" s="124">
        <v>30.0</v>
      </c>
      <c r="X78" s="124"/>
      <c r="Y78" s="124"/>
      <c r="Z78" s="124"/>
      <c r="AA78" s="124"/>
      <c r="AB78" s="124"/>
      <c r="AC78" s="124"/>
      <c r="AD78" s="124">
        <v>300.0</v>
      </c>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v>200.0</v>
      </c>
      <c r="BQ78" s="124"/>
      <c r="BR78" s="124"/>
      <c r="BS78" s="124"/>
      <c r="BT78" s="124"/>
      <c r="BU78" s="124"/>
      <c r="BV78" s="124"/>
      <c r="BW78" s="124"/>
      <c r="BX78" s="124"/>
      <c r="BY78" s="124">
        <v>1.0</v>
      </c>
      <c r="BZ78" s="124"/>
      <c r="CA78" s="124"/>
      <c r="CB78" s="124"/>
      <c r="CC78" s="124"/>
      <c r="CD78" s="124"/>
      <c r="CE78" s="124"/>
      <c r="CF78" s="124"/>
      <c r="CG78" s="124">
        <v>50.0</v>
      </c>
      <c r="CH78" s="124"/>
      <c r="CI78" s="124"/>
      <c r="CJ78" s="124"/>
      <c r="CK78" s="124"/>
      <c r="CL78" s="124"/>
      <c r="CM78" s="124"/>
      <c r="CN78" s="124"/>
      <c r="CO78" s="124"/>
      <c r="CP78" s="124"/>
      <c r="CQ78" s="124"/>
      <c r="CR78" s="124"/>
      <c r="CS78" s="124"/>
      <c r="CT78" s="124"/>
      <c r="CU78" s="124"/>
    </row>
    <row r="79" ht="14.25" customHeight="1">
      <c r="A79" s="21" t="s">
        <v>1883</v>
      </c>
      <c r="B79" s="21" t="s">
        <v>6393</v>
      </c>
      <c r="C79" s="21" t="s">
        <v>6394</v>
      </c>
      <c r="D79" s="21" t="str">
        <f>_xlfn.XLOOKUP(tblTechnologies[[#This Row],[TechnologyID]],tblTargets[TargetID],tblTargets[DisplayName],"")</f>
        <v>#ERROR!</v>
      </c>
      <c r="E79" s="21" t="b">
        <v>1</v>
      </c>
      <c r="F79" s="21" t="s">
        <v>4321</v>
      </c>
      <c r="G79" s="123" t="s">
        <v>6395</v>
      </c>
      <c r="H79" s="124" t="s">
        <v>6390</v>
      </c>
      <c r="I79" s="124" t="s">
        <v>6396</v>
      </c>
      <c r="J79" s="124" t="s">
        <v>6397</v>
      </c>
      <c r="K79" s="124" t="s">
        <v>6392</v>
      </c>
      <c r="L79" s="124"/>
      <c r="M79" s="125" t="s">
        <v>3783</v>
      </c>
      <c r="N79" s="126" t="str">
        <f>IF(tblTechnologies[[#This Row],[costtext]]="", 0, LEN(tblTechnologies[[#This Row],[costtext]]) - LEN(SUBSTITUTE(tblTechnologies[[#This Row],[costtext]], ",", "")) + 1)</f>
        <v>#ERROR!</v>
      </c>
      <c r="O79" s="126" t="str">
        <f>COUNTA(tblTechnologies[[#This Row],[amazake]:[wood]])</f>
        <v>#ERROR!</v>
      </c>
      <c r="P79" s="124"/>
      <c r="Q79" s="124"/>
      <c r="R79" s="124"/>
      <c r="S79" s="124"/>
      <c r="T79" s="124"/>
      <c r="U79" s="124"/>
      <c r="V79" s="124"/>
      <c r="W79" s="124">
        <v>30.0</v>
      </c>
      <c r="X79" s="124"/>
      <c r="Y79" s="124"/>
      <c r="Z79" s="124"/>
      <c r="AA79" s="124"/>
      <c r="AB79" s="124"/>
      <c r="AC79" s="124"/>
      <c r="AD79" s="124">
        <v>400.0</v>
      </c>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v>300.0</v>
      </c>
      <c r="BQ79" s="124"/>
      <c r="BR79" s="124"/>
      <c r="BS79" s="124"/>
      <c r="BT79" s="124"/>
      <c r="BU79" s="124"/>
      <c r="BV79" s="124"/>
      <c r="BW79" s="124"/>
      <c r="BX79" s="124"/>
      <c r="BY79" s="124">
        <v>2.0</v>
      </c>
      <c r="BZ79" s="124"/>
      <c r="CA79" s="124"/>
      <c r="CB79" s="124"/>
      <c r="CC79" s="124"/>
      <c r="CD79" s="124"/>
      <c r="CE79" s="124"/>
      <c r="CF79" s="124"/>
      <c r="CG79" s="124">
        <v>60.0</v>
      </c>
      <c r="CH79" s="124"/>
      <c r="CI79" s="124"/>
      <c r="CJ79" s="124"/>
      <c r="CK79" s="124"/>
      <c r="CL79" s="124"/>
      <c r="CM79" s="124"/>
      <c r="CN79" s="124"/>
      <c r="CO79" s="124"/>
      <c r="CP79" s="124"/>
      <c r="CQ79" s="124"/>
      <c r="CR79" s="124"/>
      <c r="CS79" s="124"/>
      <c r="CT79" s="124"/>
      <c r="CU79" s="124"/>
    </row>
    <row r="80" ht="14.25" customHeight="1">
      <c r="A80" s="21" t="s">
        <v>1885</v>
      </c>
      <c r="B80" s="21" t="s">
        <v>6398</v>
      </c>
      <c r="C80" s="21" t="s">
        <v>6399</v>
      </c>
      <c r="D80" s="21" t="str">
        <f>_xlfn.XLOOKUP(tblTechnologies[[#This Row],[TechnologyID]],tblTargets[TargetID],tblTargets[DisplayName],"")</f>
        <v>#ERROR!</v>
      </c>
      <c r="E80" s="21" t="b">
        <v>1</v>
      </c>
      <c r="F80" s="21" t="s">
        <v>4321</v>
      </c>
      <c r="G80" s="123" t="s">
        <v>6400</v>
      </c>
      <c r="H80" s="124" t="s">
        <v>6390</v>
      </c>
      <c r="I80" s="124" t="s">
        <v>6401</v>
      </c>
      <c r="J80" s="124" t="s">
        <v>6402</v>
      </c>
      <c r="K80" s="124" t="s">
        <v>6392</v>
      </c>
      <c r="L80" s="124"/>
      <c r="M80" s="125" t="s">
        <v>3785</v>
      </c>
      <c r="N80" s="126" t="str">
        <f>IF(tblTechnologies[[#This Row],[costtext]]="", 0, LEN(tblTechnologies[[#This Row],[costtext]]) - LEN(SUBSTITUTE(tblTechnologies[[#This Row],[costtext]], ",", "")) + 1)</f>
        <v>#ERROR!</v>
      </c>
      <c r="O80" s="126" t="str">
        <f>COUNTA(tblTechnologies[[#This Row],[amazake]:[wood]])</f>
        <v>#ERROR!</v>
      </c>
      <c r="P80" s="124"/>
      <c r="Q80" s="124"/>
      <c r="R80" s="124"/>
      <c r="S80" s="124"/>
      <c r="T80" s="124"/>
      <c r="U80" s="124"/>
      <c r="V80" s="124"/>
      <c r="W80" s="124">
        <v>30.0</v>
      </c>
      <c r="X80" s="124"/>
      <c r="Y80" s="124"/>
      <c r="Z80" s="124"/>
      <c r="AA80" s="124"/>
      <c r="AB80" s="124"/>
      <c r="AC80" s="124"/>
      <c r="AD80" s="124">
        <v>500.0</v>
      </c>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v>400.0</v>
      </c>
      <c r="BQ80" s="124"/>
      <c r="BR80" s="124"/>
      <c r="BS80" s="124"/>
      <c r="BT80" s="124"/>
      <c r="BU80" s="124"/>
      <c r="BV80" s="124"/>
      <c r="BW80" s="124"/>
      <c r="BX80" s="124"/>
      <c r="BY80" s="124">
        <v>3.0</v>
      </c>
      <c r="BZ80" s="124"/>
      <c r="CA80" s="124"/>
      <c r="CB80" s="124"/>
      <c r="CC80" s="124"/>
      <c r="CD80" s="124"/>
      <c r="CE80" s="124"/>
      <c r="CF80" s="124"/>
      <c r="CG80" s="124">
        <v>70.0</v>
      </c>
      <c r="CH80" s="124"/>
      <c r="CI80" s="124"/>
      <c r="CJ80" s="124"/>
      <c r="CK80" s="124"/>
      <c r="CL80" s="124"/>
      <c r="CM80" s="124"/>
      <c r="CN80" s="124"/>
      <c r="CO80" s="124"/>
      <c r="CP80" s="124"/>
      <c r="CQ80" s="124"/>
      <c r="CR80" s="124"/>
      <c r="CS80" s="124"/>
      <c r="CT80" s="124"/>
      <c r="CU80" s="124"/>
    </row>
    <row r="81" ht="14.25" customHeight="1">
      <c r="A81" s="21" t="s">
        <v>1918</v>
      </c>
      <c r="B81" s="21" t="s">
        <v>5825</v>
      </c>
      <c r="C81" s="21" t="s">
        <v>6403</v>
      </c>
      <c r="D81" s="21" t="str">
        <f>_xlfn.XLOOKUP(tblTechnologies[[#This Row],[TechnologyID]],tblTargets[TargetID],tblTargets[DisplayName],"")</f>
        <v>#ERROR!</v>
      </c>
      <c r="E81" s="21" t="b">
        <v>1</v>
      </c>
      <c r="F81" s="21" t="s">
        <v>4344</v>
      </c>
      <c r="G81" s="123" t="s">
        <v>6404</v>
      </c>
      <c r="H81" s="124" t="s">
        <v>6405</v>
      </c>
      <c r="I81" s="124" t="s">
        <v>6406</v>
      </c>
      <c r="J81" s="124" t="s">
        <v>5511</v>
      </c>
      <c r="K81" s="124" t="s">
        <v>6407</v>
      </c>
      <c r="L81" s="124"/>
      <c r="M81" s="125" t="s">
        <v>3786</v>
      </c>
      <c r="N81" s="126" t="str">
        <f>IF(tblTechnologies[[#This Row],[costtext]]="", 0, LEN(tblTechnologies[[#This Row],[costtext]]) - LEN(SUBSTITUTE(tblTechnologies[[#This Row],[costtext]], ",", "")) + 1)</f>
        <v>#ERROR!</v>
      </c>
      <c r="O81" s="126" t="str">
        <f>COUNTA(tblTechnologies[[#This Row],[amazake]:[wood]])</f>
        <v>#ERROR!</v>
      </c>
      <c r="P81" s="124"/>
      <c r="Q81" s="124"/>
      <c r="R81" s="124"/>
      <c r="S81" s="124"/>
      <c r="T81" s="124">
        <v>40.0</v>
      </c>
      <c r="U81" s="124"/>
      <c r="V81" s="124"/>
      <c r="W81" s="124"/>
      <c r="X81" s="124"/>
      <c r="Y81" s="124"/>
      <c r="Z81" s="124"/>
      <c r="AA81" s="124"/>
      <c r="AB81" s="124"/>
      <c r="AC81" s="124"/>
      <c r="AD81" s="124">
        <v>300.0</v>
      </c>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v>10.0</v>
      </c>
      <c r="BN81" s="124"/>
      <c r="BO81" s="124"/>
      <c r="BP81" s="124"/>
      <c r="BQ81" s="124"/>
      <c r="BR81" s="124"/>
      <c r="BS81" s="124"/>
      <c r="BT81" s="124"/>
      <c r="BU81" s="124"/>
      <c r="BV81" s="124"/>
      <c r="BW81" s="124"/>
      <c r="BX81" s="124"/>
      <c r="BY81" s="124">
        <v>2.0</v>
      </c>
      <c r="BZ81" s="124"/>
      <c r="CA81" s="124"/>
      <c r="CB81" s="124"/>
      <c r="CC81" s="124"/>
      <c r="CD81" s="124"/>
      <c r="CE81" s="124"/>
      <c r="CF81" s="124"/>
      <c r="CG81" s="124"/>
      <c r="CH81" s="124">
        <v>10.0</v>
      </c>
      <c r="CI81" s="124"/>
      <c r="CJ81" s="124"/>
      <c r="CK81" s="124"/>
      <c r="CL81" s="124"/>
      <c r="CM81" s="124">
        <v>10.0</v>
      </c>
      <c r="CN81" s="124"/>
      <c r="CO81" s="124"/>
      <c r="CP81" s="124"/>
      <c r="CQ81" s="124"/>
      <c r="CR81" s="124"/>
      <c r="CS81" s="124"/>
      <c r="CT81" s="124"/>
      <c r="CU81" s="124"/>
    </row>
    <row r="82" ht="14.25" customHeight="1">
      <c r="A82" s="21" t="s">
        <v>1902</v>
      </c>
      <c r="B82" s="21" t="s">
        <v>5828</v>
      </c>
      <c r="C82" s="21" t="s">
        <v>6408</v>
      </c>
      <c r="D82" s="21" t="str">
        <f>_xlfn.XLOOKUP(tblTechnologies[[#This Row],[TechnologyID]],tblTargets[TargetID],tblTargets[DisplayName],"")</f>
        <v>#ERROR!</v>
      </c>
      <c r="E82" s="21" t="b">
        <v>1</v>
      </c>
      <c r="F82" s="21" t="s">
        <v>4344</v>
      </c>
      <c r="G82" s="123" t="s">
        <v>6409</v>
      </c>
      <c r="H82" s="124" t="s">
        <v>6405</v>
      </c>
      <c r="I82" s="124" t="s">
        <v>6406</v>
      </c>
      <c r="J82" s="124" t="s">
        <v>5511</v>
      </c>
      <c r="K82" s="124" t="s">
        <v>6410</v>
      </c>
      <c r="L82" s="124"/>
      <c r="M82" s="125" t="s">
        <v>3787</v>
      </c>
      <c r="N82" s="126" t="str">
        <f>IF(tblTechnologies[[#This Row],[costtext]]="", 0, LEN(tblTechnologies[[#This Row],[costtext]]) - LEN(SUBSTITUTE(tblTechnologies[[#This Row],[costtext]], ",", "")) + 1)</f>
        <v>#ERROR!</v>
      </c>
      <c r="O82" s="126" t="str">
        <f>COUNTA(tblTechnologies[[#This Row],[amazake]:[wood]])</f>
        <v>#ERROR!</v>
      </c>
      <c r="P82" s="124"/>
      <c r="Q82" s="124"/>
      <c r="R82" s="124"/>
      <c r="S82" s="124"/>
      <c r="T82" s="124">
        <v>50.0</v>
      </c>
      <c r="U82" s="124"/>
      <c r="V82" s="124"/>
      <c r="W82" s="124"/>
      <c r="X82" s="124"/>
      <c r="Y82" s="124"/>
      <c r="Z82" s="124"/>
      <c r="AA82" s="124"/>
      <c r="AB82" s="124"/>
      <c r="AC82" s="124"/>
      <c r="AD82" s="124">
        <v>300.0</v>
      </c>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v>40.0</v>
      </c>
      <c r="BG82" s="124"/>
      <c r="BH82" s="124"/>
      <c r="BI82" s="124"/>
      <c r="BJ82" s="124"/>
      <c r="BK82" s="124"/>
      <c r="BL82" s="124"/>
      <c r="BM82" s="124">
        <v>20.0</v>
      </c>
      <c r="BN82" s="124"/>
      <c r="BO82" s="124"/>
      <c r="BP82" s="124"/>
      <c r="BQ82" s="124"/>
      <c r="BR82" s="124"/>
      <c r="BS82" s="124"/>
      <c r="BT82" s="124"/>
      <c r="BU82" s="124"/>
      <c r="BV82" s="124"/>
      <c r="BW82" s="124"/>
      <c r="BX82" s="124"/>
      <c r="BY82" s="124">
        <v>2.0</v>
      </c>
      <c r="BZ82" s="124"/>
      <c r="CA82" s="124"/>
      <c r="CB82" s="124"/>
      <c r="CC82" s="124"/>
      <c r="CD82" s="124"/>
      <c r="CE82" s="124"/>
      <c r="CF82" s="124"/>
      <c r="CG82" s="124"/>
      <c r="CH82" s="124"/>
      <c r="CI82" s="124"/>
      <c r="CJ82" s="124"/>
      <c r="CK82" s="124"/>
      <c r="CL82" s="124"/>
      <c r="CM82" s="124"/>
      <c r="CN82" s="124"/>
      <c r="CO82" s="124"/>
      <c r="CP82" s="124"/>
      <c r="CQ82" s="124"/>
      <c r="CR82" s="124"/>
      <c r="CS82" s="124"/>
      <c r="CT82" s="124"/>
      <c r="CU82" s="124"/>
    </row>
    <row r="83" ht="14.25" customHeight="1">
      <c r="A83" s="21" t="s">
        <v>1904</v>
      </c>
      <c r="B83" s="21" t="s">
        <v>5833</v>
      </c>
      <c r="C83" s="21" t="s">
        <v>6411</v>
      </c>
      <c r="D83" s="21" t="str">
        <f>_xlfn.XLOOKUP(tblTechnologies[[#This Row],[TechnologyID]],tblTargets[TargetID],tblTargets[DisplayName],"")</f>
        <v>#ERROR!</v>
      </c>
      <c r="E83" s="21" t="b">
        <v>1</v>
      </c>
      <c r="F83" s="21" t="s">
        <v>4344</v>
      </c>
      <c r="G83" s="123" t="s">
        <v>6412</v>
      </c>
      <c r="H83" s="124" t="s">
        <v>6405</v>
      </c>
      <c r="I83" s="124" t="s">
        <v>6413</v>
      </c>
      <c r="J83" s="124" t="s">
        <v>6414</v>
      </c>
      <c r="K83" s="124" t="s">
        <v>6415</v>
      </c>
      <c r="L83" s="124"/>
      <c r="M83" s="125" t="s">
        <v>3789</v>
      </c>
      <c r="N83" s="126" t="str">
        <f>IF(tblTechnologies[[#This Row],[costtext]]="", 0, LEN(tblTechnologies[[#This Row],[costtext]]) - LEN(SUBSTITUTE(tblTechnologies[[#This Row],[costtext]], ",", "")) + 1)</f>
        <v>#ERROR!</v>
      </c>
      <c r="O83" s="126" t="str">
        <f>COUNTA(tblTechnologies[[#This Row],[amazake]:[wood]])</f>
        <v>#ERROR!</v>
      </c>
      <c r="P83" s="124"/>
      <c r="Q83" s="124"/>
      <c r="R83" s="124"/>
      <c r="S83" s="124"/>
      <c r="T83" s="124"/>
      <c r="U83" s="124"/>
      <c r="V83" s="124"/>
      <c r="W83" s="124">
        <v>15.0</v>
      </c>
      <c r="X83" s="124"/>
      <c r="Y83" s="124"/>
      <c r="Z83" s="124"/>
      <c r="AA83" s="124"/>
      <c r="AB83" s="124"/>
      <c r="AC83" s="124"/>
      <c r="AD83" s="124">
        <v>500.0</v>
      </c>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v>40.0</v>
      </c>
      <c r="BJ83" s="124"/>
      <c r="BK83" s="124"/>
      <c r="BL83" s="124"/>
      <c r="BM83" s="124"/>
      <c r="BN83" s="124"/>
      <c r="BO83" s="124"/>
      <c r="BP83" s="124">
        <v>100.0</v>
      </c>
      <c r="BQ83" s="124"/>
      <c r="BR83" s="124"/>
      <c r="BS83" s="124"/>
      <c r="BT83" s="124"/>
      <c r="BU83" s="124"/>
      <c r="BV83" s="124"/>
      <c r="BW83" s="124"/>
      <c r="BX83" s="124"/>
      <c r="BY83" s="124">
        <v>3.0</v>
      </c>
      <c r="BZ83" s="124"/>
      <c r="CA83" s="124"/>
      <c r="CB83" s="124"/>
      <c r="CC83" s="124"/>
      <c r="CD83" s="124"/>
      <c r="CE83" s="124"/>
      <c r="CF83" s="124"/>
      <c r="CG83" s="124"/>
      <c r="CH83" s="124"/>
      <c r="CI83" s="124"/>
      <c r="CJ83" s="124"/>
      <c r="CK83" s="124"/>
      <c r="CL83" s="124"/>
      <c r="CM83" s="124"/>
      <c r="CN83" s="124"/>
      <c r="CO83" s="124"/>
      <c r="CP83" s="124"/>
      <c r="CQ83" s="124"/>
      <c r="CR83" s="124"/>
      <c r="CS83" s="124"/>
      <c r="CT83" s="124"/>
      <c r="CU83" s="124"/>
    </row>
    <row r="84" ht="14.25" customHeight="1">
      <c r="A84" s="21" t="s">
        <v>1906</v>
      </c>
      <c r="B84" s="21" t="s">
        <v>5836</v>
      </c>
      <c r="C84" s="21" t="s">
        <v>6416</v>
      </c>
      <c r="D84" s="21" t="str">
        <f>_xlfn.XLOOKUP(tblTechnologies[[#This Row],[TechnologyID]],tblTargets[TargetID],tblTargets[DisplayName],"")</f>
        <v>#ERROR!</v>
      </c>
      <c r="E84" s="21" t="b">
        <v>1</v>
      </c>
      <c r="F84" s="21" t="s">
        <v>4344</v>
      </c>
      <c r="G84" s="123" t="s">
        <v>6417</v>
      </c>
      <c r="H84" s="124" t="s">
        <v>6405</v>
      </c>
      <c r="I84" s="124" t="s">
        <v>6418</v>
      </c>
      <c r="J84" s="124" t="s">
        <v>6419</v>
      </c>
      <c r="K84" s="124" t="s">
        <v>6420</v>
      </c>
      <c r="L84" s="124"/>
      <c r="M84" s="125" t="s">
        <v>3790</v>
      </c>
      <c r="N84" s="126" t="str">
        <f>IF(tblTechnologies[[#This Row],[costtext]]="", 0, LEN(tblTechnologies[[#This Row],[costtext]]) - LEN(SUBSTITUTE(tblTechnologies[[#This Row],[costtext]], ",", "")) + 1)</f>
        <v>#ERROR!</v>
      </c>
      <c r="O84" s="126" t="str">
        <f>COUNTA(tblTechnologies[[#This Row],[amazake]:[wood]])</f>
        <v>#ERROR!</v>
      </c>
      <c r="P84" s="124"/>
      <c r="Q84" s="124"/>
      <c r="R84" s="124"/>
      <c r="S84" s="124"/>
      <c r="T84" s="124"/>
      <c r="U84" s="124"/>
      <c r="V84" s="124"/>
      <c r="W84" s="124">
        <v>20.0</v>
      </c>
      <c r="X84" s="124"/>
      <c r="Y84" s="124"/>
      <c r="Z84" s="124"/>
      <c r="AA84" s="124"/>
      <c r="AB84" s="124"/>
      <c r="AC84" s="124"/>
      <c r="AD84" s="124">
        <v>1000.0</v>
      </c>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v>60.0</v>
      </c>
      <c r="BJ84" s="124"/>
      <c r="BK84" s="124"/>
      <c r="BL84" s="124"/>
      <c r="BM84" s="124"/>
      <c r="BN84" s="124"/>
      <c r="BO84" s="124"/>
      <c r="BP84" s="124">
        <v>200.0</v>
      </c>
      <c r="BQ84" s="124"/>
      <c r="BR84" s="124"/>
      <c r="BS84" s="124"/>
      <c r="BT84" s="124"/>
      <c r="BU84" s="124"/>
      <c r="BV84" s="124"/>
      <c r="BW84" s="124"/>
      <c r="BX84" s="124"/>
      <c r="BY84" s="124">
        <v>5.0</v>
      </c>
      <c r="BZ84" s="124"/>
      <c r="CA84" s="124"/>
      <c r="CB84" s="124"/>
      <c r="CC84" s="124"/>
      <c r="CD84" s="124"/>
      <c r="CE84" s="124"/>
      <c r="CF84" s="124"/>
      <c r="CG84" s="124"/>
      <c r="CH84" s="124"/>
      <c r="CI84" s="124"/>
      <c r="CJ84" s="124"/>
      <c r="CK84" s="124"/>
      <c r="CL84" s="124"/>
      <c r="CM84" s="124"/>
      <c r="CN84" s="124"/>
      <c r="CO84" s="124"/>
      <c r="CP84" s="124"/>
      <c r="CQ84" s="124"/>
      <c r="CR84" s="124"/>
      <c r="CS84" s="124"/>
      <c r="CT84" s="124"/>
      <c r="CU84" s="124"/>
    </row>
    <row r="85" ht="14.25" customHeight="1">
      <c r="A85" s="21" t="s">
        <v>1909</v>
      </c>
      <c r="B85" s="21" t="s">
        <v>5839</v>
      </c>
      <c r="C85" s="21" t="s">
        <v>6421</v>
      </c>
      <c r="D85" s="21" t="str">
        <f>_xlfn.XLOOKUP(tblTechnologies[[#This Row],[TechnologyID]],tblTargets[TargetID],tblTargets[DisplayName],"")</f>
        <v>#ERROR!</v>
      </c>
      <c r="E85" s="21" t="b">
        <v>1</v>
      </c>
      <c r="F85" s="21" t="s">
        <v>4344</v>
      </c>
      <c r="G85" s="123" t="s">
        <v>6422</v>
      </c>
      <c r="H85" s="124" t="s">
        <v>6405</v>
      </c>
      <c r="I85" s="124" t="s">
        <v>6423</v>
      </c>
      <c r="J85" s="124" t="s">
        <v>6424</v>
      </c>
      <c r="K85" s="124" t="s">
        <v>6425</v>
      </c>
      <c r="L85" s="124" t="s">
        <v>6426</v>
      </c>
      <c r="M85" s="125" t="s">
        <v>3792</v>
      </c>
      <c r="N85" s="126" t="str">
        <f>IF(tblTechnologies[[#This Row],[costtext]]="", 0, LEN(tblTechnologies[[#This Row],[costtext]]) - LEN(SUBSTITUTE(tblTechnologies[[#This Row],[costtext]], ",", "")) + 1)</f>
        <v>#ERROR!</v>
      </c>
      <c r="O85" s="126" t="str">
        <f>COUNTA(tblTechnologies[[#This Row],[amazake]:[wood]])</f>
        <v>#ERROR!</v>
      </c>
      <c r="P85" s="124"/>
      <c r="Q85" s="124"/>
      <c r="R85" s="124"/>
      <c r="S85" s="124"/>
      <c r="T85" s="124"/>
      <c r="U85" s="124"/>
      <c r="V85" s="124"/>
      <c r="W85" s="124">
        <v>25.0</v>
      </c>
      <c r="X85" s="124"/>
      <c r="Y85" s="124"/>
      <c r="Z85" s="124">
        <v>10.0</v>
      </c>
      <c r="AA85" s="124"/>
      <c r="AB85" s="124">
        <v>30.0</v>
      </c>
      <c r="AC85" s="124"/>
      <c r="AD85" s="124">
        <v>1000.0</v>
      </c>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v>15.0</v>
      </c>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c r="BY85" s="124">
        <v>5.0</v>
      </c>
      <c r="BZ85" s="124"/>
      <c r="CA85" s="124">
        <v>3.0</v>
      </c>
      <c r="CB85" s="124"/>
      <c r="CC85" s="124"/>
      <c r="CD85" s="124"/>
      <c r="CE85" s="124"/>
      <c r="CF85" s="124"/>
      <c r="CG85" s="124"/>
      <c r="CH85" s="124"/>
      <c r="CI85" s="124"/>
      <c r="CJ85" s="124"/>
      <c r="CK85" s="124"/>
      <c r="CL85" s="124"/>
      <c r="CM85" s="124"/>
      <c r="CN85" s="124"/>
      <c r="CO85" s="124"/>
      <c r="CP85" s="124"/>
      <c r="CQ85" s="124"/>
      <c r="CR85" s="124"/>
      <c r="CS85" s="124"/>
      <c r="CT85" s="124"/>
      <c r="CU85" s="124"/>
    </row>
    <row r="86" ht="14.25" customHeight="1">
      <c r="A86" s="21" t="s">
        <v>1911</v>
      </c>
      <c r="B86" s="21" t="s">
        <v>5844</v>
      </c>
      <c r="C86" s="21" t="s">
        <v>6427</v>
      </c>
      <c r="D86" s="21" t="str">
        <f>_xlfn.XLOOKUP(tblTechnologies[[#This Row],[TechnologyID]],tblTargets[TargetID],tblTargets[DisplayName],"")</f>
        <v>#ERROR!</v>
      </c>
      <c r="E86" s="21" t="b">
        <v>1</v>
      </c>
      <c r="F86" s="21" t="s">
        <v>4344</v>
      </c>
      <c r="G86" s="123" t="s">
        <v>6428</v>
      </c>
      <c r="H86" s="124" t="s">
        <v>6405</v>
      </c>
      <c r="I86" s="124" t="s">
        <v>6429</v>
      </c>
      <c r="J86" s="124" t="s">
        <v>6430</v>
      </c>
      <c r="K86" s="124" t="s">
        <v>6431</v>
      </c>
      <c r="L86" s="124" t="s">
        <v>6432</v>
      </c>
      <c r="M86" s="125" t="s">
        <v>3793</v>
      </c>
      <c r="N86" s="126" t="str">
        <f>IF(tblTechnologies[[#This Row],[costtext]]="", 0, LEN(tblTechnologies[[#This Row],[costtext]]) - LEN(SUBSTITUTE(tblTechnologies[[#This Row],[costtext]], ",", "")) + 1)</f>
        <v>#ERROR!</v>
      </c>
      <c r="O86" s="126" t="str">
        <f>COUNTA(tblTechnologies[[#This Row],[amazake]:[wood]])</f>
        <v>#ERROR!</v>
      </c>
      <c r="P86" s="124"/>
      <c r="Q86" s="124">
        <v>20.0</v>
      </c>
      <c r="R86" s="124"/>
      <c r="S86" s="124"/>
      <c r="T86" s="124"/>
      <c r="U86" s="124"/>
      <c r="V86" s="124"/>
      <c r="W86" s="124"/>
      <c r="X86" s="124"/>
      <c r="Y86" s="124"/>
      <c r="Z86" s="124">
        <v>20.0</v>
      </c>
      <c r="AA86" s="124"/>
      <c r="AB86" s="124"/>
      <c r="AC86" s="124"/>
      <c r="AD86" s="124">
        <v>1000.0</v>
      </c>
      <c r="AE86" s="124"/>
      <c r="AF86" s="124"/>
      <c r="AG86" s="124"/>
      <c r="AH86" s="124"/>
      <c r="AI86" s="124"/>
      <c r="AJ86" s="124"/>
      <c r="AK86" s="124"/>
      <c r="AL86" s="124"/>
      <c r="AM86" s="124"/>
      <c r="AN86" s="124"/>
      <c r="AO86" s="124"/>
      <c r="AP86" s="124"/>
      <c r="AQ86" s="124"/>
      <c r="AR86" s="124"/>
      <c r="AS86" s="124">
        <v>25.0</v>
      </c>
      <c r="AT86" s="124">
        <v>10.0</v>
      </c>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v>10.0</v>
      </c>
      <c r="BT86" s="124"/>
      <c r="BU86" s="124"/>
      <c r="BV86" s="124">
        <v>1.0</v>
      </c>
      <c r="BW86" s="124"/>
      <c r="BX86" s="124"/>
      <c r="BY86" s="124">
        <v>5.0</v>
      </c>
      <c r="BZ86" s="124"/>
      <c r="CA86" s="124"/>
      <c r="CB86" s="124">
        <v>1.0</v>
      </c>
      <c r="CC86" s="124"/>
      <c r="CD86" s="124"/>
      <c r="CE86" s="124"/>
      <c r="CF86" s="124"/>
      <c r="CG86" s="124"/>
      <c r="CH86" s="124"/>
      <c r="CI86" s="124"/>
      <c r="CJ86" s="124"/>
      <c r="CK86" s="124"/>
      <c r="CL86" s="124"/>
      <c r="CM86" s="124"/>
      <c r="CN86" s="124"/>
      <c r="CO86" s="124"/>
      <c r="CP86" s="124"/>
      <c r="CQ86" s="124"/>
      <c r="CR86" s="124"/>
      <c r="CS86" s="124"/>
      <c r="CT86" s="124"/>
      <c r="CU86" s="124"/>
    </row>
    <row r="87" ht="14.25" customHeight="1">
      <c r="A87" s="21" t="s">
        <v>1915</v>
      </c>
      <c r="B87" s="21" t="s">
        <v>6433</v>
      </c>
      <c r="C87" s="21" t="s">
        <v>6434</v>
      </c>
      <c r="D87" s="21" t="str">
        <f>_xlfn.XLOOKUP(tblTechnologies[[#This Row],[TechnologyID]],tblTargets[TargetID],tblTargets[DisplayName],"")</f>
        <v>#ERROR!</v>
      </c>
      <c r="E87" s="21" t="b">
        <v>1</v>
      </c>
      <c r="F87" s="21" t="s">
        <v>4344</v>
      </c>
      <c r="G87" s="123" t="s">
        <v>6435</v>
      </c>
      <c r="H87" s="124" t="s">
        <v>6405</v>
      </c>
      <c r="I87" s="124" t="s">
        <v>6413</v>
      </c>
      <c r="J87" s="124" t="s">
        <v>6414</v>
      </c>
      <c r="K87" s="124" t="s">
        <v>6436</v>
      </c>
      <c r="L87" s="124" t="s">
        <v>5281</v>
      </c>
      <c r="M87" s="125" t="s">
        <v>3794</v>
      </c>
      <c r="N87" s="126" t="str">
        <f>IF(tblTechnologies[[#This Row],[costtext]]="", 0, LEN(tblTechnologies[[#This Row],[costtext]]) - LEN(SUBSTITUTE(tblTechnologies[[#This Row],[costtext]], ",", "")) + 1)</f>
        <v>#ERROR!</v>
      </c>
      <c r="O87" s="126" t="str">
        <f>COUNTA(tblTechnologies[[#This Row],[amazake]:[wood]])</f>
        <v>#ERROR!</v>
      </c>
      <c r="P87" s="124"/>
      <c r="Q87" s="124"/>
      <c r="R87" s="124"/>
      <c r="S87" s="124"/>
      <c r="T87" s="124"/>
      <c r="U87" s="124"/>
      <c r="V87" s="124"/>
      <c r="W87" s="124">
        <v>15.0</v>
      </c>
      <c r="X87" s="124"/>
      <c r="Y87" s="124"/>
      <c r="Z87" s="124"/>
      <c r="AA87" s="124"/>
      <c r="AB87" s="124"/>
      <c r="AC87" s="124"/>
      <c r="AD87" s="124">
        <v>500.0</v>
      </c>
      <c r="AE87" s="124"/>
      <c r="AF87" s="124"/>
      <c r="AG87" s="124"/>
      <c r="AH87" s="124"/>
      <c r="AI87" s="124"/>
      <c r="AJ87" s="124"/>
      <c r="AK87" s="124"/>
      <c r="AL87" s="124"/>
      <c r="AM87" s="124"/>
      <c r="AN87" s="124"/>
      <c r="AO87" s="124"/>
      <c r="AP87" s="124"/>
      <c r="AQ87" s="124"/>
      <c r="AR87" s="124"/>
      <c r="AS87" s="124"/>
      <c r="AT87" s="124"/>
      <c r="AU87" s="124"/>
      <c r="AV87" s="124"/>
      <c r="AW87" s="124"/>
      <c r="AX87" s="124">
        <v>10.0</v>
      </c>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v>15.0</v>
      </c>
      <c r="BU87" s="124"/>
      <c r="BV87" s="124"/>
      <c r="BW87" s="124"/>
      <c r="BX87" s="124"/>
      <c r="BY87" s="124">
        <v>2.0</v>
      </c>
      <c r="BZ87" s="124"/>
      <c r="CA87" s="124"/>
      <c r="CB87" s="124"/>
      <c r="CC87" s="124"/>
      <c r="CD87" s="124"/>
      <c r="CE87" s="124"/>
      <c r="CF87" s="124"/>
      <c r="CG87" s="124"/>
      <c r="CH87" s="124"/>
      <c r="CI87" s="124"/>
      <c r="CJ87" s="124"/>
      <c r="CK87" s="124"/>
      <c r="CL87" s="124"/>
      <c r="CM87" s="124"/>
      <c r="CN87" s="124"/>
      <c r="CO87" s="124"/>
      <c r="CP87" s="124"/>
      <c r="CQ87" s="124"/>
      <c r="CR87" s="124"/>
      <c r="CS87" s="124"/>
      <c r="CT87" s="124"/>
      <c r="CU87" s="124"/>
    </row>
    <row r="88" ht="14.25" customHeight="1">
      <c r="A88" s="21" t="s">
        <v>1900</v>
      </c>
      <c r="B88" s="21" t="s">
        <v>1078</v>
      </c>
      <c r="C88" s="21" t="s">
        <v>6437</v>
      </c>
      <c r="D88" s="21" t="str">
        <f>_xlfn.XLOOKUP(tblTechnologies[[#This Row],[TechnologyID]],tblTargets[TargetID],tblTargets[DisplayName],"")</f>
        <v>#ERROR!</v>
      </c>
      <c r="E88" s="21" t="b">
        <v>1</v>
      </c>
      <c r="F88" s="21" t="s">
        <v>4344</v>
      </c>
      <c r="G88" s="123" t="s">
        <v>6438</v>
      </c>
      <c r="H88" s="124" t="s">
        <v>6405</v>
      </c>
      <c r="I88" s="124" t="s">
        <v>6406</v>
      </c>
      <c r="J88" s="124" t="s">
        <v>5511</v>
      </c>
      <c r="K88" s="124" t="s">
        <v>6439</v>
      </c>
      <c r="L88" s="124"/>
      <c r="M88" s="125" t="s">
        <v>3796</v>
      </c>
      <c r="N88" s="126" t="str">
        <f>IF(tblTechnologies[[#This Row],[costtext]]="", 0, LEN(tblTechnologies[[#This Row],[costtext]]) - LEN(SUBSTITUTE(tblTechnologies[[#This Row],[costtext]], ",", "")) + 1)</f>
        <v>#ERROR!</v>
      </c>
      <c r="O88" s="126" t="str">
        <f>COUNTA(tblTechnologies[[#This Row],[amazake]:[wood]])</f>
        <v>#ERROR!</v>
      </c>
      <c r="P88" s="124"/>
      <c r="Q88" s="124"/>
      <c r="R88" s="124"/>
      <c r="S88" s="124"/>
      <c r="T88" s="124"/>
      <c r="U88" s="124"/>
      <c r="V88" s="124"/>
      <c r="W88" s="124">
        <v>30.0</v>
      </c>
      <c r="X88" s="124"/>
      <c r="Y88" s="124"/>
      <c r="Z88" s="124"/>
      <c r="AA88" s="124"/>
      <c r="AB88" s="124"/>
      <c r="AC88" s="124"/>
      <c r="AD88" s="124">
        <v>700.0</v>
      </c>
      <c r="AE88" s="124"/>
      <c r="AF88" s="124"/>
      <c r="AG88" s="124"/>
      <c r="AH88" s="124"/>
      <c r="AI88" s="124"/>
      <c r="AJ88" s="124"/>
      <c r="AK88" s="124"/>
      <c r="AL88" s="124"/>
      <c r="AM88" s="124"/>
      <c r="AN88" s="124"/>
      <c r="AO88" s="124">
        <v>30.0</v>
      </c>
      <c r="AP88" s="124"/>
      <c r="AQ88" s="124"/>
      <c r="AR88" s="124"/>
      <c r="AS88" s="124"/>
      <c r="AT88" s="124"/>
      <c r="AU88" s="124"/>
      <c r="AV88" s="124"/>
      <c r="AW88" s="124"/>
      <c r="AX88" s="124"/>
      <c r="AY88" s="124"/>
      <c r="AZ88" s="124"/>
      <c r="BA88" s="124"/>
      <c r="BB88" s="124"/>
      <c r="BC88" s="124"/>
      <c r="BD88" s="124"/>
      <c r="BE88" s="124"/>
      <c r="BF88" s="124"/>
      <c r="BG88" s="124"/>
      <c r="BH88" s="124"/>
      <c r="BI88" s="124">
        <v>10.0</v>
      </c>
      <c r="BJ88" s="124"/>
      <c r="BK88" s="124"/>
      <c r="BL88" s="124"/>
      <c r="BM88" s="124"/>
      <c r="BN88" s="124"/>
      <c r="BO88" s="124"/>
      <c r="BP88" s="124"/>
      <c r="BQ88" s="124"/>
      <c r="BR88" s="124"/>
      <c r="BS88" s="124"/>
      <c r="BT88" s="124"/>
      <c r="BU88" s="124"/>
      <c r="BV88" s="124"/>
      <c r="BW88" s="124"/>
      <c r="BX88" s="124"/>
      <c r="BY88" s="124">
        <v>3.0</v>
      </c>
      <c r="BZ88" s="124"/>
      <c r="CA88" s="124"/>
      <c r="CB88" s="124"/>
      <c r="CC88" s="124"/>
      <c r="CD88" s="124"/>
      <c r="CE88" s="124"/>
      <c r="CF88" s="124"/>
      <c r="CG88" s="124"/>
      <c r="CH88" s="124"/>
      <c r="CI88" s="124"/>
      <c r="CJ88" s="124"/>
      <c r="CK88" s="124"/>
      <c r="CL88" s="124"/>
      <c r="CM88" s="124"/>
      <c r="CN88" s="124"/>
      <c r="CO88" s="124"/>
      <c r="CP88" s="124"/>
      <c r="CQ88" s="124"/>
      <c r="CR88" s="124"/>
      <c r="CS88" s="124"/>
      <c r="CT88" s="124"/>
      <c r="CU88" s="124"/>
    </row>
    <row r="89" ht="14.25" customHeight="1">
      <c r="A89" s="21" t="s">
        <v>1898</v>
      </c>
      <c r="B89" s="21" t="s">
        <v>5847</v>
      </c>
      <c r="C89" s="21" t="s">
        <v>6440</v>
      </c>
      <c r="D89" s="21" t="str">
        <f>_xlfn.XLOOKUP(tblTechnologies[[#This Row],[TechnologyID]],tblTargets[TargetID],tblTargets[DisplayName],"")</f>
        <v>#ERROR!</v>
      </c>
      <c r="E89" s="21" t="b">
        <v>1</v>
      </c>
      <c r="F89" s="21" t="s">
        <v>4344</v>
      </c>
      <c r="G89" s="123" t="s">
        <v>6441</v>
      </c>
      <c r="H89" s="124" t="s">
        <v>6405</v>
      </c>
      <c r="I89" s="124" t="s">
        <v>6442</v>
      </c>
      <c r="J89" s="124" t="s">
        <v>6443</v>
      </c>
      <c r="K89" s="124" t="s">
        <v>6444</v>
      </c>
      <c r="L89" s="124"/>
      <c r="M89" s="125" t="s">
        <v>3797</v>
      </c>
      <c r="N89" s="126" t="str">
        <f>IF(tblTechnologies[[#This Row],[costtext]]="", 0, LEN(tblTechnologies[[#This Row],[costtext]]) - LEN(SUBSTITUTE(tblTechnologies[[#This Row],[costtext]], ",", "")) + 1)</f>
        <v>#ERROR!</v>
      </c>
      <c r="O89" s="126" t="str">
        <f>COUNTA(tblTechnologies[[#This Row],[amazake]:[wood]])</f>
        <v>#ERROR!</v>
      </c>
      <c r="P89" s="124"/>
      <c r="Q89" s="124"/>
      <c r="R89" s="124"/>
      <c r="S89" s="124"/>
      <c r="T89" s="124"/>
      <c r="U89" s="124"/>
      <c r="V89" s="124"/>
      <c r="W89" s="124">
        <v>30.0</v>
      </c>
      <c r="X89" s="124"/>
      <c r="Y89" s="124"/>
      <c r="Z89" s="124"/>
      <c r="AA89" s="124"/>
      <c r="AB89" s="124"/>
      <c r="AC89" s="124"/>
      <c r="AD89" s="124">
        <v>1000.0</v>
      </c>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v>15.0</v>
      </c>
      <c r="BC89" s="124"/>
      <c r="BD89" s="124"/>
      <c r="BE89" s="124"/>
      <c r="BF89" s="124"/>
      <c r="BG89" s="124"/>
      <c r="BH89" s="124"/>
      <c r="BI89" s="124">
        <v>20.0</v>
      </c>
      <c r="BJ89" s="124"/>
      <c r="BK89" s="124"/>
      <c r="BL89" s="124"/>
      <c r="BM89" s="124"/>
      <c r="BN89" s="124"/>
      <c r="BO89" s="124"/>
      <c r="BP89" s="124"/>
      <c r="BQ89" s="124"/>
      <c r="BR89" s="124"/>
      <c r="BS89" s="124"/>
      <c r="BT89" s="124"/>
      <c r="BU89" s="124"/>
      <c r="BV89" s="124"/>
      <c r="BW89" s="124"/>
      <c r="BX89" s="124"/>
      <c r="BY89" s="124">
        <v>5.0</v>
      </c>
      <c r="BZ89" s="124"/>
      <c r="CA89" s="124"/>
      <c r="CB89" s="124"/>
      <c r="CC89" s="124"/>
      <c r="CD89" s="124"/>
      <c r="CE89" s="124"/>
      <c r="CF89" s="124"/>
      <c r="CG89" s="124"/>
      <c r="CH89" s="124"/>
      <c r="CI89" s="124"/>
      <c r="CJ89" s="124"/>
      <c r="CK89" s="124"/>
      <c r="CL89" s="124"/>
      <c r="CM89" s="124"/>
      <c r="CN89" s="124"/>
      <c r="CO89" s="124"/>
      <c r="CP89" s="124"/>
      <c r="CQ89" s="124"/>
      <c r="CR89" s="124"/>
      <c r="CS89" s="124"/>
      <c r="CT89" s="124"/>
      <c r="CU89" s="124"/>
    </row>
    <row r="90" ht="14.25" customHeight="1">
      <c r="A90" s="21" t="s">
        <v>1895</v>
      </c>
      <c r="B90" s="21" t="s">
        <v>6445</v>
      </c>
      <c r="C90" s="21" t="s">
        <v>6446</v>
      </c>
      <c r="D90" s="21" t="str">
        <f>_xlfn.XLOOKUP(tblTechnologies[[#This Row],[TechnologyID]],tblTargets[TargetID],tblTargets[DisplayName],"")</f>
        <v>#ERROR!</v>
      </c>
      <c r="E90" s="21" t="b">
        <v>1</v>
      </c>
      <c r="F90" s="21" t="s">
        <v>4344</v>
      </c>
      <c r="G90" s="123" t="s">
        <v>6447</v>
      </c>
      <c r="H90" s="124" t="s">
        <v>6405</v>
      </c>
      <c r="I90" s="124" t="s">
        <v>6448</v>
      </c>
      <c r="J90" s="124" t="s">
        <v>6449</v>
      </c>
      <c r="K90" s="124" t="s">
        <v>6446</v>
      </c>
      <c r="L90" s="124" t="s">
        <v>6450</v>
      </c>
      <c r="M90" s="125" t="s">
        <v>3798</v>
      </c>
      <c r="N90" s="126" t="str">
        <f>IF(tblTechnologies[[#This Row],[costtext]]="", 0, LEN(tblTechnologies[[#This Row],[costtext]]) - LEN(SUBSTITUTE(tblTechnologies[[#This Row],[costtext]], ",", "")) + 1)</f>
        <v>#ERROR!</v>
      </c>
      <c r="O90" s="126" t="str">
        <f>COUNTA(tblTechnologies[[#This Row],[amazake]:[wood]])</f>
        <v>#ERROR!</v>
      </c>
      <c r="P90" s="124"/>
      <c r="Q90" s="124"/>
      <c r="R90" s="124"/>
      <c r="S90" s="124"/>
      <c r="T90" s="124"/>
      <c r="U90" s="124"/>
      <c r="V90" s="124"/>
      <c r="W90" s="124">
        <v>15.0</v>
      </c>
      <c r="X90" s="124"/>
      <c r="Y90" s="124"/>
      <c r="Z90" s="124"/>
      <c r="AA90" s="124"/>
      <c r="AB90" s="124"/>
      <c r="AC90" s="124"/>
      <c r="AD90" s="124">
        <v>400.0</v>
      </c>
      <c r="AE90" s="124"/>
      <c r="AF90" s="124"/>
      <c r="AG90" s="124"/>
      <c r="AH90" s="124"/>
      <c r="AI90" s="124"/>
      <c r="AJ90" s="124"/>
      <c r="AK90" s="124"/>
      <c r="AL90" s="124"/>
      <c r="AM90" s="124"/>
      <c r="AN90" s="124"/>
      <c r="AO90" s="124"/>
      <c r="AP90" s="124"/>
      <c r="AQ90" s="124"/>
      <c r="AR90" s="124">
        <v>20.0</v>
      </c>
      <c r="AS90" s="124"/>
      <c r="AT90" s="124"/>
      <c r="AU90" s="124"/>
      <c r="AV90" s="124"/>
      <c r="AW90" s="124"/>
      <c r="AX90" s="124"/>
      <c r="AY90" s="124"/>
      <c r="AZ90" s="124"/>
      <c r="BA90" s="124"/>
      <c r="BB90" s="124">
        <v>10.0</v>
      </c>
      <c r="BC90" s="124"/>
      <c r="BD90" s="124"/>
      <c r="BE90" s="124"/>
      <c r="BF90" s="124"/>
      <c r="BG90" s="124"/>
      <c r="BH90" s="124">
        <v>3.0</v>
      </c>
      <c r="BI90" s="124"/>
      <c r="BJ90" s="124"/>
      <c r="BK90" s="124"/>
      <c r="BL90" s="124"/>
      <c r="BM90" s="124"/>
      <c r="BN90" s="124"/>
      <c r="BO90" s="124"/>
      <c r="BP90" s="124"/>
      <c r="BQ90" s="124"/>
      <c r="BR90" s="124"/>
      <c r="BS90" s="124"/>
      <c r="BT90" s="124"/>
      <c r="BU90" s="124"/>
      <c r="BV90" s="124"/>
      <c r="BW90" s="124"/>
      <c r="BX90" s="124"/>
      <c r="BY90" s="124">
        <v>2.0</v>
      </c>
      <c r="BZ90" s="124"/>
      <c r="CA90" s="124"/>
      <c r="CB90" s="124"/>
      <c r="CC90" s="124"/>
      <c r="CD90" s="124"/>
      <c r="CE90" s="124"/>
      <c r="CF90" s="124"/>
      <c r="CG90" s="124"/>
      <c r="CH90" s="124"/>
      <c r="CI90" s="124"/>
      <c r="CJ90" s="124"/>
      <c r="CK90" s="124"/>
      <c r="CL90" s="124"/>
      <c r="CM90" s="124"/>
      <c r="CN90" s="124"/>
      <c r="CO90" s="124"/>
      <c r="CP90" s="124"/>
      <c r="CQ90" s="124"/>
      <c r="CR90" s="124"/>
      <c r="CS90" s="124"/>
      <c r="CT90" s="124"/>
      <c r="CU90" s="124"/>
    </row>
    <row r="91" ht="14.25" customHeight="1">
      <c r="A91" s="21" t="s">
        <v>1913</v>
      </c>
      <c r="B91" s="21" t="s">
        <v>3138</v>
      </c>
      <c r="C91" s="21" t="s">
        <v>6451</v>
      </c>
      <c r="D91" s="21" t="str">
        <f>_xlfn.XLOOKUP(tblTechnologies[[#This Row],[TechnologyID]],tblTargets[TargetID],tblTargets[DisplayName],"")</f>
        <v>#ERROR!</v>
      </c>
      <c r="E91" s="21" t="b">
        <v>1</v>
      </c>
      <c r="F91" s="21" t="s">
        <v>4344</v>
      </c>
      <c r="G91" s="123" t="s">
        <v>6452</v>
      </c>
      <c r="H91" s="124" t="s">
        <v>6405</v>
      </c>
      <c r="I91" s="124" t="s">
        <v>6442</v>
      </c>
      <c r="J91" s="124" t="s">
        <v>6443</v>
      </c>
      <c r="K91" s="124" t="s">
        <v>6453</v>
      </c>
      <c r="L91" s="124"/>
      <c r="M91" s="125" t="s">
        <v>3800</v>
      </c>
      <c r="N91" s="126" t="str">
        <f>IF(tblTechnologies[[#This Row],[costtext]]="", 0, LEN(tblTechnologies[[#This Row],[costtext]]) - LEN(SUBSTITUTE(tblTechnologies[[#This Row],[costtext]], ",", "")) + 1)</f>
        <v>#ERROR!</v>
      </c>
      <c r="O91" s="126" t="str">
        <f>COUNTA(tblTechnologies[[#This Row],[amazake]:[wood]])</f>
        <v>#ERROR!</v>
      </c>
      <c r="P91" s="124"/>
      <c r="Q91" s="124"/>
      <c r="R91" s="124"/>
      <c r="S91" s="124"/>
      <c r="T91" s="124"/>
      <c r="U91" s="124"/>
      <c r="V91" s="124"/>
      <c r="W91" s="124">
        <v>30.0</v>
      </c>
      <c r="X91" s="124"/>
      <c r="Y91" s="124"/>
      <c r="Z91" s="124"/>
      <c r="AA91" s="124"/>
      <c r="AB91" s="124"/>
      <c r="AC91" s="124"/>
      <c r="AD91" s="124">
        <v>1500.0</v>
      </c>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v>15.0</v>
      </c>
      <c r="BC91" s="124"/>
      <c r="BD91" s="124"/>
      <c r="BE91" s="124"/>
      <c r="BF91" s="124"/>
      <c r="BG91" s="124"/>
      <c r="BH91" s="124"/>
      <c r="BI91" s="124">
        <v>30.0</v>
      </c>
      <c r="BJ91" s="124"/>
      <c r="BK91" s="124"/>
      <c r="BL91" s="124"/>
      <c r="BM91" s="124"/>
      <c r="BN91" s="124"/>
      <c r="BO91" s="124"/>
      <c r="BP91" s="124"/>
      <c r="BQ91" s="124"/>
      <c r="BR91" s="124"/>
      <c r="BS91" s="124"/>
      <c r="BT91" s="124"/>
      <c r="BU91" s="124"/>
      <c r="BV91" s="124"/>
      <c r="BW91" s="124"/>
      <c r="BX91" s="124"/>
      <c r="BY91" s="124">
        <v>7.0</v>
      </c>
      <c r="BZ91" s="124"/>
      <c r="CA91" s="124"/>
      <c r="CB91" s="124"/>
      <c r="CC91" s="124"/>
      <c r="CD91" s="124"/>
      <c r="CE91" s="124"/>
      <c r="CF91" s="124"/>
      <c r="CG91" s="124"/>
      <c r="CH91" s="124"/>
      <c r="CI91" s="124"/>
      <c r="CJ91" s="124"/>
      <c r="CK91" s="124"/>
      <c r="CL91" s="124"/>
      <c r="CM91" s="124"/>
      <c r="CN91" s="124"/>
      <c r="CO91" s="124"/>
      <c r="CP91" s="124"/>
      <c r="CQ91" s="124"/>
      <c r="CR91" s="124"/>
      <c r="CS91" s="124"/>
      <c r="CT91" s="124"/>
      <c r="CU91" s="124"/>
    </row>
    <row r="92" ht="14.25" customHeight="1">
      <c r="A92" s="21" t="s">
        <v>1920</v>
      </c>
      <c r="B92" s="21" t="s">
        <v>5852</v>
      </c>
      <c r="C92" s="21" t="s">
        <v>6454</v>
      </c>
      <c r="D92" s="21" t="str">
        <f>_xlfn.XLOOKUP(tblTechnologies[[#This Row],[TechnologyID]],tblTargets[TargetID],tblTargets[DisplayName],"")</f>
        <v>#ERROR!</v>
      </c>
      <c r="E92" s="21" t="b">
        <v>1</v>
      </c>
      <c r="F92" s="21" t="s">
        <v>4344</v>
      </c>
      <c r="G92" s="123" t="s">
        <v>6455</v>
      </c>
      <c r="H92" s="124" t="s">
        <v>6405</v>
      </c>
      <c r="I92" s="124" t="s">
        <v>6456</v>
      </c>
      <c r="J92" s="124" t="s">
        <v>6457</v>
      </c>
      <c r="K92" s="124" t="s">
        <v>6458</v>
      </c>
      <c r="L92" s="124"/>
      <c r="M92" s="125" t="s">
        <v>3801</v>
      </c>
      <c r="N92" s="126" t="str">
        <f>IF(tblTechnologies[[#This Row],[costtext]]="", 0, LEN(tblTechnologies[[#This Row],[costtext]]) - LEN(SUBSTITUTE(tblTechnologies[[#This Row],[costtext]], ",", "")) + 1)</f>
        <v>#ERROR!</v>
      </c>
      <c r="O92" s="126" t="str">
        <f>COUNTA(tblTechnologies[[#This Row],[amazake]:[wood]])</f>
        <v>#ERROR!</v>
      </c>
      <c r="P92" s="124"/>
      <c r="Q92" s="124"/>
      <c r="R92" s="124"/>
      <c r="S92" s="124">
        <v>30.0</v>
      </c>
      <c r="T92" s="124"/>
      <c r="U92" s="124"/>
      <c r="V92" s="124"/>
      <c r="W92" s="124"/>
      <c r="X92" s="124"/>
      <c r="Y92" s="124"/>
      <c r="Z92" s="124"/>
      <c r="AA92" s="124"/>
      <c r="AB92" s="124"/>
      <c r="AC92" s="124"/>
      <c r="AD92" s="124">
        <v>1000.0</v>
      </c>
      <c r="AE92" s="124"/>
      <c r="AF92" s="124"/>
      <c r="AG92" s="124"/>
      <c r="AH92" s="124"/>
      <c r="AI92" s="124"/>
      <c r="AJ92" s="124"/>
      <c r="AK92" s="124"/>
      <c r="AL92" s="124"/>
      <c r="AM92" s="124"/>
      <c r="AN92" s="124"/>
      <c r="AO92" s="124"/>
      <c r="AP92" s="124"/>
      <c r="AQ92" s="124"/>
      <c r="AR92" s="124"/>
      <c r="AS92" s="124"/>
      <c r="AT92" s="124">
        <v>10.0</v>
      </c>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4">
        <v>5.0</v>
      </c>
      <c r="BZ92" s="124"/>
      <c r="CA92" s="124"/>
      <c r="CB92" s="124"/>
      <c r="CC92" s="124"/>
      <c r="CD92" s="124"/>
      <c r="CE92" s="124"/>
      <c r="CF92" s="124"/>
      <c r="CG92" s="124"/>
      <c r="CH92" s="124">
        <v>100.0</v>
      </c>
      <c r="CI92" s="124"/>
      <c r="CJ92" s="124"/>
      <c r="CK92" s="124"/>
      <c r="CL92" s="124"/>
      <c r="CM92" s="124">
        <v>20.0</v>
      </c>
      <c r="CN92" s="124"/>
      <c r="CO92" s="124"/>
      <c r="CP92" s="124"/>
      <c r="CQ92" s="124"/>
      <c r="CR92" s="124"/>
      <c r="CS92" s="124"/>
      <c r="CT92" s="124"/>
      <c r="CU92" s="124"/>
    </row>
    <row r="93" ht="14.25" customHeight="1">
      <c r="A93" s="21" t="s">
        <v>1891</v>
      </c>
      <c r="B93" s="21" t="s">
        <v>5231</v>
      </c>
      <c r="C93" s="21" t="s">
        <v>6459</v>
      </c>
      <c r="D93" s="21" t="str">
        <f>_xlfn.XLOOKUP(tblTechnologies[[#This Row],[TechnologyID]],tblTargets[TargetID],tblTargets[DisplayName],"")</f>
        <v>#ERROR!</v>
      </c>
      <c r="E93" s="21" t="b">
        <v>1</v>
      </c>
      <c r="F93" s="21" t="s">
        <v>4344</v>
      </c>
      <c r="G93" s="123" t="s">
        <v>6460</v>
      </c>
      <c r="H93" s="124" t="s">
        <v>6405</v>
      </c>
      <c r="I93" s="124" t="s">
        <v>6406</v>
      </c>
      <c r="J93" s="124" t="s">
        <v>5511</v>
      </c>
      <c r="K93" s="124" t="s">
        <v>6461</v>
      </c>
      <c r="L93" s="124"/>
      <c r="M93" s="125" t="s">
        <v>3803</v>
      </c>
      <c r="N93" s="126" t="str">
        <f>IF(tblTechnologies[[#This Row],[costtext]]="", 0, LEN(tblTechnologies[[#This Row],[costtext]]) - LEN(SUBSTITUTE(tblTechnologies[[#This Row],[costtext]], ",", "")) + 1)</f>
        <v>#ERROR!</v>
      </c>
      <c r="O93" s="126" t="str">
        <f>COUNTA(tblTechnologies[[#This Row],[amazake]:[wood]])</f>
        <v>#ERROR!</v>
      </c>
      <c r="P93" s="124"/>
      <c r="Q93" s="124"/>
      <c r="R93" s="124"/>
      <c r="S93" s="124"/>
      <c r="T93" s="124"/>
      <c r="U93" s="124"/>
      <c r="V93" s="124"/>
      <c r="W93" s="124">
        <v>20.0</v>
      </c>
      <c r="X93" s="124"/>
      <c r="Y93" s="124"/>
      <c r="Z93" s="124"/>
      <c r="AA93" s="124"/>
      <c r="AB93" s="124"/>
      <c r="AC93" s="124"/>
      <c r="AD93" s="124">
        <v>1000.0</v>
      </c>
      <c r="AE93" s="124"/>
      <c r="AF93" s="124"/>
      <c r="AG93" s="124"/>
      <c r="AH93" s="124">
        <v>50.0</v>
      </c>
      <c r="AI93" s="124"/>
      <c r="AJ93" s="124"/>
      <c r="AK93" s="124"/>
      <c r="AL93" s="124"/>
      <c r="AM93" s="124"/>
      <c r="AN93" s="124"/>
      <c r="AO93" s="124"/>
      <c r="AP93" s="124"/>
      <c r="AQ93" s="124"/>
      <c r="AR93" s="124"/>
      <c r="AS93" s="124"/>
      <c r="AT93" s="124"/>
      <c r="AU93" s="124"/>
      <c r="AV93" s="124"/>
      <c r="AW93" s="124"/>
      <c r="AX93" s="124"/>
      <c r="AY93" s="124"/>
      <c r="AZ93" s="124"/>
      <c r="BA93" s="124"/>
      <c r="BB93" s="124">
        <v>10.0</v>
      </c>
      <c r="BC93" s="124"/>
      <c r="BD93" s="124"/>
      <c r="BE93" s="124"/>
      <c r="BF93" s="124"/>
      <c r="BG93" s="124"/>
      <c r="BH93" s="124"/>
      <c r="BI93" s="124">
        <v>20.0</v>
      </c>
      <c r="BJ93" s="124"/>
      <c r="BK93" s="124"/>
      <c r="BL93" s="124"/>
      <c r="BM93" s="124"/>
      <c r="BN93" s="124"/>
      <c r="BO93" s="124"/>
      <c r="BP93" s="124"/>
      <c r="BQ93" s="124"/>
      <c r="BR93" s="124"/>
      <c r="BS93" s="124"/>
      <c r="BT93" s="124"/>
      <c r="BU93" s="124"/>
      <c r="BV93" s="124"/>
      <c r="BW93" s="124"/>
      <c r="BX93" s="124"/>
      <c r="BY93" s="124">
        <v>3.0</v>
      </c>
      <c r="BZ93" s="124"/>
      <c r="CA93" s="124"/>
      <c r="CB93" s="124"/>
      <c r="CC93" s="124"/>
      <c r="CD93" s="124"/>
      <c r="CE93" s="124"/>
      <c r="CF93" s="124"/>
      <c r="CG93" s="124"/>
      <c r="CH93" s="124"/>
      <c r="CI93" s="124"/>
      <c r="CJ93" s="124"/>
      <c r="CK93" s="124"/>
      <c r="CL93" s="124"/>
      <c r="CM93" s="124"/>
      <c r="CN93" s="124"/>
      <c r="CO93" s="124"/>
      <c r="CP93" s="124"/>
      <c r="CQ93" s="124"/>
      <c r="CR93" s="124"/>
      <c r="CS93" s="124"/>
      <c r="CT93" s="124"/>
      <c r="CU93" s="124"/>
    </row>
    <row r="94" ht="14.25" customHeight="1">
      <c r="A94" s="21" t="s">
        <v>1893</v>
      </c>
      <c r="B94" s="21" t="s">
        <v>5250</v>
      </c>
      <c r="C94" s="21" t="s">
        <v>6462</v>
      </c>
      <c r="D94" s="21" t="str">
        <f>_xlfn.XLOOKUP(tblTechnologies[[#This Row],[TechnologyID]],tblTargets[TargetID],tblTargets[DisplayName],"")</f>
        <v>#ERROR!</v>
      </c>
      <c r="E94" s="21" t="b">
        <v>1</v>
      </c>
      <c r="F94" s="21" t="s">
        <v>4344</v>
      </c>
      <c r="G94" s="123" t="s">
        <v>6463</v>
      </c>
      <c r="H94" s="124" t="s">
        <v>6405</v>
      </c>
      <c r="I94" s="124" t="s">
        <v>6464</v>
      </c>
      <c r="J94" s="124" t="s">
        <v>6465</v>
      </c>
      <c r="K94" s="124" t="s">
        <v>6466</v>
      </c>
      <c r="L94" s="124"/>
      <c r="M94" s="125" t="s">
        <v>3804</v>
      </c>
      <c r="N94" s="126" t="str">
        <f>IF(tblTechnologies[[#This Row],[costtext]]="", 0, LEN(tblTechnologies[[#This Row],[costtext]]) - LEN(SUBSTITUTE(tblTechnologies[[#This Row],[costtext]], ",", "")) + 1)</f>
        <v>#ERROR!</v>
      </c>
      <c r="O94" s="126" t="str">
        <f>COUNTA(tblTechnologies[[#This Row],[amazake]:[wood]])</f>
        <v>#ERROR!</v>
      </c>
      <c r="P94" s="124"/>
      <c r="Q94" s="124"/>
      <c r="R94" s="124"/>
      <c r="S94" s="124"/>
      <c r="T94" s="124"/>
      <c r="U94" s="124"/>
      <c r="V94" s="124"/>
      <c r="W94" s="124">
        <v>30.0</v>
      </c>
      <c r="X94" s="124"/>
      <c r="Y94" s="124"/>
      <c r="Z94" s="124"/>
      <c r="AA94" s="124"/>
      <c r="AB94" s="124"/>
      <c r="AC94" s="124"/>
      <c r="AD94" s="124">
        <v>1500.0</v>
      </c>
      <c r="AE94" s="124"/>
      <c r="AF94" s="124"/>
      <c r="AG94" s="124"/>
      <c r="AH94" s="124">
        <v>75.0</v>
      </c>
      <c r="AI94" s="124"/>
      <c r="AJ94" s="124"/>
      <c r="AK94" s="124"/>
      <c r="AL94" s="124"/>
      <c r="AM94" s="124"/>
      <c r="AN94" s="124"/>
      <c r="AO94" s="124"/>
      <c r="AP94" s="124"/>
      <c r="AQ94" s="124"/>
      <c r="AR94" s="124"/>
      <c r="AS94" s="124"/>
      <c r="AT94" s="124"/>
      <c r="AU94" s="124"/>
      <c r="AV94" s="124"/>
      <c r="AW94" s="124"/>
      <c r="AX94" s="124"/>
      <c r="AY94" s="124"/>
      <c r="AZ94" s="124"/>
      <c r="BA94" s="124"/>
      <c r="BB94" s="124">
        <v>15.0</v>
      </c>
      <c r="BC94" s="124"/>
      <c r="BD94" s="124"/>
      <c r="BE94" s="124"/>
      <c r="BF94" s="124"/>
      <c r="BG94" s="124"/>
      <c r="BH94" s="124"/>
      <c r="BI94" s="124">
        <v>30.0</v>
      </c>
      <c r="BJ94" s="124"/>
      <c r="BK94" s="124"/>
      <c r="BL94" s="124"/>
      <c r="BM94" s="124"/>
      <c r="BN94" s="124"/>
      <c r="BO94" s="124"/>
      <c r="BP94" s="124"/>
      <c r="BQ94" s="124"/>
      <c r="BR94" s="124"/>
      <c r="BS94" s="124"/>
      <c r="BT94" s="124"/>
      <c r="BU94" s="124"/>
      <c r="BV94" s="124"/>
      <c r="BW94" s="124"/>
      <c r="BX94" s="124"/>
      <c r="BY94" s="124">
        <v>5.0</v>
      </c>
      <c r="BZ94" s="124"/>
      <c r="CA94" s="124"/>
      <c r="CB94" s="124"/>
      <c r="CC94" s="124"/>
      <c r="CD94" s="124"/>
      <c r="CE94" s="124"/>
      <c r="CF94" s="124"/>
      <c r="CG94" s="124"/>
      <c r="CH94" s="124"/>
      <c r="CI94" s="124"/>
      <c r="CJ94" s="124"/>
      <c r="CK94" s="124"/>
      <c r="CL94" s="124"/>
      <c r="CM94" s="124"/>
      <c r="CN94" s="124"/>
      <c r="CO94" s="124"/>
      <c r="CP94" s="124"/>
      <c r="CQ94" s="124"/>
      <c r="CR94" s="124"/>
      <c r="CS94" s="124"/>
      <c r="CT94" s="124"/>
      <c r="CU94" s="124"/>
    </row>
    <row r="95" ht="14.25" customHeight="1">
      <c r="A95" s="21" t="s">
        <v>1731</v>
      </c>
      <c r="B95" s="21" t="s">
        <v>5793</v>
      </c>
      <c r="C95" s="21" t="s">
        <v>6467</v>
      </c>
      <c r="D95" s="21" t="str">
        <f>_xlfn.XLOOKUP(tblTechnologies[[#This Row],[TechnologyID]],tblTargets[TargetID],tblTargets[DisplayName],"")</f>
        <v>#ERROR!</v>
      </c>
      <c r="E95" s="21" t="b">
        <v>1</v>
      </c>
      <c r="F95" s="21" t="s">
        <v>3976</v>
      </c>
      <c r="G95" s="123" t="s">
        <v>6468</v>
      </c>
      <c r="H95" s="124" t="s">
        <v>3977</v>
      </c>
      <c r="I95" s="124"/>
      <c r="J95" s="124"/>
      <c r="K95" s="124"/>
      <c r="L95" s="124"/>
      <c r="M95" s="21" t="s">
        <v>3805</v>
      </c>
      <c r="N95" s="122" t="str">
        <f>IF(tblTechnologies[[#This Row],[costtext]]="", 0, LEN(tblTechnologies[[#This Row],[costtext]]) - LEN(SUBSTITUTE(tblTechnologies[[#This Row],[costtext]], ",", "")) + 1)</f>
        <v>#ERROR!</v>
      </c>
      <c r="O95" s="122" t="str">
        <f>COUNTA(tblTechnologies[[#This Row],[amazake]:[wood]])</f>
        <v>#ERROR!</v>
      </c>
      <c r="P95" s="124"/>
      <c r="Q95" s="124"/>
      <c r="R95" s="124"/>
      <c r="S95" s="124"/>
      <c r="T95" s="124"/>
      <c r="U95" s="124"/>
      <c r="V95" s="124"/>
      <c r="W95" s="124">
        <v>30.0</v>
      </c>
      <c r="X95" s="124"/>
      <c r="Y95" s="124">
        <v>30.0</v>
      </c>
      <c r="Z95" s="124">
        <v>20.0</v>
      </c>
      <c r="AA95" s="124"/>
      <c r="AB95" s="124">
        <v>100.0</v>
      </c>
      <c r="AC95" s="124"/>
      <c r="AD95" s="124">
        <v>1000.0</v>
      </c>
      <c r="AE95" s="124"/>
      <c r="AF95" s="124"/>
      <c r="AG95" s="124"/>
      <c r="AH95" s="124"/>
      <c r="AI95" s="124"/>
      <c r="AJ95" s="124"/>
      <c r="AK95" s="124">
        <v>50.0</v>
      </c>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v>30.0</v>
      </c>
      <c r="BP95" s="124"/>
      <c r="BQ95" s="124"/>
      <c r="BR95" s="124"/>
      <c r="BS95" s="124"/>
      <c r="BT95" s="124">
        <v>20.0</v>
      </c>
      <c r="BU95" s="124"/>
      <c r="BV95" s="124"/>
      <c r="BW95" s="124"/>
      <c r="BX95" s="124"/>
      <c r="BY95" s="124">
        <v>5.0</v>
      </c>
      <c r="BZ95" s="124"/>
      <c r="CA95" s="124"/>
      <c r="CB95" s="124"/>
      <c r="CC95" s="124"/>
      <c r="CD95" s="124"/>
      <c r="CE95" s="124"/>
      <c r="CF95" s="124"/>
      <c r="CG95" s="124"/>
      <c r="CH95" s="124"/>
      <c r="CI95" s="124"/>
      <c r="CJ95" s="124"/>
      <c r="CK95" s="124"/>
      <c r="CL95" s="124"/>
      <c r="CM95" s="124"/>
      <c r="CN95" s="124"/>
      <c r="CO95" s="124"/>
      <c r="CP95" s="124"/>
      <c r="CQ95" s="124"/>
      <c r="CR95" s="124"/>
      <c r="CS95" s="124"/>
      <c r="CT95" s="124"/>
      <c r="CU95" s="124"/>
    </row>
    <row r="96" ht="14.25" customHeight="1">
      <c r="A96" s="21" t="s">
        <v>1888</v>
      </c>
      <c r="B96" s="21" t="s">
        <v>3565</v>
      </c>
      <c r="C96" s="21" t="s">
        <v>6469</v>
      </c>
      <c r="D96" s="21" t="str">
        <f>_xlfn.XLOOKUP(tblTechnologies[[#This Row],[TechnologyID]],tblTargets[TargetID],tblTargets[DisplayName],"")</f>
        <v>#ERROR!</v>
      </c>
      <c r="E96" s="21" t="b">
        <v>1</v>
      </c>
      <c r="F96" s="21" t="s">
        <v>4339</v>
      </c>
      <c r="G96" s="123" t="s">
        <v>6470</v>
      </c>
      <c r="H96" s="124" t="s">
        <v>6471</v>
      </c>
      <c r="I96" s="124"/>
      <c r="J96" s="124"/>
      <c r="K96" s="124"/>
      <c r="L96" s="124"/>
      <c r="M96" s="21" t="s">
        <v>3807</v>
      </c>
      <c r="N96" s="122" t="str">
        <f>IF(tblTechnologies[[#This Row],[costtext]]="", 0, LEN(tblTechnologies[[#This Row],[costtext]]) - LEN(SUBSTITUTE(tblTechnologies[[#This Row],[costtext]], ",", "")) + 1)</f>
        <v>#ERROR!</v>
      </c>
      <c r="O96" s="122" t="str">
        <f>COUNTA(tblTechnologies[[#This Row],[amazake]:[wood]])</f>
        <v>#ERROR!</v>
      </c>
      <c r="P96" s="124"/>
      <c r="Q96" s="124"/>
      <c r="R96" s="124"/>
      <c r="S96" s="124"/>
      <c r="T96" s="124"/>
      <c r="U96" s="124"/>
      <c r="V96" s="124"/>
      <c r="W96" s="124"/>
      <c r="X96" s="124">
        <v>40.0</v>
      </c>
      <c r="Y96" s="124"/>
      <c r="Z96" s="124"/>
      <c r="AA96" s="124"/>
      <c r="AB96" s="124"/>
      <c r="AC96" s="124"/>
      <c r="AD96" s="124">
        <v>400.0</v>
      </c>
      <c r="AE96" s="124"/>
      <c r="AF96" s="124"/>
      <c r="AG96" s="124"/>
      <c r="AH96" s="124">
        <v>20.0</v>
      </c>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v>20.0</v>
      </c>
      <c r="BG96" s="124"/>
      <c r="BH96" s="124"/>
      <c r="BI96" s="124"/>
      <c r="BJ96" s="124"/>
      <c r="BK96" s="124"/>
      <c r="BL96" s="124"/>
      <c r="BM96" s="124">
        <v>15.0</v>
      </c>
      <c r="BN96" s="124"/>
      <c r="BO96" s="124"/>
      <c r="BP96" s="124"/>
      <c r="BQ96" s="124"/>
      <c r="BR96" s="124"/>
      <c r="BS96" s="124"/>
      <c r="BT96" s="124"/>
      <c r="BU96" s="124"/>
      <c r="BV96" s="124"/>
      <c r="BW96" s="124"/>
      <c r="BX96" s="124"/>
      <c r="BY96" s="124">
        <v>5.0</v>
      </c>
      <c r="BZ96" s="124"/>
      <c r="CA96" s="124"/>
      <c r="CB96" s="124"/>
      <c r="CC96" s="124"/>
      <c r="CD96" s="124"/>
      <c r="CE96" s="124"/>
      <c r="CF96" s="124"/>
      <c r="CG96" s="124"/>
      <c r="CH96" s="124">
        <v>100.0</v>
      </c>
      <c r="CI96" s="124"/>
      <c r="CJ96" s="124"/>
      <c r="CK96" s="124"/>
      <c r="CL96" s="124"/>
      <c r="CM96" s="124"/>
      <c r="CN96" s="124"/>
      <c r="CO96" s="124"/>
      <c r="CP96" s="124"/>
      <c r="CQ96" s="124"/>
      <c r="CR96" s="124"/>
      <c r="CS96" s="124"/>
      <c r="CT96" s="124"/>
      <c r="CU96" s="124"/>
    </row>
    <row r="97" ht="14.25" customHeight="1">
      <c r="A97" s="6"/>
      <c r="B97" s="6"/>
      <c r="C97" s="6"/>
      <c r="D97" s="6"/>
      <c r="E97" s="6"/>
      <c r="F97" s="6"/>
      <c r="G97" s="6"/>
      <c r="H97" s="6"/>
      <c r="I97" s="6"/>
      <c r="J97" s="6"/>
      <c r="K97" s="6"/>
      <c r="L97" s="6"/>
      <c r="M97" s="6"/>
      <c r="N97" s="137"/>
      <c r="O97" s="137"/>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row>
    <row r="98" ht="14.25" customHeight="1">
      <c r="A98" s="6"/>
      <c r="B98" s="6"/>
      <c r="C98" s="6"/>
      <c r="D98" s="6"/>
      <c r="E98" s="6"/>
      <c r="F98" s="6"/>
      <c r="G98" s="6"/>
      <c r="H98" s="6"/>
      <c r="I98" s="6"/>
      <c r="J98" s="6"/>
      <c r="K98" s="6"/>
      <c r="L98" s="6"/>
      <c r="M98" s="6"/>
      <c r="N98" s="137"/>
      <c r="O98" s="137"/>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row>
    <row r="99" ht="14.25" customHeight="1">
      <c r="A99" s="6"/>
      <c r="B99" s="6"/>
      <c r="C99" s="6"/>
      <c r="D99" s="6"/>
      <c r="E99" s="6"/>
      <c r="F99" s="6"/>
      <c r="G99" s="6"/>
      <c r="H99" s="6"/>
      <c r="I99" s="6"/>
      <c r="J99" s="6"/>
      <c r="K99" s="6"/>
      <c r="L99" s="6"/>
      <c r="M99" s="6"/>
      <c r="N99" s="137"/>
      <c r="O99" s="137"/>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row>
    <row r="100" ht="14.25" customHeight="1">
      <c r="A100" s="6"/>
      <c r="B100" s="6"/>
      <c r="C100" s="6"/>
      <c r="D100" s="6"/>
      <c r="E100" s="6"/>
      <c r="F100" s="6"/>
      <c r="G100" s="6"/>
      <c r="H100" s="6"/>
      <c r="I100" s="6"/>
      <c r="J100" s="6"/>
      <c r="K100" s="6"/>
      <c r="L100" s="6"/>
      <c r="M100" s="6"/>
      <c r="N100" s="137"/>
      <c r="O100" s="137"/>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row>
    <row r="101" ht="14.25" customHeight="1">
      <c r="A101" s="6"/>
      <c r="B101" s="6"/>
      <c r="C101" s="6"/>
      <c r="D101" s="6"/>
      <c r="E101" s="6"/>
      <c r="F101" s="6"/>
      <c r="G101" s="6"/>
      <c r="H101" s="6"/>
      <c r="I101" s="6"/>
      <c r="J101" s="6"/>
      <c r="K101" s="6"/>
      <c r="L101" s="6"/>
      <c r="M101" s="6"/>
      <c r="N101" s="137"/>
      <c r="O101" s="137"/>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row>
    <row r="102" ht="14.25" customHeight="1">
      <c r="A102" s="6"/>
      <c r="B102" s="6"/>
      <c r="C102" s="6"/>
      <c r="D102" s="6"/>
      <c r="E102" s="6"/>
      <c r="F102" s="6"/>
      <c r="G102" s="6"/>
      <c r="H102" s="6"/>
      <c r="I102" s="6"/>
      <c r="J102" s="6"/>
      <c r="M102" s="6"/>
      <c r="N102" s="137"/>
      <c r="O102" s="137"/>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row>
    <row r="103" ht="14.25" customHeight="1">
      <c r="A103" s="6"/>
      <c r="B103" s="6"/>
      <c r="C103" s="6"/>
      <c r="D103" s="6"/>
      <c r="E103" s="6"/>
      <c r="F103" s="6"/>
      <c r="G103" s="6"/>
      <c r="H103" s="6"/>
      <c r="J103" s="6"/>
      <c r="M103" s="6"/>
      <c r="N103" s="137"/>
      <c r="O103" s="137"/>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row>
    <row r="104" ht="14.25" customHeight="1">
      <c r="A104" s="6"/>
      <c r="B104" s="6"/>
      <c r="C104" s="6"/>
      <c r="D104" s="6"/>
      <c r="E104" s="6"/>
      <c r="F104" s="6"/>
      <c r="G104" s="6"/>
      <c r="H104" s="6"/>
      <c r="J104" s="6"/>
      <c r="M104" s="6"/>
      <c r="N104" s="137"/>
      <c r="O104" s="137"/>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row>
    <row r="105" ht="14.25" customHeight="1">
      <c r="A105" s="6"/>
      <c r="B105" s="6"/>
      <c r="C105" s="6"/>
      <c r="D105" s="6"/>
      <c r="E105" s="6"/>
      <c r="F105" s="6"/>
      <c r="G105" s="6"/>
      <c r="H105" s="6"/>
      <c r="J105" s="6"/>
      <c r="M105" s="6"/>
      <c r="N105" s="137"/>
      <c r="O105" s="137"/>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row>
    <row r="106" ht="14.25" customHeight="1">
      <c r="A106" s="6"/>
      <c r="B106" s="6"/>
      <c r="C106" s="6"/>
      <c r="D106" s="6"/>
      <c r="E106" s="6"/>
      <c r="F106" s="6"/>
      <c r="G106" s="6"/>
      <c r="H106" s="6"/>
      <c r="J106" s="6"/>
      <c r="M106" s="6"/>
      <c r="N106" s="137"/>
      <c r="O106" s="137"/>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row>
    <row r="107" ht="14.25" customHeight="1">
      <c r="A107" s="6"/>
      <c r="B107" s="6"/>
      <c r="C107" s="6"/>
      <c r="D107" s="6"/>
      <c r="E107" s="6"/>
      <c r="F107" s="6"/>
      <c r="G107" s="6"/>
      <c r="H107" s="6"/>
      <c r="J107" s="6"/>
      <c r="M107" s="6"/>
      <c r="N107" s="137"/>
      <c r="O107" s="137"/>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row>
    <row r="108" ht="14.25" customHeight="1">
      <c r="A108" s="6"/>
      <c r="B108" s="6"/>
      <c r="C108" s="6"/>
      <c r="D108" s="6"/>
      <c r="E108" s="6"/>
      <c r="F108" s="6"/>
      <c r="G108" s="6"/>
      <c r="H108" s="6"/>
      <c r="J108" s="6"/>
      <c r="L108" s="6"/>
      <c r="M108" s="6"/>
      <c r="N108" s="137"/>
      <c r="O108" s="137"/>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row>
    <row r="109" ht="14.25" customHeight="1">
      <c r="A109" s="6"/>
      <c r="B109" s="6"/>
      <c r="C109" s="6"/>
      <c r="D109" s="6"/>
      <c r="E109" s="6"/>
      <c r="F109" s="6"/>
      <c r="G109" s="6"/>
      <c r="H109" s="6"/>
      <c r="J109" s="6"/>
      <c r="L109" s="6"/>
      <c r="M109" s="6"/>
      <c r="N109" s="137"/>
      <c r="O109" s="137"/>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row>
    <row r="110" ht="59.25" customHeight="1">
      <c r="A110" s="6"/>
      <c r="B110" s="6"/>
      <c r="C110" s="6"/>
      <c r="D110" s="6"/>
      <c r="E110" s="6"/>
      <c r="F110" s="6"/>
      <c r="G110" s="6"/>
      <c r="H110" s="6"/>
      <c r="I110" s="6"/>
      <c r="J110" s="6"/>
      <c r="M110" s="6"/>
      <c r="N110" s="137"/>
      <c r="O110" s="137"/>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row>
    <row r="111" ht="14.25" customHeight="1">
      <c r="A111" s="6"/>
      <c r="B111" s="6"/>
      <c r="C111" s="6"/>
      <c r="D111" s="6"/>
      <c r="E111" s="6"/>
      <c r="F111" s="6"/>
      <c r="G111" s="6"/>
      <c r="H111" s="6"/>
      <c r="J111" s="6"/>
      <c r="K111" s="6"/>
      <c r="M111" s="6"/>
      <c r="N111" s="137"/>
      <c r="O111" s="137"/>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row>
    <row r="112" ht="14.25" customHeight="1">
      <c r="A112" s="6"/>
      <c r="B112" s="6"/>
      <c r="C112" s="6"/>
      <c r="D112" s="6"/>
      <c r="E112" s="6"/>
      <c r="F112" s="6"/>
      <c r="G112" s="6"/>
      <c r="H112" s="6"/>
      <c r="K112" s="6"/>
      <c r="M112" s="6"/>
      <c r="N112" s="137"/>
      <c r="O112" s="137"/>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row>
    <row r="113" ht="14.25" customHeight="1">
      <c r="A113" s="6"/>
      <c r="B113" s="6"/>
      <c r="C113" s="6"/>
      <c r="D113" s="6"/>
      <c r="E113" s="6"/>
      <c r="F113" s="6"/>
      <c r="G113" s="6"/>
      <c r="H113" s="6"/>
      <c r="K113" s="6"/>
      <c r="M113" s="6"/>
      <c r="N113" s="137"/>
      <c r="O113" s="137"/>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row>
    <row r="114" ht="14.25" customHeight="1">
      <c r="A114" s="6"/>
      <c r="B114" s="6"/>
      <c r="C114" s="6"/>
      <c r="D114" s="6"/>
      <c r="E114" s="6"/>
      <c r="F114" s="6"/>
      <c r="G114" s="6"/>
      <c r="H114" s="6"/>
      <c r="K114" s="6"/>
      <c r="M114" s="6"/>
      <c r="N114" s="137"/>
      <c r="O114" s="137"/>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row>
    <row r="115" ht="14.25" customHeight="1">
      <c r="A115" s="6"/>
      <c r="B115" s="6"/>
      <c r="C115" s="6"/>
      <c r="D115" s="6"/>
      <c r="E115" s="6"/>
      <c r="F115" s="6"/>
      <c r="G115" s="6"/>
      <c r="H115" s="6"/>
      <c r="K115" s="6"/>
      <c r="M115" s="6"/>
      <c r="N115" s="137"/>
      <c r="O115" s="137"/>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row>
    <row r="116" ht="14.25" customHeight="1">
      <c r="A116" s="6"/>
      <c r="B116" s="6"/>
      <c r="C116" s="6"/>
      <c r="D116" s="6"/>
      <c r="E116" s="6"/>
      <c r="F116" s="6"/>
      <c r="G116" s="6"/>
      <c r="H116" s="6"/>
      <c r="K116" s="6"/>
      <c r="M116" s="6"/>
      <c r="N116" s="137"/>
      <c r="O116" s="137"/>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row>
    <row r="117" ht="14.25" customHeight="1">
      <c r="A117" s="6"/>
      <c r="B117" s="6"/>
      <c r="C117" s="6"/>
      <c r="D117" s="6"/>
      <c r="E117" s="6"/>
      <c r="F117" s="6"/>
      <c r="G117" s="6"/>
      <c r="H117" s="6"/>
      <c r="K117" s="6"/>
      <c r="M117" s="6"/>
      <c r="N117" s="137"/>
      <c r="O117" s="137"/>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row>
    <row r="118" ht="14.25" customHeight="1">
      <c r="A118" s="6"/>
      <c r="B118" s="6"/>
      <c r="C118" s="6"/>
      <c r="D118" s="6"/>
      <c r="E118" s="6"/>
      <c r="F118" s="6"/>
      <c r="G118" s="6"/>
      <c r="H118" s="6"/>
      <c r="K118" s="6"/>
      <c r="M118" s="6"/>
      <c r="N118" s="137"/>
      <c r="O118" s="137"/>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row>
    <row r="119" ht="14.25" customHeight="1">
      <c r="A119" s="6"/>
      <c r="B119" s="6"/>
      <c r="C119" s="6"/>
      <c r="D119" s="6"/>
      <c r="E119" s="6"/>
      <c r="F119" s="6"/>
      <c r="G119" s="6"/>
      <c r="H119" s="6"/>
      <c r="K119" s="6"/>
      <c r="L119" s="6"/>
      <c r="M119" s="6"/>
      <c r="N119" s="137"/>
      <c r="O119" s="137"/>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row>
    <row r="120" ht="14.25" customHeight="1">
      <c r="A120" s="6"/>
      <c r="B120" s="6"/>
      <c r="C120" s="6"/>
      <c r="D120" s="6"/>
      <c r="E120" s="6"/>
      <c r="F120" s="6"/>
      <c r="G120" s="6"/>
      <c r="H120" s="6"/>
      <c r="I120" s="6"/>
      <c r="K120" s="6"/>
      <c r="L120" s="6"/>
      <c r="M120" s="6"/>
      <c r="N120" s="137"/>
      <c r="O120" s="137"/>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row>
    <row r="121" ht="14.25" customHeight="1">
      <c r="A121" s="6"/>
      <c r="B121" s="6"/>
      <c r="C121" s="6"/>
      <c r="D121" s="6"/>
      <c r="E121" s="6"/>
      <c r="F121" s="6"/>
      <c r="G121" s="6"/>
      <c r="H121" s="6"/>
      <c r="I121" s="6"/>
      <c r="J121" s="6"/>
      <c r="K121" s="6"/>
      <c r="L121" s="6"/>
      <c r="M121" s="6"/>
      <c r="N121" s="137"/>
      <c r="O121" s="137"/>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row>
    <row r="122" ht="14.25" customHeight="1">
      <c r="A122" s="6"/>
      <c r="B122" s="6"/>
      <c r="C122" s="6"/>
      <c r="D122" s="6"/>
      <c r="E122" s="6"/>
      <c r="F122" s="6"/>
      <c r="G122" s="6"/>
      <c r="H122" s="6"/>
      <c r="I122" s="6"/>
      <c r="J122" s="6"/>
      <c r="K122" s="6"/>
      <c r="L122" s="6"/>
      <c r="M122" s="6"/>
      <c r="N122" s="137"/>
      <c r="O122" s="137"/>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row>
    <row r="123" ht="14.25" customHeight="1">
      <c r="A123" s="6"/>
      <c r="B123" s="6"/>
      <c r="C123" s="6"/>
      <c r="D123" s="6"/>
      <c r="E123" s="6"/>
      <c r="F123" s="6"/>
      <c r="G123" s="6"/>
      <c r="H123" s="6"/>
      <c r="I123" s="6"/>
      <c r="J123" s="6"/>
      <c r="K123" s="6"/>
      <c r="L123" s="6"/>
      <c r="M123" s="6"/>
      <c r="N123" s="137"/>
      <c r="O123" s="137"/>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row>
    <row r="124" ht="14.25" customHeight="1">
      <c r="A124" s="6"/>
      <c r="B124" s="6"/>
      <c r="C124" s="6"/>
      <c r="D124" s="6"/>
      <c r="E124" s="6"/>
      <c r="F124" s="6"/>
      <c r="G124" s="6"/>
      <c r="H124" s="6"/>
      <c r="I124" s="6"/>
      <c r="J124" s="6"/>
      <c r="K124" s="6"/>
      <c r="L124" s="6"/>
      <c r="M124" s="6"/>
      <c r="N124" s="137"/>
      <c r="O124" s="137"/>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row>
    <row r="125" ht="14.25" customHeight="1">
      <c r="A125" s="6"/>
      <c r="B125" s="6"/>
      <c r="C125" s="6"/>
      <c r="D125" s="6"/>
      <c r="E125" s="6"/>
      <c r="F125" s="6"/>
      <c r="G125" s="6"/>
      <c r="H125" s="6"/>
      <c r="I125" s="6"/>
      <c r="J125" s="6"/>
      <c r="K125" s="6"/>
      <c r="L125" s="6"/>
      <c r="M125" s="6"/>
      <c r="N125" s="137"/>
      <c r="O125" s="137"/>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row>
    <row r="126" ht="14.25" customHeight="1">
      <c r="A126" s="6"/>
      <c r="B126" s="6"/>
      <c r="C126" s="6"/>
      <c r="D126" s="6"/>
      <c r="E126" s="6"/>
      <c r="F126" s="6"/>
      <c r="G126" s="6"/>
      <c r="H126" s="6"/>
      <c r="I126" s="6"/>
      <c r="J126" s="6"/>
      <c r="K126" s="6"/>
      <c r="L126" s="6"/>
      <c r="M126" s="6"/>
      <c r="N126" s="137"/>
      <c r="O126" s="137"/>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row>
    <row r="127" ht="14.25" customHeight="1">
      <c r="A127" s="6"/>
      <c r="B127" s="6"/>
      <c r="C127" s="6"/>
      <c r="D127" s="6"/>
      <c r="E127" s="6"/>
      <c r="F127" s="6"/>
      <c r="G127" s="6"/>
      <c r="H127" s="6"/>
      <c r="I127" s="6"/>
      <c r="J127" s="6"/>
      <c r="K127" s="6"/>
      <c r="L127" s="6"/>
      <c r="M127" s="6"/>
      <c r="N127" s="137"/>
      <c r="O127" s="137"/>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row>
    <row r="128" ht="14.25" customHeight="1">
      <c r="A128" s="6"/>
      <c r="B128" s="6"/>
      <c r="C128" s="6"/>
      <c r="D128" s="6"/>
      <c r="E128" s="6"/>
      <c r="F128" s="6"/>
      <c r="G128" s="6"/>
      <c r="H128" s="6"/>
      <c r="I128" s="6"/>
      <c r="J128" s="6"/>
      <c r="K128" s="6"/>
      <c r="L128" s="6"/>
      <c r="M128" s="6"/>
      <c r="N128" s="137"/>
      <c r="O128" s="137"/>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row>
    <row r="129" ht="14.25" customHeight="1">
      <c r="A129" s="6"/>
      <c r="B129" s="6"/>
      <c r="C129" s="6"/>
      <c r="D129" s="6"/>
      <c r="E129" s="6"/>
      <c r="F129" s="6"/>
      <c r="G129" s="6"/>
      <c r="H129" s="6"/>
      <c r="I129" s="6"/>
      <c r="J129" s="6"/>
      <c r="K129" s="6"/>
      <c r="L129" s="6"/>
      <c r="M129" s="6"/>
      <c r="N129" s="137"/>
      <c r="O129" s="137"/>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row>
    <row r="130" ht="14.25" customHeight="1">
      <c r="A130" s="6"/>
      <c r="B130" s="6"/>
      <c r="C130" s="6"/>
      <c r="D130" s="6"/>
      <c r="E130" s="6"/>
      <c r="F130" s="6"/>
      <c r="G130" s="6"/>
      <c r="H130" s="6"/>
      <c r="I130" s="6"/>
      <c r="J130" s="6"/>
      <c r="K130" s="6"/>
      <c r="L130" s="6"/>
      <c r="M130" s="6"/>
      <c r="N130" s="137"/>
      <c r="O130" s="137"/>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row>
    <row r="131" ht="14.25" customHeight="1">
      <c r="A131" s="6"/>
      <c r="B131" s="6"/>
      <c r="C131" s="6"/>
      <c r="D131" s="6"/>
      <c r="E131" s="6"/>
      <c r="F131" s="6"/>
      <c r="G131" s="6"/>
      <c r="H131" s="6"/>
      <c r="I131" s="6"/>
      <c r="J131" s="6"/>
      <c r="K131" s="6"/>
      <c r="L131" s="6"/>
      <c r="M131" s="6"/>
      <c r="N131" s="137"/>
      <c r="O131" s="137"/>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row>
    <row r="132" ht="14.25" customHeight="1">
      <c r="A132" s="6"/>
      <c r="B132" s="6"/>
      <c r="C132" s="6"/>
      <c r="D132" s="6"/>
      <c r="E132" s="6"/>
      <c r="F132" s="6"/>
      <c r="G132" s="6"/>
      <c r="H132" s="6"/>
      <c r="I132" s="6"/>
      <c r="J132" s="6"/>
      <c r="K132" s="6"/>
      <c r="L132" s="6"/>
      <c r="M132" s="6"/>
      <c r="N132" s="137"/>
      <c r="O132" s="137"/>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row>
    <row r="133" ht="14.25" customHeight="1">
      <c r="A133" s="6"/>
      <c r="B133" s="6"/>
      <c r="C133" s="6"/>
      <c r="D133" s="6"/>
      <c r="E133" s="6"/>
      <c r="F133" s="6"/>
      <c r="G133" s="6"/>
      <c r="H133" s="6"/>
      <c r="I133" s="6"/>
      <c r="J133" s="6"/>
      <c r="K133" s="6"/>
      <c r="L133" s="6"/>
      <c r="M133" s="6"/>
      <c r="N133" s="137"/>
      <c r="O133" s="137"/>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row>
    <row r="134" ht="14.25" customHeight="1">
      <c r="A134" s="6"/>
      <c r="B134" s="6"/>
      <c r="C134" s="6"/>
      <c r="D134" s="6"/>
      <c r="E134" s="6"/>
      <c r="F134" s="6"/>
      <c r="G134" s="6"/>
      <c r="H134" s="6"/>
      <c r="I134" s="6"/>
      <c r="J134" s="6"/>
      <c r="K134" s="6"/>
      <c r="L134" s="6"/>
      <c r="M134" s="6"/>
      <c r="N134" s="137"/>
      <c r="O134" s="137"/>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row>
    <row r="135" ht="14.25" customHeight="1">
      <c r="A135" s="6"/>
      <c r="B135" s="6"/>
      <c r="C135" s="6"/>
      <c r="D135" s="6"/>
      <c r="E135" s="6"/>
      <c r="F135" s="6"/>
      <c r="G135" s="6"/>
      <c r="H135" s="6"/>
      <c r="I135" s="6"/>
      <c r="J135" s="6"/>
      <c r="K135" s="6"/>
      <c r="L135" s="6"/>
      <c r="M135" s="6"/>
      <c r="N135" s="137"/>
      <c r="O135" s="137"/>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row>
    <row r="136" ht="14.25" customHeight="1">
      <c r="A136" s="6"/>
      <c r="B136" s="6"/>
      <c r="C136" s="6"/>
      <c r="D136" s="6"/>
      <c r="E136" s="6"/>
      <c r="F136" s="6"/>
      <c r="G136" s="6"/>
      <c r="H136" s="6"/>
      <c r="I136" s="6"/>
      <c r="J136" s="6"/>
      <c r="K136" s="6"/>
      <c r="L136" s="6"/>
      <c r="M136" s="6"/>
      <c r="N136" s="137"/>
      <c r="O136" s="137"/>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row>
    <row r="137" ht="14.25" customHeight="1">
      <c r="A137" s="6"/>
      <c r="B137" s="6"/>
      <c r="C137" s="6"/>
      <c r="D137" s="6"/>
      <c r="E137" s="6"/>
      <c r="F137" s="6"/>
      <c r="G137" s="6"/>
      <c r="H137" s="6"/>
      <c r="I137" s="6"/>
      <c r="J137" s="6"/>
      <c r="K137" s="6"/>
      <c r="L137" s="6"/>
      <c r="M137" s="6"/>
      <c r="N137" s="137"/>
      <c r="O137" s="137"/>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row>
    <row r="138" ht="14.25" customHeight="1">
      <c r="A138" s="6"/>
      <c r="B138" s="6"/>
      <c r="C138" s="6"/>
      <c r="D138" s="6"/>
      <c r="E138" s="6"/>
      <c r="F138" s="6"/>
      <c r="G138" s="6"/>
      <c r="H138" s="6"/>
      <c r="I138" s="6"/>
      <c r="J138" s="6"/>
      <c r="K138" s="6"/>
      <c r="L138" s="6"/>
      <c r="M138" s="6"/>
      <c r="N138" s="137"/>
      <c r="O138" s="137"/>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row>
    <row r="139" ht="14.25" customHeight="1">
      <c r="A139" s="6"/>
      <c r="B139" s="6"/>
      <c r="C139" s="6"/>
      <c r="D139" s="6"/>
      <c r="E139" s="6"/>
      <c r="F139" s="6"/>
      <c r="G139" s="6"/>
      <c r="H139" s="6"/>
      <c r="I139" s="6"/>
      <c r="J139" s="6"/>
      <c r="K139" s="6"/>
      <c r="L139" s="6"/>
      <c r="M139" s="6"/>
      <c r="N139" s="137"/>
      <c r="O139" s="137"/>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row>
    <row r="140" ht="14.25" customHeight="1">
      <c r="A140" s="6"/>
      <c r="B140" s="6"/>
      <c r="C140" s="6"/>
      <c r="D140" s="6"/>
      <c r="E140" s="6"/>
      <c r="F140" s="6"/>
      <c r="G140" s="6"/>
      <c r="H140" s="6"/>
      <c r="I140" s="6"/>
      <c r="J140" s="6"/>
      <c r="K140" s="6"/>
      <c r="L140" s="6"/>
      <c r="M140" s="6"/>
      <c r="N140" s="137"/>
      <c r="O140" s="137"/>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row>
    <row r="141" ht="14.25" customHeight="1">
      <c r="A141" s="6"/>
      <c r="B141" s="6"/>
      <c r="C141" s="6"/>
      <c r="D141" s="6"/>
      <c r="E141" s="6"/>
      <c r="F141" s="6"/>
      <c r="G141" s="6"/>
      <c r="H141" s="6"/>
      <c r="I141" s="6"/>
      <c r="J141" s="6"/>
      <c r="K141" s="6"/>
      <c r="L141" s="6"/>
      <c r="M141" s="6"/>
      <c r="N141" s="137"/>
      <c r="O141" s="137"/>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row>
    <row r="142" ht="14.25" customHeight="1">
      <c r="A142" s="6"/>
      <c r="B142" s="6"/>
      <c r="C142" s="6"/>
      <c r="D142" s="6"/>
      <c r="E142" s="6"/>
      <c r="F142" s="6"/>
      <c r="G142" s="6"/>
      <c r="H142" s="6"/>
      <c r="I142" s="6"/>
      <c r="J142" s="6"/>
      <c r="K142" s="6"/>
      <c r="L142" s="6"/>
      <c r="M142" s="6"/>
      <c r="N142" s="137"/>
      <c r="O142" s="137"/>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row>
    <row r="143" ht="14.25" customHeight="1">
      <c r="A143" s="6"/>
      <c r="B143" s="6"/>
      <c r="C143" s="6"/>
      <c r="D143" s="6"/>
      <c r="E143" s="6"/>
      <c r="F143" s="6"/>
      <c r="G143" s="6"/>
      <c r="H143" s="6"/>
      <c r="I143" s="6"/>
      <c r="J143" s="6"/>
      <c r="K143" s="6"/>
      <c r="L143" s="6"/>
      <c r="M143" s="6"/>
      <c r="N143" s="137"/>
      <c r="O143" s="137"/>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row>
    <row r="144" ht="14.25" customHeight="1">
      <c r="A144" s="6"/>
      <c r="B144" s="6"/>
      <c r="C144" s="6"/>
      <c r="D144" s="6"/>
      <c r="E144" s="6"/>
      <c r="F144" s="6"/>
      <c r="G144" s="6"/>
      <c r="H144" s="6"/>
      <c r="I144" s="6"/>
      <c r="J144" s="6"/>
      <c r="K144" s="6"/>
      <c r="L144" s="6"/>
      <c r="M144" s="6"/>
      <c r="N144" s="137"/>
      <c r="O144" s="137"/>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row>
    <row r="145" ht="14.25" customHeight="1">
      <c r="A145" s="6"/>
      <c r="B145" s="6"/>
      <c r="C145" s="6"/>
      <c r="D145" s="6"/>
      <c r="E145" s="6"/>
      <c r="F145" s="6"/>
      <c r="G145" s="6"/>
      <c r="H145" s="6"/>
      <c r="I145" s="6"/>
      <c r="J145" s="6"/>
      <c r="K145" s="6"/>
      <c r="L145" s="6"/>
      <c r="M145" s="6"/>
      <c r="N145" s="137"/>
      <c r="O145" s="137"/>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row>
    <row r="146" ht="14.25" customHeight="1">
      <c r="A146" s="6"/>
      <c r="B146" s="6"/>
      <c r="C146" s="6"/>
      <c r="D146" s="6"/>
      <c r="E146" s="6"/>
      <c r="F146" s="6"/>
      <c r="G146" s="6"/>
      <c r="H146" s="6"/>
      <c r="I146" s="6"/>
      <c r="J146" s="6"/>
      <c r="K146" s="6"/>
      <c r="L146" s="6"/>
      <c r="M146" s="6"/>
      <c r="N146" s="137"/>
      <c r="O146" s="137"/>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row>
    <row r="147" ht="14.25" customHeight="1">
      <c r="A147" s="6"/>
      <c r="B147" s="6"/>
      <c r="C147" s="6"/>
      <c r="D147" s="6"/>
      <c r="E147" s="6"/>
      <c r="F147" s="6"/>
      <c r="G147" s="6"/>
      <c r="H147" s="6"/>
      <c r="I147" s="6"/>
      <c r="J147" s="6"/>
      <c r="K147" s="6"/>
      <c r="L147" s="6"/>
      <c r="M147" s="6"/>
      <c r="N147" s="137"/>
      <c r="O147" s="137"/>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row>
    <row r="148" ht="14.25" customHeight="1">
      <c r="A148" s="6"/>
      <c r="B148" s="6"/>
      <c r="C148" s="6"/>
      <c r="D148" s="6"/>
      <c r="E148" s="6"/>
      <c r="F148" s="6"/>
      <c r="G148" s="6"/>
      <c r="H148" s="6"/>
      <c r="I148" s="6"/>
      <c r="J148" s="6"/>
      <c r="K148" s="6"/>
      <c r="L148" s="6"/>
      <c r="M148" s="6"/>
      <c r="N148" s="137"/>
      <c r="O148" s="137"/>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row>
    <row r="149" ht="14.25" customHeight="1">
      <c r="A149" s="6"/>
      <c r="B149" s="6"/>
      <c r="C149" s="6"/>
      <c r="D149" s="6"/>
      <c r="E149" s="6"/>
      <c r="F149" s="6"/>
      <c r="G149" s="6"/>
      <c r="H149" s="6"/>
      <c r="I149" s="6"/>
      <c r="J149" s="6"/>
      <c r="K149" s="6"/>
      <c r="L149" s="6"/>
      <c r="M149" s="6"/>
      <c r="N149" s="137"/>
      <c r="O149" s="137"/>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row>
    <row r="150" ht="14.25" customHeight="1">
      <c r="A150" s="6"/>
      <c r="B150" s="6"/>
      <c r="C150" s="6"/>
      <c r="D150" s="6"/>
      <c r="E150" s="6"/>
      <c r="F150" s="6"/>
      <c r="G150" s="6"/>
      <c r="H150" s="6"/>
      <c r="I150" s="6"/>
      <c r="J150" s="6"/>
      <c r="K150" s="6"/>
      <c r="L150" s="6"/>
      <c r="M150" s="6"/>
      <c r="N150" s="137"/>
      <c r="O150" s="137"/>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row>
    <row r="151" ht="14.25" customHeight="1">
      <c r="A151" s="6"/>
      <c r="B151" s="6"/>
      <c r="C151" s="6"/>
      <c r="D151" s="6"/>
      <c r="E151" s="6"/>
      <c r="F151" s="6"/>
      <c r="G151" s="6"/>
      <c r="H151" s="6"/>
      <c r="I151" s="6"/>
      <c r="J151" s="6"/>
      <c r="K151" s="6"/>
      <c r="L151" s="6"/>
      <c r="M151" s="6"/>
      <c r="N151" s="137"/>
      <c r="O151" s="137"/>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row>
    <row r="152" ht="14.25" customHeight="1">
      <c r="A152" s="6"/>
      <c r="B152" s="6"/>
      <c r="C152" s="6"/>
      <c r="D152" s="6"/>
      <c r="E152" s="6"/>
      <c r="F152" s="6"/>
      <c r="G152" s="6"/>
      <c r="H152" s="6"/>
      <c r="I152" s="6"/>
      <c r="J152" s="6"/>
      <c r="K152" s="6"/>
      <c r="L152" s="6"/>
      <c r="M152" s="6"/>
      <c r="N152" s="137"/>
      <c r="O152" s="137"/>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row>
    <row r="153" ht="14.25" customHeight="1">
      <c r="A153" s="6"/>
      <c r="B153" s="6"/>
      <c r="C153" s="6"/>
      <c r="D153" s="6"/>
      <c r="E153" s="6"/>
      <c r="F153" s="6"/>
      <c r="G153" s="6"/>
      <c r="H153" s="6"/>
      <c r="I153" s="6"/>
      <c r="J153" s="6"/>
      <c r="K153" s="6"/>
      <c r="L153" s="6"/>
      <c r="M153" s="6"/>
      <c r="N153" s="137"/>
      <c r="O153" s="137"/>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row>
    <row r="154" ht="14.25" customHeight="1">
      <c r="A154" s="6"/>
      <c r="B154" s="6"/>
      <c r="C154" s="6"/>
      <c r="D154" s="6"/>
      <c r="E154" s="6"/>
      <c r="F154" s="6"/>
      <c r="G154" s="6"/>
      <c r="H154" s="6"/>
      <c r="I154" s="6"/>
      <c r="J154" s="6"/>
      <c r="K154" s="6"/>
      <c r="L154" s="6"/>
      <c r="M154" s="6"/>
      <c r="N154" s="137"/>
      <c r="O154" s="137"/>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row>
    <row r="155" ht="14.25" customHeight="1">
      <c r="A155" s="6"/>
      <c r="B155" s="6"/>
      <c r="C155" s="6"/>
      <c r="D155" s="6"/>
      <c r="E155" s="6"/>
      <c r="F155" s="6"/>
      <c r="G155" s="6"/>
      <c r="H155" s="6"/>
      <c r="I155" s="6"/>
      <c r="J155" s="6"/>
      <c r="K155" s="6"/>
      <c r="L155" s="6"/>
      <c r="M155" s="6"/>
      <c r="N155" s="137"/>
      <c r="O155" s="137"/>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row>
    <row r="156" ht="14.25" customHeight="1">
      <c r="A156" s="6"/>
      <c r="B156" s="6"/>
      <c r="C156" s="6"/>
      <c r="D156" s="6"/>
      <c r="E156" s="6"/>
      <c r="F156" s="6"/>
      <c r="G156" s="6"/>
      <c r="H156" s="6"/>
      <c r="I156" s="6"/>
      <c r="J156" s="6"/>
      <c r="K156" s="6"/>
      <c r="L156" s="6"/>
      <c r="M156" s="6"/>
      <c r="N156" s="137"/>
      <c r="O156" s="137"/>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row>
    <row r="157" ht="14.25" customHeight="1">
      <c r="A157" s="6"/>
      <c r="B157" s="6"/>
      <c r="C157" s="6"/>
      <c r="D157" s="6"/>
      <c r="E157" s="6"/>
      <c r="F157" s="6"/>
      <c r="G157" s="6"/>
      <c r="H157" s="6"/>
      <c r="I157" s="6"/>
      <c r="J157" s="6"/>
      <c r="K157" s="6"/>
      <c r="L157" s="6"/>
      <c r="M157" s="6"/>
      <c r="N157" s="137"/>
      <c r="O157" s="137"/>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row>
    <row r="158" ht="14.25" customHeight="1">
      <c r="A158" s="6"/>
      <c r="B158" s="6"/>
      <c r="C158" s="6"/>
      <c r="D158" s="6"/>
      <c r="E158" s="6"/>
      <c r="F158" s="6"/>
      <c r="G158" s="6"/>
      <c r="H158" s="6"/>
      <c r="I158" s="6"/>
      <c r="J158" s="6"/>
      <c r="K158" s="6"/>
      <c r="L158" s="6"/>
      <c r="M158" s="6"/>
      <c r="N158" s="137"/>
      <c r="O158" s="137"/>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row>
    <row r="159" ht="14.25" customHeight="1">
      <c r="A159" s="6"/>
      <c r="B159" s="6"/>
      <c r="C159" s="6"/>
      <c r="D159" s="6"/>
      <c r="E159" s="6"/>
      <c r="F159" s="6"/>
      <c r="G159" s="6"/>
      <c r="H159" s="6"/>
      <c r="I159" s="6"/>
      <c r="J159" s="6"/>
      <c r="K159" s="6"/>
      <c r="L159" s="6"/>
      <c r="M159" s="6"/>
      <c r="N159" s="137"/>
      <c r="O159" s="137"/>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row>
    <row r="160" ht="14.25" customHeight="1">
      <c r="A160" s="6"/>
      <c r="B160" s="6"/>
      <c r="C160" s="6"/>
      <c r="D160" s="6"/>
      <c r="E160" s="6"/>
      <c r="F160" s="6"/>
      <c r="G160" s="6"/>
      <c r="H160" s="6"/>
      <c r="I160" s="6"/>
      <c r="J160" s="6"/>
      <c r="K160" s="6"/>
      <c r="L160" s="6"/>
      <c r="M160" s="6"/>
      <c r="N160" s="137"/>
      <c r="O160" s="137"/>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row>
    <row r="161" ht="14.25" customHeight="1">
      <c r="A161" s="6"/>
      <c r="B161" s="6"/>
      <c r="C161" s="6"/>
      <c r="D161" s="6"/>
      <c r="E161" s="6"/>
      <c r="F161" s="6"/>
      <c r="G161" s="6"/>
      <c r="H161" s="6"/>
      <c r="I161" s="6"/>
      <c r="J161" s="6"/>
      <c r="K161" s="6"/>
      <c r="L161" s="6"/>
      <c r="M161" s="6"/>
      <c r="N161" s="137"/>
      <c r="O161" s="137"/>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row>
    <row r="162" ht="14.25" customHeight="1">
      <c r="A162" s="6"/>
      <c r="B162" s="6"/>
      <c r="C162" s="6"/>
      <c r="D162" s="6"/>
      <c r="E162" s="6"/>
      <c r="F162" s="6"/>
      <c r="G162" s="6"/>
      <c r="H162" s="6"/>
      <c r="I162" s="6"/>
      <c r="J162" s="6"/>
      <c r="K162" s="6"/>
      <c r="L162" s="6"/>
      <c r="M162" s="6"/>
      <c r="N162" s="137"/>
      <c r="O162" s="137"/>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row>
    <row r="163" ht="14.25" customHeight="1">
      <c r="A163" s="6"/>
      <c r="B163" s="6"/>
      <c r="C163" s="6"/>
      <c r="D163" s="6"/>
      <c r="E163" s="6"/>
      <c r="F163" s="6"/>
      <c r="G163" s="6"/>
      <c r="H163" s="6"/>
      <c r="I163" s="6"/>
      <c r="J163" s="6"/>
      <c r="K163" s="6"/>
      <c r="L163" s="6"/>
      <c r="M163" s="6"/>
      <c r="N163" s="137"/>
      <c r="O163" s="137"/>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row>
    <row r="164" ht="14.25" customHeight="1">
      <c r="A164" s="6"/>
      <c r="B164" s="6"/>
      <c r="C164" s="6"/>
      <c r="D164" s="6"/>
      <c r="E164" s="6"/>
      <c r="F164" s="6"/>
      <c r="G164" s="6"/>
      <c r="H164" s="6"/>
      <c r="I164" s="6"/>
      <c r="J164" s="6"/>
      <c r="K164" s="6"/>
      <c r="L164" s="6"/>
      <c r="M164" s="6"/>
      <c r="N164" s="137"/>
      <c r="O164" s="137"/>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row>
    <row r="165" ht="14.25" customHeight="1">
      <c r="A165" s="6"/>
      <c r="B165" s="6"/>
      <c r="C165" s="6"/>
      <c r="D165" s="6"/>
      <c r="E165" s="6"/>
      <c r="F165" s="6"/>
      <c r="G165" s="6"/>
      <c r="H165" s="6"/>
      <c r="I165" s="6"/>
      <c r="J165" s="6"/>
      <c r="K165" s="6"/>
      <c r="L165" s="6"/>
      <c r="M165" s="6"/>
      <c r="N165" s="137"/>
      <c r="O165" s="137"/>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row>
    <row r="166" ht="14.25" customHeight="1">
      <c r="A166" s="6"/>
      <c r="B166" s="6"/>
      <c r="C166" s="6"/>
      <c r="D166" s="6"/>
      <c r="E166" s="6"/>
      <c r="F166" s="6"/>
      <c r="G166" s="6"/>
      <c r="H166" s="6"/>
      <c r="I166" s="6"/>
      <c r="J166" s="6"/>
      <c r="K166" s="6"/>
      <c r="L166" s="6"/>
      <c r="M166" s="6"/>
      <c r="N166" s="137"/>
      <c r="O166" s="137"/>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row>
    <row r="167" ht="14.25" customHeight="1">
      <c r="A167" s="6"/>
      <c r="B167" s="6"/>
      <c r="C167" s="6"/>
      <c r="D167" s="6"/>
      <c r="E167" s="6"/>
      <c r="F167" s="6"/>
      <c r="G167" s="6"/>
      <c r="H167" s="6"/>
      <c r="I167" s="6"/>
      <c r="J167" s="6"/>
      <c r="K167" s="6"/>
      <c r="L167" s="6"/>
      <c r="M167" s="6"/>
      <c r="N167" s="137"/>
      <c r="O167" s="137"/>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row>
    <row r="168" ht="14.25" customHeight="1">
      <c r="A168" s="6"/>
      <c r="B168" s="6"/>
      <c r="C168" s="6"/>
      <c r="D168" s="6"/>
      <c r="E168" s="6"/>
      <c r="F168" s="6"/>
      <c r="G168" s="6"/>
      <c r="H168" s="6"/>
      <c r="I168" s="6"/>
      <c r="J168" s="6"/>
      <c r="K168" s="6"/>
      <c r="L168" s="6"/>
      <c r="M168" s="6"/>
      <c r="N168" s="137"/>
      <c r="O168" s="137"/>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row>
    <row r="169" ht="14.25" customHeight="1">
      <c r="A169" s="6"/>
      <c r="B169" s="6"/>
      <c r="C169" s="6"/>
      <c r="D169" s="6"/>
      <c r="E169" s="6"/>
      <c r="F169" s="6"/>
      <c r="G169" s="6"/>
      <c r="H169" s="6"/>
      <c r="I169" s="6"/>
      <c r="J169" s="6"/>
      <c r="K169" s="6"/>
      <c r="L169" s="6"/>
      <c r="M169" s="6"/>
      <c r="N169" s="137"/>
      <c r="O169" s="137"/>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row>
    <row r="170" ht="14.25" customHeight="1">
      <c r="A170" s="6"/>
      <c r="B170" s="6"/>
      <c r="C170" s="6"/>
      <c r="D170" s="6"/>
      <c r="E170" s="6"/>
      <c r="F170" s="6"/>
      <c r="G170" s="6"/>
      <c r="H170" s="6"/>
      <c r="I170" s="6"/>
      <c r="J170" s="6"/>
      <c r="K170" s="6"/>
      <c r="L170" s="6"/>
      <c r="M170" s="6"/>
      <c r="N170" s="137"/>
      <c r="O170" s="137"/>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row>
    <row r="171" ht="14.25" customHeight="1">
      <c r="A171" s="6"/>
      <c r="B171" s="6"/>
      <c r="C171" s="6"/>
      <c r="D171" s="6"/>
      <c r="E171" s="6"/>
      <c r="F171" s="6"/>
      <c r="G171" s="6"/>
      <c r="H171" s="6"/>
      <c r="I171" s="6"/>
      <c r="J171" s="6"/>
      <c r="K171" s="6"/>
      <c r="L171" s="6"/>
      <c r="M171" s="6"/>
      <c r="N171" s="137"/>
      <c r="O171" s="137"/>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row>
    <row r="172" ht="14.25" customHeight="1">
      <c r="A172" s="6"/>
      <c r="B172" s="6"/>
      <c r="C172" s="6"/>
      <c r="D172" s="6"/>
      <c r="E172" s="6"/>
      <c r="F172" s="6"/>
      <c r="G172" s="6"/>
      <c r="H172" s="6"/>
      <c r="I172" s="6"/>
      <c r="J172" s="6"/>
      <c r="K172" s="6"/>
      <c r="L172" s="6"/>
      <c r="M172" s="6"/>
      <c r="N172" s="137"/>
      <c r="O172" s="137"/>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row>
    <row r="173" ht="14.25" customHeight="1">
      <c r="A173" s="6"/>
      <c r="B173" s="6"/>
      <c r="C173" s="6"/>
      <c r="D173" s="6"/>
      <c r="E173" s="6"/>
      <c r="F173" s="6"/>
      <c r="G173" s="6"/>
      <c r="H173" s="6"/>
      <c r="I173" s="6"/>
      <c r="J173" s="6"/>
      <c r="K173" s="6"/>
      <c r="L173" s="6"/>
      <c r="M173" s="6"/>
      <c r="N173" s="137"/>
      <c r="O173" s="137"/>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row>
    <row r="174" ht="14.25" customHeight="1">
      <c r="A174" s="6"/>
      <c r="B174" s="6"/>
      <c r="C174" s="6"/>
      <c r="D174" s="6"/>
      <c r="E174" s="6"/>
      <c r="F174" s="6"/>
      <c r="G174" s="6"/>
      <c r="H174" s="6"/>
      <c r="I174" s="6"/>
      <c r="J174" s="6"/>
      <c r="K174" s="6"/>
      <c r="L174" s="6"/>
      <c r="M174" s="6"/>
      <c r="N174" s="137"/>
      <c r="O174" s="137"/>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row>
    <row r="175" ht="14.25" customHeight="1">
      <c r="A175" s="6"/>
      <c r="B175" s="6"/>
      <c r="C175" s="6"/>
      <c r="D175" s="6"/>
      <c r="E175" s="6"/>
      <c r="F175" s="6"/>
      <c r="G175" s="6"/>
      <c r="H175" s="6"/>
      <c r="I175" s="6"/>
      <c r="J175" s="6"/>
      <c r="K175" s="6"/>
      <c r="L175" s="6"/>
      <c r="M175" s="6"/>
      <c r="N175" s="137"/>
      <c r="O175" s="137"/>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row>
    <row r="176" ht="14.25" customHeight="1">
      <c r="A176" s="6"/>
      <c r="B176" s="6"/>
      <c r="C176" s="6"/>
      <c r="D176" s="6"/>
      <c r="E176" s="6"/>
      <c r="F176" s="6"/>
      <c r="G176" s="6"/>
      <c r="H176" s="6"/>
      <c r="I176" s="6"/>
      <c r="J176" s="6"/>
      <c r="K176" s="6"/>
      <c r="L176" s="6"/>
      <c r="M176" s="6"/>
      <c r="N176" s="137"/>
      <c r="O176" s="137"/>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row>
    <row r="177" ht="14.25" customHeight="1">
      <c r="A177" s="6"/>
      <c r="B177" s="6"/>
      <c r="C177" s="6"/>
      <c r="D177" s="6"/>
      <c r="E177" s="6"/>
      <c r="F177" s="6"/>
      <c r="G177" s="6"/>
      <c r="H177" s="6"/>
      <c r="I177" s="6"/>
      <c r="J177" s="6"/>
      <c r="K177" s="6"/>
      <c r="L177" s="6"/>
      <c r="M177" s="6"/>
      <c r="N177" s="137"/>
      <c r="O177" s="137"/>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row>
    <row r="178" ht="14.25" customHeight="1">
      <c r="A178" s="6"/>
      <c r="B178" s="6"/>
      <c r="C178" s="6"/>
      <c r="D178" s="6"/>
      <c r="E178" s="6"/>
      <c r="F178" s="6"/>
      <c r="G178" s="6"/>
      <c r="H178" s="6"/>
      <c r="I178" s="6"/>
      <c r="J178" s="6"/>
      <c r="K178" s="6"/>
      <c r="L178" s="6"/>
      <c r="M178" s="6"/>
      <c r="N178" s="137"/>
      <c r="O178" s="137"/>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row>
    <row r="179" ht="14.25" customHeight="1">
      <c r="A179" s="6"/>
      <c r="B179" s="6"/>
      <c r="C179" s="6"/>
      <c r="D179" s="6"/>
      <c r="E179" s="6"/>
      <c r="F179" s="6"/>
      <c r="G179" s="6"/>
      <c r="H179" s="6"/>
      <c r="I179" s="6"/>
      <c r="J179" s="6"/>
      <c r="K179" s="6"/>
      <c r="L179" s="6"/>
      <c r="M179" s="6"/>
      <c r="N179" s="137"/>
      <c r="O179" s="137"/>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row>
    <row r="180" ht="14.25" customHeight="1">
      <c r="A180" s="6"/>
      <c r="B180" s="6"/>
      <c r="C180" s="6"/>
      <c r="D180" s="6"/>
      <c r="E180" s="6"/>
      <c r="F180" s="6"/>
      <c r="G180" s="6"/>
      <c r="H180" s="6"/>
      <c r="I180" s="6"/>
      <c r="J180" s="6"/>
      <c r="K180" s="6"/>
      <c r="L180" s="6"/>
      <c r="M180" s="6"/>
      <c r="N180" s="137"/>
      <c r="O180" s="137"/>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row>
    <row r="181" ht="14.25" customHeight="1">
      <c r="A181" s="6"/>
      <c r="B181" s="6"/>
      <c r="C181" s="6"/>
      <c r="D181" s="6"/>
      <c r="E181" s="6"/>
      <c r="F181" s="6"/>
      <c r="G181" s="6"/>
      <c r="H181" s="6"/>
      <c r="I181" s="6"/>
      <c r="J181" s="6"/>
      <c r="K181" s="6"/>
      <c r="L181" s="6"/>
      <c r="M181" s="6"/>
      <c r="N181" s="137"/>
      <c r="O181" s="137"/>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row>
    <row r="182" ht="14.25" customHeight="1">
      <c r="A182" s="6"/>
      <c r="B182" s="6"/>
      <c r="C182" s="6"/>
      <c r="D182" s="6"/>
      <c r="E182" s="6"/>
      <c r="F182" s="6"/>
      <c r="G182" s="6"/>
      <c r="H182" s="6"/>
      <c r="I182" s="6"/>
      <c r="J182" s="6"/>
      <c r="K182" s="6"/>
      <c r="L182" s="6"/>
      <c r="M182" s="6"/>
      <c r="N182" s="137"/>
      <c r="O182" s="137"/>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row>
    <row r="183" ht="14.25" customHeight="1">
      <c r="A183" s="6"/>
      <c r="B183" s="6"/>
      <c r="C183" s="6"/>
      <c r="D183" s="6"/>
      <c r="E183" s="6"/>
      <c r="F183" s="6"/>
      <c r="G183" s="6"/>
      <c r="H183" s="6"/>
      <c r="I183" s="6"/>
      <c r="J183" s="6"/>
      <c r="K183" s="6"/>
      <c r="L183" s="6"/>
      <c r="M183" s="6"/>
      <c r="N183" s="137"/>
      <c r="O183" s="137"/>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row>
    <row r="184" ht="14.25" customHeight="1">
      <c r="A184" s="6"/>
      <c r="B184" s="6"/>
      <c r="C184" s="6"/>
      <c r="D184" s="6"/>
      <c r="E184" s="6"/>
      <c r="F184" s="6"/>
      <c r="G184" s="6"/>
      <c r="H184" s="6"/>
      <c r="I184" s="6"/>
      <c r="J184" s="6"/>
      <c r="K184" s="6"/>
      <c r="L184" s="6"/>
      <c r="M184" s="6"/>
      <c r="N184" s="137"/>
      <c r="O184" s="137"/>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row>
    <row r="185" ht="14.25" customHeight="1">
      <c r="A185" s="6"/>
      <c r="B185" s="6"/>
      <c r="C185" s="6"/>
      <c r="D185" s="6"/>
      <c r="E185" s="6"/>
      <c r="F185" s="6"/>
      <c r="G185" s="6"/>
      <c r="H185" s="6"/>
      <c r="I185" s="6"/>
      <c r="J185" s="6"/>
      <c r="K185" s="6"/>
      <c r="L185" s="6"/>
      <c r="M185" s="6"/>
      <c r="N185" s="137"/>
      <c r="O185" s="137"/>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row>
    <row r="186" ht="14.25" customHeight="1">
      <c r="A186" s="6"/>
      <c r="B186" s="6"/>
      <c r="C186" s="6"/>
      <c r="D186" s="6"/>
      <c r="E186" s="6"/>
      <c r="F186" s="6"/>
      <c r="G186" s="6"/>
      <c r="H186" s="6"/>
      <c r="I186" s="6"/>
      <c r="J186" s="6"/>
      <c r="K186" s="6"/>
      <c r="L186" s="6"/>
      <c r="M186" s="6"/>
      <c r="N186" s="137"/>
      <c r="O186" s="137"/>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row>
    <row r="187" ht="14.25" customHeight="1">
      <c r="A187" s="6"/>
      <c r="B187" s="6"/>
      <c r="C187" s="6"/>
      <c r="D187" s="6"/>
      <c r="E187" s="6"/>
      <c r="F187" s="6"/>
      <c r="G187" s="6"/>
      <c r="H187" s="6"/>
      <c r="I187" s="6"/>
      <c r="J187" s="6"/>
      <c r="K187" s="6"/>
      <c r="L187" s="6"/>
      <c r="M187" s="6"/>
      <c r="N187" s="137"/>
      <c r="O187" s="137"/>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row>
    <row r="188" ht="14.25" customHeight="1">
      <c r="A188" s="6"/>
      <c r="B188" s="6"/>
      <c r="C188" s="6"/>
      <c r="D188" s="6"/>
      <c r="E188" s="6"/>
      <c r="F188" s="6"/>
      <c r="G188" s="6"/>
      <c r="H188" s="6"/>
      <c r="I188" s="6"/>
      <c r="J188" s="6"/>
      <c r="K188" s="6"/>
      <c r="L188" s="6"/>
      <c r="M188" s="6"/>
      <c r="N188" s="137"/>
      <c r="O188" s="137"/>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row>
    <row r="189" ht="14.25" customHeight="1">
      <c r="A189" s="6"/>
      <c r="B189" s="6"/>
      <c r="C189" s="6"/>
      <c r="D189" s="6"/>
      <c r="E189" s="6"/>
      <c r="F189" s="6"/>
      <c r="G189" s="6"/>
      <c r="H189" s="6"/>
      <c r="I189" s="6"/>
      <c r="J189" s="6"/>
      <c r="K189" s="6"/>
      <c r="L189" s="6"/>
      <c r="M189" s="6"/>
      <c r="N189" s="137"/>
      <c r="O189" s="137"/>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row>
    <row r="190" ht="14.25" customHeight="1">
      <c r="A190" s="6"/>
      <c r="B190" s="6"/>
      <c r="C190" s="6"/>
      <c r="D190" s="6"/>
      <c r="E190" s="6"/>
      <c r="F190" s="6"/>
      <c r="G190" s="6"/>
      <c r="H190" s="6"/>
      <c r="I190" s="6"/>
      <c r="J190" s="6"/>
      <c r="K190" s="6"/>
      <c r="L190" s="6"/>
      <c r="M190" s="6"/>
      <c r="N190" s="137"/>
      <c r="O190" s="137"/>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row>
    <row r="191" ht="14.25" customHeight="1">
      <c r="A191" s="6"/>
      <c r="B191" s="6"/>
      <c r="C191" s="6"/>
      <c r="D191" s="6"/>
      <c r="E191" s="6"/>
      <c r="F191" s="6"/>
      <c r="G191" s="6"/>
      <c r="H191" s="6"/>
      <c r="I191" s="6"/>
      <c r="J191" s="6"/>
      <c r="K191" s="6"/>
      <c r="L191" s="6"/>
      <c r="M191" s="6"/>
      <c r="N191" s="137"/>
      <c r="O191" s="137"/>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row>
    <row r="192" ht="14.25" customHeight="1">
      <c r="A192" s="6"/>
      <c r="B192" s="6"/>
      <c r="C192" s="6"/>
      <c r="D192" s="6"/>
      <c r="E192" s="6"/>
      <c r="F192" s="6"/>
      <c r="G192" s="6"/>
      <c r="H192" s="6"/>
      <c r="I192" s="6"/>
      <c r="J192" s="6"/>
      <c r="K192" s="6"/>
      <c r="L192" s="6"/>
      <c r="M192" s="6"/>
      <c r="N192" s="137"/>
      <c r="O192" s="137"/>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row>
    <row r="193" ht="14.25" customHeight="1">
      <c r="A193" s="6"/>
      <c r="B193" s="6"/>
      <c r="C193" s="6"/>
      <c r="D193" s="6"/>
      <c r="E193" s="6"/>
      <c r="F193" s="6"/>
      <c r="G193" s="6"/>
      <c r="H193" s="6"/>
      <c r="I193" s="6"/>
      <c r="J193" s="6"/>
      <c r="K193" s="6"/>
      <c r="L193" s="6"/>
      <c r="M193" s="6"/>
      <c r="N193" s="137"/>
      <c r="O193" s="137"/>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row>
    <row r="194" ht="14.25" customHeight="1">
      <c r="A194" s="6"/>
      <c r="B194" s="6"/>
      <c r="C194" s="6"/>
      <c r="D194" s="6"/>
      <c r="E194" s="6"/>
      <c r="F194" s="6"/>
      <c r="G194" s="6"/>
      <c r="H194" s="6"/>
      <c r="I194" s="6"/>
      <c r="J194" s="6"/>
      <c r="K194" s="6"/>
      <c r="L194" s="6"/>
      <c r="M194" s="6"/>
      <c r="N194" s="137"/>
      <c r="O194" s="137"/>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row>
    <row r="195" ht="14.25" customHeight="1">
      <c r="A195" s="6"/>
      <c r="B195" s="6"/>
      <c r="C195" s="6"/>
      <c r="D195" s="6"/>
      <c r="E195" s="6"/>
      <c r="F195" s="6"/>
      <c r="G195" s="6"/>
      <c r="H195" s="6"/>
      <c r="I195" s="6"/>
      <c r="J195" s="6"/>
      <c r="K195" s="6"/>
      <c r="L195" s="6"/>
      <c r="M195" s="6"/>
      <c r="N195" s="137"/>
      <c r="O195" s="137"/>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row>
    <row r="196" ht="14.25" customHeight="1">
      <c r="A196" s="6"/>
      <c r="B196" s="6"/>
      <c r="C196" s="6"/>
      <c r="D196" s="6"/>
      <c r="E196" s="6"/>
      <c r="F196" s="6"/>
      <c r="G196" s="6"/>
      <c r="H196" s="6"/>
      <c r="I196" s="6"/>
      <c r="J196" s="6"/>
      <c r="K196" s="6"/>
      <c r="L196" s="6"/>
      <c r="M196" s="6"/>
      <c r="N196" s="137"/>
      <c r="O196" s="137"/>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row>
    <row r="197" ht="14.25" customHeight="1">
      <c r="A197" s="6"/>
      <c r="B197" s="6"/>
      <c r="C197" s="6"/>
      <c r="D197" s="6"/>
      <c r="E197" s="6"/>
      <c r="F197" s="6"/>
      <c r="G197" s="6"/>
      <c r="H197" s="6"/>
      <c r="I197" s="6"/>
      <c r="J197" s="6"/>
      <c r="K197" s="6"/>
      <c r="L197" s="6"/>
      <c r="M197" s="6"/>
      <c r="N197" s="137"/>
      <c r="O197" s="137"/>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row>
    <row r="198" ht="14.25" customHeight="1">
      <c r="A198" s="6"/>
      <c r="B198" s="6"/>
      <c r="C198" s="6"/>
      <c r="D198" s="6"/>
      <c r="E198" s="6"/>
      <c r="F198" s="6"/>
      <c r="G198" s="6"/>
      <c r="H198" s="6"/>
      <c r="I198" s="6"/>
      <c r="J198" s="6"/>
      <c r="K198" s="6"/>
      <c r="L198" s="6"/>
      <c r="M198" s="6"/>
      <c r="N198" s="137"/>
      <c r="O198" s="137"/>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row>
    <row r="199" ht="14.25" customHeight="1">
      <c r="A199" s="6"/>
      <c r="B199" s="6"/>
      <c r="C199" s="6"/>
      <c r="D199" s="6"/>
      <c r="E199" s="6"/>
      <c r="F199" s="6"/>
      <c r="G199" s="6"/>
      <c r="H199" s="6"/>
      <c r="I199" s="6"/>
      <c r="J199" s="6"/>
      <c r="K199" s="6"/>
      <c r="L199" s="6"/>
      <c r="M199" s="6"/>
      <c r="N199" s="137"/>
      <c r="O199" s="137"/>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row>
    <row r="200" ht="14.25" customHeight="1">
      <c r="A200" s="6"/>
      <c r="B200" s="6"/>
      <c r="C200" s="6"/>
      <c r="D200" s="6"/>
      <c r="E200" s="6"/>
      <c r="F200" s="6"/>
      <c r="G200" s="6"/>
      <c r="H200" s="6"/>
      <c r="I200" s="6"/>
      <c r="J200" s="6"/>
      <c r="K200" s="6"/>
      <c r="L200" s="6"/>
      <c r="M200" s="6"/>
      <c r="N200" s="137"/>
      <c r="O200" s="137"/>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row>
    <row r="201" ht="14.25" customHeight="1">
      <c r="A201" s="6"/>
      <c r="B201" s="6"/>
      <c r="C201" s="6"/>
      <c r="D201" s="6"/>
      <c r="E201" s="6"/>
      <c r="F201" s="6"/>
      <c r="G201" s="6"/>
      <c r="H201" s="6"/>
      <c r="I201" s="6"/>
      <c r="J201" s="6"/>
      <c r="K201" s="6"/>
      <c r="L201" s="6"/>
      <c r="M201" s="6"/>
      <c r="N201" s="137"/>
      <c r="O201" s="137"/>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row>
    <row r="202" ht="14.25" customHeight="1">
      <c r="A202" s="6"/>
      <c r="B202" s="6"/>
      <c r="C202" s="6"/>
      <c r="D202" s="6"/>
      <c r="E202" s="6"/>
      <c r="F202" s="6"/>
      <c r="G202" s="6"/>
      <c r="H202" s="6"/>
      <c r="I202" s="6"/>
      <c r="J202" s="6"/>
      <c r="K202" s="6"/>
      <c r="L202" s="6"/>
      <c r="M202" s="6"/>
      <c r="N202" s="137"/>
      <c r="O202" s="137"/>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row>
    <row r="203" ht="14.25" customHeight="1">
      <c r="A203" s="6"/>
      <c r="B203" s="6"/>
      <c r="C203" s="6"/>
      <c r="D203" s="6"/>
      <c r="E203" s="6"/>
      <c r="F203" s="6"/>
      <c r="G203" s="6"/>
      <c r="H203" s="6"/>
      <c r="I203" s="6"/>
      <c r="J203" s="6"/>
      <c r="K203" s="6"/>
      <c r="L203" s="6"/>
      <c r="M203" s="6"/>
      <c r="N203" s="137"/>
      <c r="O203" s="137"/>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row>
    <row r="204" ht="14.25" customHeight="1">
      <c r="A204" s="6"/>
      <c r="B204" s="6"/>
      <c r="C204" s="6"/>
      <c r="D204" s="6"/>
      <c r="E204" s="6"/>
      <c r="F204" s="6"/>
      <c r="G204" s="6"/>
      <c r="H204" s="6"/>
      <c r="I204" s="6"/>
      <c r="J204" s="6"/>
      <c r="K204" s="6"/>
      <c r="L204" s="6"/>
      <c r="M204" s="6"/>
      <c r="N204" s="137"/>
      <c r="O204" s="137"/>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row>
    <row r="205" ht="14.25" customHeight="1">
      <c r="A205" s="6"/>
      <c r="B205" s="6"/>
      <c r="C205" s="6"/>
      <c r="D205" s="6"/>
      <c r="E205" s="6"/>
      <c r="F205" s="6"/>
      <c r="G205" s="6"/>
      <c r="H205" s="6"/>
      <c r="I205" s="6"/>
      <c r="J205" s="6"/>
      <c r="K205" s="6"/>
      <c r="L205" s="6"/>
      <c r="M205" s="6"/>
      <c r="N205" s="137"/>
      <c r="O205" s="137"/>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row>
    <row r="206" ht="14.25" customHeight="1">
      <c r="A206" s="6"/>
      <c r="B206" s="6"/>
      <c r="C206" s="6"/>
      <c r="D206" s="6"/>
      <c r="E206" s="6"/>
      <c r="F206" s="6"/>
      <c r="G206" s="6"/>
      <c r="H206" s="6"/>
      <c r="I206" s="6"/>
      <c r="J206" s="6"/>
      <c r="K206" s="6"/>
      <c r="L206" s="6"/>
      <c r="M206" s="6"/>
      <c r="N206" s="137"/>
      <c r="O206" s="137"/>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row>
    <row r="207" ht="14.25" customHeight="1">
      <c r="A207" s="6"/>
      <c r="B207" s="6"/>
      <c r="C207" s="6"/>
      <c r="D207" s="6"/>
      <c r="E207" s="6"/>
      <c r="F207" s="6"/>
      <c r="G207" s="6"/>
      <c r="H207" s="6"/>
      <c r="I207" s="6"/>
      <c r="J207" s="6"/>
      <c r="K207" s="6"/>
      <c r="L207" s="6"/>
      <c r="M207" s="6"/>
      <c r="N207" s="137"/>
      <c r="O207" s="137"/>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row>
    <row r="208" ht="14.25" customHeight="1">
      <c r="A208" s="6"/>
      <c r="B208" s="6"/>
      <c r="C208" s="6"/>
      <c r="D208" s="6"/>
      <c r="E208" s="6"/>
      <c r="F208" s="6"/>
      <c r="G208" s="6"/>
      <c r="H208" s="6"/>
      <c r="I208" s="6"/>
      <c r="J208" s="6"/>
      <c r="K208" s="6"/>
      <c r="L208" s="6"/>
      <c r="M208" s="6"/>
      <c r="N208" s="137"/>
      <c r="O208" s="137"/>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row>
    <row r="209" ht="14.25" customHeight="1">
      <c r="A209" s="6"/>
      <c r="B209" s="6"/>
      <c r="C209" s="6"/>
      <c r="D209" s="6"/>
      <c r="E209" s="6"/>
      <c r="F209" s="6"/>
      <c r="G209" s="6"/>
      <c r="H209" s="6"/>
      <c r="I209" s="6"/>
      <c r="J209" s="6"/>
      <c r="K209" s="6"/>
      <c r="L209" s="6"/>
      <c r="M209" s="6"/>
      <c r="N209" s="137"/>
      <c r="O209" s="137"/>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row>
    <row r="210" ht="14.25" customHeight="1">
      <c r="A210" s="6"/>
      <c r="B210" s="6"/>
      <c r="C210" s="6"/>
      <c r="D210" s="6"/>
      <c r="E210" s="6"/>
      <c r="F210" s="6"/>
      <c r="G210" s="6"/>
      <c r="H210" s="6"/>
      <c r="I210" s="6"/>
      <c r="J210" s="6"/>
      <c r="K210" s="6"/>
      <c r="L210" s="6"/>
      <c r="M210" s="6"/>
      <c r="N210" s="137"/>
      <c r="O210" s="137"/>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row>
    <row r="211" ht="14.25" customHeight="1">
      <c r="A211" s="6"/>
      <c r="B211" s="6"/>
      <c r="C211" s="6"/>
      <c r="D211" s="6"/>
      <c r="E211" s="6"/>
      <c r="F211" s="6"/>
      <c r="G211" s="6"/>
      <c r="H211" s="6"/>
      <c r="I211" s="6"/>
      <c r="J211" s="6"/>
      <c r="K211" s="6"/>
      <c r="L211" s="6"/>
      <c r="M211" s="6"/>
      <c r="N211" s="137"/>
      <c r="O211" s="137"/>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row>
    <row r="212" ht="14.25" customHeight="1">
      <c r="A212" s="6"/>
      <c r="B212" s="6"/>
      <c r="C212" s="6"/>
      <c r="D212" s="6"/>
      <c r="E212" s="6"/>
      <c r="F212" s="6"/>
      <c r="G212" s="6"/>
      <c r="H212" s="6"/>
      <c r="I212" s="6"/>
      <c r="J212" s="6"/>
      <c r="K212" s="6"/>
      <c r="L212" s="6"/>
      <c r="M212" s="6"/>
      <c r="N212" s="137"/>
      <c r="O212" s="137"/>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row>
    <row r="213" ht="14.25" customHeight="1">
      <c r="A213" s="6"/>
      <c r="B213" s="6"/>
      <c r="C213" s="6"/>
      <c r="D213" s="6"/>
      <c r="E213" s="6"/>
      <c r="F213" s="6"/>
      <c r="G213" s="6"/>
      <c r="H213" s="6"/>
      <c r="I213" s="6"/>
      <c r="J213" s="6"/>
      <c r="K213" s="6"/>
      <c r="L213" s="6"/>
      <c r="M213" s="6"/>
      <c r="N213" s="137"/>
      <c r="O213" s="137"/>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row>
    <row r="214" ht="14.25" customHeight="1">
      <c r="A214" s="6"/>
      <c r="B214" s="6"/>
      <c r="C214" s="6"/>
      <c r="D214" s="6"/>
      <c r="E214" s="6"/>
      <c r="F214" s="6"/>
      <c r="G214" s="6"/>
      <c r="H214" s="6"/>
      <c r="I214" s="6"/>
      <c r="J214" s="6"/>
      <c r="K214" s="6"/>
      <c r="L214" s="6"/>
      <c r="M214" s="6"/>
      <c r="N214" s="137"/>
      <c r="O214" s="137"/>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row>
    <row r="215" ht="14.25" customHeight="1">
      <c r="A215" s="6"/>
      <c r="B215" s="6"/>
      <c r="C215" s="6"/>
      <c r="D215" s="6"/>
      <c r="E215" s="6"/>
      <c r="F215" s="6"/>
      <c r="G215" s="6"/>
      <c r="H215" s="6"/>
      <c r="I215" s="6"/>
      <c r="J215" s="6"/>
      <c r="K215" s="6"/>
      <c r="L215" s="6"/>
      <c r="M215" s="6"/>
      <c r="N215" s="137"/>
      <c r="O215" s="137"/>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row>
    <row r="216" ht="14.25" customHeight="1">
      <c r="A216" s="6"/>
      <c r="B216" s="6"/>
      <c r="C216" s="6"/>
      <c r="D216" s="6"/>
      <c r="E216" s="6"/>
      <c r="F216" s="6"/>
      <c r="G216" s="6"/>
      <c r="H216" s="6"/>
      <c r="I216" s="6"/>
      <c r="J216" s="6"/>
      <c r="K216" s="6"/>
      <c r="L216" s="6"/>
      <c r="M216" s="6"/>
      <c r="N216" s="137"/>
      <c r="O216" s="137"/>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row>
    <row r="217" ht="14.25" customHeight="1">
      <c r="A217" s="6"/>
      <c r="B217" s="6"/>
      <c r="C217" s="6"/>
      <c r="D217" s="6"/>
      <c r="E217" s="6"/>
      <c r="F217" s="6"/>
      <c r="G217" s="6"/>
      <c r="H217" s="6"/>
      <c r="I217" s="6"/>
      <c r="J217" s="6"/>
      <c r="K217" s="6"/>
      <c r="L217" s="6"/>
      <c r="M217" s="6"/>
      <c r="N217" s="137"/>
      <c r="O217" s="137"/>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row>
    <row r="218" ht="14.25" customHeight="1">
      <c r="A218" s="6"/>
      <c r="B218" s="6"/>
      <c r="C218" s="6"/>
      <c r="D218" s="6"/>
      <c r="E218" s="6"/>
      <c r="F218" s="6"/>
      <c r="G218" s="6"/>
      <c r="H218" s="6"/>
      <c r="I218" s="6"/>
      <c r="J218" s="6"/>
      <c r="K218" s="6"/>
      <c r="L218" s="6"/>
      <c r="M218" s="6"/>
      <c r="N218" s="137"/>
      <c r="O218" s="137"/>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row>
    <row r="219" ht="14.25" customHeight="1">
      <c r="A219" s="6"/>
      <c r="B219" s="6"/>
      <c r="C219" s="6"/>
      <c r="D219" s="6"/>
      <c r="E219" s="6"/>
      <c r="F219" s="6"/>
      <c r="G219" s="6"/>
      <c r="H219" s="6"/>
      <c r="I219" s="6"/>
      <c r="J219" s="6"/>
      <c r="K219" s="6"/>
      <c r="L219" s="6"/>
      <c r="M219" s="6"/>
      <c r="N219" s="137"/>
      <c r="O219" s="137"/>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row>
    <row r="220" ht="14.25" customHeight="1">
      <c r="A220" s="6"/>
      <c r="B220" s="6"/>
      <c r="C220" s="6"/>
      <c r="D220" s="6"/>
      <c r="E220" s="6"/>
      <c r="F220" s="6"/>
      <c r="G220" s="6"/>
      <c r="H220" s="6"/>
      <c r="I220" s="6"/>
      <c r="J220" s="6"/>
      <c r="K220" s="6"/>
      <c r="L220" s="6"/>
      <c r="M220" s="6"/>
      <c r="N220" s="137"/>
      <c r="O220" s="137"/>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row>
    <row r="221" ht="14.25" customHeight="1">
      <c r="A221" s="6"/>
      <c r="B221" s="6"/>
      <c r="C221" s="6"/>
      <c r="D221" s="6"/>
      <c r="E221" s="6"/>
      <c r="F221" s="6"/>
      <c r="G221" s="6"/>
      <c r="H221" s="6"/>
      <c r="I221" s="6"/>
      <c r="J221" s="6"/>
      <c r="K221" s="6"/>
      <c r="L221" s="6"/>
      <c r="M221" s="6"/>
      <c r="N221" s="137"/>
      <c r="O221" s="137"/>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row>
    <row r="222" ht="14.25" customHeight="1">
      <c r="A222" s="6"/>
      <c r="B222" s="6"/>
      <c r="C222" s="6"/>
      <c r="D222" s="6"/>
      <c r="E222" s="6"/>
      <c r="F222" s="6"/>
      <c r="G222" s="6"/>
      <c r="H222" s="6"/>
      <c r="I222" s="6"/>
      <c r="J222" s="6"/>
      <c r="K222" s="6"/>
      <c r="L222" s="6"/>
      <c r="M222" s="6"/>
      <c r="N222" s="137"/>
      <c r="O222" s="137"/>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row>
    <row r="223" ht="14.25" customHeight="1">
      <c r="A223" s="6"/>
      <c r="B223" s="6"/>
      <c r="C223" s="6"/>
      <c r="D223" s="6"/>
      <c r="E223" s="6"/>
      <c r="F223" s="6"/>
      <c r="G223" s="6"/>
      <c r="H223" s="6"/>
      <c r="I223" s="6"/>
      <c r="J223" s="6"/>
      <c r="K223" s="6"/>
      <c r="L223" s="6"/>
      <c r="M223" s="6"/>
      <c r="N223" s="137"/>
      <c r="O223" s="137"/>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row>
    <row r="224" ht="14.25" customHeight="1">
      <c r="A224" s="6"/>
      <c r="B224" s="6"/>
      <c r="C224" s="6"/>
      <c r="D224" s="6"/>
      <c r="E224" s="6"/>
      <c r="F224" s="6"/>
      <c r="G224" s="6"/>
      <c r="H224" s="6"/>
      <c r="I224" s="6"/>
      <c r="J224" s="6"/>
      <c r="K224" s="6"/>
      <c r="L224" s="6"/>
      <c r="M224" s="6"/>
      <c r="N224" s="137"/>
      <c r="O224" s="137"/>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row>
    <row r="225" ht="14.25" customHeight="1">
      <c r="A225" s="6"/>
      <c r="B225" s="6"/>
      <c r="C225" s="6"/>
      <c r="D225" s="6"/>
      <c r="E225" s="6"/>
      <c r="F225" s="6"/>
      <c r="G225" s="6"/>
      <c r="H225" s="6"/>
      <c r="I225" s="6"/>
      <c r="J225" s="6"/>
      <c r="K225" s="6"/>
      <c r="L225" s="6"/>
      <c r="M225" s="6"/>
      <c r="N225" s="137"/>
      <c r="O225" s="137"/>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row>
    <row r="226" ht="14.25" customHeight="1">
      <c r="A226" s="6"/>
      <c r="B226" s="6"/>
      <c r="C226" s="6"/>
      <c r="D226" s="6"/>
      <c r="E226" s="6"/>
      <c r="F226" s="6"/>
      <c r="G226" s="6"/>
      <c r="H226" s="6"/>
      <c r="I226" s="6"/>
      <c r="J226" s="6"/>
      <c r="K226" s="6"/>
      <c r="L226" s="6"/>
      <c r="M226" s="6"/>
      <c r="N226" s="137"/>
      <c r="O226" s="137"/>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row>
    <row r="227" ht="14.25" customHeight="1">
      <c r="A227" s="6"/>
      <c r="B227" s="6"/>
      <c r="C227" s="6"/>
      <c r="D227" s="6"/>
      <c r="E227" s="6"/>
      <c r="F227" s="6"/>
      <c r="G227" s="6"/>
      <c r="H227" s="6"/>
      <c r="I227" s="6"/>
      <c r="J227" s="6"/>
      <c r="K227" s="6"/>
      <c r="L227" s="6"/>
      <c r="M227" s="6"/>
      <c r="N227" s="137"/>
      <c r="O227" s="137"/>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row>
    <row r="228" ht="14.25" customHeight="1">
      <c r="A228" s="6"/>
      <c r="B228" s="6"/>
      <c r="C228" s="6"/>
      <c r="D228" s="6"/>
      <c r="E228" s="6"/>
      <c r="F228" s="6"/>
      <c r="G228" s="6"/>
      <c r="H228" s="6"/>
      <c r="I228" s="6"/>
      <c r="J228" s="6"/>
      <c r="K228" s="6"/>
      <c r="L228" s="6"/>
      <c r="M228" s="6"/>
      <c r="N228" s="137"/>
      <c r="O228" s="137"/>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row>
    <row r="229" ht="14.25" customHeight="1">
      <c r="A229" s="6"/>
      <c r="B229" s="6"/>
      <c r="C229" s="6"/>
      <c r="D229" s="6"/>
      <c r="E229" s="6"/>
      <c r="F229" s="6"/>
      <c r="G229" s="6"/>
      <c r="H229" s="6"/>
      <c r="I229" s="6"/>
      <c r="J229" s="6"/>
      <c r="K229" s="6"/>
      <c r="L229" s="6"/>
      <c r="M229" s="6"/>
      <c r="N229" s="137"/>
      <c r="O229" s="137"/>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row>
    <row r="230" ht="14.25" customHeight="1">
      <c r="A230" s="6"/>
      <c r="B230" s="6"/>
      <c r="C230" s="6"/>
      <c r="D230" s="6"/>
      <c r="E230" s="6"/>
      <c r="F230" s="6"/>
      <c r="G230" s="6"/>
      <c r="H230" s="6"/>
      <c r="I230" s="6"/>
      <c r="J230" s="6"/>
      <c r="K230" s="6"/>
      <c r="L230" s="6"/>
      <c r="M230" s="6"/>
      <c r="N230" s="137"/>
      <c r="O230" s="137"/>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row>
    <row r="231" ht="14.25" customHeight="1">
      <c r="A231" s="6"/>
      <c r="B231" s="6"/>
      <c r="C231" s="6"/>
      <c r="D231" s="6"/>
      <c r="E231" s="6"/>
      <c r="F231" s="6"/>
      <c r="G231" s="6"/>
      <c r="H231" s="6"/>
      <c r="I231" s="6"/>
      <c r="J231" s="6"/>
      <c r="K231" s="6"/>
      <c r="L231" s="6"/>
      <c r="M231" s="6"/>
      <c r="N231" s="137"/>
      <c r="O231" s="137"/>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row>
    <row r="232" ht="14.25" customHeight="1">
      <c r="A232" s="6"/>
      <c r="B232" s="6"/>
      <c r="C232" s="6"/>
      <c r="D232" s="6"/>
      <c r="E232" s="6"/>
      <c r="F232" s="6"/>
      <c r="G232" s="6"/>
      <c r="H232" s="6"/>
      <c r="I232" s="6"/>
      <c r="J232" s="6"/>
      <c r="K232" s="6"/>
      <c r="L232" s="6"/>
      <c r="M232" s="6"/>
      <c r="N232" s="137"/>
      <c r="O232" s="137"/>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row>
    <row r="233" ht="14.25" customHeight="1">
      <c r="A233" s="6"/>
      <c r="B233" s="6"/>
      <c r="C233" s="6"/>
      <c r="D233" s="6"/>
      <c r="E233" s="6"/>
      <c r="F233" s="6"/>
      <c r="G233" s="6"/>
      <c r="H233" s="6"/>
      <c r="I233" s="6"/>
      <c r="J233" s="6"/>
      <c r="K233" s="6"/>
      <c r="L233" s="6"/>
      <c r="M233" s="6"/>
      <c r="N233" s="137"/>
      <c r="O233" s="137"/>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row>
    <row r="234" ht="14.25" customHeight="1">
      <c r="A234" s="6"/>
      <c r="B234" s="6"/>
      <c r="C234" s="6"/>
      <c r="D234" s="6"/>
      <c r="E234" s="6"/>
      <c r="F234" s="6"/>
      <c r="G234" s="6"/>
      <c r="H234" s="6"/>
      <c r="I234" s="6"/>
      <c r="J234" s="6"/>
      <c r="K234" s="6"/>
      <c r="L234" s="6"/>
      <c r="M234" s="6"/>
      <c r="N234" s="137"/>
      <c r="O234" s="137"/>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row>
    <row r="235" ht="14.25" customHeight="1">
      <c r="A235" s="6"/>
      <c r="B235" s="6"/>
      <c r="C235" s="6"/>
      <c r="D235" s="6"/>
      <c r="E235" s="6"/>
      <c r="F235" s="6"/>
      <c r="G235" s="6"/>
      <c r="H235" s="6"/>
      <c r="I235" s="6"/>
      <c r="J235" s="6"/>
      <c r="K235" s="6"/>
      <c r="L235" s="6"/>
      <c r="M235" s="6"/>
      <c r="N235" s="137"/>
      <c r="O235" s="137"/>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row>
    <row r="236" ht="14.25" customHeight="1">
      <c r="A236" s="6"/>
      <c r="B236" s="6"/>
      <c r="C236" s="6"/>
      <c r="D236" s="6"/>
      <c r="E236" s="6"/>
      <c r="F236" s="6"/>
      <c r="G236" s="6"/>
      <c r="H236" s="6"/>
      <c r="I236" s="6"/>
      <c r="J236" s="6"/>
      <c r="K236" s="6"/>
      <c r="L236" s="6"/>
      <c r="M236" s="6"/>
      <c r="N236" s="137"/>
      <c r="O236" s="137"/>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row>
    <row r="237" ht="14.25" customHeight="1">
      <c r="A237" s="6"/>
      <c r="B237" s="6"/>
      <c r="C237" s="6"/>
      <c r="D237" s="6"/>
      <c r="E237" s="6"/>
      <c r="F237" s="6"/>
      <c r="G237" s="6"/>
      <c r="H237" s="6"/>
      <c r="I237" s="6"/>
      <c r="J237" s="6"/>
      <c r="K237" s="6"/>
      <c r="L237" s="6"/>
      <c r="M237" s="6"/>
      <c r="N237" s="137"/>
      <c r="O237" s="137"/>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row>
    <row r="238" ht="14.25" customHeight="1">
      <c r="A238" s="6"/>
      <c r="B238" s="6"/>
      <c r="C238" s="6"/>
      <c r="D238" s="6"/>
      <c r="E238" s="6"/>
      <c r="F238" s="6"/>
      <c r="G238" s="6"/>
      <c r="H238" s="6"/>
      <c r="I238" s="6"/>
      <c r="J238" s="6"/>
      <c r="K238" s="6"/>
      <c r="L238" s="6"/>
      <c r="M238" s="6"/>
      <c r="N238" s="137"/>
      <c r="O238" s="137"/>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row>
    <row r="239" ht="14.25" customHeight="1">
      <c r="A239" s="6"/>
      <c r="B239" s="6"/>
      <c r="C239" s="6"/>
      <c r="D239" s="6"/>
      <c r="E239" s="6"/>
      <c r="F239" s="6"/>
      <c r="G239" s="6"/>
      <c r="H239" s="6"/>
      <c r="I239" s="6"/>
      <c r="J239" s="6"/>
      <c r="K239" s="6"/>
      <c r="L239" s="6"/>
      <c r="M239" s="6"/>
      <c r="N239" s="137"/>
      <c r="O239" s="137"/>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row>
    <row r="240" ht="14.25" customHeight="1">
      <c r="A240" s="6"/>
      <c r="B240" s="6"/>
      <c r="C240" s="6"/>
      <c r="D240" s="6"/>
      <c r="E240" s="6"/>
      <c r="F240" s="6"/>
      <c r="G240" s="6"/>
      <c r="H240" s="6"/>
      <c r="I240" s="6"/>
      <c r="J240" s="6"/>
      <c r="K240" s="6"/>
      <c r="L240" s="6"/>
      <c r="M240" s="6"/>
      <c r="N240" s="137"/>
      <c r="O240" s="137"/>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row>
    <row r="241" ht="14.25" customHeight="1">
      <c r="A241" s="6"/>
      <c r="B241" s="6"/>
      <c r="C241" s="6"/>
      <c r="D241" s="6"/>
      <c r="E241" s="6"/>
      <c r="F241" s="6"/>
      <c r="G241" s="6"/>
      <c r="H241" s="6"/>
      <c r="I241" s="6"/>
      <c r="J241" s="6"/>
      <c r="K241" s="6"/>
      <c r="L241" s="6"/>
      <c r="M241" s="6"/>
      <c r="N241" s="137"/>
      <c r="O241" s="137"/>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row>
    <row r="242" ht="14.25" customHeight="1">
      <c r="A242" s="6"/>
      <c r="B242" s="6"/>
      <c r="C242" s="6"/>
      <c r="D242" s="6"/>
      <c r="E242" s="6"/>
      <c r="F242" s="6"/>
      <c r="G242" s="6"/>
      <c r="H242" s="6"/>
      <c r="I242" s="6"/>
      <c r="J242" s="6"/>
      <c r="K242" s="6"/>
      <c r="L242" s="6"/>
      <c r="M242" s="6"/>
      <c r="N242" s="137"/>
      <c r="O242" s="137"/>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row>
    <row r="243" ht="14.25" customHeight="1">
      <c r="A243" s="6"/>
      <c r="B243" s="6"/>
      <c r="C243" s="6"/>
      <c r="D243" s="6"/>
      <c r="E243" s="6"/>
      <c r="F243" s="6"/>
      <c r="G243" s="6"/>
      <c r="H243" s="6"/>
      <c r="I243" s="6"/>
      <c r="J243" s="6"/>
      <c r="K243" s="6"/>
      <c r="L243" s="6"/>
      <c r="M243" s="6"/>
      <c r="N243" s="137"/>
      <c r="O243" s="137"/>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row>
    <row r="244" ht="14.25" customHeight="1">
      <c r="A244" s="6"/>
      <c r="B244" s="6"/>
      <c r="C244" s="6"/>
      <c r="D244" s="6"/>
      <c r="E244" s="6"/>
      <c r="F244" s="6"/>
      <c r="G244" s="6"/>
      <c r="H244" s="6"/>
      <c r="I244" s="6"/>
      <c r="J244" s="6"/>
      <c r="K244" s="6"/>
      <c r="L244" s="6"/>
      <c r="M244" s="6"/>
      <c r="N244" s="137"/>
      <c r="O244" s="137"/>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row>
    <row r="245" ht="14.25" customHeight="1">
      <c r="A245" s="6"/>
      <c r="B245" s="6"/>
      <c r="C245" s="6"/>
      <c r="D245" s="6"/>
      <c r="E245" s="6"/>
      <c r="F245" s="6"/>
      <c r="G245" s="6"/>
      <c r="H245" s="6"/>
      <c r="I245" s="6"/>
      <c r="J245" s="6"/>
      <c r="K245" s="6"/>
      <c r="L245" s="6"/>
      <c r="M245" s="6"/>
      <c r="N245" s="137"/>
      <c r="O245" s="137"/>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row>
    <row r="246" ht="14.25" customHeight="1">
      <c r="A246" s="6"/>
      <c r="B246" s="6"/>
      <c r="C246" s="6"/>
      <c r="D246" s="6"/>
      <c r="E246" s="6"/>
      <c r="F246" s="6"/>
      <c r="G246" s="6"/>
      <c r="H246" s="6"/>
      <c r="I246" s="6"/>
      <c r="J246" s="6"/>
      <c r="K246" s="6"/>
      <c r="L246" s="6"/>
      <c r="M246" s="6"/>
      <c r="N246" s="137"/>
      <c r="O246" s="137"/>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row>
    <row r="247" ht="14.25" customHeight="1">
      <c r="A247" s="6"/>
      <c r="B247" s="6"/>
      <c r="C247" s="6"/>
      <c r="D247" s="6"/>
      <c r="E247" s="6"/>
      <c r="F247" s="6"/>
      <c r="G247" s="6"/>
      <c r="H247" s="6"/>
      <c r="I247" s="6"/>
      <c r="J247" s="6"/>
      <c r="K247" s="6"/>
      <c r="L247" s="6"/>
      <c r="M247" s="6"/>
      <c r="N247" s="137"/>
      <c r="O247" s="137"/>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row>
    <row r="248" ht="14.25" customHeight="1">
      <c r="A248" s="6"/>
      <c r="B248" s="6"/>
      <c r="C248" s="6"/>
      <c r="D248" s="6"/>
      <c r="E248" s="6"/>
      <c r="F248" s="6"/>
      <c r="G248" s="6"/>
      <c r="H248" s="6"/>
      <c r="I248" s="6"/>
      <c r="J248" s="6"/>
      <c r="K248" s="6"/>
      <c r="L248" s="6"/>
      <c r="M248" s="6"/>
      <c r="N248" s="137"/>
      <c r="O248" s="137"/>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row>
    <row r="249" ht="14.25" customHeight="1">
      <c r="A249" s="6"/>
      <c r="B249" s="6"/>
      <c r="C249" s="6"/>
      <c r="D249" s="6"/>
      <c r="E249" s="6"/>
      <c r="F249" s="6"/>
      <c r="G249" s="6"/>
      <c r="H249" s="6"/>
      <c r="I249" s="6"/>
      <c r="J249" s="6"/>
      <c r="K249" s="6"/>
      <c r="L249" s="6"/>
      <c r="M249" s="6"/>
      <c r="N249" s="137"/>
      <c r="O249" s="137"/>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row>
    <row r="250" ht="14.25" customHeight="1">
      <c r="A250" s="6"/>
      <c r="B250" s="6"/>
      <c r="C250" s="6"/>
      <c r="D250" s="6"/>
      <c r="E250" s="6"/>
      <c r="F250" s="6"/>
      <c r="G250" s="6"/>
      <c r="H250" s="6"/>
      <c r="I250" s="6"/>
      <c r="J250" s="6"/>
      <c r="K250" s="6"/>
      <c r="L250" s="6"/>
      <c r="M250" s="6"/>
      <c r="N250" s="137"/>
      <c r="O250" s="137"/>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row>
    <row r="251" ht="14.25" customHeight="1">
      <c r="A251" s="6"/>
      <c r="B251" s="6"/>
      <c r="C251" s="6"/>
      <c r="D251" s="6"/>
      <c r="E251" s="6"/>
      <c r="F251" s="6"/>
      <c r="G251" s="6"/>
      <c r="H251" s="6"/>
      <c r="I251" s="6"/>
      <c r="J251" s="6"/>
      <c r="K251" s="6"/>
      <c r="L251" s="6"/>
      <c r="M251" s="6"/>
      <c r="N251" s="137"/>
      <c r="O251" s="137"/>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row>
    <row r="252" ht="14.25" customHeight="1">
      <c r="A252" s="6"/>
      <c r="B252" s="6"/>
      <c r="C252" s="6"/>
      <c r="D252" s="6"/>
      <c r="E252" s="6"/>
      <c r="F252" s="6"/>
      <c r="G252" s="6"/>
      <c r="H252" s="6"/>
      <c r="I252" s="6"/>
      <c r="J252" s="6"/>
      <c r="K252" s="6"/>
      <c r="L252" s="6"/>
      <c r="M252" s="6"/>
      <c r="N252" s="137"/>
      <c r="O252" s="137"/>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row>
    <row r="253" ht="14.25" customHeight="1">
      <c r="A253" s="6"/>
      <c r="B253" s="6"/>
      <c r="C253" s="6"/>
      <c r="D253" s="6"/>
      <c r="E253" s="6"/>
      <c r="F253" s="6"/>
      <c r="G253" s="6"/>
      <c r="H253" s="6"/>
      <c r="I253" s="6"/>
      <c r="J253" s="6"/>
      <c r="K253" s="6"/>
      <c r="L253" s="6"/>
      <c r="M253" s="6"/>
      <c r="N253" s="137"/>
      <c r="O253" s="137"/>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row>
    <row r="254" ht="14.25" customHeight="1">
      <c r="A254" s="6"/>
      <c r="B254" s="6"/>
      <c r="C254" s="6"/>
      <c r="D254" s="6"/>
      <c r="E254" s="6"/>
      <c r="F254" s="6"/>
      <c r="G254" s="6"/>
      <c r="H254" s="6"/>
      <c r="I254" s="6"/>
      <c r="J254" s="6"/>
      <c r="K254" s="6"/>
      <c r="L254" s="6"/>
      <c r="M254" s="6"/>
      <c r="N254" s="137"/>
      <c r="O254" s="137"/>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row>
    <row r="255" ht="14.25" customHeight="1">
      <c r="A255" s="6"/>
      <c r="B255" s="6"/>
      <c r="C255" s="6"/>
      <c r="D255" s="6"/>
      <c r="E255" s="6"/>
      <c r="F255" s="6"/>
      <c r="G255" s="6"/>
      <c r="H255" s="6"/>
      <c r="I255" s="6"/>
      <c r="J255" s="6"/>
      <c r="K255" s="6"/>
      <c r="L255" s="6"/>
      <c r="M255" s="6"/>
      <c r="N255" s="137"/>
      <c r="O255" s="137"/>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row>
    <row r="256" ht="14.25" customHeight="1">
      <c r="A256" s="6"/>
      <c r="B256" s="6"/>
      <c r="C256" s="6"/>
      <c r="D256" s="6"/>
      <c r="E256" s="6"/>
      <c r="F256" s="6"/>
      <c r="G256" s="6"/>
      <c r="H256" s="6"/>
      <c r="I256" s="6"/>
      <c r="J256" s="6"/>
      <c r="K256" s="6"/>
      <c r="L256" s="6"/>
      <c r="M256" s="6"/>
      <c r="N256" s="137"/>
      <c r="O256" s="137"/>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row>
    <row r="257" ht="14.25" customHeight="1">
      <c r="A257" s="6"/>
      <c r="B257" s="6"/>
      <c r="C257" s="6"/>
      <c r="D257" s="6"/>
      <c r="E257" s="6"/>
      <c r="F257" s="6"/>
      <c r="G257" s="6"/>
      <c r="H257" s="6"/>
      <c r="I257" s="6"/>
      <c r="J257" s="6"/>
      <c r="K257" s="6"/>
      <c r="L257" s="6"/>
      <c r="M257" s="6"/>
      <c r="N257" s="137"/>
      <c r="O257" s="137"/>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row>
    <row r="258" ht="14.25" customHeight="1">
      <c r="A258" s="6"/>
      <c r="B258" s="6"/>
      <c r="C258" s="6"/>
      <c r="D258" s="6"/>
      <c r="E258" s="6"/>
      <c r="F258" s="6"/>
      <c r="G258" s="6"/>
      <c r="H258" s="6"/>
      <c r="I258" s="6"/>
      <c r="J258" s="6"/>
      <c r="K258" s="6"/>
      <c r="L258" s="6"/>
      <c r="M258" s="6"/>
      <c r="N258" s="137"/>
      <c r="O258" s="137"/>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row>
    <row r="259" ht="14.25" customHeight="1">
      <c r="A259" s="6"/>
      <c r="B259" s="6"/>
      <c r="C259" s="6"/>
      <c r="D259" s="6"/>
      <c r="E259" s="6"/>
      <c r="F259" s="6"/>
      <c r="G259" s="6"/>
      <c r="H259" s="6"/>
      <c r="I259" s="6"/>
      <c r="J259" s="6"/>
      <c r="K259" s="6"/>
      <c r="L259" s="6"/>
      <c r="M259" s="6"/>
      <c r="N259" s="137"/>
      <c r="O259" s="137"/>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row>
    <row r="260" ht="14.25" customHeight="1">
      <c r="A260" s="6"/>
      <c r="B260" s="6"/>
      <c r="C260" s="6"/>
      <c r="D260" s="6"/>
      <c r="E260" s="6"/>
      <c r="F260" s="6"/>
      <c r="G260" s="6"/>
      <c r="H260" s="6"/>
      <c r="I260" s="6"/>
      <c r="J260" s="6"/>
      <c r="K260" s="6"/>
      <c r="L260" s="6"/>
      <c r="M260" s="6"/>
      <c r="N260" s="137"/>
      <c r="O260" s="137"/>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row>
    <row r="261" ht="14.25" customHeight="1">
      <c r="A261" s="6"/>
      <c r="B261" s="6"/>
      <c r="C261" s="6"/>
      <c r="D261" s="6"/>
      <c r="E261" s="6"/>
      <c r="F261" s="6"/>
      <c r="G261" s="6"/>
      <c r="H261" s="6"/>
      <c r="I261" s="6"/>
      <c r="J261" s="6"/>
      <c r="K261" s="6"/>
      <c r="L261" s="6"/>
      <c r="M261" s="6"/>
      <c r="N261" s="137"/>
      <c r="O261" s="137"/>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row>
    <row r="262" ht="14.25" customHeight="1">
      <c r="A262" s="6"/>
      <c r="B262" s="6"/>
      <c r="C262" s="6"/>
      <c r="D262" s="6"/>
      <c r="E262" s="6"/>
      <c r="F262" s="6"/>
      <c r="G262" s="6"/>
      <c r="H262" s="6"/>
      <c r="I262" s="6"/>
      <c r="J262" s="6"/>
      <c r="K262" s="6"/>
      <c r="L262" s="6"/>
      <c r="M262" s="6"/>
      <c r="N262" s="137"/>
      <c r="O262" s="137"/>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row>
    <row r="263" ht="14.25" customHeight="1">
      <c r="A263" s="6"/>
      <c r="B263" s="6"/>
      <c r="C263" s="6"/>
      <c r="D263" s="6"/>
      <c r="E263" s="6"/>
      <c r="F263" s="6"/>
      <c r="G263" s="6"/>
      <c r="H263" s="6"/>
      <c r="I263" s="6"/>
      <c r="J263" s="6"/>
      <c r="K263" s="6"/>
      <c r="L263" s="6"/>
      <c r="M263" s="6"/>
      <c r="N263" s="137"/>
      <c r="O263" s="137"/>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row>
    <row r="264" ht="14.25" customHeight="1">
      <c r="A264" s="6"/>
      <c r="B264" s="6"/>
      <c r="C264" s="6"/>
      <c r="D264" s="6"/>
      <c r="E264" s="6"/>
      <c r="F264" s="6"/>
      <c r="G264" s="6"/>
      <c r="H264" s="6"/>
      <c r="I264" s="6"/>
      <c r="J264" s="6"/>
      <c r="K264" s="6"/>
      <c r="L264" s="6"/>
      <c r="M264" s="6"/>
      <c r="N264" s="137"/>
      <c r="O264" s="137"/>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row>
    <row r="265" ht="14.25" customHeight="1">
      <c r="A265" s="6"/>
      <c r="B265" s="6"/>
      <c r="C265" s="6"/>
      <c r="D265" s="6"/>
      <c r="E265" s="6"/>
      <c r="F265" s="6"/>
      <c r="G265" s="6"/>
      <c r="H265" s="6"/>
      <c r="I265" s="6"/>
      <c r="J265" s="6"/>
      <c r="K265" s="6"/>
      <c r="L265" s="6"/>
      <c r="M265" s="6"/>
      <c r="N265" s="137"/>
      <c r="O265" s="137"/>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row>
    <row r="266" ht="14.25" customHeight="1">
      <c r="A266" s="6"/>
      <c r="B266" s="6"/>
      <c r="C266" s="6"/>
      <c r="D266" s="6"/>
      <c r="E266" s="6"/>
      <c r="F266" s="6"/>
      <c r="G266" s="6"/>
      <c r="H266" s="6"/>
      <c r="I266" s="6"/>
      <c r="J266" s="6"/>
      <c r="K266" s="6"/>
      <c r="L266" s="6"/>
      <c r="M266" s="6"/>
      <c r="N266" s="137"/>
      <c r="O266" s="137"/>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row>
    <row r="267" ht="14.25" customHeight="1">
      <c r="A267" s="6"/>
      <c r="B267" s="6"/>
      <c r="C267" s="6"/>
      <c r="D267" s="6"/>
      <c r="E267" s="6"/>
      <c r="F267" s="6"/>
      <c r="G267" s="6"/>
      <c r="H267" s="6"/>
      <c r="I267" s="6"/>
      <c r="J267" s="6"/>
      <c r="K267" s="6"/>
      <c r="L267" s="6"/>
      <c r="M267" s="6"/>
      <c r="N267" s="137"/>
      <c r="O267" s="137"/>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row>
    <row r="268" ht="14.25" customHeight="1">
      <c r="A268" s="6"/>
      <c r="B268" s="6"/>
      <c r="C268" s="6"/>
      <c r="D268" s="6"/>
      <c r="E268" s="6"/>
      <c r="F268" s="6"/>
      <c r="G268" s="6"/>
      <c r="H268" s="6"/>
      <c r="I268" s="6"/>
      <c r="J268" s="6"/>
      <c r="K268" s="6"/>
      <c r="L268" s="6"/>
      <c r="M268" s="6"/>
      <c r="N268" s="137"/>
      <c r="O268" s="137"/>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row>
    <row r="269" ht="14.25" customHeight="1">
      <c r="A269" s="6"/>
      <c r="B269" s="6"/>
      <c r="C269" s="6"/>
      <c r="D269" s="6"/>
      <c r="E269" s="6"/>
      <c r="F269" s="6"/>
      <c r="G269" s="6"/>
      <c r="H269" s="6"/>
      <c r="I269" s="6"/>
      <c r="J269" s="6"/>
      <c r="K269" s="6"/>
      <c r="L269" s="6"/>
      <c r="M269" s="6"/>
      <c r="N269" s="137"/>
      <c r="O269" s="137"/>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row>
    <row r="270" ht="14.25" customHeight="1">
      <c r="A270" s="6"/>
      <c r="B270" s="6"/>
      <c r="C270" s="6"/>
      <c r="D270" s="6"/>
      <c r="E270" s="6"/>
      <c r="F270" s="6"/>
      <c r="G270" s="6"/>
      <c r="H270" s="6"/>
      <c r="I270" s="6"/>
      <c r="J270" s="6"/>
      <c r="K270" s="6"/>
      <c r="L270" s="6"/>
      <c r="M270" s="6"/>
      <c r="N270" s="137"/>
      <c r="O270" s="137"/>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row>
    <row r="271" ht="14.25" customHeight="1">
      <c r="A271" s="6"/>
      <c r="B271" s="6"/>
      <c r="C271" s="6"/>
      <c r="D271" s="6"/>
      <c r="E271" s="6"/>
      <c r="F271" s="6"/>
      <c r="G271" s="6"/>
      <c r="H271" s="6"/>
      <c r="I271" s="6"/>
      <c r="J271" s="6"/>
      <c r="K271" s="6"/>
      <c r="L271" s="6"/>
      <c r="M271" s="6"/>
      <c r="N271" s="137"/>
      <c r="O271" s="137"/>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row>
    <row r="272" ht="14.25" customHeight="1">
      <c r="A272" s="6"/>
      <c r="B272" s="6"/>
      <c r="C272" s="6"/>
      <c r="D272" s="6"/>
      <c r="E272" s="6"/>
      <c r="F272" s="6"/>
      <c r="G272" s="6"/>
      <c r="H272" s="6"/>
      <c r="I272" s="6"/>
      <c r="J272" s="6"/>
      <c r="K272" s="6"/>
      <c r="L272" s="6"/>
      <c r="M272" s="6"/>
      <c r="N272" s="137"/>
      <c r="O272" s="137"/>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row>
    <row r="273" ht="14.25" customHeight="1">
      <c r="A273" s="6"/>
      <c r="B273" s="6"/>
      <c r="C273" s="6"/>
      <c r="D273" s="6"/>
      <c r="E273" s="6"/>
      <c r="F273" s="6"/>
      <c r="G273" s="6"/>
      <c r="H273" s="6"/>
      <c r="I273" s="6"/>
      <c r="J273" s="6"/>
      <c r="K273" s="6"/>
      <c r="L273" s="6"/>
      <c r="M273" s="6"/>
      <c r="N273" s="137"/>
      <c r="O273" s="137"/>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row>
    <row r="274" ht="14.25" customHeight="1">
      <c r="A274" s="6"/>
      <c r="B274" s="6"/>
      <c r="C274" s="6"/>
      <c r="D274" s="6"/>
      <c r="E274" s="6"/>
      <c r="F274" s="6"/>
      <c r="G274" s="6"/>
      <c r="H274" s="6"/>
      <c r="I274" s="6"/>
      <c r="J274" s="6"/>
      <c r="K274" s="6"/>
      <c r="L274" s="6"/>
      <c r="M274" s="6"/>
      <c r="N274" s="137"/>
      <c r="O274" s="137"/>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row>
    <row r="275" ht="14.25" customHeight="1">
      <c r="A275" s="6"/>
      <c r="B275" s="6"/>
      <c r="C275" s="6"/>
      <c r="D275" s="6"/>
      <c r="E275" s="6"/>
      <c r="F275" s="6"/>
      <c r="G275" s="6"/>
      <c r="H275" s="6"/>
      <c r="I275" s="6"/>
      <c r="J275" s="6"/>
      <c r="K275" s="6"/>
      <c r="L275" s="6"/>
      <c r="M275" s="6"/>
      <c r="N275" s="137"/>
      <c r="O275" s="137"/>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row>
    <row r="276" ht="14.25" customHeight="1">
      <c r="A276" s="6"/>
      <c r="B276" s="6"/>
      <c r="C276" s="6"/>
      <c r="D276" s="6"/>
      <c r="E276" s="6"/>
      <c r="F276" s="6"/>
      <c r="G276" s="6"/>
      <c r="H276" s="6"/>
      <c r="I276" s="6"/>
      <c r="J276" s="6"/>
      <c r="K276" s="6"/>
      <c r="L276" s="6"/>
      <c r="M276" s="6"/>
      <c r="N276" s="137"/>
      <c r="O276" s="137"/>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row>
    <row r="277" ht="14.25" customHeight="1">
      <c r="A277" s="6"/>
      <c r="B277" s="6"/>
      <c r="C277" s="6"/>
      <c r="D277" s="6"/>
      <c r="E277" s="6"/>
      <c r="F277" s="6"/>
      <c r="G277" s="6"/>
      <c r="H277" s="6"/>
      <c r="I277" s="6"/>
      <c r="J277" s="6"/>
      <c r="K277" s="6"/>
      <c r="L277" s="6"/>
      <c r="M277" s="6"/>
      <c r="N277" s="137"/>
      <c r="O277" s="137"/>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row>
    <row r="278" ht="14.25" customHeight="1">
      <c r="A278" s="6"/>
      <c r="B278" s="6"/>
      <c r="C278" s="6"/>
      <c r="D278" s="6"/>
      <c r="E278" s="6"/>
      <c r="F278" s="6"/>
      <c r="G278" s="6"/>
      <c r="H278" s="6"/>
      <c r="I278" s="6"/>
      <c r="J278" s="6"/>
      <c r="K278" s="6"/>
      <c r="L278" s="6"/>
      <c r="M278" s="6"/>
      <c r="N278" s="137"/>
      <c r="O278" s="137"/>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row>
    <row r="279" ht="14.25" customHeight="1">
      <c r="A279" s="6"/>
      <c r="B279" s="6"/>
      <c r="C279" s="6"/>
      <c r="D279" s="6"/>
      <c r="E279" s="6"/>
      <c r="F279" s="6"/>
      <c r="G279" s="6"/>
      <c r="H279" s="6"/>
      <c r="I279" s="6"/>
      <c r="J279" s="6"/>
      <c r="K279" s="6"/>
      <c r="L279" s="6"/>
      <c r="M279" s="6"/>
      <c r="N279" s="137"/>
      <c r="O279" s="137"/>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row>
    <row r="280" ht="14.25" customHeight="1">
      <c r="A280" s="6"/>
      <c r="B280" s="6"/>
      <c r="C280" s="6"/>
      <c r="D280" s="6"/>
      <c r="E280" s="6"/>
      <c r="F280" s="6"/>
      <c r="G280" s="6"/>
      <c r="H280" s="6"/>
      <c r="I280" s="6"/>
      <c r="J280" s="6"/>
      <c r="K280" s="6"/>
      <c r="L280" s="6"/>
      <c r="M280" s="6"/>
      <c r="N280" s="137"/>
      <c r="O280" s="137"/>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row>
    <row r="281" ht="14.25" customHeight="1">
      <c r="A281" s="6"/>
      <c r="B281" s="6"/>
      <c r="C281" s="6"/>
      <c r="D281" s="6"/>
      <c r="E281" s="6"/>
      <c r="F281" s="6"/>
      <c r="G281" s="6"/>
      <c r="H281" s="6"/>
      <c r="I281" s="6"/>
      <c r="J281" s="6"/>
      <c r="K281" s="6"/>
      <c r="L281" s="6"/>
      <c r="M281" s="6"/>
      <c r="N281" s="137"/>
      <c r="O281" s="137"/>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row>
    <row r="282" ht="14.25" customHeight="1">
      <c r="A282" s="6"/>
      <c r="B282" s="6"/>
      <c r="C282" s="6"/>
      <c r="D282" s="6"/>
      <c r="E282" s="6"/>
      <c r="F282" s="6"/>
      <c r="G282" s="6"/>
      <c r="H282" s="6"/>
      <c r="I282" s="6"/>
      <c r="J282" s="6"/>
      <c r="K282" s="6"/>
      <c r="L282" s="6"/>
      <c r="M282" s="6"/>
      <c r="N282" s="137"/>
      <c r="O282" s="137"/>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row>
    <row r="283" ht="14.25" customHeight="1">
      <c r="A283" s="6"/>
      <c r="B283" s="6"/>
      <c r="C283" s="6"/>
      <c r="D283" s="6"/>
      <c r="E283" s="6"/>
      <c r="F283" s="6"/>
      <c r="G283" s="6"/>
      <c r="H283" s="6"/>
      <c r="I283" s="6"/>
      <c r="J283" s="6"/>
      <c r="K283" s="6"/>
      <c r="L283" s="6"/>
      <c r="M283" s="6"/>
      <c r="N283" s="137"/>
      <c r="O283" s="137"/>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row>
    <row r="284" ht="14.25" customHeight="1">
      <c r="A284" s="6"/>
      <c r="B284" s="6"/>
      <c r="C284" s="6"/>
      <c r="D284" s="6"/>
      <c r="E284" s="6"/>
      <c r="F284" s="6"/>
      <c r="G284" s="6"/>
      <c r="H284" s="6"/>
      <c r="I284" s="6"/>
      <c r="J284" s="6"/>
      <c r="K284" s="6"/>
      <c r="L284" s="6"/>
      <c r="M284" s="6"/>
      <c r="N284" s="137"/>
      <c r="O284" s="137"/>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row>
    <row r="285" ht="14.25" customHeight="1">
      <c r="A285" s="6"/>
      <c r="B285" s="6"/>
      <c r="C285" s="6"/>
      <c r="D285" s="6"/>
      <c r="E285" s="6"/>
      <c r="F285" s="6"/>
      <c r="G285" s="6"/>
      <c r="H285" s="6"/>
      <c r="I285" s="6"/>
      <c r="J285" s="6"/>
      <c r="K285" s="6"/>
      <c r="L285" s="6"/>
      <c r="M285" s="6"/>
      <c r="N285" s="137"/>
      <c r="O285" s="137"/>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row>
    <row r="286" ht="14.25" customHeight="1">
      <c r="A286" s="6"/>
      <c r="B286" s="6"/>
      <c r="C286" s="6"/>
      <c r="D286" s="6"/>
      <c r="E286" s="6"/>
      <c r="F286" s="6"/>
      <c r="G286" s="6"/>
      <c r="H286" s="6"/>
      <c r="I286" s="6"/>
      <c r="J286" s="6"/>
      <c r="K286" s="6"/>
      <c r="L286" s="6"/>
      <c r="M286" s="6"/>
      <c r="N286" s="137"/>
      <c r="O286" s="137"/>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row>
    <row r="287" ht="14.25" customHeight="1">
      <c r="A287" s="6"/>
      <c r="B287" s="6"/>
      <c r="C287" s="6"/>
      <c r="D287" s="6"/>
      <c r="E287" s="6"/>
      <c r="F287" s="6"/>
      <c r="G287" s="6"/>
      <c r="H287" s="6"/>
      <c r="I287" s="6"/>
      <c r="J287" s="6"/>
      <c r="K287" s="6"/>
      <c r="L287" s="6"/>
      <c r="M287" s="6"/>
      <c r="N287" s="137"/>
      <c r="O287" s="137"/>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row>
    <row r="288" ht="14.25" customHeight="1">
      <c r="A288" s="6"/>
      <c r="B288" s="6"/>
      <c r="C288" s="6"/>
      <c r="D288" s="6"/>
      <c r="E288" s="6"/>
      <c r="F288" s="6"/>
      <c r="G288" s="6"/>
      <c r="H288" s="6"/>
      <c r="I288" s="6"/>
      <c r="J288" s="6"/>
      <c r="K288" s="6"/>
      <c r="L288" s="6"/>
      <c r="M288" s="6"/>
      <c r="N288" s="137"/>
      <c r="O288" s="137"/>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row>
    <row r="289" ht="14.25" customHeight="1">
      <c r="A289" s="6"/>
      <c r="B289" s="6"/>
      <c r="C289" s="6"/>
      <c r="D289" s="6"/>
      <c r="E289" s="6"/>
      <c r="F289" s="6"/>
      <c r="G289" s="6"/>
      <c r="H289" s="6"/>
      <c r="I289" s="6"/>
      <c r="J289" s="6"/>
      <c r="K289" s="6"/>
      <c r="L289" s="6"/>
      <c r="M289" s="6"/>
      <c r="N289" s="137"/>
      <c r="O289" s="137"/>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row>
    <row r="290" ht="14.25" customHeight="1">
      <c r="A290" s="6"/>
      <c r="B290" s="6"/>
      <c r="C290" s="6"/>
      <c r="D290" s="6"/>
      <c r="E290" s="6"/>
      <c r="F290" s="6"/>
      <c r="G290" s="6"/>
      <c r="H290" s="6"/>
      <c r="I290" s="6"/>
      <c r="J290" s="6"/>
      <c r="K290" s="6"/>
      <c r="L290" s="6"/>
      <c r="M290" s="6"/>
      <c r="N290" s="137"/>
      <c r="O290" s="137"/>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row>
    <row r="291" ht="14.25" customHeight="1">
      <c r="A291" s="6"/>
      <c r="B291" s="6"/>
      <c r="C291" s="6"/>
      <c r="D291" s="6"/>
      <c r="E291" s="6"/>
      <c r="F291" s="6"/>
      <c r="G291" s="6"/>
      <c r="H291" s="6"/>
      <c r="I291" s="6"/>
      <c r="J291" s="6"/>
      <c r="K291" s="6"/>
      <c r="L291" s="6"/>
      <c r="M291" s="6"/>
      <c r="N291" s="137"/>
      <c r="O291" s="137"/>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row>
    <row r="292" ht="14.25" customHeight="1">
      <c r="A292" s="6"/>
      <c r="B292" s="6"/>
      <c r="C292" s="6"/>
      <c r="D292" s="6"/>
      <c r="E292" s="6"/>
      <c r="F292" s="6"/>
      <c r="G292" s="6"/>
      <c r="H292" s="6"/>
      <c r="I292" s="6"/>
      <c r="J292" s="6"/>
      <c r="K292" s="6"/>
      <c r="L292" s="6"/>
      <c r="M292" s="6"/>
      <c r="N292" s="137"/>
      <c r="O292" s="137"/>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row>
    <row r="293" ht="14.25" customHeight="1">
      <c r="A293" s="6"/>
      <c r="B293" s="6"/>
      <c r="C293" s="6"/>
      <c r="D293" s="6"/>
      <c r="E293" s="6"/>
      <c r="F293" s="6"/>
      <c r="G293" s="6"/>
      <c r="H293" s="6"/>
      <c r="I293" s="6"/>
      <c r="J293" s="6"/>
      <c r="K293" s="6"/>
      <c r="L293" s="6"/>
      <c r="M293" s="6"/>
      <c r="N293" s="137"/>
      <c r="O293" s="137"/>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row>
    <row r="294" ht="14.25" customHeight="1">
      <c r="A294" s="6"/>
      <c r="B294" s="6"/>
      <c r="C294" s="6"/>
      <c r="D294" s="6"/>
      <c r="E294" s="6"/>
      <c r="F294" s="6"/>
      <c r="G294" s="6"/>
      <c r="H294" s="6"/>
      <c r="I294" s="6"/>
      <c r="J294" s="6"/>
      <c r="K294" s="6"/>
      <c r="L294" s="6"/>
      <c r="M294" s="6"/>
      <c r="N294" s="137"/>
      <c r="O294" s="137"/>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row>
    <row r="295" ht="14.25" customHeight="1">
      <c r="A295" s="6"/>
      <c r="B295" s="6"/>
      <c r="C295" s="6"/>
      <c r="D295" s="6"/>
      <c r="E295" s="6"/>
      <c r="F295" s="6"/>
      <c r="G295" s="6"/>
      <c r="H295" s="6"/>
      <c r="I295" s="6"/>
      <c r="J295" s="6"/>
      <c r="K295" s="6"/>
      <c r="L295" s="6"/>
      <c r="M295" s="6"/>
      <c r="N295" s="137"/>
      <c r="O295" s="137"/>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row>
    <row r="296" ht="14.25" customHeight="1">
      <c r="A296" s="6"/>
      <c r="B296" s="6"/>
      <c r="C296" s="6"/>
      <c r="D296" s="6"/>
      <c r="E296" s="6"/>
      <c r="F296" s="6"/>
      <c r="G296" s="6"/>
      <c r="H296" s="6"/>
      <c r="I296" s="6"/>
      <c r="J296" s="6"/>
      <c r="K296" s="6"/>
      <c r="L296" s="6"/>
      <c r="M296" s="6"/>
      <c r="N296" s="137"/>
      <c r="O296" s="137"/>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row>
    <row r="297" ht="14.25" customHeight="1">
      <c r="A297" s="6"/>
      <c r="B297" s="6"/>
      <c r="C297" s="6"/>
      <c r="D297" s="6"/>
      <c r="E297" s="6"/>
      <c r="F297" s="6"/>
      <c r="G297" s="6"/>
      <c r="H297" s="6"/>
      <c r="I297" s="6"/>
      <c r="J297" s="6"/>
      <c r="K297" s="6"/>
      <c r="L297" s="6"/>
      <c r="M297" s="6"/>
      <c r="N297" s="137"/>
      <c r="O297" s="137"/>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row>
    <row r="298" ht="14.25" customHeight="1">
      <c r="A298" s="6"/>
      <c r="B298" s="6"/>
      <c r="C298" s="6"/>
      <c r="D298" s="6"/>
      <c r="E298" s="6"/>
      <c r="F298" s="6"/>
      <c r="G298" s="6"/>
      <c r="H298" s="6"/>
      <c r="I298" s="6"/>
      <c r="J298" s="6"/>
      <c r="K298" s="6"/>
      <c r="L298" s="6"/>
      <c r="M298" s="6"/>
      <c r="N298" s="137"/>
      <c r="O298" s="137"/>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row>
    <row r="299" ht="14.25" customHeight="1">
      <c r="A299" s="6"/>
      <c r="B299" s="6"/>
      <c r="C299" s="6"/>
      <c r="D299" s="6"/>
      <c r="E299" s="6"/>
      <c r="F299" s="6"/>
      <c r="G299" s="6"/>
      <c r="H299" s="6"/>
      <c r="I299" s="6"/>
      <c r="J299" s="6"/>
      <c r="K299" s="6"/>
      <c r="L299" s="6"/>
      <c r="M299" s="6"/>
      <c r="N299" s="137"/>
      <c r="O299" s="137"/>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row>
    <row r="300" ht="14.25" customHeight="1">
      <c r="A300" s="6"/>
      <c r="B300" s="6"/>
      <c r="C300" s="6"/>
      <c r="D300" s="6"/>
      <c r="E300" s="6"/>
      <c r="F300" s="6"/>
      <c r="G300" s="6"/>
      <c r="H300" s="6"/>
      <c r="I300" s="6"/>
      <c r="J300" s="6"/>
      <c r="K300" s="6"/>
      <c r="L300" s="6"/>
      <c r="M300" s="6"/>
      <c r="N300" s="137"/>
      <c r="O300" s="137"/>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row>
    <row r="301" ht="14.25" customHeight="1">
      <c r="A301" s="6"/>
      <c r="B301" s="6"/>
      <c r="C301" s="6"/>
      <c r="D301" s="6"/>
      <c r="E301" s="6"/>
      <c r="F301" s="6"/>
      <c r="G301" s="6"/>
      <c r="H301" s="6"/>
      <c r="I301" s="6"/>
      <c r="J301" s="6"/>
      <c r="K301" s="6"/>
      <c r="L301" s="6"/>
      <c r="M301" s="6"/>
      <c r="N301" s="137"/>
      <c r="O301" s="137"/>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row>
    <row r="302" ht="14.25" customHeight="1">
      <c r="A302" s="6"/>
      <c r="B302" s="6"/>
      <c r="C302" s="6"/>
      <c r="D302" s="6"/>
      <c r="E302" s="6"/>
      <c r="F302" s="6"/>
      <c r="G302" s="6"/>
      <c r="H302" s="6"/>
      <c r="I302" s="6"/>
      <c r="J302" s="6"/>
      <c r="K302" s="6"/>
      <c r="L302" s="6"/>
      <c r="M302" s="6"/>
      <c r="N302" s="137"/>
      <c r="O302" s="137"/>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row>
    <row r="303" ht="14.25" customHeight="1">
      <c r="A303" s="6"/>
      <c r="B303" s="6"/>
      <c r="C303" s="6"/>
      <c r="D303" s="6"/>
      <c r="E303" s="6"/>
      <c r="F303" s="6"/>
      <c r="G303" s="6"/>
      <c r="H303" s="6"/>
      <c r="I303" s="6"/>
      <c r="J303" s="6"/>
      <c r="K303" s="6"/>
      <c r="L303" s="6"/>
      <c r="M303" s="6"/>
      <c r="N303" s="137"/>
      <c r="O303" s="137"/>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row>
    <row r="304" ht="14.25" customHeight="1">
      <c r="A304" s="6"/>
      <c r="B304" s="6"/>
      <c r="C304" s="6"/>
      <c r="D304" s="6"/>
      <c r="E304" s="6"/>
      <c r="F304" s="6"/>
      <c r="G304" s="6"/>
      <c r="H304" s="6"/>
      <c r="I304" s="6"/>
      <c r="J304" s="6"/>
      <c r="K304" s="6"/>
      <c r="L304" s="6"/>
      <c r="M304" s="6"/>
      <c r="N304" s="137"/>
      <c r="O304" s="137"/>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row>
    <row r="305" ht="14.25" customHeight="1">
      <c r="A305" s="6"/>
      <c r="B305" s="6"/>
      <c r="C305" s="6"/>
      <c r="D305" s="6"/>
      <c r="E305" s="6"/>
      <c r="F305" s="6"/>
      <c r="G305" s="6"/>
      <c r="H305" s="6"/>
      <c r="I305" s="6"/>
      <c r="J305" s="6"/>
      <c r="K305" s="6"/>
      <c r="L305" s="6"/>
      <c r="M305" s="6"/>
      <c r="N305" s="137"/>
      <c r="O305" s="137"/>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row>
    <row r="306" ht="14.25" customHeight="1">
      <c r="A306" s="6"/>
      <c r="B306" s="6"/>
      <c r="C306" s="6"/>
      <c r="D306" s="6"/>
      <c r="E306" s="6"/>
      <c r="F306" s="6"/>
      <c r="G306" s="6"/>
      <c r="H306" s="6"/>
      <c r="I306" s="6"/>
      <c r="J306" s="6"/>
      <c r="K306" s="6"/>
      <c r="L306" s="6"/>
      <c r="M306" s="6"/>
      <c r="N306" s="137"/>
      <c r="O306" s="137"/>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row>
    <row r="307" ht="14.25" customHeight="1">
      <c r="A307" s="6"/>
      <c r="B307" s="6"/>
      <c r="C307" s="6"/>
      <c r="D307" s="6"/>
      <c r="E307" s="6"/>
      <c r="F307" s="6"/>
      <c r="G307" s="6"/>
      <c r="H307" s="6"/>
      <c r="I307" s="6"/>
      <c r="J307" s="6"/>
      <c r="K307" s="6"/>
      <c r="L307" s="6"/>
      <c r="M307" s="6"/>
      <c r="N307" s="137"/>
      <c r="O307" s="137"/>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row>
    <row r="308" ht="14.25" customHeight="1">
      <c r="A308" s="6"/>
      <c r="B308" s="6"/>
      <c r="C308" s="6"/>
      <c r="D308" s="6"/>
      <c r="E308" s="6"/>
      <c r="F308" s="6"/>
      <c r="G308" s="6"/>
      <c r="H308" s="6"/>
      <c r="I308" s="6"/>
      <c r="J308" s="6"/>
      <c r="K308" s="6"/>
      <c r="L308" s="6"/>
      <c r="M308" s="6"/>
      <c r="N308" s="137"/>
      <c r="O308" s="137"/>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row>
    <row r="309" ht="14.25" customHeight="1">
      <c r="A309" s="6"/>
      <c r="B309" s="6"/>
      <c r="C309" s="6"/>
      <c r="D309" s="6"/>
      <c r="E309" s="6"/>
      <c r="F309" s="6"/>
      <c r="G309" s="6"/>
      <c r="H309" s="6"/>
      <c r="I309" s="6"/>
      <c r="J309" s="6"/>
      <c r="K309" s="6"/>
      <c r="L309" s="6"/>
      <c r="M309" s="6"/>
      <c r="N309" s="137"/>
      <c r="O309" s="137"/>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row>
    <row r="310" ht="14.25" customHeight="1">
      <c r="A310" s="6"/>
      <c r="B310" s="6"/>
      <c r="C310" s="6"/>
      <c r="D310" s="6"/>
      <c r="E310" s="6"/>
      <c r="F310" s="6"/>
      <c r="G310" s="6"/>
      <c r="H310" s="6"/>
      <c r="I310" s="6"/>
      <c r="J310" s="6"/>
      <c r="K310" s="6"/>
      <c r="L310" s="6"/>
      <c r="M310" s="6"/>
      <c r="N310" s="137"/>
      <c r="O310" s="137"/>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row>
    <row r="311" ht="14.25" customHeight="1">
      <c r="A311" s="6"/>
      <c r="B311" s="6"/>
      <c r="C311" s="6"/>
      <c r="D311" s="6"/>
      <c r="E311" s="6"/>
      <c r="F311" s="6"/>
      <c r="G311" s="6"/>
      <c r="H311" s="6"/>
      <c r="I311" s="6"/>
      <c r="J311" s="6"/>
      <c r="K311" s="6"/>
      <c r="L311" s="6"/>
      <c r="M311" s="6"/>
      <c r="N311" s="137"/>
      <c r="O311" s="137"/>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row>
    <row r="312" ht="14.25" customHeight="1">
      <c r="A312" s="6"/>
      <c r="B312" s="6"/>
      <c r="C312" s="6"/>
      <c r="D312" s="6"/>
      <c r="E312" s="6"/>
      <c r="F312" s="6"/>
      <c r="G312" s="6"/>
      <c r="H312" s="6"/>
      <c r="I312" s="6"/>
      <c r="J312" s="6"/>
      <c r="K312" s="6"/>
      <c r="L312" s="6"/>
      <c r="M312" s="6"/>
      <c r="N312" s="137"/>
      <c r="O312" s="137"/>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row>
    <row r="313" ht="14.25" customHeight="1">
      <c r="A313" s="6"/>
      <c r="B313" s="6"/>
      <c r="C313" s="6"/>
      <c r="D313" s="6"/>
      <c r="E313" s="6"/>
      <c r="F313" s="6"/>
      <c r="G313" s="6"/>
      <c r="H313" s="6"/>
      <c r="I313" s="6"/>
      <c r="J313" s="6"/>
      <c r="K313" s="6"/>
      <c r="L313" s="6"/>
      <c r="M313" s="6"/>
      <c r="N313" s="137"/>
      <c r="O313" s="137"/>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row>
    <row r="314" ht="14.25" customHeight="1">
      <c r="A314" s="6"/>
      <c r="B314" s="6"/>
      <c r="C314" s="6"/>
      <c r="D314" s="6"/>
      <c r="E314" s="6"/>
      <c r="F314" s="6"/>
      <c r="G314" s="6"/>
      <c r="H314" s="6"/>
      <c r="I314" s="6"/>
      <c r="J314" s="6"/>
      <c r="K314" s="6"/>
      <c r="L314" s="6"/>
      <c r="M314" s="6"/>
      <c r="N314" s="137"/>
      <c r="O314" s="137"/>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row>
    <row r="315" ht="14.25" customHeight="1">
      <c r="A315" s="6"/>
      <c r="B315" s="6"/>
      <c r="C315" s="6"/>
      <c r="D315" s="6"/>
      <c r="E315" s="6"/>
      <c r="F315" s="6"/>
      <c r="G315" s="6"/>
      <c r="H315" s="6"/>
      <c r="I315" s="6"/>
      <c r="J315" s="6"/>
      <c r="K315" s="6"/>
      <c r="L315" s="6"/>
      <c r="M315" s="6"/>
      <c r="N315" s="137"/>
      <c r="O315" s="137"/>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row>
    <row r="316" ht="14.25" customHeight="1">
      <c r="A316" s="6"/>
      <c r="B316" s="6"/>
      <c r="C316" s="6"/>
      <c r="D316" s="6"/>
      <c r="E316" s="6"/>
      <c r="F316" s="6"/>
      <c r="G316" s="6"/>
      <c r="H316" s="6"/>
      <c r="I316" s="6"/>
      <c r="J316" s="6"/>
      <c r="K316" s="6"/>
      <c r="L316" s="6"/>
      <c r="M316" s="6"/>
      <c r="N316" s="137"/>
      <c r="O316" s="137"/>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row>
    <row r="317" ht="14.25" customHeight="1">
      <c r="A317" s="6"/>
      <c r="B317" s="6"/>
      <c r="C317" s="6"/>
      <c r="D317" s="6"/>
      <c r="E317" s="6"/>
      <c r="F317" s="6"/>
      <c r="G317" s="6"/>
      <c r="H317" s="6"/>
      <c r="I317" s="6"/>
      <c r="J317" s="6"/>
      <c r="K317" s="6"/>
      <c r="L317" s="6"/>
      <c r="M317" s="6"/>
      <c r="N317" s="137"/>
      <c r="O317" s="137"/>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row>
    <row r="318" ht="14.25" customHeight="1">
      <c r="A318" s="6"/>
      <c r="B318" s="6"/>
      <c r="C318" s="6"/>
      <c r="D318" s="6"/>
      <c r="E318" s="6"/>
      <c r="F318" s="6"/>
      <c r="G318" s="6"/>
      <c r="H318" s="6"/>
      <c r="I318" s="6"/>
      <c r="J318" s="6"/>
      <c r="K318" s="6"/>
      <c r="L318" s="6"/>
      <c r="M318" s="6"/>
      <c r="N318" s="137"/>
      <c r="O318" s="137"/>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row>
    <row r="319" ht="14.25" customHeight="1">
      <c r="A319" s="6"/>
      <c r="B319" s="6"/>
      <c r="C319" s="6"/>
      <c r="D319" s="6"/>
      <c r="E319" s="6"/>
      <c r="F319" s="6"/>
      <c r="G319" s="6"/>
      <c r="H319" s="6"/>
      <c r="I319" s="6"/>
      <c r="J319" s="6"/>
      <c r="K319" s="6"/>
      <c r="L319" s="6"/>
      <c r="M319" s="6"/>
      <c r="N319" s="137"/>
      <c r="O319" s="137"/>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row>
    <row r="320" ht="14.25" customHeight="1">
      <c r="A320" s="6"/>
      <c r="B320" s="6"/>
      <c r="C320" s="6"/>
      <c r="D320" s="6"/>
      <c r="E320" s="6"/>
      <c r="F320" s="6"/>
      <c r="G320" s="6"/>
      <c r="H320" s="6"/>
      <c r="I320" s="6"/>
      <c r="J320" s="6"/>
      <c r="K320" s="6"/>
      <c r="L320" s="6"/>
      <c r="M320" s="6"/>
      <c r="N320" s="137"/>
      <c r="O320" s="137"/>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row>
    <row r="321" ht="14.25" customHeight="1">
      <c r="A321" s="6"/>
      <c r="B321" s="6"/>
      <c r="C321" s="6"/>
      <c r="D321" s="6"/>
      <c r="E321" s="6"/>
      <c r="F321" s="6"/>
      <c r="G321" s="6"/>
      <c r="H321" s="6"/>
      <c r="I321" s="6"/>
      <c r="J321" s="6"/>
      <c r="K321" s="6"/>
      <c r="L321" s="6"/>
      <c r="M321" s="6"/>
      <c r="N321" s="137"/>
      <c r="O321" s="137"/>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row>
    <row r="322" ht="14.25" customHeight="1">
      <c r="A322" s="6"/>
      <c r="B322" s="6"/>
      <c r="C322" s="6"/>
      <c r="D322" s="6"/>
      <c r="E322" s="6"/>
      <c r="F322" s="6"/>
      <c r="G322" s="6"/>
      <c r="H322" s="6"/>
      <c r="I322" s="6"/>
      <c r="J322" s="6"/>
      <c r="K322" s="6"/>
      <c r="L322" s="6"/>
      <c r="M322" s="6"/>
      <c r="N322" s="137"/>
      <c r="O322" s="137"/>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row>
    <row r="323" ht="14.25" customHeight="1">
      <c r="A323" s="6"/>
      <c r="B323" s="6"/>
      <c r="C323" s="6"/>
      <c r="D323" s="6"/>
      <c r="E323" s="6"/>
      <c r="F323" s="6"/>
      <c r="G323" s="6"/>
      <c r="H323" s="6"/>
      <c r="I323" s="6"/>
      <c r="J323" s="6"/>
      <c r="K323" s="6"/>
      <c r="L323" s="6"/>
      <c r="M323" s="6"/>
      <c r="N323" s="137"/>
      <c r="O323" s="137"/>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row>
    <row r="324" ht="14.25" customHeight="1">
      <c r="A324" s="6"/>
      <c r="B324" s="6"/>
      <c r="C324" s="6"/>
      <c r="D324" s="6"/>
      <c r="E324" s="6"/>
      <c r="F324" s="6"/>
      <c r="G324" s="6"/>
      <c r="H324" s="6"/>
      <c r="I324" s="6"/>
      <c r="J324" s="6"/>
      <c r="K324" s="6"/>
      <c r="L324" s="6"/>
      <c r="M324" s="6"/>
      <c r="N324" s="137"/>
      <c r="O324" s="137"/>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row>
    <row r="325" ht="14.25" customHeight="1">
      <c r="A325" s="6"/>
      <c r="B325" s="6"/>
      <c r="C325" s="6"/>
      <c r="D325" s="6"/>
      <c r="E325" s="6"/>
      <c r="F325" s="6"/>
      <c r="G325" s="6"/>
      <c r="H325" s="6"/>
      <c r="I325" s="6"/>
      <c r="J325" s="6"/>
      <c r="K325" s="6"/>
      <c r="L325" s="6"/>
      <c r="M325" s="6"/>
      <c r="N325" s="137"/>
      <c r="O325" s="137"/>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row>
    <row r="326" ht="14.25" customHeight="1">
      <c r="A326" s="6"/>
      <c r="B326" s="6"/>
      <c r="C326" s="6"/>
      <c r="D326" s="6"/>
      <c r="E326" s="6"/>
      <c r="F326" s="6"/>
      <c r="G326" s="6"/>
      <c r="H326" s="6"/>
      <c r="I326" s="6"/>
      <c r="J326" s="6"/>
      <c r="K326" s="6"/>
      <c r="L326" s="6"/>
      <c r="M326" s="6"/>
      <c r="N326" s="137"/>
      <c r="O326" s="137"/>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row>
    <row r="327" ht="14.25" customHeight="1">
      <c r="A327" s="6"/>
      <c r="B327" s="6"/>
      <c r="C327" s="6"/>
      <c r="D327" s="6"/>
      <c r="E327" s="6"/>
      <c r="F327" s="6"/>
      <c r="G327" s="6"/>
      <c r="H327" s="6"/>
      <c r="I327" s="6"/>
      <c r="J327" s="6"/>
      <c r="K327" s="6"/>
      <c r="L327" s="6"/>
      <c r="M327" s="6"/>
      <c r="N327" s="137"/>
      <c r="O327" s="137"/>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row>
    <row r="328" ht="14.25" customHeight="1">
      <c r="A328" s="6"/>
      <c r="B328" s="6"/>
      <c r="C328" s="6"/>
      <c r="D328" s="6"/>
      <c r="E328" s="6"/>
      <c r="F328" s="6"/>
      <c r="G328" s="6"/>
      <c r="H328" s="6"/>
      <c r="I328" s="6"/>
      <c r="J328" s="6"/>
      <c r="K328" s="6"/>
      <c r="L328" s="6"/>
      <c r="M328" s="6"/>
      <c r="N328" s="137"/>
      <c r="O328" s="137"/>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row>
    <row r="329" ht="14.25" customHeight="1">
      <c r="A329" s="6"/>
      <c r="B329" s="6"/>
      <c r="C329" s="6"/>
      <c r="D329" s="6"/>
      <c r="E329" s="6"/>
      <c r="F329" s="6"/>
      <c r="G329" s="6"/>
      <c r="H329" s="6"/>
      <c r="I329" s="6"/>
      <c r="J329" s="6"/>
      <c r="K329" s="6"/>
      <c r="L329" s="6"/>
      <c r="M329" s="6"/>
      <c r="N329" s="137"/>
      <c r="O329" s="137"/>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row>
    <row r="330" ht="14.25" customHeight="1">
      <c r="A330" s="6"/>
      <c r="B330" s="6"/>
      <c r="C330" s="6"/>
      <c r="D330" s="6"/>
      <c r="E330" s="6"/>
      <c r="F330" s="6"/>
      <c r="G330" s="6"/>
      <c r="H330" s="6"/>
      <c r="I330" s="6"/>
      <c r="J330" s="6"/>
      <c r="K330" s="6"/>
      <c r="L330" s="6"/>
      <c r="M330" s="6"/>
      <c r="N330" s="137"/>
      <c r="O330" s="137"/>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row>
    <row r="331" ht="14.25" customHeight="1">
      <c r="A331" s="6"/>
      <c r="B331" s="6"/>
      <c r="C331" s="6"/>
      <c r="D331" s="6"/>
      <c r="E331" s="6"/>
      <c r="F331" s="6"/>
      <c r="G331" s="6"/>
      <c r="H331" s="6"/>
      <c r="I331" s="6"/>
      <c r="J331" s="6"/>
      <c r="K331" s="6"/>
      <c r="L331" s="6"/>
      <c r="M331" s="6"/>
      <c r="N331" s="137"/>
      <c r="O331" s="137"/>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row>
    <row r="332" ht="14.25" customHeight="1">
      <c r="A332" s="6"/>
      <c r="B332" s="6"/>
      <c r="C332" s="6"/>
      <c r="D332" s="6"/>
      <c r="E332" s="6"/>
      <c r="F332" s="6"/>
      <c r="G332" s="6"/>
      <c r="H332" s="6"/>
      <c r="I332" s="6"/>
      <c r="J332" s="6"/>
      <c r="K332" s="6"/>
      <c r="L332" s="6"/>
      <c r="M332" s="6"/>
      <c r="N332" s="137"/>
      <c r="O332" s="137"/>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row>
    <row r="333" ht="14.25" customHeight="1">
      <c r="A333" s="6"/>
      <c r="B333" s="6"/>
      <c r="C333" s="6"/>
      <c r="D333" s="6"/>
      <c r="E333" s="6"/>
      <c r="F333" s="6"/>
      <c r="G333" s="6"/>
      <c r="H333" s="6"/>
      <c r="I333" s="6"/>
      <c r="J333" s="6"/>
      <c r="K333" s="6"/>
      <c r="L333" s="6"/>
      <c r="M333" s="6"/>
      <c r="N333" s="137"/>
      <c r="O333" s="137"/>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row>
    <row r="334" ht="14.25" customHeight="1">
      <c r="A334" s="6"/>
      <c r="B334" s="6"/>
      <c r="C334" s="6"/>
      <c r="D334" s="6"/>
      <c r="E334" s="6"/>
      <c r="F334" s="6"/>
      <c r="G334" s="6"/>
      <c r="H334" s="6"/>
      <c r="I334" s="6"/>
      <c r="J334" s="6"/>
      <c r="K334" s="6"/>
      <c r="L334" s="6"/>
      <c r="M334" s="6"/>
      <c r="N334" s="137"/>
      <c r="O334" s="137"/>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row>
    <row r="335" ht="14.25" customHeight="1">
      <c r="A335" s="6"/>
      <c r="B335" s="6"/>
      <c r="C335" s="6"/>
      <c r="D335" s="6"/>
      <c r="E335" s="6"/>
      <c r="F335" s="6"/>
      <c r="G335" s="6"/>
      <c r="H335" s="6"/>
      <c r="I335" s="6"/>
      <c r="J335" s="6"/>
      <c r="K335" s="6"/>
      <c r="L335" s="6"/>
      <c r="M335" s="6"/>
      <c r="N335" s="137"/>
      <c r="O335" s="137"/>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row>
    <row r="336" ht="14.25" customHeight="1">
      <c r="A336" s="6"/>
      <c r="B336" s="6"/>
      <c r="C336" s="6"/>
      <c r="D336" s="6"/>
      <c r="E336" s="6"/>
      <c r="F336" s="6"/>
      <c r="G336" s="6"/>
      <c r="H336" s="6"/>
      <c r="I336" s="6"/>
      <c r="J336" s="6"/>
      <c r="K336" s="6"/>
      <c r="L336" s="6"/>
      <c r="M336" s="6"/>
      <c r="N336" s="137"/>
      <c r="O336" s="137"/>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row>
    <row r="337" ht="14.25" customHeight="1">
      <c r="A337" s="6"/>
      <c r="B337" s="6"/>
      <c r="C337" s="6"/>
      <c r="D337" s="6"/>
      <c r="E337" s="6"/>
      <c r="F337" s="6"/>
      <c r="G337" s="6"/>
      <c r="H337" s="6"/>
      <c r="I337" s="6"/>
      <c r="J337" s="6"/>
      <c r="K337" s="6"/>
      <c r="L337" s="6"/>
      <c r="M337" s="6"/>
      <c r="N337" s="137"/>
      <c r="O337" s="137"/>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row>
    <row r="338" ht="14.25" customHeight="1">
      <c r="A338" s="6"/>
      <c r="B338" s="6"/>
      <c r="C338" s="6"/>
      <c r="D338" s="6"/>
      <c r="E338" s="6"/>
      <c r="F338" s="6"/>
      <c r="G338" s="6"/>
      <c r="H338" s="6"/>
      <c r="I338" s="6"/>
      <c r="J338" s="6"/>
      <c r="K338" s="6"/>
      <c r="L338" s="6"/>
      <c r="M338" s="6"/>
      <c r="N338" s="137"/>
      <c r="O338" s="137"/>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row>
    <row r="339" ht="14.25" customHeight="1">
      <c r="A339" s="6"/>
      <c r="B339" s="6"/>
      <c r="C339" s="6"/>
      <c r="D339" s="6"/>
      <c r="E339" s="6"/>
      <c r="F339" s="6"/>
      <c r="G339" s="6"/>
      <c r="H339" s="6"/>
      <c r="I339" s="6"/>
      <c r="J339" s="6"/>
      <c r="K339" s="6"/>
      <c r="L339" s="6"/>
      <c r="M339" s="6"/>
      <c r="N339" s="137"/>
      <c r="O339" s="137"/>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row>
    <row r="340" ht="14.25" customHeight="1">
      <c r="A340" s="6"/>
      <c r="B340" s="6"/>
      <c r="C340" s="6"/>
      <c r="D340" s="6"/>
      <c r="E340" s="6"/>
      <c r="F340" s="6"/>
      <c r="G340" s="6"/>
      <c r="H340" s="6"/>
      <c r="I340" s="6"/>
      <c r="J340" s="6"/>
      <c r="K340" s="6"/>
      <c r="L340" s="6"/>
      <c r="M340" s="6"/>
      <c r="N340" s="137"/>
      <c r="O340" s="137"/>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row>
    <row r="341" ht="14.25" customHeight="1">
      <c r="A341" s="6"/>
      <c r="B341" s="6"/>
      <c r="C341" s="6"/>
      <c r="D341" s="6"/>
      <c r="E341" s="6"/>
      <c r="F341" s="6"/>
      <c r="G341" s="6"/>
      <c r="H341" s="6"/>
      <c r="I341" s="6"/>
      <c r="J341" s="6"/>
      <c r="K341" s="6"/>
      <c r="L341" s="6"/>
      <c r="M341" s="6"/>
      <c r="N341" s="137"/>
      <c r="O341" s="137"/>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row>
    <row r="342" ht="14.25" customHeight="1">
      <c r="A342" s="6"/>
      <c r="B342" s="6"/>
      <c r="C342" s="6"/>
      <c r="D342" s="6"/>
      <c r="E342" s="6"/>
      <c r="F342" s="6"/>
      <c r="G342" s="6"/>
      <c r="H342" s="6"/>
      <c r="I342" s="6"/>
      <c r="J342" s="6"/>
      <c r="K342" s="6"/>
      <c r="L342" s="6"/>
      <c r="M342" s="6"/>
      <c r="N342" s="137"/>
      <c r="O342" s="137"/>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row>
    <row r="343" ht="14.25" customHeight="1">
      <c r="A343" s="6"/>
      <c r="B343" s="6"/>
      <c r="C343" s="6"/>
      <c r="D343" s="6"/>
      <c r="E343" s="6"/>
      <c r="F343" s="6"/>
      <c r="G343" s="6"/>
      <c r="H343" s="6"/>
      <c r="I343" s="6"/>
      <c r="J343" s="6"/>
      <c r="K343" s="6"/>
      <c r="L343" s="6"/>
      <c r="M343" s="6"/>
      <c r="N343" s="137"/>
      <c r="O343" s="137"/>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row>
    <row r="344" ht="14.25" customHeight="1">
      <c r="A344" s="6"/>
      <c r="B344" s="6"/>
      <c r="C344" s="6"/>
      <c r="D344" s="6"/>
      <c r="E344" s="6"/>
      <c r="F344" s="6"/>
      <c r="G344" s="6"/>
      <c r="H344" s="6"/>
      <c r="I344" s="6"/>
      <c r="J344" s="6"/>
      <c r="K344" s="6"/>
      <c r="L344" s="6"/>
      <c r="M344" s="6"/>
      <c r="N344" s="137"/>
      <c r="O344" s="137"/>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row>
    <row r="345" ht="14.25" customHeight="1">
      <c r="A345" s="6"/>
      <c r="B345" s="6"/>
      <c r="C345" s="6"/>
      <c r="D345" s="6"/>
      <c r="E345" s="6"/>
      <c r="F345" s="6"/>
      <c r="G345" s="6"/>
      <c r="H345" s="6"/>
      <c r="I345" s="6"/>
      <c r="J345" s="6"/>
      <c r="K345" s="6"/>
      <c r="L345" s="6"/>
      <c r="M345" s="6"/>
      <c r="N345" s="137"/>
      <c r="O345" s="137"/>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row>
    <row r="346" ht="14.25" customHeight="1">
      <c r="A346" s="6"/>
      <c r="B346" s="6"/>
      <c r="C346" s="6"/>
      <c r="D346" s="6"/>
      <c r="E346" s="6"/>
      <c r="F346" s="6"/>
      <c r="G346" s="6"/>
      <c r="H346" s="6"/>
      <c r="I346" s="6"/>
      <c r="J346" s="6"/>
      <c r="K346" s="6"/>
      <c r="L346" s="6"/>
      <c r="M346" s="6"/>
      <c r="N346" s="137"/>
      <c r="O346" s="137"/>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row>
    <row r="347" ht="14.25" customHeight="1">
      <c r="A347" s="6"/>
      <c r="B347" s="6"/>
      <c r="C347" s="6"/>
      <c r="D347" s="6"/>
      <c r="E347" s="6"/>
      <c r="F347" s="6"/>
      <c r="G347" s="6"/>
      <c r="H347" s="6"/>
      <c r="I347" s="6"/>
      <c r="J347" s="6"/>
      <c r="K347" s="6"/>
      <c r="L347" s="6"/>
      <c r="M347" s="6"/>
      <c r="N347" s="137"/>
      <c r="O347" s="137"/>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row>
    <row r="348" ht="14.25" customHeight="1">
      <c r="A348" s="6"/>
      <c r="B348" s="6"/>
      <c r="C348" s="6"/>
      <c r="D348" s="6"/>
      <c r="E348" s="6"/>
      <c r="F348" s="6"/>
      <c r="G348" s="6"/>
      <c r="H348" s="6"/>
      <c r="I348" s="6"/>
      <c r="J348" s="6"/>
      <c r="K348" s="6"/>
      <c r="L348" s="6"/>
      <c r="M348" s="6"/>
      <c r="N348" s="137"/>
      <c r="O348" s="137"/>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row>
    <row r="349" ht="14.25" customHeight="1">
      <c r="A349" s="6"/>
      <c r="B349" s="6"/>
      <c r="C349" s="6"/>
      <c r="D349" s="6"/>
      <c r="E349" s="6"/>
      <c r="F349" s="6"/>
      <c r="G349" s="6"/>
      <c r="H349" s="6"/>
      <c r="I349" s="6"/>
      <c r="J349" s="6"/>
      <c r="K349" s="6"/>
      <c r="L349" s="6"/>
      <c r="M349" s="6"/>
      <c r="N349" s="137"/>
      <c r="O349" s="137"/>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row>
    <row r="350" ht="14.25" customHeight="1">
      <c r="A350" s="6"/>
      <c r="B350" s="6"/>
      <c r="C350" s="6"/>
      <c r="D350" s="6"/>
      <c r="E350" s="6"/>
      <c r="F350" s="6"/>
      <c r="G350" s="6"/>
      <c r="H350" s="6"/>
      <c r="I350" s="6"/>
      <c r="J350" s="6"/>
      <c r="K350" s="6"/>
      <c r="L350" s="6"/>
      <c r="M350" s="6"/>
      <c r="N350" s="137"/>
      <c r="O350" s="137"/>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row>
    <row r="351" ht="14.25" customHeight="1">
      <c r="A351" s="6"/>
      <c r="B351" s="6"/>
      <c r="C351" s="6"/>
      <c r="D351" s="6"/>
      <c r="E351" s="6"/>
      <c r="F351" s="6"/>
      <c r="G351" s="6"/>
      <c r="H351" s="6"/>
      <c r="I351" s="6"/>
      <c r="J351" s="6"/>
      <c r="K351" s="6"/>
      <c r="L351" s="6"/>
      <c r="M351" s="6"/>
      <c r="N351" s="137"/>
      <c r="O351" s="137"/>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row>
    <row r="352" ht="14.25" customHeight="1">
      <c r="A352" s="6"/>
      <c r="B352" s="6"/>
      <c r="C352" s="6"/>
      <c r="D352" s="6"/>
      <c r="E352" s="6"/>
      <c r="F352" s="6"/>
      <c r="G352" s="6"/>
      <c r="H352" s="6"/>
      <c r="I352" s="6"/>
      <c r="J352" s="6"/>
      <c r="K352" s="6"/>
      <c r="L352" s="6"/>
      <c r="M352" s="6"/>
      <c r="N352" s="137"/>
      <c r="O352" s="137"/>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row>
    <row r="353" ht="14.25" customHeight="1">
      <c r="A353" s="6"/>
      <c r="B353" s="6"/>
      <c r="C353" s="6"/>
      <c r="D353" s="6"/>
      <c r="E353" s="6"/>
      <c r="F353" s="6"/>
      <c r="G353" s="6"/>
      <c r="H353" s="6"/>
      <c r="I353" s="6"/>
      <c r="J353" s="6"/>
      <c r="K353" s="6"/>
      <c r="L353" s="6"/>
      <c r="M353" s="6"/>
      <c r="N353" s="137"/>
      <c r="O353" s="137"/>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row>
    <row r="354" ht="14.25" customHeight="1">
      <c r="A354" s="6"/>
      <c r="B354" s="6"/>
      <c r="C354" s="6"/>
      <c r="D354" s="6"/>
      <c r="E354" s="6"/>
      <c r="F354" s="6"/>
      <c r="G354" s="6"/>
      <c r="H354" s="6"/>
      <c r="I354" s="6"/>
      <c r="J354" s="6"/>
      <c r="K354" s="6"/>
      <c r="L354" s="6"/>
      <c r="M354" s="6"/>
      <c r="N354" s="137"/>
      <c r="O354" s="137"/>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row>
    <row r="355" ht="14.25" customHeight="1">
      <c r="A355" s="6"/>
      <c r="B355" s="6"/>
      <c r="C355" s="6"/>
      <c r="D355" s="6"/>
      <c r="E355" s="6"/>
      <c r="F355" s="6"/>
      <c r="G355" s="6"/>
      <c r="H355" s="6"/>
      <c r="I355" s="6"/>
      <c r="J355" s="6"/>
      <c r="K355" s="6"/>
      <c r="L355" s="6"/>
      <c r="M355" s="6"/>
      <c r="N355" s="137"/>
      <c r="O355" s="137"/>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row>
    <row r="356" ht="14.25" customHeight="1">
      <c r="A356" s="6"/>
      <c r="B356" s="6"/>
      <c r="C356" s="6"/>
      <c r="D356" s="6"/>
      <c r="E356" s="6"/>
      <c r="F356" s="6"/>
      <c r="G356" s="6"/>
      <c r="H356" s="6"/>
      <c r="I356" s="6"/>
      <c r="J356" s="6"/>
      <c r="K356" s="6"/>
      <c r="L356" s="6"/>
      <c r="M356" s="6"/>
      <c r="N356" s="137"/>
      <c r="O356" s="137"/>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row>
    <row r="357" ht="14.25" customHeight="1">
      <c r="A357" s="6"/>
      <c r="B357" s="6"/>
      <c r="C357" s="6"/>
      <c r="D357" s="6"/>
      <c r="E357" s="6"/>
      <c r="F357" s="6"/>
      <c r="G357" s="6"/>
      <c r="H357" s="6"/>
      <c r="I357" s="6"/>
      <c r="J357" s="6"/>
      <c r="K357" s="6"/>
      <c r="L357" s="6"/>
      <c r="M357" s="6"/>
      <c r="N357" s="137"/>
      <c r="O357" s="137"/>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row>
    <row r="358" ht="14.25" customHeight="1">
      <c r="A358" s="6"/>
      <c r="B358" s="6"/>
      <c r="C358" s="6"/>
      <c r="D358" s="6"/>
      <c r="E358" s="6"/>
      <c r="F358" s="6"/>
      <c r="G358" s="6"/>
      <c r="H358" s="6"/>
      <c r="I358" s="6"/>
      <c r="J358" s="6"/>
      <c r="K358" s="6"/>
      <c r="L358" s="6"/>
      <c r="M358" s="6"/>
      <c r="N358" s="137"/>
      <c r="O358" s="137"/>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row>
    <row r="359" ht="14.25" customHeight="1">
      <c r="A359" s="6"/>
      <c r="B359" s="6"/>
      <c r="C359" s="6"/>
      <c r="D359" s="6"/>
      <c r="E359" s="6"/>
      <c r="F359" s="6"/>
      <c r="G359" s="6"/>
      <c r="H359" s="6"/>
      <c r="I359" s="6"/>
      <c r="J359" s="6"/>
      <c r="K359" s="6"/>
      <c r="L359" s="6"/>
      <c r="M359" s="6"/>
      <c r="N359" s="137"/>
      <c r="O359" s="137"/>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row>
    <row r="360" ht="14.25" customHeight="1">
      <c r="A360" s="6"/>
      <c r="B360" s="6"/>
      <c r="C360" s="6"/>
      <c r="D360" s="6"/>
      <c r="E360" s="6"/>
      <c r="F360" s="6"/>
      <c r="G360" s="6"/>
      <c r="H360" s="6"/>
      <c r="I360" s="6"/>
      <c r="J360" s="6"/>
      <c r="K360" s="6"/>
      <c r="L360" s="6"/>
      <c r="M360" s="6"/>
      <c r="N360" s="137"/>
      <c r="O360" s="137"/>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row>
    <row r="361" ht="14.25" customHeight="1">
      <c r="A361" s="6"/>
      <c r="B361" s="6"/>
      <c r="C361" s="6"/>
      <c r="D361" s="6"/>
      <c r="E361" s="6"/>
      <c r="F361" s="6"/>
      <c r="G361" s="6"/>
      <c r="H361" s="6"/>
      <c r="I361" s="6"/>
      <c r="J361" s="6"/>
      <c r="K361" s="6"/>
      <c r="L361" s="6"/>
      <c r="M361" s="6"/>
      <c r="N361" s="137"/>
      <c r="O361" s="137"/>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row>
    <row r="362" ht="14.25" customHeight="1">
      <c r="A362" s="6"/>
      <c r="B362" s="6"/>
      <c r="C362" s="6"/>
      <c r="D362" s="6"/>
      <c r="E362" s="6"/>
      <c r="F362" s="6"/>
      <c r="G362" s="6"/>
      <c r="H362" s="6"/>
      <c r="I362" s="6"/>
      <c r="J362" s="6"/>
      <c r="K362" s="6"/>
      <c r="L362" s="6"/>
      <c r="M362" s="6"/>
      <c r="N362" s="137"/>
      <c r="O362" s="137"/>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row>
    <row r="363" ht="14.25" customHeight="1">
      <c r="A363" s="6"/>
      <c r="B363" s="6"/>
      <c r="C363" s="6"/>
      <c r="D363" s="6"/>
      <c r="E363" s="6"/>
      <c r="F363" s="6"/>
      <c r="G363" s="6"/>
      <c r="H363" s="6"/>
      <c r="I363" s="6"/>
      <c r="J363" s="6"/>
      <c r="K363" s="6"/>
      <c r="L363" s="6"/>
      <c r="M363" s="6"/>
      <c r="N363" s="137"/>
      <c r="O363" s="137"/>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row>
    <row r="364" ht="14.25" customHeight="1">
      <c r="A364" s="6"/>
      <c r="B364" s="6"/>
      <c r="C364" s="6"/>
      <c r="D364" s="6"/>
      <c r="E364" s="6"/>
      <c r="F364" s="6"/>
      <c r="G364" s="6"/>
      <c r="H364" s="6"/>
      <c r="I364" s="6"/>
      <c r="J364" s="6"/>
      <c r="K364" s="6"/>
      <c r="L364" s="6"/>
      <c r="M364" s="6"/>
      <c r="N364" s="137"/>
      <c r="O364" s="137"/>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row>
    <row r="365" ht="14.25" customHeight="1">
      <c r="A365" s="6"/>
      <c r="B365" s="6"/>
      <c r="C365" s="6"/>
      <c r="D365" s="6"/>
      <c r="E365" s="6"/>
      <c r="F365" s="6"/>
      <c r="G365" s="6"/>
      <c r="H365" s="6"/>
      <c r="I365" s="6"/>
      <c r="J365" s="6"/>
      <c r="K365" s="6"/>
      <c r="L365" s="6"/>
      <c r="M365" s="6"/>
      <c r="N365" s="137"/>
      <c r="O365" s="137"/>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row>
    <row r="366" ht="14.25" customHeight="1">
      <c r="A366" s="6"/>
      <c r="B366" s="6"/>
      <c r="C366" s="6"/>
      <c r="D366" s="6"/>
      <c r="E366" s="6"/>
      <c r="F366" s="6"/>
      <c r="G366" s="6"/>
      <c r="H366" s="6"/>
      <c r="I366" s="6"/>
      <c r="J366" s="6"/>
      <c r="K366" s="6"/>
      <c r="L366" s="6"/>
      <c r="M366" s="6"/>
      <c r="N366" s="137"/>
      <c r="O366" s="137"/>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row>
    <row r="367" ht="14.25" customHeight="1">
      <c r="A367" s="6"/>
      <c r="B367" s="6"/>
      <c r="C367" s="6"/>
      <c r="D367" s="6"/>
      <c r="E367" s="6"/>
      <c r="F367" s="6"/>
      <c r="G367" s="6"/>
      <c r="H367" s="6"/>
      <c r="I367" s="6"/>
      <c r="J367" s="6"/>
      <c r="K367" s="6"/>
      <c r="L367" s="6"/>
      <c r="M367" s="6"/>
      <c r="N367" s="137"/>
      <c r="O367" s="137"/>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row>
    <row r="368" ht="14.25" customHeight="1">
      <c r="A368" s="6"/>
      <c r="B368" s="6"/>
      <c r="C368" s="6"/>
      <c r="D368" s="6"/>
      <c r="E368" s="6"/>
      <c r="F368" s="6"/>
      <c r="G368" s="6"/>
      <c r="H368" s="6"/>
      <c r="I368" s="6"/>
      <c r="J368" s="6"/>
      <c r="K368" s="6"/>
      <c r="L368" s="6"/>
      <c r="M368" s="6"/>
      <c r="N368" s="137"/>
      <c r="O368" s="137"/>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row>
    <row r="369" ht="14.25" customHeight="1">
      <c r="A369" s="6"/>
      <c r="B369" s="6"/>
      <c r="C369" s="6"/>
      <c r="D369" s="6"/>
      <c r="E369" s="6"/>
      <c r="F369" s="6"/>
      <c r="G369" s="6"/>
      <c r="H369" s="6"/>
      <c r="I369" s="6"/>
      <c r="J369" s="6"/>
      <c r="K369" s="6"/>
      <c r="L369" s="6"/>
      <c r="M369" s="6"/>
      <c r="N369" s="137"/>
      <c r="O369" s="137"/>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row>
    <row r="370" ht="14.25" customHeight="1">
      <c r="A370" s="6"/>
      <c r="B370" s="6"/>
      <c r="C370" s="6"/>
      <c r="D370" s="6"/>
      <c r="E370" s="6"/>
      <c r="F370" s="6"/>
      <c r="G370" s="6"/>
      <c r="H370" s="6"/>
      <c r="I370" s="6"/>
      <c r="J370" s="6"/>
      <c r="K370" s="6"/>
      <c r="L370" s="6"/>
      <c r="M370" s="6"/>
      <c r="N370" s="137"/>
      <c r="O370" s="137"/>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row>
    <row r="371" ht="14.25" customHeight="1">
      <c r="A371" s="6"/>
      <c r="B371" s="6"/>
      <c r="C371" s="6"/>
      <c r="D371" s="6"/>
      <c r="E371" s="6"/>
      <c r="F371" s="6"/>
      <c r="G371" s="6"/>
      <c r="H371" s="6"/>
      <c r="I371" s="6"/>
      <c r="J371" s="6"/>
      <c r="K371" s="6"/>
      <c r="L371" s="6"/>
      <c r="M371" s="6"/>
      <c r="N371" s="137"/>
      <c r="O371" s="137"/>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row>
    <row r="372" ht="14.25" customHeight="1">
      <c r="A372" s="6"/>
      <c r="B372" s="6"/>
      <c r="C372" s="6"/>
      <c r="D372" s="6"/>
      <c r="E372" s="6"/>
      <c r="F372" s="6"/>
      <c r="G372" s="6"/>
      <c r="H372" s="6"/>
      <c r="I372" s="6"/>
      <c r="J372" s="6"/>
      <c r="K372" s="6"/>
      <c r="L372" s="6"/>
      <c r="M372" s="6"/>
      <c r="N372" s="137"/>
      <c r="O372" s="137"/>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row>
    <row r="373" ht="14.25" customHeight="1">
      <c r="A373" s="6"/>
      <c r="B373" s="6"/>
      <c r="C373" s="6"/>
      <c r="D373" s="6"/>
      <c r="E373" s="6"/>
      <c r="F373" s="6"/>
      <c r="G373" s="6"/>
      <c r="H373" s="6"/>
      <c r="I373" s="6"/>
      <c r="J373" s="6"/>
      <c r="K373" s="6"/>
      <c r="L373" s="6"/>
      <c r="M373" s="6"/>
      <c r="N373" s="137"/>
      <c r="O373" s="137"/>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row>
    <row r="374" ht="14.25" customHeight="1">
      <c r="A374" s="6"/>
      <c r="B374" s="6"/>
      <c r="C374" s="6"/>
      <c r="D374" s="6"/>
      <c r="E374" s="6"/>
      <c r="F374" s="6"/>
      <c r="G374" s="6"/>
      <c r="H374" s="6"/>
      <c r="I374" s="6"/>
      <c r="J374" s="6"/>
      <c r="K374" s="6"/>
      <c r="L374" s="6"/>
      <c r="M374" s="6"/>
      <c r="N374" s="137"/>
      <c r="O374" s="137"/>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row>
    <row r="375" ht="14.25" customHeight="1">
      <c r="A375" s="6"/>
      <c r="B375" s="6"/>
      <c r="C375" s="6"/>
      <c r="D375" s="6"/>
      <c r="E375" s="6"/>
      <c r="F375" s="6"/>
      <c r="G375" s="6"/>
      <c r="H375" s="6"/>
      <c r="I375" s="6"/>
      <c r="J375" s="6"/>
      <c r="K375" s="6"/>
      <c r="L375" s="6"/>
      <c r="M375" s="6"/>
      <c r="N375" s="137"/>
      <c r="O375" s="137"/>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row>
    <row r="376" ht="14.25" customHeight="1">
      <c r="A376" s="6"/>
      <c r="B376" s="6"/>
      <c r="C376" s="6"/>
      <c r="D376" s="6"/>
      <c r="E376" s="6"/>
      <c r="F376" s="6"/>
      <c r="G376" s="6"/>
      <c r="H376" s="6"/>
      <c r="I376" s="6"/>
      <c r="J376" s="6"/>
      <c r="K376" s="6"/>
      <c r="L376" s="6"/>
      <c r="M376" s="6"/>
      <c r="N376" s="137"/>
      <c r="O376" s="137"/>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row>
    <row r="377" ht="14.25" customHeight="1">
      <c r="A377" s="6"/>
      <c r="B377" s="6"/>
      <c r="C377" s="6"/>
      <c r="D377" s="6"/>
      <c r="E377" s="6"/>
      <c r="F377" s="6"/>
      <c r="G377" s="6"/>
      <c r="H377" s="6"/>
      <c r="I377" s="6"/>
      <c r="J377" s="6"/>
      <c r="K377" s="6"/>
      <c r="L377" s="6"/>
      <c r="M377" s="6"/>
      <c r="N377" s="137"/>
      <c r="O377" s="137"/>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row>
    <row r="378" ht="14.25" customHeight="1">
      <c r="A378" s="6"/>
      <c r="B378" s="6"/>
      <c r="C378" s="6"/>
      <c r="D378" s="6"/>
      <c r="E378" s="6"/>
      <c r="F378" s="6"/>
      <c r="G378" s="6"/>
      <c r="H378" s="6"/>
      <c r="I378" s="6"/>
      <c r="J378" s="6"/>
      <c r="K378" s="6"/>
      <c r="L378" s="6"/>
      <c r="M378" s="6"/>
      <c r="N378" s="137"/>
      <c r="O378" s="137"/>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row>
    <row r="379" ht="14.25" customHeight="1">
      <c r="A379" s="6"/>
      <c r="B379" s="6"/>
      <c r="C379" s="6"/>
      <c r="D379" s="6"/>
      <c r="E379" s="6"/>
      <c r="F379" s="6"/>
      <c r="G379" s="6"/>
      <c r="H379" s="6"/>
      <c r="I379" s="6"/>
      <c r="J379" s="6"/>
      <c r="K379" s="6"/>
      <c r="L379" s="6"/>
      <c r="M379" s="6"/>
      <c r="N379" s="137"/>
      <c r="O379" s="137"/>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row>
    <row r="380" ht="14.25" customHeight="1">
      <c r="A380" s="6"/>
      <c r="B380" s="6"/>
      <c r="C380" s="6"/>
      <c r="D380" s="6"/>
      <c r="E380" s="6"/>
      <c r="F380" s="6"/>
      <c r="G380" s="6"/>
      <c r="H380" s="6"/>
      <c r="I380" s="6"/>
      <c r="J380" s="6"/>
      <c r="K380" s="6"/>
      <c r="L380" s="6"/>
      <c r="M380" s="6"/>
      <c r="N380" s="137"/>
      <c r="O380" s="137"/>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row>
    <row r="381" ht="14.25" customHeight="1">
      <c r="A381" s="6"/>
      <c r="B381" s="6"/>
      <c r="C381" s="6"/>
      <c r="D381" s="6"/>
      <c r="E381" s="6"/>
      <c r="F381" s="6"/>
      <c r="G381" s="6"/>
      <c r="H381" s="6"/>
      <c r="I381" s="6"/>
      <c r="J381" s="6"/>
      <c r="K381" s="6"/>
      <c r="L381" s="6"/>
      <c r="M381" s="6"/>
      <c r="N381" s="137"/>
      <c r="O381" s="137"/>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row>
    <row r="382" ht="14.25" customHeight="1">
      <c r="A382" s="6"/>
      <c r="B382" s="6"/>
      <c r="C382" s="6"/>
      <c r="D382" s="6"/>
      <c r="E382" s="6"/>
      <c r="F382" s="6"/>
      <c r="G382" s="6"/>
      <c r="H382" s="6"/>
      <c r="I382" s="6"/>
      <c r="J382" s="6"/>
      <c r="K382" s="6"/>
      <c r="L382" s="6"/>
      <c r="M382" s="6"/>
      <c r="N382" s="137"/>
      <c r="O382" s="137"/>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row>
    <row r="383" ht="14.25" customHeight="1">
      <c r="A383" s="6"/>
      <c r="B383" s="6"/>
      <c r="C383" s="6"/>
      <c r="D383" s="6"/>
      <c r="E383" s="6"/>
      <c r="F383" s="6"/>
      <c r="G383" s="6"/>
      <c r="H383" s="6"/>
      <c r="I383" s="6"/>
      <c r="J383" s="6"/>
      <c r="K383" s="6"/>
      <c r="L383" s="6"/>
      <c r="M383" s="6"/>
      <c r="N383" s="137"/>
      <c r="O383" s="137"/>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row>
    <row r="384" ht="14.25" customHeight="1">
      <c r="A384" s="6"/>
      <c r="B384" s="6"/>
      <c r="C384" s="6"/>
      <c r="D384" s="6"/>
      <c r="E384" s="6"/>
      <c r="F384" s="6"/>
      <c r="G384" s="6"/>
      <c r="H384" s="6"/>
      <c r="I384" s="6"/>
      <c r="J384" s="6"/>
      <c r="K384" s="6"/>
      <c r="L384" s="6"/>
      <c r="M384" s="6"/>
      <c r="N384" s="137"/>
      <c r="O384" s="137"/>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row>
    <row r="385" ht="14.25" customHeight="1">
      <c r="A385" s="6"/>
      <c r="B385" s="6"/>
      <c r="C385" s="6"/>
      <c r="D385" s="6"/>
      <c r="E385" s="6"/>
      <c r="F385" s="6"/>
      <c r="G385" s="6"/>
      <c r="H385" s="6"/>
      <c r="I385" s="6"/>
      <c r="J385" s="6"/>
      <c r="K385" s="6"/>
      <c r="L385" s="6"/>
      <c r="M385" s="6"/>
      <c r="N385" s="137"/>
      <c r="O385" s="137"/>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row>
    <row r="386" ht="14.25" customHeight="1">
      <c r="A386" s="6"/>
      <c r="B386" s="6"/>
      <c r="C386" s="6"/>
      <c r="D386" s="6"/>
      <c r="E386" s="6"/>
      <c r="F386" s="6"/>
      <c r="G386" s="6"/>
      <c r="H386" s="6"/>
      <c r="I386" s="6"/>
      <c r="J386" s="6"/>
      <c r="K386" s="6"/>
      <c r="L386" s="6"/>
      <c r="M386" s="6"/>
      <c r="N386" s="137"/>
      <c r="O386" s="137"/>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row>
    <row r="387" ht="14.25" customHeight="1">
      <c r="A387" s="6"/>
      <c r="B387" s="6"/>
      <c r="C387" s="6"/>
      <c r="D387" s="6"/>
      <c r="E387" s="6"/>
      <c r="F387" s="6"/>
      <c r="G387" s="6"/>
      <c r="H387" s="6"/>
      <c r="I387" s="6"/>
      <c r="J387" s="6"/>
      <c r="K387" s="6"/>
      <c r="L387" s="6"/>
      <c r="M387" s="6"/>
      <c r="N387" s="137"/>
      <c r="O387" s="137"/>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row>
    <row r="388" ht="14.25" customHeight="1">
      <c r="A388" s="6"/>
      <c r="B388" s="6"/>
      <c r="C388" s="6"/>
      <c r="D388" s="6"/>
      <c r="E388" s="6"/>
      <c r="F388" s="6"/>
      <c r="G388" s="6"/>
      <c r="H388" s="6"/>
      <c r="I388" s="6"/>
      <c r="J388" s="6"/>
      <c r="K388" s="6"/>
      <c r="L388" s="6"/>
      <c r="M388" s="6"/>
      <c r="N388" s="137"/>
      <c r="O388" s="137"/>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row>
    <row r="389" ht="14.25" customHeight="1">
      <c r="A389" s="6"/>
      <c r="B389" s="6"/>
      <c r="C389" s="6"/>
      <c r="D389" s="6"/>
      <c r="E389" s="6"/>
      <c r="F389" s="6"/>
      <c r="G389" s="6"/>
      <c r="H389" s="6"/>
      <c r="I389" s="6"/>
      <c r="J389" s="6"/>
      <c r="K389" s="6"/>
      <c r="L389" s="6"/>
      <c r="M389" s="6"/>
      <c r="N389" s="137"/>
      <c r="O389" s="137"/>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row>
    <row r="390" ht="14.25" customHeight="1">
      <c r="A390" s="6"/>
      <c r="B390" s="6"/>
      <c r="C390" s="6"/>
      <c r="D390" s="6"/>
      <c r="E390" s="6"/>
      <c r="F390" s="6"/>
      <c r="G390" s="6"/>
      <c r="H390" s="6"/>
      <c r="I390" s="6"/>
      <c r="J390" s="6"/>
      <c r="K390" s="6"/>
      <c r="L390" s="6"/>
      <c r="M390" s="6"/>
      <c r="N390" s="137"/>
      <c r="O390" s="137"/>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row>
    <row r="391" ht="14.25" customHeight="1">
      <c r="A391" s="6"/>
      <c r="B391" s="6"/>
      <c r="C391" s="6"/>
      <c r="D391" s="6"/>
      <c r="E391" s="6"/>
      <c r="F391" s="6"/>
      <c r="G391" s="6"/>
      <c r="H391" s="6"/>
      <c r="I391" s="6"/>
      <c r="J391" s="6"/>
      <c r="K391" s="6"/>
      <c r="L391" s="6"/>
      <c r="M391" s="6"/>
      <c r="N391" s="137"/>
      <c r="O391" s="137"/>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row>
    <row r="392" ht="14.25" customHeight="1">
      <c r="A392" s="6"/>
      <c r="B392" s="6"/>
      <c r="C392" s="6"/>
      <c r="D392" s="6"/>
      <c r="E392" s="6"/>
      <c r="F392" s="6"/>
      <c r="G392" s="6"/>
      <c r="H392" s="6"/>
      <c r="I392" s="6"/>
      <c r="J392" s="6"/>
      <c r="K392" s="6"/>
      <c r="L392" s="6"/>
      <c r="M392" s="6"/>
      <c r="N392" s="137"/>
      <c r="O392" s="137"/>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row>
    <row r="393" ht="14.25" customHeight="1">
      <c r="A393" s="6"/>
      <c r="B393" s="6"/>
      <c r="C393" s="6"/>
      <c r="D393" s="6"/>
      <c r="E393" s="6"/>
      <c r="F393" s="6"/>
      <c r="G393" s="6"/>
      <c r="H393" s="6"/>
      <c r="I393" s="6"/>
      <c r="J393" s="6"/>
      <c r="K393" s="6"/>
      <c r="L393" s="6"/>
      <c r="M393" s="6"/>
      <c r="N393" s="137"/>
      <c r="O393" s="137"/>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row>
    <row r="394" ht="14.25" customHeight="1">
      <c r="A394" s="6"/>
      <c r="B394" s="6"/>
      <c r="C394" s="6"/>
      <c r="D394" s="6"/>
      <c r="E394" s="6"/>
      <c r="F394" s="6"/>
      <c r="G394" s="6"/>
      <c r="H394" s="6"/>
      <c r="I394" s="6"/>
      <c r="J394" s="6"/>
      <c r="K394" s="6"/>
      <c r="L394" s="6"/>
      <c r="M394" s="6"/>
      <c r="N394" s="137"/>
      <c r="O394" s="137"/>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row>
    <row r="395" ht="14.25" customHeight="1">
      <c r="A395" s="6"/>
      <c r="B395" s="6"/>
      <c r="C395" s="6"/>
      <c r="D395" s="6"/>
      <c r="E395" s="6"/>
      <c r="F395" s="6"/>
      <c r="G395" s="6"/>
      <c r="H395" s="6"/>
      <c r="I395" s="6"/>
      <c r="J395" s="6"/>
      <c r="K395" s="6"/>
      <c r="L395" s="6"/>
      <c r="M395" s="6"/>
      <c r="N395" s="137"/>
      <c r="O395" s="137"/>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row>
    <row r="396" ht="14.25" customHeight="1">
      <c r="A396" s="6"/>
      <c r="B396" s="6"/>
      <c r="C396" s="6"/>
      <c r="D396" s="6"/>
      <c r="E396" s="6"/>
      <c r="F396" s="6"/>
      <c r="G396" s="6"/>
      <c r="H396" s="6"/>
      <c r="I396" s="6"/>
      <c r="J396" s="6"/>
      <c r="K396" s="6"/>
      <c r="L396" s="6"/>
      <c r="M396" s="6"/>
      <c r="N396" s="137"/>
      <c r="O396" s="137"/>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row>
    <row r="397" ht="14.25" customHeight="1">
      <c r="A397" s="6"/>
      <c r="B397" s="6"/>
      <c r="C397" s="6"/>
      <c r="D397" s="6"/>
      <c r="E397" s="6"/>
      <c r="F397" s="6"/>
      <c r="G397" s="6"/>
      <c r="H397" s="6"/>
      <c r="I397" s="6"/>
      <c r="J397" s="6"/>
      <c r="K397" s="6"/>
      <c r="L397" s="6"/>
      <c r="M397" s="6"/>
      <c r="N397" s="137"/>
      <c r="O397" s="137"/>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row>
    <row r="398" ht="14.25" customHeight="1">
      <c r="A398" s="6"/>
      <c r="B398" s="6"/>
      <c r="C398" s="6"/>
      <c r="D398" s="6"/>
      <c r="E398" s="6"/>
      <c r="F398" s="6"/>
      <c r="G398" s="6"/>
      <c r="H398" s="6"/>
      <c r="I398" s="6"/>
      <c r="J398" s="6"/>
      <c r="K398" s="6"/>
      <c r="L398" s="6"/>
      <c r="M398" s="6"/>
      <c r="N398" s="137"/>
      <c r="O398" s="137"/>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row>
    <row r="399" ht="14.25" customHeight="1">
      <c r="A399" s="6"/>
      <c r="B399" s="6"/>
      <c r="C399" s="6"/>
      <c r="D399" s="6"/>
      <c r="E399" s="6"/>
      <c r="F399" s="6"/>
      <c r="G399" s="6"/>
      <c r="H399" s="6"/>
      <c r="I399" s="6"/>
      <c r="J399" s="6"/>
      <c r="K399" s="6"/>
      <c r="L399" s="6"/>
      <c r="M399" s="6"/>
      <c r="N399" s="137"/>
      <c r="O399" s="137"/>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row>
    <row r="400" ht="14.25" customHeight="1">
      <c r="A400" s="6"/>
      <c r="B400" s="6"/>
      <c r="C400" s="6"/>
      <c r="D400" s="6"/>
      <c r="E400" s="6"/>
      <c r="F400" s="6"/>
      <c r="G400" s="6"/>
      <c r="H400" s="6"/>
      <c r="I400" s="6"/>
      <c r="J400" s="6"/>
      <c r="K400" s="6"/>
      <c r="L400" s="6"/>
      <c r="M400" s="6"/>
      <c r="N400" s="137"/>
      <c r="O400" s="137"/>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row>
    <row r="401" ht="14.25" customHeight="1">
      <c r="A401" s="6"/>
      <c r="B401" s="6"/>
      <c r="C401" s="6"/>
      <c r="D401" s="6"/>
      <c r="E401" s="6"/>
      <c r="F401" s="6"/>
      <c r="G401" s="6"/>
      <c r="H401" s="6"/>
      <c r="I401" s="6"/>
      <c r="J401" s="6"/>
      <c r="K401" s="6"/>
      <c r="L401" s="6"/>
      <c r="M401" s="6"/>
      <c r="N401" s="137"/>
      <c r="O401" s="137"/>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row>
    <row r="402" ht="14.25" customHeight="1">
      <c r="A402" s="6"/>
      <c r="B402" s="6"/>
      <c r="C402" s="6"/>
      <c r="D402" s="6"/>
      <c r="E402" s="6"/>
      <c r="F402" s="6"/>
      <c r="G402" s="6"/>
      <c r="H402" s="6"/>
      <c r="I402" s="6"/>
      <c r="J402" s="6"/>
      <c r="K402" s="6"/>
      <c r="L402" s="6"/>
      <c r="M402" s="6"/>
      <c r="N402" s="137"/>
      <c r="O402" s="137"/>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row>
    <row r="403" ht="14.25" customHeight="1">
      <c r="A403" s="6"/>
      <c r="B403" s="6"/>
      <c r="C403" s="6"/>
      <c r="D403" s="6"/>
      <c r="E403" s="6"/>
      <c r="F403" s="6"/>
      <c r="G403" s="6"/>
      <c r="H403" s="6"/>
      <c r="I403" s="6"/>
      <c r="J403" s="6"/>
      <c r="K403" s="6"/>
      <c r="L403" s="6"/>
      <c r="M403" s="6"/>
      <c r="N403" s="137"/>
      <c r="O403" s="137"/>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row>
    <row r="404" ht="14.25" customHeight="1">
      <c r="A404" s="6"/>
      <c r="B404" s="6"/>
      <c r="C404" s="6"/>
      <c r="D404" s="6"/>
      <c r="E404" s="6"/>
      <c r="F404" s="6"/>
      <c r="G404" s="6"/>
      <c r="H404" s="6"/>
      <c r="I404" s="6"/>
      <c r="J404" s="6"/>
      <c r="K404" s="6"/>
      <c r="L404" s="6"/>
      <c r="M404" s="6"/>
      <c r="N404" s="137"/>
      <c r="O404" s="137"/>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row>
    <row r="405" ht="14.25" customHeight="1">
      <c r="A405" s="6"/>
      <c r="B405" s="6"/>
      <c r="C405" s="6"/>
      <c r="D405" s="6"/>
      <c r="E405" s="6"/>
      <c r="F405" s="6"/>
      <c r="G405" s="6"/>
      <c r="H405" s="6"/>
      <c r="I405" s="6"/>
      <c r="J405" s="6"/>
      <c r="K405" s="6"/>
      <c r="L405" s="6"/>
      <c r="M405" s="6"/>
      <c r="N405" s="137"/>
      <c r="O405" s="137"/>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row>
    <row r="406" ht="14.25" customHeight="1">
      <c r="A406" s="6"/>
      <c r="B406" s="6"/>
      <c r="C406" s="6"/>
      <c r="D406" s="6"/>
      <c r="E406" s="6"/>
      <c r="F406" s="6"/>
      <c r="G406" s="6"/>
      <c r="H406" s="6"/>
      <c r="I406" s="6"/>
      <c r="J406" s="6"/>
      <c r="K406" s="6"/>
      <c r="L406" s="6"/>
      <c r="M406" s="6"/>
      <c r="N406" s="137"/>
      <c r="O406" s="137"/>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row>
    <row r="407" ht="14.25" customHeight="1">
      <c r="A407" s="6"/>
      <c r="B407" s="6"/>
      <c r="C407" s="6"/>
      <c r="D407" s="6"/>
      <c r="E407" s="6"/>
      <c r="F407" s="6"/>
      <c r="G407" s="6"/>
      <c r="H407" s="6"/>
      <c r="I407" s="6"/>
      <c r="J407" s="6"/>
      <c r="K407" s="6"/>
      <c r="L407" s="6"/>
      <c r="M407" s="6"/>
      <c r="N407" s="137"/>
      <c r="O407" s="137"/>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row>
    <row r="408" ht="14.25" customHeight="1">
      <c r="A408" s="6"/>
      <c r="B408" s="6"/>
      <c r="C408" s="6"/>
      <c r="D408" s="6"/>
      <c r="E408" s="6"/>
      <c r="F408" s="6"/>
      <c r="G408" s="6"/>
      <c r="H408" s="6"/>
      <c r="I408" s="6"/>
      <c r="J408" s="6"/>
      <c r="K408" s="6"/>
      <c r="L408" s="6"/>
      <c r="M408" s="6"/>
      <c r="N408" s="137"/>
      <c r="O408" s="137"/>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row>
    <row r="409" ht="14.25" customHeight="1">
      <c r="A409" s="6"/>
      <c r="B409" s="6"/>
      <c r="C409" s="6"/>
      <c r="D409" s="6"/>
      <c r="E409" s="6"/>
      <c r="F409" s="6"/>
      <c r="G409" s="6"/>
      <c r="H409" s="6"/>
      <c r="I409" s="6"/>
      <c r="J409" s="6"/>
      <c r="K409" s="6"/>
      <c r="L409" s="6"/>
      <c r="M409" s="6"/>
      <c r="N409" s="137"/>
      <c r="O409" s="137"/>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row>
    <row r="410" ht="14.25" customHeight="1">
      <c r="A410" s="6"/>
      <c r="B410" s="6"/>
      <c r="C410" s="6"/>
      <c r="D410" s="6"/>
      <c r="E410" s="6"/>
      <c r="F410" s="6"/>
      <c r="G410" s="6"/>
      <c r="H410" s="6"/>
      <c r="I410" s="6"/>
      <c r="J410" s="6"/>
      <c r="K410" s="6"/>
      <c r="L410" s="6"/>
      <c r="M410" s="6"/>
      <c r="N410" s="137"/>
      <c r="O410" s="137"/>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row>
    <row r="411" ht="14.25" customHeight="1">
      <c r="A411" s="6"/>
      <c r="B411" s="6"/>
      <c r="C411" s="6"/>
      <c r="D411" s="6"/>
      <c r="E411" s="6"/>
      <c r="F411" s="6"/>
      <c r="G411" s="6"/>
      <c r="H411" s="6"/>
      <c r="I411" s="6"/>
      <c r="J411" s="6"/>
      <c r="K411" s="6"/>
      <c r="L411" s="6"/>
      <c r="M411" s="6"/>
      <c r="N411" s="137"/>
      <c r="O411" s="137"/>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row>
    <row r="412" ht="14.25" customHeight="1">
      <c r="A412" s="6"/>
      <c r="B412" s="6"/>
      <c r="C412" s="6"/>
      <c r="D412" s="6"/>
      <c r="E412" s="6"/>
      <c r="F412" s="6"/>
      <c r="G412" s="6"/>
      <c r="H412" s="6"/>
      <c r="I412" s="6"/>
      <c r="J412" s="6"/>
      <c r="K412" s="6"/>
      <c r="L412" s="6"/>
      <c r="M412" s="6"/>
      <c r="N412" s="137"/>
      <c r="O412" s="137"/>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row>
    <row r="413" ht="14.25" customHeight="1">
      <c r="A413" s="6"/>
      <c r="B413" s="6"/>
      <c r="C413" s="6"/>
      <c r="D413" s="6"/>
      <c r="E413" s="6"/>
      <c r="F413" s="6"/>
      <c r="G413" s="6"/>
      <c r="H413" s="6"/>
      <c r="I413" s="6"/>
      <c r="J413" s="6"/>
      <c r="K413" s="6"/>
      <c r="L413" s="6"/>
      <c r="M413" s="6"/>
      <c r="N413" s="137"/>
      <c r="O413" s="137"/>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row>
    <row r="414" ht="14.25" customHeight="1">
      <c r="A414" s="6"/>
      <c r="B414" s="6"/>
      <c r="C414" s="6"/>
      <c r="D414" s="6"/>
      <c r="E414" s="6"/>
      <c r="F414" s="6"/>
      <c r="G414" s="6"/>
      <c r="H414" s="6"/>
      <c r="I414" s="6"/>
      <c r="J414" s="6"/>
      <c r="K414" s="6"/>
      <c r="L414" s="6"/>
      <c r="M414" s="6"/>
      <c r="N414" s="137"/>
      <c r="O414" s="137"/>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row>
    <row r="415" ht="14.25" customHeight="1">
      <c r="A415" s="6"/>
      <c r="B415" s="6"/>
      <c r="C415" s="6"/>
      <c r="D415" s="6"/>
      <c r="E415" s="6"/>
      <c r="F415" s="6"/>
      <c r="G415" s="6"/>
      <c r="H415" s="6"/>
      <c r="I415" s="6"/>
      <c r="J415" s="6"/>
      <c r="K415" s="6"/>
      <c r="L415" s="6"/>
      <c r="M415" s="6"/>
      <c r="N415" s="137"/>
      <c r="O415" s="137"/>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row>
    <row r="416" ht="14.25" customHeight="1">
      <c r="A416" s="6"/>
      <c r="B416" s="6"/>
      <c r="C416" s="6"/>
      <c r="D416" s="6"/>
      <c r="E416" s="6"/>
      <c r="F416" s="6"/>
      <c r="G416" s="6"/>
      <c r="H416" s="6"/>
      <c r="I416" s="6"/>
      <c r="J416" s="6"/>
      <c r="K416" s="6"/>
      <c r="L416" s="6"/>
      <c r="M416" s="6"/>
      <c r="N416" s="137"/>
      <c r="O416" s="137"/>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row>
    <row r="417" ht="14.25" customHeight="1">
      <c r="A417" s="6"/>
      <c r="B417" s="6"/>
      <c r="C417" s="6"/>
      <c r="D417" s="6"/>
      <c r="E417" s="6"/>
      <c r="F417" s="6"/>
      <c r="G417" s="6"/>
      <c r="H417" s="6"/>
      <c r="I417" s="6"/>
      <c r="J417" s="6"/>
      <c r="K417" s="6"/>
      <c r="L417" s="6"/>
      <c r="M417" s="6"/>
      <c r="N417" s="137"/>
      <c r="O417" s="137"/>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row>
    <row r="418" ht="14.25" customHeight="1">
      <c r="A418" s="6"/>
      <c r="B418" s="6"/>
      <c r="C418" s="6"/>
      <c r="D418" s="6"/>
      <c r="E418" s="6"/>
      <c r="F418" s="6"/>
      <c r="G418" s="6"/>
      <c r="H418" s="6"/>
      <c r="I418" s="6"/>
      <c r="J418" s="6"/>
      <c r="K418" s="6"/>
      <c r="L418" s="6"/>
      <c r="M418" s="6"/>
      <c r="N418" s="137"/>
      <c r="O418" s="137"/>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row>
    <row r="419" ht="14.25" customHeight="1">
      <c r="A419" s="6"/>
      <c r="B419" s="6"/>
      <c r="C419" s="6"/>
      <c r="D419" s="6"/>
      <c r="E419" s="6"/>
      <c r="F419" s="6"/>
      <c r="G419" s="6"/>
      <c r="H419" s="6"/>
      <c r="I419" s="6"/>
      <c r="J419" s="6"/>
      <c r="K419" s="6"/>
      <c r="L419" s="6"/>
      <c r="M419" s="6"/>
      <c r="N419" s="137"/>
      <c r="O419" s="137"/>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row>
    <row r="420" ht="14.25" customHeight="1">
      <c r="A420" s="6"/>
      <c r="B420" s="6"/>
      <c r="C420" s="6"/>
      <c r="D420" s="6"/>
      <c r="E420" s="6"/>
      <c r="F420" s="6"/>
      <c r="G420" s="6"/>
      <c r="H420" s="6"/>
      <c r="I420" s="6"/>
      <c r="J420" s="6"/>
      <c r="K420" s="6"/>
      <c r="L420" s="6"/>
      <c r="M420" s="6"/>
      <c r="N420" s="137"/>
      <c r="O420" s="137"/>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row>
    <row r="421" ht="14.25" customHeight="1">
      <c r="A421" s="6"/>
      <c r="B421" s="6"/>
      <c r="C421" s="6"/>
      <c r="D421" s="6"/>
      <c r="E421" s="6"/>
      <c r="F421" s="6"/>
      <c r="G421" s="6"/>
      <c r="H421" s="6"/>
      <c r="I421" s="6"/>
      <c r="J421" s="6"/>
      <c r="K421" s="6"/>
      <c r="L421" s="6"/>
      <c r="M421" s="6"/>
      <c r="N421" s="137"/>
      <c r="O421" s="137"/>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row>
    <row r="422" ht="14.25" customHeight="1">
      <c r="A422" s="6"/>
      <c r="B422" s="6"/>
      <c r="C422" s="6"/>
      <c r="D422" s="6"/>
      <c r="E422" s="6"/>
      <c r="F422" s="6"/>
      <c r="G422" s="6"/>
      <c r="H422" s="6"/>
      <c r="I422" s="6"/>
      <c r="J422" s="6"/>
      <c r="K422" s="6"/>
      <c r="L422" s="6"/>
      <c r="M422" s="6"/>
      <c r="N422" s="137"/>
      <c r="O422" s="137"/>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row>
    <row r="423" ht="14.25" customHeight="1">
      <c r="A423" s="6"/>
      <c r="B423" s="6"/>
      <c r="C423" s="6"/>
      <c r="D423" s="6"/>
      <c r="E423" s="6"/>
      <c r="F423" s="6"/>
      <c r="G423" s="6"/>
      <c r="H423" s="6"/>
      <c r="I423" s="6"/>
      <c r="J423" s="6"/>
      <c r="K423" s="6"/>
      <c r="L423" s="6"/>
      <c r="M423" s="6"/>
      <c r="N423" s="137"/>
      <c r="O423" s="137"/>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row>
    <row r="424" ht="14.25" customHeight="1">
      <c r="A424" s="6"/>
      <c r="B424" s="6"/>
      <c r="C424" s="6"/>
      <c r="D424" s="6"/>
      <c r="E424" s="6"/>
      <c r="F424" s="6"/>
      <c r="G424" s="6"/>
      <c r="H424" s="6"/>
      <c r="I424" s="6"/>
      <c r="J424" s="6"/>
      <c r="K424" s="6"/>
      <c r="L424" s="6"/>
      <c r="M424" s="6"/>
      <c r="N424" s="137"/>
      <c r="O424" s="137"/>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row>
    <row r="425" ht="14.25" customHeight="1">
      <c r="A425" s="6"/>
      <c r="B425" s="6"/>
      <c r="C425" s="6"/>
      <c r="D425" s="6"/>
      <c r="E425" s="6"/>
      <c r="F425" s="6"/>
      <c r="G425" s="6"/>
      <c r="H425" s="6"/>
      <c r="I425" s="6"/>
      <c r="J425" s="6"/>
      <c r="K425" s="6"/>
      <c r="L425" s="6"/>
      <c r="M425" s="6"/>
      <c r="N425" s="137"/>
      <c r="O425" s="137"/>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row>
    <row r="426" ht="14.25" customHeight="1">
      <c r="A426" s="6"/>
      <c r="B426" s="6"/>
      <c r="C426" s="6"/>
      <c r="D426" s="6"/>
      <c r="E426" s="6"/>
      <c r="F426" s="6"/>
      <c r="G426" s="6"/>
      <c r="H426" s="6"/>
      <c r="I426" s="6"/>
      <c r="J426" s="6"/>
      <c r="K426" s="6"/>
      <c r="L426" s="6"/>
      <c r="M426" s="6"/>
      <c r="N426" s="137"/>
      <c r="O426" s="137"/>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row>
    <row r="427" ht="14.25" customHeight="1">
      <c r="A427" s="6"/>
      <c r="B427" s="6"/>
      <c r="C427" s="6"/>
      <c r="D427" s="6"/>
      <c r="E427" s="6"/>
      <c r="F427" s="6"/>
      <c r="G427" s="6"/>
      <c r="H427" s="6"/>
      <c r="I427" s="6"/>
      <c r="J427" s="6"/>
      <c r="K427" s="6"/>
      <c r="L427" s="6"/>
      <c r="M427" s="6"/>
      <c r="N427" s="137"/>
      <c r="O427" s="137"/>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row>
    <row r="428" ht="14.25" customHeight="1">
      <c r="A428" s="6"/>
      <c r="B428" s="6"/>
      <c r="C428" s="6"/>
      <c r="D428" s="6"/>
      <c r="E428" s="6"/>
      <c r="F428" s="6"/>
      <c r="G428" s="6"/>
      <c r="H428" s="6"/>
      <c r="I428" s="6"/>
      <c r="J428" s="6"/>
      <c r="K428" s="6"/>
      <c r="L428" s="6"/>
      <c r="M428" s="6"/>
      <c r="N428" s="137"/>
      <c r="O428" s="137"/>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row>
    <row r="429" ht="14.25" customHeight="1">
      <c r="A429" s="6"/>
      <c r="B429" s="6"/>
      <c r="C429" s="6"/>
      <c r="D429" s="6"/>
      <c r="E429" s="6"/>
      <c r="F429" s="6"/>
      <c r="G429" s="6"/>
      <c r="H429" s="6"/>
      <c r="I429" s="6"/>
      <c r="J429" s="6"/>
      <c r="K429" s="6"/>
      <c r="L429" s="6"/>
      <c r="M429" s="6"/>
      <c r="N429" s="137"/>
      <c r="O429" s="137"/>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row>
    <row r="430" ht="14.25" customHeight="1">
      <c r="A430" s="6"/>
      <c r="B430" s="6"/>
      <c r="C430" s="6"/>
      <c r="D430" s="6"/>
      <c r="E430" s="6"/>
      <c r="F430" s="6"/>
      <c r="G430" s="6"/>
      <c r="H430" s="6"/>
      <c r="I430" s="6"/>
      <c r="J430" s="6"/>
      <c r="K430" s="6"/>
      <c r="L430" s="6"/>
      <c r="M430" s="6"/>
      <c r="N430" s="137"/>
      <c r="O430" s="137"/>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row>
    <row r="431" ht="14.25" customHeight="1">
      <c r="A431" s="6"/>
      <c r="B431" s="6"/>
      <c r="C431" s="6"/>
      <c r="D431" s="6"/>
      <c r="E431" s="6"/>
      <c r="F431" s="6"/>
      <c r="G431" s="6"/>
      <c r="H431" s="6"/>
      <c r="I431" s="6"/>
      <c r="J431" s="6"/>
      <c r="K431" s="6"/>
      <c r="L431" s="6"/>
      <c r="M431" s="6"/>
      <c r="N431" s="137"/>
      <c r="O431" s="137"/>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row>
    <row r="432" ht="14.25" customHeight="1">
      <c r="A432" s="6"/>
      <c r="B432" s="6"/>
      <c r="C432" s="6"/>
      <c r="D432" s="6"/>
      <c r="E432" s="6"/>
      <c r="F432" s="6"/>
      <c r="G432" s="6"/>
      <c r="H432" s="6"/>
      <c r="I432" s="6"/>
      <c r="J432" s="6"/>
      <c r="K432" s="6"/>
      <c r="L432" s="6"/>
      <c r="M432" s="6"/>
      <c r="N432" s="137"/>
      <c r="O432" s="137"/>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row>
    <row r="433" ht="14.25" customHeight="1">
      <c r="A433" s="6"/>
      <c r="B433" s="6"/>
      <c r="C433" s="6"/>
      <c r="D433" s="6"/>
      <c r="E433" s="6"/>
      <c r="F433" s="6"/>
      <c r="G433" s="6"/>
      <c r="H433" s="6"/>
      <c r="I433" s="6"/>
      <c r="J433" s="6"/>
      <c r="K433" s="6"/>
      <c r="L433" s="6"/>
      <c r="M433" s="6"/>
      <c r="N433" s="137"/>
      <c r="O433" s="137"/>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row>
    <row r="434" ht="14.25" customHeight="1">
      <c r="A434" s="6"/>
      <c r="B434" s="6"/>
      <c r="C434" s="6"/>
      <c r="D434" s="6"/>
      <c r="E434" s="6"/>
      <c r="F434" s="6"/>
      <c r="G434" s="6"/>
      <c r="H434" s="6"/>
      <c r="I434" s="6"/>
      <c r="J434" s="6"/>
      <c r="K434" s="6"/>
      <c r="L434" s="6"/>
      <c r="M434" s="6"/>
      <c r="N434" s="137"/>
      <c r="O434" s="137"/>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row>
    <row r="435" ht="14.25" customHeight="1">
      <c r="A435" s="6"/>
      <c r="B435" s="6"/>
      <c r="C435" s="6"/>
      <c r="D435" s="6"/>
      <c r="E435" s="6"/>
      <c r="F435" s="6"/>
      <c r="G435" s="6"/>
      <c r="H435" s="6"/>
      <c r="I435" s="6"/>
      <c r="J435" s="6"/>
      <c r="K435" s="6"/>
      <c r="L435" s="6"/>
      <c r="M435" s="6"/>
      <c r="N435" s="137"/>
      <c r="O435" s="137"/>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row>
    <row r="436" ht="14.25" customHeight="1">
      <c r="A436" s="6"/>
      <c r="B436" s="6"/>
      <c r="C436" s="6"/>
      <c r="D436" s="6"/>
      <c r="E436" s="6"/>
      <c r="F436" s="6"/>
      <c r="G436" s="6"/>
      <c r="H436" s="6"/>
      <c r="I436" s="6"/>
      <c r="J436" s="6"/>
      <c r="K436" s="6"/>
      <c r="L436" s="6"/>
      <c r="M436" s="6"/>
      <c r="N436" s="137"/>
      <c r="O436" s="137"/>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row>
    <row r="437" ht="14.25" customHeight="1">
      <c r="A437" s="6"/>
      <c r="B437" s="6"/>
      <c r="C437" s="6"/>
      <c r="D437" s="6"/>
      <c r="E437" s="6"/>
      <c r="F437" s="6"/>
      <c r="G437" s="6"/>
      <c r="H437" s="6"/>
      <c r="I437" s="6"/>
      <c r="J437" s="6"/>
      <c r="K437" s="6"/>
      <c r="L437" s="6"/>
      <c r="M437" s="6"/>
      <c r="N437" s="137"/>
      <c r="O437" s="137"/>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row>
    <row r="438" ht="14.25" customHeight="1">
      <c r="A438" s="6"/>
      <c r="B438" s="6"/>
      <c r="C438" s="6"/>
      <c r="D438" s="6"/>
      <c r="E438" s="6"/>
      <c r="F438" s="6"/>
      <c r="G438" s="6"/>
      <c r="H438" s="6"/>
      <c r="I438" s="6"/>
      <c r="J438" s="6"/>
      <c r="K438" s="6"/>
      <c r="L438" s="6"/>
      <c r="M438" s="6"/>
      <c r="N438" s="137"/>
      <c r="O438" s="137"/>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row>
    <row r="439" ht="14.25" customHeight="1">
      <c r="A439" s="6"/>
      <c r="B439" s="6"/>
      <c r="C439" s="6"/>
      <c r="D439" s="6"/>
      <c r="E439" s="6"/>
      <c r="F439" s="6"/>
      <c r="G439" s="6"/>
      <c r="H439" s="6"/>
      <c r="I439" s="6"/>
      <c r="J439" s="6"/>
      <c r="K439" s="6"/>
      <c r="L439" s="6"/>
      <c r="M439" s="6"/>
      <c r="N439" s="137"/>
      <c r="O439" s="137"/>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row>
    <row r="440" ht="14.25" customHeight="1">
      <c r="A440" s="6"/>
      <c r="B440" s="6"/>
      <c r="C440" s="6"/>
      <c r="D440" s="6"/>
      <c r="E440" s="6"/>
      <c r="F440" s="6"/>
      <c r="G440" s="6"/>
      <c r="H440" s="6"/>
      <c r="I440" s="6"/>
      <c r="J440" s="6"/>
      <c r="K440" s="6"/>
      <c r="L440" s="6"/>
      <c r="M440" s="6"/>
      <c r="N440" s="137"/>
      <c r="O440" s="137"/>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row>
    <row r="441" ht="14.25" customHeight="1">
      <c r="A441" s="6"/>
      <c r="B441" s="6"/>
      <c r="C441" s="6"/>
      <c r="D441" s="6"/>
      <c r="E441" s="6"/>
      <c r="F441" s="6"/>
      <c r="G441" s="6"/>
      <c r="H441" s="6"/>
      <c r="I441" s="6"/>
      <c r="J441" s="6"/>
      <c r="K441" s="6"/>
      <c r="L441" s="6"/>
      <c r="M441" s="6"/>
      <c r="N441" s="137"/>
      <c r="O441" s="137"/>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row>
    <row r="442" ht="14.25" customHeight="1">
      <c r="A442" s="6"/>
      <c r="B442" s="6"/>
      <c r="C442" s="6"/>
      <c r="D442" s="6"/>
      <c r="E442" s="6"/>
      <c r="F442" s="6"/>
      <c r="G442" s="6"/>
      <c r="H442" s="6"/>
      <c r="I442" s="6"/>
      <c r="J442" s="6"/>
      <c r="K442" s="6"/>
      <c r="L442" s="6"/>
      <c r="M442" s="6"/>
      <c r="N442" s="137"/>
      <c r="O442" s="137"/>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row>
    <row r="443" ht="14.25" customHeight="1">
      <c r="A443" s="6"/>
      <c r="B443" s="6"/>
      <c r="C443" s="6"/>
      <c r="D443" s="6"/>
      <c r="E443" s="6"/>
      <c r="F443" s="6"/>
      <c r="G443" s="6"/>
      <c r="H443" s="6"/>
      <c r="I443" s="6"/>
      <c r="J443" s="6"/>
      <c r="K443" s="6"/>
      <c r="L443" s="6"/>
      <c r="M443" s="6"/>
      <c r="N443" s="137"/>
      <c r="O443" s="137"/>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row>
    <row r="444" ht="14.25" customHeight="1">
      <c r="A444" s="6"/>
      <c r="B444" s="6"/>
      <c r="C444" s="6"/>
      <c r="D444" s="6"/>
      <c r="E444" s="6"/>
      <c r="F444" s="6"/>
      <c r="G444" s="6"/>
      <c r="H444" s="6"/>
      <c r="I444" s="6"/>
      <c r="J444" s="6"/>
      <c r="K444" s="6"/>
      <c r="L444" s="6"/>
      <c r="M444" s="6"/>
      <c r="N444" s="137"/>
      <c r="O444" s="137"/>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row>
    <row r="445" ht="14.25" customHeight="1">
      <c r="A445" s="6"/>
      <c r="B445" s="6"/>
      <c r="C445" s="6"/>
      <c r="D445" s="6"/>
      <c r="E445" s="6"/>
      <c r="F445" s="6"/>
      <c r="G445" s="6"/>
      <c r="H445" s="6"/>
      <c r="I445" s="6"/>
      <c r="J445" s="6"/>
      <c r="K445" s="6"/>
      <c r="L445" s="6"/>
      <c r="M445" s="6"/>
      <c r="N445" s="137"/>
      <c r="O445" s="137"/>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row>
    <row r="446" ht="14.25" customHeight="1">
      <c r="A446" s="6"/>
      <c r="B446" s="6"/>
      <c r="C446" s="6"/>
      <c r="D446" s="6"/>
      <c r="E446" s="6"/>
      <c r="F446" s="6"/>
      <c r="G446" s="6"/>
      <c r="H446" s="6"/>
      <c r="I446" s="6"/>
      <c r="J446" s="6"/>
      <c r="K446" s="6"/>
      <c r="L446" s="6"/>
      <c r="M446" s="6"/>
      <c r="N446" s="137"/>
      <c r="O446" s="137"/>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row>
    <row r="447" ht="14.25" customHeight="1">
      <c r="A447" s="6"/>
      <c r="B447" s="6"/>
      <c r="C447" s="6"/>
      <c r="D447" s="6"/>
      <c r="E447" s="6"/>
      <c r="F447" s="6"/>
      <c r="G447" s="6"/>
      <c r="H447" s="6"/>
      <c r="I447" s="6"/>
      <c r="J447" s="6"/>
      <c r="K447" s="6"/>
      <c r="L447" s="6"/>
      <c r="M447" s="6"/>
      <c r="N447" s="137"/>
      <c r="O447" s="137"/>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row>
    <row r="448" ht="14.25" customHeight="1">
      <c r="A448" s="6"/>
      <c r="B448" s="6"/>
      <c r="C448" s="6"/>
      <c r="D448" s="6"/>
      <c r="E448" s="6"/>
      <c r="F448" s="6"/>
      <c r="G448" s="6"/>
      <c r="H448" s="6"/>
      <c r="I448" s="6"/>
      <c r="J448" s="6"/>
      <c r="K448" s="6"/>
      <c r="L448" s="6"/>
      <c r="M448" s="6"/>
      <c r="N448" s="137"/>
      <c r="O448" s="137"/>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row>
    <row r="449" ht="14.25" customHeight="1">
      <c r="A449" s="6"/>
      <c r="B449" s="6"/>
      <c r="C449" s="6"/>
      <c r="D449" s="6"/>
      <c r="E449" s="6"/>
      <c r="F449" s="6"/>
      <c r="G449" s="6"/>
      <c r="H449" s="6"/>
      <c r="I449" s="6"/>
      <c r="J449" s="6"/>
      <c r="K449" s="6"/>
      <c r="L449" s="6"/>
      <c r="M449" s="6"/>
      <c r="N449" s="137"/>
      <c r="O449" s="137"/>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row>
    <row r="450" ht="14.25" customHeight="1">
      <c r="A450" s="6"/>
      <c r="B450" s="6"/>
      <c r="C450" s="6"/>
      <c r="D450" s="6"/>
      <c r="E450" s="6"/>
      <c r="F450" s="6"/>
      <c r="G450" s="6"/>
      <c r="H450" s="6"/>
      <c r="I450" s="6"/>
      <c r="J450" s="6"/>
      <c r="K450" s="6"/>
      <c r="L450" s="6"/>
      <c r="M450" s="6"/>
      <c r="N450" s="137"/>
      <c r="O450" s="137"/>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row>
    <row r="451" ht="14.25" customHeight="1">
      <c r="A451" s="6"/>
      <c r="B451" s="6"/>
      <c r="C451" s="6"/>
      <c r="D451" s="6"/>
      <c r="E451" s="6"/>
      <c r="F451" s="6"/>
      <c r="G451" s="6"/>
      <c r="H451" s="6"/>
      <c r="I451" s="6"/>
      <c r="J451" s="6"/>
      <c r="K451" s="6"/>
      <c r="L451" s="6"/>
      <c r="M451" s="6"/>
      <c r="N451" s="137"/>
      <c r="O451" s="137"/>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row>
    <row r="452" ht="14.25" customHeight="1">
      <c r="A452" s="6"/>
      <c r="B452" s="6"/>
      <c r="C452" s="6"/>
      <c r="D452" s="6"/>
      <c r="E452" s="6"/>
      <c r="F452" s="6"/>
      <c r="G452" s="6"/>
      <c r="H452" s="6"/>
      <c r="I452" s="6"/>
      <c r="J452" s="6"/>
      <c r="K452" s="6"/>
      <c r="L452" s="6"/>
      <c r="M452" s="6"/>
      <c r="N452" s="137"/>
      <c r="O452" s="137"/>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row>
    <row r="453" ht="14.25" customHeight="1">
      <c r="A453" s="6"/>
      <c r="B453" s="6"/>
      <c r="C453" s="6"/>
      <c r="D453" s="6"/>
      <c r="E453" s="6"/>
      <c r="F453" s="6"/>
      <c r="G453" s="6"/>
      <c r="H453" s="6"/>
      <c r="I453" s="6"/>
      <c r="J453" s="6"/>
      <c r="K453" s="6"/>
      <c r="L453" s="6"/>
      <c r="M453" s="6"/>
      <c r="N453" s="137"/>
      <c r="O453" s="137"/>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row>
    <row r="454" ht="14.25" customHeight="1">
      <c r="A454" s="6"/>
      <c r="B454" s="6"/>
      <c r="C454" s="6"/>
      <c r="D454" s="6"/>
      <c r="E454" s="6"/>
      <c r="F454" s="6"/>
      <c r="G454" s="6"/>
      <c r="H454" s="6"/>
      <c r="I454" s="6"/>
      <c r="J454" s="6"/>
      <c r="K454" s="6"/>
      <c r="L454" s="6"/>
      <c r="M454" s="6"/>
      <c r="N454" s="137"/>
      <c r="O454" s="137"/>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row>
    <row r="455" ht="14.25" customHeight="1">
      <c r="A455" s="6"/>
      <c r="B455" s="6"/>
      <c r="C455" s="6"/>
      <c r="D455" s="6"/>
      <c r="E455" s="6"/>
      <c r="F455" s="6"/>
      <c r="G455" s="6"/>
      <c r="H455" s="6"/>
      <c r="I455" s="6"/>
      <c r="J455" s="6"/>
      <c r="K455" s="6"/>
      <c r="L455" s="6"/>
      <c r="M455" s="6"/>
      <c r="N455" s="137"/>
      <c r="O455" s="137"/>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row>
    <row r="456" ht="14.25" customHeight="1">
      <c r="A456" s="6"/>
      <c r="B456" s="6"/>
      <c r="C456" s="6"/>
      <c r="D456" s="6"/>
      <c r="E456" s="6"/>
      <c r="F456" s="6"/>
      <c r="G456" s="6"/>
      <c r="H456" s="6"/>
      <c r="I456" s="6"/>
      <c r="J456" s="6"/>
      <c r="K456" s="6"/>
      <c r="L456" s="6"/>
      <c r="M456" s="6"/>
      <c r="N456" s="137"/>
      <c r="O456" s="137"/>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row>
    <row r="457" ht="14.25" customHeight="1">
      <c r="A457" s="6"/>
      <c r="B457" s="6"/>
      <c r="C457" s="6"/>
      <c r="D457" s="6"/>
      <c r="E457" s="6"/>
      <c r="F457" s="6"/>
      <c r="G457" s="6"/>
      <c r="H457" s="6"/>
      <c r="I457" s="6"/>
      <c r="J457" s="6"/>
      <c r="K457" s="6"/>
      <c r="L457" s="6"/>
      <c r="M457" s="6"/>
      <c r="N457" s="137"/>
      <c r="O457" s="137"/>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row>
    <row r="458" ht="14.25" customHeight="1">
      <c r="A458" s="6"/>
      <c r="B458" s="6"/>
      <c r="C458" s="6"/>
      <c r="D458" s="6"/>
      <c r="E458" s="6"/>
      <c r="F458" s="6"/>
      <c r="G458" s="6"/>
      <c r="H458" s="6"/>
      <c r="I458" s="6"/>
      <c r="J458" s="6"/>
      <c r="K458" s="6"/>
      <c r="L458" s="6"/>
      <c r="M458" s="6"/>
      <c r="N458" s="137"/>
      <c r="O458" s="137"/>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row>
    <row r="459" ht="14.25" customHeight="1">
      <c r="A459" s="6"/>
      <c r="B459" s="6"/>
      <c r="C459" s="6"/>
      <c r="D459" s="6"/>
      <c r="E459" s="6"/>
      <c r="F459" s="6"/>
      <c r="G459" s="6"/>
      <c r="H459" s="6"/>
      <c r="I459" s="6"/>
      <c r="J459" s="6"/>
      <c r="K459" s="6"/>
      <c r="L459" s="6"/>
      <c r="M459" s="6"/>
      <c r="N459" s="137"/>
      <c r="O459" s="137"/>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row>
    <row r="460" ht="14.25" customHeight="1">
      <c r="A460" s="6"/>
      <c r="B460" s="6"/>
      <c r="C460" s="6"/>
      <c r="D460" s="6"/>
      <c r="E460" s="6"/>
      <c r="F460" s="6"/>
      <c r="G460" s="6"/>
      <c r="H460" s="6"/>
      <c r="I460" s="6"/>
      <c r="J460" s="6"/>
      <c r="K460" s="6"/>
      <c r="L460" s="6"/>
      <c r="M460" s="6"/>
      <c r="N460" s="137"/>
      <c r="O460" s="137"/>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row>
    <row r="461" ht="14.25" customHeight="1">
      <c r="A461" s="6"/>
      <c r="B461" s="6"/>
      <c r="C461" s="6"/>
      <c r="D461" s="6"/>
      <c r="E461" s="6"/>
      <c r="F461" s="6"/>
      <c r="G461" s="6"/>
      <c r="H461" s="6"/>
      <c r="I461" s="6"/>
      <c r="J461" s="6"/>
      <c r="K461" s="6"/>
      <c r="L461" s="6"/>
      <c r="M461" s="6"/>
      <c r="N461" s="137"/>
      <c r="O461" s="137"/>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row>
    <row r="462" ht="14.25" customHeight="1">
      <c r="A462" s="6"/>
      <c r="B462" s="6"/>
      <c r="C462" s="6"/>
      <c r="D462" s="6"/>
      <c r="E462" s="6"/>
      <c r="F462" s="6"/>
      <c r="G462" s="6"/>
      <c r="H462" s="6"/>
      <c r="I462" s="6"/>
      <c r="J462" s="6"/>
      <c r="K462" s="6"/>
      <c r="L462" s="6"/>
      <c r="M462" s="6"/>
      <c r="N462" s="137"/>
      <c r="O462" s="137"/>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row>
    <row r="463" ht="14.25" customHeight="1">
      <c r="A463" s="6"/>
      <c r="B463" s="6"/>
      <c r="C463" s="6"/>
      <c r="D463" s="6"/>
      <c r="E463" s="6"/>
      <c r="F463" s="6"/>
      <c r="G463" s="6"/>
      <c r="H463" s="6"/>
      <c r="I463" s="6"/>
      <c r="J463" s="6"/>
      <c r="K463" s="6"/>
      <c r="L463" s="6"/>
      <c r="M463" s="6"/>
      <c r="N463" s="137"/>
      <c r="O463" s="137"/>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row>
    <row r="464" ht="14.25" customHeight="1">
      <c r="A464" s="6"/>
      <c r="B464" s="6"/>
      <c r="C464" s="6"/>
      <c r="D464" s="6"/>
      <c r="E464" s="6"/>
      <c r="F464" s="6"/>
      <c r="G464" s="6"/>
      <c r="H464" s="6"/>
      <c r="I464" s="6"/>
      <c r="J464" s="6"/>
      <c r="K464" s="6"/>
      <c r="L464" s="6"/>
      <c r="M464" s="6"/>
      <c r="N464" s="137"/>
      <c r="O464" s="137"/>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row>
    <row r="465" ht="14.25" customHeight="1">
      <c r="A465" s="6"/>
      <c r="B465" s="6"/>
      <c r="C465" s="6"/>
      <c r="D465" s="6"/>
      <c r="E465" s="6"/>
      <c r="F465" s="6"/>
      <c r="G465" s="6"/>
      <c r="H465" s="6"/>
      <c r="I465" s="6"/>
      <c r="J465" s="6"/>
      <c r="K465" s="6"/>
      <c r="L465" s="6"/>
      <c r="M465" s="6"/>
      <c r="N465" s="137"/>
      <c r="O465" s="137"/>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row>
    <row r="466" ht="14.25" customHeight="1">
      <c r="A466" s="6"/>
      <c r="B466" s="6"/>
      <c r="C466" s="6"/>
      <c r="D466" s="6"/>
      <c r="E466" s="6"/>
      <c r="F466" s="6"/>
      <c r="G466" s="6"/>
      <c r="H466" s="6"/>
      <c r="I466" s="6"/>
      <c r="J466" s="6"/>
      <c r="K466" s="6"/>
      <c r="L466" s="6"/>
      <c r="M466" s="6"/>
      <c r="N466" s="137"/>
      <c r="O466" s="137"/>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row>
    <row r="467" ht="14.25" customHeight="1">
      <c r="A467" s="6"/>
      <c r="B467" s="6"/>
      <c r="C467" s="6"/>
      <c r="D467" s="6"/>
      <c r="E467" s="6"/>
      <c r="F467" s="6"/>
      <c r="G467" s="6"/>
      <c r="H467" s="6"/>
      <c r="I467" s="6"/>
      <c r="J467" s="6"/>
      <c r="K467" s="6"/>
      <c r="L467" s="6"/>
      <c r="M467" s="6"/>
      <c r="N467" s="137"/>
      <c r="O467" s="137"/>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row>
    <row r="468" ht="14.25" customHeight="1">
      <c r="A468" s="6"/>
      <c r="B468" s="6"/>
      <c r="C468" s="6"/>
      <c r="D468" s="6"/>
      <c r="E468" s="6"/>
      <c r="F468" s="6"/>
      <c r="G468" s="6"/>
      <c r="H468" s="6"/>
      <c r="I468" s="6"/>
      <c r="J468" s="6"/>
      <c r="K468" s="6"/>
      <c r="L468" s="6"/>
      <c r="M468" s="6"/>
      <c r="N468" s="137"/>
      <c r="O468" s="137"/>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row>
    <row r="469" ht="14.25" customHeight="1">
      <c r="A469" s="6"/>
      <c r="B469" s="6"/>
      <c r="C469" s="6"/>
      <c r="D469" s="6"/>
      <c r="E469" s="6"/>
      <c r="F469" s="6"/>
      <c r="G469" s="6"/>
      <c r="H469" s="6"/>
      <c r="I469" s="6"/>
      <c r="J469" s="6"/>
      <c r="K469" s="6"/>
      <c r="L469" s="6"/>
      <c r="M469" s="6"/>
      <c r="N469" s="137"/>
      <c r="O469" s="137"/>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row>
    <row r="470" ht="14.25" customHeight="1">
      <c r="A470" s="6"/>
      <c r="B470" s="6"/>
      <c r="C470" s="6"/>
      <c r="D470" s="6"/>
      <c r="E470" s="6"/>
      <c r="F470" s="6"/>
      <c r="G470" s="6"/>
      <c r="H470" s="6"/>
      <c r="I470" s="6"/>
      <c r="J470" s="6"/>
      <c r="K470" s="6"/>
      <c r="L470" s="6"/>
      <c r="M470" s="6"/>
      <c r="N470" s="137"/>
      <c r="O470" s="137"/>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row>
    <row r="471" ht="14.25" customHeight="1">
      <c r="A471" s="6"/>
      <c r="B471" s="6"/>
      <c r="C471" s="6"/>
      <c r="D471" s="6"/>
      <c r="E471" s="6"/>
      <c r="F471" s="6"/>
      <c r="G471" s="6"/>
      <c r="H471" s="6"/>
      <c r="I471" s="6"/>
      <c r="J471" s="6"/>
      <c r="K471" s="6"/>
      <c r="L471" s="6"/>
      <c r="M471" s="6"/>
      <c r="N471" s="137"/>
      <c r="O471" s="137"/>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row>
    <row r="472" ht="14.25" customHeight="1">
      <c r="A472" s="6"/>
      <c r="B472" s="6"/>
      <c r="C472" s="6"/>
      <c r="D472" s="6"/>
      <c r="E472" s="6"/>
      <c r="F472" s="6"/>
      <c r="G472" s="6"/>
      <c r="H472" s="6"/>
      <c r="I472" s="6"/>
      <c r="J472" s="6"/>
      <c r="K472" s="6"/>
      <c r="L472" s="6"/>
      <c r="M472" s="6"/>
      <c r="N472" s="137"/>
      <c r="O472" s="137"/>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row>
    <row r="473" ht="14.25" customHeight="1">
      <c r="A473" s="6"/>
      <c r="B473" s="6"/>
      <c r="C473" s="6"/>
      <c r="D473" s="6"/>
      <c r="E473" s="6"/>
      <c r="F473" s="6"/>
      <c r="G473" s="6"/>
      <c r="H473" s="6"/>
      <c r="I473" s="6"/>
      <c r="J473" s="6"/>
      <c r="K473" s="6"/>
      <c r="L473" s="6"/>
      <c r="M473" s="6"/>
      <c r="N473" s="137"/>
      <c r="O473" s="137"/>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row>
    <row r="474" ht="14.25" customHeight="1">
      <c r="A474" s="6"/>
      <c r="B474" s="6"/>
      <c r="C474" s="6"/>
      <c r="D474" s="6"/>
      <c r="E474" s="6"/>
      <c r="F474" s="6"/>
      <c r="G474" s="6"/>
      <c r="H474" s="6"/>
      <c r="I474" s="6"/>
      <c r="J474" s="6"/>
      <c r="K474" s="6"/>
      <c r="L474" s="6"/>
      <c r="M474" s="6"/>
      <c r="N474" s="137"/>
      <c r="O474" s="137"/>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row>
    <row r="475" ht="14.25" customHeight="1">
      <c r="A475" s="6"/>
      <c r="B475" s="6"/>
      <c r="C475" s="6"/>
      <c r="D475" s="6"/>
      <c r="E475" s="6"/>
      <c r="F475" s="6"/>
      <c r="G475" s="6"/>
      <c r="H475" s="6"/>
      <c r="I475" s="6"/>
      <c r="J475" s="6"/>
      <c r="K475" s="6"/>
      <c r="L475" s="6"/>
      <c r="M475" s="6"/>
      <c r="N475" s="137"/>
      <c r="O475" s="137"/>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row>
    <row r="476" ht="14.25" customHeight="1">
      <c r="A476" s="6"/>
      <c r="B476" s="6"/>
      <c r="C476" s="6"/>
      <c r="D476" s="6"/>
      <c r="E476" s="6"/>
      <c r="F476" s="6"/>
      <c r="G476" s="6"/>
      <c r="H476" s="6"/>
      <c r="I476" s="6"/>
      <c r="J476" s="6"/>
      <c r="K476" s="6"/>
      <c r="L476" s="6"/>
      <c r="M476" s="6"/>
      <c r="N476" s="137"/>
      <c r="O476" s="137"/>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row>
    <row r="477" ht="14.25" customHeight="1">
      <c r="A477" s="6"/>
      <c r="B477" s="6"/>
      <c r="C477" s="6"/>
      <c r="D477" s="6"/>
      <c r="E477" s="6"/>
      <c r="F477" s="6"/>
      <c r="G477" s="6"/>
      <c r="H477" s="6"/>
      <c r="I477" s="6"/>
      <c r="J477" s="6"/>
      <c r="K477" s="6"/>
      <c r="L477" s="6"/>
      <c r="M477" s="6"/>
      <c r="N477" s="137"/>
      <c r="O477" s="137"/>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row>
    <row r="478" ht="14.25" customHeight="1">
      <c r="A478" s="6"/>
      <c r="B478" s="6"/>
      <c r="C478" s="6"/>
      <c r="D478" s="6"/>
      <c r="E478" s="6"/>
      <c r="F478" s="6"/>
      <c r="G478" s="6"/>
      <c r="H478" s="6"/>
      <c r="I478" s="6"/>
      <c r="J478" s="6"/>
      <c r="K478" s="6"/>
      <c r="L478" s="6"/>
      <c r="M478" s="6"/>
      <c r="N478" s="137"/>
      <c r="O478" s="137"/>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row>
    <row r="479" ht="14.25" customHeight="1">
      <c r="A479" s="6"/>
      <c r="B479" s="6"/>
      <c r="C479" s="6"/>
      <c r="D479" s="6"/>
      <c r="E479" s="6"/>
      <c r="F479" s="6"/>
      <c r="G479" s="6"/>
      <c r="H479" s="6"/>
      <c r="I479" s="6"/>
      <c r="J479" s="6"/>
      <c r="K479" s="6"/>
      <c r="L479" s="6"/>
      <c r="M479" s="6"/>
      <c r="N479" s="137"/>
      <c r="O479" s="137"/>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row>
    <row r="480" ht="14.25" customHeight="1">
      <c r="A480" s="6"/>
      <c r="B480" s="6"/>
      <c r="C480" s="6"/>
      <c r="D480" s="6"/>
      <c r="E480" s="6"/>
      <c r="F480" s="6"/>
      <c r="G480" s="6"/>
      <c r="H480" s="6"/>
      <c r="I480" s="6"/>
      <c r="J480" s="6"/>
      <c r="K480" s="6"/>
      <c r="L480" s="6"/>
      <c r="M480" s="6"/>
      <c r="N480" s="137"/>
      <c r="O480" s="137"/>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row>
    <row r="481" ht="14.25" customHeight="1">
      <c r="A481" s="6"/>
      <c r="B481" s="6"/>
      <c r="C481" s="6"/>
      <c r="D481" s="6"/>
      <c r="E481" s="6"/>
      <c r="F481" s="6"/>
      <c r="G481" s="6"/>
      <c r="H481" s="6"/>
      <c r="I481" s="6"/>
      <c r="J481" s="6"/>
      <c r="K481" s="6"/>
      <c r="L481" s="6"/>
      <c r="M481" s="6"/>
      <c r="N481" s="137"/>
      <c r="O481" s="137"/>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row>
    <row r="482" ht="14.25" customHeight="1">
      <c r="A482" s="6"/>
      <c r="B482" s="6"/>
      <c r="C482" s="6"/>
      <c r="D482" s="6"/>
      <c r="E482" s="6"/>
      <c r="F482" s="6"/>
      <c r="G482" s="6"/>
      <c r="H482" s="6"/>
      <c r="I482" s="6"/>
      <c r="J482" s="6"/>
      <c r="K482" s="6"/>
      <c r="L482" s="6"/>
      <c r="M482" s="6"/>
      <c r="N482" s="137"/>
      <c r="O482" s="137"/>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row>
    <row r="483" ht="14.25" customHeight="1">
      <c r="A483" s="6"/>
      <c r="B483" s="6"/>
      <c r="C483" s="6"/>
      <c r="D483" s="6"/>
      <c r="E483" s="6"/>
      <c r="F483" s="6"/>
      <c r="G483" s="6"/>
      <c r="H483" s="6"/>
      <c r="I483" s="6"/>
      <c r="J483" s="6"/>
      <c r="K483" s="6"/>
      <c r="L483" s="6"/>
      <c r="M483" s="6"/>
      <c r="N483" s="137"/>
      <c r="O483" s="137"/>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row>
    <row r="484" ht="14.25" customHeight="1">
      <c r="A484" s="6"/>
      <c r="B484" s="6"/>
      <c r="C484" s="6"/>
      <c r="D484" s="6"/>
      <c r="E484" s="6"/>
      <c r="F484" s="6"/>
      <c r="G484" s="6"/>
      <c r="H484" s="6"/>
      <c r="I484" s="6"/>
      <c r="J484" s="6"/>
      <c r="K484" s="6"/>
      <c r="L484" s="6"/>
      <c r="M484" s="6"/>
      <c r="N484" s="137"/>
      <c r="O484" s="137"/>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row>
    <row r="485" ht="14.25" customHeight="1">
      <c r="A485" s="6"/>
      <c r="B485" s="6"/>
      <c r="C485" s="6"/>
      <c r="D485" s="6"/>
      <c r="E485" s="6"/>
      <c r="F485" s="6"/>
      <c r="G485" s="6"/>
      <c r="H485" s="6"/>
      <c r="I485" s="6"/>
      <c r="J485" s="6"/>
      <c r="K485" s="6"/>
      <c r="L485" s="6"/>
      <c r="M485" s="6"/>
      <c r="N485" s="137"/>
      <c r="O485" s="137"/>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row>
    <row r="486" ht="14.25" customHeight="1">
      <c r="A486" s="6"/>
      <c r="B486" s="6"/>
      <c r="C486" s="6"/>
      <c r="D486" s="6"/>
      <c r="E486" s="6"/>
      <c r="F486" s="6"/>
      <c r="G486" s="6"/>
      <c r="H486" s="6"/>
      <c r="I486" s="6"/>
      <c r="J486" s="6"/>
      <c r="K486" s="6"/>
      <c r="L486" s="6"/>
      <c r="M486" s="6"/>
      <c r="N486" s="137"/>
      <c r="O486" s="137"/>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row>
    <row r="487" ht="14.25" customHeight="1">
      <c r="A487" s="6"/>
      <c r="B487" s="6"/>
      <c r="C487" s="6"/>
      <c r="D487" s="6"/>
      <c r="E487" s="6"/>
      <c r="F487" s="6"/>
      <c r="G487" s="6"/>
      <c r="H487" s="6"/>
      <c r="I487" s="6"/>
      <c r="J487" s="6"/>
      <c r="K487" s="6"/>
      <c r="L487" s="6"/>
      <c r="M487" s="6"/>
      <c r="N487" s="137"/>
      <c r="O487" s="137"/>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row>
    <row r="488" ht="14.25" customHeight="1">
      <c r="A488" s="6"/>
      <c r="B488" s="6"/>
      <c r="C488" s="6"/>
      <c r="D488" s="6"/>
      <c r="E488" s="6"/>
      <c r="F488" s="6"/>
      <c r="G488" s="6"/>
      <c r="H488" s="6"/>
      <c r="I488" s="6"/>
      <c r="J488" s="6"/>
      <c r="K488" s="6"/>
      <c r="L488" s="6"/>
      <c r="M488" s="6"/>
      <c r="N488" s="137"/>
      <c r="O488" s="137"/>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row>
    <row r="489" ht="14.25" customHeight="1">
      <c r="A489" s="6"/>
      <c r="B489" s="6"/>
      <c r="C489" s="6"/>
      <c r="D489" s="6"/>
      <c r="E489" s="6"/>
      <c r="F489" s="6"/>
      <c r="G489" s="6"/>
      <c r="H489" s="6"/>
      <c r="I489" s="6"/>
      <c r="J489" s="6"/>
      <c r="K489" s="6"/>
      <c r="L489" s="6"/>
      <c r="M489" s="6"/>
      <c r="N489" s="137"/>
      <c r="O489" s="137"/>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row>
    <row r="490" ht="14.25" customHeight="1">
      <c r="A490" s="6"/>
      <c r="B490" s="6"/>
      <c r="C490" s="6"/>
      <c r="D490" s="6"/>
      <c r="E490" s="6"/>
      <c r="F490" s="6"/>
      <c r="G490" s="6"/>
      <c r="H490" s="6"/>
      <c r="I490" s="6"/>
      <c r="J490" s="6"/>
      <c r="K490" s="6"/>
      <c r="L490" s="6"/>
      <c r="M490" s="6"/>
      <c r="N490" s="137"/>
      <c r="O490" s="137"/>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row>
    <row r="491" ht="14.25" customHeight="1">
      <c r="A491" s="6"/>
      <c r="B491" s="6"/>
      <c r="C491" s="6"/>
      <c r="D491" s="6"/>
      <c r="E491" s="6"/>
      <c r="F491" s="6"/>
      <c r="G491" s="6"/>
      <c r="H491" s="6"/>
      <c r="I491" s="6"/>
      <c r="J491" s="6"/>
      <c r="K491" s="6"/>
      <c r="L491" s="6"/>
      <c r="M491" s="6"/>
      <c r="N491" s="137"/>
      <c r="O491" s="137"/>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row>
    <row r="492" ht="14.25" customHeight="1">
      <c r="A492" s="6"/>
      <c r="B492" s="6"/>
      <c r="C492" s="6"/>
      <c r="D492" s="6"/>
      <c r="E492" s="6"/>
      <c r="F492" s="6"/>
      <c r="G492" s="6"/>
      <c r="H492" s="6"/>
      <c r="I492" s="6"/>
      <c r="J492" s="6"/>
      <c r="K492" s="6"/>
      <c r="L492" s="6"/>
      <c r="M492" s="6"/>
      <c r="N492" s="137"/>
      <c r="O492" s="137"/>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row>
    <row r="493" ht="14.25" customHeight="1">
      <c r="A493" s="6"/>
      <c r="B493" s="6"/>
      <c r="C493" s="6"/>
      <c r="D493" s="6"/>
      <c r="E493" s="6"/>
      <c r="F493" s="6"/>
      <c r="G493" s="6"/>
      <c r="H493" s="6"/>
      <c r="I493" s="6"/>
      <c r="J493" s="6"/>
      <c r="K493" s="6"/>
      <c r="L493" s="6"/>
      <c r="M493" s="6"/>
      <c r="N493" s="137"/>
      <c r="O493" s="137"/>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row>
    <row r="494" ht="14.25" customHeight="1">
      <c r="A494" s="6"/>
      <c r="B494" s="6"/>
      <c r="C494" s="6"/>
      <c r="D494" s="6"/>
      <c r="E494" s="6"/>
      <c r="F494" s="6"/>
      <c r="G494" s="6"/>
      <c r="H494" s="6"/>
      <c r="I494" s="6"/>
      <c r="J494" s="6"/>
      <c r="K494" s="6"/>
      <c r="L494" s="6"/>
      <c r="M494" s="6"/>
      <c r="N494" s="137"/>
      <c r="O494" s="137"/>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row>
    <row r="495" ht="14.25" customHeight="1">
      <c r="A495" s="6"/>
      <c r="B495" s="6"/>
      <c r="C495" s="6"/>
      <c r="D495" s="6"/>
      <c r="E495" s="6"/>
      <c r="F495" s="6"/>
      <c r="G495" s="6"/>
      <c r="H495" s="6"/>
      <c r="I495" s="6"/>
      <c r="J495" s="6"/>
      <c r="K495" s="6"/>
      <c r="L495" s="6"/>
      <c r="M495" s="6"/>
      <c r="N495" s="137"/>
      <c r="O495" s="137"/>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row>
    <row r="496" ht="14.25" customHeight="1">
      <c r="A496" s="6"/>
      <c r="B496" s="6"/>
      <c r="C496" s="6"/>
      <c r="D496" s="6"/>
      <c r="E496" s="6"/>
      <c r="F496" s="6"/>
      <c r="G496" s="6"/>
      <c r="H496" s="6"/>
      <c r="I496" s="6"/>
      <c r="J496" s="6"/>
      <c r="K496" s="6"/>
      <c r="L496" s="6"/>
      <c r="M496" s="6"/>
      <c r="N496" s="137"/>
      <c r="O496" s="137"/>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row>
    <row r="497" ht="14.25" customHeight="1">
      <c r="A497" s="6"/>
      <c r="B497" s="6"/>
      <c r="C497" s="6"/>
      <c r="D497" s="6"/>
      <c r="E497" s="6"/>
      <c r="F497" s="6"/>
      <c r="G497" s="6"/>
      <c r="H497" s="6"/>
      <c r="I497" s="6"/>
      <c r="J497" s="6"/>
      <c r="K497" s="6"/>
      <c r="L497" s="6"/>
      <c r="M497" s="6"/>
      <c r="N497" s="137"/>
      <c r="O497" s="137"/>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row>
    <row r="498" ht="14.25" customHeight="1">
      <c r="A498" s="6"/>
      <c r="B498" s="6"/>
      <c r="C498" s="6"/>
      <c r="D498" s="6"/>
      <c r="E498" s="6"/>
      <c r="F498" s="6"/>
      <c r="G498" s="6"/>
      <c r="H498" s="6"/>
      <c r="I498" s="6"/>
      <c r="J498" s="6"/>
      <c r="K498" s="6"/>
      <c r="L498" s="6"/>
      <c r="M498" s="6"/>
      <c r="N498" s="137"/>
      <c r="O498" s="137"/>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row>
    <row r="499" ht="14.25" customHeight="1">
      <c r="A499" s="6"/>
      <c r="B499" s="6"/>
      <c r="C499" s="6"/>
      <c r="D499" s="6"/>
      <c r="E499" s="6"/>
      <c r="F499" s="6"/>
      <c r="G499" s="6"/>
      <c r="H499" s="6"/>
      <c r="I499" s="6"/>
      <c r="J499" s="6"/>
      <c r="K499" s="6"/>
      <c r="L499" s="6"/>
      <c r="M499" s="6"/>
      <c r="N499" s="137"/>
      <c r="O499" s="137"/>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row>
    <row r="500" ht="14.25" customHeight="1">
      <c r="A500" s="6"/>
      <c r="B500" s="6"/>
      <c r="C500" s="6"/>
      <c r="D500" s="6"/>
      <c r="E500" s="6"/>
      <c r="F500" s="6"/>
      <c r="G500" s="6"/>
      <c r="H500" s="6"/>
      <c r="I500" s="6"/>
      <c r="J500" s="6"/>
      <c r="K500" s="6"/>
      <c r="L500" s="6"/>
      <c r="M500" s="6"/>
      <c r="N500" s="137"/>
      <c r="O500" s="137"/>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row>
    <row r="501" ht="14.25" customHeight="1">
      <c r="A501" s="6"/>
      <c r="B501" s="6"/>
      <c r="C501" s="6"/>
      <c r="D501" s="6"/>
      <c r="E501" s="6"/>
      <c r="F501" s="6"/>
      <c r="G501" s="6"/>
      <c r="H501" s="6"/>
      <c r="I501" s="6"/>
      <c r="J501" s="6"/>
      <c r="K501" s="6"/>
      <c r="L501" s="6"/>
      <c r="M501" s="6"/>
      <c r="N501" s="137"/>
      <c r="O501" s="137"/>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row>
    <row r="502" ht="14.25" customHeight="1">
      <c r="A502" s="6"/>
      <c r="B502" s="6"/>
      <c r="C502" s="6"/>
      <c r="D502" s="6"/>
      <c r="E502" s="6"/>
      <c r="F502" s="6"/>
      <c r="G502" s="6"/>
      <c r="H502" s="6"/>
      <c r="I502" s="6"/>
      <c r="J502" s="6"/>
      <c r="K502" s="6"/>
      <c r="L502" s="6"/>
      <c r="M502" s="6"/>
      <c r="N502" s="137"/>
      <c r="O502" s="137"/>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row>
    <row r="503" ht="14.25" customHeight="1">
      <c r="A503" s="6"/>
      <c r="B503" s="6"/>
      <c r="C503" s="6"/>
      <c r="D503" s="6"/>
      <c r="E503" s="6"/>
      <c r="F503" s="6"/>
      <c r="G503" s="6"/>
      <c r="H503" s="6"/>
      <c r="I503" s="6"/>
      <c r="J503" s="6"/>
      <c r="K503" s="6"/>
      <c r="L503" s="6"/>
      <c r="M503" s="6"/>
      <c r="N503" s="137"/>
      <c r="O503" s="137"/>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row>
    <row r="504" ht="14.25" customHeight="1">
      <c r="A504" s="6"/>
      <c r="B504" s="6"/>
      <c r="C504" s="6"/>
      <c r="D504" s="6"/>
      <c r="E504" s="6"/>
      <c r="F504" s="6"/>
      <c r="G504" s="6"/>
      <c r="H504" s="6"/>
      <c r="I504" s="6"/>
      <c r="J504" s="6"/>
      <c r="K504" s="6"/>
      <c r="L504" s="6"/>
      <c r="M504" s="6"/>
      <c r="N504" s="137"/>
      <c r="O504" s="137"/>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row>
    <row r="505" ht="14.25" customHeight="1">
      <c r="A505" s="6"/>
      <c r="B505" s="6"/>
      <c r="C505" s="6"/>
      <c r="D505" s="6"/>
      <c r="E505" s="6"/>
      <c r="F505" s="6"/>
      <c r="G505" s="6"/>
      <c r="H505" s="6"/>
      <c r="I505" s="6"/>
      <c r="J505" s="6"/>
      <c r="K505" s="6"/>
      <c r="L505" s="6"/>
      <c r="M505" s="6"/>
      <c r="N505" s="137"/>
      <c r="O505" s="137"/>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row>
    <row r="506" ht="14.25" customHeight="1">
      <c r="A506" s="6"/>
      <c r="B506" s="6"/>
      <c r="C506" s="6"/>
      <c r="D506" s="6"/>
      <c r="E506" s="6"/>
      <c r="F506" s="6"/>
      <c r="G506" s="6"/>
      <c r="H506" s="6"/>
      <c r="I506" s="6"/>
      <c r="J506" s="6"/>
      <c r="K506" s="6"/>
      <c r="L506" s="6"/>
      <c r="M506" s="6"/>
      <c r="N506" s="137"/>
      <c r="O506" s="137"/>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row>
    <row r="507" ht="14.25" customHeight="1">
      <c r="A507" s="6"/>
      <c r="B507" s="6"/>
      <c r="C507" s="6"/>
      <c r="D507" s="6"/>
      <c r="E507" s="6"/>
      <c r="F507" s="6"/>
      <c r="G507" s="6"/>
      <c r="H507" s="6"/>
      <c r="I507" s="6"/>
      <c r="J507" s="6"/>
      <c r="K507" s="6"/>
      <c r="L507" s="6"/>
      <c r="M507" s="6"/>
      <c r="N507" s="137"/>
      <c r="O507" s="137"/>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row>
    <row r="508" ht="14.25" customHeight="1">
      <c r="A508" s="6"/>
      <c r="B508" s="6"/>
      <c r="C508" s="6"/>
      <c r="D508" s="6"/>
      <c r="E508" s="6"/>
      <c r="F508" s="6"/>
      <c r="G508" s="6"/>
      <c r="H508" s="6"/>
      <c r="I508" s="6"/>
      <c r="J508" s="6"/>
      <c r="K508" s="6"/>
      <c r="L508" s="6"/>
      <c r="M508" s="6"/>
      <c r="N508" s="137"/>
      <c r="O508" s="137"/>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row>
    <row r="509" ht="14.25" customHeight="1">
      <c r="A509" s="6"/>
      <c r="B509" s="6"/>
      <c r="C509" s="6"/>
      <c r="D509" s="6"/>
      <c r="E509" s="6"/>
      <c r="F509" s="6"/>
      <c r="G509" s="6"/>
      <c r="H509" s="6"/>
      <c r="I509" s="6"/>
      <c r="J509" s="6"/>
      <c r="K509" s="6"/>
      <c r="L509" s="6"/>
      <c r="M509" s="6"/>
      <c r="N509" s="137"/>
      <c r="O509" s="137"/>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row>
    <row r="510" ht="14.25" customHeight="1">
      <c r="A510" s="6"/>
      <c r="B510" s="6"/>
      <c r="C510" s="6"/>
      <c r="D510" s="6"/>
      <c r="E510" s="6"/>
      <c r="F510" s="6"/>
      <c r="G510" s="6"/>
      <c r="H510" s="6"/>
      <c r="I510" s="6"/>
      <c r="J510" s="6"/>
      <c r="K510" s="6"/>
      <c r="L510" s="6"/>
      <c r="M510" s="6"/>
      <c r="N510" s="137"/>
      <c r="O510" s="137"/>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row>
    <row r="511" ht="14.25" customHeight="1">
      <c r="A511" s="6"/>
      <c r="B511" s="6"/>
      <c r="C511" s="6"/>
      <c r="D511" s="6"/>
      <c r="E511" s="6"/>
      <c r="F511" s="6"/>
      <c r="G511" s="6"/>
      <c r="H511" s="6"/>
      <c r="I511" s="6"/>
      <c r="J511" s="6"/>
      <c r="K511" s="6"/>
      <c r="L511" s="6"/>
      <c r="M511" s="6"/>
      <c r="N511" s="137"/>
      <c r="O511" s="137"/>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row>
    <row r="512" ht="14.25" customHeight="1">
      <c r="A512" s="6"/>
      <c r="B512" s="6"/>
      <c r="C512" s="6"/>
      <c r="D512" s="6"/>
      <c r="E512" s="6"/>
      <c r="F512" s="6"/>
      <c r="G512" s="6"/>
      <c r="H512" s="6"/>
      <c r="I512" s="6"/>
      <c r="J512" s="6"/>
      <c r="K512" s="6"/>
      <c r="L512" s="6"/>
      <c r="M512" s="6"/>
      <c r="N512" s="137"/>
      <c r="O512" s="137"/>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row>
    <row r="513" ht="14.25" customHeight="1">
      <c r="A513" s="6"/>
      <c r="B513" s="6"/>
      <c r="C513" s="6"/>
      <c r="D513" s="6"/>
      <c r="E513" s="6"/>
      <c r="F513" s="6"/>
      <c r="G513" s="6"/>
      <c r="H513" s="6"/>
      <c r="I513" s="6"/>
      <c r="J513" s="6"/>
      <c r="K513" s="6"/>
      <c r="L513" s="6"/>
      <c r="M513" s="6"/>
      <c r="N513" s="137"/>
      <c r="O513" s="137"/>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row>
    <row r="514" ht="14.25" customHeight="1">
      <c r="A514" s="6"/>
      <c r="B514" s="6"/>
      <c r="C514" s="6"/>
      <c r="D514" s="6"/>
      <c r="E514" s="6"/>
      <c r="F514" s="6"/>
      <c r="G514" s="6"/>
      <c r="H514" s="6"/>
      <c r="I514" s="6"/>
      <c r="J514" s="6"/>
      <c r="K514" s="6"/>
      <c r="L514" s="6"/>
      <c r="M514" s="6"/>
      <c r="N514" s="137"/>
      <c r="O514" s="137"/>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row>
    <row r="515" ht="14.25" customHeight="1">
      <c r="A515" s="6"/>
      <c r="B515" s="6"/>
      <c r="C515" s="6"/>
      <c r="D515" s="6"/>
      <c r="E515" s="6"/>
      <c r="F515" s="6"/>
      <c r="G515" s="6"/>
      <c r="H515" s="6"/>
      <c r="I515" s="6"/>
      <c r="J515" s="6"/>
      <c r="K515" s="6"/>
      <c r="L515" s="6"/>
      <c r="M515" s="6"/>
      <c r="N515" s="137"/>
      <c r="O515" s="137"/>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row>
    <row r="516" ht="14.25" customHeight="1">
      <c r="A516" s="6"/>
      <c r="B516" s="6"/>
      <c r="C516" s="6"/>
      <c r="D516" s="6"/>
      <c r="E516" s="6"/>
      <c r="F516" s="6"/>
      <c r="G516" s="6"/>
      <c r="H516" s="6"/>
      <c r="I516" s="6"/>
      <c r="J516" s="6"/>
      <c r="K516" s="6"/>
      <c r="L516" s="6"/>
      <c r="M516" s="6"/>
      <c r="N516" s="137"/>
      <c r="O516" s="137"/>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row>
    <row r="517" ht="14.25" customHeight="1">
      <c r="A517" s="6"/>
      <c r="B517" s="6"/>
      <c r="C517" s="6"/>
      <c r="D517" s="6"/>
      <c r="E517" s="6"/>
      <c r="F517" s="6"/>
      <c r="G517" s="6"/>
      <c r="H517" s="6"/>
      <c r="I517" s="6"/>
      <c r="J517" s="6"/>
      <c r="K517" s="6"/>
      <c r="L517" s="6"/>
      <c r="M517" s="6"/>
      <c r="N517" s="137"/>
      <c r="O517" s="137"/>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row>
    <row r="518" ht="14.25" customHeight="1">
      <c r="A518" s="6"/>
      <c r="B518" s="6"/>
      <c r="C518" s="6"/>
      <c r="D518" s="6"/>
      <c r="E518" s="6"/>
      <c r="F518" s="6"/>
      <c r="G518" s="6"/>
      <c r="H518" s="6"/>
      <c r="I518" s="6"/>
      <c r="J518" s="6"/>
      <c r="K518" s="6"/>
      <c r="L518" s="6"/>
      <c r="M518" s="6"/>
      <c r="N518" s="137"/>
      <c r="O518" s="137"/>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row>
    <row r="519" ht="14.25" customHeight="1">
      <c r="A519" s="6"/>
      <c r="B519" s="6"/>
      <c r="C519" s="6"/>
      <c r="D519" s="6"/>
      <c r="E519" s="6"/>
      <c r="F519" s="6"/>
      <c r="G519" s="6"/>
      <c r="H519" s="6"/>
      <c r="I519" s="6"/>
      <c r="J519" s="6"/>
      <c r="K519" s="6"/>
      <c r="L519" s="6"/>
      <c r="M519" s="6"/>
      <c r="N519" s="137"/>
      <c r="O519" s="137"/>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row>
    <row r="520" ht="14.25" customHeight="1">
      <c r="A520" s="6"/>
      <c r="B520" s="6"/>
      <c r="C520" s="6"/>
      <c r="D520" s="6"/>
      <c r="E520" s="6"/>
      <c r="F520" s="6"/>
      <c r="G520" s="6"/>
      <c r="H520" s="6"/>
      <c r="I520" s="6"/>
      <c r="J520" s="6"/>
      <c r="K520" s="6"/>
      <c r="L520" s="6"/>
      <c r="M520" s="6"/>
      <c r="N520" s="137"/>
      <c r="O520" s="137"/>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row>
    <row r="521" ht="14.25" customHeight="1">
      <c r="A521" s="6"/>
      <c r="B521" s="6"/>
      <c r="C521" s="6"/>
      <c r="D521" s="6"/>
      <c r="E521" s="6"/>
      <c r="F521" s="6"/>
      <c r="G521" s="6"/>
      <c r="H521" s="6"/>
      <c r="I521" s="6"/>
      <c r="J521" s="6"/>
      <c r="K521" s="6"/>
      <c r="L521" s="6"/>
      <c r="M521" s="6"/>
      <c r="N521" s="137"/>
      <c r="O521" s="137"/>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row>
    <row r="522" ht="14.25" customHeight="1">
      <c r="A522" s="6"/>
      <c r="B522" s="6"/>
      <c r="C522" s="6"/>
      <c r="D522" s="6"/>
      <c r="E522" s="6"/>
      <c r="F522" s="6"/>
      <c r="G522" s="6"/>
      <c r="H522" s="6"/>
      <c r="I522" s="6"/>
      <c r="J522" s="6"/>
      <c r="K522" s="6"/>
      <c r="L522" s="6"/>
      <c r="M522" s="6"/>
      <c r="N522" s="137"/>
      <c r="O522" s="137"/>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row>
    <row r="523" ht="14.25" customHeight="1">
      <c r="A523" s="6"/>
      <c r="B523" s="6"/>
      <c r="C523" s="6"/>
      <c r="D523" s="6"/>
      <c r="E523" s="6"/>
      <c r="F523" s="6"/>
      <c r="G523" s="6"/>
      <c r="H523" s="6"/>
      <c r="I523" s="6"/>
      <c r="J523" s="6"/>
      <c r="K523" s="6"/>
      <c r="L523" s="6"/>
      <c r="M523" s="6"/>
      <c r="N523" s="137"/>
      <c r="O523" s="137"/>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row>
    <row r="524" ht="14.25" customHeight="1">
      <c r="A524" s="6"/>
      <c r="B524" s="6"/>
      <c r="C524" s="6"/>
      <c r="D524" s="6"/>
      <c r="E524" s="6"/>
      <c r="F524" s="6"/>
      <c r="G524" s="6"/>
      <c r="H524" s="6"/>
      <c r="I524" s="6"/>
      <c r="J524" s="6"/>
      <c r="K524" s="6"/>
      <c r="L524" s="6"/>
      <c r="M524" s="6"/>
      <c r="N524" s="137"/>
      <c r="O524" s="137"/>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row>
    <row r="525" ht="14.25" customHeight="1">
      <c r="A525" s="6"/>
      <c r="B525" s="6"/>
      <c r="C525" s="6"/>
      <c r="D525" s="6"/>
      <c r="E525" s="6"/>
      <c r="F525" s="6"/>
      <c r="G525" s="6"/>
      <c r="H525" s="6"/>
      <c r="I525" s="6"/>
      <c r="J525" s="6"/>
      <c r="K525" s="6"/>
      <c r="L525" s="6"/>
      <c r="M525" s="6"/>
      <c r="N525" s="137"/>
      <c r="O525" s="137"/>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row>
    <row r="526" ht="14.25" customHeight="1">
      <c r="A526" s="6"/>
      <c r="B526" s="6"/>
      <c r="C526" s="6"/>
      <c r="D526" s="6"/>
      <c r="E526" s="6"/>
      <c r="F526" s="6"/>
      <c r="G526" s="6"/>
      <c r="H526" s="6"/>
      <c r="I526" s="6"/>
      <c r="J526" s="6"/>
      <c r="K526" s="6"/>
      <c r="L526" s="6"/>
      <c r="M526" s="6"/>
      <c r="N526" s="137"/>
      <c r="O526" s="137"/>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row>
    <row r="527" ht="14.25" customHeight="1">
      <c r="A527" s="6"/>
      <c r="B527" s="6"/>
      <c r="C527" s="6"/>
      <c r="D527" s="6"/>
      <c r="E527" s="6"/>
      <c r="F527" s="6"/>
      <c r="G527" s="6"/>
      <c r="H527" s="6"/>
      <c r="I527" s="6"/>
      <c r="J527" s="6"/>
      <c r="K527" s="6"/>
      <c r="L527" s="6"/>
      <c r="M527" s="6"/>
      <c r="N527" s="137"/>
      <c r="O527" s="137"/>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row>
    <row r="528" ht="14.25" customHeight="1">
      <c r="A528" s="6"/>
      <c r="B528" s="6"/>
      <c r="C528" s="6"/>
      <c r="D528" s="6"/>
      <c r="E528" s="6"/>
      <c r="F528" s="6"/>
      <c r="G528" s="6"/>
      <c r="H528" s="6"/>
      <c r="I528" s="6"/>
      <c r="J528" s="6"/>
      <c r="K528" s="6"/>
      <c r="L528" s="6"/>
      <c r="M528" s="6"/>
      <c r="N528" s="137"/>
      <c r="O528" s="137"/>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row>
    <row r="529" ht="14.25" customHeight="1">
      <c r="A529" s="6"/>
      <c r="B529" s="6"/>
      <c r="C529" s="6"/>
      <c r="D529" s="6"/>
      <c r="E529" s="6"/>
      <c r="F529" s="6"/>
      <c r="G529" s="6"/>
      <c r="H529" s="6"/>
      <c r="I529" s="6"/>
      <c r="J529" s="6"/>
      <c r="K529" s="6"/>
      <c r="L529" s="6"/>
      <c r="M529" s="6"/>
      <c r="N529" s="137"/>
      <c r="O529" s="137"/>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row>
    <row r="530" ht="14.25" customHeight="1">
      <c r="A530" s="6"/>
      <c r="B530" s="6"/>
      <c r="C530" s="6"/>
      <c r="D530" s="6"/>
      <c r="E530" s="6"/>
      <c r="F530" s="6"/>
      <c r="G530" s="6"/>
      <c r="H530" s="6"/>
      <c r="I530" s="6"/>
      <c r="J530" s="6"/>
      <c r="K530" s="6"/>
      <c r="L530" s="6"/>
      <c r="M530" s="6"/>
      <c r="N530" s="137"/>
      <c r="O530" s="137"/>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row>
    <row r="531" ht="14.25" customHeight="1">
      <c r="A531" s="6"/>
      <c r="B531" s="6"/>
      <c r="C531" s="6"/>
      <c r="D531" s="6"/>
      <c r="E531" s="6"/>
      <c r="F531" s="6"/>
      <c r="G531" s="6"/>
      <c r="H531" s="6"/>
      <c r="I531" s="6"/>
      <c r="J531" s="6"/>
      <c r="K531" s="6"/>
      <c r="L531" s="6"/>
      <c r="M531" s="6"/>
      <c r="N531" s="137"/>
      <c r="O531" s="137"/>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row>
    <row r="532" ht="14.25" customHeight="1">
      <c r="A532" s="6"/>
      <c r="B532" s="6"/>
      <c r="C532" s="6"/>
      <c r="D532" s="6"/>
      <c r="E532" s="6"/>
      <c r="F532" s="6"/>
      <c r="G532" s="6"/>
      <c r="H532" s="6"/>
      <c r="I532" s="6"/>
      <c r="J532" s="6"/>
      <c r="K532" s="6"/>
      <c r="L532" s="6"/>
      <c r="M532" s="6"/>
      <c r="N532" s="137"/>
      <c r="O532" s="137"/>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row>
    <row r="533" ht="14.25" customHeight="1">
      <c r="A533" s="6"/>
      <c r="B533" s="6"/>
      <c r="C533" s="6"/>
      <c r="D533" s="6"/>
      <c r="E533" s="6"/>
      <c r="F533" s="6"/>
      <c r="G533" s="6"/>
      <c r="H533" s="6"/>
      <c r="I533" s="6"/>
      <c r="J533" s="6"/>
      <c r="K533" s="6"/>
      <c r="L533" s="6"/>
      <c r="M533" s="6"/>
      <c r="N533" s="137"/>
      <c r="O533" s="137"/>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row>
    <row r="534" ht="14.25" customHeight="1">
      <c r="A534" s="6"/>
      <c r="B534" s="6"/>
      <c r="C534" s="6"/>
      <c r="D534" s="6"/>
      <c r="E534" s="6"/>
      <c r="F534" s="6"/>
      <c r="G534" s="6"/>
      <c r="H534" s="6"/>
      <c r="I534" s="6"/>
      <c r="J534" s="6"/>
      <c r="K534" s="6"/>
      <c r="L534" s="6"/>
      <c r="M534" s="6"/>
      <c r="N534" s="137"/>
      <c r="O534" s="137"/>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row>
    <row r="535" ht="14.25" customHeight="1">
      <c r="A535" s="6"/>
      <c r="B535" s="6"/>
      <c r="C535" s="6"/>
      <c r="D535" s="6"/>
      <c r="E535" s="6"/>
      <c r="F535" s="6"/>
      <c r="G535" s="6"/>
      <c r="H535" s="6"/>
      <c r="I535" s="6"/>
      <c r="J535" s="6"/>
      <c r="K535" s="6"/>
      <c r="L535" s="6"/>
      <c r="M535" s="6"/>
      <c r="N535" s="137"/>
      <c r="O535" s="137"/>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row>
    <row r="536" ht="14.25" customHeight="1">
      <c r="A536" s="6"/>
      <c r="B536" s="6"/>
      <c r="C536" s="6"/>
      <c r="D536" s="6"/>
      <c r="E536" s="6"/>
      <c r="F536" s="6"/>
      <c r="G536" s="6"/>
      <c r="H536" s="6"/>
      <c r="I536" s="6"/>
      <c r="J536" s="6"/>
      <c r="K536" s="6"/>
      <c r="L536" s="6"/>
      <c r="M536" s="6"/>
      <c r="N536" s="137"/>
      <c r="O536" s="137"/>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row>
    <row r="537" ht="14.25" customHeight="1">
      <c r="A537" s="6"/>
      <c r="B537" s="6"/>
      <c r="C537" s="6"/>
      <c r="D537" s="6"/>
      <c r="E537" s="6"/>
      <c r="F537" s="6"/>
      <c r="G537" s="6"/>
      <c r="H537" s="6"/>
      <c r="I537" s="6"/>
      <c r="J537" s="6"/>
      <c r="K537" s="6"/>
      <c r="L537" s="6"/>
      <c r="M537" s="6"/>
      <c r="N537" s="137"/>
      <c r="O537" s="137"/>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row>
    <row r="538" ht="14.25" customHeight="1">
      <c r="A538" s="6"/>
      <c r="B538" s="6"/>
      <c r="C538" s="6"/>
      <c r="D538" s="6"/>
      <c r="E538" s="6"/>
      <c r="F538" s="6"/>
      <c r="G538" s="6"/>
      <c r="H538" s="6"/>
      <c r="I538" s="6"/>
      <c r="J538" s="6"/>
      <c r="K538" s="6"/>
      <c r="L538" s="6"/>
      <c r="M538" s="6"/>
      <c r="N538" s="137"/>
      <c r="O538" s="137"/>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row>
    <row r="539" ht="14.25" customHeight="1">
      <c r="A539" s="6"/>
      <c r="B539" s="6"/>
      <c r="C539" s="6"/>
      <c r="D539" s="6"/>
      <c r="E539" s="6"/>
      <c r="F539" s="6"/>
      <c r="G539" s="6"/>
      <c r="H539" s="6"/>
      <c r="I539" s="6"/>
      <c r="J539" s="6"/>
      <c r="K539" s="6"/>
      <c r="L539" s="6"/>
      <c r="M539" s="6"/>
      <c r="N539" s="137"/>
      <c r="O539" s="137"/>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row>
    <row r="540" ht="14.25" customHeight="1">
      <c r="A540" s="6"/>
      <c r="B540" s="6"/>
      <c r="C540" s="6"/>
      <c r="D540" s="6"/>
      <c r="E540" s="6"/>
      <c r="F540" s="6"/>
      <c r="G540" s="6"/>
      <c r="H540" s="6"/>
      <c r="I540" s="6"/>
      <c r="J540" s="6"/>
      <c r="K540" s="6"/>
      <c r="L540" s="6"/>
      <c r="M540" s="6"/>
      <c r="N540" s="137"/>
      <c r="O540" s="137"/>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row>
    <row r="541" ht="14.25" customHeight="1">
      <c r="A541" s="6"/>
      <c r="B541" s="6"/>
      <c r="C541" s="6"/>
      <c r="D541" s="6"/>
      <c r="E541" s="6"/>
      <c r="F541" s="6"/>
      <c r="G541" s="6"/>
      <c r="H541" s="6"/>
      <c r="I541" s="6"/>
      <c r="J541" s="6"/>
      <c r="K541" s="6"/>
      <c r="L541" s="6"/>
      <c r="M541" s="6"/>
      <c r="N541" s="137"/>
      <c r="O541" s="137"/>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row>
    <row r="542" ht="14.25" customHeight="1">
      <c r="A542" s="6"/>
      <c r="B542" s="6"/>
      <c r="C542" s="6"/>
      <c r="D542" s="6"/>
      <c r="E542" s="6"/>
      <c r="F542" s="6"/>
      <c r="G542" s="6"/>
      <c r="H542" s="6"/>
      <c r="I542" s="6"/>
      <c r="J542" s="6"/>
      <c r="K542" s="6"/>
      <c r="L542" s="6"/>
      <c r="M542" s="6"/>
      <c r="N542" s="137"/>
      <c r="O542" s="137"/>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row>
    <row r="543" ht="14.25" customHeight="1">
      <c r="A543" s="6"/>
      <c r="B543" s="6"/>
      <c r="C543" s="6"/>
      <c r="D543" s="6"/>
      <c r="E543" s="6"/>
      <c r="F543" s="6"/>
      <c r="G543" s="6"/>
      <c r="H543" s="6"/>
      <c r="I543" s="6"/>
      <c r="J543" s="6"/>
      <c r="K543" s="6"/>
      <c r="L543" s="6"/>
      <c r="M543" s="6"/>
      <c r="N543" s="137"/>
      <c r="O543" s="137"/>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row>
    <row r="544" ht="14.25" customHeight="1">
      <c r="A544" s="6"/>
      <c r="B544" s="6"/>
      <c r="C544" s="6"/>
      <c r="D544" s="6"/>
      <c r="E544" s="6"/>
      <c r="F544" s="6"/>
      <c r="G544" s="6"/>
      <c r="H544" s="6"/>
      <c r="I544" s="6"/>
      <c r="J544" s="6"/>
      <c r="K544" s="6"/>
      <c r="L544" s="6"/>
      <c r="M544" s="6"/>
      <c r="N544" s="137"/>
      <c r="O544" s="137"/>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row>
    <row r="545" ht="14.25" customHeight="1">
      <c r="A545" s="6"/>
      <c r="B545" s="6"/>
      <c r="C545" s="6"/>
      <c r="D545" s="6"/>
      <c r="E545" s="6"/>
      <c r="F545" s="6"/>
      <c r="G545" s="6"/>
      <c r="H545" s="6"/>
      <c r="I545" s="6"/>
      <c r="J545" s="6"/>
      <c r="K545" s="6"/>
      <c r="L545" s="6"/>
      <c r="M545" s="6"/>
      <c r="N545" s="137"/>
      <c r="O545" s="137"/>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row>
    <row r="546" ht="14.25" customHeight="1">
      <c r="A546" s="6"/>
      <c r="B546" s="6"/>
      <c r="C546" s="6"/>
      <c r="D546" s="6"/>
      <c r="E546" s="6"/>
      <c r="F546" s="6"/>
      <c r="G546" s="6"/>
      <c r="H546" s="6"/>
      <c r="I546" s="6"/>
      <c r="J546" s="6"/>
      <c r="K546" s="6"/>
      <c r="L546" s="6"/>
      <c r="M546" s="6"/>
      <c r="N546" s="137"/>
      <c r="O546" s="137"/>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row>
    <row r="547" ht="14.25" customHeight="1">
      <c r="A547" s="6"/>
      <c r="B547" s="6"/>
      <c r="C547" s="6"/>
      <c r="D547" s="6"/>
      <c r="E547" s="6"/>
      <c r="F547" s="6"/>
      <c r="G547" s="6"/>
      <c r="H547" s="6"/>
      <c r="I547" s="6"/>
      <c r="J547" s="6"/>
      <c r="K547" s="6"/>
      <c r="L547" s="6"/>
      <c r="M547" s="6"/>
      <c r="N547" s="137"/>
      <c r="O547" s="137"/>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row>
    <row r="548" ht="14.25" customHeight="1">
      <c r="A548" s="6"/>
      <c r="B548" s="6"/>
      <c r="C548" s="6"/>
      <c r="D548" s="6"/>
      <c r="E548" s="6"/>
      <c r="F548" s="6"/>
      <c r="G548" s="6"/>
      <c r="H548" s="6"/>
      <c r="I548" s="6"/>
      <c r="J548" s="6"/>
      <c r="K548" s="6"/>
      <c r="L548" s="6"/>
      <c r="M548" s="6"/>
      <c r="N548" s="137"/>
      <c r="O548" s="137"/>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row>
    <row r="549" ht="14.25" customHeight="1">
      <c r="A549" s="6"/>
      <c r="B549" s="6"/>
      <c r="C549" s="6"/>
      <c r="D549" s="6"/>
      <c r="E549" s="6"/>
      <c r="F549" s="6"/>
      <c r="G549" s="6"/>
      <c r="H549" s="6"/>
      <c r="I549" s="6"/>
      <c r="J549" s="6"/>
      <c r="K549" s="6"/>
      <c r="L549" s="6"/>
      <c r="M549" s="6"/>
      <c r="N549" s="137"/>
      <c r="O549" s="137"/>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row>
    <row r="550" ht="14.25" customHeight="1">
      <c r="A550" s="6"/>
      <c r="B550" s="6"/>
      <c r="C550" s="6"/>
      <c r="D550" s="6"/>
      <c r="E550" s="6"/>
      <c r="F550" s="6"/>
      <c r="G550" s="6"/>
      <c r="H550" s="6"/>
      <c r="I550" s="6"/>
      <c r="J550" s="6"/>
      <c r="K550" s="6"/>
      <c r="L550" s="6"/>
      <c r="M550" s="6"/>
      <c r="N550" s="137"/>
      <c r="O550" s="137"/>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row>
    <row r="551" ht="14.25" customHeight="1">
      <c r="A551" s="6"/>
      <c r="B551" s="6"/>
      <c r="C551" s="6"/>
      <c r="D551" s="6"/>
      <c r="E551" s="6"/>
      <c r="F551" s="6"/>
      <c r="G551" s="6"/>
      <c r="H551" s="6"/>
      <c r="I551" s="6"/>
      <c r="J551" s="6"/>
      <c r="K551" s="6"/>
      <c r="L551" s="6"/>
      <c r="M551" s="6"/>
      <c r="N551" s="137"/>
      <c r="O551" s="137"/>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row>
    <row r="552" ht="14.25" customHeight="1">
      <c r="A552" s="6"/>
      <c r="B552" s="6"/>
      <c r="C552" s="6"/>
      <c r="D552" s="6"/>
      <c r="E552" s="6"/>
      <c r="F552" s="6"/>
      <c r="G552" s="6"/>
      <c r="H552" s="6"/>
      <c r="I552" s="6"/>
      <c r="J552" s="6"/>
      <c r="K552" s="6"/>
      <c r="L552" s="6"/>
      <c r="M552" s="6"/>
      <c r="N552" s="137"/>
      <c r="O552" s="137"/>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row>
    <row r="553" ht="14.25" customHeight="1">
      <c r="A553" s="6"/>
      <c r="B553" s="6"/>
      <c r="C553" s="6"/>
      <c r="D553" s="6"/>
      <c r="E553" s="6"/>
      <c r="F553" s="6"/>
      <c r="G553" s="6"/>
      <c r="H553" s="6"/>
      <c r="I553" s="6"/>
      <c r="J553" s="6"/>
      <c r="K553" s="6"/>
      <c r="L553" s="6"/>
      <c r="M553" s="6"/>
      <c r="N553" s="137"/>
      <c r="O553" s="137"/>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row>
    <row r="554" ht="14.25" customHeight="1">
      <c r="A554" s="6"/>
      <c r="B554" s="6"/>
      <c r="C554" s="6"/>
      <c r="D554" s="6"/>
      <c r="E554" s="6"/>
      <c r="F554" s="6"/>
      <c r="G554" s="6"/>
      <c r="H554" s="6"/>
      <c r="I554" s="6"/>
      <c r="J554" s="6"/>
      <c r="K554" s="6"/>
      <c r="L554" s="6"/>
      <c r="M554" s="6"/>
      <c r="N554" s="137"/>
      <c r="O554" s="137"/>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row>
    <row r="555" ht="14.25" customHeight="1">
      <c r="A555" s="6"/>
      <c r="B555" s="6"/>
      <c r="C555" s="6"/>
      <c r="D555" s="6"/>
      <c r="E555" s="6"/>
      <c r="F555" s="6"/>
      <c r="G555" s="6"/>
      <c r="H555" s="6"/>
      <c r="I555" s="6"/>
      <c r="J555" s="6"/>
      <c r="K555" s="6"/>
      <c r="L555" s="6"/>
      <c r="M555" s="6"/>
      <c r="N555" s="137"/>
      <c r="O555" s="137"/>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row>
    <row r="556" ht="14.25" customHeight="1">
      <c r="A556" s="6"/>
      <c r="B556" s="6"/>
      <c r="C556" s="6"/>
      <c r="D556" s="6"/>
      <c r="E556" s="6"/>
      <c r="F556" s="6"/>
      <c r="G556" s="6"/>
      <c r="H556" s="6"/>
      <c r="I556" s="6"/>
      <c r="J556" s="6"/>
      <c r="K556" s="6"/>
      <c r="L556" s="6"/>
      <c r="M556" s="6"/>
      <c r="N556" s="137"/>
      <c r="O556" s="137"/>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row>
    <row r="557" ht="14.25" customHeight="1">
      <c r="A557" s="6"/>
      <c r="B557" s="6"/>
      <c r="C557" s="6"/>
      <c r="D557" s="6"/>
      <c r="E557" s="6"/>
      <c r="F557" s="6"/>
      <c r="G557" s="6"/>
      <c r="H557" s="6"/>
      <c r="I557" s="6"/>
      <c r="J557" s="6"/>
      <c r="K557" s="6"/>
      <c r="L557" s="6"/>
      <c r="M557" s="6"/>
      <c r="N557" s="137"/>
      <c r="O557" s="137"/>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row>
    <row r="558" ht="14.25" customHeight="1">
      <c r="A558" s="6"/>
      <c r="B558" s="6"/>
      <c r="C558" s="6"/>
      <c r="D558" s="6"/>
      <c r="E558" s="6"/>
      <c r="F558" s="6"/>
      <c r="G558" s="6"/>
      <c r="H558" s="6"/>
      <c r="I558" s="6"/>
      <c r="J558" s="6"/>
      <c r="K558" s="6"/>
      <c r="L558" s="6"/>
      <c r="M558" s="6"/>
      <c r="N558" s="137"/>
      <c r="O558" s="137"/>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row>
    <row r="559" ht="14.25" customHeight="1">
      <c r="A559" s="6"/>
      <c r="B559" s="6"/>
      <c r="C559" s="6"/>
      <c r="D559" s="6"/>
      <c r="E559" s="6"/>
      <c r="F559" s="6"/>
      <c r="G559" s="6"/>
      <c r="H559" s="6"/>
      <c r="I559" s="6"/>
      <c r="J559" s="6"/>
      <c r="K559" s="6"/>
      <c r="L559" s="6"/>
      <c r="M559" s="6"/>
      <c r="N559" s="137"/>
      <c r="O559" s="137"/>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row>
    <row r="560" ht="14.25" customHeight="1">
      <c r="A560" s="6"/>
      <c r="B560" s="6"/>
      <c r="C560" s="6"/>
      <c r="D560" s="6"/>
      <c r="E560" s="6"/>
      <c r="F560" s="6"/>
      <c r="G560" s="6"/>
      <c r="H560" s="6"/>
      <c r="I560" s="6"/>
      <c r="J560" s="6"/>
      <c r="K560" s="6"/>
      <c r="L560" s="6"/>
      <c r="M560" s="6"/>
      <c r="N560" s="137"/>
      <c r="O560" s="137"/>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row>
    <row r="561" ht="14.25" customHeight="1">
      <c r="A561" s="6"/>
      <c r="B561" s="6"/>
      <c r="C561" s="6"/>
      <c r="D561" s="6"/>
      <c r="E561" s="6"/>
      <c r="F561" s="6"/>
      <c r="G561" s="6"/>
      <c r="H561" s="6"/>
      <c r="I561" s="6"/>
      <c r="J561" s="6"/>
      <c r="K561" s="6"/>
      <c r="L561" s="6"/>
      <c r="M561" s="6"/>
      <c r="N561" s="137"/>
      <c r="O561" s="137"/>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row>
    <row r="562" ht="14.25" customHeight="1">
      <c r="A562" s="6"/>
      <c r="B562" s="6"/>
      <c r="C562" s="6"/>
      <c r="D562" s="6"/>
      <c r="E562" s="6"/>
      <c r="F562" s="6"/>
      <c r="G562" s="6"/>
      <c r="H562" s="6"/>
      <c r="I562" s="6"/>
      <c r="J562" s="6"/>
      <c r="K562" s="6"/>
      <c r="L562" s="6"/>
      <c r="M562" s="6"/>
      <c r="N562" s="137"/>
      <c r="O562" s="137"/>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row>
    <row r="563" ht="14.25" customHeight="1">
      <c r="A563" s="6"/>
      <c r="B563" s="6"/>
      <c r="C563" s="6"/>
      <c r="D563" s="6"/>
      <c r="E563" s="6"/>
      <c r="F563" s="6"/>
      <c r="G563" s="6"/>
      <c r="H563" s="6"/>
      <c r="I563" s="6"/>
      <c r="J563" s="6"/>
      <c r="K563" s="6"/>
      <c r="L563" s="6"/>
      <c r="M563" s="6"/>
      <c r="N563" s="137"/>
      <c r="O563" s="137"/>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row>
    <row r="564" ht="14.25" customHeight="1">
      <c r="A564" s="6"/>
      <c r="B564" s="6"/>
      <c r="C564" s="6"/>
      <c r="D564" s="6"/>
      <c r="E564" s="6"/>
      <c r="F564" s="6"/>
      <c r="G564" s="6"/>
      <c r="H564" s="6"/>
      <c r="I564" s="6"/>
      <c r="J564" s="6"/>
      <c r="K564" s="6"/>
      <c r="L564" s="6"/>
      <c r="M564" s="6"/>
      <c r="N564" s="137"/>
      <c r="O564" s="137"/>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row>
    <row r="565" ht="14.25" customHeight="1">
      <c r="A565" s="6"/>
      <c r="B565" s="6"/>
      <c r="C565" s="6"/>
      <c r="D565" s="6"/>
      <c r="E565" s="6"/>
      <c r="F565" s="6"/>
      <c r="G565" s="6"/>
      <c r="H565" s="6"/>
      <c r="I565" s="6"/>
      <c r="J565" s="6"/>
      <c r="K565" s="6"/>
      <c r="L565" s="6"/>
      <c r="M565" s="6"/>
      <c r="N565" s="137"/>
      <c r="O565" s="137"/>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row>
    <row r="566" ht="14.25" customHeight="1">
      <c r="A566" s="6"/>
      <c r="B566" s="6"/>
      <c r="C566" s="6"/>
      <c r="D566" s="6"/>
      <c r="E566" s="6"/>
      <c r="F566" s="6"/>
      <c r="G566" s="6"/>
      <c r="H566" s="6"/>
      <c r="I566" s="6"/>
      <c r="J566" s="6"/>
      <c r="K566" s="6"/>
      <c r="L566" s="6"/>
      <c r="M566" s="6"/>
      <c r="N566" s="137"/>
      <c r="O566" s="137"/>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row>
    <row r="567" ht="14.25" customHeight="1">
      <c r="A567" s="6"/>
      <c r="B567" s="6"/>
      <c r="C567" s="6"/>
      <c r="D567" s="6"/>
      <c r="E567" s="6"/>
      <c r="F567" s="6"/>
      <c r="G567" s="6"/>
      <c r="H567" s="6"/>
      <c r="I567" s="6"/>
      <c r="J567" s="6"/>
      <c r="K567" s="6"/>
      <c r="L567" s="6"/>
      <c r="M567" s="6"/>
      <c r="N567" s="137"/>
      <c r="O567" s="137"/>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row>
    <row r="568" ht="14.25" customHeight="1">
      <c r="A568" s="6"/>
      <c r="B568" s="6"/>
      <c r="C568" s="6"/>
      <c r="D568" s="6"/>
      <c r="E568" s="6"/>
      <c r="F568" s="6"/>
      <c r="G568" s="6"/>
      <c r="H568" s="6"/>
      <c r="I568" s="6"/>
      <c r="J568" s="6"/>
      <c r="K568" s="6"/>
      <c r="L568" s="6"/>
      <c r="M568" s="6"/>
      <c r="N568" s="137"/>
      <c r="O568" s="137"/>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row>
    <row r="569" ht="14.25" customHeight="1">
      <c r="A569" s="6"/>
      <c r="B569" s="6"/>
      <c r="C569" s="6"/>
      <c r="D569" s="6"/>
      <c r="E569" s="6"/>
      <c r="F569" s="6"/>
      <c r="G569" s="6"/>
      <c r="H569" s="6"/>
      <c r="I569" s="6"/>
      <c r="J569" s="6"/>
      <c r="K569" s="6"/>
      <c r="L569" s="6"/>
      <c r="M569" s="6"/>
      <c r="N569" s="137"/>
      <c r="O569" s="137"/>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row>
    <row r="570" ht="14.25" customHeight="1">
      <c r="A570" s="6"/>
      <c r="B570" s="6"/>
      <c r="C570" s="6"/>
      <c r="D570" s="6"/>
      <c r="E570" s="6"/>
      <c r="F570" s="6"/>
      <c r="G570" s="6"/>
      <c r="H570" s="6"/>
      <c r="I570" s="6"/>
      <c r="J570" s="6"/>
      <c r="K570" s="6"/>
      <c r="L570" s="6"/>
      <c r="M570" s="6"/>
      <c r="N570" s="137"/>
      <c r="O570" s="137"/>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row>
    <row r="571" ht="14.25" customHeight="1">
      <c r="A571" s="6"/>
      <c r="B571" s="6"/>
      <c r="C571" s="6"/>
      <c r="D571" s="6"/>
      <c r="E571" s="6"/>
      <c r="F571" s="6"/>
      <c r="G571" s="6"/>
      <c r="H571" s="6"/>
      <c r="I571" s="6"/>
      <c r="J571" s="6"/>
      <c r="K571" s="6"/>
      <c r="L571" s="6"/>
      <c r="M571" s="6"/>
      <c r="N571" s="137"/>
      <c r="O571" s="137"/>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row>
    <row r="572" ht="14.25" customHeight="1">
      <c r="A572" s="6"/>
      <c r="B572" s="6"/>
      <c r="C572" s="6"/>
      <c r="D572" s="6"/>
      <c r="E572" s="6"/>
      <c r="F572" s="6"/>
      <c r="G572" s="6"/>
      <c r="H572" s="6"/>
      <c r="I572" s="6"/>
      <c r="J572" s="6"/>
      <c r="K572" s="6"/>
      <c r="L572" s="6"/>
      <c r="M572" s="6"/>
      <c r="N572" s="137"/>
      <c r="O572" s="137"/>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row>
    <row r="573" ht="14.25" customHeight="1">
      <c r="A573" s="6"/>
      <c r="B573" s="6"/>
      <c r="C573" s="6"/>
      <c r="D573" s="6"/>
      <c r="E573" s="6"/>
      <c r="F573" s="6"/>
      <c r="G573" s="6"/>
      <c r="H573" s="6"/>
      <c r="I573" s="6"/>
      <c r="J573" s="6"/>
      <c r="K573" s="6"/>
      <c r="L573" s="6"/>
      <c r="M573" s="6"/>
      <c r="N573" s="137"/>
      <c r="O573" s="137"/>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row>
    <row r="574" ht="14.25" customHeight="1">
      <c r="A574" s="6"/>
      <c r="B574" s="6"/>
      <c r="C574" s="6"/>
      <c r="D574" s="6"/>
      <c r="E574" s="6"/>
      <c r="F574" s="6"/>
      <c r="G574" s="6"/>
      <c r="H574" s="6"/>
      <c r="I574" s="6"/>
      <c r="J574" s="6"/>
      <c r="K574" s="6"/>
      <c r="L574" s="6"/>
      <c r="M574" s="6"/>
      <c r="N574" s="137"/>
      <c r="O574" s="137"/>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row>
    <row r="575" ht="14.25" customHeight="1">
      <c r="A575" s="6"/>
      <c r="B575" s="6"/>
      <c r="C575" s="6"/>
      <c r="D575" s="6"/>
      <c r="E575" s="6"/>
      <c r="F575" s="6"/>
      <c r="G575" s="6"/>
      <c r="H575" s="6"/>
      <c r="I575" s="6"/>
      <c r="J575" s="6"/>
      <c r="K575" s="6"/>
      <c r="L575" s="6"/>
      <c r="M575" s="6"/>
      <c r="N575" s="137"/>
      <c r="O575" s="137"/>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row>
    <row r="576" ht="14.25" customHeight="1">
      <c r="A576" s="6"/>
      <c r="B576" s="6"/>
      <c r="C576" s="6"/>
      <c r="D576" s="6"/>
      <c r="E576" s="6"/>
      <c r="F576" s="6"/>
      <c r="G576" s="6"/>
      <c r="H576" s="6"/>
      <c r="I576" s="6"/>
      <c r="J576" s="6"/>
      <c r="K576" s="6"/>
      <c r="L576" s="6"/>
      <c r="M576" s="6"/>
      <c r="N576" s="137"/>
      <c r="O576" s="137"/>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row>
    <row r="577" ht="14.25" customHeight="1">
      <c r="A577" s="6"/>
      <c r="B577" s="6"/>
      <c r="C577" s="6"/>
      <c r="D577" s="6"/>
      <c r="E577" s="6"/>
      <c r="F577" s="6"/>
      <c r="G577" s="6"/>
      <c r="H577" s="6"/>
      <c r="I577" s="6"/>
      <c r="J577" s="6"/>
      <c r="K577" s="6"/>
      <c r="L577" s="6"/>
      <c r="M577" s="6"/>
      <c r="N577" s="137"/>
      <c r="O577" s="137"/>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row>
    <row r="578" ht="14.25" customHeight="1">
      <c r="A578" s="6"/>
      <c r="B578" s="6"/>
      <c r="C578" s="6"/>
      <c r="D578" s="6"/>
      <c r="E578" s="6"/>
      <c r="F578" s="6"/>
      <c r="G578" s="6"/>
      <c r="H578" s="6"/>
      <c r="I578" s="6"/>
      <c r="J578" s="6"/>
      <c r="K578" s="6"/>
      <c r="L578" s="6"/>
      <c r="M578" s="6"/>
      <c r="N578" s="137"/>
      <c r="O578" s="137"/>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row>
    <row r="579" ht="14.25" customHeight="1">
      <c r="A579" s="6"/>
      <c r="B579" s="6"/>
      <c r="C579" s="6"/>
      <c r="D579" s="6"/>
      <c r="E579" s="6"/>
      <c r="F579" s="6"/>
      <c r="G579" s="6"/>
      <c r="H579" s="6"/>
      <c r="I579" s="6"/>
      <c r="J579" s="6"/>
      <c r="K579" s="6"/>
      <c r="L579" s="6"/>
      <c r="M579" s="6"/>
      <c r="N579" s="137"/>
      <c r="O579" s="137"/>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row>
    <row r="580" ht="14.25" customHeight="1">
      <c r="A580" s="6"/>
      <c r="B580" s="6"/>
      <c r="C580" s="6"/>
      <c r="D580" s="6"/>
      <c r="E580" s="6"/>
      <c r="F580" s="6"/>
      <c r="G580" s="6"/>
      <c r="H580" s="6"/>
      <c r="I580" s="6"/>
      <c r="J580" s="6"/>
      <c r="K580" s="6"/>
      <c r="L580" s="6"/>
      <c r="M580" s="6"/>
      <c r="N580" s="137"/>
      <c r="O580" s="137"/>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row>
    <row r="581" ht="14.25" customHeight="1">
      <c r="A581" s="6"/>
      <c r="B581" s="6"/>
      <c r="C581" s="6"/>
      <c r="D581" s="6"/>
      <c r="E581" s="6"/>
      <c r="F581" s="6"/>
      <c r="G581" s="6"/>
      <c r="H581" s="6"/>
      <c r="I581" s="6"/>
      <c r="J581" s="6"/>
      <c r="K581" s="6"/>
      <c r="L581" s="6"/>
      <c r="M581" s="6"/>
      <c r="N581" s="137"/>
      <c r="O581" s="137"/>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row>
    <row r="582" ht="14.25" customHeight="1">
      <c r="A582" s="6"/>
      <c r="B582" s="6"/>
      <c r="C582" s="6"/>
      <c r="D582" s="6"/>
      <c r="E582" s="6"/>
      <c r="F582" s="6"/>
      <c r="G582" s="6"/>
      <c r="H582" s="6"/>
      <c r="I582" s="6"/>
      <c r="J582" s="6"/>
      <c r="K582" s="6"/>
      <c r="L582" s="6"/>
      <c r="M582" s="6"/>
      <c r="N582" s="137"/>
      <c r="O582" s="137"/>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row>
    <row r="583" ht="14.25" customHeight="1">
      <c r="A583" s="6"/>
      <c r="B583" s="6"/>
      <c r="C583" s="6"/>
      <c r="D583" s="6"/>
      <c r="E583" s="6"/>
      <c r="F583" s="6"/>
      <c r="G583" s="6"/>
      <c r="H583" s="6"/>
      <c r="I583" s="6"/>
      <c r="J583" s="6"/>
      <c r="K583" s="6"/>
      <c r="L583" s="6"/>
      <c r="M583" s="6"/>
      <c r="N583" s="137"/>
      <c r="O583" s="137"/>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row>
    <row r="584" ht="14.25" customHeight="1">
      <c r="A584" s="6"/>
      <c r="B584" s="6"/>
      <c r="C584" s="6"/>
      <c r="D584" s="6"/>
      <c r="E584" s="6"/>
      <c r="F584" s="6"/>
      <c r="G584" s="6"/>
      <c r="H584" s="6"/>
      <c r="I584" s="6"/>
      <c r="J584" s="6"/>
      <c r="K584" s="6"/>
      <c r="L584" s="6"/>
      <c r="M584" s="6"/>
      <c r="N584" s="137"/>
      <c r="O584" s="137"/>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row>
    <row r="585" ht="14.25" customHeight="1">
      <c r="A585" s="6"/>
      <c r="B585" s="6"/>
      <c r="C585" s="6"/>
      <c r="D585" s="6"/>
      <c r="E585" s="6"/>
      <c r="F585" s="6"/>
      <c r="G585" s="6"/>
      <c r="H585" s="6"/>
      <c r="I585" s="6"/>
      <c r="J585" s="6"/>
      <c r="K585" s="6"/>
      <c r="L585" s="6"/>
      <c r="M585" s="6"/>
      <c r="N585" s="137"/>
      <c r="O585" s="137"/>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row>
    <row r="586" ht="14.25" customHeight="1">
      <c r="A586" s="6"/>
      <c r="B586" s="6"/>
      <c r="C586" s="6"/>
      <c r="D586" s="6"/>
      <c r="E586" s="6"/>
      <c r="F586" s="6"/>
      <c r="G586" s="6"/>
      <c r="H586" s="6"/>
      <c r="I586" s="6"/>
      <c r="J586" s="6"/>
      <c r="K586" s="6"/>
      <c r="L586" s="6"/>
      <c r="M586" s="6"/>
      <c r="N586" s="137"/>
      <c r="O586" s="137"/>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row>
    <row r="587" ht="14.25" customHeight="1">
      <c r="A587" s="6"/>
      <c r="B587" s="6"/>
      <c r="C587" s="6"/>
      <c r="D587" s="6"/>
      <c r="E587" s="6"/>
      <c r="F587" s="6"/>
      <c r="G587" s="6"/>
      <c r="H587" s="6"/>
      <c r="I587" s="6"/>
      <c r="J587" s="6"/>
      <c r="K587" s="6"/>
      <c r="L587" s="6"/>
      <c r="M587" s="6"/>
      <c r="N587" s="137"/>
      <c r="O587" s="137"/>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row>
    <row r="588" ht="14.25" customHeight="1">
      <c r="A588" s="6"/>
      <c r="B588" s="6"/>
      <c r="C588" s="6"/>
      <c r="D588" s="6"/>
      <c r="E588" s="6"/>
      <c r="F588" s="6"/>
      <c r="G588" s="6"/>
      <c r="H588" s="6"/>
      <c r="I588" s="6"/>
      <c r="J588" s="6"/>
      <c r="K588" s="6"/>
      <c r="L588" s="6"/>
      <c r="M588" s="6"/>
      <c r="N588" s="137"/>
      <c r="O588" s="137"/>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row>
    <row r="589" ht="14.25" customHeight="1">
      <c r="A589" s="6"/>
      <c r="B589" s="6"/>
      <c r="C589" s="6"/>
      <c r="D589" s="6"/>
      <c r="E589" s="6"/>
      <c r="F589" s="6"/>
      <c r="G589" s="6"/>
      <c r="H589" s="6"/>
      <c r="I589" s="6"/>
      <c r="J589" s="6"/>
      <c r="K589" s="6"/>
      <c r="L589" s="6"/>
      <c r="M589" s="6"/>
      <c r="N589" s="137"/>
      <c r="O589" s="137"/>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row>
    <row r="590" ht="14.25" customHeight="1">
      <c r="A590" s="6"/>
      <c r="B590" s="6"/>
      <c r="C590" s="6"/>
      <c r="D590" s="6"/>
      <c r="E590" s="6"/>
      <c r="F590" s="6"/>
      <c r="G590" s="6"/>
      <c r="H590" s="6"/>
      <c r="I590" s="6"/>
      <c r="J590" s="6"/>
      <c r="K590" s="6"/>
      <c r="L590" s="6"/>
      <c r="M590" s="6"/>
      <c r="N590" s="137"/>
      <c r="O590" s="137"/>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row>
    <row r="591" ht="14.25" customHeight="1">
      <c r="A591" s="6"/>
      <c r="B591" s="6"/>
      <c r="C591" s="6"/>
      <c r="D591" s="6"/>
      <c r="E591" s="6"/>
      <c r="F591" s="6"/>
      <c r="G591" s="6"/>
      <c r="H591" s="6"/>
      <c r="I591" s="6"/>
      <c r="J591" s="6"/>
      <c r="K591" s="6"/>
      <c r="L591" s="6"/>
      <c r="M591" s="6"/>
      <c r="N591" s="137"/>
      <c r="O591" s="137"/>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row>
    <row r="592" ht="14.25" customHeight="1">
      <c r="A592" s="6"/>
      <c r="B592" s="6"/>
      <c r="C592" s="6"/>
      <c r="D592" s="6"/>
      <c r="E592" s="6"/>
      <c r="F592" s="6"/>
      <c r="G592" s="6"/>
      <c r="H592" s="6"/>
      <c r="I592" s="6"/>
      <c r="J592" s="6"/>
      <c r="K592" s="6"/>
      <c r="L592" s="6"/>
      <c r="M592" s="6"/>
      <c r="N592" s="137"/>
      <c r="O592" s="137"/>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row>
    <row r="593" ht="14.25" customHeight="1">
      <c r="A593" s="6"/>
      <c r="B593" s="6"/>
      <c r="C593" s="6"/>
      <c r="D593" s="6"/>
      <c r="E593" s="6"/>
      <c r="F593" s="6"/>
      <c r="G593" s="6"/>
      <c r="H593" s="6"/>
      <c r="I593" s="6"/>
      <c r="J593" s="6"/>
      <c r="K593" s="6"/>
      <c r="L593" s="6"/>
      <c r="M593" s="6"/>
      <c r="N593" s="137"/>
      <c r="O593" s="137"/>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row>
    <row r="594" ht="14.25" customHeight="1">
      <c r="A594" s="6"/>
      <c r="B594" s="6"/>
      <c r="C594" s="6"/>
      <c r="D594" s="6"/>
      <c r="E594" s="6"/>
      <c r="F594" s="6"/>
      <c r="G594" s="6"/>
      <c r="H594" s="6"/>
      <c r="I594" s="6"/>
      <c r="J594" s="6"/>
      <c r="K594" s="6"/>
      <c r="L594" s="6"/>
      <c r="M594" s="6"/>
      <c r="N594" s="137"/>
      <c r="O594" s="137"/>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row>
    <row r="595" ht="14.25" customHeight="1">
      <c r="A595" s="6"/>
      <c r="B595" s="6"/>
      <c r="C595" s="6"/>
      <c r="D595" s="6"/>
      <c r="E595" s="6"/>
      <c r="F595" s="6"/>
      <c r="G595" s="6"/>
      <c r="H595" s="6"/>
      <c r="I595" s="6"/>
      <c r="J595" s="6"/>
      <c r="K595" s="6"/>
      <c r="L595" s="6"/>
      <c r="M595" s="6"/>
      <c r="N595" s="137"/>
      <c r="O595" s="137"/>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row>
    <row r="596" ht="14.25" customHeight="1">
      <c r="A596" s="6"/>
      <c r="B596" s="6"/>
      <c r="C596" s="6"/>
      <c r="D596" s="6"/>
      <c r="E596" s="6"/>
      <c r="F596" s="6"/>
      <c r="G596" s="6"/>
      <c r="H596" s="6"/>
      <c r="I596" s="6"/>
      <c r="J596" s="6"/>
      <c r="K596" s="6"/>
      <c r="L596" s="6"/>
      <c r="M596" s="6"/>
      <c r="N596" s="137"/>
      <c r="O596" s="137"/>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row>
    <row r="597" ht="14.25" customHeight="1">
      <c r="A597" s="6"/>
      <c r="B597" s="6"/>
      <c r="C597" s="6"/>
      <c r="D597" s="6"/>
      <c r="E597" s="6"/>
      <c r="F597" s="6"/>
      <c r="G597" s="6"/>
      <c r="H597" s="6"/>
      <c r="I597" s="6"/>
      <c r="J597" s="6"/>
      <c r="K597" s="6"/>
      <c r="L597" s="6"/>
      <c r="M597" s="6"/>
      <c r="N597" s="137"/>
      <c r="O597" s="137"/>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row>
    <row r="598" ht="14.25" customHeight="1">
      <c r="A598" s="6"/>
      <c r="B598" s="6"/>
      <c r="C598" s="6"/>
      <c r="D598" s="6"/>
      <c r="E598" s="6"/>
      <c r="F598" s="6"/>
      <c r="G598" s="6"/>
      <c r="H598" s="6"/>
      <c r="I598" s="6"/>
      <c r="J598" s="6"/>
      <c r="K598" s="6"/>
      <c r="L598" s="6"/>
      <c r="M598" s="6"/>
      <c r="N598" s="137"/>
      <c r="O598" s="137"/>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row>
    <row r="599" ht="14.25" customHeight="1">
      <c r="A599" s="6"/>
      <c r="B599" s="6"/>
      <c r="C599" s="6"/>
      <c r="D599" s="6"/>
      <c r="E599" s="6"/>
      <c r="F599" s="6"/>
      <c r="G599" s="6"/>
      <c r="H599" s="6"/>
      <c r="I599" s="6"/>
      <c r="J599" s="6"/>
      <c r="K599" s="6"/>
      <c r="L599" s="6"/>
      <c r="M599" s="6"/>
      <c r="N599" s="137"/>
      <c r="O599" s="137"/>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row>
    <row r="600" ht="14.25" customHeight="1">
      <c r="A600" s="6"/>
      <c r="B600" s="6"/>
      <c r="C600" s="6"/>
      <c r="D600" s="6"/>
      <c r="E600" s="6"/>
      <c r="F600" s="6"/>
      <c r="G600" s="6"/>
      <c r="H600" s="6"/>
      <c r="I600" s="6"/>
      <c r="J600" s="6"/>
      <c r="K600" s="6"/>
      <c r="L600" s="6"/>
      <c r="M600" s="6"/>
      <c r="N600" s="137"/>
      <c r="O600" s="137"/>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row>
    <row r="601" ht="14.25" customHeight="1">
      <c r="A601" s="6"/>
      <c r="B601" s="6"/>
      <c r="C601" s="6"/>
      <c r="D601" s="6"/>
      <c r="E601" s="6"/>
      <c r="F601" s="6"/>
      <c r="G601" s="6"/>
      <c r="H601" s="6"/>
      <c r="I601" s="6"/>
      <c r="J601" s="6"/>
      <c r="K601" s="6"/>
      <c r="L601" s="6"/>
      <c r="M601" s="6"/>
      <c r="N601" s="137"/>
      <c r="O601" s="137"/>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row>
    <row r="602" ht="14.25" customHeight="1">
      <c r="A602" s="6"/>
      <c r="B602" s="6"/>
      <c r="C602" s="6"/>
      <c r="D602" s="6"/>
      <c r="E602" s="6"/>
      <c r="F602" s="6"/>
      <c r="G602" s="6"/>
      <c r="H602" s="6"/>
      <c r="I602" s="6"/>
      <c r="J602" s="6"/>
      <c r="K602" s="6"/>
      <c r="L602" s="6"/>
      <c r="M602" s="6"/>
      <c r="N602" s="137"/>
      <c r="O602" s="137"/>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row>
    <row r="603" ht="14.25" customHeight="1">
      <c r="A603" s="6"/>
      <c r="B603" s="6"/>
      <c r="C603" s="6"/>
      <c r="D603" s="6"/>
      <c r="E603" s="6"/>
      <c r="F603" s="6"/>
      <c r="G603" s="6"/>
      <c r="H603" s="6"/>
      <c r="I603" s="6"/>
      <c r="J603" s="6"/>
      <c r="K603" s="6"/>
      <c r="L603" s="6"/>
      <c r="M603" s="6"/>
      <c r="N603" s="137"/>
      <c r="O603" s="137"/>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row>
    <row r="604" ht="14.25" customHeight="1">
      <c r="A604" s="6"/>
      <c r="B604" s="6"/>
      <c r="C604" s="6"/>
      <c r="D604" s="6"/>
      <c r="E604" s="6"/>
      <c r="F604" s="6"/>
      <c r="G604" s="6"/>
      <c r="H604" s="6"/>
      <c r="I604" s="6"/>
      <c r="J604" s="6"/>
      <c r="K604" s="6"/>
      <c r="L604" s="6"/>
      <c r="M604" s="6"/>
      <c r="N604" s="137"/>
      <c r="O604" s="137"/>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row>
    <row r="605" ht="14.25" customHeight="1">
      <c r="A605" s="6"/>
      <c r="B605" s="6"/>
      <c r="C605" s="6"/>
      <c r="D605" s="6"/>
      <c r="E605" s="6"/>
      <c r="F605" s="6"/>
      <c r="G605" s="6"/>
      <c r="H605" s="6"/>
      <c r="I605" s="6"/>
      <c r="J605" s="6"/>
      <c r="K605" s="6"/>
      <c r="L605" s="6"/>
      <c r="M605" s="6"/>
      <c r="N605" s="137"/>
      <c r="O605" s="137"/>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row>
    <row r="606" ht="14.25" customHeight="1">
      <c r="A606" s="6"/>
      <c r="B606" s="6"/>
      <c r="C606" s="6"/>
      <c r="D606" s="6"/>
      <c r="E606" s="6"/>
      <c r="F606" s="6"/>
      <c r="G606" s="6"/>
      <c r="H606" s="6"/>
      <c r="I606" s="6"/>
      <c r="J606" s="6"/>
      <c r="K606" s="6"/>
      <c r="L606" s="6"/>
      <c r="M606" s="6"/>
      <c r="N606" s="137"/>
      <c r="O606" s="137"/>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row>
    <row r="607" ht="14.25" customHeight="1">
      <c r="A607" s="6"/>
      <c r="B607" s="6"/>
      <c r="C607" s="6"/>
      <c r="D607" s="6"/>
      <c r="E607" s="6"/>
      <c r="F607" s="6"/>
      <c r="G607" s="6"/>
      <c r="H607" s="6"/>
      <c r="I607" s="6"/>
      <c r="J607" s="6"/>
      <c r="K607" s="6"/>
      <c r="L607" s="6"/>
      <c r="M607" s="6"/>
      <c r="N607" s="137"/>
      <c r="O607" s="137"/>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row>
    <row r="608" ht="14.25" customHeight="1">
      <c r="A608" s="6"/>
      <c r="B608" s="6"/>
      <c r="C608" s="6"/>
      <c r="D608" s="6"/>
      <c r="E608" s="6"/>
      <c r="F608" s="6"/>
      <c r="G608" s="6"/>
      <c r="H608" s="6"/>
      <c r="I608" s="6"/>
      <c r="J608" s="6"/>
      <c r="K608" s="6"/>
      <c r="L608" s="6"/>
      <c r="M608" s="6"/>
      <c r="N608" s="137"/>
      <c r="O608" s="137"/>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row>
    <row r="609" ht="14.25" customHeight="1">
      <c r="A609" s="6"/>
      <c r="B609" s="6"/>
      <c r="C609" s="6"/>
      <c r="D609" s="6"/>
      <c r="E609" s="6"/>
      <c r="F609" s="6"/>
      <c r="G609" s="6"/>
      <c r="H609" s="6"/>
      <c r="I609" s="6"/>
      <c r="J609" s="6"/>
      <c r="K609" s="6"/>
      <c r="L609" s="6"/>
      <c r="M609" s="6"/>
      <c r="N609" s="137"/>
      <c r="O609" s="137"/>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row>
    <row r="610" ht="14.25" customHeight="1">
      <c r="A610" s="6"/>
      <c r="B610" s="6"/>
      <c r="C610" s="6"/>
      <c r="D610" s="6"/>
      <c r="E610" s="6"/>
      <c r="F610" s="6"/>
      <c r="G610" s="6"/>
      <c r="H610" s="6"/>
      <c r="I610" s="6"/>
      <c r="J610" s="6"/>
      <c r="K610" s="6"/>
      <c r="L610" s="6"/>
      <c r="M610" s="6"/>
      <c r="N610" s="137"/>
      <c r="O610" s="137"/>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row>
    <row r="611" ht="14.25" customHeight="1">
      <c r="A611" s="6"/>
      <c r="B611" s="6"/>
      <c r="C611" s="6"/>
      <c r="D611" s="6"/>
      <c r="E611" s="6"/>
      <c r="F611" s="6"/>
      <c r="G611" s="6"/>
      <c r="H611" s="6"/>
      <c r="I611" s="6"/>
      <c r="J611" s="6"/>
      <c r="K611" s="6"/>
      <c r="L611" s="6"/>
      <c r="M611" s="6"/>
      <c r="N611" s="137"/>
      <c r="O611" s="137"/>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row>
    <row r="612" ht="14.25" customHeight="1">
      <c r="A612" s="6"/>
      <c r="B612" s="6"/>
      <c r="C612" s="6"/>
      <c r="D612" s="6"/>
      <c r="E612" s="6"/>
      <c r="F612" s="6"/>
      <c r="G612" s="6"/>
      <c r="H612" s="6"/>
      <c r="I612" s="6"/>
      <c r="J612" s="6"/>
      <c r="K612" s="6"/>
      <c r="L612" s="6"/>
      <c r="M612" s="6"/>
      <c r="N612" s="137"/>
      <c r="O612" s="137"/>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row>
    <row r="613" ht="14.25" customHeight="1">
      <c r="A613" s="6"/>
      <c r="B613" s="6"/>
      <c r="C613" s="6"/>
      <c r="D613" s="6"/>
      <c r="E613" s="6"/>
      <c r="F613" s="6"/>
      <c r="G613" s="6"/>
      <c r="H613" s="6"/>
      <c r="I613" s="6"/>
      <c r="J613" s="6"/>
      <c r="K613" s="6"/>
      <c r="L613" s="6"/>
      <c r="M613" s="6"/>
      <c r="N613" s="137"/>
      <c r="O613" s="137"/>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row>
    <row r="614" ht="14.25" customHeight="1">
      <c r="A614" s="6"/>
      <c r="B614" s="6"/>
      <c r="C614" s="6"/>
      <c r="D614" s="6"/>
      <c r="E614" s="6"/>
      <c r="F614" s="6"/>
      <c r="G614" s="6"/>
      <c r="H614" s="6"/>
      <c r="I614" s="6"/>
      <c r="J614" s="6"/>
      <c r="K614" s="6"/>
      <c r="L614" s="6"/>
      <c r="M614" s="6"/>
      <c r="N614" s="137"/>
      <c r="O614" s="137"/>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row>
    <row r="615" ht="14.25" customHeight="1">
      <c r="A615" s="6"/>
      <c r="B615" s="6"/>
      <c r="C615" s="6"/>
      <c r="D615" s="6"/>
      <c r="E615" s="6"/>
      <c r="F615" s="6"/>
      <c r="G615" s="6"/>
      <c r="H615" s="6"/>
      <c r="I615" s="6"/>
      <c r="J615" s="6"/>
      <c r="K615" s="6"/>
      <c r="L615" s="6"/>
      <c r="M615" s="6"/>
      <c r="N615" s="137"/>
      <c r="O615" s="137"/>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row>
    <row r="616" ht="14.25" customHeight="1">
      <c r="A616" s="6"/>
      <c r="B616" s="6"/>
      <c r="C616" s="6"/>
      <c r="D616" s="6"/>
      <c r="E616" s="6"/>
      <c r="F616" s="6"/>
      <c r="G616" s="6"/>
      <c r="H616" s="6"/>
      <c r="I616" s="6"/>
      <c r="J616" s="6"/>
      <c r="K616" s="6"/>
      <c r="L616" s="6"/>
      <c r="M616" s="6"/>
      <c r="N616" s="137"/>
      <c r="O616" s="137"/>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row>
    <row r="617" ht="14.25" customHeight="1">
      <c r="A617" s="6"/>
      <c r="B617" s="6"/>
      <c r="C617" s="6"/>
      <c r="D617" s="6"/>
      <c r="E617" s="6"/>
      <c r="F617" s="6"/>
      <c r="G617" s="6"/>
      <c r="H617" s="6"/>
      <c r="I617" s="6"/>
      <c r="J617" s="6"/>
      <c r="K617" s="6"/>
      <c r="L617" s="6"/>
      <c r="M617" s="6"/>
      <c r="N617" s="137"/>
      <c r="O617" s="137"/>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row>
    <row r="618" ht="14.25" customHeight="1">
      <c r="A618" s="6"/>
      <c r="B618" s="6"/>
      <c r="C618" s="6"/>
      <c r="D618" s="6"/>
      <c r="E618" s="6"/>
      <c r="F618" s="6"/>
      <c r="G618" s="6"/>
      <c r="H618" s="6"/>
      <c r="I618" s="6"/>
      <c r="J618" s="6"/>
      <c r="K618" s="6"/>
      <c r="L618" s="6"/>
      <c r="M618" s="6"/>
      <c r="N618" s="137"/>
      <c r="O618" s="137"/>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row>
    <row r="619" ht="14.25" customHeight="1">
      <c r="A619" s="6"/>
      <c r="B619" s="6"/>
      <c r="C619" s="6"/>
      <c r="D619" s="6"/>
      <c r="E619" s="6"/>
      <c r="F619" s="6"/>
      <c r="G619" s="6"/>
      <c r="H619" s="6"/>
      <c r="I619" s="6"/>
      <c r="J619" s="6"/>
      <c r="K619" s="6"/>
      <c r="L619" s="6"/>
      <c r="M619" s="6"/>
      <c r="N619" s="137"/>
      <c r="O619" s="137"/>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row>
    <row r="620" ht="14.25" customHeight="1">
      <c r="A620" s="6"/>
      <c r="B620" s="6"/>
      <c r="C620" s="6"/>
      <c r="D620" s="6"/>
      <c r="E620" s="6"/>
      <c r="F620" s="6"/>
      <c r="G620" s="6"/>
      <c r="H620" s="6"/>
      <c r="I620" s="6"/>
      <c r="J620" s="6"/>
      <c r="K620" s="6"/>
      <c r="L620" s="6"/>
      <c r="M620" s="6"/>
      <c r="N620" s="137"/>
      <c r="O620" s="137"/>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row>
    <row r="621" ht="14.25" customHeight="1">
      <c r="A621" s="6"/>
      <c r="B621" s="6"/>
      <c r="C621" s="6"/>
      <c r="D621" s="6"/>
      <c r="E621" s="6"/>
      <c r="F621" s="6"/>
      <c r="G621" s="6"/>
      <c r="H621" s="6"/>
      <c r="I621" s="6"/>
      <c r="J621" s="6"/>
      <c r="K621" s="6"/>
      <c r="L621" s="6"/>
      <c r="M621" s="6"/>
      <c r="N621" s="137"/>
      <c r="O621" s="137"/>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row>
    <row r="622" ht="14.25" customHeight="1">
      <c r="A622" s="6"/>
      <c r="B622" s="6"/>
      <c r="C622" s="6"/>
      <c r="D622" s="6"/>
      <c r="E622" s="6"/>
      <c r="F622" s="6"/>
      <c r="G622" s="6"/>
      <c r="H622" s="6"/>
      <c r="I622" s="6"/>
      <c r="J622" s="6"/>
      <c r="K622" s="6"/>
      <c r="L622" s="6"/>
      <c r="M622" s="6"/>
      <c r="N622" s="137"/>
      <c r="O622" s="137"/>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row>
    <row r="623" ht="14.25" customHeight="1">
      <c r="A623" s="6"/>
      <c r="B623" s="6"/>
      <c r="C623" s="6"/>
      <c r="D623" s="6"/>
      <c r="E623" s="6"/>
      <c r="F623" s="6"/>
      <c r="G623" s="6"/>
      <c r="H623" s="6"/>
      <c r="I623" s="6"/>
      <c r="J623" s="6"/>
      <c r="K623" s="6"/>
      <c r="L623" s="6"/>
      <c r="M623" s="6"/>
      <c r="N623" s="137"/>
      <c r="O623" s="137"/>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row>
    <row r="624" ht="14.25" customHeight="1">
      <c r="A624" s="6"/>
      <c r="B624" s="6"/>
      <c r="C624" s="6"/>
      <c r="D624" s="6"/>
      <c r="E624" s="6"/>
      <c r="F624" s="6"/>
      <c r="G624" s="6"/>
      <c r="H624" s="6"/>
      <c r="I624" s="6"/>
      <c r="J624" s="6"/>
      <c r="K624" s="6"/>
      <c r="L624" s="6"/>
      <c r="M624" s="6"/>
      <c r="N624" s="137"/>
      <c r="O624" s="137"/>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row>
    <row r="625" ht="14.25" customHeight="1">
      <c r="A625" s="6"/>
      <c r="B625" s="6"/>
      <c r="C625" s="6"/>
      <c r="D625" s="6"/>
      <c r="E625" s="6"/>
      <c r="F625" s="6"/>
      <c r="G625" s="6"/>
      <c r="H625" s="6"/>
      <c r="I625" s="6"/>
      <c r="J625" s="6"/>
      <c r="K625" s="6"/>
      <c r="L625" s="6"/>
      <c r="M625" s="6"/>
      <c r="N625" s="137"/>
      <c r="O625" s="137"/>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row>
    <row r="626" ht="14.25" customHeight="1">
      <c r="A626" s="6"/>
      <c r="B626" s="6"/>
      <c r="C626" s="6"/>
      <c r="D626" s="6"/>
      <c r="E626" s="6"/>
      <c r="F626" s="6"/>
      <c r="G626" s="6"/>
      <c r="H626" s="6"/>
      <c r="I626" s="6"/>
      <c r="J626" s="6"/>
      <c r="K626" s="6"/>
      <c r="L626" s="6"/>
      <c r="M626" s="6"/>
      <c r="N626" s="137"/>
      <c r="O626" s="137"/>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row>
    <row r="627" ht="14.25" customHeight="1">
      <c r="A627" s="6"/>
      <c r="B627" s="6"/>
      <c r="C627" s="6"/>
      <c r="D627" s="6"/>
      <c r="E627" s="6"/>
      <c r="F627" s="6"/>
      <c r="G627" s="6"/>
      <c r="H627" s="6"/>
      <c r="I627" s="6"/>
      <c r="J627" s="6"/>
      <c r="K627" s="6"/>
      <c r="L627" s="6"/>
      <c r="M627" s="6"/>
      <c r="N627" s="137"/>
      <c r="O627" s="137"/>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row>
    <row r="628" ht="14.25" customHeight="1">
      <c r="A628" s="6"/>
      <c r="B628" s="6"/>
      <c r="C628" s="6"/>
      <c r="D628" s="6"/>
      <c r="E628" s="6"/>
      <c r="F628" s="6"/>
      <c r="G628" s="6"/>
      <c r="H628" s="6"/>
      <c r="I628" s="6"/>
      <c r="J628" s="6"/>
      <c r="K628" s="6"/>
      <c r="L628" s="6"/>
      <c r="M628" s="6"/>
      <c r="N628" s="137"/>
      <c r="O628" s="137"/>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row>
    <row r="629" ht="14.25" customHeight="1">
      <c r="A629" s="6"/>
      <c r="B629" s="6"/>
      <c r="C629" s="6"/>
      <c r="D629" s="6"/>
      <c r="E629" s="6"/>
      <c r="F629" s="6"/>
      <c r="G629" s="6"/>
      <c r="H629" s="6"/>
      <c r="I629" s="6"/>
      <c r="J629" s="6"/>
      <c r="K629" s="6"/>
      <c r="L629" s="6"/>
      <c r="M629" s="6"/>
      <c r="N629" s="137"/>
      <c r="O629" s="137"/>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row>
    <row r="630" ht="14.25" customHeight="1">
      <c r="A630" s="6"/>
      <c r="B630" s="6"/>
      <c r="C630" s="6"/>
      <c r="D630" s="6"/>
      <c r="E630" s="6"/>
      <c r="F630" s="6"/>
      <c r="G630" s="6"/>
      <c r="H630" s="6"/>
      <c r="I630" s="6"/>
      <c r="J630" s="6"/>
      <c r="K630" s="6"/>
      <c r="L630" s="6"/>
      <c r="M630" s="6"/>
      <c r="N630" s="137"/>
      <c r="O630" s="137"/>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row>
    <row r="631" ht="14.25" customHeight="1">
      <c r="A631" s="6"/>
      <c r="B631" s="6"/>
      <c r="C631" s="6"/>
      <c r="D631" s="6"/>
      <c r="E631" s="6"/>
      <c r="F631" s="6"/>
      <c r="G631" s="6"/>
      <c r="H631" s="6"/>
      <c r="I631" s="6"/>
      <c r="J631" s="6"/>
      <c r="K631" s="6"/>
      <c r="L631" s="6"/>
      <c r="M631" s="6"/>
      <c r="N631" s="137"/>
      <c r="O631" s="137"/>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row>
    <row r="632" ht="14.25" customHeight="1">
      <c r="A632" s="6"/>
      <c r="B632" s="6"/>
      <c r="C632" s="6"/>
      <c r="D632" s="6"/>
      <c r="E632" s="6"/>
      <c r="F632" s="6"/>
      <c r="G632" s="6"/>
      <c r="H632" s="6"/>
      <c r="I632" s="6"/>
      <c r="J632" s="6"/>
      <c r="K632" s="6"/>
      <c r="L632" s="6"/>
      <c r="M632" s="6"/>
      <c r="N632" s="137"/>
      <c r="O632" s="137"/>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row>
    <row r="633" ht="14.25" customHeight="1">
      <c r="A633" s="6"/>
      <c r="B633" s="6"/>
      <c r="C633" s="6"/>
      <c r="D633" s="6"/>
      <c r="E633" s="6"/>
      <c r="F633" s="6"/>
      <c r="G633" s="6"/>
      <c r="H633" s="6"/>
      <c r="I633" s="6"/>
      <c r="J633" s="6"/>
      <c r="K633" s="6"/>
      <c r="L633" s="6"/>
      <c r="M633" s="6"/>
      <c r="N633" s="137"/>
      <c r="O633" s="137"/>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row>
    <row r="634" ht="14.25" customHeight="1">
      <c r="A634" s="6"/>
      <c r="B634" s="6"/>
      <c r="C634" s="6"/>
      <c r="D634" s="6"/>
      <c r="E634" s="6"/>
      <c r="F634" s="6"/>
      <c r="G634" s="6"/>
      <c r="H634" s="6"/>
      <c r="I634" s="6"/>
      <c r="J634" s="6"/>
      <c r="K634" s="6"/>
      <c r="L634" s="6"/>
      <c r="M634" s="6"/>
      <c r="N634" s="137"/>
      <c r="O634" s="137"/>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row>
    <row r="635" ht="14.25" customHeight="1">
      <c r="A635" s="6"/>
      <c r="B635" s="6"/>
      <c r="C635" s="6"/>
      <c r="D635" s="6"/>
      <c r="E635" s="6"/>
      <c r="F635" s="6"/>
      <c r="G635" s="6"/>
      <c r="H635" s="6"/>
      <c r="I635" s="6"/>
      <c r="J635" s="6"/>
      <c r="K635" s="6"/>
      <c r="L635" s="6"/>
      <c r="M635" s="6"/>
      <c r="N635" s="137"/>
      <c r="O635" s="137"/>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row>
    <row r="636" ht="14.25" customHeight="1">
      <c r="A636" s="6"/>
      <c r="B636" s="6"/>
      <c r="C636" s="6"/>
      <c r="D636" s="6"/>
      <c r="E636" s="6"/>
      <c r="F636" s="6"/>
      <c r="G636" s="6"/>
      <c r="H636" s="6"/>
      <c r="I636" s="6"/>
      <c r="J636" s="6"/>
      <c r="K636" s="6"/>
      <c r="L636" s="6"/>
      <c r="M636" s="6"/>
      <c r="N636" s="137"/>
      <c r="O636" s="137"/>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row>
    <row r="637" ht="14.25" customHeight="1">
      <c r="A637" s="6"/>
      <c r="B637" s="6"/>
      <c r="C637" s="6"/>
      <c r="D637" s="6"/>
      <c r="E637" s="6"/>
      <c r="F637" s="6"/>
      <c r="G637" s="6"/>
      <c r="H637" s="6"/>
      <c r="I637" s="6"/>
      <c r="J637" s="6"/>
      <c r="K637" s="6"/>
      <c r="L637" s="6"/>
      <c r="M637" s="6"/>
      <c r="N637" s="137"/>
      <c r="O637" s="137"/>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row>
    <row r="638" ht="14.25" customHeight="1">
      <c r="A638" s="6"/>
      <c r="B638" s="6"/>
      <c r="C638" s="6"/>
      <c r="D638" s="6"/>
      <c r="E638" s="6"/>
      <c r="F638" s="6"/>
      <c r="G638" s="6"/>
      <c r="H638" s="6"/>
      <c r="I638" s="6"/>
      <c r="J638" s="6"/>
      <c r="K638" s="6"/>
      <c r="L638" s="6"/>
      <c r="M638" s="6"/>
      <c r="N638" s="137"/>
      <c r="O638" s="137"/>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row>
    <row r="639" ht="14.25" customHeight="1">
      <c r="A639" s="6"/>
      <c r="B639" s="6"/>
      <c r="C639" s="6"/>
      <c r="D639" s="6"/>
      <c r="E639" s="6"/>
      <c r="F639" s="6"/>
      <c r="G639" s="6"/>
      <c r="H639" s="6"/>
      <c r="I639" s="6"/>
      <c r="J639" s="6"/>
      <c r="K639" s="6"/>
      <c r="L639" s="6"/>
      <c r="M639" s="6"/>
      <c r="N639" s="137"/>
      <c r="O639" s="137"/>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row>
    <row r="640" ht="14.25" customHeight="1">
      <c r="A640" s="6"/>
      <c r="B640" s="6"/>
      <c r="C640" s="6"/>
      <c r="D640" s="6"/>
      <c r="E640" s="6"/>
      <c r="F640" s="6"/>
      <c r="G640" s="6"/>
      <c r="H640" s="6"/>
      <c r="I640" s="6"/>
      <c r="J640" s="6"/>
      <c r="K640" s="6"/>
      <c r="L640" s="6"/>
      <c r="M640" s="6"/>
      <c r="N640" s="137"/>
      <c r="O640" s="137"/>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row>
    <row r="641" ht="14.25" customHeight="1">
      <c r="A641" s="6"/>
      <c r="B641" s="6"/>
      <c r="C641" s="6"/>
      <c r="D641" s="6"/>
      <c r="E641" s="6"/>
      <c r="F641" s="6"/>
      <c r="G641" s="6"/>
      <c r="H641" s="6"/>
      <c r="I641" s="6"/>
      <c r="J641" s="6"/>
      <c r="K641" s="6"/>
      <c r="L641" s="6"/>
      <c r="M641" s="6"/>
      <c r="N641" s="137"/>
      <c r="O641" s="137"/>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row>
    <row r="642" ht="14.25" customHeight="1">
      <c r="A642" s="6"/>
      <c r="B642" s="6"/>
      <c r="C642" s="6"/>
      <c r="D642" s="6"/>
      <c r="E642" s="6"/>
      <c r="F642" s="6"/>
      <c r="G642" s="6"/>
      <c r="H642" s="6"/>
      <c r="I642" s="6"/>
      <c r="J642" s="6"/>
      <c r="K642" s="6"/>
      <c r="L642" s="6"/>
      <c r="M642" s="6"/>
      <c r="N642" s="137"/>
      <c r="O642" s="137"/>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row>
    <row r="643" ht="14.25" customHeight="1">
      <c r="A643" s="6"/>
      <c r="B643" s="6"/>
      <c r="C643" s="6"/>
      <c r="D643" s="6"/>
      <c r="E643" s="6"/>
      <c r="F643" s="6"/>
      <c r="G643" s="6"/>
      <c r="H643" s="6"/>
      <c r="I643" s="6"/>
      <c r="J643" s="6"/>
      <c r="K643" s="6"/>
      <c r="L643" s="6"/>
      <c r="M643" s="6"/>
      <c r="N643" s="137"/>
      <c r="O643" s="137"/>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row>
    <row r="644" ht="14.25" customHeight="1">
      <c r="A644" s="6"/>
      <c r="B644" s="6"/>
      <c r="C644" s="6"/>
      <c r="D644" s="6"/>
      <c r="E644" s="6"/>
      <c r="F644" s="6"/>
      <c r="G644" s="6"/>
      <c r="H644" s="6"/>
      <c r="I644" s="6"/>
      <c r="J644" s="6"/>
      <c r="K644" s="6"/>
      <c r="L644" s="6"/>
      <c r="M644" s="6"/>
      <c r="N644" s="137"/>
      <c r="O644" s="137"/>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row>
    <row r="645" ht="14.25" customHeight="1">
      <c r="A645" s="6"/>
      <c r="B645" s="6"/>
      <c r="C645" s="6"/>
      <c r="D645" s="6"/>
      <c r="E645" s="6"/>
      <c r="F645" s="6"/>
      <c r="G645" s="6"/>
      <c r="H645" s="6"/>
      <c r="I645" s="6"/>
      <c r="J645" s="6"/>
      <c r="K645" s="6"/>
      <c r="L645" s="6"/>
      <c r="M645" s="6"/>
      <c r="N645" s="137"/>
      <c r="O645" s="137"/>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row>
    <row r="646" ht="14.25" customHeight="1">
      <c r="A646" s="6"/>
      <c r="B646" s="6"/>
      <c r="C646" s="6"/>
      <c r="D646" s="6"/>
      <c r="E646" s="6"/>
      <c r="F646" s="6"/>
      <c r="G646" s="6"/>
      <c r="H646" s="6"/>
      <c r="I646" s="6"/>
      <c r="J646" s="6"/>
      <c r="K646" s="6"/>
      <c r="L646" s="6"/>
      <c r="M646" s="6"/>
      <c r="N646" s="137"/>
      <c r="O646" s="137"/>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row>
    <row r="647" ht="14.25" customHeight="1">
      <c r="A647" s="6"/>
      <c r="B647" s="6"/>
      <c r="C647" s="6"/>
      <c r="D647" s="6"/>
      <c r="E647" s="6"/>
      <c r="F647" s="6"/>
      <c r="G647" s="6"/>
      <c r="H647" s="6"/>
      <c r="I647" s="6"/>
      <c r="J647" s="6"/>
      <c r="K647" s="6"/>
      <c r="L647" s="6"/>
      <c r="M647" s="6"/>
      <c r="N647" s="137"/>
      <c r="O647" s="137"/>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row>
    <row r="648" ht="14.25" customHeight="1">
      <c r="A648" s="6"/>
      <c r="B648" s="6"/>
      <c r="C648" s="6"/>
      <c r="D648" s="6"/>
      <c r="E648" s="6"/>
      <c r="F648" s="6"/>
      <c r="G648" s="6"/>
      <c r="H648" s="6"/>
      <c r="I648" s="6"/>
      <c r="J648" s="6"/>
      <c r="K648" s="6"/>
      <c r="L648" s="6"/>
      <c r="M648" s="6"/>
      <c r="N648" s="137"/>
      <c r="O648" s="137"/>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row>
    <row r="649" ht="14.25" customHeight="1">
      <c r="A649" s="6"/>
      <c r="B649" s="6"/>
      <c r="C649" s="6"/>
      <c r="D649" s="6"/>
      <c r="E649" s="6"/>
      <c r="F649" s="6"/>
      <c r="G649" s="6"/>
      <c r="H649" s="6"/>
      <c r="I649" s="6"/>
      <c r="J649" s="6"/>
      <c r="K649" s="6"/>
      <c r="L649" s="6"/>
      <c r="M649" s="6"/>
      <c r="N649" s="137"/>
      <c r="O649" s="137"/>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row>
    <row r="650" ht="14.25" customHeight="1">
      <c r="A650" s="6"/>
      <c r="B650" s="6"/>
      <c r="C650" s="6"/>
      <c r="D650" s="6"/>
      <c r="E650" s="6"/>
      <c r="F650" s="6"/>
      <c r="G650" s="6"/>
      <c r="H650" s="6"/>
      <c r="I650" s="6"/>
      <c r="J650" s="6"/>
      <c r="K650" s="6"/>
      <c r="L650" s="6"/>
      <c r="M650" s="6"/>
      <c r="N650" s="137"/>
      <c r="O650" s="137"/>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row>
    <row r="651" ht="14.25" customHeight="1">
      <c r="A651" s="6"/>
      <c r="B651" s="6"/>
      <c r="C651" s="6"/>
      <c r="D651" s="6"/>
      <c r="E651" s="6"/>
      <c r="F651" s="6"/>
      <c r="G651" s="6"/>
      <c r="H651" s="6"/>
      <c r="I651" s="6"/>
      <c r="J651" s="6"/>
      <c r="K651" s="6"/>
      <c r="L651" s="6"/>
      <c r="M651" s="6"/>
      <c r="N651" s="137"/>
      <c r="O651" s="137"/>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row>
    <row r="652" ht="14.25" customHeight="1">
      <c r="A652" s="6"/>
      <c r="B652" s="6"/>
      <c r="C652" s="6"/>
      <c r="D652" s="6"/>
      <c r="E652" s="6"/>
      <c r="F652" s="6"/>
      <c r="G652" s="6"/>
      <c r="H652" s="6"/>
      <c r="I652" s="6"/>
      <c r="J652" s="6"/>
      <c r="K652" s="6"/>
      <c r="L652" s="6"/>
      <c r="M652" s="6"/>
      <c r="N652" s="137"/>
      <c r="O652" s="137"/>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row>
    <row r="653" ht="14.25" customHeight="1">
      <c r="A653" s="6"/>
      <c r="B653" s="6"/>
      <c r="C653" s="6"/>
      <c r="D653" s="6"/>
      <c r="E653" s="6"/>
      <c r="F653" s="6"/>
      <c r="G653" s="6"/>
      <c r="H653" s="6"/>
      <c r="I653" s="6"/>
      <c r="J653" s="6"/>
      <c r="K653" s="6"/>
      <c r="L653" s="6"/>
      <c r="M653" s="6"/>
      <c r="N653" s="137"/>
      <c r="O653" s="137"/>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row>
    <row r="654" ht="14.25" customHeight="1">
      <c r="A654" s="6"/>
      <c r="B654" s="6"/>
      <c r="C654" s="6"/>
      <c r="D654" s="6"/>
      <c r="E654" s="6"/>
      <c r="F654" s="6"/>
      <c r="G654" s="6"/>
      <c r="H654" s="6"/>
      <c r="I654" s="6"/>
      <c r="J654" s="6"/>
      <c r="K654" s="6"/>
      <c r="L654" s="6"/>
      <c r="M654" s="6"/>
      <c r="N654" s="137"/>
      <c r="O654" s="137"/>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row>
    <row r="655" ht="14.25" customHeight="1">
      <c r="A655" s="6"/>
      <c r="B655" s="6"/>
      <c r="C655" s="6"/>
      <c r="D655" s="6"/>
      <c r="E655" s="6"/>
      <c r="F655" s="6"/>
      <c r="G655" s="6"/>
      <c r="H655" s="6"/>
      <c r="I655" s="6"/>
      <c r="J655" s="6"/>
      <c r="K655" s="6"/>
      <c r="L655" s="6"/>
      <c r="M655" s="6"/>
      <c r="N655" s="137"/>
      <c r="O655" s="137"/>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row>
    <row r="656" ht="14.25" customHeight="1">
      <c r="A656" s="6"/>
      <c r="B656" s="6"/>
      <c r="C656" s="6"/>
      <c r="D656" s="6"/>
      <c r="E656" s="6"/>
      <c r="F656" s="6"/>
      <c r="G656" s="6"/>
      <c r="H656" s="6"/>
      <c r="I656" s="6"/>
      <c r="J656" s="6"/>
      <c r="K656" s="6"/>
      <c r="L656" s="6"/>
      <c r="M656" s="6"/>
      <c r="N656" s="137"/>
      <c r="O656" s="137"/>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row>
    <row r="657" ht="14.25" customHeight="1">
      <c r="A657" s="6"/>
      <c r="B657" s="6"/>
      <c r="C657" s="6"/>
      <c r="D657" s="6"/>
      <c r="E657" s="6"/>
      <c r="F657" s="6"/>
      <c r="G657" s="6"/>
      <c r="H657" s="6"/>
      <c r="I657" s="6"/>
      <c r="J657" s="6"/>
      <c r="K657" s="6"/>
      <c r="L657" s="6"/>
      <c r="M657" s="6"/>
      <c r="N657" s="137"/>
      <c r="O657" s="137"/>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row>
    <row r="658" ht="14.25" customHeight="1">
      <c r="A658" s="6"/>
      <c r="B658" s="6"/>
      <c r="C658" s="6"/>
      <c r="D658" s="6"/>
      <c r="E658" s="6"/>
      <c r="F658" s="6"/>
      <c r="G658" s="6"/>
      <c r="H658" s="6"/>
      <c r="I658" s="6"/>
      <c r="J658" s="6"/>
      <c r="K658" s="6"/>
      <c r="L658" s="6"/>
      <c r="M658" s="6"/>
      <c r="N658" s="137"/>
      <c r="O658" s="137"/>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row>
    <row r="659" ht="14.25" customHeight="1">
      <c r="A659" s="6"/>
      <c r="B659" s="6"/>
      <c r="C659" s="6"/>
      <c r="D659" s="6"/>
      <c r="E659" s="6"/>
      <c r="F659" s="6"/>
      <c r="G659" s="6"/>
      <c r="H659" s="6"/>
      <c r="I659" s="6"/>
      <c r="J659" s="6"/>
      <c r="K659" s="6"/>
      <c r="L659" s="6"/>
      <c r="M659" s="6"/>
      <c r="N659" s="137"/>
      <c r="O659" s="137"/>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row>
    <row r="660" ht="14.25" customHeight="1">
      <c r="A660" s="6"/>
      <c r="B660" s="6"/>
      <c r="C660" s="6"/>
      <c r="D660" s="6"/>
      <c r="E660" s="6"/>
      <c r="F660" s="6"/>
      <c r="G660" s="6"/>
      <c r="H660" s="6"/>
      <c r="I660" s="6"/>
      <c r="J660" s="6"/>
      <c r="K660" s="6"/>
      <c r="L660" s="6"/>
      <c r="M660" s="6"/>
      <c r="N660" s="137"/>
      <c r="O660" s="137"/>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row>
    <row r="661" ht="14.25" customHeight="1">
      <c r="A661" s="6"/>
      <c r="B661" s="6"/>
      <c r="C661" s="6"/>
      <c r="D661" s="6"/>
      <c r="E661" s="6"/>
      <c r="F661" s="6"/>
      <c r="G661" s="6"/>
      <c r="H661" s="6"/>
      <c r="I661" s="6"/>
      <c r="J661" s="6"/>
      <c r="K661" s="6"/>
      <c r="L661" s="6"/>
      <c r="M661" s="6"/>
      <c r="N661" s="137"/>
      <c r="O661" s="137"/>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row>
    <row r="662" ht="14.25" customHeight="1">
      <c r="A662" s="6"/>
      <c r="B662" s="6"/>
      <c r="C662" s="6"/>
      <c r="D662" s="6"/>
      <c r="E662" s="6"/>
      <c r="F662" s="6"/>
      <c r="G662" s="6"/>
      <c r="H662" s="6"/>
      <c r="I662" s="6"/>
      <c r="J662" s="6"/>
      <c r="K662" s="6"/>
      <c r="L662" s="6"/>
      <c r="M662" s="6"/>
      <c r="N662" s="137"/>
      <c r="O662" s="137"/>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row>
    <row r="663" ht="14.25" customHeight="1">
      <c r="A663" s="6"/>
      <c r="B663" s="6"/>
      <c r="C663" s="6"/>
      <c r="D663" s="6"/>
      <c r="E663" s="6"/>
      <c r="F663" s="6"/>
      <c r="G663" s="6"/>
      <c r="H663" s="6"/>
      <c r="I663" s="6"/>
      <c r="J663" s="6"/>
      <c r="K663" s="6"/>
      <c r="L663" s="6"/>
      <c r="M663" s="6"/>
      <c r="N663" s="137"/>
      <c r="O663" s="137"/>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row>
    <row r="664" ht="14.25" customHeight="1">
      <c r="A664" s="6"/>
      <c r="B664" s="6"/>
      <c r="C664" s="6"/>
      <c r="D664" s="6"/>
      <c r="E664" s="6"/>
      <c r="F664" s="6"/>
      <c r="G664" s="6"/>
      <c r="H664" s="6"/>
      <c r="I664" s="6"/>
      <c r="J664" s="6"/>
      <c r="K664" s="6"/>
      <c r="L664" s="6"/>
      <c r="M664" s="6"/>
      <c r="N664" s="137"/>
      <c r="O664" s="137"/>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row>
    <row r="665" ht="14.25" customHeight="1">
      <c r="A665" s="6"/>
      <c r="B665" s="6"/>
      <c r="C665" s="6"/>
      <c r="D665" s="6"/>
      <c r="E665" s="6"/>
      <c r="F665" s="6"/>
      <c r="G665" s="6"/>
      <c r="H665" s="6"/>
      <c r="I665" s="6"/>
      <c r="J665" s="6"/>
      <c r="K665" s="6"/>
      <c r="L665" s="6"/>
      <c r="M665" s="6"/>
      <c r="N665" s="137"/>
      <c r="O665" s="137"/>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row>
    <row r="666" ht="14.25" customHeight="1">
      <c r="A666" s="6"/>
      <c r="B666" s="6"/>
      <c r="C666" s="6"/>
      <c r="D666" s="6"/>
      <c r="E666" s="6"/>
      <c r="F666" s="6"/>
      <c r="G666" s="6"/>
      <c r="H666" s="6"/>
      <c r="I666" s="6"/>
      <c r="J666" s="6"/>
      <c r="K666" s="6"/>
      <c r="L666" s="6"/>
      <c r="M666" s="6"/>
      <c r="N666" s="137"/>
      <c r="O666" s="137"/>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row>
    <row r="667" ht="14.25" customHeight="1">
      <c r="A667" s="6"/>
      <c r="B667" s="6"/>
      <c r="C667" s="6"/>
      <c r="D667" s="6"/>
      <c r="E667" s="6"/>
      <c r="F667" s="6"/>
      <c r="G667" s="6"/>
      <c r="H667" s="6"/>
      <c r="I667" s="6"/>
      <c r="J667" s="6"/>
      <c r="K667" s="6"/>
      <c r="L667" s="6"/>
      <c r="M667" s="6"/>
      <c r="N667" s="137"/>
      <c r="O667" s="137"/>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row>
    <row r="668" ht="14.25" customHeight="1">
      <c r="A668" s="6"/>
      <c r="B668" s="6"/>
      <c r="C668" s="6"/>
      <c r="D668" s="6"/>
      <c r="E668" s="6"/>
      <c r="F668" s="6"/>
      <c r="G668" s="6"/>
      <c r="H668" s="6"/>
      <c r="I668" s="6"/>
      <c r="J668" s="6"/>
      <c r="K668" s="6"/>
      <c r="L668" s="6"/>
      <c r="M668" s="6"/>
      <c r="N668" s="137"/>
      <c r="O668" s="137"/>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row>
    <row r="669" ht="14.25" customHeight="1">
      <c r="A669" s="6"/>
      <c r="B669" s="6"/>
      <c r="C669" s="6"/>
      <c r="D669" s="6"/>
      <c r="E669" s="6"/>
      <c r="F669" s="6"/>
      <c r="G669" s="6"/>
      <c r="H669" s="6"/>
      <c r="I669" s="6"/>
      <c r="J669" s="6"/>
      <c r="K669" s="6"/>
      <c r="L669" s="6"/>
      <c r="M669" s="6"/>
      <c r="N669" s="137"/>
      <c r="O669" s="137"/>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row>
    <row r="670" ht="14.25" customHeight="1">
      <c r="A670" s="6"/>
      <c r="B670" s="6"/>
      <c r="C670" s="6"/>
      <c r="D670" s="6"/>
      <c r="E670" s="6"/>
      <c r="F670" s="6"/>
      <c r="G670" s="6"/>
      <c r="H670" s="6"/>
      <c r="I670" s="6"/>
      <c r="J670" s="6"/>
      <c r="K670" s="6"/>
      <c r="L670" s="6"/>
      <c r="M670" s="6"/>
      <c r="N670" s="137"/>
      <c r="O670" s="137"/>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row>
    <row r="671" ht="14.25" customHeight="1">
      <c r="A671" s="6"/>
      <c r="B671" s="6"/>
      <c r="C671" s="6"/>
      <c r="D671" s="6"/>
      <c r="E671" s="6"/>
      <c r="F671" s="6"/>
      <c r="G671" s="6"/>
      <c r="H671" s="6"/>
      <c r="I671" s="6"/>
      <c r="J671" s="6"/>
      <c r="K671" s="6"/>
      <c r="L671" s="6"/>
      <c r="M671" s="6"/>
      <c r="N671" s="137"/>
      <c r="O671" s="137"/>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row>
    <row r="672" ht="14.25" customHeight="1">
      <c r="A672" s="6"/>
      <c r="B672" s="6"/>
      <c r="C672" s="6"/>
      <c r="D672" s="6"/>
      <c r="E672" s="6"/>
      <c r="F672" s="6"/>
      <c r="G672" s="6"/>
      <c r="H672" s="6"/>
      <c r="I672" s="6"/>
      <c r="J672" s="6"/>
      <c r="K672" s="6"/>
      <c r="L672" s="6"/>
      <c r="M672" s="6"/>
      <c r="N672" s="137"/>
      <c r="O672" s="137"/>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row>
    <row r="673" ht="14.25" customHeight="1">
      <c r="A673" s="6"/>
      <c r="B673" s="6"/>
      <c r="C673" s="6"/>
      <c r="D673" s="6"/>
      <c r="E673" s="6"/>
      <c r="F673" s="6"/>
      <c r="G673" s="6"/>
      <c r="H673" s="6"/>
      <c r="I673" s="6"/>
      <c r="J673" s="6"/>
      <c r="K673" s="6"/>
      <c r="L673" s="6"/>
      <c r="M673" s="6"/>
      <c r="N673" s="137"/>
      <c r="O673" s="137"/>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row>
    <row r="674" ht="14.25" customHeight="1">
      <c r="A674" s="6"/>
      <c r="B674" s="6"/>
      <c r="C674" s="6"/>
      <c r="D674" s="6"/>
      <c r="E674" s="6"/>
      <c r="F674" s="6"/>
      <c r="G674" s="6"/>
      <c r="H674" s="6"/>
      <c r="I674" s="6"/>
      <c r="J674" s="6"/>
      <c r="K674" s="6"/>
      <c r="L674" s="6"/>
      <c r="M674" s="6"/>
      <c r="N674" s="137"/>
      <c r="O674" s="137"/>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row>
    <row r="675" ht="14.25" customHeight="1">
      <c r="A675" s="6"/>
      <c r="B675" s="6"/>
      <c r="C675" s="6"/>
      <c r="D675" s="6"/>
      <c r="E675" s="6"/>
      <c r="F675" s="6"/>
      <c r="G675" s="6"/>
      <c r="H675" s="6"/>
      <c r="I675" s="6"/>
      <c r="J675" s="6"/>
      <c r="K675" s="6"/>
      <c r="L675" s="6"/>
      <c r="M675" s="6"/>
      <c r="N675" s="137"/>
      <c r="O675" s="137"/>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row>
    <row r="676" ht="14.25" customHeight="1">
      <c r="A676" s="6"/>
      <c r="B676" s="6"/>
      <c r="C676" s="6"/>
      <c r="D676" s="6"/>
      <c r="E676" s="6"/>
      <c r="F676" s="6"/>
      <c r="G676" s="6"/>
      <c r="H676" s="6"/>
      <c r="I676" s="6"/>
      <c r="J676" s="6"/>
      <c r="K676" s="6"/>
      <c r="L676" s="6"/>
      <c r="M676" s="6"/>
      <c r="N676" s="137"/>
      <c r="O676" s="137"/>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row>
    <row r="677" ht="14.25" customHeight="1">
      <c r="A677" s="6"/>
      <c r="B677" s="6"/>
      <c r="C677" s="6"/>
      <c r="D677" s="6"/>
      <c r="E677" s="6"/>
      <c r="F677" s="6"/>
      <c r="G677" s="6"/>
      <c r="H677" s="6"/>
      <c r="I677" s="6"/>
      <c r="J677" s="6"/>
      <c r="K677" s="6"/>
      <c r="L677" s="6"/>
      <c r="M677" s="6"/>
      <c r="N677" s="137"/>
      <c r="O677" s="137"/>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row>
    <row r="678" ht="14.25" customHeight="1">
      <c r="A678" s="6"/>
      <c r="B678" s="6"/>
      <c r="C678" s="6"/>
      <c r="D678" s="6"/>
      <c r="E678" s="6"/>
      <c r="F678" s="6"/>
      <c r="G678" s="6"/>
      <c r="H678" s="6"/>
      <c r="I678" s="6"/>
      <c r="J678" s="6"/>
      <c r="K678" s="6"/>
      <c r="L678" s="6"/>
      <c r="M678" s="6"/>
      <c r="N678" s="137"/>
      <c r="O678" s="137"/>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row>
    <row r="679" ht="14.25" customHeight="1">
      <c r="A679" s="6"/>
      <c r="B679" s="6"/>
      <c r="C679" s="6"/>
      <c r="D679" s="6"/>
      <c r="E679" s="6"/>
      <c r="F679" s="6"/>
      <c r="G679" s="6"/>
      <c r="H679" s="6"/>
      <c r="I679" s="6"/>
      <c r="J679" s="6"/>
      <c r="K679" s="6"/>
      <c r="L679" s="6"/>
      <c r="M679" s="6"/>
      <c r="N679" s="137"/>
      <c r="O679" s="137"/>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row>
    <row r="680" ht="14.25" customHeight="1">
      <c r="A680" s="6"/>
      <c r="B680" s="6"/>
      <c r="C680" s="6"/>
      <c r="D680" s="6"/>
      <c r="E680" s="6"/>
      <c r="F680" s="6"/>
      <c r="G680" s="6"/>
      <c r="H680" s="6"/>
      <c r="I680" s="6"/>
      <c r="J680" s="6"/>
      <c r="K680" s="6"/>
      <c r="L680" s="6"/>
      <c r="M680" s="6"/>
      <c r="N680" s="137"/>
      <c r="O680" s="137"/>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row>
    <row r="681" ht="14.25" customHeight="1">
      <c r="A681" s="6"/>
      <c r="B681" s="6"/>
      <c r="C681" s="6"/>
      <c r="D681" s="6"/>
      <c r="E681" s="6"/>
      <c r="F681" s="6"/>
      <c r="G681" s="6"/>
      <c r="H681" s="6"/>
      <c r="I681" s="6"/>
      <c r="J681" s="6"/>
      <c r="K681" s="6"/>
      <c r="L681" s="6"/>
      <c r="M681" s="6"/>
      <c r="N681" s="137"/>
      <c r="O681" s="137"/>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row>
    <row r="682" ht="14.25" customHeight="1">
      <c r="A682" s="6"/>
      <c r="B682" s="6"/>
      <c r="C682" s="6"/>
      <c r="D682" s="6"/>
      <c r="E682" s="6"/>
      <c r="F682" s="6"/>
      <c r="G682" s="6"/>
      <c r="H682" s="6"/>
      <c r="I682" s="6"/>
      <c r="J682" s="6"/>
      <c r="K682" s="6"/>
      <c r="L682" s="6"/>
      <c r="M682" s="6"/>
      <c r="N682" s="137"/>
      <c r="O682" s="137"/>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row>
    <row r="683" ht="14.25" customHeight="1">
      <c r="A683" s="6"/>
      <c r="B683" s="6"/>
      <c r="C683" s="6"/>
      <c r="D683" s="6"/>
      <c r="E683" s="6"/>
      <c r="F683" s="6"/>
      <c r="G683" s="6"/>
      <c r="H683" s="6"/>
      <c r="I683" s="6"/>
      <c r="J683" s="6"/>
      <c r="K683" s="6"/>
      <c r="L683" s="6"/>
      <c r="M683" s="6"/>
      <c r="N683" s="137"/>
      <c r="O683" s="137"/>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row>
    <row r="684" ht="14.25" customHeight="1">
      <c r="A684" s="6"/>
      <c r="B684" s="6"/>
      <c r="C684" s="6"/>
      <c r="D684" s="6"/>
      <c r="E684" s="6"/>
      <c r="F684" s="6"/>
      <c r="G684" s="6"/>
      <c r="H684" s="6"/>
      <c r="I684" s="6"/>
      <c r="J684" s="6"/>
      <c r="K684" s="6"/>
      <c r="L684" s="6"/>
      <c r="M684" s="6"/>
      <c r="N684" s="137"/>
      <c r="O684" s="137"/>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row>
    <row r="685" ht="14.25" customHeight="1">
      <c r="A685" s="6"/>
      <c r="B685" s="6"/>
      <c r="C685" s="6"/>
      <c r="D685" s="6"/>
      <c r="E685" s="6"/>
      <c r="F685" s="6"/>
      <c r="G685" s="6"/>
      <c r="H685" s="6"/>
      <c r="I685" s="6"/>
      <c r="J685" s="6"/>
      <c r="K685" s="6"/>
      <c r="L685" s="6"/>
      <c r="M685" s="6"/>
      <c r="N685" s="137"/>
      <c r="O685" s="137"/>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row>
    <row r="686" ht="14.25" customHeight="1">
      <c r="A686" s="6"/>
      <c r="B686" s="6"/>
      <c r="C686" s="6"/>
      <c r="D686" s="6"/>
      <c r="E686" s="6"/>
      <c r="F686" s="6"/>
      <c r="G686" s="6"/>
      <c r="H686" s="6"/>
      <c r="I686" s="6"/>
      <c r="J686" s="6"/>
      <c r="K686" s="6"/>
      <c r="L686" s="6"/>
      <c r="M686" s="6"/>
      <c r="N686" s="137"/>
      <c r="O686" s="137"/>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row>
    <row r="687" ht="14.25" customHeight="1">
      <c r="A687" s="6"/>
      <c r="B687" s="6"/>
      <c r="C687" s="6"/>
      <c r="D687" s="6"/>
      <c r="E687" s="6"/>
      <c r="F687" s="6"/>
      <c r="G687" s="6"/>
      <c r="H687" s="6"/>
      <c r="I687" s="6"/>
      <c r="J687" s="6"/>
      <c r="K687" s="6"/>
      <c r="L687" s="6"/>
      <c r="M687" s="6"/>
      <c r="N687" s="137"/>
      <c r="O687" s="137"/>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row>
    <row r="688" ht="14.25" customHeight="1">
      <c r="A688" s="6"/>
      <c r="B688" s="6"/>
      <c r="C688" s="6"/>
      <c r="D688" s="6"/>
      <c r="E688" s="6"/>
      <c r="F688" s="6"/>
      <c r="G688" s="6"/>
      <c r="H688" s="6"/>
      <c r="I688" s="6"/>
      <c r="J688" s="6"/>
      <c r="K688" s="6"/>
      <c r="L688" s="6"/>
      <c r="M688" s="6"/>
      <c r="N688" s="137"/>
      <c r="O688" s="137"/>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row>
    <row r="689" ht="14.25" customHeight="1">
      <c r="A689" s="6"/>
      <c r="B689" s="6"/>
      <c r="C689" s="6"/>
      <c r="D689" s="6"/>
      <c r="E689" s="6"/>
      <c r="F689" s="6"/>
      <c r="G689" s="6"/>
      <c r="H689" s="6"/>
      <c r="I689" s="6"/>
      <c r="J689" s="6"/>
      <c r="K689" s="6"/>
      <c r="L689" s="6"/>
      <c r="M689" s="6"/>
      <c r="N689" s="137"/>
      <c r="O689" s="137"/>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row>
    <row r="690" ht="14.25" customHeight="1">
      <c r="A690" s="6"/>
      <c r="B690" s="6"/>
      <c r="C690" s="6"/>
      <c r="D690" s="6"/>
      <c r="E690" s="6"/>
      <c r="F690" s="6"/>
      <c r="G690" s="6"/>
      <c r="H690" s="6"/>
      <c r="I690" s="6"/>
      <c r="J690" s="6"/>
      <c r="K690" s="6"/>
      <c r="L690" s="6"/>
      <c r="M690" s="6"/>
      <c r="N690" s="137"/>
      <c r="O690" s="137"/>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row>
    <row r="691" ht="14.25" customHeight="1">
      <c r="A691" s="6"/>
      <c r="B691" s="6"/>
      <c r="C691" s="6"/>
      <c r="D691" s="6"/>
      <c r="E691" s="6"/>
      <c r="F691" s="6"/>
      <c r="G691" s="6"/>
      <c r="H691" s="6"/>
      <c r="I691" s="6"/>
      <c r="J691" s="6"/>
      <c r="K691" s="6"/>
      <c r="L691" s="6"/>
      <c r="M691" s="6"/>
      <c r="N691" s="137"/>
      <c r="O691" s="137"/>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row>
    <row r="692" ht="14.25" customHeight="1">
      <c r="A692" s="6"/>
      <c r="B692" s="6"/>
      <c r="C692" s="6"/>
      <c r="D692" s="6"/>
      <c r="E692" s="6"/>
      <c r="F692" s="6"/>
      <c r="G692" s="6"/>
      <c r="H692" s="6"/>
      <c r="I692" s="6"/>
      <c r="J692" s="6"/>
      <c r="K692" s="6"/>
      <c r="L692" s="6"/>
      <c r="M692" s="6"/>
      <c r="N692" s="137"/>
      <c r="O692" s="137"/>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row>
    <row r="693" ht="14.25" customHeight="1">
      <c r="A693" s="6"/>
      <c r="B693" s="6"/>
      <c r="C693" s="6"/>
      <c r="D693" s="6"/>
      <c r="E693" s="6"/>
      <c r="F693" s="6"/>
      <c r="G693" s="6"/>
      <c r="H693" s="6"/>
      <c r="I693" s="6"/>
      <c r="J693" s="6"/>
      <c r="K693" s="6"/>
      <c r="L693" s="6"/>
      <c r="M693" s="6"/>
      <c r="N693" s="137"/>
      <c r="O693" s="137"/>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row>
    <row r="694" ht="14.25" customHeight="1">
      <c r="A694" s="6"/>
      <c r="B694" s="6"/>
      <c r="C694" s="6"/>
      <c r="D694" s="6"/>
      <c r="E694" s="6"/>
      <c r="F694" s="6"/>
      <c r="G694" s="6"/>
      <c r="H694" s="6"/>
      <c r="I694" s="6"/>
      <c r="J694" s="6"/>
      <c r="K694" s="6"/>
      <c r="L694" s="6"/>
      <c r="M694" s="6"/>
      <c r="N694" s="137"/>
      <c r="O694" s="137"/>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row>
    <row r="695" ht="14.25" customHeight="1">
      <c r="A695" s="6"/>
      <c r="B695" s="6"/>
      <c r="C695" s="6"/>
      <c r="D695" s="6"/>
      <c r="E695" s="6"/>
      <c r="F695" s="6"/>
      <c r="G695" s="6"/>
      <c r="H695" s="6"/>
      <c r="I695" s="6"/>
      <c r="J695" s="6"/>
      <c r="K695" s="6"/>
      <c r="L695" s="6"/>
      <c r="M695" s="6"/>
      <c r="N695" s="137"/>
      <c r="O695" s="137"/>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row>
    <row r="696" ht="14.25" customHeight="1">
      <c r="A696" s="6"/>
      <c r="B696" s="6"/>
      <c r="C696" s="6"/>
      <c r="D696" s="6"/>
      <c r="E696" s="6"/>
      <c r="F696" s="6"/>
      <c r="G696" s="6"/>
      <c r="H696" s="6"/>
      <c r="I696" s="6"/>
      <c r="J696" s="6"/>
      <c r="K696" s="6"/>
      <c r="L696" s="6"/>
      <c r="M696" s="6"/>
      <c r="N696" s="137"/>
      <c r="O696" s="137"/>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row>
    <row r="697" ht="14.25" customHeight="1">
      <c r="A697" s="6"/>
      <c r="B697" s="6"/>
      <c r="C697" s="6"/>
      <c r="D697" s="6"/>
      <c r="E697" s="6"/>
      <c r="F697" s="6"/>
      <c r="G697" s="6"/>
      <c r="H697" s="6"/>
      <c r="I697" s="6"/>
      <c r="J697" s="6"/>
      <c r="K697" s="6"/>
      <c r="L697" s="6"/>
      <c r="M697" s="6"/>
      <c r="N697" s="137"/>
      <c r="O697" s="137"/>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row>
    <row r="698" ht="14.25" customHeight="1">
      <c r="A698" s="6"/>
      <c r="B698" s="6"/>
      <c r="C698" s="6"/>
      <c r="D698" s="6"/>
      <c r="E698" s="6"/>
      <c r="F698" s="6"/>
      <c r="G698" s="6"/>
      <c r="H698" s="6"/>
      <c r="I698" s="6"/>
      <c r="J698" s="6"/>
      <c r="K698" s="6"/>
      <c r="L698" s="6"/>
      <c r="M698" s="6"/>
      <c r="N698" s="137"/>
      <c r="O698" s="137"/>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row>
    <row r="699" ht="14.25" customHeight="1">
      <c r="A699" s="6"/>
      <c r="B699" s="6"/>
      <c r="C699" s="6"/>
      <c r="D699" s="6"/>
      <c r="E699" s="6"/>
      <c r="F699" s="6"/>
      <c r="G699" s="6"/>
      <c r="H699" s="6"/>
      <c r="I699" s="6"/>
      <c r="J699" s="6"/>
      <c r="K699" s="6"/>
      <c r="L699" s="6"/>
      <c r="M699" s="6"/>
      <c r="N699" s="137"/>
      <c r="O699" s="137"/>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row>
    <row r="700" ht="14.25" customHeight="1">
      <c r="A700" s="6"/>
      <c r="B700" s="6"/>
      <c r="C700" s="6"/>
      <c r="D700" s="6"/>
      <c r="E700" s="6"/>
      <c r="F700" s="6"/>
      <c r="G700" s="6"/>
      <c r="H700" s="6"/>
      <c r="I700" s="6"/>
      <c r="J700" s="6"/>
      <c r="K700" s="6"/>
      <c r="L700" s="6"/>
      <c r="M700" s="6"/>
      <c r="N700" s="137"/>
      <c r="O700" s="137"/>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row>
    <row r="701" ht="14.25" customHeight="1">
      <c r="A701" s="6"/>
      <c r="B701" s="6"/>
      <c r="C701" s="6"/>
      <c r="D701" s="6"/>
      <c r="E701" s="6"/>
      <c r="F701" s="6"/>
      <c r="G701" s="6"/>
      <c r="H701" s="6"/>
      <c r="I701" s="6"/>
      <c r="J701" s="6"/>
      <c r="K701" s="6"/>
      <c r="L701" s="6"/>
      <c r="M701" s="6"/>
      <c r="N701" s="137"/>
      <c r="O701" s="137"/>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row>
    <row r="702" ht="14.25" customHeight="1">
      <c r="A702" s="6"/>
      <c r="B702" s="6"/>
      <c r="C702" s="6"/>
      <c r="D702" s="6"/>
      <c r="E702" s="6"/>
      <c r="F702" s="6"/>
      <c r="G702" s="6"/>
      <c r="H702" s="6"/>
      <c r="I702" s="6"/>
      <c r="J702" s="6"/>
      <c r="K702" s="6"/>
      <c r="L702" s="6"/>
      <c r="M702" s="6"/>
      <c r="N702" s="137"/>
      <c r="O702" s="137"/>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row>
    <row r="703" ht="14.25" customHeight="1">
      <c r="A703" s="6"/>
      <c r="B703" s="6"/>
      <c r="C703" s="6"/>
      <c r="D703" s="6"/>
      <c r="E703" s="6"/>
      <c r="F703" s="6"/>
      <c r="G703" s="6"/>
      <c r="H703" s="6"/>
      <c r="I703" s="6"/>
      <c r="J703" s="6"/>
      <c r="K703" s="6"/>
      <c r="L703" s="6"/>
      <c r="M703" s="6"/>
      <c r="N703" s="137"/>
      <c r="O703" s="137"/>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row>
    <row r="704" ht="14.25" customHeight="1">
      <c r="A704" s="6"/>
      <c r="B704" s="6"/>
      <c r="C704" s="6"/>
      <c r="D704" s="6"/>
      <c r="E704" s="6"/>
      <c r="F704" s="6"/>
      <c r="G704" s="6"/>
      <c r="H704" s="6"/>
      <c r="I704" s="6"/>
      <c r="J704" s="6"/>
      <c r="K704" s="6"/>
      <c r="L704" s="6"/>
      <c r="M704" s="6"/>
      <c r="N704" s="137"/>
      <c r="O704" s="137"/>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row>
    <row r="705" ht="14.25" customHeight="1">
      <c r="A705" s="6"/>
      <c r="B705" s="6"/>
      <c r="C705" s="6"/>
      <c r="D705" s="6"/>
      <c r="E705" s="6"/>
      <c r="F705" s="6"/>
      <c r="G705" s="6"/>
      <c r="H705" s="6"/>
      <c r="I705" s="6"/>
      <c r="J705" s="6"/>
      <c r="K705" s="6"/>
      <c r="L705" s="6"/>
      <c r="M705" s="6"/>
      <c r="N705" s="137"/>
      <c r="O705" s="137"/>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row>
    <row r="706" ht="14.25" customHeight="1">
      <c r="A706" s="6"/>
      <c r="B706" s="6"/>
      <c r="C706" s="6"/>
      <c r="D706" s="6"/>
      <c r="E706" s="6"/>
      <c r="F706" s="6"/>
      <c r="G706" s="6"/>
      <c r="H706" s="6"/>
      <c r="I706" s="6"/>
      <c r="J706" s="6"/>
      <c r="K706" s="6"/>
      <c r="L706" s="6"/>
      <c r="M706" s="6"/>
      <c r="N706" s="137"/>
      <c r="O706" s="137"/>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row>
    <row r="707" ht="14.25" customHeight="1">
      <c r="A707" s="6"/>
      <c r="B707" s="6"/>
      <c r="C707" s="6"/>
      <c r="D707" s="6"/>
      <c r="E707" s="6"/>
      <c r="F707" s="6"/>
      <c r="G707" s="6"/>
      <c r="H707" s="6"/>
      <c r="I707" s="6"/>
      <c r="J707" s="6"/>
      <c r="K707" s="6"/>
      <c r="L707" s="6"/>
      <c r="M707" s="6"/>
      <c r="N707" s="137"/>
      <c r="O707" s="137"/>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row>
    <row r="708" ht="14.25" customHeight="1">
      <c r="A708" s="6"/>
      <c r="B708" s="6"/>
      <c r="C708" s="6"/>
      <c r="D708" s="6"/>
      <c r="E708" s="6"/>
      <c r="F708" s="6"/>
      <c r="G708" s="6"/>
      <c r="H708" s="6"/>
      <c r="I708" s="6"/>
      <c r="J708" s="6"/>
      <c r="K708" s="6"/>
      <c r="L708" s="6"/>
      <c r="M708" s="6"/>
      <c r="N708" s="137"/>
      <c r="O708" s="137"/>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row>
    <row r="709" ht="14.25" customHeight="1">
      <c r="A709" s="6"/>
      <c r="B709" s="6"/>
      <c r="C709" s="6"/>
      <c r="D709" s="6"/>
      <c r="E709" s="6"/>
      <c r="F709" s="6"/>
      <c r="G709" s="6"/>
      <c r="H709" s="6"/>
      <c r="I709" s="6"/>
      <c r="J709" s="6"/>
      <c r="K709" s="6"/>
      <c r="L709" s="6"/>
      <c r="M709" s="6"/>
      <c r="N709" s="137"/>
      <c r="O709" s="137"/>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row>
    <row r="710" ht="14.25" customHeight="1">
      <c r="A710" s="6"/>
      <c r="B710" s="6"/>
      <c r="C710" s="6"/>
      <c r="D710" s="6"/>
      <c r="E710" s="6"/>
      <c r="F710" s="6"/>
      <c r="G710" s="6"/>
      <c r="H710" s="6"/>
      <c r="I710" s="6"/>
      <c r="J710" s="6"/>
      <c r="K710" s="6"/>
      <c r="L710" s="6"/>
      <c r="M710" s="6"/>
      <c r="N710" s="137"/>
      <c r="O710" s="137"/>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row>
    <row r="711" ht="14.25" customHeight="1">
      <c r="A711" s="6"/>
      <c r="B711" s="6"/>
      <c r="C711" s="6"/>
      <c r="D711" s="6"/>
      <c r="E711" s="6"/>
      <c r="F711" s="6"/>
      <c r="G711" s="6"/>
      <c r="H711" s="6"/>
      <c r="I711" s="6"/>
      <c r="J711" s="6"/>
      <c r="K711" s="6"/>
      <c r="L711" s="6"/>
      <c r="M711" s="6"/>
      <c r="N711" s="137"/>
      <c r="O711" s="137"/>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row>
    <row r="712" ht="14.25" customHeight="1">
      <c r="A712" s="6"/>
      <c r="B712" s="6"/>
      <c r="C712" s="6"/>
      <c r="D712" s="6"/>
      <c r="E712" s="6"/>
      <c r="F712" s="6"/>
      <c r="G712" s="6"/>
      <c r="H712" s="6"/>
      <c r="I712" s="6"/>
      <c r="J712" s="6"/>
      <c r="K712" s="6"/>
      <c r="L712" s="6"/>
      <c r="M712" s="6"/>
      <c r="N712" s="137"/>
      <c r="O712" s="137"/>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row>
    <row r="713" ht="14.25" customHeight="1">
      <c r="A713" s="6"/>
      <c r="B713" s="6"/>
      <c r="C713" s="6"/>
      <c r="D713" s="6"/>
      <c r="E713" s="6"/>
      <c r="F713" s="6"/>
      <c r="G713" s="6"/>
      <c r="H713" s="6"/>
      <c r="I713" s="6"/>
      <c r="J713" s="6"/>
      <c r="K713" s="6"/>
      <c r="L713" s="6"/>
      <c r="M713" s="6"/>
      <c r="N713" s="137"/>
      <c r="O713" s="137"/>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row>
    <row r="714" ht="14.25" customHeight="1">
      <c r="A714" s="6"/>
      <c r="B714" s="6"/>
      <c r="C714" s="6"/>
      <c r="D714" s="6"/>
      <c r="E714" s="6"/>
      <c r="F714" s="6"/>
      <c r="G714" s="6"/>
      <c r="H714" s="6"/>
      <c r="I714" s="6"/>
      <c r="J714" s="6"/>
      <c r="K714" s="6"/>
      <c r="L714" s="6"/>
      <c r="M714" s="6"/>
      <c r="N714" s="137"/>
      <c r="O714" s="137"/>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row>
    <row r="715" ht="14.25" customHeight="1">
      <c r="A715" s="6"/>
      <c r="B715" s="6"/>
      <c r="C715" s="6"/>
      <c r="D715" s="6"/>
      <c r="E715" s="6"/>
      <c r="F715" s="6"/>
      <c r="G715" s="6"/>
      <c r="H715" s="6"/>
      <c r="I715" s="6"/>
      <c r="J715" s="6"/>
      <c r="K715" s="6"/>
      <c r="L715" s="6"/>
      <c r="M715" s="6"/>
      <c r="N715" s="137"/>
      <c r="O715" s="137"/>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row>
    <row r="716" ht="14.25" customHeight="1">
      <c r="A716" s="6"/>
      <c r="B716" s="6"/>
      <c r="C716" s="6"/>
      <c r="D716" s="6"/>
      <c r="E716" s="6"/>
      <c r="F716" s="6"/>
      <c r="G716" s="6"/>
      <c r="H716" s="6"/>
      <c r="I716" s="6"/>
      <c r="J716" s="6"/>
      <c r="K716" s="6"/>
      <c r="L716" s="6"/>
      <c r="M716" s="6"/>
      <c r="N716" s="137"/>
      <c r="O716" s="137"/>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row>
    <row r="717" ht="14.25" customHeight="1">
      <c r="A717" s="6"/>
      <c r="B717" s="6"/>
      <c r="C717" s="6"/>
      <c r="D717" s="6"/>
      <c r="E717" s="6"/>
      <c r="F717" s="6"/>
      <c r="G717" s="6"/>
      <c r="H717" s="6"/>
      <c r="I717" s="6"/>
      <c r="J717" s="6"/>
      <c r="K717" s="6"/>
      <c r="L717" s="6"/>
      <c r="M717" s="6"/>
      <c r="N717" s="137"/>
      <c r="O717" s="137"/>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row>
    <row r="718" ht="14.25" customHeight="1">
      <c r="A718" s="6"/>
      <c r="B718" s="6"/>
      <c r="C718" s="6"/>
      <c r="D718" s="6"/>
      <c r="E718" s="6"/>
      <c r="F718" s="6"/>
      <c r="G718" s="6"/>
      <c r="H718" s="6"/>
      <c r="I718" s="6"/>
      <c r="J718" s="6"/>
      <c r="K718" s="6"/>
      <c r="L718" s="6"/>
      <c r="M718" s="6"/>
      <c r="N718" s="137"/>
      <c r="O718" s="137"/>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row>
    <row r="719" ht="14.25" customHeight="1">
      <c r="A719" s="6"/>
      <c r="B719" s="6"/>
      <c r="C719" s="6"/>
      <c r="D719" s="6"/>
      <c r="E719" s="6"/>
      <c r="F719" s="6"/>
      <c r="G719" s="6"/>
      <c r="H719" s="6"/>
      <c r="I719" s="6"/>
      <c r="J719" s="6"/>
      <c r="K719" s="6"/>
      <c r="L719" s="6"/>
      <c r="M719" s="6"/>
      <c r="N719" s="137"/>
      <c r="O719" s="137"/>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row>
    <row r="720" ht="14.25" customHeight="1">
      <c r="A720" s="6"/>
      <c r="B720" s="6"/>
      <c r="C720" s="6"/>
      <c r="D720" s="6"/>
      <c r="E720" s="6"/>
      <c r="F720" s="6"/>
      <c r="G720" s="6"/>
      <c r="H720" s="6"/>
      <c r="I720" s="6"/>
      <c r="J720" s="6"/>
      <c r="K720" s="6"/>
      <c r="L720" s="6"/>
      <c r="M720" s="6"/>
      <c r="N720" s="137"/>
      <c r="O720" s="137"/>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row>
    <row r="721" ht="14.25" customHeight="1">
      <c r="A721" s="6"/>
      <c r="B721" s="6"/>
      <c r="C721" s="6"/>
      <c r="D721" s="6"/>
      <c r="E721" s="6"/>
      <c r="F721" s="6"/>
      <c r="G721" s="6"/>
      <c r="H721" s="6"/>
      <c r="I721" s="6"/>
      <c r="J721" s="6"/>
      <c r="K721" s="6"/>
      <c r="L721" s="6"/>
      <c r="M721" s="6"/>
      <c r="N721" s="137"/>
      <c r="O721" s="137"/>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row>
    <row r="722" ht="14.25" customHeight="1">
      <c r="A722" s="6"/>
      <c r="B722" s="6"/>
      <c r="C722" s="6"/>
      <c r="D722" s="6"/>
      <c r="E722" s="6"/>
      <c r="F722" s="6"/>
      <c r="G722" s="6"/>
      <c r="H722" s="6"/>
      <c r="I722" s="6"/>
      <c r="J722" s="6"/>
      <c r="K722" s="6"/>
      <c r="L722" s="6"/>
      <c r="M722" s="6"/>
      <c r="N722" s="137"/>
      <c r="O722" s="137"/>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row>
    <row r="723" ht="14.25" customHeight="1">
      <c r="A723" s="6"/>
      <c r="B723" s="6"/>
      <c r="C723" s="6"/>
      <c r="D723" s="6"/>
      <c r="E723" s="6"/>
      <c r="F723" s="6"/>
      <c r="G723" s="6"/>
      <c r="H723" s="6"/>
      <c r="I723" s="6"/>
      <c r="J723" s="6"/>
      <c r="K723" s="6"/>
      <c r="L723" s="6"/>
      <c r="M723" s="6"/>
      <c r="N723" s="137"/>
      <c r="O723" s="137"/>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row>
    <row r="724" ht="14.25" customHeight="1">
      <c r="A724" s="6"/>
      <c r="B724" s="6"/>
      <c r="C724" s="6"/>
      <c r="D724" s="6"/>
      <c r="E724" s="6"/>
      <c r="F724" s="6"/>
      <c r="G724" s="6"/>
      <c r="H724" s="6"/>
      <c r="I724" s="6"/>
      <c r="J724" s="6"/>
      <c r="K724" s="6"/>
      <c r="L724" s="6"/>
      <c r="M724" s="6"/>
      <c r="N724" s="137"/>
      <c r="O724" s="137"/>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row>
    <row r="725" ht="14.25" customHeight="1">
      <c r="A725" s="6"/>
      <c r="B725" s="6"/>
      <c r="C725" s="6"/>
      <c r="D725" s="6"/>
      <c r="E725" s="6"/>
      <c r="F725" s="6"/>
      <c r="G725" s="6"/>
      <c r="H725" s="6"/>
      <c r="I725" s="6"/>
      <c r="J725" s="6"/>
      <c r="K725" s="6"/>
      <c r="L725" s="6"/>
      <c r="M725" s="6"/>
      <c r="N725" s="137"/>
      <c r="O725" s="137"/>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row>
    <row r="726" ht="14.25" customHeight="1">
      <c r="A726" s="6"/>
      <c r="B726" s="6"/>
      <c r="C726" s="6"/>
      <c r="D726" s="6"/>
      <c r="E726" s="6"/>
      <c r="F726" s="6"/>
      <c r="G726" s="6"/>
      <c r="H726" s="6"/>
      <c r="I726" s="6"/>
      <c r="J726" s="6"/>
      <c r="K726" s="6"/>
      <c r="L726" s="6"/>
      <c r="M726" s="6"/>
      <c r="N726" s="137"/>
      <c r="O726" s="137"/>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row>
    <row r="727" ht="14.25" customHeight="1">
      <c r="A727" s="6"/>
      <c r="B727" s="6"/>
      <c r="C727" s="6"/>
      <c r="D727" s="6"/>
      <c r="E727" s="6"/>
      <c r="F727" s="6"/>
      <c r="G727" s="6"/>
      <c r="H727" s="6"/>
      <c r="I727" s="6"/>
      <c r="J727" s="6"/>
      <c r="K727" s="6"/>
      <c r="L727" s="6"/>
      <c r="M727" s="6"/>
      <c r="N727" s="137"/>
      <c r="O727" s="137"/>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row>
    <row r="728" ht="14.25" customHeight="1">
      <c r="A728" s="6"/>
      <c r="B728" s="6"/>
      <c r="C728" s="6"/>
      <c r="D728" s="6"/>
      <c r="E728" s="6"/>
      <c r="F728" s="6"/>
      <c r="G728" s="6"/>
      <c r="H728" s="6"/>
      <c r="I728" s="6"/>
      <c r="J728" s="6"/>
      <c r="K728" s="6"/>
      <c r="L728" s="6"/>
      <c r="M728" s="6"/>
      <c r="N728" s="137"/>
      <c r="O728" s="137"/>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row>
    <row r="729" ht="14.25" customHeight="1">
      <c r="A729" s="6"/>
      <c r="B729" s="6"/>
      <c r="C729" s="6"/>
      <c r="D729" s="6"/>
      <c r="E729" s="6"/>
      <c r="F729" s="6"/>
      <c r="G729" s="6"/>
      <c r="H729" s="6"/>
      <c r="I729" s="6"/>
      <c r="J729" s="6"/>
      <c r="K729" s="6"/>
      <c r="L729" s="6"/>
      <c r="M729" s="6"/>
      <c r="N729" s="137"/>
      <c r="O729" s="137"/>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row>
    <row r="730" ht="14.25" customHeight="1">
      <c r="A730" s="6"/>
      <c r="B730" s="6"/>
      <c r="C730" s="6"/>
      <c r="D730" s="6"/>
      <c r="E730" s="6"/>
      <c r="F730" s="6"/>
      <c r="G730" s="6"/>
      <c r="H730" s="6"/>
      <c r="I730" s="6"/>
      <c r="J730" s="6"/>
      <c r="K730" s="6"/>
      <c r="L730" s="6"/>
      <c r="M730" s="6"/>
      <c r="N730" s="137"/>
      <c r="O730" s="137"/>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row>
    <row r="731" ht="14.25" customHeight="1">
      <c r="A731" s="6"/>
      <c r="B731" s="6"/>
      <c r="C731" s="6"/>
      <c r="D731" s="6"/>
      <c r="E731" s="6"/>
      <c r="F731" s="6"/>
      <c r="G731" s="6"/>
      <c r="H731" s="6"/>
      <c r="I731" s="6"/>
      <c r="J731" s="6"/>
      <c r="K731" s="6"/>
      <c r="L731" s="6"/>
      <c r="M731" s="6"/>
      <c r="N731" s="137"/>
      <c r="O731" s="137"/>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row>
    <row r="732" ht="14.25" customHeight="1">
      <c r="A732" s="6"/>
      <c r="B732" s="6"/>
      <c r="C732" s="6"/>
      <c r="D732" s="6"/>
      <c r="E732" s="6"/>
      <c r="F732" s="6"/>
      <c r="G732" s="6"/>
      <c r="H732" s="6"/>
      <c r="I732" s="6"/>
      <c r="J732" s="6"/>
      <c r="K732" s="6"/>
      <c r="L732" s="6"/>
      <c r="M732" s="6"/>
      <c r="N732" s="137"/>
      <c r="O732" s="137"/>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row>
    <row r="733" ht="14.25" customHeight="1">
      <c r="A733" s="6"/>
      <c r="B733" s="6"/>
      <c r="C733" s="6"/>
      <c r="D733" s="6"/>
      <c r="E733" s="6"/>
      <c r="F733" s="6"/>
      <c r="G733" s="6"/>
      <c r="H733" s="6"/>
      <c r="I733" s="6"/>
      <c r="J733" s="6"/>
      <c r="K733" s="6"/>
      <c r="L733" s="6"/>
      <c r="M733" s="6"/>
      <c r="N733" s="137"/>
      <c r="O733" s="137"/>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row>
    <row r="734" ht="14.25" customHeight="1">
      <c r="A734" s="6"/>
      <c r="B734" s="6"/>
      <c r="C734" s="6"/>
      <c r="D734" s="6"/>
      <c r="E734" s="6"/>
      <c r="F734" s="6"/>
      <c r="G734" s="6"/>
      <c r="H734" s="6"/>
      <c r="I734" s="6"/>
      <c r="J734" s="6"/>
      <c r="K734" s="6"/>
      <c r="L734" s="6"/>
      <c r="M734" s="6"/>
      <c r="N734" s="137"/>
      <c r="O734" s="137"/>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row>
    <row r="735" ht="14.25" customHeight="1">
      <c r="A735" s="6"/>
      <c r="B735" s="6"/>
      <c r="C735" s="6"/>
      <c r="D735" s="6"/>
      <c r="E735" s="6"/>
      <c r="F735" s="6"/>
      <c r="G735" s="6"/>
      <c r="H735" s="6"/>
      <c r="I735" s="6"/>
      <c r="J735" s="6"/>
      <c r="K735" s="6"/>
      <c r="L735" s="6"/>
      <c r="M735" s="6"/>
      <c r="N735" s="137"/>
      <c r="O735" s="137"/>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row>
    <row r="736" ht="14.25" customHeight="1">
      <c r="A736" s="6"/>
      <c r="B736" s="6"/>
      <c r="C736" s="6"/>
      <c r="D736" s="6"/>
      <c r="E736" s="6"/>
      <c r="F736" s="6"/>
      <c r="G736" s="6"/>
      <c r="H736" s="6"/>
      <c r="I736" s="6"/>
      <c r="J736" s="6"/>
      <c r="K736" s="6"/>
      <c r="L736" s="6"/>
      <c r="M736" s="6"/>
      <c r="N736" s="137"/>
      <c r="O736" s="137"/>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row>
    <row r="737" ht="14.25" customHeight="1">
      <c r="A737" s="6"/>
      <c r="B737" s="6"/>
      <c r="C737" s="6"/>
      <c r="D737" s="6"/>
      <c r="E737" s="6"/>
      <c r="F737" s="6"/>
      <c r="G737" s="6"/>
      <c r="H737" s="6"/>
      <c r="I737" s="6"/>
      <c r="J737" s="6"/>
      <c r="K737" s="6"/>
      <c r="L737" s="6"/>
      <c r="M737" s="6"/>
      <c r="N737" s="137"/>
      <c r="O737" s="137"/>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row>
    <row r="738" ht="14.25" customHeight="1">
      <c r="A738" s="6"/>
      <c r="B738" s="6"/>
      <c r="C738" s="6"/>
      <c r="D738" s="6"/>
      <c r="E738" s="6"/>
      <c r="F738" s="6"/>
      <c r="G738" s="6"/>
      <c r="H738" s="6"/>
      <c r="I738" s="6"/>
      <c r="J738" s="6"/>
      <c r="K738" s="6"/>
      <c r="L738" s="6"/>
      <c r="M738" s="6"/>
      <c r="N738" s="137"/>
      <c r="O738" s="137"/>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row>
    <row r="739" ht="14.25" customHeight="1">
      <c r="A739" s="6"/>
      <c r="B739" s="6"/>
      <c r="C739" s="6"/>
      <c r="D739" s="6"/>
      <c r="E739" s="6"/>
      <c r="F739" s="6"/>
      <c r="G739" s="6"/>
      <c r="H739" s="6"/>
      <c r="I739" s="6"/>
      <c r="J739" s="6"/>
      <c r="K739" s="6"/>
      <c r="L739" s="6"/>
      <c r="M739" s="6"/>
      <c r="N739" s="137"/>
      <c r="O739" s="137"/>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row>
    <row r="740" ht="14.25" customHeight="1">
      <c r="A740" s="6"/>
      <c r="B740" s="6"/>
      <c r="C740" s="6"/>
      <c r="D740" s="6"/>
      <c r="E740" s="6"/>
      <c r="F740" s="6"/>
      <c r="G740" s="6"/>
      <c r="H740" s="6"/>
      <c r="I740" s="6"/>
      <c r="J740" s="6"/>
      <c r="K740" s="6"/>
      <c r="L740" s="6"/>
      <c r="M740" s="6"/>
      <c r="N740" s="137"/>
      <c r="O740" s="137"/>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row>
    <row r="741" ht="14.25" customHeight="1">
      <c r="A741" s="6"/>
      <c r="B741" s="6"/>
      <c r="C741" s="6"/>
      <c r="D741" s="6"/>
      <c r="E741" s="6"/>
      <c r="F741" s="6"/>
      <c r="G741" s="6"/>
      <c r="H741" s="6"/>
      <c r="I741" s="6"/>
      <c r="J741" s="6"/>
      <c r="K741" s="6"/>
      <c r="L741" s="6"/>
      <c r="M741" s="6"/>
      <c r="N741" s="137"/>
      <c r="O741" s="137"/>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row>
    <row r="742" ht="14.25" customHeight="1">
      <c r="A742" s="6"/>
      <c r="B742" s="6"/>
      <c r="C742" s="6"/>
      <c r="D742" s="6"/>
      <c r="E742" s="6"/>
      <c r="F742" s="6"/>
      <c r="G742" s="6"/>
      <c r="H742" s="6"/>
      <c r="I742" s="6"/>
      <c r="J742" s="6"/>
      <c r="K742" s="6"/>
      <c r="L742" s="6"/>
      <c r="M742" s="6"/>
      <c r="N742" s="137"/>
      <c r="O742" s="137"/>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row>
    <row r="743" ht="14.25" customHeight="1">
      <c r="A743" s="6"/>
      <c r="B743" s="6"/>
      <c r="C743" s="6"/>
      <c r="D743" s="6"/>
      <c r="E743" s="6"/>
      <c r="F743" s="6"/>
      <c r="G743" s="6"/>
      <c r="H743" s="6"/>
      <c r="I743" s="6"/>
      <c r="J743" s="6"/>
      <c r="K743" s="6"/>
      <c r="L743" s="6"/>
      <c r="M743" s="6"/>
      <c r="N743" s="137"/>
      <c r="O743" s="137"/>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row>
    <row r="744" ht="14.25" customHeight="1">
      <c r="A744" s="6"/>
      <c r="B744" s="6"/>
      <c r="C744" s="6"/>
      <c r="D744" s="6"/>
      <c r="E744" s="6"/>
      <c r="F744" s="6"/>
      <c r="G744" s="6"/>
      <c r="H744" s="6"/>
      <c r="I744" s="6"/>
      <c r="J744" s="6"/>
      <c r="K744" s="6"/>
      <c r="L744" s="6"/>
      <c r="M744" s="6"/>
      <c r="N744" s="137"/>
      <c r="O744" s="137"/>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row>
    <row r="745" ht="14.25" customHeight="1">
      <c r="A745" s="6"/>
      <c r="B745" s="6"/>
      <c r="C745" s="6"/>
      <c r="D745" s="6"/>
      <c r="E745" s="6"/>
      <c r="F745" s="6"/>
      <c r="G745" s="6"/>
      <c r="H745" s="6"/>
      <c r="I745" s="6"/>
      <c r="J745" s="6"/>
      <c r="K745" s="6"/>
      <c r="L745" s="6"/>
      <c r="M745" s="6"/>
      <c r="N745" s="137"/>
      <c r="O745" s="137"/>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row>
    <row r="746" ht="14.25" customHeight="1">
      <c r="A746" s="6"/>
      <c r="B746" s="6"/>
      <c r="C746" s="6"/>
      <c r="D746" s="6"/>
      <c r="E746" s="6"/>
      <c r="F746" s="6"/>
      <c r="G746" s="6"/>
      <c r="H746" s="6"/>
      <c r="I746" s="6"/>
      <c r="J746" s="6"/>
      <c r="K746" s="6"/>
      <c r="L746" s="6"/>
      <c r="M746" s="6"/>
      <c r="N746" s="137"/>
      <c r="O746" s="137"/>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row>
    <row r="747" ht="14.25" customHeight="1">
      <c r="A747" s="6"/>
      <c r="B747" s="6"/>
      <c r="C747" s="6"/>
      <c r="D747" s="6"/>
      <c r="E747" s="6"/>
      <c r="F747" s="6"/>
      <c r="G747" s="6"/>
      <c r="H747" s="6"/>
      <c r="I747" s="6"/>
      <c r="J747" s="6"/>
      <c r="K747" s="6"/>
      <c r="L747" s="6"/>
      <c r="M747" s="6"/>
      <c r="N747" s="137"/>
      <c r="O747" s="137"/>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row>
    <row r="748" ht="14.25" customHeight="1">
      <c r="A748" s="6"/>
      <c r="B748" s="6"/>
      <c r="C748" s="6"/>
      <c r="D748" s="6"/>
      <c r="E748" s="6"/>
      <c r="F748" s="6"/>
      <c r="G748" s="6"/>
      <c r="H748" s="6"/>
      <c r="I748" s="6"/>
      <c r="J748" s="6"/>
      <c r="K748" s="6"/>
      <c r="L748" s="6"/>
      <c r="M748" s="6"/>
      <c r="N748" s="137"/>
      <c r="O748" s="137"/>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row>
    <row r="749" ht="14.25" customHeight="1">
      <c r="A749" s="6"/>
      <c r="B749" s="6"/>
      <c r="C749" s="6"/>
      <c r="D749" s="6"/>
      <c r="E749" s="6"/>
      <c r="F749" s="6"/>
      <c r="G749" s="6"/>
      <c r="H749" s="6"/>
      <c r="I749" s="6"/>
      <c r="J749" s="6"/>
      <c r="K749" s="6"/>
      <c r="L749" s="6"/>
      <c r="M749" s="6"/>
      <c r="N749" s="137"/>
      <c r="O749" s="137"/>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row>
    <row r="750" ht="14.25" customHeight="1">
      <c r="A750" s="6"/>
      <c r="B750" s="6"/>
      <c r="C750" s="6"/>
      <c r="D750" s="6"/>
      <c r="E750" s="6"/>
      <c r="F750" s="6"/>
      <c r="G750" s="6"/>
      <c r="H750" s="6"/>
      <c r="I750" s="6"/>
      <c r="J750" s="6"/>
      <c r="K750" s="6"/>
      <c r="L750" s="6"/>
      <c r="M750" s="6"/>
      <c r="N750" s="137"/>
      <c r="O750" s="137"/>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row>
    <row r="751" ht="14.25" customHeight="1">
      <c r="A751" s="6"/>
      <c r="B751" s="6"/>
      <c r="C751" s="6"/>
      <c r="D751" s="6"/>
      <c r="E751" s="6"/>
      <c r="F751" s="6"/>
      <c r="G751" s="6"/>
      <c r="H751" s="6"/>
      <c r="I751" s="6"/>
      <c r="J751" s="6"/>
      <c r="K751" s="6"/>
      <c r="L751" s="6"/>
      <c r="M751" s="6"/>
      <c r="N751" s="137"/>
      <c r="O751" s="137"/>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row>
    <row r="752" ht="14.25" customHeight="1">
      <c r="A752" s="6"/>
      <c r="B752" s="6"/>
      <c r="C752" s="6"/>
      <c r="D752" s="6"/>
      <c r="E752" s="6"/>
      <c r="F752" s="6"/>
      <c r="G752" s="6"/>
      <c r="H752" s="6"/>
      <c r="I752" s="6"/>
      <c r="J752" s="6"/>
      <c r="K752" s="6"/>
      <c r="L752" s="6"/>
      <c r="M752" s="6"/>
      <c r="N752" s="137"/>
      <c r="O752" s="137"/>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row>
    <row r="753" ht="14.25" customHeight="1">
      <c r="A753" s="6"/>
      <c r="B753" s="6"/>
      <c r="C753" s="6"/>
      <c r="D753" s="6"/>
      <c r="E753" s="6"/>
      <c r="F753" s="6"/>
      <c r="G753" s="6"/>
      <c r="H753" s="6"/>
      <c r="I753" s="6"/>
      <c r="J753" s="6"/>
      <c r="K753" s="6"/>
      <c r="L753" s="6"/>
      <c r="M753" s="6"/>
      <c r="N753" s="137"/>
      <c r="O753" s="137"/>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row>
    <row r="754" ht="14.25" customHeight="1">
      <c r="A754" s="6"/>
      <c r="B754" s="6"/>
      <c r="C754" s="6"/>
      <c r="D754" s="6"/>
      <c r="E754" s="6"/>
      <c r="F754" s="6"/>
      <c r="G754" s="6"/>
      <c r="H754" s="6"/>
      <c r="I754" s="6"/>
      <c r="J754" s="6"/>
      <c r="K754" s="6"/>
      <c r="L754" s="6"/>
      <c r="M754" s="6"/>
      <c r="N754" s="137"/>
      <c r="O754" s="137"/>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row>
    <row r="755" ht="14.25" customHeight="1">
      <c r="A755" s="6"/>
      <c r="B755" s="6"/>
      <c r="C755" s="6"/>
      <c r="D755" s="6"/>
      <c r="E755" s="6"/>
      <c r="F755" s="6"/>
      <c r="G755" s="6"/>
      <c r="H755" s="6"/>
      <c r="I755" s="6"/>
      <c r="J755" s="6"/>
      <c r="K755" s="6"/>
      <c r="L755" s="6"/>
      <c r="M755" s="6"/>
      <c r="N755" s="137"/>
      <c r="O755" s="137"/>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row>
    <row r="756" ht="14.25" customHeight="1">
      <c r="A756" s="6"/>
      <c r="B756" s="6"/>
      <c r="C756" s="6"/>
      <c r="D756" s="6"/>
      <c r="E756" s="6"/>
      <c r="F756" s="6"/>
      <c r="G756" s="6"/>
      <c r="H756" s="6"/>
      <c r="I756" s="6"/>
      <c r="J756" s="6"/>
      <c r="K756" s="6"/>
      <c r="L756" s="6"/>
      <c r="M756" s="6"/>
      <c r="N756" s="137"/>
      <c r="O756" s="137"/>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row>
    <row r="757" ht="14.25" customHeight="1">
      <c r="A757" s="6"/>
      <c r="B757" s="6"/>
      <c r="C757" s="6"/>
      <c r="D757" s="6"/>
      <c r="E757" s="6"/>
      <c r="F757" s="6"/>
      <c r="G757" s="6"/>
      <c r="H757" s="6"/>
      <c r="I757" s="6"/>
      <c r="J757" s="6"/>
      <c r="K757" s="6"/>
      <c r="L757" s="6"/>
      <c r="M757" s="6"/>
      <c r="N757" s="137"/>
      <c r="O757" s="137"/>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row>
    <row r="758" ht="14.25" customHeight="1">
      <c r="A758" s="6"/>
      <c r="B758" s="6"/>
      <c r="C758" s="6"/>
      <c r="D758" s="6"/>
      <c r="E758" s="6"/>
      <c r="F758" s="6"/>
      <c r="G758" s="6"/>
      <c r="H758" s="6"/>
      <c r="I758" s="6"/>
      <c r="J758" s="6"/>
      <c r="K758" s="6"/>
      <c r="L758" s="6"/>
      <c r="M758" s="6"/>
      <c r="N758" s="137"/>
      <c r="O758" s="137"/>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row>
    <row r="759" ht="14.25" customHeight="1">
      <c r="A759" s="6"/>
      <c r="B759" s="6"/>
      <c r="C759" s="6"/>
      <c r="D759" s="6"/>
      <c r="E759" s="6"/>
      <c r="F759" s="6"/>
      <c r="G759" s="6"/>
      <c r="H759" s="6"/>
      <c r="I759" s="6"/>
      <c r="J759" s="6"/>
      <c r="K759" s="6"/>
      <c r="L759" s="6"/>
      <c r="M759" s="6"/>
      <c r="N759" s="137"/>
      <c r="O759" s="137"/>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row>
    <row r="760" ht="14.25" customHeight="1">
      <c r="A760" s="6"/>
      <c r="B760" s="6"/>
      <c r="C760" s="6"/>
      <c r="D760" s="6"/>
      <c r="E760" s="6"/>
      <c r="F760" s="6"/>
      <c r="G760" s="6"/>
      <c r="H760" s="6"/>
      <c r="I760" s="6"/>
      <c r="J760" s="6"/>
      <c r="K760" s="6"/>
      <c r="L760" s="6"/>
      <c r="M760" s="6"/>
      <c r="N760" s="137"/>
      <c r="O760" s="137"/>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row>
    <row r="761" ht="14.25" customHeight="1">
      <c r="A761" s="6"/>
      <c r="B761" s="6"/>
      <c r="C761" s="6"/>
      <c r="D761" s="6"/>
      <c r="E761" s="6"/>
      <c r="F761" s="6"/>
      <c r="G761" s="6"/>
      <c r="H761" s="6"/>
      <c r="I761" s="6"/>
      <c r="J761" s="6"/>
      <c r="K761" s="6"/>
      <c r="L761" s="6"/>
      <c r="M761" s="6"/>
      <c r="N761" s="137"/>
      <c r="O761" s="137"/>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row>
    <row r="762" ht="14.25" customHeight="1">
      <c r="A762" s="6"/>
      <c r="B762" s="6"/>
      <c r="C762" s="6"/>
      <c r="D762" s="6"/>
      <c r="E762" s="6"/>
      <c r="F762" s="6"/>
      <c r="G762" s="6"/>
      <c r="H762" s="6"/>
      <c r="I762" s="6"/>
      <c r="J762" s="6"/>
      <c r="K762" s="6"/>
      <c r="L762" s="6"/>
      <c r="M762" s="6"/>
      <c r="N762" s="137"/>
      <c r="O762" s="137"/>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row>
    <row r="763" ht="14.25" customHeight="1">
      <c r="A763" s="6"/>
      <c r="B763" s="6"/>
      <c r="C763" s="6"/>
      <c r="D763" s="6"/>
      <c r="E763" s="6"/>
      <c r="F763" s="6"/>
      <c r="G763" s="6"/>
      <c r="H763" s="6"/>
      <c r="I763" s="6"/>
      <c r="J763" s="6"/>
      <c r="K763" s="6"/>
      <c r="L763" s="6"/>
      <c r="M763" s="6"/>
      <c r="N763" s="137"/>
      <c r="O763" s="137"/>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row>
    <row r="764" ht="14.25" customHeight="1">
      <c r="A764" s="6"/>
      <c r="B764" s="6"/>
      <c r="C764" s="6"/>
      <c r="D764" s="6"/>
      <c r="E764" s="6"/>
      <c r="F764" s="6"/>
      <c r="G764" s="6"/>
      <c r="H764" s="6"/>
      <c r="I764" s="6"/>
      <c r="J764" s="6"/>
      <c r="K764" s="6"/>
      <c r="L764" s="6"/>
      <c r="M764" s="6"/>
      <c r="N764" s="137"/>
      <c r="O764" s="137"/>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row>
    <row r="765" ht="14.25" customHeight="1">
      <c r="A765" s="6"/>
      <c r="B765" s="6"/>
      <c r="C765" s="6"/>
      <c r="D765" s="6"/>
      <c r="E765" s="6"/>
      <c r="F765" s="6"/>
      <c r="G765" s="6"/>
      <c r="H765" s="6"/>
      <c r="I765" s="6"/>
      <c r="J765" s="6"/>
      <c r="K765" s="6"/>
      <c r="L765" s="6"/>
      <c r="M765" s="6"/>
      <c r="N765" s="137"/>
      <c r="O765" s="137"/>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row>
    <row r="766" ht="14.25" customHeight="1">
      <c r="A766" s="6"/>
      <c r="B766" s="6"/>
      <c r="C766" s="6"/>
      <c r="D766" s="6"/>
      <c r="E766" s="6"/>
      <c r="F766" s="6"/>
      <c r="G766" s="6"/>
      <c r="H766" s="6"/>
      <c r="I766" s="6"/>
      <c r="J766" s="6"/>
      <c r="K766" s="6"/>
      <c r="L766" s="6"/>
      <c r="M766" s="6"/>
      <c r="N766" s="137"/>
      <c r="O766" s="137"/>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row>
    <row r="767" ht="14.25" customHeight="1">
      <c r="A767" s="6"/>
      <c r="B767" s="6"/>
      <c r="C767" s="6"/>
      <c r="D767" s="6"/>
      <c r="E767" s="6"/>
      <c r="F767" s="6"/>
      <c r="G767" s="6"/>
      <c r="H767" s="6"/>
      <c r="I767" s="6"/>
      <c r="J767" s="6"/>
      <c r="K767" s="6"/>
      <c r="L767" s="6"/>
      <c r="M767" s="6"/>
      <c r="N767" s="137"/>
      <c r="O767" s="137"/>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row>
    <row r="768" ht="14.25" customHeight="1">
      <c r="A768" s="6"/>
      <c r="B768" s="6"/>
      <c r="C768" s="6"/>
      <c r="D768" s="6"/>
      <c r="E768" s="6"/>
      <c r="F768" s="6"/>
      <c r="G768" s="6"/>
      <c r="H768" s="6"/>
      <c r="I768" s="6"/>
      <c r="J768" s="6"/>
      <c r="K768" s="6"/>
      <c r="L768" s="6"/>
      <c r="M768" s="6"/>
      <c r="N768" s="137"/>
      <c r="O768" s="137"/>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row>
    <row r="769" ht="14.25" customHeight="1">
      <c r="A769" s="6"/>
      <c r="B769" s="6"/>
      <c r="C769" s="6"/>
      <c r="D769" s="6"/>
      <c r="E769" s="6"/>
      <c r="F769" s="6"/>
      <c r="G769" s="6"/>
      <c r="H769" s="6"/>
      <c r="I769" s="6"/>
      <c r="J769" s="6"/>
      <c r="K769" s="6"/>
      <c r="L769" s="6"/>
      <c r="M769" s="6"/>
      <c r="N769" s="137"/>
      <c r="O769" s="137"/>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row>
    <row r="770" ht="14.25" customHeight="1">
      <c r="A770" s="6"/>
      <c r="B770" s="6"/>
      <c r="C770" s="6"/>
      <c r="D770" s="6"/>
      <c r="E770" s="6"/>
      <c r="F770" s="6"/>
      <c r="G770" s="6"/>
      <c r="H770" s="6"/>
      <c r="I770" s="6"/>
      <c r="J770" s="6"/>
      <c r="K770" s="6"/>
      <c r="L770" s="6"/>
      <c r="M770" s="6"/>
      <c r="N770" s="137"/>
      <c r="O770" s="137"/>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row>
    <row r="771" ht="14.25" customHeight="1">
      <c r="A771" s="6"/>
      <c r="B771" s="6"/>
      <c r="C771" s="6"/>
      <c r="D771" s="6"/>
      <c r="E771" s="6"/>
      <c r="F771" s="6"/>
      <c r="G771" s="6"/>
      <c r="H771" s="6"/>
      <c r="I771" s="6"/>
      <c r="J771" s="6"/>
      <c r="K771" s="6"/>
      <c r="L771" s="6"/>
      <c r="M771" s="6"/>
      <c r="N771" s="137"/>
      <c r="O771" s="137"/>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row>
    <row r="772" ht="14.25" customHeight="1">
      <c r="A772" s="6"/>
      <c r="B772" s="6"/>
      <c r="C772" s="6"/>
      <c r="D772" s="6"/>
      <c r="E772" s="6"/>
      <c r="F772" s="6"/>
      <c r="G772" s="6"/>
      <c r="H772" s="6"/>
      <c r="I772" s="6"/>
      <c r="J772" s="6"/>
      <c r="K772" s="6"/>
      <c r="L772" s="6"/>
      <c r="M772" s="6"/>
      <c r="N772" s="137"/>
      <c r="O772" s="137"/>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row>
    <row r="773" ht="14.25" customHeight="1">
      <c r="A773" s="6"/>
      <c r="B773" s="6"/>
      <c r="C773" s="6"/>
      <c r="D773" s="6"/>
      <c r="E773" s="6"/>
      <c r="F773" s="6"/>
      <c r="G773" s="6"/>
      <c r="H773" s="6"/>
      <c r="I773" s="6"/>
      <c r="J773" s="6"/>
      <c r="K773" s="6"/>
      <c r="L773" s="6"/>
      <c r="M773" s="6"/>
      <c r="N773" s="137"/>
      <c r="O773" s="137"/>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row>
    <row r="774" ht="14.25" customHeight="1">
      <c r="A774" s="6"/>
      <c r="B774" s="6"/>
      <c r="C774" s="6"/>
      <c r="D774" s="6"/>
      <c r="E774" s="6"/>
      <c r="F774" s="6"/>
      <c r="G774" s="6"/>
      <c r="H774" s="6"/>
      <c r="I774" s="6"/>
      <c r="J774" s="6"/>
      <c r="K774" s="6"/>
      <c r="L774" s="6"/>
      <c r="M774" s="6"/>
      <c r="N774" s="137"/>
      <c r="O774" s="137"/>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row>
    <row r="775" ht="14.25" customHeight="1">
      <c r="A775" s="6"/>
      <c r="B775" s="6"/>
      <c r="C775" s="6"/>
      <c r="D775" s="6"/>
      <c r="E775" s="6"/>
      <c r="F775" s="6"/>
      <c r="G775" s="6"/>
      <c r="H775" s="6"/>
      <c r="I775" s="6"/>
      <c r="J775" s="6"/>
      <c r="K775" s="6"/>
      <c r="L775" s="6"/>
      <c r="M775" s="6"/>
      <c r="N775" s="137"/>
      <c r="O775" s="137"/>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row>
    <row r="776" ht="14.25" customHeight="1">
      <c r="A776" s="6"/>
      <c r="B776" s="6"/>
      <c r="C776" s="6"/>
      <c r="D776" s="6"/>
      <c r="E776" s="6"/>
      <c r="F776" s="6"/>
      <c r="G776" s="6"/>
      <c r="H776" s="6"/>
      <c r="I776" s="6"/>
      <c r="J776" s="6"/>
      <c r="K776" s="6"/>
      <c r="L776" s="6"/>
      <c r="M776" s="6"/>
      <c r="N776" s="137"/>
      <c r="O776" s="137"/>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row>
    <row r="777" ht="14.25" customHeight="1">
      <c r="A777" s="6"/>
      <c r="B777" s="6"/>
      <c r="C777" s="6"/>
      <c r="D777" s="6"/>
      <c r="E777" s="6"/>
      <c r="F777" s="6"/>
      <c r="G777" s="6"/>
      <c r="H777" s="6"/>
      <c r="I777" s="6"/>
      <c r="J777" s="6"/>
      <c r="K777" s="6"/>
      <c r="L777" s="6"/>
      <c r="M777" s="6"/>
      <c r="N777" s="137"/>
      <c r="O777" s="137"/>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row>
    <row r="778" ht="14.25" customHeight="1">
      <c r="A778" s="6"/>
      <c r="B778" s="6"/>
      <c r="C778" s="6"/>
      <c r="D778" s="6"/>
      <c r="E778" s="6"/>
      <c r="F778" s="6"/>
      <c r="G778" s="6"/>
      <c r="H778" s="6"/>
      <c r="I778" s="6"/>
      <c r="J778" s="6"/>
      <c r="K778" s="6"/>
      <c r="L778" s="6"/>
      <c r="M778" s="6"/>
      <c r="N778" s="137"/>
      <c r="O778" s="137"/>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row>
    <row r="779" ht="14.25" customHeight="1">
      <c r="A779" s="6"/>
      <c r="B779" s="6"/>
      <c r="C779" s="6"/>
      <c r="D779" s="6"/>
      <c r="E779" s="6"/>
      <c r="F779" s="6"/>
      <c r="G779" s="6"/>
      <c r="H779" s="6"/>
      <c r="I779" s="6"/>
      <c r="J779" s="6"/>
      <c r="K779" s="6"/>
      <c r="L779" s="6"/>
      <c r="M779" s="6"/>
      <c r="N779" s="137"/>
      <c r="O779" s="137"/>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row>
    <row r="780" ht="14.25" customHeight="1">
      <c r="A780" s="6"/>
      <c r="B780" s="6"/>
      <c r="C780" s="6"/>
      <c r="D780" s="6"/>
      <c r="E780" s="6"/>
      <c r="F780" s="6"/>
      <c r="G780" s="6"/>
      <c r="H780" s="6"/>
      <c r="I780" s="6"/>
      <c r="J780" s="6"/>
      <c r="K780" s="6"/>
      <c r="L780" s="6"/>
      <c r="M780" s="6"/>
      <c r="N780" s="137"/>
      <c r="O780" s="137"/>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row>
    <row r="781" ht="14.25" customHeight="1">
      <c r="A781" s="6"/>
      <c r="B781" s="6"/>
      <c r="C781" s="6"/>
      <c r="D781" s="6"/>
      <c r="E781" s="6"/>
      <c r="F781" s="6"/>
      <c r="G781" s="6"/>
      <c r="H781" s="6"/>
      <c r="I781" s="6"/>
      <c r="J781" s="6"/>
      <c r="K781" s="6"/>
      <c r="L781" s="6"/>
      <c r="M781" s="6"/>
      <c r="N781" s="137"/>
      <c r="O781" s="137"/>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row>
    <row r="782" ht="14.25" customHeight="1">
      <c r="A782" s="6"/>
      <c r="B782" s="6"/>
      <c r="C782" s="6"/>
      <c r="D782" s="6"/>
      <c r="E782" s="6"/>
      <c r="F782" s="6"/>
      <c r="G782" s="6"/>
      <c r="H782" s="6"/>
      <c r="I782" s="6"/>
      <c r="J782" s="6"/>
      <c r="K782" s="6"/>
      <c r="L782" s="6"/>
      <c r="M782" s="6"/>
      <c r="N782" s="137"/>
      <c r="O782" s="137"/>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row>
    <row r="783" ht="14.25" customHeight="1">
      <c r="A783" s="6"/>
      <c r="B783" s="6"/>
      <c r="C783" s="6"/>
      <c r="D783" s="6"/>
      <c r="E783" s="6"/>
      <c r="F783" s="6"/>
      <c r="G783" s="6"/>
      <c r="H783" s="6"/>
      <c r="I783" s="6"/>
      <c r="J783" s="6"/>
      <c r="K783" s="6"/>
      <c r="L783" s="6"/>
      <c r="M783" s="6"/>
      <c r="N783" s="137"/>
      <c r="O783" s="137"/>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row>
    <row r="784" ht="14.25" customHeight="1">
      <c r="A784" s="6"/>
      <c r="B784" s="6"/>
      <c r="C784" s="6"/>
      <c r="D784" s="6"/>
      <c r="E784" s="6"/>
      <c r="F784" s="6"/>
      <c r="G784" s="6"/>
      <c r="H784" s="6"/>
      <c r="I784" s="6"/>
      <c r="J784" s="6"/>
      <c r="K784" s="6"/>
      <c r="L784" s="6"/>
      <c r="M784" s="6"/>
      <c r="N784" s="137"/>
      <c r="O784" s="137"/>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row>
    <row r="785" ht="14.25" customHeight="1">
      <c r="A785" s="6"/>
      <c r="B785" s="6"/>
      <c r="C785" s="6"/>
      <c r="D785" s="6"/>
      <c r="E785" s="6"/>
      <c r="F785" s="6"/>
      <c r="G785" s="6"/>
      <c r="H785" s="6"/>
      <c r="I785" s="6"/>
      <c r="J785" s="6"/>
      <c r="K785" s="6"/>
      <c r="L785" s="6"/>
      <c r="M785" s="6"/>
      <c r="N785" s="137"/>
      <c r="O785" s="137"/>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row>
    <row r="786" ht="14.25" customHeight="1">
      <c r="A786" s="6"/>
      <c r="B786" s="6"/>
      <c r="C786" s="6"/>
      <c r="D786" s="6"/>
      <c r="E786" s="6"/>
      <c r="F786" s="6"/>
      <c r="G786" s="6"/>
      <c r="H786" s="6"/>
      <c r="I786" s="6"/>
      <c r="J786" s="6"/>
      <c r="K786" s="6"/>
      <c r="L786" s="6"/>
      <c r="M786" s="6"/>
      <c r="N786" s="137"/>
      <c r="O786" s="137"/>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row>
    <row r="787" ht="14.25" customHeight="1">
      <c r="A787" s="6"/>
      <c r="B787" s="6"/>
      <c r="C787" s="6"/>
      <c r="D787" s="6"/>
      <c r="E787" s="6"/>
      <c r="F787" s="6"/>
      <c r="G787" s="6"/>
      <c r="H787" s="6"/>
      <c r="I787" s="6"/>
      <c r="J787" s="6"/>
      <c r="K787" s="6"/>
      <c r="L787" s="6"/>
      <c r="M787" s="6"/>
      <c r="N787" s="137"/>
      <c r="O787" s="137"/>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row>
    <row r="788" ht="14.25" customHeight="1">
      <c r="A788" s="6"/>
      <c r="B788" s="6"/>
      <c r="C788" s="6"/>
      <c r="D788" s="6"/>
      <c r="E788" s="6"/>
      <c r="F788" s="6"/>
      <c r="G788" s="6"/>
      <c r="H788" s="6"/>
      <c r="I788" s="6"/>
      <c r="J788" s="6"/>
      <c r="K788" s="6"/>
      <c r="L788" s="6"/>
      <c r="M788" s="6"/>
      <c r="N788" s="137"/>
      <c r="O788" s="137"/>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row>
    <row r="789" ht="14.25" customHeight="1">
      <c r="A789" s="6"/>
      <c r="B789" s="6"/>
      <c r="C789" s="6"/>
      <c r="D789" s="6"/>
      <c r="E789" s="6"/>
      <c r="F789" s="6"/>
      <c r="G789" s="6"/>
      <c r="H789" s="6"/>
      <c r="I789" s="6"/>
      <c r="J789" s="6"/>
      <c r="K789" s="6"/>
      <c r="L789" s="6"/>
      <c r="M789" s="6"/>
      <c r="N789" s="137"/>
      <c r="O789" s="137"/>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row>
    <row r="790" ht="14.25" customHeight="1">
      <c r="A790" s="6"/>
      <c r="B790" s="6"/>
      <c r="C790" s="6"/>
      <c r="D790" s="6"/>
      <c r="E790" s="6"/>
      <c r="F790" s="6"/>
      <c r="G790" s="6"/>
      <c r="H790" s="6"/>
      <c r="I790" s="6"/>
      <c r="J790" s="6"/>
      <c r="K790" s="6"/>
      <c r="L790" s="6"/>
      <c r="M790" s="6"/>
      <c r="N790" s="137"/>
      <c r="O790" s="137"/>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row>
    <row r="791" ht="14.25" customHeight="1">
      <c r="A791" s="6"/>
      <c r="B791" s="6"/>
      <c r="C791" s="6"/>
      <c r="D791" s="6"/>
      <c r="E791" s="6"/>
      <c r="F791" s="6"/>
      <c r="G791" s="6"/>
      <c r="H791" s="6"/>
      <c r="I791" s="6"/>
      <c r="J791" s="6"/>
      <c r="K791" s="6"/>
      <c r="L791" s="6"/>
      <c r="M791" s="6"/>
      <c r="N791" s="137"/>
      <c r="O791" s="137"/>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row>
    <row r="792" ht="14.25" customHeight="1">
      <c r="A792" s="6"/>
      <c r="B792" s="6"/>
      <c r="C792" s="6"/>
      <c r="D792" s="6"/>
      <c r="E792" s="6"/>
      <c r="F792" s="6"/>
      <c r="G792" s="6"/>
      <c r="H792" s="6"/>
      <c r="I792" s="6"/>
      <c r="J792" s="6"/>
      <c r="K792" s="6"/>
      <c r="L792" s="6"/>
      <c r="M792" s="6"/>
      <c r="N792" s="137"/>
      <c r="O792" s="137"/>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row>
    <row r="793" ht="14.25" customHeight="1">
      <c r="A793" s="6"/>
      <c r="B793" s="6"/>
      <c r="C793" s="6"/>
      <c r="D793" s="6"/>
      <c r="E793" s="6"/>
      <c r="F793" s="6"/>
      <c r="G793" s="6"/>
      <c r="H793" s="6"/>
      <c r="I793" s="6"/>
      <c r="J793" s="6"/>
      <c r="K793" s="6"/>
      <c r="L793" s="6"/>
      <c r="M793" s="6"/>
      <c r="N793" s="137"/>
      <c r="O793" s="137"/>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row>
    <row r="794" ht="14.25" customHeight="1">
      <c r="A794" s="6"/>
      <c r="B794" s="6"/>
      <c r="C794" s="6"/>
      <c r="D794" s="6"/>
      <c r="E794" s="6"/>
      <c r="F794" s="6"/>
      <c r="G794" s="6"/>
      <c r="H794" s="6"/>
      <c r="I794" s="6"/>
      <c r="J794" s="6"/>
      <c r="K794" s="6"/>
      <c r="L794" s="6"/>
      <c r="M794" s="6"/>
      <c r="N794" s="137"/>
      <c r="O794" s="137"/>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row>
    <row r="795" ht="14.25" customHeight="1">
      <c r="A795" s="6"/>
      <c r="B795" s="6"/>
      <c r="C795" s="6"/>
      <c r="D795" s="6"/>
      <c r="E795" s="6"/>
      <c r="F795" s="6"/>
      <c r="G795" s="6"/>
      <c r="H795" s="6"/>
      <c r="I795" s="6"/>
      <c r="J795" s="6"/>
      <c r="K795" s="6"/>
      <c r="L795" s="6"/>
      <c r="M795" s="6"/>
      <c r="N795" s="137"/>
      <c r="O795" s="137"/>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row>
    <row r="796" ht="14.25" customHeight="1">
      <c r="A796" s="6"/>
      <c r="B796" s="6"/>
      <c r="C796" s="6"/>
      <c r="D796" s="6"/>
      <c r="E796" s="6"/>
      <c r="F796" s="6"/>
      <c r="G796" s="6"/>
      <c r="H796" s="6"/>
      <c r="I796" s="6"/>
      <c r="J796" s="6"/>
      <c r="K796" s="6"/>
      <c r="L796" s="6"/>
      <c r="M796" s="6"/>
      <c r="N796" s="137"/>
      <c r="O796" s="137"/>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row>
    <row r="797" ht="14.25" customHeight="1">
      <c r="A797" s="6"/>
      <c r="B797" s="6"/>
      <c r="C797" s="6"/>
      <c r="D797" s="6"/>
      <c r="E797" s="6"/>
      <c r="F797" s="6"/>
      <c r="G797" s="6"/>
      <c r="H797" s="6"/>
      <c r="I797" s="6"/>
      <c r="J797" s="6"/>
      <c r="K797" s="6"/>
      <c r="L797" s="6"/>
      <c r="M797" s="6"/>
      <c r="N797" s="137"/>
      <c r="O797" s="137"/>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row>
    <row r="798" ht="14.25" customHeight="1">
      <c r="A798" s="6"/>
      <c r="B798" s="6"/>
      <c r="C798" s="6"/>
      <c r="D798" s="6"/>
      <c r="E798" s="6"/>
      <c r="F798" s="6"/>
      <c r="G798" s="6"/>
      <c r="H798" s="6"/>
      <c r="I798" s="6"/>
      <c r="J798" s="6"/>
      <c r="K798" s="6"/>
      <c r="L798" s="6"/>
      <c r="M798" s="6"/>
      <c r="N798" s="137"/>
      <c r="O798" s="137"/>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row>
    <row r="799" ht="14.25" customHeight="1">
      <c r="A799" s="6"/>
      <c r="B799" s="6"/>
      <c r="C799" s="6"/>
      <c r="D799" s="6"/>
      <c r="E799" s="6"/>
      <c r="F799" s="6"/>
      <c r="G799" s="6"/>
      <c r="H799" s="6"/>
      <c r="I799" s="6"/>
      <c r="J799" s="6"/>
      <c r="K799" s="6"/>
      <c r="L799" s="6"/>
      <c r="M799" s="6"/>
      <c r="N799" s="137"/>
      <c r="O799" s="137"/>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row>
    <row r="800" ht="14.25" customHeight="1">
      <c r="A800" s="6"/>
      <c r="B800" s="6"/>
      <c r="C800" s="6"/>
      <c r="D800" s="6"/>
      <c r="E800" s="6"/>
      <c r="F800" s="6"/>
      <c r="G800" s="6"/>
      <c r="H800" s="6"/>
      <c r="I800" s="6"/>
      <c r="J800" s="6"/>
      <c r="K800" s="6"/>
      <c r="L800" s="6"/>
      <c r="M800" s="6"/>
      <c r="N800" s="137"/>
      <c r="O800" s="137"/>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row>
    <row r="801" ht="14.25" customHeight="1">
      <c r="A801" s="6"/>
      <c r="B801" s="6"/>
      <c r="C801" s="6"/>
      <c r="D801" s="6"/>
      <c r="E801" s="6"/>
      <c r="F801" s="6"/>
      <c r="G801" s="6"/>
      <c r="H801" s="6"/>
      <c r="I801" s="6"/>
      <c r="J801" s="6"/>
      <c r="K801" s="6"/>
      <c r="L801" s="6"/>
      <c r="M801" s="6"/>
      <c r="N801" s="137"/>
      <c r="O801" s="137"/>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row>
    <row r="802" ht="14.25" customHeight="1">
      <c r="A802" s="6"/>
      <c r="B802" s="6"/>
      <c r="C802" s="6"/>
      <c r="D802" s="6"/>
      <c r="E802" s="6"/>
      <c r="F802" s="6"/>
      <c r="G802" s="6"/>
      <c r="H802" s="6"/>
      <c r="I802" s="6"/>
      <c r="J802" s="6"/>
      <c r="K802" s="6"/>
      <c r="L802" s="6"/>
      <c r="M802" s="6"/>
      <c r="N802" s="137"/>
      <c r="O802" s="137"/>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row>
    <row r="803" ht="14.25" customHeight="1">
      <c r="A803" s="6"/>
      <c r="B803" s="6"/>
      <c r="C803" s="6"/>
      <c r="D803" s="6"/>
      <c r="E803" s="6"/>
      <c r="F803" s="6"/>
      <c r="G803" s="6"/>
      <c r="H803" s="6"/>
      <c r="I803" s="6"/>
      <c r="J803" s="6"/>
      <c r="K803" s="6"/>
      <c r="L803" s="6"/>
      <c r="M803" s="6"/>
      <c r="N803" s="137"/>
      <c r="O803" s="137"/>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row>
    <row r="804" ht="14.25" customHeight="1">
      <c r="A804" s="6"/>
      <c r="B804" s="6"/>
      <c r="C804" s="6"/>
      <c r="D804" s="6"/>
      <c r="E804" s="6"/>
      <c r="F804" s="6"/>
      <c r="G804" s="6"/>
      <c r="H804" s="6"/>
      <c r="I804" s="6"/>
      <c r="J804" s="6"/>
      <c r="K804" s="6"/>
      <c r="L804" s="6"/>
      <c r="M804" s="6"/>
      <c r="N804" s="137"/>
      <c r="O804" s="137"/>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row>
    <row r="805" ht="14.25" customHeight="1">
      <c r="A805" s="6"/>
      <c r="B805" s="6"/>
      <c r="C805" s="6"/>
      <c r="D805" s="6"/>
      <c r="E805" s="6"/>
      <c r="F805" s="6"/>
      <c r="G805" s="6"/>
      <c r="H805" s="6"/>
      <c r="I805" s="6"/>
      <c r="J805" s="6"/>
      <c r="K805" s="6"/>
      <c r="L805" s="6"/>
      <c r="M805" s="6"/>
      <c r="N805" s="137"/>
      <c r="O805" s="137"/>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row>
    <row r="806" ht="14.25" customHeight="1">
      <c r="A806" s="6"/>
      <c r="B806" s="6"/>
      <c r="C806" s="6"/>
      <c r="D806" s="6"/>
      <c r="E806" s="6"/>
      <c r="F806" s="6"/>
      <c r="G806" s="6"/>
      <c r="H806" s="6"/>
      <c r="I806" s="6"/>
      <c r="J806" s="6"/>
      <c r="K806" s="6"/>
      <c r="L806" s="6"/>
      <c r="M806" s="6"/>
      <c r="N806" s="137"/>
      <c r="O806" s="137"/>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row>
    <row r="807" ht="14.25" customHeight="1">
      <c r="A807" s="6"/>
      <c r="B807" s="6"/>
      <c r="C807" s="6"/>
      <c r="D807" s="6"/>
      <c r="E807" s="6"/>
      <c r="F807" s="6"/>
      <c r="G807" s="6"/>
      <c r="H807" s="6"/>
      <c r="I807" s="6"/>
      <c r="J807" s="6"/>
      <c r="K807" s="6"/>
      <c r="L807" s="6"/>
      <c r="M807" s="6"/>
      <c r="N807" s="137"/>
      <c r="O807" s="137"/>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row>
    <row r="808" ht="14.25" customHeight="1">
      <c r="A808" s="6"/>
      <c r="B808" s="6"/>
      <c r="C808" s="6"/>
      <c r="D808" s="6"/>
      <c r="E808" s="6"/>
      <c r="F808" s="6"/>
      <c r="G808" s="6"/>
      <c r="H808" s="6"/>
      <c r="I808" s="6"/>
      <c r="J808" s="6"/>
      <c r="K808" s="6"/>
      <c r="L808" s="6"/>
      <c r="M808" s="6"/>
      <c r="N808" s="137"/>
      <c r="O808" s="137"/>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row>
    <row r="809" ht="14.25" customHeight="1">
      <c r="A809" s="6"/>
      <c r="B809" s="6"/>
      <c r="C809" s="6"/>
      <c r="D809" s="6"/>
      <c r="E809" s="6"/>
      <c r="F809" s="6"/>
      <c r="G809" s="6"/>
      <c r="H809" s="6"/>
      <c r="I809" s="6"/>
      <c r="J809" s="6"/>
      <c r="K809" s="6"/>
      <c r="L809" s="6"/>
      <c r="M809" s="6"/>
      <c r="N809" s="137"/>
      <c r="O809" s="137"/>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row>
    <row r="810" ht="14.25" customHeight="1">
      <c r="A810" s="6"/>
      <c r="B810" s="6"/>
      <c r="C810" s="6"/>
      <c r="D810" s="6"/>
      <c r="E810" s="6"/>
      <c r="F810" s="6"/>
      <c r="G810" s="6"/>
      <c r="H810" s="6"/>
      <c r="I810" s="6"/>
      <c r="J810" s="6"/>
      <c r="K810" s="6"/>
      <c r="L810" s="6"/>
      <c r="M810" s="6"/>
      <c r="N810" s="137"/>
      <c r="O810" s="137"/>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row>
    <row r="811" ht="14.25" customHeight="1">
      <c r="A811" s="6"/>
      <c r="B811" s="6"/>
      <c r="C811" s="6"/>
      <c r="D811" s="6"/>
      <c r="E811" s="6"/>
      <c r="F811" s="6"/>
      <c r="G811" s="6"/>
      <c r="H811" s="6"/>
      <c r="I811" s="6"/>
      <c r="J811" s="6"/>
      <c r="K811" s="6"/>
      <c r="L811" s="6"/>
      <c r="M811" s="6"/>
      <c r="N811" s="137"/>
      <c r="O811" s="137"/>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row>
    <row r="812" ht="14.25" customHeight="1">
      <c r="A812" s="6"/>
      <c r="B812" s="6"/>
      <c r="C812" s="6"/>
      <c r="D812" s="6"/>
      <c r="E812" s="6"/>
      <c r="F812" s="6"/>
      <c r="G812" s="6"/>
      <c r="H812" s="6"/>
      <c r="I812" s="6"/>
      <c r="J812" s="6"/>
      <c r="K812" s="6"/>
      <c r="L812" s="6"/>
      <c r="M812" s="6"/>
      <c r="N812" s="137"/>
      <c r="O812" s="137"/>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row>
    <row r="813" ht="14.25" customHeight="1">
      <c r="A813" s="6"/>
      <c r="B813" s="6"/>
      <c r="C813" s="6"/>
      <c r="D813" s="6"/>
      <c r="E813" s="6"/>
      <c r="F813" s="6"/>
      <c r="G813" s="6"/>
      <c r="H813" s="6"/>
      <c r="I813" s="6"/>
      <c r="J813" s="6"/>
      <c r="K813" s="6"/>
      <c r="L813" s="6"/>
      <c r="M813" s="6"/>
      <c r="N813" s="137"/>
      <c r="O813" s="137"/>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row>
    <row r="814" ht="14.25" customHeight="1">
      <c r="A814" s="6"/>
      <c r="B814" s="6"/>
      <c r="C814" s="6"/>
      <c r="D814" s="6"/>
      <c r="E814" s="6"/>
      <c r="F814" s="6"/>
      <c r="G814" s="6"/>
      <c r="H814" s="6"/>
      <c r="I814" s="6"/>
      <c r="J814" s="6"/>
      <c r="K814" s="6"/>
      <c r="L814" s="6"/>
      <c r="M814" s="6"/>
      <c r="N814" s="137"/>
      <c r="O814" s="137"/>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row>
    <row r="815" ht="14.25" customHeight="1">
      <c r="A815" s="6"/>
      <c r="B815" s="6"/>
      <c r="C815" s="6"/>
      <c r="D815" s="6"/>
      <c r="E815" s="6"/>
      <c r="F815" s="6"/>
      <c r="G815" s="6"/>
      <c r="H815" s="6"/>
      <c r="I815" s="6"/>
      <c r="J815" s="6"/>
      <c r="K815" s="6"/>
      <c r="L815" s="6"/>
      <c r="M815" s="6"/>
      <c r="N815" s="137"/>
      <c r="O815" s="137"/>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row>
    <row r="816" ht="14.25" customHeight="1">
      <c r="A816" s="6"/>
      <c r="B816" s="6"/>
      <c r="C816" s="6"/>
      <c r="D816" s="6"/>
      <c r="E816" s="6"/>
      <c r="F816" s="6"/>
      <c r="G816" s="6"/>
      <c r="H816" s="6"/>
      <c r="I816" s="6"/>
      <c r="J816" s="6"/>
      <c r="K816" s="6"/>
      <c r="L816" s="6"/>
      <c r="M816" s="6"/>
      <c r="N816" s="137"/>
      <c r="O816" s="137"/>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row>
    <row r="817" ht="14.25" customHeight="1">
      <c r="A817" s="6"/>
      <c r="B817" s="6"/>
      <c r="C817" s="6"/>
      <c r="D817" s="6"/>
      <c r="E817" s="6"/>
      <c r="F817" s="6"/>
      <c r="G817" s="6"/>
      <c r="H817" s="6"/>
      <c r="I817" s="6"/>
      <c r="J817" s="6"/>
      <c r="K817" s="6"/>
      <c r="L817" s="6"/>
      <c r="M817" s="6"/>
      <c r="N817" s="137"/>
      <c r="O817" s="137"/>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row>
    <row r="818" ht="14.25" customHeight="1">
      <c r="A818" s="6"/>
      <c r="B818" s="6"/>
      <c r="C818" s="6"/>
      <c r="D818" s="6"/>
      <c r="E818" s="6"/>
      <c r="F818" s="6"/>
      <c r="G818" s="6"/>
      <c r="H818" s="6"/>
      <c r="I818" s="6"/>
      <c r="J818" s="6"/>
      <c r="K818" s="6"/>
      <c r="L818" s="6"/>
      <c r="M818" s="6"/>
      <c r="N818" s="137"/>
      <c r="O818" s="137"/>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row>
    <row r="819" ht="14.25" customHeight="1">
      <c r="A819" s="6"/>
      <c r="B819" s="6"/>
      <c r="C819" s="6"/>
      <c r="D819" s="6"/>
      <c r="E819" s="6"/>
      <c r="F819" s="6"/>
      <c r="G819" s="6"/>
      <c r="H819" s="6"/>
      <c r="I819" s="6"/>
      <c r="J819" s="6"/>
      <c r="K819" s="6"/>
      <c r="L819" s="6"/>
      <c r="M819" s="6"/>
      <c r="N819" s="137"/>
      <c r="O819" s="137"/>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row>
    <row r="820" ht="14.25" customHeight="1">
      <c r="A820" s="6"/>
      <c r="B820" s="6"/>
      <c r="C820" s="6"/>
      <c r="D820" s="6"/>
      <c r="E820" s="6"/>
      <c r="F820" s="6"/>
      <c r="G820" s="6"/>
      <c r="H820" s="6"/>
      <c r="I820" s="6"/>
      <c r="J820" s="6"/>
      <c r="K820" s="6"/>
      <c r="L820" s="6"/>
      <c r="M820" s="6"/>
      <c r="N820" s="137"/>
      <c r="O820" s="137"/>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row>
    <row r="821" ht="14.25" customHeight="1">
      <c r="A821" s="6"/>
      <c r="B821" s="6"/>
      <c r="C821" s="6"/>
      <c r="D821" s="6"/>
      <c r="E821" s="6"/>
      <c r="F821" s="6"/>
      <c r="G821" s="6"/>
      <c r="H821" s="6"/>
      <c r="I821" s="6"/>
      <c r="J821" s="6"/>
      <c r="K821" s="6"/>
      <c r="L821" s="6"/>
      <c r="M821" s="6"/>
      <c r="N821" s="137"/>
      <c r="O821" s="137"/>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row>
    <row r="822" ht="14.25" customHeight="1">
      <c r="A822" s="6"/>
      <c r="B822" s="6"/>
      <c r="C822" s="6"/>
      <c r="D822" s="6"/>
      <c r="E822" s="6"/>
      <c r="F822" s="6"/>
      <c r="G822" s="6"/>
      <c r="H822" s="6"/>
      <c r="I822" s="6"/>
      <c r="J822" s="6"/>
      <c r="K822" s="6"/>
      <c r="L822" s="6"/>
      <c r="M822" s="6"/>
      <c r="N822" s="137"/>
      <c r="O822" s="137"/>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row>
    <row r="823" ht="14.25" customHeight="1">
      <c r="A823" s="6"/>
      <c r="B823" s="6"/>
      <c r="C823" s="6"/>
      <c r="D823" s="6"/>
      <c r="E823" s="6"/>
      <c r="F823" s="6"/>
      <c r="G823" s="6"/>
      <c r="H823" s="6"/>
      <c r="I823" s="6"/>
      <c r="J823" s="6"/>
      <c r="K823" s="6"/>
      <c r="L823" s="6"/>
      <c r="M823" s="6"/>
      <c r="N823" s="137"/>
      <c r="O823" s="137"/>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row>
    <row r="824" ht="14.25" customHeight="1">
      <c r="A824" s="6"/>
      <c r="B824" s="6"/>
      <c r="C824" s="6"/>
      <c r="D824" s="6"/>
      <c r="E824" s="6"/>
      <c r="F824" s="6"/>
      <c r="G824" s="6"/>
      <c r="H824" s="6"/>
      <c r="I824" s="6"/>
      <c r="J824" s="6"/>
      <c r="K824" s="6"/>
      <c r="L824" s="6"/>
      <c r="M824" s="6"/>
      <c r="N824" s="137"/>
      <c r="O824" s="137"/>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row>
    <row r="825" ht="14.25" customHeight="1">
      <c r="A825" s="6"/>
      <c r="B825" s="6"/>
      <c r="C825" s="6"/>
      <c r="D825" s="6"/>
      <c r="E825" s="6"/>
      <c r="F825" s="6"/>
      <c r="G825" s="6"/>
      <c r="H825" s="6"/>
      <c r="I825" s="6"/>
      <c r="J825" s="6"/>
      <c r="K825" s="6"/>
      <c r="L825" s="6"/>
      <c r="M825" s="6"/>
      <c r="N825" s="137"/>
      <c r="O825" s="137"/>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row>
    <row r="826" ht="14.25" customHeight="1">
      <c r="A826" s="6"/>
      <c r="B826" s="6"/>
      <c r="C826" s="6"/>
      <c r="D826" s="6"/>
      <c r="E826" s="6"/>
      <c r="F826" s="6"/>
      <c r="G826" s="6"/>
      <c r="H826" s="6"/>
      <c r="I826" s="6"/>
      <c r="J826" s="6"/>
      <c r="K826" s="6"/>
      <c r="L826" s="6"/>
      <c r="M826" s="6"/>
      <c r="N826" s="137"/>
      <c r="O826" s="137"/>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row>
    <row r="827" ht="14.25" customHeight="1">
      <c r="A827" s="6"/>
      <c r="B827" s="6"/>
      <c r="C827" s="6"/>
      <c r="D827" s="6"/>
      <c r="E827" s="6"/>
      <c r="F827" s="6"/>
      <c r="G827" s="6"/>
      <c r="H827" s="6"/>
      <c r="I827" s="6"/>
      <c r="J827" s="6"/>
      <c r="K827" s="6"/>
      <c r="L827" s="6"/>
      <c r="M827" s="6"/>
      <c r="N827" s="137"/>
      <c r="O827" s="137"/>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row>
    <row r="828" ht="14.25" customHeight="1">
      <c r="A828" s="6"/>
      <c r="B828" s="6"/>
      <c r="C828" s="6"/>
      <c r="D828" s="6"/>
      <c r="E828" s="6"/>
      <c r="F828" s="6"/>
      <c r="G828" s="6"/>
      <c r="H828" s="6"/>
      <c r="I828" s="6"/>
      <c r="J828" s="6"/>
      <c r="K828" s="6"/>
      <c r="L828" s="6"/>
      <c r="M828" s="6"/>
      <c r="N828" s="137"/>
      <c r="O828" s="137"/>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row>
    <row r="829" ht="14.25" customHeight="1">
      <c r="A829" s="6"/>
      <c r="B829" s="6"/>
      <c r="C829" s="6"/>
      <c r="D829" s="6"/>
      <c r="E829" s="6"/>
      <c r="F829" s="6"/>
      <c r="G829" s="6"/>
      <c r="H829" s="6"/>
      <c r="I829" s="6"/>
      <c r="J829" s="6"/>
      <c r="K829" s="6"/>
      <c r="L829" s="6"/>
      <c r="M829" s="6"/>
      <c r="N829" s="137"/>
      <c r="O829" s="137"/>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row>
    <row r="830" ht="14.25" customHeight="1">
      <c r="A830" s="6"/>
      <c r="B830" s="6"/>
      <c r="C830" s="6"/>
      <c r="D830" s="6"/>
      <c r="E830" s="6"/>
      <c r="F830" s="6"/>
      <c r="G830" s="6"/>
      <c r="H830" s="6"/>
      <c r="I830" s="6"/>
      <c r="J830" s="6"/>
      <c r="K830" s="6"/>
      <c r="L830" s="6"/>
      <c r="M830" s="6"/>
      <c r="N830" s="137"/>
      <c r="O830" s="137"/>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row>
    <row r="831" ht="14.25" customHeight="1">
      <c r="A831" s="6"/>
      <c r="B831" s="6"/>
      <c r="C831" s="6"/>
      <c r="D831" s="6"/>
      <c r="E831" s="6"/>
      <c r="F831" s="6"/>
      <c r="G831" s="6"/>
      <c r="H831" s="6"/>
      <c r="I831" s="6"/>
      <c r="J831" s="6"/>
      <c r="K831" s="6"/>
      <c r="L831" s="6"/>
      <c r="M831" s="6"/>
      <c r="N831" s="137"/>
      <c r="O831" s="137"/>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row>
    <row r="832" ht="14.25" customHeight="1">
      <c r="A832" s="6"/>
      <c r="B832" s="6"/>
      <c r="C832" s="6"/>
      <c r="D832" s="6"/>
      <c r="E832" s="6"/>
      <c r="F832" s="6"/>
      <c r="G832" s="6"/>
      <c r="H832" s="6"/>
      <c r="I832" s="6"/>
      <c r="J832" s="6"/>
      <c r="K832" s="6"/>
      <c r="L832" s="6"/>
      <c r="M832" s="6"/>
      <c r="N832" s="137"/>
      <c r="O832" s="137"/>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row>
    <row r="833" ht="14.25" customHeight="1">
      <c r="A833" s="6"/>
      <c r="B833" s="6"/>
      <c r="C833" s="6"/>
      <c r="D833" s="6"/>
      <c r="E833" s="6"/>
      <c r="F833" s="6"/>
      <c r="G833" s="6"/>
      <c r="H833" s="6"/>
      <c r="I833" s="6"/>
      <c r="J833" s="6"/>
      <c r="K833" s="6"/>
      <c r="L833" s="6"/>
      <c r="M833" s="6"/>
      <c r="N833" s="137"/>
      <c r="O833" s="137"/>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row>
    <row r="834" ht="14.25" customHeight="1">
      <c r="A834" s="6"/>
      <c r="B834" s="6"/>
      <c r="C834" s="6"/>
      <c r="D834" s="6"/>
      <c r="E834" s="6"/>
      <c r="F834" s="6"/>
      <c r="G834" s="6"/>
      <c r="H834" s="6"/>
      <c r="I834" s="6"/>
      <c r="J834" s="6"/>
      <c r="K834" s="6"/>
      <c r="L834" s="6"/>
      <c r="M834" s="6"/>
      <c r="N834" s="137"/>
      <c r="O834" s="137"/>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row>
    <row r="835" ht="14.25" customHeight="1">
      <c r="A835" s="6"/>
      <c r="B835" s="6"/>
      <c r="C835" s="6"/>
      <c r="D835" s="6"/>
      <c r="E835" s="6"/>
      <c r="F835" s="6"/>
      <c r="G835" s="6"/>
      <c r="H835" s="6"/>
      <c r="I835" s="6"/>
      <c r="J835" s="6"/>
      <c r="K835" s="6"/>
      <c r="L835" s="6"/>
      <c r="M835" s="6"/>
      <c r="N835" s="137"/>
      <c r="O835" s="137"/>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row>
    <row r="836" ht="14.25" customHeight="1">
      <c r="A836" s="6"/>
      <c r="B836" s="6"/>
      <c r="C836" s="6"/>
      <c r="D836" s="6"/>
      <c r="E836" s="6"/>
      <c r="F836" s="6"/>
      <c r="G836" s="6"/>
      <c r="H836" s="6"/>
      <c r="I836" s="6"/>
      <c r="J836" s="6"/>
      <c r="K836" s="6"/>
      <c r="L836" s="6"/>
      <c r="M836" s="6"/>
      <c r="N836" s="137"/>
      <c r="O836" s="137"/>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row>
    <row r="837" ht="14.25" customHeight="1">
      <c r="A837" s="6"/>
      <c r="B837" s="6"/>
      <c r="C837" s="6"/>
      <c r="D837" s="6"/>
      <c r="E837" s="6"/>
      <c r="F837" s="6"/>
      <c r="G837" s="6"/>
      <c r="H837" s="6"/>
      <c r="I837" s="6"/>
      <c r="J837" s="6"/>
      <c r="K837" s="6"/>
      <c r="L837" s="6"/>
      <c r="M837" s="6"/>
      <c r="N837" s="137"/>
      <c r="O837" s="137"/>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row>
    <row r="838" ht="14.25" customHeight="1">
      <c r="A838" s="6"/>
      <c r="B838" s="6"/>
      <c r="C838" s="6"/>
      <c r="D838" s="6"/>
      <c r="E838" s="6"/>
      <c r="F838" s="6"/>
      <c r="G838" s="6"/>
      <c r="H838" s="6"/>
      <c r="I838" s="6"/>
      <c r="J838" s="6"/>
      <c r="K838" s="6"/>
      <c r="L838" s="6"/>
      <c r="M838" s="6"/>
      <c r="N838" s="137"/>
      <c r="O838" s="137"/>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row>
    <row r="839" ht="14.25" customHeight="1">
      <c r="A839" s="6"/>
      <c r="B839" s="6"/>
      <c r="C839" s="6"/>
      <c r="D839" s="6"/>
      <c r="E839" s="6"/>
      <c r="F839" s="6"/>
      <c r="G839" s="6"/>
      <c r="H839" s="6"/>
      <c r="I839" s="6"/>
      <c r="J839" s="6"/>
      <c r="K839" s="6"/>
      <c r="L839" s="6"/>
      <c r="M839" s="6"/>
      <c r="N839" s="137"/>
      <c r="O839" s="137"/>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row>
    <row r="840" ht="14.25" customHeight="1">
      <c r="A840" s="6"/>
      <c r="B840" s="6"/>
      <c r="C840" s="6"/>
      <c r="D840" s="6"/>
      <c r="E840" s="6"/>
      <c r="F840" s="6"/>
      <c r="G840" s="6"/>
      <c r="H840" s="6"/>
      <c r="I840" s="6"/>
      <c r="J840" s="6"/>
      <c r="K840" s="6"/>
      <c r="L840" s="6"/>
      <c r="M840" s="6"/>
      <c r="N840" s="137"/>
      <c r="O840" s="137"/>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row>
    <row r="841" ht="14.25" customHeight="1">
      <c r="A841" s="6"/>
      <c r="B841" s="6"/>
      <c r="C841" s="6"/>
      <c r="D841" s="6"/>
      <c r="E841" s="6"/>
      <c r="F841" s="6"/>
      <c r="G841" s="6"/>
      <c r="H841" s="6"/>
      <c r="I841" s="6"/>
      <c r="J841" s="6"/>
      <c r="K841" s="6"/>
      <c r="L841" s="6"/>
      <c r="M841" s="6"/>
      <c r="N841" s="137"/>
      <c r="O841" s="137"/>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row>
    <row r="842" ht="14.25" customHeight="1">
      <c r="A842" s="6"/>
      <c r="B842" s="6"/>
      <c r="C842" s="6"/>
      <c r="D842" s="6"/>
      <c r="E842" s="6"/>
      <c r="F842" s="6"/>
      <c r="G842" s="6"/>
      <c r="H842" s="6"/>
      <c r="I842" s="6"/>
      <c r="J842" s="6"/>
      <c r="K842" s="6"/>
      <c r="L842" s="6"/>
      <c r="M842" s="6"/>
      <c r="N842" s="137"/>
      <c r="O842" s="137"/>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row>
    <row r="843" ht="14.25" customHeight="1">
      <c r="A843" s="6"/>
      <c r="B843" s="6"/>
      <c r="C843" s="6"/>
      <c r="D843" s="6"/>
      <c r="E843" s="6"/>
      <c r="F843" s="6"/>
      <c r="G843" s="6"/>
      <c r="H843" s="6"/>
      <c r="I843" s="6"/>
      <c r="J843" s="6"/>
      <c r="K843" s="6"/>
      <c r="L843" s="6"/>
      <c r="M843" s="6"/>
      <c r="N843" s="137"/>
      <c r="O843" s="137"/>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row>
    <row r="844" ht="14.25" customHeight="1">
      <c r="A844" s="6"/>
      <c r="B844" s="6"/>
      <c r="C844" s="6"/>
      <c r="D844" s="6"/>
      <c r="E844" s="6"/>
      <c r="F844" s="6"/>
      <c r="G844" s="6"/>
      <c r="H844" s="6"/>
      <c r="I844" s="6"/>
      <c r="J844" s="6"/>
      <c r="K844" s="6"/>
      <c r="L844" s="6"/>
      <c r="M844" s="6"/>
      <c r="N844" s="137"/>
      <c r="O844" s="137"/>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row>
    <row r="845" ht="14.25" customHeight="1">
      <c r="A845" s="6"/>
      <c r="B845" s="6"/>
      <c r="C845" s="6"/>
      <c r="D845" s="6"/>
      <c r="E845" s="6"/>
      <c r="F845" s="6"/>
      <c r="G845" s="6"/>
      <c r="H845" s="6"/>
      <c r="I845" s="6"/>
      <c r="J845" s="6"/>
      <c r="K845" s="6"/>
      <c r="L845" s="6"/>
      <c r="M845" s="6"/>
      <c r="N845" s="137"/>
      <c r="O845" s="137"/>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row>
    <row r="846" ht="14.25" customHeight="1">
      <c r="A846" s="6"/>
      <c r="B846" s="6"/>
      <c r="C846" s="6"/>
      <c r="D846" s="6"/>
      <c r="E846" s="6"/>
      <c r="F846" s="6"/>
      <c r="G846" s="6"/>
      <c r="H846" s="6"/>
      <c r="I846" s="6"/>
      <c r="J846" s="6"/>
      <c r="K846" s="6"/>
      <c r="L846" s="6"/>
      <c r="M846" s="6"/>
      <c r="N846" s="137"/>
      <c r="O846" s="137"/>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row>
    <row r="847" ht="14.25" customHeight="1">
      <c r="A847" s="6"/>
      <c r="B847" s="6"/>
      <c r="C847" s="6"/>
      <c r="D847" s="6"/>
      <c r="E847" s="6"/>
      <c r="F847" s="6"/>
      <c r="G847" s="6"/>
      <c r="H847" s="6"/>
      <c r="I847" s="6"/>
      <c r="J847" s="6"/>
      <c r="K847" s="6"/>
      <c r="L847" s="6"/>
      <c r="M847" s="6"/>
      <c r="N847" s="137"/>
      <c r="O847" s="137"/>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row>
    <row r="848" ht="14.25" customHeight="1">
      <c r="A848" s="6"/>
      <c r="B848" s="6"/>
      <c r="C848" s="6"/>
      <c r="D848" s="6"/>
      <c r="E848" s="6"/>
      <c r="F848" s="6"/>
      <c r="G848" s="6"/>
      <c r="H848" s="6"/>
      <c r="I848" s="6"/>
      <c r="J848" s="6"/>
      <c r="K848" s="6"/>
      <c r="L848" s="6"/>
      <c r="M848" s="6"/>
      <c r="N848" s="137"/>
      <c r="O848" s="137"/>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row>
    <row r="849" ht="14.25" customHeight="1">
      <c r="A849" s="6"/>
      <c r="B849" s="6"/>
      <c r="C849" s="6"/>
      <c r="D849" s="6"/>
      <c r="E849" s="6"/>
      <c r="F849" s="6"/>
      <c r="G849" s="6"/>
      <c r="H849" s="6"/>
      <c r="I849" s="6"/>
      <c r="J849" s="6"/>
      <c r="K849" s="6"/>
      <c r="L849" s="6"/>
      <c r="M849" s="6"/>
      <c r="N849" s="137"/>
      <c r="O849" s="137"/>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row>
    <row r="850" ht="14.25" customHeight="1">
      <c r="A850" s="6"/>
      <c r="B850" s="6"/>
      <c r="C850" s="6"/>
      <c r="D850" s="6"/>
      <c r="E850" s="6"/>
      <c r="F850" s="6"/>
      <c r="G850" s="6"/>
      <c r="H850" s="6"/>
      <c r="I850" s="6"/>
      <c r="J850" s="6"/>
      <c r="K850" s="6"/>
      <c r="L850" s="6"/>
      <c r="M850" s="6"/>
      <c r="N850" s="137"/>
      <c r="O850" s="137"/>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row>
    <row r="851" ht="14.25" customHeight="1">
      <c r="A851" s="6"/>
      <c r="B851" s="6"/>
      <c r="C851" s="6"/>
      <c r="D851" s="6"/>
      <c r="E851" s="6"/>
      <c r="F851" s="6"/>
      <c r="G851" s="6"/>
      <c r="H851" s="6"/>
      <c r="I851" s="6"/>
      <c r="J851" s="6"/>
      <c r="K851" s="6"/>
      <c r="L851" s="6"/>
      <c r="M851" s="6"/>
      <c r="N851" s="137"/>
      <c r="O851" s="137"/>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row>
    <row r="852" ht="14.25" customHeight="1">
      <c r="A852" s="6"/>
      <c r="B852" s="6"/>
      <c r="C852" s="6"/>
      <c r="D852" s="6"/>
      <c r="E852" s="6"/>
      <c r="F852" s="6"/>
      <c r="G852" s="6"/>
      <c r="H852" s="6"/>
      <c r="I852" s="6"/>
      <c r="J852" s="6"/>
      <c r="K852" s="6"/>
      <c r="L852" s="6"/>
      <c r="M852" s="6"/>
      <c r="N852" s="137"/>
      <c r="O852" s="137"/>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row>
    <row r="853" ht="14.25" customHeight="1">
      <c r="A853" s="6"/>
      <c r="B853" s="6"/>
      <c r="C853" s="6"/>
      <c r="D853" s="6"/>
      <c r="E853" s="6"/>
      <c r="F853" s="6"/>
      <c r="G853" s="6"/>
      <c r="H853" s="6"/>
      <c r="I853" s="6"/>
      <c r="J853" s="6"/>
      <c r="K853" s="6"/>
      <c r="L853" s="6"/>
      <c r="M853" s="6"/>
      <c r="N853" s="137"/>
      <c r="O853" s="137"/>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row>
    <row r="854" ht="14.25" customHeight="1">
      <c r="A854" s="6"/>
      <c r="B854" s="6"/>
      <c r="C854" s="6"/>
      <c r="D854" s="6"/>
      <c r="E854" s="6"/>
      <c r="F854" s="6"/>
      <c r="G854" s="6"/>
      <c r="H854" s="6"/>
      <c r="I854" s="6"/>
      <c r="J854" s="6"/>
      <c r="K854" s="6"/>
      <c r="L854" s="6"/>
      <c r="M854" s="6"/>
      <c r="N854" s="137"/>
      <c r="O854" s="137"/>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row>
    <row r="855" ht="14.25" customHeight="1">
      <c r="A855" s="6"/>
      <c r="B855" s="6"/>
      <c r="C855" s="6"/>
      <c r="D855" s="6"/>
      <c r="E855" s="6"/>
      <c r="F855" s="6"/>
      <c r="G855" s="6"/>
      <c r="H855" s="6"/>
      <c r="I855" s="6"/>
      <c r="J855" s="6"/>
      <c r="K855" s="6"/>
      <c r="L855" s="6"/>
      <c r="M855" s="6"/>
      <c r="N855" s="137"/>
      <c r="O855" s="137"/>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row>
    <row r="856" ht="14.25" customHeight="1">
      <c r="A856" s="6"/>
      <c r="B856" s="6"/>
      <c r="C856" s="6"/>
      <c r="D856" s="6"/>
      <c r="E856" s="6"/>
      <c r="F856" s="6"/>
      <c r="G856" s="6"/>
      <c r="H856" s="6"/>
      <c r="I856" s="6"/>
      <c r="J856" s="6"/>
      <c r="K856" s="6"/>
      <c r="L856" s="6"/>
      <c r="M856" s="6"/>
      <c r="N856" s="137"/>
      <c r="O856" s="137"/>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row>
    <row r="857" ht="14.25" customHeight="1">
      <c r="A857" s="6"/>
      <c r="B857" s="6"/>
      <c r="C857" s="6"/>
      <c r="D857" s="6"/>
      <c r="E857" s="6"/>
      <c r="F857" s="6"/>
      <c r="G857" s="6"/>
      <c r="H857" s="6"/>
      <c r="I857" s="6"/>
      <c r="J857" s="6"/>
      <c r="K857" s="6"/>
      <c r="L857" s="6"/>
      <c r="M857" s="6"/>
      <c r="N857" s="137"/>
      <c r="O857" s="137"/>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row>
    <row r="858" ht="14.25" customHeight="1">
      <c r="A858" s="6"/>
      <c r="B858" s="6"/>
      <c r="C858" s="6"/>
      <c r="D858" s="6"/>
      <c r="E858" s="6"/>
      <c r="F858" s="6"/>
      <c r="G858" s="6"/>
      <c r="H858" s="6"/>
      <c r="I858" s="6"/>
      <c r="J858" s="6"/>
      <c r="K858" s="6"/>
      <c r="L858" s="6"/>
      <c r="M858" s="6"/>
      <c r="N858" s="137"/>
      <c r="O858" s="137"/>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row>
    <row r="859" ht="14.25" customHeight="1">
      <c r="A859" s="6"/>
      <c r="B859" s="6"/>
      <c r="C859" s="6"/>
      <c r="D859" s="6"/>
      <c r="E859" s="6"/>
      <c r="F859" s="6"/>
      <c r="G859" s="6"/>
      <c r="H859" s="6"/>
      <c r="I859" s="6"/>
      <c r="J859" s="6"/>
      <c r="K859" s="6"/>
      <c r="L859" s="6"/>
      <c r="M859" s="6"/>
      <c r="N859" s="137"/>
      <c r="O859" s="137"/>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row>
    <row r="860" ht="14.25" customHeight="1">
      <c r="A860" s="6"/>
      <c r="B860" s="6"/>
      <c r="C860" s="6"/>
      <c r="D860" s="6"/>
      <c r="E860" s="6"/>
      <c r="F860" s="6"/>
      <c r="G860" s="6"/>
      <c r="H860" s="6"/>
      <c r="I860" s="6"/>
      <c r="J860" s="6"/>
      <c r="K860" s="6"/>
      <c r="L860" s="6"/>
      <c r="M860" s="6"/>
      <c r="N860" s="137"/>
      <c r="O860" s="137"/>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row>
    <row r="861" ht="14.25" customHeight="1">
      <c r="A861" s="6"/>
      <c r="B861" s="6"/>
      <c r="C861" s="6"/>
      <c r="D861" s="6"/>
      <c r="E861" s="6"/>
      <c r="F861" s="6"/>
      <c r="G861" s="6"/>
      <c r="H861" s="6"/>
      <c r="I861" s="6"/>
      <c r="J861" s="6"/>
      <c r="K861" s="6"/>
      <c r="L861" s="6"/>
      <c r="M861" s="6"/>
      <c r="N861" s="137"/>
      <c r="O861" s="137"/>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row>
    <row r="862" ht="14.25" customHeight="1">
      <c r="A862" s="6"/>
      <c r="B862" s="6"/>
      <c r="C862" s="6"/>
      <c r="D862" s="6"/>
      <c r="E862" s="6"/>
      <c r="F862" s="6"/>
      <c r="G862" s="6"/>
      <c r="H862" s="6"/>
      <c r="I862" s="6"/>
      <c r="J862" s="6"/>
      <c r="K862" s="6"/>
      <c r="L862" s="6"/>
      <c r="M862" s="6"/>
      <c r="N862" s="137"/>
      <c r="O862" s="137"/>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row>
    <row r="863" ht="14.25" customHeight="1">
      <c r="A863" s="6"/>
      <c r="B863" s="6"/>
      <c r="C863" s="6"/>
      <c r="D863" s="6"/>
      <c r="E863" s="6"/>
      <c r="F863" s="6"/>
      <c r="G863" s="6"/>
      <c r="H863" s="6"/>
      <c r="I863" s="6"/>
      <c r="J863" s="6"/>
      <c r="K863" s="6"/>
      <c r="L863" s="6"/>
      <c r="M863" s="6"/>
      <c r="N863" s="137"/>
      <c r="O863" s="137"/>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row>
    <row r="864" ht="14.25" customHeight="1">
      <c r="A864" s="6"/>
      <c r="B864" s="6"/>
      <c r="C864" s="6"/>
      <c r="D864" s="6"/>
      <c r="E864" s="6"/>
      <c r="F864" s="6"/>
      <c r="G864" s="6"/>
      <c r="H864" s="6"/>
      <c r="I864" s="6"/>
      <c r="J864" s="6"/>
      <c r="K864" s="6"/>
      <c r="L864" s="6"/>
      <c r="M864" s="6"/>
      <c r="N864" s="137"/>
      <c r="O864" s="137"/>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row>
    <row r="865" ht="14.25" customHeight="1">
      <c r="A865" s="6"/>
      <c r="B865" s="6"/>
      <c r="C865" s="6"/>
      <c r="D865" s="6"/>
      <c r="E865" s="6"/>
      <c r="F865" s="6"/>
      <c r="G865" s="6"/>
      <c r="H865" s="6"/>
      <c r="I865" s="6"/>
      <c r="J865" s="6"/>
      <c r="K865" s="6"/>
      <c r="L865" s="6"/>
      <c r="M865" s="6"/>
      <c r="N865" s="137"/>
      <c r="O865" s="137"/>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row>
    <row r="866" ht="14.25" customHeight="1">
      <c r="A866" s="6"/>
      <c r="B866" s="6"/>
      <c r="C866" s="6"/>
      <c r="D866" s="6"/>
      <c r="E866" s="6"/>
      <c r="F866" s="6"/>
      <c r="G866" s="6"/>
      <c r="H866" s="6"/>
      <c r="I866" s="6"/>
      <c r="J866" s="6"/>
      <c r="K866" s="6"/>
      <c r="L866" s="6"/>
      <c r="M866" s="6"/>
      <c r="N866" s="137"/>
      <c r="O866" s="137"/>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row>
    <row r="867" ht="14.25" customHeight="1">
      <c r="A867" s="6"/>
      <c r="B867" s="6"/>
      <c r="C867" s="6"/>
      <c r="D867" s="6"/>
      <c r="E867" s="6"/>
      <c r="F867" s="6"/>
      <c r="G867" s="6"/>
      <c r="H867" s="6"/>
      <c r="I867" s="6"/>
      <c r="J867" s="6"/>
      <c r="K867" s="6"/>
      <c r="L867" s="6"/>
      <c r="M867" s="6"/>
      <c r="N867" s="137"/>
      <c r="O867" s="137"/>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row>
    <row r="868" ht="14.25" customHeight="1">
      <c r="A868" s="6"/>
      <c r="B868" s="6"/>
      <c r="C868" s="6"/>
      <c r="D868" s="6"/>
      <c r="E868" s="6"/>
      <c r="F868" s="6"/>
      <c r="G868" s="6"/>
      <c r="H868" s="6"/>
      <c r="I868" s="6"/>
      <c r="J868" s="6"/>
      <c r="K868" s="6"/>
      <c r="L868" s="6"/>
      <c r="M868" s="6"/>
      <c r="N868" s="137"/>
      <c r="O868" s="137"/>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row>
    <row r="869" ht="14.25" customHeight="1">
      <c r="A869" s="6"/>
      <c r="B869" s="6"/>
      <c r="C869" s="6"/>
      <c r="D869" s="6"/>
      <c r="E869" s="6"/>
      <c r="F869" s="6"/>
      <c r="G869" s="6"/>
      <c r="H869" s="6"/>
      <c r="I869" s="6"/>
      <c r="J869" s="6"/>
      <c r="K869" s="6"/>
      <c r="L869" s="6"/>
      <c r="M869" s="6"/>
      <c r="N869" s="137"/>
      <c r="O869" s="137"/>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row>
    <row r="870" ht="14.25" customHeight="1">
      <c r="A870" s="6"/>
      <c r="B870" s="6"/>
      <c r="C870" s="6"/>
      <c r="D870" s="6"/>
      <c r="E870" s="6"/>
      <c r="F870" s="6"/>
      <c r="G870" s="6"/>
      <c r="H870" s="6"/>
      <c r="I870" s="6"/>
      <c r="J870" s="6"/>
      <c r="K870" s="6"/>
      <c r="L870" s="6"/>
      <c r="M870" s="6"/>
      <c r="N870" s="137"/>
      <c r="O870" s="137"/>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row>
    <row r="871" ht="14.25" customHeight="1">
      <c r="A871" s="6"/>
      <c r="B871" s="6"/>
      <c r="C871" s="6"/>
      <c r="D871" s="6"/>
      <c r="E871" s="6"/>
      <c r="F871" s="6"/>
      <c r="G871" s="6"/>
      <c r="H871" s="6"/>
      <c r="I871" s="6"/>
      <c r="J871" s="6"/>
      <c r="K871" s="6"/>
      <c r="L871" s="6"/>
      <c r="M871" s="6"/>
      <c r="N871" s="137"/>
      <c r="O871" s="137"/>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row>
    <row r="872" ht="14.25" customHeight="1">
      <c r="A872" s="6"/>
      <c r="B872" s="6"/>
      <c r="C872" s="6"/>
      <c r="D872" s="6"/>
      <c r="E872" s="6"/>
      <c r="F872" s="6"/>
      <c r="G872" s="6"/>
      <c r="H872" s="6"/>
      <c r="I872" s="6"/>
      <c r="J872" s="6"/>
      <c r="K872" s="6"/>
      <c r="L872" s="6"/>
      <c r="M872" s="6"/>
      <c r="N872" s="137"/>
      <c r="O872" s="137"/>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row>
    <row r="873" ht="14.25" customHeight="1">
      <c r="A873" s="6"/>
      <c r="B873" s="6"/>
      <c r="C873" s="6"/>
      <c r="D873" s="6"/>
      <c r="E873" s="6"/>
      <c r="F873" s="6"/>
      <c r="G873" s="6"/>
      <c r="H873" s="6"/>
      <c r="I873" s="6"/>
      <c r="J873" s="6"/>
      <c r="K873" s="6"/>
      <c r="L873" s="6"/>
      <c r="M873" s="6"/>
      <c r="N873" s="137"/>
      <c r="O873" s="137"/>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row>
    <row r="874" ht="14.25" customHeight="1">
      <c r="A874" s="6"/>
      <c r="B874" s="6"/>
      <c r="C874" s="6"/>
      <c r="D874" s="6"/>
      <c r="E874" s="6"/>
      <c r="F874" s="6"/>
      <c r="G874" s="6"/>
      <c r="H874" s="6"/>
      <c r="I874" s="6"/>
      <c r="J874" s="6"/>
      <c r="K874" s="6"/>
      <c r="L874" s="6"/>
      <c r="M874" s="6"/>
      <c r="N874" s="137"/>
      <c r="O874" s="137"/>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row>
    <row r="875" ht="14.25" customHeight="1">
      <c r="A875" s="6"/>
      <c r="B875" s="6"/>
      <c r="C875" s="6"/>
      <c r="D875" s="6"/>
      <c r="E875" s="6"/>
      <c r="F875" s="6"/>
      <c r="G875" s="6"/>
      <c r="H875" s="6"/>
      <c r="I875" s="6"/>
      <c r="J875" s="6"/>
      <c r="K875" s="6"/>
      <c r="L875" s="6"/>
      <c r="M875" s="6"/>
      <c r="N875" s="137"/>
      <c r="O875" s="137"/>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row>
    <row r="876" ht="14.25" customHeight="1">
      <c r="A876" s="6"/>
      <c r="B876" s="6"/>
      <c r="C876" s="6"/>
      <c r="D876" s="6"/>
      <c r="E876" s="6"/>
      <c r="F876" s="6"/>
      <c r="G876" s="6"/>
      <c r="H876" s="6"/>
      <c r="I876" s="6"/>
      <c r="J876" s="6"/>
      <c r="K876" s="6"/>
      <c r="L876" s="6"/>
      <c r="M876" s="6"/>
      <c r="N876" s="137"/>
      <c r="O876" s="137"/>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row>
    <row r="877" ht="14.25" customHeight="1">
      <c r="A877" s="6"/>
      <c r="B877" s="6"/>
      <c r="C877" s="6"/>
      <c r="D877" s="6"/>
      <c r="E877" s="6"/>
      <c r="F877" s="6"/>
      <c r="G877" s="6"/>
      <c r="H877" s="6"/>
      <c r="I877" s="6"/>
      <c r="J877" s="6"/>
      <c r="K877" s="6"/>
      <c r="L877" s="6"/>
      <c r="M877" s="6"/>
      <c r="N877" s="137"/>
      <c r="O877" s="137"/>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row>
    <row r="878" ht="14.25" customHeight="1">
      <c r="A878" s="6"/>
      <c r="B878" s="6"/>
      <c r="C878" s="6"/>
      <c r="D878" s="6"/>
      <c r="E878" s="6"/>
      <c r="F878" s="6"/>
      <c r="G878" s="6"/>
      <c r="H878" s="6"/>
      <c r="I878" s="6"/>
      <c r="J878" s="6"/>
      <c r="K878" s="6"/>
      <c r="L878" s="6"/>
      <c r="M878" s="6"/>
      <c r="N878" s="137"/>
      <c r="O878" s="137"/>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row>
    <row r="879" ht="14.25" customHeight="1">
      <c r="A879" s="6"/>
      <c r="B879" s="6"/>
      <c r="C879" s="6"/>
      <c r="D879" s="6"/>
      <c r="E879" s="6"/>
      <c r="F879" s="6"/>
      <c r="G879" s="6"/>
      <c r="H879" s="6"/>
      <c r="I879" s="6"/>
      <c r="J879" s="6"/>
      <c r="K879" s="6"/>
      <c r="L879" s="6"/>
      <c r="M879" s="6"/>
      <c r="N879" s="137"/>
      <c r="O879" s="137"/>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row>
    <row r="880" ht="14.25" customHeight="1">
      <c r="A880" s="6"/>
      <c r="B880" s="6"/>
      <c r="C880" s="6"/>
      <c r="D880" s="6"/>
      <c r="E880" s="6"/>
      <c r="F880" s="6"/>
      <c r="G880" s="6"/>
      <c r="H880" s="6"/>
      <c r="I880" s="6"/>
      <c r="J880" s="6"/>
      <c r="K880" s="6"/>
      <c r="L880" s="6"/>
      <c r="M880" s="6"/>
      <c r="N880" s="137"/>
      <c r="O880" s="137"/>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row>
    <row r="881" ht="14.25" customHeight="1">
      <c r="A881" s="6"/>
      <c r="B881" s="6"/>
      <c r="C881" s="6"/>
      <c r="D881" s="6"/>
      <c r="E881" s="6"/>
      <c r="F881" s="6"/>
      <c r="G881" s="6"/>
      <c r="H881" s="6"/>
      <c r="I881" s="6"/>
      <c r="J881" s="6"/>
      <c r="K881" s="6"/>
      <c r="L881" s="6"/>
      <c r="M881" s="6"/>
      <c r="N881" s="137"/>
      <c r="O881" s="137"/>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row>
    <row r="882" ht="14.25" customHeight="1">
      <c r="A882" s="6"/>
      <c r="B882" s="6"/>
      <c r="C882" s="6"/>
      <c r="D882" s="6"/>
      <c r="E882" s="6"/>
      <c r="F882" s="6"/>
      <c r="G882" s="6"/>
      <c r="H882" s="6"/>
      <c r="I882" s="6"/>
      <c r="J882" s="6"/>
      <c r="K882" s="6"/>
      <c r="L882" s="6"/>
      <c r="M882" s="6"/>
      <c r="N882" s="137"/>
      <c r="O882" s="137"/>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row>
    <row r="883" ht="14.25" customHeight="1">
      <c r="A883" s="6"/>
      <c r="B883" s="6"/>
      <c r="C883" s="6"/>
      <c r="D883" s="6"/>
      <c r="E883" s="6"/>
      <c r="F883" s="6"/>
      <c r="G883" s="6"/>
      <c r="H883" s="6"/>
      <c r="I883" s="6"/>
      <c r="J883" s="6"/>
      <c r="K883" s="6"/>
      <c r="L883" s="6"/>
      <c r="M883" s="6"/>
      <c r="N883" s="137"/>
      <c r="O883" s="137"/>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row>
    <row r="884" ht="14.25" customHeight="1">
      <c r="A884" s="6"/>
      <c r="B884" s="6"/>
      <c r="C884" s="6"/>
      <c r="D884" s="6"/>
      <c r="E884" s="6"/>
      <c r="F884" s="6"/>
      <c r="G884" s="6"/>
      <c r="H884" s="6"/>
      <c r="I884" s="6"/>
      <c r="J884" s="6"/>
      <c r="K884" s="6"/>
      <c r="L884" s="6"/>
      <c r="M884" s="6"/>
      <c r="N884" s="137"/>
      <c r="O884" s="137"/>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row>
    <row r="885" ht="14.25" customHeight="1">
      <c r="A885" s="6"/>
      <c r="B885" s="6"/>
      <c r="C885" s="6"/>
      <c r="D885" s="6"/>
      <c r="E885" s="6"/>
      <c r="F885" s="6"/>
      <c r="G885" s="6"/>
      <c r="H885" s="6"/>
      <c r="I885" s="6"/>
      <c r="J885" s="6"/>
      <c r="K885" s="6"/>
      <c r="L885" s="6"/>
      <c r="M885" s="6"/>
      <c r="N885" s="137"/>
      <c r="O885" s="137"/>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row>
    <row r="886" ht="14.25" customHeight="1">
      <c r="A886" s="6"/>
      <c r="B886" s="6"/>
      <c r="C886" s="6"/>
      <c r="D886" s="6"/>
      <c r="E886" s="6"/>
      <c r="F886" s="6"/>
      <c r="G886" s="6"/>
      <c r="H886" s="6"/>
      <c r="I886" s="6"/>
      <c r="J886" s="6"/>
      <c r="K886" s="6"/>
      <c r="L886" s="6"/>
      <c r="M886" s="6"/>
      <c r="N886" s="137"/>
      <c r="O886" s="137"/>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row>
    <row r="887" ht="14.25" customHeight="1">
      <c r="A887" s="6"/>
      <c r="B887" s="6"/>
      <c r="C887" s="6"/>
      <c r="D887" s="6"/>
      <c r="E887" s="6"/>
      <c r="F887" s="6"/>
      <c r="G887" s="6"/>
      <c r="H887" s="6"/>
      <c r="I887" s="6"/>
      <c r="J887" s="6"/>
      <c r="K887" s="6"/>
      <c r="L887" s="6"/>
      <c r="M887" s="6"/>
      <c r="N887" s="137"/>
      <c r="O887" s="137"/>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row>
    <row r="888" ht="14.25" customHeight="1">
      <c r="A888" s="6"/>
      <c r="B888" s="6"/>
      <c r="C888" s="6"/>
      <c r="D888" s="6"/>
      <c r="E888" s="6"/>
      <c r="F888" s="6"/>
      <c r="G888" s="6"/>
      <c r="H888" s="6"/>
      <c r="I888" s="6"/>
      <c r="J888" s="6"/>
      <c r="K888" s="6"/>
      <c r="L888" s="6"/>
      <c r="M888" s="6"/>
      <c r="N888" s="137"/>
      <c r="O888" s="137"/>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row>
    <row r="889" ht="14.25" customHeight="1">
      <c r="A889" s="6"/>
      <c r="B889" s="6"/>
      <c r="C889" s="6"/>
      <c r="D889" s="6"/>
      <c r="E889" s="6"/>
      <c r="F889" s="6"/>
      <c r="G889" s="6"/>
      <c r="H889" s="6"/>
      <c r="I889" s="6"/>
      <c r="J889" s="6"/>
      <c r="K889" s="6"/>
      <c r="L889" s="6"/>
      <c r="M889" s="6"/>
      <c r="N889" s="137"/>
      <c r="O889" s="137"/>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row>
    <row r="890" ht="14.25" customHeight="1">
      <c r="A890" s="6"/>
      <c r="B890" s="6"/>
      <c r="C890" s="6"/>
      <c r="D890" s="6"/>
      <c r="E890" s="6"/>
      <c r="F890" s="6"/>
      <c r="G890" s="6"/>
      <c r="H890" s="6"/>
      <c r="I890" s="6"/>
      <c r="J890" s="6"/>
      <c r="K890" s="6"/>
      <c r="L890" s="6"/>
      <c r="M890" s="6"/>
      <c r="N890" s="137"/>
      <c r="O890" s="137"/>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row>
    <row r="891" ht="14.25" customHeight="1">
      <c r="A891" s="6"/>
      <c r="B891" s="6"/>
      <c r="C891" s="6"/>
      <c r="D891" s="6"/>
      <c r="E891" s="6"/>
      <c r="F891" s="6"/>
      <c r="G891" s="6"/>
      <c r="H891" s="6"/>
      <c r="I891" s="6"/>
      <c r="J891" s="6"/>
      <c r="K891" s="6"/>
      <c r="L891" s="6"/>
      <c r="M891" s="6"/>
      <c r="N891" s="137"/>
      <c r="O891" s="137"/>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row>
    <row r="892" ht="14.25" customHeight="1">
      <c r="A892" s="6"/>
      <c r="B892" s="6"/>
      <c r="C892" s="6"/>
      <c r="D892" s="6"/>
      <c r="E892" s="6"/>
      <c r="F892" s="6"/>
      <c r="G892" s="6"/>
      <c r="H892" s="6"/>
      <c r="I892" s="6"/>
      <c r="J892" s="6"/>
      <c r="K892" s="6"/>
      <c r="L892" s="6"/>
      <c r="M892" s="6"/>
      <c r="N892" s="137"/>
      <c r="O892" s="137"/>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row>
    <row r="893" ht="14.25" customHeight="1">
      <c r="A893" s="6"/>
      <c r="B893" s="6"/>
      <c r="C893" s="6"/>
      <c r="D893" s="6"/>
      <c r="E893" s="6"/>
      <c r="F893" s="6"/>
      <c r="G893" s="6"/>
      <c r="H893" s="6"/>
      <c r="I893" s="6"/>
      <c r="J893" s="6"/>
      <c r="K893" s="6"/>
      <c r="L893" s="6"/>
      <c r="M893" s="6"/>
      <c r="N893" s="137"/>
      <c r="O893" s="137"/>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row>
    <row r="894" ht="14.25" customHeight="1">
      <c r="A894" s="6"/>
      <c r="B894" s="6"/>
      <c r="C894" s="6"/>
      <c r="D894" s="6"/>
      <c r="E894" s="6"/>
      <c r="F894" s="6"/>
      <c r="G894" s="6"/>
      <c r="H894" s="6"/>
      <c r="I894" s="6"/>
      <c r="J894" s="6"/>
      <c r="K894" s="6"/>
      <c r="L894" s="6"/>
      <c r="M894" s="6"/>
      <c r="N894" s="137"/>
      <c r="O894" s="137"/>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row>
    <row r="895" ht="14.25" customHeight="1">
      <c r="A895" s="6"/>
      <c r="B895" s="6"/>
      <c r="C895" s="6"/>
      <c r="D895" s="6"/>
      <c r="E895" s="6"/>
      <c r="F895" s="6"/>
      <c r="G895" s="6"/>
      <c r="H895" s="6"/>
      <c r="I895" s="6"/>
      <c r="J895" s="6"/>
      <c r="K895" s="6"/>
      <c r="L895" s="6"/>
      <c r="M895" s="6"/>
      <c r="N895" s="137"/>
      <c r="O895" s="137"/>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row>
    <row r="896" ht="14.25" customHeight="1">
      <c r="A896" s="6"/>
      <c r="B896" s="6"/>
      <c r="C896" s="6"/>
      <c r="D896" s="6"/>
      <c r="E896" s="6"/>
      <c r="F896" s="6"/>
      <c r="G896" s="6"/>
      <c r="H896" s="6"/>
      <c r="I896" s="6"/>
      <c r="J896" s="6"/>
      <c r="K896" s="6"/>
      <c r="L896" s="6"/>
      <c r="M896" s="6"/>
      <c r="N896" s="137"/>
      <c r="O896" s="137"/>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row>
    <row r="897" ht="14.25" customHeight="1">
      <c r="A897" s="6"/>
      <c r="B897" s="6"/>
      <c r="C897" s="6"/>
      <c r="D897" s="6"/>
      <c r="E897" s="6"/>
      <c r="F897" s="6"/>
      <c r="G897" s="6"/>
      <c r="H897" s="6"/>
      <c r="I897" s="6"/>
      <c r="J897" s="6"/>
      <c r="K897" s="6"/>
      <c r="L897" s="6"/>
      <c r="M897" s="6"/>
      <c r="N897" s="137"/>
      <c r="O897" s="137"/>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row>
    <row r="898" ht="14.25" customHeight="1">
      <c r="A898" s="6"/>
      <c r="B898" s="6"/>
      <c r="C898" s="6"/>
      <c r="D898" s="6"/>
      <c r="E898" s="6"/>
      <c r="F898" s="6"/>
      <c r="G898" s="6"/>
      <c r="H898" s="6"/>
      <c r="I898" s="6"/>
      <c r="J898" s="6"/>
      <c r="K898" s="6"/>
      <c r="L898" s="6"/>
      <c r="M898" s="6"/>
      <c r="N898" s="137"/>
      <c r="O898" s="137"/>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row>
    <row r="899" ht="14.25" customHeight="1">
      <c r="A899" s="6"/>
      <c r="B899" s="6"/>
      <c r="C899" s="6"/>
      <c r="D899" s="6"/>
      <c r="E899" s="6"/>
      <c r="F899" s="6"/>
      <c r="G899" s="6"/>
      <c r="H899" s="6"/>
      <c r="I899" s="6"/>
      <c r="J899" s="6"/>
      <c r="K899" s="6"/>
      <c r="L899" s="6"/>
      <c r="M899" s="6"/>
      <c r="N899" s="137"/>
      <c r="O899" s="137"/>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row>
    <row r="900" ht="14.25" customHeight="1">
      <c r="A900" s="6"/>
      <c r="B900" s="6"/>
      <c r="C900" s="6"/>
      <c r="D900" s="6"/>
      <c r="E900" s="6"/>
      <c r="F900" s="6"/>
      <c r="G900" s="6"/>
      <c r="H900" s="6"/>
      <c r="I900" s="6"/>
      <c r="J900" s="6"/>
      <c r="K900" s="6"/>
      <c r="L900" s="6"/>
      <c r="M900" s="6"/>
      <c r="N900" s="137"/>
      <c r="O900" s="137"/>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row>
    <row r="901" ht="14.25" customHeight="1">
      <c r="A901" s="6"/>
      <c r="B901" s="6"/>
      <c r="C901" s="6"/>
      <c r="D901" s="6"/>
      <c r="E901" s="6"/>
      <c r="F901" s="6"/>
      <c r="G901" s="6"/>
      <c r="H901" s="6"/>
      <c r="I901" s="6"/>
      <c r="J901" s="6"/>
      <c r="K901" s="6"/>
      <c r="L901" s="6"/>
      <c r="M901" s="6"/>
      <c r="N901" s="137"/>
      <c r="O901" s="137"/>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row>
    <row r="902" ht="14.25" customHeight="1">
      <c r="A902" s="6"/>
      <c r="B902" s="6"/>
      <c r="C902" s="6"/>
      <c r="D902" s="6"/>
      <c r="E902" s="6"/>
      <c r="F902" s="6"/>
      <c r="G902" s="6"/>
      <c r="H902" s="6"/>
      <c r="I902" s="6"/>
      <c r="J902" s="6"/>
      <c r="K902" s="6"/>
      <c r="L902" s="6"/>
      <c r="M902" s="6"/>
      <c r="N902" s="137"/>
      <c r="O902" s="137"/>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row>
    <row r="903" ht="14.25" customHeight="1">
      <c r="A903" s="6"/>
      <c r="B903" s="6"/>
      <c r="C903" s="6"/>
      <c r="D903" s="6"/>
      <c r="E903" s="6"/>
      <c r="F903" s="6"/>
      <c r="G903" s="6"/>
      <c r="H903" s="6"/>
      <c r="I903" s="6"/>
      <c r="J903" s="6"/>
      <c r="K903" s="6"/>
      <c r="L903" s="6"/>
      <c r="M903" s="6"/>
      <c r="N903" s="137"/>
      <c r="O903" s="137"/>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row>
    <row r="904" ht="14.25" customHeight="1">
      <c r="A904" s="6"/>
      <c r="B904" s="6"/>
      <c r="C904" s="6"/>
      <c r="D904" s="6"/>
      <c r="E904" s="6"/>
      <c r="F904" s="6"/>
      <c r="G904" s="6"/>
      <c r="H904" s="6"/>
      <c r="I904" s="6"/>
      <c r="J904" s="6"/>
      <c r="K904" s="6"/>
      <c r="L904" s="6"/>
      <c r="M904" s="6"/>
      <c r="N904" s="137"/>
      <c r="O904" s="137"/>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row>
    <row r="905" ht="14.25" customHeight="1">
      <c r="A905" s="6"/>
      <c r="B905" s="6"/>
      <c r="C905" s="6"/>
      <c r="D905" s="6"/>
      <c r="E905" s="6"/>
      <c r="F905" s="6"/>
      <c r="G905" s="6"/>
      <c r="H905" s="6"/>
      <c r="I905" s="6"/>
      <c r="J905" s="6"/>
      <c r="K905" s="6"/>
      <c r="L905" s="6"/>
      <c r="M905" s="6"/>
      <c r="N905" s="137"/>
      <c r="O905" s="137"/>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row>
    <row r="906" ht="14.25" customHeight="1">
      <c r="A906" s="6"/>
      <c r="B906" s="6"/>
      <c r="C906" s="6"/>
      <c r="D906" s="6"/>
      <c r="E906" s="6"/>
      <c r="F906" s="6"/>
      <c r="G906" s="6"/>
      <c r="H906" s="6"/>
      <c r="I906" s="6"/>
      <c r="J906" s="6"/>
      <c r="K906" s="6"/>
      <c r="L906" s="6"/>
      <c r="M906" s="6"/>
      <c r="N906" s="137"/>
      <c r="O906" s="137"/>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row>
    <row r="907" ht="14.25" customHeight="1">
      <c r="A907" s="6"/>
      <c r="B907" s="6"/>
      <c r="C907" s="6"/>
      <c r="D907" s="6"/>
      <c r="E907" s="6"/>
      <c r="F907" s="6"/>
      <c r="G907" s="6"/>
      <c r="H907" s="6"/>
      <c r="I907" s="6"/>
      <c r="J907" s="6"/>
      <c r="K907" s="6"/>
      <c r="L907" s="6"/>
      <c r="M907" s="6"/>
      <c r="N907" s="137"/>
      <c r="O907" s="137"/>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row>
    <row r="908" ht="14.25" customHeight="1">
      <c r="A908" s="6"/>
      <c r="B908" s="6"/>
      <c r="C908" s="6"/>
      <c r="D908" s="6"/>
      <c r="E908" s="6"/>
      <c r="F908" s="6"/>
      <c r="G908" s="6"/>
      <c r="H908" s="6"/>
      <c r="I908" s="6"/>
      <c r="J908" s="6"/>
      <c r="K908" s="6"/>
      <c r="L908" s="6"/>
      <c r="M908" s="6"/>
      <c r="N908" s="137"/>
      <c r="O908" s="137"/>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row>
    <row r="909" ht="14.25" customHeight="1">
      <c r="A909" s="6"/>
      <c r="B909" s="6"/>
      <c r="C909" s="6"/>
      <c r="D909" s="6"/>
      <c r="E909" s="6"/>
      <c r="F909" s="6"/>
      <c r="G909" s="6"/>
      <c r="H909" s="6"/>
      <c r="I909" s="6"/>
      <c r="J909" s="6"/>
      <c r="K909" s="6"/>
      <c r="L909" s="6"/>
      <c r="M909" s="6"/>
      <c r="N909" s="137"/>
      <c r="O909" s="137"/>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row>
    <row r="910" ht="14.25" customHeight="1">
      <c r="A910" s="6"/>
      <c r="B910" s="6"/>
      <c r="C910" s="6"/>
      <c r="D910" s="6"/>
      <c r="E910" s="6"/>
      <c r="F910" s="6"/>
      <c r="G910" s="6"/>
      <c r="H910" s="6"/>
      <c r="I910" s="6"/>
      <c r="J910" s="6"/>
      <c r="K910" s="6"/>
      <c r="L910" s="6"/>
      <c r="M910" s="6"/>
      <c r="N910" s="137"/>
      <c r="O910" s="137"/>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row>
    <row r="911" ht="14.25" customHeight="1">
      <c r="A911" s="6"/>
      <c r="B911" s="6"/>
      <c r="C911" s="6"/>
      <c r="D911" s="6"/>
      <c r="E911" s="6"/>
      <c r="F911" s="6"/>
      <c r="G911" s="6"/>
      <c r="H911" s="6"/>
      <c r="I911" s="6"/>
      <c r="J911" s="6"/>
      <c r="K911" s="6"/>
      <c r="L911" s="6"/>
      <c r="M911" s="6"/>
      <c r="N911" s="137"/>
      <c r="O911" s="137"/>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row>
    <row r="912" ht="14.25" customHeight="1">
      <c r="A912" s="6"/>
      <c r="B912" s="6"/>
      <c r="C912" s="6"/>
      <c r="D912" s="6"/>
      <c r="E912" s="6"/>
      <c r="F912" s="6"/>
      <c r="G912" s="6"/>
      <c r="H912" s="6"/>
      <c r="I912" s="6"/>
      <c r="J912" s="6"/>
      <c r="K912" s="6"/>
      <c r="L912" s="6"/>
      <c r="M912" s="6"/>
      <c r="N912" s="137"/>
      <c r="O912" s="137"/>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row>
    <row r="913" ht="14.25" customHeight="1">
      <c r="A913" s="6"/>
      <c r="B913" s="6"/>
      <c r="C913" s="6"/>
      <c r="D913" s="6"/>
      <c r="E913" s="6"/>
      <c r="F913" s="6"/>
      <c r="G913" s="6"/>
      <c r="H913" s="6"/>
      <c r="I913" s="6"/>
      <c r="J913" s="6"/>
      <c r="K913" s="6"/>
      <c r="L913" s="6"/>
      <c r="M913" s="6"/>
      <c r="N913" s="137"/>
      <c r="O913" s="137"/>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row>
    <row r="914" ht="14.25" customHeight="1">
      <c r="A914" s="6"/>
      <c r="B914" s="6"/>
      <c r="C914" s="6"/>
      <c r="D914" s="6"/>
      <c r="E914" s="6"/>
      <c r="F914" s="6"/>
      <c r="G914" s="6"/>
      <c r="H914" s="6"/>
      <c r="I914" s="6"/>
      <c r="J914" s="6"/>
      <c r="K914" s="6"/>
      <c r="L914" s="6"/>
      <c r="M914" s="6"/>
      <c r="N914" s="137"/>
      <c r="O914" s="137"/>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row>
    <row r="915" ht="14.25" customHeight="1">
      <c r="A915" s="6"/>
      <c r="B915" s="6"/>
      <c r="C915" s="6"/>
      <c r="D915" s="6"/>
      <c r="E915" s="6"/>
      <c r="F915" s="6"/>
      <c r="G915" s="6"/>
      <c r="H915" s="6"/>
      <c r="I915" s="6"/>
      <c r="J915" s="6"/>
      <c r="K915" s="6"/>
      <c r="L915" s="6"/>
      <c r="M915" s="6"/>
      <c r="N915" s="137"/>
      <c r="O915" s="137"/>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row>
    <row r="916" ht="14.25" customHeight="1">
      <c r="A916" s="6"/>
      <c r="B916" s="6"/>
      <c r="C916" s="6"/>
      <c r="D916" s="6"/>
      <c r="E916" s="6"/>
      <c r="F916" s="6"/>
      <c r="G916" s="6"/>
      <c r="H916" s="6"/>
      <c r="I916" s="6"/>
      <c r="J916" s="6"/>
      <c r="K916" s="6"/>
      <c r="L916" s="6"/>
      <c r="M916" s="6"/>
      <c r="N916" s="137"/>
      <c r="O916" s="137"/>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row>
    <row r="917" ht="14.25" customHeight="1">
      <c r="A917" s="6"/>
      <c r="B917" s="6"/>
      <c r="C917" s="6"/>
      <c r="D917" s="6"/>
      <c r="E917" s="6"/>
      <c r="F917" s="6"/>
      <c r="G917" s="6"/>
      <c r="H917" s="6"/>
      <c r="I917" s="6"/>
      <c r="J917" s="6"/>
      <c r="K917" s="6"/>
      <c r="L917" s="6"/>
      <c r="M917" s="6"/>
      <c r="N917" s="137"/>
      <c r="O917" s="137"/>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row>
    <row r="918" ht="14.25" customHeight="1">
      <c r="A918" s="6"/>
      <c r="B918" s="6"/>
      <c r="C918" s="6"/>
      <c r="D918" s="6"/>
      <c r="E918" s="6"/>
      <c r="F918" s="6"/>
      <c r="G918" s="6"/>
      <c r="H918" s="6"/>
      <c r="I918" s="6"/>
      <c r="J918" s="6"/>
      <c r="K918" s="6"/>
      <c r="L918" s="6"/>
      <c r="M918" s="6"/>
      <c r="N918" s="137"/>
      <c r="O918" s="137"/>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row>
    <row r="919" ht="14.25" customHeight="1">
      <c r="A919" s="6"/>
      <c r="B919" s="6"/>
      <c r="C919" s="6"/>
      <c r="D919" s="6"/>
      <c r="E919" s="6"/>
      <c r="F919" s="6"/>
      <c r="G919" s="6"/>
      <c r="H919" s="6"/>
      <c r="I919" s="6"/>
      <c r="J919" s="6"/>
      <c r="K919" s="6"/>
      <c r="L919" s="6"/>
      <c r="M919" s="6"/>
      <c r="N919" s="137"/>
      <c r="O919" s="137"/>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row>
    <row r="920" ht="14.25" customHeight="1">
      <c r="A920" s="6"/>
      <c r="B920" s="6"/>
      <c r="C920" s="6"/>
      <c r="D920" s="6"/>
      <c r="E920" s="6"/>
      <c r="F920" s="6"/>
      <c r="G920" s="6"/>
      <c r="H920" s="6"/>
      <c r="I920" s="6"/>
      <c r="J920" s="6"/>
      <c r="K920" s="6"/>
      <c r="L920" s="6"/>
      <c r="M920" s="6"/>
      <c r="N920" s="137"/>
      <c r="O920" s="137"/>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row>
    <row r="921" ht="14.25" customHeight="1">
      <c r="A921" s="6"/>
      <c r="B921" s="6"/>
      <c r="C921" s="6"/>
      <c r="D921" s="6"/>
      <c r="E921" s="6"/>
      <c r="F921" s="6"/>
      <c r="G921" s="6"/>
      <c r="H921" s="6"/>
      <c r="I921" s="6"/>
      <c r="J921" s="6"/>
      <c r="K921" s="6"/>
      <c r="L921" s="6"/>
      <c r="M921" s="6"/>
      <c r="N921" s="137"/>
      <c r="O921" s="137"/>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row>
    <row r="922" ht="14.25" customHeight="1">
      <c r="A922" s="6"/>
      <c r="B922" s="6"/>
      <c r="C922" s="6"/>
      <c r="D922" s="6"/>
      <c r="E922" s="6"/>
      <c r="F922" s="6"/>
      <c r="G922" s="6"/>
      <c r="H922" s="6"/>
      <c r="I922" s="6"/>
      <c r="J922" s="6"/>
      <c r="K922" s="6"/>
      <c r="L922" s="6"/>
      <c r="M922" s="6"/>
      <c r="N922" s="137"/>
      <c r="O922" s="137"/>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row>
    <row r="923" ht="14.25" customHeight="1">
      <c r="A923" s="6"/>
      <c r="B923" s="6"/>
      <c r="C923" s="6"/>
      <c r="D923" s="6"/>
      <c r="E923" s="6"/>
      <c r="F923" s="6"/>
      <c r="G923" s="6"/>
      <c r="H923" s="6"/>
      <c r="I923" s="6"/>
      <c r="J923" s="6"/>
      <c r="K923" s="6"/>
      <c r="L923" s="6"/>
      <c r="M923" s="6"/>
      <c r="N923" s="137"/>
      <c r="O923" s="137"/>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row>
    <row r="924" ht="14.25" customHeight="1">
      <c r="A924" s="6"/>
      <c r="B924" s="6"/>
      <c r="C924" s="6"/>
      <c r="D924" s="6"/>
      <c r="E924" s="6"/>
      <c r="F924" s="6"/>
      <c r="G924" s="6"/>
      <c r="H924" s="6"/>
      <c r="I924" s="6"/>
      <c r="J924" s="6"/>
      <c r="K924" s="6"/>
      <c r="L924" s="6"/>
      <c r="M924" s="6"/>
      <c r="N924" s="137"/>
      <c r="O924" s="137"/>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row>
    <row r="925" ht="14.25" customHeight="1">
      <c r="A925" s="6"/>
      <c r="B925" s="6"/>
      <c r="C925" s="6"/>
      <c r="D925" s="6"/>
      <c r="E925" s="6"/>
      <c r="F925" s="6"/>
      <c r="G925" s="6"/>
      <c r="H925" s="6"/>
      <c r="I925" s="6"/>
      <c r="J925" s="6"/>
      <c r="K925" s="6"/>
      <c r="L925" s="6"/>
      <c r="M925" s="6"/>
      <c r="N925" s="137"/>
      <c r="O925" s="137"/>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row>
    <row r="926" ht="14.25" customHeight="1">
      <c r="A926" s="6"/>
      <c r="B926" s="6"/>
      <c r="C926" s="6"/>
      <c r="D926" s="6"/>
      <c r="E926" s="6"/>
      <c r="F926" s="6"/>
      <c r="G926" s="6"/>
      <c r="H926" s="6"/>
      <c r="I926" s="6"/>
      <c r="J926" s="6"/>
      <c r="K926" s="6"/>
      <c r="L926" s="6"/>
      <c r="M926" s="6"/>
      <c r="N926" s="137"/>
      <c r="O926" s="137"/>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row>
    <row r="927" ht="14.25" customHeight="1">
      <c r="A927" s="6"/>
      <c r="B927" s="6"/>
      <c r="C927" s="6"/>
      <c r="D927" s="6"/>
      <c r="E927" s="6"/>
      <c r="F927" s="6"/>
      <c r="G927" s="6"/>
      <c r="H927" s="6"/>
      <c r="I927" s="6"/>
      <c r="J927" s="6"/>
      <c r="K927" s="6"/>
      <c r="L927" s="6"/>
      <c r="M927" s="6"/>
      <c r="N927" s="137"/>
      <c r="O927" s="137"/>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row>
    <row r="928" ht="14.25" customHeight="1">
      <c r="A928" s="6"/>
      <c r="B928" s="6"/>
      <c r="C928" s="6"/>
      <c r="D928" s="6"/>
      <c r="E928" s="6"/>
      <c r="F928" s="6"/>
      <c r="G928" s="6"/>
      <c r="H928" s="6"/>
      <c r="I928" s="6"/>
      <c r="J928" s="6"/>
      <c r="K928" s="6"/>
      <c r="L928" s="6"/>
      <c r="M928" s="6"/>
      <c r="N928" s="137"/>
      <c r="O928" s="137"/>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row>
    <row r="929" ht="14.25" customHeight="1">
      <c r="A929" s="6"/>
      <c r="B929" s="6"/>
      <c r="C929" s="6"/>
      <c r="D929" s="6"/>
      <c r="E929" s="6"/>
      <c r="F929" s="6"/>
      <c r="G929" s="6"/>
      <c r="H929" s="6"/>
      <c r="I929" s="6"/>
      <c r="J929" s="6"/>
      <c r="K929" s="6"/>
      <c r="L929" s="6"/>
      <c r="M929" s="6"/>
      <c r="N929" s="137"/>
      <c r="O929" s="137"/>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row>
    <row r="930" ht="14.25" customHeight="1">
      <c r="A930" s="6"/>
      <c r="B930" s="6"/>
      <c r="C930" s="6"/>
      <c r="D930" s="6"/>
      <c r="E930" s="6"/>
      <c r="F930" s="6"/>
      <c r="G930" s="6"/>
      <c r="H930" s="6"/>
      <c r="I930" s="6"/>
      <c r="J930" s="6"/>
      <c r="K930" s="6"/>
      <c r="L930" s="6"/>
      <c r="M930" s="6"/>
      <c r="N930" s="137"/>
      <c r="O930" s="137"/>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row>
    <row r="931" ht="14.25" customHeight="1">
      <c r="A931" s="6"/>
      <c r="B931" s="6"/>
      <c r="C931" s="6"/>
      <c r="D931" s="6"/>
      <c r="E931" s="6"/>
      <c r="F931" s="6"/>
      <c r="G931" s="6"/>
      <c r="H931" s="6"/>
      <c r="I931" s="6"/>
      <c r="J931" s="6"/>
      <c r="K931" s="6"/>
      <c r="L931" s="6"/>
      <c r="M931" s="6"/>
      <c r="N931" s="137"/>
      <c r="O931" s="137"/>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row>
    <row r="932" ht="14.25" customHeight="1">
      <c r="A932" s="6"/>
      <c r="B932" s="6"/>
      <c r="C932" s="6"/>
      <c r="D932" s="6"/>
      <c r="E932" s="6"/>
      <c r="F932" s="6"/>
      <c r="G932" s="6"/>
      <c r="H932" s="6"/>
      <c r="I932" s="6"/>
      <c r="J932" s="6"/>
      <c r="K932" s="6"/>
      <c r="L932" s="6"/>
      <c r="M932" s="6"/>
      <c r="N932" s="137"/>
      <c r="O932" s="137"/>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row>
    <row r="933" ht="14.25" customHeight="1">
      <c r="A933" s="6"/>
      <c r="B933" s="6"/>
      <c r="C933" s="6"/>
      <c r="D933" s="6"/>
      <c r="E933" s="6"/>
      <c r="F933" s="6"/>
      <c r="G933" s="6"/>
      <c r="H933" s="6"/>
      <c r="I933" s="6"/>
      <c r="J933" s="6"/>
      <c r="K933" s="6"/>
      <c r="L933" s="6"/>
      <c r="M933" s="6"/>
      <c r="N933" s="137"/>
      <c r="O933" s="137"/>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row>
    <row r="934" ht="14.25" customHeight="1">
      <c r="A934" s="6"/>
      <c r="B934" s="6"/>
      <c r="C934" s="6"/>
      <c r="D934" s="6"/>
      <c r="E934" s="6"/>
      <c r="F934" s="6"/>
      <c r="G934" s="6"/>
      <c r="H934" s="6"/>
      <c r="I934" s="6"/>
      <c r="J934" s="6"/>
      <c r="K934" s="6"/>
      <c r="L934" s="6"/>
      <c r="M934" s="6"/>
      <c r="N934" s="137"/>
      <c r="O934" s="137"/>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row>
    <row r="935" ht="14.25" customHeight="1">
      <c r="A935" s="6"/>
      <c r="B935" s="6"/>
      <c r="C935" s="6"/>
      <c r="D935" s="6"/>
      <c r="E935" s="6"/>
      <c r="F935" s="6"/>
      <c r="G935" s="6"/>
      <c r="H935" s="6"/>
      <c r="I935" s="6"/>
      <c r="J935" s="6"/>
      <c r="K935" s="6"/>
      <c r="L935" s="6"/>
      <c r="M935" s="6"/>
      <c r="N935" s="137"/>
      <c r="O935" s="137"/>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row>
    <row r="936" ht="14.25" customHeight="1">
      <c r="A936" s="6"/>
      <c r="B936" s="6"/>
      <c r="C936" s="6"/>
      <c r="D936" s="6"/>
      <c r="E936" s="6"/>
      <c r="F936" s="6"/>
      <c r="G936" s="6"/>
      <c r="H936" s="6"/>
      <c r="I936" s="6"/>
      <c r="J936" s="6"/>
      <c r="K936" s="6"/>
      <c r="L936" s="6"/>
      <c r="M936" s="6"/>
      <c r="N936" s="137"/>
      <c r="O936" s="137"/>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row>
    <row r="937" ht="14.25" customHeight="1">
      <c r="A937" s="6"/>
      <c r="B937" s="6"/>
      <c r="C937" s="6"/>
      <c r="D937" s="6"/>
      <c r="E937" s="6"/>
      <c r="F937" s="6"/>
      <c r="G937" s="6"/>
      <c r="H937" s="6"/>
      <c r="I937" s="6"/>
      <c r="J937" s="6"/>
      <c r="K937" s="6"/>
      <c r="L937" s="6"/>
      <c r="M937" s="6"/>
      <c r="N937" s="137"/>
      <c r="O937" s="137"/>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row>
    <row r="938" ht="14.25" customHeight="1">
      <c r="A938" s="6"/>
      <c r="B938" s="6"/>
      <c r="C938" s="6"/>
      <c r="D938" s="6"/>
      <c r="E938" s="6"/>
      <c r="F938" s="6"/>
      <c r="G938" s="6"/>
      <c r="H938" s="6"/>
      <c r="I938" s="6"/>
      <c r="J938" s="6"/>
      <c r="K938" s="6"/>
      <c r="L938" s="6"/>
      <c r="M938" s="6"/>
      <c r="N938" s="137"/>
      <c r="O938" s="137"/>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row>
    <row r="939" ht="14.25" customHeight="1">
      <c r="A939" s="6"/>
      <c r="B939" s="6"/>
      <c r="C939" s="6"/>
      <c r="D939" s="6"/>
      <c r="E939" s="6"/>
      <c r="F939" s="6"/>
      <c r="G939" s="6"/>
      <c r="H939" s="6"/>
      <c r="I939" s="6"/>
      <c r="J939" s="6"/>
      <c r="K939" s="6"/>
      <c r="L939" s="6"/>
      <c r="M939" s="6"/>
      <c r="N939" s="137"/>
      <c r="O939" s="137"/>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row>
    <row r="940" ht="14.25" customHeight="1">
      <c r="A940" s="6"/>
      <c r="B940" s="6"/>
      <c r="C940" s="6"/>
      <c r="D940" s="6"/>
      <c r="E940" s="6"/>
      <c r="F940" s="6"/>
      <c r="G940" s="6"/>
      <c r="H940" s="6"/>
      <c r="I940" s="6"/>
      <c r="J940" s="6"/>
      <c r="K940" s="6"/>
      <c r="L940" s="6"/>
      <c r="M940" s="6"/>
      <c r="N940" s="137"/>
      <c r="O940" s="137"/>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row>
    <row r="941" ht="14.25" customHeight="1">
      <c r="A941" s="6"/>
      <c r="B941" s="6"/>
      <c r="C941" s="6"/>
      <c r="D941" s="6"/>
      <c r="E941" s="6"/>
      <c r="F941" s="6"/>
      <c r="G941" s="6"/>
      <c r="H941" s="6"/>
      <c r="I941" s="6"/>
      <c r="J941" s="6"/>
      <c r="K941" s="6"/>
      <c r="L941" s="6"/>
      <c r="M941" s="6"/>
      <c r="N941" s="137"/>
      <c r="O941" s="137"/>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row>
    <row r="942" ht="14.25" customHeight="1">
      <c r="A942" s="6"/>
      <c r="B942" s="6"/>
      <c r="C942" s="6"/>
      <c r="D942" s="6"/>
      <c r="E942" s="6"/>
      <c r="F942" s="6"/>
      <c r="G942" s="6"/>
      <c r="H942" s="6"/>
      <c r="I942" s="6"/>
      <c r="J942" s="6"/>
      <c r="K942" s="6"/>
      <c r="L942" s="6"/>
      <c r="M942" s="6"/>
      <c r="N942" s="137"/>
      <c r="O942" s="137"/>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row>
    <row r="943" ht="14.25" customHeight="1">
      <c r="A943" s="6"/>
      <c r="B943" s="6"/>
      <c r="C943" s="6"/>
      <c r="D943" s="6"/>
      <c r="E943" s="6"/>
      <c r="F943" s="6"/>
      <c r="G943" s="6"/>
      <c r="H943" s="6"/>
      <c r="I943" s="6"/>
      <c r="J943" s="6"/>
      <c r="K943" s="6"/>
      <c r="L943" s="6"/>
      <c r="M943" s="6"/>
      <c r="N943" s="137"/>
      <c r="O943" s="137"/>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row>
    <row r="944" ht="14.25" customHeight="1">
      <c r="A944" s="6"/>
      <c r="B944" s="6"/>
      <c r="C944" s="6"/>
      <c r="D944" s="6"/>
      <c r="E944" s="6"/>
      <c r="F944" s="6"/>
      <c r="G944" s="6"/>
      <c r="H944" s="6"/>
      <c r="I944" s="6"/>
      <c r="J944" s="6"/>
      <c r="K944" s="6"/>
      <c r="L944" s="6"/>
      <c r="M944" s="6"/>
      <c r="N944" s="137"/>
      <c r="O944" s="137"/>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row>
    <row r="945" ht="14.25" customHeight="1">
      <c r="A945" s="6"/>
      <c r="B945" s="6"/>
      <c r="C945" s="6"/>
      <c r="D945" s="6"/>
      <c r="E945" s="6"/>
      <c r="F945" s="6"/>
      <c r="G945" s="6"/>
      <c r="H945" s="6"/>
      <c r="I945" s="6"/>
      <c r="J945" s="6"/>
      <c r="K945" s="6"/>
      <c r="L945" s="6"/>
      <c r="M945" s="6"/>
      <c r="N945" s="137"/>
      <c r="O945" s="137"/>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row>
    <row r="946" ht="14.25" customHeight="1">
      <c r="A946" s="6"/>
      <c r="B946" s="6"/>
      <c r="C946" s="6"/>
      <c r="D946" s="6"/>
      <c r="E946" s="6"/>
      <c r="F946" s="6"/>
      <c r="G946" s="6"/>
      <c r="H946" s="6"/>
      <c r="I946" s="6"/>
      <c r="J946" s="6"/>
      <c r="K946" s="6"/>
      <c r="L946" s="6"/>
      <c r="M946" s="6"/>
      <c r="N946" s="137"/>
      <c r="O946" s="137"/>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row>
    <row r="947" ht="14.25" customHeight="1">
      <c r="A947" s="6"/>
      <c r="B947" s="6"/>
      <c r="C947" s="6"/>
      <c r="D947" s="6"/>
      <c r="E947" s="6"/>
      <c r="F947" s="6"/>
      <c r="G947" s="6"/>
      <c r="H947" s="6"/>
      <c r="I947" s="6"/>
      <c r="J947" s="6"/>
      <c r="K947" s="6"/>
      <c r="L947" s="6"/>
      <c r="M947" s="6"/>
      <c r="N947" s="137"/>
      <c r="O947" s="137"/>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row>
    <row r="948" ht="14.25" customHeight="1">
      <c r="A948" s="6"/>
      <c r="B948" s="6"/>
      <c r="C948" s="6"/>
      <c r="D948" s="6"/>
      <c r="E948" s="6"/>
      <c r="F948" s="6"/>
      <c r="G948" s="6"/>
      <c r="H948" s="6"/>
      <c r="I948" s="6"/>
      <c r="J948" s="6"/>
      <c r="K948" s="6"/>
      <c r="L948" s="6"/>
      <c r="M948" s="6"/>
      <c r="N948" s="137"/>
      <c r="O948" s="137"/>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row>
    <row r="949" ht="14.25" customHeight="1">
      <c r="A949" s="6"/>
      <c r="B949" s="6"/>
      <c r="C949" s="6"/>
      <c r="D949" s="6"/>
      <c r="E949" s="6"/>
      <c r="F949" s="6"/>
      <c r="G949" s="6"/>
      <c r="H949" s="6"/>
      <c r="I949" s="6"/>
      <c r="J949" s="6"/>
      <c r="K949" s="6"/>
      <c r="L949" s="6"/>
      <c r="M949" s="6"/>
      <c r="N949" s="137"/>
      <c r="O949" s="137"/>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row>
    <row r="950" ht="14.25" customHeight="1">
      <c r="A950" s="6"/>
      <c r="B950" s="6"/>
      <c r="C950" s="6"/>
      <c r="D950" s="6"/>
      <c r="E950" s="6"/>
      <c r="F950" s="6"/>
      <c r="G950" s="6"/>
      <c r="H950" s="6"/>
      <c r="I950" s="6"/>
      <c r="J950" s="6"/>
      <c r="K950" s="6"/>
      <c r="L950" s="6"/>
      <c r="M950" s="6"/>
      <c r="N950" s="137"/>
      <c r="O950" s="137"/>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row>
    <row r="951" ht="14.25" customHeight="1">
      <c r="A951" s="6"/>
      <c r="B951" s="6"/>
      <c r="C951" s="6"/>
      <c r="D951" s="6"/>
      <c r="E951" s="6"/>
      <c r="F951" s="6"/>
      <c r="G951" s="6"/>
      <c r="H951" s="6"/>
      <c r="I951" s="6"/>
      <c r="J951" s="6"/>
      <c r="K951" s="6"/>
      <c r="L951" s="6"/>
      <c r="M951" s="6"/>
      <c r="N951" s="137"/>
      <c r="O951" s="137"/>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row>
    <row r="952" ht="14.25" customHeight="1">
      <c r="A952" s="6"/>
      <c r="B952" s="6"/>
      <c r="C952" s="6"/>
      <c r="D952" s="6"/>
      <c r="E952" s="6"/>
      <c r="F952" s="6"/>
      <c r="G952" s="6"/>
      <c r="H952" s="6"/>
      <c r="I952" s="6"/>
      <c r="J952" s="6"/>
      <c r="K952" s="6"/>
      <c r="L952" s="6"/>
      <c r="M952" s="6"/>
      <c r="N952" s="137"/>
      <c r="O952" s="137"/>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row>
    <row r="953" ht="14.25" customHeight="1">
      <c r="A953" s="6"/>
      <c r="B953" s="6"/>
      <c r="C953" s="6"/>
      <c r="D953" s="6"/>
      <c r="E953" s="6"/>
      <c r="F953" s="6"/>
      <c r="G953" s="6"/>
      <c r="H953" s="6"/>
      <c r="I953" s="6"/>
      <c r="J953" s="6"/>
      <c r="K953" s="6"/>
      <c r="L953" s="6"/>
      <c r="M953" s="6"/>
      <c r="N953" s="137"/>
      <c r="O953" s="137"/>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row>
    <row r="954" ht="14.25" customHeight="1">
      <c r="A954" s="6"/>
      <c r="B954" s="6"/>
      <c r="C954" s="6"/>
      <c r="D954" s="6"/>
      <c r="E954" s="6"/>
      <c r="F954" s="6"/>
      <c r="G954" s="6"/>
      <c r="H954" s="6"/>
      <c r="I954" s="6"/>
      <c r="J954" s="6"/>
      <c r="K954" s="6"/>
      <c r="L954" s="6"/>
      <c r="M954" s="6"/>
      <c r="N954" s="137"/>
      <c r="O954" s="137"/>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row>
    <row r="955" ht="14.25" customHeight="1">
      <c r="A955" s="6"/>
      <c r="B955" s="6"/>
      <c r="C955" s="6"/>
      <c r="D955" s="6"/>
      <c r="E955" s="6"/>
      <c r="F955" s="6"/>
      <c r="G955" s="6"/>
      <c r="H955" s="6"/>
      <c r="I955" s="6"/>
      <c r="J955" s="6"/>
      <c r="K955" s="6"/>
      <c r="L955" s="6"/>
      <c r="M955" s="6"/>
      <c r="N955" s="137"/>
      <c r="O955" s="137"/>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row>
    <row r="956" ht="14.25" customHeight="1">
      <c r="A956" s="6"/>
      <c r="B956" s="6"/>
      <c r="C956" s="6"/>
      <c r="D956" s="6"/>
      <c r="E956" s="6"/>
      <c r="F956" s="6"/>
      <c r="G956" s="6"/>
      <c r="H956" s="6"/>
      <c r="I956" s="6"/>
      <c r="J956" s="6"/>
      <c r="K956" s="6"/>
      <c r="L956" s="6"/>
      <c r="M956" s="6"/>
      <c r="N956" s="137"/>
      <c r="O956" s="137"/>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row>
    <row r="957" ht="14.25" customHeight="1">
      <c r="A957" s="6"/>
      <c r="B957" s="6"/>
      <c r="C957" s="6"/>
      <c r="D957" s="6"/>
      <c r="E957" s="6"/>
      <c r="F957" s="6"/>
      <c r="G957" s="6"/>
      <c r="H957" s="6"/>
      <c r="I957" s="6"/>
      <c r="J957" s="6"/>
      <c r="K957" s="6"/>
      <c r="L957" s="6"/>
      <c r="M957" s="6"/>
      <c r="N957" s="137"/>
      <c r="O957" s="137"/>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row>
    <row r="958" ht="14.25" customHeight="1">
      <c r="A958" s="6"/>
      <c r="B958" s="6"/>
      <c r="C958" s="6"/>
      <c r="D958" s="6"/>
      <c r="E958" s="6"/>
      <c r="F958" s="6"/>
      <c r="G958" s="6"/>
      <c r="H958" s="6"/>
      <c r="I958" s="6"/>
      <c r="J958" s="6"/>
      <c r="K958" s="6"/>
      <c r="L958" s="6"/>
      <c r="M958" s="6"/>
      <c r="N958" s="137"/>
      <c r="O958" s="137"/>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row>
    <row r="959" ht="14.25" customHeight="1">
      <c r="A959" s="6"/>
      <c r="B959" s="6"/>
      <c r="C959" s="6"/>
      <c r="D959" s="6"/>
      <c r="E959" s="6"/>
      <c r="F959" s="6"/>
      <c r="G959" s="6"/>
      <c r="H959" s="6"/>
      <c r="I959" s="6"/>
      <c r="J959" s="6"/>
      <c r="K959" s="6"/>
      <c r="L959" s="6"/>
      <c r="M959" s="6"/>
      <c r="N959" s="137"/>
      <c r="O959" s="137"/>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row>
    <row r="960" ht="14.25" customHeight="1">
      <c r="A960" s="6"/>
      <c r="B960" s="6"/>
      <c r="C960" s="6"/>
      <c r="D960" s="6"/>
      <c r="E960" s="6"/>
      <c r="F960" s="6"/>
      <c r="G960" s="6"/>
      <c r="H960" s="6"/>
      <c r="I960" s="6"/>
      <c r="J960" s="6"/>
      <c r="K960" s="6"/>
      <c r="L960" s="6"/>
      <c r="M960" s="6"/>
      <c r="N960" s="137"/>
      <c r="O960" s="137"/>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row>
    <row r="961" ht="14.25" customHeight="1">
      <c r="A961" s="6"/>
      <c r="B961" s="6"/>
      <c r="C961" s="6"/>
      <c r="D961" s="6"/>
      <c r="E961" s="6"/>
      <c r="F961" s="6"/>
      <c r="G961" s="6"/>
      <c r="H961" s="6"/>
      <c r="I961" s="6"/>
      <c r="J961" s="6"/>
      <c r="K961" s="6"/>
      <c r="L961" s="6"/>
      <c r="M961" s="6"/>
      <c r="N961" s="137"/>
      <c r="O961" s="137"/>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row>
    <row r="962" ht="14.25" customHeight="1">
      <c r="A962" s="6"/>
      <c r="B962" s="6"/>
      <c r="C962" s="6"/>
      <c r="D962" s="6"/>
      <c r="E962" s="6"/>
      <c r="F962" s="6"/>
      <c r="G962" s="6"/>
      <c r="H962" s="6"/>
      <c r="I962" s="6"/>
      <c r="J962" s="6"/>
      <c r="K962" s="6"/>
      <c r="L962" s="6"/>
      <c r="M962" s="6"/>
      <c r="N962" s="137"/>
      <c r="O962" s="137"/>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row>
    <row r="963" ht="14.25" customHeight="1">
      <c r="A963" s="6"/>
      <c r="B963" s="6"/>
      <c r="C963" s="6"/>
      <c r="D963" s="6"/>
      <c r="E963" s="6"/>
      <c r="F963" s="6"/>
      <c r="G963" s="6"/>
      <c r="H963" s="6"/>
      <c r="I963" s="6"/>
      <c r="J963" s="6"/>
      <c r="K963" s="6"/>
      <c r="L963" s="6"/>
      <c r="M963" s="6"/>
      <c r="N963" s="137"/>
      <c r="O963" s="137"/>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row>
    <row r="964" ht="14.25" customHeight="1">
      <c r="A964" s="6"/>
      <c r="B964" s="6"/>
      <c r="C964" s="6"/>
      <c r="D964" s="6"/>
      <c r="E964" s="6"/>
      <c r="F964" s="6"/>
      <c r="G964" s="6"/>
      <c r="H964" s="6"/>
      <c r="I964" s="6"/>
      <c r="J964" s="6"/>
      <c r="K964" s="6"/>
      <c r="L964" s="6"/>
      <c r="M964" s="6"/>
      <c r="N964" s="137"/>
      <c r="O964" s="137"/>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row>
    <row r="965" ht="14.25" customHeight="1">
      <c r="A965" s="6"/>
      <c r="B965" s="6"/>
      <c r="C965" s="6"/>
      <c r="D965" s="6"/>
      <c r="E965" s="6"/>
      <c r="F965" s="6"/>
      <c r="G965" s="6"/>
      <c r="H965" s="6"/>
      <c r="I965" s="6"/>
      <c r="J965" s="6"/>
      <c r="K965" s="6"/>
      <c r="L965" s="6"/>
      <c r="M965" s="6"/>
      <c r="N965" s="137"/>
      <c r="O965" s="137"/>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row>
    <row r="966" ht="14.25" customHeight="1">
      <c r="A966" s="6"/>
      <c r="B966" s="6"/>
      <c r="C966" s="6"/>
      <c r="D966" s="6"/>
      <c r="E966" s="6"/>
      <c r="F966" s="6"/>
      <c r="G966" s="6"/>
      <c r="H966" s="6"/>
      <c r="I966" s="6"/>
      <c r="J966" s="6"/>
      <c r="K966" s="6"/>
      <c r="L966" s="6"/>
      <c r="M966" s="6"/>
      <c r="N966" s="137"/>
      <c r="O966" s="137"/>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row>
    <row r="967" ht="14.25" customHeight="1">
      <c r="A967" s="6"/>
      <c r="B967" s="6"/>
      <c r="C967" s="6"/>
      <c r="D967" s="6"/>
      <c r="E967" s="6"/>
      <c r="F967" s="6"/>
      <c r="G967" s="6"/>
      <c r="H967" s="6"/>
      <c r="I967" s="6"/>
      <c r="J967" s="6"/>
      <c r="K967" s="6"/>
      <c r="L967" s="6"/>
      <c r="M967" s="6"/>
      <c r="N967" s="137"/>
      <c r="O967" s="137"/>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row>
    <row r="968" ht="14.25" customHeight="1">
      <c r="A968" s="6"/>
      <c r="B968" s="6"/>
      <c r="C968" s="6"/>
      <c r="D968" s="6"/>
      <c r="E968" s="6"/>
      <c r="F968" s="6"/>
      <c r="G968" s="6"/>
      <c r="H968" s="6"/>
      <c r="I968" s="6"/>
      <c r="J968" s="6"/>
      <c r="K968" s="6"/>
      <c r="L968" s="6"/>
      <c r="M968" s="6"/>
      <c r="N968" s="137"/>
      <c r="O968" s="137"/>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row>
    <row r="969" ht="14.25" customHeight="1">
      <c r="A969" s="6"/>
      <c r="B969" s="6"/>
      <c r="C969" s="6"/>
      <c r="D969" s="6"/>
      <c r="E969" s="6"/>
      <c r="F969" s="6"/>
      <c r="G969" s="6"/>
      <c r="H969" s="6"/>
      <c r="I969" s="6"/>
      <c r="J969" s="6"/>
      <c r="K969" s="6"/>
      <c r="L969" s="6"/>
      <c r="M969" s="6"/>
      <c r="N969" s="137"/>
      <c r="O969" s="137"/>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row>
    <row r="970" ht="14.25" customHeight="1">
      <c r="A970" s="6"/>
      <c r="B970" s="6"/>
      <c r="C970" s="6"/>
      <c r="D970" s="6"/>
      <c r="E970" s="6"/>
      <c r="F970" s="6"/>
      <c r="G970" s="6"/>
      <c r="H970" s="6"/>
      <c r="I970" s="6"/>
      <c r="J970" s="6"/>
      <c r="K970" s="6"/>
      <c r="L970" s="6"/>
      <c r="M970" s="6"/>
      <c r="N970" s="137"/>
      <c r="O970" s="137"/>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row>
    <row r="971" ht="14.25" customHeight="1">
      <c r="A971" s="6"/>
      <c r="B971" s="6"/>
      <c r="C971" s="6"/>
      <c r="D971" s="6"/>
      <c r="E971" s="6"/>
      <c r="F971" s="6"/>
      <c r="G971" s="6"/>
      <c r="H971" s="6"/>
      <c r="I971" s="6"/>
      <c r="J971" s="6"/>
      <c r="K971" s="6"/>
      <c r="L971" s="6"/>
      <c r="M971" s="6"/>
      <c r="N971" s="137"/>
      <c r="O971" s="137"/>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row>
    <row r="972" ht="14.25" customHeight="1">
      <c r="A972" s="6"/>
      <c r="B972" s="6"/>
      <c r="C972" s="6"/>
      <c r="D972" s="6"/>
      <c r="E972" s="6"/>
      <c r="F972" s="6"/>
      <c r="G972" s="6"/>
      <c r="H972" s="6"/>
      <c r="I972" s="6"/>
      <c r="J972" s="6"/>
      <c r="K972" s="6"/>
      <c r="L972" s="6"/>
      <c r="M972" s="6"/>
      <c r="N972" s="137"/>
      <c r="O972" s="137"/>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row>
    <row r="973" ht="14.25" customHeight="1">
      <c r="A973" s="6"/>
      <c r="B973" s="6"/>
      <c r="C973" s="6"/>
      <c r="D973" s="6"/>
      <c r="E973" s="6"/>
      <c r="F973" s="6"/>
      <c r="G973" s="6"/>
      <c r="H973" s="6"/>
      <c r="I973" s="6"/>
      <c r="J973" s="6"/>
      <c r="K973" s="6"/>
      <c r="L973" s="6"/>
      <c r="M973" s="6"/>
      <c r="N973" s="137"/>
      <c r="O973" s="137"/>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row>
    <row r="974" ht="14.25" customHeight="1">
      <c r="A974" s="6"/>
      <c r="B974" s="6"/>
      <c r="C974" s="6"/>
      <c r="D974" s="6"/>
      <c r="E974" s="6"/>
      <c r="F974" s="6"/>
      <c r="G974" s="6"/>
      <c r="H974" s="6"/>
      <c r="I974" s="6"/>
      <c r="J974" s="6"/>
      <c r="K974" s="6"/>
      <c r="L974" s="6"/>
      <c r="M974" s="6"/>
      <c r="N974" s="137"/>
      <c r="O974" s="137"/>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row>
    <row r="975" ht="14.25" customHeight="1">
      <c r="A975" s="6"/>
      <c r="B975" s="6"/>
      <c r="C975" s="6"/>
      <c r="D975" s="6"/>
      <c r="E975" s="6"/>
      <c r="F975" s="6"/>
      <c r="G975" s="6"/>
      <c r="H975" s="6"/>
      <c r="I975" s="6"/>
      <c r="J975" s="6"/>
      <c r="K975" s="6"/>
      <c r="L975" s="6"/>
      <c r="M975" s="6"/>
      <c r="N975" s="137"/>
      <c r="O975" s="137"/>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row>
    <row r="976" ht="14.25" customHeight="1">
      <c r="A976" s="6"/>
      <c r="B976" s="6"/>
      <c r="C976" s="6"/>
      <c r="D976" s="6"/>
      <c r="E976" s="6"/>
      <c r="F976" s="6"/>
      <c r="G976" s="6"/>
      <c r="H976" s="6"/>
      <c r="I976" s="6"/>
      <c r="J976" s="6"/>
      <c r="K976" s="6"/>
      <c r="L976" s="6"/>
      <c r="M976" s="6"/>
      <c r="N976" s="137"/>
      <c r="O976" s="137"/>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row>
    <row r="977" ht="14.25" customHeight="1">
      <c r="A977" s="6"/>
      <c r="B977" s="6"/>
      <c r="C977" s="6"/>
      <c r="D977" s="6"/>
      <c r="E977" s="6"/>
      <c r="F977" s="6"/>
      <c r="G977" s="6"/>
      <c r="H977" s="6"/>
      <c r="I977" s="6"/>
      <c r="J977" s="6"/>
      <c r="K977" s="6"/>
      <c r="L977" s="6"/>
      <c r="M977" s="6"/>
      <c r="N977" s="137"/>
      <c r="O977" s="137"/>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row>
    <row r="978" ht="14.25" customHeight="1">
      <c r="A978" s="6"/>
      <c r="B978" s="6"/>
      <c r="C978" s="6"/>
      <c r="D978" s="6"/>
      <c r="E978" s="6"/>
      <c r="F978" s="6"/>
      <c r="G978" s="6"/>
      <c r="H978" s="6"/>
      <c r="I978" s="6"/>
      <c r="J978" s="6"/>
      <c r="K978" s="6"/>
      <c r="L978" s="6"/>
      <c r="M978" s="6"/>
      <c r="N978" s="137"/>
      <c r="O978" s="137"/>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row>
    <row r="979" ht="14.25" customHeight="1">
      <c r="A979" s="6"/>
      <c r="B979" s="6"/>
      <c r="C979" s="6"/>
      <c r="D979" s="6"/>
      <c r="E979" s="6"/>
      <c r="F979" s="6"/>
      <c r="G979" s="6"/>
      <c r="H979" s="6"/>
      <c r="I979" s="6"/>
      <c r="J979" s="6"/>
      <c r="K979" s="6"/>
      <c r="L979" s="6"/>
      <c r="M979" s="6"/>
      <c r="N979" s="137"/>
      <c r="O979" s="137"/>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row>
    <row r="980" ht="14.25" customHeight="1">
      <c r="A980" s="6"/>
      <c r="B980" s="6"/>
      <c r="C980" s="6"/>
      <c r="D980" s="6"/>
      <c r="E980" s="6"/>
      <c r="F980" s="6"/>
      <c r="G980" s="6"/>
      <c r="H980" s="6"/>
      <c r="I980" s="6"/>
      <c r="J980" s="6"/>
      <c r="K980" s="6"/>
      <c r="L980" s="6"/>
      <c r="M980" s="6"/>
      <c r="N980" s="137"/>
      <c r="O980" s="137"/>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row>
    <row r="981" ht="14.25" customHeight="1">
      <c r="A981" s="6"/>
      <c r="B981" s="6"/>
      <c r="C981" s="6"/>
      <c r="D981" s="6"/>
      <c r="E981" s="6"/>
      <c r="F981" s="6"/>
      <c r="G981" s="6"/>
      <c r="H981" s="6"/>
      <c r="I981" s="6"/>
      <c r="J981" s="6"/>
      <c r="K981" s="6"/>
      <c r="L981" s="6"/>
      <c r="M981" s="6"/>
      <c r="N981" s="137"/>
      <c r="O981" s="137"/>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row>
    <row r="982" ht="14.25" customHeight="1">
      <c r="A982" s="6"/>
      <c r="B982" s="6"/>
      <c r="C982" s="6"/>
      <c r="D982" s="6"/>
      <c r="E982" s="6"/>
      <c r="F982" s="6"/>
      <c r="G982" s="6"/>
      <c r="H982" s="6"/>
      <c r="I982" s="6"/>
      <c r="J982" s="6"/>
      <c r="K982" s="6"/>
      <c r="L982" s="6"/>
      <c r="M982" s="6"/>
      <c r="N982" s="137"/>
      <c r="O982" s="137"/>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row>
    <row r="983" ht="14.25" customHeight="1">
      <c r="A983" s="6"/>
      <c r="B983" s="6"/>
      <c r="C983" s="6"/>
      <c r="D983" s="6"/>
      <c r="E983" s="6"/>
      <c r="F983" s="6"/>
      <c r="G983" s="6"/>
      <c r="H983" s="6"/>
      <c r="I983" s="6"/>
      <c r="J983" s="6"/>
      <c r="K983" s="6"/>
      <c r="L983" s="6"/>
      <c r="M983" s="6"/>
      <c r="N983" s="137"/>
      <c r="O983" s="137"/>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row>
    <row r="984" ht="14.25" customHeight="1">
      <c r="A984" s="6"/>
      <c r="B984" s="6"/>
      <c r="C984" s="6"/>
      <c r="D984" s="6"/>
      <c r="E984" s="6"/>
      <c r="F984" s="6"/>
      <c r="G984" s="6"/>
      <c r="H984" s="6"/>
      <c r="I984" s="6"/>
      <c r="J984" s="6"/>
      <c r="K984" s="6"/>
      <c r="L984" s="6"/>
      <c r="M984" s="6"/>
      <c r="N984" s="137"/>
      <c r="O984" s="137"/>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row>
    <row r="985" ht="14.25" customHeight="1">
      <c r="A985" s="6"/>
      <c r="B985" s="6"/>
      <c r="C985" s="6"/>
      <c r="D985" s="6"/>
      <c r="E985" s="6"/>
      <c r="F985" s="6"/>
      <c r="G985" s="6"/>
      <c r="H985" s="6"/>
      <c r="I985" s="6"/>
      <c r="J985" s="6"/>
      <c r="K985" s="6"/>
      <c r="L985" s="6"/>
      <c r="M985" s="6"/>
      <c r="N985" s="137"/>
      <c r="O985" s="137"/>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row>
    <row r="986" ht="14.25" customHeight="1">
      <c r="A986" s="6"/>
      <c r="B986" s="6"/>
      <c r="C986" s="6"/>
      <c r="D986" s="6"/>
      <c r="E986" s="6"/>
      <c r="F986" s="6"/>
      <c r="G986" s="6"/>
      <c r="H986" s="6"/>
      <c r="I986" s="6"/>
      <c r="J986" s="6"/>
      <c r="K986" s="6"/>
      <c r="L986" s="6"/>
      <c r="M986" s="6"/>
      <c r="N986" s="137"/>
      <c r="O986" s="137"/>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row>
    <row r="987" ht="14.25" customHeight="1">
      <c r="A987" s="6"/>
      <c r="B987" s="6"/>
      <c r="C987" s="6"/>
      <c r="D987" s="6"/>
      <c r="E987" s="6"/>
      <c r="F987" s="6"/>
      <c r="G987" s="6"/>
      <c r="H987" s="6"/>
      <c r="I987" s="6"/>
      <c r="J987" s="6"/>
      <c r="K987" s="6"/>
      <c r="L987" s="6"/>
      <c r="M987" s="6"/>
      <c r="N987" s="137"/>
      <c r="O987" s="137"/>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row>
    <row r="988" ht="14.25" customHeight="1">
      <c r="A988" s="6"/>
      <c r="B988" s="6"/>
      <c r="C988" s="6"/>
      <c r="D988" s="6"/>
      <c r="E988" s="6"/>
      <c r="F988" s="6"/>
      <c r="G988" s="6"/>
      <c r="H988" s="6"/>
      <c r="I988" s="6"/>
      <c r="J988" s="6"/>
      <c r="K988" s="6"/>
      <c r="L988" s="6"/>
      <c r="M988" s="6"/>
      <c r="N988" s="137"/>
      <c r="O988" s="137"/>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row>
    <row r="989" ht="14.25" customHeight="1">
      <c r="A989" s="6"/>
      <c r="B989" s="6"/>
      <c r="C989" s="6"/>
      <c r="D989" s="6"/>
      <c r="E989" s="6"/>
      <c r="F989" s="6"/>
      <c r="G989" s="6"/>
      <c r="H989" s="6"/>
      <c r="I989" s="6"/>
      <c r="J989" s="6"/>
      <c r="K989" s="6"/>
      <c r="L989" s="6"/>
      <c r="M989" s="6"/>
      <c r="N989" s="137"/>
      <c r="O989" s="137"/>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row>
    <row r="990" ht="14.25" customHeight="1">
      <c r="A990" s="6"/>
      <c r="B990" s="6"/>
      <c r="C990" s="6"/>
      <c r="D990" s="6"/>
      <c r="E990" s="6"/>
      <c r="F990" s="6"/>
      <c r="G990" s="6"/>
      <c r="H990" s="6"/>
      <c r="I990" s="6"/>
      <c r="J990" s="6"/>
      <c r="K990" s="6"/>
      <c r="L990" s="6"/>
      <c r="M990" s="6"/>
      <c r="N990" s="137"/>
      <c r="O990" s="137"/>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row>
    <row r="991" ht="14.25" customHeight="1">
      <c r="A991" s="6"/>
      <c r="B991" s="6"/>
      <c r="C991" s="6"/>
      <c r="D991" s="6"/>
      <c r="E991" s="6"/>
      <c r="F991" s="6"/>
      <c r="G991" s="6"/>
      <c r="H991" s="6"/>
      <c r="I991" s="6"/>
      <c r="J991" s="6"/>
      <c r="K991" s="6"/>
      <c r="L991" s="6"/>
      <c r="M991" s="6"/>
      <c r="N991" s="137"/>
      <c r="O991" s="137"/>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row>
    <row r="992" ht="14.25" customHeight="1">
      <c r="A992" s="6"/>
      <c r="B992" s="6"/>
      <c r="C992" s="6"/>
      <c r="D992" s="6"/>
      <c r="E992" s="6"/>
      <c r="F992" s="6"/>
      <c r="G992" s="6"/>
      <c r="H992" s="6"/>
      <c r="I992" s="6"/>
      <c r="J992" s="6"/>
      <c r="K992" s="6"/>
      <c r="L992" s="6"/>
      <c r="M992" s="6"/>
      <c r="N992" s="137"/>
      <c r="O992" s="137"/>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row>
    <row r="993" ht="14.25" customHeight="1">
      <c r="A993" s="6"/>
      <c r="B993" s="6"/>
      <c r="C993" s="6"/>
      <c r="D993" s="6"/>
      <c r="E993" s="6"/>
      <c r="F993" s="6"/>
      <c r="G993" s="6"/>
      <c r="H993" s="6"/>
      <c r="I993" s="6"/>
      <c r="J993" s="6"/>
      <c r="K993" s="6"/>
      <c r="L993" s="6"/>
      <c r="M993" s="6"/>
      <c r="N993" s="137"/>
      <c r="O993" s="137"/>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row>
    <row r="994" ht="14.25" customHeight="1">
      <c r="A994" s="6"/>
      <c r="B994" s="6"/>
      <c r="C994" s="6"/>
      <c r="D994" s="6"/>
      <c r="E994" s="6"/>
      <c r="F994" s="6"/>
      <c r="G994" s="6"/>
      <c r="H994" s="6"/>
      <c r="I994" s="6"/>
      <c r="J994" s="6"/>
      <c r="K994" s="6"/>
      <c r="L994" s="6"/>
      <c r="M994" s="6"/>
      <c r="N994" s="137"/>
      <c r="O994" s="137"/>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row>
    <row r="995" ht="14.25" customHeight="1">
      <c r="A995" s="6"/>
      <c r="B995" s="6"/>
      <c r="C995" s="6"/>
      <c r="D995" s="6"/>
      <c r="E995" s="6"/>
      <c r="F995" s="6"/>
      <c r="G995" s="6"/>
      <c r="H995" s="6"/>
      <c r="I995" s="6"/>
      <c r="J995" s="6"/>
      <c r="K995" s="6"/>
      <c r="L995" s="6"/>
      <c r="M995" s="6"/>
      <c r="N995" s="137"/>
      <c r="O995" s="137"/>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row>
    <row r="996" ht="14.25" customHeight="1">
      <c r="A996" s="6"/>
      <c r="B996" s="6"/>
      <c r="C996" s="6"/>
      <c r="D996" s="6"/>
      <c r="E996" s="6"/>
      <c r="F996" s="6"/>
      <c r="G996" s="6"/>
      <c r="H996" s="6"/>
      <c r="I996" s="6"/>
      <c r="J996" s="6"/>
      <c r="K996" s="6"/>
      <c r="L996" s="6"/>
      <c r="M996" s="6"/>
      <c r="N996" s="137"/>
      <c r="O996" s="137"/>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row>
    <row r="997" ht="14.25" customHeight="1">
      <c r="A997" s="6"/>
      <c r="B997" s="6"/>
      <c r="C997" s="6"/>
      <c r="D997" s="6"/>
      <c r="E997" s="6"/>
      <c r="F997" s="6"/>
      <c r="G997" s="6"/>
      <c r="H997" s="6"/>
      <c r="I997" s="6"/>
      <c r="J997" s="6"/>
      <c r="K997" s="6"/>
      <c r="L997" s="6"/>
      <c r="M997" s="6"/>
      <c r="N997" s="137"/>
      <c r="O997" s="137"/>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row>
    <row r="998" ht="14.25" customHeight="1">
      <c r="A998" s="6"/>
      <c r="B998" s="6"/>
      <c r="C998" s="6"/>
      <c r="D998" s="6"/>
      <c r="E998" s="6"/>
      <c r="F998" s="6"/>
      <c r="G998" s="6"/>
      <c r="H998" s="6"/>
      <c r="I998" s="6"/>
      <c r="J998" s="6"/>
      <c r="K998" s="6"/>
      <c r="L998" s="6"/>
      <c r="M998" s="6"/>
      <c r="N998" s="137"/>
      <c r="O998" s="137"/>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row>
    <row r="999" ht="14.25" customHeight="1">
      <c r="A999" s="6"/>
      <c r="B999" s="6"/>
      <c r="C999" s="6"/>
      <c r="D999" s="6"/>
      <c r="E999" s="6"/>
      <c r="F999" s="6"/>
      <c r="G999" s="6"/>
      <c r="H999" s="6"/>
      <c r="I999" s="6"/>
      <c r="J999" s="6"/>
      <c r="K999" s="6"/>
      <c r="L999" s="6"/>
      <c r="M999" s="6"/>
      <c r="N999" s="137"/>
      <c r="O999" s="137"/>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row>
    <row r="1000" ht="14.25" customHeight="1">
      <c r="A1000" s="6"/>
      <c r="B1000" s="6"/>
      <c r="C1000" s="6"/>
      <c r="D1000" s="6"/>
      <c r="E1000" s="6"/>
      <c r="F1000" s="6"/>
      <c r="G1000" s="6"/>
      <c r="H1000" s="6"/>
      <c r="I1000" s="6"/>
      <c r="J1000" s="6"/>
      <c r="K1000" s="6"/>
      <c r="L1000" s="6"/>
      <c r="M1000" s="6"/>
      <c r="N1000" s="137"/>
      <c r="O1000" s="137"/>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row>
  </sheetData>
  <customSheetViews>
    <customSheetView guid="{FD32FB05-5964-4459-AF2B-04D920E44B03}" filter="1" showAutoFilter="1">
      <autoFilter ref="$A$1:$CU$96">
        <filterColumn colId="0">
          <filters>
            <filter val="tech.workshop.shield_for_a_hero_lvl_4+"/>
            <filter val="tech.smithy.sword_for_a_hero_lvl_4+"/>
            <filter val="tech.tailor.armor_for_a_hero_lvl_4+"/>
          </filters>
        </filterColumn>
      </autoFilter>
    </customSheetView>
  </customSheetViews>
  <printOptions/>
  <pageMargins bottom="0.75" footer="0.0" header="0.0" left="0.7" right="0.7" top="0.75"/>
  <pageSetup orientation="portrait"/>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42.0"/>
    <col customWidth="1" min="3" max="4" width="56.5"/>
    <col customWidth="1" min="5" max="5" width="11.88"/>
    <col customWidth="1" min="6" max="6" width="7.38"/>
    <col customWidth="1" min="7" max="7" width="37.88"/>
    <col customWidth="1" min="8" max="8" width="54.13"/>
    <col customWidth="1" min="9" max="9" width="55.5"/>
    <col customWidth="1" min="10" max="10" width="18.5"/>
    <col customWidth="1" min="11" max="11" width="16.13"/>
    <col customWidth="1" min="12" max="26" width="8.63"/>
  </cols>
  <sheetData>
    <row r="1" ht="14.25" customHeight="1">
      <c r="A1" s="12" t="s">
        <v>5082</v>
      </c>
      <c r="B1" s="12" t="s">
        <v>5059</v>
      </c>
      <c r="C1" s="12" t="s">
        <v>5083</v>
      </c>
      <c r="D1" s="12" t="s">
        <v>56</v>
      </c>
      <c r="E1" s="12" t="s">
        <v>5085</v>
      </c>
      <c r="F1" s="12" t="s">
        <v>5086</v>
      </c>
      <c r="G1" s="12" t="s">
        <v>14</v>
      </c>
      <c r="H1" s="12" t="s">
        <v>38</v>
      </c>
      <c r="I1" s="12" t="s">
        <v>467</v>
      </c>
      <c r="J1" s="12" t="s">
        <v>5090</v>
      </c>
      <c r="K1" s="12" t="s">
        <v>5091</v>
      </c>
      <c r="L1" s="12" t="s">
        <v>5093</v>
      </c>
    </row>
    <row r="2" ht="14.25" customHeight="1">
      <c r="A2" s="26" t="s">
        <v>1705</v>
      </c>
      <c r="B2" s="26" t="s">
        <v>5094</v>
      </c>
      <c r="C2" s="26" t="s">
        <v>1703</v>
      </c>
      <c r="D2" s="26" t="s">
        <v>5095</v>
      </c>
      <c r="E2" s="26" t="s">
        <v>5096</v>
      </c>
      <c r="F2" s="26" t="b">
        <v>1</v>
      </c>
      <c r="G2" s="26" t="s">
        <v>5097</v>
      </c>
      <c r="H2" s="26" t="s">
        <v>1703</v>
      </c>
      <c r="I2" s="26" t="s">
        <v>623</v>
      </c>
      <c r="J2" s="26" t="b">
        <v>1</v>
      </c>
      <c r="K2" s="26" t="str">
        <f>ISNUMBER(_xlfn.XMATCH(tbldeptemp[[#This Row],[DependencyID]],tblTargets[TargetID]))</f>
        <v>#ERROR!</v>
      </c>
      <c r="L2" s="26" t="str">
        <f>IF(tbldeptemp[[#This Row],[ValidTarget]]=FALSE,"BAD TARGET",IF(tbldeptemp[[#This Row],[ValidDependency]]=FALSE,"BAD DEPENDENCY",""))</f>
        <v>#ERROR!</v>
      </c>
    </row>
    <row r="3" ht="14.25" customHeight="1">
      <c r="A3" s="26" t="s">
        <v>626</v>
      </c>
      <c r="B3" s="26" t="s">
        <v>5098</v>
      </c>
      <c r="C3" s="26" t="s">
        <v>58</v>
      </c>
      <c r="D3" s="26" t="s">
        <v>5099</v>
      </c>
      <c r="E3" s="26" t="s">
        <v>3975</v>
      </c>
      <c r="F3" s="26" t="b">
        <v>1</v>
      </c>
      <c r="G3" s="26" t="s">
        <v>5100</v>
      </c>
      <c r="H3" s="26" t="s">
        <v>58</v>
      </c>
      <c r="I3" s="26" t="s">
        <v>47</v>
      </c>
      <c r="J3" s="26" t="b">
        <v>1</v>
      </c>
      <c r="K3" s="26" t="str">
        <f>ISNUMBER(_xlfn.XMATCH(tbldeptemp[[#This Row],[DependencyID]],tblTargets[TargetID]))</f>
        <v>#ERROR!</v>
      </c>
      <c r="L3" s="26" t="str">
        <f>IF(tbldeptemp[[#This Row],[ValidTarget]]=FALSE,"BAD TARGET",IF(tbldeptemp[[#This Row],[ValidDependency]]=FALSE,"BAD DEPENDENCY",""))</f>
        <v>#ERROR!</v>
      </c>
    </row>
    <row r="4" ht="14.25" customHeight="1">
      <c r="A4" s="26" t="s">
        <v>1117</v>
      </c>
      <c r="B4" s="26" t="s">
        <v>4575</v>
      </c>
      <c r="C4" s="26" t="s">
        <v>833</v>
      </c>
      <c r="D4" s="26" t="s">
        <v>5099</v>
      </c>
      <c r="E4" s="26" t="s">
        <v>3975</v>
      </c>
      <c r="F4" s="26" t="b">
        <v>1</v>
      </c>
      <c r="G4" s="26" t="s">
        <v>5097</v>
      </c>
      <c r="H4" s="26" t="s">
        <v>833</v>
      </c>
      <c r="I4" s="26" t="s">
        <v>47</v>
      </c>
      <c r="J4" s="26" t="b">
        <v>1</v>
      </c>
      <c r="K4" s="26" t="str">
        <f>ISNUMBER(_xlfn.XMATCH(tbldeptemp[[#This Row],[DependencyID]],tblTargets[TargetID]))</f>
        <v>#ERROR!</v>
      </c>
      <c r="L4" s="26" t="str">
        <f>IF(tbldeptemp[[#This Row],[ValidTarget]]=FALSE,"BAD TARGET",IF(tbldeptemp[[#This Row],[ValidDependency]]=FALSE,"BAD DEPENDENCY",""))</f>
        <v>#ERROR!</v>
      </c>
    </row>
    <row r="5" ht="14.25" customHeight="1">
      <c r="A5" s="26" t="s">
        <v>1117</v>
      </c>
      <c r="B5" s="26" t="s">
        <v>4583</v>
      </c>
      <c r="C5" s="26" t="s">
        <v>841</v>
      </c>
      <c r="D5" s="26" t="s">
        <v>5099</v>
      </c>
      <c r="E5" s="26" t="s">
        <v>3975</v>
      </c>
      <c r="F5" s="26" t="b">
        <v>1</v>
      </c>
      <c r="G5" s="26" t="s">
        <v>5097</v>
      </c>
      <c r="H5" s="26" t="s">
        <v>841</v>
      </c>
      <c r="I5" s="26" t="s">
        <v>47</v>
      </c>
      <c r="J5" s="26" t="b">
        <v>1</v>
      </c>
      <c r="K5" s="26" t="str">
        <f>ISNUMBER(_xlfn.XMATCH(tbldeptemp[[#This Row],[DependencyID]],tblTargets[TargetID]))</f>
        <v>#ERROR!</v>
      </c>
      <c r="L5" s="26" t="str">
        <f>IF(tbldeptemp[[#This Row],[ValidTarget]]=FALSE,"BAD TARGET",IF(tbldeptemp[[#This Row],[ValidDependency]]=FALSE,"BAD DEPENDENCY",""))</f>
        <v>#ERROR!</v>
      </c>
    </row>
    <row r="6" ht="14.25" customHeight="1">
      <c r="A6" s="26" t="s">
        <v>1117</v>
      </c>
      <c r="B6" s="26" t="s">
        <v>4587</v>
      </c>
      <c r="C6" s="26" t="s">
        <v>846</v>
      </c>
      <c r="D6" s="26" t="s">
        <v>5099</v>
      </c>
      <c r="E6" s="26" t="s">
        <v>3975</v>
      </c>
      <c r="F6" s="26" t="b">
        <v>1</v>
      </c>
      <c r="G6" s="26" t="s">
        <v>5097</v>
      </c>
      <c r="H6" s="26" t="s">
        <v>846</v>
      </c>
      <c r="I6" s="26" t="s">
        <v>47</v>
      </c>
      <c r="J6" s="26" t="b">
        <v>1</v>
      </c>
      <c r="K6" s="26" t="str">
        <f>ISNUMBER(_xlfn.XMATCH(tbldeptemp[[#This Row],[DependencyID]],tblTargets[TargetID]))</f>
        <v>#ERROR!</v>
      </c>
      <c r="L6" s="26" t="str">
        <f>IF(tbldeptemp[[#This Row],[ValidTarget]]=FALSE,"BAD TARGET",IF(tbldeptemp[[#This Row],[ValidDependency]]=FALSE,"BAD DEPENDENCY",""))</f>
        <v>#ERROR!</v>
      </c>
    </row>
    <row r="7" ht="14.25" customHeight="1">
      <c r="A7" s="26" t="s">
        <v>1117</v>
      </c>
      <c r="B7" s="26" t="s">
        <v>4615</v>
      </c>
      <c r="C7" s="26" t="s">
        <v>872</v>
      </c>
      <c r="D7" s="26" t="s">
        <v>5099</v>
      </c>
      <c r="E7" s="26" t="s">
        <v>3975</v>
      </c>
      <c r="F7" s="26" t="b">
        <v>1</v>
      </c>
      <c r="G7" s="26" t="s">
        <v>5097</v>
      </c>
      <c r="H7" s="26" t="s">
        <v>872</v>
      </c>
      <c r="I7" s="26" t="s">
        <v>47</v>
      </c>
      <c r="J7" s="26" t="b">
        <v>1</v>
      </c>
      <c r="K7" s="26" t="str">
        <f>ISNUMBER(_xlfn.XMATCH(tbldeptemp[[#This Row],[DependencyID]],tblTargets[TargetID]))</f>
        <v>#ERROR!</v>
      </c>
      <c r="L7" s="26" t="str">
        <f>IF(tbldeptemp[[#This Row],[ValidTarget]]=FALSE,"BAD TARGET",IF(tbldeptemp[[#This Row],[ValidDependency]]=FALSE,"BAD DEPENDENCY",""))</f>
        <v>#ERROR!</v>
      </c>
    </row>
    <row r="8" ht="14.25" customHeight="1">
      <c r="A8" s="26" t="s">
        <v>1117</v>
      </c>
      <c r="B8" s="26" t="s">
        <v>4632</v>
      </c>
      <c r="C8" s="26" t="s">
        <v>895</v>
      </c>
      <c r="D8" s="26" t="s">
        <v>5099</v>
      </c>
      <c r="E8" s="26" t="s">
        <v>3975</v>
      </c>
      <c r="F8" s="26" t="b">
        <v>1</v>
      </c>
      <c r="G8" s="26" t="s">
        <v>5097</v>
      </c>
      <c r="H8" s="26" t="s">
        <v>895</v>
      </c>
      <c r="I8" s="26" t="s">
        <v>47</v>
      </c>
      <c r="J8" s="26" t="b">
        <v>1</v>
      </c>
      <c r="K8" s="26" t="str">
        <f>ISNUMBER(_xlfn.XMATCH(tbldeptemp[[#This Row],[DependencyID]],tblTargets[TargetID]))</f>
        <v>#ERROR!</v>
      </c>
      <c r="L8" s="26" t="str">
        <f>IF(tbldeptemp[[#This Row],[ValidTarget]]=FALSE,"BAD TARGET",IF(tbldeptemp[[#This Row],[ValidDependency]]=FALSE,"BAD DEPENDENCY",""))</f>
        <v>#ERROR!</v>
      </c>
    </row>
    <row r="9" ht="14.25" customHeight="1">
      <c r="A9" s="26" t="s">
        <v>1117</v>
      </c>
      <c r="B9" s="26" t="s">
        <v>4638</v>
      </c>
      <c r="C9" s="26" t="s">
        <v>905</v>
      </c>
      <c r="D9" s="26" t="s">
        <v>5099</v>
      </c>
      <c r="E9" s="26" t="s">
        <v>3975</v>
      </c>
      <c r="F9" s="26" t="b">
        <v>1</v>
      </c>
      <c r="G9" s="26" t="s">
        <v>5097</v>
      </c>
      <c r="H9" s="26" t="s">
        <v>905</v>
      </c>
      <c r="I9" s="26" t="s">
        <v>47</v>
      </c>
      <c r="J9" s="26" t="b">
        <v>1</v>
      </c>
      <c r="K9" s="26" t="str">
        <f>ISNUMBER(_xlfn.XMATCH(tbldeptemp[[#This Row],[DependencyID]],tblTargets[TargetID]))</f>
        <v>#ERROR!</v>
      </c>
      <c r="L9" s="26" t="str">
        <f>IF(tbldeptemp[[#This Row],[ValidTarget]]=FALSE,"BAD TARGET",IF(tbldeptemp[[#This Row],[ValidDependency]]=FALSE,"BAD DEPENDENCY",""))</f>
        <v>#ERROR!</v>
      </c>
    </row>
    <row r="10" ht="14.25" customHeight="1">
      <c r="A10" s="26" t="s">
        <v>1117</v>
      </c>
      <c r="B10" s="26" t="s">
        <v>4640</v>
      </c>
      <c r="C10" s="26" t="s">
        <v>910</v>
      </c>
      <c r="D10" s="26" t="s">
        <v>5099</v>
      </c>
      <c r="E10" s="26" t="s">
        <v>3975</v>
      </c>
      <c r="F10" s="26" t="b">
        <v>1</v>
      </c>
      <c r="G10" s="26" t="s">
        <v>5097</v>
      </c>
      <c r="H10" s="26" t="s">
        <v>910</v>
      </c>
      <c r="I10" s="26" t="s">
        <v>47</v>
      </c>
      <c r="J10" s="26" t="b">
        <v>1</v>
      </c>
      <c r="K10" s="26" t="str">
        <f>ISNUMBER(_xlfn.XMATCH(tbldeptemp[[#This Row],[DependencyID]],tblTargets[TargetID]))</f>
        <v>#ERROR!</v>
      </c>
      <c r="L10" s="26" t="str">
        <f>IF(tbldeptemp[[#This Row],[ValidTarget]]=FALSE,"BAD TARGET",IF(tbldeptemp[[#This Row],[ValidDependency]]=FALSE,"BAD DEPENDENCY",""))</f>
        <v>#ERROR!</v>
      </c>
    </row>
    <row r="11" ht="14.25" customHeight="1">
      <c r="A11" s="26" t="s">
        <v>1151</v>
      </c>
      <c r="B11" s="26" t="s">
        <v>4731</v>
      </c>
      <c r="C11" s="26" t="s">
        <v>1011</v>
      </c>
      <c r="D11" s="26" t="s">
        <v>5099</v>
      </c>
      <c r="E11" s="26" t="s">
        <v>3975</v>
      </c>
      <c r="F11" s="26" t="b">
        <v>1</v>
      </c>
      <c r="G11" s="26" t="s">
        <v>5097</v>
      </c>
      <c r="H11" s="26" t="s">
        <v>1011</v>
      </c>
      <c r="I11" s="26" t="s">
        <v>47</v>
      </c>
      <c r="J11" s="26" t="b">
        <v>1</v>
      </c>
      <c r="K11" s="26" t="str">
        <f>ISNUMBER(_xlfn.XMATCH(tbldeptemp[[#This Row],[DependencyID]],tblTargets[TargetID]))</f>
        <v>#ERROR!</v>
      </c>
      <c r="L11" s="26" t="str">
        <f>IF(tbldeptemp[[#This Row],[ValidTarget]]=FALSE,"BAD TARGET",IF(tbldeptemp[[#This Row],[ValidDependency]]=FALSE,"BAD DEPENDENCY",""))</f>
        <v>#ERROR!</v>
      </c>
    </row>
    <row r="12" ht="14.25" customHeight="1">
      <c r="A12" s="26" t="s">
        <v>1151</v>
      </c>
      <c r="B12" s="26" t="s">
        <v>4899</v>
      </c>
      <c r="C12" s="26" t="s">
        <v>1258</v>
      </c>
      <c r="D12" s="26" t="s">
        <v>5099</v>
      </c>
      <c r="E12" s="26" t="s">
        <v>3975</v>
      </c>
      <c r="F12" s="26" t="b">
        <v>1</v>
      </c>
      <c r="G12" s="26" t="s">
        <v>5100</v>
      </c>
      <c r="H12" s="26" t="s">
        <v>1258</v>
      </c>
      <c r="I12" s="26" t="s">
        <v>47</v>
      </c>
      <c r="J12" s="26" t="b">
        <v>1</v>
      </c>
      <c r="K12" s="26" t="str">
        <f>ISNUMBER(_xlfn.XMATCH(tbldeptemp[[#This Row],[DependencyID]],tblTargets[TargetID]))</f>
        <v>#ERROR!</v>
      </c>
      <c r="L12" s="26" t="str">
        <f>IF(tbldeptemp[[#This Row],[ValidTarget]]=FALSE,"BAD TARGET",IF(tbldeptemp[[#This Row],[ValidDependency]]=FALSE,"BAD DEPENDENCY",""))</f>
        <v>#ERROR!</v>
      </c>
    </row>
    <row r="13" ht="14.25" customHeight="1">
      <c r="A13" s="26" t="s">
        <v>626</v>
      </c>
      <c r="B13" s="26" t="s">
        <v>5106</v>
      </c>
      <c r="C13" s="26" t="s">
        <v>623</v>
      </c>
      <c r="E13" s="26" t="e">
        <v>#N/A</v>
      </c>
      <c r="H13" s="26" t="s">
        <v>623</v>
      </c>
      <c r="I13" s="26" t="s">
        <v>58</v>
      </c>
      <c r="J13" s="26" t="b">
        <v>1</v>
      </c>
      <c r="K13" s="26" t="str">
        <f>ISNUMBER(_xlfn.XMATCH(tbldeptemp[[#This Row],[DependencyID]],tblTargets[TargetID]))</f>
        <v>#ERROR!</v>
      </c>
      <c r="L13" s="26" t="str">
        <f>IF(tbldeptemp[[#This Row],[ValidTarget]]=FALSE,"BAD TARGET",IF(tbldeptemp[[#This Row],[ValidDependency]]=FALSE,"BAD DEPENDENCY",""))</f>
        <v>#ERROR!</v>
      </c>
    </row>
    <row r="14" ht="14.25" customHeight="1">
      <c r="A14" s="26" t="s">
        <v>1705</v>
      </c>
      <c r="B14" s="26" t="s">
        <v>5107</v>
      </c>
      <c r="C14" s="26" t="s">
        <v>5108</v>
      </c>
      <c r="D14" s="26" t="s">
        <v>5075</v>
      </c>
      <c r="E14" s="26" t="s">
        <v>5109</v>
      </c>
      <c r="F14" s="26" t="b">
        <v>1</v>
      </c>
      <c r="G14" s="26" t="s">
        <v>5097</v>
      </c>
      <c r="H14" s="26" t="s">
        <v>1712</v>
      </c>
      <c r="I14" s="26" t="s">
        <v>637</v>
      </c>
      <c r="J14" s="26" t="b">
        <v>1</v>
      </c>
      <c r="K14" s="26" t="str">
        <f>ISNUMBER(_xlfn.XMATCH(tbldeptemp[[#This Row],[DependencyID]],tblTargets[TargetID]))</f>
        <v>#ERROR!</v>
      </c>
      <c r="L14" s="26" t="str">
        <f>IF(tbldeptemp[[#This Row],[ValidTarget]]=FALSE,"BAD TARGET",IF(tbldeptemp[[#This Row],[ValidDependency]]=FALSE,"BAD DEPENDENCY",""))</f>
        <v>#ERROR!</v>
      </c>
    </row>
    <row r="15" ht="14.25" customHeight="1">
      <c r="A15" s="26" t="s">
        <v>1705</v>
      </c>
      <c r="B15" s="26" t="s">
        <v>5110</v>
      </c>
      <c r="C15" s="26" t="s">
        <v>5111</v>
      </c>
      <c r="D15" s="26" t="s">
        <v>5075</v>
      </c>
      <c r="E15" s="26" t="s">
        <v>5109</v>
      </c>
      <c r="F15" s="26" t="b">
        <v>1</v>
      </c>
      <c r="G15" s="26" t="s">
        <v>5097</v>
      </c>
      <c r="H15" s="26" t="s">
        <v>1707</v>
      </c>
      <c r="I15" s="26" t="s">
        <v>637</v>
      </c>
      <c r="J15" s="26" t="b">
        <v>1</v>
      </c>
      <c r="K15" s="26" t="str">
        <f>ISNUMBER(_xlfn.XMATCH(tbldeptemp[[#This Row],[DependencyID]],tblTargets[TargetID]))</f>
        <v>#ERROR!</v>
      </c>
      <c r="L15" s="26" t="str">
        <f>IF(tbldeptemp[[#This Row],[ValidTarget]]=FALSE,"BAD TARGET",IF(tbldeptemp[[#This Row],[ValidDependency]]=FALSE,"BAD DEPENDENCY",""))</f>
        <v>#ERROR!</v>
      </c>
    </row>
    <row r="16" ht="14.25" customHeight="1">
      <c r="A16" s="26" t="s">
        <v>1705</v>
      </c>
      <c r="B16" s="26" t="s">
        <v>5112</v>
      </c>
      <c r="C16" s="26" t="s">
        <v>5113</v>
      </c>
      <c r="D16" s="26" t="s">
        <v>5075</v>
      </c>
      <c r="E16" s="26" t="s">
        <v>5109</v>
      </c>
      <c r="F16" s="26" t="b">
        <v>1</v>
      </c>
      <c r="G16" s="26" t="s">
        <v>5097</v>
      </c>
      <c r="H16" s="26" t="s">
        <v>1715</v>
      </c>
      <c r="I16" s="26" t="s">
        <v>637</v>
      </c>
      <c r="J16" s="26" t="b">
        <v>1</v>
      </c>
      <c r="K16" s="26" t="str">
        <f>ISNUMBER(_xlfn.XMATCH(tbldeptemp[[#This Row],[DependencyID]],tblTargets[TargetID]))</f>
        <v>#ERROR!</v>
      </c>
      <c r="L16" s="26" t="str">
        <f>IF(tbldeptemp[[#This Row],[ValidTarget]]=FALSE,"BAD TARGET",IF(tbldeptemp[[#This Row],[ValidDependency]]=FALSE,"BAD DEPENDENCY",""))</f>
        <v>#ERROR!</v>
      </c>
    </row>
    <row r="17" ht="14.25" customHeight="1">
      <c r="A17" s="26" t="s">
        <v>1705</v>
      </c>
      <c r="B17" s="26" t="s">
        <v>5114</v>
      </c>
      <c r="C17" s="26" t="s">
        <v>5115</v>
      </c>
      <c r="D17" s="26" t="s">
        <v>5075</v>
      </c>
      <c r="E17" s="26" t="s">
        <v>5109</v>
      </c>
      <c r="F17" s="26" t="b">
        <v>1</v>
      </c>
      <c r="G17" s="26" t="s">
        <v>5097</v>
      </c>
      <c r="H17" s="26" t="s">
        <v>1709</v>
      </c>
      <c r="I17" s="26" t="s">
        <v>637</v>
      </c>
      <c r="J17" s="26" t="b">
        <v>1</v>
      </c>
      <c r="K17" s="26" t="str">
        <f>ISNUMBER(_xlfn.XMATCH(tbldeptemp[[#This Row],[DependencyID]],tblTargets[TargetID]))</f>
        <v>#ERROR!</v>
      </c>
      <c r="L17" s="26" t="str">
        <f>IF(tbldeptemp[[#This Row],[ValidTarget]]=FALSE,"BAD TARGET",IF(tbldeptemp[[#This Row],[ValidDependency]]=FALSE,"BAD DEPENDENCY",""))</f>
        <v>#ERROR!</v>
      </c>
    </row>
    <row r="18" ht="14.25" customHeight="1">
      <c r="A18" s="26" t="s">
        <v>1705</v>
      </c>
      <c r="B18" s="26" t="s">
        <v>5116</v>
      </c>
      <c r="C18" s="26" t="s">
        <v>5117</v>
      </c>
      <c r="D18" s="26" t="s">
        <v>5075</v>
      </c>
      <c r="E18" s="26" t="s">
        <v>5109</v>
      </c>
      <c r="F18" s="26" t="b">
        <v>1</v>
      </c>
      <c r="G18" s="26" t="s">
        <v>5100</v>
      </c>
      <c r="H18" s="26" t="s">
        <v>1717</v>
      </c>
      <c r="I18" s="26" t="s">
        <v>637</v>
      </c>
      <c r="J18" s="26" t="b">
        <v>1</v>
      </c>
      <c r="K18" s="26" t="str">
        <f>ISNUMBER(_xlfn.XMATCH(tbldeptemp[[#This Row],[DependencyID]],tblTargets[TargetID]))</f>
        <v>#ERROR!</v>
      </c>
      <c r="L18" s="26" t="str">
        <f>IF(tbldeptemp[[#This Row],[ValidTarget]]=FALSE,"BAD TARGET",IF(tbldeptemp[[#This Row],[ValidDependency]]=FALSE,"BAD DEPENDENCY",""))</f>
        <v>#ERROR!</v>
      </c>
    </row>
    <row r="19" ht="14.25" customHeight="1">
      <c r="A19" s="26" t="s">
        <v>1705</v>
      </c>
      <c r="B19" s="26" t="s">
        <v>5119</v>
      </c>
      <c r="C19" s="26" t="s">
        <v>5120</v>
      </c>
      <c r="D19" s="26" t="s">
        <v>5075</v>
      </c>
      <c r="E19" s="26" t="s">
        <v>5109</v>
      </c>
      <c r="F19" s="26" t="b">
        <v>1</v>
      </c>
      <c r="G19" s="26" t="s">
        <v>5097</v>
      </c>
      <c r="H19" s="26" t="s">
        <v>1719</v>
      </c>
      <c r="I19" s="26" t="s">
        <v>637</v>
      </c>
      <c r="J19" s="26" t="b">
        <v>1</v>
      </c>
      <c r="K19" s="26" t="str">
        <f>ISNUMBER(_xlfn.XMATCH(tbldeptemp[[#This Row],[DependencyID]],tblTargets[TargetID]))</f>
        <v>#ERROR!</v>
      </c>
      <c r="L19" s="26" t="str">
        <f>IF(tbldeptemp[[#This Row],[ValidTarget]]=FALSE,"BAD TARGET",IF(tbldeptemp[[#This Row],[ValidDependency]]=FALSE,"BAD DEPENDENCY",""))</f>
        <v>#ERROR!</v>
      </c>
    </row>
    <row r="20" ht="14.25" customHeight="1">
      <c r="A20" s="26" t="s">
        <v>1705</v>
      </c>
      <c r="B20" s="26" t="s">
        <v>5126</v>
      </c>
      <c r="C20" s="26" t="s">
        <v>5127</v>
      </c>
      <c r="D20" s="26" t="s">
        <v>5075</v>
      </c>
      <c r="E20" s="26" t="s">
        <v>5109</v>
      </c>
      <c r="F20" s="26" t="b">
        <v>1</v>
      </c>
      <c r="G20" s="26" t="s">
        <v>5100</v>
      </c>
      <c r="H20" s="26" t="s">
        <v>1721</v>
      </c>
      <c r="I20" s="26" t="s">
        <v>637</v>
      </c>
      <c r="J20" s="26" t="b">
        <v>1</v>
      </c>
      <c r="K20" s="26" t="str">
        <f>ISNUMBER(_xlfn.XMATCH(tbldeptemp[[#This Row],[DependencyID]],tblTargets[TargetID]))</f>
        <v>#ERROR!</v>
      </c>
      <c r="L20" s="26" t="str">
        <f>IF(tbldeptemp[[#This Row],[ValidTarget]]=FALSE,"BAD TARGET",IF(tbldeptemp[[#This Row],[ValidDependency]]=FALSE,"BAD DEPENDENCY",""))</f>
        <v>#ERROR!</v>
      </c>
    </row>
    <row r="21" ht="14.25" customHeight="1">
      <c r="A21" s="26" t="s">
        <v>1705</v>
      </c>
      <c r="B21" s="26" t="s">
        <v>5128</v>
      </c>
      <c r="C21" s="26" t="s">
        <v>5129</v>
      </c>
      <c r="D21" s="26" t="s">
        <v>5075</v>
      </c>
      <c r="E21" s="26" t="s">
        <v>5109</v>
      </c>
      <c r="F21" s="26" t="b">
        <v>1</v>
      </c>
      <c r="G21" s="26" t="s">
        <v>5097</v>
      </c>
      <c r="H21" s="26" t="s">
        <v>1724</v>
      </c>
      <c r="I21" s="26" t="s">
        <v>637</v>
      </c>
      <c r="J21" s="26" t="b">
        <v>1</v>
      </c>
      <c r="K21" s="26" t="str">
        <f>ISNUMBER(_xlfn.XMATCH(tbldeptemp[[#This Row],[DependencyID]],tblTargets[TargetID]))</f>
        <v>#ERROR!</v>
      </c>
      <c r="L21" s="26" t="str">
        <f>IF(tbldeptemp[[#This Row],[ValidTarget]]=FALSE,"BAD TARGET",IF(tbldeptemp[[#This Row],[ValidDependency]]=FALSE,"BAD DEPENDENCY",""))</f>
        <v>#ERROR!</v>
      </c>
    </row>
    <row r="22" ht="14.25" customHeight="1">
      <c r="A22" s="26" t="s">
        <v>1705</v>
      </c>
      <c r="B22" s="26" t="s">
        <v>5130</v>
      </c>
      <c r="C22" s="26" t="s">
        <v>5131</v>
      </c>
      <c r="D22" s="26" t="s">
        <v>5075</v>
      </c>
      <c r="E22" s="26" t="s">
        <v>5109</v>
      </c>
      <c r="F22" s="26" t="b">
        <v>1</v>
      </c>
      <c r="G22" s="26" t="s">
        <v>5097</v>
      </c>
      <c r="H22" s="26" t="s">
        <v>1726</v>
      </c>
      <c r="I22" s="26" t="s">
        <v>637</v>
      </c>
      <c r="J22" s="26" t="b">
        <v>1</v>
      </c>
      <c r="K22" s="26" t="str">
        <f>ISNUMBER(_xlfn.XMATCH(tbldeptemp[[#This Row],[DependencyID]],tblTargets[TargetID]))</f>
        <v>#ERROR!</v>
      </c>
      <c r="L22" s="26" t="str">
        <f>IF(tbldeptemp[[#This Row],[ValidTarget]]=FALSE,"BAD TARGET",IF(tbldeptemp[[#This Row],[ValidDependency]]=FALSE,"BAD DEPENDENCY",""))</f>
        <v>#ERROR!</v>
      </c>
    </row>
    <row r="23" ht="14.25" customHeight="1">
      <c r="A23" s="26" t="s">
        <v>1705</v>
      </c>
      <c r="B23" s="26" t="s">
        <v>5132</v>
      </c>
      <c r="C23" s="26" t="s">
        <v>5133</v>
      </c>
      <c r="D23" s="26" t="s">
        <v>5075</v>
      </c>
      <c r="E23" s="26" t="s">
        <v>5109</v>
      </c>
      <c r="F23" s="26" t="b">
        <v>1</v>
      </c>
      <c r="G23" s="26" t="s">
        <v>5097</v>
      </c>
      <c r="H23" s="26" t="s">
        <v>1728</v>
      </c>
      <c r="I23" s="26" t="s">
        <v>637</v>
      </c>
      <c r="J23" s="26" t="b">
        <v>1</v>
      </c>
      <c r="K23" s="26" t="str">
        <f>ISNUMBER(_xlfn.XMATCH(tbldeptemp[[#This Row],[DependencyID]],tblTargets[TargetID]))</f>
        <v>#ERROR!</v>
      </c>
      <c r="L23" s="26" t="str">
        <f>IF(tbldeptemp[[#This Row],[ValidTarget]]=FALSE,"BAD TARGET",IF(tbldeptemp[[#This Row],[ValidDependency]]=FALSE,"BAD DEPENDENCY",""))</f>
        <v>#ERROR!</v>
      </c>
    </row>
    <row r="24" ht="14.25" customHeight="1">
      <c r="A24" s="26" t="s">
        <v>1705</v>
      </c>
      <c r="B24" s="26" t="s">
        <v>5134</v>
      </c>
      <c r="C24" s="26" t="s">
        <v>5135</v>
      </c>
      <c r="D24" s="26" t="s">
        <v>5075</v>
      </c>
      <c r="E24" s="26" t="s">
        <v>5109</v>
      </c>
      <c r="F24" s="26" t="b">
        <v>1</v>
      </c>
      <c r="G24" s="26" t="s">
        <v>5097</v>
      </c>
      <c r="H24" s="26" t="s">
        <v>1733</v>
      </c>
      <c r="I24" s="26" t="s">
        <v>637</v>
      </c>
      <c r="J24" s="26" t="b">
        <v>1</v>
      </c>
      <c r="K24" s="26" t="str">
        <f>ISNUMBER(_xlfn.XMATCH(tbldeptemp[[#This Row],[DependencyID]],tblTargets[TargetID]))</f>
        <v>#ERROR!</v>
      </c>
      <c r="L24" s="26" t="str">
        <f>IF(tbldeptemp[[#This Row],[ValidTarget]]=FALSE,"BAD TARGET",IF(tbldeptemp[[#This Row],[ValidDependency]]=FALSE,"BAD DEPENDENCY",""))</f>
        <v>#ERROR!</v>
      </c>
    </row>
    <row r="25" ht="14.25" customHeight="1">
      <c r="A25" s="26" t="s">
        <v>1705</v>
      </c>
      <c r="B25" s="26" t="s">
        <v>5136</v>
      </c>
      <c r="C25" s="26" t="s">
        <v>5137</v>
      </c>
      <c r="D25" s="26" t="s">
        <v>5075</v>
      </c>
      <c r="E25" s="26" t="s">
        <v>5109</v>
      </c>
      <c r="F25" s="26" t="b">
        <v>1</v>
      </c>
      <c r="G25" s="26" t="s">
        <v>5100</v>
      </c>
      <c r="H25" s="26" t="s">
        <v>1735</v>
      </c>
      <c r="I25" s="26" t="s">
        <v>637</v>
      </c>
      <c r="J25" s="26" t="b">
        <v>1</v>
      </c>
      <c r="K25" s="26" t="str">
        <f>ISNUMBER(_xlfn.XMATCH(tbldeptemp[[#This Row],[DependencyID]],tblTargets[TargetID]))</f>
        <v>#ERROR!</v>
      </c>
      <c r="L25" s="26" t="str">
        <f>IF(tbldeptemp[[#This Row],[ValidTarget]]=FALSE,"BAD TARGET",IF(tbldeptemp[[#This Row],[ValidDependency]]=FALSE,"BAD DEPENDENCY",""))</f>
        <v>#ERROR!</v>
      </c>
    </row>
    <row r="26" ht="14.25" customHeight="1">
      <c r="A26" s="26" t="s">
        <v>1705</v>
      </c>
      <c r="B26" s="26" t="s">
        <v>5138</v>
      </c>
      <c r="C26" s="26" t="s">
        <v>5139</v>
      </c>
      <c r="D26" s="26" t="s">
        <v>5075</v>
      </c>
      <c r="E26" s="26" t="s">
        <v>5109</v>
      </c>
      <c r="F26" s="26" t="b">
        <v>1</v>
      </c>
      <c r="G26" s="26" t="s">
        <v>5100</v>
      </c>
      <c r="H26" s="26" t="s">
        <v>1737</v>
      </c>
      <c r="I26" s="26" t="s">
        <v>637</v>
      </c>
      <c r="J26" s="26" t="b">
        <v>1</v>
      </c>
      <c r="K26" s="26" t="str">
        <f>ISNUMBER(_xlfn.XMATCH(tbldeptemp[[#This Row],[DependencyID]],tblTargets[TargetID]))</f>
        <v>#ERROR!</v>
      </c>
      <c r="L26" s="26" t="str">
        <f>IF(tbldeptemp[[#This Row],[ValidTarget]]=FALSE,"BAD TARGET",IF(tbldeptemp[[#This Row],[ValidDependency]]=FALSE,"BAD DEPENDENCY",""))</f>
        <v>#ERROR!</v>
      </c>
    </row>
    <row r="27" ht="14.25" customHeight="1">
      <c r="A27" s="26" t="s">
        <v>1705</v>
      </c>
      <c r="B27" s="26" t="s">
        <v>5140</v>
      </c>
      <c r="C27" s="26" t="s">
        <v>5141</v>
      </c>
      <c r="D27" s="26" t="s">
        <v>5075</v>
      </c>
      <c r="E27" s="26" t="s">
        <v>5109</v>
      </c>
      <c r="F27" s="26" t="b">
        <v>1</v>
      </c>
      <c r="G27" s="26" t="s">
        <v>5100</v>
      </c>
      <c r="H27" s="26" t="s">
        <v>1740</v>
      </c>
      <c r="I27" s="26" t="s">
        <v>637</v>
      </c>
      <c r="J27" s="26" t="b">
        <v>1</v>
      </c>
      <c r="K27" s="26" t="str">
        <f>ISNUMBER(_xlfn.XMATCH(tbldeptemp[[#This Row],[DependencyID]],tblTargets[TargetID]))</f>
        <v>#ERROR!</v>
      </c>
      <c r="L27" s="26" t="str">
        <f>IF(tbldeptemp[[#This Row],[ValidTarget]]=FALSE,"BAD TARGET",IF(tbldeptemp[[#This Row],[ValidDependency]]=FALSE,"BAD DEPENDENCY",""))</f>
        <v>#ERROR!</v>
      </c>
    </row>
    <row r="28" ht="14.25" customHeight="1">
      <c r="A28" s="26" t="s">
        <v>1705</v>
      </c>
      <c r="B28" s="26" t="s">
        <v>5144</v>
      </c>
      <c r="C28" s="26" t="s">
        <v>5145</v>
      </c>
      <c r="D28" s="26" t="s">
        <v>5075</v>
      </c>
      <c r="E28" s="26" t="s">
        <v>5109</v>
      </c>
      <c r="F28" s="26" t="b">
        <v>1</v>
      </c>
      <c r="G28" s="26" t="s">
        <v>5097</v>
      </c>
      <c r="H28" s="26" t="s">
        <v>1742</v>
      </c>
      <c r="I28" s="26" t="s">
        <v>637</v>
      </c>
      <c r="J28" s="26" t="b">
        <v>1</v>
      </c>
      <c r="K28" s="26" t="str">
        <f>ISNUMBER(_xlfn.XMATCH(tbldeptemp[[#This Row],[DependencyID]],tblTargets[TargetID]))</f>
        <v>#ERROR!</v>
      </c>
      <c r="L28" s="26" t="str">
        <f>IF(tbldeptemp[[#This Row],[ValidTarget]]=FALSE,"BAD TARGET",IF(tbldeptemp[[#This Row],[ValidDependency]]=FALSE,"BAD DEPENDENCY",""))</f>
        <v>#ERROR!</v>
      </c>
    </row>
    <row r="29" ht="14.25" customHeight="1">
      <c r="A29" s="26" t="s">
        <v>1705</v>
      </c>
      <c r="B29" s="26" t="s">
        <v>5150</v>
      </c>
      <c r="C29" s="26" t="s">
        <v>5151</v>
      </c>
      <c r="D29" s="26" t="s">
        <v>5075</v>
      </c>
      <c r="E29" s="26" t="s">
        <v>5109</v>
      </c>
      <c r="F29" s="26" t="b">
        <v>1</v>
      </c>
      <c r="G29" s="26" t="s">
        <v>5097</v>
      </c>
      <c r="H29" s="26" t="s">
        <v>1744</v>
      </c>
      <c r="I29" s="26" t="s">
        <v>637</v>
      </c>
      <c r="J29" s="26" t="b">
        <v>1</v>
      </c>
      <c r="K29" s="26" t="str">
        <f>ISNUMBER(_xlfn.XMATCH(tbldeptemp[[#This Row],[DependencyID]],tblTargets[TargetID]))</f>
        <v>#ERROR!</v>
      </c>
      <c r="L29" s="26" t="str">
        <f>IF(tbldeptemp[[#This Row],[ValidTarget]]=FALSE,"BAD TARGET",IF(tbldeptemp[[#This Row],[ValidDependency]]=FALSE,"BAD DEPENDENCY",""))</f>
        <v>#ERROR!</v>
      </c>
    </row>
    <row r="30" ht="14.25" customHeight="1">
      <c r="A30" s="26" t="s">
        <v>1705</v>
      </c>
      <c r="B30" s="26" t="s">
        <v>5152</v>
      </c>
      <c r="C30" s="26" t="s">
        <v>5153</v>
      </c>
      <c r="D30" s="26" t="s">
        <v>5075</v>
      </c>
      <c r="E30" s="26" t="s">
        <v>5109</v>
      </c>
      <c r="F30" s="26" t="b">
        <v>1</v>
      </c>
      <c r="G30" s="26" t="s">
        <v>5100</v>
      </c>
      <c r="H30" s="26" t="s">
        <v>1747</v>
      </c>
      <c r="I30" s="26" t="s">
        <v>637</v>
      </c>
      <c r="J30" s="26" t="b">
        <v>1</v>
      </c>
      <c r="K30" s="26" t="str">
        <f>ISNUMBER(_xlfn.XMATCH(tbldeptemp[[#This Row],[DependencyID]],tblTargets[TargetID]))</f>
        <v>#ERROR!</v>
      </c>
      <c r="L30" s="26" t="str">
        <f>IF(tbldeptemp[[#This Row],[ValidTarget]]=FALSE,"BAD TARGET",IF(tbldeptemp[[#This Row],[ValidDependency]]=FALSE,"BAD DEPENDENCY",""))</f>
        <v>#ERROR!</v>
      </c>
    </row>
    <row r="31" ht="14.25" customHeight="1">
      <c r="A31" s="26" t="s">
        <v>626</v>
      </c>
      <c r="B31" s="26" t="s">
        <v>5154</v>
      </c>
      <c r="C31" s="26" t="s">
        <v>65</v>
      </c>
      <c r="D31" s="26" t="s">
        <v>3984</v>
      </c>
      <c r="E31" s="26" t="s">
        <v>5155</v>
      </c>
      <c r="F31" s="26" t="b">
        <v>1</v>
      </c>
      <c r="G31" s="26" t="s">
        <v>5100</v>
      </c>
      <c r="H31" s="26" t="s">
        <v>65</v>
      </c>
      <c r="I31" s="26" t="s">
        <v>62</v>
      </c>
      <c r="J31" s="26" t="b">
        <v>1</v>
      </c>
      <c r="K31" s="26" t="str">
        <f>ISNUMBER(_xlfn.XMATCH(tbldeptemp[[#This Row],[DependencyID]],tblTargets[TargetID]))</f>
        <v>#ERROR!</v>
      </c>
      <c r="L31" s="26" t="str">
        <f>IF(tbldeptemp[[#This Row],[ValidTarget]]=FALSE,"BAD TARGET",IF(tbldeptemp[[#This Row],[ValidDependency]]=FALSE,"BAD DEPENDENCY",""))</f>
        <v>#ERROR!</v>
      </c>
    </row>
    <row r="32" ht="14.25" customHeight="1">
      <c r="A32" s="26" t="s">
        <v>626</v>
      </c>
      <c r="B32" s="26" t="s">
        <v>5156</v>
      </c>
      <c r="C32" s="26" t="s">
        <v>68</v>
      </c>
      <c r="D32" s="26" t="s">
        <v>3987</v>
      </c>
      <c r="E32" s="26" t="s">
        <v>5157</v>
      </c>
      <c r="F32" s="26" t="b">
        <v>1</v>
      </c>
      <c r="G32" s="26" t="s">
        <v>5100</v>
      </c>
      <c r="H32" s="26" t="s">
        <v>68</v>
      </c>
      <c r="I32" s="26" t="s">
        <v>65</v>
      </c>
      <c r="J32" s="26" t="b">
        <v>1</v>
      </c>
      <c r="K32" s="26" t="str">
        <f>ISNUMBER(_xlfn.XMATCH(tbldeptemp[[#This Row],[DependencyID]],tblTargets[TargetID]))</f>
        <v>#ERROR!</v>
      </c>
      <c r="L32" s="26" t="str">
        <f>IF(tbldeptemp[[#This Row],[ValidTarget]]=FALSE,"BAD TARGET",IF(tbldeptemp[[#This Row],[ValidDependency]]=FALSE,"BAD DEPENDENCY",""))</f>
        <v>#ERROR!</v>
      </c>
    </row>
    <row r="33" ht="14.25" customHeight="1">
      <c r="A33" s="26" t="s">
        <v>626</v>
      </c>
      <c r="B33" s="26" t="s">
        <v>5158</v>
      </c>
      <c r="C33" s="26" t="s">
        <v>77</v>
      </c>
      <c r="D33" s="26" t="s">
        <v>3993</v>
      </c>
      <c r="E33" s="26" t="s">
        <v>5159</v>
      </c>
      <c r="F33" s="26" t="b">
        <v>1</v>
      </c>
      <c r="G33" s="26" t="s">
        <v>5100</v>
      </c>
      <c r="H33" s="26" t="s">
        <v>77</v>
      </c>
      <c r="I33" s="26" t="s">
        <v>71</v>
      </c>
      <c r="J33" s="26" t="b">
        <v>1</v>
      </c>
      <c r="K33" s="26" t="str">
        <f>ISNUMBER(_xlfn.XMATCH(tbldeptemp[[#This Row],[DependencyID]],tblTargets[TargetID]))</f>
        <v>#ERROR!</v>
      </c>
      <c r="L33" s="26" t="str">
        <f>IF(tbldeptemp[[#This Row],[ValidTarget]]=FALSE,"BAD TARGET",IF(tbldeptemp[[#This Row],[ValidDependency]]=FALSE,"BAD DEPENDENCY",""))</f>
        <v>#ERROR!</v>
      </c>
    </row>
    <row r="34" ht="14.25" customHeight="1">
      <c r="A34" s="26" t="s">
        <v>626</v>
      </c>
      <c r="B34" s="26" t="s">
        <v>5160</v>
      </c>
      <c r="C34" s="26" t="s">
        <v>81</v>
      </c>
      <c r="D34" s="26" t="s">
        <v>3996</v>
      </c>
      <c r="E34" s="26" t="s">
        <v>5161</v>
      </c>
      <c r="F34" s="26" t="b">
        <v>1</v>
      </c>
      <c r="G34" s="26" t="s">
        <v>5100</v>
      </c>
      <c r="H34" s="26" t="s">
        <v>81</v>
      </c>
      <c r="I34" s="26" t="s">
        <v>77</v>
      </c>
      <c r="J34" s="26" t="b">
        <v>1</v>
      </c>
      <c r="K34" s="26" t="str">
        <f>ISNUMBER(_xlfn.XMATCH(tbldeptemp[[#This Row],[DependencyID]],tblTargets[TargetID]))</f>
        <v>#ERROR!</v>
      </c>
      <c r="L34" s="26" t="str">
        <f>IF(tbldeptemp[[#This Row],[ValidTarget]]=FALSE,"BAD TARGET",IF(tbldeptemp[[#This Row],[ValidDependency]]=FALSE,"BAD DEPENDENCY",""))</f>
        <v>#ERROR!</v>
      </c>
    </row>
    <row r="35" ht="14.25" customHeight="1">
      <c r="A35" s="26" t="s">
        <v>1117</v>
      </c>
      <c r="B35" s="26" t="s">
        <v>4595</v>
      </c>
      <c r="C35" s="26" t="s">
        <v>853</v>
      </c>
      <c r="D35" s="26" t="s">
        <v>5162</v>
      </c>
      <c r="E35" s="26" t="s">
        <v>5163</v>
      </c>
      <c r="F35" s="26" t="b">
        <v>1</v>
      </c>
      <c r="G35" s="26" t="s">
        <v>5097</v>
      </c>
      <c r="H35" s="26" t="s">
        <v>853</v>
      </c>
      <c r="I35" s="26" t="s">
        <v>81</v>
      </c>
      <c r="J35" s="26" t="b">
        <v>1</v>
      </c>
      <c r="K35" s="26" t="str">
        <f>ISNUMBER(_xlfn.XMATCH(tbldeptemp[[#This Row],[DependencyID]],tblTargets[TargetID]))</f>
        <v>#ERROR!</v>
      </c>
      <c r="L35" s="26" t="str">
        <f>IF(tbldeptemp[[#This Row],[ValidTarget]]=FALSE,"BAD TARGET",IF(tbldeptemp[[#This Row],[ValidDependency]]=FALSE,"BAD DEPENDENCY",""))</f>
        <v>#ERROR!</v>
      </c>
    </row>
    <row r="36" ht="14.25" customHeight="1">
      <c r="A36" s="26" t="s">
        <v>1117</v>
      </c>
      <c r="B36" s="26" t="s">
        <v>4640</v>
      </c>
      <c r="C36" s="26" t="s">
        <v>910</v>
      </c>
      <c r="D36" s="26" t="s">
        <v>5162</v>
      </c>
      <c r="E36" s="26" t="s">
        <v>5163</v>
      </c>
      <c r="F36" s="26" t="b">
        <v>1</v>
      </c>
      <c r="G36" s="26" t="s">
        <v>5097</v>
      </c>
      <c r="H36" s="26" t="s">
        <v>910</v>
      </c>
      <c r="I36" s="26" t="s">
        <v>81</v>
      </c>
      <c r="J36" s="26" t="b">
        <v>1</v>
      </c>
      <c r="K36" s="26" t="str">
        <f>ISNUMBER(_xlfn.XMATCH(tbldeptemp[[#This Row],[DependencyID]],tblTargets[TargetID]))</f>
        <v>#ERROR!</v>
      </c>
      <c r="L36" s="26" t="str">
        <f>IF(tbldeptemp[[#This Row],[ValidTarget]]=FALSE,"BAD TARGET",IF(tbldeptemp[[#This Row],[ValidDependency]]=FALSE,"BAD DEPENDENCY",""))</f>
        <v>#ERROR!</v>
      </c>
    </row>
    <row r="37" ht="14.25" customHeight="1">
      <c r="A37" s="26" t="s">
        <v>626</v>
      </c>
      <c r="B37" s="26" t="s">
        <v>5164</v>
      </c>
      <c r="C37" s="26" t="s">
        <v>637</v>
      </c>
      <c r="E37" s="26" t="e">
        <v>#N/A</v>
      </c>
      <c r="H37" s="26" t="s">
        <v>637</v>
      </c>
      <c r="I37" s="26" t="s">
        <v>81</v>
      </c>
      <c r="J37" s="26" t="b">
        <v>1</v>
      </c>
      <c r="K37" s="26" t="str">
        <f>ISNUMBER(_xlfn.XMATCH(tbldeptemp[[#This Row],[DependencyID]],tblTargets[TargetID]))</f>
        <v>#ERROR!</v>
      </c>
      <c r="L37" s="26" t="str">
        <f>IF(tbldeptemp[[#This Row],[ValidTarget]]=FALSE,"BAD TARGET",IF(tbldeptemp[[#This Row],[ValidDependency]]=FALSE,"BAD DEPENDENCY",""))</f>
        <v>#ERROR!</v>
      </c>
    </row>
    <row r="38" ht="14.25" customHeight="1">
      <c r="A38" s="26" t="s">
        <v>626</v>
      </c>
      <c r="B38" s="26" t="s">
        <v>5167</v>
      </c>
      <c r="C38" s="26" t="s">
        <v>90</v>
      </c>
      <c r="D38" s="26" t="s">
        <v>4005</v>
      </c>
      <c r="E38" s="26" t="s">
        <v>4005</v>
      </c>
      <c r="F38" s="26" t="b">
        <v>1</v>
      </c>
      <c r="G38" s="26" t="s">
        <v>5100</v>
      </c>
      <c r="H38" s="26" t="s">
        <v>90</v>
      </c>
      <c r="I38" s="26" t="s">
        <v>85</v>
      </c>
      <c r="J38" s="26" t="b">
        <v>1</v>
      </c>
      <c r="K38" s="26" t="str">
        <f>ISNUMBER(_xlfn.XMATCH(tbldeptemp[[#This Row],[DependencyID]],tblTargets[TargetID]))</f>
        <v>#ERROR!</v>
      </c>
      <c r="L38" s="26" t="str">
        <f>IF(tbldeptemp[[#This Row],[ValidTarget]]=FALSE,"BAD TARGET",IF(tbldeptemp[[#This Row],[ValidDependency]]=FALSE,"BAD DEPENDENCY",""))</f>
        <v>#ERROR!</v>
      </c>
    </row>
    <row r="39" ht="14.25" customHeight="1">
      <c r="A39" s="26" t="s">
        <v>1705</v>
      </c>
      <c r="B39" s="26" t="s">
        <v>5170</v>
      </c>
      <c r="C39" s="26" t="s">
        <v>1749</v>
      </c>
      <c r="D39" s="26" t="s">
        <v>5171</v>
      </c>
      <c r="E39" s="26" t="s">
        <v>5172</v>
      </c>
      <c r="F39" s="26" t="b">
        <v>1</v>
      </c>
      <c r="G39" s="26" t="s">
        <v>5100</v>
      </c>
      <c r="H39" s="26" t="s">
        <v>1749</v>
      </c>
      <c r="I39" s="26" t="s">
        <v>659</v>
      </c>
      <c r="J39" s="26" t="b">
        <v>1</v>
      </c>
      <c r="K39" s="26" t="str">
        <f>ISNUMBER(_xlfn.XMATCH(tbldeptemp[[#This Row],[DependencyID]],tblTargets[TargetID]))</f>
        <v>#ERROR!</v>
      </c>
      <c r="L39" s="26" t="str">
        <f>IF(tbldeptemp[[#This Row],[ValidTarget]]=FALSE,"BAD TARGET",IF(tbldeptemp[[#This Row],[ValidDependency]]=FALSE,"BAD DEPENDENCY",""))</f>
        <v>#ERROR!</v>
      </c>
    </row>
    <row r="40" ht="14.25" customHeight="1">
      <c r="A40" s="26" t="s">
        <v>1705</v>
      </c>
      <c r="B40" s="26" t="s">
        <v>5173</v>
      </c>
      <c r="C40" s="26" t="s">
        <v>1751</v>
      </c>
      <c r="D40" s="26" t="s">
        <v>5171</v>
      </c>
      <c r="E40" s="26" t="s">
        <v>5172</v>
      </c>
      <c r="F40" s="26" t="b">
        <v>1</v>
      </c>
      <c r="G40" s="26" t="s">
        <v>5100</v>
      </c>
      <c r="H40" s="26" t="s">
        <v>1751</v>
      </c>
      <c r="I40" s="26" t="s">
        <v>659</v>
      </c>
      <c r="J40" s="26" t="b">
        <v>1</v>
      </c>
      <c r="K40" s="26" t="str">
        <f>ISNUMBER(_xlfn.XMATCH(tbldeptemp[[#This Row],[DependencyID]],tblTargets[TargetID]))</f>
        <v>#ERROR!</v>
      </c>
      <c r="L40" s="26" t="str">
        <f>IF(tbldeptemp[[#This Row],[ValidTarget]]=FALSE,"BAD TARGET",IF(tbldeptemp[[#This Row],[ValidDependency]]=FALSE,"BAD DEPENDENCY",""))</f>
        <v>#ERROR!</v>
      </c>
    </row>
    <row r="41" ht="14.25" customHeight="1">
      <c r="A41" s="26" t="s">
        <v>626</v>
      </c>
      <c r="B41" s="26" t="s">
        <v>5174</v>
      </c>
      <c r="C41" s="26" t="s">
        <v>47</v>
      </c>
      <c r="D41" s="26" t="s">
        <v>3971</v>
      </c>
      <c r="E41" s="26" t="s">
        <v>3971</v>
      </c>
      <c r="F41" s="26" t="b">
        <v>1</v>
      </c>
      <c r="G41" s="26" t="s">
        <v>5100</v>
      </c>
      <c r="H41" s="26" t="s">
        <v>47</v>
      </c>
      <c r="I41" s="26" t="s">
        <v>96</v>
      </c>
      <c r="J41" s="26" t="b">
        <v>1</v>
      </c>
      <c r="K41" s="26" t="str">
        <f>ISNUMBER(_xlfn.XMATCH(tbldeptemp[[#This Row],[DependencyID]],tblTargets[TargetID]))</f>
        <v>#ERROR!</v>
      </c>
      <c r="L41" s="26" t="str">
        <f>IF(tbldeptemp[[#This Row],[ValidTarget]]=FALSE,"BAD TARGET",IF(tbldeptemp[[#This Row],[ValidDependency]]=FALSE,"BAD DEPENDENCY",""))</f>
        <v>#ERROR!</v>
      </c>
    </row>
    <row r="42" ht="14.25" customHeight="1">
      <c r="A42" s="26" t="s">
        <v>626</v>
      </c>
      <c r="B42" s="26" t="s">
        <v>5175</v>
      </c>
      <c r="C42" s="26" t="s">
        <v>103</v>
      </c>
      <c r="D42" s="26" t="s">
        <v>3971</v>
      </c>
      <c r="E42" s="26" t="s">
        <v>3971</v>
      </c>
      <c r="F42" s="26" t="b">
        <v>1</v>
      </c>
      <c r="G42" s="26" t="s">
        <v>5100</v>
      </c>
      <c r="H42" s="26" t="s">
        <v>103</v>
      </c>
      <c r="I42" s="26" t="s">
        <v>96</v>
      </c>
      <c r="J42" s="26" t="b">
        <v>1</v>
      </c>
      <c r="K42" s="26" t="str">
        <f>ISNUMBER(_xlfn.XMATCH(tbldeptemp[[#This Row],[DependencyID]],tblTargets[TargetID]))</f>
        <v>#ERROR!</v>
      </c>
      <c r="L42" s="26" t="str">
        <f>IF(tbldeptemp[[#This Row],[ValidTarget]]=FALSE,"BAD TARGET",IF(tbldeptemp[[#This Row],[ValidDependency]]=FALSE,"BAD DEPENDENCY",""))</f>
        <v>#ERROR!</v>
      </c>
    </row>
    <row r="43" ht="14.25" customHeight="1">
      <c r="A43" s="26" t="s">
        <v>626</v>
      </c>
      <c r="B43" s="26" t="s">
        <v>5176</v>
      </c>
      <c r="C43" s="26" t="s">
        <v>362</v>
      </c>
      <c r="D43" s="26" t="s">
        <v>3971</v>
      </c>
      <c r="E43" s="26" t="s">
        <v>3971</v>
      </c>
      <c r="F43" s="26" t="b">
        <v>1</v>
      </c>
      <c r="G43" s="26" t="s">
        <v>5100</v>
      </c>
      <c r="H43" s="26" t="s">
        <v>362</v>
      </c>
      <c r="I43" s="26" t="s">
        <v>96</v>
      </c>
      <c r="J43" s="26" t="b">
        <v>1</v>
      </c>
      <c r="K43" s="26" t="str">
        <f>ISNUMBER(_xlfn.XMATCH(tbldeptemp[[#This Row],[DependencyID]],tblTargets[TargetID]))</f>
        <v>#ERROR!</v>
      </c>
      <c r="L43" s="26" t="str">
        <f>IF(tbldeptemp[[#This Row],[ValidTarget]]=FALSE,"BAD TARGET",IF(tbldeptemp[[#This Row],[ValidDependency]]=FALSE,"BAD DEPENDENCY",""))</f>
        <v>#ERROR!</v>
      </c>
    </row>
    <row r="44" ht="14.25" customHeight="1">
      <c r="A44" s="26" t="s">
        <v>626</v>
      </c>
      <c r="B44" s="26" t="s">
        <v>5177</v>
      </c>
      <c r="C44" s="26" t="s">
        <v>418</v>
      </c>
      <c r="D44" s="26" t="s">
        <v>3971</v>
      </c>
      <c r="E44" s="26" t="s">
        <v>3971</v>
      </c>
      <c r="F44" s="26" t="b">
        <v>1</v>
      </c>
      <c r="G44" s="26" t="s">
        <v>5100</v>
      </c>
      <c r="H44" s="26" t="s">
        <v>418</v>
      </c>
      <c r="I44" s="26" t="s">
        <v>96</v>
      </c>
      <c r="J44" s="26" t="b">
        <v>1</v>
      </c>
      <c r="K44" s="26" t="str">
        <f>ISNUMBER(_xlfn.XMATCH(tbldeptemp[[#This Row],[DependencyID]],tblTargets[TargetID]))</f>
        <v>#ERROR!</v>
      </c>
      <c r="L44" s="26" t="str">
        <f>IF(tbldeptemp[[#This Row],[ValidTarget]]=FALSE,"BAD TARGET",IF(tbldeptemp[[#This Row],[ValidDependency]]=FALSE,"BAD DEPENDENCY",""))</f>
        <v>#ERROR!</v>
      </c>
    </row>
    <row r="45" ht="14.25" customHeight="1">
      <c r="A45" s="26" t="s">
        <v>626</v>
      </c>
      <c r="B45" s="26" t="s">
        <v>5178</v>
      </c>
      <c r="C45" s="26" t="s">
        <v>420</v>
      </c>
      <c r="D45" s="26" t="s">
        <v>3971</v>
      </c>
      <c r="E45" s="26" t="s">
        <v>3971</v>
      </c>
      <c r="F45" s="26" t="b">
        <v>1</v>
      </c>
      <c r="G45" s="26" t="s">
        <v>5100</v>
      </c>
      <c r="H45" s="26" t="s">
        <v>420</v>
      </c>
      <c r="I45" s="26" t="s">
        <v>96</v>
      </c>
      <c r="J45" s="26" t="b">
        <v>1</v>
      </c>
      <c r="K45" s="26" t="str">
        <f>ISNUMBER(_xlfn.XMATCH(tbldeptemp[[#This Row],[DependencyID]],tblTargets[TargetID]))</f>
        <v>#ERROR!</v>
      </c>
      <c r="L45" s="26" t="str">
        <f>IF(tbldeptemp[[#This Row],[ValidTarget]]=FALSE,"BAD TARGET",IF(tbldeptemp[[#This Row],[ValidDependency]]=FALSE,"BAD DEPENDENCY",""))</f>
        <v>#ERROR!</v>
      </c>
    </row>
    <row r="46" ht="14.25" customHeight="1">
      <c r="A46" s="26" t="s">
        <v>1117</v>
      </c>
      <c r="B46" s="26" t="s">
        <v>4599</v>
      </c>
      <c r="C46" s="26" t="s">
        <v>858</v>
      </c>
      <c r="D46" s="26" t="s">
        <v>3971</v>
      </c>
      <c r="E46" s="26" t="s">
        <v>3971</v>
      </c>
      <c r="F46" s="26" t="b">
        <v>1</v>
      </c>
      <c r="G46" s="26" t="s">
        <v>5097</v>
      </c>
      <c r="H46" s="26" t="s">
        <v>858</v>
      </c>
      <c r="I46" s="26" t="s">
        <v>96</v>
      </c>
      <c r="J46" s="26" t="b">
        <v>1</v>
      </c>
      <c r="K46" s="26" t="str">
        <f>ISNUMBER(_xlfn.XMATCH(tbldeptemp[[#This Row],[DependencyID]],tblTargets[TargetID]))</f>
        <v>#ERROR!</v>
      </c>
      <c r="L46" s="26" t="str">
        <f>IF(tbldeptemp[[#This Row],[ValidTarget]]=FALSE,"BAD TARGET",IF(tbldeptemp[[#This Row],[ValidDependency]]=FALSE,"BAD DEPENDENCY",""))</f>
        <v>#ERROR!</v>
      </c>
    </row>
    <row r="47" ht="14.25" customHeight="1">
      <c r="A47" s="26" t="s">
        <v>1117</v>
      </c>
      <c r="B47" s="26" t="s">
        <v>4603</v>
      </c>
      <c r="C47" s="26" t="s">
        <v>861</v>
      </c>
      <c r="D47" s="26" t="s">
        <v>3971</v>
      </c>
      <c r="E47" s="26" t="s">
        <v>3971</v>
      </c>
      <c r="F47" s="26" t="b">
        <v>1</v>
      </c>
      <c r="G47" s="26" t="s">
        <v>5097</v>
      </c>
      <c r="H47" s="26" t="s">
        <v>861</v>
      </c>
      <c r="I47" s="26" t="s">
        <v>96</v>
      </c>
      <c r="J47" s="26" t="b">
        <v>1</v>
      </c>
      <c r="K47" s="26" t="str">
        <f>ISNUMBER(_xlfn.XMATCH(tbldeptemp[[#This Row],[DependencyID]],tblTargets[TargetID]))</f>
        <v>#ERROR!</v>
      </c>
      <c r="L47" s="26" t="str">
        <f>IF(tbldeptemp[[#This Row],[ValidTarget]]=FALSE,"BAD TARGET",IF(tbldeptemp[[#This Row],[ValidDependency]]=FALSE,"BAD DEPENDENCY",""))</f>
        <v>#ERROR!</v>
      </c>
    </row>
    <row r="48" ht="14.25" customHeight="1">
      <c r="A48" s="26" t="s">
        <v>1117</v>
      </c>
      <c r="B48" s="26" t="s">
        <v>4607</v>
      </c>
      <c r="C48" s="26" t="s">
        <v>864</v>
      </c>
      <c r="D48" s="26" t="s">
        <v>3971</v>
      </c>
      <c r="E48" s="26" t="s">
        <v>3971</v>
      </c>
      <c r="F48" s="26" t="b">
        <v>1</v>
      </c>
      <c r="G48" s="26" t="s">
        <v>5097</v>
      </c>
      <c r="H48" s="26" t="s">
        <v>864</v>
      </c>
      <c r="I48" s="26" t="s">
        <v>96</v>
      </c>
      <c r="J48" s="26" t="b">
        <v>1</v>
      </c>
      <c r="K48" s="26" t="str">
        <f>ISNUMBER(_xlfn.XMATCH(tbldeptemp[[#This Row],[DependencyID]],tblTargets[TargetID]))</f>
        <v>#ERROR!</v>
      </c>
      <c r="L48" s="26" t="str">
        <f>IF(tbldeptemp[[#This Row],[ValidTarget]]=FALSE,"BAD TARGET",IF(tbldeptemp[[#This Row],[ValidDependency]]=FALSE,"BAD DEPENDENCY",""))</f>
        <v>#ERROR!</v>
      </c>
    </row>
    <row r="49" ht="14.25" customHeight="1">
      <c r="A49" s="26" t="s">
        <v>1151</v>
      </c>
      <c r="B49" s="26" t="s">
        <v>4716</v>
      </c>
      <c r="C49" s="26" t="s">
        <v>995</v>
      </c>
      <c r="D49" s="26" t="s">
        <v>3971</v>
      </c>
      <c r="E49" s="26" t="s">
        <v>3971</v>
      </c>
      <c r="F49" s="26" t="b">
        <v>1</v>
      </c>
      <c r="G49" s="26" t="s">
        <v>5100</v>
      </c>
      <c r="H49" s="26" t="s">
        <v>995</v>
      </c>
      <c r="I49" s="26" t="s">
        <v>96</v>
      </c>
      <c r="J49" s="26" t="b">
        <v>1</v>
      </c>
      <c r="K49" s="26" t="str">
        <f>ISNUMBER(_xlfn.XMATCH(tbldeptemp[[#This Row],[DependencyID]],tblTargets[TargetID]))</f>
        <v>#ERROR!</v>
      </c>
      <c r="L49" s="26" t="str">
        <f>IF(tbldeptemp[[#This Row],[ValidTarget]]=FALSE,"BAD TARGET",IF(tbldeptemp[[#This Row],[ValidDependency]]=FALSE,"BAD DEPENDENCY",""))</f>
        <v>#ERROR!</v>
      </c>
    </row>
    <row r="50" ht="14.25" customHeight="1">
      <c r="A50" s="26" t="s">
        <v>1151</v>
      </c>
      <c r="B50" s="26" t="s">
        <v>4747</v>
      </c>
      <c r="C50" s="26" t="s">
        <v>1027</v>
      </c>
      <c r="D50" s="26" t="s">
        <v>3971</v>
      </c>
      <c r="E50" s="26" t="s">
        <v>3971</v>
      </c>
      <c r="F50" s="26" t="b">
        <v>1</v>
      </c>
      <c r="G50" s="26" t="s">
        <v>5100</v>
      </c>
      <c r="H50" s="26" t="s">
        <v>1027</v>
      </c>
      <c r="I50" s="26" t="s">
        <v>96</v>
      </c>
      <c r="J50" s="26" t="b">
        <v>1</v>
      </c>
      <c r="K50" s="26" t="str">
        <f>ISNUMBER(_xlfn.XMATCH(tbldeptemp[[#This Row],[DependencyID]],tblTargets[TargetID]))</f>
        <v>#ERROR!</v>
      </c>
      <c r="L50" s="26" t="str">
        <f>IF(tbldeptemp[[#This Row],[ValidTarget]]=FALSE,"BAD TARGET",IF(tbldeptemp[[#This Row],[ValidDependency]]=FALSE,"BAD DEPENDENCY",""))</f>
        <v>#ERROR!</v>
      </c>
    </row>
    <row r="51" ht="14.25" customHeight="1">
      <c r="A51" s="26" t="s">
        <v>1151</v>
      </c>
      <c r="B51" s="26" t="s">
        <v>4951</v>
      </c>
      <c r="C51" s="26" t="s">
        <v>1294</v>
      </c>
      <c r="D51" s="26" t="s">
        <v>3971</v>
      </c>
      <c r="E51" s="26" t="s">
        <v>3971</v>
      </c>
      <c r="F51" s="26" t="b">
        <v>1</v>
      </c>
      <c r="G51" s="26" t="s">
        <v>5100</v>
      </c>
      <c r="H51" s="26" t="s">
        <v>1294</v>
      </c>
      <c r="I51" s="26" t="s">
        <v>96</v>
      </c>
      <c r="J51" s="26" t="b">
        <v>1</v>
      </c>
      <c r="K51" s="26" t="str">
        <f>ISNUMBER(_xlfn.XMATCH(tbldeptemp[[#This Row],[DependencyID]],tblTargets[TargetID]))</f>
        <v>#ERROR!</v>
      </c>
      <c r="L51" s="26" t="str">
        <f>IF(tbldeptemp[[#This Row],[ValidTarget]]=FALSE,"BAD TARGET",IF(tbldeptemp[[#This Row],[ValidDependency]]=FALSE,"BAD DEPENDENCY",""))</f>
        <v>#ERROR!</v>
      </c>
    </row>
    <row r="52" ht="14.25" customHeight="1">
      <c r="A52" s="26" t="s">
        <v>626</v>
      </c>
      <c r="B52" s="26" t="s">
        <v>5183</v>
      </c>
      <c r="C52" s="26" t="s">
        <v>659</v>
      </c>
      <c r="E52" s="26" t="e">
        <v>#N/A</v>
      </c>
      <c r="H52" s="26" t="s">
        <v>659</v>
      </c>
      <c r="I52" s="26" t="s">
        <v>96</v>
      </c>
      <c r="J52" s="26" t="b">
        <v>1</v>
      </c>
      <c r="K52" s="26" t="str">
        <f>ISNUMBER(_xlfn.XMATCH(tbldeptemp[[#This Row],[DependencyID]],tblTargets[TargetID]))</f>
        <v>#ERROR!</v>
      </c>
      <c r="L52" s="26" t="str">
        <f>IF(tbldeptemp[[#This Row],[ValidTarget]]=FALSE,"BAD TARGET",IF(tbldeptemp[[#This Row],[ValidDependency]]=FALSE,"BAD DEPENDENCY",""))</f>
        <v>#ERROR!</v>
      </c>
    </row>
    <row r="53" ht="14.25" customHeight="1">
      <c r="A53" s="26" t="s">
        <v>626</v>
      </c>
      <c r="B53" s="26" t="s">
        <v>5184</v>
      </c>
      <c r="C53" s="26" t="s">
        <v>112</v>
      </c>
      <c r="D53" s="26" t="s">
        <v>4017</v>
      </c>
      <c r="E53" s="26" t="s">
        <v>4017</v>
      </c>
      <c r="F53" s="26" t="b">
        <v>1</v>
      </c>
      <c r="G53" s="26" t="s">
        <v>5100</v>
      </c>
      <c r="H53" s="26" t="s">
        <v>112</v>
      </c>
      <c r="I53" s="26" t="s">
        <v>103</v>
      </c>
      <c r="J53" s="26" t="b">
        <v>1</v>
      </c>
      <c r="K53" s="26" t="str">
        <f>ISNUMBER(_xlfn.XMATCH(tbldeptemp[[#This Row],[DependencyID]],tblTargets[TargetID]))</f>
        <v>#ERROR!</v>
      </c>
      <c r="L53" s="26" t="str">
        <f>IF(tbldeptemp[[#This Row],[ValidTarget]]=FALSE,"BAD TARGET",IF(tbldeptemp[[#This Row],[ValidDependency]]=FALSE,"BAD DEPENDENCY",""))</f>
        <v>#ERROR!</v>
      </c>
    </row>
    <row r="54" ht="14.25" customHeight="1">
      <c r="A54" s="26" t="s">
        <v>626</v>
      </c>
      <c r="B54" s="26" t="s">
        <v>5185</v>
      </c>
      <c r="C54" s="26" t="s">
        <v>116</v>
      </c>
      <c r="D54" s="26" t="s">
        <v>4017</v>
      </c>
      <c r="E54" s="26" t="s">
        <v>4017</v>
      </c>
      <c r="F54" s="26" t="b">
        <v>1</v>
      </c>
      <c r="G54" s="26" t="s">
        <v>5097</v>
      </c>
      <c r="H54" s="26" t="s">
        <v>116</v>
      </c>
      <c r="I54" s="26" t="s">
        <v>103</v>
      </c>
      <c r="J54" s="26" t="b">
        <v>1</v>
      </c>
      <c r="K54" s="26" t="str">
        <f>ISNUMBER(_xlfn.XMATCH(tbldeptemp[[#This Row],[DependencyID]],tblTargets[TargetID]))</f>
        <v>#ERROR!</v>
      </c>
      <c r="L54" s="26" t="str">
        <f>IF(tbldeptemp[[#This Row],[ValidTarget]]=FALSE,"BAD TARGET",IF(tbldeptemp[[#This Row],[ValidDependency]]=FALSE,"BAD DEPENDENCY",""))</f>
        <v>#ERROR!</v>
      </c>
    </row>
    <row r="55" ht="14.25" customHeight="1">
      <c r="A55" s="26" t="s">
        <v>626</v>
      </c>
      <c r="B55" s="26" t="s">
        <v>5185</v>
      </c>
      <c r="C55" s="26" t="s">
        <v>116</v>
      </c>
      <c r="D55" s="26" t="s">
        <v>4020</v>
      </c>
      <c r="E55" s="26" t="s">
        <v>4020</v>
      </c>
      <c r="F55" s="26" t="b">
        <v>1</v>
      </c>
      <c r="G55" s="26" t="s">
        <v>5100</v>
      </c>
      <c r="H55" s="26" t="s">
        <v>116</v>
      </c>
      <c r="I55" s="26" t="s">
        <v>112</v>
      </c>
      <c r="J55" s="26" t="b">
        <v>1</v>
      </c>
      <c r="K55" s="26" t="str">
        <f>ISNUMBER(_xlfn.XMATCH(tbldeptemp[[#This Row],[DependencyID]],tblTargets[TargetID]))</f>
        <v>#ERROR!</v>
      </c>
      <c r="L55" s="26" t="str">
        <f>IF(tbldeptemp[[#This Row],[ValidTarget]]=FALSE,"BAD TARGET",IF(tbldeptemp[[#This Row],[ValidDependency]]=FALSE,"BAD DEPENDENCY",""))</f>
        <v>#ERROR!</v>
      </c>
    </row>
    <row r="56" ht="14.25" customHeight="1">
      <c r="A56" s="26" t="s">
        <v>626</v>
      </c>
      <c r="B56" s="26" t="s">
        <v>5186</v>
      </c>
      <c r="C56" s="26" t="s">
        <v>122</v>
      </c>
      <c r="D56" s="26" t="s">
        <v>4020</v>
      </c>
      <c r="E56" s="26" t="s">
        <v>4020</v>
      </c>
      <c r="F56" s="26" t="b">
        <v>1</v>
      </c>
      <c r="G56" s="26" t="s">
        <v>5097</v>
      </c>
      <c r="H56" s="26" t="s">
        <v>122</v>
      </c>
      <c r="I56" s="26" t="s">
        <v>112</v>
      </c>
      <c r="J56" s="26" t="b">
        <v>1</v>
      </c>
      <c r="K56" s="26" t="str">
        <f>ISNUMBER(_xlfn.XMATCH(tbldeptemp[[#This Row],[DependencyID]],tblTargets[TargetID]))</f>
        <v>#ERROR!</v>
      </c>
      <c r="L56" s="26" t="str">
        <f>IF(tbldeptemp[[#This Row],[ValidTarget]]=FALSE,"BAD TARGET",IF(tbldeptemp[[#This Row],[ValidDependency]]=FALSE,"BAD DEPENDENCY",""))</f>
        <v>#ERROR!</v>
      </c>
    </row>
    <row r="57" ht="14.25" customHeight="1">
      <c r="A57" s="26" t="s">
        <v>626</v>
      </c>
      <c r="B57" s="26" t="s">
        <v>5186</v>
      </c>
      <c r="C57" s="26" t="s">
        <v>122</v>
      </c>
      <c r="D57" s="26" t="s">
        <v>4024</v>
      </c>
      <c r="E57" s="26" t="s">
        <v>4024</v>
      </c>
      <c r="F57" s="26" t="b">
        <v>1</v>
      </c>
      <c r="G57" s="26" t="s">
        <v>5100</v>
      </c>
      <c r="H57" s="26" t="s">
        <v>122</v>
      </c>
      <c r="I57" s="26" t="s">
        <v>116</v>
      </c>
      <c r="J57" s="26" t="b">
        <v>1</v>
      </c>
      <c r="K57" s="26" t="str">
        <f>ISNUMBER(_xlfn.XMATCH(tbldeptemp[[#This Row],[DependencyID]],tblTargets[TargetID]))</f>
        <v>#ERROR!</v>
      </c>
      <c r="L57" s="26" t="str">
        <f>IF(tbldeptemp[[#This Row],[ValidTarget]]=FALSE,"BAD TARGET",IF(tbldeptemp[[#This Row],[ValidDependency]]=FALSE,"BAD DEPENDENCY",""))</f>
        <v>#ERROR!</v>
      </c>
    </row>
    <row r="58" ht="14.25" customHeight="1">
      <c r="A58" s="26" t="s">
        <v>626</v>
      </c>
      <c r="B58" s="26" t="s">
        <v>5191</v>
      </c>
      <c r="C58" s="26" t="s">
        <v>131</v>
      </c>
      <c r="D58" s="26" t="s">
        <v>4031</v>
      </c>
      <c r="E58" s="26" t="s">
        <v>4031</v>
      </c>
      <c r="F58" s="26" t="b">
        <v>1</v>
      </c>
      <c r="G58" s="26" t="s">
        <v>5100</v>
      </c>
      <c r="H58" s="26" t="s">
        <v>131</v>
      </c>
      <c r="I58" s="26" t="s">
        <v>127</v>
      </c>
      <c r="J58" s="26" t="b">
        <v>1</v>
      </c>
      <c r="K58" s="26" t="str">
        <f>ISNUMBER(_xlfn.XMATCH(tbldeptemp[[#This Row],[DependencyID]],tblTargets[TargetID]))</f>
        <v>#ERROR!</v>
      </c>
      <c r="L58" s="26" t="str">
        <f>IF(tbldeptemp[[#This Row],[ValidTarget]]=FALSE,"BAD TARGET",IF(tbldeptemp[[#This Row],[ValidDependency]]=FALSE,"BAD DEPENDENCY",""))</f>
        <v>#ERROR!</v>
      </c>
    </row>
    <row r="59" ht="14.25" customHeight="1">
      <c r="A59" s="26" t="s">
        <v>1705</v>
      </c>
      <c r="B59" s="26" t="s">
        <v>5192</v>
      </c>
      <c r="C59" s="26" t="s">
        <v>1753</v>
      </c>
      <c r="D59" s="26" t="s">
        <v>5193</v>
      </c>
      <c r="E59" s="26" t="s">
        <v>5194</v>
      </c>
      <c r="F59" s="26" t="b">
        <v>0</v>
      </c>
      <c r="G59" s="26" t="s">
        <v>5097</v>
      </c>
      <c r="H59" s="26" t="s">
        <v>1753</v>
      </c>
      <c r="I59" s="26" t="s">
        <v>679</v>
      </c>
      <c r="J59" s="26" t="b">
        <v>1</v>
      </c>
      <c r="K59" s="26" t="str">
        <f>ISNUMBER(_xlfn.XMATCH(tbldeptemp[[#This Row],[DependencyID]],tblTargets[TargetID]))</f>
        <v>#ERROR!</v>
      </c>
      <c r="L59" s="26" t="str">
        <f>IF(tbldeptemp[[#This Row],[ValidTarget]]=FALSE,"BAD TARGET",IF(tbldeptemp[[#This Row],[ValidDependency]]=FALSE,"BAD DEPENDENCY",""))</f>
        <v>#ERROR!</v>
      </c>
    </row>
    <row r="60" ht="14.25" customHeight="1">
      <c r="A60" s="26" t="s">
        <v>1705</v>
      </c>
      <c r="B60" s="26" t="s">
        <v>5195</v>
      </c>
      <c r="C60" s="26" t="s">
        <v>1756</v>
      </c>
      <c r="D60" s="26" t="s">
        <v>5193</v>
      </c>
      <c r="E60" s="26" t="s">
        <v>5194</v>
      </c>
      <c r="F60" s="26" t="b">
        <v>0</v>
      </c>
      <c r="G60" s="26" t="s">
        <v>5100</v>
      </c>
      <c r="H60" s="26" t="s">
        <v>1756</v>
      </c>
      <c r="I60" s="26" t="s">
        <v>679</v>
      </c>
      <c r="J60" s="26" t="b">
        <v>1</v>
      </c>
      <c r="K60" s="26" t="str">
        <f>ISNUMBER(_xlfn.XMATCH(tbldeptemp[[#This Row],[DependencyID]],tblTargets[TargetID]))</f>
        <v>#ERROR!</v>
      </c>
      <c r="L60" s="26" t="str">
        <f>IF(tbldeptemp[[#This Row],[ValidTarget]]=FALSE,"BAD TARGET",IF(tbldeptemp[[#This Row],[ValidDependency]]=FALSE,"BAD DEPENDENCY",""))</f>
        <v>#ERROR!</v>
      </c>
    </row>
    <row r="61" ht="14.25" customHeight="1">
      <c r="A61" s="26" t="s">
        <v>626</v>
      </c>
      <c r="B61" s="26" t="s">
        <v>5196</v>
      </c>
      <c r="C61" s="26" t="s">
        <v>145</v>
      </c>
      <c r="D61" s="26" t="s">
        <v>4042</v>
      </c>
      <c r="E61" s="26" t="s">
        <v>4042</v>
      </c>
      <c r="F61" s="26" t="b">
        <v>0</v>
      </c>
      <c r="G61" s="26" t="s">
        <v>5100</v>
      </c>
      <c r="H61" s="26" t="s">
        <v>145</v>
      </c>
      <c r="I61" s="26" t="s">
        <v>138</v>
      </c>
      <c r="J61" s="26" t="b">
        <v>1</v>
      </c>
      <c r="K61" s="26" t="str">
        <f>ISNUMBER(_xlfn.XMATCH(tbldeptemp[[#This Row],[DependencyID]],tblTargets[TargetID]))</f>
        <v>#ERROR!</v>
      </c>
      <c r="L61" s="26" t="str">
        <f>IF(tbldeptemp[[#This Row],[ValidTarget]]=FALSE,"BAD TARGET",IF(tbldeptemp[[#This Row],[ValidDependency]]=FALSE,"BAD DEPENDENCY",""))</f>
        <v>#ERROR!</v>
      </c>
    </row>
    <row r="62" ht="14.25" customHeight="1">
      <c r="A62" s="26" t="s">
        <v>1151</v>
      </c>
      <c r="B62" s="26" t="s">
        <v>5002</v>
      </c>
      <c r="C62" s="26" t="s">
        <v>1325</v>
      </c>
      <c r="D62" s="26" t="s">
        <v>5007</v>
      </c>
      <c r="E62" s="26" t="s">
        <v>5007</v>
      </c>
      <c r="F62" s="26" t="b">
        <v>0</v>
      </c>
      <c r="G62" s="26" t="s">
        <v>5100</v>
      </c>
      <c r="H62" s="26" t="s">
        <v>1325</v>
      </c>
      <c r="I62" s="26" t="s">
        <v>145</v>
      </c>
      <c r="J62" s="26" t="b">
        <v>1</v>
      </c>
      <c r="K62" s="26" t="str">
        <f>ISNUMBER(_xlfn.XMATCH(tbldeptemp[[#This Row],[DependencyID]],tblTargets[TargetID]))</f>
        <v>#ERROR!</v>
      </c>
      <c r="L62" s="26" t="str">
        <f>IF(tbldeptemp[[#This Row],[ValidTarget]]=FALSE,"BAD TARGET",IF(tbldeptemp[[#This Row],[ValidDependency]]=FALSE,"BAD DEPENDENCY",""))</f>
        <v>#ERROR!</v>
      </c>
    </row>
    <row r="63" ht="14.25" customHeight="1">
      <c r="A63" s="26" t="s">
        <v>626</v>
      </c>
      <c r="B63" s="26" t="s">
        <v>5197</v>
      </c>
      <c r="C63" s="26" t="s">
        <v>679</v>
      </c>
      <c r="E63" s="26" t="e">
        <v>#N/A</v>
      </c>
      <c r="H63" s="26" t="s">
        <v>679</v>
      </c>
      <c r="I63" s="26" t="s">
        <v>145</v>
      </c>
      <c r="J63" s="26" t="b">
        <v>1</v>
      </c>
      <c r="K63" s="26" t="str">
        <f>ISNUMBER(_xlfn.XMATCH(tbldeptemp[[#This Row],[DependencyID]],tblTargets[TargetID]))</f>
        <v>#ERROR!</v>
      </c>
      <c r="L63" s="26" t="str">
        <f>IF(tbldeptemp[[#This Row],[ValidTarget]]=FALSE,"BAD TARGET",IF(tbldeptemp[[#This Row],[ValidDependency]]=FALSE,"BAD DEPENDENCY",""))</f>
        <v>#ERROR!</v>
      </c>
    </row>
    <row r="64" ht="14.25" customHeight="1">
      <c r="A64" s="26" t="s">
        <v>626</v>
      </c>
      <c r="B64" s="26" t="s">
        <v>5198</v>
      </c>
      <c r="C64" s="26" t="s">
        <v>159</v>
      </c>
      <c r="D64" s="26" t="s">
        <v>4881</v>
      </c>
      <c r="E64" s="26" t="s">
        <v>4050</v>
      </c>
      <c r="F64" s="26" t="b">
        <v>1</v>
      </c>
      <c r="G64" s="26" t="s">
        <v>5100</v>
      </c>
      <c r="H64" s="26" t="s">
        <v>159</v>
      </c>
      <c r="I64" s="26" t="s">
        <v>151</v>
      </c>
      <c r="J64" s="26" t="b">
        <v>1</v>
      </c>
      <c r="K64" s="26" t="str">
        <f>ISNUMBER(_xlfn.XMATCH(tbldeptemp[[#This Row],[DependencyID]],tblTargets[TargetID]))</f>
        <v>#ERROR!</v>
      </c>
      <c r="L64" s="26" t="str">
        <f>IF(tbldeptemp[[#This Row],[ValidTarget]]=FALSE,"BAD TARGET",IF(tbldeptemp[[#This Row],[ValidDependency]]=FALSE,"BAD DEPENDENCY",""))</f>
        <v>#ERROR!</v>
      </c>
    </row>
    <row r="65" ht="14.25" customHeight="1">
      <c r="A65" s="26" t="s">
        <v>1117</v>
      </c>
      <c r="B65" s="26" t="s">
        <v>4591</v>
      </c>
      <c r="C65" s="26" t="s">
        <v>850</v>
      </c>
      <c r="D65" s="26" t="s">
        <v>4881</v>
      </c>
      <c r="E65" s="26" t="s">
        <v>4050</v>
      </c>
      <c r="F65" s="26" t="b">
        <v>1</v>
      </c>
      <c r="G65" s="26" t="s">
        <v>5097</v>
      </c>
      <c r="H65" s="26" t="s">
        <v>850</v>
      </c>
      <c r="I65" s="26" t="s">
        <v>151</v>
      </c>
      <c r="J65" s="26" t="b">
        <v>1</v>
      </c>
      <c r="K65" s="26" t="str">
        <f>ISNUMBER(_xlfn.XMATCH(tbldeptemp[[#This Row],[DependencyID]],tblTargets[TargetID]))</f>
        <v>#ERROR!</v>
      </c>
      <c r="L65" s="26" t="str">
        <f>IF(tbldeptemp[[#This Row],[ValidTarget]]=FALSE,"BAD TARGET",IF(tbldeptemp[[#This Row],[ValidDependency]]=FALSE,"BAD DEPENDENCY",""))</f>
        <v>#ERROR!</v>
      </c>
    </row>
    <row r="66" ht="14.25" customHeight="1">
      <c r="A66" s="26" t="s">
        <v>1117</v>
      </c>
      <c r="B66" s="26" t="s">
        <v>4619</v>
      </c>
      <c r="C66" s="26" t="s">
        <v>876</v>
      </c>
      <c r="D66" s="26" t="s">
        <v>4881</v>
      </c>
      <c r="E66" s="26" t="s">
        <v>4050</v>
      </c>
      <c r="F66" s="26" t="b">
        <v>1</v>
      </c>
      <c r="G66" s="26" t="s">
        <v>5097</v>
      </c>
      <c r="H66" s="26" t="s">
        <v>876</v>
      </c>
      <c r="I66" s="26" t="s">
        <v>151</v>
      </c>
      <c r="J66" s="26" t="b">
        <v>1</v>
      </c>
      <c r="K66" s="26" t="str">
        <f>ISNUMBER(_xlfn.XMATCH(tbldeptemp[[#This Row],[DependencyID]],tblTargets[TargetID]))</f>
        <v>#ERROR!</v>
      </c>
      <c r="L66" s="26" t="str">
        <f>IF(tbldeptemp[[#This Row],[ValidTarget]]=FALSE,"BAD TARGET",IF(tbldeptemp[[#This Row],[ValidDependency]]=FALSE,"BAD DEPENDENCY",""))</f>
        <v>#ERROR!</v>
      </c>
    </row>
    <row r="67" ht="14.25" customHeight="1">
      <c r="A67" s="26" t="s">
        <v>1117</v>
      </c>
      <c r="B67" s="26" t="s">
        <v>4644</v>
      </c>
      <c r="C67" s="26" t="s">
        <v>914</v>
      </c>
      <c r="D67" s="26" t="s">
        <v>4881</v>
      </c>
      <c r="E67" s="26" t="s">
        <v>4050</v>
      </c>
      <c r="F67" s="26" t="b">
        <v>1</v>
      </c>
      <c r="G67" s="26" t="s">
        <v>5097</v>
      </c>
      <c r="H67" s="26" t="s">
        <v>914</v>
      </c>
      <c r="I67" s="26" t="s">
        <v>151</v>
      </c>
      <c r="J67" s="26" t="b">
        <v>1</v>
      </c>
      <c r="K67" s="26" t="str">
        <f>ISNUMBER(_xlfn.XMATCH(tbldeptemp[[#This Row],[DependencyID]],tblTargets[TargetID]))</f>
        <v>#ERROR!</v>
      </c>
      <c r="L67" s="26" t="str">
        <f>IF(tbldeptemp[[#This Row],[ValidTarget]]=FALSE,"BAD TARGET",IF(tbldeptemp[[#This Row],[ValidDependency]]=FALSE,"BAD DEPENDENCY",""))</f>
        <v>#ERROR!</v>
      </c>
    </row>
    <row r="68" ht="14.25" customHeight="1">
      <c r="A68" s="26" t="s">
        <v>1151</v>
      </c>
      <c r="B68" s="26" t="s">
        <v>4875</v>
      </c>
      <c r="C68" s="26" t="s">
        <v>1214</v>
      </c>
      <c r="D68" s="26" t="s">
        <v>4881</v>
      </c>
      <c r="E68" s="26" t="s">
        <v>4050</v>
      </c>
      <c r="F68" s="26" t="b">
        <v>1</v>
      </c>
      <c r="G68" s="26" t="s">
        <v>5100</v>
      </c>
      <c r="H68" s="26" t="s">
        <v>1214</v>
      </c>
      <c r="I68" s="26" t="s">
        <v>151</v>
      </c>
      <c r="J68" s="26" t="b">
        <v>1</v>
      </c>
      <c r="K68" s="26" t="str">
        <f>ISNUMBER(_xlfn.XMATCH(tbldeptemp[[#This Row],[DependencyID]],tblTargets[TargetID]))</f>
        <v>#ERROR!</v>
      </c>
      <c r="L68" s="26" t="str">
        <f>IF(tbldeptemp[[#This Row],[ValidTarget]]=FALSE,"BAD TARGET",IF(tbldeptemp[[#This Row],[ValidDependency]]=FALSE,"BAD DEPENDENCY",""))</f>
        <v>#ERROR!</v>
      </c>
    </row>
    <row r="69" ht="14.25" customHeight="1">
      <c r="A69" s="26" t="s">
        <v>626</v>
      </c>
      <c r="B69" s="26" t="s">
        <v>5203</v>
      </c>
      <c r="C69" s="26" t="s">
        <v>165</v>
      </c>
      <c r="D69" s="26" t="s">
        <v>4055</v>
      </c>
      <c r="E69" s="26" t="s">
        <v>4055</v>
      </c>
      <c r="F69" s="26" t="b">
        <v>1</v>
      </c>
      <c r="G69" s="26" t="s">
        <v>5100</v>
      </c>
      <c r="H69" s="26" t="s">
        <v>165</v>
      </c>
      <c r="I69" s="26" t="s">
        <v>159</v>
      </c>
      <c r="J69" s="26" t="b">
        <v>1</v>
      </c>
      <c r="K69" s="26" t="str">
        <f>ISNUMBER(_xlfn.XMATCH(tbldeptemp[[#This Row],[DependencyID]],tblTargets[TargetID]))</f>
        <v>#ERROR!</v>
      </c>
      <c r="L69" s="26" t="str">
        <f>IF(tbldeptemp[[#This Row],[ValidTarget]]=FALSE,"BAD TARGET",IF(tbldeptemp[[#This Row],[ValidDependency]]=FALSE,"BAD DEPENDENCY",""))</f>
        <v>#ERROR!</v>
      </c>
    </row>
    <row r="70" ht="14.25" customHeight="1">
      <c r="A70" s="26" t="s">
        <v>626</v>
      </c>
      <c r="B70" s="26" t="s">
        <v>5204</v>
      </c>
      <c r="C70" s="26" t="s">
        <v>172</v>
      </c>
      <c r="D70" s="26" t="s">
        <v>4375</v>
      </c>
      <c r="E70" s="26" t="s">
        <v>4059</v>
      </c>
      <c r="F70" s="26" t="b">
        <v>1</v>
      </c>
      <c r="G70" s="26" t="s">
        <v>5100</v>
      </c>
      <c r="H70" s="26" t="s">
        <v>172</v>
      </c>
      <c r="I70" s="26" t="s">
        <v>165</v>
      </c>
      <c r="J70" s="26" t="b">
        <v>1</v>
      </c>
      <c r="K70" s="26" t="str">
        <f>ISNUMBER(_xlfn.XMATCH(tbldeptemp[[#This Row],[DependencyID]],tblTargets[TargetID]))</f>
        <v>#ERROR!</v>
      </c>
      <c r="L70" s="26" t="str">
        <f>IF(tbldeptemp[[#This Row],[ValidTarget]]=FALSE,"BAD TARGET",IF(tbldeptemp[[#This Row],[ValidDependency]]=FALSE,"BAD DEPENDENCY",""))</f>
        <v>#ERROR!</v>
      </c>
    </row>
    <row r="71" ht="14.25" customHeight="1">
      <c r="A71" s="26" t="s">
        <v>932</v>
      </c>
      <c r="B71" s="26" t="s">
        <v>4373</v>
      </c>
      <c r="C71" s="26" t="s">
        <v>505</v>
      </c>
      <c r="D71" s="26" t="s">
        <v>4375</v>
      </c>
      <c r="E71" s="26" t="s">
        <v>4059</v>
      </c>
      <c r="F71" s="26" t="b">
        <v>1</v>
      </c>
      <c r="G71" s="26" t="s">
        <v>5100</v>
      </c>
      <c r="H71" s="26" t="s">
        <v>505</v>
      </c>
      <c r="I71" s="26" t="s">
        <v>165</v>
      </c>
      <c r="J71" s="26" t="b">
        <v>1</v>
      </c>
      <c r="K71" s="26" t="str">
        <f>ISNUMBER(_xlfn.XMATCH(tbldeptemp[[#This Row],[DependencyID]],tblTargets[TargetID]))</f>
        <v>#ERROR!</v>
      </c>
      <c r="L71" s="26" t="str">
        <f>IF(tbldeptemp[[#This Row],[ValidTarget]]=FALSE,"BAD TARGET",IF(tbldeptemp[[#This Row],[ValidDependency]]=FALSE,"BAD DEPENDENCY",""))</f>
        <v>#ERROR!</v>
      </c>
    </row>
    <row r="72" ht="14.25" customHeight="1">
      <c r="A72" s="26" t="s">
        <v>932</v>
      </c>
      <c r="B72" s="26" t="s">
        <v>4386</v>
      </c>
      <c r="C72" s="26" t="s">
        <v>515</v>
      </c>
      <c r="D72" s="26" t="s">
        <v>4375</v>
      </c>
      <c r="E72" s="26" t="s">
        <v>4059</v>
      </c>
      <c r="F72" s="26" t="b">
        <v>1</v>
      </c>
      <c r="G72" s="26" t="s">
        <v>5097</v>
      </c>
      <c r="H72" s="26" t="s">
        <v>515</v>
      </c>
      <c r="I72" s="26" t="s">
        <v>165</v>
      </c>
      <c r="J72" s="26" t="b">
        <v>1</v>
      </c>
      <c r="K72" s="26" t="str">
        <f>ISNUMBER(_xlfn.XMATCH(tbldeptemp[[#This Row],[DependencyID]],tblTargets[TargetID]))</f>
        <v>#ERROR!</v>
      </c>
      <c r="L72" s="26" t="str">
        <f>IF(tbldeptemp[[#This Row],[ValidTarget]]=FALSE,"BAD TARGET",IF(tbldeptemp[[#This Row],[ValidDependency]]=FALSE,"BAD DEPENDENCY",""))</f>
        <v>#ERROR!</v>
      </c>
    </row>
    <row r="73" ht="14.25" customHeight="1">
      <c r="A73" s="26" t="s">
        <v>932</v>
      </c>
      <c r="B73" s="26" t="s">
        <v>4390</v>
      </c>
      <c r="C73" s="26" t="s">
        <v>516</v>
      </c>
      <c r="D73" s="26" t="s">
        <v>4375</v>
      </c>
      <c r="E73" s="26" t="s">
        <v>4059</v>
      </c>
      <c r="F73" s="26" t="b">
        <v>1</v>
      </c>
      <c r="G73" s="26" t="s">
        <v>5097</v>
      </c>
      <c r="H73" s="26" t="s">
        <v>516</v>
      </c>
      <c r="I73" s="26" t="s">
        <v>165</v>
      </c>
      <c r="J73" s="26" t="b">
        <v>1</v>
      </c>
      <c r="K73" s="26" t="str">
        <f>ISNUMBER(_xlfn.XMATCH(tbldeptemp[[#This Row],[DependencyID]],tblTargets[TargetID]))</f>
        <v>#ERROR!</v>
      </c>
      <c r="L73" s="26" t="str">
        <f>IF(tbldeptemp[[#This Row],[ValidTarget]]=FALSE,"BAD TARGET",IF(tbldeptemp[[#This Row],[ValidDependency]]=FALSE,"BAD DEPENDENCY",""))</f>
        <v>#ERROR!</v>
      </c>
    </row>
    <row r="74" ht="14.25" customHeight="1">
      <c r="A74" s="26" t="s">
        <v>1705</v>
      </c>
      <c r="B74" s="26" t="s">
        <v>5205</v>
      </c>
      <c r="C74" s="26" t="s">
        <v>1758</v>
      </c>
      <c r="D74" s="26" t="s">
        <v>4375</v>
      </c>
      <c r="E74" s="26" t="s">
        <v>4059</v>
      </c>
      <c r="F74" s="26" t="b">
        <v>1</v>
      </c>
      <c r="G74" s="26" t="s">
        <v>5100</v>
      </c>
      <c r="H74" s="26" t="s">
        <v>1758</v>
      </c>
      <c r="I74" s="26" t="s">
        <v>165</v>
      </c>
      <c r="J74" s="26" t="b">
        <v>1</v>
      </c>
      <c r="K74" s="26" t="str">
        <f>ISNUMBER(_xlfn.XMATCH(tbldeptemp[[#This Row],[DependencyID]],tblTargets[TargetID]))</f>
        <v>#ERROR!</v>
      </c>
      <c r="L74" s="26" t="str">
        <f>IF(tbldeptemp[[#This Row],[ValidTarget]]=FALSE,"BAD TARGET",IF(tbldeptemp[[#This Row],[ValidDependency]]=FALSE,"BAD DEPENDENCY",""))</f>
        <v>#ERROR!</v>
      </c>
    </row>
    <row r="75" ht="14.25" customHeight="1">
      <c r="A75" s="26" t="s">
        <v>626</v>
      </c>
      <c r="B75" s="26" t="s">
        <v>5209</v>
      </c>
      <c r="C75" s="26" t="s">
        <v>177</v>
      </c>
      <c r="D75" s="26" t="s">
        <v>5212</v>
      </c>
      <c r="E75" s="26" t="s">
        <v>4063</v>
      </c>
      <c r="F75" s="26" t="b">
        <v>1</v>
      </c>
      <c r="G75" s="26" t="s">
        <v>5100</v>
      </c>
      <c r="H75" s="26" t="s">
        <v>177</v>
      </c>
      <c r="I75" s="26" t="s">
        <v>172</v>
      </c>
      <c r="J75" s="26" t="b">
        <v>1</v>
      </c>
      <c r="K75" s="26" t="str">
        <f>ISNUMBER(_xlfn.XMATCH(tbldeptemp[[#This Row],[DependencyID]],tblTargets[TargetID]))</f>
        <v>#ERROR!</v>
      </c>
      <c r="L75" s="26" t="str">
        <f>IF(tbldeptemp[[#This Row],[ValidTarget]]=FALSE,"BAD TARGET",IF(tbldeptemp[[#This Row],[ValidDependency]]=FALSE,"BAD DEPENDENCY",""))</f>
        <v>#ERROR!</v>
      </c>
    </row>
    <row r="76" ht="14.25" customHeight="1">
      <c r="A76" s="26" t="s">
        <v>932</v>
      </c>
      <c r="B76" s="26" t="s">
        <v>4376</v>
      </c>
      <c r="C76" s="26" t="s">
        <v>509</v>
      </c>
      <c r="D76" s="26" t="s">
        <v>5212</v>
      </c>
      <c r="E76" s="26" t="s">
        <v>4063</v>
      </c>
      <c r="F76" s="26" t="b">
        <v>1</v>
      </c>
      <c r="G76" s="26" t="s">
        <v>5097</v>
      </c>
      <c r="H76" s="26" t="s">
        <v>509</v>
      </c>
      <c r="I76" s="26" t="s">
        <v>172</v>
      </c>
      <c r="J76" s="26" t="b">
        <v>1</v>
      </c>
      <c r="K76" s="26" t="str">
        <f>ISNUMBER(_xlfn.XMATCH(tbldeptemp[[#This Row],[DependencyID]],tblTargets[TargetID]))</f>
        <v>#ERROR!</v>
      </c>
      <c r="L76" s="26" t="str">
        <f>IF(tbldeptemp[[#This Row],[ValidTarget]]=FALSE,"BAD TARGET",IF(tbldeptemp[[#This Row],[ValidDependency]]=FALSE,"BAD DEPENDENCY",""))</f>
        <v>#ERROR!</v>
      </c>
    </row>
    <row r="77" ht="14.25" customHeight="1">
      <c r="A77" s="26" t="s">
        <v>932</v>
      </c>
      <c r="B77" s="26" t="s">
        <v>4394</v>
      </c>
      <c r="C77" s="26" t="s">
        <v>518</v>
      </c>
      <c r="D77" s="26" t="s">
        <v>5212</v>
      </c>
      <c r="E77" s="26" t="s">
        <v>4063</v>
      </c>
      <c r="F77" s="26" t="b">
        <v>1</v>
      </c>
      <c r="G77" s="26" t="s">
        <v>5097</v>
      </c>
      <c r="H77" s="26" t="s">
        <v>518</v>
      </c>
      <c r="I77" s="26" t="s">
        <v>172</v>
      </c>
      <c r="J77" s="26" t="b">
        <v>1</v>
      </c>
      <c r="K77" s="26" t="str">
        <f>ISNUMBER(_xlfn.XMATCH(tbldeptemp[[#This Row],[DependencyID]],tblTargets[TargetID]))</f>
        <v>#ERROR!</v>
      </c>
      <c r="L77" s="26" t="str">
        <f>IF(tbldeptemp[[#This Row],[ValidTarget]]=FALSE,"BAD TARGET",IF(tbldeptemp[[#This Row],[ValidDependency]]=FALSE,"BAD DEPENDENCY",""))</f>
        <v>#ERROR!</v>
      </c>
    </row>
    <row r="78" ht="14.25" customHeight="1">
      <c r="A78" s="26" t="s">
        <v>932</v>
      </c>
      <c r="B78" s="26" t="s">
        <v>4362</v>
      </c>
      <c r="C78" s="26" t="s">
        <v>482</v>
      </c>
      <c r="D78" s="26" t="s">
        <v>5214</v>
      </c>
      <c r="E78" s="26" t="s">
        <v>5215</v>
      </c>
      <c r="F78" s="26" t="b">
        <v>1</v>
      </c>
      <c r="G78" s="26" t="s">
        <v>5097</v>
      </c>
      <c r="H78" s="26" t="s">
        <v>482</v>
      </c>
      <c r="I78" s="26" t="s">
        <v>177</v>
      </c>
      <c r="J78" s="26" t="b">
        <v>1</v>
      </c>
      <c r="K78" s="26" t="str">
        <f>ISNUMBER(_xlfn.XMATCH(tbldeptemp[[#This Row],[DependencyID]],tblTargets[TargetID]))</f>
        <v>#ERROR!</v>
      </c>
      <c r="L78" s="26" t="str">
        <f>IF(tbldeptemp[[#This Row],[ValidTarget]]=FALSE,"BAD TARGET",IF(tbldeptemp[[#This Row],[ValidDependency]]=FALSE,"BAD DEPENDENCY",""))</f>
        <v>#ERROR!</v>
      </c>
    </row>
    <row r="79" ht="14.25" customHeight="1">
      <c r="A79" s="26" t="s">
        <v>932</v>
      </c>
      <c r="B79" s="26" t="s">
        <v>4369</v>
      </c>
      <c r="C79" s="26" t="s">
        <v>500</v>
      </c>
      <c r="D79" s="26" t="s">
        <v>5214</v>
      </c>
      <c r="E79" s="26" t="s">
        <v>5215</v>
      </c>
      <c r="F79" s="26" t="b">
        <v>1</v>
      </c>
      <c r="G79" s="26" t="s">
        <v>5097</v>
      </c>
      <c r="H79" s="26" t="s">
        <v>500</v>
      </c>
      <c r="I79" s="26" t="s">
        <v>177</v>
      </c>
      <c r="J79" s="26" t="b">
        <v>1</v>
      </c>
      <c r="K79" s="26" t="str">
        <f>ISNUMBER(_xlfn.XMATCH(tbldeptemp[[#This Row],[DependencyID]],tblTargets[TargetID]))</f>
        <v>#ERROR!</v>
      </c>
      <c r="L79" s="26" t="str">
        <f>IF(tbldeptemp[[#This Row],[ValidTarget]]=FALSE,"BAD TARGET",IF(tbldeptemp[[#This Row],[ValidDependency]]=FALSE,"BAD DEPENDENCY",""))</f>
        <v>#ERROR!</v>
      </c>
    </row>
    <row r="80" ht="14.25" customHeight="1">
      <c r="A80" s="26" t="s">
        <v>932</v>
      </c>
      <c r="B80" s="26" t="s">
        <v>4380</v>
      </c>
      <c r="C80" s="26" t="s">
        <v>511</v>
      </c>
      <c r="D80" s="26" t="s">
        <v>5214</v>
      </c>
      <c r="E80" s="26" t="s">
        <v>5215</v>
      </c>
      <c r="F80" s="26" t="b">
        <v>1</v>
      </c>
      <c r="G80" s="26" t="s">
        <v>5097</v>
      </c>
      <c r="H80" s="26" t="s">
        <v>511</v>
      </c>
      <c r="I80" s="26" t="s">
        <v>177</v>
      </c>
      <c r="J80" s="26" t="b">
        <v>1</v>
      </c>
      <c r="K80" s="26" t="str">
        <f>ISNUMBER(_xlfn.XMATCH(tbldeptemp[[#This Row],[DependencyID]],tblTargets[TargetID]))</f>
        <v>#ERROR!</v>
      </c>
      <c r="L80" s="26" t="str">
        <f>IF(tbldeptemp[[#This Row],[ValidTarget]]=FALSE,"BAD TARGET",IF(tbldeptemp[[#This Row],[ValidDependency]]=FALSE,"BAD DEPENDENCY",""))</f>
        <v>#ERROR!</v>
      </c>
    </row>
    <row r="81" ht="14.25" customHeight="1">
      <c r="A81" s="26" t="s">
        <v>932</v>
      </c>
      <c r="B81" s="26" t="s">
        <v>4395</v>
      </c>
      <c r="C81" s="26" t="s">
        <v>521</v>
      </c>
      <c r="D81" s="26" t="s">
        <v>5214</v>
      </c>
      <c r="E81" s="26" t="s">
        <v>5215</v>
      </c>
      <c r="F81" s="26" t="b">
        <v>1</v>
      </c>
      <c r="G81" s="26" t="s">
        <v>5097</v>
      </c>
      <c r="H81" s="26" t="s">
        <v>521</v>
      </c>
      <c r="I81" s="26" t="s">
        <v>177</v>
      </c>
      <c r="J81" s="26" t="b">
        <v>1</v>
      </c>
      <c r="K81" s="26" t="str">
        <f>ISNUMBER(_xlfn.XMATCH(tbldeptemp[[#This Row],[DependencyID]],tblTargets[TargetID]))</f>
        <v>#ERROR!</v>
      </c>
      <c r="L81" s="26" t="str">
        <f>IF(tbldeptemp[[#This Row],[ValidTarget]]=FALSE,"BAD TARGET",IF(tbldeptemp[[#This Row],[ValidDependency]]=FALSE,"BAD DEPENDENCY",""))</f>
        <v>#ERROR!</v>
      </c>
    </row>
    <row r="82" ht="14.25" customHeight="1">
      <c r="A82" s="26" t="s">
        <v>1117</v>
      </c>
      <c r="B82" s="26" t="s">
        <v>4624</v>
      </c>
      <c r="C82" s="26" t="s">
        <v>885</v>
      </c>
      <c r="D82" s="26" t="s">
        <v>5214</v>
      </c>
      <c r="E82" s="26" t="s">
        <v>5215</v>
      </c>
      <c r="F82" s="26" t="b">
        <v>1</v>
      </c>
      <c r="G82" s="26" t="s">
        <v>5097</v>
      </c>
      <c r="H82" s="26" t="s">
        <v>885</v>
      </c>
      <c r="I82" s="26" t="s">
        <v>177</v>
      </c>
      <c r="J82" s="26" t="b">
        <v>1</v>
      </c>
      <c r="K82" s="26" t="str">
        <f>ISNUMBER(_xlfn.XMATCH(tbldeptemp[[#This Row],[DependencyID]],tblTargets[TargetID]))</f>
        <v>#ERROR!</v>
      </c>
      <c r="L82" s="26" t="str">
        <f>IF(tbldeptemp[[#This Row],[ValidTarget]]=FALSE,"BAD TARGET",IF(tbldeptemp[[#This Row],[ValidDependency]]=FALSE,"BAD DEPENDENCY",""))</f>
        <v>#ERROR!</v>
      </c>
    </row>
    <row r="83" ht="14.25" customHeight="1">
      <c r="A83" s="26" t="s">
        <v>1151</v>
      </c>
      <c r="B83" s="26" t="s">
        <v>4764</v>
      </c>
      <c r="C83" s="26" t="s">
        <v>1053</v>
      </c>
      <c r="D83" s="26" t="s">
        <v>5214</v>
      </c>
      <c r="E83" s="26" t="s">
        <v>5215</v>
      </c>
      <c r="F83" s="26" t="b">
        <v>1</v>
      </c>
      <c r="G83" s="26" t="s">
        <v>5097</v>
      </c>
      <c r="H83" s="26" t="s">
        <v>1053</v>
      </c>
      <c r="I83" s="26" t="s">
        <v>177</v>
      </c>
      <c r="J83" s="26" t="b">
        <v>1</v>
      </c>
      <c r="K83" s="26" t="str">
        <f>ISNUMBER(_xlfn.XMATCH(tbldeptemp[[#This Row],[DependencyID]],tblTargets[TargetID]))</f>
        <v>#ERROR!</v>
      </c>
      <c r="L83" s="26" t="str">
        <f>IF(tbldeptemp[[#This Row],[ValidTarget]]=FALSE,"BAD TARGET",IF(tbldeptemp[[#This Row],[ValidDependency]]=FALSE,"BAD DEPENDENCY",""))</f>
        <v>#ERROR!</v>
      </c>
    </row>
    <row r="84" ht="14.25" customHeight="1">
      <c r="A84" s="26" t="s">
        <v>626</v>
      </c>
      <c r="B84" s="26" t="s">
        <v>5218</v>
      </c>
      <c r="C84" s="26" t="s">
        <v>687</v>
      </c>
      <c r="E84" s="26" t="e">
        <v>#N/A</v>
      </c>
      <c r="H84" s="26" t="s">
        <v>687</v>
      </c>
      <c r="I84" s="26" t="s">
        <v>177</v>
      </c>
      <c r="J84" s="26" t="b">
        <v>1</v>
      </c>
      <c r="K84" s="26" t="str">
        <f>ISNUMBER(_xlfn.XMATCH(tbldeptemp[[#This Row],[DependencyID]],tblTargets[TargetID]))</f>
        <v>#ERROR!</v>
      </c>
      <c r="L84" s="26" t="str">
        <f>IF(tbldeptemp[[#This Row],[ValidTarget]]=FALSE,"BAD TARGET",IF(tbldeptemp[[#This Row],[ValidDependency]]=FALSE,"BAD DEPENDENCY",""))</f>
        <v>#ERROR!</v>
      </c>
    </row>
    <row r="85" ht="14.25" customHeight="1">
      <c r="A85" s="26" t="s">
        <v>1705</v>
      </c>
      <c r="B85" s="26" t="s">
        <v>5223</v>
      </c>
      <c r="C85" s="26" t="s">
        <v>1760</v>
      </c>
      <c r="D85" s="26" t="s">
        <v>5224</v>
      </c>
      <c r="E85" s="26" t="s">
        <v>5225</v>
      </c>
      <c r="F85" s="26" t="b">
        <v>0</v>
      </c>
      <c r="G85" s="26" t="s">
        <v>5100</v>
      </c>
      <c r="H85" s="26" t="s">
        <v>1760</v>
      </c>
      <c r="I85" s="26" t="s">
        <v>705</v>
      </c>
      <c r="J85" s="26" t="b">
        <v>1</v>
      </c>
      <c r="K85" s="26" t="str">
        <f>ISNUMBER(_xlfn.XMATCH(tbldeptemp[[#This Row],[DependencyID]],tblTargets[TargetID]))</f>
        <v>#ERROR!</v>
      </c>
      <c r="L85" s="26" t="str">
        <f>IF(tbldeptemp[[#This Row],[ValidTarget]]=FALSE,"BAD TARGET",IF(tbldeptemp[[#This Row],[ValidDependency]]=FALSE,"BAD DEPENDENCY",""))</f>
        <v>#ERROR!</v>
      </c>
    </row>
    <row r="86" ht="14.25" customHeight="1">
      <c r="A86" s="26" t="s">
        <v>626</v>
      </c>
      <c r="B86" s="26" t="s">
        <v>5226</v>
      </c>
      <c r="C86" s="26" t="s">
        <v>195</v>
      </c>
      <c r="D86" s="26" t="s">
        <v>4081</v>
      </c>
      <c r="E86" s="26" t="s">
        <v>4081</v>
      </c>
      <c r="F86" s="26" t="b">
        <v>1</v>
      </c>
      <c r="G86" s="26" t="s">
        <v>5100</v>
      </c>
      <c r="H86" s="26" t="s">
        <v>195</v>
      </c>
      <c r="I86" s="26" t="s">
        <v>188</v>
      </c>
      <c r="J86" s="26" t="b">
        <v>1</v>
      </c>
      <c r="K86" s="26" t="str">
        <f>ISNUMBER(_xlfn.XMATCH(tbldeptemp[[#This Row],[DependencyID]],tblTargets[TargetID]))</f>
        <v>#ERROR!</v>
      </c>
      <c r="L86" s="26" t="str">
        <f>IF(tbldeptemp[[#This Row],[ValidTarget]]=FALSE,"BAD TARGET",IF(tbldeptemp[[#This Row],[ValidDependency]]=FALSE,"BAD DEPENDENCY",""))</f>
        <v>#ERROR!</v>
      </c>
    </row>
    <row r="87" ht="14.25" customHeight="1">
      <c r="A87" s="26" t="s">
        <v>626</v>
      </c>
      <c r="B87" s="26" t="s">
        <v>5227</v>
      </c>
      <c r="C87" s="26" t="s">
        <v>199</v>
      </c>
      <c r="D87" s="26" t="s">
        <v>4081</v>
      </c>
      <c r="E87" s="26" t="s">
        <v>4081</v>
      </c>
      <c r="F87" s="26" t="b">
        <v>1</v>
      </c>
      <c r="G87" s="26" t="s">
        <v>5097</v>
      </c>
      <c r="H87" s="26" t="s">
        <v>199</v>
      </c>
      <c r="I87" s="26" t="s">
        <v>188</v>
      </c>
      <c r="J87" s="26" t="b">
        <v>1</v>
      </c>
      <c r="K87" s="26" t="str">
        <f>ISNUMBER(_xlfn.XMATCH(tbldeptemp[[#This Row],[DependencyID]],tblTargets[TargetID]))</f>
        <v>#ERROR!</v>
      </c>
      <c r="L87" s="26" t="str">
        <f>IF(tbldeptemp[[#This Row],[ValidTarget]]=FALSE,"BAD TARGET",IF(tbldeptemp[[#This Row],[ValidDependency]]=FALSE,"BAD DEPENDENCY",""))</f>
        <v>#ERROR!</v>
      </c>
    </row>
    <row r="88" ht="14.25" customHeight="1">
      <c r="A88" s="26" t="s">
        <v>626</v>
      </c>
      <c r="B88" s="26" t="s">
        <v>5227</v>
      </c>
      <c r="C88" s="26" t="s">
        <v>199</v>
      </c>
      <c r="D88" s="26" t="s">
        <v>4084</v>
      </c>
      <c r="E88" s="26" t="s">
        <v>4084</v>
      </c>
      <c r="F88" s="26" t="b">
        <v>1</v>
      </c>
      <c r="G88" s="26" t="s">
        <v>5100</v>
      </c>
      <c r="H88" s="26" t="s">
        <v>199</v>
      </c>
      <c r="I88" s="26" t="s">
        <v>195</v>
      </c>
      <c r="J88" s="26" t="b">
        <v>1</v>
      </c>
      <c r="K88" s="26" t="str">
        <f>ISNUMBER(_xlfn.XMATCH(tbldeptemp[[#This Row],[DependencyID]],tblTargets[TargetID]))</f>
        <v>#ERROR!</v>
      </c>
      <c r="L88" s="26" t="str">
        <f>IF(tbldeptemp[[#This Row],[ValidTarget]]=FALSE,"BAD TARGET",IF(tbldeptemp[[#This Row],[ValidDependency]]=FALSE,"BAD DEPENDENCY",""))</f>
        <v>#ERROR!</v>
      </c>
    </row>
    <row r="89" ht="14.25" customHeight="1">
      <c r="A89" s="26" t="s">
        <v>626</v>
      </c>
      <c r="B89" s="26" t="s">
        <v>5228</v>
      </c>
      <c r="C89" s="26" t="s">
        <v>205</v>
      </c>
      <c r="D89" s="26" t="s">
        <v>4084</v>
      </c>
      <c r="E89" s="26" t="s">
        <v>4084</v>
      </c>
      <c r="F89" s="26" t="b">
        <v>1</v>
      </c>
      <c r="G89" s="26" t="s">
        <v>5097</v>
      </c>
      <c r="H89" s="26" t="s">
        <v>205</v>
      </c>
      <c r="I89" s="26" t="s">
        <v>195</v>
      </c>
      <c r="J89" s="26" t="b">
        <v>1</v>
      </c>
      <c r="K89" s="26" t="str">
        <f>ISNUMBER(_xlfn.XMATCH(tbldeptemp[[#This Row],[DependencyID]],tblTargets[TargetID]))</f>
        <v>#ERROR!</v>
      </c>
      <c r="L89" s="26" t="str">
        <f>IF(tbldeptemp[[#This Row],[ValidTarget]]=FALSE,"BAD TARGET",IF(tbldeptemp[[#This Row],[ValidDependency]]=FALSE,"BAD DEPENDENCY",""))</f>
        <v>#ERROR!</v>
      </c>
    </row>
    <row r="90" ht="14.25" customHeight="1">
      <c r="A90" s="26" t="s">
        <v>626</v>
      </c>
      <c r="B90" s="26" t="s">
        <v>5228</v>
      </c>
      <c r="C90" s="26" t="s">
        <v>205</v>
      </c>
      <c r="D90" s="26" t="s">
        <v>4087</v>
      </c>
      <c r="E90" s="26" t="s">
        <v>4087</v>
      </c>
      <c r="F90" s="26" t="b">
        <v>1</v>
      </c>
      <c r="G90" s="26" t="s">
        <v>5100</v>
      </c>
      <c r="H90" s="26" t="s">
        <v>205</v>
      </c>
      <c r="I90" s="26" t="s">
        <v>199</v>
      </c>
      <c r="J90" s="26" t="b">
        <v>1</v>
      </c>
      <c r="K90" s="26" t="str">
        <f>ISNUMBER(_xlfn.XMATCH(tbldeptemp[[#This Row],[DependencyID]],tblTargets[TargetID]))</f>
        <v>#ERROR!</v>
      </c>
      <c r="L90" s="26" t="str">
        <f>IF(tbldeptemp[[#This Row],[ValidTarget]]=FALSE,"BAD TARGET",IF(tbldeptemp[[#This Row],[ValidDependency]]=FALSE,"BAD DEPENDENCY",""))</f>
        <v>#ERROR!</v>
      </c>
    </row>
    <row r="91" ht="14.25" customHeight="1">
      <c r="A91" s="26" t="s">
        <v>626</v>
      </c>
      <c r="B91" s="26" t="s">
        <v>5229</v>
      </c>
      <c r="C91" s="26" t="s">
        <v>208</v>
      </c>
      <c r="D91" s="26" t="s">
        <v>4087</v>
      </c>
      <c r="E91" s="26" t="s">
        <v>4087</v>
      </c>
      <c r="F91" s="26" t="b">
        <v>1</v>
      </c>
      <c r="G91" s="26" t="s">
        <v>5097</v>
      </c>
      <c r="H91" s="26" t="s">
        <v>208</v>
      </c>
      <c r="I91" s="26" t="s">
        <v>199</v>
      </c>
      <c r="J91" s="26" t="b">
        <v>1</v>
      </c>
      <c r="K91" s="26" t="str">
        <f>ISNUMBER(_xlfn.XMATCH(tbldeptemp[[#This Row],[DependencyID]],tblTargets[TargetID]))</f>
        <v>#ERROR!</v>
      </c>
      <c r="L91" s="26" t="str">
        <f>IF(tbldeptemp[[#This Row],[ValidTarget]]=FALSE,"BAD TARGET",IF(tbldeptemp[[#This Row],[ValidDependency]]=FALSE,"BAD DEPENDENCY",""))</f>
        <v>#ERROR!</v>
      </c>
    </row>
    <row r="92" ht="14.25" customHeight="1">
      <c r="A92" s="26" t="s">
        <v>626</v>
      </c>
      <c r="B92" s="26" t="s">
        <v>5229</v>
      </c>
      <c r="C92" s="26" t="s">
        <v>208</v>
      </c>
      <c r="D92" s="26" t="s">
        <v>4090</v>
      </c>
      <c r="E92" s="26" t="s">
        <v>4090</v>
      </c>
      <c r="F92" s="26" t="b">
        <v>1</v>
      </c>
      <c r="G92" s="26" t="s">
        <v>5100</v>
      </c>
      <c r="H92" s="26" t="s">
        <v>208</v>
      </c>
      <c r="I92" s="26" t="s">
        <v>205</v>
      </c>
      <c r="J92" s="26" t="b">
        <v>1</v>
      </c>
      <c r="K92" s="26" t="str">
        <f>ISNUMBER(_xlfn.XMATCH(tbldeptemp[[#This Row],[DependencyID]],tblTargets[TargetID]))</f>
        <v>#ERROR!</v>
      </c>
      <c r="L92" s="26" t="str">
        <f>IF(tbldeptemp[[#This Row],[ValidTarget]]=FALSE,"BAD TARGET",IF(tbldeptemp[[#This Row],[ValidDependency]]=FALSE,"BAD DEPENDENCY",""))</f>
        <v>#ERROR!</v>
      </c>
    </row>
    <row r="93" ht="14.25" customHeight="1">
      <c r="A93" s="26" t="s">
        <v>626</v>
      </c>
      <c r="B93" s="26" t="s">
        <v>5230</v>
      </c>
      <c r="C93" s="26" t="s">
        <v>214</v>
      </c>
      <c r="D93" s="26" t="s">
        <v>4093</v>
      </c>
      <c r="E93" s="26" t="s">
        <v>4093</v>
      </c>
      <c r="F93" s="26" t="b">
        <v>1</v>
      </c>
      <c r="G93" s="26" t="s">
        <v>5100</v>
      </c>
      <c r="H93" s="26" t="s">
        <v>214</v>
      </c>
      <c r="I93" s="26" t="s">
        <v>208</v>
      </c>
      <c r="J93" s="26" t="b">
        <v>1</v>
      </c>
      <c r="K93" s="26" t="str">
        <f>ISNUMBER(_xlfn.XMATCH(tbldeptemp[[#This Row],[DependencyID]],tblTargets[TargetID]))</f>
        <v>#ERROR!</v>
      </c>
      <c r="L93" s="26" t="str">
        <f>IF(tbldeptemp[[#This Row],[ValidTarget]]=FALSE,"BAD TARGET",IF(tbldeptemp[[#This Row],[ValidDependency]]=FALSE,"BAD DEPENDENCY",""))</f>
        <v>#ERROR!</v>
      </c>
    </row>
    <row r="94" ht="14.25" customHeight="1">
      <c r="A94" s="26" t="s">
        <v>626</v>
      </c>
      <c r="B94" s="26" t="s">
        <v>5230</v>
      </c>
      <c r="C94" s="26" t="s">
        <v>214</v>
      </c>
      <c r="D94" s="26" t="s">
        <v>4093</v>
      </c>
      <c r="E94" s="26" t="s">
        <v>4093</v>
      </c>
      <c r="F94" s="26" t="b">
        <v>1</v>
      </c>
      <c r="G94" s="26" t="s">
        <v>5100</v>
      </c>
      <c r="H94" s="26" t="s">
        <v>214</v>
      </c>
      <c r="I94" s="26" t="s">
        <v>208</v>
      </c>
      <c r="J94" s="26" t="b">
        <v>1</v>
      </c>
      <c r="K94" s="26" t="str">
        <f>ISNUMBER(_xlfn.XMATCH(tbldeptemp[[#This Row],[DependencyID]],tblTargets[TargetID]))</f>
        <v>#ERROR!</v>
      </c>
      <c r="L94" s="26" t="str">
        <f>IF(tbldeptemp[[#This Row],[ValidTarget]]=FALSE,"BAD TARGET",IF(tbldeptemp[[#This Row],[ValidDependency]]=FALSE,"BAD DEPENDENCY",""))</f>
        <v>#ERROR!</v>
      </c>
    </row>
    <row r="95" ht="14.25" customHeight="1">
      <c r="A95" s="26" t="s">
        <v>1151</v>
      </c>
      <c r="B95" s="26" t="s">
        <v>4723</v>
      </c>
      <c r="C95" s="26" t="s">
        <v>1003</v>
      </c>
      <c r="D95" s="26" t="s">
        <v>5235</v>
      </c>
      <c r="E95" s="26" t="s">
        <v>5235</v>
      </c>
      <c r="F95" s="26" t="b">
        <v>0</v>
      </c>
      <c r="G95" s="26" t="s">
        <v>5097</v>
      </c>
      <c r="H95" s="26" t="s">
        <v>1003</v>
      </c>
      <c r="I95" s="26" t="s">
        <v>214</v>
      </c>
      <c r="J95" s="26" t="b">
        <v>1</v>
      </c>
      <c r="K95" s="26" t="str">
        <f>ISNUMBER(_xlfn.XMATCH(tbldeptemp[[#This Row],[DependencyID]],tblTargets[TargetID]))</f>
        <v>#ERROR!</v>
      </c>
      <c r="L95" s="26" t="str">
        <f>IF(tbldeptemp[[#This Row],[ValidTarget]]=FALSE,"BAD TARGET",IF(tbldeptemp[[#This Row],[ValidDependency]]=FALSE,"BAD DEPENDENCY",""))</f>
        <v>#ERROR!</v>
      </c>
    </row>
    <row r="96" ht="14.25" customHeight="1">
      <c r="A96" s="26" t="s">
        <v>626</v>
      </c>
      <c r="B96" s="26" t="s">
        <v>5236</v>
      </c>
      <c r="C96" s="26" t="s">
        <v>705</v>
      </c>
      <c r="E96" s="26" t="e">
        <v>#N/A</v>
      </c>
      <c r="H96" s="26" t="s">
        <v>705</v>
      </c>
      <c r="I96" s="26" t="s">
        <v>214</v>
      </c>
      <c r="J96" s="26" t="b">
        <v>1</v>
      </c>
      <c r="K96" s="26" t="str">
        <f>ISNUMBER(_xlfn.XMATCH(tbldeptemp[[#This Row],[DependencyID]],tblTargets[TargetID]))</f>
        <v>#ERROR!</v>
      </c>
      <c r="L96" s="26" t="str">
        <f>IF(tbldeptemp[[#This Row],[ValidTarget]]=FALSE,"BAD TARGET",IF(tbldeptemp[[#This Row],[ValidDependency]]=FALSE,"BAD DEPENDENCY",""))</f>
        <v>#ERROR!</v>
      </c>
    </row>
    <row r="97" ht="14.25" customHeight="1">
      <c r="A97" s="26" t="s">
        <v>1705</v>
      </c>
      <c r="B97" s="26" t="s">
        <v>5237</v>
      </c>
      <c r="C97" s="26" t="s">
        <v>1762</v>
      </c>
      <c r="D97" s="26" t="s">
        <v>5238</v>
      </c>
      <c r="E97" s="26" t="s">
        <v>5239</v>
      </c>
      <c r="F97" s="26" t="b">
        <v>1</v>
      </c>
      <c r="G97" s="26" t="s">
        <v>5097</v>
      </c>
      <c r="H97" s="26" t="s">
        <v>1762</v>
      </c>
      <c r="I97" s="26" t="s">
        <v>725</v>
      </c>
      <c r="J97" s="26" t="b">
        <v>1</v>
      </c>
      <c r="K97" s="26" t="str">
        <f>ISNUMBER(_xlfn.XMATCH(tbldeptemp[[#This Row],[DependencyID]],tblTargets[TargetID]))</f>
        <v>#ERROR!</v>
      </c>
      <c r="L97" s="26" t="str">
        <f>IF(tbldeptemp[[#This Row],[ValidTarget]]=FALSE,"BAD TARGET",IF(tbldeptemp[[#This Row],[ValidDependency]]=FALSE,"BAD DEPENDENCY",""))</f>
        <v>#ERROR!</v>
      </c>
    </row>
    <row r="98" ht="14.25" customHeight="1">
      <c r="A98" s="26" t="s">
        <v>1705</v>
      </c>
      <c r="B98" s="26" t="s">
        <v>5240</v>
      </c>
      <c r="C98" s="26" t="s">
        <v>1765</v>
      </c>
      <c r="D98" s="26" t="s">
        <v>5238</v>
      </c>
      <c r="E98" s="26" t="s">
        <v>5239</v>
      </c>
      <c r="F98" s="26" t="b">
        <v>1</v>
      </c>
      <c r="G98" s="26" t="s">
        <v>5097</v>
      </c>
      <c r="H98" s="26" t="s">
        <v>1765</v>
      </c>
      <c r="I98" s="26" t="s">
        <v>725</v>
      </c>
      <c r="J98" s="26" t="b">
        <v>1</v>
      </c>
      <c r="K98" s="26" t="str">
        <f>ISNUMBER(_xlfn.XMATCH(tbldeptemp[[#This Row],[DependencyID]],tblTargets[TargetID]))</f>
        <v>#ERROR!</v>
      </c>
      <c r="L98" s="26" t="str">
        <f>IF(tbldeptemp[[#This Row],[ValidTarget]]=FALSE,"BAD TARGET",IF(tbldeptemp[[#This Row],[ValidDependency]]=FALSE,"BAD DEPENDENCY",""))</f>
        <v>#ERROR!</v>
      </c>
    </row>
    <row r="99" ht="14.25" customHeight="1">
      <c r="A99" s="26" t="s">
        <v>1705</v>
      </c>
      <c r="B99" s="26" t="s">
        <v>5241</v>
      </c>
      <c r="C99" s="26" t="s">
        <v>1768</v>
      </c>
      <c r="D99" s="26" t="s">
        <v>5238</v>
      </c>
      <c r="E99" s="26" t="s">
        <v>5239</v>
      </c>
      <c r="F99" s="26" t="b">
        <v>1</v>
      </c>
      <c r="G99" s="26" t="s">
        <v>5097</v>
      </c>
      <c r="H99" s="26" t="s">
        <v>1768</v>
      </c>
      <c r="I99" s="26" t="s">
        <v>725</v>
      </c>
      <c r="J99" s="26" t="b">
        <v>1</v>
      </c>
      <c r="K99" s="26" t="str">
        <f>ISNUMBER(_xlfn.XMATCH(tbldeptemp[[#This Row],[DependencyID]],tblTargets[TargetID]))</f>
        <v>#ERROR!</v>
      </c>
      <c r="L99" s="26" t="str">
        <f>IF(tbldeptemp[[#This Row],[ValidTarget]]=FALSE,"BAD TARGET",IF(tbldeptemp[[#This Row],[ValidDependency]]=FALSE,"BAD DEPENDENCY",""))</f>
        <v>#ERROR!</v>
      </c>
    </row>
    <row r="100" ht="14.25" customHeight="1">
      <c r="A100" s="26" t="s">
        <v>626</v>
      </c>
      <c r="B100" s="26" t="s">
        <v>5242</v>
      </c>
      <c r="C100" s="26" t="s">
        <v>225</v>
      </c>
      <c r="D100" s="26" t="s">
        <v>4100</v>
      </c>
      <c r="E100" s="26" t="s">
        <v>4100</v>
      </c>
      <c r="F100" s="26" t="b">
        <v>1</v>
      </c>
      <c r="G100" s="26" t="s">
        <v>5100</v>
      </c>
      <c r="H100" s="26" t="s">
        <v>225</v>
      </c>
      <c r="I100" s="26" t="s">
        <v>219</v>
      </c>
      <c r="J100" s="26" t="b">
        <v>1</v>
      </c>
      <c r="K100" s="26" t="str">
        <f>ISNUMBER(_xlfn.XMATCH(tbldeptemp[[#This Row],[DependencyID]],tblTargets[TargetID]))</f>
        <v>#ERROR!</v>
      </c>
      <c r="L100" s="26" t="str">
        <f>IF(tbldeptemp[[#This Row],[ValidTarget]]=FALSE,"BAD TARGET",IF(tbldeptemp[[#This Row],[ValidDependency]]=FALSE,"BAD DEPENDENCY",""))</f>
        <v>#ERROR!</v>
      </c>
    </row>
    <row r="101" ht="14.25" customHeight="1">
      <c r="A101" s="26" t="s">
        <v>626</v>
      </c>
      <c r="B101" s="26" t="s">
        <v>5243</v>
      </c>
      <c r="C101" s="26" t="s">
        <v>725</v>
      </c>
      <c r="E101" s="26" t="e">
        <v>#N/A</v>
      </c>
      <c r="H101" s="26" t="s">
        <v>725</v>
      </c>
      <c r="I101" s="26" t="s">
        <v>225</v>
      </c>
      <c r="J101" s="26" t="b">
        <v>1</v>
      </c>
      <c r="K101" s="26" t="str">
        <f>ISNUMBER(_xlfn.XMATCH(tbldeptemp[[#This Row],[DependencyID]],tblTargets[TargetID]))</f>
        <v>#ERROR!</v>
      </c>
      <c r="L101" s="26" t="str">
        <f>IF(tbldeptemp[[#This Row],[ValidTarget]]=FALSE,"BAD TARGET",IF(tbldeptemp[[#This Row],[ValidDependency]]=FALSE,"BAD DEPENDENCY",""))</f>
        <v>#ERROR!</v>
      </c>
    </row>
    <row r="102" ht="14.25" customHeight="1">
      <c r="A102" s="26" t="s">
        <v>1705</v>
      </c>
      <c r="B102" s="26" t="s">
        <v>5244</v>
      </c>
      <c r="C102" s="26" t="s">
        <v>5245</v>
      </c>
      <c r="D102" s="26" t="s">
        <v>5246</v>
      </c>
      <c r="E102" s="26" t="s">
        <v>5247</v>
      </c>
      <c r="F102" s="26" t="b">
        <v>1</v>
      </c>
      <c r="G102" s="26" t="s">
        <v>5100</v>
      </c>
      <c r="H102" s="26" t="s">
        <v>1770</v>
      </c>
      <c r="I102" s="26" t="s">
        <v>734</v>
      </c>
      <c r="J102" s="26" t="b">
        <v>1</v>
      </c>
      <c r="K102" s="26" t="str">
        <f>ISNUMBER(_xlfn.XMATCH(tbldeptemp[[#This Row],[DependencyID]],tblTargets[TargetID]))</f>
        <v>#ERROR!</v>
      </c>
      <c r="L102" s="26" t="str">
        <f>IF(tbldeptemp[[#This Row],[ValidTarget]]=FALSE,"BAD TARGET",IF(tbldeptemp[[#This Row],[ValidDependency]]=FALSE,"BAD DEPENDENCY",""))</f>
        <v>#ERROR!</v>
      </c>
    </row>
    <row r="103" ht="14.25" customHeight="1">
      <c r="A103" s="26" t="s">
        <v>1705</v>
      </c>
      <c r="B103" s="26" t="s">
        <v>5248</v>
      </c>
      <c r="C103" s="26" t="s">
        <v>5249</v>
      </c>
      <c r="D103" s="26" t="s">
        <v>5246</v>
      </c>
      <c r="E103" s="26" t="s">
        <v>5247</v>
      </c>
      <c r="F103" s="26" t="b">
        <v>1</v>
      </c>
      <c r="G103" s="26" t="s">
        <v>5097</v>
      </c>
      <c r="H103" s="26" t="s">
        <v>1772</v>
      </c>
      <c r="I103" s="26" t="s">
        <v>734</v>
      </c>
      <c r="J103" s="26" t="b">
        <v>1</v>
      </c>
      <c r="K103" s="26" t="str">
        <f>ISNUMBER(_xlfn.XMATCH(tbldeptemp[[#This Row],[DependencyID]],tblTargets[TargetID]))</f>
        <v>#ERROR!</v>
      </c>
      <c r="L103" s="26" t="str">
        <f>IF(tbldeptemp[[#This Row],[ValidTarget]]=FALSE,"BAD TARGET",IF(tbldeptemp[[#This Row],[ValidDependency]]=FALSE,"BAD DEPENDENCY",""))</f>
        <v>#ERROR!</v>
      </c>
    </row>
    <row r="104" ht="14.25" customHeight="1">
      <c r="A104" s="26" t="s">
        <v>1705</v>
      </c>
      <c r="B104" s="26" t="s">
        <v>5252</v>
      </c>
      <c r="C104" s="26" t="s">
        <v>5253</v>
      </c>
      <c r="D104" s="26" t="s">
        <v>5246</v>
      </c>
      <c r="E104" s="26" t="s">
        <v>5247</v>
      </c>
      <c r="F104" s="26" t="b">
        <v>1</v>
      </c>
      <c r="G104" s="26" t="s">
        <v>5097</v>
      </c>
      <c r="H104" s="26" t="s">
        <v>1775</v>
      </c>
      <c r="I104" s="26" t="s">
        <v>734</v>
      </c>
      <c r="J104" s="26" t="b">
        <v>1</v>
      </c>
      <c r="K104" s="26" t="str">
        <f>ISNUMBER(_xlfn.XMATCH(tbldeptemp[[#This Row],[DependencyID]],tblTargets[TargetID]))</f>
        <v>#ERROR!</v>
      </c>
      <c r="L104" s="26" t="str">
        <f>IF(tbldeptemp[[#This Row],[ValidTarget]]=FALSE,"BAD TARGET",IF(tbldeptemp[[#This Row],[ValidDependency]]=FALSE,"BAD DEPENDENCY",""))</f>
        <v>#ERROR!</v>
      </c>
    </row>
    <row r="105" ht="14.25" customHeight="1">
      <c r="A105" s="26" t="s">
        <v>1705</v>
      </c>
      <c r="B105" s="26" t="s">
        <v>5258</v>
      </c>
      <c r="C105" s="26" t="s">
        <v>5259</v>
      </c>
      <c r="D105" s="26" t="s">
        <v>5246</v>
      </c>
      <c r="E105" s="26" t="s">
        <v>5247</v>
      </c>
      <c r="F105" s="26" t="b">
        <v>1</v>
      </c>
      <c r="G105" s="26" t="s">
        <v>5100</v>
      </c>
      <c r="H105" s="26" t="s">
        <v>1777</v>
      </c>
      <c r="I105" s="26" t="s">
        <v>734</v>
      </c>
      <c r="J105" s="26" t="b">
        <v>1</v>
      </c>
      <c r="K105" s="26" t="str">
        <f>ISNUMBER(_xlfn.XMATCH(tbldeptemp[[#This Row],[DependencyID]],tblTargets[TargetID]))</f>
        <v>#ERROR!</v>
      </c>
      <c r="L105" s="26" t="str">
        <f>IF(tbldeptemp[[#This Row],[ValidTarget]]=FALSE,"BAD TARGET",IF(tbldeptemp[[#This Row],[ValidDependency]]=FALSE,"BAD DEPENDENCY",""))</f>
        <v>#ERROR!</v>
      </c>
    </row>
    <row r="106" ht="14.25" customHeight="1">
      <c r="A106" s="26" t="s">
        <v>1705</v>
      </c>
      <c r="B106" s="26" t="s">
        <v>5260</v>
      </c>
      <c r="C106" s="26" t="s">
        <v>5261</v>
      </c>
      <c r="D106" s="26" t="s">
        <v>5246</v>
      </c>
      <c r="E106" s="26" t="s">
        <v>5247</v>
      </c>
      <c r="F106" s="26" t="b">
        <v>1</v>
      </c>
      <c r="G106" s="26" t="s">
        <v>5100</v>
      </c>
      <c r="H106" s="26" t="s">
        <v>1779</v>
      </c>
      <c r="I106" s="26" t="s">
        <v>734</v>
      </c>
      <c r="J106" s="26" t="b">
        <v>1</v>
      </c>
      <c r="K106" s="26" t="str">
        <f>ISNUMBER(_xlfn.XMATCH(tbldeptemp[[#This Row],[DependencyID]],tblTargets[TargetID]))</f>
        <v>#ERROR!</v>
      </c>
      <c r="L106" s="26" t="str">
        <f>IF(tbldeptemp[[#This Row],[ValidTarget]]=FALSE,"BAD TARGET",IF(tbldeptemp[[#This Row],[ValidDependency]]=FALSE,"BAD DEPENDENCY",""))</f>
        <v>#ERROR!</v>
      </c>
    </row>
    <row r="107" ht="14.25" customHeight="1">
      <c r="A107" s="26" t="s">
        <v>1705</v>
      </c>
      <c r="B107" s="26" t="s">
        <v>5262</v>
      </c>
      <c r="C107" s="26" t="s">
        <v>5263</v>
      </c>
      <c r="D107" s="26" t="s">
        <v>5246</v>
      </c>
      <c r="E107" s="26" t="s">
        <v>5247</v>
      </c>
      <c r="F107" s="26" t="b">
        <v>1</v>
      </c>
      <c r="G107" s="26" t="s">
        <v>5100</v>
      </c>
      <c r="H107" s="26" t="s">
        <v>1782</v>
      </c>
      <c r="I107" s="26" t="s">
        <v>734</v>
      </c>
      <c r="J107" s="26" t="b">
        <v>1</v>
      </c>
      <c r="K107" s="26" t="str">
        <f>ISNUMBER(_xlfn.XMATCH(tbldeptemp[[#This Row],[DependencyID]],tblTargets[TargetID]))</f>
        <v>#ERROR!</v>
      </c>
      <c r="L107" s="26" t="str">
        <f>IF(tbldeptemp[[#This Row],[ValidTarget]]=FALSE,"BAD TARGET",IF(tbldeptemp[[#This Row],[ValidDependency]]=FALSE,"BAD DEPENDENCY",""))</f>
        <v>#ERROR!</v>
      </c>
    </row>
    <row r="108" ht="14.25" customHeight="1">
      <c r="A108" s="26" t="s">
        <v>1705</v>
      </c>
      <c r="B108" s="26" t="s">
        <v>5264</v>
      </c>
      <c r="C108" s="26" t="s">
        <v>5265</v>
      </c>
      <c r="D108" s="26" t="s">
        <v>5246</v>
      </c>
      <c r="E108" s="26" t="s">
        <v>5247</v>
      </c>
      <c r="F108" s="26" t="b">
        <v>1</v>
      </c>
      <c r="G108" s="26" t="s">
        <v>5100</v>
      </c>
      <c r="H108" s="26" t="s">
        <v>1784</v>
      </c>
      <c r="I108" s="26" t="s">
        <v>734</v>
      </c>
      <c r="J108" s="26" t="b">
        <v>1</v>
      </c>
      <c r="K108" s="26" t="str">
        <f>ISNUMBER(_xlfn.XMATCH(tbldeptemp[[#This Row],[DependencyID]],tblTargets[TargetID]))</f>
        <v>#ERROR!</v>
      </c>
      <c r="L108" s="26" t="str">
        <f>IF(tbldeptemp[[#This Row],[ValidTarget]]=FALSE,"BAD TARGET",IF(tbldeptemp[[#This Row],[ValidDependency]]=FALSE,"BAD DEPENDENCY",""))</f>
        <v>#ERROR!</v>
      </c>
    </row>
    <row r="109" ht="14.25" customHeight="1">
      <c r="A109" s="26" t="s">
        <v>626</v>
      </c>
      <c r="B109" s="26" t="s">
        <v>5266</v>
      </c>
      <c r="C109" s="26" t="s">
        <v>234</v>
      </c>
      <c r="D109" s="26" t="s">
        <v>4108</v>
      </c>
      <c r="E109" s="26" t="s">
        <v>5267</v>
      </c>
      <c r="F109" s="26" t="b">
        <v>1</v>
      </c>
      <c r="G109" s="26" t="s">
        <v>5100</v>
      </c>
      <c r="H109" s="26" t="s">
        <v>234</v>
      </c>
      <c r="I109" s="26" t="s">
        <v>230</v>
      </c>
      <c r="J109" s="26" t="b">
        <v>1</v>
      </c>
      <c r="K109" s="26" t="str">
        <f>ISNUMBER(_xlfn.XMATCH(tbldeptemp[[#This Row],[DependencyID]],tblTargets[TargetID]))</f>
        <v>#ERROR!</v>
      </c>
      <c r="L109" s="26" t="str">
        <f>IF(tbldeptemp[[#This Row],[ValidTarget]]=FALSE,"BAD TARGET",IF(tbldeptemp[[#This Row],[ValidDependency]]=FALSE,"BAD DEPENDENCY",""))</f>
        <v>#ERROR!</v>
      </c>
    </row>
    <row r="110" ht="14.25" customHeight="1">
      <c r="A110" s="26" t="s">
        <v>626</v>
      </c>
      <c r="B110" s="26" t="s">
        <v>5268</v>
      </c>
      <c r="C110" s="26" t="s">
        <v>239</v>
      </c>
      <c r="D110" s="26" t="s">
        <v>4111</v>
      </c>
      <c r="E110" s="26" t="s">
        <v>5269</v>
      </c>
      <c r="F110" s="26" t="b">
        <v>1</v>
      </c>
      <c r="G110" s="26" t="s">
        <v>5100</v>
      </c>
      <c r="H110" s="26" t="s">
        <v>239</v>
      </c>
      <c r="I110" s="26" t="s">
        <v>234</v>
      </c>
      <c r="J110" s="26" t="b">
        <v>1</v>
      </c>
      <c r="K110" s="26" t="str">
        <f>ISNUMBER(_xlfn.XMATCH(tbldeptemp[[#This Row],[DependencyID]],tblTargets[TargetID]))</f>
        <v>#ERROR!</v>
      </c>
      <c r="L110" s="26" t="str">
        <f>IF(tbldeptemp[[#This Row],[ValidTarget]]=FALSE,"BAD TARGET",IF(tbldeptemp[[#This Row],[ValidDependency]]=FALSE,"BAD DEPENDENCY",""))</f>
        <v>#ERROR!</v>
      </c>
    </row>
    <row r="111" ht="14.25" customHeight="1">
      <c r="A111" s="26" t="s">
        <v>1117</v>
      </c>
      <c r="B111" s="26" t="s">
        <v>4607</v>
      </c>
      <c r="C111" s="26" t="s">
        <v>864</v>
      </c>
      <c r="D111" s="26" t="s">
        <v>5270</v>
      </c>
      <c r="E111" s="26" t="s">
        <v>5271</v>
      </c>
      <c r="F111" s="26" t="b">
        <v>1</v>
      </c>
      <c r="G111" s="26" t="s">
        <v>5097</v>
      </c>
      <c r="H111" s="26" t="s">
        <v>864</v>
      </c>
      <c r="I111" s="26" t="s">
        <v>239</v>
      </c>
      <c r="J111" s="26" t="b">
        <v>1</v>
      </c>
      <c r="K111" s="26" t="str">
        <f>ISNUMBER(_xlfn.XMATCH(tbldeptemp[[#This Row],[DependencyID]],tblTargets[TargetID]))</f>
        <v>#ERROR!</v>
      </c>
      <c r="L111" s="26" t="str">
        <f>IF(tbldeptemp[[#This Row],[ValidTarget]]=FALSE,"BAD TARGET",IF(tbldeptemp[[#This Row],[ValidDependency]]=FALSE,"BAD DEPENDENCY",""))</f>
        <v>#ERROR!</v>
      </c>
    </row>
    <row r="112" ht="14.25" customHeight="1">
      <c r="A112" s="26" t="s">
        <v>626</v>
      </c>
      <c r="B112" s="26" t="s">
        <v>5272</v>
      </c>
      <c r="C112" s="26" t="s">
        <v>734</v>
      </c>
      <c r="E112" s="26" t="e">
        <v>#N/A</v>
      </c>
      <c r="H112" s="26" t="s">
        <v>734</v>
      </c>
      <c r="I112" s="26" t="s">
        <v>239</v>
      </c>
      <c r="J112" s="26" t="b">
        <v>1</v>
      </c>
      <c r="K112" s="26" t="str">
        <f>ISNUMBER(_xlfn.XMATCH(tbldeptemp[[#This Row],[DependencyID]],tblTargets[TargetID]))</f>
        <v>#ERROR!</v>
      </c>
      <c r="L112" s="26" t="str">
        <f>IF(tbldeptemp[[#This Row],[ValidTarget]]=FALSE,"BAD TARGET",IF(tbldeptemp[[#This Row],[ValidDependency]]=FALSE,"BAD DEPENDENCY",""))</f>
        <v>#ERROR!</v>
      </c>
    </row>
    <row r="113" ht="14.25" customHeight="1">
      <c r="A113" s="26" t="s">
        <v>1705</v>
      </c>
      <c r="B113" s="26" t="s">
        <v>5273</v>
      </c>
      <c r="C113" s="26" t="s">
        <v>1786</v>
      </c>
      <c r="D113" s="26" t="s">
        <v>5275</v>
      </c>
      <c r="E113" s="26" t="s">
        <v>5277</v>
      </c>
      <c r="F113" s="26" t="b">
        <v>1</v>
      </c>
      <c r="G113" s="26" t="s">
        <v>5100</v>
      </c>
      <c r="H113" s="26" t="s">
        <v>1786</v>
      </c>
      <c r="I113" s="26" t="s">
        <v>744</v>
      </c>
      <c r="J113" s="26" t="b">
        <v>1</v>
      </c>
      <c r="K113" s="26" t="str">
        <f>ISNUMBER(_xlfn.XMATCH(tbldeptemp[[#This Row],[DependencyID]],tblTargets[TargetID]))</f>
        <v>#ERROR!</v>
      </c>
      <c r="L113" s="26" t="str">
        <f>IF(tbldeptemp[[#This Row],[ValidTarget]]=FALSE,"BAD TARGET",IF(tbldeptemp[[#This Row],[ValidDependency]]=FALSE,"BAD DEPENDENCY",""))</f>
        <v>#ERROR!</v>
      </c>
    </row>
    <row r="114" ht="14.25" customHeight="1">
      <c r="A114" s="26" t="s">
        <v>1705</v>
      </c>
      <c r="B114" s="26" t="s">
        <v>5279</v>
      </c>
      <c r="C114" s="26" t="s">
        <v>1789</v>
      </c>
      <c r="D114" s="26" t="s">
        <v>5275</v>
      </c>
      <c r="E114" s="26" t="s">
        <v>5277</v>
      </c>
      <c r="F114" s="26" t="b">
        <v>1</v>
      </c>
      <c r="G114" s="26" t="s">
        <v>5097</v>
      </c>
      <c r="H114" s="26" t="s">
        <v>1789</v>
      </c>
      <c r="I114" s="26" t="s">
        <v>744</v>
      </c>
      <c r="J114" s="26" t="b">
        <v>1</v>
      </c>
      <c r="K114" s="26" t="str">
        <f>ISNUMBER(_xlfn.XMATCH(tbldeptemp[[#This Row],[DependencyID]],tblTargets[TargetID]))</f>
        <v>#ERROR!</v>
      </c>
      <c r="L114" s="26" t="str">
        <f>IF(tbldeptemp[[#This Row],[ValidTarget]]=FALSE,"BAD TARGET",IF(tbldeptemp[[#This Row],[ValidDependency]]=FALSE,"BAD DEPENDENCY",""))</f>
        <v>#ERROR!</v>
      </c>
    </row>
    <row r="115" ht="14.25" customHeight="1">
      <c r="A115" s="26" t="s">
        <v>1705</v>
      </c>
      <c r="B115" s="26" t="s">
        <v>5282</v>
      </c>
      <c r="C115" s="26" t="s">
        <v>1791</v>
      </c>
      <c r="D115" s="26" t="s">
        <v>5275</v>
      </c>
      <c r="E115" s="26" t="s">
        <v>5277</v>
      </c>
      <c r="F115" s="26" t="b">
        <v>1</v>
      </c>
      <c r="G115" s="26" t="s">
        <v>5100</v>
      </c>
      <c r="H115" s="26" t="s">
        <v>1791</v>
      </c>
      <c r="I115" s="26" t="s">
        <v>744</v>
      </c>
      <c r="J115" s="26" t="b">
        <v>1</v>
      </c>
      <c r="K115" s="26" t="str">
        <f>ISNUMBER(_xlfn.XMATCH(tbldeptemp[[#This Row],[DependencyID]],tblTargets[TargetID]))</f>
        <v>#ERROR!</v>
      </c>
      <c r="L115" s="26" t="str">
        <f>IF(tbldeptemp[[#This Row],[ValidTarget]]=FALSE,"BAD TARGET",IF(tbldeptemp[[#This Row],[ValidDependency]]=FALSE,"BAD DEPENDENCY",""))</f>
        <v>#ERROR!</v>
      </c>
    </row>
    <row r="116" ht="14.25" customHeight="1">
      <c r="A116" s="26" t="s">
        <v>1705</v>
      </c>
      <c r="B116" s="26" t="s">
        <v>5283</v>
      </c>
      <c r="C116" s="26" t="s">
        <v>1793</v>
      </c>
      <c r="D116" s="26" t="s">
        <v>5275</v>
      </c>
      <c r="E116" s="26" t="s">
        <v>5277</v>
      </c>
      <c r="F116" s="26" t="b">
        <v>1</v>
      </c>
      <c r="G116" s="26" t="s">
        <v>5097</v>
      </c>
      <c r="H116" s="26" t="s">
        <v>1793</v>
      </c>
      <c r="I116" s="26" t="s">
        <v>744</v>
      </c>
      <c r="J116" s="26" t="b">
        <v>1</v>
      </c>
      <c r="K116" s="26" t="str">
        <f>ISNUMBER(_xlfn.XMATCH(tbldeptemp[[#This Row],[DependencyID]],tblTargets[TargetID]))</f>
        <v>#ERROR!</v>
      </c>
      <c r="L116" s="26" t="str">
        <f>IF(tbldeptemp[[#This Row],[ValidTarget]]=FALSE,"BAD TARGET",IF(tbldeptemp[[#This Row],[ValidDependency]]=FALSE,"BAD DEPENDENCY",""))</f>
        <v>#ERROR!</v>
      </c>
    </row>
    <row r="117" ht="14.25" customHeight="1">
      <c r="A117" s="26" t="s">
        <v>626</v>
      </c>
      <c r="B117" s="26" t="s">
        <v>5284</v>
      </c>
      <c r="C117" s="26" t="s">
        <v>246</v>
      </c>
      <c r="D117" s="26" t="s">
        <v>4119</v>
      </c>
      <c r="E117" s="26" t="s">
        <v>4119</v>
      </c>
      <c r="F117" s="26" t="b">
        <v>1</v>
      </c>
      <c r="G117" s="26" t="s">
        <v>5100</v>
      </c>
      <c r="H117" s="26" t="s">
        <v>246</v>
      </c>
      <c r="I117" s="26" t="s">
        <v>243</v>
      </c>
      <c r="J117" s="26" t="b">
        <v>1</v>
      </c>
      <c r="K117" s="26" t="str">
        <f>ISNUMBER(_xlfn.XMATCH(tbldeptemp[[#This Row],[DependencyID]],tblTargets[TargetID]))</f>
        <v>#ERROR!</v>
      </c>
      <c r="L117" s="26" t="str">
        <f>IF(tbldeptemp[[#This Row],[ValidTarget]]=FALSE,"BAD TARGET",IF(tbldeptemp[[#This Row],[ValidDependency]]=FALSE,"BAD DEPENDENCY",""))</f>
        <v>#ERROR!</v>
      </c>
    </row>
    <row r="118" ht="14.25" customHeight="1">
      <c r="A118" s="26" t="s">
        <v>626</v>
      </c>
      <c r="B118" s="26" t="s">
        <v>5285</v>
      </c>
      <c r="C118" s="26" t="s">
        <v>251</v>
      </c>
      <c r="D118" s="26" t="s">
        <v>4119</v>
      </c>
      <c r="E118" s="26" t="s">
        <v>4119</v>
      </c>
      <c r="F118" s="26" t="b">
        <v>1</v>
      </c>
      <c r="G118" s="26" t="s">
        <v>5097</v>
      </c>
      <c r="H118" s="26" t="s">
        <v>251</v>
      </c>
      <c r="I118" s="26" t="s">
        <v>243</v>
      </c>
      <c r="J118" s="26" t="b">
        <v>1</v>
      </c>
      <c r="K118" s="26" t="str">
        <f>ISNUMBER(_xlfn.XMATCH(tbldeptemp[[#This Row],[DependencyID]],tblTargets[TargetID]))</f>
        <v>#ERROR!</v>
      </c>
      <c r="L118" s="26" t="str">
        <f>IF(tbldeptemp[[#This Row],[ValidTarget]]=FALSE,"BAD TARGET",IF(tbldeptemp[[#This Row],[ValidDependency]]=FALSE,"BAD DEPENDENCY",""))</f>
        <v>#ERROR!</v>
      </c>
    </row>
    <row r="119" ht="14.25" customHeight="1">
      <c r="A119" s="26" t="s">
        <v>626</v>
      </c>
      <c r="B119" s="26" t="s">
        <v>5285</v>
      </c>
      <c r="C119" s="26" t="s">
        <v>251</v>
      </c>
      <c r="D119" s="26" t="s">
        <v>4123</v>
      </c>
      <c r="E119" s="26" t="s">
        <v>4123</v>
      </c>
      <c r="F119" s="26" t="b">
        <v>1</v>
      </c>
      <c r="G119" s="26" t="s">
        <v>5100</v>
      </c>
      <c r="H119" s="26" t="s">
        <v>251</v>
      </c>
      <c r="I119" s="26" t="s">
        <v>246</v>
      </c>
      <c r="J119" s="26" t="b">
        <v>1</v>
      </c>
      <c r="K119" s="26" t="str">
        <f>ISNUMBER(_xlfn.XMATCH(tbldeptemp[[#This Row],[DependencyID]],tblTargets[TargetID]))</f>
        <v>#ERROR!</v>
      </c>
      <c r="L119" s="26" t="str">
        <f>IF(tbldeptemp[[#This Row],[ValidTarget]]=FALSE,"BAD TARGET",IF(tbldeptemp[[#This Row],[ValidDependency]]=FALSE,"BAD DEPENDENCY",""))</f>
        <v>#ERROR!</v>
      </c>
    </row>
    <row r="120" ht="14.25" customHeight="1">
      <c r="A120" s="26" t="s">
        <v>1117</v>
      </c>
      <c r="B120" s="26" t="s">
        <v>4621</v>
      </c>
      <c r="C120" s="26" t="s">
        <v>881</v>
      </c>
      <c r="D120" s="26" t="s">
        <v>4623</v>
      </c>
      <c r="E120" s="26" t="s">
        <v>5286</v>
      </c>
      <c r="F120" s="26" t="b">
        <v>1</v>
      </c>
      <c r="G120" s="26" t="s">
        <v>5100</v>
      </c>
      <c r="H120" s="26" t="s">
        <v>881</v>
      </c>
      <c r="I120" s="26" t="s">
        <v>251</v>
      </c>
      <c r="J120" s="26" t="b">
        <v>1</v>
      </c>
      <c r="K120" s="26" t="str">
        <f>ISNUMBER(_xlfn.XMATCH(tbldeptemp[[#This Row],[DependencyID]],tblTargets[TargetID]))</f>
        <v>#ERROR!</v>
      </c>
      <c r="L120" s="26" t="str">
        <f>IF(tbldeptemp[[#This Row],[ValidTarget]]=FALSE,"BAD TARGET",IF(tbldeptemp[[#This Row],[ValidDependency]]=FALSE,"BAD DEPENDENCY",""))</f>
        <v>#ERROR!</v>
      </c>
    </row>
    <row r="121" ht="14.25" customHeight="1">
      <c r="A121" s="26" t="s">
        <v>626</v>
      </c>
      <c r="B121" s="26" t="s">
        <v>5287</v>
      </c>
      <c r="C121" s="26" t="s">
        <v>744</v>
      </c>
      <c r="E121" s="26" t="e">
        <v>#N/A</v>
      </c>
      <c r="H121" s="26" t="s">
        <v>744</v>
      </c>
      <c r="I121" s="26" t="s">
        <v>251</v>
      </c>
      <c r="J121" s="26" t="b">
        <v>1</v>
      </c>
      <c r="K121" s="26" t="str">
        <f>ISNUMBER(_xlfn.XMATCH(tbldeptemp[[#This Row],[DependencyID]],tblTargets[TargetID]))</f>
        <v>#ERROR!</v>
      </c>
      <c r="L121" s="26" t="str">
        <f>IF(tbldeptemp[[#This Row],[ValidTarget]]=FALSE,"BAD TARGET",IF(tbldeptemp[[#This Row],[ValidDependency]]=FALSE,"BAD DEPENDENCY",""))</f>
        <v>#ERROR!</v>
      </c>
    </row>
    <row r="122" ht="14.25" customHeight="1">
      <c r="A122" s="26" t="s">
        <v>1705</v>
      </c>
      <c r="B122" s="26" t="s">
        <v>5288</v>
      </c>
      <c r="C122" s="26" t="s">
        <v>1795</v>
      </c>
      <c r="D122" s="26" t="s">
        <v>5289</v>
      </c>
      <c r="E122" s="26" t="s">
        <v>5290</v>
      </c>
      <c r="F122" s="26" t="b">
        <v>1</v>
      </c>
      <c r="G122" s="26" t="s">
        <v>5100</v>
      </c>
      <c r="H122" s="26" t="s">
        <v>1795</v>
      </c>
      <c r="I122" s="26" t="s">
        <v>751</v>
      </c>
      <c r="J122" s="26" t="b">
        <v>1</v>
      </c>
      <c r="K122" s="26" t="str">
        <f>ISNUMBER(_xlfn.XMATCH(tbldeptemp[[#This Row],[DependencyID]],tblTargets[TargetID]))</f>
        <v>#ERROR!</v>
      </c>
      <c r="L122" s="26" t="str">
        <f>IF(tbldeptemp[[#This Row],[ValidTarget]]=FALSE,"BAD TARGET",IF(tbldeptemp[[#This Row],[ValidDependency]]=FALSE,"BAD DEPENDENCY",""))</f>
        <v>#ERROR!</v>
      </c>
    </row>
    <row r="123" ht="14.25" customHeight="1">
      <c r="A123" s="26" t="s">
        <v>626</v>
      </c>
      <c r="B123" s="26" t="s">
        <v>5293</v>
      </c>
      <c r="C123" s="26" t="s">
        <v>258</v>
      </c>
      <c r="D123" s="26" t="s">
        <v>4130</v>
      </c>
      <c r="E123" s="26" t="s">
        <v>4130</v>
      </c>
      <c r="F123" s="26" t="b">
        <v>1</v>
      </c>
      <c r="G123" s="26" t="s">
        <v>5100</v>
      </c>
      <c r="H123" s="26" t="s">
        <v>258</v>
      </c>
      <c r="I123" s="26" t="s">
        <v>255</v>
      </c>
      <c r="J123" s="26" t="b">
        <v>1</v>
      </c>
      <c r="K123" s="26" t="str">
        <f>ISNUMBER(_xlfn.XMATCH(tbldeptemp[[#This Row],[DependencyID]],tblTargets[TargetID]))</f>
        <v>#ERROR!</v>
      </c>
      <c r="L123" s="26" t="str">
        <f>IF(tbldeptemp[[#This Row],[ValidTarget]]=FALSE,"BAD TARGET",IF(tbldeptemp[[#This Row],[ValidDependency]]=FALSE,"BAD DEPENDENCY",""))</f>
        <v>#ERROR!</v>
      </c>
    </row>
    <row r="124" ht="14.25" customHeight="1">
      <c r="A124" s="26" t="s">
        <v>626</v>
      </c>
      <c r="B124" s="26" t="s">
        <v>5297</v>
      </c>
      <c r="C124" s="26" t="s">
        <v>262</v>
      </c>
      <c r="D124" s="26" t="s">
        <v>4134</v>
      </c>
      <c r="E124" s="26" t="s">
        <v>4134</v>
      </c>
      <c r="F124" s="26" t="b">
        <v>1</v>
      </c>
      <c r="G124" s="26" t="s">
        <v>5100</v>
      </c>
      <c r="H124" s="26" t="s">
        <v>262</v>
      </c>
      <c r="I124" s="26" t="s">
        <v>258</v>
      </c>
      <c r="J124" s="26" t="b">
        <v>1</v>
      </c>
      <c r="K124" s="26" t="str">
        <f>ISNUMBER(_xlfn.XMATCH(tbldeptemp[[#This Row],[DependencyID]],tblTargets[TargetID]))</f>
        <v>#ERROR!</v>
      </c>
      <c r="L124" s="26" t="str">
        <f>IF(tbldeptemp[[#This Row],[ValidTarget]]=FALSE,"BAD TARGET",IF(tbldeptemp[[#This Row],[ValidDependency]]=FALSE,"BAD DEPENDENCY",""))</f>
        <v>#ERROR!</v>
      </c>
    </row>
    <row r="125" ht="14.25" customHeight="1">
      <c r="A125" s="26" t="s">
        <v>626</v>
      </c>
      <c r="B125" s="26" t="s">
        <v>5298</v>
      </c>
      <c r="C125" s="26" t="s">
        <v>751</v>
      </c>
      <c r="E125" s="26" t="e">
        <v>#N/A</v>
      </c>
      <c r="H125" s="26" t="s">
        <v>751</v>
      </c>
      <c r="I125" s="26" t="s">
        <v>262</v>
      </c>
      <c r="J125" s="26" t="b">
        <v>1</v>
      </c>
      <c r="K125" s="26" t="str">
        <f>ISNUMBER(_xlfn.XMATCH(tbldeptemp[[#This Row],[DependencyID]],tblTargets[TargetID]))</f>
        <v>#ERROR!</v>
      </c>
      <c r="L125" s="26" t="str">
        <f>IF(tbldeptemp[[#This Row],[ValidTarget]]=FALSE,"BAD TARGET",IF(tbldeptemp[[#This Row],[ValidDependency]]=FALSE,"BAD DEPENDENCY",""))</f>
        <v>#ERROR!</v>
      </c>
    </row>
    <row r="126" ht="14.25" customHeight="1">
      <c r="A126" s="26" t="s">
        <v>626</v>
      </c>
      <c r="B126" s="26" t="s">
        <v>5299</v>
      </c>
      <c r="C126" s="26" t="s">
        <v>282</v>
      </c>
      <c r="D126" s="26" t="s">
        <v>4146</v>
      </c>
      <c r="E126" s="26" t="s">
        <v>4146</v>
      </c>
      <c r="F126" s="26" t="b">
        <v>1</v>
      </c>
      <c r="G126" s="26" t="s">
        <v>5100</v>
      </c>
      <c r="H126" s="26" t="s">
        <v>282</v>
      </c>
      <c r="I126" s="26" t="s">
        <v>275</v>
      </c>
      <c r="J126" s="26" t="b">
        <v>1</v>
      </c>
      <c r="K126" s="26" t="str">
        <f>ISNUMBER(_xlfn.XMATCH(tbldeptemp[[#This Row],[DependencyID]],tblTargets[TargetID]))</f>
        <v>#ERROR!</v>
      </c>
      <c r="L126" s="26" t="str">
        <f>IF(tbldeptemp[[#This Row],[ValidTarget]]=FALSE,"BAD TARGET",IF(tbldeptemp[[#This Row],[ValidDependency]]=FALSE,"BAD DEPENDENCY",""))</f>
        <v>#ERROR!</v>
      </c>
    </row>
    <row r="127" ht="14.25" customHeight="1">
      <c r="A127" s="26" t="s">
        <v>626</v>
      </c>
      <c r="B127" s="26" t="s">
        <v>5154</v>
      </c>
      <c r="C127" s="26" t="s">
        <v>65</v>
      </c>
      <c r="D127" s="26" t="s">
        <v>5300</v>
      </c>
      <c r="E127" s="26" t="s">
        <v>4150</v>
      </c>
      <c r="F127" s="26" t="b">
        <v>1</v>
      </c>
      <c r="G127" s="26" t="s">
        <v>5097</v>
      </c>
      <c r="H127" s="26" t="s">
        <v>65</v>
      </c>
      <c r="I127" s="26" t="s">
        <v>282</v>
      </c>
      <c r="J127" s="26" t="b">
        <v>1</v>
      </c>
      <c r="K127" s="26" t="str">
        <f>ISNUMBER(_xlfn.XMATCH(tbldeptemp[[#This Row],[DependencyID]],tblTargets[TargetID]))</f>
        <v>#ERROR!</v>
      </c>
      <c r="L127" s="26" t="str">
        <f>IF(tbldeptemp[[#This Row],[ValidTarget]]=FALSE,"BAD TARGET",IF(tbldeptemp[[#This Row],[ValidDependency]]=FALSE,"BAD DEPENDENCY",""))</f>
        <v>#ERROR!</v>
      </c>
    </row>
    <row r="128" ht="14.25" customHeight="1">
      <c r="A128" s="26" t="s">
        <v>626</v>
      </c>
      <c r="B128" s="26" t="s">
        <v>5266</v>
      </c>
      <c r="C128" s="26" t="s">
        <v>234</v>
      </c>
      <c r="D128" s="26" t="s">
        <v>5300</v>
      </c>
      <c r="E128" s="26" t="s">
        <v>4150</v>
      </c>
      <c r="F128" s="26" t="b">
        <v>1</v>
      </c>
      <c r="G128" s="26" t="s">
        <v>5097</v>
      </c>
      <c r="H128" s="26" t="s">
        <v>234</v>
      </c>
      <c r="I128" s="26" t="s">
        <v>282</v>
      </c>
      <c r="J128" s="26" t="b">
        <v>1</v>
      </c>
      <c r="K128" s="26" t="str">
        <f>ISNUMBER(_xlfn.XMATCH(tbldeptemp[[#This Row],[DependencyID]],tblTargets[TargetID]))</f>
        <v>#ERROR!</v>
      </c>
      <c r="L128" s="26" t="str">
        <f>IF(tbldeptemp[[#This Row],[ValidTarget]]=FALSE,"BAD TARGET",IF(tbldeptemp[[#This Row],[ValidDependency]]=FALSE,"BAD DEPENDENCY",""))</f>
        <v>#ERROR!</v>
      </c>
    </row>
    <row r="129" ht="14.25" customHeight="1">
      <c r="A129" s="26" t="s">
        <v>626</v>
      </c>
      <c r="B129" s="26" t="s">
        <v>5301</v>
      </c>
      <c r="C129" s="26" t="s">
        <v>291</v>
      </c>
      <c r="D129" s="26" t="s">
        <v>5300</v>
      </c>
      <c r="E129" s="26" t="s">
        <v>4150</v>
      </c>
      <c r="F129" s="26" t="b">
        <v>1</v>
      </c>
      <c r="G129" s="26" t="s">
        <v>5100</v>
      </c>
      <c r="H129" s="26" t="s">
        <v>291</v>
      </c>
      <c r="I129" s="26" t="s">
        <v>282</v>
      </c>
      <c r="J129" s="26" t="b">
        <v>1</v>
      </c>
      <c r="K129" s="26" t="str">
        <f>ISNUMBER(_xlfn.XMATCH(tbldeptemp[[#This Row],[DependencyID]],tblTargets[TargetID]))</f>
        <v>#ERROR!</v>
      </c>
      <c r="L129" s="26" t="str">
        <f>IF(tbldeptemp[[#This Row],[ValidTarget]]=FALSE,"BAD TARGET",IF(tbldeptemp[[#This Row],[ValidDependency]]=FALSE,"BAD DEPENDENCY",""))</f>
        <v>#ERROR!</v>
      </c>
    </row>
    <row r="130" ht="14.25" customHeight="1">
      <c r="A130" s="26" t="s">
        <v>626</v>
      </c>
      <c r="B130" s="26" t="s">
        <v>5302</v>
      </c>
      <c r="C130" s="26" t="s">
        <v>442</v>
      </c>
      <c r="D130" s="26" t="s">
        <v>5300</v>
      </c>
      <c r="E130" s="26" t="s">
        <v>4150</v>
      </c>
      <c r="F130" s="26" t="b">
        <v>1</v>
      </c>
      <c r="G130" s="26" t="s">
        <v>5097</v>
      </c>
      <c r="H130" s="26" t="s">
        <v>442</v>
      </c>
      <c r="I130" s="26" t="s">
        <v>282</v>
      </c>
      <c r="J130" s="26" t="b">
        <v>1</v>
      </c>
      <c r="K130" s="26" t="str">
        <f>ISNUMBER(_xlfn.XMATCH(tbldeptemp[[#This Row],[DependencyID]],tblTargets[TargetID]))</f>
        <v>#ERROR!</v>
      </c>
      <c r="L130" s="26" t="str">
        <f>IF(tbldeptemp[[#This Row],[ValidTarget]]=FALSE,"BAD TARGET",IF(tbldeptemp[[#This Row],[ValidDependency]]=FALSE,"BAD DEPENDENCY",""))</f>
        <v>#ERROR!</v>
      </c>
    </row>
    <row r="131" ht="14.25" customHeight="1">
      <c r="A131" s="26" t="s">
        <v>626</v>
      </c>
      <c r="B131" s="26" t="s">
        <v>5156</v>
      </c>
      <c r="C131" s="26" t="s">
        <v>68</v>
      </c>
      <c r="D131" s="26" t="s">
        <v>5303</v>
      </c>
      <c r="E131" s="26" t="s">
        <v>4154</v>
      </c>
      <c r="F131" s="26" t="b">
        <v>1</v>
      </c>
      <c r="G131" s="26" t="s">
        <v>5097</v>
      </c>
      <c r="H131" s="26" t="s">
        <v>68</v>
      </c>
      <c r="I131" s="26" t="s">
        <v>291</v>
      </c>
      <c r="J131" s="26" t="b">
        <v>1</v>
      </c>
      <c r="K131" s="26" t="str">
        <f>ISNUMBER(_xlfn.XMATCH(tbldeptemp[[#This Row],[DependencyID]],tblTargets[TargetID]))</f>
        <v>#ERROR!</v>
      </c>
      <c r="L131" s="26" t="str">
        <f>IF(tbldeptemp[[#This Row],[ValidTarget]]=FALSE,"BAD TARGET",IF(tbldeptemp[[#This Row],[ValidDependency]]=FALSE,"BAD DEPENDENCY",""))</f>
        <v>#ERROR!</v>
      </c>
    </row>
    <row r="132" ht="14.25" customHeight="1">
      <c r="A132" s="26" t="s">
        <v>626</v>
      </c>
      <c r="B132" s="26" t="s">
        <v>5306</v>
      </c>
      <c r="C132" s="26" t="s">
        <v>71</v>
      </c>
      <c r="D132" s="26" t="s">
        <v>5303</v>
      </c>
      <c r="E132" s="26" t="s">
        <v>4154</v>
      </c>
      <c r="F132" s="26" t="b">
        <v>1</v>
      </c>
      <c r="G132" s="26" t="s">
        <v>5100</v>
      </c>
      <c r="H132" s="26" t="s">
        <v>71</v>
      </c>
      <c r="I132" s="26" t="s">
        <v>291</v>
      </c>
      <c r="J132" s="26" t="b">
        <v>1</v>
      </c>
      <c r="K132" s="26" t="str">
        <f>ISNUMBER(_xlfn.XMATCH(tbldeptemp[[#This Row],[DependencyID]],tblTargets[TargetID]))</f>
        <v>#ERROR!</v>
      </c>
      <c r="L132" s="26" t="str">
        <f>IF(tbldeptemp[[#This Row],[ValidTarget]]=FALSE,"BAD TARGET",IF(tbldeptemp[[#This Row],[ValidDependency]]=FALSE,"BAD DEPENDENCY",""))</f>
        <v>#ERROR!</v>
      </c>
    </row>
    <row r="133" ht="14.25" customHeight="1">
      <c r="A133" s="26" t="s">
        <v>626</v>
      </c>
      <c r="B133" s="26" t="s">
        <v>5312</v>
      </c>
      <c r="C133" s="26" t="s">
        <v>295</v>
      </c>
      <c r="D133" s="26" t="s">
        <v>5303</v>
      </c>
      <c r="E133" s="26" t="s">
        <v>4154</v>
      </c>
      <c r="F133" s="26" t="b">
        <v>1</v>
      </c>
      <c r="G133" s="26" t="s">
        <v>5100</v>
      </c>
      <c r="H133" s="26" t="s">
        <v>295</v>
      </c>
      <c r="I133" s="26" t="s">
        <v>291</v>
      </c>
      <c r="J133" s="26" t="b">
        <v>1</v>
      </c>
      <c r="K133" s="26" t="str">
        <f>ISNUMBER(_xlfn.XMATCH(tbldeptemp[[#This Row],[DependencyID]],tblTargets[TargetID]))</f>
        <v>#ERROR!</v>
      </c>
      <c r="L133" s="26" t="str">
        <f>IF(tbldeptemp[[#This Row],[ValidTarget]]=FALSE,"BAD TARGET",IF(tbldeptemp[[#This Row],[ValidDependency]]=FALSE,"BAD DEPENDENCY",""))</f>
        <v>#ERROR!</v>
      </c>
    </row>
    <row r="134" ht="14.25" customHeight="1">
      <c r="A134" s="26" t="s">
        <v>626</v>
      </c>
      <c r="B134" s="26" t="s">
        <v>5313</v>
      </c>
      <c r="C134" s="26" t="s">
        <v>445</v>
      </c>
      <c r="D134" s="26" t="s">
        <v>5303</v>
      </c>
      <c r="E134" s="26" t="s">
        <v>4154</v>
      </c>
      <c r="F134" s="26" t="b">
        <v>1</v>
      </c>
      <c r="G134" s="26" t="s">
        <v>5097</v>
      </c>
      <c r="H134" s="26" t="s">
        <v>445</v>
      </c>
      <c r="I134" s="26" t="s">
        <v>291</v>
      </c>
      <c r="J134" s="26" t="b">
        <v>1</v>
      </c>
      <c r="K134" s="26" t="str">
        <f>ISNUMBER(_xlfn.XMATCH(tbldeptemp[[#This Row],[DependencyID]],tblTargets[TargetID]))</f>
        <v>#ERROR!</v>
      </c>
      <c r="L134" s="26" t="str">
        <f>IF(tbldeptemp[[#This Row],[ValidTarget]]=FALSE,"BAD TARGET",IF(tbldeptemp[[#This Row],[ValidDependency]]=FALSE,"BAD DEPENDENCY",""))</f>
        <v>#ERROR!</v>
      </c>
    </row>
    <row r="135" ht="14.25" customHeight="1">
      <c r="A135" s="26" t="s">
        <v>626</v>
      </c>
      <c r="B135" s="26" t="s">
        <v>5306</v>
      </c>
      <c r="C135" s="26" t="s">
        <v>71</v>
      </c>
      <c r="D135" s="26" t="s">
        <v>5314</v>
      </c>
      <c r="E135" s="26" t="s">
        <v>4158</v>
      </c>
      <c r="F135" s="26" t="b">
        <v>1</v>
      </c>
      <c r="G135" s="26" t="s">
        <v>5097</v>
      </c>
      <c r="H135" s="26" t="s">
        <v>71</v>
      </c>
      <c r="I135" s="26" t="s">
        <v>295</v>
      </c>
      <c r="J135" s="26" t="b">
        <v>1</v>
      </c>
      <c r="K135" s="26" t="str">
        <f>ISNUMBER(_xlfn.XMATCH(tbldeptemp[[#This Row],[DependencyID]],tblTargets[TargetID]))</f>
        <v>#ERROR!</v>
      </c>
      <c r="L135" s="26" t="str">
        <f>IF(tbldeptemp[[#This Row],[ValidTarget]]=FALSE,"BAD TARGET",IF(tbldeptemp[[#This Row],[ValidDependency]]=FALSE,"BAD DEPENDENCY",""))</f>
        <v>#ERROR!</v>
      </c>
    </row>
    <row r="136" ht="14.25" customHeight="1">
      <c r="A136" s="26" t="s">
        <v>626</v>
      </c>
      <c r="B136" s="26" t="s">
        <v>5315</v>
      </c>
      <c r="C136" s="26" t="s">
        <v>302</v>
      </c>
      <c r="D136" s="26" t="s">
        <v>5314</v>
      </c>
      <c r="E136" s="26" t="s">
        <v>4158</v>
      </c>
      <c r="F136" s="26" t="b">
        <v>1</v>
      </c>
      <c r="G136" s="26" t="s">
        <v>5100</v>
      </c>
      <c r="H136" s="26" t="s">
        <v>302</v>
      </c>
      <c r="I136" s="26" t="s">
        <v>295</v>
      </c>
      <c r="J136" s="26" t="b">
        <v>1</v>
      </c>
      <c r="K136" s="26" t="str">
        <f>ISNUMBER(_xlfn.XMATCH(tbldeptemp[[#This Row],[DependencyID]],tblTargets[TargetID]))</f>
        <v>#ERROR!</v>
      </c>
      <c r="L136" s="26" t="str">
        <f>IF(tbldeptemp[[#This Row],[ValidTarget]]=FALSE,"BAD TARGET",IF(tbldeptemp[[#This Row],[ValidDependency]]=FALSE,"BAD DEPENDENCY",""))</f>
        <v>#ERROR!</v>
      </c>
    </row>
    <row r="137" ht="14.25" customHeight="1">
      <c r="A137" s="26" t="s">
        <v>626</v>
      </c>
      <c r="B137" s="26" t="s">
        <v>5316</v>
      </c>
      <c r="C137" s="26" t="s">
        <v>447</v>
      </c>
      <c r="D137" s="26" t="s">
        <v>5314</v>
      </c>
      <c r="E137" s="26" t="s">
        <v>4158</v>
      </c>
      <c r="F137" s="26" t="b">
        <v>1</v>
      </c>
      <c r="G137" s="26" t="s">
        <v>5097</v>
      </c>
      <c r="H137" s="26" t="s">
        <v>447</v>
      </c>
      <c r="I137" s="26" t="s">
        <v>295</v>
      </c>
      <c r="J137" s="26" t="b">
        <v>1</v>
      </c>
      <c r="K137" s="26" t="str">
        <f>ISNUMBER(_xlfn.XMATCH(tbldeptemp[[#This Row],[DependencyID]],tblTargets[TargetID]))</f>
        <v>#ERROR!</v>
      </c>
      <c r="L137" s="26" t="str">
        <f>IF(tbldeptemp[[#This Row],[ValidTarget]]=FALSE,"BAD TARGET",IF(tbldeptemp[[#This Row],[ValidDependency]]=FALSE,"BAD DEPENDENCY",""))</f>
        <v>#ERROR!</v>
      </c>
    </row>
    <row r="138" ht="14.25" customHeight="1">
      <c r="A138" s="26" t="s">
        <v>626</v>
      </c>
      <c r="B138" s="26" t="s">
        <v>5158</v>
      </c>
      <c r="C138" s="26" t="s">
        <v>77</v>
      </c>
      <c r="D138" s="26" t="s">
        <v>5317</v>
      </c>
      <c r="E138" s="26" t="s">
        <v>5318</v>
      </c>
      <c r="F138" s="26" t="b">
        <v>1</v>
      </c>
      <c r="G138" s="26" t="s">
        <v>5097</v>
      </c>
      <c r="H138" s="26" t="s">
        <v>77</v>
      </c>
      <c r="I138" s="26" t="s">
        <v>302</v>
      </c>
      <c r="J138" s="26" t="b">
        <v>1</v>
      </c>
      <c r="K138" s="26" t="str">
        <f>ISNUMBER(_xlfn.XMATCH(tbldeptemp[[#This Row],[DependencyID]],tblTargets[TargetID]))</f>
        <v>#ERROR!</v>
      </c>
      <c r="L138" s="26" t="str">
        <f>IF(tbldeptemp[[#This Row],[ValidTarget]]=FALSE,"BAD TARGET",IF(tbldeptemp[[#This Row],[ValidDependency]]=FALSE,"BAD DEPENDENCY",""))</f>
        <v>#ERROR!</v>
      </c>
    </row>
    <row r="139" ht="14.25" customHeight="1">
      <c r="A139" s="26" t="s">
        <v>626</v>
      </c>
      <c r="B139" s="26" t="s">
        <v>5319</v>
      </c>
      <c r="C139" s="26" t="s">
        <v>449</v>
      </c>
      <c r="D139" s="26" t="s">
        <v>5317</v>
      </c>
      <c r="E139" s="26" t="s">
        <v>5318</v>
      </c>
      <c r="F139" s="26" t="b">
        <v>1</v>
      </c>
      <c r="G139" s="26" t="s">
        <v>5097</v>
      </c>
      <c r="H139" s="26" t="s">
        <v>449</v>
      </c>
      <c r="I139" s="26" t="s">
        <v>302</v>
      </c>
      <c r="J139" s="26" t="b">
        <v>1</v>
      </c>
      <c r="K139" s="26" t="str">
        <f>ISNUMBER(_xlfn.XMATCH(tbldeptemp[[#This Row],[DependencyID]],tblTargets[TargetID]))</f>
        <v>#ERROR!</v>
      </c>
      <c r="L139" s="26" t="str">
        <f>IF(tbldeptemp[[#This Row],[ValidTarget]]=FALSE,"BAD TARGET",IF(tbldeptemp[[#This Row],[ValidDependency]]=FALSE,"BAD DEPENDENCY",""))</f>
        <v>#ERROR!</v>
      </c>
    </row>
    <row r="140" ht="14.25" customHeight="1">
      <c r="A140" s="26" t="s">
        <v>1117</v>
      </c>
      <c r="B140" s="26" t="s">
        <v>4591</v>
      </c>
      <c r="C140" s="26" t="s">
        <v>850</v>
      </c>
      <c r="D140" s="26" t="s">
        <v>5317</v>
      </c>
      <c r="E140" s="26" t="s">
        <v>5318</v>
      </c>
      <c r="F140" s="26" t="b">
        <v>1</v>
      </c>
      <c r="G140" s="26" t="s">
        <v>5097</v>
      </c>
      <c r="H140" s="26" t="s">
        <v>850</v>
      </c>
      <c r="I140" s="26" t="s">
        <v>302</v>
      </c>
      <c r="J140" s="26" t="b">
        <v>1</v>
      </c>
      <c r="K140" s="26" t="str">
        <f>ISNUMBER(_xlfn.XMATCH(tbldeptemp[[#This Row],[DependencyID]],tblTargets[TargetID]))</f>
        <v>#ERROR!</v>
      </c>
      <c r="L140" s="26" t="str">
        <f>IF(tbldeptemp[[#This Row],[ValidTarget]]=FALSE,"BAD TARGET",IF(tbldeptemp[[#This Row],[ValidDependency]]=FALSE,"BAD DEPENDENCY",""))</f>
        <v>#ERROR!</v>
      </c>
    </row>
    <row r="141" ht="14.25" customHeight="1">
      <c r="A141" s="26" t="s">
        <v>1117</v>
      </c>
      <c r="B141" s="26" t="s">
        <v>4603</v>
      </c>
      <c r="C141" s="26" t="s">
        <v>861</v>
      </c>
      <c r="D141" s="26" t="s">
        <v>5317</v>
      </c>
      <c r="E141" s="26" t="s">
        <v>5318</v>
      </c>
      <c r="F141" s="26" t="b">
        <v>1</v>
      </c>
      <c r="G141" s="26" t="s">
        <v>5097</v>
      </c>
      <c r="H141" s="26" t="s">
        <v>861</v>
      </c>
      <c r="I141" s="26" t="s">
        <v>302</v>
      </c>
      <c r="J141" s="26" t="b">
        <v>1</v>
      </c>
      <c r="K141" s="26" t="str">
        <f>ISNUMBER(_xlfn.XMATCH(tbldeptemp[[#This Row],[DependencyID]],tblTargets[TargetID]))</f>
        <v>#ERROR!</v>
      </c>
      <c r="L141" s="26" t="str">
        <f>IF(tbldeptemp[[#This Row],[ValidTarget]]=FALSE,"BAD TARGET",IF(tbldeptemp[[#This Row],[ValidDependency]]=FALSE,"BAD DEPENDENCY",""))</f>
        <v>#ERROR!</v>
      </c>
    </row>
    <row r="142" ht="14.25" customHeight="1">
      <c r="A142" s="26" t="s">
        <v>1117</v>
      </c>
      <c r="B142" s="26" t="s">
        <v>4619</v>
      </c>
      <c r="C142" s="26" t="s">
        <v>876</v>
      </c>
      <c r="D142" s="26" t="s">
        <v>5317</v>
      </c>
      <c r="E142" s="26" t="s">
        <v>5318</v>
      </c>
      <c r="F142" s="26" t="b">
        <v>1</v>
      </c>
      <c r="G142" s="26" t="s">
        <v>5097</v>
      </c>
      <c r="H142" s="26" t="s">
        <v>876</v>
      </c>
      <c r="I142" s="26" t="s">
        <v>302</v>
      </c>
      <c r="J142" s="26" t="b">
        <v>1</v>
      </c>
      <c r="K142" s="26" t="str">
        <f>ISNUMBER(_xlfn.XMATCH(tbldeptemp[[#This Row],[DependencyID]],tblTargets[TargetID]))</f>
        <v>#ERROR!</v>
      </c>
      <c r="L142" s="26" t="str">
        <f>IF(tbldeptemp[[#This Row],[ValidTarget]]=FALSE,"BAD TARGET",IF(tbldeptemp[[#This Row],[ValidDependency]]=FALSE,"BAD DEPENDENCY",""))</f>
        <v>#ERROR!</v>
      </c>
    </row>
    <row r="143" ht="14.25" customHeight="1">
      <c r="A143" s="26" t="s">
        <v>1117</v>
      </c>
      <c r="B143" s="26" t="s">
        <v>4644</v>
      </c>
      <c r="C143" s="26" t="s">
        <v>914</v>
      </c>
      <c r="D143" s="26" t="s">
        <v>5317</v>
      </c>
      <c r="E143" s="26" t="s">
        <v>5318</v>
      </c>
      <c r="F143" s="26" t="b">
        <v>1</v>
      </c>
      <c r="G143" s="26" t="s">
        <v>5097</v>
      </c>
      <c r="H143" s="26" t="s">
        <v>914</v>
      </c>
      <c r="I143" s="26" t="s">
        <v>302</v>
      </c>
      <c r="J143" s="26" t="b">
        <v>1</v>
      </c>
      <c r="K143" s="26" t="str">
        <f>ISNUMBER(_xlfn.XMATCH(tbldeptemp[[#This Row],[DependencyID]],tblTargets[TargetID]))</f>
        <v>#ERROR!</v>
      </c>
      <c r="L143" s="26" t="str">
        <f>IF(tbldeptemp[[#This Row],[ValidTarget]]=FALSE,"BAD TARGET",IF(tbldeptemp[[#This Row],[ValidDependency]]=FALSE,"BAD DEPENDENCY",""))</f>
        <v>#ERROR!</v>
      </c>
    </row>
    <row r="144" ht="14.25" customHeight="1">
      <c r="A144" s="26" t="s">
        <v>1705</v>
      </c>
      <c r="B144" s="26" t="s">
        <v>5327</v>
      </c>
      <c r="C144" s="26" t="s">
        <v>1798</v>
      </c>
      <c r="D144" s="26" t="s">
        <v>5328</v>
      </c>
      <c r="E144" s="26" t="s">
        <v>5329</v>
      </c>
      <c r="F144" s="26" t="b">
        <v>0</v>
      </c>
      <c r="G144" s="26" t="s">
        <v>5097</v>
      </c>
      <c r="H144" s="26" t="s">
        <v>1798</v>
      </c>
      <c r="I144" s="26" t="s">
        <v>777</v>
      </c>
      <c r="J144" s="26" t="b">
        <v>1</v>
      </c>
      <c r="K144" s="26" t="str">
        <f>ISNUMBER(_xlfn.XMATCH(tbldeptemp[[#This Row],[DependencyID]],tblTargets[TargetID]))</f>
        <v>#ERROR!</v>
      </c>
      <c r="L144" s="26" t="str">
        <f>IF(tbldeptemp[[#This Row],[ValidTarget]]=FALSE,"BAD TARGET",IF(tbldeptemp[[#This Row],[ValidDependency]]=FALSE,"BAD DEPENDENCY",""))</f>
        <v>#ERROR!</v>
      </c>
    </row>
    <row r="145" ht="14.25" customHeight="1">
      <c r="A145" s="26" t="s">
        <v>1705</v>
      </c>
      <c r="B145" s="26" t="s">
        <v>5330</v>
      </c>
      <c r="C145" s="26" t="s">
        <v>1800</v>
      </c>
      <c r="D145" s="26" t="s">
        <v>5328</v>
      </c>
      <c r="E145" s="26" t="s">
        <v>5329</v>
      </c>
      <c r="F145" s="26" t="b">
        <v>0</v>
      </c>
      <c r="G145" s="26" t="s">
        <v>5097</v>
      </c>
      <c r="H145" s="26" t="s">
        <v>1800</v>
      </c>
      <c r="I145" s="26" t="s">
        <v>777</v>
      </c>
      <c r="J145" s="26" t="b">
        <v>1</v>
      </c>
      <c r="K145" s="26" t="str">
        <f>ISNUMBER(_xlfn.XMATCH(tbldeptemp[[#This Row],[DependencyID]],tblTargets[TargetID]))</f>
        <v>#ERROR!</v>
      </c>
      <c r="L145" s="26" t="str">
        <f>IF(tbldeptemp[[#This Row],[ValidTarget]]=FALSE,"BAD TARGET",IF(tbldeptemp[[#This Row],[ValidDependency]]=FALSE,"BAD DEPENDENCY",""))</f>
        <v>#ERROR!</v>
      </c>
    </row>
    <row r="146" ht="14.25" customHeight="1">
      <c r="A146" s="26" t="s">
        <v>1705</v>
      </c>
      <c r="B146" s="26" t="s">
        <v>5331</v>
      </c>
      <c r="C146" s="26" t="s">
        <v>1802</v>
      </c>
      <c r="D146" s="26" t="s">
        <v>5328</v>
      </c>
      <c r="E146" s="26" t="s">
        <v>5329</v>
      </c>
      <c r="F146" s="26" t="b">
        <v>0</v>
      </c>
      <c r="G146" s="26" t="s">
        <v>5097</v>
      </c>
      <c r="H146" s="26" t="s">
        <v>1802</v>
      </c>
      <c r="I146" s="26" t="s">
        <v>777</v>
      </c>
      <c r="J146" s="26" t="b">
        <v>1</v>
      </c>
      <c r="K146" s="26" t="str">
        <f>ISNUMBER(_xlfn.XMATCH(tbldeptemp[[#This Row],[DependencyID]],tblTargets[TargetID]))</f>
        <v>#ERROR!</v>
      </c>
      <c r="L146" s="26" t="str">
        <f>IF(tbldeptemp[[#This Row],[ValidTarget]]=FALSE,"BAD TARGET",IF(tbldeptemp[[#This Row],[ValidDependency]]=FALSE,"BAD DEPENDENCY",""))</f>
        <v>#ERROR!</v>
      </c>
    </row>
    <row r="147" ht="14.25" customHeight="1">
      <c r="A147" s="26" t="s">
        <v>626</v>
      </c>
      <c r="B147" s="26" t="s">
        <v>5332</v>
      </c>
      <c r="C147" s="26" t="s">
        <v>319</v>
      </c>
      <c r="D147" s="26" t="s">
        <v>4178</v>
      </c>
      <c r="E147" s="26" t="s">
        <v>5333</v>
      </c>
      <c r="F147" s="26" t="b">
        <v>0</v>
      </c>
      <c r="G147" s="26" t="s">
        <v>5100</v>
      </c>
      <c r="H147" s="26" t="s">
        <v>319</v>
      </c>
      <c r="I147" s="26" t="s">
        <v>314</v>
      </c>
      <c r="J147" s="26" t="b">
        <v>1</v>
      </c>
      <c r="K147" s="26" t="str">
        <f>ISNUMBER(_xlfn.XMATCH(tbldeptemp[[#This Row],[DependencyID]],tblTargets[TargetID]))</f>
        <v>#ERROR!</v>
      </c>
      <c r="L147" s="26" t="str">
        <f>IF(tbldeptemp[[#This Row],[ValidTarget]]=FALSE,"BAD TARGET",IF(tbldeptemp[[#This Row],[ValidDependency]]=FALSE,"BAD DEPENDENCY",""))</f>
        <v>#ERROR!</v>
      </c>
    </row>
    <row r="148" ht="14.25" customHeight="1">
      <c r="A148" s="26" t="s">
        <v>626</v>
      </c>
      <c r="B148" s="26" t="s">
        <v>5334</v>
      </c>
      <c r="C148" s="26" t="s">
        <v>322</v>
      </c>
      <c r="D148" s="26" t="s">
        <v>4181</v>
      </c>
      <c r="E148" s="26" t="s">
        <v>5335</v>
      </c>
      <c r="F148" s="26" t="b">
        <v>0</v>
      </c>
      <c r="G148" s="26" t="s">
        <v>5100</v>
      </c>
      <c r="H148" s="26" t="s">
        <v>322</v>
      </c>
      <c r="I148" s="26" t="s">
        <v>319</v>
      </c>
      <c r="J148" s="26" t="b">
        <v>1</v>
      </c>
      <c r="K148" s="26" t="str">
        <f>ISNUMBER(_xlfn.XMATCH(tbldeptemp[[#This Row],[DependencyID]],tblTargets[TargetID]))</f>
        <v>#ERROR!</v>
      </c>
      <c r="L148" s="26" t="str">
        <f>IF(tbldeptemp[[#This Row],[ValidTarget]]=FALSE,"BAD TARGET",IF(tbldeptemp[[#This Row],[ValidDependency]]=FALSE,"BAD DEPENDENCY",""))</f>
        <v>#ERROR!</v>
      </c>
    </row>
    <row r="149" ht="14.25" customHeight="1">
      <c r="A149" s="26" t="s">
        <v>626</v>
      </c>
      <c r="B149" s="26" t="s">
        <v>5334</v>
      </c>
      <c r="C149" s="26" t="s">
        <v>322</v>
      </c>
      <c r="D149" s="26" t="s">
        <v>4181</v>
      </c>
      <c r="E149" s="26" t="s">
        <v>5335</v>
      </c>
      <c r="F149" s="26" t="b">
        <v>0</v>
      </c>
      <c r="G149" s="26" t="s">
        <v>5100</v>
      </c>
      <c r="H149" s="26" t="s">
        <v>322</v>
      </c>
      <c r="I149" s="26" t="s">
        <v>319</v>
      </c>
      <c r="J149" s="26" t="b">
        <v>1</v>
      </c>
      <c r="K149" s="26" t="str">
        <f>ISNUMBER(_xlfn.XMATCH(tbldeptemp[[#This Row],[DependencyID]],tblTargets[TargetID]))</f>
        <v>#ERROR!</v>
      </c>
      <c r="L149" s="26" t="str">
        <f>IF(tbldeptemp[[#This Row],[ValidTarget]]=FALSE,"BAD TARGET",IF(tbldeptemp[[#This Row],[ValidDependency]]=FALSE,"BAD DEPENDENCY",""))</f>
        <v>#ERROR!</v>
      </c>
    </row>
    <row r="150" ht="14.25" customHeight="1">
      <c r="A150" s="26" t="s">
        <v>626</v>
      </c>
      <c r="B150" s="26" t="s">
        <v>5338</v>
      </c>
      <c r="C150" s="26" t="s">
        <v>325</v>
      </c>
      <c r="D150" s="26" t="s">
        <v>4184</v>
      </c>
      <c r="E150" s="26" t="s">
        <v>5340</v>
      </c>
      <c r="F150" s="26" t="b">
        <v>0</v>
      </c>
      <c r="G150" s="26" t="s">
        <v>5100</v>
      </c>
      <c r="H150" s="26" t="s">
        <v>325</v>
      </c>
      <c r="I150" s="26" t="s">
        <v>322</v>
      </c>
      <c r="J150" s="26" t="b">
        <v>1</v>
      </c>
      <c r="K150" s="26" t="str">
        <f>ISNUMBER(_xlfn.XMATCH(tbldeptemp[[#This Row],[DependencyID]],tblTargets[TargetID]))</f>
        <v>#ERROR!</v>
      </c>
      <c r="L150" s="26" t="str">
        <f>IF(tbldeptemp[[#This Row],[ValidTarget]]=FALSE,"BAD TARGET",IF(tbldeptemp[[#This Row],[ValidDependency]]=FALSE,"BAD DEPENDENCY",""))</f>
        <v>#ERROR!</v>
      </c>
    </row>
    <row r="151" ht="14.25" customHeight="1">
      <c r="A151" s="26" t="s">
        <v>626</v>
      </c>
      <c r="B151" s="26" t="s">
        <v>5338</v>
      </c>
      <c r="C151" s="26" t="s">
        <v>325</v>
      </c>
      <c r="D151" s="26" t="s">
        <v>4184</v>
      </c>
      <c r="E151" s="26" t="s">
        <v>5340</v>
      </c>
      <c r="F151" s="26" t="b">
        <v>0</v>
      </c>
      <c r="G151" s="26" t="s">
        <v>5100</v>
      </c>
      <c r="H151" s="26" t="s">
        <v>325</v>
      </c>
      <c r="I151" s="26" t="s">
        <v>322</v>
      </c>
      <c r="J151" s="26" t="b">
        <v>1</v>
      </c>
      <c r="K151" s="26" t="str">
        <f>ISNUMBER(_xlfn.XMATCH(tbldeptemp[[#This Row],[DependencyID]],tblTargets[TargetID]))</f>
        <v>#ERROR!</v>
      </c>
      <c r="L151" s="26" t="str">
        <f>IF(tbldeptemp[[#This Row],[ValidTarget]]=FALSE,"BAD TARGET",IF(tbldeptemp[[#This Row],[ValidDependency]]=FALSE,"BAD DEPENDENCY",""))</f>
        <v>#ERROR!</v>
      </c>
    </row>
    <row r="152" ht="14.25" customHeight="1">
      <c r="A152" s="26" t="s">
        <v>626</v>
      </c>
      <c r="B152" s="26" t="s">
        <v>5342</v>
      </c>
      <c r="C152" s="26" t="s">
        <v>328</v>
      </c>
      <c r="D152" s="26" t="s">
        <v>4187</v>
      </c>
      <c r="E152" s="26" t="s">
        <v>5343</v>
      </c>
      <c r="F152" s="26" t="b">
        <v>0</v>
      </c>
      <c r="G152" s="26" t="s">
        <v>5100</v>
      </c>
      <c r="H152" s="26" t="s">
        <v>328</v>
      </c>
      <c r="I152" s="26" t="s">
        <v>325</v>
      </c>
      <c r="J152" s="26" t="b">
        <v>1</v>
      </c>
      <c r="K152" s="26" t="str">
        <f>ISNUMBER(_xlfn.XMATCH(tbldeptemp[[#This Row],[DependencyID]],tblTargets[TargetID]))</f>
        <v>#ERROR!</v>
      </c>
      <c r="L152" s="26" t="str">
        <f>IF(tbldeptemp[[#This Row],[ValidTarget]]=FALSE,"BAD TARGET",IF(tbldeptemp[[#This Row],[ValidDependency]]=FALSE,"BAD DEPENDENCY",""))</f>
        <v>#ERROR!</v>
      </c>
    </row>
    <row r="153" ht="14.25" customHeight="1">
      <c r="A153" s="26" t="s">
        <v>626</v>
      </c>
      <c r="B153" s="26" t="s">
        <v>5342</v>
      </c>
      <c r="C153" s="26" t="s">
        <v>328</v>
      </c>
      <c r="D153" s="26" t="s">
        <v>4187</v>
      </c>
      <c r="E153" s="26" t="s">
        <v>5343</v>
      </c>
      <c r="F153" s="26" t="b">
        <v>0</v>
      </c>
      <c r="G153" s="26" t="s">
        <v>5100</v>
      </c>
      <c r="H153" s="26" t="s">
        <v>328</v>
      </c>
      <c r="I153" s="26" t="s">
        <v>325</v>
      </c>
      <c r="J153" s="26" t="b">
        <v>1</v>
      </c>
      <c r="K153" s="26" t="str">
        <f>ISNUMBER(_xlfn.XMATCH(tbldeptemp[[#This Row],[DependencyID]],tblTargets[TargetID]))</f>
        <v>#ERROR!</v>
      </c>
      <c r="L153" s="26" t="str">
        <f>IF(tbldeptemp[[#This Row],[ValidTarget]]=FALSE,"BAD TARGET",IF(tbldeptemp[[#This Row],[ValidDependency]]=FALSE,"BAD DEPENDENCY",""))</f>
        <v>#ERROR!</v>
      </c>
    </row>
    <row r="154" ht="14.25" customHeight="1">
      <c r="A154" s="26" t="s">
        <v>626</v>
      </c>
      <c r="B154" s="26" t="s">
        <v>5344</v>
      </c>
      <c r="C154" s="26" t="s">
        <v>333</v>
      </c>
      <c r="D154" s="26" t="s">
        <v>5345</v>
      </c>
      <c r="E154" s="26" t="s">
        <v>5346</v>
      </c>
      <c r="F154" s="26" t="b">
        <v>0</v>
      </c>
      <c r="G154" s="26" t="s">
        <v>5097</v>
      </c>
      <c r="H154" s="26" t="s">
        <v>333</v>
      </c>
      <c r="I154" s="26" t="s">
        <v>328</v>
      </c>
      <c r="J154" s="26" t="b">
        <v>1</v>
      </c>
      <c r="K154" s="26" t="str">
        <f>ISNUMBER(_xlfn.XMATCH(tbldeptemp[[#This Row],[DependencyID]],tblTargets[TargetID]))</f>
        <v>#ERROR!</v>
      </c>
      <c r="L154" s="26" t="str">
        <f>IF(tbldeptemp[[#This Row],[ValidTarget]]=FALSE,"BAD TARGET",IF(tbldeptemp[[#This Row],[ValidDependency]]=FALSE,"BAD DEPENDENCY",""))</f>
        <v>#ERROR!</v>
      </c>
    </row>
    <row r="155" ht="14.25" customHeight="1">
      <c r="A155" s="26" t="s">
        <v>626</v>
      </c>
      <c r="B155" s="26" t="s">
        <v>5347</v>
      </c>
      <c r="C155" s="26" t="s">
        <v>777</v>
      </c>
      <c r="E155" s="26" t="e">
        <v>#N/A</v>
      </c>
      <c r="H155" s="26" t="s">
        <v>777</v>
      </c>
      <c r="I155" s="26" t="s">
        <v>5348</v>
      </c>
      <c r="J155" s="26" t="b">
        <v>1</v>
      </c>
      <c r="K155" s="26" t="str">
        <f>ISNUMBER(_xlfn.XMATCH(tbldeptemp[[#This Row],[DependencyID]],tblTargets[TargetID]))</f>
        <v>#ERROR!</v>
      </c>
      <c r="L155" s="26" t="str">
        <f>IF(tbldeptemp[[#This Row],[ValidTarget]]=FALSE,"BAD TARGET",IF(tbldeptemp[[#This Row],[ValidDependency]]=FALSE,"BAD DEPENDENCY",""))</f>
        <v>#ERROR!</v>
      </c>
    </row>
    <row r="156" ht="14.25" customHeight="1">
      <c r="A156" s="26" t="s">
        <v>1705</v>
      </c>
      <c r="B156" s="26" t="s">
        <v>5327</v>
      </c>
      <c r="C156" s="26" t="s">
        <v>1798</v>
      </c>
      <c r="D156" s="26" t="s">
        <v>5349</v>
      </c>
      <c r="E156" s="26" t="s">
        <v>5350</v>
      </c>
      <c r="F156" s="26" t="b">
        <v>0</v>
      </c>
      <c r="G156" s="26" t="s">
        <v>5097</v>
      </c>
      <c r="H156" s="26" t="s">
        <v>1798</v>
      </c>
      <c r="I156" s="26" t="s">
        <v>790</v>
      </c>
      <c r="J156" s="26" t="b">
        <v>1</v>
      </c>
      <c r="K156" s="26" t="str">
        <f>ISNUMBER(_xlfn.XMATCH(tbldeptemp[[#This Row],[DependencyID]],tblTargets[TargetID]))</f>
        <v>#ERROR!</v>
      </c>
      <c r="L156" s="26" t="str">
        <f>IF(tbldeptemp[[#This Row],[ValidTarget]]=FALSE,"BAD TARGET",IF(tbldeptemp[[#This Row],[ValidDependency]]=FALSE,"BAD DEPENDENCY",""))</f>
        <v>#ERROR!</v>
      </c>
    </row>
    <row r="157" ht="14.25" customHeight="1">
      <c r="A157" s="26" t="s">
        <v>1705</v>
      </c>
      <c r="B157" s="26" t="s">
        <v>5331</v>
      </c>
      <c r="C157" s="26" t="s">
        <v>1802</v>
      </c>
      <c r="D157" s="26" t="s">
        <v>5349</v>
      </c>
      <c r="E157" s="26" t="s">
        <v>5350</v>
      </c>
      <c r="F157" s="26" t="b">
        <v>0</v>
      </c>
      <c r="G157" s="26" t="s">
        <v>5097</v>
      </c>
      <c r="H157" s="26" t="s">
        <v>1802</v>
      </c>
      <c r="I157" s="26" t="s">
        <v>790</v>
      </c>
      <c r="J157" s="26" t="b">
        <v>1</v>
      </c>
      <c r="K157" s="26" t="str">
        <f>ISNUMBER(_xlfn.XMATCH(tbldeptemp[[#This Row],[DependencyID]],tblTargets[TargetID]))</f>
        <v>#ERROR!</v>
      </c>
      <c r="L157" s="26" t="str">
        <f>IF(tbldeptemp[[#This Row],[ValidTarget]]=FALSE,"BAD TARGET",IF(tbldeptemp[[#This Row],[ValidDependency]]=FALSE,"BAD DEPENDENCY",""))</f>
        <v>#ERROR!</v>
      </c>
    </row>
    <row r="158" ht="14.25" customHeight="1">
      <c r="A158" s="26" t="s">
        <v>626</v>
      </c>
      <c r="B158" s="26" t="s">
        <v>5352</v>
      </c>
      <c r="C158" s="26" t="s">
        <v>790</v>
      </c>
      <c r="E158" s="26" t="e">
        <v>#N/A</v>
      </c>
      <c r="H158" s="26" t="s">
        <v>790</v>
      </c>
      <c r="I158" s="26" t="s">
        <v>333</v>
      </c>
      <c r="J158" s="26" t="b">
        <v>1</v>
      </c>
      <c r="K158" s="26" t="str">
        <f>ISNUMBER(_xlfn.XMATCH(tbldeptemp[[#This Row],[DependencyID]],tblTargets[TargetID]))</f>
        <v>#ERROR!</v>
      </c>
      <c r="L158" s="26" t="str">
        <f>IF(tbldeptemp[[#This Row],[ValidTarget]]=FALSE,"BAD TARGET",IF(tbldeptemp[[#This Row],[ValidDependency]]=FALSE,"BAD DEPENDENCY",""))</f>
        <v>#ERROR!</v>
      </c>
    </row>
    <row r="159" ht="14.25" customHeight="1">
      <c r="A159" s="26" t="s">
        <v>626</v>
      </c>
      <c r="B159" s="26" t="s">
        <v>5357</v>
      </c>
      <c r="C159" s="26" t="s">
        <v>344</v>
      </c>
      <c r="D159" s="26" t="s">
        <v>4198</v>
      </c>
      <c r="E159" s="26" t="s">
        <v>4198</v>
      </c>
      <c r="F159" s="26" t="b">
        <v>1</v>
      </c>
      <c r="G159" s="26" t="s">
        <v>5100</v>
      </c>
      <c r="H159" s="26" t="s">
        <v>344</v>
      </c>
      <c r="I159" s="26" t="s">
        <v>338</v>
      </c>
      <c r="J159" s="26" t="b">
        <v>1</v>
      </c>
      <c r="K159" s="26" t="str">
        <f>ISNUMBER(_xlfn.XMATCH(tbldeptemp[[#This Row],[DependencyID]],tblTargets[TargetID]))</f>
        <v>#ERROR!</v>
      </c>
      <c r="L159" s="26" t="str">
        <f>IF(tbldeptemp[[#This Row],[ValidTarget]]=FALSE,"BAD TARGET",IF(tbldeptemp[[#This Row],[ValidDependency]]=FALSE,"BAD DEPENDENCY",""))</f>
        <v>#ERROR!</v>
      </c>
    </row>
    <row r="160" ht="14.25" customHeight="1">
      <c r="A160" s="26" t="s">
        <v>626</v>
      </c>
      <c r="B160" s="26" t="s">
        <v>5360</v>
      </c>
      <c r="C160" s="26" t="s">
        <v>348</v>
      </c>
      <c r="D160" s="26" t="s">
        <v>4200</v>
      </c>
      <c r="E160" s="26" t="s">
        <v>4200</v>
      </c>
      <c r="F160" s="26" t="b">
        <v>1</v>
      </c>
      <c r="G160" s="26" t="s">
        <v>5100</v>
      </c>
      <c r="H160" s="26" t="s">
        <v>348</v>
      </c>
      <c r="I160" s="26" t="s">
        <v>344</v>
      </c>
      <c r="J160" s="26" t="b">
        <v>1</v>
      </c>
      <c r="K160" s="26" t="str">
        <f>ISNUMBER(_xlfn.XMATCH(tbldeptemp[[#This Row],[DependencyID]],tblTargets[TargetID]))</f>
        <v>#ERROR!</v>
      </c>
      <c r="L160" s="26" t="str">
        <f>IF(tbldeptemp[[#This Row],[ValidTarget]]=FALSE,"BAD TARGET",IF(tbldeptemp[[#This Row],[ValidDependency]]=FALSE,"BAD DEPENDENCY",""))</f>
        <v>#ERROR!</v>
      </c>
    </row>
    <row r="161" ht="14.25" customHeight="1">
      <c r="A161" s="26" t="s">
        <v>626</v>
      </c>
      <c r="B161" s="26" t="s">
        <v>5361</v>
      </c>
      <c r="C161" s="26" t="s">
        <v>359</v>
      </c>
      <c r="D161" s="26" t="s">
        <v>4207</v>
      </c>
      <c r="E161" s="26" t="s">
        <v>4207</v>
      </c>
      <c r="F161" s="26" t="b">
        <v>1</v>
      </c>
      <c r="G161" s="26" t="s">
        <v>5100</v>
      </c>
      <c r="H161" s="26" t="s">
        <v>359</v>
      </c>
      <c r="I161" s="26" t="s">
        <v>354</v>
      </c>
      <c r="J161" s="26" t="b">
        <v>1</v>
      </c>
      <c r="K161" s="26" t="str">
        <f>ISNUMBER(_xlfn.XMATCH(tbldeptemp[[#This Row],[DependencyID]],tblTargets[TargetID]))</f>
        <v>#ERROR!</v>
      </c>
      <c r="L161" s="26" t="str">
        <f>IF(tbldeptemp[[#This Row],[ValidTarget]]=FALSE,"BAD TARGET",IF(tbldeptemp[[#This Row],[ValidDependency]]=FALSE,"BAD DEPENDENCY",""))</f>
        <v>#ERROR!</v>
      </c>
    </row>
    <row r="162" ht="14.25" customHeight="1">
      <c r="A162" s="26" t="s">
        <v>1705</v>
      </c>
      <c r="B162" s="26" t="s">
        <v>5362</v>
      </c>
      <c r="C162" s="26" t="s">
        <v>1805</v>
      </c>
      <c r="D162" s="26" t="s">
        <v>5363</v>
      </c>
      <c r="E162" s="26" t="s">
        <v>5364</v>
      </c>
      <c r="F162" s="26" t="b">
        <v>1</v>
      </c>
      <c r="G162" s="26" t="s">
        <v>5100</v>
      </c>
      <c r="H162" s="26" t="s">
        <v>1805</v>
      </c>
      <c r="I162" s="26" t="s">
        <v>806</v>
      </c>
      <c r="J162" s="26" t="b">
        <v>1</v>
      </c>
      <c r="K162" s="26" t="str">
        <f>ISNUMBER(_xlfn.XMATCH(tbldeptemp[[#This Row],[DependencyID]],tblTargets[TargetID]))</f>
        <v>#ERROR!</v>
      </c>
      <c r="L162" s="26" t="str">
        <f>IF(tbldeptemp[[#This Row],[ValidTarget]]=FALSE,"BAD TARGET",IF(tbldeptemp[[#This Row],[ValidDependency]]=FALSE,"BAD DEPENDENCY",""))</f>
        <v>#ERROR!</v>
      </c>
    </row>
    <row r="163" ht="14.25" customHeight="1">
      <c r="A163" s="26" t="s">
        <v>1705</v>
      </c>
      <c r="B163" s="26" t="s">
        <v>5365</v>
      </c>
      <c r="C163" s="26" t="s">
        <v>1807</v>
      </c>
      <c r="D163" s="26" t="s">
        <v>5363</v>
      </c>
      <c r="E163" s="26" t="s">
        <v>5364</v>
      </c>
      <c r="F163" s="26" t="b">
        <v>1</v>
      </c>
      <c r="G163" s="26" t="s">
        <v>5097</v>
      </c>
      <c r="H163" s="26" t="s">
        <v>1807</v>
      </c>
      <c r="I163" s="26" t="s">
        <v>806</v>
      </c>
      <c r="J163" s="26" t="b">
        <v>1</v>
      </c>
      <c r="K163" s="26" t="str">
        <f>ISNUMBER(_xlfn.XMATCH(tbldeptemp[[#This Row],[DependencyID]],tblTargets[TargetID]))</f>
        <v>#ERROR!</v>
      </c>
      <c r="L163" s="26" t="str">
        <f>IF(tbldeptemp[[#This Row],[ValidTarget]]=FALSE,"BAD TARGET",IF(tbldeptemp[[#This Row],[ValidDependency]]=FALSE,"BAD DEPENDENCY",""))</f>
        <v>#ERROR!</v>
      </c>
    </row>
    <row r="164" ht="14.25" customHeight="1">
      <c r="A164" s="26" t="s">
        <v>1705</v>
      </c>
      <c r="B164" s="26" t="s">
        <v>5366</v>
      </c>
      <c r="C164" s="26" t="s">
        <v>1809</v>
      </c>
      <c r="D164" s="26" t="s">
        <v>5363</v>
      </c>
      <c r="E164" s="26" t="s">
        <v>5364</v>
      </c>
      <c r="F164" s="26" t="b">
        <v>1</v>
      </c>
      <c r="G164" s="26" t="s">
        <v>5097</v>
      </c>
      <c r="H164" s="26" t="s">
        <v>1809</v>
      </c>
      <c r="I164" s="26" t="s">
        <v>806</v>
      </c>
      <c r="J164" s="26" t="b">
        <v>1</v>
      </c>
      <c r="K164" s="26" t="str">
        <f>ISNUMBER(_xlfn.XMATCH(tbldeptemp[[#This Row],[DependencyID]],tblTargets[TargetID]))</f>
        <v>#ERROR!</v>
      </c>
      <c r="L164" s="26" t="str">
        <f>IF(tbldeptemp[[#This Row],[ValidTarget]]=FALSE,"BAD TARGET",IF(tbldeptemp[[#This Row],[ValidDependency]]=FALSE,"BAD DEPENDENCY",""))</f>
        <v>#ERROR!</v>
      </c>
    </row>
    <row r="165" ht="14.25" customHeight="1">
      <c r="A165" s="26" t="s">
        <v>1705</v>
      </c>
      <c r="B165" s="26" t="s">
        <v>5367</v>
      </c>
      <c r="C165" s="26" t="s">
        <v>1812</v>
      </c>
      <c r="D165" s="26" t="s">
        <v>5363</v>
      </c>
      <c r="E165" s="26" t="s">
        <v>5364</v>
      </c>
      <c r="F165" s="26" t="b">
        <v>1</v>
      </c>
      <c r="G165" s="26" t="s">
        <v>5100</v>
      </c>
      <c r="H165" s="26" t="s">
        <v>1812</v>
      </c>
      <c r="I165" s="26" t="s">
        <v>806</v>
      </c>
      <c r="J165" s="26" t="b">
        <v>1</v>
      </c>
      <c r="K165" s="26" t="str">
        <f>ISNUMBER(_xlfn.XMATCH(tbldeptemp[[#This Row],[DependencyID]],tblTargets[TargetID]))</f>
        <v>#ERROR!</v>
      </c>
      <c r="L165" s="26" t="str">
        <f>IF(tbldeptemp[[#This Row],[ValidTarget]]=FALSE,"BAD TARGET",IF(tbldeptemp[[#This Row],[ValidDependency]]=FALSE,"BAD DEPENDENCY",""))</f>
        <v>#ERROR!</v>
      </c>
    </row>
    <row r="166" ht="14.25" customHeight="1">
      <c r="A166" s="26" t="s">
        <v>1705</v>
      </c>
      <c r="B166" s="26" t="s">
        <v>5368</v>
      </c>
      <c r="C166" s="26" t="s">
        <v>1814</v>
      </c>
      <c r="D166" s="26" t="s">
        <v>5363</v>
      </c>
      <c r="E166" s="26" t="s">
        <v>5364</v>
      </c>
      <c r="F166" s="26" t="b">
        <v>1</v>
      </c>
      <c r="G166" s="26" t="s">
        <v>5100</v>
      </c>
      <c r="H166" s="26" t="s">
        <v>1814</v>
      </c>
      <c r="I166" s="26" t="s">
        <v>806</v>
      </c>
      <c r="J166" s="26" t="b">
        <v>1</v>
      </c>
      <c r="K166" s="26" t="str">
        <f>ISNUMBER(_xlfn.XMATCH(tbldeptemp[[#This Row],[DependencyID]],tblTargets[TargetID]))</f>
        <v>#ERROR!</v>
      </c>
      <c r="L166" s="26" t="str">
        <f>IF(tbldeptemp[[#This Row],[ValidTarget]]=FALSE,"BAD TARGET",IF(tbldeptemp[[#This Row],[ValidDependency]]=FALSE,"BAD DEPENDENCY",""))</f>
        <v>#ERROR!</v>
      </c>
    </row>
    <row r="167" ht="14.25" customHeight="1">
      <c r="A167" s="26" t="s">
        <v>1705</v>
      </c>
      <c r="B167" s="26" t="s">
        <v>5369</v>
      </c>
      <c r="C167" s="26" t="s">
        <v>1816</v>
      </c>
      <c r="D167" s="26" t="s">
        <v>5363</v>
      </c>
      <c r="E167" s="26" t="s">
        <v>5364</v>
      </c>
      <c r="F167" s="26" t="b">
        <v>1</v>
      </c>
      <c r="G167" s="26" t="s">
        <v>5097</v>
      </c>
      <c r="H167" s="26" t="s">
        <v>1816</v>
      </c>
      <c r="I167" s="26" t="s">
        <v>806</v>
      </c>
      <c r="J167" s="26" t="b">
        <v>1</v>
      </c>
      <c r="K167" s="26" t="str">
        <f>ISNUMBER(_xlfn.XMATCH(tbldeptemp[[#This Row],[DependencyID]],tblTargets[TargetID]))</f>
        <v>#ERROR!</v>
      </c>
      <c r="L167" s="26" t="str">
        <f>IF(tbldeptemp[[#This Row],[ValidTarget]]=FALSE,"BAD TARGET",IF(tbldeptemp[[#This Row],[ValidDependency]]=FALSE,"BAD DEPENDENCY",""))</f>
        <v>#ERROR!</v>
      </c>
    </row>
    <row r="168" ht="14.25" customHeight="1">
      <c r="A168" s="26" t="s">
        <v>626</v>
      </c>
      <c r="B168" s="26" t="s">
        <v>5375</v>
      </c>
      <c r="C168" s="26" t="s">
        <v>364</v>
      </c>
      <c r="D168" s="26" t="s">
        <v>4217</v>
      </c>
      <c r="E168" s="26" t="s">
        <v>4217</v>
      </c>
      <c r="F168" s="26" t="b">
        <v>1</v>
      </c>
      <c r="G168" s="26" t="s">
        <v>5100</v>
      </c>
      <c r="H168" s="26" t="s">
        <v>364</v>
      </c>
      <c r="I168" s="26" t="s">
        <v>362</v>
      </c>
      <c r="J168" s="26" t="b">
        <v>1</v>
      </c>
      <c r="K168" s="26" t="str">
        <f>ISNUMBER(_xlfn.XMATCH(tbldeptemp[[#This Row],[DependencyID]],tblTargets[TargetID]))</f>
        <v>#ERROR!</v>
      </c>
      <c r="L168" s="26" t="str">
        <f>IF(tbldeptemp[[#This Row],[ValidTarget]]=FALSE,"BAD TARGET",IF(tbldeptemp[[#This Row],[ValidDependency]]=FALSE,"BAD DEPENDENCY",""))</f>
        <v>#ERROR!</v>
      </c>
    </row>
    <row r="169" ht="14.25" customHeight="1">
      <c r="A169" s="26" t="s">
        <v>626</v>
      </c>
      <c r="B169" s="26" t="s">
        <v>5376</v>
      </c>
      <c r="C169" s="26" t="s">
        <v>366</v>
      </c>
      <c r="D169" s="26" t="s">
        <v>4221</v>
      </c>
      <c r="E169" s="26" t="s">
        <v>4221</v>
      </c>
      <c r="F169" s="26" t="b">
        <v>1</v>
      </c>
      <c r="G169" s="26" t="s">
        <v>5100</v>
      </c>
      <c r="H169" s="26" t="s">
        <v>366</v>
      </c>
      <c r="I169" s="26" t="s">
        <v>364</v>
      </c>
      <c r="J169" s="26" t="b">
        <v>1</v>
      </c>
      <c r="K169" s="26" t="str">
        <f>ISNUMBER(_xlfn.XMATCH(tbldeptemp[[#This Row],[DependencyID]],tblTargets[TargetID]))</f>
        <v>#ERROR!</v>
      </c>
      <c r="L169" s="26" t="str">
        <f>IF(tbldeptemp[[#This Row],[ValidTarget]]=FALSE,"BAD TARGET",IF(tbldeptemp[[#This Row],[ValidDependency]]=FALSE,"BAD DEPENDENCY",""))</f>
        <v>#ERROR!</v>
      </c>
    </row>
    <row r="170" ht="14.25" customHeight="1">
      <c r="A170" s="26" t="s">
        <v>626</v>
      </c>
      <c r="B170" s="26" t="s">
        <v>5377</v>
      </c>
      <c r="C170" s="26" t="s">
        <v>806</v>
      </c>
      <c r="E170" s="26" t="e">
        <v>#N/A</v>
      </c>
      <c r="H170" s="26" t="s">
        <v>806</v>
      </c>
      <c r="I170" s="26" t="s">
        <v>366</v>
      </c>
      <c r="J170" s="26" t="b">
        <v>1</v>
      </c>
      <c r="K170" s="26" t="str">
        <f>ISNUMBER(_xlfn.XMATCH(tbldeptemp[[#This Row],[DependencyID]],tblTargets[TargetID]))</f>
        <v>#ERROR!</v>
      </c>
      <c r="L170" s="26" t="str">
        <f>IF(tbldeptemp[[#This Row],[ValidTarget]]=FALSE,"BAD TARGET",IF(tbldeptemp[[#This Row],[ValidDependency]]=FALSE,"BAD DEPENDENCY",""))</f>
        <v>#ERROR!</v>
      </c>
    </row>
    <row r="171" ht="14.25" customHeight="1">
      <c r="A171" s="26" t="s">
        <v>626</v>
      </c>
      <c r="B171" s="26" t="s">
        <v>5378</v>
      </c>
      <c r="C171" s="26" t="s">
        <v>370</v>
      </c>
      <c r="D171" s="26" t="s">
        <v>4231</v>
      </c>
      <c r="E171" s="26" t="s">
        <v>4231</v>
      </c>
      <c r="F171" s="26" t="b">
        <v>1</v>
      </c>
      <c r="G171" s="26" t="s">
        <v>5100</v>
      </c>
      <c r="H171" s="26" t="s">
        <v>370</v>
      </c>
      <c r="I171" s="26" t="s">
        <v>368</v>
      </c>
      <c r="J171" s="26" t="b">
        <v>1</v>
      </c>
      <c r="K171" s="26" t="str">
        <f>ISNUMBER(_xlfn.XMATCH(tbldeptemp[[#This Row],[DependencyID]],tblTargets[TargetID]))</f>
        <v>#ERROR!</v>
      </c>
      <c r="L171" s="26" t="str">
        <f>IF(tbldeptemp[[#This Row],[ValidTarget]]=FALSE,"BAD TARGET",IF(tbldeptemp[[#This Row],[ValidDependency]]=FALSE,"BAD DEPENDENCY",""))</f>
        <v>#ERROR!</v>
      </c>
    </row>
    <row r="172" ht="14.25" customHeight="1">
      <c r="A172" s="26" t="s">
        <v>626</v>
      </c>
      <c r="B172" s="26" t="s">
        <v>5379</v>
      </c>
      <c r="C172" s="26" t="s">
        <v>372</v>
      </c>
      <c r="D172" s="26" t="s">
        <v>4233</v>
      </c>
      <c r="E172" s="26" t="s">
        <v>4233</v>
      </c>
      <c r="F172" s="26" t="b">
        <v>1</v>
      </c>
      <c r="G172" s="26" t="s">
        <v>5100</v>
      </c>
      <c r="H172" s="26" t="s">
        <v>372</v>
      </c>
      <c r="I172" s="26" t="s">
        <v>370</v>
      </c>
      <c r="J172" s="26" t="b">
        <v>1</v>
      </c>
      <c r="K172" s="26" t="str">
        <f>ISNUMBER(_xlfn.XMATCH(tbldeptemp[[#This Row],[DependencyID]],tblTargets[TargetID]))</f>
        <v>#ERROR!</v>
      </c>
      <c r="L172" s="26" t="str">
        <f>IF(tbldeptemp[[#This Row],[ValidTarget]]=FALSE,"BAD TARGET",IF(tbldeptemp[[#This Row],[ValidDependency]]=FALSE,"BAD DEPENDENCY",""))</f>
        <v>#ERROR!</v>
      </c>
    </row>
    <row r="173" ht="14.25" customHeight="1">
      <c r="A173" s="26" t="s">
        <v>626</v>
      </c>
      <c r="B173" s="26" t="s">
        <v>5380</v>
      </c>
      <c r="C173" s="26" t="s">
        <v>374</v>
      </c>
      <c r="D173" s="26" t="s">
        <v>4235</v>
      </c>
      <c r="E173" s="26" t="s">
        <v>4235</v>
      </c>
      <c r="F173" s="26" t="b">
        <v>1</v>
      </c>
      <c r="G173" s="26" t="s">
        <v>5100</v>
      </c>
      <c r="H173" s="26" t="s">
        <v>374</v>
      </c>
      <c r="I173" s="26" t="s">
        <v>372</v>
      </c>
      <c r="J173" s="26" t="b">
        <v>1</v>
      </c>
      <c r="K173" s="26" t="str">
        <f>ISNUMBER(_xlfn.XMATCH(tbldeptemp[[#This Row],[DependencyID]],tblTargets[TargetID]))</f>
        <v>#ERROR!</v>
      </c>
      <c r="L173" s="26" t="str">
        <f>IF(tbldeptemp[[#This Row],[ValidTarget]]=FALSE,"BAD TARGET",IF(tbldeptemp[[#This Row],[ValidDependency]]=FALSE,"BAD DEPENDENCY",""))</f>
        <v>#ERROR!</v>
      </c>
    </row>
    <row r="174" ht="14.25" customHeight="1">
      <c r="A174" s="26" t="s">
        <v>626</v>
      </c>
      <c r="B174" s="26" t="s">
        <v>5381</v>
      </c>
      <c r="C174" s="26" t="s">
        <v>376</v>
      </c>
      <c r="D174" s="26" t="s">
        <v>4237</v>
      </c>
      <c r="E174" s="26" t="s">
        <v>4237</v>
      </c>
      <c r="F174" s="26" t="b">
        <v>1</v>
      </c>
      <c r="G174" s="26" t="s">
        <v>5100</v>
      </c>
      <c r="H174" s="26" t="s">
        <v>376</v>
      </c>
      <c r="I174" s="26" t="s">
        <v>374</v>
      </c>
      <c r="J174" s="26" t="b">
        <v>1</v>
      </c>
      <c r="K174" s="26" t="str">
        <f>ISNUMBER(_xlfn.XMATCH(tbldeptemp[[#This Row],[DependencyID]],tblTargets[TargetID]))</f>
        <v>#ERROR!</v>
      </c>
      <c r="L174" s="26" t="str">
        <f>IF(tbldeptemp[[#This Row],[ValidTarget]]=FALSE,"BAD TARGET",IF(tbldeptemp[[#This Row],[ValidDependency]]=FALSE,"BAD DEPENDENCY",""))</f>
        <v>#ERROR!</v>
      </c>
    </row>
    <row r="175" ht="14.25" customHeight="1">
      <c r="A175" s="26" t="s">
        <v>626</v>
      </c>
      <c r="B175" s="26" t="s">
        <v>5382</v>
      </c>
      <c r="C175" s="26" t="s">
        <v>378</v>
      </c>
      <c r="D175" s="26" t="s">
        <v>4239</v>
      </c>
      <c r="E175" s="26" t="s">
        <v>4239</v>
      </c>
      <c r="F175" s="26" t="b">
        <v>1</v>
      </c>
      <c r="G175" s="26" t="s">
        <v>5100</v>
      </c>
      <c r="H175" s="26" t="s">
        <v>378</v>
      </c>
      <c r="I175" s="26" t="s">
        <v>376</v>
      </c>
      <c r="J175" s="26" t="b">
        <v>1</v>
      </c>
      <c r="K175" s="26" t="str">
        <f>ISNUMBER(_xlfn.XMATCH(tbldeptemp[[#This Row],[DependencyID]],tblTargets[TargetID]))</f>
        <v>#ERROR!</v>
      </c>
      <c r="L175" s="26" t="str">
        <f>IF(tbldeptemp[[#This Row],[ValidTarget]]=FALSE,"BAD TARGET",IF(tbldeptemp[[#This Row],[ValidDependency]]=FALSE,"BAD DEPENDENCY",""))</f>
        <v>#ERROR!</v>
      </c>
    </row>
    <row r="176" ht="14.25" customHeight="1">
      <c r="A176" s="26" t="s">
        <v>626</v>
      </c>
      <c r="B176" s="26" t="s">
        <v>5383</v>
      </c>
      <c r="C176" s="26" t="s">
        <v>381</v>
      </c>
      <c r="D176" s="26" t="s">
        <v>4241</v>
      </c>
      <c r="E176" s="26" t="s">
        <v>4241</v>
      </c>
      <c r="F176" s="26" t="b">
        <v>1</v>
      </c>
      <c r="G176" s="26" t="s">
        <v>5100</v>
      </c>
      <c r="H176" s="26" t="s">
        <v>381</v>
      </c>
      <c r="I176" s="26" t="s">
        <v>378</v>
      </c>
      <c r="J176" s="26" t="b">
        <v>1</v>
      </c>
      <c r="K176" s="26" t="str">
        <f>ISNUMBER(_xlfn.XMATCH(tbldeptemp[[#This Row],[DependencyID]],tblTargets[TargetID]))</f>
        <v>#ERROR!</v>
      </c>
      <c r="L176" s="26" t="str">
        <f>IF(tbldeptemp[[#This Row],[ValidTarget]]=FALSE,"BAD TARGET",IF(tbldeptemp[[#This Row],[ValidDependency]]=FALSE,"BAD DEPENDENCY",""))</f>
        <v>#ERROR!</v>
      </c>
    </row>
    <row r="177" ht="14.25" customHeight="1">
      <c r="A177" s="26" t="s">
        <v>626</v>
      </c>
      <c r="B177" s="26" t="s">
        <v>5384</v>
      </c>
      <c r="C177" s="26" t="s">
        <v>393</v>
      </c>
      <c r="D177" s="26" t="s">
        <v>4261</v>
      </c>
      <c r="E177" s="26" t="s">
        <v>5387</v>
      </c>
      <c r="F177" s="26" t="b">
        <v>1</v>
      </c>
      <c r="G177" s="26" t="s">
        <v>5100</v>
      </c>
      <c r="H177" s="26" t="s">
        <v>393</v>
      </c>
      <c r="I177" s="26" t="s">
        <v>383</v>
      </c>
      <c r="J177" s="26" t="b">
        <v>1</v>
      </c>
      <c r="K177" s="26" t="str">
        <f>ISNUMBER(_xlfn.XMATCH(tbldeptemp[[#This Row],[DependencyID]],tblTargets[TargetID]))</f>
        <v>#ERROR!</v>
      </c>
      <c r="L177" s="26" t="str">
        <f>IF(tbldeptemp[[#This Row],[ValidTarget]]=FALSE,"BAD TARGET",IF(tbldeptemp[[#This Row],[ValidDependency]]=FALSE,"BAD DEPENDENCY",""))</f>
        <v>#ERROR!</v>
      </c>
    </row>
    <row r="178" ht="14.25" customHeight="1">
      <c r="A178" s="26" t="s">
        <v>1705</v>
      </c>
      <c r="B178" s="26" t="s">
        <v>5388</v>
      </c>
      <c r="C178" s="26" t="s">
        <v>1818</v>
      </c>
      <c r="D178" s="26" t="s">
        <v>5389</v>
      </c>
      <c r="E178" s="26" t="s">
        <v>5390</v>
      </c>
      <c r="F178" s="26" t="b">
        <v>1</v>
      </c>
      <c r="G178" s="26" t="s">
        <v>5100</v>
      </c>
      <c r="H178" s="26" t="s">
        <v>1818</v>
      </c>
      <c r="I178" s="26" t="s">
        <v>834</v>
      </c>
      <c r="J178" s="26" t="b">
        <v>1</v>
      </c>
      <c r="K178" s="26" t="str">
        <f>ISNUMBER(_xlfn.XMATCH(tbldeptemp[[#This Row],[DependencyID]],tblTargets[TargetID]))</f>
        <v>#ERROR!</v>
      </c>
      <c r="L178" s="26" t="str">
        <f>IF(tbldeptemp[[#This Row],[ValidTarget]]=FALSE,"BAD TARGET",IF(tbldeptemp[[#This Row],[ValidDependency]]=FALSE,"BAD DEPENDENCY",""))</f>
        <v>#ERROR!</v>
      </c>
    </row>
    <row r="179" ht="14.25" customHeight="1">
      <c r="A179" s="26" t="s">
        <v>626</v>
      </c>
      <c r="B179" s="26" t="s">
        <v>5391</v>
      </c>
      <c r="C179" s="26" t="s">
        <v>388</v>
      </c>
      <c r="D179" s="26" t="s">
        <v>4253</v>
      </c>
      <c r="E179" s="26" t="s">
        <v>5392</v>
      </c>
      <c r="F179" s="26" t="b">
        <v>1</v>
      </c>
      <c r="G179" s="26" t="s">
        <v>5100</v>
      </c>
      <c r="H179" s="26" t="s">
        <v>388</v>
      </c>
      <c r="I179" s="26" t="s">
        <v>385</v>
      </c>
      <c r="J179" s="26" t="b">
        <v>1</v>
      </c>
      <c r="K179" s="26" t="str">
        <f>ISNUMBER(_xlfn.XMATCH(tbldeptemp[[#This Row],[DependencyID]],tblTargets[TargetID]))</f>
        <v>#ERROR!</v>
      </c>
      <c r="L179" s="26" t="str">
        <f>IF(tbldeptemp[[#This Row],[ValidTarget]]=FALSE,"BAD TARGET",IF(tbldeptemp[[#This Row],[ValidDependency]]=FALSE,"BAD DEPENDENCY",""))</f>
        <v>#ERROR!</v>
      </c>
    </row>
    <row r="180" ht="14.25" customHeight="1">
      <c r="A180" s="26" t="s">
        <v>626</v>
      </c>
      <c r="B180" s="26" t="s">
        <v>5393</v>
      </c>
      <c r="C180" s="26" t="s">
        <v>390</v>
      </c>
      <c r="D180" s="26" t="s">
        <v>4256</v>
      </c>
      <c r="E180" s="26" t="s">
        <v>5394</v>
      </c>
      <c r="F180" s="26" t="b">
        <v>1</v>
      </c>
      <c r="G180" s="26" t="s">
        <v>5100</v>
      </c>
      <c r="H180" s="26" t="s">
        <v>390</v>
      </c>
      <c r="I180" s="26" t="s">
        <v>388</v>
      </c>
      <c r="J180" s="26" t="b">
        <v>1</v>
      </c>
      <c r="K180" s="26" t="str">
        <f>ISNUMBER(_xlfn.XMATCH(tbldeptemp[[#This Row],[DependencyID]],tblTargets[TargetID]))</f>
        <v>#ERROR!</v>
      </c>
      <c r="L180" s="26" t="str">
        <f>IF(tbldeptemp[[#This Row],[ValidTarget]]=FALSE,"BAD TARGET",IF(tbldeptemp[[#This Row],[ValidDependency]]=FALSE,"BAD DEPENDENCY",""))</f>
        <v>#ERROR!</v>
      </c>
    </row>
    <row r="181" ht="14.25" customHeight="1">
      <c r="A181" s="26" t="s">
        <v>626</v>
      </c>
      <c r="B181" s="26" t="s">
        <v>5395</v>
      </c>
      <c r="C181" s="26" t="s">
        <v>834</v>
      </c>
      <c r="E181" s="26" t="e">
        <v>#N/A</v>
      </c>
      <c r="H181" s="26" t="s">
        <v>834</v>
      </c>
      <c r="I181" s="26" t="s">
        <v>390</v>
      </c>
      <c r="J181" s="26" t="b">
        <v>1</v>
      </c>
      <c r="K181" s="26" t="str">
        <f>ISNUMBER(_xlfn.XMATCH(tbldeptemp[[#This Row],[DependencyID]],tblTargets[TargetID]))</f>
        <v>#ERROR!</v>
      </c>
      <c r="L181" s="26" t="str">
        <f>IF(tbldeptemp[[#This Row],[ValidTarget]]=FALSE,"BAD TARGET",IF(tbldeptemp[[#This Row],[ValidDependency]]=FALSE,"BAD DEPENDENCY",""))</f>
        <v>#ERROR!</v>
      </c>
    </row>
    <row r="182" ht="14.25" customHeight="1">
      <c r="A182" s="26" t="s">
        <v>626</v>
      </c>
      <c r="B182" s="26" t="s">
        <v>5396</v>
      </c>
      <c r="C182" s="26" t="s">
        <v>396</v>
      </c>
      <c r="D182" s="26" t="s">
        <v>4264</v>
      </c>
      <c r="E182" s="26" t="s">
        <v>4264</v>
      </c>
      <c r="F182" s="26" t="b">
        <v>1</v>
      </c>
      <c r="G182" s="26" t="s">
        <v>5100</v>
      </c>
      <c r="H182" s="26" t="s">
        <v>396</v>
      </c>
      <c r="I182" s="26" t="s">
        <v>393</v>
      </c>
      <c r="J182" s="26" t="b">
        <v>1</v>
      </c>
      <c r="K182" s="26" t="str">
        <f>ISNUMBER(_xlfn.XMATCH(tbldeptemp[[#This Row],[DependencyID]],tblTargets[TargetID]))</f>
        <v>#ERROR!</v>
      </c>
      <c r="L182" s="26" t="str">
        <f>IF(tbldeptemp[[#This Row],[ValidTarget]]=FALSE,"BAD TARGET",IF(tbldeptemp[[#This Row],[ValidDependency]]=FALSE,"BAD DEPENDENCY",""))</f>
        <v>#ERROR!</v>
      </c>
    </row>
    <row r="183" ht="14.25" customHeight="1">
      <c r="A183" s="26" t="s">
        <v>1117</v>
      </c>
      <c r="B183" s="26" t="s">
        <v>4628</v>
      </c>
      <c r="C183" s="26" t="s">
        <v>891</v>
      </c>
      <c r="D183" s="26" t="s">
        <v>4963</v>
      </c>
      <c r="E183" s="26" t="s">
        <v>4264</v>
      </c>
      <c r="F183" s="26" t="b">
        <v>1</v>
      </c>
      <c r="G183" s="26" t="s">
        <v>5097</v>
      </c>
      <c r="H183" s="26" t="s">
        <v>891</v>
      </c>
      <c r="I183" s="26" t="s">
        <v>393</v>
      </c>
      <c r="J183" s="26" t="b">
        <v>1</v>
      </c>
      <c r="K183" s="26" t="str">
        <f>ISNUMBER(_xlfn.XMATCH(tbldeptemp[[#This Row],[DependencyID]],tblTargets[TargetID]))</f>
        <v>#ERROR!</v>
      </c>
      <c r="L183" s="26" t="str">
        <f>IF(tbldeptemp[[#This Row],[ValidTarget]]=FALSE,"BAD TARGET",IF(tbldeptemp[[#This Row],[ValidDependency]]=FALSE,"BAD DEPENDENCY",""))</f>
        <v>#ERROR!</v>
      </c>
    </row>
    <row r="184" ht="14.25" customHeight="1">
      <c r="A184" s="26" t="s">
        <v>1151</v>
      </c>
      <c r="B184" s="26" t="s">
        <v>4957</v>
      </c>
      <c r="C184" s="26" t="s">
        <v>1298</v>
      </c>
      <c r="D184" s="26" t="s">
        <v>4963</v>
      </c>
      <c r="E184" s="26" t="s">
        <v>4264</v>
      </c>
      <c r="F184" s="26" t="b">
        <v>1</v>
      </c>
      <c r="G184" s="26" t="s">
        <v>5100</v>
      </c>
      <c r="H184" s="26" t="s">
        <v>1298</v>
      </c>
      <c r="I184" s="26" t="s">
        <v>393</v>
      </c>
      <c r="J184" s="26" t="b">
        <v>1</v>
      </c>
      <c r="K184" s="26" t="str">
        <f>ISNUMBER(_xlfn.XMATCH(tbldeptemp[[#This Row],[DependencyID]],tblTargets[TargetID]))</f>
        <v>#ERROR!</v>
      </c>
      <c r="L184" s="26" t="str">
        <f>IF(tbldeptemp[[#This Row],[ValidTarget]]=FALSE,"BAD TARGET",IF(tbldeptemp[[#This Row],[ValidDependency]]=FALSE,"BAD DEPENDENCY",""))</f>
        <v>#ERROR!</v>
      </c>
    </row>
    <row r="185" ht="14.25" customHeight="1">
      <c r="A185" s="26" t="s">
        <v>626</v>
      </c>
      <c r="B185" s="26" t="s">
        <v>5397</v>
      </c>
      <c r="C185" s="26" t="s">
        <v>399</v>
      </c>
      <c r="D185" s="26" t="s">
        <v>4267</v>
      </c>
      <c r="E185" s="26" t="s">
        <v>4267</v>
      </c>
      <c r="F185" s="26" t="b">
        <v>1</v>
      </c>
      <c r="G185" s="26" t="s">
        <v>5100</v>
      </c>
      <c r="H185" s="26" t="s">
        <v>399</v>
      </c>
      <c r="I185" s="26" t="s">
        <v>396</v>
      </c>
      <c r="J185" s="26" t="b">
        <v>1</v>
      </c>
      <c r="K185" s="26" t="str">
        <f>ISNUMBER(_xlfn.XMATCH(tbldeptemp[[#This Row],[DependencyID]],tblTargets[TargetID]))</f>
        <v>#ERROR!</v>
      </c>
      <c r="L185" s="26" t="str">
        <f>IF(tbldeptemp[[#This Row],[ValidTarget]]=FALSE,"BAD TARGET",IF(tbldeptemp[[#This Row],[ValidDependency]]=FALSE,"BAD DEPENDENCY",""))</f>
        <v>#ERROR!</v>
      </c>
    </row>
    <row r="186" ht="14.25" customHeight="1">
      <c r="A186" s="26" t="s">
        <v>626</v>
      </c>
      <c r="B186" s="26" t="s">
        <v>5398</v>
      </c>
      <c r="C186" s="26" t="s">
        <v>402</v>
      </c>
      <c r="D186" s="26" t="s">
        <v>4270</v>
      </c>
      <c r="E186" s="26" t="s">
        <v>4270</v>
      </c>
      <c r="F186" s="26" t="b">
        <v>1</v>
      </c>
      <c r="G186" s="26" t="s">
        <v>5100</v>
      </c>
      <c r="H186" s="26" t="s">
        <v>402</v>
      </c>
      <c r="I186" s="26" t="s">
        <v>399</v>
      </c>
      <c r="J186" s="26" t="b">
        <v>1</v>
      </c>
      <c r="K186" s="26" t="str">
        <f>ISNUMBER(_xlfn.XMATCH(tbldeptemp[[#This Row],[DependencyID]],tblTargets[TargetID]))</f>
        <v>#ERROR!</v>
      </c>
      <c r="L186" s="26" t="str">
        <f>IF(tbldeptemp[[#This Row],[ValidTarget]]=FALSE,"BAD TARGET",IF(tbldeptemp[[#This Row],[ValidDependency]]=FALSE,"BAD DEPENDENCY",""))</f>
        <v>#ERROR!</v>
      </c>
    </row>
    <row r="187" ht="14.25" customHeight="1">
      <c r="A187" s="26" t="s">
        <v>1117</v>
      </c>
      <c r="B187" s="26" t="s">
        <v>4575</v>
      </c>
      <c r="C187" s="26" t="s">
        <v>833</v>
      </c>
      <c r="D187" s="26" t="s">
        <v>5401</v>
      </c>
      <c r="E187" s="26" t="s">
        <v>5402</v>
      </c>
      <c r="F187" s="26" t="b">
        <v>1</v>
      </c>
      <c r="G187" s="26" t="s">
        <v>5097</v>
      </c>
      <c r="H187" s="26" t="s">
        <v>833</v>
      </c>
      <c r="I187" s="26" t="s">
        <v>402</v>
      </c>
      <c r="J187" s="26" t="b">
        <v>1</v>
      </c>
      <c r="K187" s="26" t="str">
        <f>ISNUMBER(_xlfn.XMATCH(tbldeptemp[[#This Row],[DependencyID]],tblTargets[TargetID]))</f>
        <v>#ERROR!</v>
      </c>
      <c r="L187" s="26" t="str">
        <f>IF(tbldeptemp[[#This Row],[ValidTarget]]=FALSE,"BAD TARGET",IF(tbldeptemp[[#This Row],[ValidDependency]]=FALSE,"BAD DEPENDENCY",""))</f>
        <v>#ERROR!</v>
      </c>
    </row>
    <row r="188" ht="14.25" customHeight="1">
      <c r="A188" s="26" t="s">
        <v>1705</v>
      </c>
      <c r="B188" s="26" t="s">
        <v>5406</v>
      </c>
      <c r="C188" s="26" t="s">
        <v>1821</v>
      </c>
      <c r="D188" s="26" t="s">
        <v>5408</v>
      </c>
      <c r="E188" s="26" t="s">
        <v>5409</v>
      </c>
      <c r="F188" s="26" t="b">
        <v>1</v>
      </c>
      <c r="G188" s="26" t="s">
        <v>5100</v>
      </c>
      <c r="H188" s="26" t="s">
        <v>1821</v>
      </c>
      <c r="I188" s="26" t="s">
        <v>854</v>
      </c>
      <c r="J188" s="26" t="b">
        <v>1</v>
      </c>
      <c r="K188" s="26" t="str">
        <f>ISNUMBER(_xlfn.XMATCH(tbldeptemp[[#This Row],[DependencyID]],tblTargets[TargetID]))</f>
        <v>#ERROR!</v>
      </c>
      <c r="L188" s="26" t="str">
        <f>IF(tbldeptemp[[#This Row],[ValidTarget]]=FALSE,"BAD TARGET",IF(tbldeptemp[[#This Row],[ValidDependency]]=FALSE,"BAD DEPENDENCY",""))</f>
        <v>#ERROR!</v>
      </c>
    </row>
    <row r="189" ht="14.25" customHeight="1">
      <c r="A189" s="26" t="s">
        <v>1705</v>
      </c>
      <c r="B189" s="26" t="s">
        <v>5410</v>
      </c>
      <c r="C189" s="26" t="s">
        <v>1823</v>
      </c>
      <c r="D189" s="26" t="s">
        <v>5408</v>
      </c>
      <c r="E189" s="26" t="s">
        <v>5409</v>
      </c>
      <c r="F189" s="26" t="b">
        <v>1</v>
      </c>
      <c r="G189" s="26" t="s">
        <v>5100</v>
      </c>
      <c r="H189" s="26" t="s">
        <v>1823</v>
      </c>
      <c r="I189" s="26" t="s">
        <v>854</v>
      </c>
      <c r="J189" s="26" t="b">
        <v>1</v>
      </c>
      <c r="K189" s="26" t="str">
        <f>ISNUMBER(_xlfn.XMATCH(tbldeptemp[[#This Row],[DependencyID]],tblTargets[TargetID]))</f>
        <v>#ERROR!</v>
      </c>
      <c r="L189" s="26" t="str">
        <f>IF(tbldeptemp[[#This Row],[ValidTarget]]=FALSE,"BAD TARGET",IF(tbldeptemp[[#This Row],[ValidDependency]]=FALSE,"BAD DEPENDENCY",""))</f>
        <v>#ERROR!</v>
      </c>
    </row>
    <row r="190" ht="14.25" customHeight="1">
      <c r="A190" s="26" t="s">
        <v>626</v>
      </c>
      <c r="B190" s="26" t="s">
        <v>5411</v>
      </c>
      <c r="C190" s="26" t="s">
        <v>406</v>
      </c>
      <c r="D190" s="26" t="s">
        <v>4276</v>
      </c>
      <c r="E190" s="26" t="s">
        <v>4276</v>
      </c>
      <c r="F190" s="26" t="b">
        <v>1</v>
      </c>
      <c r="G190" s="26" t="s">
        <v>5100</v>
      </c>
      <c r="H190" s="26" t="s">
        <v>406</v>
      </c>
      <c r="I190" s="26" t="s">
        <v>404</v>
      </c>
      <c r="J190" s="26" t="b">
        <v>1</v>
      </c>
      <c r="K190" s="26" t="str">
        <f>ISNUMBER(_xlfn.XMATCH(tbldeptemp[[#This Row],[DependencyID]],tblTargets[TargetID]))</f>
        <v>#ERROR!</v>
      </c>
      <c r="L190" s="26" t="str">
        <f>IF(tbldeptemp[[#This Row],[ValidTarget]]=FALSE,"BAD TARGET",IF(tbldeptemp[[#This Row],[ValidDependency]]=FALSE,"BAD DEPENDENCY",""))</f>
        <v>#ERROR!</v>
      </c>
    </row>
    <row r="191" ht="14.25" customHeight="1">
      <c r="A191" s="26" t="s">
        <v>626</v>
      </c>
      <c r="B191" s="26" t="s">
        <v>5412</v>
      </c>
      <c r="C191" s="26" t="s">
        <v>408</v>
      </c>
      <c r="D191" s="26" t="s">
        <v>4279</v>
      </c>
      <c r="E191" s="26" t="s">
        <v>4279</v>
      </c>
      <c r="F191" s="26" t="b">
        <v>1</v>
      </c>
      <c r="G191" s="26" t="s">
        <v>5100</v>
      </c>
      <c r="H191" s="26" t="s">
        <v>408</v>
      </c>
      <c r="I191" s="26" t="s">
        <v>406</v>
      </c>
      <c r="J191" s="26" t="b">
        <v>1</v>
      </c>
      <c r="K191" s="26" t="str">
        <f>ISNUMBER(_xlfn.XMATCH(tbldeptemp[[#This Row],[DependencyID]],tblTargets[TargetID]))</f>
        <v>#ERROR!</v>
      </c>
      <c r="L191" s="26" t="str">
        <f>IF(tbldeptemp[[#This Row],[ValidTarget]]=FALSE,"BAD TARGET",IF(tbldeptemp[[#This Row],[ValidDependency]]=FALSE,"BAD DEPENDENCY",""))</f>
        <v>#ERROR!</v>
      </c>
    </row>
    <row r="192" ht="14.25" customHeight="1">
      <c r="A192" s="26" t="s">
        <v>626</v>
      </c>
      <c r="B192" s="26" t="s">
        <v>5413</v>
      </c>
      <c r="C192" s="26" t="s">
        <v>854</v>
      </c>
      <c r="E192" s="26" t="e">
        <v>#N/A</v>
      </c>
      <c r="H192" s="26" t="s">
        <v>854</v>
      </c>
      <c r="I192" s="26" t="s">
        <v>408</v>
      </c>
      <c r="J192" s="26" t="b">
        <v>1</v>
      </c>
      <c r="K192" s="26" t="str">
        <f>ISNUMBER(_xlfn.XMATCH(tbldeptemp[[#This Row],[DependencyID]],tblTargets[TargetID]))</f>
        <v>#ERROR!</v>
      </c>
      <c r="L192" s="26" t="str">
        <f>IF(tbldeptemp[[#This Row],[ValidTarget]]=FALSE,"BAD TARGET",IF(tbldeptemp[[#This Row],[ValidDependency]]=FALSE,"BAD DEPENDENCY",""))</f>
        <v>#ERROR!</v>
      </c>
    </row>
    <row r="193" ht="14.25" customHeight="1">
      <c r="A193" s="26" t="s">
        <v>1705</v>
      </c>
      <c r="B193" s="26" t="s">
        <v>5414</v>
      </c>
      <c r="C193" s="26" t="s">
        <v>1825</v>
      </c>
      <c r="D193" s="26" t="s">
        <v>5415</v>
      </c>
      <c r="E193" s="26" t="s">
        <v>5416</v>
      </c>
      <c r="F193" s="26" t="b">
        <v>1</v>
      </c>
      <c r="G193" s="26" t="s">
        <v>5100</v>
      </c>
      <c r="H193" s="26" t="s">
        <v>1825</v>
      </c>
      <c r="I193" s="26" t="s">
        <v>865</v>
      </c>
      <c r="J193" s="26" t="b">
        <v>1</v>
      </c>
      <c r="K193" s="26" t="str">
        <f>ISNUMBER(_xlfn.XMATCH(tbldeptemp[[#This Row],[DependencyID]],tblTargets[TargetID]))</f>
        <v>#ERROR!</v>
      </c>
      <c r="L193" s="26" t="str">
        <f>IF(tbldeptemp[[#This Row],[ValidTarget]]=FALSE,"BAD TARGET",IF(tbldeptemp[[#This Row],[ValidDependency]]=FALSE,"BAD DEPENDENCY",""))</f>
        <v>#ERROR!</v>
      </c>
    </row>
    <row r="194" ht="14.25" customHeight="1">
      <c r="A194" s="26" t="s">
        <v>1705</v>
      </c>
      <c r="B194" s="26" t="s">
        <v>5417</v>
      </c>
      <c r="C194" s="26" t="s">
        <v>1827</v>
      </c>
      <c r="D194" s="26" t="s">
        <v>5415</v>
      </c>
      <c r="E194" s="26" t="s">
        <v>5416</v>
      </c>
      <c r="F194" s="26" t="b">
        <v>1</v>
      </c>
      <c r="G194" s="26" t="s">
        <v>5100</v>
      </c>
      <c r="H194" s="26" t="s">
        <v>1827</v>
      </c>
      <c r="I194" s="26" t="s">
        <v>865</v>
      </c>
      <c r="J194" s="26" t="b">
        <v>1</v>
      </c>
      <c r="K194" s="26" t="str">
        <f>ISNUMBER(_xlfn.XMATCH(tbldeptemp[[#This Row],[DependencyID]],tblTargets[TargetID]))</f>
        <v>#ERROR!</v>
      </c>
      <c r="L194" s="26" t="str">
        <f>IF(tbldeptemp[[#This Row],[ValidTarget]]=FALSE,"BAD TARGET",IF(tbldeptemp[[#This Row],[ValidDependency]]=FALSE,"BAD DEPENDENCY",""))</f>
        <v>#ERROR!</v>
      </c>
    </row>
    <row r="195" ht="14.25" customHeight="1">
      <c r="A195" s="26" t="s">
        <v>1705</v>
      </c>
      <c r="B195" s="26" t="s">
        <v>5418</v>
      </c>
      <c r="C195" s="26" t="s">
        <v>1829</v>
      </c>
      <c r="D195" s="26" t="s">
        <v>5415</v>
      </c>
      <c r="E195" s="26" t="s">
        <v>5416</v>
      </c>
      <c r="F195" s="26" t="b">
        <v>1</v>
      </c>
      <c r="G195" s="26" t="s">
        <v>5097</v>
      </c>
      <c r="H195" s="26" t="s">
        <v>1829</v>
      </c>
      <c r="I195" s="26" t="s">
        <v>865</v>
      </c>
      <c r="J195" s="26" t="b">
        <v>1</v>
      </c>
      <c r="K195" s="26" t="str">
        <f>ISNUMBER(_xlfn.XMATCH(tbldeptemp[[#This Row],[DependencyID]],tblTargets[TargetID]))</f>
        <v>#ERROR!</v>
      </c>
      <c r="L195" s="26" t="str">
        <f>IF(tbldeptemp[[#This Row],[ValidTarget]]=FALSE,"BAD TARGET",IF(tbldeptemp[[#This Row],[ValidDependency]]=FALSE,"BAD DEPENDENCY",""))</f>
        <v>#ERROR!</v>
      </c>
    </row>
    <row r="196" ht="14.25" customHeight="1">
      <c r="A196" s="26" t="s">
        <v>1705</v>
      </c>
      <c r="B196" s="26" t="s">
        <v>5419</v>
      </c>
      <c r="C196" s="26" t="s">
        <v>1832</v>
      </c>
      <c r="D196" s="26" t="s">
        <v>5415</v>
      </c>
      <c r="E196" s="26" t="s">
        <v>5416</v>
      </c>
      <c r="F196" s="26" t="b">
        <v>1</v>
      </c>
      <c r="G196" s="26" t="s">
        <v>5097</v>
      </c>
      <c r="H196" s="26" t="s">
        <v>1832</v>
      </c>
      <c r="I196" s="26" t="s">
        <v>865</v>
      </c>
      <c r="J196" s="26" t="b">
        <v>1</v>
      </c>
      <c r="K196" s="26" t="str">
        <f>ISNUMBER(_xlfn.XMATCH(tbldeptemp[[#This Row],[DependencyID]],tblTargets[TargetID]))</f>
        <v>#ERROR!</v>
      </c>
      <c r="L196" s="26" t="str">
        <f>IF(tbldeptemp[[#This Row],[ValidTarget]]=FALSE,"BAD TARGET",IF(tbldeptemp[[#This Row],[ValidDependency]]=FALSE,"BAD DEPENDENCY",""))</f>
        <v>#ERROR!</v>
      </c>
    </row>
    <row r="197" ht="14.25" customHeight="1">
      <c r="A197" s="26" t="s">
        <v>1705</v>
      </c>
      <c r="B197" s="26" t="s">
        <v>5420</v>
      </c>
      <c r="C197" s="26" t="s">
        <v>1834</v>
      </c>
      <c r="D197" s="26" t="s">
        <v>5415</v>
      </c>
      <c r="E197" s="26" t="s">
        <v>5416</v>
      </c>
      <c r="F197" s="26" t="b">
        <v>1</v>
      </c>
      <c r="G197" s="26" t="s">
        <v>5097</v>
      </c>
      <c r="H197" s="26" t="s">
        <v>1834</v>
      </c>
      <c r="I197" s="26" t="s">
        <v>865</v>
      </c>
      <c r="J197" s="26" t="b">
        <v>1</v>
      </c>
      <c r="K197" s="26" t="str">
        <f>ISNUMBER(_xlfn.XMATCH(tbldeptemp[[#This Row],[DependencyID]],tblTargets[TargetID]))</f>
        <v>#ERROR!</v>
      </c>
      <c r="L197" s="26" t="str">
        <f>IF(tbldeptemp[[#This Row],[ValidTarget]]=FALSE,"BAD TARGET",IF(tbldeptemp[[#This Row],[ValidDependency]]=FALSE,"BAD DEPENDENCY",""))</f>
        <v>#ERROR!</v>
      </c>
    </row>
    <row r="198" ht="14.25" customHeight="1">
      <c r="A198" s="26" t="s">
        <v>1705</v>
      </c>
      <c r="B198" s="26" t="s">
        <v>5421</v>
      </c>
      <c r="C198" s="26" t="s">
        <v>1836</v>
      </c>
      <c r="D198" s="26" t="s">
        <v>5415</v>
      </c>
      <c r="E198" s="26" t="s">
        <v>5416</v>
      </c>
      <c r="F198" s="26" t="b">
        <v>1</v>
      </c>
      <c r="G198" s="26" t="s">
        <v>5097</v>
      </c>
      <c r="H198" s="26" t="s">
        <v>1836</v>
      </c>
      <c r="I198" s="26" t="s">
        <v>865</v>
      </c>
      <c r="J198" s="26" t="b">
        <v>1</v>
      </c>
      <c r="K198" s="26" t="str">
        <f>ISNUMBER(_xlfn.XMATCH(tbldeptemp[[#This Row],[DependencyID]],tblTargets[TargetID]))</f>
        <v>#ERROR!</v>
      </c>
      <c r="L198" s="26" t="str">
        <f>IF(tbldeptemp[[#This Row],[ValidTarget]]=FALSE,"BAD TARGET",IF(tbldeptemp[[#This Row],[ValidDependency]]=FALSE,"BAD DEPENDENCY",""))</f>
        <v>#ERROR!</v>
      </c>
    </row>
    <row r="199" ht="14.25" customHeight="1">
      <c r="A199" s="26" t="s">
        <v>1705</v>
      </c>
      <c r="B199" s="26" t="s">
        <v>5422</v>
      </c>
      <c r="C199" s="26" t="s">
        <v>1838</v>
      </c>
      <c r="D199" s="26" t="s">
        <v>5415</v>
      </c>
      <c r="E199" s="26" t="s">
        <v>5416</v>
      </c>
      <c r="F199" s="26" t="b">
        <v>1</v>
      </c>
      <c r="G199" s="26" t="s">
        <v>5100</v>
      </c>
      <c r="H199" s="26" t="s">
        <v>1838</v>
      </c>
      <c r="I199" s="26" t="s">
        <v>865</v>
      </c>
      <c r="J199" s="26" t="b">
        <v>1</v>
      </c>
      <c r="K199" s="26" t="str">
        <f>ISNUMBER(_xlfn.XMATCH(tbldeptemp[[#This Row],[DependencyID]],tblTargets[TargetID]))</f>
        <v>#ERROR!</v>
      </c>
      <c r="L199" s="26" t="str">
        <f>IF(tbldeptemp[[#This Row],[ValidTarget]]=FALSE,"BAD TARGET",IF(tbldeptemp[[#This Row],[ValidDependency]]=FALSE,"BAD DEPENDENCY",""))</f>
        <v>#ERROR!</v>
      </c>
    </row>
    <row r="200" ht="14.25" customHeight="1">
      <c r="A200" s="26" t="s">
        <v>1705</v>
      </c>
      <c r="B200" s="26" t="s">
        <v>5425</v>
      </c>
      <c r="C200" s="26" t="s">
        <v>1841</v>
      </c>
      <c r="D200" s="26" t="s">
        <v>5415</v>
      </c>
      <c r="E200" s="26" t="s">
        <v>5416</v>
      </c>
      <c r="F200" s="26" t="b">
        <v>1</v>
      </c>
      <c r="G200" s="26" t="s">
        <v>5097</v>
      </c>
      <c r="H200" s="26" t="s">
        <v>1841</v>
      </c>
      <c r="I200" s="26" t="s">
        <v>865</v>
      </c>
      <c r="J200" s="26" t="b">
        <v>1</v>
      </c>
      <c r="K200" s="26" t="str">
        <f>ISNUMBER(_xlfn.XMATCH(tbldeptemp[[#This Row],[DependencyID]],tblTargets[TargetID]))</f>
        <v>#ERROR!</v>
      </c>
      <c r="L200" s="26" t="str">
        <f>IF(tbldeptemp[[#This Row],[ValidTarget]]=FALSE,"BAD TARGET",IF(tbldeptemp[[#This Row],[ValidDependency]]=FALSE,"BAD DEPENDENCY",""))</f>
        <v>#ERROR!</v>
      </c>
    </row>
    <row r="201" ht="14.25" customHeight="1">
      <c r="A201" s="26" t="s">
        <v>1705</v>
      </c>
      <c r="B201" s="26" t="s">
        <v>5431</v>
      </c>
      <c r="C201" s="26" t="s">
        <v>1843</v>
      </c>
      <c r="D201" s="26" t="s">
        <v>5415</v>
      </c>
      <c r="E201" s="26" t="s">
        <v>5416</v>
      </c>
      <c r="F201" s="26" t="b">
        <v>1</v>
      </c>
      <c r="G201" s="26" t="s">
        <v>5097</v>
      </c>
      <c r="H201" s="26" t="s">
        <v>1843</v>
      </c>
      <c r="I201" s="26" t="s">
        <v>865</v>
      </c>
      <c r="J201" s="26" t="b">
        <v>1</v>
      </c>
      <c r="K201" s="26" t="str">
        <f>ISNUMBER(_xlfn.XMATCH(tbldeptemp[[#This Row],[DependencyID]],tblTargets[TargetID]))</f>
        <v>#ERROR!</v>
      </c>
      <c r="L201" s="26" t="str">
        <f>IF(tbldeptemp[[#This Row],[ValidTarget]]=FALSE,"BAD TARGET",IF(tbldeptemp[[#This Row],[ValidDependency]]=FALSE,"BAD DEPENDENCY",""))</f>
        <v>#ERROR!</v>
      </c>
    </row>
    <row r="202" ht="14.25" customHeight="1">
      <c r="A202" s="26" t="s">
        <v>626</v>
      </c>
      <c r="B202" s="26" t="s">
        <v>5432</v>
      </c>
      <c r="C202" s="26" t="s">
        <v>414</v>
      </c>
      <c r="D202" s="26" t="s">
        <v>4283</v>
      </c>
      <c r="E202" s="26" t="s">
        <v>4283</v>
      </c>
      <c r="F202" s="26" t="b">
        <v>1</v>
      </c>
      <c r="G202" s="26" t="s">
        <v>5100</v>
      </c>
      <c r="H202" s="26" t="s">
        <v>414</v>
      </c>
      <c r="I202" s="26" t="s">
        <v>410</v>
      </c>
      <c r="J202" s="26" t="b">
        <v>1</v>
      </c>
      <c r="K202" s="26" t="str">
        <f>ISNUMBER(_xlfn.XMATCH(tbldeptemp[[#This Row],[DependencyID]],tblTargets[TargetID]))</f>
        <v>#ERROR!</v>
      </c>
      <c r="L202" s="26" t="str">
        <f>IF(tbldeptemp[[#This Row],[ValidTarget]]=FALSE,"BAD TARGET",IF(tbldeptemp[[#This Row],[ValidDependency]]=FALSE,"BAD DEPENDENCY",""))</f>
        <v>#ERROR!</v>
      </c>
    </row>
    <row r="203" ht="14.25" customHeight="1">
      <c r="A203" s="26" t="s">
        <v>626</v>
      </c>
      <c r="B203" s="26" t="s">
        <v>5433</v>
      </c>
      <c r="C203" s="26" t="s">
        <v>415</v>
      </c>
      <c r="D203" s="26" t="s">
        <v>4285</v>
      </c>
      <c r="E203" s="26" t="s">
        <v>4285</v>
      </c>
      <c r="F203" s="26" t="b">
        <v>1</v>
      </c>
      <c r="G203" s="26" t="s">
        <v>5100</v>
      </c>
      <c r="H203" s="26" t="s">
        <v>415</v>
      </c>
      <c r="I203" s="26" t="s">
        <v>414</v>
      </c>
      <c r="J203" s="26" t="b">
        <v>1</v>
      </c>
      <c r="K203" s="26" t="str">
        <f>ISNUMBER(_xlfn.XMATCH(tbldeptemp[[#This Row],[DependencyID]],tblTargets[TargetID]))</f>
        <v>#ERROR!</v>
      </c>
      <c r="L203" s="26" t="str">
        <f>IF(tbldeptemp[[#This Row],[ValidTarget]]=FALSE,"BAD TARGET",IF(tbldeptemp[[#This Row],[ValidDependency]]=FALSE,"BAD DEPENDENCY",""))</f>
        <v>#ERROR!</v>
      </c>
    </row>
    <row r="204" ht="14.25" customHeight="1">
      <c r="A204" s="26" t="s">
        <v>1117</v>
      </c>
      <c r="B204" s="26" t="s">
        <v>4587</v>
      </c>
      <c r="C204" s="26" t="s">
        <v>846</v>
      </c>
      <c r="D204" s="26" t="s">
        <v>5434</v>
      </c>
      <c r="E204" s="26" t="s">
        <v>5435</v>
      </c>
      <c r="F204" s="26" t="b">
        <v>1</v>
      </c>
      <c r="G204" s="26" t="s">
        <v>5097</v>
      </c>
      <c r="H204" s="26" t="s">
        <v>846</v>
      </c>
      <c r="I204" s="26" t="s">
        <v>415</v>
      </c>
      <c r="J204" s="26" t="b">
        <v>1</v>
      </c>
      <c r="K204" s="26" t="str">
        <f>ISNUMBER(_xlfn.XMATCH(tbldeptemp[[#This Row],[DependencyID]],tblTargets[TargetID]))</f>
        <v>#ERROR!</v>
      </c>
      <c r="L204" s="26" t="str">
        <f>IF(tbldeptemp[[#This Row],[ValidTarget]]=FALSE,"BAD TARGET",IF(tbldeptemp[[#This Row],[ValidDependency]]=FALSE,"BAD DEPENDENCY",""))</f>
        <v>#ERROR!</v>
      </c>
    </row>
    <row r="205" ht="14.25" customHeight="1">
      <c r="A205" s="26" t="s">
        <v>626</v>
      </c>
      <c r="B205" s="26" t="s">
        <v>5436</v>
      </c>
      <c r="C205" s="26" t="s">
        <v>865</v>
      </c>
      <c r="E205" s="26" t="e">
        <v>#N/A</v>
      </c>
      <c r="H205" s="26" t="s">
        <v>865</v>
      </c>
      <c r="I205" s="26" t="s">
        <v>415</v>
      </c>
      <c r="J205" s="26" t="b">
        <v>1</v>
      </c>
      <c r="K205" s="26" t="str">
        <f>ISNUMBER(_xlfn.XMATCH(tbldeptemp[[#This Row],[DependencyID]],tblTargets[TargetID]))</f>
        <v>#ERROR!</v>
      </c>
      <c r="L205" s="26" t="str">
        <f>IF(tbldeptemp[[#This Row],[ValidTarget]]=FALSE,"BAD TARGET",IF(tbldeptemp[[#This Row],[ValidDependency]]=FALSE,"BAD DEPENDENCY",""))</f>
        <v>#ERROR!</v>
      </c>
    </row>
    <row r="206" ht="14.25" customHeight="1">
      <c r="A206" s="26" t="s">
        <v>626</v>
      </c>
      <c r="B206" s="26" t="s">
        <v>5437</v>
      </c>
      <c r="C206" s="26" t="s">
        <v>427</v>
      </c>
      <c r="D206" s="26" t="s">
        <v>4300</v>
      </c>
      <c r="E206" s="26" t="s">
        <v>5438</v>
      </c>
      <c r="F206" s="26" t="b">
        <v>1</v>
      </c>
      <c r="G206" s="26" t="s">
        <v>5100</v>
      </c>
      <c r="H206" s="26" t="s">
        <v>427</v>
      </c>
      <c r="I206" s="26" t="s">
        <v>418</v>
      </c>
      <c r="J206" s="26" t="b">
        <v>1</v>
      </c>
      <c r="K206" s="26" t="str">
        <f>ISNUMBER(_xlfn.XMATCH(tbldeptemp[[#This Row],[DependencyID]],tblTargets[TargetID]))</f>
        <v>#ERROR!</v>
      </c>
      <c r="L206" s="26" t="str">
        <f>IF(tbldeptemp[[#This Row],[ValidTarget]]=FALSE,"BAD TARGET",IF(tbldeptemp[[#This Row],[ValidDependency]]=FALSE,"BAD DEPENDENCY",""))</f>
        <v>#ERROR!</v>
      </c>
    </row>
    <row r="207" ht="14.25" customHeight="1">
      <c r="A207" s="26" t="s">
        <v>1151</v>
      </c>
      <c r="B207" s="26" t="s">
        <v>4753</v>
      </c>
      <c r="C207" s="26" t="s">
        <v>1036</v>
      </c>
      <c r="D207" s="26" t="s">
        <v>4300</v>
      </c>
      <c r="E207" s="26" t="s">
        <v>5438</v>
      </c>
      <c r="F207" s="26" t="b">
        <v>1</v>
      </c>
      <c r="G207" s="26" t="s">
        <v>5100</v>
      </c>
      <c r="H207" s="26" t="s">
        <v>1036</v>
      </c>
      <c r="I207" s="26" t="s">
        <v>418</v>
      </c>
      <c r="J207" s="26" t="b">
        <v>1</v>
      </c>
      <c r="K207" s="26" t="str">
        <f>ISNUMBER(_xlfn.XMATCH(tbldeptemp[[#This Row],[DependencyID]],tblTargets[TargetID]))</f>
        <v>#ERROR!</v>
      </c>
      <c r="L207" s="26" t="str">
        <f>IF(tbldeptemp[[#This Row],[ValidTarget]]=FALSE,"BAD TARGET",IF(tbldeptemp[[#This Row],[ValidDependency]]=FALSE,"BAD DEPENDENCY",""))</f>
        <v>#ERROR!</v>
      </c>
    </row>
    <row r="208" ht="14.25" customHeight="1">
      <c r="A208" s="26" t="s">
        <v>1705</v>
      </c>
      <c r="B208" s="26" t="s">
        <v>5439</v>
      </c>
      <c r="C208" s="26" t="s">
        <v>1845</v>
      </c>
      <c r="D208" s="26" t="s">
        <v>5440</v>
      </c>
      <c r="E208" s="26" t="s">
        <v>5441</v>
      </c>
      <c r="F208" s="26" t="b">
        <v>1</v>
      </c>
      <c r="G208" s="26" t="s">
        <v>5100</v>
      </c>
      <c r="H208" s="26" t="s">
        <v>1845</v>
      </c>
      <c r="I208" s="26" t="s">
        <v>877</v>
      </c>
      <c r="J208" s="26" t="b">
        <v>1</v>
      </c>
      <c r="K208" s="26" t="str">
        <f>ISNUMBER(_xlfn.XMATCH(tbldeptemp[[#This Row],[DependencyID]],tblTargets[TargetID]))</f>
        <v>#ERROR!</v>
      </c>
      <c r="L208" s="26" t="str">
        <f>IF(tbldeptemp[[#This Row],[ValidTarget]]=FALSE,"BAD TARGET",IF(tbldeptemp[[#This Row],[ValidDependency]]=FALSE,"BAD DEPENDENCY",""))</f>
        <v>#ERROR!</v>
      </c>
    </row>
    <row r="209" ht="14.25" customHeight="1">
      <c r="A209" s="26" t="s">
        <v>1705</v>
      </c>
      <c r="B209" s="26" t="s">
        <v>5442</v>
      </c>
      <c r="C209" s="26" t="s">
        <v>1847</v>
      </c>
      <c r="D209" s="26" t="s">
        <v>5440</v>
      </c>
      <c r="E209" s="26" t="s">
        <v>5441</v>
      </c>
      <c r="F209" s="26" t="b">
        <v>1</v>
      </c>
      <c r="G209" s="26" t="s">
        <v>5100</v>
      </c>
      <c r="H209" s="26" t="s">
        <v>1847</v>
      </c>
      <c r="I209" s="26" t="s">
        <v>877</v>
      </c>
      <c r="J209" s="26" t="b">
        <v>1</v>
      </c>
      <c r="K209" s="26" t="str">
        <f>ISNUMBER(_xlfn.XMATCH(tbldeptemp[[#This Row],[DependencyID]],tblTargets[TargetID]))</f>
        <v>#ERROR!</v>
      </c>
      <c r="L209" s="26" t="str">
        <f>IF(tbldeptemp[[#This Row],[ValidTarget]]=FALSE,"BAD TARGET",IF(tbldeptemp[[#This Row],[ValidDependency]]=FALSE,"BAD DEPENDENCY",""))</f>
        <v>#ERROR!</v>
      </c>
    </row>
    <row r="210" ht="14.25" customHeight="1">
      <c r="A210" s="26" t="s">
        <v>1705</v>
      </c>
      <c r="B210" s="26" t="s">
        <v>5443</v>
      </c>
      <c r="C210" s="26" t="s">
        <v>1850</v>
      </c>
      <c r="D210" s="26" t="s">
        <v>5440</v>
      </c>
      <c r="E210" s="26" t="s">
        <v>5441</v>
      </c>
      <c r="F210" s="26" t="b">
        <v>1</v>
      </c>
      <c r="G210" s="26" t="s">
        <v>5097</v>
      </c>
      <c r="H210" s="26" t="s">
        <v>1850</v>
      </c>
      <c r="I210" s="26" t="s">
        <v>877</v>
      </c>
      <c r="J210" s="26" t="b">
        <v>1</v>
      </c>
      <c r="K210" s="26" t="str">
        <f>ISNUMBER(_xlfn.XMATCH(tbldeptemp[[#This Row],[DependencyID]],tblTargets[TargetID]))</f>
        <v>#ERROR!</v>
      </c>
      <c r="L210" s="26" t="str">
        <f>IF(tbldeptemp[[#This Row],[ValidTarget]]=FALSE,"BAD TARGET",IF(tbldeptemp[[#This Row],[ValidDependency]]=FALSE,"BAD DEPENDENCY",""))</f>
        <v>#ERROR!</v>
      </c>
    </row>
    <row r="211" ht="14.25" customHeight="1">
      <c r="A211" s="26" t="s">
        <v>1705</v>
      </c>
      <c r="B211" s="26" t="s">
        <v>5446</v>
      </c>
      <c r="C211" s="26" t="s">
        <v>1852</v>
      </c>
      <c r="D211" s="26" t="s">
        <v>5440</v>
      </c>
      <c r="E211" s="26" t="s">
        <v>5441</v>
      </c>
      <c r="F211" s="26" t="b">
        <v>1</v>
      </c>
      <c r="G211" s="26" t="s">
        <v>5097</v>
      </c>
      <c r="H211" s="26" t="s">
        <v>1852</v>
      </c>
      <c r="I211" s="26" t="s">
        <v>877</v>
      </c>
      <c r="J211" s="26" t="b">
        <v>1</v>
      </c>
      <c r="K211" s="26" t="str">
        <f>ISNUMBER(_xlfn.XMATCH(tbldeptemp[[#This Row],[DependencyID]],tblTargets[TargetID]))</f>
        <v>#ERROR!</v>
      </c>
      <c r="L211" s="26" t="str">
        <f>IF(tbldeptemp[[#This Row],[ValidTarget]]=FALSE,"BAD TARGET",IF(tbldeptemp[[#This Row],[ValidDependency]]=FALSE,"BAD DEPENDENCY",""))</f>
        <v>#ERROR!</v>
      </c>
    </row>
    <row r="212" ht="14.25" customHeight="1">
      <c r="A212" s="26" t="s">
        <v>1705</v>
      </c>
      <c r="B212" s="26" t="s">
        <v>5451</v>
      </c>
      <c r="C212" s="26" t="s">
        <v>1854</v>
      </c>
      <c r="D212" s="26" t="s">
        <v>5440</v>
      </c>
      <c r="E212" s="26" t="s">
        <v>5441</v>
      </c>
      <c r="F212" s="26" t="b">
        <v>1</v>
      </c>
      <c r="G212" s="26" t="s">
        <v>5097</v>
      </c>
      <c r="H212" s="26" t="s">
        <v>1854</v>
      </c>
      <c r="I212" s="26" t="s">
        <v>877</v>
      </c>
      <c r="J212" s="26" t="b">
        <v>1</v>
      </c>
      <c r="K212" s="26" t="str">
        <f>ISNUMBER(_xlfn.XMATCH(tbldeptemp[[#This Row],[DependencyID]],tblTargets[TargetID]))</f>
        <v>#ERROR!</v>
      </c>
      <c r="L212" s="26" t="str">
        <f>IF(tbldeptemp[[#This Row],[ValidTarget]]=FALSE,"BAD TARGET",IF(tbldeptemp[[#This Row],[ValidDependency]]=FALSE,"BAD DEPENDENCY",""))</f>
        <v>#ERROR!</v>
      </c>
    </row>
    <row r="213" ht="14.25" customHeight="1">
      <c r="A213" s="26" t="s">
        <v>1705</v>
      </c>
      <c r="B213" s="26" t="s">
        <v>5452</v>
      </c>
      <c r="C213" s="26" t="s">
        <v>1856</v>
      </c>
      <c r="D213" s="26" t="s">
        <v>5440</v>
      </c>
      <c r="E213" s="26" t="s">
        <v>5441</v>
      </c>
      <c r="F213" s="26" t="b">
        <v>1</v>
      </c>
      <c r="G213" s="26" t="s">
        <v>5097</v>
      </c>
      <c r="H213" s="26" t="s">
        <v>1856</v>
      </c>
      <c r="I213" s="26" t="s">
        <v>877</v>
      </c>
      <c r="J213" s="26" t="b">
        <v>1</v>
      </c>
      <c r="K213" s="26" t="str">
        <f>ISNUMBER(_xlfn.XMATCH(tbldeptemp[[#This Row],[DependencyID]],tblTargets[TargetID]))</f>
        <v>#ERROR!</v>
      </c>
      <c r="L213" s="26" t="str">
        <f>IF(tbldeptemp[[#This Row],[ValidTarget]]=FALSE,"BAD TARGET",IF(tbldeptemp[[#This Row],[ValidDependency]]=FALSE,"BAD DEPENDENCY",""))</f>
        <v>#ERROR!</v>
      </c>
    </row>
    <row r="214" ht="14.25" customHeight="1">
      <c r="A214" s="26" t="s">
        <v>1705</v>
      </c>
      <c r="B214" s="26" t="s">
        <v>5453</v>
      </c>
      <c r="C214" s="26" t="s">
        <v>1858</v>
      </c>
      <c r="D214" s="26" t="s">
        <v>5440</v>
      </c>
      <c r="E214" s="26" t="s">
        <v>5441</v>
      </c>
      <c r="F214" s="26" t="b">
        <v>1</v>
      </c>
      <c r="G214" s="26" t="s">
        <v>5097</v>
      </c>
      <c r="H214" s="26" t="s">
        <v>1858</v>
      </c>
      <c r="I214" s="26" t="s">
        <v>877</v>
      </c>
      <c r="J214" s="26" t="b">
        <v>1</v>
      </c>
      <c r="K214" s="26" t="str">
        <f>ISNUMBER(_xlfn.XMATCH(tbldeptemp[[#This Row],[DependencyID]],tblTargets[TargetID]))</f>
        <v>#ERROR!</v>
      </c>
      <c r="L214" s="26" t="str">
        <f>IF(tbldeptemp[[#This Row],[ValidTarget]]=FALSE,"BAD TARGET",IF(tbldeptemp[[#This Row],[ValidDependency]]=FALSE,"BAD DEPENDENCY",""))</f>
        <v>#ERROR!</v>
      </c>
    </row>
    <row r="215" ht="14.25" customHeight="1">
      <c r="A215" s="26" t="s">
        <v>1705</v>
      </c>
      <c r="B215" s="26" t="s">
        <v>5454</v>
      </c>
      <c r="C215" s="26" t="s">
        <v>1861</v>
      </c>
      <c r="D215" s="26" t="s">
        <v>5440</v>
      </c>
      <c r="E215" s="26" t="s">
        <v>5441</v>
      </c>
      <c r="F215" s="26" t="b">
        <v>1</v>
      </c>
      <c r="G215" s="26" t="s">
        <v>5100</v>
      </c>
      <c r="H215" s="26" t="s">
        <v>1861</v>
      </c>
      <c r="I215" s="26" t="s">
        <v>877</v>
      </c>
      <c r="J215" s="26" t="b">
        <v>1</v>
      </c>
      <c r="K215" s="26" t="str">
        <f>ISNUMBER(_xlfn.XMATCH(tbldeptemp[[#This Row],[DependencyID]],tblTargets[TargetID]))</f>
        <v>#ERROR!</v>
      </c>
      <c r="L215" s="26" t="str">
        <f>IF(tbldeptemp[[#This Row],[ValidTarget]]=FALSE,"BAD TARGET",IF(tbldeptemp[[#This Row],[ValidDependency]]=FALSE,"BAD DEPENDENCY",""))</f>
        <v>#ERROR!</v>
      </c>
    </row>
    <row r="216" ht="14.25" customHeight="1">
      <c r="A216" s="26" t="s">
        <v>1705</v>
      </c>
      <c r="B216" s="26" t="s">
        <v>5455</v>
      </c>
      <c r="C216" s="26" t="s">
        <v>1863</v>
      </c>
      <c r="D216" s="26" t="s">
        <v>5440</v>
      </c>
      <c r="E216" s="26" t="s">
        <v>5441</v>
      </c>
      <c r="F216" s="26" t="b">
        <v>1</v>
      </c>
      <c r="G216" s="26" t="s">
        <v>5097</v>
      </c>
      <c r="H216" s="26" t="s">
        <v>1863</v>
      </c>
      <c r="I216" s="26" t="s">
        <v>877</v>
      </c>
      <c r="J216" s="26" t="b">
        <v>1</v>
      </c>
      <c r="K216" s="26" t="str">
        <f>ISNUMBER(_xlfn.XMATCH(tbldeptemp[[#This Row],[DependencyID]],tblTargets[TargetID]))</f>
        <v>#ERROR!</v>
      </c>
      <c r="L216" s="26" t="str">
        <f>IF(tbldeptemp[[#This Row],[ValidTarget]]=FALSE,"BAD TARGET",IF(tbldeptemp[[#This Row],[ValidDependency]]=FALSE,"BAD DEPENDENCY",""))</f>
        <v>#ERROR!</v>
      </c>
    </row>
    <row r="217" ht="14.25" customHeight="1">
      <c r="A217" s="26" t="s">
        <v>1705</v>
      </c>
      <c r="B217" s="26" t="s">
        <v>5456</v>
      </c>
      <c r="C217" s="26" t="s">
        <v>1865</v>
      </c>
      <c r="D217" s="26" t="s">
        <v>5440</v>
      </c>
      <c r="E217" s="26" t="s">
        <v>5441</v>
      </c>
      <c r="F217" s="26" t="b">
        <v>1</v>
      </c>
      <c r="G217" s="26" t="s">
        <v>5097</v>
      </c>
      <c r="H217" s="26" t="s">
        <v>1865</v>
      </c>
      <c r="I217" s="26" t="s">
        <v>877</v>
      </c>
      <c r="J217" s="26" t="b">
        <v>1</v>
      </c>
      <c r="K217" s="26" t="str">
        <f>ISNUMBER(_xlfn.XMATCH(tbldeptemp[[#This Row],[DependencyID]],tblTargets[TargetID]))</f>
        <v>#ERROR!</v>
      </c>
      <c r="L217" s="26" t="str">
        <f>IF(tbldeptemp[[#This Row],[ValidTarget]]=FALSE,"BAD TARGET",IF(tbldeptemp[[#This Row],[ValidDependency]]=FALSE,"BAD DEPENDENCY",""))</f>
        <v>#ERROR!</v>
      </c>
    </row>
    <row r="218" ht="14.25" customHeight="1">
      <c r="A218" s="26" t="s">
        <v>1705</v>
      </c>
      <c r="B218" s="26" t="s">
        <v>5457</v>
      </c>
      <c r="C218" s="26" t="s">
        <v>1867</v>
      </c>
      <c r="D218" s="26" t="s">
        <v>5440</v>
      </c>
      <c r="E218" s="26" t="s">
        <v>5441</v>
      </c>
      <c r="F218" s="26" t="b">
        <v>1</v>
      </c>
      <c r="G218" s="26" t="s">
        <v>5100</v>
      </c>
      <c r="H218" s="26" t="s">
        <v>1867</v>
      </c>
      <c r="I218" s="26" t="s">
        <v>877</v>
      </c>
      <c r="J218" s="26" t="b">
        <v>1</v>
      </c>
      <c r="K218" s="26" t="str">
        <f>ISNUMBER(_xlfn.XMATCH(tbldeptemp[[#This Row],[DependencyID]],tblTargets[TargetID]))</f>
        <v>#ERROR!</v>
      </c>
      <c r="L218" s="26" t="str">
        <f>IF(tbldeptemp[[#This Row],[ValidTarget]]=FALSE,"BAD TARGET",IF(tbldeptemp[[#This Row],[ValidDependency]]=FALSE,"BAD DEPENDENCY",""))</f>
        <v>#ERROR!</v>
      </c>
    </row>
    <row r="219" ht="14.25" customHeight="1">
      <c r="A219" s="26" t="s">
        <v>626</v>
      </c>
      <c r="B219" s="26" t="s">
        <v>5458</v>
      </c>
      <c r="C219" s="26" t="s">
        <v>421</v>
      </c>
      <c r="D219" s="26" t="s">
        <v>4292</v>
      </c>
      <c r="E219" s="26" t="s">
        <v>4292</v>
      </c>
      <c r="F219" s="26" t="b">
        <v>1</v>
      </c>
      <c r="G219" s="26" t="s">
        <v>5100</v>
      </c>
      <c r="H219" s="26" t="s">
        <v>421</v>
      </c>
      <c r="I219" s="26" t="s">
        <v>420</v>
      </c>
      <c r="J219" s="26" t="b">
        <v>1</v>
      </c>
      <c r="K219" s="26" t="str">
        <f>ISNUMBER(_xlfn.XMATCH(tbldeptemp[[#This Row],[DependencyID]],tblTargets[TargetID]))</f>
        <v>#ERROR!</v>
      </c>
      <c r="L219" s="26" t="str">
        <f>IF(tbldeptemp[[#This Row],[ValidTarget]]=FALSE,"BAD TARGET",IF(tbldeptemp[[#This Row],[ValidDependency]]=FALSE,"BAD DEPENDENCY",""))</f>
        <v>#ERROR!</v>
      </c>
    </row>
    <row r="220" ht="14.25" customHeight="1">
      <c r="A220" s="26" t="s">
        <v>626</v>
      </c>
      <c r="B220" s="26" t="s">
        <v>5459</v>
      </c>
      <c r="C220" s="26" t="s">
        <v>424</v>
      </c>
      <c r="D220" s="26" t="s">
        <v>4294</v>
      </c>
      <c r="E220" s="26" t="s">
        <v>4294</v>
      </c>
      <c r="F220" s="26" t="b">
        <v>1</v>
      </c>
      <c r="G220" s="26" t="s">
        <v>5100</v>
      </c>
      <c r="H220" s="26" t="s">
        <v>424</v>
      </c>
      <c r="I220" s="26" t="s">
        <v>421</v>
      </c>
      <c r="J220" s="26" t="b">
        <v>1</v>
      </c>
      <c r="K220" s="26" t="str">
        <f>ISNUMBER(_xlfn.XMATCH(tbldeptemp[[#This Row],[DependencyID]],tblTargets[TargetID]))</f>
        <v>#ERROR!</v>
      </c>
      <c r="L220" s="26" t="str">
        <f>IF(tbldeptemp[[#This Row],[ValidTarget]]=FALSE,"BAD TARGET",IF(tbldeptemp[[#This Row],[ValidDependency]]=FALSE,"BAD DEPENDENCY",""))</f>
        <v>#ERROR!</v>
      </c>
    </row>
    <row r="221" ht="14.25" customHeight="1">
      <c r="A221" s="26" t="s">
        <v>1117</v>
      </c>
      <c r="B221" s="26" t="s">
        <v>4599</v>
      </c>
      <c r="C221" s="26" t="s">
        <v>858</v>
      </c>
      <c r="D221" s="26" t="s">
        <v>5460</v>
      </c>
      <c r="E221" s="26" t="s">
        <v>4294</v>
      </c>
      <c r="F221" s="26" t="b">
        <v>1</v>
      </c>
      <c r="G221" s="26" t="s">
        <v>5097</v>
      </c>
      <c r="H221" s="26" t="s">
        <v>858</v>
      </c>
      <c r="I221" s="26" t="s">
        <v>421</v>
      </c>
      <c r="J221" s="26" t="b">
        <v>1</v>
      </c>
      <c r="K221" s="26" t="str">
        <f>ISNUMBER(_xlfn.XMATCH(tbldeptemp[[#This Row],[DependencyID]],tblTargets[TargetID]))</f>
        <v>#ERROR!</v>
      </c>
      <c r="L221" s="26" t="str">
        <f>IF(tbldeptemp[[#This Row],[ValidTarget]]=FALSE,"BAD TARGET",IF(tbldeptemp[[#This Row],[ValidDependency]]=FALSE,"BAD DEPENDENCY",""))</f>
        <v>#ERROR!</v>
      </c>
    </row>
    <row r="222" ht="14.25" customHeight="1">
      <c r="A222" s="26" t="s">
        <v>1705</v>
      </c>
      <c r="B222" s="26" t="s">
        <v>5439</v>
      </c>
      <c r="C222" s="26" t="s">
        <v>1845</v>
      </c>
      <c r="D222" s="26" t="s">
        <v>4294</v>
      </c>
      <c r="E222" s="26" t="s">
        <v>4294</v>
      </c>
      <c r="F222" s="26" t="b">
        <v>1</v>
      </c>
      <c r="G222" s="26" t="s">
        <v>5097</v>
      </c>
      <c r="H222" s="26" t="s">
        <v>1845</v>
      </c>
      <c r="I222" s="26" t="s">
        <v>421</v>
      </c>
      <c r="J222" s="26" t="b">
        <v>1</v>
      </c>
      <c r="K222" s="26" t="str">
        <f>ISNUMBER(_xlfn.XMATCH(tbldeptemp[[#This Row],[DependencyID]],tblTargets[TargetID]))</f>
        <v>#ERROR!</v>
      </c>
      <c r="L222" s="26" t="str">
        <f>IF(tbldeptemp[[#This Row],[ValidTarget]]=FALSE,"BAD TARGET",IF(tbldeptemp[[#This Row],[ValidDependency]]=FALSE,"BAD DEPENDENCY",""))</f>
        <v>#ERROR!</v>
      </c>
    </row>
    <row r="223" ht="14.25" customHeight="1">
      <c r="A223" s="26" t="s">
        <v>1705</v>
      </c>
      <c r="B223" s="26" t="s">
        <v>5442</v>
      </c>
      <c r="C223" s="26" t="s">
        <v>1847</v>
      </c>
      <c r="D223" s="26" t="s">
        <v>4294</v>
      </c>
      <c r="E223" s="26" t="s">
        <v>4294</v>
      </c>
      <c r="F223" s="26" t="b">
        <v>1</v>
      </c>
      <c r="G223" s="26" t="s">
        <v>5097</v>
      </c>
      <c r="H223" s="26" t="s">
        <v>1847</v>
      </c>
      <c r="I223" s="26" t="s">
        <v>421</v>
      </c>
      <c r="J223" s="26" t="b">
        <v>1</v>
      </c>
      <c r="K223" s="26" t="str">
        <f>ISNUMBER(_xlfn.XMATCH(tbldeptemp[[#This Row],[DependencyID]],tblTargets[TargetID]))</f>
        <v>#ERROR!</v>
      </c>
      <c r="L223" s="26" t="str">
        <f>IF(tbldeptemp[[#This Row],[ValidTarget]]=FALSE,"BAD TARGET",IF(tbldeptemp[[#This Row],[ValidDependency]]=FALSE,"BAD DEPENDENCY",""))</f>
        <v>#ERROR!</v>
      </c>
    </row>
    <row r="224" ht="14.25" customHeight="1">
      <c r="A224" s="26" t="s">
        <v>1705</v>
      </c>
      <c r="B224" s="26" t="s">
        <v>5454</v>
      </c>
      <c r="C224" s="26" t="s">
        <v>1861</v>
      </c>
      <c r="D224" s="26" t="s">
        <v>4294</v>
      </c>
      <c r="E224" s="26" t="s">
        <v>4294</v>
      </c>
      <c r="F224" s="26" t="b">
        <v>1</v>
      </c>
      <c r="G224" s="26" t="s">
        <v>5097</v>
      </c>
      <c r="H224" s="26" t="s">
        <v>1861</v>
      </c>
      <c r="I224" s="26" t="s">
        <v>421</v>
      </c>
      <c r="J224" s="26" t="b">
        <v>1</v>
      </c>
      <c r="K224" s="26" t="str">
        <f>ISNUMBER(_xlfn.XMATCH(tbldeptemp[[#This Row],[DependencyID]],tblTargets[TargetID]))</f>
        <v>#ERROR!</v>
      </c>
      <c r="L224" s="26" t="str">
        <f>IF(tbldeptemp[[#This Row],[ValidTarget]]=FALSE,"BAD TARGET",IF(tbldeptemp[[#This Row],[ValidDependency]]=FALSE,"BAD DEPENDENCY",""))</f>
        <v>#ERROR!</v>
      </c>
    </row>
    <row r="225" ht="14.25" customHeight="1">
      <c r="A225" s="26" t="s">
        <v>1705</v>
      </c>
      <c r="B225" s="26" t="s">
        <v>5457</v>
      </c>
      <c r="C225" s="26" t="s">
        <v>1867</v>
      </c>
      <c r="D225" s="26" t="s">
        <v>4294</v>
      </c>
      <c r="E225" s="26" t="s">
        <v>4294</v>
      </c>
      <c r="F225" s="26" t="b">
        <v>1</v>
      </c>
      <c r="G225" s="26" t="s">
        <v>5097</v>
      </c>
      <c r="H225" s="26" t="s">
        <v>1867</v>
      </c>
      <c r="I225" s="26" t="s">
        <v>421</v>
      </c>
      <c r="J225" s="26" t="b">
        <v>1</v>
      </c>
      <c r="K225" s="26" t="str">
        <f>ISNUMBER(_xlfn.XMATCH(tbldeptemp[[#This Row],[DependencyID]],tblTargets[TargetID]))</f>
        <v>#ERROR!</v>
      </c>
      <c r="L225" s="26" t="str">
        <f>IF(tbldeptemp[[#This Row],[ValidTarget]]=FALSE,"BAD TARGET",IF(tbldeptemp[[#This Row],[ValidDependency]]=FALSE,"BAD DEPENDENCY",""))</f>
        <v>#ERROR!</v>
      </c>
    </row>
    <row r="226" ht="14.25" customHeight="1">
      <c r="A226" s="26" t="s">
        <v>1117</v>
      </c>
      <c r="B226" s="26" t="s">
        <v>4611</v>
      </c>
      <c r="C226" s="26" t="s">
        <v>867</v>
      </c>
      <c r="D226" s="26" t="s">
        <v>5467</v>
      </c>
      <c r="E226" s="26" t="s">
        <v>5468</v>
      </c>
      <c r="F226" s="26" t="b">
        <v>1</v>
      </c>
      <c r="G226" s="26" t="s">
        <v>5097</v>
      </c>
      <c r="H226" s="26" t="s">
        <v>867</v>
      </c>
      <c r="I226" s="26" t="s">
        <v>424</v>
      </c>
      <c r="J226" s="26" t="b">
        <v>1</v>
      </c>
      <c r="K226" s="26" t="str">
        <f>ISNUMBER(_xlfn.XMATCH(tbldeptemp[[#This Row],[DependencyID]],tblTargets[TargetID]))</f>
        <v>#ERROR!</v>
      </c>
      <c r="L226" s="26" t="str">
        <f>IF(tbldeptemp[[#This Row],[ValidTarget]]=FALSE,"BAD TARGET",IF(tbldeptemp[[#This Row],[ValidDependency]]=FALSE,"BAD DEPENDENCY",""))</f>
        <v>#ERROR!</v>
      </c>
    </row>
    <row r="227" ht="14.25" customHeight="1">
      <c r="A227" s="26" t="s">
        <v>1117</v>
      </c>
      <c r="B227" s="26" t="s">
        <v>4615</v>
      </c>
      <c r="C227" s="26" t="s">
        <v>872</v>
      </c>
      <c r="D227" s="26" t="s">
        <v>5467</v>
      </c>
      <c r="E227" s="26" t="s">
        <v>5468</v>
      </c>
      <c r="F227" s="26" t="b">
        <v>1</v>
      </c>
      <c r="G227" s="26" t="s">
        <v>5097</v>
      </c>
      <c r="H227" s="26" t="s">
        <v>872</v>
      </c>
      <c r="I227" s="26" t="s">
        <v>424</v>
      </c>
      <c r="J227" s="26" t="b">
        <v>1</v>
      </c>
      <c r="K227" s="26" t="str">
        <f>ISNUMBER(_xlfn.XMATCH(tbldeptemp[[#This Row],[DependencyID]],tblTargets[TargetID]))</f>
        <v>#ERROR!</v>
      </c>
      <c r="L227" s="26" t="str">
        <f>IF(tbldeptemp[[#This Row],[ValidTarget]]=FALSE,"BAD TARGET",IF(tbldeptemp[[#This Row],[ValidDependency]]=FALSE,"BAD DEPENDENCY",""))</f>
        <v>#ERROR!</v>
      </c>
    </row>
    <row r="228" ht="14.25" customHeight="1">
      <c r="A228" s="26" t="s">
        <v>626</v>
      </c>
      <c r="B228" s="26" t="s">
        <v>5469</v>
      </c>
      <c r="C228" s="26" t="s">
        <v>877</v>
      </c>
      <c r="E228" s="26" t="e">
        <v>#N/A</v>
      </c>
      <c r="H228" s="26" t="s">
        <v>877</v>
      </c>
      <c r="I228" s="26" t="s">
        <v>424</v>
      </c>
      <c r="J228" s="26" t="b">
        <v>1</v>
      </c>
      <c r="K228" s="26" t="str">
        <f>ISNUMBER(_xlfn.XMATCH(tbldeptemp[[#This Row],[DependencyID]],tblTargets[TargetID]))</f>
        <v>#ERROR!</v>
      </c>
      <c r="L228" s="26" t="str">
        <f>IF(tbldeptemp[[#This Row],[ValidTarget]]=FALSE,"BAD TARGET",IF(tbldeptemp[[#This Row],[ValidDependency]]=FALSE,"BAD DEPENDENCY",""))</f>
        <v>#ERROR!</v>
      </c>
    </row>
    <row r="229" ht="14.25" customHeight="1">
      <c r="A229" s="26" t="s">
        <v>1705</v>
      </c>
      <c r="B229" s="26" t="s">
        <v>5470</v>
      </c>
      <c r="C229" s="26" t="s">
        <v>1870</v>
      </c>
      <c r="D229" s="26" t="s">
        <v>5471</v>
      </c>
      <c r="E229" s="26" t="s">
        <v>5472</v>
      </c>
      <c r="F229" s="26" t="b">
        <v>0</v>
      </c>
      <c r="G229" s="26" t="s">
        <v>5100</v>
      </c>
      <c r="H229" s="26" t="s">
        <v>1870</v>
      </c>
      <c r="I229" s="26" t="s">
        <v>886</v>
      </c>
      <c r="J229" s="26" t="b">
        <v>1</v>
      </c>
      <c r="K229" s="26" t="str">
        <f>ISNUMBER(_xlfn.XMATCH(tbldeptemp[[#This Row],[DependencyID]],tblTargets[TargetID]))</f>
        <v>#ERROR!</v>
      </c>
      <c r="L229" s="26" t="str">
        <f>IF(tbldeptemp[[#This Row],[ValidTarget]]=FALSE,"BAD TARGET",IF(tbldeptemp[[#This Row],[ValidDependency]]=FALSE,"BAD DEPENDENCY",""))</f>
        <v>#ERROR!</v>
      </c>
    </row>
    <row r="230" ht="14.25" customHeight="1">
      <c r="A230" s="26" t="s">
        <v>1705</v>
      </c>
      <c r="B230" s="26" t="s">
        <v>5473</v>
      </c>
      <c r="C230" s="26" t="s">
        <v>1872</v>
      </c>
      <c r="D230" s="26" t="s">
        <v>5471</v>
      </c>
      <c r="E230" s="26" t="s">
        <v>5472</v>
      </c>
      <c r="F230" s="26" t="b">
        <v>0</v>
      </c>
      <c r="G230" s="26" t="s">
        <v>5100</v>
      </c>
      <c r="H230" s="26" t="s">
        <v>1872</v>
      </c>
      <c r="I230" s="26" t="s">
        <v>886</v>
      </c>
      <c r="J230" s="26" t="b">
        <v>1</v>
      </c>
      <c r="K230" s="26" t="str">
        <f>ISNUMBER(_xlfn.XMATCH(tbldeptemp[[#This Row],[DependencyID]],tblTargets[TargetID]))</f>
        <v>#ERROR!</v>
      </c>
      <c r="L230" s="26" t="str">
        <f>IF(tbldeptemp[[#This Row],[ValidTarget]]=FALSE,"BAD TARGET",IF(tbldeptemp[[#This Row],[ValidDependency]]=FALSE,"BAD DEPENDENCY",""))</f>
        <v>#ERROR!</v>
      </c>
    </row>
    <row r="231" ht="14.25" customHeight="1">
      <c r="A231" s="26" t="s">
        <v>1705</v>
      </c>
      <c r="B231" s="26" t="s">
        <v>5474</v>
      </c>
      <c r="C231" s="26" t="s">
        <v>1874</v>
      </c>
      <c r="D231" s="26" t="s">
        <v>5471</v>
      </c>
      <c r="E231" s="26" t="s">
        <v>5472</v>
      </c>
      <c r="F231" s="26" t="b">
        <v>0</v>
      </c>
      <c r="G231" s="26" t="s">
        <v>5097</v>
      </c>
      <c r="H231" s="26" t="s">
        <v>1874</v>
      </c>
      <c r="I231" s="26" t="s">
        <v>886</v>
      </c>
      <c r="J231" s="26" t="b">
        <v>1</v>
      </c>
      <c r="K231" s="26" t="str">
        <f>ISNUMBER(_xlfn.XMATCH(tbldeptemp[[#This Row],[DependencyID]],tblTargets[TargetID]))</f>
        <v>#ERROR!</v>
      </c>
      <c r="L231" s="26" t="str">
        <f>IF(tbldeptemp[[#This Row],[ValidTarget]]=FALSE,"BAD TARGET",IF(tbldeptemp[[#This Row],[ValidDependency]]=FALSE,"BAD DEPENDENCY",""))</f>
        <v>#ERROR!</v>
      </c>
    </row>
    <row r="232" ht="14.25" customHeight="1">
      <c r="A232" s="26" t="s">
        <v>1705</v>
      </c>
      <c r="B232" s="26" t="s">
        <v>5475</v>
      </c>
      <c r="C232" s="26" t="s">
        <v>1877</v>
      </c>
      <c r="D232" s="26" t="s">
        <v>5471</v>
      </c>
      <c r="E232" s="26" t="s">
        <v>5472</v>
      </c>
      <c r="F232" s="26" t="b">
        <v>0</v>
      </c>
      <c r="G232" s="26" t="s">
        <v>5100</v>
      </c>
      <c r="H232" s="26" t="s">
        <v>1877</v>
      </c>
      <c r="I232" s="26" t="s">
        <v>886</v>
      </c>
      <c r="J232" s="26" t="b">
        <v>1</v>
      </c>
      <c r="K232" s="26" t="str">
        <f>ISNUMBER(_xlfn.XMATCH(tbldeptemp[[#This Row],[DependencyID]],tblTargets[TargetID]))</f>
        <v>#ERROR!</v>
      </c>
      <c r="L232" s="26" t="str">
        <f>IF(tbldeptemp[[#This Row],[ValidTarget]]=FALSE,"BAD TARGET",IF(tbldeptemp[[#This Row],[ValidDependency]]=FALSE,"BAD DEPENDENCY",""))</f>
        <v>#ERROR!</v>
      </c>
    </row>
    <row r="233" ht="14.25" customHeight="1">
      <c r="A233" s="26" t="s">
        <v>1705</v>
      </c>
      <c r="B233" s="26" t="s">
        <v>5476</v>
      </c>
      <c r="C233" s="26" t="s">
        <v>1879</v>
      </c>
      <c r="D233" s="26" t="s">
        <v>5471</v>
      </c>
      <c r="E233" s="26" t="s">
        <v>5472</v>
      </c>
      <c r="F233" s="26" t="b">
        <v>0</v>
      </c>
      <c r="G233" s="26" t="s">
        <v>5097</v>
      </c>
      <c r="H233" s="26" t="s">
        <v>1879</v>
      </c>
      <c r="I233" s="26" t="s">
        <v>886</v>
      </c>
      <c r="J233" s="26" t="b">
        <v>1</v>
      </c>
      <c r="K233" s="26" t="str">
        <f>ISNUMBER(_xlfn.XMATCH(tbldeptemp[[#This Row],[DependencyID]],tblTargets[TargetID]))</f>
        <v>#ERROR!</v>
      </c>
      <c r="L233" s="26" t="str">
        <f>IF(tbldeptemp[[#This Row],[ValidTarget]]=FALSE,"BAD TARGET",IF(tbldeptemp[[#This Row],[ValidDependency]]=FALSE,"BAD DEPENDENCY",""))</f>
        <v>#ERROR!</v>
      </c>
    </row>
    <row r="234" ht="14.25" customHeight="1">
      <c r="A234" s="26" t="s">
        <v>626</v>
      </c>
      <c r="B234" s="26" t="s">
        <v>5477</v>
      </c>
      <c r="C234" s="26" t="s">
        <v>431</v>
      </c>
      <c r="D234" s="26" t="s">
        <v>4310</v>
      </c>
      <c r="E234" s="26" t="s">
        <v>4304</v>
      </c>
      <c r="F234" s="26" t="b">
        <v>0</v>
      </c>
      <c r="G234" s="26" t="s">
        <v>5100</v>
      </c>
      <c r="H234" s="26" t="s">
        <v>431</v>
      </c>
      <c r="I234" s="26" t="s">
        <v>427</v>
      </c>
      <c r="J234" s="26" t="b">
        <v>1</v>
      </c>
      <c r="K234" s="26" t="str">
        <f>ISNUMBER(_xlfn.XMATCH(tbldeptemp[[#This Row],[DependencyID]],tblTargets[TargetID]))</f>
        <v>#ERROR!</v>
      </c>
      <c r="L234" s="26" t="str">
        <f>IF(tbldeptemp[[#This Row],[ValidTarget]]=FALSE,"BAD TARGET",IF(tbldeptemp[[#This Row],[ValidDependency]]=FALSE,"BAD DEPENDENCY",""))</f>
        <v>#ERROR!</v>
      </c>
    </row>
    <row r="235" ht="14.25" customHeight="1">
      <c r="A235" s="26" t="s">
        <v>626</v>
      </c>
      <c r="B235" s="26" t="s">
        <v>5478</v>
      </c>
      <c r="C235" s="26" t="s">
        <v>433</v>
      </c>
      <c r="D235" s="26" t="s">
        <v>4310</v>
      </c>
      <c r="E235" s="26" t="s">
        <v>4304</v>
      </c>
      <c r="F235" s="26" t="b">
        <v>0</v>
      </c>
      <c r="G235" s="26" t="s">
        <v>5097</v>
      </c>
      <c r="H235" s="26" t="s">
        <v>433</v>
      </c>
      <c r="I235" s="26" t="s">
        <v>427</v>
      </c>
      <c r="J235" s="26" t="b">
        <v>1</v>
      </c>
      <c r="K235" s="26" t="str">
        <f>ISNUMBER(_xlfn.XMATCH(tbldeptemp[[#This Row],[DependencyID]],tblTargets[TargetID]))</f>
        <v>#ERROR!</v>
      </c>
      <c r="L235" s="26" t="str">
        <f>IF(tbldeptemp[[#This Row],[ValidTarget]]=FALSE,"BAD TARGET",IF(tbldeptemp[[#This Row],[ValidDependency]]=FALSE,"BAD DEPENDENCY",""))</f>
        <v>#ERROR!</v>
      </c>
    </row>
    <row r="236" ht="14.25" customHeight="1">
      <c r="A236" s="26" t="s">
        <v>626</v>
      </c>
      <c r="B236" s="26" t="s">
        <v>5479</v>
      </c>
      <c r="C236" s="26" t="s">
        <v>435</v>
      </c>
      <c r="D236" s="26" t="s">
        <v>4310</v>
      </c>
      <c r="E236" s="26" t="s">
        <v>4304</v>
      </c>
      <c r="F236" s="26" t="b">
        <v>0</v>
      </c>
      <c r="G236" s="26" t="s">
        <v>5100</v>
      </c>
      <c r="H236" s="26" t="s">
        <v>435</v>
      </c>
      <c r="I236" s="26" t="s">
        <v>427</v>
      </c>
      <c r="J236" s="26" t="b">
        <v>1</v>
      </c>
      <c r="K236" s="26" t="str">
        <f>ISNUMBER(_xlfn.XMATCH(tbldeptemp[[#This Row],[DependencyID]],tblTargets[TargetID]))</f>
        <v>#ERROR!</v>
      </c>
      <c r="L236" s="26" t="str">
        <f>IF(tbldeptemp[[#This Row],[ValidTarget]]=FALSE,"BAD TARGET",IF(tbldeptemp[[#This Row],[ValidDependency]]=FALSE,"BAD DEPENDENCY",""))</f>
        <v>#ERROR!</v>
      </c>
    </row>
    <row r="237" ht="14.25" customHeight="1">
      <c r="A237" s="26" t="s">
        <v>626</v>
      </c>
      <c r="B237" s="26" t="s">
        <v>5480</v>
      </c>
      <c r="C237" s="26" t="s">
        <v>438</v>
      </c>
      <c r="D237" s="26" t="s">
        <v>4310</v>
      </c>
      <c r="E237" s="26" t="s">
        <v>4304</v>
      </c>
      <c r="F237" s="26" t="b">
        <v>0</v>
      </c>
      <c r="G237" s="26" t="s">
        <v>5097</v>
      </c>
      <c r="H237" s="26" t="s">
        <v>438</v>
      </c>
      <c r="I237" s="26" t="s">
        <v>427</v>
      </c>
      <c r="J237" s="26" t="b">
        <v>1</v>
      </c>
      <c r="K237" s="26" t="str">
        <f>ISNUMBER(_xlfn.XMATCH(tbldeptemp[[#This Row],[DependencyID]],tblTargets[TargetID]))</f>
        <v>#ERROR!</v>
      </c>
      <c r="L237" s="26" t="str">
        <f>IF(tbldeptemp[[#This Row],[ValidTarget]]=FALSE,"BAD TARGET",IF(tbldeptemp[[#This Row],[ValidDependency]]=FALSE,"BAD DEPENDENCY",""))</f>
        <v>#ERROR!</v>
      </c>
    </row>
    <row r="238" ht="14.25" customHeight="1">
      <c r="A238" s="26" t="s">
        <v>626</v>
      </c>
      <c r="B238" s="26" t="s">
        <v>5483</v>
      </c>
      <c r="C238" s="26" t="s">
        <v>429</v>
      </c>
      <c r="D238" s="26" t="s">
        <v>4304</v>
      </c>
      <c r="E238" s="26" t="s">
        <v>4304</v>
      </c>
      <c r="F238" s="26" t="b">
        <v>0</v>
      </c>
      <c r="G238" s="26" t="s">
        <v>5100</v>
      </c>
      <c r="H238" s="26" t="s">
        <v>429</v>
      </c>
      <c r="I238" s="26" t="s">
        <v>427</v>
      </c>
      <c r="J238" s="26" t="b">
        <v>1</v>
      </c>
      <c r="K238" s="26" t="str">
        <f>ISNUMBER(_xlfn.XMATCH(tbldeptemp[[#This Row],[DependencyID]],tblTargets[TargetID]))</f>
        <v>#ERROR!</v>
      </c>
      <c r="L238" s="26" t="str">
        <f>IF(tbldeptemp[[#This Row],[ValidTarget]]=FALSE,"BAD TARGET",IF(tbldeptemp[[#This Row],[ValidDependency]]=FALSE,"BAD DEPENDENCY",""))</f>
        <v>#ERROR!</v>
      </c>
    </row>
    <row r="239" ht="14.25" customHeight="1">
      <c r="A239" s="26" t="s">
        <v>626</v>
      </c>
      <c r="B239" s="26" t="s">
        <v>5483</v>
      </c>
      <c r="C239" s="26" t="s">
        <v>429</v>
      </c>
      <c r="D239" s="26" t="s">
        <v>4304</v>
      </c>
      <c r="E239" s="26" t="s">
        <v>4304</v>
      </c>
      <c r="F239" s="26" t="b">
        <v>0</v>
      </c>
      <c r="G239" s="26" t="s">
        <v>5100</v>
      </c>
      <c r="H239" s="26" t="s">
        <v>429</v>
      </c>
      <c r="I239" s="26" t="s">
        <v>427</v>
      </c>
      <c r="J239" s="26" t="b">
        <v>1</v>
      </c>
      <c r="K239" s="26" t="str">
        <f>ISNUMBER(_xlfn.XMATCH(tbldeptemp[[#This Row],[DependencyID]],tblTargets[TargetID]))</f>
        <v>#ERROR!</v>
      </c>
      <c r="L239" s="26" t="str">
        <f>IF(tbldeptemp[[#This Row],[ValidTarget]]=FALSE,"BAD TARGET",IF(tbldeptemp[[#This Row],[ValidDependency]]=FALSE,"BAD DEPENDENCY",""))</f>
        <v>#ERROR!</v>
      </c>
    </row>
    <row r="240" ht="14.25" customHeight="1">
      <c r="A240" s="26" t="s">
        <v>1705</v>
      </c>
      <c r="B240" s="26" t="s">
        <v>5470</v>
      </c>
      <c r="C240" s="26" t="s">
        <v>1870</v>
      </c>
      <c r="D240" s="26" t="s">
        <v>4304</v>
      </c>
      <c r="E240" s="26" t="s">
        <v>4304</v>
      </c>
      <c r="F240" s="26" t="b">
        <v>0</v>
      </c>
      <c r="G240" s="26" t="s">
        <v>5097</v>
      </c>
      <c r="H240" s="26" t="s">
        <v>1870</v>
      </c>
      <c r="I240" s="26" t="s">
        <v>427</v>
      </c>
      <c r="J240" s="26" t="b">
        <v>1</v>
      </c>
      <c r="K240" s="26" t="str">
        <f>ISNUMBER(_xlfn.XMATCH(tbldeptemp[[#This Row],[DependencyID]],tblTargets[TargetID]))</f>
        <v>#ERROR!</v>
      </c>
      <c r="L240" s="26" t="str">
        <f>IF(tbldeptemp[[#This Row],[ValidTarget]]=FALSE,"BAD TARGET",IF(tbldeptemp[[#This Row],[ValidDependency]]=FALSE,"BAD DEPENDENCY",""))</f>
        <v>#ERROR!</v>
      </c>
    </row>
    <row r="241" ht="14.25" customHeight="1">
      <c r="A241" s="26" t="s">
        <v>1705</v>
      </c>
      <c r="B241" s="26" t="s">
        <v>5473</v>
      </c>
      <c r="C241" s="26" t="s">
        <v>1872</v>
      </c>
      <c r="D241" s="26" t="s">
        <v>4304</v>
      </c>
      <c r="E241" s="26" t="s">
        <v>4304</v>
      </c>
      <c r="F241" s="26" t="b">
        <v>0</v>
      </c>
      <c r="G241" s="26" t="s">
        <v>5097</v>
      </c>
      <c r="H241" s="26" t="s">
        <v>1872</v>
      </c>
      <c r="I241" s="26" t="s">
        <v>427</v>
      </c>
      <c r="J241" s="26" t="b">
        <v>1</v>
      </c>
      <c r="K241" s="26" t="str">
        <f>ISNUMBER(_xlfn.XMATCH(tbldeptemp[[#This Row],[DependencyID]],tblTargets[TargetID]))</f>
        <v>#ERROR!</v>
      </c>
      <c r="L241" s="26" t="str">
        <f>IF(tbldeptemp[[#This Row],[ValidTarget]]=FALSE,"BAD TARGET",IF(tbldeptemp[[#This Row],[ValidDependency]]=FALSE,"BAD DEPENDENCY",""))</f>
        <v>#ERROR!</v>
      </c>
    </row>
    <row r="242" ht="14.25" customHeight="1">
      <c r="A242" s="26" t="s">
        <v>1705</v>
      </c>
      <c r="B242" s="26" t="s">
        <v>5475</v>
      </c>
      <c r="C242" s="26" t="s">
        <v>1877</v>
      </c>
      <c r="D242" s="26" t="s">
        <v>4304</v>
      </c>
      <c r="E242" s="26" t="s">
        <v>4304</v>
      </c>
      <c r="F242" s="26" t="b">
        <v>0</v>
      </c>
      <c r="G242" s="26" t="s">
        <v>5097</v>
      </c>
      <c r="H242" s="26" t="s">
        <v>1877</v>
      </c>
      <c r="I242" s="26" t="s">
        <v>427</v>
      </c>
      <c r="J242" s="26" t="b">
        <v>1</v>
      </c>
      <c r="K242" s="26" t="str">
        <f>ISNUMBER(_xlfn.XMATCH(tbldeptemp[[#This Row],[DependencyID]],tblTargets[TargetID]))</f>
        <v>#ERROR!</v>
      </c>
      <c r="L242" s="26" t="str">
        <f>IF(tbldeptemp[[#This Row],[ValidTarget]]=FALSE,"BAD TARGET",IF(tbldeptemp[[#This Row],[ValidDependency]]=FALSE,"BAD DEPENDENCY",""))</f>
        <v>#ERROR!</v>
      </c>
    </row>
    <row r="243" ht="14.25" customHeight="1">
      <c r="A243" s="26" t="s">
        <v>626</v>
      </c>
      <c r="B243" s="26" t="s">
        <v>5487</v>
      </c>
      <c r="C243" s="26" t="s">
        <v>886</v>
      </c>
      <c r="E243" s="26" t="e">
        <v>#N/A</v>
      </c>
      <c r="H243" s="26" t="s">
        <v>886</v>
      </c>
      <c r="I243" s="26" t="s">
        <v>429</v>
      </c>
      <c r="J243" s="26" t="b">
        <v>1</v>
      </c>
      <c r="K243" s="26" t="str">
        <f>ISNUMBER(_xlfn.XMATCH(tbldeptemp[[#This Row],[DependencyID]],tblTargets[TargetID]))</f>
        <v>#ERROR!</v>
      </c>
      <c r="L243" s="26" t="str">
        <f>IF(tbldeptemp[[#This Row],[ValidTarget]]=FALSE,"BAD TARGET",IF(tbldeptemp[[#This Row],[ValidDependency]]=FALSE,"BAD DEPENDENCY",""))</f>
        <v>#ERROR!</v>
      </c>
    </row>
    <row r="244" ht="14.25" customHeight="1">
      <c r="A244" s="26" t="s">
        <v>626</v>
      </c>
      <c r="B244" s="26" t="s">
        <v>5478</v>
      </c>
      <c r="C244" s="26" t="s">
        <v>433</v>
      </c>
      <c r="D244" s="26" t="s">
        <v>5488</v>
      </c>
      <c r="E244" s="26" t="s">
        <v>5489</v>
      </c>
      <c r="F244" s="26" t="b">
        <v>0</v>
      </c>
      <c r="G244" s="26" t="s">
        <v>5100</v>
      </c>
      <c r="H244" s="26" t="s">
        <v>433</v>
      </c>
      <c r="I244" s="26" t="s">
        <v>431</v>
      </c>
      <c r="J244" s="26" t="b">
        <v>1</v>
      </c>
      <c r="K244" s="26" t="str">
        <f>ISNUMBER(_xlfn.XMATCH(tbldeptemp[[#This Row],[DependencyID]],tblTargets[TargetID]))</f>
        <v>#ERROR!</v>
      </c>
      <c r="L244" s="26" t="str">
        <f>IF(tbldeptemp[[#This Row],[ValidTarget]]=FALSE,"BAD TARGET",IF(tbldeptemp[[#This Row],[ValidDependency]]=FALSE,"BAD DEPENDENCY",""))</f>
        <v>#ERROR!</v>
      </c>
    </row>
    <row r="245" ht="14.25" customHeight="1">
      <c r="A245" s="26" t="s">
        <v>626</v>
      </c>
      <c r="B245" s="26" t="s">
        <v>5480</v>
      </c>
      <c r="C245" s="26" t="s">
        <v>438</v>
      </c>
      <c r="D245" s="26" t="s">
        <v>4320</v>
      </c>
      <c r="E245" s="26" t="s">
        <v>5490</v>
      </c>
      <c r="F245" s="26" t="b">
        <v>0</v>
      </c>
      <c r="G245" s="26" t="s">
        <v>5100</v>
      </c>
      <c r="H245" s="26" t="s">
        <v>438</v>
      </c>
      <c r="I245" s="26" t="s">
        <v>435</v>
      </c>
      <c r="J245" s="26" t="b">
        <v>1</v>
      </c>
      <c r="K245" s="26" t="str">
        <f>ISNUMBER(_xlfn.XMATCH(tbldeptemp[[#This Row],[DependencyID]],tblTargets[TargetID]))</f>
        <v>#ERROR!</v>
      </c>
      <c r="L245" s="26" t="str">
        <f>IF(tbldeptemp[[#This Row],[ValidTarget]]=FALSE,"BAD TARGET",IF(tbldeptemp[[#This Row],[ValidDependency]]=FALSE,"BAD DEPENDENCY",""))</f>
        <v>#ERROR!</v>
      </c>
    </row>
    <row r="246" ht="14.25" customHeight="1">
      <c r="A246" s="26" t="s">
        <v>1705</v>
      </c>
      <c r="B246" s="26" t="s">
        <v>5491</v>
      </c>
      <c r="C246" s="26" t="s">
        <v>1881</v>
      </c>
      <c r="D246" s="26" t="s">
        <v>5492</v>
      </c>
      <c r="E246" s="26" t="s">
        <v>5493</v>
      </c>
      <c r="F246" s="26" t="b">
        <v>1</v>
      </c>
      <c r="G246" s="26" t="s">
        <v>5100</v>
      </c>
      <c r="H246" s="26" t="s">
        <v>1881</v>
      </c>
      <c r="I246" s="26" t="s">
        <v>900</v>
      </c>
      <c r="J246" s="26" t="b">
        <v>1</v>
      </c>
      <c r="K246" s="26" t="str">
        <f>ISNUMBER(_xlfn.XMATCH(tbldeptemp[[#This Row],[DependencyID]],tblTargets[TargetID]))</f>
        <v>#ERROR!</v>
      </c>
      <c r="L246" s="26" t="str">
        <f>IF(tbldeptemp[[#This Row],[ValidTarget]]=FALSE,"BAD TARGET",IF(tbldeptemp[[#This Row],[ValidDependency]]=FALSE,"BAD DEPENDENCY",""))</f>
        <v>#ERROR!</v>
      </c>
    </row>
    <row r="247" ht="14.25" customHeight="1">
      <c r="A247" s="26" t="s">
        <v>1705</v>
      </c>
      <c r="B247" s="26" t="s">
        <v>5494</v>
      </c>
      <c r="C247" s="26" t="s">
        <v>1883</v>
      </c>
      <c r="D247" s="26" t="s">
        <v>5492</v>
      </c>
      <c r="E247" s="26" t="s">
        <v>5493</v>
      </c>
      <c r="F247" s="26" t="b">
        <v>1</v>
      </c>
      <c r="G247" s="26" t="s">
        <v>5097</v>
      </c>
      <c r="H247" s="26" t="s">
        <v>1883</v>
      </c>
      <c r="I247" s="26" t="s">
        <v>900</v>
      </c>
      <c r="J247" s="26" t="b">
        <v>1</v>
      </c>
      <c r="K247" s="26" t="str">
        <f>ISNUMBER(_xlfn.XMATCH(tbldeptemp[[#This Row],[DependencyID]],tblTargets[TargetID]))</f>
        <v>#ERROR!</v>
      </c>
      <c r="L247" s="26" t="str">
        <f>IF(tbldeptemp[[#This Row],[ValidTarget]]=FALSE,"BAD TARGET",IF(tbldeptemp[[#This Row],[ValidDependency]]=FALSE,"BAD DEPENDENCY",""))</f>
        <v>#ERROR!</v>
      </c>
    </row>
    <row r="248" ht="14.25" customHeight="1">
      <c r="A248" s="26" t="s">
        <v>1705</v>
      </c>
      <c r="B248" s="26" t="s">
        <v>5495</v>
      </c>
      <c r="C248" s="26" t="s">
        <v>1885</v>
      </c>
      <c r="D248" s="26" t="s">
        <v>5492</v>
      </c>
      <c r="E248" s="26" t="s">
        <v>5493</v>
      </c>
      <c r="F248" s="26" t="b">
        <v>1</v>
      </c>
      <c r="G248" s="26" t="s">
        <v>5097</v>
      </c>
      <c r="H248" s="26" t="s">
        <v>1885</v>
      </c>
      <c r="I248" s="26" t="s">
        <v>900</v>
      </c>
      <c r="J248" s="26" t="b">
        <v>1</v>
      </c>
      <c r="K248" s="26" t="str">
        <f>ISNUMBER(_xlfn.XMATCH(tbldeptemp[[#This Row],[DependencyID]],tblTargets[TargetID]))</f>
        <v>#ERROR!</v>
      </c>
      <c r="L248" s="26" t="str">
        <f>IF(tbldeptemp[[#This Row],[ValidTarget]]=FALSE,"BAD TARGET",IF(tbldeptemp[[#This Row],[ValidDependency]]=FALSE,"BAD DEPENDENCY",""))</f>
        <v>#ERROR!</v>
      </c>
    </row>
    <row r="249" ht="14.25" customHeight="1">
      <c r="A249" s="26" t="s">
        <v>626</v>
      </c>
      <c r="B249" s="26" t="s">
        <v>5496</v>
      </c>
      <c r="C249" s="26" t="s">
        <v>383</v>
      </c>
      <c r="D249" s="26" t="s">
        <v>4246</v>
      </c>
      <c r="E249" s="26" t="s">
        <v>5497</v>
      </c>
      <c r="F249" s="26" t="b">
        <v>1</v>
      </c>
      <c r="G249" s="26" t="s">
        <v>5100</v>
      </c>
      <c r="H249" s="26" t="s">
        <v>383</v>
      </c>
      <c r="I249" s="26" t="s">
        <v>440</v>
      </c>
      <c r="J249" s="26" t="b">
        <v>1</v>
      </c>
      <c r="K249" s="26" t="str">
        <f>ISNUMBER(_xlfn.XMATCH(tbldeptemp[[#This Row],[DependencyID]],tblTargets[TargetID]))</f>
        <v>#ERROR!</v>
      </c>
      <c r="L249" s="26" t="str">
        <f>IF(tbldeptemp[[#This Row],[ValidTarget]]=FALSE,"BAD TARGET",IF(tbldeptemp[[#This Row],[ValidDependency]]=FALSE,"BAD DEPENDENCY",""))</f>
        <v>#ERROR!</v>
      </c>
    </row>
    <row r="250" ht="14.25" customHeight="1">
      <c r="A250" s="26" t="s">
        <v>626</v>
      </c>
      <c r="B250" s="26" t="s">
        <v>5302</v>
      </c>
      <c r="C250" s="26" t="s">
        <v>442</v>
      </c>
      <c r="D250" s="26" t="s">
        <v>5497</v>
      </c>
      <c r="E250" s="26" t="s">
        <v>5497</v>
      </c>
      <c r="F250" s="26" t="b">
        <v>1</v>
      </c>
      <c r="G250" s="26" t="s">
        <v>5097</v>
      </c>
      <c r="H250" s="26" t="s">
        <v>442</v>
      </c>
      <c r="I250" s="26" t="s">
        <v>440</v>
      </c>
      <c r="J250" s="26" t="b">
        <v>1</v>
      </c>
      <c r="K250" s="26" t="str">
        <f>ISNUMBER(_xlfn.XMATCH(tbldeptemp[[#This Row],[DependencyID]],tblTargets[TargetID]))</f>
        <v>#ERROR!</v>
      </c>
      <c r="L250" s="26" t="str">
        <f>IF(tbldeptemp[[#This Row],[ValidTarget]]=FALSE,"BAD TARGET",IF(tbldeptemp[[#This Row],[ValidDependency]]=FALSE,"BAD DEPENDENCY",""))</f>
        <v>#ERROR!</v>
      </c>
    </row>
    <row r="251" ht="14.25" customHeight="1">
      <c r="A251" s="26" t="s">
        <v>626</v>
      </c>
      <c r="B251" s="26" t="s">
        <v>5313</v>
      </c>
      <c r="C251" s="26" t="s">
        <v>445</v>
      </c>
      <c r="D251" s="26" t="s">
        <v>5498</v>
      </c>
      <c r="E251" s="26" t="s">
        <v>5498</v>
      </c>
      <c r="F251" s="26" t="b">
        <v>1</v>
      </c>
      <c r="G251" s="26" t="s">
        <v>5097</v>
      </c>
      <c r="H251" s="26" t="s">
        <v>445</v>
      </c>
      <c r="I251" s="26" t="s">
        <v>442</v>
      </c>
      <c r="J251" s="26" t="b">
        <v>1</v>
      </c>
      <c r="K251" s="26" t="str">
        <f>ISNUMBER(_xlfn.XMATCH(tbldeptemp[[#This Row],[DependencyID]],tblTargets[TargetID]))</f>
        <v>#ERROR!</v>
      </c>
      <c r="L251" s="26" t="str">
        <f>IF(tbldeptemp[[#This Row],[ValidTarget]]=FALSE,"BAD TARGET",IF(tbldeptemp[[#This Row],[ValidDependency]]=FALSE,"BAD DEPENDENCY",""))</f>
        <v>#ERROR!</v>
      </c>
    </row>
    <row r="252" ht="14.25" customHeight="1">
      <c r="A252" s="26" t="s">
        <v>626</v>
      </c>
      <c r="B252" s="26" t="s">
        <v>5316</v>
      </c>
      <c r="C252" s="26" t="s">
        <v>447</v>
      </c>
      <c r="D252" s="26" t="s">
        <v>5501</v>
      </c>
      <c r="E252" s="26" t="s">
        <v>5501</v>
      </c>
      <c r="F252" s="26" t="b">
        <v>1</v>
      </c>
      <c r="G252" s="26" t="s">
        <v>5097</v>
      </c>
      <c r="H252" s="26" t="s">
        <v>447</v>
      </c>
      <c r="I252" s="26" t="s">
        <v>445</v>
      </c>
      <c r="J252" s="26" t="b">
        <v>1</v>
      </c>
      <c r="K252" s="26" t="str">
        <f>ISNUMBER(_xlfn.XMATCH(tbldeptemp[[#This Row],[DependencyID]],tblTargets[TargetID]))</f>
        <v>#ERROR!</v>
      </c>
      <c r="L252" s="26" t="str">
        <f>IF(tbldeptemp[[#This Row],[ValidTarget]]=FALSE,"BAD TARGET",IF(tbldeptemp[[#This Row],[ValidDependency]]=FALSE,"BAD DEPENDENCY",""))</f>
        <v>#ERROR!</v>
      </c>
    </row>
    <row r="253" ht="14.25" customHeight="1">
      <c r="A253" s="26" t="s">
        <v>626</v>
      </c>
      <c r="B253" s="26" t="s">
        <v>5319</v>
      </c>
      <c r="C253" s="26" t="s">
        <v>449</v>
      </c>
      <c r="D253" s="26" t="s">
        <v>5505</v>
      </c>
      <c r="E253" s="26" t="s">
        <v>5505</v>
      </c>
      <c r="F253" s="26" t="b">
        <v>1</v>
      </c>
      <c r="G253" s="26" t="s">
        <v>5097</v>
      </c>
      <c r="H253" s="26" t="s">
        <v>449</v>
      </c>
      <c r="I253" s="26" t="s">
        <v>447</v>
      </c>
      <c r="J253" s="26" t="b">
        <v>1</v>
      </c>
      <c r="K253" s="26" t="str">
        <f>ISNUMBER(_xlfn.XMATCH(tbldeptemp[[#This Row],[DependencyID]],tblTargets[TargetID]))</f>
        <v>#ERROR!</v>
      </c>
      <c r="L253" s="26" t="str">
        <f>IF(tbldeptemp[[#This Row],[ValidTarget]]=FALSE,"BAD TARGET",IF(tbldeptemp[[#This Row],[ValidDependency]]=FALSE,"BAD DEPENDENCY",""))</f>
        <v>#ERROR!</v>
      </c>
    </row>
    <row r="254" ht="14.25" customHeight="1">
      <c r="A254" s="26" t="s">
        <v>626</v>
      </c>
      <c r="B254" s="26" t="s">
        <v>5506</v>
      </c>
      <c r="C254" s="26" t="s">
        <v>451</v>
      </c>
      <c r="D254" s="26" t="s">
        <v>4336</v>
      </c>
      <c r="E254" s="26" t="s">
        <v>4336</v>
      </c>
      <c r="F254" s="26" t="b">
        <v>1</v>
      </c>
      <c r="G254" s="26" t="s">
        <v>5100</v>
      </c>
      <c r="H254" s="26" t="s">
        <v>451</v>
      </c>
      <c r="I254" s="26" t="s">
        <v>449</v>
      </c>
      <c r="J254" s="26" t="b">
        <v>1</v>
      </c>
      <c r="K254" s="26" t="str">
        <f>ISNUMBER(_xlfn.XMATCH(tbldeptemp[[#This Row],[DependencyID]],tblTargets[TargetID]))</f>
        <v>#ERROR!</v>
      </c>
      <c r="L254" s="26" t="str">
        <f>IF(tbldeptemp[[#This Row],[ValidTarget]]=FALSE,"BAD TARGET",IF(tbldeptemp[[#This Row],[ValidDependency]]=FALSE,"BAD DEPENDENCY",""))</f>
        <v>#ERROR!</v>
      </c>
    </row>
    <row r="255" ht="14.25" customHeight="1">
      <c r="A255" s="26" t="s">
        <v>626</v>
      </c>
      <c r="B255" s="26" t="s">
        <v>5507</v>
      </c>
      <c r="C255" s="26" t="s">
        <v>453</v>
      </c>
      <c r="D255" s="26" t="s">
        <v>4338</v>
      </c>
      <c r="E255" s="26" t="s">
        <v>4338</v>
      </c>
      <c r="F255" s="26" t="b">
        <v>1</v>
      </c>
      <c r="G255" s="26" t="s">
        <v>5100</v>
      </c>
      <c r="H255" s="26" t="s">
        <v>453</v>
      </c>
      <c r="I255" s="26" t="s">
        <v>451</v>
      </c>
      <c r="J255" s="26" t="b">
        <v>1</v>
      </c>
      <c r="K255" s="26" t="str">
        <f>ISNUMBER(_xlfn.XMATCH(tbldeptemp[[#This Row],[DependencyID]],tblTargets[TargetID]))</f>
        <v>#ERROR!</v>
      </c>
      <c r="L255" s="26" t="str">
        <f>IF(tbldeptemp[[#This Row],[ValidTarget]]=FALSE,"BAD TARGET",IF(tbldeptemp[[#This Row],[ValidDependency]]=FALSE,"BAD DEPENDENCY",""))</f>
        <v>#ERROR!</v>
      </c>
    </row>
    <row r="256" ht="14.25" customHeight="1">
      <c r="A256" s="26" t="s">
        <v>626</v>
      </c>
      <c r="B256" s="26" t="s">
        <v>5508</v>
      </c>
      <c r="C256" s="26" t="s">
        <v>900</v>
      </c>
      <c r="E256" s="26" t="e">
        <v>#N/A</v>
      </c>
      <c r="H256" s="26" t="s">
        <v>900</v>
      </c>
      <c r="I256" s="26" t="s">
        <v>453</v>
      </c>
      <c r="J256" s="26" t="b">
        <v>1</v>
      </c>
      <c r="K256" s="26" t="str">
        <f>ISNUMBER(_xlfn.XMATCH(tbldeptemp[[#This Row],[DependencyID]],tblTargets[TargetID]))</f>
        <v>#ERROR!</v>
      </c>
      <c r="L256" s="26" t="str">
        <f>IF(tbldeptemp[[#This Row],[ValidTarget]]=FALSE,"BAD TARGET",IF(tbldeptemp[[#This Row],[ValidDependency]]=FALSE,"BAD DEPENDENCY",""))</f>
        <v>#ERROR!</v>
      </c>
    </row>
    <row r="257" ht="14.25" customHeight="1">
      <c r="A257" s="26" t="s">
        <v>626</v>
      </c>
      <c r="B257" s="26" t="s">
        <v>5509</v>
      </c>
      <c r="C257" s="26" t="s">
        <v>457</v>
      </c>
      <c r="D257" s="26" t="s">
        <v>4343</v>
      </c>
      <c r="E257" s="26" t="s">
        <v>4343</v>
      </c>
      <c r="F257" s="26" t="b">
        <v>1</v>
      </c>
      <c r="G257" s="26" t="s">
        <v>5100</v>
      </c>
      <c r="H257" s="26" t="s">
        <v>457</v>
      </c>
      <c r="I257" s="26" t="s">
        <v>455</v>
      </c>
      <c r="J257" s="26" t="b">
        <v>1</v>
      </c>
      <c r="K257" s="26" t="str">
        <f>ISNUMBER(_xlfn.XMATCH(tbldeptemp[[#This Row],[DependencyID]],tblTargets[TargetID]))</f>
        <v>#ERROR!</v>
      </c>
      <c r="L257" s="26" t="str">
        <f>IF(tbldeptemp[[#This Row],[ValidTarget]]=FALSE,"BAD TARGET",IF(tbldeptemp[[#This Row],[ValidDependency]]=FALSE,"BAD DEPENDENCY",""))</f>
        <v>#ERROR!</v>
      </c>
    </row>
    <row r="258" ht="14.25" customHeight="1">
      <c r="A258" s="26" t="s">
        <v>626</v>
      </c>
      <c r="B258" s="26" t="s">
        <v>5510</v>
      </c>
      <c r="C258" s="26" t="s">
        <v>915</v>
      </c>
      <c r="E258" s="26" t="e">
        <v>#N/A</v>
      </c>
      <c r="H258" s="26" t="s">
        <v>915</v>
      </c>
      <c r="I258" s="26" t="s">
        <v>457</v>
      </c>
      <c r="J258" s="26" t="b">
        <v>1</v>
      </c>
      <c r="K258" s="26" t="str">
        <f>ISNUMBER(_xlfn.XMATCH(tbldeptemp[[#This Row],[DependencyID]],tblTargets[TargetID]))</f>
        <v>#ERROR!</v>
      </c>
      <c r="L258" s="26" t="str">
        <f>IF(tbldeptemp[[#This Row],[ValidTarget]]=FALSE,"BAD TARGET",IF(tbldeptemp[[#This Row],[ValidDependency]]=FALSE,"BAD DEPENDENCY",""))</f>
        <v>#ERROR!</v>
      </c>
    </row>
    <row r="259" ht="14.25" customHeight="1">
      <c r="A259" s="26" t="s">
        <v>1705</v>
      </c>
      <c r="B259" s="26" t="s">
        <v>5107</v>
      </c>
      <c r="C259" s="26" t="s">
        <v>5108</v>
      </c>
      <c r="D259" s="26" t="s">
        <v>5511</v>
      </c>
      <c r="E259" s="26" t="s">
        <v>5512</v>
      </c>
      <c r="F259" s="26" t="b">
        <v>1</v>
      </c>
      <c r="G259" s="26" t="s">
        <v>5097</v>
      </c>
      <c r="H259" s="26" t="s">
        <v>1712</v>
      </c>
      <c r="I259" s="26" t="s">
        <v>921</v>
      </c>
      <c r="J259" s="26" t="b">
        <v>1</v>
      </c>
      <c r="K259" s="26" t="str">
        <f>ISNUMBER(_xlfn.XMATCH(tbldeptemp[[#This Row],[DependencyID]],tblTargets[TargetID]))</f>
        <v>#ERROR!</v>
      </c>
      <c r="L259" s="26" t="str">
        <f>IF(tbldeptemp[[#This Row],[ValidTarget]]=FALSE,"BAD TARGET",IF(tbldeptemp[[#This Row],[ValidDependency]]=FALSE,"BAD DEPENDENCY",""))</f>
        <v>#ERROR!</v>
      </c>
    </row>
    <row r="260" ht="14.25" customHeight="1">
      <c r="A260" s="26" t="s">
        <v>1705</v>
      </c>
      <c r="B260" s="26" t="s">
        <v>5112</v>
      </c>
      <c r="C260" s="26" t="s">
        <v>5113</v>
      </c>
      <c r="D260" s="26" t="s">
        <v>5511</v>
      </c>
      <c r="E260" s="26" t="s">
        <v>5512</v>
      </c>
      <c r="F260" s="26" t="b">
        <v>1</v>
      </c>
      <c r="G260" s="26" t="s">
        <v>5097</v>
      </c>
      <c r="H260" s="26" t="s">
        <v>1715</v>
      </c>
      <c r="I260" s="26" t="s">
        <v>921</v>
      </c>
      <c r="J260" s="26" t="b">
        <v>1</v>
      </c>
      <c r="K260" s="26" t="str">
        <f>ISNUMBER(_xlfn.XMATCH(tbldeptemp[[#This Row],[DependencyID]],tblTargets[TargetID]))</f>
        <v>#ERROR!</v>
      </c>
      <c r="L260" s="26" t="str">
        <f>IF(tbldeptemp[[#This Row],[ValidTarget]]=FALSE,"BAD TARGET",IF(tbldeptemp[[#This Row],[ValidDependency]]=FALSE,"BAD DEPENDENCY",""))</f>
        <v>#ERROR!</v>
      </c>
    </row>
    <row r="261" ht="14.25" customHeight="1">
      <c r="A261" s="26" t="s">
        <v>1705</v>
      </c>
      <c r="B261" s="26" t="s">
        <v>5513</v>
      </c>
      <c r="C261" s="26" t="s">
        <v>1895</v>
      </c>
      <c r="D261" s="26" t="s">
        <v>5511</v>
      </c>
      <c r="E261" s="26" t="s">
        <v>5512</v>
      </c>
      <c r="F261" s="26" t="b">
        <v>1</v>
      </c>
      <c r="G261" s="26" t="s">
        <v>5097</v>
      </c>
      <c r="H261" s="26" t="s">
        <v>1895</v>
      </c>
      <c r="I261" s="26" t="s">
        <v>921</v>
      </c>
      <c r="J261" s="26" t="b">
        <v>1</v>
      </c>
      <c r="K261" s="26" t="str">
        <f>ISNUMBER(_xlfn.XMATCH(tbldeptemp[[#This Row],[DependencyID]],tblTargets[TargetID]))</f>
        <v>#ERROR!</v>
      </c>
      <c r="L261" s="26" t="str">
        <f>IF(tbldeptemp[[#This Row],[ValidTarget]]=FALSE,"BAD TARGET",IF(tbldeptemp[[#This Row],[ValidDependency]]=FALSE,"BAD DEPENDENCY",""))</f>
        <v>#ERROR!</v>
      </c>
    </row>
    <row r="262" ht="14.25" customHeight="1">
      <c r="A262" s="26" t="s">
        <v>1705</v>
      </c>
      <c r="B262" s="26" t="s">
        <v>5514</v>
      </c>
      <c r="C262" s="26" t="s">
        <v>1898</v>
      </c>
      <c r="D262" s="26" t="s">
        <v>5511</v>
      </c>
      <c r="E262" s="26" t="s">
        <v>5512</v>
      </c>
      <c r="F262" s="26" t="b">
        <v>1</v>
      </c>
      <c r="G262" s="26" t="s">
        <v>5097</v>
      </c>
      <c r="H262" s="26" t="s">
        <v>1898</v>
      </c>
      <c r="I262" s="26" t="s">
        <v>921</v>
      </c>
      <c r="J262" s="26" t="b">
        <v>1</v>
      </c>
      <c r="K262" s="26" t="str">
        <f>ISNUMBER(_xlfn.XMATCH(tbldeptemp[[#This Row],[DependencyID]],tblTargets[TargetID]))</f>
        <v>#ERROR!</v>
      </c>
      <c r="L262" s="26" t="str">
        <f>IF(tbldeptemp[[#This Row],[ValidTarget]]=FALSE,"BAD TARGET",IF(tbldeptemp[[#This Row],[ValidDependency]]=FALSE,"BAD DEPENDENCY",""))</f>
        <v>#ERROR!</v>
      </c>
    </row>
    <row r="263" ht="14.25" customHeight="1">
      <c r="A263" s="26" t="s">
        <v>1705</v>
      </c>
      <c r="B263" s="26" t="s">
        <v>5515</v>
      </c>
      <c r="C263" s="26" t="s">
        <v>1900</v>
      </c>
      <c r="D263" s="26" t="s">
        <v>5511</v>
      </c>
      <c r="E263" s="26" t="s">
        <v>5512</v>
      </c>
      <c r="F263" s="26" t="b">
        <v>1</v>
      </c>
      <c r="G263" s="26" t="s">
        <v>5100</v>
      </c>
      <c r="H263" s="26" t="s">
        <v>1900</v>
      </c>
      <c r="I263" s="26" t="s">
        <v>921</v>
      </c>
      <c r="J263" s="26" t="b">
        <v>1</v>
      </c>
      <c r="K263" s="26" t="str">
        <f>ISNUMBER(_xlfn.XMATCH(tbldeptemp[[#This Row],[DependencyID]],tblTargets[TargetID]))</f>
        <v>#ERROR!</v>
      </c>
      <c r="L263" s="26" t="str">
        <f>IF(tbldeptemp[[#This Row],[ValidTarget]]=FALSE,"BAD TARGET",IF(tbldeptemp[[#This Row],[ValidDependency]]=FALSE,"BAD DEPENDENCY",""))</f>
        <v>#ERROR!</v>
      </c>
    </row>
    <row r="264" ht="14.25" customHeight="1">
      <c r="A264" s="26" t="s">
        <v>1705</v>
      </c>
      <c r="B264" s="26" t="s">
        <v>5516</v>
      </c>
      <c r="C264" s="26" t="s">
        <v>1902</v>
      </c>
      <c r="D264" s="26" t="s">
        <v>5511</v>
      </c>
      <c r="E264" s="26" t="s">
        <v>5512</v>
      </c>
      <c r="F264" s="26" t="b">
        <v>1</v>
      </c>
      <c r="G264" s="26" t="s">
        <v>5100</v>
      </c>
      <c r="H264" s="26" t="s">
        <v>1902</v>
      </c>
      <c r="I264" s="26" t="s">
        <v>921</v>
      </c>
      <c r="J264" s="26" t="b">
        <v>1</v>
      </c>
      <c r="K264" s="26" t="str">
        <f>ISNUMBER(_xlfn.XMATCH(tbldeptemp[[#This Row],[DependencyID]],tblTargets[TargetID]))</f>
        <v>#ERROR!</v>
      </c>
      <c r="L264" s="26" t="str">
        <f>IF(tbldeptemp[[#This Row],[ValidTarget]]=FALSE,"BAD TARGET",IF(tbldeptemp[[#This Row],[ValidDependency]]=FALSE,"BAD DEPENDENCY",""))</f>
        <v>#ERROR!</v>
      </c>
    </row>
    <row r="265" ht="14.25" customHeight="1">
      <c r="A265" s="26" t="s">
        <v>1705</v>
      </c>
      <c r="B265" s="26" t="s">
        <v>5519</v>
      </c>
      <c r="C265" s="26" t="s">
        <v>1904</v>
      </c>
      <c r="D265" s="26" t="s">
        <v>5511</v>
      </c>
      <c r="E265" s="26" t="s">
        <v>5512</v>
      </c>
      <c r="F265" s="26" t="b">
        <v>1</v>
      </c>
      <c r="G265" s="26" t="s">
        <v>5097</v>
      </c>
      <c r="H265" s="26" t="s">
        <v>1904</v>
      </c>
      <c r="I265" s="26" t="s">
        <v>921</v>
      </c>
      <c r="J265" s="26" t="b">
        <v>1</v>
      </c>
      <c r="K265" s="26" t="str">
        <f>ISNUMBER(_xlfn.XMATCH(tbldeptemp[[#This Row],[DependencyID]],tblTargets[TargetID]))</f>
        <v>#ERROR!</v>
      </c>
      <c r="L265" s="26" t="str">
        <f>IF(tbldeptemp[[#This Row],[ValidTarget]]=FALSE,"BAD TARGET",IF(tbldeptemp[[#This Row],[ValidDependency]]=FALSE,"BAD DEPENDENCY",""))</f>
        <v>#ERROR!</v>
      </c>
    </row>
    <row r="266" ht="14.25" customHeight="1">
      <c r="A266" s="26" t="s">
        <v>1705</v>
      </c>
      <c r="B266" s="26" t="s">
        <v>5521</v>
      </c>
      <c r="C266" s="26" t="s">
        <v>1906</v>
      </c>
      <c r="D266" s="26" t="s">
        <v>5511</v>
      </c>
      <c r="E266" s="26" t="s">
        <v>5512</v>
      </c>
      <c r="F266" s="26" t="b">
        <v>1</v>
      </c>
      <c r="G266" s="26" t="s">
        <v>5097</v>
      </c>
      <c r="H266" s="26" t="s">
        <v>1906</v>
      </c>
      <c r="I266" s="26" t="s">
        <v>921</v>
      </c>
      <c r="J266" s="26" t="b">
        <v>1</v>
      </c>
      <c r="K266" s="26" t="str">
        <f>ISNUMBER(_xlfn.XMATCH(tbldeptemp[[#This Row],[DependencyID]],tblTargets[TargetID]))</f>
        <v>#ERROR!</v>
      </c>
      <c r="L266" s="26" t="str">
        <f>IF(tbldeptemp[[#This Row],[ValidTarget]]=FALSE,"BAD TARGET",IF(tbldeptemp[[#This Row],[ValidDependency]]=FALSE,"BAD DEPENDENCY",""))</f>
        <v>#ERROR!</v>
      </c>
    </row>
    <row r="267" ht="14.25" customHeight="1">
      <c r="A267" s="26" t="s">
        <v>1705</v>
      </c>
      <c r="B267" s="26" t="s">
        <v>5523</v>
      </c>
      <c r="C267" s="26" t="s">
        <v>1909</v>
      </c>
      <c r="D267" s="26" t="s">
        <v>5511</v>
      </c>
      <c r="E267" s="26" t="s">
        <v>5512</v>
      </c>
      <c r="F267" s="26" t="b">
        <v>1</v>
      </c>
      <c r="G267" s="26" t="s">
        <v>5097</v>
      </c>
      <c r="H267" s="26" t="s">
        <v>1909</v>
      </c>
      <c r="I267" s="26" t="s">
        <v>921</v>
      </c>
      <c r="J267" s="26" t="b">
        <v>1</v>
      </c>
      <c r="K267" s="26" t="str">
        <f>ISNUMBER(_xlfn.XMATCH(tbldeptemp[[#This Row],[DependencyID]],tblTargets[TargetID]))</f>
        <v>#ERROR!</v>
      </c>
      <c r="L267" s="26" t="str">
        <f>IF(tbldeptemp[[#This Row],[ValidTarget]]=FALSE,"BAD TARGET",IF(tbldeptemp[[#This Row],[ValidDependency]]=FALSE,"BAD DEPENDENCY",""))</f>
        <v>#ERROR!</v>
      </c>
    </row>
    <row r="268" ht="14.25" customHeight="1">
      <c r="A268" s="26" t="s">
        <v>1705</v>
      </c>
      <c r="B268" s="26" t="s">
        <v>5524</v>
      </c>
      <c r="C268" s="26" t="s">
        <v>1911</v>
      </c>
      <c r="D268" s="26" t="s">
        <v>5511</v>
      </c>
      <c r="E268" s="26" t="s">
        <v>5512</v>
      </c>
      <c r="F268" s="26" t="b">
        <v>1</v>
      </c>
      <c r="G268" s="26" t="s">
        <v>5097</v>
      </c>
      <c r="H268" s="26" t="s">
        <v>1911</v>
      </c>
      <c r="I268" s="26" t="s">
        <v>921</v>
      </c>
      <c r="J268" s="26" t="b">
        <v>1</v>
      </c>
      <c r="K268" s="26" t="str">
        <f>ISNUMBER(_xlfn.XMATCH(tbldeptemp[[#This Row],[DependencyID]],tblTargets[TargetID]))</f>
        <v>#ERROR!</v>
      </c>
      <c r="L268" s="26" t="str">
        <f>IF(tbldeptemp[[#This Row],[ValidTarget]]=FALSE,"BAD TARGET",IF(tbldeptemp[[#This Row],[ValidDependency]]=FALSE,"BAD DEPENDENCY",""))</f>
        <v>#ERROR!</v>
      </c>
    </row>
    <row r="269" ht="14.25" customHeight="1">
      <c r="A269" s="26" t="s">
        <v>1705</v>
      </c>
      <c r="B269" s="26" t="s">
        <v>5525</v>
      </c>
      <c r="C269" s="26" t="s">
        <v>1913</v>
      </c>
      <c r="D269" s="26" t="s">
        <v>5511</v>
      </c>
      <c r="E269" s="26" t="s">
        <v>5512</v>
      </c>
      <c r="F269" s="26" t="b">
        <v>1</v>
      </c>
      <c r="G269" s="26" t="s">
        <v>5097</v>
      </c>
      <c r="H269" s="26" t="s">
        <v>1913</v>
      </c>
      <c r="I269" s="26" t="s">
        <v>921</v>
      </c>
      <c r="J269" s="26" t="b">
        <v>1</v>
      </c>
      <c r="K269" s="26" t="str">
        <f>ISNUMBER(_xlfn.XMATCH(tbldeptemp[[#This Row],[DependencyID]],tblTargets[TargetID]))</f>
        <v>#ERROR!</v>
      </c>
      <c r="L269" s="26" t="str">
        <f>IF(tbldeptemp[[#This Row],[ValidTarget]]=FALSE,"BAD TARGET",IF(tbldeptemp[[#This Row],[ValidDependency]]=FALSE,"BAD DEPENDENCY",""))</f>
        <v>#ERROR!</v>
      </c>
    </row>
    <row r="270" ht="14.25" customHeight="1">
      <c r="A270" s="26" t="s">
        <v>1705</v>
      </c>
      <c r="B270" s="26" t="s">
        <v>5526</v>
      </c>
      <c r="C270" s="26" t="s">
        <v>1915</v>
      </c>
      <c r="D270" s="26" t="s">
        <v>5511</v>
      </c>
      <c r="E270" s="26" t="s">
        <v>5512</v>
      </c>
      <c r="F270" s="26" t="b">
        <v>1</v>
      </c>
      <c r="G270" s="26" t="s">
        <v>5097</v>
      </c>
      <c r="H270" s="26" t="s">
        <v>1915</v>
      </c>
      <c r="I270" s="26" t="s">
        <v>921</v>
      </c>
      <c r="J270" s="26" t="b">
        <v>1</v>
      </c>
      <c r="K270" s="26" t="str">
        <f>ISNUMBER(_xlfn.XMATCH(tbldeptemp[[#This Row],[DependencyID]],tblTargets[TargetID]))</f>
        <v>#ERROR!</v>
      </c>
      <c r="L270" s="26" t="str">
        <f>IF(tbldeptemp[[#This Row],[ValidTarget]]=FALSE,"BAD TARGET",IF(tbldeptemp[[#This Row],[ValidDependency]]=FALSE,"BAD DEPENDENCY",""))</f>
        <v>#ERROR!</v>
      </c>
    </row>
    <row r="271" ht="14.25" customHeight="1">
      <c r="A271" s="26" t="s">
        <v>1705</v>
      </c>
      <c r="B271" s="26" t="s">
        <v>5527</v>
      </c>
      <c r="C271" s="26" t="s">
        <v>1918</v>
      </c>
      <c r="D271" s="26" t="s">
        <v>5511</v>
      </c>
      <c r="E271" s="26" t="s">
        <v>5512</v>
      </c>
      <c r="F271" s="26" t="b">
        <v>1</v>
      </c>
      <c r="G271" s="26" t="s">
        <v>5100</v>
      </c>
      <c r="H271" s="26" t="s">
        <v>1918</v>
      </c>
      <c r="I271" s="26" t="s">
        <v>921</v>
      </c>
      <c r="J271" s="26" t="b">
        <v>1</v>
      </c>
      <c r="K271" s="26" t="str">
        <f>ISNUMBER(_xlfn.XMATCH(tbldeptemp[[#This Row],[DependencyID]],tblTargets[TargetID]))</f>
        <v>#ERROR!</v>
      </c>
      <c r="L271" s="26" t="str">
        <f>IF(tbldeptemp[[#This Row],[ValidTarget]]=FALSE,"BAD TARGET",IF(tbldeptemp[[#This Row],[ValidDependency]]=FALSE,"BAD DEPENDENCY",""))</f>
        <v>#ERROR!</v>
      </c>
    </row>
    <row r="272" ht="14.25" customHeight="1">
      <c r="A272" s="26" t="s">
        <v>1705</v>
      </c>
      <c r="B272" s="26" t="s">
        <v>5528</v>
      </c>
      <c r="C272" s="26" t="s">
        <v>1891</v>
      </c>
      <c r="D272" s="26" t="s">
        <v>5511</v>
      </c>
      <c r="E272" s="26" t="s">
        <v>5512</v>
      </c>
      <c r="F272" s="26" t="b">
        <v>1</v>
      </c>
      <c r="G272" s="26" t="s">
        <v>5100</v>
      </c>
      <c r="H272" s="26" t="s">
        <v>1891</v>
      </c>
      <c r="I272" s="26" t="s">
        <v>921</v>
      </c>
      <c r="J272" s="26" t="b">
        <v>1</v>
      </c>
      <c r="K272" s="26" t="str">
        <f>ISNUMBER(_xlfn.XMATCH(tbldeptemp[[#This Row],[DependencyID]],tblTargets[TargetID]))</f>
        <v>#ERROR!</v>
      </c>
      <c r="L272" s="26" t="str">
        <f>IF(tbldeptemp[[#This Row],[ValidTarget]]=FALSE,"BAD TARGET",IF(tbldeptemp[[#This Row],[ValidDependency]]=FALSE,"BAD DEPENDENCY",""))</f>
        <v>#ERROR!</v>
      </c>
    </row>
    <row r="273" ht="14.25" customHeight="1">
      <c r="A273" s="26" t="s">
        <v>1705</v>
      </c>
      <c r="B273" s="26" t="s">
        <v>5529</v>
      </c>
      <c r="C273" s="26" t="s">
        <v>1920</v>
      </c>
      <c r="D273" s="26" t="s">
        <v>5511</v>
      </c>
      <c r="E273" s="26" t="s">
        <v>5512</v>
      </c>
      <c r="F273" s="26" t="b">
        <v>1</v>
      </c>
      <c r="G273" s="26" t="s">
        <v>5097</v>
      </c>
      <c r="H273" s="26" t="s">
        <v>1920</v>
      </c>
      <c r="I273" s="26" t="s">
        <v>921</v>
      </c>
      <c r="J273" s="26" t="b">
        <v>1</v>
      </c>
      <c r="K273" s="26" t="str">
        <f>ISNUMBER(_xlfn.XMATCH(tbldeptemp[[#This Row],[DependencyID]],tblTargets[TargetID]))</f>
        <v>#ERROR!</v>
      </c>
      <c r="L273" s="26" t="str">
        <f>IF(tbldeptemp[[#This Row],[ValidTarget]]=FALSE,"BAD TARGET",IF(tbldeptemp[[#This Row],[ValidDependency]]=FALSE,"BAD DEPENDENCY",""))</f>
        <v>#ERROR!</v>
      </c>
    </row>
    <row r="274" ht="14.25" customHeight="1">
      <c r="A274" s="26" t="s">
        <v>626</v>
      </c>
      <c r="B274" s="26" t="s">
        <v>5530</v>
      </c>
      <c r="C274" s="26" t="s">
        <v>463</v>
      </c>
      <c r="D274" s="26" t="s">
        <v>4347</v>
      </c>
      <c r="E274" s="26" t="s">
        <v>4347</v>
      </c>
      <c r="F274" s="26" t="b">
        <v>1</v>
      </c>
      <c r="G274" s="26" t="s">
        <v>5100</v>
      </c>
      <c r="H274" s="26" t="s">
        <v>463</v>
      </c>
      <c r="I274" s="26" t="s">
        <v>460</v>
      </c>
      <c r="J274" s="26" t="b">
        <v>1</v>
      </c>
      <c r="K274" s="26" t="str">
        <f>ISNUMBER(_xlfn.XMATCH(tbldeptemp[[#This Row],[DependencyID]],tblTargets[TargetID]))</f>
        <v>#ERROR!</v>
      </c>
      <c r="L274" s="26" t="str">
        <f>IF(tbldeptemp[[#This Row],[ValidTarget]]=FALSE,"BAD TARGET",IF(tbldeptemp[[#This Row],[ValidDependency]]=FALSE,"BAD DEPENDENCY",""))</f>
        <v>#ERROR!</v>
      </c>
    </row>
    <row r="275" ht="14.25" customHeight="1">
      <c r="A275" s="26" t="s">
        <v>626</v>
      </c>
      <c r="B275" s="26" t="s">
        <v>5531</v>
      </c>
      <c r="C275" s="26" t="s">
        <v>473</v>
      </c>
      <c r="D275" s="26" t="s">
        <v>4349</v>
      </c>
      <c r="E275" s="26" t="s">
        <v>4349</v>
      </c>
      <c r="F275" s="26" t="b">
        <v>1</v>
      </c>
      <c r="G275" s="26" t="s">
        <v>5100</v>
      </c>
      <c r="H275" s="26" t="s">
        <v>473</v>
      </c>
      <c r="I275" s="26" t="s">
        <v>463</v>
      </c>
      <c r="J275" s="26" t="b">
        <v>1</v>
      </c>
      <c r="K275" s="26" t="str">
        <f>ISNUMBER(_xlfn.XMATCH(tbldeptemp[[#This Row],[DependencyID]],tblTargets[TargetID]))</f>
        <v>#ERROR!</v>
      </c>
      <c r="L275" s="26" t="str">
        <f>IF(tbldeptemp[[#This Row],[ValidTarget]]=FALSE,"BAD TARGET",IF(tbldeptemp[[#This Row],[ValidDependency]]=FALSE,"BAD DEPENDENCY",""))</f>
        <v>#ERROR!</v>
      </c>
    </row>
    <row r="276" ht="14.25" customHeight="1">
      <c r="A276" s="26" t="s">
        <v>626</v>
      </c>
      <c r="B276" s="26" t="s">
        <v>5532</v>
      </c>
      <c r="C276" s="26" t="s">
        <v>475</v>
      </c>
      <c r="D276" s="26" t="s">
        <v>4351</v>
      </c>
      <c r="E276" s="26" t="s">
        <v>4351</v>
      </c>
      <c r="F276" s="26" t="b">
        <v>1</v>
      </c>
      <c r="G276" s="26" t="s">
        <v>5100</v>
      </c>
      <c r="H276" s="26" t="s">
        <v>475</v>
      </c>
      <c r="I276" s="26" t="s">
        <v>473</v>
      </c>
      <c r="J276" s="26" t="b">
        <v>1</v>
      </c>
      <c r="K276" s="26" t="str">
        <f>ISNUMBER(_xlfn.XMATCH(tbldeptemp[[#This Row],[DependencyID]],tblTargets[TargetID]))</f>
        <v>#ERROR!</v>
      </c>
      <c r="L276" s="26" t="str">
        <f>IF(tbldeptemp[[#This Row],[ValidTarget]]=FALSE,"BAD TARGET",IF(tbldeptemp[[#This Row],[ValidDependency]]=FALSE,"BAD DEPENDENCY",""))</f>
        <v>#ERROR!</v>
      </c>
    </row>
    <row r="277" ht="14.25" customHeight="1">
      <c r="A277" s="26" t="s">
        <v>626</v>
      </c>
      <c r="B277" s="26" t="s">
        <v>5533</v>
      </c>
      <c r="C277" s="26" t="s">
        <v>478</v>
      </c>
      <c r="D277" s="26" t="s">
        <v>4353</v>
      </c>
      <c r="E277" s="26" t="s">
        <v>4353</v>
      </c>
      <c r="F277" s="26" t="b">
        <v>1</v>
      </c>
      <c r="G277" s="26" t="s">
        <v>5100</v>
      </c>
      <c r="H277" s="26" t="s">
        <v>478</v>
      </c>
      <c r="I277" s="26" t="s">
        <v>475</v>
      </c>
      <c r="J277" s="26" t="b">
        <v>1</v>
      </c>
      <c r="K277" s="26" t="str">
        <f>ISNUMBER(_xlfn.XMATCH(tbldeptemp[[#This Row],[DependencyID]],tblTargets[TargetID]))</f>
        <v>#ERROR!</v>
      </c>
      <c r="L277" s="26" t="str">
        <f>IF(tbldeptemp[[#This Row],[ValidTarget]]=FALSE,"BAD TARGET",IF(tbldeptemp[[#This Row],[ValidDependency]]=FALSE,"BAD DEPENDENCY",""))</f>
        <v>#ERROR!</v>
      </c>
    </row>
    <row r="278" ht="14.25" customHeight="1">
      <c r="A278" s="26" t="s">
        <v>1117</v>
      </c>
      <c r="B278" s="26" t="s">
        <v>4579</v>
      </c>
      <c r="C278" s="26" t="s">
        <v>838</v>
      </c>
      <c r="D278" s="26" t="s">
        <v>5534</v>
      </c>
      <c r="E278" s="26" t="s">
        <v>5535</v>
      </c>
      <c r="F278" s="26" t="b">
        <v>1</v>
      </c>
      <c r="G278" s="26" t="s">
        <v>5097</v>
      </c>
      <c r="H278" s="26" t="s">
        <v>838</v>
      </c>
      <c r="I278" s="26" t="s">
        <v>478</v>
      </c>
      <c r="J278" s="26" t="b">
        <v>1</v>
      </c>
      <c r="K278" s="26" t="str">
        <f>ISNUMBER(_xlfn.XMATCH(tbldeptemp[[#This Row],[DependencyID]],tblTargets[TargetID]))</f>
        <v>#ERROR!</v>
      </c>
      <c r="L278" s="26" t="str">
        <f>IF(tbldeptemp[[#This Row],[ValidTarget]]=FALSE,"BAD TARGET",IF(tbldeptemp[[#This Row],[ValidDependency]]=FALSE,"BAD DEPENDENCY",""))</f>
        <v>#ERROR!</v>
      </c>
    </row>
    <row r="279" ht="14.25" customHeight="1">
      <c r="A279" s="26" t="s">
        <v>1117</v>
      </c>
      <c r="B279" s="26" t="s">
        <v>4583</v>
      </c>
      <c r="C279" s="26" t="s">
        <v>841</v>
      </c>
      <c r="D279" s="26" t="s">
        <v>5534</v>
      </c>
      <c r="E279" s="26" t="s">
        <v>5535</v>
      </c>
      <c r="F279" s="26" t="b">
        <v>1</v>
      </c>
      <c r="G279" s="26" t="s">
        <v>5097</v>
      </c>
      <c r="H279" s="26" t="s">
        <v>841</v>
      </c>
      <c r="I279" s="26" t="s">
        <v>478</v>
      </c>
      <c r="J279" s="26" t="b">
        <v>1</v>
      </c>
      <c r="K279" s="26" t="str">
        <f>ISNUMBER(_xlfn.XMATCH(tbldeptemp[[#This Row],[DependencyID]],tblTargets[TargetID]))</f>
        <v>#ERROR!</v>
      </c>
      <c r="L279" s="26" t="str">
        <f>IF(tbldeptemp[[#This Row],[ValidTarget]]=FALSE,"BAD TARGET",IF(tbldeptemp[[#This Row],[ValidDependency]]=FALSE,"BAD DEPENDENCY",""))</f>
        <v>#ERROR!</v>
      </c>
    </row>
    <row r="280" ht="14.25" customHeight="1">
      <c r="A280" s="26" t="s">
        <v>1117</v>
      </c>
      <c r="B280" s="26" t="s">
        <v>4628</v>
      </c>
      <c r="C280" s="26" t="s">
        <v>891</v>
      </c>
      <c r="D280" s="26" t="s">
        <v>5534</v>
      </c>
      <c r="E280" s="26" t="s">
        <v>5535</v>
      </c>
      <c r="F280" s="26" t="b">
        <v>1</v>
      </c>
      <c r="G280" s="26" t="s">
        <v>5097</v>
      </c>
      <c r="H280" s="26" t="s">
        <v>891</v>
      </c>
      <c r="I280" s="26" t="s">
        <v>478</v>
      </c>
      <c r="J280" s="26" t="b">
        <v>1</v>
      </c>
      <c r="K280" s="26" t="str">
        <f>ISNUMBER(_xlfn.XMATCH(tbldeptemp[[#This Row],[DependencyID]],tblTargets[TargetID]))</f>
        <v>#ERROR!</v>
      </c>
      <c r="L280" s="26" t="str">
        <f>IF(tbldeptemp[[#This Row],[ValidTarget]]=FALSE,"BAD TARGET",IF(tbldeptemp[[#This Row],[ValidDependency]]=FALSE,"BAD DEPENDENCY",""))</f>
        <v>#ERROR!</v>
      </c>
    </row>
    <row r="281" ht="14.25" customHeight="1">
      <c r="A281" s="26" t="s">
        <v>1117</v>
      </c>
      <c r="B281" s="26" t="s">
        <v>4632</v>
      </c>
      <c r="C281" s="26" t="s">
        <v>895</v>
      </c>
      <c r="D281" s="26" t="s">
        <v>5534</v>
      </c>
      <c r="E281" s="26" t="s">
        <v>5535</v>
      </c>
      <c r="F281" s="26" t="b">
        <v>1</v>
      </c>
      <c r="G281" s="26" t="s">
        <v>5097</v>
      </c>
      <c r="H281" s="26" t="s">
        <v>895</v>
      </c>
      <c r="I281" s="26" t="s">
        <v>478</v>
      </c>
      <c r="J281" s="26" t="b">
        <v>1</v>
      </c>
      <c r="K281" s="26" t="str">
        <f>ISNUMBER(_xlfn.XMATCH(tbldeptemp[[#This Row],[DependencyID]],tblTargets[TargetID]))</f>
        <v>#ERROR!</v>
      </c>
      <c r="L281" s="26" t="str">
        <f>IF(tbldeptemp[[#This Row],[ValidTarget]]=FALSE,"BAD TARGET",IF(tbldeptemp[[#This Row],[ValidDependency]]=FALSE,"BAD DEPENDENCY",""))</f>
        <v>#ERROR!</v>
      </c>
    </row>
    <row r="282" ht="14.25" customHeight="1">
      <c r="A282" s="26" t="s">
        <v>1117</v>
      </c>
      <c r="B282" s="26" t="s">
        <v>4634</v>
      </c>
      <c r="C282" s="26" t="s">
        <v>898</v>
      </c>
      <c r="D282" s="26" t="s">
        <v>5534</v>
      </c>
      <c r="E282" s="26" t="s">
        <v>5535</v>
      </c>
      <c r="F282" s="26" t="b">
        <v>1</v>
      </c>
      <c r="G282" s="26" t="s">
        <v>5097</v>
      </c>
      <c r="H282" s="26" t="s">
        <v>898</v>
      </c>
      <c r="I282" s="26" t="s">
        <v>478</v>
      </c>
      <c r="J282" s="26" t="b">
        <v>1</v>
      </c>
      <c r="K282" s="26" t="str">
        <f>ISNUMBER(_xlfn.XMATCH(tbldeptemp[[#This Row],[DependencyID]],tblTargets[TargetID]))</f>
        <v>#ERROR!</v>
      </c>
      <c r="L282" s="26" t="str">
        <f>IF(tbldeptemp[[#This Row],[ValidTarget]]=FALSE,"BAD TARGET",IF(tbldeptemp[[#This Row],[ValidDependency]]=FALSE,"BAD DEPENDENCY",""))</f>
        <v>#ERROR!</v>
      </c>
    </row>
    <row r="283" ht="14.25" customHeight="1">
      <c r="A283" s="26" t="s">
        <v>1117</v>
      </c>
      <c r="B283" s="26" t="s">
        <v>4638</v>
      </c>
      <c r="C283" s="26" t="s">
        <v>905</v>
      </c>
      <c r="D283" s="26" t="s">
        <v>5534</v>
      </c>
      <c r="E283" s="26" t="s">
        <v>5535</v>
      </c>
      <c r="F283" s="26" t="b">
        <v>1</v>
      </c>
      <c r="G283" s="26" t="s">
        <v>5097</v>
      </c>
      <c r="H283" s="26" t="s">
        <v>905</v>
      </c>
      <c r="I283" s="26" t="s">
        <v>478</v>
      </c>
      <c r="J283" s="26" t="b">
        <v>1</v>
      </c>
      <c r="K283" s="26" t="str">
        <f>ISNUMBER(_xlfn.XMATCH(tbldeptemp[[#This Row],[DependencyID]],tblTargets[TargetID]))</f>
        <v>#ERROR!</v>
      </c>
      <c r="L283" s="26" t="str">
        <f>IF(tbldeptemp[[#This Row],[ValidTarget]]=FALSE,"BAD TARGET",IF(tbldeptemp[[#This Row],[ValidDependency]]=FALSE,"BAD DEPENDENCY",""))</f>
        <v>#ERROR!</v>
      </c>
    </row>
    <row r="284" ht="14.25" customHeight="1">
      <c r="A284" s="26" t="s">
        <v>626</v>
      </c>
      <c r="B284" s="26" t="s">
        <v>5540</v>
      </c>
      <c r="C284" s="26" t="s">
        <v>921</v>
      </c>
      <c r="E284" s="26" t="e">
        <v>#N/A</v>
      </c>
      <c r="H284" s="26" t="s">
        <v>921</v>
      </c>
      <c r="I284" s="26" t="s">
        <v>478</v>
      </c>
      <c r="J284" s="26" t="b">
        <v>1</v>
      </c>
      <c r="K284" s="26" t="str">
        <f>ISNUMBER(_xlfn.XMATCH(tbldeptemp[[#This Row],[DependencyID]],tblTargets[TargetID]))</f>
        <v>#ERROR!</v>
      </c>
      <c r="L284" s="26" t="str">
        <f>IF(tbldeptemp[[#This Row],[ValidTarget]]=FALSE,"BAD TARGET",IF(tbldeptemp[[#This Row],[ValidDependency]]=FALSE,"BAD DEPENDENCY",""))</f>
        <v>#ERROR!</v>
      </c>
    </row>
    <row r="285" ht="14.25" customHeight="1">
      <c r="A285" s="26" t="s">
        <v>960</v>
      </c>
      <c r="B285" s="26" t="s">
        <v>5541</v>
      </c>
      <c r="C285" s="26" t="s">
        <v>544</v>
      </c>
      <c r="D285" s="26" t="s">
        <v>4430</v>
      </c>
      <c r="E285" s="26" t="s">
        <v>5542</v>
      </c>
      <c r="F285" s="26" t="b">
        <v>0</v>
      </c>
      <c r="G285" s="26" t="s">
        <v>5100</v>
      </c>
      <c r="H285" s="26" t="s">
        <v>544</v>
      </c>
      <c r="I285" s="26" t="s">
        <v>480</v>
      </c>
      <c r="J285" s="26" t="b">
        <v>1</v>
      </c>
      <c r="K285" s="26" t="str">
        <f>ISNUMBER(_xlfn.XMATCH(tbldeptemp[[#This Row],[DependencyID]],tblTargets[TargetID]))</f>
        <v>#ERROR!</v>
      </c>
      <c r="L285" s="26" t="str">
        <f>IF(tbldeptemp[[#This Row],[ValidTarget]]=FALSE,"BAD TARGET",IF(tbldeptemp[[#This Row],[ValidDependency]]=FALSE,"BAD DEPENDENCY",""))</f>
        <v>#ERROR!</v>
      </c>
    </row>
    <row r="286" ht="14.25" customHeight="1">
      <c r="A286" s="26" t="s">
        <v>960</v>
      </c>
      <c r="B286" s="26" t="s">
        <v>5543</v>
      </c>
      <c r="C286" s="26" t="s">
        <v>546</v>
      </c>
      <c r="D286" s="26" t="s">
        <v>4430</v>
      </c>
      <c r="E286" s="26" t="s">
        <v>5542</v>
      </c>
      <c r="F286" s="26" t="b">
        <v>0</v>
      </c>
      <c r="G286" s="26" t="s">
        <v>5097</v>
      </c>
      <c r="H286" s="26" t="s">
        <v>546</v>
      </c>
      <c r="I286" s="26" t="s">
        <v>480</v>
      </c>
      <c r="J286" s="26" t="b">
        <v>1</v>
      </c>
      <c r="K286" s="26" t="str">
        <f>ISNUMBER(_xlfn.XMATCH(tbldeptemp[[#This Row],[DependencyID]],tblTargets[TargetID]))</f>
        <v>#ERROR!</v>
      </c>
      <c r="L286" s="26" t="str">
        <f>IF(tbldeptemp[[#This Row],[ValidTarget]]=FALSE,"BAD TARGET",IF(tbldeptemp[[#This Row],[ValidDependency]]=FALSE,"BAD DEPENDENCY",""))</f>
        <v>#ERROR!</v>
      </c>
    </row>
    <row r="287" ht="14.25" customHeight="1">
      <c r="A287" s="26" t="s">
        <v>960</v>
      </c>
      <c r="B287" s="26" t="s">
        <v>5544</v>
      </c>
      <c r="C287" s="26" t="s">
        <v>549</v>
      </c>
      <c r="D287" s="26" t="s">
        <v>4430</v>
      </c>
      <c r="E287" s="26" t="s">
        <v>5542</v>
      </c>
      <c r="F287" s="26" t="b">
        <v>0</v>
      </c>
      <c r="G287" s="26" t="s">
        <v>5097</v>
      </c>
      <c r="H287" s="26" t="s">
        <v>549</v>
      </c>
      <c r="I287" s="26" t="s">
        <v>480</v>
      </c>
      <c r="J287" s="26" t="b">
        <v>1</v>
      </c>
      <c r="K287" s="26" t="str">
        <f>ISNUMBER(_xlfn.XMATCH(tbldeptemp[[#This Row],[DependencyID]],tblTargets[TargetID]))</f>
        <v>#ERROR!</v>
      </c>
      <c r="L287" s="26" t="str">
        <f>IF(tbldeptemp[[#This Row],[ValidTarget]]=FALSE,"BAD TARGET",IF(tbldeptemp[[#This Row],[ValidDependency]]=FALSE,"BAD DEPENDENCY",""))</f>
        <v>#ERROR!</v>
      </c>
    </row>
    <row r="288" ht="14.25" customHeight="1">
      <c r="A288" s="26" t="s">
        <v>960</v>
      </c>
      <c r="B288" s="26" t="s">
        <v>5545</v>
      </c>
      <c r="C288" s="26" t="s">
        <v>551</v>
      </c>
      <c r="D288" s="26" t="s">
        <v>4430</v>
      </c>
      <c r="E288" s="26" t="s">
        <v>5542</v>
      </c>
      <c r="F288" s="26" t="b">
        <v>0</v>
      </c>
      <c r="G288" s="26" t="s">
        <v>5097</v>
      </c>
      <c r="H288" s="26" t="s">
        <v>551</v>
      </c>
      <c r="I288" s="26" t="s">
        <v>480</v>
      </c>
      <c r="J288" s="26" t="b">
        <v>1</v>
      </c>
      <c r="K288" s="26" t="str">
        <f>ISNUMBER(_xlfn.XMATCH(tbldeptemp[[#This Row],[DependencyID]],tblTargets[TargetID]))</f>
        <v>#ERROR!</v>
      </c>
      <c r="L288" s="26" t="str">
        <f>IF(tbldeptemp[[#This Row],[ValidTarget]]=FALSE,"BAD TARGET",IF(tbldeptemp[[#This Row],[ValidDependency]]=FALSE,"BAD DEPENDENCY",""))</f>
        <v>#ERROR!</v>
      </c>
    </row>
    <row r="289" ht="14.25" customHeight="1">
      <c r="A289" s="26" t="s">
        <v>960</v>
      </c>
      <c r="B289" s="26" t="s">
        <v>5546</v>
      </c>
      <c r="C289" s="26" t="s">
        <v>553</v>
      </c>
      <c r="D289" s="26" t="s">
        <v>4437</v>
      </c>
      <c r="E289" s="26" t="s">
        <v>5547</v>
      </c>
      <c r="F289" s="26" t="b">
        <v>1</v>
      </c>
      <c r="G289" s="26" t="s">
        <v>5100</v>
      </c>
      <c r="H289" s="26" t="s">
        <v>553</v>
      </c>
      <c r="I289" s="26" t="s">
        <v>482</v>
      </c>
      <c r="J289" s="26" t="b">
        <v>1</v>
      </c>
      <c r="K289" s="26" t="str">
        <f>ISNUMBER(_xlfn.XMATCH(tbldeptemp[[#This Row],[DependencyID]],tblTargets[TargetID]))</f>
        <v>#ERROR!</v>
      </c>
      <c r="L289" s="26" t="str">
        <f>IF(tbldeptemp[[#This Row],[ValidTarget]]=FALSE,"BAD TARGET",IF(tbldeptemp[[#This Row],[ValidDependency]]=FALSE,"BAD DEPENDENCY",""))</f>
        <v>#ERROR!</v>
      </c>
    </row>
    <row r="290" ht="14.25" customHeight="1">
      <c r="A290" s="26" t="s">
        <v>960</v>
      </c>
      <c r="B290" s="26" t="s">
        <v>5548</v>
      </c>
      <c r="C290" s="26" t="s">
        <v>556</v>
      </c>
      <c r="D290" s="26" t="s">
        <v>4437</v>
      </c>
      <c r="E290" s="26" t="s">
        <v>5547</v>
      </c>
      <c r="F290" s="26" t="b">
        <v>1</v>
      </c>
      <c r="G290" s="26" t="s">
        <v>5097</v>
      </c>
      <c r="H290" s="26" t="s">
        <v>556</v>
      </c>
      <c r="I290" s="26" t="s">
        <v>482</v>
      </c>
      <c r="J290" s="26" t="b">
        <v>1</v>
      </c>
      <c r="K290" s="26" t="str">
        <f>ISNUMBER(_xlfn.XMATCH(tbldeptemp[[#This Row],[DependencyID]],tblTargets[TargetID]))</f>
        <v>#ERROR!</v>
      </c>
      <c r="L290" s="26" t="str">
        <f>IF(tbldeptemp[[#This Row],[ValidTarget]]=FALSE,"BAD TARGET",IF(tbldeptemp[[#This Row],[ValidDependency]]=FALSE,"BAD DEPENDENCY",""))</f>
        <v>#ERROR!</v>
      </c>
    </row>
    <row r="291" ht="14.25" customHeight="1">
      <c r="A291" s="26" t="s">
        <v>960</v>
      </c>
      <c r="B291" s="26" t="s">
        <v>5549</v>
      </c>
      <c r="C291" s="26" t="s">
        <v>558</v>
      </c>
      <c r="D291" s="26" t="s">
        <v>4437</v>
      </c>
      <c r="E291" s="26" t="s">
        <v>5547</v>
      </c>
      <c r="F291" s="26" t="b">
        <v>1</v>
      </c>
      <c r="G291" s="26" t="s">
        <v>5097</v>
      </c>
      <c r="H291" s="26" t="s">
        <v>558</v>
      </c>
      <c r="I291" s="26" t="s">
        <v>482</v>
      </c>
      <c r="J291" s="26" t="b">
        <v>1</v>
      </c>
      <c r="K291" s="26" t="str">
        <f>ISNUMBER(_xlfn.XMATCH(tbldeptemp[[#This Row],[DependencyID]],tblTargets[TargetID]))</f>
        <v>#ERROR!</v>
      </c>
      <c r="L291" s="26" t="str">
        <f>IF(tbldeptemp[[#This Row],[ValidTarget]]=FALSE,"BAD TARGET",IF(tbldeptemp[[#This Row],[ValidDependency]]=FALSE,"BAD DEPENDENCY",""))</f>
        <v>#ERROR!</v>
      </c>
    </row>
    <row r="292" ht="14.25" customHeight="1">
      <c r="A292" s="26" t="s">
        <v>960</v>
      </c>
      <c r="B292" s="26" t="s">
        <v>5550</v>
      </c>
      <c r="C292" s="26" t="s">
        <v>560</v>
      </c>
      <c r="D292" s="26" t="s">
        <v>4437</v>
      </c>
      <c r="E292" s="26" t="s">
        <v>5547</v>
      </c>
      <c r="F292" s="26" t="b">
        <v>1</v>
      </c>
      <c r="G292" s="26" t="s">
        <v>5097</v>
      </c>
      <c r="H292" s="26" t="s">
        <v>560</v>
      </c>
      <c r="I292" s="26" t="s">
        <v>482</v>
      </c>
      <c r="J292" s="26" t="b">
        <v>1</v>
      </c>
      <c r="K292" s="26" t="str">
        <f>ISNUMBER(_xlfn.XMATCH(tbldeptemp[[#This Row],[DependencyID]],tblTargets[TargetID]))</f>
        <v>#ERROR!</v>
      </c>
      <c r="L292" s="26" t="str">
        <f>IF(tbldeptemp[[#This Row],[ValidTarget]]=FALSE,"BAD TARGET",IF(tbldeptemp[[#This Row],[ValidDependency]]=FALSE,"BAD DEPENDENCY",""))</f>
        <v>#ERROR!</v>
      </c>
    </row>
    <row r="293" ht="14.25" customHeight="1">
      <c r="A293" s="26" t="s">
        <v>960</v>
      </c>
      <c r="B293" s="26" t="s">
        <v>5553</v>
      </c>
      <c r="C293" s="26" t="s">
        <v>563</v>
      </c>
      <c r="D293" s="26" t="s">
        <v>4437</v>
      </c>
      <c r="E293" s="26" t="s">
        <v>5547</v>
      </c>
      <c r="F293" s="26" t="b">
        <v>1</v>
      </c>
      <c r="G293" s="26" t="s">
        <v>5097</v>
      </c>
      <c r="H293" s="26" t="s">
        <v>563</v>
      </c>
      <c r="I293" s="26" t="s">
        <v>482</v>
      </c>
      <c r="J293" s="26" t="b">
        <v>1</v>
      </c>
      <c r="K293" s="26" t="str">
        <f>ISNUMBER(_xlfn.XMATCH(tbldeptemp[[#This Row],[DependencyID]],tblTargets[TargetID]))</f>
        <v>#ERROR!</v>
      </c>
      <c r="L293" s="26" t="str">
        <f>IF(tbldeptemp[[#This Row],[ValidTarget]]=FALSE,"BAD TARGET",IF(tbldeptemp[[#This Row],[ValidDependency]]=FALSE,"BAD DEPENDENCY",""))</f>
        <v>#ERROR!</v>
      </c>
    </row>
    <row r="294" ht="14.25" customHeight="1">
      <c r="A294" s="26" t="s">
        <v>960</v>
      </c>
      <c r="B294" s="26" t="s">
        <v>5557</v>
      </c>
      <c r="C294" s="26" t="s">
        <v>584</v>
      </c>
      <c r="D294" s="26" t="s">
        <v>5558</v>
      </c>
      <c r="E294" s="26" t="s">
        <v>5559</v>
      </c>
      <c r="F294" s="26" t="b">
        <v>1</v>
      </c>
      <c r="G294" s="26" t="s">
        <v>5097</v>
      </c>
      <c r="H294" s="26" t="s">
        <v>584</v>
      </c>
      <c r="I294" s="26" t="s">
        <v>500</v>
      </c>
      <c r="J294" s="26" t="b">
        <v>1</v>
      </c>
      <c r="K294" s="26" t="str">
        <f>ISNUMBER(_xlfn.XMATCH(tbldeptemp[[#This Row],[DependencyID]],tblTargets[TargetID]))</f>
        <v>#ERROR!</v>
      </c>
      <c r="L294" s="26" t="str">
        <f>IF(tbldeptemp[[#This Row],[ValidTarget]]=FALSE,"BAD TARGET",IF(tbldeptemp[[#This Row],[ValidDependency]]=FALSE,"BAD DEPENDENCY",""))</f>
        <v>#ERROR!</v>
      </c>
    </row>
    <row r="295" ht="14.25" customHeight="1">
      <c r="A295" s="26" t="s">
        <v>960</v>
      </c>
      <c r="B295" s="26" t="s">
        <v>5560</v>
      </c>
      <c r="C295" s="26" t="s">
        <v>586</v>
      </c>
      <c r="D295" s="26" t="s">
        <v>5558</v>
      </c>
      <c r="E295" s="26" t="s">
        <v>5559</v>
      </c>
      <c r="F295" s="26" t="b">
        <v>1</v>
      </c>
      <c r="G295" s="26" t="s">
        <v>5097</v>
      </c>
      <c r="H295" s="26" t="s">
        <v>586</v>
      </c>
      <c r="I295" s="26" t="s">
        <v>500</v>
      </c>
      <c r="J295" s="26" t="b">
        <v>1</v>
      </c>
      <c r="K295" s="26" t="str">
        <f>ISNUMBER(_xlfn.XMATCH(tbldeptemp[[#This Row],[DependencyID]],tblTargets[TargetID]))</f>
        <v>#ERROR!</v>
      </c>
      <c r="L295" s="26" t="str">
        <f>IF(tbldeptemp[[#This Row],[ValidTarget]]=FALSE,"BAD TARGET",IF(tbldeptemp[[#This Row],[ValidDependency]]=FALSE,"BAD DEPENDENCY",""))</f>
        <v>#ERROR!</v>
      </c>
    </row>
    <row r="296" ht="14.25" customHeight="1">
      <c r="A296" s="26" t="s">
        <v>960</v>
      </c>
      <c r="B296" s="26" t="s">
        <v>5561</v>
      </c>
      <c r="C296" s="26" t="s">
        <v>589</v>
      </c>
      <c r="D296" s="26" t="s">
        <v>5558</v>
      </c>
      <c r="E296" s="26" t="s">
        <v>5559</v>
      </c>
      <c r="F296" s="26" t="b">
        <v>1</v>
      </c>
      <c r="G296" s="26" t="s">
        <v>5097</v>
      </c>
      <c r="H296" s="26" t="s">
        <v>589</v>
      </c>
      <c r="I296" s="26" t="s">
        <v>500</v>
      </c>
      <c r="J296" s="26" t="b">
        <v>1</v>
      </c>
      <c r="K296" s="26" t="str">
        <f>ISNUMBER(_xlfn.XMATCH(tbldeptemp[[#This Row],[DependencyID]],tblTargets[TargetID]))</f>
        <v>#ERROR!</v>
      </c>
      <c r="L296" s="26" t="str">
        <f>IF(tbldeptemp[[#This Row],[ValidTarget]]=FALSE,"BAD TARGET",IF(tbldeptemp[[#This Row],[ValidDependency]]=FALSE,"BAD DEPENDENCY",""))</f>
        <v>#ERROR!</v>
      </c>
    </row>
    <row r="297" ht="14.25" customHeight="1">
      <c r="A297" s="26" t="s">
        <v>960</v>
      </c>
      <c r="B297" s="26" t="s">
        <v>5562</v>
      </c>
      <c r="C297" s="26" t="s">
        <v>594</v>
      </c>
      <c r="D297" s="26" t="s">
        <v>4451</v>
      </c>
      <c r="E297" s="26" t="s">
        <v>5563</v>
      </c>
      <c r="F297" s="26" t="b">
        <v>0</v>
      </c>
      <c r="G297" s="26" t="s">
        <v>5100</v>
      </c>
      <c r="H297" s="26" t="s">
        <v>594</v>
      </c>
      <c r="I297" s="26" t="s">
        <v>502</v>
      </c>
      <c r="J297" s="26" t="b">
        <v>1</v>
      </c>
      <c r="K297" s="26" t="str">
        <f>ISNUMBER(_xlfn.XMATCH(tbldeptemp[[#This Row],[DependencyID]],tblTargets[TargetID]))</f>
        <v>#ERROR!</v>
      </c>
      <c r="L297" s="26" t="str">
        <f>IF(tbldeptemp[[#This Row],[ValidTarget]]=FALSE,"BAD TARGET",IF(tbldeptemp[[#This Row],[ValidDependency]]=FALSE,"BAD DEPENDENCY",""))</f>
        <v>#ERROR!</v>
      </c>
    </row>
    <row r="298" ht="14.25" customHeight="1">
      <c r="A298" s="26" t="s">
        <v>960</v>
      </c>
      <c r="B298" s="26" t="s">
        <v>5564</v>
      </c>
      <c r="C298" s="26" t="s">
        <v>596</v>
      </c>
      <c r="D298" s="26" t="s">
        <v>4451</v>
      </c>
      <c r="E298" s="26" t="s">
        <v>5563</v>
      </c>
      <c r="F298" s="26" t="b">
        <v>0</v>
      </c>
      <c r="G298" s="26" t="s">
        <v>5097</v>
      </c>
      <c r="H298" s="26" t="s">
        <v>596</v>
      </c>
      <c r="I298" s="26" t="s">
        <v>502</v>
      </c>
      <c r="J298" s="26" t="b">
        <v>1</v>
      </c>
      <c r="K298" s="26" t="str">
        <f>ISNUMBER(_xlfn.XMATCH(tbldeptemp[[#This Row],[DependencyID]],tblTargets[TargetID]))</f>
        <v>#ERROR!</v>
      </c>
      <c r="L298" s="26" t="str">
        <f>IF(tbldeptemp[[#This Row],[ValidTarget]]=FALSE,"BAD TARGET",IF(tbldeptemp[[#This Row],[ValidDependency]]=FALSE,"BAD DEPENDENCY",""))</f>
        <v>#ERROR!</v>
      </c>
    </row>
    <row r="299" ht="14.25" customHeight="1">
      <c r="A299" s="26" t="s">
        <v>960</v>
      </c>
      <c r="B299" s="26" t="s">
        <v>5565</v>
      </c>
      <c r="C299" s="26" t="s">
        <v>598</v>
      </c>
      <c r="D299" s="26" t="s">
        <v>4451</v>
      </c>
      <c r="E299" s="26" t="s">
        <v>5563</v>
      </c>
      <c r="F299" s="26" t="b">
        <v>0</v>
      </c>
      <c r="G299" s="26" t="s">
        <v>5097</v>
      </c>
      <c r="H299" s="26" t="s">
        <v>598</v>
      </c>
      <c r="I299" s="26" t="s">
        <v>502</v>
      </c>
      <c r="J299" s="26" t="b">
        <v>1</v>
      </c>
      <c r="K299" s="26" t="str">
        <f>ISNUMBER(_xlfn.XMATCH(tbldeptemp[[#This Row],[DependencyID]],tblTargets[TargetID]))</f>
        <v>#ERROR!</v>
      </c>
      <c r="L299" s="26" t="str">
        <f>IF(tbldeptemp[[#This Row],[ValidTarget]]=FALSE,"BAD TARGET",IF(tbldeptemp[[#This Row],[ValidDependency]]=FALSE,"BAD DEPENDENCY",""))</f>
        <v>#ERROR!</v>
      </c>
    </row>
    <row r="300" ht="14.25" customHeight="1">
      <c r="A300" s="26" t="s">
        <v>960</v>
      </c>
      <c r="B300" s="26" t="s">
        <v>5566</v>
      </c>
      <c r="C300" s="26" t="s">
        <v>600</v>
      </c>
      <c r="D300" s="26" t="s">
        <v>4451</v>
      </c>
      <c r="E300" s="26" t="s">
        <v>5563</v>
      </c>
      <c r="F300" s="26" t="b">
        <v>0</v>
      </c>
      <c r="G300" s="26" t="s">
        <v>5097</v>
      </c>
      <c r="H300" s="26" t="s">
        <v>600</v>
      </c>
      <c r="I300" s="26" t="s">
        <v>502</v>
      </c>
      <c r="J300" s="26" t="b">
        <v>1</v>
      </c>
      <c r="K300" s="26" t="str">
        <f>ISNUMBER(_xlfn.XMATCH(tbldeptemp[[#This Row],[DependencyID]],tblTargets[TargetID]))</f>
        <v>#ERROR!</v>
      </c>
      <c r="L300" s="26" t="str">
        <f>IF(tbldeptemp[[#This Row],[ValidTarget]]=FALSE,"BAD TARGET",IF(tbldeptemp[[#This Row],[ValidDependency]]=FALSE,"BAD DEPENDENCY",""))</f>
        <v>#ERROR!</v>
      </c>
    </row>
    <row r="301" ht="14.25" customHeight="1">
      <c r="A301" s="26" t="s">
        <v>960</v>
      </c>
      <c r="B301" s="26" t="s">
        <v>5567</v>
      </c>
      <c r="C301" s="26" t="s">
        <v>603</v>
      </c>
      <c r="D301" s="26" t="s">
        <v>4451</v>
      </c>
      <c r="E301" s="26" t="s">
        <v>5563</v>
      </c>
      <c r="F301" s="26" t="b">
        <v>0</v>
      </c>
      <c r="G301" s="26" t="s">
        <v>5097</v>
      </c>
      <c r="H301" s="26" t="s">
        <v>603</v>
      </c>
      <c r="I301" s="26" t="s">
        <v>502</v>
      </c>
      <c r="J301" s="26" t="b">
        <v>1</v>
      </c>
      <c r="K301" s="26" t="str">
        <f>ISNUMBER(_xlfn.XMATCH(tbldeptemp[[#This Row],[DependencyID]],tblTargets[TargetID]))</f>
        <v>#ERROR!</v>
      </c>
      <c r="L301" s="26" t="str">
        <f>IF(tbldeptemp[[#This Row],[ValidTarget]]=FALSE,"BAD TARGET",IF(tbldeptemp[[#This Row],[ValidDependency]]=FALSE,"BAD DEPENDENCY",""))</f>
        <v>#ERROR!</v>
      </c>
    </row>
    <row r="302" ht="14.25" customHeight="1">
      <c r="A302" s="26" t="s">
        <v>960</v>
      </c>
      <c r="B302" s="26" t="s">
        <v>5568</v>
      </c>
      <c r="C302" s="26" t="s">
        <v>605</v>
      </c>
      <c r="D302" s="26" t="s">
        <v>4451</v>
      </c>
      <c r="E302" s="26" t="s">
        <v>5563</v>
      </c>
      <c r="F302" s="26" t="b">
        <v>0</v>
      </c>
      <c r="G302" s="26" t="s">
        <v>5100</v>
      </c>
      <c r="H302" s="26" t="s">
        <v>605</v>
      </c>
      <c r="I302" s="26" t="s">
        <v>502</v>
      </c>
      <c r="J302" s="26" t="b">
        <v>1</v>
      </c>
      <c r="K302" s="26" t="str">
        <f>ISNUMBER(_xlfn.XMATCH(tbldeptemp[[#This Row],[DependencyID]],tblTargets[TargetID]))</f>
        <v>#ERROR!</v>
      </c>
      <c r="L302" s="26" t="str">
        <f>IF(tbldeptemp[[#This Row],[ValidTarget]]=FALSE,"BAD TARGET",IF(tbldeptemp[[#This Row],[ValidDependency]]=FALSE,"BAD DEPENDENCY",""))</f>
        <v>#ERROR!</v>
      </c>
    </row>
    <row r="303" ht="14.25" customHeight="1">
      <c r="A303" s="26" t="s">
        <v>960</v>
      </c>
      <c r="B303" s="26" t="s">
        <v>5569</v>
      </c>
      <c r="C303" s="26" t="s">
        <v>607</v>
      </c>
      <c r="D303" s="26" t="s">
        <v>4451</v>
      </c>
      <c r="E303" s="26" t="s">
        <v>5563</v>
      </c>
      <c r="F303" s="26" t="b">
        <v>0</v>
      </c>
      <c r="G303" s="26" t="s">
        <v>5097</v>
      </c>
      <c r="H303" s="26" t="s">
        <v>607</v>
      </c>
      <c r="I303" s="26" t="s">
        <v>502</v>
      </c>
      <c r="J303" s="26" t="b">
        <v>1</v>
      </c>
      <c r="K303" s="26" t="str">
        <f>ISNUMBER(_xlfn.XMATCH(tbldeptemp[[#This Row],[DependencyID]],tblTargets[TargetID]))</f>
        <v>#ERROR!</v>
      </c>
      <c r="L303" s="26" t="str">
        <f>IF(tbldeptemp[[#This Row],[ValidTarget]]=FALSE,"BAD TARGET",IF(tbldeptemp[[#This Row],[ValidDependency]]=FALSE,"BAD DEPENDENCY",""))</f>
        <v>#ERROR!</v>
      </c>
    </row>
    <row r="304" ht="14.25" customHeight="1">
      <c r="A304" s="26" t="s">
        <v>960</v>
      </c>
      <c r="B304" s="26" t="s">
        <v>5570</v>
      </c>
      <c r="C304" s="26" t="s">
        <v>610</v>
      </c>
      <c r="D304" s="26" t="s">
        <v>4451</v>
      </c>
      <c r="E304" s="26" t="s">
        <v>5563</v>
      </c>
      <c r="F304" s="26" t="b">
        <v>0</v>
      </c>
      <c r="G304" s="26" t="s">
        <v>5097</v>
      </c>
      <c r="H304" s="26" t="s">
        <v>610</v>
      </c>
      <c r="I304" s="26" t="s">
        <v>502</v>
      </c>
      <c r="J304" s="26" t="b">
        <v>1</v>
      </c>
      <c r="K304" s="26" t="str">
        <f>ISNUMBER(_xlfn.XMATCH(tbldeptemp[[#This Row],[DependencyID]],tblTargets[TargetID]))</f>
        <v>#ERROR!</v>
      </c>
      <c r="L304" s="26" t="str">
        <f>IF(tbldeptemp[[#This Row],[ValidTarget]]=FALSE,"BAD TARGET",IF(tbldeptemp[[#This Row],[ValidDependency]]=FALSE,"BAD DEPENDENCY",""))</f>
        <v>#ERROR!</v>
      </c>
    </row>
    <row r="305" ht="14.25" customHeight="1">
      <c r="A305" s="26" t="s">
        <v>960</v>
      </c>
      <c r="B305" s="26" t="s">
        <v>5571</v>
      </c>
      <c r="C305" s="26" t="s">
        <v>612</v>
      </c>
      <c r="D305" s="26" t="s">
        <v>4451</v>
      </c>
      <c r="E305" s="26" t="s">
        <v>5563</v>
      </c>
      <c r="F305" s="26" t="b">
        <v>0</v>
      </c>
      <c r="G305" s="26" t="s">
        <v>5097</v>
      </c>
      <c r="H305" s="26" t="s">
        <v>612</v>
      </c>
      <c r="I305" s="26" t="s">
        <v>502</v>
      </c>
      <c r="J305" s="26" t="b">
        <v>1</v>
      </c>
      <c r="K305" s="26" t="str">
        <f>ISNUMBER(_xlfn.XMATCH(tbldeptemp[[#This Row],[DependencyID]],tblTargets[TargetID]))</f>
        <v>#ERROR!</v>
      </c>
      <c r="L305" s="26" t="str">
        <f>IF(tbldeptemp[[#This Row],[ValidTarget]]=FALSE,"BAD TARGET",IF(tbldeptemp[[#This Row],[ValidDependency]]=FALSE,"BAD DEPENDENCY",""))</f>
        <v>#ERROR!</v>
      </c>
    </row>
    <row r="306" ht="14.25" customHeight="1">
      <c r="A306" s="26" t="s">
        <v>960</v>
      </c>
      <c r="B306" s="26" t="s">
        <v>5575</v>
      </c>
      <c r="C306" s="26" t="s">
        <v>614</v>
      </c>
      <c r="D306" s="26" t="s">
        <v>4451</v>
      </c>
      <c r="E306" s="26" t="s">
        <v>5563</v>
      </c>
      <c r="F306" s="26" t="b">
        <v>0</v>
      </c>
      <c r="G306" s="26" t="s">
        <v>5097</v>
      </c>
      <c r="H306" s="26" t="s">
        <v>614</v>
      </c>
      <c r="I306" s="26" t="s">
        <v>502</v>
      </c>
      <c r="J306" s="26" t="b">
        <v>1</v>
      </c>
      <c r="K306" s="26" t="str">
        <f>ISNUMBER(_xlfn.XMATCH(tbldeptemp[[#This Row],[DependencyID]],tblTargets[TargetID]))</f>
        <v>#ERROR!</v>
      </c>
      <c r="L306" s="26" t="str">
        <f>IF(tbldeptemp[[#This Row],[ValidTarget]]=FALSE,"BAD TARGET",IF(tbldeptemp[[#This Row],[ValidDependency]]=FALSE,"BAD DEPENDENCY",""))</f>
        <v>#ERROR!</v>
      </c>
    </row>
    <row r="307" ht="14.25" customHeight="1">
      <c r="A307" s="26" t="s">
        <v>960</v>
      </c>
      <c r="B307" s="26" t="s">
        <v>5578</v>
      </c>
      <c r="C307" s="26" t="s">
        <v>616</v>
      </c>
      <c r="D307" s="26" t="s">
        <v>4451</v>
      </c>
      <c r="E307" s="26" t="s">
        <v>5563</v>
      </c>
      <c r="F307" s="26" t="b">
        <v>0</v>
      </c>
      <c r="G307" s="26" t="s">
        <v>5097</v>
      </c>
      <c r="H307" s="26" t="s">
        <v>616</v>
      </c>
      <c r="I307" s="26" t="s">
        <v>502</v>
      </c>
      <c r="J307" s="26" t="b">
        <v>1</v>
      </c>
      <c r="K307" s="26" t="str">
        <f>ISNUMBER(_xlfn.XMATCH(tbldeptemp[[#This Row],[DependencyID]],tblTargets[TargetID]))</f>
        <v>#ERROR!</v>
      </c>
      <c r="L307" s="26" t="str">
        <f>IF(tbldeptemp[[#This Row],[ValidTarget]]=FALSE,"BAD TARGET",IF(tbldeptemp[[#This Row],[ValidDependency]]=FALSE,"BAD DEPENDENCY",""))</f>
        <v>#ERROR!</v>
      </c>
    </row>
    <row r="308" ht="14.25" customHeight="1">
      <c r="A308" s="26" t="s">
        <v>960</v>
      </c>
      <c r="B308" s="26" t="s">
        <v>5579</v>
      </c>
      <c r="C308" s="26" t="s">
        <v>618</v>
      </c>
      <c r="D308" s="26" t="s">
        <v>4451</v>
      </c>
      <c r="E308" s="26" t="s">
        <v>5563</v>
      </c>
      <c r="F308" s="26" t="b">
        <v>0</v>
      </c>
      <c r="G308" s="26" t="s">
        <v>5097</v>
      </c>
      <c r="H308" s="26" t="s">
        <v>618</v>
      </c>
      <c r="I308" s="26" t="s">
        <v>502</v>
      </c>
      <c r="J308" s="26" t="b">
        <v>1</v>
      </c>
      <c r="K308" s="26" t="str">
        <f>ISNUMBER(_xlfn.XMATCH(tbldeptemp[[#This Row],[DependencyID]],tblTargets[TargetID]))</f>
        <v>#ERROR!</v>
      </c>
      <c r="L308" s="26" t="str">
        <f>IF(tbldeptemp[[#This Row],[ValidTarget]]=FALSE,"BAD TARGET",IF(tbldeptemp[[#This Row],[ValidDependency]]=FALSE,"BAD DEPENDENCY",""))</f>
        <v>#ERROR!</v>
      </c>
    </row>
    <row r="309" ht="14.25" customHeight="1">
      <c r="A309" s="26" t="s">
        <v>960</v>
      </c>
      <c r="B309" s="26" t="s">
        <v>5580</v>
      </c>
      <c r="C309" s="26" t="s">
        <v>627</v>
      </c>
      <c r="D309" s="26" t="s">
        <v>4451</v>
      </c>
      <c r="E309" s="26" t="s">
        <v>5563</v>
      </c>
      <c r="F309" s="26" t="b">
        <v>0</v>
      </c>
      <c r="G309" s="26" t="s">
        <v>5097</v>
      </c>
      <c r="H309" s="26" t="s">
        <v>627</v>
      </c>
      <c r="I309" s="26" t="s">
        <v>502</v>
      </c>
      <c r="J309" s="26" t="b">
        <v>1</v>
      </c>
      <c r="K309" s="26" t="str">
        <f>ISNUMBER(_xlfn.XMATCH(tbldeptemp[[#This Row],[DependencyID]],tblTargets[TargetID]))</f>
        <v>#ERROR!</v>
      </c>
      <c r="L309" s="26" t="str">
        <f>IF(tbldeptemp[[#This Row],[ValidTarget]]=FALSE,"BAD TARGET",IF(tbldeptemp[[#This Row],[ValidDependency]]=FALSE,"BAD DEPENDENCY",""))</f>
        <v>#ERROR!</v>
      </c>
    </row>
    <row r="310" ht="14.25" customHeight="1">
      <c r="A310" s="26" t="s">
        <v>960</v>
      </c>
      <c r="B310" s="26" t="s">
        <v>5581</v>
      </c>
      <c r="C310" s="26" t="s">
        <v>631</v>
      </c>
      <c r="D310" s="26" t="s">
        <v>4451</v>
      </c>
      <c r="E310" s="26" t="s">
        <v>5563</v>
      </c>
      <c r="F310" s="26" t="b">
        <v>0</v>
      </c>
      <c r="G310" s="26" t="s">
        <v>5097</v>
      </c>
      <c r="H310" s="26" t="s">
        <v>631</v>
      </c>
      <c r="I310" s="26" t="s">
        <v>502</v>
      </c>
      <c r="J310" s="26" t="b">
        <v>1</v>
      </c>
      <c r="K310" s="26" t="str">
        <f>ISNUMBER(_xlfn.XMATCH(tbldeptemp[[#This Row],[DependencyID]],tblTargets[TargetID]))</f>
        <v>#ERROR!</v>
      </c>
      <c r="L310" s="26" t="str">
        <f>IF(tbldeptemp[[#This Row],[ValidTarget]]=FALSE,"BAD TARGET",IF(tbldeptemp[[#This Row],[ValidDependency]]=FALSE,"BAD DEPENDENCY",""))</f>
        <v>#ERROR!</v>
      </c>
    </row>
    <row r="311" ht="14.25" customHeight="1">
      <c r="A311" s="26" t="s">
        <v>960</v>
      </c>
      <c r="B311" s="26" t="s">
        <v>5582</v>
      </c>
      <c r="C311" s="26" t="s">
        <v>635</v>
      </c>
      <c r="D311" s="26" t="s">
        <v>4451</v>
      </c>
      <c r="E311" s="26" t="s">
        <v>5563</v>
      </c>
      <c r="F311" s="26" t="b">
        <v>0</v>
      </c>
      <c r="G311" s="26" t="s">
        <v>5097</v>
      </c>
      <c r="H311" s="26" t="s">
        <v>635</v>
      </c>
      <c r="I311" s="26" t="s">
        <v>502</v>
      </c>
      <c r="J311" s="26" t="b">
        <v>1</v>
      </c>
      <c r="K311" s="26" t="str">
        <f>ISNUMBER(_xlfn.XMATCH(tbldeptemp[[#This Row],[DependencyID]],tblTargets[TargetID]))</f>
        <v>#ERROR!</v>
      </c>
      <c r="L311" s="26" t="str">
        <f>IF(tbldeptemp[[#This Row],[ValidTarget]]=FALSE,"BAD TARGET",IF(tbldeptemp[[#This Row],[ValidDependency]]=FALSE,"BAD DEPENDENCY",""))</f>
        <v>#ERROR!</v>
      </c>
    </row>
    <row r="312" ht="14.25" customHeight="1">
      <c r="A312" s="26" t="s">
        <v>960</v>
      </c>
      <c r="B312" s="26" t="s">
        <v>5583</v>
      </c>
      <c r="C312" s="26" t="s">
        <v>640</v>
      </c>
      <c r="D312" s="26" t="s">
        <v>4479</v>
      </c>
      <c r="E312" s="26" t="s">
        <v>5584</v>
      </c>
      <c r="F312" s="26" t="b">
        <v>1</v>
      </c>
      <c r="G312" s="26" t="s">
        <v>5097</v>
      </c>
      <c r="H312" s="26" t="s">
        <v>640</v>
      </c>
      <c r="I312" s="26" t="s">
        <v>505</v>
      </c>
      <c r="J312" s="26" t="b">
        <v>1</v>
      </c>
      <c r="K312" s="26" t="str">
        <f>ISNUMBER(_xlfn.XMATCH(tbldeptemp[[#This Row],[DependencyID]],tblTargets[TargetID]))</f>
        <v>#ERROR!</v>
      </c>
      <c r="L312" s="26" t="str">
        <f>IF(tbldeptemp[[#This Row],[ValidTarget]]=FALSE,"BAD TARGET",IF(tbldeptemp[[#This Row],[ValidDependency]]=FALSE,"BAD DEPENDENCY",""))</f>
        <v>#ERROR!</v>
      </c>
    </row>
    <row r="313" ht="14.25" customHeight="1">
      <c r="A313" s="26" t="s">
        <v>960</v>
      </c>
      <c r="B313" s="26" t="s">
        <v>5585</v>
      </c>
      <c r="C313" s="26" t="s">
        <v>643</v>
      </c>
      <c r="D313" s="26" t="s">
        <v>4479</v>
      </c>
      <c r="E313" s="26" t="s">
        <v>5584</v>
      </c>
      <c r="F313" s="26" t="b">
        <v>1</v>
      </c>
      <c r="G313" s="26" t="s">
        <v>5097</v>
      </c>
      <c r="H313" s="26" t="s">
        <v>643</v>
      </c>
      <c r="I313" s="26" t="s">
        <v>505</v>
      </c>
      <c r="J313" s="26" t="b">
        <v>1</v>
      </c>
      <c r="K313" s="26" t="str">
        <f>ISNUMBER(_xlfn.XMATCH(tbldeptemp[[#This Row],[DependencyID]],tblTargets[TargetID]))</f>
        <v>#ERROR!</v>
      </c>
      <c r="L313" s="26" t="str">
        <f>IF(tbldeptemp[[#This Row],[ValidTarget]]=FALSE,"BAD TARGET",IF(tbldeptemp[[#This Row],[ValidDependency]]=FALSE,"BAD DEPENDENCY",""))</f>
        <v>#ERROR!</v>
      </c>
    </row>
    <row r="314" ht="14.25" customHeight="1">
      <c r="A314" s="26" t="s">
        <v>960</v>
      </c>
      <c r="B314" s="26" t="s">
        <v>5586</v>
      </c>
      <c r="C314" s="26" t="s">
        <v>647</v>
      </c>
      <c r="D314" s="26" t="s">
        <v>4479</v>
      </c>
      <c r="E314" s="26" t="s">
        <v>5584</v>
      </c>
      <c r="F314" s="26" t="b">
        <v>1</v>
      </c>
      <c r="G314" s="26" t="s">
        <v>5097</v>
      </c>
      <c r="H314" s="26" t="s">
        <v>647</v>
      </c>
      <c r="I314" s="26" t="s">
        <v>505</v>
      </c>
      <c r="J314" s="26" t="b">
        <v>1</v>
      </c>
      <c r="K314" s="26" t="str">
        <f>ISNUMBER(_xlfn.XMATCH(tbldeptemp[[#This Row],[DependencyID]],tblTargets[TargetID]))</f>
        <v>#ERROR!</v>
      </c>
      <c r="L314" s="26" t="str">
        <f>IF(tbldeptemp[[#This Row],[ValidTarget]]=FALSE,"BAD TARGET",IF(tbldeptemp[[#This Row],[ValidDependency]]=FALSE,"BAD DEPENDENCY",""))</f>
        <v>#ERROR!</v>
      </c>
    </row>
    <row r="315" ht="14.25" customHeight="1">
      <c r="A315" s="26" t="s">
        <v>960</v>
      </c>
      <c r="B315" s="26" t="s">
        <v>5587</v>
      </c>
      <c r="C315" s="26" t="s">
        <v>649</v>
      </c>
      <c r="D315" s="26" t="s">
        <v>4479</v>
      </c>
      <c r="E315" s="26" t="s">
        <v>5584</v>
      </c>
      <c r="F315" s="26" t="b">
        <v>1</v>
      </c>
      <c r="G315" s="26" t="s">
        <v>5100</v>
      </c>
      <c r="H315" s="26" t="s">
        <v>649</v>
      </c>
      <c r="I315" s="26" t="s">
        <v>505</v>
      </c>
      <c r="J315" s="26" t="b">
        <v>1</v>
      </c>
      <c r="K315" s="26" t="str">
        <f>ISNUMBER(_xlfn.XMATCH(tbldeptemp[[#This Row],[DependencyID]],tblTargets[TargetID]))</f>
        <v>#ERROR!</v>
      </c>
      <c r="L315" s="26" t="str">
        <f>IF(tbldeptemp[[#This Row],[ValidTarget]]=FALSE,"BAD TARGET",IF(tbldeptemp[[#This Row],[ValidDependency]]=FALSE,"BAD DEPENDENCY",""))</f>
        <v>#ERROR!</v>
      </c>
    </row>
    <row r="316" ht="14.25" customHeight="1">
      <c r="A316" s="26" t="s">
        <v>960</v>
      </c>
      <c r="B316" s="26" t="s">
        <v>5588</v>
      </c>
      <c r="C316" s="26" t="s">
        <v>654</v>
      </c>
      <c r="D316" s="26" t="s">
        <v>4479</v>
      </c>
      <c r="E316" s="26" t="s">
        <v>5584</v>
      </c>
      <c r="F316" s="26" t="b">
        <v>1</v>
      </c>
      <c r="G316" s="26" t="s">
        <v>5097</v>
      </c>
      <c r="H316" s="26" t="s">
        <v>654</v>
      </c>
      <c r="I316" s="26" t="s">
        <v>505</v>
      </c>
      <c r="J316" s="26" t="b">
        <v>1</v>
      </c>
      <c r="K316" s="26" t="str">
        <f>ISNUMBER(_xlfn.XMATCH(tbldeptemp[[#This Row],[DependencyID]],tblTargets[TargetID]))</f>
        <v>#ERROR!</v>
      </c>
      <c r="L316" s="26" t="str">
        <f>IF(tbldeptemp[[#This Row],[ValidTarget]]=FALSE,"BAD TARGET",IF(tbldeptemp[[#This Row],[ValidDependency]]=FALSE,"BAD DEPENDENCY",""))</f>
        <v>#ERROR!</v>
      </c>
    </row>
    <row r="317" ht="14.25" customHeight="1">
      <c r="A317" s="26" t="s">
        <v>960</v>
      </c>
      <c r="B317" s="26" t="s">
        <v>5589</v>
      </c>
      <c r="C317" s="26" t="s">
        <v>658</v>
      </c>
      <c r="D317" s="26" t="s">
        <v>4479</v>
      </c>
      <c r="E317" s="26" t="s">
        <v>5584</v>
      </c>
      <c r="F317" s="26" t="b">
        <v>1</v>
      </c>
      <c r="G317" s="26" t="s">
        <v>5097</v>
      </c>
      <c r="H317" s="26" t="s">
        <v>658</v>
      </c>
      <c r="I317" s="26" t="s">
        <v>505</v>
      </c>
      <c r="J317" s="26" t="b">
        <v>1</v>
      </c>
      <c r="K317" s="26" t="str">
        <f>ISNUMBER(_xlfn.XMATCH(tbldeptemp[[#This Row],[DependencyID]],tblTargets[TargetID]))</f>
        <v>#ERROR!</v>
      </c>
      <c r="L317" s="26" t="str">
        <f>IF(tbldeptemp[[#This Row],[ValidTarget]]=FALSE,"BAD TARGET",IF(tbldeptemp[[#This Row],[ValidDependency]]=FALSE,"BAD DEPENDENCY",""))</f>
        <v>#ERROR!</v>
      </c>
    </row>
    <row r="318" ht="14.25" customHeight="1">
      <c r="A318" s="26" t="s">
        <v>960</v>
      </c>
      <c r="B318" s="26" t="s">
        <v>5590</v>
      </c>
      <c r="C318" s="26" t="s">
        <v>662</v>
      </c>
      <c r="D318" s="26" t="s">
        <v>4479</v>
      </c>
      <c r="E318" s="26" t="s">
        <v>5584</v>
      </c>
      <c r="F318" s="26" t="b">
        <v>1</v>
      </c>
      <c r="G318" s="26" t="s">
        <v>5097</v>
      </c>
      <c r="H318" s="26" t="s">
        <v>662</v>
      </c>
      <c r="I318" s="26" t="s">
        <v>505</v>
      </c>
      <c r="J318" s="26" t="b">
        <v>1</v>
      </c>
      <c r="K318" s="26" t="str">
        <f>ISNUMBER(_xlfn.XMATCH(tbldeptemp[[#This Row],[DependencyID]],tblTargets[TargetID]))</f>
        <v>#ERROR!</v>
      </c>
      <c r="L318" s="26" t="str">
        <f>IF(tbldeptemp[[#This Row],[ValidTarget]]=FALSE,"BAD TARGET",IF(tbldeptemp[[#This Row],[ValidDependency]]=FALSE,"BAD DEPENDENCY",""))</f>
        <v>#ERROR!</v>
      </c>
    </row>
    <row r="319" ht="14.25" customHeight="1">
      <c r="A319" s="26" t="s">
        <v>960</v>
      </c>
      <c r="B319" s="26" t="s">
        <v>5593</v>
      </c>
      <c r="C319" s="26" t="s">
        <v>785</v>
      </c>
      <c r="D319" s="26" t="s">
        <v>4479</v>
      </c>
      <c r="E319" s="26" t="s">
        <v>5584</v>
      </c>
      <c r="F319" s="26" t="b">
        <v>1</v>
      </c>
      <c r="G319" s="26" t="s">
        <v>5100</v>
      </c>
      <c r="H319" s="26" t="s">
        <v>785</v>
      </c>
      <c r="I319" s="26" t="s">
        <v>505</v>
      </c>
      <c r="J319" s="26" t="b">
        <v>1</v>
      </c>
      <c r="K319" s="26" t="str">
        <f>ISNUMBER(_xlfn.XMATCH(tbldeptemp[[#This Row],[DependencyID]],tblTargets[TargetID]))</f>
        <v>#ERROR!</v>
      </c>
      <c r="L319" s="26" t="str">
        <f>IF(tbldeptemp[[#This Row],[ValidTarget]]=FALSE,"BAD TARGET",IF(tbldeptemp[[#This Row],[ValidDependency]]=FALSE,"BAD DEPENDENCY",""))</f>
        <v>#ERROR!</v>
      </c>
    </row>
    <row r="320" ht="14.25" customHeight="1">
      <c r="A320" s="26" t="s">
        <v>960</v>
      </c>
      <c r="B320" s="26" t="s">
        <v>5595</v>
      </c>
      <c r="C320" s="26" t="s">
        <v>666</v>
      </c>
      <c r="D320" s="26" t="s">
        <v>4489</v>
      </c>
      <c r="E320" s="26" t="s">
        <v>5597</v>
      </c>
      <c r="F320" s="26" t="b">
        <v>1</v>
      </c>
      <c r="G320" s="26" t="s">
        <v>5100</v>
      </c>
      <c r="H320" s="26" t="s">
        <v>666</v>
      </c>
      <c r="I320" s="26" t="s">
        <v>509</v>
      </c>
      <c r="J320" s="26" t="b">
        <v>1</v>
      </c>
      <c r="K320" s="26" t="str">
        <f>ISNUMBER(_xlfn.XMATCH(tbldeptemp[[#This Row],[DependencyID]],tblTargets[TargetID]))</f>
        <v>#ERROR!</v>
      </c>
      <c r="L320" s="26" t="str">
        <f>IF(tbldeptemp[[#This Row],[ValidTarget]]=FALSE,"BAD TARGET",IF(tbldeptemp[[#This Row],[ValidDependency]]=FALSE,"BAD DEPENDENCY",""))</f>
        <v>#ERROR!</v>
      </c>
    </row>
    <row r="321" ht="14.25" customHeight="1">
      <c r="A321" s="26" t="s">
        <v>960</v>
      </c>
      <c r="B321" s="26" t="s">
        <v>5598</v>
      </c>
      <c r="C321" s="26" t="s">
        <v>669</v>
      </c>
      <c r="D321" s="26" t="s">
        <v>4489</v>
      </c>
      <c r="E321" s="26" t="s">
        <v>5597</v>
      </c>
      <c r="F321" s="26" t="b">
        <v>1</v>
      </c>
      <c r="G321" s="26" t="s">
        <v>5097</v>
      </c>
      <c r="H321" s="26" t="s">
        <v>669</v>
      </c>
      <c r="I321" s="26" t="s">
        <v>509</v>
      </c>
      <c r="J321" s="26" t="b">
        <v>1</v>
      </c>
      <c r="K321" s="26" t="str">
        <f>ISNUMBER(_xlfn.XMATCH(tbldeptemp[[#This Row],[DependencyID]],tblTargets[TargetID]))</f>
        <v>#ERROR!</v>
      </c>
      <c r="L321" s="26" t="str">
        <f>IF(tbldeptemp[[#This Row],[ValidTarget]]=FALSE,"BAD TARGET",IF(tbldeptemp[[#This Row],[ValidDependency]]=FALSE,"BAD DEPENDENCY",""))</f>
        <v>#ERROR!</v>
      </c>
    </row>
    <row r="322" ht="14.25" customHeight="1">
      <c r="A322" s="26" t="s">
        <v>960</v>
      </c>
      <c r="B322" s="26" t="s">
        <v>5599</v>
      </c>
      <c r="C322" s="26" t="s">
        <v>673</v>
      </c>
      <c r="D322" s="26" t="s">
        <v>4489</v>
      </c>
      <c r="E322" s="26" t="s">
        <v>5597</v>
      </c>
      <c r="F322" s="26" t="b">
        <v>1</v>
      </c>
      <c r="G322" s="26" t="s">
        <v>5097</v>
      </c>
      <c r="H322" s="26" t="s">
        <v>673</v>
      </c>
      <c r="I322" s="26" t="s">
        <v>509</v>
      </c>
      <c r="J322" s="26" t="b">
        <v>1</v>
      </c>
      <c r="K322" s="26" t="str">
        <f>ISNUMBER(_xlfn.XMATCH(tbldeptemp[[#This Row],[DependencyID]],tblTargets[TargetID]))</f>
        <v>#ERROR!</v>
      </c>
      <c r="L322" s="26" t="str">
        <f>IF(tbldeptemp[[#This Row],[ValidTarget]]=FALSE,"BAD TARGET",IF(tbldeptemp[[#This Row],[ValidDependency]]=FALSE,"BAD DEPENDENCY",""))</f>
        <v>#ERROR!</v>
      </c>
    </row>
    <row r="323" ht="14.25" customHeight="1">
      <c r="A323" s="26" t="s">
        <v>960</v>
      </c>
      <c r="B323" s="26" t="s">
        <v>5600</v>
      </c>
      <c r="C323" s="26" t="s">
        <v>677</v>
      </c>
      <c r="D323" s="26" t="s">
        <v>4489</v>
      </c>
      <c r="E323" s="26" t="s">
        <v>5597</v>
      </c>
      <c r="F323" s="26" t="b">
        <v>1</v>
      </c>
      <c r="G323" s="26" t="s">
        <v>5097</v>
      </c>
      <c r="H323" s="26" t="s">
        <v>677</v>
      </c>
      <c r="I323" s="26" t="s">
        <v>509</v>
      </c>
      <c r="J323" s="26" t="b">
        <v>1</v>
      </c>
      <c r="K323" s="26" t="str">
        <f>ISNUMBER(_xlfn.XMATCH(tbldeptemp[[#This Row],[DependencyID]],tblTargets[TargetID]))</f>
        <v>#ERROR!</v>
      </c>
      <c r="L323" s="26" t="str">
        <f>IF(tbldeptemp[[#This Row],[ValidTarget]]=FALSE,"BAD TARGET",IF(tbldeptemp[[#This Row],[ValidDependency]]=FALSE,"BAD DEPENDENCY",""))</f>
        <v>#ERROR!</v>
      </c>
    </row>
    <row r="324" ht="14.25" customHeight="1">
      <c r="A324" s="26" t="s">
        <v>960</v>
      </c>
      <c r="B324" s="26" t="s">
        <v>5601</v>
      </c>
      <c r="C324" s="26" t="s">
        <v>681</v>
      </c>
      <c r="D324" s="26" t="s">
        <v>4489</v>
      </c>
      <c r="E324" s="26" t="s">
        <v>5597</v>
      </c>
      <c r="F324" s="26" t="b">
        <v>1</v>
      </c>
      <c r="G324" s="26" t="s">
        <v>5097</v>
      </c>
      <c r="H324" s="26" t="s">
        <v>681</v>
      </c>
      <c r="I324" s="26" t="s">
        <v>509</v>
      </c>
      <c r="J324" s="26" t="b">
        <v>1</v>
      </c>
      <c r="K324" s="26" t="str">
        <f>ISNUMBER(_xlfn.XMATCH(tbldeptemp[[#This Row],[DependencyID]],tblTargets[TargetID]))</f>
        <v>#ERROR!</v>
      </c>
      <c r="L324" s="26" t="str">
        <f>IF(tbldeptemp[[#This Row],[ValidTarget]]=FALSE,"BAD TARGET",IF(tbldeptemp[[#This Row],[ValidDependency]]=FALSE,"BAD DEPENDENCY",""))</f>
        <v>#ERROR!</v>
      </c>
    </row>
    <row r="325" ht="14.25" customHeight="1">
      <c r="A325" s="26" t="s">
        <v>960</v>
      </c>
      <c r="B325" s="26" t="s">
        <v>5602</v>
      </c>
      <c r="C325" s="26" t="s">
        <v>685</v>
      </c>
      <c r="D325" s="26" t="s">
        <v>4489</v>
      </c>
      <c r="E325" s="26" t="s">
        <v>5597</v>
      </c>
      <c r="F325" s="26" t="b">
        <v>1</v>
      </c>
      <c r="G325" s="26" t="s">
        <v>5100</v>
      </c>
      <c r="H325" s="26" t="s">
        <v>685</v>
      </c>
      <c r="I325" s="26" t="s">
        <v>509</v>
      </c>
      <c r="J325" s="26" t="b">
        <v>1</v>
      </c>
      <c r="K325" s="26" t="str">
        <f>ISNUMBER(_xlfn.XMATCH(tbldeptemp[[#This Row],[DependencyID]],tblTargets[TargetID]))</f>
        <v>#ERROR!</v>
      </c>
      <c r="L325" s="26" t="str">
        <f>IF(tbldeptemp[[#This Row],[ValidTarget]]=FALSE,"BAD TARGET",IF(tbldeptemp[[#This Row],[ValidDependency]]=FALSE,"BAD DEPENDENCY",""))</f>
        <v>#ERROR!</v>
      </c>
    </row>
    <row r="326" ht="14.25" customHeight="1">
      <c r="A326" s="26" t="s">
        <v>932</v>
      </c>
      <c r="B326" s="26" t="s">
        <v>4384</v>
      </c>
      <c r="C326" s="26" t="s">
        <v>513</v>
      </c>
      <c r="D326" s="26" t="s">
        <v>5603</v>
      </c>
      <c r="E326" s="26" t="s">
        <v>5604</v>
      </c>
      <c r="F326" s="26" t="b">
        <v>0</v>
      </c>
      <c r="G326" s="26" t="s">
        <v>5100</v>
      </c>
      <c r="H326" s="26" t="s">
        <v>513</v>
      </c>
      <c r="I326" s="26" t="s">
        <v>511</v>
      </c>
      <c r="J326" s="26" t="b">
        <v>1</v>
      </c>
      <c r="K326" s="26" t="str">
        <f>ISNUMBER(_xlfn.XMATCH(tbldeptemp[[#This Row],[DependencyID]],tblTargets[TargetID]))</f>
        <v>#ERROR!</v>
      </c>
      <c r="L326" s="26" t="str">
        <f>IF(tbldeptemp[[#This Row],[ValidTarget]]=FALSE,"BAD TARGET",IF(tbldeptemp[[#This Row],[ValidDependency]]=FALSE,"BAD DEPENDENCY",""))</f>
        <v>#ERROR!</v>
      </c>
    </row>
    <row r="327" ht="14.25" customHeight="1">
      <c r="A327" s="26" t="s">
        <v>960</v>
      </c>
      <c r="B327" s="26" t="s">
        <v>5605</v>
      </c>
      <c r="C327" s="26" t="s">
        <v>691</v>
      </c>
      <c r="D327" s="26" t="s">
        <v>4497</v>
      </c>
      <c r="E327" s="26" t="s">
        <v>5606</v>
      </c>
      <c r="F327" s="26" t="b">
        <v>1</v>
      </c>
      <c r="G327" s="26" t="s">
        <v>5100</v>
      </c>
      <c r="H327" s="26" t="s">
        <v>691</v>
      </c>
      <c r="I327" s="26" t="s">
        <v>515</v>
      </c>
      <c r="J327" s="26" t="b">
        <v>1</v>
      </c>
      <c r="K327" s="26" t="str">
        <f>ISNUMBER(_xlfn.XMATCH(tbldeptemp[[#This Row],[DependencyID]],tblTargets[TargetID]))</f>
        <v>#ERROR!</v>
      </c>
      <c r="L327" s="26" t="str">
        <f>IF(tbldeptemp[[#This Row],[ValidTarget]]=FALSE,"BAD TARGET",IF(tbldeptemp[[#This Row],[ValidDependency]]=FALSE,"BAD DEPENDENCY",""))</f>
        <v>#ERROR!</v>
      </c>
    </row>
    <row r="328" ht="14.25" customHeight="1">
      <c r="A328" s="26" t="s">
        <v>960</v>
      </c>
      <c r="B328" s="26" t="s">
        <v>5607</v>
      </c>
      <c r="C328" s="26" t="s">
        <v>695</v>
      </c>
      <c r="D328" s="26" t="s">
        <v>4497</v>
      </c>
      <c r="E328" s="26" t="s">
        <v>5606</v>
      </c>
      <c r="F328" s="26" t="b">
        <v>1</v>
      </c>
      <c r="G328" s="26" t="s">
        <v>5097</v>
      </c>
      <c r="H328" s="26" t="s">
        <v>695</v>
      </c>
      <c r="I328" s="26" t="s">
        <v>515</v>
      </c>
      <c r="J328" s="26" t="b">
        <v>1</v>
      </c>
      <c r="K328" s="26" t="str">
        <f>ISNUMBER(_xlfn.XMATCH(tbldeptemp[[#This Row],[DependencyID]],tblTargets[TargetID]))</f>
        <v>#ERROR!</v>
      </c>
      <c r="L328" s="26" t="str">
        <f>IF(tbldeptemp[[#This Row],[ValidTarget]]=FALSE,"BAD TARGET",IF(tbldeptemp[[#This Row],[ValidDependency]]=FALSE,"BAD DEPENDENCY",""))</f>
        <v>#ERROR!</v>
      </c>
    </row>
    <row r="329" ht="14.25" customHeight="1">
      <c r="A329" s="26" t="s">
        <v>960</v>
      </c>
      <c r="B329" s="26" t="s">
        <v>5608</v>
      </c>
      <c r="C329" s="26" t="s">
        <v>698</v>
      </c>
      <c r="D329" s="26" t="s">
        <v>4499</v>
      </c>
      <c r="E329" s="26" t="s">
        <v>5609</v>
      </c>
      <c r="F329" s="26" t="b">
        <v>1</v>
      </c>
      <c r="G329" s="26" t="s">
        <v>5100</v>
      </c>
      <c r="H329" s="26" t="s">
        <v>698</v>
      </c>
      <c r="I329" s="26" t="s">
        <v>516</v>
      </c>
      <c r="J329" s="26" t="b">
        <v>1</v>
      </c>
      <c r="K329" s="26" t="str">
        <f>ISNUMBER(_xlfn.XMATCH(tbldeptemp[[#This Row],[DependencyID]],tblTargets[TargetID]))</f>
        <v>#ERROR!</v>
      </c>
      <c r="L329" s="26" t="str">
        <f>IF(tbldeptemp[[#This Row],[ValidTarget]]=FALSE,"BAD TARGET",IF(tbldeptemp[[#This Row],[ValidDependency]]=FALSE,"BAD DEPENDENCY",""))</f>
        <v>#ERROR!</v>
      </c>
    </row>
    <row r="330" ht="14.25" customHeight="1">
      <c r="A330" s="26" t="s">
        <v>960</v>
      </c>
      <c r="B330" s="26" t="s">
        <v>5610</v>
      </c>
      <c r="C330" s="26" t="s">
        <v>703</v>
      </c>
      <c r="D330" s="26" t="s">
        <v>4499</v>
      </c>
      <c r="E330" s="26" t="s">
        <v>5609</v>
      </c>
      <c r="F330" s="26" t="b">
        <v>1</v>
      </c>
      <c r="G330" s="26" t="s">
        <v>5097</v>
      </c>
      <c r="H330" s="26" t="s">
        <v>703</v>
      </c>
      <c r="I330" s="26" t="s">
        <v>516</v>
      </c>
      <c r="J330" s="26" t="b">
        <v>1</v>
      </c>
      <c r="K330" s="26" t="str">
        <f>ISNUMBER(_xlfn.XMATCH(tbldeptemp[[#This Row],[DependencyID]],tblTargets[TargetID]))</f>
        <v>#ERROR!</v>
      </c>
      <c r="L330" s="26" t="str">
        <f>IF(tbldeptemp[[#This Row],[ValidTarget]]=FALSE,"BAD TARGET",IF(tbldeptemp[[#This Row],[ValidDependency]]=FALSE,"BAD DEPENDENCY",""))</f>
        <v>#ERROR!</v>
      </c>
    </row>
    <row r="331" ht="14.25" customHeight="1">
      <c r="A331" s="26" t="s">
        <v>960</v>
      </c>
      <c r="B331" s="26" t="s">
        <v>5611</v>
      </c>
      <c r="C331" s="26" t="s">
        <v>707</v>
      </c>
      <c r="D331" s="26" t="s">
        <v>4503</v>
      </c>
      <c r="E331" s="26" t="s">
        <v>5612</v>
      </c>
      <c r="F331" s="26" t="b">
        <v>1</v>
      </c>
      <c r="G331" s="26" t="s">
        <v>5100</v>
      </c>
      <c r="H331" s="26" t="s">
        <v>707</v>
      </c>
      <c r="I331" s="26" t="s">
        <v>518</v>
      </c>
      <c r="J331" s="26" t="b">
        <v>1</v>
      </c>
      <c r="K331" s="26" t="str">
        <f>ISNUMBER(_xlfn.XMATCH(tbldeptemp[[#This Row],[DependencyID]],tblTargets[TargetID]))</f>
        <v>#ERROR!</v>
      </c>
      <c r="L331" s="26" t="str">
        <f>IF(tbldeptemp[[#This Row],[ValidTarget]]=FALSE,"BAD TARGET",IF(tbldeptemp[[#This Row],[ValidDependency]]=FALSE,"BAD DEPENDENCY",""))</f>
        <v>#ERROR!</v>
      </c>
    </row>
    <row r="332" ht="14.25" customHeight="1">
      <c r="A332" s="26" t="s">
        <v>960</v>
      </c>
      <c r="B332" s="26" t="s">
        <v>5615</v>
      </c>
      <c r="C332" s="26" t="s">
        <v>710</v>
      </c>
      <c r="D332" s="26" t="s">
        <v>4503</v>
      </c>
      <c r="E332" s="26" t="s">
        <v>5612</v>
      </c>
      <c r="F332" s="26" t="b">
        <v>1</v>
      </c>
      <c r="G332" s="26" t="s">
        <v>5097</v>
      </c>
      <c r="H332" s="26" t="s">
        <v>710</v>
      </c>
      <c r="I332" s="26" t="s">
        <v>518</v>
      </c>
      <c r="J332" s="26" t="b">
        <v>1</v>
      </c>
      <c r="K332" s="26" t="str">
        <f>ISNUMBER(_xlfn.XMATCH(tbldeptemp[[#This Row],[DependencyID]],tblTargets[TargetID]))</f>
        <v>#ERROR!</v>
      </c>
      <c r="L332" s="26" t="str">
        <f>IF(tbldeptemp[[#This Row],[ValidTarget]]=FALSE,"BAD TARGET",IF(tbldeptemp[[#This Row],[ValidDependency]]=FALSE,"BAD DEPENDENCY",""))</f>
        <v>#ERROR!</v>
      </c>
    </row>
    <row r="333" ht="14.25" customHeight="1">
      <c r="A333" s="26" t="s">
        <v>960</v>
      </c>
      <c r="B333" s="26" t="s">
        <v>5620</v>
      </c>
      <c r="C333" s="26" t="s">
        <v>713</v>
      </c>
      <c r="D333" s="26" t="s">
        <v>4503</v>
      </c>
      <c r="E333" s="26" t="s">
        <v>5612</v>
      </c>
      <c r="F333" s="26" t="b">
        <v>1</v>
      </c>
      <c r="G333" s="26" t="s">
        <v>5097</v>
      </c>
      <c r="H333" s="26" t="s">
        <v>713</v>
      </c>
      <c r="I333" s="26" t="s">
        <v>518</v>
      </c>
      <c r="J333" s="26" t="b">
        <v>1</v>
      </c>
      <c r="K333" s="26" t="str">
        <f>ISNUMBER(_xlfn.XMATCH(tbldeptemp[[#This Row],[DependencyID]],tblTargets[TargetID]))</f>
        <v>#ERROR!</v>
      </c>
      <c r="L333" s="26" t="str">
        <f>IF(tbldeptemp[[#This Row],[ValidTarget]]=FALSE,"BAD TARGET",IF(tbldeptemp[[#This Row],[ValidDependency]]=FALSE,"BAD DEPENDENCY",""))</f>
        <v>#ERROR!</v>
      </c>
    </row>
    <row r="334" ht="14.25" customHeight="1">
      <c r="A334" s="26" t="s">
        <v>960</v>
      </c>
      <c r="B334" s="26" t="s">
        <v>5621</v>
      </c>
      <c r="C334" s="26" t="s">
        <v>716</v>
      </c>
      <c r="D334" s="26" t="s">
        <v>4503</v>
      </c>
      <c r="E334" s="26" t="s">
        <v>5612</v>
      </c>
      <c r="F334" s="26" t="b">
        <v>1</v>
      </c>
      <c r="G334" s="26" t="s">
        <v>5097</v>
      </c>
      <c r="H334" s="26" t="s">
        <v>716</v>
      </c>
      <c r="I334" s="26" t="s">
        <v>518</v>
      </c>
      <c r="J334" s="26" t="b">
        <v>1</v>
      </c>
      <c r="K334" s="26" t="str">
        <f>ISNUMBER(_xlfn.XMATCH(tbldeptemp[[#This Row],[DependencyID]],tblTargets[TargetID]))</f>
        <v>#ERROR!</v>
      </c>
      <c r="L334" s="26" t="str">
        <f>IF(tbldeptemp[[#This Row],[ValidTarget]]=FALSE,"BAD TARGET",IF(tbldeptemp[[#This Row],[ValidDependency]]=FALSE,"BAD DEPENDENCY",""))</f>
        <v>#ERROR!</v>
      </c>
    </row>
    <row r="335" ht="14.25" customHeight="1">
      <c r="A335" s="26" t="s">
        <v>960</v>
      </c>
      <c r="B335" s="26" t="s">
        <v>5622</v>
      </c>
      <c r="C335" s="26" t="s">
        <v>719</v>
      </c>
      <c r="D335" s="26" t="s">
        <v>4503</v>
      </c>
      <c r="E335" s="26" t="s">
        <v>5612</v>
      </c>
      <c r="F335" s="26" t="b">
        <v>1</v>
      </c>
      <c r="G335" s="26" t="s">
        <v>5097</v>
      </c>
      <c r="H335" s="26" t="s">
        <v>719</v>
      </c>
      <c r="I335" s="26" t="s">
        <v>518</v>
      </c>
      <c r="J335" s="26" t="b">
        <v>1</v>
      </c>
      <c r="K335" s="26" t="str">
        <f>ISNUMBER(_xlfn.XMATCH(tbldeptemp[[#This Row],[DependencyID]],tblTargets[TargetID]))</f>
        <v>#ERROR!</v>
      </c>
      <c r="L335" s="26" t="str">
        <f>IF(tbldeptemp[[#This Row],[ValidTarget]]=FALSE,"BAD TARGET",IF(tbldeptemp[[#This Row],[ValidDependency]]=FALSE,"BAD DEPENDENCY",""))</f>
        <v>#ERROR!</v>
      </c>
    </row>
    <row r="336" ht="14.25" customHeight="1">
      <c r="A336" s="26" t="s">
        <v>960</v>
      </c>
      <c r="B336" s="26" t="s">
        <v>5623</v>
      </c>
      <c r="C336" s="26" t="s">
        <v>722</v>
      </c>
      <c r="D336" s="26" t="s">
        <v>4503</v>
      </c>
      <c r="E336" s="26" t="s">
        <v>5612</v>
      </c>
      <c r="F336" s="26" t="b">
        <v>1</v>
      </c>
      <c r="G336" s="26" t="s">
        <v>5100</v>
      </c>
      <c r="H336" s="26" t="s">
        <v>722</v>
      </c>
      <c r="I336" s="26" t="s">
        <v>518</v>
      </c>
      <c r="J336" s="26" t="b">
        <v>1</v>
      </c>
      <c r="K336" s="26" t="str">
        <f>ISNUMBER(_xlfn.XMATCH(tbldeptemp[[#This Row],[DependencyID]],tblTargets[TargetID]))</f>
        <v>#ERROR!</v>
      </c>
      <c r="L336" s="26" t="str">
        <f>IF(tbldeptemp[[#This Row],[ValidTarget]]=FALSE,"BAD TARGET",IF(tbldeptemp[[#This Row],[ValidDependency]]=FALSE,"BAD DEPENDENCY",""))</f>
        <v>#ERROR!</v>
      </c>
    </row>
    <row r="337" ht="14.25" customHeight="1">
      <c r="A337" s="26" t="s">
        <v>960</v>
      </c>
      <c r="B337" s="26" t="s">
        <v>5624</v>
      </c>
      <c r="C337" s="26" t="s">
        <v>727</v>
      </c>
      <c r="D337" s="26" t="s">
        <v>4503</v>
      </c>
      <c r="E337" s="26" t="s">
        <v>5612</v>
      </c>
      <c r="F337" s="26" t="b">
        <v>1</v>
      </c>
      <c r="G337" s="26" t="s">
        <v>5097</v>
      </c>
      <c r="H337" s="26" t="s">
        <v>727</v>
      </c>
      <c r="I337" s="26" t="s">
        <v>518</v>
      </c>
      <c r="J337" s="26" t="b">
        <v>1</v>
      </c>
      <c r="K337" s="26" t="str">
        <f>ISNUMBER(_xlfn.XMATCH(tbldeptemp[[#This Row],[DependencyID]],tblTargets[TargetID]))</f>
        <v>#ERROR!</v>
      </c>
      <c r="L337" s="26" t="str">
        <f>IF(tbldeptemp[[#This Row],[ValidTarget]]=FALSE,"BAD TARGET",IF(tbldeptemp[[#This Row],[ValidDependency]]=FALSE,"BAD DEPENDENCY",""))</f>
        <v>#ERROR!</v>
      </c>
    </row>
    <row r="338" ht="14.25" customHeight="1">
      <c r="A338" s="26" t="s">
        <v>960</v>
      </c>
      <c r="B338" s="26" t="s">
        <v>5625</v>
      </c>
      <c r="C338" s="26" t="s">
        <v>731</v>
      </c>
      <c r="D338" s="26" t="s">
        <v>4503</v>
      </c>
      <c r="E338" s="26" t="s">
        <v>5612</v>
      </c>
      <c r="F338" s="26" t="b">
        <v>1</v>
      </c>
      <c r="G338" s="26" t="s">
        <v>5097</v>
      </c>
      <c r="H338" s="26" t="s">
        <v>731</v>
      </c>
      <c r="I338" s="26" t="s">
        <v>518</v>
      </c>
      <c r="J338" s="26" t="b">
        <v>1</v>
      </c>
      <c r="K338" s="26" t="str">
        <f>ISNUMBER(_xlfn.XMATCH(tbldeptemp[[#This Row],[DependencyID]],tblTargets[TargetID]))</f>
        <v>#ERROR!</v>
      </c>
      <c r="L338" s="26" t="str">
        <f>IF(tbldeptemp[[#This Row],[ValidTarget]]=FALSE,"BAD TARGET",IF(tbldeptemp[[#This Row],[ValidDependency]]=FALSE,"BAD DEPENDENCY",""))</f>
        <v>#ERROR!</v>
      </c>
    </row>
    <row r="339" ht="14.25" customHeight="1">
      <c r="A339" s="26" t="s">
        <v>960</v>
      </c>
      <c r="B339" s="26" t="s">
        <v>5626</v>
      </c>
      <c r="C339" s="26" t="s">
        <v>735</v>
      </c>
      <c r="D339" s="26" t="s">
        <v>4503</v>
      </c>
      <c r="E339" s="26" t="s">
        <v>5612</v>
      </c>
      <c r="F339" s="26" t="b">
        <v>1</v>
      </c>
      <c r="G339" s="26" t="s">
        <v>5097</v>
      </c>
      <c r="H339" s="26" t="s">
        <v>735</v>
      </c>
      <c r="I339" s="26" t="s">
        <v>518</v>
      </c>
      <c r="J339" s="26" t="b">
        <v>1</v>
      </c>
      <c r="K339" s="26" t="str">
        <f>ISNUMBER(_xlfn.XMATCH(tbldeptemp[[#This Row],[DependencyID]],tblTargets[TargetID]))</f>
        <v>#ERROR!</v>
      </c>
      <c r="L339" s="26" t="str">
        <f>IF(tbldeptemp[[#This Row],[ValidTarget]]=FALSE,"BAD TARGET",IF(tbldeptemp[[#This Row],[ValidDependency]]=FALSE,"BAD DEPENDENCY",""))</f>
        <v>#ERROR!</v>
      </c>
    </row>
    <row r="340" ht="14.25" customHeight="1">
      <c r="A340" s="26" t="s">
        <v>960</v>
      </c>
      <c r="B340" s="26" t="s">
        <v>5627</v>
      </c>
      <c r="C340" s="26" t="s">
        <v>739</v>
      </c>
      <c r="D340" s="26" t="s">
        <v>4503</v>
      </c>
      <c r="E340" s="26" t="s">
        <v>5612</v>
      </c>
      <c r="F340" s="26" t="b">
        <v>1</v>
      </c>
      <c r="G340" s="26" t="s">
        <v>5097</v>
      </c>
      <c r="H340" s="26" t="s">
        <v>739</v>
      </c>
      <c r="I340" s="26" t="s">
        <v>518</v>
      </c>
      <c r="J340" s="26" t="b">
        <v>1</v>
      </c>
      <c r="K340" s="26" t="str">
        <f>ISNUMBER(_xlfn.XMATCH(tbldeptemp[[#This Row],[DependencyID]],tblTargets[TargetID]))</f>
        <v>#ERROR!</v>
      </c>
      <c r="L340" s="26" t="str">
        <f>IF(tbldeptemp[[#This Row],[ValidTarget]]=FALSE,"BAD TARGET",IF(tbldeptemp[[#This Row],[ValidDependency]]=FALSE,"BAD DEPENDENCY",""))</f>
        <v>#ERROR!</v>
      </c>
    </row>
    <row r="341" ht="14.25" customHeight="1">
      <c r="A341" s="26" t="s">
        <v>960</v>
      </c>
      <c r="B341" s="26" t="s">
        <v>5628</v>
      </c>
      <c r="C341" s="26" t="s">
        <v>754</v>
      </c>
      <c r="D341" s="26" t="s">
        <v>4503</v>
      </c>
      <c r="E341" s="26" t="s">
        <v>5612</v>
      </c>
      <c r="F341" s="26" t="b">
        <v>1</v>
      </c>
      <c r="G341" s="26" t="s">
        <v>5100</v>
      </c>
      <c r="H341" s="26" t="s">
        <v>754</v>
      </c>
      <c r="I341" s="26" t="s">
        <v>518</v>
      </c>
      <c r="J341" s="26" t="b">
        <v>1</v>
      </c>
      <c r="K341" s="26" t="str">
        <f>ISNUMBER(_xlfn.XMATCH(tbldeptemp[[#This Row],[DependencyID]],tblTargets[TargetID]))</f>
        <v>#ERROR!</v>
      </c>
      <c r="L341" s="26" t="str">
        <f>IF(tbldeptemp[[#This Row],[ValidTarget]]=FALSE,"BAD TARGET",IF(tbldeptemp[[#This Row],[ValidDependency]]=FALSE,"BAD DEPENDENCY",""))</f>
        <v>#ERROR!</v>
      </c>
    </row>
    <row r="342" ht="14.25" customHeight="1">
      <c r="A342" s="26" t="s">
        <v>960</v>
      </c>
      <c r="B342" s="26" t="s">
        <v>5629</v>
      </c>
      <c r="C342" s="26" t="s">
        <v>758</v>
      </c>
      <c r="D342" s="26" t="s">
        <v>4503</v>
      </c>
      <c r="E342" s="26" t="s">
        <v>5612</v>
      </c>
      <c r="F342" s="26" t="b">
        <v>1</v>
      </c>
      <c r="G342" s="26" t="s">
        <v>5097</v>
      </c>
      <c r="H342" s="26" t="s">
        <v>758</v>
      </c>
      <c r="I342" s="26" t="s">
        <v>518</v>
      </c>
      <c r="J342" s="26" t="b">
        <v>1</v>
      </c>
      <c r="K342" s="26" t="str">
        <f>ISNUMBER(_xlfn.XMATCH(tbldeptemp[[#This Row],[DependencyID]],tblTargets[TargetID]))</f>
        <v>#ERROR!</v>
      </c>
      <c r="L342" s="26" t="str">
        <f>IF(tbldeptemp[[#This Row],[ValidTarget]]=FALSE,"BAD TARGET",IF(tbldeptemp[[#This Row],[ValidDependency]]=FALSE,"BAD DEPENDENCY",""))</f>
        <v>#ERROR!</v>
      </c>
    </row>
    <row r="343" ht="14.25" customHeight="1">
      <c r="A343" s="26" t="s">
        <v>960</v>
      </c>
      <c r="B343" s="26" t="s">
        <v>5630</v>
      </c>
      <c r="C343" s="26" t="s">
        <v>762</v>
      </c>
      <c r="D343" s="26" t="s">
        <v>4503</v>
      </c>
      <c r="E343" s="26" t="s">
        <v>5612</v>
      </c>
      <c r="F343" s="26" t="b">
        <v>1</v>
      </c>
      <c r="G343" s="26" t="s">
        <v>5097</v>
      </c>
      <c r="H343" s="26" t="s">
        <v>762</v>
      </c>
      <c r="I343" s="26" t="s">
        <v>518</v>
      </c>
      <c r="J343" s="26" t="b">
        <v>1</v>
      </c>
      <c r="K343" s="26" t="str">
        <f>ISNUMBER(_xlfn.XMATCH(tbldeptemp[[#This Row],[DependencyID]],tblTargets[TargetID]))</f>
        <v>#ERROR!</v>
      </c>
      <c r="L343" s="26" t="str">
        <f>IF(tbldeptemp[[#This Row],[ValidTarget]]=FALSE,"BAD TARGET",IF(tbldeptemp[[#This Row],[ValidDependency]]=FALSE,"BAD DEPENDENCY",""))</f>
        <v>#ERROR!</v>
      </c>
    </row>
    <row r="344" ht="14.25" customHeight="1">
      <c r="A344" s="26" t="s">
        <v>960</v>
      </c>
      <c r="B344" s="26" t="s">
        <v>5631</v>
      </c>
      <c r="C344" s="26" t="s">
        <v>765</v>
      </c>
      <c r="D344" s="26" t="s">
        <v>4503</v>
      </c>
      <c r="E344" s="26" t="s">
        <v>5612</v>
      </c>
      <c r="F344" s="26" t="b">
        <v>1</v>
      </c>
      <c r="G344" s="26" t="s">
        <v>5097</v>
      </c>
      <c r="H344" s="26" t="s">
        <v>765</v>
      </c>
      <c r="I344" s="26" t="s">
        <v>518</v>
      </c>
      <c r="J344" s="26" t="b">
        <v>1</v>
      </c>
      <c r="K344" s="26" t="str">
        <f>ISNUMBER(_xlfn.XMATCH(tbldeptemp[[#This Row],[DependencyID]],tblTargets[TargetID]))</f>
        <v>#ERROR!</v>
      </c>
      <c r="L344" s="26" t="str">
        <f>IF(tbldeptemp[[#This Row],[ValidTarget]]=FALSE,"BAD TARGET",IF(tbldeptemp[[#This Row],[ValidDependency]]=FALSE,"BAD DEPENDENCY",""))</f>
        <v>#ERROR!</v>
      </c>
    </row>
    <row r="345" ht="14.25" customHeight="1">
      <c r="A345" s="26" t="s">
        <v>960</v>
      </c>
      <c r="B345" s="26" t="s">
        <v>5633</v>
      </c>
      <c r="C345" s="26" t="s">
        <v>769</v>
      </c>
      <c r="D345" s="26" t="s">
        <v>4503</v>
      </c>
      <c r="E345" s="26" t="s">
        <v>5612</v>
      </c>
      <c r="F345" s="26" t="b">
        <v>1</v>
      </c>
      <c r="G345" s="26" t="s">
        <v>5097</v>
      </c>
      <c r="H345" s="26" t="s">
        <v>769</v>
      </c>
      <c r="I345" s="26" t="s">
        <v>518</v>
      </c>
      <c r="J345" s="26" t="b">
        <v>1</v>
      </c>
      <c r="K345" s="26" t="str">
        <f>ISNUMBER(_xlfn.XMATCH(tbldeptemp[[#This Row],[DependencyID]],tblTargets[TargetID]))</f>
        <v>#ERROR!</v>
      </c>
      <c r="L345" s="26" t="str">
        <f>IF(tbldeptemp[[#This Row],[ValidTarget]]=FALSE,"BAD TARGET",IF(tbldeptemp[[#This Row],[ValidDependency]]=FALSE,"BAD DEPENDENCY",""))</f>
        <v>#ERROR!</v>
      </c>
    </row>
    <row r="346" ht="14.25" customHeight="1">
      <c r="A346" s="26" t="s">
        <v>960</v>
      </c>
      <c r="B346" s="26" t="s">
        <v>5636</v>
      </c>
      <c r="C346" s="26" t="s">
        <v>773</v>
      </c>
      <c r="D346" s="26" t="s">
        <v>4503</v>
      </c>
      <c r="E346" s="26" t="s">
        <v>5612</v>
      </c>
      <c r="F346" s="26" t="b">
        <v>1</v>
      </c>
      <c r="G346" s="26" t="s">
        <v>5097</v>
      </c>
      <c r="H346" s="26" t="s">
        <v>773</v>
      </c>
      <c r="I346" s="26" t="s">
        <v>518</v>
      </c>
      <c r="J346" s="26" t="b">
        <v>1</v>
      </c>
      <c r="K346" s="26" t="str">
        <f>ISNUMBER(_xlfn.XMATCH(tbldeptemp[[#This Row],[DependencyID]],tblTargets[TargetID]))</f>
        <v>#ERROR!</v>
      </c>
      <c r="L346" s="26" t="str">
        <f>IF(tbldeptemp[[#This Row],[ValidTarget]]=FALSE,"BAD TARGET",IF(tbldeptemp[[#This Row],[ValidDependency]]=FALSE,"BAD DEPENDENCY",""))</f>
        <v>#ERROR!</v>
      </c>
    </row>
    <row r="347" ht="14.25" customHeight="1">
      <c r="A347" s="26" t="s">
        <v>960</v>
      </c>
      <c r="B347" s="26" t="s">
        <v>5640</v>
      </c>
      <c r="C347" s="26" t="s">
        <v>789</v>
      </c>
      <c r="D347" s="26" t="s">
        <v>4526</v>
      </c>
      <c r="E347" s="26" t="s">
        <v>5641</v>
      </c>
      <c r="F347" s="26" t="b">
        <v>1</v>
      </c>
      <c r="G347" s="26" t="s">
        <v>5100</v>
      </c>
      <c r="H347" s="26" t="s">
        <v>789</v>
      </c>
      <c r="I347" s="26" t="s">
        <v>521</v>
      </c>
      <c r="J347" s="26" t="b">
        <v>1</v>
      </c>
      <c r="K347" s="26" t="str">
        <f>ISNUMBER(_xlfn.XMATCH(tbldeptemp[[#This Row],[DependencyID]],tblTargets[TargetID]))</f>
        <v>#ERROR!</v>
      </c>
      <c r="L347" s="26" t="str">
        <f>IF(tbldeptemp[[#This Row],[ValidTarget]]=FALSE,"BAD TARGET",IF(tbldeptemp[[#This Row],[ValidDependency]]=FALSE,"BAD DEPENDENCY",""))</f>
        <v>#ERROR!</v>
      </c>
    </row>
    <row r="348" ht="14.25" customHeight="1">
      <c r="A348" s="26" t="s">
        <v>960</v>
      </c>
      <c r="B348" s="26" t="s">
        <v>5642</v>
      </c>
      <c r="C348" s="26" t="s">
        <v>795</v>
      </c>
      <c r="D348" s="26" t="s">
        <v>4526</v>
      </c>
      <c r="E348" s="26" t="s">
        <v>5641</v>
      </c>
      <c r="F348" s="26" t="b">
        <v>1</v>
      </c>
      <c r="G348" s="26" t="s">
        <v>5097</v>
      </c>
      <c r="H348" s="26" t="s">
        <v>795</v>
      </c>
      <c r="I348" s="26" t="s">
        <v>521</v>
      </c>
      <c r="J348" s="26" t="b">
        <v>1</v>
      </c>
      <c r="K348" s="26" t="str">
        <f>ISNUMBER(_xlfn.XMATCH(tbldeptemp[[#This Row],[DependencyID]],tblTargets[TargetID]))</f>
        <v>#ERROR!</v>
      </c>
      <c r="L348" s="26" t="str">
        <f>IF(tbldeptemp[[#This Row],[ValidTarget]]=FALSE,"BAD TARGET",IF(tbldeptemp[[#This Row],[ValidDependency]]=FALSE,"BAD DEPENDENCY",""))</f>
        <v>#ERROR!</v>
      </c>
    </row>
    <row r="349" ht="14.25" customHeight="1">
      <c r="A349" s="26" t="s">
        <v>960</v>
      </c>
      <c r="B349" s="26" t="s">
        <v>5643</v>
      </c>
      <c r="C349" s="26" t="s">
        <v>799</v>
      </c>
      <c r="D349" s="26" t="s">
        <v>4530</v>
      </c>
      <c r="E349" s="26" t="s">
        <v>5644</v>
      </c>
      <c r="F349" s="26" t="b">
        <v>0</v>
      </c>
      <c r="G349" s="26" t="s">
        <v>5100</v>
      </c>
      <c r="H349" s="26" t="s">
        <v>799</v>
      </c>
      <c r="I349" s="26" t="s">
        <v>523</v>
      </c>
      <c r="J349" s="26" t="b">
        <v>1</v>
      </c>
      <c r="K349" s="26" t="str">
        <f>ISNUMBER(_xlfn.XMATCH(tbldeptemp[[#This Row],[DependencyID]],tblTargets[TargetID]))</f>
        <v>#ERROR!</v>
      </c>
      <c r="L349" s="26" t="str">
        <f>IF(tbldeptemp[[#This Row],[ValidTarget]]=FALSE,"BAD TARGET",IF(tbldeptemp[[#This Row],[ValidDependency]]=FALSE,"BAD DEPENDENCY",""))</f>
        <v>#ERROR!</v>
      </c>
    </row>
    <row r="350" ht="14.25" customHeight="1">
      <c r="A350" s="26" t="s">
        <v>960</v>
      </c>
      <c r="B350" s="26" t="s">
        <v>5645</v>
      </c>
      <c r="C350" s="26" t="s">
        <v>803</v>
      </c>
      <c r="D350" s="26" t="s">
        <v>4530</v>
      </c>
      <c r="E350" s="26" t="s">
        <v>5644</v>
      </c>
      <c r="F350" s="26" t="b">
        <v>0</v>
      </c>
      <c r="G350" s="26" t="s">
        <v>5097</v>
      </c>
      <c r="H350" s="26" t="s">
        <v>803</v>
      </c>
      <c r="I350" s="26" t="s">
        <v>523</v>
      </c>
      <c r="J350" s="26" t="b">
        <v>1</v>
      </c>
      <c r="K350" s="26" t="str">
        <f>ISNUMBER(_xlfn.XMATCH(tbldeptemp[[#This Row],[DependencyID]],tblTargets[TargetID]))</f>
        <v>#ERROR!</v>
      </c>
      <c r="L350" s="26" t="str">
        <f>IF(tbldeptemp[[#This Row],[ValidTarget]]=FALSE,"BAD TARGET",IF(tbldeptemp[[#This Row],[ValidDependency]]=FALSE,"BAD DEPENDENCY",""))</f>
        <v>#ERROR!</v>
      </c>
    </row>
    <row r="351" ht="14.25" customHeight="1">
      <c r="A351" s="26" t="s">
        <v>960</v>
      </c>
      <c r="B351" s="26" t="s">
        <v>5646</v>
      </c>
      <c r="C351" s="26" t="s">
        <v>808</v>
      </c>
      <c r="D351" s="26" t="s">
        <v>4530</v>
      </c>
      <c r="E351" s="26" t="s">
        <v>5644</v>
      </c>
      <c r="F351" s="26" t="b">
        <v>0</v>
      </c>
      <c r="G351" s="26" t="s">
        <v>5097</v>
      </c>
      <c r="H351" s="26" t="s">
        <v>808</v>
      </c>
      <c r="I351" s="26" t="s">
        <v>523</v>
      </c>
      <c r="J351" s="26" t="b">
        <v>1</v>
      </c>
      <c r="K351" s="26" t="str">
        <f>ISNUMBER(_xlfn.XMATCH(tbldeptemp[[#This Row],[DependencyID]],tblTargets[TargetID]))</f>
        <v>#ERROR!</v>
      </c>
      <c r="L351" s="26" t="str">
        <f>IF(tbldeptemp[[#This Row],[ValidTarget]]=FALSE,"BAD TARGET",IF(tbldeptemp[[#This Row],[ValidDependency]]=FALSE,"BAD DEPENDENCY",""))</f>
        <v>#ERROR!</v>
      </c>
    </row>
    <row r="352" ht="14.25" customHeight="1">
      <c r="A352" s="26" t="s">
        <v>960</v>
      </c>
      <c r="B352" s="26" t="s">
        <v>5647</v>
      </c>
      <c r="C352" s="26" t="s">
        <v>811</v>
      </c>
      <c r="D352" s="26" t="s">
        <v>4530</v>
      </c>
      <c r="E352" s="26" t="s">
        <v>5644</v>
      </c>
      <c r="F352" s="26" t="b">
        <v>0</v>
      </c>
      <c r="G352" s="26" t="s">
        <v>5097</v>
      </c>
      <c r="H352" s="26" t="s">
        <v>811</v>
      </c>
      <c r="I352" s="26" t="s">
        <v>523</v>
      </c>
      <c r="J352" s="26" t="b">
        <v>1</v>
      </c>
      <c r="K352" s="26" t="str">
        <f>ISNUMBER(_xlfn.XMATCH(tbldeptemp[[#This Row],[DependencyID]],tblTargets[TargetID]))</f>
        <v>#ERROR!</v>
      </c>
      <c r="L352" s="26" t="str">
        <f>IF(tbldeptemp[[#This Row],[ValidTarget]]=FALSE,"BAD TARGET",IF(tbldeptemp[[#This Row],[ValidDependency]]=FALSE,"BAD DEPENDENCY",""))</f>
        <v>#ERROR!</v>
      </c>
    </row>
    <row r="353" ht="14.25" customHeight="1">
      <c r="A353" s="26" t="s">
        <v>960</v>
      </c>
      <c r="B353" s="26" t="s">
        <v>5648</v>
      </c>
      <c r="C353" s="26" t="s">
        <v>815</v>
      </c>
      <c r="D353" s="26" t="s">
        <v>4530</v>
      </c>
      <c r="E353" s="26" t="s">
        <v>5644</v>
      </c>
      <c r="F353" s="26" t="b">
        <v>0</v>
      </c>
      <c r="G353" s="26" t="s">
        <v>5097</v>
      </c>
      <c r="H353" s="26" t="s">
        <v>815</v>
      </c>
      <c r="I353" s="26" t="s">
        <v>523</v>
      </c>
      <c r="J353" s="26" t="b">
        <v>1</v>
      </c>
      <c r="K353" s="26" t="str">
        <f>ISNUMBER(_xlfn.XMATCH(tbldeptemp[[#This Row],[DependencyID]],tblTargets[TargetID]))</f>
        <v>#ERROR!</v>
      </c>
      <c r="L353" s="26" t="str">
        <f>IF(tbldeptemp[[#This Row],[ValidTarget]]=FALSE,"BAD TARGET",IF(tbldeptemp[[#This Row],[ValidDependency]]=FALSE,"BAD DEPENDENCY",""))</f>
        <v>#ERROR!</v>
      </c>
    </row>
    <row r="354" ht="14.25" customHeight="1">
      <c r="A354" s="26" t="s">
        <v>960</v>
      </c>
      <c r="B354" s="26" t="s">
        <v>5649</v>
      </c>
      <c r="C354" s="26" t="s">
        <v>818</v>
      </c>
      <c r="D354" s="26" t="s">
        <v>4530</v>
      </c>
      <c r="E354" s="26" t="s">
        <v>5644</v>
      </c>
      <c r="F354" s="26" t="b">
        <v>0</v>
      </c>
      <c r="G354" s="26" t="s">
        <v>5100</v>
      </c>
      <c r="H354" s="26" t="s">
        <v>818</v>
      </c>
      <c r="I354" s="26" t="s">
        <v>523</v>
      </c>
      <c r="J354" s="26" t="b">
        <v>1</v>
      </c>
      <c r="K354" s="26" t="str">
        <f>ISNUMBER(_xlfn.XMATCH(tbldeptemp[[#This Row],[DependencyID]],tblTargets[TargetID]))</f>
        <v>#ERROR!</v>
      </c>
      <c r="L354" s="26" t="str">
        <f>IF(tbldeptemp[[#This Row],[ValidTarget]]=FALSE,"BAD TARGET",IF(tbldeptemp[[#This Row],[ValidDependency]]=FALSE,"BAD DEPENDENCY",""))</f>
        <v>#ERROR!</v>
      </c>
    </row>
    <row r="355" ht="14.25" customHeight="1">
      <c r="A355" s="26" t="s">
        <v>960</v>
      </c>
      <c r="B355" s="26" t="s">
        <v>5650</v>
      </c>
      <c r="C355" s="26" t="s">
        <v>822</v>
      </c>
      <c r="D355" s="26" t="s">
        <v>4530</v>
      </c>
      <c r="E355" s="26" t="s">
        <v>5644</v>
      </c>
      <c r="F355" s="26" t="b">
        <v>0</v>
      </c>
      <c r="G355" s="26" t="s">
        <v>5097</v>
      </c>
      <c r="H355" s="26" t="s">
        <v>822</v>
      </c>
      <c r="I355" s="26" t="s">
        <v>523</v>
      </c>
      <c r="J355" s="26" t="b">
        <v>1</v>
      </c>
      <c r="K355" s="26" t="str">
        <f>ISNUMBER(_xlfn.XMATCH(tbldeptemp[[#This Row],[DependencyID]],tblTargets[TargetID]))</f>
        <v>#ERROR!</v>
      </c>
      <c r="L355" s="26" t="str">
        <f>IF(tbldeptemp[[#This Row],[ValidTarget]]=FALSE,"BAD TARGET",IF(tbldeptemp[[#This Row],[ValidDependency]]=FALSE,"BAD DEPENDENCY",""))</f>
        <v>#ERROR!</v>
      </c>
    </row>
    <row r="356" ht="14.25" customHeight="1">
      <c r="A356" s="26" t="s">
        <v>960</v>
      </c>
      <c r="B356" s="26" t="s">
        <v>5651</v>
      </c>
      <c r="C356" s="26" t="s">
        <v>826</v>
      </c>
      <c r="D356" s="26" t="s">
        <v>4530</v>
      </c>
      <c r="E356" s="26" t="s">
        <v>5644</v>
      </c>
      <c r="F356" s="26" t="b">
        <v>0</v>
      </c>
      <c r="G356" s="26" t="s">
        <v>5097</v>
      </c>
      <c r="H356" s="26" t="s">
        <v>826</v>
      </c>
      <c r="I356" s="26" t="s">
        <v>523</v>
      </c>
      <c r="J356" s="26" t="b">
        <v>1</v>
      </c>
      <c r="K356" s="26" t="str">
        <f>ISNUMBER(_xlfn.XMATCH(tbldeptemp[[#This Row],[DependencyID]],tblTargets[TargetID]))</f>
        <v>#ERROR!</v>
      </c>
      <c r="L356" s="26" t="str">
        <f>IF(tbldeptemp[[#This Row],[ValidTarget]]=FALSE,"BAD TARGET",IF(tbldeptemp[[#This Row],[ValidDependency]]=FALSE,"BAD DEPENDENCY",""))</f>
        <v>#ERROR!</v>
      </c>
    </row>
    <row r="357" ht="14.25" customHeight="1">
      <c r="A357" s="26" t="s">
        <v>960</v>
      </c>
      <c r="B357" s="26" t="s">
        <v>5652</v>
      </c>
      <c r="C357" s="26" t="s">
        <v>829</v>
      </c>
      <c r="D357" s="26" t="s">
        <v>4530</v>
      </c>
      <c r="E357" s="26" t="s">
        <v>5644</v>
      </c>
      <c r="F357" s="26" t="b">
        <v>0</v>
      </c>
      <c r="G357" s="26" t="s">
        <v>5097</v>
      </c>
      <c r="H357" s="26" t="s">
        <v>829</v>
      </c>
      <c r="I357" s="26" t="s">
        <v>523</v>
      </c>
      <c r="J357" s="26" t="b">
        <v>1</v>
      </c>
      <c r="K357" s="26" t="str">
        <f>ISNUMBER(_xlfn.XMATCH(tbldeptemp[[#This Row],[DependencyID]],tblTargets[TargetID]))</f>
        <v>#ERROR!</v>
      </c>
      <c r="L357" s="26" t="str">
        <f>IF(tbldeptemp[[#This Row],[ValidTarget]]=FALSE,"BAD TARGET",IF(tbldeptemp[[#This Row],[ValidDependency]]=FALSE,"BAD DEPENDENCY",""))</f>
        <v>#ERROR!</v>
      </c>
    </row>
    <row r="358" ht="14.25" customHeight="1">
      <c r="A358" s="26" t="s">
        <v>960</v>
      </c>
      <c r="B358" s="26" t="s">
        <v>5543</v>
      </c>
      <c r="C358" s="26" t="s">
        <v>546</v>
      </c>
      <c r="D358" s="26" t="s">
        <v>5653</v>
      </c>
      <c r="E358" s="26" t="s">
        <v>5654</v>
      </c>
      <c r="F358" s="26" t="b">
        <v>0</v>
      </c>
      <c r="G358" s="26" t="s">
        <v>5097</v>
      </c>
      <c r="H358" s="26" t="s">
        <v>546</v>
      </c>
      <c r="I358" s="26" t="s">
        <v>544</v>
      </c>
      <c r="J358" s="26" t="b">
        <v>1</v>
      </c>
      <c r="K358" s="26" t="str">
        <f>ISNUMBER(_xlfn.XMATCH(tbldeptemp[[#This Row],[DependencyID]],tblTargets[TargetID]))</f>
        <v>#ERROR!</v>
      </c>
      <c r="L358" s="26" t="str">
        <f>IF(tbldeptemp[[#This Row],[ValidTarget]]=FALSE,"BAD TARGET",IF(tbldeptemp[[#This Row],[ValidDependency]]=FALSE,"BAD DEPENDENCY",""))</f>
        <v>#ERROR!</v>
      </c>
    </row>
    <row r="359" ht="14.25" customHeight="1">
      <c r="A359" s="26" t="s">
        <v>960</v>
      </c>
      <c r="B359" s="26" t="s">
        <v>5544</v>
      </c>
      <c r="C359" s="26" t="s">
        <v>549</v>
      </c>
      <c r="D359" s="26" t="s">
        <v>5656</v>
      </c>
      <c r="E359" s="26" t="s">
        <v>5657</v>
      </c>
      <c r="F359" s="26" t="b">
        <v>0</v>
      </c>
      <c r="G359" s="26" t="s">
        <v>5097</v>
      </c>
      <c r="H359" s="26" t="s">
        <v>549</v>
      </c>
      <c r="I359" s="26" t="s">
        <v>546</v>
      </c>
      <c r="J359" s="26" t="b">
        <v>1</v>
      </c>
      <c r="K359" s="26" t="str">
        <f>ISNUMBER(_xlfn.XMATCH(tbldeptemp[[#This Row],[DependencyID]],tblTargets[TargetID]))</f>
        <v>#ERROR!</v>
      </c>
      <c r="L359" s="26" t="str">
        <f>IF(tbldeptemp[[#This Row],[ValidTarget]]=FALSE,"BAD TARGET",IF(tbldeptemp[[#This Row],[ValidDependency]]=FALSE,"BAD DEPENDENCY",""))</f>
        <v>#ERROR!</v>
      </c>
    </row>
    <row r="360" ht="14.25" customHeight="1">
      <c r="A360" s="26" t="s">
        <v>960</v>
      </c>
      <c r="B360" s="26" t="s">
        <v>5548</v>
      </c>
      <c r="C360" s="26" t="s">
        <v>556</v>
      </c>
      <c r="D360" s="26" t="s">
        <v>5663</v>
      </c>
      <c r="E360" s="26" t="s">
        <v>5664</v>
      </c>
      <c r="F360" s="26" t="b">
        <v>1</v>
      </c>
      <c r="G360" s="26" t="s">
        <v>5097</v>
      </c>
      <c r="H360" s="26" t="s">
        <v>556</v>
      </c>
      <c r="I360" s="26" t="s">
        <v>553</v>
      </c>
      <c r="J360" s="26" t="b">
        <v>1</v>
      </c>
      <c r="K360" s="26" t="str">
        <f>ISNUMBER(_xlfn.XMATCH(tbldeptemp[[#This Row],[DependencyID]],tblTargets[TargetID]))</f>
        <v>#ERROR!</v>
      </c>
      <c r="L360" s="26" t="str">
        <f>IF(tbldeptemp[[#This Row],[ValidTarget]]=FALSE,"BAD TARGET",IF(tbldeptemp[[#This Row],[ValidDependency]]=FALSE,"BAD DEPENDENCY",""))</f>
        <v>#ERROR!</v>
      </c>
    </row>
    <row r="361" ht="14.25" customHeight="1">
      <c r="A361" s="26" t="s">
        <v>960</v>
      </c>
      <c r="B361" s="26" t="s">
        <v>5549</v>
      </c>
      <c r="C361" s="26" t="s">
        <v>558</v>
      </c>
      <c r="D361" s="26" t="s">
        <v>5665</v>
      </c>
      <c r="E361" s="26" t="s">
        <v>5666</v>
      </c>
      <c r="F361" s="26" t="b">
        <v>1</v>
      </c>
      <c r="G361" s="26" t="s">
        <v>5097</v>
      </c>
      <c r="H361" s="26" t="s">
        <v>558</v>
      </c>
      <c r="I361" s="26" t="s">
        <v>556</v>
      </c>
      <c r="J361" s="26" t="b">
        <v>1</v>
      </c>
      <c r="K361" s="26" t="str">
        <f>ISNUMBER(_xlfn.XMATCH(tbldeptemp[[#This Row],[DependencyID]],tblTargets[TargetID]))</f>
        <v>#ERROR!</v>
      </c>
      <c r="L361" s="26" t="str">
        <f>IF(tbldeptemp[[#This Row],[ValidTarget]]=FALSE,"BAD TARGET",IF(tbldeptemp[[#This Row],[ValidDependency]]=FALSE,"BAD DEPENDENCY",""))</f>
        <v>#ERROR!</v>
      </c>
    </row>
    <row r="362" ht="14.25" customHeight="1">
      <c r="A362" s="26" t="s">
        <v>960</v>
      </c>
      <c r="B362" s="26" t="s">
        <v>5550</v>
      </c>
      <c r="C362" s="26" t="s">
        <v>560</v>
      </c>
      <c r="D362" s="26" t="s">
        <v>5667</v>
      </c>
      <c r="E362" s="26" t="s">
        <v>5668</v>
      </c>
      <c r="F362" s="26" t="b">
        <v>1</v>
      </c>
      <c r="G362" s="26" t="s">
        <v>5097</v>
      </c>
      <c r="H362" s="26" t="s">
        <v>560</v>
      </c>
      <c r="I362" s="26" t="s">
        <v>558</v>
      </c>
      <c r="J362" s="26" t="b">
        <v>1</v>
      </c>
      <c r="K362" s="26" t="str">
        <f>ISNUMBER(_xlfn.XMATCH(tbldeptemp[[#This Row],[DependencyID]],tblTargets[TargetID]))</f>
        <v>#ERROR!</v>
      </c>
      <c r="L362" s="26" t="str">
        <f>IF(tbldeptemp[[#This Row],[ValidTarget]]=FALSE,"BAD TARGET",IF(tbldeptemp[[#This Row],[ValidDependency]]=FALSE,"BAD DEPENDENCY",""))</f>
        <v>#ERROR!</v>
      </c>
    </row>
    <row r="363" ht="14.25" customHeight="1">
      <c r="A363" s="26" t="s">
        <v>960</v>
      </c>
      <c r="B363" s="26" t="s">
        <v>5553</v>
      </c>
      <c r="C363" s="26" t="s">
        <v>563</v>
      </c>
      <c r="D363" s="26" t="s">
        <v>5669</v>
      </c>
      <c r="E363" s="26" t="s">
        <v>5670</v>
      </c>
      <c r="F363" s="26" t="b">
        <v>1</v>
      </c>
      <c r="G363" s="26" t="s">
        <v>5097</v>
      </c>
      <c r="H363" s="26" t="s">
        <v>563</v>
      </c>
      <c r="I363" s="26" t="s">
        <v>560</v>
      </c>
      <c r="J363" s="26" t="b">
        <v>1</v>
      </c>
      <c r="K363" s="26" t="str">
        <f>ISNUMBER(_xlfn.XMATCH(tbldeptemp[[#This Row],[DependencyID]],tblTargets[TargetID]))</f>
        <v>#ERROR!</v>
      </c>
      <c r="L363" s="26" t="str">
        <f>IF(tbldeptemp[[#This Row],[ValidTarget]]=FALSE,"BAD TARGET",IF(tbldeptemp[[#This Row],[ValidDependency]]=FALSE,"BAD DEPENDENCY",""))</f>
        <v>#ERROR!</v>
      </c>
    </row>
    <row r="364" ht="14.25" customHeight="1">
      <c r="A364" s="26" t="s">
        <v>960</v>
      </c>
      <c r="B364" s="26" t="s">
        <v>5560</v>
      </c>
      <c r="C364" s="26" t="s">
        <v>586</v>
      </c>
      <c r="D364" s="26" t="s">
        <v>5671</v>
      </c>
      <c r="E364" s="26" t="s">
        <v>5672</v>
      </c>
      <c r="F364" s="26" t="b">
        <v>1</v>
      </c>
      <c r="G364" s="26" t="s">
        <v>5097</v>
      </c>
      <c r="H364" s="26" t="s">
        <v>586</v>
      </c>
      <c r="I364" s="26" t="s">
        <v>584</v>
      </c>
      <c r="J364" s="26" t="b">
        <v>1</v>
      </c>
      <c r="K364" s="26" t="str">
        <f>ISNUMBER(_xlfn.XMATCH(tbldeptemp[[#This Row],[DependencyID]],tblTargets[TargetID]))</f>
        <v>#ERROR!</v>
      </c>
      <c r="L364" s="26" t="str">
        <f>IF(tbldeptemp[[#This Row],[ValidTarget]]=FALSE,"BAD TARGET",IF(tbldeptemp[[#This Row],[ValidDependency]]=FALSE,"BAD DEPENDENCY",""))</f>
        <v>#ERROR!</v>
      </c>
    </row>
    <row r="365" ht="14.25" customHeight="1">
      <c r="A365" s="26" t="s">
        <v>960</v>
      </c>
      <c r="B365" s="26" t="s">
        <v>5564</v>
      </c>
      <c r="C365" s="26" t="s">
        <v>596</v>
      </c>
      <c r="D365" s="26" t="s">
        <v>5673</v>
      </c>
      <c r="E365" s="26" t="s">
        <v>5674</v>
      </c>
      <c r="F365" s="26" t="b">
        <v>0</v>
      </c>
      <c r="G365" s="26" t="s">
        <v>5097</v>
      </c>
      <c r="H365" s="26" t="s">
        <v>596</v>
      </c>
      <c r="I365" s="26" t="s">
        <v>594</v>
      </c>
      <c r="J365" s="26" t="b">
        <v>1</v>
      </c>
      <c r="K365" s="26" t="str">
        <f>ISNUMBER(_xlfn.XMATCH(tbldeptemp[[#This Row],[DependencyID]],tblTargets[TargetID]))</f>
        <v>#ERROR!</v>
      </c>
      <c r="L365" s="26" t="str">
        <f>IF(tbldeptemp[[#This Row],[ValidTarget]]=FALSE,"BAD TARGET",IF(tbldeptemp[[#This Row],[ValidDependency]]=FALSE,"BAD DEPENDENCY",""))</f>
        <v>#ERROR!</v>
      </c>
    </row>
    <row r="366" ht="14.25" customHeight="1">
      <c r="A366" s="26" t="s">
        <v>960</v>
      </c>
      <c r="B366" s="26" t="s">
        <v>5565</v>
      </c>
      <c r="C366" s="26" t="s">
        <v>598</v>
      </c>
      <c r="D366" s="26" t="s">
        <v>5675</v>
      </c>
      <c r="E366" s="26" t="s">
        <v>5676</v>
      </c>
      <c r="F366" s="26" t="b">
        <v>0</v>
      </c>
      <c r="G366" s="26" t="s">
        <v>5097</v>
      </c>
      <c r="H366" s="26" t="s">
        <v>598</v>
      </c>
      <c r="I366" s="26" t="s">
        <v>596</v>
      </c>
      <c r="J366" s="26" t="b">
        <v>1</v>
      </c>
      <c r="K366" s="26" t="str">
        <f>ISNUMBER(_xlfn.XMATCH(tbldeptemp[[#This Row],[DependencyID]],tblTargets[TargetID]))</f>
        <v>#ERROR!</v>
      </c>
      <c r="L366" s="26" t="str">
        <f>IF(tbldeptemp[[#This Row],[ValidTarget]]=FALSE,"BAD TARGET",IF(tbldeptemp[[#This Row],[ValidDependency]]=FALSE,"BAD DEPENDENCY",""))</f>
        <v>#ERROR!</v>
      </c>
    </row>
    <row r="367" ht="14.25" customHeight="1">
      <c r="A367" s="26" t="s">
        <v>960</v>
      </c>
      <c r="B367" s="26" t="s">
        <v>5566</v>
      </c>
      <c r="C367" s="26" t="s">
        <v>600</v>
      </c>
      <c r="D367" s="26" t="s">
        <v>5677</v>
      </c>
      <c r="E367" s="26" t="s">
        <v>5678</v>
      </c>
      <c r="F367" s="26" t="b">
        <v>0</v>
      </c>
      <c r="G367" s="26" t="s">
        <v>5097</v>
      </c>
      <c r="H367" s="26" t="s">
        <v>600</v>
      </c>
      <c r="I367" s="26" t="s">
        <v>598</v>
      </c>
      <c r="J367" s="26" t="b">
        <v>1</v>
      </c>
      <c r="K367" s="26" t="str">
        <f>ISNUMBER(_xlfn.XMATCH(tbldeptemp[[#This Row],[DependencyID]],tblTargets[TargetID]))</f>
        <v>#ERROR!</v>
      </c>
      <c r="L367" s="26" t="str">
        <f>IF(tbldeptemp[[#This Row],[ValidTarget]]=FALSE,"BAD TARGET",IF(tbldeptemp[[#This Row],[ValidDependency]]=FALSE,"BAD DEPENDENCY",""))</f>
        <v>#ERROR!</v>
      </c>
    </row>
    <row r="368" ht="14.25" customHeight="1">
      <c r="A368" s="26" t="s">
        <v>960</v>
      </c>
      <c r="B368" s="26" t="s">
        <v>5567</v>
      </c>
      <c r="C368" s="26" t="s">
        <v>603</v>
      </c>
      <c r="D368" s="26" t="s">
        <v>5679</v>
      </c>
      <c r="E368" s="26" t="s">
        <v>5680</v>
      </c>
      <c r="F368" s="26" t="b">
        <v>0</v>
      </c>
      <c r="G368" s="26" t="s">
        <v>5097</v>
      </c>
      <c r="H368" s="26" t="s">
        <v>603</v>
      </c>
      <c r="I368" s="26" t="s">
        <v>600</v>
      </c>
      <c r="J368" s="26" t="b">
        <v>1</v>
      </c>
      <c r="K368" s="26" t="str">
        <f>ISNUMBER(_xlfn.XMATCH(tbldeptemp[[#This Row],[DependencyID]],tblTargets[TargetID]))</f>
        <v>#ERROR!</v>
      </c>
      <c r="L368" s="26" t="str">
        <f>IF(tbldeptemp[[#This Row],[ValidTarget]]=FALSE,"BAD TARGET",IF(tbldeptemp[[#This Row],[ValidDependency]]=FALSE,"BAD DEPENDENCY",""))</f>
        <v>#ERROR!</v>
      </c>
    </row>
    <row r="369" ht="14.25" customHeight="1">
      <c r="A369" s="26" t="s">
        <v>960</v>
      </c>
      <c r="B369" s="26" t="s">
        <v>5569</v>
      </c>
      <c r="C369" s="26" t="s">
        <v>607</v>
      </c>
      <c r="D369" s="26" t="s">
        <v>5682</v>
      </c>
      <c r="E369" s="26" t="s">
        <v>5683</v>
      </c>
      <c r="F369" s="26" t="b">
        <v>0</v>
      </c>
      <c r="G369" s="26" t="s">
        <v>5097</v>
      </c>
      <c r="H369" s="26" t="s">
        <v>607</v>
      </c>
      <c r="I369" s="26" t="s">
        <v>605</v>
      </c>
      <c r="J369" s="26" t="b">
        <v>1</v>
      </c>
      <c r="K369" s="26" t="str">
        <f>ISNUMBER(_xlfn.XMATCH(tbldeptemp[[#This Row],[DependencyID]],tblTargets[TargetID]))</f>
        <v>#ERROR!</v>
      </c>
      <c r="L369" s="26" t="str">
        <f>IF(tbldeptemp[[#This Row],[ValidTarget]]=FALSE,"BAD TARGET",IF(tbldeptemp[[#This Row],[ValidDependency]]=FALSE,"BAD DEPENDENCY",""))</f>
        <v>#ERROR!</v>
      </c>
    </row>
    <row r="370" ht="14.25" customHeight="1">
      <c r="A370" s="26" t="s">
        <v>960</v>
      </c>
      <c r="B370" s="26" t="s">
        <v>5570</v>
      </c>
      <c r="C370" s="26" t="s">
        <v>610</v>
      </c>
      <c r="D370" s="26" t="s">
        <v>5684</v>
      </c>
      <c r="E370" s="26" t="s">
        <v>5685</v>
      </c>
      <c r="F370" s="26" t="b">
        <v>0</v>
      </c>
      <c r="G370" s="26" t="s">
        <v>5097</v>
      </c>
      <c r="H370" s="26" t="s">
        <v>610</v>
      </c>
      <c r="I370" s="26" t="s">
        <v>607</v>
      </c>
      <c r="J370" s="26" t="b">
        <v>1</v>
      </c>
      <c r="K370" s="26" t="str">
        <f>ISNUMBER(_xlfn.XMATCH(tbldeptemp[[#This Row],[DependencyID]],tblTargets[TargetID]))</f>
        <v>#ERROR!</v>
      </c>
      <c r="L370" s="26" t="str">
        <f>IF(tbldeptemp[[#This Row],[ValidTarget]]=FALSE,"BAD TARGET",IF(tbldeptemp[[#This Row],[ValidDependency]]=FALSE,"BAD DEPENDENCY",""))</f>
        <v>#ERROR!</v>
      </c>
    </row>
    <row r="371" ht="14.25" customHeight="1">
      <c r="A371" s="26" t="s">
        <v>960</v>
      </c>
      <c r="B371" s="26" t="s">
        <v>5571</v>
      </c>
      <c r="C371" s="26" t="s">
        <v>612</v>
      </c>
      <c r="D371" s="26" t="s">
        <v>5686</v>
      </c>
      <c r="E371" s="26" t="s">
        <v>5687</v>
      </c>
      <c r="F371" s="26" t="b">
        <v>0</v>
      </c>
      <c r="G371" s="26" t="s">
        <v>5097</v>
      </c>
      <c r="H371" s="26" t="s">
        <v>612</v>
      </c>
      <c r="I371" s="26" t="s">
        <v>610</v>
      </c>
      <c r="J371" s="26" t="b">
        <v>1</v>
      </c>
      <c r="K371" s="26" t="str">
        <f>ISNUMBER(_xlfn.XMATCH(tbldeptemp[[#This Row],[DependencyID]],tblTargets[TargetID]))</f>
        <v>#ERROR!</v>
      </c>
      <c r="L371" s="26" t="str">
        <f>IF(tbldeptemp[[#This Row],[ValidTarget]]=FALSE,"BAD TARGET",IF(tbldeptemp[[#This Row],[ValidDependency]]=FALSE,"BAD DEPENDENCY",""))</f>
        <v>#ERROR!</v>
      </c>
    </row>
    <row r="372" ht="14.25" customHeight="1">
      <c r="A372" s="26" t="s">
        <v>960</v>
      </c>
      <c r="B372" s="26" t="s">
        <v>5575</v>
      </c>
      <c r="C372" s="26" t="s">
        <v>614</v>
      </c>
      <c r="D372" s="26" t="s">
        <v>5691</v>
      </c>
      <c r="E372" s="26" t="s">
        <v>5693</v>
      </c>
      <c r="F372" s="26" t="b">
        <v>0</v>
      </c>
      <c r="G372" s="26" t="s">
        <v>5097</v>
      </c>
      <c r="H372" s="26" t="s">
        <v>614</v>
      </c>
      <c r="I372" s="26" t="s">
        <v>612</v>
      </c>
      <c r="J372" s="26" t="b">
        <v>1</v>
      </c>
      <c r="K372" s="26" t="str">
        <f>ISNUMBER(_xlfn.XMATCH(tbldeptemp[[#This Row],[DependencyID]],tblTargets[TargetID]))</f>
        <v>#ERROR!</v>
      </c>
      <c r="L372" s="26" t="str">
        <f>IF(tbldeptemp[[#This Row],[ValidTarget]]=FALSE,"BAD TARGET",IF(tbldeptemp[[#This Row],[ValidDependency]]=FALSE,"BAD DEPENDENCY",""))</f>
        <v>#ERROR!</v>
      </c>
    </row>
    <row r="373" ht="14.25" customHeight="1">
      <c r="A373" s="26" t="s">
        <v>960</v>
      </c>
      <c r="B373" s="26" t="s">
        <v>5579</v>
      </c>
      <c r="C373" s="26" t="s">
        <v>618</v>
      </c>
      <c r="D373" s="26" t="s">
        <v>5703</v>
      </c>
      <c r="E373" s="26" t="s">
        <v>5705</v>
      </c>
      <c r="F373" s="26" t="b">
        <v>0</v>
      </c>
      <c r="G373" s="26" t="s">
        <v>5097</v>
      </c>
      <c r="H373" s="26" t="s">
        <v>618</v>
      </c>
      <c r="I373" s="26" t="s">
        <v>616</v>
      </c>
      <c r="J373" s="26" t="b">
        <v>1</v>
      </c>
      <c r="K373" s="26" t="str">
        <f>ISNUMBER(_xlfn.XMATCH(tbldeptemp[[#This Row],[DependencyID]],tblTargets[TargetID]))</f>
        <v>#ERROR!</v>
      </c>
      <c r="L373" s="26" t="str">
        <f>IF(tbldeptemp[[#This Row],[ValidTarget]]=FALSE,"BAD TARGET",IF(tbldeptemp[[#This Row],[ValidDependency]]=FALSE,"BAD DEPENDENCY",""))</f>
        <v>#ERROR!</v>
      </c>
    </row>
    <row r="374" ht="14.25" customHeight="1">
      <c r="A374" s="26" t="s">
        <v>960</v>
      </c>
      <c r="B374" s="26" t="s">
        <v>5580</v>
      </c>
      <c r="C374" s="26" t="s">
        <v>627</v>
      </c>
      <c r="D374" s="26" t="s">
        <v>5712</v>
      </c>
      <c r="E374" s="26" t="s">
        <v>5713</v>
      </c>
      <c r="F374" s="26" t="b">
        <v>0</v>
      </c>
      <c r="G374" s="26" t="s">
        <v>5097</v>
      </c>
      <c r="H374" s="26" t="s">
        <v>627</v>
      </c>
      <c r="I374" s="26" t="s">
        <v>618</v>
      </c>
      <c r="J374" s="26" t="b">
        <v>1</v>
      </c>
      <c r="K374" s="26" t="str">
        <f>ISNUMBER(_xlfn.XMATCH(tbldeptemp[[#This Row],[DependencyID]],tblTargets[TargetID]))</f>
        <v>#ERROR!</v>
      </c>
      <c r="L374" s="26" t="str">
        <f>IF(tbldeptemp[[#This Row],[ValidTarget]]=FALSE,"BAD TARGET",IF(tbldeptemp[[#This Row],[ValidDependency]]=FALSE,"BAD DEPENDENCY",""))</f>
        <v>#ERROR!</v>
      </c>
    </row>
    <row r="375" ht="14.25" customHeight="1">
      <c r="A375" s="26" t="s">
        <v>960</v>
      </c>
      <c r="B375" s="26" t="s">
        <v>5581</v>
      </c>
      <c r="C375" s="26" t="s">
        <v>631</v>
      </c>
      <c r="D375" s="26" t="s">
        <v>5718</v>
      </c>
      <c r="E375" s="26" t="s">
        <v>5719</v>
      </c>
      <c r="F375" s="26" t="b">
        <v>0</v>
      </c>
      <c r="G375" s="26" t="s">
        <v>5097</v>
      </c>
      <c r="H375" s="26" t="s">
        <v>631</v>
      </c>
      <c r="I375" s="26" t="s">
        <v>627</v>
      </c>
      <c r="J375" s="26" t="b">
        <v>1</v>
      </c>
      <c r="K375" s="26" t="str">
        <f>ISNUMBER(_xlfn.XMATCH(tbldeptemp[[#This Row],[DependencyID]],tblTargets[TargetID]))</f>
        <v>#ERROR!</v>
      </c>
      <c r="L375" s="26" t="str">
        <f>IF(tbldeptemp[[#This Row],[ValidTarget]]=FALSE,"BAD TARGET",IF(tbldeptemp[[#This Row],[ValidDependency]]=FALSE,"BAD DEPENDENCY",""))</f>
        <v>#ERROR!</v>
      </c>
    </row>
    <row r="376" ht="14.25" customHeight="1">
      <c r="A376" s="26" t="s">
        <v>960</v>
      </c>
      <c r="B376" s="26" t="s">
        <v>5582</v>
      </c>
      <c r="C376" s="26" t="s">
        <v>635</v>
      </c>
      <c r="D376" s="26" t="s">
        <v>5724</v>
      </c>
      <c r="E376" s="26" t="s">
        <v>5725</v>
      </c>
      <c r="F376" s="26" t="b">
        <v>0</v>
      </c>
      <c r="G376" s="26" t="s">
        <v>5097</v>
      </c>
      <c r="H376" s="26" t="s">
        <v>635</v>
      </c>
      <c r="I376" s="26" t="s">
        <v>631</v>
      </c>
      <c r="J376" s="26" t="b">
        <v>1</v>
      </c>
      <c r="K376" s="26" t="str">
        <f>ISNUMBER(_xlfn.XMATCH(tbldeptemp[[#This Row],[DependencyID]],tblTargets[TargetID]))</f>
        <v>#ERROR!</v>
      </c>
      <c r="L376" s="26" t="str">
        <f>IF(tbldeptemp[[#This Row],[ValidTarget]]=FALSE,"BAD TARGET",IF(tbldeptemp[[#This Row],[ValidDependency]]=FALSE,"BAD DEPENDENCY",""))</f>
        <v>#ERROR!</v>
      </c>
    </row>
    <row r="377" ht="14.25" customHeight="1">
      <c r="A377" s="26" t="s">
        <v>960</v>
      </c>
      <c r="B377" s="26" t="s">
        <v>5585</v>
      </c>
      <c r="C377" s="26" t="s">
        <v>643</v>
      </c>
      <c r="D377" s="26" t="s">
        <v>5728</v>
      </c>
      <c r="E377" s="26" t="s">
        <v>5729</v>
      </c>
      <c r="F377" s="26" t="b">
        <v>1</v>
      </c>
      <c r="G377" s="26" t="s">
        <v>5097</v>
      </c>
      <c r="H377" s="26" t="s">
        <v>643</v>
      </c>
      <c r="I377" s="26" t="s">
        <v>640</v>
      </c>
      <c r="J377" s="26" t="b">
        <v>1</v>
      </c>
      <c r="K377" s="26" t="str">
        <f>ISNUMBER(_xlfn.XMATCH(tbldeptemp[[#This Row],[DependencyID]],tblTargets[TargetID]))</f>
        <v>#ERROR!</v>
      </c>
      <c r="L377" s="26" t="str">
        <f>IF(tbldeptemp[[#This Row],[ValidTarget]]=FALSE,"BAD TARGET",IF(tbldeptemp[[#This Row],[ValidDependency]]=FALSE,"BAD DEPENDENCY",""))</f>
        <v>#ERROR!</v>
      </c>
    </row>
    <row r="378" ht="14.25" customHeight="1">
      <c r="A378" s="26" t="s">
        <v>960</v>
      </c>
      <c r="B378" s="26" t="s">
        <v>5586</v>
      </c>
      <c r="C378" s="26" t="s">
        <v>647</v>
      </c>
      <c r="D378" s="26" t="s">
        <v>5733</v>
      </c>
      <c r="E378" s="26" t="s">
        <v>5734</v>
      </c>
      <c r="F378" s="26" t="b">
        <v>0</v>
      </c>
      <c r="G378" s="26" t="s">
        <v>5097</v>
      </c>
      <c r="H378" s="26" t="s">
        <v>647</v>
      </c>
      <c r="I378" s="26" t="s">
        <v>643</v>
      </c>
      <c r="J378" s="26" t="b">
        <v>1</v>
      </c>
      <c r="K378" s="26" t="str">
        <f>ISNUMBER(_xlfn.XMATCH(tbldeptemp[[#This Row],[DependencyID]],tblTargets[TargetID]))</f>
        <v>#ERROR!</v>
      </c>
      <c r="L378" s="26" t="str">
        <f>IF(tbldeptemp[[#This Row],[ValidTarget]]=FALSE,"BAD TARGET",IF(tbldeptemp[[#This Row],[ValidDependency]]=FALSE,"BAD DEPENDENCY",""))</f>
        <v>#ERROR!</v>
      </c>
    </row>
    <row r="379" ht="14.25" customHeight="1">
      <c r="A379" s="26" t="s">
        <v>960</v>
      </c>
      <c r="B379" s="26" t="s">
        <v>5588</v>
      </c>
      <c r="C379" s="26" t="s">
        <v>654</v>
      </c>
      <c r="D379" s="26" t="s">
        <v>5740</v>
      </c>
      <c r="E379" s="26" t="s">
        <v>5742</v>
      </c>
      <c r="F379" s="26" t="b">
        <v>1</v>
      </c>
      <c r="G379" s="26" t="s">
        <v>5097</v>
      </c>
      <c r="H379" s="26" t="s">
        <v>654</v>
      </c>
      <c r="I379" s="26" t="s">
        <v>649</v>
      </c>
      <c r="J379" s="26" t="b">
        <v>1</v>
      </c>
      <c r="K379" s="26" t="str">
        <f>ISNUMBER(_xlfn.XMATCH(tbldeptemp[[#This Row],[DependencyID]],tblTargets[TargetID]))</f>
        <v>#ERROR!</v>
      </c>
      <c r="L379" s="26" t="str">
        <f>IF(tbldeptemp[[#This Row],[ValidTarget]]=FALSE,"BAD TARGET",IF(tbldeptemp[[#This Row],[ValidDependency]]=FALSE,"BAD DEPENDENCY",""))</f>
        <v>#ERROR!</v>
      </c>
    </row>
    <row r="380" ht="14.25" customHeight="1">
      <c r="A380" s="26" t="s">
        <v>960</v>
      </c>
      <c r="B380" s="26" t="s">
        <v>5589</v>
      </c>
      <c r="C380" s="26" t="s">
        <v>658</v>
      </c>
      <c r="D380" s="26" t="s">
        <v>5746</v>
      </c>
      <c r="E380" s="26" t="s">
        <v>5747</v>
      </c>
      <c r="F380" s="26" t="b">
        <v>1</v>
      </c>
      <c r="G380" s="26" t="s">
        <v>5097</v>
      </c>
      <c r="H380" s="26" t="s">
        <v>658</v>
      </c>
      <c r="I380" s="26" t="s">
        <v>654</v>
      </c>
      <c r="J380" s="26" t="b">
        <v>1</v>
      </c>
      <c r="K380" s="26" t="str">
        <f>ISNUMBER(_xlfn.XMATCH(tbldeptemp[[#This Row],[DependencyID]],tblTargets[TargetID]))</f>
        <v>#ERROR!</v>
      </c>
      <c r="L380" s="26" t="str">
        <f>IF(tbldeptemp[[#This Row],[ValidTarget]]=FALSE,"BAD TARGET",IF(tbldeptemp[[#This Row],[ValidDependency]]=FALSE,"BAD DEPENDENCY",""))</f>
        <v>#ERROR!</v>
      </c>
    </row>
    <row r="381" ht="14.25" customHeight="1">
      <c r="A381" s="26" t="s">
        <v>960</v>
      </c>
      <c r="B381" s="26" t="s">
        <v>5598</v>
      </c>
      <c r="C381" s="26" t="s">
        <v>669</v>
      </c>
      <c r="D381" s="26" t="s">
        <v>5753</v>
      </c>
      <c r="E381" s="26" t="s">
        <v>5754</v>
      </c>
      <c r="F381" s="26" t="b">
        <v>1</v>
      </c>
      <c r="G381" s="26" t="s">
        <v>5097</v>
      </c>
      <c r="H381" s="26" t="s">
        <v>669</v>
      </c>
      <c r="I381" s="26" t="s">
        <v>666</v>
      </c>
      <c r="J381" s="26" t="b">
        <v>1</v>
      </c>
      <c r="K381" s="26" t="str">
        <f>ISNUMBER(_xlfn.XMATCH(tbldeptemp[[#This Row],[DependencyID]],tblTargets[TargetID]))</f>
        <v>#ERROR!</v>
      </c>
      <c r="L381" s="26" t="str">
        <f>IF(tbldeptemp[[#This Row],[ValidTarget]]=FALSE,"BAD TARGET",IF(tbldeptemp[[#This Row],[ValidDependency]]=FALSE,"BAD DEPENDENCY",""))</f>
        <v>#ERROR!</v>
      </c>
    </row>
    <row r="382" ht="14.25" customHeight="1">
      <c r="A382" s="26" t="s">
        <v>960</v>
      </c>
      <c r="B382" s="26" t="s">
        <v>5599</v>
      </c>
      <c r="C382" s="26" t="s">
        <v>673</v>
      </c>
      <c r="D382" s="26" t="s">
        <v>5759</v>
      </c>
      <c r="E382" s="26" t="s">
        <v>5760</v>
      </c>
      <c r="F382" s="26" t="b">
        <v>1</v>
      </c>
      <c r="G382" s="26" t="s">
        <v>5097</v>
      </c>
      <c r="H382" s="26" t="s">
        <v>673</v>
      </c>
      <c r="I382" s="26" t="s">
        <v>669</v>
      </c>
      <c r="J382" s="26" t="b">
        <v>1</v>
      </c>
      <c r="K382" s="26" t="str">
        <f>ISNUMBER(_xlfn.XMATCH(tbldeptemp[[#This Row],[DependencyID]],tblTargets[TargetID]))</f>
        <v>#ERROR!</v>
      </c>
      <c r="L382" s="26" t="str">
        <f>IF(tbldeptemp[[#This Row],[ValidTarget]]=FALSE,"BAD TARGET",IF(tbldeptemp[[#This Row],[ValidDependency]]=FALSE,"BAD DEPENDENCY",""))</f>
        <v>#ERROR!</v>
      </c>
    </row>
    <row r="383" ht="14.25" customHeight="1">
      <c r="A383" s="26" t="s">
        <v>960</v>
      </c>
      <c r="B383" s="26" t="s">
        <v>5600</v>
      </c>
      <c r="C383" s="26" t="s">
        <v>677</v>
      </c>
      <c r="D383" s="26" t="s">
        <v>5765</v>
      </c>
      <c r="E383" s="26" t="s">
        <v>5766</v>
      </c>
      <c r="F383" s="26" t="b">
        <v>0</v>
      </c>
      <c r="G383" s="26" t="s">
        <v>5097</v>
      </c>
      <c r="H383" s="26" t="s">
        <v>677</v>
      </c>
      <c r="I383" s="26" t="s">
        <v>673</v>
      </c>
      <c r="J383" s="26" t="b">
        <v>1</v>
      </c>
      <c r="K383" s="26" t="str">
        <f>ISNUMBER(_xlfn.XMATCH(tbldeptemp[[#This Row],[DependencyID]],tblTargets[TargetID]))</f>
        <v>#ERROR!</v>
      </c>
      <c r="L383" s="26" t="str">
        <f>IF(tbldeptemp[[#This Row],[ValidTarget]]=FALSE,"BAD TARGET",IF(tbldeptemp[[#This Row],[ValidDependency]]=FALSE,"BAD DEPENDENCY",""))</f>
        <v>#ERROR!</v>
      </c>
    </row>
    <row r="384" ht="14.25" customHeight="1">
      <c r="A384" s="26" t="s">
        <v>960</v>
      </c>
      <c r="B384" s="26" t="s">
        <v>5601</v>
      </c>
      <c r="C384" s="26" t="s">
        <v>681</v>
      </c>
      <c r="D384" s="26" t="s">
        <v>5771</v>
      </c>
      <c r="E384" s="26" t="s">
        <v>5772</v>
      </c>
      <c r="F384" s="26" t="b">
        <v>0</v>
      </c>
      <c r="G384" s="26" t="s">
        <v>5097</v>
      </c>
      <c r="H384" s="26" t="s">
        <v>681</v>
      </c>
      <c r="I384" s="26" t="s">
        <v>677</v>
      </c>
      <c r="J384" s="26" t="b">
        <v>1</v>
      </c>
      <c r="K384" s="26" t="str">
        <f>ISNUMBER(_xlfn.XMATCH(tbldeptemp[[#This Row],[DependencyID]],tblTargets[TargetID]))</f>
        <v>#ERROR!</v>
      </c>
      <c r="L384" s="26" t="str">
        <f>IF(tbldeptemp[[#This Row],[ValidTarget]]=FALSE,"BAD TARGET",IF(tbldeptemp[[#This Row],[ValidDependency]]=FALSE,"BAD DEPENDENCY",""))</f>
        <v>#ERROR!</v>
      </c>
    </row>
    <row r="385" ht="14.25" customHeight="1">
      <c r="A385" s="26" t="s">
        <v>960</v>
      </c>
      <c r="B385" s="26" t="s">
        <v>5607</v>
      </c>
      <c r="C385" s="26" t="s">
        <v>695</v>
      </c>
      <c r="D385" s="26" t="s">
        <v>5779</v>
      </c>
      <c r="E385" s="26" t="s">
        <v>5780</v>
      </c>
      <c r="F385" s="26" t="b">
        <v>1</v>
      </c>
      <c r="G385" s="26" t="s">
        <v>5097</v>
      </c>
      <c r="H385" s="26" t="s">
        <v>695</v>
      </c>
      <c r="I385" s="26" t="s">
        <v>691</v>
      </c>
      <c r="J385" s="26" t="b">
        <v>1</v>
      </c>
      <c r="K385" s="26" t="str">
        <f>ISNUMBER(_xlfn.XMATCH(tbldeptemp[[#This Row],[DependencyID]],tblTargets[TargetID]))</f>
        <v>#ERROR!</v>
      </c>
      <c r="L385" s="26" t="str">
        <f>IF(tbldeptemp[[#This Row],[ValidTarget]]=FALSE,"BAD TARGET",IF(tbldeptemp[[#This Row],[ValidDependency]]=FALSE,"BAD DEPENDENCY",""))</f>
        <v>#ERROR!</v>
      </c>
    </row>
    <row r="386" ht="14.25" customHeight="1">
      <c r="A386" s="26" t="s">
        <v>960</v>
      </c>
      <c r="B386" s="26" t="s">
        <v>5610</v>
      </c>
      <c r="C386" s="26" t="s">
        <v>703</v>
      </c>
      <c r="D386" s="26" t="s">
        <v>5788</v>
      </c>
      <c r="E386" s="26" t="s">
        <v>5789</v>
      </c>
      <c r="F386" s="26" t="b">
        <v>1</v>
      </c>
      <c r="G386" s="26" t="s">
        <v>5097</v>
      </c>
      <c r="H386" s="26" t="s">
        <v>703</v>
      </c>
      <c r="I386" s="26" t="s">
        <v>698</v>
      </c>
      <c r="J386" s="26" t="b">
        <v>1</v>
      </c>
      <c r="K386" s="26" t="str">
        <f>ISNUMBER(_xlfn.XMATCH(tbldeptemp[[#This Row],[DependencyID]],tblTargets[TargetID]))</f>
        <v>#ERROR!</v>
      </c>
      <c r="L386" s="26" t="str">
        <f>IF(tbldeptemp[[#This Row],[ValidTarget]]=FALSE,"BAD TARGET",IF(tbldeptemp[[#This Row],[ValidDependency]]=FALSE,"BAD DEPENDENCY",""))</f>
        <v>#ERROR!</v>
      </c>
    </row>
    <row r="387" ht="14.25" customHeight="1">
      <c r="A387" s="26" t="s">
        <v>960</v>
      </c>
      <c r="B387" s="26" t="s">
        <v>5615</v>
      </c>
      <c r="C387" s="26" t="s">
        <v>710</v>
      </c>
      <c r="D387" s="26" t="s">
        <v>5797</v>
      </c>
      <c r="E387" s="26" t="s">
        <v>5799</v>
      </c>
      <c r="F387" s="26" t="b">
        <v>1</v>
      </c>
      <c r="G387" s="26" t="s">
        <v>5097</v>
      </c>
      <c r="H387" s="26" t="s">
        <v>710</v>
      </c>
      <c r="I387" s="26" t="s">
        <v>707</v>
      </c>
      <c r="J387" s="26" t="b">
        <v>1</v>
      </c>
      <c r="K387" s="26" t="str">
        <f>ISNUMBER(_xlfn.XMATCH(tbldeptemp[[#This Row],[DependencyID]],tblTargets[TargetID]))</f>
        <v>#ERROR!</v>
      </c>
      <c r="L387" s="26" t="str">
        <f>IF(tbldeptemp[[#This Row],[ValidTarget]]=FALSE,"BAD TARGET",IF(tbldeptemp[[#This Row],[ValidDependency]]=FALSE,"BAD DEPENDENCY",""))</f>
        <v>#ERROR!</v>
      </c>
    </row>
    <row r="388" ht="14.25" customHeight="1">
      <c r="A388" s="26" t="s">
        <v>960</v>
      </c>
      <c r="B388" s="26" t="s">
        <v>5620</v>
      </c>
      <c r="C388" s="26" t="s">
        <v>713</v>
      </c>
      <c r="D388" s="26" t="s">
        <v>5806</v>
      </c>
      <c r="E388" s="26" t="s">
        <v>5807</v>
      </c>
      <c r="F388" s="26" t="b">
        <v>1</v>
      </c>
      <c r="G388" s="26" t="s">
        <v>5097</v>
      </c>
      <c r="H388" s="26" t="s">
        <v>713</v>
      </c>
      <c r="I388" s="26" t="s">
        <v>710</v>
      </c>
      <c r="J388" s="26" t="b">
        <v>1</v>
      </c>
      <c r="K388" s="26" t="str">
        <f>ISNUMBER(_xlfn.XMATCH(tbldeptemp[[#This Row],[DependencyID]],tblTargets[TargetID]))</f>
        <v>#ERROR!</v>
      </c>
      <c r="L388" s="26" t="str">
        <f>IF(tbldeptemp[[#This Row],[ValidTarget]]=FALSE,"BAD TARGET",IF(tbldeptemp[[#This Row],[ValidDependency]]=FALSE,"BAD DEPENDENCY",""))</f>
        <v>#ERROR!</v>
      </c>
    </row>
    <row r="389" ht="14.25" customHeight="1">
      <c r="A389" s="26" t="s">
        <v>960</v>
      </c>
      <c r="B389" s="26" t="s">
        <v>5621</v>
      </c>
      <c r="C389" s="26" t="s">
        <v>716</v>
      </c>
      <c r="D389" s="26" t="s">
        <v>5814</v>
      </c>
      <c r="E389" s="26" t="s">
        <v>5815</v>
      </c>
      <c r="F389" s="26" t="b">
        <v>1</v>
      </c>
      <c r="G389" s="26" t="s">
        <v>5097</v>
      </c>
      <c r="H389" s="26" t="s">
        <v>716</v>
      </c>
      <c r="I389" s="26" t="s">
        <v>713</v>
      </c>
      <c r="J389" s="26" t="b">
        <v>1</v>
      </c>
      <c r="K389" s="26" t="str">
        <f>ISNUMBER(_xlfn.XMATCH(tbldeptemp[[#This Row],[DependencyID]],tblTargets[TargetID]))</f>
        <v>#ERROR!</v>
      </c>
      <c r="L389" s="26" t="str">
        <f>IF(tbldeptemp[[#This Row],[ValidTarget]]=FALSE,"BAD TARGET",IF(tbldeptemp[[#This Row],[ValidDependency]]=FALSE,"BAD DEPENDENCY",""))</f>
        <v>#ERROR!</v>
      </c>
    </row>
    <row r="390" ht="14.25" customHeight="1">
      <c r="A390" s="26" t="s">
        <v>960</v>
      </c>
      <c r="B390" s="26" t="s">
        <v>5622</v>
      </c>
      <c r="C390" s="26" t="s">
        <v>719</v>
      </c>
      <c r="D390" s="26" t="s">
        <v>5822</v>
      </c>
      <c r="E390" s="26" t="s">
        <v>5823</v>
      </c>
      <c r="F390" s="26" t="b">
        <v>0</v>
      </c>
      <c r="G390" s="26" t="s">
        <v>5097</v>
      </c>
      <c r="H390" s="26" t="s">
        <v>719</v>
      </c>
      <c r="I390" s="26" t="s">
        <v>716</v>
      </c>
      <c r="J390" s="26" t="b">
        <v>1</v>
      </c>
      <c r="K390" s="26" t="str">
        <f>ISNUMBER(_xlfn.XMATCH(tbldeptemp[[#This Row],[DependencyID]],tblTargets[TargetID]))</f>
        <v>#ERROR!</v>
      </c>
      <c r="L390" s="26" t="str">
        <f>IF(tbldeptemp[[#This Row],[ValidTarget]]=FALSE,"BAD TARGET",IF(tbldeptemp[[#This Row],[ValidDependency]]=FALSE,"BAD DEPENDENCY",""))</f>
        <v>#ERROR!</v>
      </c>
    </row>
    <row r="391" ht="14.25" customHeight="1">
      <c r="A391" s="26" t="s">
        <v>960</v>
      </c>
      <c r="B391" s="26" t="s">
        <v>5624</v>
      </c>
      <c r="C391" s="26" t="s">
        <v>727</v>
      </c>
      <c r="D391" s="26" t="s">
        <v>5830</v>
      </c>
      <c r="E391" s="26" t="s">
        <v>5832</v>
      </c>
      <c r="F391" s="26" t="b">
        <v>1</v>
      </c>
      <c r="G391" s="26" t="s">
        <v>5097</v>
      </c>
      <c r="H391" s="26" t="s">
        <v>727</v>
      </c>
      <c r="I391" s="26" t="s">
        <v>722</v>
      </c>
      <c r="J391" s="26" t="b">
        <v>1</v>
      </c>
      <c r="K391" s="26" t="str">
        <f>ISNUMBER(_xlfn.XMATCH(tbldeptemp[[#This Row],[DependencyID]],tblTargets[TargetID]))</f>
        <v>#ERROR!</v>
      </c>
      <c r="L391" s="26" t="str">
        <f>IF(tbldeptemp[[#This Row],[ValidTarget]]=FALSE,"BAD TARGET",IF(tbldeptemp[[#This Row],[ValidDependency]]=FALSE,"BAD DEPENDENCY",""))</f>
        <v>#ERROR!</v>
      </c>
    </row>
    <row r="392" ht="14.25" customHeight="1">
      <c r="A392" s="26" t="s">
        <v>960</v>
      </c>
      <c r="B392" s="26" t="s">
        <v>5625</v>
      </c>
      <c r="C392" s="26" t="s">
        <v>731</v>
      </c>
      <c r="D392" s="26" t="s">
        <v>5841</v>
      </c>
      <c r="E392" s="26" t="s">
        <v>5842</v>
      </c>
      <c r="F392" s="26" t="b">
        <v>1</v>
      </c>
      <c r="G392" s="26" t="s">
        <v>5097</v>
      </c>
      <c r="H392" s="26" t="s">
        <v>731</v>
      </c>
      <c r="I392" s="26" t="s">
        <v>727</v>
      </c>
      <c r="J392" s="26" t="b">
        <v>1</v>
      </c>
      <c r="K392" s="26" t="str">
        <f>ISNUMBER(_xlfn.XMATCH(tbldeptemp[[#This Row],[DependencyID]],tblTargets[TargetID]))</f>
        <v>#ERROR!</v>
      </c>
      <c r="L392" s="26" t="str">
        <f>IF(tbldeptemp[[#This Row],[ValidTarget]]=FALSE,"BAD TARGET",IF(tbldeptemp[[#This Row],[ValidDependency]]=FALSE,"BAD DEPENDENCY",""))</f>
        <v>#ERROR!</v>
      </c>
    </row>
    <row r="393" ht="14.25" customHeight="1">
      <c r="A393" s="26" t="s">
        <v>960</v>
      </c>
      <c r="B393" s="26" t="s">
        <v>5626</v>
      </c>
      <c r="C393" s="26" t="s">
        <v>735</v>
      </c>
      <c r="D393" s="26" t="s">
        <v>5849</v>
      </c>
      <c r="E393" s="26" t="s">
        <v>5850</v>
      </c>
      <c r="F393" s="26" t="b">
        <v>0</v>
      </c>
      <c r="G393" s="26" t="s">
        <v>5097</v>
      </c>
      <c r="H393" s="26" t="s">
        <v>735</v>
      </c>
      <c r="I393" s="26" t="s">
        <v>731</v>
      </c>
      <c r="J393" s="26" t="b">
        <v>1</v>
      </c>
      <c r="K393" s="26" t="str">
        <f>ISNUMBER(_xlfn.XMATCH(tbldeptemp[[#This Row],[DependencyID]],tblTargets[TargetID]))</f>
        <v>#ERROR!</v>
      </c>
      <c r="L393" s="26" t="str">
        <f>IF(tbldeptemp[[#This Row],[ValidTarget]]=FALSE,"BAD TARGET",IF(tbldeptemp[[#This Row],[ValidDependency]]=FALSE,"BAD DEPENDENCY",""))</f>
        <v>#ERROR!</v>
      </c>
    </row>
    <row r="394" ht="14.25" customHeight="1">
      <c r="A394" s="26" t="s">
        <v>960</v>
      </c>
      <c r="B394" s="26" t="s">
        <v>5627</v>
      </c>
      <c r="C394" s="26" t="s">
        <v>739</v>
      </c>
      <c r="D394" s="26" t="s">
        <v>5856</v>
      </c>
      <c r="E394" s="26" t="s">
        <v>5858</v>
      </c>
      <c r="F394" s="26" t="b">
        <v>0</v>
      </c>
      <c r="G394" s="26" t="s">
        <v>5097</v>
      </c>
      <c r="H394" s="26" t="s">
        <v>739</v>
      </c>
      <c r="I394" s="26" t="s">
        <v>735</v>
      </c>
      <c r="J394" s="26" t="b">
        <v>1</v>
      </c>
      <c r="K394" s="26" t="str">
        <f>ISNUMBER(_xlfn.XMATCH(tbldeptemp[[#This Row],[DependencyID]],tblTargets[TargetID]))</f>
        <v>#ERROR!</v>
      </c>
      <c r="L394" s="26" t="str">
        <f>IF(tbldeptemp[[#This Row],[ValidTarget]]=FALSE,"BAD TARGET",IF(tbldeptemp[[#This Row],[ValidDependency]]=FALSE,"BAD DEPENDENCY",""))</f>
        <v>#ERROR!</v>
      </c>
    </row>
    <row r="395" ht="14.25" customHeight="1">
      <c r="A395" s="26" t="s">
        <v>960</v>
      </c>
      <c r="B395" s="26" t="s">
        <v>5629</v>
      </c>
      <c r="C395" s="26" t="s">
        <v>758</v>
      </c>
      <c r="D395" s="26" t="s">
        <v>5865</v>
      </c>
      <c r="E395" s="26" t="s">
        <v>5866</v>
      </c>
      <c r="F395" s="26" t="b">
        <v>1</v>
      </c>
      <c r="G395" s="26" t="s">
        <v>5097</v>
      </c>
      <c r="H395" s="26" t="s">
        <v>758</v>
      </c>
      <c r="I395" s="26" t="s">
        <v>754</v>
      </c>
      <c r="J395" s="26" t="b">
        <v>1</v>
      </c>
      <c r="K395" s="26" t="str">
        <f>ISNUMBER(_xlfn.XMATCH(tbldeptemp[[#This Row],[DependencyID]],tblTargets[TargetID]))</f>
        <v>#ERROR!</v>
      </c>
      <c r="L395" s="26" t="str">
        <f>IF(tbldeptemp[[#This Row],[ValidTarget]]=FALSE,"BAD TARGET",IF(tbldeptemp[[#This Row],[ValidDependency]]=FALSE,"BAD DEPENDENCY",""))</f>
        <v>#ERROR!</v>
      </c>
    </row>
    <row r="396" ht="14.25" customHeight="1">
      <c r="A396" s="26" t="s">
        <v>960</v>
      </c>
      <c r="B396" s="26" t="s">
        <v>5630</v>
      </c>
      <c r="C396" s="26" t="s">
        <v>762</v>
      </c>
      <c r="D396" s="26" t="s">
        <v>5873</v>
      </c>
      <c r="E396" s="26" t="s">
        <v>5874</v>
      </c>
      <c r="F396" s="26" t="b">
        <v>1</v>
      </c>
      <c r="G396" s="26" t="s">
        <v>5097</v>
      </c>
      <c r="H396" s="26" t="s">
        <v>762</v>
      </c>
      <c r="I396" s="26" t="s">
        <v>758</v>
      </c>
      <c r="J396" s="26" t="b">
        <v>1</v>
      </c>
      <c r="K396" s="26" t="str">
        <f>ISNUMBER(_xlfn.XMATCH(tbldeptemp[[#This Row],[DependencyID]],tblTargets[TargetID]))</f>
        <v>#ERROR!</v>
      </c>
      <c r="L396" s="26" t="str">
        <f>IF(tbldeptemp[[#This Row],[ValidTarget]]=FALSE,"BAD TARGET",IF(tbldeptemp[[#This Row],[ValidDependency]]=FALSE,"BAD DEPENDENCY",""))</f>
        <v>#ERROR!</v>
      </c>
    </row>
    <row r="397" ht="14.25" customHeight="1">
      <c r="A397" s="26" t="s">
        <v>960</v>
      </c>
      <c r="B397" s="26" t="s">
        <v>5631</v>
      </c>
      <c r="C397" s="26" t="s">
        <v>765</v>
      </c>
      <c r="D397" s="26" t="s">
        <v>5881</v>
      </c>
      <c r="E397" s="26" t="s">
        <v>5882</v>
      </c>
      <c r="F397" s="26" t="b">
        <v>1</v>
      </c>
      <c r="G397" s="26" t="s">
        <v>5097</v>
      </c>
      <c r="H397" s="26" t="s">
        <v>765</v>
      </c>
      <c r="I397" s="26" t="s">
        <v>762</v>
      </c>
      <c r="J397" s="26" t="b">
        <v>1</v>
      </c>
      <c r="K397" s="26" t="str">
        <f>ISNUMBER(_xlfn.XMATCH(tbldeptemp[[#This Row],[DependencyID]],tblTargets[TargetID]))</f>
        <v>#ERROR!</v>
      </c>
      <c r="L397" s="26" t="str">
        <f>IF(tbldeptemp[[#This Row],[ValidTarget]]=FALSE,"BAD TARGET",IF(tbldeptemp[[#This Row],[ValidDependency]]=FALSE,"BAD DEPENDENCY",""))</f>
        <v>#ERROR!</v>
      </c>
    </row>
    <row r="398" ht="14.25" customHeight="1">
      <c r="A398" s="26" t="s">
        <v>960</v>
      </c>
      <c r="B398" s="26" t="s">
        <v>5633</v>
      </c>
      <c r="C398" s="26" t="s">
        <v>769</v>
      </c>
      <c r="D398" s="26" t="s">
        <v>5890</v>
      </c>
      <c r="E398" s="26" t="s">
        <v>5891</v>
      </c>
      <c r="F398" s="26" t="b">
        <v>0</v>
      </c>
      <c r="G398" s="26" t="s">
        <v>5097</v>
      </c>
      <c r="H398" s="26" t="s">
        <v>769</v>
      </c>
      <c r="I398" s="26" t="s">
        <v>765</v>
      </c>
      <c r="J398" s="26" t="b">
        <v>1</v>
      </c>
      <c r="K398" s="26" t="str">
        <f>ISNUMBER(_xlfn.XMATCH(tbldeptemp[[#This Row],[DependencyID]],tblTargets[TargetID]))</f>
        <v>#ERROR!</v>
      </c>
      <c r="L398" s="26" t="str">
        <f>IF(tbldeptemp[[#This Row],[ValidTarget]]=FALSE,"BAD TARGET",IF(tbldeptemp[[#This Row],[ValidDependency]]=FALSE,"BAD DEPENDENCY",""))</f>
        <v>#ERROR!</v>
      </c>
    </row>
    <row r="399" ht="14.25" customHeight="1">
      <c r="A399" s="26" t="s">
        <v>960</v>
      </c>
      <c r="B399" s="26" t="s">
        <v>5642</v>
      </c>
      <c r="C399" s="26" t="s">
        <v>795</v>
      </c>
      <c r="D399" s="26" t="s">
        <v>5901</v>
      </c>
      <c r="E399" s="26" t="s">
        <v>5902</v>
      </c>
      <c r="F399" s="26" t="b">
        <v>1</v>
      </c>
      <c r="G399" s="26" t="s">
        <v>5097</v>
      </c>
      <c r="H399" s="26" t="s">
        <v>795</v>
      </c>
      <c r="I399" s="26" t="s">
        <v>789</v>
      </c>
      <c r="J399" s="26" t="b">
        <v>1</v>
      </c>
      <c r="K399" s="26" t="str">
        <f>ISNUMBER(_xlfn.XMATCH(tbldeptemp[[#This Row],[DependencyID]],tblTargets[TargetID]))</f>
        <v>#ERROR!</v>
      </c>
      <c r="L399" s="26" t="str">
        <f>IF(tbldeptemp[[#This Row],[ValidTarget]]=FALSE,"BAD TARGET",IF(tbldeptemp[[#This Row],[ValidDependency]]=FALSE,"BAD DEPENDENCY",""))</f>
        <v>#ERROR!</v>
      </c>
    </row>
    <row r="400" ht="14.25" customHeight="1">
      <c r="A400" s="26" t="s">
        <v>960</v>
      </c>
      <c r="B400" s="26" t="s">
        <v>5645</v>
      </c>
      <c r="C400" s="26" t="s">
        <v>803</v>
      </c>
      <c r="D400" s="26" t="s">
        <v>5907</v>
      </c>
      <c r="E400" s="26" t="s">
        <v>5909</v>
      </c>
      <c r="F400" s="26" t="b">
        <v>0</v>
      </c>
      <c r="G400" s="26" t="s">
        <v>5097</v>
      </c>
      <c r="H400" s="26" t="s">
        <v>803</v>
      </c>
      <c r="I400" s="26" t="s">
        <v>799</v>
      </c>
      <c r="J400" s="26" t="b">
        <v>1</v>
      </c>
      <c r="K400" s="26" t="str">
        <f>ISNUMBER(_xlfn.XMATCH(tbldeptemp[[#This Row],[DependencyID]],tblTargets[TargetID]))</f>
        <v>#ERROR!</v>
      </c>
      <c r="L400" s="26" t="str">
        <f>IF(tbldeptemp[[#This Row],[ValidTarget]]=FALSE,"BAD TARGET",IF(tbldeptemp[[#This Row],[ValidDependency]]=FALSE,"BAD DEPENDENCY",""))</f>
        <v>#ERROR!</v>
      </c>
    </row>
    <row r="401" ht="14.25" customHeight="1">
      <c r="A401" s="26" t="s">
        <v>960</v>
      </c>
      <c r="B401" s="26" t="s">
        <v>5646</v>
      </c>
      <c r="C401" s="26" t="s">
        <v>808</v>
      </c>
      <c r="D401" s="26" t="s">
        <v>5911</v>
      </c>
      <c r="E401" s="26" t="s">
        <v>5912</v>
      </c>
      <c r="F401" s="26" t="b">
        <v>0</v>
      </c>
      <c r="G401" s="26" t="s">
        <v>5097</v>
      </c>
      <c r="H401" s="26" t="s">
        <v>808</v>
      </c>
      <c r="I401" s="26" t="s">
        <v>803</v>
      </c>
      <c r="J401" s="26" t="b">
        <v>1</v>
      </c>
      <c r="K401" s="26" t="str">
        <f>ISNUMBER(_xlfn.XMATCH(tbldeptemp[[#This Row],[DependencyID]],tblTargets[TargetID]))</f>
        <v>#ERROR!</v>
      </c>
      <c r="L401" s="26" t="str">
        <f>IF(tbldeptemp[[#This Row],[ValidTarget]]=FALSE,"BAD TARGET",IF(tbldeptemp[[#This Row],[ValidDependency]]=FALSE,"BAD DEPENDENCY",""))</f>
        <v>#ERROR!</v>
      </c>
    </row>
    <row r="402" ht="14.25" customHeight="1">
      <c r="A402" s="26" t="s">
        <v>960</v>
      </c>
      <c r="B402" s="26" t="s">
        <v>5647</v>
      </c>
      <c r="C402" s="26" t="s">
        <v>811</v>
      </c>
      <c r="D402" s="26" t="s">
        <v>5913</v>
      </c>
      <c r="E402" s="26" t="s">
        <v>5914</v>
      </c>
      <c r="F402" s="26" t="b">
        <v>0</v>
      </c>
      <c r="G402" s="26" t="s">
        <v>5097</v>
      </c>
      <c r="H402" s="26" t="s">
        <v>811</v>
      </c>
      <c r="I402" s="26" t="s">
        <v>808</v>
      </c>
      <c r="J402" s="26" t="b">
        <v>1</v>
      </c>
      <c r="K402" s="26" t="str">
        <f>ISNUMBER(_xlfn.XMATCH(tbldeptemp[[#This Row],[DependencyID]],tblTargets[TargetID]))</f>
        <v>#ERROR!</v>
      </c>
      <c r="L402" s="26" t="str">
        <f>IF(tbldeptemp[[#This Row],[ValidTarget]]=FALSE,"BAD TARGET",IF(tbldeptemp[[#This Row],[ValidDependency]]=FALSE,"BAD DEPENDENCY",""))</f>
        <v>#ERROR!</v>
      </c>
    </row>
    <row r="403" ht="14.25" customHeight="1">
      <c r="A403" s="26" t="s">
        <v>960</v>
      </c>
      <c r="B403" s="26" t="s">
        <v>5648</v>
      </c>
      <c r="C403" s="26" t="s">
        <v>815</v>
      </c>
      <c r="D403" s="26" t="s">
        <v>5915</v>
      </c>
      <c r="E403" s="26" t="s">
        <v>5916</v>
      </c>
      <c r="F403" s="26" t="b">
        <v>0</v>
      </c>
      <c r="G403" s="26" t="s">
        <v>5097</v>
      </c>
      <c r="H403" s="26" t="s">
        <v>815</v>
      </c>
      <c r="I403" s="26" t="s">
        <v>811</v>
      </c>
      <c r="J403" s="26" t="b">
        <v>1</v>
      </c>
      <c r="K403" s="26" t="str">
        <f>ISNUMBER(_xlfn.XMATCH(tbldeptemp[[#This Row],[DependencyID]],tblTargets[TargetID]))</f>
        <v>#ERROR!</v>
      </c>
      <c r="L403" s="26" t="str">
        <f>IF(tbldeptemp[[#This Row],[ValidTarget]]=FALSE,"BAD TARGET",IF(tbldeptemp[[#This Row],[ValidDependency]]=FALSE,"BAD DEPENDENCY",""))</f>
        <v>#ERROR!</v>
      </c>
    </row>
    <row r="404" ht="14.25" customHeight="1">
      <c r="A404" s="26" t="s">
        <v>960</v>
      </c>
      <c r="B404" s="26" t="s">
        <v>5650</v>
      </c>
      <c r="C404" s="26" t="s">
        <v>822</v>
      </c>
      <c r="D404" s="26" t="s">
        <v>5917</v>
      </c>
      <c r="E404" s="26" t="s">
        <v>5918</v>
      </c>
      <c r="F404" s="26" t="b">
        <v>0</v>
      </c>
      <c r="G404" s="26" t="s">
        <v>5097</v>
      </c>
      <c r="H404" s="26" t="s">
        <v>822</v>
      </c>
      <c r="I404" s="26" t="s">
        <v>818</v>
      </c>
      <c r="J404" s="26" t="b">
        <v>1</v>
      </c>
      <c r="K404" s="26" t="str">
        <f>ISNUMBER(_xlfn.XMATCH(tbldeptemp[[#This Row],[DependencyID]],tblTargets[TargetID]))</f>
        <v>#ERROR!</v>
      </c>
      <c r="L404" s="26" t="str">
        <f>IF(tbldeptemp[[#This Row],[ValidTarget]]=FALSE,"BAD TARGET",IF(tbldeptemp[[#This Row],[ValidDependency]]=FALSE,"BAD DEPENDENCY",""))</f>
        <v>#ERROR!</v>
      </c>
    </row>
    <row r="405" ht="14.25" customHeight="1">
      <c r="A405" s="26" t="s">
        <v>960</v>
      </c>
      <c r="B405" s="26" t="s">
        <v>5651</v>
      </c>
      <c r="C405" s="26" t="s">
        <v>826</v>
      </c>
      <c r="D405" s="26" t="s">
        <v>5919</v>
      </c>
      <c r="E405" s="26" t="s">
        <v>5920</v>
      </c>
      <c r="F405" s="26" t="b">
        <v>0</v>
      </c>
      <c r="G405" s="26" t="s">
        <v>5097</v>
      </c>
      <c r="H405" s="26" t="s">
        <v>826</v>
      </c>
      <c r="I405" s="26" t="s">
        <v>822</v>
      </c>
      <c r="J405" s="26" t="b">
        <v>1</v>
      </c>
      <c r="K405" s="26" t="str">
        <f>ISNUMBER(_xlfn.XMATCH(tbldeptemp[[#This Row],[DependencyID]],tblTargets[TargetID]))</f>
        <v>#ERROR!</v>
      </c>
      <c r="L405" s="26" t="str">
        <f>IF(tbldeptemp[[#This Row],[ValidTarget]]=FALSE,"BAD TARGET",IF(tbldeptemp[[#This Row],[ValidDependency]]=FALSE,"BAD DEPENDENCY",""))</f>
        <v>#ERROR!</v>
      </c>
    </row>
    <row r="406" ht="14.25" customHeight="1">
      <c r="A406" s="26" t="s">
        <v>960</v>
      </c>
      <c r="B406" s="26" t="s">
        <v>5583</v>
      </c>
      <c r="C406" s="26" t="s">
        <v>640</v>
      </c>
      <c r="D406" s="26" t="s">
        <v>5921</v>
      </c>
      <c r="E406" s="26" t="s">
        <v>5922</v>
      </c>
      <c r="F406" s="26" t="b">
        <v>1</v>
      </c>
      <c r="G406" s="26" t="s">
        <v>5097</v>
      </c>
      <c r="H406" s="26" t="s">
        <v>640</v>
      </c>
      <c r="I406" s="26" t="s">
        <v>876</v>
      </c>
      <c r="J406" s="26" t="b">
        <v>1</v>
      </c>
      <c r="K406" s="26" t="str">
        <f>ISNUMBER(_xlfn.XMATCH(tbldeptemp[[#This Row],[DependencyID]],tblTargets[TargetID]))</f>
        <v>#ERROR!</v>
      </c>
      <c r="L406" s="26" t="str">
        <f>IF(tbldeptemp[[#This Row],[ValidTarget]]=FALSE,"BAD TARGET",IF(tbldeptemp[[#This Row],[ValidDependency]]=FALSE,"BAD DEPENDENCY",""))</f>
        <v>#ERROR!</v>
      </c>
    </row>
    <row r="407" ht="14.25" customHeight="1">
      <c r="A407" s="26" t="s">
        <v>626</v>
      </c>
      <c r="B407" s="26" t="s">
        <v>5923</v>
      </c>
      <c r="C407" s="26" t="s">
        <v>314</v>
      </c>
      <c r="D407" s="26" t="s">
        <v>5924</v>
      </c>
      <c r="E407" s="26" t="s">
        <v>5925</v>
      </c>
      <c r="F407" s="26" t="b">
        <v>0</v>
      </c>
      <c r="G407" s="26" t="s">
        <v>5097</v>
      </c>
      <c r="H407" s="26" t="s">
        <v>314</v>
      </c>
      <c r="I407" s="26" t="s">
        <v>898</v>
      </c>
      <c r="J407" s="26" t="b">
        <v>1</v>
      </c>
      <c r="K407" s="26" t="str">
        <f>ISNUMBER(_xlfn.XMATCH(tbldeptemp[[#This Row],[DependencyID]],tblTargets[TargetID]))</f>
        <v>#ERROR!</v>
      </c>
      <c r="L407" s="26" t="str">
        <f>IF(tbldeptemp[[#This Row],[ValidTarget]]=FALSE,"BAD TARGET",IF(tbldeptemp[[#This Row],[ValidDependency]]=FALSE,"BAD DEPENDENCY",""))</f>
        <v>#ERROR!</v>
      </c>
    </row>
    <row r="408" ht="14.25" customHeight="1">
      <c r="A408" s="26" t="s">
        <v>626</v>
      </c>
      <c r="B408" s="26" t="s">
        <v>5332</v>
      </c>
      <c r="C408" s="26" t="s">
        <v>319</v>
      </c>
      <c r="D408" s="26" t="s">
        <v>5926</v>
      </c>
      <c r="E408" s="26" t="s">
        <v>5925</v>
      </c>
      <c r="F408" s="26" t="b">
        <v>0</v>
      </c>
      <c r="G408" s="26" t="s">
        <v>5097</v>
      </c>
      <c r="H408" s="26" t="s">
        <v>319</v>
      </c>
      <c r="I408" s="26" t="s">
        <v>898</v>
      </c>
      <c r="J408" s="26" t="b">
        <v>1</v>
      </c>
      <c r="K408" s="26" t="str">
        <f>ISNUMBER(_xlfn.XMATCH(tbldeptemp[[#This Row],[DependencyID]],tblTargets[TargetID]))</f>
        <v>#ERROR!</v>
      </c>
      <c r="L408" s="26" t="str">
        <f>IF(tbldeptemp[[#This Row],[ValidTarget]]=FALSE,"BAD TARGET",IF(tbldeptemp[[#This Row],[ValidDependency]]=FALSE,"BAD DEPENDENCY",""))</f>
        <v>#ERROR!</v>
      </c>
    </row>
    <row r="409" ht="14.25" customHeight="1">
      <c r="A409" s="26" t="s">
        <v>626</v>
      </c>
      <c r="B409" s="26" t="s">
        <v>5923</v>
      </c>
      <c r="C409" s="26" t="s">
        <v>314</v>
      </c>
      <c r="D409" s="26" t="s">
        <v>5928</v>
      </c>
      <c r="E409" s="26" t="s">
        <v>5930</v>
      </c>
      <c r="F409" s="26" t="b">
        <v>1</v>
      </c>
      <c r="G409" s="26" t="s">
        <v>5097</v>
      </c>
      <c r="H409" s="26" t="s">
        <v>314</v>
      </c>
      <c r="I409" s="26" t="s">
        <v>905</v>
      </c>
      <c r="J409" s="26" t="b">
        <v>1</v>
      </c>
      <c r="K409" s="26" t="str">
        <f>ISNUMBER(_xlfn.XMATCH(tbldeptemp[[#This Row],[DependencyID]],tblTargets[TargetID]))</f>
        <v>#ERROR!</v>
      </c>
      <c r="L409" s="26" t="str">
        <f>IF(tbldeptemp[[#This Row],[ValidTarget]]=FALSE,"BAD TARGET",IF(tbldeptemp[[#This Row],[ValidDependency]]=FALSE,"BAD DEPENDENCY",""))</f>
        <v>#ERROR!</v>
      </c>
    </row>
    <row r="410" ht="14.25" customHeight="1">
      <c r="A410" s="26" t="s">
        <v>626</v>
      </c>
      <c r="B410" s="26" t="s">
        <v>5332</v>
      </c>
      <c r="C410" s="26" t="s">
        <v>319</v>
      </c>
      <c r="D410" s="26" t="s">
        <v>5928</v>
      </c>
      <c r="E410" s="26" t="s">
        <v>5930</v>
      </c>
      <c r="F410" s="26" t="b">
        <v>1</v>
      </c>
      <c r="G410" s="26" t="s">
        <v>5097</v>
      </c>
      <c r="H410" s="26" t="s">
        <v>319</v>
      </c>
      <c r="I410" s="26" t="s">
        <v>905</v>
      </c>
      <c r="J410" s="26" t="b">
        <v>1</v>
      </c>
      <c r="K410" s="26" t="str">
        <f>ISNUMBER(_xlfn.XMATCH(tbldeptemp[[#This Row],[DependencyID]],tblTargets[TargetID]))</f>
        <v>#ERROR!</v>
      </c>
      <c r="L410" s="26" t="str">
        <f>IF(tbldeptemp[[#This Row],[ValidTarget]]=FALSE,"BAD TARGET",IF(tbldeptemp[[#This Row],[ValidDependency]]=FALSE,"BAD DEPENDENCY",""))</f>
        <v>#ERROR!</v>
      </c>
    </row>
    <row r="411" ht="14.25" customHeight="1">
      <c r="A411" s="26" t="s">
        <v>626</v>
      </c>
      <c r="B411" s="26" t="s">
        <v>5934</v>
      </c>
      <c r="C411" s="26" t="s">
        <v>525</v>
      </c>
      <c r="D411" s="26" t="s">
        <v>5935</v>
      </c>
      <c r="E411" s="26" t="s">
        <v>5936</v>
      </c>
      <c r="F411" s="26" t="b">
        <v>0</v>
      </c>
      <c r="G411" s="26" t="s">
        <v>5097</v>
      </c>
      <c r="H411" s="26" t="s">
        <v>525</v>
      </c>
      <c r="I411" s="26" t="s">
        <v>920</v>
      </c>
      <c r="J411" s="26" t="b">
        <v>1</v>
      </c>
      <c r="K411" s="26" t="str">
        <f>ISNUMBER(_xlfn.XMATCH(tbldeptemp[[#This Row],[DependencyID]],tblTargets[TargetID]))</f>
        <v>#ERROR!</v>
      </c>
      <c r="L411" s="26" t="str">
        <f>IF(tbldeptemp[[#This Row],[ValidTarget]]=FALSE,"BAD TARGET",IF(tbldeptemp[[#This Row],[ValidDependency]]=FALSE,"BAD DEPENDENCY",""))</f>
        <v>#ERROR!</v>
      </c>
    </row>
    <row r="412" ht="14.25" customHeight="1">
      <c r="A412" s="26" t="s">
        <v>626</v>
      </c>
      <c r="B412" s="26" t="s">
        <v>5923</v>
      </c>
      <c r="C412" s="26" t="s">
        <v>314</v>
      </c>
      <c r="D412" s="26" t="s">
        <v>5935</v>
      </c>
      <c r="E412" s="26" t="s">
        <v>5936</v>
      </c>
      <c r="F412" s="26" t="b">
        <v>0</v>
      </c>
      <c r="G412" s="26" t="s">
        <v>5097</v>
      </c>
      <c r="H412" s="26" t="s">
        <v>314</v>
      </c>
      <c r="I412" s="26" t="s">
        <v>920</v>
      </c>
      <c r="J412" s="26" t="b">
        <v>1</v>
      </c>
      <c r="K412" s="26" t="str">
        <f>ISNUMBER(_xlfn.XMATCH(tbldeptemp[[#This Row],[DependencyID]],tblTargets[TargetID]))</f>
        <v>#ERROR!</v>
      </c>
      <c r="L412" s="26" t="str">
        <f>IF(tbldeptemp[[#This Row],[ValidTarget]]=FALSE,"BAD TARGET",IF(tbldeptemp[[#This Row],[ValidDependency]]=FALSE,"BAD DEPENDENCY",""))</f>
        <v>#ERROR!</v>
      </c>
    </row>
    <row r="413" ht="14.25" customHeight="1">
      <c r="B413" s="134" t="s">
        <v>924</v>
      </c>
      <c r="C413" s="134" t="s">
        <v>924</v>
      </c>
      <c r="H413" s="134" t="s">
        <v>924</v>
      </c>
      <c r="I413" s="134" t="s">
        <v>920</v>
      </c>
      <c r="J413" s="26" t="str">
        <f>COUNTIF(tblTargets[TargetID],tbldeptemp[[#This Row],[TargetID]])&gt;0</f>
        <v>#ERROR!</v>
      </c>
      <c r="K413" s="26" t="str">
        <f>ISNUMBER(_xlfn.XMATCH(tbldeptemp[[#This Row],[DependencyID]],tblTargets[TargetID]))</f>
        <v>#ERROR!</v>
      </c>
      <c r="L413" s="26" t="str">
        <f>IF(tbldeptemp[[#This Row],[ValidTarget]]=FALSE,"BAD TARGET",IF(tbldeptemp[[#This Row],[ValidDependency]]=FALSE,"BAD DEPENDENCY",""))</f>
        <v>#ERROR!</v>
      </c>
    </row>
    <row r="414" ht="14.25" customHeight="1">
      <c r="A414" s="26" t="s">
        <v>1151</v>
      </c>
      <c r="B414" s="26" t="s">
        <v>4665</v>
      </c>
      <c r="C414" s="26" t="s">
        <v>933</v>
      </c>
      <c r="D414" s="26" t="s">
        <v>4670</v>
      </c>
      <c r="E414" s="26" t="s">
        <v>5937</v>
      </c>
      <c r="F414" s="26" t="b">
        <v>0</v>
      </c>
      <c r="G414" s="26" t="s">
        <v>5100</v>
      </c>
      <c r="H414" s="26" t="s">
        <v>933</v>
      </c>
      <c r="I414" s="26" t="s">
        <v>924</v>
      </c>
      <c r="J414" s="26" t="b">
        <v>1</v>
      </c>
      <c r="K414" s="26" t="str">
        <f>ISNUMBER(_xlfn.XMATCH(tbldeptemp[[#This Row],[DependencyID]],tblTargets[TargetID]))</f>
        <v>#ERROR!</v>
      </c>
      <c r="L414" s="26" t="str">
        <f>IF(tbldeptemp[[#This Row],[ValidTarget]]=FALSE,"BAD TARGET",IF(tbldeptemp[[#This Row],[ValidDependency]]=FALSE,"BAD DEPENDENCY",""))</f>
        <v>#ERROR!</v>
      </c>
    </row>
    <row r="415" ht="14.25" customHeight="1">
      <c r="A415" s="26" t="s">
        <v>626</v>
      </c>
      <c r="B415" s="26" t="s">
        <v>5934</v>
      </c>
      <c r="C415" s="26" t="s">
        <v>525</v>
      </c>
      <c r="D415" s="26" t="s">
        <v>4070</v>
      </c>
      <c r="E415" s="26" t="s">
        <v>5938</v>
      </c>
      <c r="F415" s="26" t="b">
        <v>0</v>
      </c>
      <c r="G415" s="26" t="s">
        <v>5100</v>
      </c>
      <c r="H415" s="26" t="s">
        <v>525</v>
      </c>
      <c r="I415" s="26" t="s">
        <v>933</v>
      </c>
      <c r="J415" s="26" t="b">
        <v>1</v>
      </c>
      <c r="K415" s="26" t="str">
        <f>ISNUMBER(_xlfn.XMATCH(tbldeptemp[[#This Row],[DependencyID]],tblTargets[TargetID]))</f>
        <v>#ERROR!</v>
      </c>
      <c r="L415" s="26" t="str">
        <f>IF(tbldeptemp[[#This Row],[ValidTarget]]=FALSE,"BAD TARGET",IF(tbldeptemp[[#This Row],[ValidDependency]]=FALSE,"BAD DEPENDENCY",""))</f>
        <v>#ERROR!</v>
      </c>
    </row>
    <row r="416" ht="14.25" customHeight="1">
      <c r="A416" s="134" t="s">
        <v>1151</v>
      </c>
      <c r="B416" s="26" t="s">
        <v>937</v>
      </c>
      <c r="C416" s="26" t="s">
        <v>937</v>
      </c>
      <c r="E416"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16" s="26" t="s">
        <v>937</v>
      </c>
      <c r="I416" s="26" t="s">
        <v>933</v>
      </c>
      <c r="J416" s="26" t="str">
        <f>COUNTIF(tblTargets[TargetID],tbldeptemp[[#This Row],[TargetID]])&gt;0</f>
        <v>#ERROR!</v>
      </c>
      <c r="K416" s="26" t="str">
        <f>ISNUMBER(_xlfn.XMATCH(tbldeptemp[[#This Row],[DependencyID]],tblTargets[TargetID]))</f>
        <v>#ERROR!</v>
      </c>
      <c r="L416" s="26" t="str">
        <f>IF(tbldeptemp[[#This Row],[ValidTarget]]=FALSE,"BAD TARGET",IF(tbldeptemp[[#This Row],[ValidDependency]]=FALSE,"BAD DEPENDENCY",""))</f>
        <v>#ERROR!</v>
      </c>
    </row>
    <row r="417" ht="14.25" customHeight="1">
      <c r="A417" s="26" t="s">
        <v>1151</v>
      </c>
      <c r="B417" s="26" t="s">
        <v>4672</v>
      </c>
      <c r="C417" s="26" t="s">
        <v>942</v>
      </c>
      <c r="D417" s="26" t="s">
        <v>4677</v>
      </c>
      <c r="E417" s="26" t="s">
        <v>5939</v>
      </c>
      <c r="F417" s="26" t="b">
        <v>0</v>
      </c>
      <c r="G417" s="26" t="s">
        <v>5100</v>
      </c>
      <c r="H417" s="26" t="s">
        <v>942</v>
      </c>
      <c r="I417" s="26" t="s">
        <v>937</v>
      </c>
      <c r="J417" s="26" t="b">
        <v>1</v>
      </c>
      <c r="K417" s="26" t="str">
        <f>ISNUMBER(_xlfn.XMATCH(tbldeptemp[[#This Row],[DependencyID]],tblTargets[TargetID]))</f>
        <v>#ERROR!</v>
      </c>
      <c r="L417" s="26" t="str">
        <f>IF(tbldeptemp[[#This Row],[ValidTarget]]=FALSE,"BAD TARGET",IF(tbldeptemp[[#This Row],[ValidDependency]]=FALSE,"BAD DEPENDENCY",""))</f>
        <v>#ERROR!</v>
      </c>
    </row>
    <row r="418" ht="14.25" customHeight="1">
      <c r="A418" s="134" t="s">
        <v>1151</v>
      </c>
      <c r="B418" s="134" t="s">
        <v>945</v>
      </c>
      <c r="C418" s="134" t="s">
        <v>945</v>
      </c>
      <c r="E418"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18" s="134" t="s">
        <v>945</v>
      </c>
      <c r="I418" s="134" t="s">
        <v>942</v>
      </c>
      <c r="J418" s="26" t="str">
        <f>COUNTIF(tblTargets[TargetID],tbldeptemp[[#This Row],[TargetID]])&gt;0</f>
        <v>#ERROR!</v>
      </c>
      <c r="K418" s="26" t="str">
        <f>ISNUMBER(_xlfn.XMATCH(tbldeptemp[[#This Row],[DependencyID]],tblTargets[TargetID]))</f>
        <v>#ERROR!</v>
      </c>
      <c r="L418" s="26" t="str">
        <f>IF(tbldeptemp[[#This Row],[ValidTarget]]=FALSE,"BAD TARGET",IF(tbldeptemp[[#This Row],[ValidDependency]]=FALSE,"BAD DEPENDENCY",""))</f>
        <v>#ERROR!</v>
      </c>
    </row>
    <row r="419" ht="14.25" customHeight="1">
      <c r="A419" s="26" t="s">
        <v>1151</v>
      </c>
      <c r="B419" s="26" t="s">
        <v>4679</v>
      </c>
      <c r="C419" s="26" t="s">
        <v>949</v>
      </c>
      <c r="D419" s="26" t="s">
        <v>4683</v>
      </c>
      <c r="E419" s="26" t="s">
        <v>5945</v>
      </c>
      <c r="F419" s="26" t="b">
        <v>0</v>
      </c>
      <c r="G419" s="26" t="s">
        <v>5100</v>
      </c>
      <c r="H419" s="26" t="s">
        <v>949</v>
      </c>
      <c r="I419" s="26" t="s">
        <v>945</v>
      </c>
      <c r="J419" s="26" t="b">
        <v>1</v>
      </c>
      <c r="K419" s="26" t="str">
        <f>ISNUMBER(_xlfn.XMATCH(tbldeptemp[[#This Row],[DependencyID]],tblTargets[TargetID]))</f>
        <v>#ERROR!</v>
      </c>
      <c r="L419" s="26" t="str">
        <f>IF(tbldeptemp[[#This Row],[ValidTarget]]=FALSE,"BAD TARGET",IF(tbldeptemp[[#This Row],[ValidDependency]]=FALSE,"BAD DEPENDENCY",""))</f>
        <v>#ERROR!</v>
      </c>
    </row>
    <row r="420" ht="14.25" customHeight="1">
      <c r="A420" s="134" t="s">
        <v>1151</v>
      </c>
      <c r="B420" s="26" t="s">
        <v>953</v>
      </c>
      <c r="C420" s="26" t="s">
        <v>953</v>
      </c>
      <c r="E420"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20" s="26" t="s">
        <v>953</v>
      </c>
      <c r="I420" s="26" t="s">
        <v>949</v>
      </c>
      <c r="J420" s="26" t="str">
        <f>COUNTIF(tblTargets[TargetID],tbldeptemp[[#This Row],[TargetID]])&gt;0</f>
        <v>#ERROR!</v>
      </c>
      <c r="K420" s="26" t="str">
        <f>ISNUMBER(_xlfn.XMATCH(tbldeptemp[[#This Row],[DependencyID]],tblTargets[TargetID]))</f>
        <v>#ERROR!</v>
      </c>
      <c r="L420" s="26" t="str">
        <f>IF(tbldeptemp[[#This Row],[ValidTarget]]=FALSE,"BAD TARGET",IF(tbldeptemp[[#This Row],[ValidDependency]]=FALSE,"BAD DEPENDENCY",""))</f>
        <v>#ERROR!</v>
      </c>
    </row>
    <row r="421" ht="14.25" customHeight="1">
      <c r="A421" s="26" t="s">
        <v>626</v>
      </c>
      <c r="B421" s="26" t="s">
        <v>5946</v>
      </c>
      <c r="C421" s="26" t="s">
        <v>310</v>
      </c>
      <c r="D421" s="26" t="s">
        <v>5947</v>
      </c>
      <c r="E421" s="26" t="s">
        <v>5948</v>
      </c>
      <c r="F421" s="26" t="b">
        <v>0</v>
      </c>
      <c r="G421" s="26" t="s">
        <v>5097</v>
      </c>
      <c r="H421" s="26" t="s">
        <v>310</v>
      </c>
      <c r="I421" s="26" t="s">
        <v>953</v>
      </c>
      <c r="J421" s="26" t="b">
        <v>1</v>
      </c>
      <c r="K421" s="26" t="str">
        <f>ISNUMBER(_xlfn.XMATCH(tbldeptemp[[#This Row],[DependencyID]],tblTargets[TargetID]))</f>
        <v>#ERROR!</v>
      </c>
      <c r="L421" s="26" t="str">
        <f>IF(tbldeptemp[[#This Row],[ValidTarget]]=FALSE,"BAD TARGET",IF(tbldeptemp[[#This Row],[ValidDependency]]=FALSE,"BAD DEPENDENCY",""))</f>
        <v>#ERROR!</v>
      </c>
    </row>
    <row r="422" ht="14.25" customHeight="1">
      <c r="A422" s="26" t="s">
        <v>1151</v>
      </c>
      <c r="B422" s="26" t="s">
        <v>4685</v>
      </c>
      <c r="C422" s="26" t="s">
        <v>957</v>
      </c>
      <c r="D422" s="26" t="s">
        <v>4689</v>
      </c>
      <c r="E422" s="26" t="s">
        <v>5948</v>
      </c>
      <c r="F422" s="26" t="b">
        <v>0</v>
      </c>
      <c r="G422" s="26" t="s">
        <v>5100</v>
      </c>
      <c r="H422" s="26" t="s">
        <v>957</v>
      </c>
      <c r="I422" s="26" t="s">
        <v>953</v>
      </c>
      <c r="J422" s="26" t="b">
        <v>1</v>
      </c>
      <c r="K422" s="26" t="str">
        <f>ISNUMBER(_xlfn.XMATCH(tbldeptemp[[#This Row],[DependencyID]],tblTargets[TargetID]))</f>
        <v>#ERROR!</v>
      </c>
      <c r="L422" s="26" t="str">
        <f>IF(tbldeptemp[[#This Row],[ValidTarget]]=FALSE,"BAD TARGET",IF(tbldeptemp[[#This Row],[ValidDependency]]=FALSE,"BAD DEPENDENCY",""))</f>
        <v>#ERROR!</v>
      </c>
    </row>
    <row r="423" ht="14.25" customHeight="1">
      <c r="A423" s="26" t="s">
        <v>1705</v>
      </c>
      <c r="B423" s="26" t="s">
        <v>5369</v>
      </c>
      <c r="C423" s="26" t="s">
        <v>1816</v>
      </c>
      <c r="D423" s="26" t="s">
        <v>4689</v>
      </c>
      <c r="E423" s="26" t="s">
        <v>5948</v>
      </c>
      <c r="F423" s="26" t="b">
        <v>0</v>
      </c>
      <c r="G423" s="26" t="s">
        <v>5097</v>
      </c>
      <c r="H423" s="26" t="s">
        <v>1816</v>
      </c>
      <c r="I423" s="26" t="s">
        <v>953</v>
      </c>
      <c r="J423" s="26" t="b">
        <v>1</v>
      </c>
      <c r="K423" s="26" t="str">
        <f>ISNUMBER(_xlfn.XMATCH(tbldeptemp[[#This Row],[DependencyID]],tblTargets[TargetID]))</f>
        <v>#ERROR!</v>
      </c>
      <c r="L423" s="26" t="str">
        <f>IF(tbldeptemp[[#This Row],[ValidTarget]]=FALSE,"BAD TARGET",IF(tbldeptemp[[#This Row],[ValidDependency]]=FALSE,"BAD DEPENDENCY",""))</f>
        <v>#ERROR!</v>
      </c>
    </row>
    <row r="424" ht="14.25" customHeight="1">
      <c r="A424" s="26" t="s">
        <v>626</v>
      </c>
      <c r="B424" s="26" t="s">
        <v>5344</v>
      </c>
      <c r="C424" s="26" t="s">
        <v>333</v>
      </c>
      <c r="D424" s="26" t="s">
        <v>4194</v>
      </c>
      <c r="E424" s="26" t="s">
        <v>5949</v>
      </c>
      <c r="F424" s="26" t="b">
        <v>0</v>
      </c>
      <c r="G424" s="26" t="s">
        <v>5100</v>
      </c>
      <c r="H424" s="26" t="s">
        <v>333</v>
      </c>
      <c r="I424" s="26" t="s">
        <v>957</v>
      </c>
      <c r="J424" s="26" t="b">
        <v>1</v>
      </c>
      <c r="K424" s="26" t="str">
        <f>ISNUMBER(_xlfn.XMATCH(tbldeptemp[[#This Row],[DependencyID]],tblTargets[TargetID]))</f>
        <v>#ERROR!</v>
      </c>
      <c r="L424" s="26" t="str">
        <f>IF(tbldeptemp[[#This Row],[ValidTarget]]=FALSE,"BAD TARGET",IF(tbldeptemp[[#This Row],[ValidDependency]]=FALSE,"BAD DEPENDENCY",""))</f>
        <v>#ERROR!</v>
      </c>
    </row>
    <row r="425" ht="14.25" customHeight="1">
      <c r="A425" s="134" t="s">
        <v>1151</v>
      </c>
      <c r="B425" s="134" t="s">
        <v>963</v>
      </c>
      <c r="C425" s="134" t="s">
        <v>963</v>
      </c>
      <c r="E425"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25" s="134" t="s">
        <v>963</v>
      </c>
      <c r="I425" s="134" t="s">
        <v>957</v>
      </c>
      <c r="J425" s="26" t="str">
        <f>COUNTIF(tblTargets[TargetID],tbldeptemp[[#This Row],[TargetID]])&gt;0</f>
        <v>#ERROR!</v>
      </c>
      <c r="K425" s="26" t="str">
        <f>ISNUMBER(_xlfn.XMATCH(tbldeptemp[[#This Row],[DependencyID]],tblTargets[TargetID]))</f>
        <v>#ERROR!</v>
      </c>
      <c r="L425" s="26" t="str">
        <f>IF(tbldeptemp[[#This Row],[ValidTarget]]=FALSE,"BAD TARGET",IF(tbldeptemp[[#This Row],[ValidDependency]]=FALSE,"BAD DEPENDENCY",""))</f>
        <v>#ERROR!</v>
      </c>
    </row>
    <row r="426" ht="14.25" customHeight="1">
      <c r="A426" s="26" t="s">
        <v>626</v>
      </c>
      <c r="B426" s="26" t="s">
        <v>5946</v>
      </c>
      <c r="C426" s="26" t="s">
        <v>310</v>
      </c>
      <c r="D426" s="26" t="s">
        <v>4166</v>
      </c>
      <c r="E426" s="26" t="s">
        <v>5954</v>
      </c>
      <c r="F426" s="26" t="b">
        <v>0</v>
      </c>
      <c r="G426" s="26" t="s">
        <v>5100</v>
      </c>
      <c r="H426" s="26" t="s">
        <v>310</v>
      </c>
      <c r="I426" s="26" t="s">
        <v>963</v>
      </c>
      <c r="J426" s="26" t="b">
        <v>1</v>
      </c>
      <c r="K426" s="26" t="str">
        <f>ISNUMBER(_xlfn.XMATCH(tbldeptemp[[#This Row],[DependencyID]],tblTargets[TargetID]))</f>
        <v>#ERROR!</v>
      </c>
      <c r="L426" s="26" t="str">
        <f>IF(tbldeptemp[[#This Row],[ValidTarget]]=FALSE,"BAD TARGET",IF(tbldeptemp[[#This Row],[ValidDependency]]=FALSE,"BAD DEPENDENCY",""))</f>
        <v>#ERROR!</v>
      </c>
    </row>
    <row r="427" ht="14.25" customHeight="1">
      <c r="A427" s="26" t="s">
        <v>1705</v>
      </c>
      <c r="B427" s="26" t="s">
        <v>5369</v>
      </c>
      <c r="C427" s="26" t="s">
        <v>1816</v>
      </c>
      <c r="D427" s="26" t="s">
        <v>5957</v>
      </c>
      <c r="E427" s="26" t="s">
        <v>5954</v>
      </c>
      <c r="F427" s="26" t="b">
        <v>0</v>
      </c>
      <c r="G427" s="26" t="s">
        <v>5097</v>
      </c>
      <c r="H427" s="26" t="s">
        <v>1816</v>
      </c>
      <c r="I427" s="26" t="s">
        <v>963</v>
      </c>
      <c r="J427" s="26" t="b">
        <v>1</v>
      </c>
      <c r="K427" s="26" t="str">
        <f>ISNUMBER(_xlfn.XMATCH(tbldeptemp[[#This Row],[DependencyID]],tblTargets[TargetID]))</f>
        <v>#ERROR!</v>
      </c>
      <c r="L427" s="26" t="str">
        <f>IF(tbldeptemp[[#This Row],[ValidTarget]]=FALSE,"BAD TARGET",IF(tbldeptemp[[#This Row],[ValidDependency]]=FALSE,"BAD DEPENDENCY",""))</f>
        <v>#ERROR!</v>
      </c>
    </row>
    <row r="428" ht="14.25" customHeight="1">
      <c r="A428" s="26" t="s">
        <v>1705</v>
      </c>
      <c r="B428" s="26" t="s">
        <v>5474</v>
      </c>
      <c r="C428" s="26" t="s">
        <v>1874</v>
      </c>
      <c r="D428" s="26" t="s">
        <v>5958</v>
      </c>
      <c r="E428" s="26" t="s">
        <v>5954</v>
      </c>
      <c r="F428" s="26" t="b">
        <v>0</v>
      </c>
      <c r="G428" s="26" t="s">
        <v>5097</v>
      </c>
      <c r="H428" s="26" t="s">
        <v>1874</v>
      </c>
      <c r="I428" s="26" t="s">
        <v>963</v>
      </c>
      <c r="J428" s="26" t="b">
        <v>1</v>
      </c>
      <c r="K428" s="26" t="str">
        <f>ISNUMBER(_xlfn.XMATCH(tbldeptemp[[#This Row],[DependencyID]],tblTargets[TargetID]))</f>
        <v>#ERROR!</v>
      </c>
      <c r="L428" s="26" t="str">
        <f>IF(tbldeptemp[[#This Row],[ValidTarget]]=FALSE,"BAD TARGET",IF(tbldeptemp[[#This Row],[ValidDependency]]=FALSE,"BAD DEPENDENCY",""))</f>
        <v>#ERROR!</v>
      </c>
    </row>
    <row r="429" ht="14.25" customHeight="1">
      <c r="A429" s="134" t="s">
        <v>1151</v>
      </c>
      <c r="B429" s="26" t="s">
        <v>967</v>
      </c>
      <c r="C429" s="26" t="s">
        <v>967</v>
      </c>
      <c r="E429"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29" s="26" t="s">
        <v>967</v>
      </c>
      <c r="I429" s="26" t="s">
        <v>964</v>
      </c>
      <c r="J429" s="26" t="str">
        <f>COUNTIF(tblTargets[TargetID],tbldeptemp[[#This Row],[TargetID]])&gt;0</f>
        <v>#ERROR!</v>
      </c>
      <c r="K429" s="26" t="str">
        <f>ISNUMBER(_xlfn.XMATCH(tbldeptemp[[#This Row],[DependencyID]],tblTargets[TargetID]))</f>
        <v>#ERROR!</v>
      </c>
      <c r="L429" s="26" t="str">
        <f>IF(tbldeptemp[[#This Row],[ValidTarget]]=FALSE,"BAD TARGET",IF(tbldeptemp[[#This Row],[ValidDependency]]=FALSE,"BAD DEPENDENCY",""))</f>
        <v>#ERROR!</v>
      </c>
    </row>
    <row r="430" ht="14.25" customHeight="1">
      <c r="A430" s="134" t="s">
        <v>1151</v>
      </c>
      <c r="B430" s="134" t="s">
        <v>975</v>
      </c>
      <c r="C430" s="134" t="s">
        <v>975</v>
      </c>
      <c r="E430"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30" s="134" t="s">
        <v>975</v>
      </c>
      <c r="I430" s="134" t="s">
        <v>971</v>
      </c>
      <c r="J430" s="26" t="str">
        <f>COUNTIF(tblTargets[TargetID],tbldeptemp[[#This Row],[TargetID]])&gt;0</f>
        <v>#ERROR!</v>
      </c>
      <c r="K430" s="26" t="str">
        <f>ISNUMBER(_xlfn.XMATCH(tbldeptemp[[#This Row],[DependencyID]],tblTargets[TargetID]))</f>
        <v>#ERROR!</v>
      </c>
      <c r="L430" s="26" t="str">
        <f>IF(tbldeptemp[[#This Row],[ValidTarget]]=FALSE,"BAD TARGET",IF(tbldeptemp[[#This Row],[ValidDependency]]=FALSE,"BAD DEPENDENCY",""))</f>
        <v>#ERROR!</v>
      </c>
    </row>
    <row r="431" ht="14.25" customHeight="1">
      <c r="A431" s="134" t="s">
        <v>1151</v>
      </c>
      <c r="B431" s="26" t="s">
        <v>982</v>
      </c>
      <c r="C431" s="26" t="s">
        <v>982</v>
      </c>
      <c r="E431"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31" s="26" t="s">
        <v>982</v>
      </c>
      <c r="I431" s="26" t="s">
        <v>979</v>
      </c>
      <c r="J431" s="26" t="str">
        <f>COUNTIF(tblTargets[TargetID],tbldeptemp[[#This Row],[TargetID]])&gt;0</f>
        <v>#ERROR!</v>
      </c>
      <c r="K431" s="26" t="str">
        <f>ISNUMBER(_xlfn.XMATCH(tbldeptemp[[#This Row],[DependencyID]],tblTargets[TargetID]))</f>
        <v>#ERROR!</v>
      </c>
      <c r="L431" s="26" t="str">
        <f>IF(tbldeptemp[[#This Row],[ValidTarget]]=FALSE,"BAD TARGET",IF(tbldeptemp[[#This Row],[ValidDependency]]=FALSE,"BAD DEPENDENCY",""))</f>
        <v>#ERROR!</v>
      </c>
    </row>
    <row r="432" ht="14.25" customHeight="1">
      <c r="A432" s="134" t="s">
        <v>1151</v>
      </c>
      <c r="B432" s="134" t="s">
        <v>991</v>
      </c>
      <c r="C432" s="134" t="s">
        <v>991</v>
      </c>
      <c r="E432"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32" s="134" t="s">
        <v>991</v>
      </c>
      <c r="I432" s="134" t="s">
        <v>986</v>
      </c>
      <c r="J432" s="26" t="str">
        <f>COUNTIF(tblTargets[TargetID],tbldeptemp[[#This Row],[TargetID]])&gt;0</f>
        <v>#ERROR!</v>
      </c>
      <c r="K432" s="26" t="str">
        <f>ISNUMBER(_xlfn.XMATCH(tbldeptemp[[#This Row],[DependencyID]],tblTargets[TargetID]))</f>
        <v>#ERROR!</v>
      </c>
      <c r="L432" s="26" t="str">
        <f>IF(tbldeptemp[[#This Row],[ValidTarget]]=FALSE,"BAD TARGET",IF(tbldeptemp[[#This Row],[ValidDependency]]=FALSE,"BAD DEPENDENCY",""))</f>
        <v>#ERROR!</v>
      </c>
    </row>
    <row r="433" ht="14.25" customHeight="1">
      <c r="A433" s="26" t="s">
        <v>1151</v>
      </c>
      <c r="B433" s="26" t="s">
        <v>5023</v>
      </c>
      <c r="C433" s="26" t="s">
        <v>1338</v>
      </c>
      <c r="D433" s="26" t="s">
        <v>5029</v>
      </c>
      <c r="E433" s="26" t="s">
        <v>5963</v>
      </c>
      <c r="F433" s="26" t="b">
        <v>1</v>
      </c>
      <c r="G433" s="26" t="s">
        <v>5100</v>
      </c>
      <c r="H433" s="26" t="s">
        <v>1338</v>
      </c>
      <c r="I433" s="26" t="s">
        <v>991</v>
      </c>
      <c r="J433" s="26" t="b">
        <v>1</v>
      </c>
      <c r="K433" s="26" t="str">
        <f>ISNUMBER(_xlfn.XMATCH(tbldeptemp[[#This Row],[DependencyID]],tblTargets[TargetID]))</f>
        <v>#ERROR!</v>
      </c>
      <c r="L433" s="26" t="str">
        <f>IF(tbldeptemp[[#This Row],[ValidTarget]]=FALSE,"BAD TARGET",IF(tbldeptemp[[#This Row],[ValidDependency]]=FALSE,"BAD DEPENDENCY",""))</f>
        <v>#ERROR!</v>
      </c>
    </row>
    <row r="434" ht="14.25" customHeight="1">
      <c r="A434" s="26" t="s">
        <v>1151</v>
      </c>
      <c r="B434" s="26" t="s">
        <v>5039</v>
      </c>
      <c r="C434" s="26" t="s">
        <v>1346</v>
      </c>
      <c r="D434" s="26" t="s">
        <v>5029</v>
      </c>
      <c r="E434" s="26" t="s">
        <v>5963</v>
      </c>
      <c r="F434" s="26" t="b">
        <v>1</v>
      </c>
      <c r="G434" s="26" t="s">
        <v>5100</v>
      </c>
      <c r="H434" s="26" t="s">
        <v>1346</v>
      </c>
      <c r="I434" s="26" t="s">
        <v>991</v>
      </c>
      <c r="J434" s="26" t="b">
        <v>1</v>
      </c>
      <c r="K434" s="26" t="str">
        <f>ISNUMBER(_xlfn.XMATCH(tbldeptemp[[#This Row],[DependencyID]],tblTargets[TargetID]))</f>
        <v>#ERROR!</v>
      </c>
      <c r="L434" s="26" t="str">
        <f>IF(tbldeptemp[[#This Row],[ValidTarget]]=FALSE,"BAD TARGET",IF(tbldeptemp[[#This Row],[ValidDependency]]=FALSE,"BAD DEPENDENCY",""))</f>
        <v>#ERROR!</v>
      </c>
    </row>
    <row r="435" ht="14.25" customHeight="1">
      <c r="A435" s="134" t="s">
        <v>1151</v>
      </c>
      <c r="B435" s="26" t="s">
        <v>999</v>
      </c>
      <c r="C435" s="26" t="s">
        <v>999</v>
      </c>
      <c r="E435"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35" s="26" t="s">
        <v>999</v>
      </c>
      <c r="I435" s="26" t="s">
        <v>995</v>
      </c>
      <c r="J435" s="26" t="str">
        <f>COUNTIF(tblTargets[TargetID],tbldeptemp[[#This Row],[TargetID]])&gt;0</f>
        <v>#ERROR!</v>
      </c>
      <c r="K435" s="26" t="str">
        <f>ISNUMBER(_xlfn.XMATCH(tbldeptemp[[#This Row],[DependencyID]],tblTargets[TargetID]))</f>
        <v>#ERROR!</v>
      </c>
      <c r="L435" s="26" t="str">
        <f>IF(tbldeptemp[[#This Row],[ValidTarget]]=FALSE,"BAD TARGET",IF(tbldeptemp[[#This Row],[ValidDependency]]=FALSE,"BAD DEPENDENCY",""))</f>
        <v>#ERROR!</v>
      </c>
    </row>
    <row r="436" ht="14.25" customHeight="1">
      <c r="A436" s="26" t="s">
        <v>1151</v>
      </c>
      <c r="B436" s="26" t="s">
        <v>4731</v>
      </c>
      <c r="C436" s="26" t="s">
        <v>1011</v>
      </c>
      <c r="D436" s="26" t="s">
        <v>5964</v>
      </c>
      <c r="E436" s="26" t="s">
        <v>5964</v>
      </c>
      <c r="F436" s="26" t="b">
        <v>1</v>
      </c>
      <c r="G436" s="26" t="s">
        <v>5097</v>
      </c>
      <c r="H436" s="26" t="s">
        <v>1011</v>
      </c>
      <c r="I436" s="26" t="s">
        <v>999</v>
      </c>
      <c r="J436" s="26" t="b">
        <v>1</v>
      </c>
      <c r="K436" s="26" t="str">
        <f>ISNUMBER(_xlfn.XMATCH(tbldeptemp[[#This Row],[DependencyID]],tblTargets[TargetID]))</f>
        <v>#ERROR!</v>
      </c>
      <c r="L436" s="26" t="str">
        <f>IF(tbldeptemp[[#This Row],[ValidTarget]]=FALSE,"BAD TARGET",IF(tbldeptemp[[#This Row],[ValidDependency]]=FALSE,"BAD DEPENDENCY",""))</f>
        <v>#ERROR!</v>
      </c>
    </row>
    <row r="437" ht="14.25" customHeight="1">
      <c r="A437" s="134" t="s">
        <v>1151</v>
      </c>
      <c r="B437" s="134" t="s">
        <v>1007</v>
      </c>
      <c r="C437" s="134" t="s">
        <v>1007</v>
      </c>
      <c r="E437"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37" s="134" t="s">
        <v>1007</v>
      </c>
      <c r="I437" s="134" t="s">
        <v>1003</v>
      </c>
      <c r="J437" s="26" t="str">
        <f>COUNTIF(tblTargets[TargetID],tbldeptemp[[#This Row],[TargetID]])&gt;0</f>
        <v>#ERROR!</v>
      </c>
      <c r="K437" s="26" t="str">
        <f>ISNUMBER(_xlfn.XMATCH(tbldeptemp[[#This Row],[DependencyID]],tblTargets[TargetID]))</f>
        <v>#ERROR!</v>
      </c>
      <c r="L437" s="26" t="str">
        <f>IF(tbldeptemp[[#This Row],[ValidTarget]]=FALSE,"BAD TARGET",IF(tbldeptemp[[#This Row],[ValidDependency]]=FALSE,"BAD DEPENDENCY",""))</f>
        <v>#ERROR!</v>
      </c>
    </row>
    <row r="438" ht="14.25" customHeight="1">
      <c r="A438" s="134" t="s">
        <v>1151</v>
      </c>
      <c r="B438" s="26" t="s">
        <v>1016</v>
      </c>
      <c r="C438" s="26" t="s">
        <v>1016</v>
      </c>
      <c r="E438"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38" s="26" t="s">
        <v>1016</v>
      </c>
      <c r="I438" s="26" t="s">
        <v>1011</v>
      </c>
      <c r="J438" s="26" t="str">
        <f>COUNTIF(tblTargets[TargetID],tbldeptemp[[#This Row],[TargetID]])&gt;0</f>
        <v>#ERROR!</v>
      </c>
      <c r="K438" s="26" t="str">
        <f>ISNUMBER(_xlfn.XMATCH(tbldeptemp[[#This Row],[DependencyID]],tblTargets[TargetID]))</f>
        <v>#ERROR!</v>
      </c>
      <c r="L438" s="26" t="str">
        <f>IF(tbldeptemp[[#This Row],[ValidTarget]]=FALSE,"BAD TARGET",IF(tbldeptemp[[#This Row],[ValidDependency]]=FALSE,"BAD DEPENDENCY",""))</f>
        <v>#ERROR!</v>
      </c>
    </row>
    <row r="439" ht="14.25" customHeight="1">
      <c r="A439" s="26" t="s">
        <v>1151</v>
      </c>
      <c r="B439" s="26" t="s">
        <v>4723</v>
      </c>
      <c r="C439" s="26" t="s">
        <v>1003</v>
      </c>
      <c r="D439" s="26" t="s">
        <v>5970</v>
      </c>
      <c r="E439" s="26" t="s">
        <v>5971</v>
      </c>
      <c r="F439" s="26" t="b">
        <v>1</v>
      </c>
      <c r="G439" s="26" t="s">
        <v>5097</v>
      </c>
      <c r="H439" s="26" t="s">
        <v>1003</v>
      </c>
      <c r="I439" s="26" t="s">
        <v>1016</v>
      </c>
      <c r="J439" s="26" t="b">
        <v>1</v>
      </c>
      <c r="K439" s="26" t="str">
        <f>ISNUMBER(_xlfn.XMATCH(tbldeptemp[[#This Row],[DependencyID]],tblTargets[TargetID]))</f>
        <v>#ERROR!</v>
      </c>
      <c r="L439" s="26" t="str">
        <f>IF(tbldeptemp[[#This Row],[ValidTarget]]=FALSE,"BAD TARGET",IF(tbldeptemp[[#This Row],[ValidDependency]]=FALSE,"BAD DEPENDENCY",""))</f>
        <v>#ERROR!</v>
      </c>
    </row>
    <row r="440" ht="14.25" customHeight="1">
      <c r="A440" s="134" t="s">
        <v>1151</v>
      </c>
      <c r="B440" s="134" t="s">
        <v>1023</v>
      </c>
      <c r="C440" s="134" t="s">
        <v>1023</v>
      </c>
      <c r="E440"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40" s="134" t="s">
        <v>1023</v>
      </c>
      <c r="I440" s="134" t="s">
        <v>1019</v>
      </c>
      <c r="J440" s="26" t="str">
        <f>COUNTIF(tblTargets[TargetID],tbldeptemp[[#This Row],[TargetID]])&gt;0</f>
        <v>#ERROR!</v>
      </c>
      <c r="K440" s="26" t="str">
        <f>ISNUMBER(_xlfn.XMATCH(tbldeptemp[[#This Row],[DependencyID]],tblTargets[TargetID]))</f>
        <v>#ERROR!</v>
      </c>
      <c r="L440" s="26" t="str">
        <f>IF(tbldeptemp[[#This Row],[ValidTarget]]=FALSE,"BAD TARGET",IF(tbldeptemp[[#This Row],[ValidDependency]]=FALSE,"BAD DEPENDENCY",""))</f>
        <v>#ERROR!</v>
      </c>
    </row>
    <row r="441" ht="14.25" customHeight="1">
      <c r="A441" s="134" t="s">
        <v>1151</v>
      </c>
      <c r="B441" s="26" t="s">
        <v>1032</v>
      </c>
      <c r="C441" s="26" t="s">
        <v>1032</v>
      </c>
      <c r="E441"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41" s="26" t="s">
        <v>1032</v>
      </c>
      <c r="I441" s="26" t="s">
        <v>1027</v>
      </c>
      <c r="J441" s="26" t="str">
        <f>COUNTIF(tblTargets[TargetID],tbldeptemp[[#This Row],[TargetID]])&gt;0</f>
        <v>#ERROR!</v>
      </c>
      <c r="K441" s="26" t="str">
        <f>ISNUMBER(_xlfn.XMATCH(tbldeptemp[[#This Row],[DependencyID]],tblTargets[TargetID]))</f>
        <v>#ERROR!</v>
      </c>
      <c r="L441" s="26" t="str">
        <f>IF(tbldeptemp[[#This Row],[ValidTarget]]=FALSE,"BAD TARGET",IF(tbldeptemp[[#This Row],[ValidDependency]]=FALSE,"BAD DEPENDENCY",""))</f>
        <v>#ERROR!</v>
      </c>
    </row>
    <row r="442" ht="14.25" customHeight="1">
      <c r="A442" s="134" t="s">
        <v>1151</v>
      </c>
      <c r="B442" s="134" t="s">
        <v>1039</v>
      </c>
      <c r="C442" s="134" t="s">
        <v>1039</v>
      </c>
      <c r="E442"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42" s="134" t="s">
        <v>1039</v>
      </c>
      <c r="I442" s="134" t="s">
        <v>1036</v>
      </c>
      <c r="J442" s="26" t="str">
        <f>COUNTIF(tblTargets[TargetID],tbldeptemp[[#This Row],[TargetID]])&gt;0</f>
        <v>#ERROR!</v>
      </c>
      <c r="K442" s="26" t="str">
        <f>ISNUMBER(_xlfn.XMATCH(tbldeptemp[[#This Row],[DependencyID]],tblTargets[TargetID]))</f>
        <v>#ERROR!</v>
      </c>
      <c r="L442" s="26" t="str">
        <f>IF(tbldeptemp[[#This Row],[ValidTarget]]=FALSE,"BAD TARGET",IF(tbldeptemp[[#This Row],[ValidDependency]]=FALSE,"BAD DEPENDENCY",""))</f>
        <v>#ERROR!</v>
      </c>
    </row>
    <row r="443" ht="14.25" customHeight="1">
      <c r="A443" s="134" t="s">
        <v>1151</v>
      </c>
      <c r="B443" s="26" t="s">
        <v>1057</v>
      </c>
      <c r="C443" s="26" t="s">
        <v>1057</v>
      </c>
      <c r="E443"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43" s="26" t="s">
        <v>1057</v>
      </c>
      <c r="I443" s="26" t="s">
        <v>1053</v>
      </c>
      <c r="J443" s="26" t="str">
        <f>COUNTIF(tblTargets[TargetID],tbldeptemp[[#This Row],[TargetID]])&gt;0</f>
        <v>#ERROR!</v>
      </c>
      <c r="K443" s="26" t="str">
        <f>ISNUMBER(_xlfn.XMATCH(tbldeptemp[[#This Row],[DependencyID]],tblTargets[TargetID]))</f>
        <v>#ERROR!</v>
      </c>
      <c r="L443" s="26" t="str">
        <f>IF(tbldeptemp[[#This Row],[ValidTarget]]=FALSE,"BAD TARGET",IF(tbldeptemp[[#This Row],[ValidDependency]]=FALSE,"BAD DEPENDENCY",""))</f>
        <v>#ERROR!</v>
      </c>
    </row>
    <row r="444" ht="14.25" customHeight="1">
      <c r="A444" s="26" t="s">
        <v>626</v>
      </c>
      <c r="B444" s="26" t="s">
        <v>5976</v>
      </c>
      <c r="C444" s="26" t="s">
        <v>188</v>
      </c>
      <c r="D444" s="26" t="s">
        <v>4077</v>
      </c>
      <c r="E444" s="26" t="s">
        <v>5977</v>
      </c>
      <c r="F444" s="26" t="b">
        <v>1</v>
      </c>
      <c r="G444" s="26" t="s">
        <v>5100</v>
      </c>
      <c r="H444" s="26" t="s">
        <v>188</v>
      </c>
      <c r="I444" s="26" t="s">
        <v>1057</v>
      </c>
      <c r="J444" s="26" t="b">
        <v>1</v>
      </c>
      <c r="K444" s="26" t="str">
        <f>ISNUMBER(_xlfn.XMATCH(tbldeptemp[[#This Row],[DependencyID]],tblTargets[TargetID]))</f>
        <v>#ERROR!</v>
      </c>
      <c r="L444" s="26" t="str">
        <f>IF(tbldeptemp[[#This Row],[ValidTarget]]=FALSE,"BAD TARGET",IF(tbldeptemp[[#This Row],[ValidDependency]]=FALSE,"BAD DEPENDENCY",""))</f>
        <v>#ERROR!</v>
      </c>
    </row>
    <row r="445" ht="14.25" customHeight="1">
      <c r="A445" s="26" t="s">
        <v>1151</v>
      </c>
      <c r="B445" s="26" t="s">
        <v>4657</v>
      </c>
      <c r="C445" s="26" t="s">
        <v>920</v>
      </c>
      <c r="D445" s="26" t="s">
        <v>4077</v>
      </c>
      <c r="E445" s="26" t="s">
        <v>5977</v>
      </c>
      <c r="F445" s="26" t="b">
        <v>1</v>
      </c>
      <c r="G445" s="26" t="s">
        <v>5100</v>
      </c>
      <c r="H445" s="26" t="s">
        <v>920</v>
      </c>
      <c r="I445" s="26" t="s">
        <v>1057</v>
      </c>
      <c r="J445" s="26" t="b">
        <v>1</v>
      </c>
      <c r="K445" s="26" t="str">
        <f>ISNUMBER(_xlfn.XMATCH(tbldeptemp[[#This Row],[DependencyID]],tblTargets[TargetID]))</f>
        <v>#ERROR!</v>
      </c>
      <c r="L445" s="26" t="str">
        <f>IF(tbldeptemp[[#This Row],[ValidTarget]]=FALSE,"BAD TARGET",IF(tbldeptemp[[#This Row],[ValidDependency]]=FALSE,"BAD DEPENDENCY",""))</f>
        <v>#ERROR!</v>
      </c>
    </row>
    <row r="446" ht="14.25" customHeight="1">
      <c r="A446" s="26" t="s">
        <v>1705</v>
      </c>
      <c r="B446" s="135" t="s">
        <v>5110</v>
      </c>
      <c r="C446" s="26" t="s">
        <v>5111</v>
      </c>
      <c r="D446" s="26" t="s">
        <v>5978</v>
      </c>
      <c r="E446" s="26" t="s">
        <v>5977</v>
      </c>
      <c r="F446" s="26" t="b">
        <v>1</v>
      </c>
      <c r="G446" s="26" t="s">
        <v>5097</v>
      </c>
      <c r="H446" s="26" t="s">
        <v>1707</v>
      </c>
      <c r="I446" s="26" t="s">
        <v>1057</v>
      </c>
      <c r="J446" s="26" t="b">
        <v>1</v>
      </c>
      <c r="K446" s="26" t="str">
        <f>ISNUMBER(_xlfn.XMATCH(tbldeptemp[[#This Row],[DependencyID]],tblTargets[TargetID]))</f>
        <v>#ERROR!</v>
      </c>
      <c r="L446" s="26" t="str">
        <f>IF(tbldeptemp[[#This Row],[ValidTarget]]=FALSE,"BAD TARGET",IF(tbldeptemp[[#This Row],[ValidDependency]]=FALSE,"BAD DEPENDENCY",""))</f>
        <v>#ERROR!</v>
      </c>
    </row>
    <row r="447" ht="14.25" customHeight="1">
      <c r="A447" s="26" t="s">
        <v>1705</v>
      </c>
      <c r="B447" s="26" t="s">
        <v>5241</v>
      </c>
      <c r="C447" s="26" t="s">
        <v>1768</v>
      </c>
      <c r="D447" s="26" t="s">
        <v>5978</v>
      </c>
      <c r="E447" s="26" t="s">
        <v>5977</v>
      </c>
      <c r="F447" s="26" t="b">
        <v>1</v>
      </c>
      <c r="G447" s="26" t="s">
        <v>5097</v>
      </c>
      <c r="H447" s="26" t="s">
        <v>1768</v>
      </c>
      <c r="I447" s="26" t="s">
        <v>1057</v>
      </c>
      <c r="J447" s="26" t="b">
        <v>1</v>
      </c>
      <c r="K447" s="26" t="str">
        <f>ISNUMBER(_xlfn.XMATCH(tbldeptemp[[#This Row],[DependencyID]],tblTargets[TargetID]))</f>
        <v>#ERROR!</v>
      </c>
      <c r="L447" s="26" t="str">
        <f>IF(tbldeptemp[[#This Row],[ValidTarget]]=FALSE,"BAD TARGET",IF(tbldeptemp[[#This Row],[ValidDependency]]=FALSE,"BAD DEPENDENCY",""))</f>
        <v>#ERROR!</v>
      </c>
    </row>
    <row r="448" ht="14.25" customHeight="1">
      <c r="A448" s="134" t="s">
        <v>1151</v>
      </c>
      <c r="B448" s="134" t="s">
        <v>1070</v>
      </c>
      <c r="C448" s="134" t="s">
        <v>1070</v>
      </c>
      <c r="E448"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48" s="134" t="s">
        <v>1070</v>
      </c>
      <c r="I448" s="134" t="s">
        <v>1064</v>
      </c>
      <c r="J448" s="26" t="str">
        <f>COUNTIF(tblTargets[TargetID],tbldeptemp[[#This Row],[TargetID]])&gt;0</f>
        <v>#ERROR!</v>
      </c>
      <c r="K448" s="26" t="str">
        <f>ISNUMBER(_xlfn.XMATCH(tbldeptemp[[#This Row],[DependencyID]],tblTargets[TargetID]))</f>
        <v>#ERROR!</v>
      </c>
      <c r="L448" s="26" t="str">
        <f>IF(tbldeptemp[[#This Row],[ValidTarget]]=FALSE,"BAD TARGET",IF(tbldeptemp[[#This Row],[ValidDependency]]=FALSE,"BAD DEPENDENCY",""))</f>
        <v>#ERROR!</v>
      </c>
    </row>
    <row r="449" ht="14.25" customHeight="1">
      <c r="A449" s="26" t="s">
        <v>1151</v>
      </c>
      <c r="B449" s="26" t="s">
        <v>4821</v>
      </c>
      <c r="C449" s="26" t="s">
        <v>1130</v>
      </c>
      <c r="D449" s="26" t="s">
        <v>4825</v>
      </c>
      <c r="E449" s="26" t="s">
        <v>5979</v>
      </c>
      <c r="F449" s="26" t="b">
        <v>1</v>
      </c>
      <c r="G449" s="26" t="s">
        <v>5100</v>
      </c>
      <c r="H449" s="26" t="s">
        <v>1130</v>
      </c>
      <c r="I449" s="26" t="s">
        <v>1070</v>
      </c>
      <c r="J449" s="26" t="b">
        <v>1</v>
      </c>
      <c r="K449" s="26" t="str">
        <f>ISNUMBER(_xlfn.XMATCH(tbldeptemp[[#This Row],[DependencyID]],tblTargets[TargetID]))</f>
        <v>#ERROR!</v>
      </c>
      <c r="L449" s="26" t="str">
        <f>IF(tbldeptemp[[#This Row],[ValidTarget]]=FALSE,"BAD TARGET",IF(tbldeptemp[[#This Row],[ValidDependency]]=FALSE,"BAD DEPENDENCY",""))</f>
        <v>#ERROR!</v>
      </c>
    </row>
    <row r="450" ht="14.25" customHeight="1">
      <c r="A450" s="26" t="s">
        <v>1151</v>
      </c>
      <c r="B450" s="26" t="s">
        <v>4786</v>
      </c>
      <c r="C450" s="26" t="s">
        <v>1089</v>
      </c>
      <c r="D450" s="26" t="s">
        <v>4791</v>
      </c>
      <c r="E450" s="26" t="s">
        <v>5980</v>
      </c>
      <c r="F450" s="26" t="b">
        <v>1</v>
      </c>
      <c r="G450" s="26" t="s">
        <v>5100</v>
      </c>
      <c r="H450" s="26" t="s">
        <v>1089</v>
      </c>
      <c r="I450" s="26" t="s">
        <v>1076</v>
      </c>
      <c r="J450" s="26" t="b">
        <v>1</v>
      </c>
      <c r="K450" s="26" t="str">
        <f>ISNUMBER(_xlfn.XMATCH(tbldeptemp[[#This Row],[DependencyID]],tblTargets[TargetID]))</f>
        <v>#ERROR!</v>
      </c>
      <c r="L450" s="26" t="str">
        <f>IF(tbldeptemp[[#This Row],[ValidTarget]]=FALSE,"BAD TARGET",IF(tbldeptemp[[#This Row],[ValidDependency]]=FALSE,"BAD DEPENDENCY",""))</f>
        <v>#ERROR!</v>
      </c>
    </row>
    <row r="451" ht="14.25" customHeight="1">
      <c r="A451" s="134" t="s">
        <v>1151</v>
      </c>
      <c r="B451" s="26" t="s">
        <v>1084</v>
      </c>
      <c r="C451" s="26" t="s">
        <v>1084</v>
      </c>
      <c r="E451"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51" s="26" t="s">
        <v>1084</v>
      </c>
      <c r="I451" s="26" t="s">
        <v>1076</v>
      </c>
      <c r="J451" s="26" t="str">
        <f>COUNTIF(tblTargets[TargetID],tbldeptemp[[#This Row],[TargetID]])&gt;0</f>
        <v>#ERROR!</v>
      </c>
      <c r="K451" s="26" t="str">
        <f>ISNUMBER(_xlfn.XMATCH(tbldeptemp[[#This Row],[DependencyID]],tblTargets[TargetID]))</f>
        <v>#ERROR!</v>
      </c>
      <c r="L451" s="26" t="str">
        <f>IF(tbldeptemp[[#This Row],[ValidTarget]]=FALSE,"BAD TARGET",IF(tbldeptemp[[#This Row],[ValidDependency]]=FALSE,"BAD DEPENDENCY",""))</f>
        <v>#ERROR!</v>
      </c>
    </row>
    <row r="452" ht="14.25" customHeight="1">
      <c r="A452" s="26" t="s">
        <v>1117</v>
      </c>
      <c r="B452" s="26" t="s">
        <v>4595</v>
      </c>
      <c r="C452" s="26" t="s">
        <v>853</v>
      </c>
      <c r="D452" s="26" t="s">
        <v>5985</v>
      </c>
      <c r="E452" s="26" t="s">
        <v>5986</v>
      </c>
      <c r="F452" s="26" t="b">
        <v>1</v>
      </c>
      <c r="G452" s="26" t="s">
        <v>5097</v>
      </c>
      <c r="H452" s="26" t="s">
        <v>853</v>
      </c>
      <c r="I452" s="26" t="s">
        <v>1084</v>
      </c>
      <c r="J452" s="26" t="b">
        <v>1</v>
      </c>
      <c r="K452" s="26" t="str">
        <f>ISNUMBER(_xlfn.XMATCH(tbldeptemp[[#This Row],[DependencyID]],tblTargets[TargetID]))</f>
        <v>#ERROR!</v>
      </c>
      <c r="L452" s="26" t="str">
        <f>IF(tbldeptemp[[#This Row],[ValidTarget]]=FALSE,"BAD TARGET",IF(tbldeptemp[[#This Row],[ValidDependency]]=FALSE,"BAD DEPENDENCY",""))</f>
        <v>#ERROR!</v>
      </c>
    </row>
    <row r="453" ht="14.25" customHeight="1">
      <c r="A453" s="26" t="s">
        <v>1117</v>
      </c>
      <c r="B453" s="26" t="s">
        <v>4611</v>
      </c>
      <c r="C453" s="26" t="s">
        <v>867</v>
      </c>
      <c r="D453" s="26" t="s">
        <v>5985</v>
      </c>
      <c r="E453" s="26" t="s">
        <v>5986</v>
      </c>
      <c r="F453" s="26" t="b">
        <v>1</v>
      </c>
      <c r="G453" s="26" t="s">
        <v>5097</v>
      </c>
      <c r="H453" s="26" t="s">
        <v>867</v>
      </c>
      <c r="I453" s="26" t="s">
        <v>1084</v>
      </c>
      <c r="J453" s="26" t="b">
        <v>1</v>
      </c>
      <c r="K453" s="26" t="str">
        <f>ISNUMBER(_xlfn.XMATCH(tbldeptemp[[#This Row],[DependencyID]],tblTargets[TargetID]))</f>
        <v>#ERROR!</v>
      </c>
      <c r="L453" s="26" t="str">
        <f>IF(tbldeptemp[[#This Row],[ValidTarget]]=FALSE,"BAD TARGET",IF(tbldeptemp[[#This Row],[ValidDependency]]=FALSE,"BAD DEPENDENCY",""))</f>
        <v>#ERROR!</v>
      </c>
    </row>
    <row r="454" ht="14.25" customHeight="1">
      <c r="A454" s="26" t="s">
        <v>1705</v>
      </c>
      <c r="B454" s="26" t="s">
        <v>5283</v>
      </c>
      <c r="C454" s="26" t="s">
        <v>1793</v>
      </c>
      <c r="D454" s="26" t="s">
        <v>5989</v>
      </c>
      <c r="E454" s="26" t="s">
        <v>5986</v>
      </c>
      <c r="F454" s="26" t="b">
        <v>1</v>
      </c>
      <c r="G454" s="26" t="s">
        <v>5097</v>
      </c>
      <c r="H454" s="26" t="s">
        <v>1793</v>
      </c>
      <c r="I454" s="26" t="s">
        <v>1084</v>
      </c>
      <c r="J454" s="26" t="b">
        <v>1</v>
      </c>
      <c r="K454" s="26" t="str">
        <f>ISNUMBER(_xlfn.XMATCH(tbldeptemp[[#This Row],[DependencyID]],tblTargets[TargetID]))</f>
        <v>#ERROR!</v>
      </c>
      <c r="L454" s="26" t="str">
        <f>IF(tbldeptemp[[#This Row],[ValidTarget]]=FALSE,"BAD TARGET",IF(tbldeptemp[[#This Row],[ValidDependency]]=FALSE,"BAD DEPENDENCY",""))</f>
        <v>#ERROR!</v>
      </c>
    </row>
    <row r="455" ht="14.25" customHeight="1">
      <c r="A455" s="26" t="s">
        <v>1705</v>
      </c>
      <c r="B455" s="26" t="s">
        <v>5455</v>
      </c>
      <c r="C455" s="26" t="s">
        <v>1863</v>
      </c>
      <c r="D455" s="26" t="s">
        <v>5989</v>
      </c>
      <c r="E455" s="26" t="s">
        <v>5986</v>
      </c>
      <c r="F455" s="26" t="b">
        <v>1</v>
      </c>
      <c r="G455" s="26" t="s">
        <v>5097</v>
      </c>
      <c r="H455" s="26" t="s">
        <v>1863</v>
      </c>
      <c r="I455" s="26" t="s">
        <v>1084</v>
      </c>
      <c r="J455" s="26" t="b">
        <v>1</v>
      </c>
      <c r="K455" s="26" t="str">
        <f>ISNUMBER(_xlfn.XMATCH(tbldeptemp[[#This Row],[DependencyID]],tblTargets[TargetID]))</f>
        <v>#ERROR!</v>
      </c>
      <c r="L455" s="26" t="str">
        <f>IF(tbldeptemp[[#This Row],[ValidTarget]]=FALSE,"BAD TARGET",IF(tbldeptemp[[#This Row],[ValidDependency]]=FALSE,"BAD DEPENDENCY",""))</f>
        <v>#ERROR!</v>
      </c>
    </row>
    <row r="456" ht="14.25" customHeight="1">
      <c r="A456" s="26" t="s">
        <v>1151</v>
      </c>
      <c r="B456" s="26" t="s">
        <v>4793</v>
      </c>
      <c r="C456" s="26" t="s">
        <v>1098</v>
      </c>
      <c r="D456" s="26" t="s">
        <v>5990</v>
      </c>
      <c r="E456" s="26" t="s">
        <v>5991</v>
      </c>
      <c r="F456" s="26" t="b">
        <v>1</v>
      </c>
      <c r="G456" s="26" t="s">
        <v>5097</v>
      </c>
      <c r="H456" s="26" t="s">
        <v>1098</v>
      </c>
      <c r="I456" s="26" t="s">
        <v>1089</v>
      </c>
      <c r="J456" s="26" t="b">
        <v>1</v>
      </c>
      <c r="K456" s="26" t="str">
        <f>ISNUMBER(_xlfn.XMATCH(tbldeptemp[[#This Row],[DependencyID]],tblTargets[TargetID]))</f>
        <v>#ERROR!</v>
      </c>
      <c r="L456" s="26" t="str">
        <f>IF(tbldeptemp[[#This Row],[ValidTarget]]=FALSE,"BAD TARGET",IF(tbldeptemp[[#This Row],[ValidDependency]]=FALSE,"BAD DEPENDENCY",""))</f>
        <v>#ERROR!</v>
      </c>
    </row>
    <row r="457" ht="14.25" customHeight="1">
      <c r="A457" s="134" t="s">
        <v>1151</v>
      </c>
      <c r="B457" s="134" t="s">
        <v>1094</v>
      </c>
      <c r="C457" s="134" t="s">
        <v>1094</v>
      </c>
      <c r="E457"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57" s="134" t="s">
        <v>1094</v>
      </c>
      <c r="I457" s="134" t="s">
        <v>1089</v>
      </c>
      <c r="J457" s="26" t="str">
        <f>COUNTIF(tblTargets[TargetID],tbldeptemp[[#This Row],[TargetID]])&gt;0</f>
        <v>#ERROR!</v>
      </c>
      <c r="K457" s="26" t="str">
        <f>ISNUMBER(_xlfn.XMATCH(tbldeptemp[[#This Row],[DependencyID]],tblTargets[TargetID]))</f>
        <v>#ERROR!</v>
      </c>
      <c r="L457" s="26" t="str">
        <f>IF(tbldeptemp[[#This Row],[ValidTarget]]=FALSE,"BAD TARGET",IF(tbldeptemp[[#This Row],[ValidDependency]]=FALSE,"BAD DEPENDENCY",""))</f>
        <v>#ERROR!</v>
      </c>
    </row>
    <row r="458" ht="14.25" customHeight="1">
      <c r="A458" s="26" t="s">
        <v>1117</v>
      </c>
      <c r="B458" s="26" t="s">
        <v>4624</v>
      </c>
      <c r="C458" s="26" t="s">
        <v>885</v>
      </c>
      <c r="D458" s="26" t="s">
        <v>5992</v>
      </c>
      <c r="E458" s="26" t="s">
        <v>5993</v>
      </c>
      <c r="F458" s="26" t="b">
        <v>1</v>
      </c>
      <c r="G458" s="26" t="s">
        <v>5097</v>
      </c>
      <c r="H458" s="26" t="s">
        <v>885</v>
      </c>
      <c r="I458" s="26" t="s">
        <v>1094</v>
      </c>
      <c r="J458" s="26" t="b">
        <v>1</v>
      </c>
      <c r="K458" s="26" t="str">
        <f>ISNUMBER(_xlfn.XMATCH(tbldeptemp[[#This Row],[DependencyID]],tblTargets[TargetID]))</f>
        <v>#ERROR!</v>
      </c>
      <c r="L458" s="26" t="str">
        <f>IF(tbldeptemp[[#This Row],[ValidTarget]]=FALSE,"BAD TARGET",IF(tbldeptemp[[#This Row],[ValidDependency]]=FALSE,"BAD DEPENDENCY",""))</f>
        <v>#ERROR!</v>
      </c>
    </row>
    <row r="459" ht="14.25" customHeight="1">
      <c r="A459" s="26" t="s">
        <v>1705</v>
      </c>
      <c r="B459" s="26" t="s">
        <v>5094</v>
      </c>
      <c r="C459" s="26" t="s">
        <v>1703</v>
      </c>
      <c r="D459" s="26" t="s">
        <v>5994</v>
      </c>
      <c r="E459" s="26" t="s">
        <v>5993</v>
      </c>
      <c r="F459" s="26" t="b">
        <v>1</v>
      </c>
      <c r="G459" s="26" t="s">
        <v>5097</v>
      </c>
      <c r="H459" s="26" t="s">
        <v>1703</v>
      </c>
      <c r="I459" s="26" t="s">
        <v>1094</v>
      </c>
      <c r="J459" s="26" t="b">
        <v>1</v>
      </c>
      <c r="K459" s="26" t="str">
        <f>ISNUMBER(_xlfn.XMATCH(tbldeptemp[[#This Row],[DependencyID]],tblTargets[TargetID]))</f>
        <v>#ERROR!</v>
      </c>
      <c r="L459" s="26" t="str">
        <f>IF(tbldeptemp[[#This Row],[ValidTarget]]=FALSE,"BAD TARGET",IF(tbldeptemp[[#This Row],[ValidDependency]]=FALSE,"BAD DEPENDENCY",""))</f>
        <v>#ERROR!</v>
      </c>
    </row>
    <row r="460" ht="14.25" customHeight="1">
      <c r="A460" s="26" t="s">
        <v>1705</v>
      </c>
      <c r="B460" s="26" t="s">
        <v>5283</v>
      </c>
      <c r="C460" s="26" t="s">
        <v>1793</v>
      </c>
      <c r="D460" s="26" t="s">
        <v>5994</v>
      </c>
      <c r="E460" s="26" t="s">
        <v>5993</v>
      </c>
      <c r="F460" s="26" t="b">
        <v>1</v>
      </c>
      <c r="G460" s="26" t="s">
        <v>5097</v>
      </c>
      <c r="H460" s="26" t="s">
        <v>1793</v>
      </c>
      <c r="I460" s="26" t="s">
        <v>1094</v>
      </c>
      <c r="J460" s="26" t="b">
        <v>1</v>
      </c>
      <c r="K460" s="26" t="str">
        <f>ISNUMBER(_xlfn.XMATCH(tbldeptemp[[#This Row],[DependencyID]],tblTargets[TargetID]))</f>
        <v>#ERROR!</v>
      </c>
      <c r="L460" s="26" t="str">
        <f>IF(tbldeptemp[[#This Row],[ValidTarget]]=FALSE,"BAD TARGET",IF(tbldeptemp[[#This Row],[ValidDependency]]=FALSE,"BAD DEPENDENCY",""))</f>
        <v>#ERROR!</v>
      </c>
    </row>
    <row r="461" ht="14.25" customHeight="1">
      <c r="A461" s="26" t="s">
        <v>1705</v>
      </c>
      <c r="B461" s="26" t="s">
        <v>5476</v>
      </c>
      <c r="C461" s="26" t="s">
        <v>1879</v>
      </c>
      <c r="D461" s="26" t="s">
        <v>5994</v>
      </c>
      <c r="E461" s="26" t="s">
        <v>5993</v>
      </c>
      <c r="F461" s="26" t="b">
        <v>1</v>
      </c>
      <c r="G461" s="26" t="s">
        <v>5097</v>
      </c>
      <c r="H461" s="26" t="s">
        <v>1879</v>
      </c>
      <c r="I461" s="26" t="s">
        <v>1094</v>
      </c>
      <c r="J461" s="26" t="b">
        <v>1</v>
      </c>
      <c r="K461" s="26" t="str">
        <f>ISNUMBER(_xlfn.XMATCH(tbldeptemp[[#This Row],[DependencyID]],tblTargets[TargetID]))</f>
        <v>#ERROR!</v>
      </c>
      <c r="L461" s="26" t="str">
        <f>IF(tbldeptemp[[#This Row],[ValidTarget]]=FALSE,"BAD TARGET",IF(tbldeptemp[[#This Row],[ValidDependency]]=FALSE,"BAD DEPENDENCY",""))</f>
        <v>#ERROR!</v>
      </c>
    </row>
    <row r="462" ht="14.25" customHeight="1">
      <c r="A462" s="26" t="s">
        <v>1151</v>
      </c>
      <c r="B462" s="26" t="s">
        <v>4800</v>
      </c>
      <c r="C462" s="26" t="s">
        <v>1107</v>
      </c>
      <c r="D462" s="26" t="s">
        <v>4806</v>
      </c>
      <c r="E462" s="26" t="s">
        <v>5995</v>
      </c>
      <c r="F462" s="26" t="b">
        <v>0</v>
      </c>
      <c r="G462" s="26" t="s">
        <v>5100</v>
      </c>
      <c r="H462" s="26" t="s">
        <v>1107</v>
      </c>
      <c r="I462" s="26" t="s">
        <v>1098</v>
      </c>
      <c r="J462" s="26" t="b">
        <v>1</v>
      </c>
      <c r="K462" s="26" t="str">
        <f>ISNUMBER(_xlfn.XMATCH(tbldeptemp[[#This Row],[DependencyID]],tblTargets[TargetID]))</f>
        <v>#ERROR!</v>
      </c>
      <c r="L462" s="26" t="str">
        <f>IF(tbldeptemp[[#This Row],[ValidTarget]]=FALSE,"BAD TARGET",IF(tbldeptemp[[#This Row],[ValidDependency]]=FALSE,"BAD DEPENDENCY",""))</f>
        <v>#ERROR!</v>
      </c>
    </row>
    <row r="463" ht="14.25" customHeight="1">
      <c r="A463" s="134" t="s">
        <v>1151</v>
      </c>
      <c r="B463" s="26" t="s">
        <v>1102</v>
      </c>
      <c r="C463" s="26" t="s">
        <v>1102</v>
      </c>
      <c r="E463"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63" s="26" t="s">
        <v>1102</v>
      </c>
      <c r="I463" s="26" t="s">
        <v>1098</v>
      </c>
      <c r="J463" s="26" t="str">
        <f>COUNTIF(tblTargets[TargetID],tbldeptemp[[#This Row],[TargetID]])&gt;0</f>
        <v>#ERROR!</v>
      </c>
      <c r="K463" s="26" t="str">
        <f>ISNUMBER(_xlfn.XMATCH(tbldeptemp[[#This Row],[DependencyID]],tblTargets[TargetID]))</f>
        <v>#ERROR!</v>
      </c>
      <c r="L463" s="26" t="str">
        <f>IF(tbldeptemp[[#This Row],[ValidTarget]]=FALSE,"BAD TARGET",IF(tbldeptemp[[#This Row],[ValidDependency]]=FALSE,"BAD DEPENDENCY",""))</f>
        <v>#ERROR!</v>
      </c>
    </row>
    <row r="464" ht="14.25" customHeight="1">
      <c r="A464" s="26" t="s">
        <v>1151</v>
      </c>
      <c r="B464" s="26" t="s">
        <v>4808</v>
      </c>
      <c r="C464" s="26" t="s">
        <v>1114</v>
      </c>
      <c r="D464" s="26" t="s">
        <v>4812</v>
      </c>
      <c r="E464" s="26" t="s">
        <v>6002</v>
      </c>
      <c r="F464" s="26" t="b">
        <v>0</v>
      </c>
      <c r="G464" s="26" t="s">
        <v>5100</v>
      </c>
      <c r="H464" s="26" t="s">
        <v>1114</v>
      </c>
      <c r="I464" s="26" t="s">
        <v>1102</v>
      </c>
      <c r="J464" s="26" t="b">
        <v>1</v>
      </c>
      <c r="K464" s="26" t="str">
        <f>ISNUMBER(_xlfn.XMATCH(tbldeptemp[[#This Row],[DependencyID]],tblTargets[TargetID]))</f>
        <v>#ERROR!</v>
      </c>
      <c r="L464" s="26" t="str">
        <f>IF(tbldeptemp[[#This Row],[ValidTarget]]=FALSE,"BAD TARGET",IF(tbldeptemp[[#This Row],[ValidDependency]]=FALSE,"BAD DEPENDENCY",""))</f>
        <v>#ERROR!</v>
      </c>
    </row>
    <row r="465" ht="14.25" customHeight="1">
      <c r="A465" s="26" t="s">
        <v>1151</v>
      </c>
      <c r="B465" s="26" t="s">
        <v>4965</v>
      </c>
      <c r="C465" s="26" t="s">
        <v>1303</v>
      </c>
      <c r="D465" s="26" t="s">
        <v>4812</v>
      </c>
      <c r="E465" s="26" t="s">
        <v>6002</v>
      </c>
      <c r="F465" s="26" t="b">
        <v>0</v>
      </c>
      <c r="G465" s="26" t="s">
        <v>5097</v>
      </c>
      <c r="H465" s="26" t="s">
        <v>1303</v>
      </c>
      <c r="I465" s="26" t="s">
        <v>1102</v>
      </c>
      <c r="J465" s="26" t="b">
        <v>1</v>
      </c>
      <c r="K465" s="26" t="str">
        <f>ISNUMBER(_xlfn.XMATCH(tbldeptemp[[#This Row],[DependencyID]],tblTargets[TargetID]))</f>
        <v>#ERROR!</v>
      </c>
      <c r="L465" s="26" t="str">
        <f>IF(tbldeptemp[[#This Row],[ValidTarget]]=FALSE,"BAD TARGET",IF(tbldeptemp[[#This Row],[ValidDependency]]=FALSE,"BAD DEPENDENCY",""))</f>
        <v>#ERROR!</v>
      </c>
    </row>
    <row r="466" ht="14.25" customHeight="1">
      <c r="A466" s="26" t="s">
        <v>1151</v>
      </c>
      <c r="B466" s="26" t="s">
        <v>4973</v>
      </c>
      <c r="C466" s="26" t="s">
        <v>1307</v>
      </c>
      <c r="D466" s="26" t="s">
        <v>4812</v>
      </c>
      <c r="E466" s="26" t="s">
        <v>6002</v>
      </c>
      <c r="F466" s="26" t="b">
        <v>0</v>
      </c>
      <c r="G466" s="26" t="s">
        <v>5100</v>
      </c>
      <c r="H466" s="26" t="s">
        <v>1307</v>
      </c>
      <c r="I466" s="26" t="s">
        <v>1102</v>
      </c>
      <c r="J466" s="26" t="b">
        <v>1</v>
      </c>
      <c r="K466" s="26" t="str">
        <f>ISNUMBER(_xlfn.XMATCH(tbldeptemp[[#This Row],[DependencyID]],tblTargets[TargetID]))</f>
        <v>#ERROR!</v>
      </c>
      <c r="L466" s="26" t="str">
        <f>IF(tbldeptemp[[#This Row],[ValidTarget]]=FALSE,"BAD TARGET",IF(tbldeptemp[[#This Row],[ValidDependency]]=FALSE,"BAD DEPENDENCY",""))</f>
        <v>#ERROR!</v>
      </c>
    </row>
    <row r="467" ht="14.25" customHeight="1">
      <c r="A467" s="26" t="s">
        <v>1705</v>
      </c>
      <c r="B467" s="26" t="s">
        <v>5421</v>
      </c>
      <c r="C467" s="26" t="s">
        <v>1836</v>
      </c>
      <c r="D467" s="26" t="s">
        <v>4812</v>
      </c>
      <c r="E467" s="26" t="s">
        <v>6002</v>
      </c>
      <c r="F467" s="26" t="b">
        <v>0</v>
      </c>
      <c r="G467" s="26" t="s">
        <v>5097</v>
      </c>
      <c r="H467" s="26" t="s">
        <v>1836</v>
      </c>
      <c r="I467" s="26" t="s">
        <v>1102</v>
      </c>
      <c r="J467" s="26" t="b">
        <v>1</v>
      </c>
      <c r="K467" s="26" t="str">
        <f>ISNUMBER(_xlfn.XMATCH(tbldeptemp[[#This Row],[DependencyID]],tblTargets[TargetID]))</f>
        <v>#ERROR!</v>
      </c>
      <c r="L467" s="26" t="str">
        <f>IF(tbldeptemp[[#This Row],[ValidTarget]]=FALSE,"BAD TARGET",IF(tbldeptemp[[#This Row],[ValidDependency]]=FALSE,"BAD DEPENDENCY",""))</f>
        <v>#ERROR!</v>
      </c>
    </row>
    <row r="468" ht="14.25" customHeight="1">
      <c r="A468" s="134" t="s">
        <v>1151</v>
      </c>
      <c r="B468" s="134" t="s">
        <v>1110</v>
      </c>
      <c r="C468" s="134" t="s">
        <v>1110</v>
      </c>
      <c r="E468"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68" s="134" t="s">
        <v>1110</v>
      </c>
      <c r="I468" s="134" t="s">
        <v>1107</v>
      </c>
      <c r="J468" s="26" t="str">
        <f>COUNTIF(tblTargets[TargetID],tbldeptemp[[#This Row],[TargetID]])&gt;0</f>
        <v>#ERROR!</v>
      </c>
      <c r="K468" s="26" t="str">
        <f>ISNUMBER(_xlfn.XMATCH(tbldeptemp[[#This Row],[DependencyID]],tblTargets[TargetID]))</f>
        <v>#ERROR!</v>
      </c>
      <c r="L468" s="26" t="str">
        <f>IF(tbldeptemp[[#This Row],[ValidTarget]]=FALSE,"BAD TARGET",IF(tbldeptemp[[#This Row],[ValidDependency]]=FALSE,"BAD DEPENDENCY",""))</f>
        <v>#ERROR!</v>
      </c>
    </row>
    <row r="469" ht="14.25" customHeight="1">
      <c r="A469" s="134" t="s">
        <v>1151</v>
      </c>
      <c r="B469" s="26" t="s">
        <v>1118</v>
      </c>
      <c r="C469" s="26" t="s">
        <v>1118</v>
      </c>
      <c r="E469"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69" s="26" t="s">
        <v>1118</v>
      </c>
      <c r="I469" s="26" t="s">
        <v>1114</v>
      </c>
      <c r="J469" s="26" t="str">
        <f>COUNTIF(tblTargets[TargetID],tbldeptemp[[#This Row],[TargetID]])&gt;0</f>
        <v>#ERROR!</v>
      </c>
      <c r="K469" s="26" t="str">
        <f>ISNUMBER(_xlfn.XMATCH(tbldeptemp[[#This Row],[DependencyID]],tblTargets[TargetID]))</f>
        <v>#ERROR!</v>
      </c>
      <c r="L469" s="26" t="str">
        <f>IF(tbldeptemp[[#This Row],[ValidTarget]]=FALSE,"BAD TARGET",IF(tbldeptemp[[#This Row],[ValidDependency]]=FALSE,"BAD DEPENDENCY",""))</f>
        <v>#ERROR!</v>
      </c>
    </row>
    <row r="470" ht="14.25" customHeight="1">
      <c r="A470" s="26" t="s">
        <v>932</v>
      </c>
      <c r="B470" s="26" t="s">
        <v>4358</v>
      </c>
      <c r="C470" s="26" t="s">
        <v>480</v>
      </c>
      <c r="D470" s="26" t="s">
        <v>6007</v>
      </c>
      <c r="E470" s="26" t="s">
        <v>6008</v>
      </c>
      <c r="F470" s="26" t="b">
        <v>0</v>
      </c>
      <c r="G470" s="26" t="s">
        <v>5097</v>
      </c>
      <c r="H470" s="26" t="s">
        <v>480</v>
      </c>
      <c r="I470" s="26" t="s">
        <v>1118</v>
      </c>
      <c r="J470" s="26" t="b">
        <v>1</v>
      </c>
      <c r="K470" s="26" t="str">
        <f>ISNUMBER(_xlfn.XMATCH(tbldeptemp[[#This Row],[DependencyID]],tblTargets[TargetID]))</f>
        <v>#ERROR!</v>
      </c>
      <c r="L470" s="26" t="str">
        <f>IF(tbldeptemp[[#This Row],[ValidTarget]]=FALSE,"BAD TARGET",IF(tbldeptemp[[#This Row],[ValidDependency]]=FALSE,"BAD DEPENDENCY",""))</f>
        <v>#ERROR!</v>
      </c>
    </row>
    <row r="471" ht="14.25" customHeight="1">
      <c r="A471" s="26" t="s">
        <v>932</v>
      </c>
      <c r="B471" s="26" t="s">
        <v>4371</v>
      </c>
      <c r="C471" s="26" t="s">
        <v>502</v>
      </c>
      <c r="D471" s="26" t="s">
        <v>6007</v>
      </c>
      <c r="E471" s="26" t="s">
        <v>6008</v>
      </c>
      <c r="F471" s="26" t="b">
        <v>0</v>
      </c>
      <c r="G471" s="26" t="s">
        <v>5097</v>
      </c>
      <c r="H471" s="26" t="s">
        <v>502</v>
      </c>
      <c r="I471" s="26" t="s">
        <v>1118</v>
      </c>
      <c r="J471" s="26" t="b">
        <v>1</v>
      </c>
      <c r="K471" s="26" t="str">
        <f>ISNUMBER(_xlfn.XMATCH(tbldeptemp[[#This Row],[DependencyID]],tblTargets[TargetID]))</f>
        <v>#ERROR!</v>
      </c>
      <c r="L471" s="26" t="str">
        <f>IF(tbldeptemp[[#This Row],[ValidTarget]]=FALSE,"BAD TARGET",IF(tbldeptemp[[#This Row],[ValidDependency]]=FALSE,"BAD DEPENDENCY",""))</f>
        <v>#ERROR!</v>
      </c>
    </row>
    <row r="472" ht="14.25" customHeight="1">
      <c r="A472" s="26" t="s">
        <v>932</v>
      </c>
      <c r="B472" s="26" t="s">
        <v>4397</v>
      </c>
      <c r="C472" s="26" t="s">
        <v>523</v>
      </c>
      <c r="D472" s="26" t="s">
        <v>4819</v>
      </c>
      <c r="E472" s="26" t="s">
        <v>6008</v>
      </c>
      <c r="F472" s="26" t="b">
        <v>0</v>
      </c>
      <c r="G472" s="26" t="s">
        <v>5097</v>
      </c>
      <c r="H472" s="26" t="s">
        <v>523</v>
      </c>
      <c r="I472" s="26" t="s">
        <v>1118</v>
      </c>
      <c r="J472" s="26" t="b">
        <v>1</v>
      </c>
      <c r="K472" s="26" t="str">
        <f>ISNUMBER(_xlfn.XMATCH(tbldeptemp[[#This Row],[DependencyID]],tblTargets[TargetID]))</f>
        <v>#ERROR!</v>
      </c>
      <c r="L472" s="26" t="str">
        <f>IF(tbldeptemp[[#This Row],[ValidTarget]]=FALSE,"BAD TARGET",IF(tbldeptemp[[#This Row],[ValidDependency]]=FALSE,"BAD DEPENDENCY",""))</f>
        <v>#ERROR!</v>
      </c>
    </row>
    <row r="473" ht="14.25" customHeight="1">
      <c r="A473" s="26" t="s">
        <v>1151</v>
      </c>
      <c r="B473" s="26" t="s">
        <v>4814</v>
      </c>
      <c r="C473" s="26" t="s">
        <v>1122</v>
      </c>
      <c r="D473" s="26" t="s">
        <v>4819</v>
      </c>
      <c r="E473" s="26" t="s">
        <v>6008</v>
      </c>
      <c r="F473" s="26" t="b">
        <v>0</v>
      </c>
      <c r="G473" s="26" t="s">
        <v>5100</v>
      </c>
      <c r="H473" s="26" t="s">
        <v>1122</v>
      </c>
      <c r="I473" s="26" t="s">
        <v>1118</v>
      </c>
      <c r="J473" s="26" t="b">
        <v>1</v>
      </c>
      <c r="K473" s="26" t="str">
        <f>ISNUMBER(_xlfn.XMATCH(tbldeptemp[[#This Row],[DependencyID]],tblTargets[TargetID]))</f>
        <v>#ERROR!</v>
      </c>
      <c r="L473" s="26" t="str">
        <f>IF(tbldeptemp[[#This Row],[ValidTarget]]=FALSE,"BAD TARGET",IF(tbldeptemp[[#This Row],[ValidDependency]]=FALSE,"BAD DEPENDENCY",""))</f>
        <v>#ERROR!</v>
      </c>
    </row>
    <row r="474" ht="14.25" customHeight="1">
      <c r="A474" s="134" t="s">
        <v>1151</v>
      </c>
      <c r="B474" s="134" t="s">
        <v>1127</v>
      </c>
      <c r="C474" s="134" t="s">
        <v>1127</v>
      </c>
      <c r="E474"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74" s="134" t="s">
        <v>1127</v>
      </c>
      <c r="I474" s="134" t="s">
        <v>1122</v>
      </c>
      <c r="J474" s="26" t="str">
        <f>COUNTIF(tblTargets[TargetID],tbldeptemp[[#This Row],[TargetID]])&gt;0</f>
        <v>#ERROR!</v>
      </c>
      <c r="K474" s="26" t="str">
        <f>ISNUMBER(_xlfn.XMATCH(tbldeptemp[[#This Row],[DependencyID]],tblTargets[TargetID]))</f>
        <v>#ERROR!</v>
      </c>
      <c r="L474" s="26" t="str">
        <f>IF(tbldeptemp[[#This Row],[ValidTarget]]=FALSE,"BAD TARGET",IF(tbldeptemp[[#This Row],[ValidDependency]]=FALSE,"BAD DEPENDENCY",""))</f>
        <v>#ERROR!</v>
      </c>
    </row>
    <row r="475" ht="14.25" customHeight="1">
      <c r="A475" s="26" t="s">
        <v>932</v>
      </c>
      <c r="B475" s="26" t="s">
        <v>4358</v>
      </c>
      <c r="C475" s="26" t="s">
        <v>480</v>
      </c>
      <c r="D475" s="26" t="s">
        <v>6010</v>
      </c>
      <c r="E475" s="26" t="s">
        <v>6011</v>
      </c>
      <c r="F475" s="26" t="b">
        <v>0</v>
      </c>
      <c r="G475" s="26" t="s">
        <v>5097</v>
      </c>
      <c r="H475" s="26" t="s">
        <v>480</v>
      </c>
      <c r="I475" s="26" t="s">
        <v>1127</v>
      </c>
      <c r="J475" s="26" t="b">
        <v>1</v>
      </c>
      <c r="K475" s="26" t="str">
        <f>ISNUMBER(_xlfn.XMATCH(tbldeptemp[[#This Row],[DependencyID]],tblTargets[TargetID]))</f>
        <v>#ERROR!</v>
      </c>
      <c r="L475" s="26" t="str">
        <f>IF(tbldeptemp[[#This Row],[ValidTarget]]=FALSE,"BAD TARGET",IF(tbldeptemp[[#This Row],[ValidDependency]]=FALSE,"BAD DEPENDENCY",""))</f>
        <v>#ERROR!</v>
      </c>
    </row>
    <row r="476" ht="14.25" customHeight="1">
      <c r="A476" s="26" t="s">
        <v>932</v>
      </c>
      <c r="B476" s="26" t="s">
        <v>4371</v>
      </c>
      <c r="C476" s="26" t="s">
        <v>502</v>
      </c>
      <c r="D476" s="26" t="s">
        <v>6010</v>
      </c>
      <c r="E476" s="26" t="s">
        <v>6011</v>
      </c>
      <c r="F476" s="26" t="b">
        <v>0</v>
      </c>
      <c r="G476" s="26" t="s">
        <v>5097</v>
      </c>
      <c r="H476" s="26" t="s">
        <v>502</v>
      </c>
      <c r="I476" s="26" t="s">
        <v>1127</v>
      </c>
      <c r="J476" s="26" t="b">
        <v>1</v>
      </c>
      <c r="K476" s="26" t="str">
        <f>ISNUMBER(_xlfn.XMATCH(tbldeptemp[[#This Row],[DependencyID]],tblTargets[TargetID]))</f>
        <v>#ERROR!</v>
      </c>
      <c r="L476" s="26" t="str">
        <f>IF(tbldeptemp[[#This Row],[ValidTarget]]=FALSE,"BAD TARGET",IF(tbldeptemp[[#This Row],[ValidDependency]]=FALSE,"BAD DEPENDENCY",""))</f>
        <v>#ERROR!</v>
      </c>
    </row>
    <row r="477" ht="14.25" customHeight="1">
      <c r="A477" s="26" t="s">
        <v>932</v>
      </c>
      <c r="B477" s="26" t="s">
        <v>4397</v>
      </c>
      <c r="C477" s="26" t="s">
        <v>523</v>
      </c>
      <c r="D477" s="26" t="s">
        <v>6012</v>
      </c>
      <c r="E477" s="26" t="s">
        <v>6011</v>
      </c>
      <c r="F477" s="26" t="b">
        <v>0</v>
      </c>
      <c r="G477" s="26" t="s">
        <v>5097</v>
      </c>
      <c r="H477" s="26" t="s">
        <v>523</v>
      </c>
      <c r="I477" s="26" t="s">
        <v>1127</v>
      </c>
      <c r="J477" s="26" t="b">
        <v>1</v>
      </c>
      <c r="K477" s="26" t="str">
        <f>ISNUMBER(_xlfn.XMATCH(tbldeptemp[[#This Row],[DependencyID]],tblTargets[TargetID]))</f>
        <v>#ERROR!</v>
      </c>
      <c r="L477" s="26" t="str">
        <f>IF(tbldeptemp[[#This Row],[ValidTarget]]=FALSE,"BAD TARGET",IF(tbldeptemp[[#This Row],[ValidDependency]]=FALSE,"BAD DEPENDENCY",""))</f>
        <v>#ERROR!</v>
      </c>
    </row>
    <row r="478" ht="14.25" customHeight="1">
      <c r="A478" s="134" t="s">
        <v>1151</v>
      </c>
      <c r="B478" s="26" t="s">
        <v>1134</v>
      </c>
      <c r="C478" s="26" t="s">
        <v>1134</v>
      </c>
      <c r="E478"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78" s="26" t="s">
        <v>1134</v>
      </c>
      <c r="I478" s="26" t="s">
        <v>1130</v>
      </c>
      <c r="J478" s="26" t="str">
        <f>COUNTIF(tblTargets[TargetID],tbldeptemp[[#This Row],[TargetID]])&gt;0</f>
        <v>#ERROR!</v>
      </c>
      <c r="K478" s="26" t="str">
        <f>ISNUMBER(_xlfn.XMATCH(tbldeptemp[[#This Row],[DependencyID]],tblTargets[TargetID]))</f>
        <v>#ERROR!</v>
      </c>
      <c r="L478" s="26" t="str">
        <f>IF(tbldeptemp[[#This Row],[ValidTarget]]=FALSE,"BAD TARGET",IF(tbldeptemp[[#This Row],[ValidDependency]]=FALSE,"BAD DEPENDENCY",""))</f>
        <v>#ERROR!</v>
      </c>
    </row>
    <row r="479" ht="14.25" customHeight="1">
      <c r="A479" s="26" t="s">
        <v>960</v>
      </c>
      <c r="B479" s="26" t="s">
        <v>5590</v>
      </c>
      <c r="C479" s="26" t="s">
        <v>662</v>
      </c>
      <c r="D479" s="26" t="s">
        <v>4831</v>
      </c>
      <c r="E479" s="26" t="s">
        <v>6019</v>
      </c>
      <c r="F479" s="26" t="b">
        <v>1</v>
      </c>
      <c r="G479" s="26" t="s">
        <v>5097</v>
      </c>
      <c r="H479" s="26" t="s">
        <v>662</v>
      </c>
      <c r="I479" s="26" t="s">
        <v>1134</v>
      </c>
      <c r="J479" s="26" t="b">
        <v>1</v>
      </c>
      <c r="K479" s="26" t="str">
        <f>ISNUMBER(_xlfn.XMATCH(tbldeptemp[[#This Row],[DependencyID]],tblTargets[TargetID]))</f>
        <v>#ERROR!</v>
      </c>
      <c r="L479" s="26" t="str">
        <f>IF(tbldeptemp[[#This Row],[ValidTarget]]=FALSE,"BAD TARGET",IF(tbldeptemp[[#This Row],[ValidDependency]]=FALSE,"BAD DEPENDENCY",""))</f>
        <v>#ERROR!</v>
      </c>
    </row>
    <row r="480" ht="14.25" customHeight="1">
      <c r="A480" s="26" t="s">
        <v>1151</v>
      </c>
      <c r="B480" s="26" t="s">
        <v>4827</v>
      </c>
      <c r="C480" s="26" t="s">
        <v>1139</v>
      </c>
      <c r="D480" s="26" t="s">
        <v>4831</v>
      </c>
      <c r="E480" s="26" t="s">
        <v>6019</v>
      </c>
      <c r="F480" s="26" t="b">
        <v>1</v>
      </c>
      <c r="G480" s="26" t="s">
        <v>5100</v>
      </c>
      <c r="H480" s="26" t="s">
        <v>1139</v>
      </c>
      <c r="I480" s="26" t="s">
        <v>1134</v>
      </c>
      <c r="J480" s="26" t="b">
        <v>1</v>
      </c>
      <c r="K480" s="26" t="str">
        <f>ISNUMBER(_xlfn.XMATCH(tbldeptemp[[#This Row],[DependencyID]],tblTargets[TargetID]))</f>
        <v>#ERROR!</v>
      </c>
      <c r="L480" s="26" t="str">
        <f>IF(tbldeptemp[[#This Row],[ValidTarget]]=FALSE,"BAD TARGET",IF(tbldeptemp[[#This Row],[ValidDependency]]=FALSE,"BAD DEPENDENCY",""))</f>
        <v>#ERROR!</v>
      </c>
    </row>
    <row r="481" ht="14.25" customHeight="1">
      <c r="A481" s="134" t="s">
        <v>1151</v>
      </c>
      <c r="B481" s="134" t="s">
        <v>1144</v>
      </c>
      <c r="C481" s="134" t="s">
        <v>1144</v>
      </c>
      <c r="E481"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81" s="134" t="s">
        <v>1144</v>
      </c>
      <c r="I481" s="134" t="s">
        <v>1139</v>
      </c>
      <c r="J481" s="26" t="str">
        <f>COUNTIF(tblTargets[TargetID],tbldeptemp[[#This Row],[TargetID]])&gt;0</f>
        <v>#ERROR!</v>
      </c>
      <c r="K481" s="26" t="str">
        <f>ISNUMBER(_xlfn.XMATCH(tbldeptemp[[#This Row],[DependencyID]],tblTargets[TargetID]))</f>
        <v>#ERROR!</v>
      </c>
      <c r="L481" s="26" t="str">
        <f>IF(tbldeptemp[[#This Row],[ValidTarget]]=FALSE,"BAD TARGET",IF(tbldeptemp[[#This Row],[ValidDependency]]=FALSE,"BAD DEPENDENCY",""))</f>
        <v>#ERROR!</v>
      </c>
    </row>
    <row r="482" ht="14.25" customHeight="1">
      <c r="A482" s="26" t="s">
        <v>1117</v>
      </c>
      <c r="B482" s="26" t="s">
        <v>4634</v>
      </c>
      <c r="C482" s="26" t="s">
        <v>898</v>
      </c>
      <c r="D482" s="26" t="s">
        <v>6020</v>
      </c>
      <c r="E482" s="26" t="s">
        <v>6021</v>
      </c>
      <c r="F482" s="26" t="b">
        <v>0</v>
      </c>
      <c r="G482" s="26" t="s">
        <v>5097</v>
      </c>
      <c r="H482" s="26" t="s">
        <v>898</v>
      </c>
      <c r="I482" s="26" t="s">
        <v>1144</v>
      </c>
      <c r="J482" s="26" t="b">
        <v>1</v>
      </c>
      <c r="K482" s="26" t="str">
        <f>ISNUMBER(_xlfn.XMATCH(tbldeptemp[[#This Row],[DependencyID]],tblTargets[TargetID]))</f>
        <v>#ERROR!</v>
      </c>
      <c r="L482" s="26" t="str">
        <f>IF(tbldeptemp[[#This Row],[ValidTarget]]=FALSE,"BAD TARGET",IF(tbldeptemp[[#This Row],[ValidDependency]]=FALSE,"BAD DEPENDENCY",""))</f>
        <v>#ERROR!</v>
      </c>
    </row>
    <row r="483" ht="14.25" customHeight="1">
      <c r="A483" s="26" t="s">
        <v>1151</v>
      </c>
      <c r="B483" s="26" t="s">
        <v>4793</v>
      </c>
      <c r="C483" s="26" t="s">
        <v>1098</v>
      </c>
      <c r="D483" s="26" t="s">
        <v>6020</v>
      </c>
      <c r="E483" s="26" t="s">
        <v>6021</v>
      </c>
      <c r="F483" s="26" t="b">
        <v>0</v>
      </c>
      <c r="G483" s="26" t="s">
        <v>5097</v>
      </c>
      <c r="H483" s="26" t="s">
        <v>1098</v>
      </c>
      <c r="I483" s="26" t="s">
        <v>1144</v>
      </c>
      <c r="J483" s="26" t="b">
        <v>1</v>
      </c>
      <c r="K483" s="26" t="str">
        <f>ISNUMBER(_xlfn.XMATCH(tbldeptemp[[#This Row],[DependencyID]],tblTargets[TargetID]))</f>
        <v>#ERROR!</v>
      </c>
      <c r="L483" s="26" t="str">
        <f>IF(tbldeptemp[[#This Row],[ValidTarget]]=FALSE,"BAD TARGET",IF(tbldeptemp[[#This Row],[ValidDependency]]=FALSE,"BAD DEPENDENCY",""))</f>
        <v>#ERROR!</v>
      </c>
    </row>
    <row r="484" ht="14.25" customHeight="1">
      <c r="A484" s="134" t="s">
        <v>1151</v>
      </c>
      <c r="B484" s="26" t="s">
        <v>1155</v>
      </c>
      <c r="C484" s="26" t="s">
        <v>1155</v>
      </c>
      <c r="E484"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84" s="26" t="s">
        <v>1155</v>
      </c>
      <c r="I484" s="26" t="s">
        <v>1149</v>
      </c>
      <c r="J484" s="26" t="str">
        <f>COUNTIF(tblTargets[TargetID],tbldeptemp[[#This Row],[TargetID]])&gt;0</f>
        <v>#ERROR!</v>
      </c>
      <c r="K484" s="26" t="str">
        <f>ISNUMBER(_xlfn.XMATCH(tbldeptemp[[#This Row],[DependencyID]],tblTargets[TargetID]))</f>
        <v>#ERROR!</v>
      </c>
      <c r="L484" s="26" t="str">
        <f>IF(tbldeptemp[[#This Row],[ValidTarget]]=FALSE,"BAD TARGET",IF(tbldeptemp[[#This Row],[ValidDependency]]=FALSE,"BAD DEPENDENCY",""))</f>
        <v>#ERROR!</v>
      </c>
    </row>
    <row r="485" ht="14.25" customHeight="1">
      <c r="A485" s="26" t="s">
        <v>1151</v>
      </c>
      <c r="B485" s="26" t="s">
        <v>4839</v>
      </c>
      <c r="C485" s="26" t="s">
        <v>1160</v>
      </c>
      <c r="D485" s="26" t="s">
        <v>4845</v>
      </c>
      <c r="E485" s="26" t="s">
        <v>6022</v>
      </c>
      <c r="F485" s="26" t="b">
        <v>0</v>
      </c>
      <c r="G485" s="26" t="s">
        <v>5100</v>
      </c>
      <c r="H485" s="26" t="s">
        <v>1160</v>
      </c>
      <c r="I485" s="26" t="s">
        <v>1155</v>
      </c>
      <c r="J485" s="26" t="b">
        <v>1</v>
      </c>
      <c r="K485" s="26" t="str">
        <f>ISNUMBER(_xlfn.XMATCH(tbldeptemp[[#This Row],[DependencyID]],tblTargets[TargetID]))</f>
        <v>#ERROR!</v>
      </c>
      <c r="L485" s="26" t="str">
        <f>IF(tbldeptemp[[#This Row],[ValidTarget]]=FALSE,"BAD TARGET",IF(tbldeptemp[[#This Row],[ValidDependency]]=FALSE,"BAD DEPENDENCY",""))</f>
        <v>#ERROR!</v>
      </c>
    </row>
    <row r="486" ht="14.25" customHeight="1">
      <c r="A486" s="26" t="s">
        <v>1151</v>
      </c>
      <c r="B486" s="26" t="s">
        <v>4847</v>
      </c>
      <c r="C486" s="26" t="s">
        <v>1169</v>
      </c>
      <c r="D486" s="26" t="s">
        <v>4852</v>
      </c>
      <c r="E486" s="26" t="s">
        <v>6023</v>
      </c>
      <c r="F486" s="26" t="b">
        <v>1</v>
      </c>
      <c r="G486" s="26" t="s">
        <v>5100</v>
      </c>
      <c r="H486" s="26" t="s">
        <v>1169</v>
      </c>
      <c r="I486" s="26" t="s">
        <v>1160</v>
      </c>
      <c r="J486" s="26" t="b">
        <v>1</v>
      </c>
      <c r="K486" s="26" t="str">
        <f>ISNUMBER(_xlfn.XMATCH(tbldeptemp[[#This Row],[DependencyID]],tblTargets[TargetID]))</f>
        <v>#ERROR!</v>
      </c>
      <c r="L486" s="26" t="str">
        <f>IF(tbldeptemp[[#This Row],[ValidTarget]]=FALSE,"BAD TARGET",IF(tbldeptemp[[#This Row],[ValidDependency]]=FALSE,"BAD DEPENDENCY",""))</f>
        <v>#ERROR!</v>
      </c>
    </row>
    <row r="487" ht="14.25" customHeight="1">
      <c r="A487" s="134" t="s">
        <v>1151</v>
      </c>
      <c r="B487" s="134" t="s">
        <v>1165</v>
      </c>
      <c r="C487" s="134" t="s">
        <v>1165</v>
      </c>
      <c r="E487"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87" s="134" t="s">
        <v>1165</v>
      </c>
      <c r="I487" s="134" t="s">
        <v>1160</v>
      </c>
      <c r="J487" s="26" t="str">
        <f>COUNTIF(tblTargets[TargetID],tbldeptemp[[#This Row],[TargetID]])&gt;0</f>
        <v>#ERROR!</v>
      </c>
      <c r="K487" s="26" t="str">
        <f>ISNUMBER(_xlfn.XMATCH(tbldeptemp[[#This Row],[DependencyID]],tblTargets[TargetID]))</f>
        <v>#ERROR!</v>
      </c>
      <c r="L487" s="26" t="str">
        <f>IF(tbldeptemp[[#This Row],[ValidTarget]]=FALSE,"BAD TARGET",IF(tbldeptemp[[#This Row],[ValidDependency]]=FALSE,"BAD DEPENDENCY",""))</f>
        <v>#ERROR!</v>
      </c>
    </row>
    <row r="488" ht="14.25" customHeight="1">
      <c r="A488" s="26" t="s">
        <v>1705</v>
      </c>
      <c r="B488" s="26" t="s">
        <v>5453</v>
      </c>
      <c r="C488" s="26" t="s">
        <v>1858</v>
      </c>
      <c r="D488" s="26" t="s">
        <v>6029</v>
      </c>
      <c r="E488" s="26" t="s">
        <v>6030</v>
      </c>
      <c r="F488" s="26" t="b">
        <v>1</v>
      </c>
      <c r="G488" s="26" t="s">
        <v>5097</v>
      </c>
      <c r="H488" s="26" t="s">
        <v>1858</v>
      </c>
      <c r="I488" s="26" t="s">
        <v>1165</v>
      </c>
      <c r="J488" s="26" t="b">
        <v>1</v>
      </c>
      <c r="K488" s="26" t="str">
        <f>ISNUMBER(_xlfn.XMATCH(tbldeptemp[[#This Row],[DependencyID]],tblTargets[TargetID]))</f>
        <v>#ERROR!</v>
      </c>
      <c r="L488" s="26" t="str">
        <f>IF(tbldeptemp[[#This Row],[ValidTarget]]=FALSE,"BAD TARGET",IF(tbldeptemp[[#This Row],[ValidDependency]]=FALSE,"BAD DEPENDENCY",""))</f>
        <v>#ERROR!</v>
      </c>
    </row>
    <row r="489" ht="14.25" customHeight="1">
      <c r="A489" s="26" t="s">
        <v>1705</v>
      </c>
      <c r="B489" s="26" t="s">
        <v>5114</v>
      </c>
      <c r="C489" s="26" t="s">
        <v>5115</v>
      </c>
      <c r="D489" s="26" t="s">
        <v>6031</v>
      </c>
      <c r="E489" s="26" t="s">
        <v>6032</v>
      </c>
      <c r="F489" s="26" t="b">
        <v>1</v>
      </c>
      <c r="G489" s="26" t="s">
        <v>5097</v>
      </c>
      <c r="H489" s="26" t="s">
        <v>1709</v>
      </c>
      <c r="I489" s="26" t="s">
        <v>1169</v>
      </c>
      <c r="J489" s="26" t="b">
        <v>1</v>
      </c>
      <c r="K489" s="26" t="str">
        <f>ISNUMBER(_xlfn.XMATCH(tbldeptemp[[#This Row],[DependencyID]],tblTargets[TargetID]))</f>
        <v>#ERROR!</v>
      </c>
      <c r="L489" s="26" t="str">
        <f>IF(tbldeptemp[[#This Row],[ValidTarget]]=FALSE,"BAD TARGET",IF(tbldeptemp[[#This Row],[ValidDependency]]=FALSE,"BAD DEPENDENCY",""))</f>
        <v>#ERROR!</v>
      </c>
    </row>
    <row r="490" ht="14.25" customHeight="1">
      <c r="A490" s="26" t="s">
        <v>1705</v>
      </c>
      <c r="B490" s="26" t="s">
        <v>5150</v>
      </c>
      <c r="C490" s="26" t="s">
        <v>5151</v>
      </c>
      <c r="D490" s="26" t="s">
        <v>6031</v>
      </c>
      <c r="E490" s="26" t="s">
        <v>6032</v>
      </c>
      <c r="F490" s="26" t="b">
        <v>1</v>
      </c>
      <c r="G490" s="26" t="s">
        <v>5097</v>
      </c>
      <c r="H490" s="26" t="s">
        <v>1744</v>
      </c>
      <c r="I490" s="26" t="s">
        <v>1169</v>
      </c>
      <c r="J490" s="26" t="b">
        <v>1</v>
      </c>
      <c r="K490" s="26" t="str">
        <f>ISNUMBER(_xlfn.XMATCH(tbldeptemp[[#This Row],[DependencyID]],tblTargets[TargetID]))</f>
        <v>#ERROR!</v>
      </c>
      <c r="L490" s="26" t="str">
        <f>IF(tbldeptemp[[#This Row],[ValidTarget]]=FALSE,"BAD TARGET",IF(tbldeptemp[[#This Row],[ValidDependency]]=FALSE,"BAD DEPENDENCY",""))</f>
        <v>#ERROR!</v>
      </c>
    </row>
    <row r="491" ht="14.25" customHeight="1">
      <c r="A491" s="134" t="s">
        <v>1151</v>
      </c>
      <c r="B491" s="26" t="s">
        <v>1175</v>
      </c>
      <c r="C491" s="26" t="s">
        <v>1175</v>
      </c>
      <c r="E491"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91" s="26" t="s">
        <v>1175</v>
      </c>
      <c r="I491" s="26" t="s">
        <v>1169</v>
      </c>
      <c r="J491" s="26" t="str">
        <f>COUNTIF(tblTargets[TargetID],tbldeptemp[[#This Row],[TargetID]])&gt;0</f>
        <v>#ERROR!</v>
      </c>
      <c r="K491" s="26" t="str">
        <f>ISNUMBER(_xlfn.XMATCH(tbldeptemp[[#This Row],[DependencyID]],tblTargets[TargetID]))</f>
        <v>#ERROR!</v>
      </c>
      <c r="L491" s="26" t="str">
        <f>IF(tbldeptemp[[#This Row],[ValidTarget]]=FALSE,"BAD TARGET",IF(tbldeptemp[[#This Row],[ValidDependency]]=FALSE,"BAD DEPENDENCY",""))</f>
        <v>#ERROR!</v>
      </c>
    </row>
    <row r="492" ht="14.25" customHeight="1">
      <c r="A492" s="26" t="s">
        <v>1117</v>
      </c>
      <c r="B492" s="26" t="s">
        <v>4579</v>
      </c>
      <c r="C492" s="26" t="s">
        <v>838</v>
      </c>
      <c r="D492" s="26" t="s">
        <v>4859</v>
      </c>
      <c r="E492" s="26" t="s">
        <v>6033</v>
      </c>
      <c r="F492" s="26" t="b">
        <v>1</v>
      </c>
      <c r="G492" s="26" t="s">
        <v>5097</v>
      </c>
      <c r="H492" s="26" t="s">
        <v>838</v>
      </c>
      <c r="I492" s="26" t="s">
        <v>1175</v>
      </c>
      <c r="J492" s="26" t="b">
        <v>1</v>
      </c>
      <c r="K492" s="26" t="str">
        <f>ISNUMBER(_xlfn.XMATCH(tbldeptemp[[#This Row],[DependencyID]],tblTargets[TargetID]))</f>
        <v>#ERROR!</v>
      </c>
      <c r="L492" s="26" t="str">
        <f>IF(tbldeptemp[[#This Row],[ValidTarget]]=FALSE,"BAD TARGET",IF(tbldeptemp[[#This Row],[ValidDependency]]=FALSE,"BAD DEPENDENCY",""))</f>
        <v>#ERROR!</v>
      </c>
    </row>
    <row r="493" ht="14.25" customHeight="1">
      <c r="A493" s="26" t="s">
        <v>1151</v>
      </c>
      <c r="B493" s="26" t="s">
        <v>4854</v>
      </c>
      <c r="C493" s="26" t="s">
        <v>1180</v>
      </c>
      <c r="D493" s="26" t="s">
        <v>4859</v>
      </c>
      <c r="E493" s="26" t="s">
        <v>6033</v>
      </c>
      <c r="F493" s="26" t="b">
        <v>1</v>
      </c>
      <c r="G493" s="26" t="s">
        <v>5100</v>
      </c>
      <c r="H493" s="26" t="s">
        <v>1180</v>
      </c>
      <c r="I493" s="26" t="s">
        <v>1175</v>
      </c>
      <c r="J493" s="26" t="b">
        <v>1</v>
      </c>
      <c r="K493" s="26" t="str">
        <f>ISNUMBER(_xlfn.XMATCH(tbldeptemp[[#This Row],[DependencyID]],tblTargets[TargetID]))</f>
        <v>#ERROR!</v>
      </c>
      <c r="L493" s="26" t="str">
        <f>IF(tbldeptemp[[#This Row],[ValidTarget]]=FALSE,"BAD TARGET",IF(tbldeptemp[[#This Row],[ValidDependency]]=FALSE,"BAD DEPENDENCY",""))</f>
        <v>#ERROR!</v>
      </c>
    </row>
    <row r="494" ht="14.25" customHeight="1">
      <c r="A494" s="26" t="s">
        <v>1705</v>
      </c>
      <c r="B494" s="26" t="s">
        <v>5130</v>
      </c>
      <c r="C494" s="26" t="s">
        <v>5131</v>
      </c>
      <c r="D494" s="26" t="s">
        <v>6034</v>
      </c>
      <c r="E494" s="26" t="s">
        <v>6033</v>
      </c>
      <c r="F494" s="26" t="b">
        <v>1</v>
      </c>
      <c r="G494" s="26" t="s">
        <v>5097</v>
      </c>
      <c r="H494" s="26" t="s">
        <v>1726</v>
      </c>
      <c r="I494" s="26" t="s">
        <v>1175</v>
      </c>
      <c r="J494" s="26" t="b">
        <v>1</v>
      </c>
      <c r="K494" s="26" t="str">
        <f>ISNUMBER(_xlfn.XMATCH(tbldeptemp[[#This Row],[DependencyID]],tblTargets[TargetID]))</f>
        <v>#ERROR!</v>
      </c>
      <c r="L494" s="26" t="str">
        <f>IF(tbldeptemp[[#This Row],[ValidTarget]]=FALSE,"BAD TARGET",IF(tbldeptemp[[#This Row],[ValidDependency]]=FALSE,"BAD DEPENDENCY",""))</f>
        <v>#ERROR!</v>
      </c>
    </row>
    <row r="495" ht="14.25" customHeight="1">
      <c r="A495" s="134" t="s">
        <v>1151</v>
      </c>
      <c r="B495" s="134" t="s">
        <v>1185</v>
      </c>
      <c r="C495" s="134" t="s">
        <v>1185</v>
      </c>
      <c r="E495"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495" s="134" t="s">
        <v>1185</v>
      </c>
      <c r="I495" s="134" t="s">
        <v>1180</v>
      </c>
      <c r="J495" s="26" t="str">
        <f>COUNTIF(tblTargets[TargetID],tbldeptemp[[#This Row],[TargetID]])&gt;0</f>
        <v>#ERROR!</v>
      </c>
      <c r="K495" s="26" t="str">
        <f>ISNUMBER(_xlfn.XMATCH(tbldeptemp[[#This Row],[DependencyID]],tblTargets[TargetID]))</f>
        <v>#ERROR!</v>
      </c>
      <c r="L495" s="26" t="str">
        <f>IF(tbldeptemp[[#This Row],[ValidTarget]]=FALSE,"BAD TARGET",IF(tbldeptemp[[#This Row],[ValidDependency]]=FALSE,"BAD DEPENDENCY",""))</f>
        <v>#ERROR!</v>
      </c>
    </row>
    <row r="496" ht="14.25" customHeight="1">
      <c r="A496" s="26" t="s">
        <v>1151</v>
      </c>
      <c r="B496" s="26" t="s">
        <v>4861</v>
      </c>
      <c r="C496" s="26" t="s">
        <v>1191</v>
      </c>
      <c r="D496" s="26" t="s">
        <v>4866</v>
      </c>
      <c r="E496" s="26" t="s">
        <v>6040</v>
      </c>
      <c r="F496" s="26" t="b">
        <v>1</v>
      </c>
      <c r="G496" s="26" t="s">
        <v>5100</v>
      </c>
      <c r="H496" s="26" t="s">
        <v>1191</v>
      </c>
      <c r="I496" s="26" t="s">
        <v>1185</v>
      </c>
      <c r="J496" s="26" t="b">
        <v>1</v>
      </c>
      <c r="K496" s="26" t="str">
        <f>ISNUMBER(_xlfn.XMATCH(tbldeptemp[[#This Row],[DependencyID]],tblTargets[TargetID]))</f>
        <v>#ERROR!</v>
      </c>
      <c r="L496" s="26" t="str">
        <f>IF(tbldeptemp[[#This Row],[ValidTarget]]=FALSE,"BAD TARGET",IF(tbldeptemp[[#This Row],[ValidDependency]]=FALSE,"BAD DEPENDENCY",""))</f>
        <v>#ERROR!</v>
      </c>
    </row>
    <row r="497" ht="14.25" customHeight="1">
      <c r="A497" s="26" t="s">
        <v>1705</v>
      </c>
      <c r="B497" s="26" t="s">
        <v>5119</v>
      </c>
      <c r="C497" s="26" t="s">
        <v>5120</v>
      </c>
      <c r="D497" s="26" t="s">
        <v>6041</v>
      </c>
      <c r="E497" s="26" t="s">
        <v>6040</v>
      </c>
      <c r="F497" s="26" t="b">
        <v>1</v>
      </c>
      <c r="G497" s="26" t="s">
        <v>5097</v>
      </c>
      <c r="H497" s="26" t="s">
        <v>1719</v>
      </c>
      <c r="I497" s="26" t="s">
        <v>1185</v>
      </c>
      <c r="J497" s="26" t="b">
        <v>1</v>
      </c>
      <c r="K497" s="26" t="str">
        <f>ISNUMBER(_xlfn.XMATCH(tbldeptemp[[#This Row],[DependencyID]],tblTargets[TargetID]))</f>
        <v>#ERROR!</v>
      </c>
      <c r="L497" s="26" t="str">
        <f>IF(tbldeptemp[[#This Row],[ValidTarget]]=FALSE,"BAD TARGET",IF(tbldeptemp[[#This Row],[ValidDependency]]=FALSE,"BAD DEPENDENCY",""))</f>
        <v>#ERROR!</v>
      </c>
    </row>
    <row r="498" ht="14.25" customHeight="1">
      <c r="A498" s="26" t="s">
        <v>1705</v>
      </c>
      <c r="B498" s="26" t="s">
        <v>5128</v>
      </c>
      <c r="C498" s="26" t="s">
        <v>5129</v>
      </c>
      <c r="D498" s="26" t="s">
        <v>6041</v>
      </c>
      <c r="E498" s="26" t="s">
        <v>6040</v>
      </c>
      <c r="F498" s="26" t="b">
        <v>1</v>
      </c>
      <c r="G498" s="26" t="s">
        <v>5097</v>
      </c>
      <c r="H498" s="26" t="s">
        <v>1724</v>
      </c>
      <c r="I498" s="26" t="s">
        <v>1185</v>
      </c>
      <c r="J498" s="26" t="b">
        <v>1</v>
      </c>
      <c r="K498" s="26" t="str">
        <f>ISNUMBER(_xlfn.XMATCH(tbldeptemp[[#This Row],[DependencyID]],tblTargets[TargetID]))</f>
        <v>#ERROR!</v>
      </c>
      <c r="L498" s="26" t="str">
        <f>IF(tbldeptemp[[#This Row],[ValidTarget]]=FALSE,"BAD TARGET",IF(tbldeptemp[[#This Row],[ValidDependency]]=FALSE,"BAD DEPENDENCY",""))</f>
        <v>#ERROR!</v>
      </c>
    </row>
    <row r="499" ht="14.25" customHeight="1">
      <c r="A499" s="26" t="s">
        <v>1705</v>
      </c>
      <c r="B499" s="26" t="s">
        <v>5132</v>
      </c>
      <c r="C499" s="26" t="s">
        <v>5133</v>
      </c>
      <c r="D499" s="26" t="s">
        <v>6041</v>
      </c>
      <c r="E499" s="26" t="s">
        <v>6040</v>
      </c>
      <c r="F499" s="26" t="b">
        <v>1</v>
      </c>
      <c r="G499" s="26" t="s">
        <v>5097</v>
      </c>
      <c r="H499" s="26" t="s">
        <v>1728</v>
      </c>
      <c r="I499" s="26" t="s">
        <v>1185</v>
      </c>
      <c r="J499" s="26" t="b">
        <v>1</v>
      </c>
      <c r="K499" s="26" t="str">
        <f>ISNUMBER(_xlfn.XMATCH(tbldeptemp[[#This Row],[DependencyID]],tblTargets[TargetID]))</f>
        <v>#ERROR!</v>
      </c>
      <c r="L499" s="26" t="str">
        <f>IF(tbldeptemp[[#This Row],[ValidTarget]]=FALSE,"BAD TARGET",IF(tbldeptemp[[#This Row],[ValidDependency]]=FALSE,"BAD DEPENDENCY",""))</f>
        <v>#ERROR!</v>
      </c>
    </row>
    <row r="500" ht="14.25" customHeight="1">
      <c r="A500" s="134" t="s">
        <v>1151</v>
      </c>
      <c r="B500" s="26" t="s">
        <v>1195</v>
      </c>
      <c r="C500" s="26" t="s">
        <v>1195</v>
      </c>
      <c r="E500"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00" s="26" t="s">
        <v>1195</v>
      </c>
      <c r="I500" s="26" t="s">
        <v>1191</v>
      </c>
      <c r="J500" s="26" t="str">
        <f>COUNTIF(tblTargets[TargetID],tbldeptemp[[#This Row],[TargetID]])&gt;0</f>
        <v>#ERROR!</v>
      </c>
      <c r="K500" s="26" t="str">
        <f>ISNUMBER(_xlfn.XMATCH(tbldeptemp[[#This Row],[DependencyID]],tblTargets[TargetID]))</f>
        <v>#ERROR!</v>
      </c>
      <c r="L500" s="26" t="str">
        <f>IF(tbldeptemp[[#This Row],[ValidTarget]]=FALSE,"BAD TARGET",IF(tbldeptemp[[#This Row],[ValidDependency]]=FALSE,"BAD DEPENDENCY",""))</f>
        <v>#ERROR!</v>
      </c>
    </row>
    <row r="501" ht="14.25" customHeight="1">
      <c r="A501" s="26" t="s">
        <v>1151</v>
      </c>
      <c r="B501" s="26" t="s">
        <v>4868</v>
      </c>
      <c r="C501" s="26" t="s">
        <v>1200</v>
      </c>
      <c r="D501" s="26" t="s">
        <v>4873</v>
      </c>
      <c r="E501" s="26" t="s">
        <v>6042</v>
      </c>
      <c r="F501" s="26" t="b">
        <v>1</v>
      </c>
      <c r="G501" s="26" t="s">
        <v>5100</v>
      </c>
      <c r="H501" s="26" t="s">
        <v>1200</v>
      </c>
      <c r="I501" s="26" t="s">
        <v>1195</v>
      </c>
      <c r="J501" s="26" t="b">
        <v>1</v>
      </c>
      <c r="K501" s="26" t="str">
        <f>ISNUMBER(_xlfn.XMATCH(tbldeptemp[[#This Row],[DependencyID]],tblTargets[TargetID]))</f>
        <v>#ERROR!</v>
      </c>
      <c r="L501" s="26" t="str">
        <f>IF(tbldeptemp[[#This Row],[ValidTarget]]=FALSE,"BAD TARGET",IF(tbldeptemp[[#This Row],[ValidDependency]]=FALSE,"BAD DEPENDENCY",""))</f>
        <v>#ERROR!</v>
      </c>
    </row>
    <row r="502" ht="14.25" customHeight="1">
      <c r="A502" s="26" t="s">
        <v>1151</v>
      </c>
      <c r="B502" s="26" t="s">
        <v>4780</v>
      </c>
      <c r="C502" s="26" t="s">
        <v>1076</v>
      </c>
      <c r="D502" s="26" t="s">
        <v>4784</v>
      </c>
      <c r="E502" s="26" t="s">
        <v>6043</v>
      </c>
      <c r="F502" s="26" t="b">
        <v>1</v>
      </c>
      <c r="G502" s="26" t="s">
        <v>5100</v>
      </c>
      <c r="H502" s="26" t="s">
        <v>1076</v>
      </c>
      <c r="I502" s="26" t="s">
        <v>1200</v>
      </c>
      <c r="J502" s="26" t="b">
        <v>1</v>
      </c>
      <c r="K502" s="26" t="str">
        <f>ISNUMBER(_xlfn.XMATCH(tbldeptemp[[#This Row],[DependencyID]],tblTargets[TargetID]))</f>
        <v>#ERROR!</v>
      </c>
      <c r="L502" s="26" t="str">
        <f>IF(tbldeptemp[[#This Row],[ValidTarget]]=FALSE,"BAD TARGET",IF(tbldeptemp[[#This Row],[ValidDependency]]=FALSE,"BAD DEPENDENCY",""))</f>
        <v>#ERROR!</v>
      </c>
    </row>
    <row r="503" ht="14.25" customHeight="1">
      <c r="A503" s="26" t="s">
        <v>1705</v>
      </c>
      <c r="B503" s="26" t="s">
        <v>5451</v>
      </c>
      <c r="C503" s="26" t="s">
        <v>1854</v>
      </c>
      <c r="D503" s="26" t="s">
        <v>6044</v>
      </c>
      <c r="E503" s="26" t="s">
        <v>6043</v>
      </c>
      <c r="F503" s="26" t="b">
        <v>1</v>
      </c>
      <c r="G503" s="26" t="s">
        <v>5097</v>
      </c>
      <c r="H503" s="26" t="s">
        <v>1854</v>
      </c>
      <c r="I503" s="26" t="s">
        <v>1200</v>
      </c>
      <c r="J503" s="26" t="b">
        <v>1</v>
      </c>
      <c r="K503" s="26" t="str">
        <f>ISNUMBER(_xlfn.XMATCH(tbldeptemp[[#This Row],[DependencyID]],tblTargets[TargetID]))</f>
        <v>#ERROR!</v>
      </c>
      <c r="L503" s="26" t="str">
        <f>IF(tbldeptemp[[#This Row],[ValidTarget]]=FALSE,"BAD TARGET",IF(tbldeptemp[[#This Row],[ValidDependency]]=FALSE,"BAD DEPENDENCY",""))</f>
        <v>#ERROR!</v>
      </c>
    </row>
    <row r="504" ht="14.25" customHeight="1">
      <c r="A504" s="134" t="s">
        <v>1151</v>
      </c>
      <c r="B504" s="134" t="s">
        <v>1207</v>
      </c>
      <c r="C504" s="134" t="s">
        <v>1207</v>
      </c>
      <c r="E504"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04" s="134" t="s">
        <v>1207</v>
      </c>
      <c r="I504" s="134" t="s">
        <v>1200</v>
      </c>
      <c r="J504" s="26" t="str">
        <f>COUNTIF(tblTargets[TargetID],tbldeptemp[[#This Row],[TargetID]])&gt;0</f>
        <v>#ERROR!</v>
      </c>
      <c r="K504" s="26" t="str">
        <f>ISNUMBER(_xlfn.XMATCH(tbldeptemp[[#This Row],[DependencyID]],tblTargets[TargetID]))</f>
        <v>#ERROR!</v>
      </c>
      <c r="L504" s="26" t="str">
        <f>IF(tbldeptemp[[#This Row],[ValidTarget]]=FALSE,"BAD TARGET",IF(tbldeptemp[[#This Row],[ValidDependency]]=FALSE,"BAD DEPENDENCY",""))</f>
        <v>#ERROR!</v>
      </c>
    </row>
    <row r="505" ht="14.25" customHeight="1">
      <c r="A505" s="26" t="s">
        <v>1705</v>
      </c>
      <c r="B505" s="26" t="s">
        <v>5455</v>
      </c>
      <c r="C505" s="26" t="s">
        <v>1863</v>
      </c>
      <c r="D505" s="26" t="s">
        <v>6048</v>
      </c>
      <c r="E505" s="26" t="s">
        <v>6049</v>
      </c>
      <c r="F505" s="26" t="b">
        <v>0</v>
      </c>
      <c r="G505" s="26" t="s">
        <v>5097</v>
      </c>
      <c r="H505" s="26" t="s">
        <v>1863</v>
      </c>
      <c r="I505" s="26" t="s">
        <v>1207</v>
      </c>
      <c r="J505" s="26" t="b">
        <v>1</v>
      </c>
      <c r="K505" s="26" t="str">
        <f>ISNUMBER(_xlfn.XMATCH(tbldeptemp[[#This Row],[DependencyID]],tblTargets[TargetID]))</f>
        <v>#ERROR!</v>
      </c>
      <c r="L505" s="26" t="str">
        <f>IF(tbldeptemp[[#This Row],[ValidTarget]]=FALSE,"BAD TARGET",IF(tbldeptemp[[#This Row],[ValidDependency]]=FALSE,"BAD DEPENDENCY",""))</f>
        <v>#ERROR!</v>
      </c>
    </row>
    <row r="506" ht="14.25" customHeight="1">
      <c r="A506" s="134" t="s">
        <v>1151</v>
      </c>
      <c r="B506" s="26" t="s">
        <v>1221</v>
      </c>
      <c r="C506" s="26" t="s">
        <v>1221</v>
      </c>
      <c r="E506"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06" s="26" t="s">
        <v>1221</v>
      </c>
      <c r="I506" s="26" t="s">
        <v>1214</v>
      </c>
      <c r="J506" s="26" t="str">
        <f>COUNTIF(tblTargets[TargetID],tbldeptemp[[#This Row],[TargetID]])&gt;0</f>
        <v>#ERROR!</v>
      </c>
      <c r="K506" s="26" t="str">
        <f>ISNUMBER(_xlfn.XMATCH(tbldeptemp[[#This Row],[DependencyID]],tblTargets[TargetID]))</f>
        <v>#ERROR!</v>
      </c>
      <c r="L506" s="26" t="str">
        <f>IF(tbldeptemp[[#This Row],[ValidTarget]]=FALSE,"BAD TARGET",IF(tbldeptemp[[#This Row],[ValidDependency]]=FALSE,"BAD DEPENDENCY",""))</f>
        <v>#ERROR!</v>
      </c>
    </row>
    <row r="507" ht="14.25" customHeight="1">
      <c r="A507" s="26" t="s">
        <v>1151</v>
      </c>
      <c r="B507" s="26" t="s">
        <v>4883</v>
      </c>
      <c r="C507" s="26" t="s">
        <v>1228</v>
      </c>
      <c r="D507" s="26" t="s">
        <v>4887</v>
      </c>
      <c r="E507" s="26" t="s">
        <v>6050</v>
      </c>
      <c r="F507" s="26" t="b">
        <v>1</v>
      </c>
      <c r="G507" s="26" t="s">
        <v>5100</v>
      </c>
      <c r="H507" s="26" t="s">
        <v>1228</v>
      </c>
      <c r="I507" s="26" t="s">
        <v>1221</v>
      </c>
      <c r="J507" s="26" t="b">
        <v>1</v>
      </c>
      <c r="K507" s="26" t="str">
        <f>ISNUMBER(_xlfn.XMATCH(tbldeptemp[[#This Row],[DependencyID]],tblTargets[TargetID]))</f>
        <v>#ERROR!</v>
      </c>
      <c r="L507" s="26" t="str">
        <f>IF(tbldeptemp[[#This Row],[ValidTarget]]=FALSE,"BAD TARGET",IF(tbldeptemp[[#This Row],[ValidDependency]]=FALSE,"BAD DEPENDENCY",""))</f>
        <v>#ERROR!</v>
      </c>
    </row>
    <row r="508" ht="14.25" customHeight="1">
      <c r="A508" s="26" t="s">
        <v>1151</v>
      </c>
      <c r="B508" s="26" t="s">
        <v>4889</v>
      </c>
      <c r="C508" s="26" t="s">
        <v>1241</v>
      </c>
      <c r="D508" s="26" t="s">
        <v>4887</v>
      </c>
      <c r="E508" s="26" t="s">
        <v>6050</v>
      </c>
      <c r="F508" s="26" t="b">
        <v>1</v>
      </c>
      <c r="G508" s="26" t="s">
        <v>5100</v>
      </c>
      <c r="H508" s="26" t="s">
        <v>1241</v>
      </c>
      <c r="I508" s="26" t="s">
        <v>1221</v>
      </c>
      <c r="J508" s="26" t="b">
        <v>1</v>
      </c>
      <c r="K508" s="26" t="str">
        <f>ISNUMBER(_xlfn.XMATCH(tbldeptemp[[#This Row],[DependencyID]],tblTargets[TargetID]))</f>
        <v>#ERROR!</v>
      </c>
      <c r="L508" s="26" t="str">
        <f>IF(tbldeptemp[[#This Row],[ValidTarget]]=FALSE,"BAD TARGET",IF(tbldeptemp[[#This Row],[ValidDependency]]=FALSE,"BAD DEPENDENCY",""))</f>
        <v>#ERROR!</v>
      </c>
    </row>
    <row r="509" ht="14.25" customHeight="1">
      <c r="A509" s="134" t="s">
        <v>1151</v>
      </c>
      <c r="B509" s="134" t="s">
        <v>1234</v>
      </c>
      <c r="C509" s="134" t="s">
        <v>1234</v>
      </c>
      <c r="E509"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09" s="134" t="s">
        <v>1234</v>
      </c>
      <c r="I509" s="134" t="s">
        <v>1228</v>
      </c>
      <c r="J509" s="26" t="str">
        <f>COUNTIF(tblTargets[TargetID],tbldeptemp[[#This Row],[TargetID]])&gt;0</f>
        <v>#ERROR!</v>
      </c>
      <c r="K509" s="26" t="str">
        <f>ISNUMBER(_xlfn.XMATCH(tbldeptemp[[#This Row],[DependencyID]],tblTargets[TargetID]))</f>
        <v>#ERROR!</v>
      </c>
      <c r="L509" s="26" t="str">
        <f>IF(tbldeptemp[[#This Row],[ValidTarget]]=FALSE,"BAD TARGET",IF(tbldeptemp[[#This Row],[ValidDependency]]=FALSE,"BAD DEPENDENCY",""))</f>
        <v>#ERROR!</v>
      </c>
    </row>
    <row r="510" ht="14.25" customHeight="1">
      <c r="A510" s="134" t="s">
        <v>1151</v>
      </c>
      <c r="B510" s="26" t="s">
        <v>1248</v>
      </c>
      <c r="C510" s="26" t="s">
        <v>1248</v>
      </c>
      <c r="E510"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10" s="26" t="s">
        <v>1248</v>
      </c>
      <c r="I510" s="26" t="s">
        <v>1241</v>
      </c>
      <c r="J510" s="26" t="str">
        <f>COUNTIF(tblTargets[TargetID],tbldeptemp[[#This Row],[TargetID]])&gt;0</f>
        <v>#ERROR!</v>
      </c>
      <c r="K510" s="26" t="str">
        <f>ISNUMBER(_xlfn.XMATCH(tbldeptemp[[#This Row],[DependencyID]],tblTargets[TargetID]))</f>
        <v>#ERROR!</v>
      </c>
      <c r="L510" s="26" t="str">
        <f>IF(tbldeptemp[[#This Row],[ValidTarget]]=FALSE,"BAD TARGET",IF(tbldeptemp[[#This Row],[ValidDependency]]=FALSE,"BAD DEPENDENCY",""))</f>
        <v>#ERROR!</v>
      </c>
    </row>
    <row r="511" ht="14.25" customHeight="1">
      <c r="A511" s="134" t="s">
        <v>1151</v>
      </c>
      <c r="B511" s="134" t="s">
        <v>1256</v>
      </c>
      <c r="C511" s="134" t="s">
        <v>1256</v>
      </c>
      <c r="E511"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11" s="134" t="s">
        <v>1256</v>
      </c>
      <c r="I511" s="134" t="s">
        <v>1254</v>
      </c>
      <c r="J511" s="26" t="str">
        <f>COUNTIF(tblTargets[TargetID],tbldeptemp[[#This Row],[TargetID]])&gt;0</f>
        <v>#ERROR!</v>
      </c>
      <c r="K511" s="26" t="str">
        <f>ISNUMBER(_xlfn.XMATCH(tbldeptemp[[#This Row],[DependencyID]],tblTargets[TargetID]))</f>
        <v>#ERROR!</v>
      </c>
      <c r="L511" s="26" t="str">
        <f>IF(tbldeptemp[[#This Row],[ValidTarget]]=FALSE,"BAD TARGET",IF(tbldeptemp[[#This Row],[ValidDependency]]=FALSE,"BAD DEPENDENCY",""))</f>
        <v>#ERROR!</v>
      </c>
    </row>
    <row r="512" ht="14.25" customHeight="1">
      <c r="A512" s="134" t="s">
        <v>1151</v>
      </c>
      <c r="B512" s="26" t="s">
        <v>1260</v>
      </c>
      <c r="C512" s="26" t="s">
        <v>1260</v>
      </c>
      <c r="E512"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12" s="26" t="s">
        <v>1260</v>
      </c>
      <c r="I512" s="26" t="s">
        <v>1258</v>
      </c>
      <c r="J512" s="26" t="str">
        <f>COUNTIF(tblTargets[TargetID],tbldeptemp[[#This Row],[TargetID]])&gt;0</f>
        <v>#ERROR!</v>
      </c>
      <c r="K512" s="26" t="str">
        <f>ISNUMBER(_xlfn.XMATCH(tbldeptemp[[#This Row],[DependencyID]],tblTargets[TargetID]))</f>
        <v>#ERROR!</v>
      </c>
      <c r="L512" s="26" t="str">
        <f>IF(tbldeptemp[[#This Row],[ValidTarget]]=FALSE,"BAD TARGET",IF(tbldeptemp[[#This Row],[ValidDependency]]=FALSE,"BAD DEPENDENCY",""))</f>
        <v>#ERROR!</v>
      </c>
    </row>
    <row r="513" ht="14.25" customHeight="1">
      <c r="A513" s="134" t="s">
        <v>1151</v>
      </c>
      <c r="B513" s="134" t="s">
        <v>1264</v>
      </c>
      <c r="C513" s="134" t="s">
        <v>1264</v>
      </c>
      <c r="E513"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13" s="134" t="s">
        <v>1264</v>
      </c>
      <c r="I513" s="134" t="s">
        <v>1262</v>
      </c>
      <c r="J513" s="26" t="str">
        <f>COUNTIF(tblTargets[TargetID],tbldeptemp[[#This Row],[TargetID]])&gt;0</f>
        <v>#ERROR!</v>
      </c>
      <c r="K513" s="26" t="str">
        <f>ISNUMBER(_xlfn.XMATCH(tbldeptemp[[#This Row],[DependencyID]],tblTargets[TargetID]))</f>
        <v>#ERROR!</v>
      </c>
      <c r="L513" s="26" t="str">
        <f>IF(tbldeptemp[[#This Row],[ValidTarget]]=FALSE,"BAD TARGET",IF(tbldeptemp[[#This Row],[ValidDependency]]=FALSE,"BAD DEPENDENCY",""))</f>
        <v>#ERROR!</v>
      </c>
    </row>
    <row r="514" ht="14.25" customHeight="1">
      <c r="A514" s="26" t="s">
        <v>1151</v>
      </c>
      <c r="B514" s="26" t="s">
        <v>4913</v>
      </c>
      <c r="C514" s="26" t="s">
        <v>1267</v>
      </c>
      <c r="D514" s="26" t="s">
        <v>4917</v>
      </c>
      <c r="E514" s="26" t="s">
        <v>6056</v>
      </c>
      <c r="F514" s="26" t="b">
        <v>1</v>
      </c>
      <c r="G514" s="26" t="s">
        <v>5100</v>
      </c>
      <c r="H514" s="26" t="s">
        <v>1267</v>
      </c>
      <c r="I514" s="26" t="s">
        <v>1264</v>
      </c>
      <c r="J514" s="26" t="b">
        <v>1</v>
      </c>
      <c r="K514" s="26" t="str">
        <f>ISNUMBER(_xlfn.XMATCH(tbldeptemp[[#This Row],[DependencyID]],tblTargets[TargetID]))</f>
        <v>#ERROR!</v>
      </c>
      <c r="L514" s="26" t="str">
        <f>IF(tbldeptemp[[#This Row],[ValidTarget]]=FALSE,"BAD TARGET",IF(tbldeptemp[[#This Row],[ValidDependency]]=FALSE,"BAD DEPENDENCY",""))</f>
        <v>#ERROR!</v>
      </c>
    </row>
    <row r="515" ht="14.25" customHeight="1">
      <c r="A515" s="134" t="s">
        <v>1151</v>
      </c>
      <c r="B515" s="26" t="s">
        <v>1269</v>
      </c>
      <c r="C515" s="26" t="s">
        <v>1269</v>
      </c>
      <c r="E515"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15" s="26" t="s">
        <v>1269</v>
      </c>
      <c r="I515" s="26" t="s">
        <v>1267</v>
      </c>
      <c r="J515" s="26" t="str">
        <f>COUNTIF(tblTargets[TargetID],tbldeptemp[[#This Row],[TargetID]])&gt;0</f>
        <v>#ERROR!</v>
      </c>
      <c r="K515" s="26" t="str">
        <f>ISNUMBER(_xlfn.XMATCH(tbldeptemp[[#This Row],[DependencyID]],tblTargets[TargetID]))</f>
        <v>#ERROR!</v>
      </c>
      <c r="L515" s="26" t="str">
        <f>IF(tbldeptemp[[#This Row],[ValidTarget]]=FALSE,"BAD TARGET",IF(tbldeptemp[[#This Row],[ValidDependency]]=FALSE,"BAD DEPENDENCY",""))</f>
        <v>#ERROR!</v>
      </c>
    </row>
    <row r="516" ht="14.25" customHeight="1">
      <c r="A516" s="26" t="s">
        <v>1151</v>
      </c>
      <c r="B516" s="26" t="s">
        <v>4919</v>
      </c>
      <c r="C516" s="26" t="s">
        <v>1271</v>
      </c>
      <c r="D516" s="26" t="s">
        <v>4925</v>
      </c>
      <c r="E516" s="26" t="s">
        <v>6058</v>
      </c>
      <c r="F516" s="26" t="b">
        <v>1</v>
      </c>
      <c r="G516" s="26" t="s">
        <v>5100</v>
      </c>
      <c r="H516" s="26" t="s">
        <v>1271</v>
      </c>
      <c r="I516" s="26" t="s">
        <v>1269</v>
      </c>
      <c r="J516" s="26" t="b">
        <v>1</v>
      </c>
      <c r="K516" s="26" t="str">
        <f>ISNUMBER(_xlfn.XMATCH(tbldeptemp[[#This Row],[DependencyID]],tblTargets[TargetID]))</f>
        <v>#ERROR!</v>
      </c>
      <c r="L516" s="26" t="str">
        <f>IF(tbldeptemp[[#This Row],[ValidTarget]]=FALSE,"BAD TARGET",IF(tbldeptemp[[#This Row],[ValidDependency]]=FALSE,"BAD DEPENDENCY",""))</f>
        <v>#ERROR!</v>
      </c>
    </row>
    <row r="517" ht="14.25" customHeight="1">
      <c r="A517" s="134" t="s">
        <v>1151</v>
      </c>
      <c r="B517" s="134" t="s">
        <v>1273</v>
      </c>
      <c r="C517" s="134" t="s">
        <v>1273</v>
      </c>
      <c r="E517"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17" s="134" t="s">
        <v>1273</v>
      </c>
      <c r="I517" s="134" t="s">
        <v>1271</v>
      </c>
      <c r="J517" s="26" t="str">
        <f>COUNTIF(tblTargets[TargetID],tbldeptemp[[#This Row],[TargetID]])&gt;0</f>
        <v>#ERROR!</v>
      </c>
      <c r="K517" s="26" t="str">
        <f>ISNUMBER(_xlfn.XMATCH(tbldeptemp[[#This Row],[DependencyID]],tblTargets[TargetID]))</f>
        <v>#ERROR!</v>
      </c>
      <c r="L517" s="26" t="str">
        <f>IF(tbldeptemp[[#This Row],[ValidTarget]]=FALSE,"BAD TARGET",IF(tbldeptemp[[#This Row],[ValidDependency]]=FALSE,"BAD DEPENDENCY",""))</f>
        <v>#ERROR!</v>
      </c>
    </row>
    <row r="518" ht="14.25" customHeight="1">
      <c r="A518" s="26" t="s">
        <v>1151</v>
      </c>
      <c r="B518" s="26" t="s">
        <v>4927</v>
      </c>
      <c r="C518" s="26" t="s">
        <v>1275</v>
      </c>
      <c r="D518" s="26" t="s">
        <v>4931</v>
      </c>
      <c r="E518" s="26" t="s">
        <v>6063</v>
      </c>
      <c r="F518" s="26" t="b">
        <v>1</v>
      </c>
      <c r="G518" s="26" t="s">
        <v>5100</v>
      </c>
      <c r="H518" s="26" t="s">
        <v>1275</v>
      </c>
      <c r="I518" s="26" t="s">
        <v>1273</v>
      </c>
      <c r="J518" s="26" t="b">
        <v>1</v>
      </c>
      <c r="K518" s="26" t="str">
        <f>ISNUMBER(_xlfn.XMATCH(tbldeptemp[[#This Row],[DependencyID]],tblTargets[TargetID]))</f>
        <v>#ERROR!</v>
      </c>
      <c r="L518" s="26" t="str">
        <f>IF(tbldeptemp[[#This Row],[ValidTarget]]=FALSE,"BAD TARGET",IF(tbldeptemp[[#This Row],[ValidDependency]]=FALSE,"BAD DEPENDENCY",""))</f>
        <v>#ERROR!</v>
      </c>
    </row>
    <row r="519" ht="14.25" customHeight="1">
      <c r="A519" s="26" t="s">
        <v>1151</v>
      </c>
      <c r="B519" s="26" t="s">
        <v>4933</v>
      </c>
      <c r="C519" s="26" t="s">
        <v>1280</v>
      </c>
      <c r="D519" s="26" t="s">
        <v>4931</v>
      </c>
      <c r="E519" s="26" t="s">
        <v>6063</v>
      </c>
      <c r="F519" s="26" t="b">
        <v>1</v>
      </c>
      <c r="G519" s="26" t="s">
        <v>5100</v>
      </c>
      <c r="H519" s="26" t="s">
        <v>1280</v>
      </c>
      <c r="I519" s="26" t="s">
        <v>1273</v>
      </c>
      <c r="J519" s="26" t="b">
        <v>1</v>
      </c>
      <c r="K519" s="26" t="str">
        <f>ISNUMBER(_xlfn.XMATCH(tbldeptemp[[#This Row],[DependencyID]],tblTargets[TargetID]))</f>
        <v>#ERROR!</v>
      </c>
      <c r="L519" s="26" t="str">
        <f>IF(tbldeptemp[[#This Row],[ValidTarget]]=FALSE,"BAD TARGET",IF(tbldeptemp[[#This Row],[ValidDependency]]=FALSE,"BAD DEPENDENCY",""))</f>
        <v>#ERROR!</v>
      </c>
    </row>
    <row r="520" ht="14.25" customHeight="1">
      <c r="A520" s="134" t="s">
        <v>1151</v>
      </c>
      <c r="B520" s="26" t="s">
        <v>1277</v>
      </c>
      <c r="C520" s="26" t="s">
        <v>1277</v>
      </c>
      <c r="E520"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20" s="26" t="s">
        <v>1277</v>
      </c>
      <c r="I520" s="26" t="s">
        <v>1275</v>
      </c>
      <c r="J520" s="26" t="str">
        <f>COUNTIF(tblTargets[TargetID],tbldeptemp[[#This Row],[TargetID]])&gt;0</f>
        <v>#ERROR!</v>
      </c>
      <c r="K520" s="26" t="str">
        <f>ISNUMBER(_xlfn.XMATCH(tbldeptemp[[#This Row],[DependencyID]],tblTargets[TargetID]))</f>
        <v>#ERROR!</v>
      </c>
      <c r="L520" s="26" t="str">
        <f>IF(tbldeptemp[[#This Row],[ValidTarget]]=FALSE,"BAD TARGET",IF(tbldeptemp[[#This Row],[ValidDependency]]=FALSE,"BAD DEPENDENCY",""))</f>
        <v>#ERROR!</v>
      </c>
    </row>
    <row r="521" ht="14.25" customHeight="1">
      <c r="A521" s="26" t="s">
        <v>1151</v>
      </c>
      <c r="B521" s="26" t="s">
        <v>5031</v>
      </c>
      <c r="C521" s="26" t="s">
        <v>1342</v>
      </c>
      <c r="D521" s="26" t="s">
        <v>6064</v>
      </c>
      <c r="E521" s="26" t="s">
        <v>6065</v>
      </c>
      <c r="F521" s="26" t="b">
        <v>1</v>
      </c>
      <c r="G521" s="26" t="s">
        <v>5097</v>
      </c>
      <c r="H521" s="26" t="s">
        <v>1342</v>
      </c>
      <c r="I521" s="26" t="s">
        <v>1277</v>
      </c>
      <c r="J521" s="26" t="b">
        <v>1</v>
      </c>
      <c r="K521" s="26" t="str">
        <f>ISNUMBER(_xlfn.XMATCH(tbldeptemp[[#This Row],[DependencyID]],tblTargets[TargetID]))</f>
        <v>#ERROR!</v>
      </c>
      <c r="L521" s="26" t="str">
        <f>IF(tbldeptemp[[#This Row],[ValidTarget]]=FALSE,"BAD TARGET",IF(tbldeptemp[[#This Row],[ValidDependency]]=FALSE,"BAD DEPENDENCY",""))</f>
        <v>#ERROR!</v>
      </c>
    </row>
    <row r="522" ht="14.25" customHeight="1">
      <c r="A522" s="134" t="s">
        <v>1151</v>
      </c>
      <c r="B522" s="134" t="s">
        <v>1283</v>
      </c>
      <c r="C522" s="134" t="s">
        <v>1283</v>
      </c>
      <c r="E522"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22" s="134" t="s">
        <v>1283</v>
      </c>
      <c r="I522" s="134" t="s">
        <v>1280</v>
      </c>
      <c r="J522" s="26" t="str">
        <f>COUNTIF(tblTargets[TargetID],tbldeptemp[[#This Row],[TargetID]])&gt;0</f>
        <v>#ERROR!</v>
      </c>
      <c r="K522" s="26" t="str">
        <f>ISNUMBER(_xlfn.XMATCH(tbldeptemp[[#This Row],[DependencyID]],tblTargets[TargetID]))</f>
        <v>#ERROR!</v>
      </c>
      <c r="L522" s="26" t="str">
        <f>IF(tbldeptemp[[#This Row],[ValidTarget]]=FALSE,"BAD TARGET",IF(tbldeptemp[[#This Row],[ValidDependency]]=FALSE,"BAD DEPENDENCY",""))</f>
        <v>#ERROR!</v>
      </c>
    </row>
    <row r="523" ht="14.25" customHeight="1">
      <c r="A523" s="26" t="s">
        <v>1151</v>
      </c>
      <c r="B523" s="26" t="s">
        <v>4936</v>
      </c>
      <c r="C523" s="26" t="s">
        <v>1285</v>
      </c>
      <c r="D523" s="26" t="s">
        <v>4942</v>
      </c>
      <c r="E523" s="26" t="s">
        <v>6068</v>
      </c>
      <c r="F523" s="26" t="b">
        <v>1</v>
      </c>
      <c r="G523" s="26" t="s">
        <v>5100</v>
      </c>
      <c r="H523" s="26" t="s">
        <v>1285</v>
      </c>
      <c r="I523" s="26" t="s">
        <v>1283</v>
      </c>
      <c r="J523" s="26" t="b">
        <v>1</v>
      </c>
      <c r="K523" s="26" t="str">
        <f>ISNUMBER(_xlfn.XMATCH(tbldeptemp[[#This Row],[DependencyID]],tblTargets[TargetID]))</f>
        <v>#ERROR!</v>
      </c>
      <c r="L523" s="26" t="str">
        <f>IF(tbldeptemp[[#This Row],[ValidTarget]]=FALSE,"BAD TARGET",IF(tbldeptemp[[#This Row],[ValidDependency]]=FALSE,"BAD DEPENDENCY",""))</f>
        <v>#ERROR!</v>
      </c>
    </row>
    <row r="524" ht="14.25" customHeight="1">
      <c r="A524" s="26" t="s">
        <v>1151</v>
      </c>
      <c r="B524" s="26" t="s">
        <v>4944</v>
      </c>
      <c r="C524" s="26" t="s">
        <v>1290</v>
      </c>
      <c r="D524" s="26" t="s">
        <v>4942</v>
      </c>
      <c r="E524" s="26" t="s">
        <v>6068</v>
      </c>
      <c r="F524" s="26" t="b">
        <v>1</v>
      </c>
      <c r="G524" s="26" t="s">
        <v>5097</v>
      </c>
      <c r="H524" s="26" t="s">
        <v>1290</v>
      </c>
      <c r="I524" s="26" t="s">
        <v>1283</v>
      </c>
      <c r="J524" s="26" t="b">
        <v>1</v>
      </c>
      <c r="K524" s="26" t="str">
        <f>ISNUMBER(_xlfn.XMATCH(tbldeptemp[[#This Row],[DependencyID]],tblTargets[TargetID]))</f>
        <v>#ERROR!</v>
      </c>
      <c r="L524" s="26" t="str">
        <f>IF(tbldeptemp[[#This Row],[ValidTarget]]=FALSE,"BAD TARGET",IF(tbldeptemp[[#This Row],[ValidDependency]]=FALSE,"BAD DEPENDENCY",""))</f>
        <v>#ERROR!</v>
      </c>
    </row>
    <row r="525" ht="14.25" customHeight="1">
      <c r="A525" s="134" t="s">
        <v>1151</v>
      </c>
      <c r="B525" s="26" t="s">
        <v>1287</v>
      </c>
      <c r="C525" s="26" t="s">
        <v>1287</v>
      </c>
      <c r="E525"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25" s="26" t="s">
        <v>1287</v>
      </c>
      <c r="I525" s="26" t="s">
        <v>1285</v>
      </c>
      <c r="J525" s="26" t="str">
        <f>COUNTIF(tblTargets[TargetID],tbldeptemp[[#This Row],[TargetID]])&gt;0</f>
        <v>#ERROR!</v>
      </c>
      <c r="K525" s="26" t="str">
        <f>ISNUMBER(_xlfn.XMATCH(tbldeptemp[[#This Row],[DependencyID]],tblTargets[TargetID]))</f>
        <v>#ERROR!</v>
      </c>
      <c r="L525" s="26" t="str">
        <f>IF(tbldeptemp[[#This Row],[ValidTarget]]=FALSE,"BAD TARGET",IF(tbldeptemp[[#This Row],[ValidDependency]]=FALSE,"BAD DEPENDENCY",""))</f>
        <v>#ERROR!</v>
      </c>
    </row>
    <row r="526" ht="14.25" customHeight="1">
      <c r="A526" s="26" t="s">
        <v>1151</v>
      </c>
      <c r="B526" s="26" t="s">
        <v>4944</v>
      </c>
      <c r="C526" s="26" t="s">
        <v>1290</v>
      </c>
      <c r="D526" s="26" t="s">
        <v>6073</v>
      </c>
      <c r="E526" s="26" t="s">
        <v>6074</v>
      </c>
      <c r="F526" s="26" t="b">
        <v>1</v>
      </c>
      <c r="G526" s="26" t="s">
        <v>5097</v>
      </c>
      <c r="H526" s="26" t="s">
        <v>1290</v>
      </c>
      <c r="I526" s="26" t="s">
        <v>1287</v>
      </c>
      <c r="J526" s="26" t="b">
        <v>1</v>
      </c>
      <c r="K526" s="26" t="str">
        <f>ISNUMBER(_xlfn.XMATCH(tbldeptemp[[#This Row],[DependencyID]],tblTargets[TargetID]))</f>
        <v>#ERROR!</v>
      </c>
      <c r="L526" s="26" t="str">
        <f>IF(tbldeptemp[[#This Row],[ValidTarget]]=FALSE,"BAD TARGET",IF(tbldeptemp[[#This Row],[ValidDependency]]=FALSE,"BAD DEPENDENCY",""))</f>
        <v>#ERROR!</v>
      </c>
    </row>
    <row r="527" ht="14.25" customHeight="1">
      <c r="A527" s="134" t="s">
        <v>1151</v>
      </c>
      <c r="B527" s="134" t="s">
        <v>1292</v>
      </c>
      <c r="C527" s="134" t="s">
        <v>1292</v>
      </c>
      <c r="E527"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27" s="134" t="s">
        <v>1292</v>
      </c>
      <c r="I527" s="134" t="s">
        <v>1290</v>
      </c>
      <c r="J527" s="26" t="str">
        <f>COUNTIF(tblTargets[TargetID],tbldeptemp[[#This Row],[TargetID]])&gt;0</f>
        <v>#ERROR!</v>
      </c>
      <c r="K527" s="26" t="str">
        <f>ISNUMBER(_xlfn.XMATCH(tbldeptemp[[#This Row],[DependencyID]],tblTargets[TargetID]))</f>
        <v>#ERROR!</v>
      </c>
      <c r="L527" s="26" t="str">
        <f>IF(tbldeptemp[[#This Row],[ValidTarget]]=FALSE,"BAD TARGET",IF(tbldeptemp[[#This Row],[ValidDependency]]=FALSE,"BAD DEPENDENCY",""))</f>
        <v>#ERROR!</v>
      </c>
    </row>
    <row r="528" ht="14.25" customHeight="1">
      <c r="A528" s="134" t="s">
        <v>1151</v>
      </c>
      <c r="B528" s="26" t="s">
        <v>1296</v>
      </c>
      <c r="C528" s="26" t="s">
        <v>1296</v>
      </c>
      <c r="E528"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28" s="26" t="s">
        <v>1296</v>
      </c>
      <c r="I528" s="26" t="s">
        <v>1294</v>
      </c>
      <c r="J528" s="26" t="str">
        <f>COUNTIF(tblTargets[TargetID],tbldeptemp[[#This Row],[TargetID]])&gt;0</f>
        <v>#ERROR!</v>
      </c>
      <c r="K528" s="26" t="str">
        <f>ISNUMBER(_xlfn.XMATCH(tbldeptemp[[#This Row],[DependencyID]],tblTargets[TargetID]))</f>
        <v>#ERROR!</v>
      </c>
      <c r="L528" s="26" t="str">
        <f>IF(tbldeptemp[[#This Row],[ValidTarget]]=FALSE,"BAD TARGET",IF(tbldeptemp[[#This Row],[ValidDependency]]=FALSE,"BAD DEPENDENCY",""))</f>
        <v>#ERROR!</v>
      </c>
    </row>
    <row r="529" ht="14.25" customHeight="1">
      <c r="A529" s="134" t="s">
        <v>1151</v>
      </c>
      <c r="B529" s="134" t="s">
        <v>1301</v>
      </c>
      <c r="C529" s="134" t="s">
        <v>1301</v>
      </c>
      <c r="E529"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29" s="134" t="s">
        <v>1301</v>
      </c>
      <c r="I529" s="134" t="s">
        <v>1298</v>
      </c>
      <c r="J529" s="26" t="str">
        <f>COUNTIF(tblTargets[TargetID],tbldeptemp[[#This Row],[TargetID]])&gt;0</f>
        <v>#ERROR!</v>
      </c>
      <c r="K529" s="26" t="str">
        <f>ISNUMBER(_xlfn.XMATCH(tbldeptemp[[#This Row],[DependencyID]],tblTargets[TargetID]))</f>
        <v>#ERROR!</v>
      </c>
      <c r="L529" s="26" t="str">
        <f>IF(tbldeptemp[[#This Row],[ValidTarget]]=FALSE,"BAD TARGET",IF(tbldeptemp[[#This Row],[ValidDependency]]=FALSE,"BAD DEPENDENCY",""))</f>
        <v>#ERROR!</v>
      </c>
    </row>
    <row r="530" ht="14.25" customHeight="1">
      <c r="A530" s="26" t="s">
        <v>1151</v>
      </c>
      <c r="B530" s="26" t="s">
        <v>5031</v>
      </c>
      <c r="C530" s="26" t="s">
        <v>1342</v>
      </c>
      <c r="D530" s="26" t="s">
        <v>6081</v>
      </c>
      <c r="E530" s="26" t="s">
        <v>6082</v>
      </c>
      <c r="F530" s="26" t="b">
        <v>1</v>
      </c>
      <c r="G530" s="26" t="s">
        <v>5097</v>
      </c>
      <c r="H530" s="26" t="s">
        <v>1342</v>
      </c>
      <c r="I530" s="26" t="s">
        <v>1301</v>
      </c>
      <c r="J530" s="26" t="b">
        <v>1</v>
      </c>
      <c r="K530" s="26" t="str">
        <f>ISNUMBER(_xlfn.XMATCH(tbldeptemp[[#This Row],[DependencyID]],tblTargets[TargetID]))</f>
        <v>#ERROR!</v>
      </c>
      <c r="L530" s="26" t="str">
        <f>IF(tbldeptemp[[#This Row],[ValidTarget]]=FALSE,"BAD TARGET",IF(tbldeptemp[[#This Row],[ValidDependency]]=FALSE,"BAD DEPENDENCY",""))</f>
        <v>#ERROR!</v>
      </c>
    </row>
    <row r="531" ht="14.25" customHeight="1">
      <c r="A531" s="134" t="s">
        <v>1151</v>
      </c>
      <c r="B531" s="26" t="s">
        <v>1305</v>
      </c>
      <c r="C531" s="26" t="s">
        <v>1305</v>
      </c>
      <c r="E531"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31" s="26" t="s">
        <v>1305</v>
      </c>
      <c r="I531" s="26" t="s">
        <v>1303</v>
      </c>
      <c r="J531" s="26" t="str">
        <f>COUNTIF(tblTargets[TargetID],tbldeptemp[[#This Row],[TargetID]])&gt;0</f>
        <v>#ERROR!</v>
      </c>
      <c r="K531" s="26" t="str">
        <f>ISNUMBER(_xlfn.XMATCH(tbldeptemp[[#This Row],[DependencyID]],tblTargets[TargetID]))</f>
        <v>#ERROR!</v>
      </c>
      <c r="L531" s="26" t="str">
        <f>IF(tbldeptemp[[#This Row],[ValidTarget]]=FALSE,"BAD TARGET",IF(tbldeptemp[[#This Row],[ValidDependency]]=FALSE,"BAD DEPENDENCY",""))</f>
        <v>#ERROR!</v>
      </c>
    </row>
    <row r="532" ht="14.25" customHeight="1">
      <c r="A532" s="26" t="s">
        <v>1705</v>
      </c>
      <c r="B532" s="26" t="s">
        <v>5524</v>
      </c>
      <c r="C532" s="26" t="s">
        <v>1911</v>
      </c>
      <c r="D532" s="26" t="s">
        <v>6083</v>
      </c>
      <c r="E532" s="26" t="s">
        <v>6084</v>
      </c>
      <c r="F532" s="26" t="b">
        <v>0</v>
      </c>
      <c r="G532" s="26" t="s">
        <v>5097</v>
      </c>
      <c r="H532" s="26" t="s">
        <v>1911</v>
      </c>
      <c r="I532" s="26" t="s">
        <v>1307</v>
      </c>
      <c r="J532" s="26" t="b">
        <v>1</v>
      </c>
      <c r="K532" s="26" t="str">
        <f>ISNUMBER(_xlfn.XMATCH(tbldeptemp[[#This Row],[DependencyID]],tblTargets[TargetID]))</f>
        <v>#ERROR!</v>
      </c>
      <c r="L532" s="26" t="str">
        <f>IF(tbldeptemp[[#This Row],[ValidTarget]]=FALSE,"BAD TARGET",IF(tbldeptemp[[#This Row],[ValidDependency]]=FALSE,"BAD DEPENDENCY",""))</f>
        <v>#ERROR!</v>
      </c>
    </row>
    <row r="533" ht="14.25" customHeight="1">
      <c r="A533" s="26" t="s">
        <v>1705</v>
      </c>
      <c r="B533" s="26" t="s">
        <v>5529</v>
      </c>
      <c r="C533" s="26" t="s">
        <v>1920</v>
      </c>
      <c r="D533" s="26" t="s">
        <v>6085</v>
      </c>
      <c r="E533" s="26" t="s">
        <v>6084</v>
      </c>
      <c r="F533" s="26" t="b">
        <v>0</v>
      </c>
      <c r="G533" s="26" t="s">
        <v>5097</v>
      </c>
      <c r="H533" s="26" t="s">
        <v>1920</v>
      </c>
      <c r="I533" s="26" t="s">
        <v>1307</v>
      </c>
      <c r="J533" s="26" t="b">
        <v>1</v>
      </c>
      <c r="K533" s="26" t="str">
        <f>ISNUMBER(_xlfn.XMATCH(tbldeptemp[[#This Row],[DependencyID]],tblTargets[TargetID]))</f>
        <v>#ERROR!</v>
      </c>
      <c r="L533" s="26" t="str">
        <f>IF(tbldeptemp[[#This Row],[ValidTarget]]=FALSE,"BAD TARGET",IF(tbldeptemp[[#This Row],[ValidDependency]]=FALSE,"BAD DEPENDENCY",""))</f>
        <v>#ERROR!</v>
      </c>
    </row>
    <row r="534" ht="14.25" customHeight="1">
      <c r="A534" s="134" t="s">
        <v>1151</v>
      </c>
      <c r="B534" s="134" t="s">
        <v>1309</v>
      </c>
      <c r="C534" s="134" t="s">
        <v>1309</v>
      </c>
      <c r="E534"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34" s="134" t="s">
        <v>1309</v>
      </c>
      <c r="I534" s="134" t="s">
        <v>1307</v>
      </c>
      <c r="J534" s="26" t="str">
        <f>COUNTIF(tblTargets[TargetID],tbldeptemp[[#This Row],[TargetID]])&gt;0</f>
        <v>#ERROR!</v>
      </c>
      <c r="K534" s="26" t="str">
        <f>ISNUMBER(_xlfn.XMATCH(tbldeptemp[[#This Row],[DependencyID]],tblTargets[TargetID]))</f>
        <v>#ERROR!</v>
      </c>
      <c r="L534" s="26" t="str">
        <f>IF(tbldeptemp[[#This Row],[ValidTarget]]=FALSE,"BAD TARGET",IF(tbldeptemp[[#This Row],[ValidDependency]]=FALSE,"BAD DEPENDENCY",""))</f>
        <v>#ERROR!</v>
      </c>
    </row>
    <row r="535" ht="14.25" customHeight="1">
      <c r="A535" s="26" t="s">
        <v>1151</v>
      </c>
      <c r="B535" s="26" t="s">
        <v>4980</v>
      </c>
      <c r="C535" s="26" t="s">
        <v>1312</v>
      </c>
      <c r="D535" s="26" t="s">
        <v>4985</v>
      </c>
      <c r="E535" s="26" t="s">
        <v>6088</v>
      </c>
      <c r="F535" s="26" t="b">
        <v>0</v>
      </c>
      <c r="G535" s="26" t="s">
        <v>5100</v>
      </c>
      <c r="H535" s="26" t="s">
        <v>1312</v>
      </c>
      <c r="I535" s="26" t="s">
        <v>1309</v>
      </c>
      <c r="J535" s="26" t="b">
        <v>1</v>
      </c>
      <c r="K535" s="26" t="str">
        <f>ISNUMBER(_xlfn.XMATCH(tbldeptemp[[#This Row],[DependencyID]],tblTargets[TargetID]))</f>
        <v>#ERROR!</v>
      </c>
      <c r="L535" s="26" t="str">
        <f>IF(tbldeptemp[[#This Row],[ValidTarget]]=FALSE,"BAD TARGET",IF(tbldeptemp[[#This Row],[ValidDependency]]=FALSE,"BAD DEPENDENCY",""))</f>
        <v>#ERROR!</v>
      </c>
    </row>
    <row r="536" ht="14.25" customHeight="1">
      <c r="A536" s="26" t="s">
        <v>1705</v>
      </c>
      <c r="B536" s="26" t="s">
        <v>5421</v>
      </c>
      <c r="C536" s="26" t="s">
        <v>1836</v>
      </c>
      <c r="D536" s="26" t="s">
        <v>6090</v>
      </c>
      <c r="E536" s="26" t="s">
        <v>6088</v>
      </c>
      <c r="F536" s="26" t="b">
        <v>0</v>
      </c>
      <c r="G536" s="26" t="s">
        <v>5097</v>
      </c>
      <c r="H536" s="26" t="s">
        <v>1836</v>
      </c>
      <c r="I536" s="26" t="s">
        <v>1309</v>
      </c>
      <c r="J536" s="26" t="b">
        <v>1</v>
      </c>
      <c r="K536" s="26" t="str">
        <f>ISNUMBER(_xlfn.XMATCH(tbldeptemp[[#This Row],[DependencyID]],tblTargets[TargetID]))</f>
        <v>#ERROR!</v>
      </c>
      <c r="L536" s="26" t="str">
        <f>IF(tbldeptemp[[#This Row],[ValidTarget]]=FALSE,"BAD TARGET",IF(tbldeptemp[[#This Row],[ValidDependency]]=FALSE,"BAD DEPENDENCY",""))</f>
        <v>#ERROR!</v>
      </c>
    </row>
    <row r="537" ht="14.25" customHeight="1">
      <c r="A537" s="26" t="s">
        <v>1705</v>
      </c>
      <c r="B537" s="26" t="s">
        <v>5425</v>
      </c>
      <c r="C537" s="26" t="s">
        <v>1841</v>
      </c>
      <c r="D537" s="26" t="s">
        <v>6090</v>
      </c>
      <c r="E537" s="26" t="s">
        <v>6088</v>
      </c>
      <c r="F537" s="26" t="b">
        <v>0</v>
      </c>
      <c r="G537" s="26" t="s">
        <v>5097</v>
      </c>
      <c r="H537" s="26" t="s">
        <v>1841</v>
      </c>
      <c r="I537" s="26" t="s">
        <v>1309</v>
      </c>
      <c r="J537" s="26" t="b">
        <v>1</v>
      </c>
      <c r="K537" s="26" t="str">
        <f>ISNUMBER(_xlfn.XMATCH(tbldeptemp[[#This Row],[DependencyID]],tblTargets[TargetID]))</f>
        <v>#ERROR!</v>
      </c>
      <c r="L537" s="26" t="str">
        <f>IF(tbldeptemp[[#This Row],[ValidTarget]]=FALSE,"BAD TARGET",IF(tbldeptemp[[#This Row],[ValidDependency]]=FALSE,"BAD DEPENDENCY",""))</f>
        <v>#ERROR!</v>
      </c>
    </row>
    <row r="538" ht="14.25" customHeight="1">
      <c r="A538" s="26" t="s">
        <v>1705</v>
      </c>
      <c r="B538" s="26" t="s">
        <v>5279</v>
      </c>
      <c r="C538" s="26" t="s">
        <v>1789</v>
      </c>
      <c r="D538" s="26" t="s">
        <v>6092</v>
      </c>
      <c r="E538" s="26" t="s">
        <v>6093</v>
      </c>
      <c r="F538" s="26" t="b">
        <v>0</v>
      </c>
      <c r="G538" s="26" t="s">
        <v>5097</v>
      </c>
      <c r="H538" s="26" t="s">
        <v>1789</v>
      </c>
      <c r="I538" s="26" t="s">
        <v>1312</v>
      </c>
      <c r="J538" s="26" t="b">
        <v>1</v>
      </c>
      <c r="K538" s="26" t="str">
        <f>ISNUMBER(_xlfn.XMATCH(tbldeptemp[[#This Row],[DependencyID]],tblTargets[TargetID]))</f>
        <v>#ERROR!</v>
      </c>
      <c r="L538" s="26" t="str">
        <f>IF(tbldeptemp[[#This Row],[ValidTarget]]=FALSE,"BAD TARGET",IF(tbldeptemp[[#This Row],[ValidDependency]]=FALSE,"BAD DEPENDENCY",""))</f>
        <v>#ERROR!</v>
      </c>
    </row>
    <row r="539" ht="14.25" customHeight="1">
      <c r="A539" s="26" t="s">
        <v>1705</v>
      </c>
      <c r="B539" s="26" t="s">
        <v>5452</v>
      </c>
      <c r="C539" s="26" t="s">
        <v>1856</v>
      </c>
      <c r="D539" s="26" t="s">
        <v>6092</v>
      </c>
      <c r="E539" s="26" t="s">
        <v>6093</v>
      </c>
      <c r="F539" s="26" t="b">
        <v>0</v>
      </c>
      <c r="G539" s="26" t="s">
        <v>5097</v>
      </c>
      <c r="H539" s="26" t="s">
        <v>1856</v>
      </c>
      <c r="I539" s="26" t="s">
        <v>1312</v>
      </c>
      <c r="J539" s="26" t="b">
        <v>1</v>
      </c>
      <c r="K539" s="26" t="str">
        <f>ISNUMBER(_xlfn.XMATCH(tbldeptemp[[#This Row],[DependencyID]],tblTargets[TargetID]))</f>
        <v>#ERROR!</v>
      </c>
      <c r="L539" s="26" t="str">
        <f>IF(tbldeptemp[[#This Row],[ValidTarget]]=FALSE,"BAD TARGET",IF(tbldeptemp[[#This Row],[ValidDependency]]=FALSE,"BAD DEPENDENCY",""))</f>
        <v>#ERROR!</v>
      </c>
    </row>
    <row r="540" ht="14.25" customHeight="1">
      <c r="A540" s="26" t="s">
        <v>1705</v>
      </c>
      <c r="B540" s="26" t="s">
        <v>5524</v>
      </c>
      <c r="C540" s="26" t="s">
        <v>1911</v>
      </c>
      <c r="D540" s="26" t="s">
        <v>6092</v>
      </c>
      <c r="E540" s="26" t="s">
        <v>6093</v>
      </c>
      <c r="F540" s="26" t="b">
        <v>0</v>
      </c>
      <c r="G540" s="26" t="s">
        <v>5097</v>
      </c>
      <c r="H540" s="26" t="s">
        <v>1911</v>
      </c>
      <c r="I540" s="26" t="s">
        <v>1312</v>
      </c>
      <c r="J540" s="26" t="b">
        <v>1</v>
      </c>
      <c r="K540" s="26" t="str">
        <f>ISNUMBER(_xlfn.XMATCH(tbldeptemp[[#This Row],[DependencyID]],tblTargets[TargetID]))</f>
        <v>#ERROR!</v>
      </c>
      <c r="L540" s="26" t="str">
        <f>IF(tbldeptemp[[#This Row],[ValidTarget]]=FALSE,"BAD TARGET",IF(tbldeptemp[[#This Row],[ValidDependency]]=FALSE,"BAD DEPENDENCY",""))</f>
        <v>#ERROR!</v>
      </c>
    </row>
    <row r="541" ht="14.25" customHeight="1">
      <c r="A541" s="134" t="s">
        <v>1151</v>
      </c>
      <c r="B541" s="26" t="s">
        <v>1314</v>
      </c>
      <c r="C541" s="26" t="s">
        <v>1314</v>
      </c>
      <c r="E541"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41" s="26" t="s">
        <v>1314</v>
      </c>
      <c r="I541" s="26" t="s">
        <v>1312</v>
      </c>
      <c r="J541" s="26" t="str">
        <f>COUNTIF(tblTargets[TargetID],tbldeptemp[[#This Row],[TargetID]])&gt;0</f>
        <v>#ERROR!</v>
      </c>
      <c r="K541" s="26" t="str">
        <f>ISNUMBER(_xlfn.XMATCH(tbldeptemp[[#This Row],[DependencyID]],tblTargets[TargetID]))</f>
        <v>#ERROR!</v>
      </c>
      <c r="L541" s="26" t="str">
        <f>IF(tbldeptemp[[#This Row],[ValidTarget]]=FALSE,"BAD TARGET",IF(tbldeptemp[[#This Row],[ValidDependency]]=FALSE,"BAD DEPENDENCY",""))</f>
        <v>#ERROR!</v>
      </c>
    </row>
    <row r="542" ht="14.25" customHeight="1">
      <c r="A542" s="26" t="s">
        <v>1151</v>
      </c>
      <c r="B542" s="26" t="s">
        <v>4987</v>
      </c>
      <c r="C542" s="26" t="s">
        <v>1316</v>
      </c>
      <c r="D542" s="26" t="s">
        <v>4992</v>
      </c>
      <c r="E542" s="26" t="s">
        <v>6094</v>
      </c>
      <c r="F542" s="26" t="b">
        <v>0</v>
      </c>
      <c r="G542" s="26" t="s">
        <v>5100</v>
      </c>
      <c r="H542" s="26" t="s">
        <v>1316</v>
      </c>
      <c r="I542" s="26" t="s">
        <v>1314</v>
      </c>
      <c r="J542" s="26" t="b">
        <v>1</v>
      </c>
      <c r="K542" s="26" t="str">
        <f>ISNUMBER(_xlfn.XMATCH(tbldeptemp[[#This Row],[DependencyID]],tblTargets[TargetID]))</f>
        <v>#ERROR!</v>
      </c>
      <c r="L542" s="26" t="str">
        <f>IF(tbldeptemp[[#This Row],[ValidTarget]]=FALSE,"BAD TARGET",IF(tbldeptemp[[#This Row],[ValidDependency]]=FALSE,"BAD DEPENDENCY",""))</f>
        <v>#ERROR!</v>
      </c>
    </row>
    <row r="543" ht="14.25" customHeight="1">
      <c r="A543" s="26" t="s">
        <v>1705</v>
      </c>
      <c r="B543" s="26" t="s">
        <v>5425</v>
      </c>
      <c r="C543" s="26" t="s">
        <v>1841</v>
      </c>
      <c r="D543" s="26" t="s">
        <v>6095</v>
      </c>
      <c r="E543" s="26" t="s">
        <v>6094</v>
      </c>
      <c r="F543" s="26" t="b">
        <v>0</v>
      </c>
      <c r="G543" s="26" t="s">
        <v>5097</v>
      </c>
      <c r="H543" s="26" t="s">
        <v>1841</v>
      </c>
      <c r="I543" s="26" t="s">
        <v>1314</v>
      </c>
      <c r="J543" s="26" t="b">
        <v>1</v>
      </c>
      <c r="K543" s="26" t="str">
        <f>ISNUMBER(_xlfn.XMATCH(tbldeptemp[[#This Row],[DependencyID]],tblTargets[TargetID]))</f>
        <v>#ERROR!</v>
      </c>
      <c r="L543" s="26" t="str">
        <f>IF(tbldeptemp[[#This Row],[ValidTarget]]=FALSE,"BAD TARGET",IF(tbldeptemp[[#This Row],[ValidDependency]]=FALSE,"BAD DEPENDENCY",""))</f>
        <v>#ERROR!</v>
      </c>
    </row>
    <row r="544" ht="14.25" customHeight="1">
      <c r="A544" s="26" t="s">
        <v>1151</v>
      </c>
      <c r="B544" s="26" t="s">
        <v>4994</v>
      </c>
      <c r="C544" s="26" t="s">
        <v>1320</v>
      </c>
      <c r="D544" s="26" t="s">
        <v>5000</v>
      </c>
      <c r="E544" s="26" t="s">
        <v>6096</v>
      </c>
      <c r="F544" s="26" t="b">
        <v>0</v>
      </c>
      <c r="G544" s="26" t="s">
        <v>5100</v>
      </c>
      <c r="H544" s="26" t="s">
        <v>1320</v>
      </c>
      <c r="I544" s="26" t="s">
        <v>1316</v>
      </c>
      <c r="J544" s="26" t="b">
        <v>1</v>
      </c>
      <c r="K544" s="26" t="str">
        <f>ISNUMBER(_xlfn.XMATCH(tbldeptemp[[#This Row],[DependencyID]],tblTargets[TargetID]))</f>
        <v>#ERROR!</v>
      </c>
      <c r="L544" s="26" t="str">
        <f>IF(tbldeptemp[[#This Row],[ValidTarget]]=FALSE,"BAD TARGET",IF(tbldeptemp[[#This Row],[ValidDependency]]=FALSE,"BAD DEPENDENCY",""))</f>
        <v>#ERROR!</v>
      </c>
    </row>
    <row r="545" ht="14.25" customHeight="1">
      <c r="A545" s="26" t="s">
        <v>1705</v>
      </c>
      <c r="B545" s="26" t="s">
        <v>5279</v>
      </c>
      <c r="C545" s="26" t="s">
        <v>1789</v>
      </c>
      <c r="D545" s="26" t="s">
        <v>6099</v>
      </c>
      <c r="E545" s="26" t="s">
        <v>6096</v>
      </c>
      <c r="F545" s="26" t="b">
        <v>0</v>
      </c>
      <c r="G545" s="26" t="s">
        <v>5097</v>
      </c>
      <c r="H545" s="26" t="s">
        <v>1789</v>
      </c>
      <c r="I545" s="26" t="s">
        <v>1316</v>
      </c>
      <c r="J545" s="26" t="b">
        <v>1</v>
      </c>
      <c r="K545" s="26" t="str">
        <f>ISNUMBER(_xlfn.XMATCH(tbldeptemp[[#This Row],[DependencyID]],tblTargets[TargetID]))</f>
        <v>#ERROR!</v>
      </c>
      <c r="L545" s="26" t="str">
        <f>IF(tbldeptemp[[#This Row],[ValidTarget]]=FALSE,"BAD TARGET",IF(tbldeptemp[[#This Row],[ValidDependency]]=FALSE,"BAD DEPENDENCY",""))</f>
        <v>#ERROR!</v>
      </c>
    </row>
    <row r="546" ht="14.25" customHeight="1">
      <c r="A546" s="26" t="s">
        <v>1705</v>
      </c>
      <c r="B546" s="26" t="s">
        <v>5452</v>
      </c>
      <c r="C546" s="26" t="s">
        <v>1856</v>
      </c>
      <c r="D546" s="26" t="s">
        <v>6099</v>
      </c>
      <c r="E546" s="26" t="s">
        <v>6096</v>
      </c>
      <c r="F546" s="26" t="b">
        <v>0</v>
      </c>
      <c r="G546" s="26" t="s">
        <v>5097</v>
      </c>
      <c r="H546" s="26" t="s">
        <v>1856</v>
      </c>
      <c r="I546" s="26" t="s">
        <v>1316</v>
      </c>
      <c r="J546" s="26" t="b">
        <v>1</v>
      </c>
      <c r="K546" s="26" t="str">
        <f>ISNUMBER(_xlfn.XMATCH(tbldeptemp[[#This Row],[DependencyID]],tblTargets[TargetID]))</f>
        <v>#ERROR!</v>
      </c>
      <c r="L546" s="26" t="str">
        <f>IF(tbldeptemp[[#This Row],[ValidTarget]]=FALSE,"BAD TARGET",IF(tbldeptemp[[#This Row],[ValidDependency]]=FALSE,"BAD DEPENDENCY",""))</f>
        <v>#ERROR!</v>
      </c>
    </row>
    <row r="547" ht="14.25" customHeight="1">
      <c r="A547" s="134" t="s">
        <v>1151</v>
      </c>
      <c r="B547" s="134" t="s">
        <v>1318</v>
      </c>
      <c r="C547" s="134" t="s">
        <v>1318</v>
      </c>
      <c r="E547"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47" s="134" t="s">
        <v>1318</v>
      </c>
      <c r="I547" s="134" t="s">
        <v>1316</v>
      </c>
      <c r="J547" s="26" t="str">
        <f>COUNTIF(tblTargets[TargetID],tbldeptemp[[#This Row],[TargetID]])&gt;0</f>
        <v>#ERROR!</v>
      </c>
      <c r="K547" s="26" t="str">
        <f>ISNUMBER(_xlfn.XMATCH(tbldeptemp[[#This Row],[DependencyID]],tblTargets[TargetID]))</f>
        <v>#ERROR!</v>
      </c>
      <c r="L547" s="26" t="str">
        <f>IF(tbldeptemp[[#This Row],[ValidTarget]]=FALSE,"BAD TARGET",IF(tbldeptemp[[#This Row],[ValidDependency]]=FALSE,"BAD DEPENDENCY",""))</f>
        <v>#ERROR!</v>
      </c>
    </row>
    <row r="548" ht="14.25" customHeight="1">
      <c r="A548" s="26" t="s">
        <v>1151</v>
      </c>
      <c r="B548" s="26" t="s">
        <v>5009</v>
      </c>
      <c r="C548" s="26" t="s">
        <v>1329</v>
      </c>
      <c r="D548" s="26" t="s">
        <v>5014</v>
      </c>
      <c r="E548" s="26" t="s">
        <v>6101</v>
      </c>
      <c r="F548" s="26" t="b">
        <v>0</v>
      </c>
      <c r="G548" s="26" t="s">
        <v>5100</v>
      </c>
      <c r="H548" s="26" t="s">
        <v>1329</v>
      </c>
      <c r="I548" s="26" t="s">
        <v>1318</v>
      </c>
      <c r="J548" s="26" t="b">
        <v>1</v>
      </c>
      <c r="K548" s="26" t="str">
        <f>ISNUMBER(_xlfn.XMATCH(tbldeptemp[[#This Row],[DependencyID]],tblTargets[TargetID]))</f>
        <v>#ERROR!</v>
      </c>
      <c r="L548" s="26" t="str">
        <f>IF(tbldeptemp[[#This Row],[ValidTarget]]=FALSE,"BAD TARGET",IF(tbldeptemp[[#This Row],[ValidDependency]]=FALSE,"BAD DEPENDENCY",""))</f>
        <v>#ERROR!</v>
      </c>
    </row>
    <row r="549" ht="14.25" customHeight="1">
      <c r="A549" s="26" t="s">
        <v>932</v>
      </c>
      <c r="B549" s="26" t="s">
        <v>4365</v>
      </c>
      <c r="C549" s="26" t="s">
        <v>498</v>
      </c>
      <c r="D549" s="26" t="s">
        <v>6102</v>
      </c>
      <c r="E549" s="26" t="s">
        <v>6103</v>
      </c>
      <c r="F549" s="26" t="b">
        <v>0</v>
      </c>
      <c r="G549" s="26" t="s">
        <v>5097</v>
      </c>
      <c r="H549" s="26" t="s">
        <v>498</v>
      </c>
      <c r="I549" s="26" t="s">
        <v>1320</v>
      </c>
      <c r="J549" s="26" t="b">
        <v>1</v>
      </c>
      <c r="K549" s="26" t="str">
        <f>ISNUMBER(_xlfn.XMATCH(tbldeptemp[[#This Row],[DependencyID]],tblTargets[TargetID]))</f>
        <v>#ERROR!</v>
      </c>
      <c r="L549" s="26" t="str">
        <f>IF(tbldeptemp[[#This Row],[ValidTarget]]=FALSE,"BAD TARGET",IF(tbldeptemp[[#This Row],[ValidDependency]]=FALSE,"BAD DEPENDENCY",""))</f>
        <v>#ERROR!</v>
      </c>
    </row>
    <row r="550" ht="14.25" customHeight="1">
      <c r="A550" s="134" t="s">
        <v>1151</v>
      </c>
      <c r="B550" s="26" t="s">
        <v>1323</v>
      </c>
      <c r="C550" s="26" t="s">
        <v>1323</v>
      </c>
      <c r="E550"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50" s="26" t="s">
        <v>1323</v>
      </c>
      <c r="I550" s="26" t="s">
        <v>1320</v>
      </c>
      <c r="J550" s="26" t="str">
        <f>COUNTIF(tblTargets[TargetID],tbldeptemp[[#This Row],[TargetID]])&gt;0</f>
        <v>#ERROR!</v>
      </c>
      <c r="K550" s="26" t="str">
        <f>ISNUMBER(_xlfn.XMATCH(tbldeptemp[[#This Row],[DependencyID]],tblTargets[TargetID]))</f>
        <v>#ERROR!</v>
      </c>
      <c r="L550" s="26" t="str">
        <f>IF(tbldeptemp[[#This Row],[ValidTarget]]=FALSE,"BAD TARGET",IF(tbldeptemp[[#This Row],[ValidDependency]]=FALSE,"BAD DEPENDENCY",""))</f>
        <v>#ERROR!</v>
      </c>
    </row>
    <row r="551" ht="14.25" customHeight="1">
      <c r="A551" s="26" t="s">
        <v>932</v>
      </c>
      <c r="B551" s="26" t="s">
        <v>4365</v>
      </c>
      <c r="C551" s="26" t="s">
        <v>498</v>
      </c>
      <c r="D551" s="26" t="s">
        <v>6104</v>
      </c>
      <c r="E551" s="26" t="s">
        <v>6105</v>
      </c>
      <c r="F551" s="26" t="b">
        <v>0</v>
      </c>
      <c r="G551" s="26" t="s">
        <v>5097</v>
      </c>
      <c r="H551" s="26" t="s">
        <v>498</v>
      </c>
      <c r="I551" s="26" t="s">
        <v>1325</v>
      </c>
      <c r="J551" s="26" t="b">
        <v>1</v>
      </c>
      <c r="K551" s="26" t="str">
        <f>ISNUMBER(_xlfn.XMATCH(tbldeptemp[[#This Row],[DependencyID]],tblTargets[TargetID]))</f>
        <v>#ERROR!</v>
      </c>
      <c r="L551" s="26" t="str">
        <f>IF(tbldeptemp[[#This Row],[ValidTarget]]=FALSE,"BAD TARGET",IF(tbldeptemp[[#This Row],[ValidDependency]]=FALSE,"BAD DEPENDENCY",""))</f>
        <v>#ERROR!</v>
      </c>
    </row>
    <row r="552" ht="14.25" customHeight="1">
      <c r="A552" s="134" t="s">
        <v>1151</v>
      </c>
      <c r="B552" s="134" t="s">
        <v>1327</v>
      </c>
      <c r="C552" s="134" t="s">
        <v>1327</v>
      </c>
      <c r="E552"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52" s="134" t="s">
        <v>1327</v>
      </c>
      <c r="I552" s="134" t="s">
        <v>1325</v>
      </c>
      <c r="J552" s="26" t="str">
        <f>COUNTIF(tblTargets[TargetID],tbldeptemp[[#This Row],[TargetID]])&gt;0</f>
        <v>#ERROR!</v>
      </c>
      <c r="K552" s="26" t="str">
        <f>ISNUMBER(_xlfn.XMATCH(tbldeptemp[[#This Row],[DependencyID]],tblTargets[TargetID]))</f>
        <v>#ERROR!</v>
      </c>
      <c r="L552" s="26" t="str">
        <f>IF(tbldeptemp[[#This Row],[ValidTarget]]=FALSE,"BAD TARGET",IF(tbldeptemp[[#This Row],[ValidDependency]]=FALSE,"BAD DEPENDENCY",""))</f>
        <v>#ERROR!</v>
      </c>
    </row>
    <row r="553" ht="14.25" customHeight="1">
      <c r="A553" s="26" t="s">
        <v>626</v>
      </c>
      <c r="B553" s="26" t="s">
        <v>6112</v>
      </c>
      <c r="C553" s="26" t="s">
        <v>138</v>
      </c>
      <c r="D553" s="26" t="s">
        <v>6113</v>
      </c>
      <c r="E553" s="26" t="s">
        <v>6114</v>
      </c>
      <c r="F553" s="26" t="b">
        <v>0</v>
      </c>
      <c r="G553" s="26" t="s">
        <v>5097</v>
      </c>
      <c r="H553" s="26" t="s">
        <v>138</v>
      </c>
      <c r="I553" s="26" t="s">
        <v>1327</v>
      </c>
      <c r="J553" s="26" t="b">
        <v>1</v>
      </c>
      <c r="K553" s="26" t="str">
        <f>ISNUMBER(_xlfn.XMATCH(tbldeptemp[[#This Row],[DependencyID]],tblTargets[TargetID]))</f>
        <v>#ERROR!</v>
      </c>
      <c r="L553" s="26" t="str">
        <f>IF(tbldeptemp[[#This Row],[ValidTarget]]=FALSE,"BAD TARGET",IF(tbldeptemp[[#This Row],[ValidDependency]]=FALSE,"BAD DEPENDENCY",""))</f>
        <v>#ERROR!</v>
      </c>
    </row>
    <row r="554" ht="14.25" customHeight="1">
      <c r="A554" s="134" t="s">
        <v>1151</v>
      </c>
      <c r="B554" s="26" t="s">
        <v>1332</v>
      </c>
      <c r="C554" s="26" t="s">
        <v>1332</v>
      </c>
      <c r="E554"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54" s="26" t="s">
        <v>1332</v>
      </c>
      <c r="I554" s="26" t="s">
        <v>1329</v>
      </c>
      <c r="J554" s="26" t="str">
        <f>COUNTIF(tblTargets[TargetID],tbldeptemp[[#This Row],[TargetID]])&gt;0</f>
        <v>#ERROR!</v>
      </c>
      <c r="K554" s="26" t="str">
        <f>ISNUMBER(_xlfn.XMATCH(tbldeptemp[[#This Row],[DependencyID]],tblTargets[TargetID]))</f>
        <v>#ERROR!</v>
      </c>
      <c r="L554" s="26" t="str">
        <f>IF(tbldeptemp[[#This Row],[ValidTarget]]=FALSE,"BAD TARGET",IF(tbldeptemp[[#This Row],[ValidDependency]]=FALSE,"BAD DEPENDENCY",""))</f>
        <v>#ERROR!</v>
      </c>
    </row>
    <row r="555" ht="14.25" customHeight="1">
      <c r="A555" s="26" t="s">
        <v>626</v>
      </c>
      <c r="B555" s="26" t="s">
        <v>6112</v>
      </c>
      <c r="C555" s="26" t="s">
        <v>138</v>
      </c>
      <c r="D555" s="26" t="s">
        <v>5021</v>
      </c>
      <c r="E555" s="26" t="s">
        <v>6115</v>
      </c>
      <c r="F555" s="26" t="b">
        <v>0</v>
      </c>
      <c r="G555" s="26" t="s">
        <v>5097</v>
      </c>
      <c r="H555" s="26" t="s">
        <v>138</v>
      </c>
      <c r="I555" s="26" t="s">
        <v>1332</v>
      </c>
      <c r="J555" s="26" t="b">
        <v>1</v>
      </c>
      <c r="K555" s="26" t="str">
        <f>ISNUMBER(_xlfn.XMATCH(tbldeptemp[[#This Row],[DependencyID]],tblTargets[TargetID]))</f>
        <v>#ERROR!</v>
      </c>
      <c r="L555" s="26" t="str">
        <f>IF(tbldeptemp[[#This Row],[ValidTarget]]=FALSE,"BAD TARGET",IF(tbldeptemp[[#This Row],[ValidDependency]]=FALSE,"BAD DEPENDENCY",""))</f>
        <v>#ERROR!</v>
      </c>
    </row>
    <row r="556" ht="14.25" customHeight="1">
      <c r="A556" s="26" t="s">
        <v>626</v>
      </c>
      <c r="B556" s="26" t="s">
        <v>5196</v>
      </c>
      <c r="C556" s="26" t="s">
        <v>145</v>
      </c>
      <c r="D556" s="26" t="s">
        <v>5021</v>
      </c>
      <c r="E556" s="26" t="s">
        <v>6115</v>
      </c>
      <c r="F556" s="26" t="b">
        <v>0</v>
      </c>
      <c r="G556" s="26" t="s">
        <v>5097</v>
      </c>
      <c r="H556" s="26" t="s">
        <v>145</v>
      </c>
      <c r="I556" s="26" t="s">
        <v>1332</v>
      </c>
      <c r="J556" s="26" t="b">
        <v>1</v>
      </c>
      <c r="K556" s="26" t="str">
        <f>ISNUMBER(_xlfn.XMATCH(tbldeptemp[[#This Row],[DependencyID]],tblTargets[TargetID]))</f>
        <v>#ERROR!</v>
      </c>
      <c r="L556" s="26" t="str">
        <f>IF(tbldeptemp[[#This Row],[ValidTarget]]=FALSE,"BAD TARGET",IF(tbldeptemp[[#This Row],[ValidDependency]]=FALSE,"BAD DEPENDENCY",""))</f>
        <v>#ERROR!</v>
      </c>
    </row>
    <row r="557" ht="14.25" customHeight="1">
      <c r="A557" s="26" t="s">
        <v>960</v>
      </c>
      <c r="B557" s="26" t="s">
        <v>5545</v>
      </c>
      <c r="C557" s="26" t="s">
        <v>551</v>
      </c>
      <c r="D557" s="26" t="s">
        <v>5021</v>
      </c>
      <c r="E557" s="26" t="s">
        <v>6115</v>
      </c>
      <c r="F557" s="26" t="b">
        <v>0</v>
      </c>
      <c r="G557" s="26" t="s">
        <v>5097</v>
      </c>
      <c r="H557" s="26" t="s">
        <v>551</v>
      </c>
      <c r="I557" s="26" t="s">
        <v>1332</v>
      </c>
      <c r="J557" s="26" t="b">
        <v>1</v>
      </c>
      <c r="K557" s="26" t="str">
        <f>ISNUMBER(_xlfn.XMATCH(tbldeptemp[[#This Row],[DependencyID]],tblTargets[TargetID]))</f>
        <v>#ERROR!</v>
      </c>
      <c r="L557" s="26" t="str">
        <f>IF(tbldeptemp[[#This Row],[ValidTarget]]=FALSE,"BAD TARGET",IF(tbldeptemp[[#This Row],[ValidDependency]]=FALSE,"BAD DEPENDENCY",""))</f>
        <v>#ERROR!</v>
      </c>
    </row>
    <row r="558" ht="14.25" customHeight="1">
      <c r="A558" s="26" t="s">
        <v>960</v>
      </c>
      <c r="B558" s="26" t="s">
        <v>5557</v>
      </c>
      <c r="C558" s="26" t="s">
        <v>584</v>
      </c>
      <c r="D558" s="26" t="s">
        <v>5021</v>
      </c>
      <c r="E558" s="26" t="s">
        <v>6115</v>
      </c>
      <c r="F558" s="26" t="b">
        <v>0</v>
      </c>
      <c r="G558" s="26" t="s">
        <v>5097</v>
      </c>
      <c r="H558" s="26" t="s">
        <v>584</v>
      </c>
      <c r="I558" s="26" t="s">
        <v>1332</v>
      </c>
      <c r="J558" s="26" t="b">
        <v>1</v>
      </c>
      <c r="K558" s="26" t="str">
        <f>ISNUMBER(_xlfn.XMATCH(tbldeptemp[[#This Row],[DependencyID]],tblTargets[TargetID]))</f>
        <v>#ERROR!</v>
      </c>
      <c r="L558" s="26" t="str">
        <f>IF(tbldeptemp[[#This Row],[ValidTarget]]=FALSE,"BAD TARGET",IF(tbldeptemp[[#This Row],[ValidDependency]]=FALSE,"BAD DEPENDENCY",""))</f>
        <v>#ERROR!</v>
      </c>
    </row>
    <row r="559" ht="14.25" customHeight="1">
      <c r="A559" s="26" t="s">
        <v>960</v>
      </c>
      <c r="B559" s="26" t="s">
        <v>5561</v>
      </c>
      <c r="C559" s="26" t="s">
        <v>589</v>
      </c>
      <c r="D559" s="26" t="s">
        <v>5021</v>
      </c>
      <c r="E559" s="26" t="s">
        <v>6115</v>
      </c>
      <c r="F559" s="26" t="b">
        <v>0</v>
      </c>
      <c r="G559" s="26" t="s">
        <v>5097</v>
      </c>
      <c r="H559" s="26" t="s">
        <v>589</v>
      </c>
      <c r="I559" s="26" t="s">
        <v>1332</v>
      </c>
      <c r="J559" s="26" t="b">
        <v>1</v>
      </c>
      <c r="K559" s="26" t="str">
        <f>ISNUMBER(_xlfn.XMATCH(tbldeptemp[[#This Row],[DependencyID]],tblTargets[TargetID]))</f>
        <v>#ERROR!</v>
      </c>
      <c r="L559" s="26" t="str">
        <f>IF(tbldeptemp[[#This Row],[ValidTarget]]=FALSE,"BAD TARGET",IF(tbldeptemp[[#This Row],[ValidDependency]]=FALSE,"BAD DEPENDENCY",""))</f>
        <v>#ERROR!</v>
      </c>
    </row>
    <row r="560" ht="14.25" customHeight="1">
      <c r="A560" s="26" t="s">
        <v>960</v>
      </c>
      <c r="B560" s="26" t="s">
        <v>5578</v>
      </c>
      <c r="C560" s="26" t="s">
        <v>616</v>
      </c>
      <c r="D560" s="26" t="s">
        <v>5021</v>
      </c>
      <c r="E560" s="26" t="s">
        <v>6115</v>
      </c>
      <c r="F560" s="26" t="b">
        <v>0</v>
      </c>
      <c r="G560" s="26" t="s">
        <v>5097</v>
      </c>
      <c r="H560" s="26" t="s">
        <v>616</v>
      </c>
      <c r="I560" s="26" t="s">
        <v>1332</v>
      </c>
      <c r="J560" s="26" t="b">
        <v>1</v>
      </c>
      <c r="K560" s="26" t="str">
        <f>ISNUMBER(_xlfn.XMATCH(tbldeptemp[[#This Row],[DependencyID]],tblTargets[TargetID]))</f>
        <v>#ERROR!</v>
      </c>
      <c r="L560" s="26" t="str">
        <f>IF(tbldeptemp[[#This Row],[ValidTarget]]=FALSE,"BAD TARGET",IF(tbldeptemp[[#This Row],[ValidDependency]]=FALSE,"BAD DEPENDENCY",""))</f>
        <v>#ERROR!</v>
      </c>
    </row>
    <row r="561" ht="14.25" customHeight="1">
      <c r="A561" s="26" t="s">
        <v>960</v>
      </c>
      <c r="B561" s="26" t="s">
        <v>5636</v>
      </c>
      <c r="C561" s="26" t="s">
        <v>773</v>
      </c>
      <c r="D561" s="26" t="s">
        <v>5021</v>
      </c>
      <c r="E561" s="26" t="s">
        <v>6115</v>
      </c>
      <c r="F561" s="26" t="b">
        <v>0</v>
      </c>
      <c r="G561" s="26" t="s">
        <v>5097</v>
      </c>
      <c r="H561" s="26" t="s">
        <v>773</v>
      </c>
      <c r="I561" s="26" t="s">
        <v>1332</v>
      </c>
      <c r="J561" s="26" t="b">
        <v>1</v>
      </c>
      <c r="K561" s="26" t="str">
        <f>ISNUMBER(_xlfn.XMATCH(tbldeptemp[[#This Row],[DependencyID]],tblTargets[TargetID]))</f>
        <v>#ERROR!</v>
      </c>
      <c r="L561" s="26" t="str">
        <f>IF(tbldeptemp[[#This Row],[ValidTarget]]=FALSE,"BAD TARGET",IF(tbldeptemp[[#This Row],[ValidDependency]]=FALSE,"BAD DEPENDENCY",""))</f>
        <v>#ERROR!</v>
      </c>
    </row>
    <row r="562" ht="14.25" customHeight="1">
      <c r="A562" s="26" t="s">
        <v>960</v>
      </c>
      <c r="B562" s="26" t="s">
        <v>5652</v>
      </c>
      <c r="C562" s="26" t="s">
        <v>829</v>
      </c>
      <c r="D562" s="26" t="s">
        <v>5021</v>
      </c>
      <c r="E562" s="26" t="s">
        <v>6115</v>
      </c>
      <c r="F562" s="26" t="b">
        <v>0</v>
      </c>
      <c r="G562" s="26" t="s">
        <v>5097</v>
      </c>
      <c r="H562" s="26" t="s">
        <v>829</v>
      </c>
      <c r="I562" s="26" t="s">
        <v>1332</v>
      </c>
      <c r="J562" s="26" t="b">
        <v>1</v>
      </c>
      <c r="K562" s="26" t="str">
        <f>ISNUMBER(_xlfn.XMATCH(tbldeptemp[[#This Row],[DependencyID]],tblTargets[TargetID]))</f>
        <v>#ERROR!</v>
      </c>
      <c r="L562" s="26" t="str">
        <f>IF(tbldeptemp[[#This Row],[ValidTarget]]=FALSE,"BAD TARGET",IF(tbldeptemp[[#This Row],[ValidDependency]]=FALSE,"BAD DEPENDENCY",""))</f>
        <v>#ERROR!</v>
      </c>
    </row>
    <row r="563" ht="14.25" customHeight="1">
      <c r="A563" s="26" t="s">
        <v>1151</v>
      </c>
      <c r="B563" s="26" t="s">
        <v>5016</v>
      </c>
      <c r="C563" s="26" t="s">
        <v>1334</v>
      </c>
      <c r="D563" s="26" t="s">
        <v>5021</v>
      </c>
      <c r="E563" s="26" t="s">
        <v>6115</v>
      </c>
      <c r="F563" s="26" t="b">
        <v>0</v>
      </c>
      <c r="G563" s="26" t="s">
        <v>5100</v>
      </c>
      <c r="H563" s="26" t="s">
        <v>1334</v>
      </c>
      <c r="I563" s="26" t="s">
        <v>1332</v>
      </c>
      <c r="J563" s="26" t="b">
        <v>1</v>
      </c>
      <c r="K563" s="26" t="str">
        <f>ISNUMBER(_xlfn.XMATCH(tbldeptemp[[#This Row],[DependencyID]],tblTargets[TargetID]))</f>
        <v>#ERROR!</v>
      </c>
      <c r="L563" s="26" t="str">
        <f>IF(tbldeptemp[[#This Row],[ValidTarget]]=FALSE,"BAD TARGET",IF(tbldeptemp[[#This Row],[ValidDependency]]=FALSE,"BAD DEPENDENCY",""))</f>
        <v>#ERROR!</v>
      </c>
    </row>
    <row r="564" ht="14.25" customHeight="1">
      <c r="A564" s="26" t="s">
        <v>1705</v>
      </c>
      <c r="B564" s="26" t="s">
        <v>5195</v>
      </c>
      <c r="C564" s="26" t="s">
        <v>1756</v>
      </c>
      <c r="D564" s="26" t="s">
        <v>5021</v>
      </c>
      <c r="E564" s="26" t="s">
        <v>6115</v>
      </c>
      <c r="F564" s="26" t="b">
        <v>0</v>
      </c>
      <c r="G564" s="26" t="s">
        <v>5097</v>
      </c>
      <c r="H564" s="26" t="s">
        <v>1756</v>
      </c>
      <c r="I564" s="26" t="s">
        <v>1332</v>
      </c>
      <c r="J564" s="26" t="b">
        <v>1</v>
      </c>
      <c r="K564" s="26" t="str">
        <f>ISNUMBER(_xlfn.XMATCH(tbldeptemp[[#This Row],[DependencyID]],tblTargets[TargetID]))</f>
        <v>#ERROR!</v>
      </c>
      <c r="L564" s="26" t="str">
        <f>IF(tbldeptemp[[#This Row],[ValidTarget]]=FALSE,"BAD TARGET",IF(tbldeptemp[[#This Row],[ValidDependency]]=FALSE,"BAD DEPENDENCY",""))</f>
        <v>#ERROR!</v>
      </c>
    </row>
    <row r="565" ht="14.25" customHeight="1">
      <c r="A565" s="134" t="s">
        <v>1151</v>
      </c>
      <c r="B565" s="134" t="s">
        <v>1336</v>
      </c>
      <c r="C565" s="134" t="s">
        <v>1336</v>
      </c>
      <c r="E565"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65" s="134" t="s">
        <v>1336</v>
      </c>
      <c r="I565" s="134" t="s">
        <v>1334</v>
      </c>
      <c r="J565" s="26" t="str">
        <f>COUNTIF(tblTargets[TargetID],tbldeptemp[[#This Row],[TargetID]])&gt;0</f>
        <v>#ERROR!</v>
      </c>
      <c r="K565" s="26" t="str">
        <f>ISNUMBER(_xlfn.XMATCH(tbldeptemp[[#This Row],[DependencyID]],tblTargets[TargetID]))</f>
        <v>#ERROR!</v>
      </c>
      <c r="L565" s="26" t="str">
        <f>IF(tbldeptemp[[#This Row],[ValidTarget]]=FALSE,"BAD TARGET",IF(tbldeptemp[[#This Row],[ValidDependency]]=FALSE,"BAD DEPENDENCY",""))</f>
        <v>#ERROR!</v>
      </c>
    </row>
    <row r="566" ht="14.25" customHeight="1">
      <c r="A566" s="134" t="s">
        <v>1151</v>
      </c>
      <c r="B566" s="26" t="s">
        <v>1340</v>
      </c>
      <c r="C566" s="26" t="s">
        <v>1340</v>
      </c>
      <c r="E566"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66" s="26" t="s">
        <v>1340</v>
      </c>
      <c r="I566" s="26" t="s">
        <v>1338</v>
      </c>
      <c r="J566" s="26" t="str">
        <f>COUNTIF(tblTargets[TargetID],tbldeptemp[[#This Row],[TargetID]])&gt;0</f>
        <v>#ERROR!</v>
      </c>
      <c r="K566" s="26" t="str">
        <f>ISNUMBER(_xlfn.XMATCH(tbldeptemp[[#This Row],[DependencyID]],tblTargets[TargetID]))</f>
        <v>#ERROR!</v>
      </c>
      <c r="L566" s="26" t="str">
        <f>IF(tbldeptemp[[#This Row],[ValidTarget]]=FALSE,"BAD TARGET",IF(tbldeptemp[[#This Row],[ValidDependency]]=FALSE,"BAD DEPENDENCY",""))</f>
        <v>#ERROR!</v>
      </c>
    </row>
    <row r="567" ht="14.25" customHeight="1">
      <c r="A567" s="26" t="s">
        <v>1151</v>
      </c>
      <c r="B567" s="26" t="s">
        <v>4764</v>
      </c>
      <c r="C567" s="26" t="s">
        <v>1053</v>
      </c>
      <c r="D567" s="26" t="s">
        <v>6121</v>
      </c>
      <c r="E567" s="26" t="s">
        <v>6122</v>
      </c>
      <c r="F567" s="26" t="b">
        <v>1</v>
      </c>
      <c r="G567" s="26" t="s">
        <v>5097</v>
      </c>
      <c r="H567" s="26" t="s">
        <v>1053</v>
      </c>
      <c r="I567" s="26" t="s">
        <v>1340</v>
      </c>
      <c r="J567" s="26" t="b">
        <v>1</v>
      </c>
      <c r="K567" s="26" t="str">
        <f>ISNUMBER(_xlfn.XMATCH(tbldeptemp[[#This Row],[DependencyID]],tblTargets[TargetID]))</f>
        <v>#ERROR!</v>
      </c>
      <c r="L567" s="26" t="str">
        <f>IF(tbldeptemp[[#This Row],[ValidTarget]]=FALSE,"BAD TARGET",IF(tbldeptemp[[#This Row],[ValidDependency]]=FALSE,"BAD DEPENDENCY",""))</f>
        <v>#ERROR!</v>
      </c>
    </row>
    <row r="568" ht="14.25" customHeight="1">
      <c r="A568" s="26" t="s">
        <v>1705</v>
      </c>
      <c r="B568" s="26" t="s">
        <v>5523</v>
      </c>
      <c r="C568" s="26" t="s">
        <v>1909</v>
      </c>
      <c r="D568" s="26" t="s">
        <v>6123</v>
      </c>
      <c r="E568" s="26" t="s">
        <v>6122</v>
      </c>
      <c r="F568" s="26" t="b">
        <v>1</v>
      </c>
      <c r="G568" s="26" t="s">
        <v>5097</v>
      </c>
      <c r="H568" s="26" t="s">
        <v>1909</v>
      </c>
      <c r="I568" s="26" t="s">
        <v>1340</v>
      </c>
      <c r="J568" s="26" t="b">
        <v>1</v>
      </c>
      <c r="K568" s="26" t="str">
        <f>ISNUMBER(_xlfn.XMATCH(tbldeptemp[[#This Row],[DependencyID]],tblTargets[TargetID]))</f>
        <v>#ERROR!</v>
      </c>
      <c r="L568" s="26" t="str">
        <f>IF(tbldeptemp[[#This Row],[ValidTarget]]=FALSE,"BAD TARGET",IF(tbldeptemp[[#This Row],[ValidDependency]]=FALSE,"BAD DEPENDENCY",""))</f>
        <v>#ERROR!</v>
      </c>
    </row>
    <row r="569" ht="14.25" customHeight="1">
      <c r="A569" s="134" t="s">
        <v>1151</v>
      </c>
      <c r="B569" s="134" t="s">
        <v>1344</v>
      </c>
      <c r="C569" s="134" t="s">
        <v>1344</v>
      </c>
      <c r="E569"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69" s="134" t="s">
        <v>1344</v>
      </c>
      <c r="I569" s="134" t="s">
        <v>1342</v>
      </c>
      <c r="J569" s="26" t="str">
        <f>COUNTIF(tblTargets[TargetID],tbldeptemp[[#This Row],[TargetID]])&gt;0</f>
        <v>#ERROR!</v>
      </c>
      <c r="K569" s="26" t="str">
        <f>ISNUMBER(_xlfn.XMATCH(tbldeptemp[[#This Row],[DependencyID]],tblTargets[TargetID]))</f>
        <v>#ERROR!</v>
      </c>
      <c r="L569" s="26" t="str">
        <f>IF(tbldeptemp[[#This Row],[ValidTarget]]=FALSE,"BAD TARGET",IF(tbldeptemp[[#This Row],[ValidDependency]]=FALSE,"BAD DEPENDENCY",""))</f>
        <v>#ERROR!</v>
      </c>
    </row>
    <row r="570" ht="14.25" customHeight="1">
      <c r="A570" s="134" t="s">
        <v>1151</v>
      </c>
      <c r="B570" s="26" t="s">
        <v>1348</v>
      </c>
      <c r="C570" s="26" t="s">
        <v>1348</v>
      </c>
      <c r="E570"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570" s="26" t="s">
        <v>1348</v>
      </c>
      <c r="I570" s="26" t="s">
        <v>1346</v>
      </c>
      <c r="J570" s="26" t="str">
        <f>COUNTIF(tblTargets[TargetID],tbldeptemp[[#This Row],[TargetID]])&gt;0</f>
        <v>#ERROR!</v>
      </c>
      <c r="K570" s="26" t="str">
        <f>ISNUMBER(_xlfn.XMATCH(tbldeptemp[[#This Row],[DependencyID]],tblTargets[TargetID]))</f>
        <v>#ERROR!</v>
      </c>
      <c r="L570" s="26" t="str">
        <f>IF(tbldeptemp[[#This Row],[ValidTarget]]=FALSE,"BAD TARGET",IF(tbldeptemp[[#This Row],[ValidDependency]]=FALSE,"BAD DEPENDENCY",""))</f>
        <v>#ERROR!</v>
      </c>
    </row>
    <row r="571" ht="14.25" customHeight="1">
      <c r="A571" s="26" t="s">
        <v>1151</v>
      </c>
      <c r="B571" s="26" t="s">
        <v>4994</v>
      </c>
      <c r="C571" s="26" t="s">
        <v>1320</v>
      </c>
      <c r="D571" s="26" t="s">
        <v>6130</v>
      </c>
      <c r="E571" s="26" t="s">
        <v>6131</v>
      </c>
      <c r="F571" s="26" t="b">
        <v>0</v>
      </c>
      <c r="G571" s="26" t="s">
        <v>5097</v>
      </c>
      <c r="H571" s="26" t="s">
        <v>1320</v>
      </c>
      <c r="I571" s="26" t="s">
        <v>1354</v>
      </c>
      <c r="J571" s="26" t="b">
        <v>1</v>
      </c>
      <c r="K571" s="26" t="str">
        <f>ISNUMBER(_xlfn.XMATCH(tbldeptemp[[#This Row],[DependencyID]],tblTargets[TargetID]))</f>
        <v>#ERROR!</v>
      </c>
      <c r="L571" s="26" t="str">
        <f>IF(tbldeptemp[[#This Row],[ValidTarget]]=FALSE,"BAD TARGET",IF(tbldeptemp[[#This Row],[ValidDependency]]=FALSE,"BAD DEPENDENCY",""))</f>
        <v>#ERROR!</v>
      </c>
    </row>
    <row r="572" ht="14.25" customHeight="1">
      <c r="A572" s="26" t="s">
        <v>1151</v>
      </c>
      <c r="B572" s="26" t="s">
        <v>4716</v>
      </c>
      <c r="C572" s="26" t="s">
        <v>995</v>
      </c>
      <c r="D572" s="26" t="s">
        <v>6132</v>
      </c>
      <c r="E572" s="26" t="s">
        <v>6133</v>
      </c>
      <c r="F572" s="26" t="b">
        <v>1</v>
      </c>
      <c r="G572" s="26" t="s">
        <v>5097</v>
      </c>
      <c r="H572" s="26" t="s">
        <v>995</v>
      </c>
      <c r="I572" s="26" t="s">
        <v>6134</v>
      </c>
      <c r="J572" s="26" t="b">
        <v>1</v>
      </c>
      <c r="K572" s="26" t="str">
        <f>ISNUMBER(_xlfn.XMATCH(tbldeptemp[[#This Row],[DependencyID]],tblTargets[TargetID]))</f>
        <v>#ERROR!</v>
      </c>
      <c r="L572" s="26" t="str">
        <f>IF(tbldeptemp[[#This Row],[ValidTarget]]=FALSE,"BAD TARGET",IF(tbldeptemp[[#This Row],[ValidDependency]]=FALSE,"BAD DEPENDENCY",""))</f>
        <v>#ERROR!</v>
      </c>
    </row>
    <row r="573" ht="14.25" customHeight="1">
      <c r="A573" s="26" t="s">
        <v>626</v>
      </c>
      <c r="B573" s="26" t="s">
        <v>6135</v>
      </c>
      <c r="C573" s="26" t="s">
        <v>151</v>
      </c>
      <c r="D573" s="26" t="s">
        <v>6136</v>
      </c>
      <c r="E573" s="26" t="s">
        <v>6136</v>
      </c>
      <c r="F573" s="26" t="b">
        <v>1</v>
      </c>
      <c r="G573" s="26" t="s">
        <v>5097</v>
      </c>
      <c r="H573" s="26" t="s">
        <v>151</v>
      </c>
      <c r="I573" s="26" t="s">
        <v>1382</v>
      </c>
      <c r="J573" s="26" t="b">
        <v>1</v>
      </c>
      <c r="K573" s="26" t="str">
        <f>ISNUMBER(_xlfn.XMATCH(tbldeptemp[[#This Row],[DependencyID]],tblTargets[TargetID]))</f>
        <v>#ERROR!</v>
      </c>
      <c r="L573" s="26" t="str">
        <f>IF(tbldeptemp[[#This Row],[ValidTarget]]=FALSE,"BAD TARGET",IF(tbldeptemp[[#This Row],[ValidDependency]]=FALSE,"BAD DEPENDENCY",""))</f>
        <v>#ERROR!</v>
      </c>
    </row>
    <row r="574" ht="14.25" customHeight="1">
      <c r="A574" s="26" t="s">
        <v>626</v>
      </c>
      <c r="B574" s="26" t="s">
        <v>6137</v>
      </c>
      <c r="C574" s="26" t="s">
        <v>269</v>
      </c>
      <c r="D574" s="26" t="s">
        <v>6136</v>
      </c>
      <c r="E574" s="26" t="s">
        <v>6136</v>
      </c>
      <c r="F574" s="26" t="b">
        <v>1</v>
      </c>
      <c r="G574" s="26" t="s">
        <v>5097</v>
      </c>
      <c r="H574" s="26" t="s">
        <v>269</v>
      </c>
      <c r="I574" s="26" t="s">
        <v>1382</v>
      </c>
      <c r="J574" s="26" t="b">
        <v>1</v>
      </c>
      <c r="K574" s="26" t="str">
        <f>ISNUMBER(_xlfn.XMATCH(tbldeptemp[[#This Row],[DependencyID]],tblTargets[TargetID]))</f>
        <v>#ERROR!</v>
      </c>
      <c r="L574" s="26" t="str">
        <f>IF(tbldeptemp[[#This Row],[ValidTarget]]=FALSE,"BAD TARGET",IF(tbldeptemp[[#This Row],[ValidDependency]]=FALSE,"BAD DEPENDENCY",""))</f>
        <v>#ERROR!</v>
      </c>
    </row>
    <row r="575" ht="14.25" customHeight="1">
      <c r="A575" s="26" t="s">
        <v>626</v>
      </c>
      <c r="B575" s="26" t="s">
        <v>5379</v>
      </c>
      <c r="C575" s="26" t="s">
        <v>372</v>
      </c>
      <c r="D575" s="26" t="s">
        <v>6136</v>
      </c>
      <c r="E575" s="26" t="s">
        <v>6136</v>
      </c>
      <c r="F575" s="26" t="b">
        <v>1</v>
      </c>
      <c r="G575" s="26" t="s">
        <v>5097</v>
      </c>
      <c r="H575" s="26" t="s">
        <v>372</v>
      </c>
      <c r="I575" s="26" t="s">
        <v>1382</v>
      </c>
      <c r="J575" s="26" t="b">
        <v>1</v>
      </c>
      <c r="K575" s="26" t="str">
        <f>ISNUMBER(_xlfn.XMATCH(tbldeptemp[[#This Row],[DependencyID]],tblTargets[TargetID]))</f>
        <v>#ERROR!</v>
      </c>
      <c r="L575" s="26" t="str">
        <f>IF(tbldeptemp[[#This Row],[ValidTarget]]=FALSE,"BAD TARGET",IF(tbldeptemp[[#This Row],[ValidDependency]]=FALSE,"BAD DEPENDENCY",""))</f>
        <v>#ERROR!</v>
      </c>
    </row>
    <row r="576" ht="14.25" customHeight="1">
      <c r="A576" s="26" t="s">
        <v>626</v>
      </c>
      <c r="B576" s="26" t="s">
        <v>6140</v>
      </c>
      <c r="C576" s="26" t="s">
        <v>338</v>
      </c>
      <c r="D576" s="26" t="s">
        <v>6141</v>
      </c>
      <c r="E576" s="26" t="s">
        <v>6141</v>
      </c>
      <c r="F576" s="26" t="b">
        <v>1</v>
      </c>
      <c r="G576" s="26" t="s">
        <v>5097</v>
      </c>
      <c r="H576" s="26" t="s">
        <v>338</v>
      </c>
      <c r="I576" s="26" t="s">
        <v>1384</v>
      </c>
      <c r="J576" s="26" t="b">
        <v>1</v>
      </c>
      <c r="K576" s="26" t="str">
        <f>ISNUMBER(_xlfn.XMATCH(tbldeptemp[[#This Row],[DependencyID]],tblTargets[TargetID]))</f>
        <v>#ERROR!</v>
      </c>
      <c r="L576" s="26" t="str">
        <f>IF(tbldeptemp[[#This Row],[ValidTarget]]=FALSE,"BAD TARGET",IF(tbldeptemp[[#This Row],[ValidDependency]]=FALSE,"BAD DEPENDENCY",""))</f>
        <v>#ERROR!</v>
      </c>
    </row>
    <row r="577" ht="14.25" customHeight="1">
      <c r="A577" s="26" t="s">
        <v>626</v>
      </c>
      <c r="B577" s="26" t="s">
        <v>6146</v>
      </c>
      <c r="C577" s="26" t="s">
        <v>255</v>
      </c>
      <c r="D577" s="26" t="s">
        <v>6147</v>
      </c>
      <c r="E577" s="26" t="s">
        <v>6147</v>
      </c>
      <c r="F577" s="26" t="b">
        <v>1</v>
      </c>
      <c r="G577" s="26" t="s">
        <v>5097</v>
      </c>
      <c r="H577" s="26" t="s">
        <v>255</v>
      </c>
      <c r="I577" s="26" t="s">
        <v>1386</v>
      </c>
      <c r="J577" s="26" t="b">
        <v>1</v>
      </c>
      <c r="K577" s="26" t="str">
        <f>ISNUMBER(_xlfn.XMATCH(tbldeptemp[[#This Row],[DependencyID]],tblTargets[TargetID]))</f>
        <v>#ERROR!</v>
      </c>
      <c r="L577" s="26" t="str">
        <f>IF(tbldeptemp[[#This Row],[ValidTarget]]=FALSE,"BAD TARGET",IF(tbldeptemp[[#This Row],[ValidDependency]]=FALSE,"BAD DEPENDENCY",""))</f>
        <v>#ERROR!</v>
      </c>
    </row>
    <row r="578" ht="14.25" customHeight="1">
      <c r="A578" s="26" t="s">
        <v>626</v>
      </c>
      <c r="B578" s="26" t="s">
        <v>6148</v>
      </c>
      <c r="C578" s="26" t="s">
        <v>385</v>
      </c>
      <c r="D578" s="26" t="s">
        <v>6149</v>
      </c>
      <c r="E578" s="26" t="s">
        <v>6149</v>
      </c>
      <c r="F578" s="26" t="b">
        <v>1</v>
      </c>
      <c r="G578" s="26" t="s">
        <v>5097</v>
      </c>
      <c r="H578" s="26" t="s">
        <v>385</v>
      </c>
      <c r="I578" s="26" t="s">
        <v>1388</v>
      </c>
      <c r="J578" s="26" t="b">
        <v>1</v>
      </c>
      <c r="K578" s="26" t="str">
        <f>ISNUMBER(_xlfn.XMATCH(tbldeptemp[[#This Row],[DependencyID]],tblTargets[TargetID]))</f>
        <v>#ERROR!</v>
      </c>
      <c r="L578" s="26" t="str">
        <f>IF(tbldeptemp[[#This Row],[ValidTarget]]=FALSE,"BAD TARGET",IF(tbldeptemp[[#This Row],[ValidDependency]]=FALSE,"BAD DEPENDENCY",""))</f>
        <v>#ERROR!</v>
      </c>
    </row>
    <row r="579" ht="14.25" customHeight="1">
      <c r="A579" s="26" t="s">
        <v>626</v>
      </c>
      <c r="B579" s="26" t="s">
        <v>5380</v>
      </c>
      <c r="C579" s="26" t="s">
        <v>374</v>
      </c>
      <c r="D579" s="26" t="s">
        <v>6150</v>
      </c>
      <c r="E579" s="26" t="s">
        <v>6150</v>
      </c>
      <c r="F579" s="26" t="b">
        <v>1</v>
      </c>
      <c r="G579" s="26" t="s">
        <v>5097</v>
      </c>
      <c r="H579" s="26" t="s">
        <v>374</v>
      </c>
      <c r="I579" s="26" t="s">
        <v>1391</v>
      </c>
      <c r="J579" s="26" t="b">
        <v>1</v>
      </c>
      <c r="K579" s="26" t="str">
        <f>ISNUMBER(_xlfn.XMATCH(tbldeptemp[[#This Row],[DependencyID]],tblTargets[TargetID]))</f>
        <v>#ERROR!</v>
      </c>
      <c r="L579" s="26" t="str">
        <f>IF(tbldeptemp[[#This Row],[ValidTarget]]=FALSE,"BAD TARGET",IF(tbldeptemp[[#This Row],[ValidDependency]]=FALSE,"BAD DEPENDENCY",""))</f>
        <v>#ERROR!</v>
      </c>
    </row>
    <row r="580" ht="14.25" customHeight="1">
      <c r="A580" s="26" t="s">
        <v>626</v>
      </c>
      <c r="B580" s="26" t="s">
        <v>6151</v>
      </c>
      <c r="C580" s="26" t="s">
        <v>127</v>
      </c>
      <c r="D580" s="26" t="s">
        <v>6152</v>
      </c>
      <c r="E580" s="26" t="s">
        <v>6152</v>
      </c>
      <c r="F580" s="26" t="b">
        <v>1</v>
      </c>
      <c r="G580" s="26" t="s">
        <v>5097</v>
      </c>
      <c r="H580" s="26" t="s">
        <v>127</v>
      </c>
      <c r="I580" s="26" t="s">
        <v>1393</v>
      </c>
      <c r="J580" s="26" t="b">
        <v>1</v>
      </c>
      <c r="K580" s="26" t="str">
        <f>ISNUMBER(_xlfn.XMATCH(tbldeptemp[[#This Row],[DependencyID]],tblTargets[TargetID]))</f>
        <v>#ERROR!</v>
      </c>
      <c r="L580" s="26" t="str">
        <f>IF(tbldeptemp[[#This Row],[ValidTarget]]=FALSE,"BAD TARGET",IF(tbldeptemp[[#This Row],[ValidDependency]]=FALSE,"BAD DEPENDENCY",""))</f>
        <v>#ERROR!</v>
      </c>
    </row>
    <row r="581" ht="14.25" customHeight="1">
      <c r="A581" s="26" t="s">
        <v>626</v>
      </c>
      <c r="B581" s="26" t="s">
        <v>5191</v>
      </c>
      <c r="C581" s="26" t="s">
        <v>131</v>
      </c>
      <c r="D581" s="26" t="s">
        <v>6152</v>
      </c>
      <c r="E581" s="26" t="s">
        <v>6152</v>
      </c>
      <c r="F581" s="26" t="b">
        <v>1</v>
      </c>
      <c r="G581" s="26" t="s">
        <v>5097</v>
      </c>
      <c r="H581" s="26" t="s">
        <v>131</v>
      </c>
      <c r="I581" s="26" t="s">
        <v>1393</v>
      </c>
      <c r="J581" s="26" t="b">
        <v>1</v>
      </c>
      <c r="K581" s="26" t="str">
        <f>ISNUMBER(_xlfn.XMATCH(tbldeptemp[[#This Row],[DependencyID]],tblTargets[TargetID]))</f>
        <v>#ERROR!</v>
      </c>
      <c r="L581" s="26" t="str">
        <f>IF(tbldeptemp[[#This Row],[ValidTarget]]=FALSE,"BAD TARGET",IF(tbldeptemp[[#This Row],[ValidDependency]]=FALSE,"BAD DEPENDENCY",""))</f>
        <v>#ERROR!</v>
      </c>
    </row>
    <row r="582" ht="14.25" customHeight="1">
      <c r="A582" s="26" t="s">
        <v>626</v>
      </c>
      <c r="B582" s="26" t="s">
        <v>6112</v>
      </c>
      <c r="C582" s="26" t="s">
        <v>138</v>
      </c>
      <c r="D582" s="26" t="s">
        <v>6152</v>
      </c>
      <c r="E582" s="26" t="s">
        <v>6152</v>
      </c>
      <c r="F582" s="26" t="b">
        <v>1</v>
      </c>
      <c r="G582" s="26" t="s">
        <v>5097</v>
      </c>
      <c r="H582" s="26" t="s">
        <v>138</v>
      </c>
      <c r="I582" s="26" t="s">
        <v>1393</v>
      </c>
      <c r="J582" s="26" t="b">
        <v>1</v>
      </c>
      <c r="K582" s="26" t="str">
        <f>ISNUMBER(_xlfn.XMATCH(tbldeptemp[[#This Row],[DependencyID]],tblTargets[TargetID]))</f>
        <v>#ERROR!</v>
      </c>
      <c r="L582" s="26" t="str">
        <f>IF(tbldeptemp[[#This Row],[ValidTarget]]=FALSE,"BAD TARGET",IF(tbldeptemp[[#This Row],[ValidDependency]]=FALSE,"BAD DEPENDENCY",""))</f>
        <v>#ERROR!</v>
      </c>
    </row>
    <row r="583" ht="14.25" customHeight="1">
      <c r="A583" s="26" t="s">
        <v>626</v>
      </c>
      <c r="B583" s="26" t="s">
        <v>5381</v>
      </c>
      <c r="C583" s="26" t="s">
        <v>376</v>
      </c>
      <c r="D583" s="26" t="s">
        <v>6153</v>
      </c>
      <c r="E583" s="26" t="s">
        <v>6153</v>
      </c>
      <c r="F583" s="26" t="b">
        <v>1</v>
      </c>
      <c r="G583" s="26" t="s">
        <v>5097</v>
      </c>
      <c r="H583" s="26" t="s">
        <v>376</v>
      </c>
      <c r="I583" s="26" t="s">
        <v>1395</v>
      </c>
      <c r="J583" s="26" t="b">
        <v>1</v>
      </c>
      <c r="K583" s="26" t="str">
        <f>ISNUMBER(_xlfn.XMATCH(tbldeptemp[[#This Row],[DependencyID]],tblTargets[TargetID]))</f>
        <v>#ERROR!</v>
      </c>
      <c r="L583" s="26" t="str">
        <f>IF(tbldeptemp[[#This Row],[ValidTarget]]=FALSE,"BAD TARGET",IF(tbldeptemp[[#This Row],[ValidDependency]]=FALSE,"BAD DEPENDENCY",""))</f>
        <v>#ERROR!</v>
      </c>
    </row>
    <row r="584" ht="14.25" customHeight="1">
      <c r="A584" s="26" t="s">
        <v>626</v>
      </c>
      <c r="B584" s="26" t="s">
        <v>6154</v>
      </c>
      <c r="C584" s="26" t="s">
        <v>460</v>
      </c>
      <c r="D584" s="26" t="s">
        <v>6155</v>
      </c>
      <c r="E584" s="26" t="s">
        <v>6155</v>
      </c>
      <c r="F584" s="26" t="b">
        <v>1</v>
      </c>
      <c r="G584" s="26" t="s">
        <v>5097</v>
      </c>
      <c r="H584" s="26" t="s">
        <v>460</v>
      </c>
      <c r="I584" s="26" t="s">
        <v>1397</v>
      </c>
      <c r="J584" s="26" t="b">
        <v>1</v>
      </c>
      <c r="K584" s="26" t="str">
        <f>ISNUMBER(_xlfn.XMATCH(tbldeptemp[[#This Row],[DependencyID]],tblTargets[TargetID]))</f>
        <v>#ERROR!</v>
      </c>
      <c r="L584" s="26" t="str">
        <f>IF(tbldeptemp[[#This Row],[ValidTarget]]=FALSE,"BAD TARGET",IF(tbldeptemp[[#This Row],[ValidDependency]]=FALSE,"BAD DEPENDENCY",""))</f>
        <v>#ERROR!</v>
      </c>
    </row>
    <row r="585" ht="14.25" customHeight="1">
      <c r="A585" s="26" t="s">
        <v>626</v>
      </c>
      <c r="B585" s="26" t="s">
        <v>5198</v>
      </c>
      <c r="C585" s="26" t="s">
        <v>159</v>
      </c>
      <c r="D585" s="26" t="s">
        <v>6156</v>
      </c>
      <c r="E585" s="26" t="s">
        <v>6156</v>
      </c>
      <c r="F585" s="26" t="b">
        <v>1</v>
      </c>
      <c r="G585" s="26" t="s">
        <v>5097</v>
      </c>
      <c r="H585" s="26" t="s">
        <v>159</v>
      </c>
      <c r="I585" s="26" t="s">
        <v>1400</v>
      </c>
      <c r="J585" s="26" t="b">
        <v>1</v>
      </c>
      <c r="K585" s="26" t="str">
        <f>ISNUMBER(_xlfn.XMATCH(tbldeptemp[[#This Row],[DependencyID]],tblTargets[TargetID]))</f>
        <v>#ERROR!</v>
      </c>
      <c r="L585" s="26" t="str">
        <f>IF(tbldeptemp[[#This Row],[ValidTarget]]=FALSE,"BAD TARGET",IF(tbldeptemp[[#This Row],[ValidDependency]]=FALSE,"BAD DEPENDENCY",""))</f>
        <v>#ERROR!</v>
      </c>
    </row>
    <row r="586" ht="14.25" customHeight="1">
      <c r="A586" s="26" t="s">
        <v>626</v>
      </c>
      <c r="B586" s="26" t="s">
        <v>6158</v>
      </c>
      <c r="C586" s="26" t="s">
        <v>354</v>
      </c>
      <c r="D586" s="26" t="s">
        <v>6156</v>
      </c>
      <c r="E586" s="26" t="s">
        <v>6156</v>
      </c>
      <c r="F586" s="26" t="b">
        <v>1</v>
      </c>
      <c r="G586" s="26" t="s">
        <v>5097</v>
      </c>
      <c r="H586" s="26" t="s">
        <v>354</v>
      </c>
      <c r="I586" s="26" t="s">
        <v>1400</v>
      </c>
      <c r="J586" s="26" t="b">
        <v>1</v>
      </c>
      <c r="K586" s="26" t="str">
        <f>ISNUMBER(_xlfn.XMATCH(tbldeptemp[[#This Row],[DependencyID]],tblTargets[TargetID]))</f>
        <v>#ERROR!</v>
      </c>
      <c r="L586" s="26" t="str">
        <f>IF(tbldeptemp[[#This Row],[ValidTarget]]=FALSE,"BAD TARGET",IF(tbldeptemp[[#This Row],[ValidDependency]]=FALSE,"BAD DEPENDENCY",""))</f>
        <v>#ERROR!</v>
      </c>
    </row>
    <row r="587" ht="14.25" customHeight="1">
      <c r="A587" s="26" t="s">
        <v>626</v>
      </c>
      <c r="B587" s="26" t="s">
        <v>6161</v>
      </c>
      <c r="C587" s="26" t="s">
        <v>85</v>
      </c>
      <c r="D587" s="26" t="s">
        <v>6162</v>
      </c>
      <c r="E587" s="26" t="s">
        <v>6162</v>
      </c>
      <c r="F587" s="26" t="b">
        <v>1</v>
      </c>
      <c r="G587" s="26" t="s">
        <v>5097</v>
      </c>
      <c r="H587" s="26" t="s">
        <v>85</v>
      </c>
      <c r="I587" s="26" t="s">
        <v>1402</v>
      </c>
      <c r="J587" s="26" t="b">
        <v>1</v>
      </c>
      <c r="K587" s="26" t="str">
        <f>ISNUMBER(_xlfn.XMATCH(tbldeptemp[[#This Row],[DependencyID]],tblTargets[TargetID]))</f>
        <v>#ERROR!</v>
      </c>
      <c r="L587" s="26" t="str">
        <f>IF(tbldeptemp[[#This Row],[ValidTarget]]=FALSE,"BAD TARGET",IF(tbldeptemp[[#This Row],[ValidDependency]]=FALSE,"BAD DEPENDENCY",""))</f>
        <v>#ERROR!</v>
      </c>
    </row>
    <row r="588" ht="14.25" customHeight="1">
      <c r="A588" s="26" t="s">
        <v>626</v>
      </c>
      <c r="B588" s="26" t="s">
        <v>5167</v>
      </c>
      <c r="C588" s="26" t="s">
        <v>90</v>
      </c>
      <c r="D588" s="26" t="s">
        <v>6162</v>
      </c>
      <c r="E588" s="26" t="s">
        <v>6162</v>
      </c>
      <c r="F588" s="26" t="b">
        <v>1</v>
      </c>
      <c r="G588" s="26" t="s">
        <v>5097</v>
      </c>
      <c r="H588" s="26" t="s">
        <v>90</v>
      </c>
      <c r="I588" s="26" t="s">
        <v>1402</v>
      </c>
      <c r="J588" s="26" t="b">
        <v>1</v>
      </c>
      <c r="K588" s="26" t="str">
        <f>ISNUMBER(_xlfn.XMATCH(tbldeptemp[[#This Row],[DependencyID]],tblTargets[TargetID]))</f>
        <v>#ERROR!</v>
      </c>
      <c r="L588" s="26" t="str">
        <f>IF(tbldeptemp[[#This Row],[ValidTarget]]=FALSE,"BAD TARGET",IF(tbldeptemp[[#This Row],[ValidDependency]]=FALSE,"BAD DEPENDENCY",""))</f>
        <v>#ERROR!</v>
      </c>
    </row>
    <row r="589" ht="14.25" customHeight="1">
      <c r="A589" s="26" t="s">
        <v>626</v>
      </c>
      <c r="B589" s="26" t="s">
        <v>5496</v>
      </c>
      <c r="C589" s="26" t="s">
        <v>383</v>
      </c>
      <c r="D589" s="26" t="s">
        <v>6163</v>
      </c>
      <c r="E589" s="26" t="s">
        <v>6163</v>
      </c>
      <c r="F589" s="26" t="b">
        <v>1</v>
      </c>
      <c r="G589" s="26" t="s">
        <v>5097</v>
      </c>
      <c r="H589" s="26" t="s">
        <v>383</v>
      </c>
      <c r="I589" s="26" t="s">
        <v>1404</v>
      </c>
      <c r="J589" s="26" t="b">
        <v>1</v>
      </c>
      <c r="K589" s="26" t="str">
        <f>ISNUMBER(_xlfn.XMATCH(tbldeptemp[[#This Row],[DependencyID]],tblTargets[TargetID]))</f>
        <v>#ERROR!</v>
      </c>
      <c r="L589" s="26" t="str">
        <f>IF(tbldeptemp[[#This Row],[ValidTarget]]=FALSE,"BAD TARGET",IF(tbldeptemp[[#This Row],[ValidDependency]]=FALSE,"BAD DEPENDENCY",""))</f>
        <v>#ERROR!</v>
      </c>
    </row>
    <row r="590" ht="14.25" customHeight="1">
      <c r="A590" s="26" t="s">
        <v>626</v>
      </c>
      <c r="B590" s="26" t="s">
        <v>5384</v>
      </c>
      <c r="C590" s="26" t="s">
        <v>393</v>
      </c>
      <c r="D590" s="26" t="s">
        <v>6163</v>
      </c>
      <c r="E590" s="26" t="s">
        <v>6163</v>
      </c>
      <c r="F590" s="26" t="b">
        <v>1</v>
      </c>
      <c r="G590" s="26" t="s">
        <v>5097</v>
      </c>
      <c r="H590" s="26" t="s">
        <v>393</v>
      </c>
      <c r="I590" s="26" t="s">
        <v>1404</v>
      </c>
      <c r="J590" s="26" t="b">
        <v>1</v>
      </c>
      <c r="K590" s="26" t="str">
        <f>ISNUMBER(_xlfn.XMATCH(tbldeptemp[[#This Row],[DependencyID]],tblTargets[TargetID]))</f>
        <v>#ERROR!</v>
      </c>
      <c r="L590" s="26" t="str">
        <f>IF(tbldeptemp[[#This Row],[ValidTarget]]=FALSE,"BAD TARGET",IF(tbldeptemp[[#This Row],[ValidDependency]]=FALSE,"BAD DEPENDENCY",""))</f>
        <v>#ERROR!</v>
      </c>
    </row>
    <row r="591" ht="14.25" customHeight="1">
      <c r="A591" s="26" t="s">
        <v>626</v>
      </c>
      <c r="B591" s="26" t="s">
        <v>5382</v>
      </c>
      <c r="C591" s="26" t="s">
        <v>378</v>
      </c>
      <c r="D591" s="26" t="s">
        <v>6164</v>
      </c>
      <c r="E591" s="26" t="s">
        <v>6164</v>
      </c>
      <c r="F591" s="26" t="b">
        <v>1</v>
      </c>
      <c r="G591" s="26" t="s">
        <v>5097</v>
      </c>
      <c r="H591" s="26" t="s">
        <v>378</v>
      </c>
      <c r="I591" s="26" t="s">
        <v>1406</v>
      </c>
      <c r="J591" s="26" t="b">
        <v>1</v>
      </c>
      <c r="K591" s="26" t="str">
        <f>ISNUMBER(_xlfn.XMATCH(tbldeptemp[[#This Row],[DependencyID]],tblTargets[TargetID]))</f>
        <v>#ERROR!</v>
      </c>
      <c r="L591" s="26" t="str">
        <f>IF(tbldeptemp[[#This Row],[ValidTarget]]=FALSE,"BAD TARGET",IF(tbldeptemp[[#This Row],[ValidDependency]]=FALSE,"BAD DEPENDENCY",""))</f>
        <v>#ERROR!</v>
      </c>
    </row>
    <row r="592" ht="14.25" customHeight="1">
      <c r="A592" s="26" t="s">
        <v>626</v>
      </c>
      <c r="B592" s="26" t="s">
        <v>5266</v>
      </c>
      <c r="C592" s="26" t="s">
        <v>234</v>
      </c>
      <c r="D592" s="26" t="s">
        <v>6165</v>
      </c>
      <c r="E592" s="26" t="s">
        <v>6165</v>
      </c>
      <c r="F592" s="26" t="b">
        <v>1</v>
      </c>
      <c r="G592" s="26" t="s">
        <v>5097</v>
      </c>
      <c r="H592" s="26" t="s">
        <v>234</v>
      </c>
      <c r="I592" s="26" t="s">
        <v>1409</v>
      </c>
      <c r="J592" s="26" t="b">
        <v>1</v>
      </c>
      <c r="K592" s="26" t="str">
        <f>ISNUMBER(_xlfn.XMATCH(tbldeptemp[[#This Row],[DependencyID]],tblTargets[TargetID]))</f>
        <v>#ERROR!</v>
      </c>
      <c r="L592" s="26" t="str">
        <f>IF(tbldeptemp[[#This Row],[ValidTarget]]=FALSE,"BAD TARGET",IF(tbldeptemp[[#This Row],[ValidDependency]]=FALSE,"BAD DEPENDENCY",""))</f>
        <v>#ERROR!</v>
      </c>
    </row>
    <row r="593" ht="14.25" customHeight="1">
      <c r="A593" s="26" t="s">
        <v>626</v>
      </c>
      <c r="B593" s="26" t="s">
        <v>5268</v>
      </c>
      <c r="C593" s="26" t="s">
        <v>239</v>
      </c>
      <c r="D593" s="26" t="s">
        <v>6165</v>
      </c>
      <c r="E593" s="26" t="s">
        <v>6165</v>
      </c>
      <c r="F593" s="26" t="b">
        <v>1</v>
      </c>
      <c r="G593" s="26" t="s">
        <v>5097</v>
      </c>
      <c r="H593" s="26" t="s">
        <v>239</v>
      </c>
      <c r="I593" s="26" t="s">
        <v>1409</v>
      </c>
      <c r="J593" s="26" t="b">
        <v>1</v>
      </c>
      <c r="K593" s="26" t="str">
        <f>ISNUMBER(_xlfn.XMATCH(tbldeptemp[[#This Row],[DependencyID]],tblTargets[TargetID]))</f>
        <v>#ERROR!</v>
      </c>
      <c r="L593" s="26" t="str">
        <f>IF(tbldeptemp[[#This Row],[ValidTarget]]=FALSE,"BAD TARGET",IF(tbldeptemp[[#This Row],[ValidDependency]]=FALSE,"BAD DEPENDENCY",""))</f>
        <v>#ERROR!</v>
      </c>
    </row>
    <row r="594" ht="14.25" customHeight="1">
      <c r="A594" s="26" t="s">
        <v>626</v>
      </c>
      <c r="B594" s="26" t="s">
        <v>5383</v>
      </c>
      <c r="C594" s="26" t="s">
        <v>381</v>
      </c>
      <c r="D594" s="26" t="s">
        <v>6166</v>
      </c>
      <c r="E594" s="26" t="s">
        <v>6166</v>
      </c>
      <c r="F594" s="26" t="b">
        <v>1</v>
      </c>
      <c r="G594" s="26" t="s">
        <v>5097</v>
      </c>
      <c r="H594" s="26" t="s">
        <v>381</v>
      </c>
      <c r="I594" s="26" t="s">
        <v>1411</v>
      </c>
      <c r="J594" s="26" t="b">
        <v>1</v>
      </c>
      <c r="K594" s="26" t="str">
        <f>ISNUMBER(_xlfn.XMATCH(tbldeptemp[[#This Row],[DependencyID]],tblTargets[TargetID]))</f>
        <v>#ERROR!</v>
      </c>
      <c r="L594" s="26" t="str">
        <f>IF(tbldeptemp[[#This Row],[ValidTarget]]=FALSE,"BAD TARGET",IF(tbldeptemp[[#This Row],[ValidDependency]]=FALSE,"BAD DEPENDENCY",""))</f>
        <v>#ERROR!</v>
      </c>
    </row>
    <row r="595" ht="14.25" customHeight="1">
      <c r="A595" s="26" t="s">
        <v>626</v>
      </c>
      <c r="B595" s="26" t="s">
        <v>6167</v>
      </c>
      <c r="C595" s="26" t="s">
        <v>404</v>
      </c>
      <c r="D595" s="26" t="s">
        <v>6168</v>
      </c>
      <c r="E595" s="26" t="s">
        <v>6168</v>
      </c>
      <c r="F595" s="26" t="b">
        <v>1</v>
      </c>
      <c r="G595" s="26" t="s">
        <v>5097</v>
      </c>
      <c r="H595" s="26" t="s">
        <v>404</v>
      </c>
      <c r="I595" s="26" t="s">
        <v>1413</v>
      </c>
      <c r="J595" s="26" t="b">
        <v>1</v>
      </c>
      <c r="K595" s="26" t="str">
        <f>ISNUMBER(_xlfn.XMATCH(tbldeptemp[[#This Row],[DependencyID]],tblTargets[TargetID]))</f>
        <v>#ERROR!</v>
      </c>
      <c r="L595" s="26" t="str">
        <f>IF(tbldeptemp[[#This Row],[ValidTarget]]=FALSE,"BAD TARGET",IF(tbldeptemp[[#This Row],[ValidDependency]]=FALSE,"BAD DEPENDENCY",""))</f>
        <v>#ERROR!</v>
      </c>
    </row>
    <row r="596" ht="14.25" customHeight="1">
      <c r="A596" s="26" t="s">
        <v>626</v>
      </c>
      <c r="B596" s="26" t="s">
        <v>6169</v>
      </c>
      <c r="C596" s="26" t="s">
        <v>96</v>
      </c>
      <c r="D596" s="26" t="s">
        <v>6170</v>
      </c>
      <c r="E596" s="26" t="s">
        <v>6170</v>
      </c>
      <c r="F596" s="26" t="b">
        <v>1</v>
      </c>
      <c r="G596" s="26" t="s">
        <v>5097</v>
      </c>
      <c r="H596" s="26" t="s">
        <v>96</v>
      </c>
      <c r="I596" s="26" t="s">
        <v>1415</v>
      </c>
      <c r="J596" s="26" t="b">
        <v>1</v>
      </c>
      <c r="K596" s="26" t="str">
        <f>ISNUMBER(_xlfn.XMATCH(tbldeptemp[[#This Row],[DependencyID]],tblTargets[TargetID]))</f>
        <v>#ERROR!</v>
      </c>
      <c r="L596" s="26" t="str">
        <f>IF(tbldeptemp[[#This Row],[ValidTarget]]=FALSE,"BAD TARGET",IF(tbldeptemp[[#This Row],[ValidDependency]]=FALSE,"BAD DEPENDENCY",""))</f>
        <v>#ERROR!</v>
      </c>
    </row>
    <row r="597" ht="14.25" customHeight="1">
      <c r="A597" s="26" t="s">
        <v>626</v>
      </c>
      <c r="B597" s="26" t="s">
        <v>5175</v>
      </c>
      <c r="C597" s="26" t="s">
        <v>103</v>
      </c>
      <c r="D597" s="26" t="s">
        <v>6170</v>
      </c>
      <c r="E597" s="26" t="s">
        <v>6170</v>
      </c>
      <c r="F597" s="26" t="b">
        <v>1</v>
      </c>
      <c r="G597" s="26" t="s">
        <v>5097</v>
      </c>
      <c r="H597" s="26" t="s">
        <v>103</v>
      </c>
      <c r="I597" s="26" t="s">
        <v>1415</v>
      </c>
      <c r="J597" s="26" t="b">
        <v>1</v>
      </c>
      <c r="K597" s="26" t="str">
        <f>ISNUMBER(_xlfn.XMATCH(tbldeptemp[[#This Row],[DependencyID]],tblTargets[TargetID]))</f>
        <v>#ERROR!</v>
      </c>
      <c r="L597" s="26" t="str">
        <f>IF(tbldeptemp[[#This Row],[ValidTarget]]=FALSE,"BAD TARGET",IF(tbldeptemp[[#This Row],[ValidDependency]]=FALSE,"BAD DEPENDENCY",""))</f>
        <v>#ERROR!</v>
      </c>
    </row>
    <row r="598" ht="14.25" customHeight="1">
      <c r="A598" s="26" t="s">
        <v>626</v>
      </c>
      <c r="B598" s="26" t="s">
        <v>5184</v>
      </c>
      <c r="C598" s="26" t="s">
        <v>112</v>
      </c>
      <c r="D598" s="26" t="s">
        <v>6170</v>
      </c>
      <c r="E598" s="26" t="s">
        <v>6170</v>
      </c>
      <c r="F598" s="26" t="b">
        <v>1</v>
      </c>
      <c r="G598" s="26" t="s">
        <v>5097</v>
      </c>
      <c r="H598" s="26" t="s">
        <v>112</v>
      </c>
      <c r="I598" s="26" t="s">
        <v>1415</v>
      </c>
      <c r="J598" s="26" t="b">
        <v>1</v>
      </c>
      <c r="K598" s="26" t="str">
        <f>ISNUMBER(_xlfn.XMATCH(tbldeptemp[[#This Row],[DependencyID]],tblTargets[TargetID]))</f>
        <v>#ERROR!</v>
      </c>
      <c r="L598" s="26" t="str">
        <f>IF(tbldeptemp[[#This Row],[ValidTarget]]=FALSE,"BAD TARGET",IF(tbldeptemp[[#This Row],[ValidDependency]]=FALSE,"BAD DEPENDENCY",""))</f>
        <v>#ERROR!</v>
      </c>
    </row>
    <row r="599" ht="14.25" customHeight="1">
      <c r="A599" s="26" t="s">
        <v>626</v>
      </c>
      <c r="B599" s="26" t="s">
        <v>5203</v>
      </c>
      <c r="C599" s="26" t="s">
        <v>165</v>
      </c>
      <c r="D599" s="26" t="s">
        <v>6170</v>
      </c>
      <c r="E599" s="26" t="s">
        <v>6170</v>
      </c>
      <c r="F599" s="26" t="b">
        <v>1</v>
      </c>
      <c r="G599" s="26" t="s">
        <v>5097</v>
      </c>
      <c r="H599" s="26" t="s">
        <v>165</v>
      </c>
      <c r="I599" s="26" t="s">
        <v>1415</v>
      </c>
      <c r="J599" s="26" t="b">
        <v>1</v>
      </c>
      <c r="K599" s="26" t="str">
        <f>ISNUMBER(_xlfn.XMATCH(tbldeptemp[[#This Row],[DependencyID]],tblTargets[TargetID]))</f>
        <v>#ERROR!</v>
      </c>
      <c r="L599" s="26" t="str">
        <f>IF(tbldeptemp[[#This Row],[ValidTarget]]=FALSE,"BAD TARGET",IF(tbldeptemp[[#This Row],[ValidDependency]]=FALSE,"BAD DEPENDENCY",""))</f>
        <v>#ERROR!</v>
      </c>
    </row>
    <row r="600" ht="14.25" customHeight="1">
      <c r="A600" s="26" t="s">
        <v>626</v>
      </c>
      <c r="B600" s="26" t="s">
        <v>5176</v>
      </c>
      <c r="C600" s="26" t="s">
        <v>362</v>
      </c>
      <c r="D600" s="26" t="s">
        <v>6176</v>
      </c>
      <c r="E600" s="26" t="s">
        <v>6176</v>
      </c>
      <c r="F600" s="26" t="b">
        <v>1</v>
      </c>
      <c r="G600" s="26" t="s">
        <v>5097</v>
      </c>
      <c r="H600" s="26" t="s">
        <v>362</v>
      </c>
      <c r="I600" s="26" t="s">
        <v>1418</v>
      </c>
      <c r="J600" s="26" t="b">
        <v>1</v>
      </c>
      <c r="K600" s="26" t="str">
        <f>ISNUMBER(_xlfn.XMATCH(tbldeptemp[[#This Row],[DependencyID]],tblTargets[TargetID]))</f>
        <v>#ERROR!</v>
      </c>
      <c r="L600" s="26" t="str">
        <f>IF(tbldeptemp[[#This Row],[ValidTarget]]=FALSE,"BAD TARGET",IF(tbldeptemp[[#This Row],[ValidDependency]]=FALSE,"BAD DEPENDENCY",""))</f>
        <v>#ERROR!</v>
      </c>
    </row>
    <row r="601" ht="14.25" customHeight="1">
      <c r="A601" s="26" t="s">
        <v>626</v>
      </c>
      <c r="B601" s="26" t="s">
        <v>5160</v>
      </c>
      <c r="C601" s="26" t="s">
        <v>81</v>
      </c>
      <c r="D601" s="26" t="s">
        <v>6177</v>
      </c>
      <c r="E601" s="26" t="s">
        <v>6177</v>
      </c>
      <c r="F601" s="26" t="b">
        <v>1</v>
      </c>
      <c r="G601" s="26" t="s">
        <v>5097</v>
      </c>
      <c r="H601" s="26" t="s">
        <v>81</v>
      </c>
      <c r="I601" s="26" t="s">
        <v>1420</v>
      </c>
      <c r="J601" s="26" t="b">
        <v>1</v>
      </c>
      <c r="K601" s="26" t="str">
        <f>ISNUMBER(_xlfn.XMATCH(tbldeptemp[[#This Row],[DependencyID]],tblTargets[TargetID]))</f>
        <v>#ERROR!</v>
      </c>
      <c r="L601" s="26" t="str">
        <f>IF(tbldeptemp[[#This Row],[ValidTarget]]=FALSE,"BAD TARGET",IF(tbldeptemp[[#This Row],[ValidDependency]]=FALSE,"BAD DEPENDENCY",""))</f>
        <v>#ERROR!</v>
      </c>
    </row>
    <row r="602" ht="14.25" customHeight="1">
      <c r="A602" s="26" t="s">
        <v>626</v>
      </c>
      <c r="B602" s="26" t="s">
        <v>5178</v>
      </c>
      <c r="C602" s="26" t="s">
        <v>420</v>
      </c>
      <c r="D602" s="26" t="s">
        <v>6177</v>
      </c>
      <c r="E602" s="26" t="s">
        <v>6177</v>
      </c>
      <c r="F602" s="26" t="b">
        <v>1</v>
      </c>
      <c r="G602" s="26" t="s">
        <v>5097</v>
      </c>
      <c r="H602" s="26" t="s">
        <v>420</v>
      </c>
      <c r="I602" s="26" t="s">
        <v>1420</v>
      </c>
      <c r="J602" s="26" t="b">
        <v>1</v>
      </c>
      <c r="K602" s="26" t="str">
        <f>ISNUMBER(_xlfn.XMATCH(tbldeptemp[[#This Row],[DependencyID]],tblTargets[TargetID]))</f>
        <v>#ERROR!</v>
      </c>
      <c r="L602" s="26" t="str">
        <f>IF(tbldeptemp[[#This Row],[ValidTarget]]=FALSE,"BAD TARGET",IF(tbldeptemp[[#This Row],[ValidDependency]]=FALSE,"BAD DEPENDENCY",""))</f>
        <v>#ERROR!</v>
      </c>
    </row>
    <row r="603" ht="14.25" customHeight="1">
      <c r="A603" s="26" t="s">
        <v>626</v>
      </c>
      <c r="B603" s="26" t="s">
        <v>6178</v>
      </c>
      <c r="C603" s="26" t="s">
        <v>368</v>
      </c>
      <c r="D603" s="26" t="s">
        <v>6179</v>
      </c>
      <c r="E603" s="26" t="s">
        <v>6179</v>
      </c>
      <c r="F603" s="26" t="b">
        <v>1</v>
      </c>
      <c r="G603" s="26" t="s">
        <v>5097</v>
      </c>
      <c r="H603" s="26" t="s">
        <v>368</v>
      </c>
      <c r="I603" s="26" t="s">
        <v>1422</v>
      </c>
      <c r="J603" s="26" t="b">
        <v>1</v>
      </c>
      <c r="K603" s="26" t="str">
        <f>ISNUMBER(_xlfn.XMATCH(tbldeptemp[[#This Row],[DependencyID]],tblTargets[TargetID]))</f>
        <v>#ERROR!</v>
      </c>
      <c r="L603" s="26" t="str">
        <f>IF(tbldeptemp[[#This Row],[ValidTarget]]=FALSE,"BAD TARGET",IF(tbldeptemp[[#This Row],[ValidDependency]]=FALSE,"BAD DEPENDENCY",""))</f>
        <v>#ERROR!</v>
      </c>
    </row>
    <row r="604" ht="14.25" customHeight="1">
      <c r="A604" s="26" t="s">
        <v>626</v>
      </c>
      <c r="B604" s="26" t="s">
        <v>5174</v>
      </c>
      <c r="C604" s="26" t="s">
        <v>47</v>
      </c>
      <c r="D604" s="26" t="s">
        <v>6180</v>
      </c>
      <c r="E604" s="26" t="s">
        <v>6180</v>
      </c>
      <c r="F604" s="26" t="b">
        <v>1</v>
      </c>
      <c r="G604" s="26" t="s">
        <v>5097</v>
      </c>
      <c r="H604" s="26" t="s">
        <v>47</v>
      </c>
      <c r="I604" s="26" t="s">
        <v>1424</v>
      </c>
      <c r="J604" s="26" t="b">
        <v>1</v>
      </c>
      <c r="K604" s="26" t="str">
        <f>ISNUMBER(_xlfn.XMATCH(tbldeptemp[[#This Row],[DependencyID]],tblTargets[TargetID]))</f>
        <v>#ERROR!</v>
      </c>
      <c r="L604" s="26" t="str">
        <f>IF(tbldeptemp[[#This Row],[ValidTarget]]=FALSE,"BAD TARGET",IF(tbldeptemp[[#This Row],[ValidDependency]]=FALSE,"BAD DEPENDENCY",""))</f>
        <v>#ERROR!</v>
      </c>
    </row>
    <row r="605" ht="14.25" customHeight="1">
      <c r="A605" s="26" t="s">
        <v>626</v>
      </c>
      <c r="B605" s="26" t="s">
        <v>5098</v>
      </c>
      <c r="C605" s="26" t="s">
        <v>58</v>
      </c>
      <c r="D605" s="26" t="s">
        <v>6180</v>
      </c>
      <c r="E605" s="26" t="s">
        <v>6180</v>
      </c>
      <c r="F605" s="26" t="b">
        <v>1</v>
      </c>
      <c r="G605" s="26" t="s">
        <v>5097</v>
      </c>
      <c r="H605" s="26" t="s">
        <v>58</v>
      </c>
      <c r="I605" s="26" t="s">
        <v>1424</v>
      </c>
      <c r="J605" s="26" t="b">
        <v>1</v>
      </c>
      <c r="K605" s="26" t="str">
        <f>ISNUMBER(_xlfn.XMATCH(tbldeptemp[[#This Row],[DependencyID]],tblTargets[TargetID]))</f>
        <v>#ERROR!</v>
      </c>
      <c r="L605" s="26" t="str">
        <f>IF(tbldeptemp[[#This Row],[ValidTarget]]=FALSE,"BAD TARGET",IF(tbldeptemp[[#This Row],[ValidDependency]]=FALSE,"BAD DEPENDENCY",""))</f>
        <v>#ERROR!</v>
      </c>
    </row>
    <row r="606" ht="14.25" customHeight="1">
      <c r="A606" s="26" t="s">
        <v>626</v>
      </c>
      <c r="B606" s="26" t="s">
        <v>5204</v>
      </c>
      <c r="C606" s="26" t="s">
        <v>172</v>
      </c>
      <c r="D606" s="26" t="s">
        <v>6180</v>
      </c>
      <c r="E606" s="26" t="s">
        <v>6180</v>
      </c>
      <c r="F606" s="26" t="b">
        <v>1</v>
      </c>
      <c r="G606" s="26" t="s">
        <v>5097</v>
      </c>
      <c r="H606" s="26" t="s">
        <v>172</v>
      </c>
      <c r="I606" s="26" t="s">
        <v>1424</v>
      </c>
      <c r="J606" s="26" t="b">
        <v>1</v>
      </c>
      <c r="K606" s="26" t="str">
        <f>ISNUMBER(_xlfn.XMATCH(tbldeptemp[[#This Row],[DependencyID]],tblTargets[TargetID]))</f>
        <v>#ERROR!</v>
      </c>
      <c r="L606" s="26" t="str">
        <f>IF(tbldeptemp[[#This Row],[ValidTarget]]=FALSE,"BAD TARGET",IF(tbldeptemp[[#This Row],[ValidDependency]]=FALSE,"BAD DEPENDENCY",""))</f>
        <v>#ERROR!</v>
      </c>
    </row>
    <row r="607" ht="14.25" customHeight="1">
      <c r="A607" s="26" t="s">
        <v>626</v>
      </c>
      <c r="B607" s="26" t="s">
        <v>6182</v>
      </c>
      <c r="C607" s="26" t="s">
        <v>440</v>
      </c>
      <c r="D607" s="26" t="s">
        <v>6184</v>
      </c>
      <c r="E607" s="26" t="s">
        <v>6184</v>
      </c>
      <c r="F607" s="26" t="b">
        <v>1</v>
      </c>
      <c r="G607" s="26" t="s">
        <v>5097</v>
      </c>
      <c r="H607" s="26" t="s">
        <v>440</v>
      </c>
      <c r="I607" s="26" t="s">
        <v>1426</v>
      </c>
      <c r="J607" s="26" t="b">
        <v>1</v>
      </c>
      <c r="K607" s="26" t="str">
        <f>ISNUMBER(_xlfn.XMATCH(tbldeptemp[[#This Row],[DependencyID]],tblTargets[TargetID]))</f>
        <v>#ERROR!</v>
      </c>
      <c r="L607" s="26" t="str">
        <f>IF(tbldeptemp[[#This Row],[ValidTarget]]=FALSE,"BAD TARGET",IF(tbldeptemp[[#This Row],[ValidDependency]]=FALSE,"BAD DEPENDENCY",""))</f>
        <v>#ERROR!</v>
      </c>
    </row>
    <row r="608" ht="14.25" customHeight="1">
      <c r="A608" s="26" t="s">
        <v>626</v>
      </c>
      <c r="B608" s="26" t="s">
        <v>5209</v>
      </c>
      <c r="C608" s="26" t="s">
        <v>177</v>
      </c>
      <c r="D608" s="26" t="s">
        <v>6188</v>
      </c>
      <c r="E608" s="26" t="s">
        <v>6188</v>
      </c>
      <c r="F608" s="26" t="b">
        <v>1</v>
      </c>
      <c r="G608" s="26" t="s">
        <v>5097</v>
      </c>
      <c r="H608" s="26" t="s">
        <v>177</v>
      </c>
      <c r="I608" s="26" t="s">
        <v>1429</v>
      </c>
      <c r="J608" s="26" t="b">
        <v>1</v>
      </c>
      <c r="K608" s="26" t="str">
        <f>ISNUMBER(_xlfn.XMATCH(tbldeptemp[[#This Row],[DependencyID]],tblTargets[TargetID]))</f>
        <v>#ERROR!</v>
      </c>
      <c r="L608" s="26" t="str">
        <f>IF(tbldeptemp[[#This Row],[ValidTarget]]=FALSE,"BAD TARGET",IF(tbldeptemp[[#This Row],[ValidDependency]]=FALSE,"BAD DEPENDENCY",""))</f>
        <v>#ERROR!</v>
      </c>
    </row>
    <row r="609" ht="14.25" customHeight="1">
      <c r="A609" s="26" t="s">
        <v>626</v>
      </c>
      <c r="B609" s="26" t="s">
        <v>5177</v>
      </c>
      <c r="C609" s="26" t="s">
        <v>418</v>
      </c>
      <c r="D609" s="26" t="s">
        <v>6188</v>
      </c>
      <c r="E609" s="26" t="s">
        <v>6188</v>
      </c>
      <c r="F609" s="26" t="b">
        <v>1</v>
      </c>
      <c r="G609" s="26" t="s">
        <v>5097</v>
      </c>
      <c r="H609" s="26" t="s">
        <v>418</v>
      </c>
      <c r="I609" s="26" t="s">
        <v>1429</v>
      </c>
      <c r="J609" s="26" t="b">
        <v>1</v>
      </c>
      <c r="K609" s="26" t="str">
        <f>ISNUMBER(_xlfn.XMATCH(tbldeptemp[[#This Row],[DependencyID]],tblTargets[TargetID]))</f>
        <v>#ERROR!</v>
      </c>
      <c r="L609" s="26" t="str">
        <f>IF(tbldeptemp[[#This Row],[ValidTarget]]=FALSE,"BAD TARGET",IF(tbldeptemp[[#This Row],[ValidDependency]]=FALSE,"BAD DEPENDENCY",""))</f>
        <v>#ERROR!</v>
      </c>
    </row>
    <row r="610" ht="14.25" customHeight="1">
      <c r="A610" s="26" t="s">
        <v>626</v>
      </c>
      <c r="B610" s="26" t="s">
        <v>5437</v>
      </c>
      <c r="C610" s="26" t="s">
        <v>427</v>
      </c>
      <c r="D610" s="26" t="s">
        <v>6188</v>
      </c>
      <c r="E610" s="26" t="s">
        <v>6188</v>
      </c>
      <c r="F610" s="26" t="b">
        <v>1</v>
      </c>
      <c r="G610" s="26" t="s">
        <v>5097</v>
      </c>
      <c r="H610" s="26" t="s">
        <v>427</v>
      </c>
      <c r="I610" s="26" t="s">
        <v>1429</v>
      </c>
      <c r="J610" s="26" t="b">
        <v>1</v>
      </c>
      <c r="K610" s="26" t="str">
        <f>ISNUMBER(_xlfn.XMATCH(tbldeptemp[[#This Row],[DependencyID]],tblTargets[TargetID]))</f>
        <v>#ERROR!</v>
      </c>
      <c r="L610" s="26" t="str">
        <f>IF(tbldeptemp[[#This Row],[ValidTarget]]=FALSE,"BAD TARGET",IF(tbldeptemp[[#This Row],[ValidDependency]]=FALSE,"BAD DEPENDENCY",""))</f>
        <v>#ERROR!</v>
      </c>
    </row>
    <row r="611" ht="14.25" customHeight="1">
      <c r="A611" s="26" t="s">
        <v>626</v>
      </c>
      <c r="B611" s="26" t="s">
        <v>5976</v>
      </c>
      <c r="C611" s="26" t="s">
        <v>188</v>
      </c>
      <c r="D611" s="26" t="s">
        <v>6189</v>
      </c>
      <c r="E611" s="26" t="s">
        <v>6189</v>
      </c>
      <c r="F611" s="26" t="b">
        <v>1</v>
      </c>
      <c r="G611" s="26" t="s">
        <v>5097</v>
      </c>
      <c r="H611" s="26" t="s">
        <v>188</v>
      </c>
      <c r="I611" s="26" t="s">
        <v>1431</v>
      </c>
      <c r="J611" s="26" t="b">
        <v>1</v>
      </c>
      <c r="K611" s="26" t="str">
        <f>ISNUMBER(_xlfn.XMATCH(tbldeptemp[[#This Row],[DependencyID]],tblTargets[TargetID]))</f>
        <v>#ERROR!</v>
      </c>
      <c r="L611" s="26" t="str">
        <f>IF(tbldeptemp[[#This Row],[ValidTarget]]=FALSE,"BAD TARGET",IF(tbldeptemp[[#This Row],[ValidDependency]]=FALSE,"BAD DEPENDENCY",""))</f>
        <v>#ERROR!</v>
      </c>
    </row>
    <row r="612" ht="14.25" customHeight="1">
      <c r="A612" s="26" t="s">
        <v>626</v>
      </c>
      <c r="B612" s="26" t="s">
        <v>5226</v>
      </c>
      <c r="C612" s="26" t="s">
        <v>195</v>
      </c>
      <c r="D612" s="26" t="s">
        <v>6189</v>
      </c>
      <c r="E612" s="26" t="s">
        <v>6189</v>
      </c>
      <c r="F612" s="26" t="b">
        <v>1</v>
      </c>
      <c r="G612" s="26" t="s">
        <v>5097</v>
      </c>
      <c r="H612" s="26" t="s">
        <v>195</v>
      </c>
      <c r="I612" s="26" t="s">
        <v>1431</v>
      </c>
      <c r="J612" s="26" t="b">
        <v>1</v>
      </c>
      <c r="K612" s="26" t="str">
        <f>ISNUMBER(_xlfn.XMATCH(tbldeptemp[[#This Row],[DependencyID]],tblTargets[TargetID]))</f>
        <v>#ERROR!</v>
      </c>
      <c r="L612" s="26" t="str">
        <f>IF(tbldeptemp[[#This Row],[ValidTarget]]=FALSE,"BAD TARGET",IF(tbldeptemp[[#This Row],[ValidDependency]]=FALSE,"BAD DEPENDENCY",""))</f>
        <v>#ERROR!</v>
      </c>
    </row>
    <row r="613" ht="14.25" customHeight="1">
      <c r="A613" s="26" t="s">
        <v>626</v>
      </c>
      <c r="B613" s="26" t="s">
        <v>6190</v>
      </c>
      <c r="C613" s="26" t="s">
        <v>62</v>
      </c>
      <c r="D613" s="26" t="s">
        <v>6191</v>
      </c>
      <c r="E613" s="26" t="s">
        <v>6191</v>
      </c>
      <c r="F613" s="26" t="b">
        <v>1</v>
      </c>
      <c r="G613" s="26" t="s">
        <v>5097</v>
      </c>
      <c r="H613" s="26" t="s">
        <v>62</v>
      </c>
      <c r="I613" s="26" t="s">
        <v>1433</v>
      </c>
      <c r="J613" s="26" t="b">
        <v>1</v>
      </c>
      <c r="K613" s="26" t="str">
        <f>ISNUMBER(_xlfn.XMATCH(tbldeptemp[[#This Row],[DependencyID]],tblTargets[TargetID]))</f>
        <v>#ERROR!</v>
      </c>
      <c r="L613" s="26" t="str">
        <f>IF(tbldeptemp[[#This Row],[ValidTarget]]=FALSE,"BAD TARGET",IF(tbldeptemp[[#This Row],[ValidDependency]]=FALSE,"BAD DEPENDENCY",""))</f>
        <v>#ERROR!</v>
      </c>
    </row>
    <row r="614" ht="14.25" customHeight="1">
      <c r="A614" s="26" t="s">
        <v>626</v>
      </c>
      <c r="B614" s="26" t="s">
        <v>6192</v>
      </c>
      <c r="C614" s="26" t="s">
        <v>219</v>
      </c>
      <c r="D614" s="26" t="s">
        <v>6193</v>
      </c>
      <c r="E614" s="26" t="s">
        <v>6193</v>
      </c>
      <c r="F614" s="26" t="b">
        <v>1</v>
      </c>
      <c r="G614" s="26" t="s">
        <v>5097</v>
      </c>
      <c r="H614" s="26" t="s">
        <v>219</v>
      </c>
      <c r="I614" s="26" t="s">
        <v>1435</v>
      </c>
      <c r="J614" s="26" t="b">
        <v>1</v>
      </c>
      <c r="K614" s="26" t="str">
        <f>ISNUMBER(_xlfn.XMATCH(tbldeptemp[[#This Row],[DependencyID]],tblTargets[TargetID]))</f>
        <v>#ERROR!</v>
      </c>
      <c r="L614" s="26" t="str">
        <f>IF(tbldeptemp[[#This Row],[ValidTarget]]=FALSE,"BAD TARGET",IF(tbldeptemp[[#This Row],[ValidDependency]]=FALSE,"BAD DEPENDENCY",""))</f>
        <v>#ERROR!</v>
      </c>
    </row>
    <row r="615" ht="14.25" customHeight="1">
      <c r="A615" s="26" t="s">
        <v>626</v>
      </c>
      <c r="B615" s="26" t="s">
        <v>5242</v>
      </c>
      <c r="C615" s="26" t="s">
        <v>225</v>
      </c>
      <c r="D615" s="26" t="s">
        <v>6193</v>
      </c>
      <c r="E615" s="26" t="s">
        <v>6193</v>
      </c>
      <c r="F615" s="26" t="b">
        <v>1</v>
      </c>
      <c r="G615" s="26" t="s">
        <v>5097</v>
      </c>
      <c r="H615" s="26" t="s">
        <v>225</v>
      </c>
      <c r="I615" s="26" t="s">
        <v>1435</v>
      </c>
      <c r="J615" s="26" t="b">
        <v>1</v>
      </c>
      <c r="K615" s="26" t="str">
        <f>ISNUMBER(_xlfn.XMATCH(tbldeptemp[[#This Row],[DependencyID]],tblTargets[TargetID]))</f>
        <v>#ERROR!</v>
      </c>
      <c r="L615" s="26" t="str">
        <f>IF(tbldeptemp[[#This Row],[ValidTarget]]=FALSE,"BAD TARGET",IF(tbldeptemp[[#This Row],[ValidDependency]]=FALSE,"BAD DEPENDENCY",""))</f>
        <v>#ERROR!</v>
      </c>
    </row>
    <row r="616" ht="14.25" customHeight="1">
      <c r="A616" s="26" t="s">
        <v>626</v>
      </c>
      <c r="B616" s="26" t="s">
        <v>5378</v>
      </c>
      <c r="C616" s="26" t="s">
        <v>370</v>
      </c>
      <c r="D616" s="26" t="s">
        <v>6193</v>
      </c>
      <c r="E616" s="26" t="s">
        <v>6193</v>
      </c>
      <c r="F616" s="26" t="b">
        <v>1</v>
      </c>
      <c r="G616" s="26" t="s">
        <v>5097</v>
      </c>
      <c r="H616" s="26" t="s">
        <v>370</v>
      </c>
      <c r="I616" s="26" t="s">
        <v>1435</v>
      </c>
      <c r="J616" s="26" t="b">
        <v>1</v>
      </c>
      <c r="K616" s="26" t="str">
        <f>ISNUMBER(_xlfn.XMATCH(tbldeptemp[[#This Row],[DependencyID]],tblTargets[TargetID]))</f>
        <v>#ERROR!</v>
      </c>
      <c r="L616" s="26" t="str">
        <f>IF(tbldeptemp[[#This Row],[ValidTarget]]=FALSE,"BAD TARGET",IF(tbldeptemp[[#This Row],[ValidDependency]]=FALSE,"BAD DEPENDENCY",""))</f>
        <v>#ERROR!</v>
      </c>
    </row>
    <row r="617" ht="14.25" customHeight="1">
      <c r="A617" s="26" t="s">
        <v>626</v>
      </c>
      <c r="B617" s="26" t="s">
        <v>6194</v>
      </c>
      <c r="C617" s="26" t="s">
        <v>230</v>
      </c>
      <c r="D617" s="26" t="s">
        <v>6195</v>
      </c>
      <c r="E617" s="26" t="s">
        <v>6195</v>
      </c>
      <c r="F617" s="26" t="b">
        <v>1</v>
      </c>
      <c r="G617" s="26" t="s">
        <v>5097</v>
      </c>
      <c r="H617" s="26" t="s">
        <v>230</v>
      </c>
      <c r="I617" s="26" t="s">
        <v>1438</v>
      </c>
      <c r="J617" s="26" t="b">
        <v>1</v>
      </c>
      <c r="K617" s="26" t="str">
        <f>ISNUMBER(_xlfn.XMATCH(tbldeptemp[[#This Row],[DependencyID]],tblTargets[TargetID]))</f>
        <v>#ERROR!</v>
      </c>
      <c r="L617" s="26" t="str">
        <f>IF(tbldeptemp[[#This Row],[ValidTarget]]=FALSE,"BAD TARGET",IF(tbldeptemp[[#This Row],[ValidDependency]]=FALSE,"BAD DEPENDENCY",""))</f>
        <v>#ERROR!</v>
      </c>
    </row>
    <row r="618" ht="14.25" customHeight="1">
      <c r="A618" s="26" t="s">
        <v>626</v>
      </c>
      <c r="B618" s="26" t="s">
        <v>6197</v>
      </c>
      <c r="C618" s="26" t="s">
        <v>243</v>
      </c>
      <c r="D618" s="26" t="s">
        <v>6195</v>
      </c>
      <c r="E618" s="26" t="s">
        <v>6195</v>
      </c>
      <c r="F618" s="26" t="b">
        <v>1</v>
      </c>
      <c r="G618" s="26" t="s">
        <v>5097</v>
      </c>
      <c r="H618" s="26" t="s">
        <v>243</v>
      </c>
      <c r="I618" s="26" t="s">
        <v>1438</v>
      </c>
      <c r="J618" s="26" t="b">
        <v>1</v>
      </c>
      <c r="K618" s="26" t="str">
        <f>ISNUMBER(_xlfn.XMATCH(tbldeptemp[[#This Row],[DependencyID]],tblTargets[TargetID]))</f>
        <v>#ERROR!</v>
      </c>
      <c r="L618" s="26" t="str">
        <f>IF(tbldeptemp[[#This Row],[ValidTarget]]=FALSE,"BAD TARGET",IF(tbldeptemp[[#This Row],[ValidDependency]]=FALSE,"BAD DEPENDENCY",""))</f>
        <v>#ERROR!</v>
      </c>
    </row>
    <row r="619" ht="14.25" customHeight="1">
      <c r="A619" s="26" t="s">
        <v>626</v>
      </c>
      <c r="B619" s="26" t="s">
        <v>5284</v>
      </c>
      <c r="C619" s="26" t="s">
        <v>246</v>
      </c>
      <c r="D619" s="26" t="s">
        <v>6195</v>
      </c>
      <c r="E619" s="26" t="s">
        <v>6195</v>
      </c>
      <c r="F619" s="26" t="b">
        <v>1</v>
      </c>
      <c r="G619" s="26" t="s">
        <v>5097</v>
      </c>
      <c r="H619" s="26" t="s">
        <v>246</v>
      </c>
      <c r="I619" s="26" t="s">
        <v>1438</v>
      </c>
      <c r="J619" s="26" t="b">
        <v>1</v>
      </c>
      <c r="K619" s="26" t="str">
        <f>ISNUMBER(_xlfn.XMATCH(tbldeptemp[[#This Row],[DependencyID]],tblTargets[TargetID]))</f>
        <v>#ERROR!</v>
      </c>
      <c r="L619" s="26" t="str">
        <f>IF(tbldeptemp[[#This Row],[ValidTarget]]=FALSE,"BAD TARGET",IF(tbldeptemp[[#This Row],[ValidDependency]]=FALSE,"BAD DEPENDENCY",""))</f>
        <v>#ERROR!</v>
      </c>
    </row>
    <row r="620" ht="14.25" customHeight="1">
      <c r="A620" s="26" t="s">
        <v>626</v>
      </c>
      <c r="B620" s="26" t="s">
        <v>5923</v>
      </c>
      <c r="C620" s="26" t="s">
        <v>314</v>
      </c>
      <c r="D620" s="26" t="s">
        <v>6203</v>
      </c>
      <c r="E620" s="26" t="s">
        <v>6203</v>
      </c>
      <c r="F620" s="26" t="b">
        <v>1</v>
      </c>
      <c r="G620" s="26" t="s">
        <v>5097</v>
      </c>
      <c r="H620" s="26" t="s">
        <v>314</v>
      </c>
      <c r="I620" s="26" t="s">
        <v>1440</v>
      </c>
      <c r="J620" s="26" t="b">
        <v>1</v>
      </c>
      <c r="K620" s="26" t="str">
        <f>ISNUMBER(_xlfn.XMATCH(tbldeptemp[[#This Row],[DependencyID]],tblTargets[TargetID]))</f>
        <v>#ERROR!</v>
      </c>
      <c r="L620" s="26" t="str">
        <f>IF(tbldeptemp[[#This Row],[ValidTarget]]=FALSE,"BAD TARGET",IF(tbldeptemp[[#This Row],[ValidDependency]]=FALSE,"BAD DEPENDENCY",""))</f>
        <v>#ERROR!</v>
      </c>
    </row>
    <row r="621" ht="14.25" customHeight="1">
      <c r="A621" s="26" t="s">
        <v>626</v>
      </c>
      <c r="B621" s="26" t="s">
        <v>6204</v>
      </c>
      <c r="C621" s="26" t="s">
        <v>410</v>
      </c>
      <c r="D621" s="26" t="s">
        <v>6205</v>
      </c>
      <c r="E621" s="26" t="s">
        <v>6205</v>
      </c>
      <c r="F621" s="26" t="b">
        <v>1</v>
      </c>
      <c r="G621" s="26" t="s">
        <v>5097</v>
      </c>
      <c r="H621" s="26" t="s">
        <v>410</v>
      </c>
      <c r="I621" s="26" t="s">
        <v>1442</v>
      </c>
      <c r="J621" s="26" t="b">
        <v>1</v>
      </c>
      <c r="K621" s="26" t="str">
        <f>ISNUMBER(_xlfn.XMATCH(tbldeptemp[[#This Row],[DependencyID]],tblTargets[TargetID]))</f>
        <v>#ERROR!</v>
      </c>
      <c r="L621" s="26" t="str">
        <f>IF(tbldeptemp[[#This Row],[ValidTarget]]=FALSE,"BAD TARGET",IF(tbldeptemp[[#This Row],[ValidDependency]]=FALSE,"BAD DEPENDENCY",""))</f>
        <v>#ERROR!</v>
      </c>
    </row>
    <row r="622" ht="14.25" customHeight="1">
      <c r="A622" s="26" t="s">
        <v>626</v>
      </c>
      <c r="B622" s="26" t="s">
        <v>6206</v>
      </c>
      <c r="C622" s="26" t="s">
        <v>455</v>
      </c>
      <c r="D622" s="26" t="s">
        <v>6205</v>
      </c>
      <c r="E622" s="26" t="s">
        <v>6205</v>
      </c>
      <c r="F622" s="26" t="b">
        <v>1</v>
      </c>
      <c r="G622" s="26" t="s">
        <v>5097</v>
      </c>
      <c r="H622" s="26" t="s">
        <v>455</v>
      </c>
      <c r="I622" s="26" t="s">
        <v>1442</v>
      </c>
      <c r="J622" s="26" t="b">
        <v>1</v>
      </c>
      <c r="K622" s="26" t="str">
        <f>ISNUMBER(_xlfn.XMATCH(tbldeptemp[[#This Row],[DependencyID]],tblTargets[TargetID]))</f>
        <v>#ERROR!</v>
      </c>
      <c r="L622" s="26" t="str">
        <f>IF(tbldeptemp[[#This Row],[ValidTarget]]=FALSE,"BAD TARGET",IF(tbldeptemp[[#This Row],[ValidDependency]]=FALSE,"BAD DEPENDENCY",""))</f>
        <v>#ERROR!</v>
      </c>
    </row>
    <row r="623" ht="14.25" customHeight="1">
      <c r="A623" s="26" t="s">
        <v>1151</v>
      </c>
      <c r="B623" s="26" t="s">
        <v>5039</v>
      </c>
      <c r="C623" s="26" t="s">
        <v>1346</v>
      </c>
      <c r="D623" s="26" t="s">
        <v>6207</v>
      </c>
      <c r="E623" s="26" t="s">
        <v>6208</v>
      </c>
      <c r="F623" s="26" t="b">
        <v>0</v>
      </c>
      <c r="G623" s="26" t="s">
        <v>5097</v>
      </c>
      <c r="H623" s="26" t="s">
        <v>1346</v>
      </c>
      <c r="I623" s="26" t="s">
        <v>1444</v>
      </c>
      <c r="J623" s="26" t="b">
        <v>1</v>
      </c>
      <c r="K623" s="26" t="str">
        <f>ISNUMBER(_xlfn.XMATCH(tbldeptemp[[#This Row],[DependencyID]],tblTargets[TargetID]))</f>
        <v>#ERROR!</v>
      </c>
      <c r="L623" s="26" t="str">
        <f>IF(tbldeptemp[[#This Row],[ValidTarget]]=FALSE,"BAD TARGET",IF(tbldeptemp[[#This Row],[ValidDependency]]=FALSE,"BAD DEPENDENCY",""))</f>
        <v>#ERROR!</v>
      </c>
    </row>
    <row r="624" ht="14.25" customHeight="1">
      <c r="A624" s="26" t="s">
        <v>1151</v>
      </c>
      <c r="B624" s="26" t="s">
        <v>4657</v>
      </c>
      <c r="C624" s="26" t="s">
        <v>920</v>
      </c>
      <c r="D624" s="26" t="s">
        <v>6209</v>
      </c>
      <c r="E624" s="26" t="s">
        <v>6210</v>
      </c>
      <c r="F624" s="26" t="b">
        <v>0</v>
      </c>
      <c r="G624" s="26" t="s">
        <v>5097</v>
      </c>
      <c r="H624" s="26" t="s">
        <v>920</v>
      </c>
      <c r="I624" s="26" t="s">
        <v>1462</v>
      </c>
      <c r="J624" s="26" t="b">
        <v>1</v>
      </c>
      <c r="K624" s="26" t="str">
        <f>ISNUMBER(_xlfn.XMATCH(tbldeptemp[[#This Row],[DependencyID]],tblTargets[TargetID]))</f>
        <v>#ERROR!</v>
      </c>
      <c r="L624" s="26" t="str">
        <f>IF(tbldeptemp[[#This Row],[ValidTarget]]=FALSE,"BAD TARGET",IF(tbldeptemp[[#This Row],[ValidDependency]]=FALSE,"BAD DEPENDENCY",""))</f>
        <v>#ERROR!</v>
      </c>
    </row>
    <row r="625" ht="14.25" customHeight="1">
      <c r="A625" s="26" t="s">
        <v>1151</v>
      </c>
      <c r="B625" s="26" t="s">
        <v>4780</v>
      </c>
      <c r="C625" s="26" t="s">
        <v>1076</v>
      </c>
      <c r="D625" s="26" t="s">
        <v>6211</v>
      </c>
      <c r="E625" s="26" t="s">
        <v>6212</v>
      </c>
      <c r="F625" s="26" t="b">
        <v>1</v>
      </c>
      <c r="G625" s="26" t="s">
        <v>5097</v>
      </c>
      <c r="H625" s="26" t="s">
        <v>1076</v>
      </c>
      <c r="I625" s="26" t="s">
        <v>1466</v>
      </c>
      <c r="J625" s="26" t="b">
        <v>1</v>
      </c>
      <c r="K625" s="26" t="str">
        <f>ISNUMBER(_xlfn.XMATCH(tbldeptemp[[#This Row],[DependencyID]],tblTargets[TargetID]))</f>
        <v>#ERROR!</v>
      </c>
      <c r="L625" s="26" t="str">
        <f>IF(tbldeptemp[[#This Row],[ValidTarget]]=FALSE,"BAD TARGET",IF(tbldeptemp[[#This Row],[ValidDependency]]=FALSE,"BAD DEPENDENCY",""))</f>
        <v>#ERROR!</v>
      </c>
    </row>
    <row r="626" ht="14.25" customHeight="1">
      <c r="A626" s="26" t="s">
        <v>1705</v>
      </c>
      <c r="B626" s="26" t="s">
        <v>5248</v>
      </c>
      <c r="C626" s="26" t="s">
        <v>5249</v>
      </c>
      <c r="D626" s="26" t="s">
        <v>6213</v>
      </c>
      <c r="E626" s="26" t="s">
        <v>6214</v>
      </c>
      <c r="F626" s="26" t="b">
        <v>1</v>
      </c>
      <c r="G626" s="26" t="s">
        <v>5097</v>
      </c>
      <c r="H626" s="26" t="s">
        <v>1772</v>
      </c>
      <c r="I626" s="26" t="s">
        <v>1374</v>
      </c>
      <c r="J626" s="26" t="b">
        <v>1</v>
      </c>
      <c r="K626" s="26" t="str">
        <f>ISNUMBER(_xlfn.XMATCH(tbldeptemp[[#This Row],[DependencyID]],tblTargets[TargetID]))</f>
        <v>#ERROR!</v>
      </c>
      <c r="L626" s="26" t="str">
        <f>IF(tbldeptemp[[#This Row],[ValidTarget]]=FALSE,"BAD TARGET",IF(tbldeptemp[[#This Row],[ValidDependency]]=FALSE,"BAD DEPENDENCY",""))</f>
        <v>#ERROR!</v>
      </c>
    </row>
    <row r="627" ht="14.25" customHeight="1">
      <c r="A627" s="26" t="s">
        <v>1151</v>
      </c>
      <c r="B627" s="26" t="s">
        <v>4893</v>
      </c>
      <c r="C627" s="26" t="s">
        <v>1254</v>
      </c>
      <c r="D627" s="26" t="s">
        <v>6215</v>
      </c>
      <c r="E627" s="26" t="s">
        <v>6216</v>
      </c>
      <c r="F627" s="26" t="b">
        <v>1</v>
      </c>
      <c r="G627" s="26" t="s">
        <v>5097</v>
      </c>
      <c r="H627" s="26" t="s">
        <v>1254</v>
      </c>
      <c r="I627" s="26" t="s">
        <v>1601</v>
      </c>
      <c r="J627" s="26" t="b">
        <v>1</v>
      </c>
      <c r="K627" s="26" t="str">
        <f>ISNUMBER(_xlfn.XMATCH(tbldeptemp[[#This Row],[DependencyID]],tblTargets[TargetID]))</f>
        <v>#ERROR!</v>
      </c>
      <c r="L627" s="26" t="str">
        <f>IF(tbldeptemp[[#This Row],[ValidTarget]]=FALSE,"BAD TARGET",IF(tbldeptemp[[#This Row],[ValidDependency]]=FALSE,"BAD DEPENDENCY",""))</f>
        <v>#ERROR!</v>
      </c>
    </row>
    <row r="628" ht="14.25" customHeight="1">
      <c r="A628" s="26" t="s">
        <v>1151</v>
      </c>
      <c r="B628" s="26" t="s">
        <v>5023</v>
      </c>
      <c r="C628" s="26" t="s">
        <v>1338</v>
      </c>
      <c r="D628" s="26" t="s">
        <v>6218</v>
      </c>
      <c r="E628" s="26" t="s">
        <v>6219</v>
      </c>
      <c r="F628" s="26" t="b">
        <v>1</v>
      </c>
      <c r="G628" s="26" t="s">
        <v>5097</v>
      </c>
      <c r="H628" s="26" t="s">
        <v>1338</v>
      </c>
      <c r="I628" s="26" t="s">
        <v>1516</v>
      </c>
      <c r="J628" s="26" t="b">
        <v>1</v>
      </c>
      <c r="K628" s="26" t="str">
        <f>ISNUMBER(_xlfn.XMATCH(tbldeptemp[[#This Row],[DependencyID]],tblTargets[TargetID]))</f>
        <v>#ERROR!</v>
      </c>
      <c r="L628" s="26" t="str">
        <f>IF(tbldeptemp[[#This Row],[ValidTarget]]=FALSE,"BAD TARGET",IF(tbldeptemp[[#This Row],[ValidDependency]]=FALSE,"BAD DEPENDENCY",""))</f>
        <v>#ERROR!</v>
      </c>
    </row>
    <row r="629" ht="14.25" customHeight="1">
      <c r="A629" s="26" t="s">
        <v>1151</v>
      </c>
      <c r="B629" s="26" t="s">
        <v>4980</v>
      </c>
      <c r="C629" s="26" t="s">
        <v>1312</v>
      </c>
      <c r="D629" s="26" t="s">
        <v>6225</v>
      </c>
      <c r="E629" s="26" t="s">
        <v>6226</v>
      </c>
      <c r="F629" s="26" t="b">
        <v>0</v>
      </c>
      <c r="G629" s="26" t="s">
        <v>5097</v>
      </c>
      <c r="H629" s="26" t="s">
        <v>1312</v>
      </c>
      <c r="I629" s="26" t="s">
        <v>1519</v>
      </c>
      <c r="J629" s="26" t="b">
        <v>1</v>
      </c>
      <c r="K629" s="26" t="str">
        <f>ISNUMBER(_xlfn.XMATCH(tbldeptemp[[#This Row],[DependencyID]],tblTargets[TargetID]))</f>
        <v>#ERROR!</v>
      </c>
      <c r="L629" s="26" t="str">
        <f>IF(tbldeptemp[[#This Row],[ValidTarget]]=FALSE,"BAD TARGET",IF(tbldeptemp[[#This Row],[ValidDependency]]=FALSE,"BAD DEPENDENCY",""))</f>
        <v>#ERROR!</v>
      </c>
    </row>
    <row r="630" ht="14.25" customHeight="1">
      <c r="A630" s="26" t="s">
        <v>1151</v>
      </c>
      <c r="B630" s="26" t="s">
        <v>4987</v>
      </c>
      <c r="C630" s="26" t="s">
        <v>1316</v>
      </c>
      <c r="D630" s="26" t="s">
        <v>6227</v>
      </c>
      <c r="E630" s="26" t="s">
        <v>6228</v>
      </c>
      <c r="F630" s="26" t="b">
        <v>0</v>
      </c>
      <c r="G630" s="26" t="s">
        <v>5097</v>
      </c>
      <c r="H630" s="26" t="s">
        <v>1316</v>
      </c>
      <c r="I630" s="26" t="s">
        <v>1521</v>
      </c>
      <c r="J630" s="26" t="b">
        <v>1</v>
      </c>
      <c r="K630" s="26" t="str">
        <f>ISNUMBER(_xlfn.XMATCH(tbldeptemp[[#This Row],[DependencyID]],tblTargets[TargetID]))</f>
        <v>#ERROR!</v>
      </c>
      <c r="L630" s="26" t="str">
        <f>IF(tbldeptemp[[#This Row],[ValidTarget]]=FALSE,"BAD TARGET",IF(tbldeptemp[[#This Row],[ValidDependency]]=FALSE,"BAD DEPENDENCY",""))</f>
        <v>#ERROR!</v>
      </c>
    </row>
    <row r="631" ht="14.25" customHeight="1">
      <c r="A631" s="26" t="s">
        <v>1151</v>
      </c>
      <c r="B631" s="26" t="s">
        <v>5016</v>
      </c>
      <c r="C631" s="26" t="s">
        <v>1334</v>
      </c>
      <c r="D631" s="26" t="s">
        <v>6229</v>
      </c>
      <c r="E631" s="26" t="s">
        <v>6228</v>
      </c>
      <c r="F631" s="26" t="b">
        <v>0</v>
      </c>
      <c r="G631" s="26" t="s">
        <v>5097</v>
      </c>
      <c r="H631" s="26" t="s">
        <v>1334</v>
      </c>
      <c r="I631" s="26" t="s">
        <v>1521</v>
      </c>
      <c r="J631" s="26" t="b">
        <v>1</v>
      </c>
      <c r="K631" s="26" t="str">
        <f>ISNUMBER(_xlfn.XMATCH(tbldeptemp[[#This Row],[DependencyID]],tblTargets[TargetID]))</f>
        <v>#ERROR!</v>
      </c>
      <c r="L631" s="26" t="str">
        <f>IF(tbldeptemp[[#This Row],[ValidTarget]]=FALSE,"BAD TARGET",IF(tbldeptemp[[#This Row],[ValidDependency]]=FALSE,"BAD DEPENDENCY",""))</f>
        <v>#ERROR!</v>
      </c>
    </row>
    <row r="632" ht="14.25" customHeight="1">
      <c r="A632" s="26" t="s">
        <v>1151</v>
      </c>
      <c r="B632" s="26" t="s">
        <v>4854</v>
      </c>
      <c r="C632" s="26" t="s">
        <v>1180</v>
      </c>
      <c r="D632" s="26" t="s">
        <v>6230</v>
      </c>
      <c r="E632" s="26" t="s">
        <v>6231</v>
      </c>
      <c r="F632" s="26" t="b">
        <v>1</v>
      </c>
      <c r="G632" s="26" t="s">
        <v>5097</v>
      </c>
      <c r="H632" s="26" t="s">
        <v>1180</v>
      </c>
      <c r="I632" s="26" t="s">
        <v>1523</v>
      </c>
      <c r="J632" s="26" t="b">
        <v>1</v>
      </c>
      <c r="K632" s="26" t="str">
        <f>ISNUMBER(_xlfn.XMATCH(tbldeptemp[[#This Row],[DependencyID]],tblTargets[TargetID]))</f>
        <v>#ERROR!</v>
      </c>
      <c r="L632" s="26" t="str">
        <f>IF(tbldeptemp[[#This Row],[ValidTarget]]=FALSE,"BAD TARGET",IF(tbldeptemp[[#This Row],[ValidDependency]]=FALSE,"BAD DEPENDENCY",""))</f>
        <v>#ERROR!</v>
      </c>
    </row>
    <row r="633" ht="14.25" customHeight="1">
      <c r="A633" s="26" t="s">
        <v>1151</v>
      </c>
      <c r="B633" s="26" t="s">
        <v>4701</v>
      </c>
      <c r="C633" s="26" t="s">
        <v>979</v>
      </c>
      <c r="D633" s="26" t="s">
        <v>6232</v>
      </c>
      <c r="E633" s="26" t="s">
        <v>6233</v>
      </c>
      <c r="F633" s="26" t="b">
        <v>1</v>
      </c>
      <c r="G633" s="26" t="s">
        <v>5097</v>
      </c>
      <c r="H633" s="26" t="s">
        <v>979</v>
      </c>
      <c r="I633" s="26" t="s">
        <v>1528</v>
      </c>
      <c r="J633" s="26" t="b">
        <v>1</v>
      </c>
      <c r="K633" s="26" t="str">
        <f>ISNUMBER(_xlfn.XMATCH(tbldeptemp[[#This Row],[DependencyID]],tblTargets[TargetID]))</f>
        <v>#ERROR!</v>
      </c>
      <c r="L633" s="26" t="str">
        <f>IF(tbldeptemp[[#This Row],[ValidTarget]]=FALSE,"BAD TARGET",IF(tbldeptemp[[#This Row],[ValidDependency]]=FALSE,"BAD DEPENDENCY",""))</f>
        <v>#ERROR!</v>
      </c>
    </row>
    <row r="634" ht="14.25" customHeight="1">
      <c r="A634" s="26" t="s">
        <v>1151</v>
      </c>
      <c r="B634" s="26" t="s">
        <v>4800</v>
      </c>
      <c r="C634" s="26" t="s">
        <v>1107</v>
      </c>
      <c r="D634" s="26" t="s">
        <v>6234</v>
      </c>
      <c r="E634" s="26" t="s">
        <v>6235</v>
      </c>
      <c r="F634" s="26" t="b">
        <v>0</v>
      </c>
      <c r="G634" s="26" t="s">
        <v>5097</v>
      </c>
      <c r="H634" s="26" t="s">
        <v>1107</v>
      </c>
      <c r="I634" s="26" t="s">
        <v>1530</v>
      </c>
      <c r="J634" s="26" t="b">
        <v>1</v>
      </c>
      <c r="K634" s="26" t="str">
        <f>ISNUMBER(_xlfn.XMATCH(tbldeptemp[[#This Row],[DependencyID]],tblTargets[TargetID]))</f>
        <v>#ERROR!</v>
      </c>
      <c r="L634" s="26" t="str">
        <f>IF(tbldeptemp[[#This Row],[ValidTarget]]=FALSE,"BAD TARGET",IF(tbldeptemp[[#This Row],[ValidDependency]]=FALSE,"BAD DEPENDENCY",""))</f>
        <v>#ERROR!</v>
      </c>
    </row>
    <row r="635" ht="14.25" customHeight="1">
      <c r="A635" s="26" t="s">
        <v>1151</v>
      </c>
      <c r="B635" s="26" t="s">
        <v>4847</v>
      </c>
      <c r="C635" s="26" t="s">
        <v>1169</v>
      </c>
      <c r="D635" s="26" t="s">
        <v>6236</v>
      </c>
      <c r="E635" s="26" t="s">
        <v>6237</v>
      </c>
      <c r="F635" s="26" t="b">
        <v>1</v>
      </c>
      <c r="G635" s="26" t="s">
        <v>5097</v>
      </c>
      <c r="H635" s="26" t="s">
        <v>1169</v>
      </c>
      <c r="I635" s="26" t="s">
        <v>1532</v>
      </c>
      <c r="J635" s="26" t="b">
        <v>1</v>
      </c>
      <c r="K635" s="26" t="str">
        <f>ISNUMBER(_xlfn.XMATCH(tbldeptemp[[#This Row],[DependencyID]],tblTargets[TargetID]))</f>
        <v>#ERROR!</v>
      </c>
      <c r="L635" s="26" t="str">
        <f>IF(tbldeptemp[[#This Row],[ValidTarget]]=FALSE,"BAD TARGET",IF(tbldeptemp[[#This Row],[ValidDependency]]=FALSE,"BAD DEPENDENCY",""))</f>
        <v>#ERROR!</v>
      </c>
    </row>
    <row r="636" ht="14.25" customHeight="1">
      <c r="A636" s="26" t="s">
        <v>1151</v>
      </c>
      <c r="B636" s="26" t="s">
        <v>4868</v>
      </c>
      <c r="C636" s="26" t="s">
        <v>1200</v>
      </c>
      <c r="D636" s="26" t="s">
        <v>6238</v>
      </c>
      <c r="E636" s="26" t="s">
        <v>6239</v>
      </c>
      <c r="F636" s="26" t="b">
        <v>1</v>
      </c>
      <c r="G636" s="26" t="s">
        <v>5097</v>
      </c>
      <c r="H636" s="26" t="s">
        <v>1200</v>
      </c>
      <c r="I636" s="26" t="s">
        <v>1538</v>
      </c>
      <c r="J636" s="26" t="b">
        <v>1</v>
      </c>
      <c r="K636" s="26" t="str">
        <f>ISNUMBER(_xlfn.XMATCH(tbldeptemp[[#This Row],[DependencyID]],tblTargets[TargetID]))</f>
        <v>#ERROR!</v>
      </c>
      <c r="L636" s="26" t="str">
        <f>IF(tbldeptemp[[#This Row],[ValidTarget]]=FALSE,"BAD TARGET",IF(tbldeptemp[[#This Row],[ValidDependency]]=FALSE,"BAD DEPENDENCY",""))</f>
        <v>#ERROR!</v>
      </c>
    </row>
    <row r="637" ht="14.25" customHeight="1">
      <c r="A637" s="26" t="s">
        <v>1151</v>
      </c>
      <c r="B637" s="26" t="s">
        <v>4773</v>
      </c>
      <c r="C637" s="26" t="s">
        <v>1064</v>
      </c>
      <c r="D637" s="26" t="s">
        <v>6240</v>
      </c>
      <c r="E637" s="26" t="s">
        <v>6241</v>
      </c>
      <c r="F637" s="26" t="b">
        <v>1</v>
      </c>
      <c r="G637" s="26" t="s">
        <v>5097</v>
      </c>
      <c r="H637" s="26" t="s">
        <v>1064</v>
      </c>
      <c r="I637" s="26" t="s">
        <v>1540</v>
      </c>
      <c r="J637" s="26" t="b">
        <v>1</v>
      </c>
      <c r="K637" s="26" t="str">
        <f>ISNUMBER(_xlfn.XMATCH(tbldeptemp[[#This Row],[DependencyID]],tblTargets[TargetID]))</f>
        <v>#ERROR!</v>
      </c>
      <c r="L637" s="26" t="str">
        <f>IF(tbldeptemp[[#This Row],[ValidTarget]]=FALSE,"BAD TARGET",IF(tbldeptemp[[#This Row],[ValidDependency]]=FALSE,"BAD DEPENDENCY",""))</f>
        <v>#ERROR!</v>
      </c>
    </row>
    <row r="638" ht="14.25" customHeight="1">
      <c r="A638" s="26" t="s">
        <v>1151</v>
      </c>
      <c r="B638" s="26" t="s">
        <v>4965</v>
      </c>
      <c r="C638" s="26" t="s">
        <v>1303</v>
      </c>
      <c r="D638" s="26" t="s">
        <v>6242</v>
      </c>
      <c r="E638" s="26" t="s">
        <v>6243</v>
      </c>
      <c r="F638" s="26" t="b">
        <v>0</v>
      </c>
      <c r="G638" s="26" t="s">
        <v>5097</v>
      </c>
      <c r="H638" s="26" t="s">
        <v>1303</v>
      </c>
      <c r="I638" s="26" t="s">
        <v>1547</v>
      </c>
      <c r="J638" s="26" t="b">
        <v>1</v>
      </c>
      <c r="K638" s="26" t="str">
        <f>ISNUMBER(_xlfn.XMATCH(tbldeptemp[[#This Row],[DependencyID]],tblTargets[TargetID]))</f>
        <v>#ERROR!</v>
      </c>
      <c r="L638" s="26" t="str">
        <f>IF(tbldeptemp[[#This Row],[ValidTarget]]=FALSE,"BAD TARGET",IF(tbldeptemp[[#This Row],[ValidDependency]]=FALSE,"BAD DEPENDENCY",""))</f>
        <v>#ERROR!</v>
      </c>
    </row>
    <row r="639" ht="14.25" customHeight="1">
      <c r="A639" s="26" t="s">
        <v>1151</v>
      </c>
      <c r="B639" s="26" t="s">
        <v>4793</v>
      </c>
      <c r="C639" s="26" t="s">
        <v>1098</v>
      </c>
      <c r="D639" s="26" t="s">
        <v>6245</v>
      </c>
      <c r="E639" s="26" t="s">
        <v>6247</v>
      </c>
      <c r="F639" s="26" t="b">
        <v>0</v>
      </c>
      <c r="G639" s="26" t="s">
        <v>5097</v>
      </c>
      <c r="H639" s="26" t="s">
        <v>1098</v>
      </c>
      <c r="I639" s="26" t="s">
        <v>1549</v>
      </c>
      <c r="J639" s="26" t="b">
        <v>1</v>
      </c>
      <c r="K639" s="26" t="str">
        <f>ISNUMBER(_xlfn.XMATCH(tbldeptemp[[#This Row],[DependencyID]],tblTargets[TargetID]))</f>
        <v>#ERROR!</v>
      </c>
      <c r="L639" s="26" t="str">
        <f>IF(tbldeptemp[[#This Row],[ValidTarget]]=FALSE,"BAD TARGET",IF(tbldeptemp[[#This Row],[ValidDependency]]=FALSE,"BAD DEPENDENCY",""))</f>
        <v>#ERROR!</v>
      </c>
    </row>
    <row r="640" ht="14.25" customHeight="1">
      <c r="A640" s="26" t="s">
        <v>1151</v>
      </c>
      <c r="B640" s="26" t="s">
        <v>4839</v>
      </c>
      <c r="C640" s="26" t="s">
        <v>1160</v>
      </c>
      <c r="D640" s="26" t="s">
        <v>6249</v>
      </c>
      <c r="E640" s="26" t="s">
        <v>6251</v>
      </c>
      <c r="F640" s="26" t="b">
        <v>1</v>
      </c>
      <c r="G640" s="26" t="s">
        <v>5097</v>
      </c>
      <c r="H640" s="26" t="s">
        <v>1160</v>
      </c>
      <c r="I640" s="26" t="s">
        <v>1551</v>
      </c>
      <c r="J640" s="26" t="b">
        <v>1</v>
      </c>
      <c r="K640" s="26" t="str">
        <f>ISNUMBER(_xlfn.XMATCH(tbldeptemp[[#This Row],[DependencyID]],tblTargets[TargetID]))</f>
        <v>#ERROR!</v>
      </c>
      <c r="L640" s="26" t="str">
        <f>IF(tbldeptemp[[#This Row],[ValidTarget]]=FALSE,"BAD TARGET",IF(tbldeptemp[[#This Row],[ValidDependency]]=FALSE,"BAD DEPENDENCY",""))</f>
        <v>#ERROR!</v>
      </c>
    </row>
    <row r="641" ht="14.25" customHeight="1">
      <c r="A641" s="26" t="s">
        <v>1151</v>
      </c>
      <c r="B641" s="26" t="s">
        <v>4709</v>
      </c>
      <c r="C641" s="26" t="s">
        <v>986</v>
      </c>
      <c r="D641" s="26" t="s">
        <v>6252</v>
      </c>
      <c r="E641" s="26" t="s">
        <v>6253</v>
      </c>
      <c r="F641" s="26" t="b">
        <v>1</v>
      </c>
      <c r="G641" s="26" t="s">
        <v>5097</v>
      </c>
      <c r="H641" s="26" t="s">
        <v>986</v>
      </c>
      <c r="I641" s="26" t="s">
        <v>1554</v>
      </c>
      <c r="J641" s="26" t="b">
        <v>1</v>
      </c>
      <c r="K641" s="26" t="str">
        <f>ISNUMBER(_xlfn.XMATCH(tbldeptemp[[#This Row],[DependencyID]],tblTargets[TargetID]))</f>
        <v>#ERROR!</v>
      </c>
      <c r="L641" s="26" t="str">
        <f>IF(tbldeptemp[[#This Row],[ValidTarget]]=FALSE,"BAD TARGET",IF(tbldeptemp[[#This Row],[ValidDependency]]=FALSE,"BAD DEPENDENCY",""))</f>
        <v>#ERROR!</v>
      </c>
    </row>
    <row r="642" ht="14.25" customHeight="1">
      <c r="A642" s="26" t="s">
        <v>1151</v>
      </c>
      <c r="B642" s="26" t="s">
        <v>4786</v>
      </c>
      <c r="C642" s="26" t="s">
        <v>1089</v>
      </c>
      <c r="D642" s="26" t="s">
        <v>6254</v>
      </c>
      <c r="E642" s="26" t="s">
        <v>6255</v>
      </c>
      <c r="F642" s="26" t="b">
        <v>1</v>
      </c>
      <c r="G642" s="26" t="s">
        <v>5097</v>
      </c>
      <c r="H642" s="26" t="s">
        <v>1089</v>
      </c>
      <c r="I642" s="26" t="s">
        <v>1556</v>
      </c>
      <c r="J642" s="26" t="b">
        <v>1</v>
      </c>
      <c r="K642" s="26" t="str">
        <f>ISNUMBER(_xlfn.XMATCH(tbldeptemp[[#This Row],[DependencyID]],tblTargets[TargetID]))</f>
        <v>#ERROR!</v>
      </c>
      <c r="L642" s="26" t="str">
        <f>IF(tbldeptemp[[#This Row],[ValidTarget]]=FALSE,"BAD TARGET",IF(tbldeptemp[[#This Row],[ValidDependency]]=FALSE,"BAD DEPENDENCY",""))</f>
        <v>#ERROR!</v>
      </c>
    </row>
    <row r="643" ht="14.25" customHeight="1">
      <c r="A643" s="26" t="s">
        <v>1151</v>
      </c>
      <c r="B643" s="26" t="s">
        <v>5031</v>
      </c>
      <c r="C643" s="26" t="s">
        <v>1342</v>
      </c>
      <c r="D643" s="26" t="s">
        <v>6256</v>
      </c>
      <c r="E643" s="26" t="s">
        <v>6257</v>
      </c>
      <c r="F643" s="26" t="b">
        <v>1</v>
      </c>
      <c r="G643" s="26" t="s">
        <v>5097</v>
      </c>
      <c r="H643" s="26" t="s">
        <v>1342</v>
      </c>
      <c r="I643" s="26" t="s">
        <v>1559</v>
      </c>
      <c r="J643" s="26" t="b">
        <v>1</v>
      </c>
      <c r="K643" s="26" t="str">
        <f>ISNUMBER(_xlfn.XMATCH(tbldeptemp[[#This Row],[DependencyID]],tblTargets[TargetID]))</f>
        <v>#ERROR!</v>
      </c>
      <c r="L643" s="26" t="str">
        <f>IF(tbldeptemp[[#This Row],[ValidTarget]]=FALSE,"BAD TARGET",IF(tbldeptemp[[#This Row],[ValidDependency]]=FALSE,"BAD DEPENDENCY",""))</f>
        <v>#ERROR!</v>
      </c>
    </row>
    <row r="644" ht="14.25" customHeight="1">
      <c r="A644" s="26" t="s">
        <v>1151</v>
      </c>
      <c r="B644" s="26" t="s">
        <v>4821</v>
      </c>
      <c r="C644" s="26" t="s">
        <v>1130</v>
      </c>
      <c r="D644" s="26" t="s">
        <v>6258</v>
      </c>
      <c r="E644" s="26" t="s">
        <v>6259</v>
      </c>
      <c r="F644" s="26" t="b">
        <v>1</v>
      </c>
      <c r="G644" s="26" t="s">
        <v>5097</v>
      </c>
      <c r="H644" s="26" t="s">
        <v>1130</v>
      </c>
      <c r="I644" s="26" t="s">
        <v>1561</v>
      </c>
      <c r="J644" s="26" t="b">
        <v>1</v>
      </c>
      <c r="K644" s="26" t="str">
        <f>ISNUMBER(_xlfn.XMATCH(tbldeptemp[[#This Row],[DependencyID]],tblTargets[TargetID]))</f>
        <v>#ERROR!</v>
      </c>
      <c r="L644" s="26" t="str">
        <f>IF(tbldeptemp[[#This Row],[ValidTarget]]=FALSE,"BAD TARGET",IF(tbldeptemp[[#This Row],[ValidDependency]]=FALSE,"BAD DEPENDENCY",""))</f>
        <v>#ERROR!</v>
      </c>
    </row>
    <row r="645" ht="14.25" customHeight="1">
      <c r="A645" s="26" t="s">
        <v>1151</v>
      </c>
      <c r="B645" s="26" t="s">
        <v>4814</v>
      </c>
      <c r="C645" s="26" t="s">
        <v>1122</v>
      </c>
      <c r="D645" s="26" t="s">
        <v>6258</v>
      </c>
      <c r="E645" s="26" t="s">
        <v>6259</v>
      </c>
      <c r="F645" s="26" t="b">
        <v>1</v>
      </c>
      <c r="G645" s="26" t="s">
        <v>5097</v>
      </c>
      <c r="H645" s="26" t="s">
        <v>1122</v>
      </c>
      <c r="I645" s="26" t="s">
        <v>1565</v>
      </c>
      <c r="J645" s="26" t="b">
        <v>1</v>
      </c>
      <c r="K645" s="26" t="str">
        <f>ISNUMBER(_xlfn.XMATCH(tbldeptemp[[#This Row],[DependencyID]],tblTargets[TargetID]))</f>
        <v>#ERROR!</v>
      </c>
      <c r="L645" s="26" t="str">
        <f>IF(tbldeptemp[[#This Row],[ValidTarget]]=FALSE,"BAD TARGET",IF(tbldeptemp[[#This Row],[ValidDependency]]=FALSE,"BAD DEPENDENCY",""))</f>
        <v>#ERROR!</v>
      </c>
    </row>
    <row r="646" ht="14.25" customHeight="1">
      <c r="A646" s="26" t="s">
        <v>1151</v>
      </c>
      <c r="B646" s="26" t="s">
        <v>4861</v>
      </c>
      <c r="C646" s="26" t="s">
        <v>1191</v>
      </c>
      <c r="D646" s="26" t="s">
        <v>6260</v>
      </c>
      <c r="E646" s="26" t="s">
        <v>6261</v>
      </c>
      <c r="F646" s="26" t="b">
        <v>1</v>
      </c>
      <c r="G646" s="26" t="s">
        <v>5097</v>
      </c>
      <c r="H646" s="26" t="s">
        <v>1191</v>
      </c>
      <c r="I646" s="26" t="s">
        <v>1570</v>
      </c>
      <c r="J646" s="26" t="b">
        <v>1</v>
      </c>
      <c r="K646" s="26" t="str">
        <f>ISNUMBER(_xlfn.XMATCH(tbldeptemp[[#This Row],[DependencyID]],tblTargets[TargetID]))</f>
        <v>#ERROR!</v>
      </c>
      <c r="L646" s="26" t="str">
        <f>IF(tbldeptemp[[#This Row],[ValidTarget]]=FALSE,"BAD TARGET",IF(tbldeptemp[[#This Row],[ValidDependency]]=FALSE,"BAD DEPENDENCY",""))</f>
        <v>#ERROR!</v>
      </c>
    </row>
    <row r="647" ht="14.25" customHeight="1">
      <c r="A647" s="26" t="s">
        <v>1151</v>
      </c>
      <c r="B647" s="26" t="s">
        <v>4973</v>
      </c>
      <c r="C647" s="26" t="s">
        <v>1307</v>
      </c>
      <c r="D647" s="26" t="s">
        <v>6262</v>
      </c>
      <c r="E647" s="26" t="s">
        <v>6263</v>
      </c>
      <c r="F647" s="26" t="b">
        <v>0</v>
      </c>
      <c r="G647" s="26" t="s">
        <v>5097</v>
      </c>
      <c r="H647" s="26" t="s">
        <v>1307</v>
      </c>
      <c r="I647" s="26" t="s">
        <v>1572</v>
      </c>
      <c r="J647" s="26" t="b">
        <v>1</v>
      </c>
      <c r="K647" s="26" t="str">
        <f>ISNUMBER(_xlfn.XMATCH(tbldeptemp[[#This Row],[DependencyID]],tblTargets[TargetID]))</f>
        <v>#ERROR!</v>
      </c>
      <c r="L647" s="26" t="str">
        <f>IF(tbldeptemp[[#This Row],[ValidTarget]]=FALSE,"BAD TARGET",IF(tbldeptemp[[#This Row],[ValidDependency]]=FALSE,"BAD DEPENDENCY",""))</f>
        <v>#ERROR!</v>
      </c>
    </row>
    <row r="648" ht="14.25" customHeight="1">
      <c r="A648" s="26" t="s">
        <v>1151</v>
      </c>
      <c r="B648" s="26" t="s">
        <v>4739</v>
      </c>
      <c r="C648" s="26" t="s">
        <v>1019</v>
      </c>
      <c r="D648" s="26" t="s">
        <v>6264</v>
      </c>
      <c r="E648" s="26" t="s">
        <v>6265</v>
      </c>
      <c r="F648" s="26" t="b">
        <v>1</v>
      </c>
      <c r="G648" s="26" t="s">
        <v>5097</v>
      </c>
      <c r="H648" s="26" t="s">
        <v>1019</v>
      </c>
      <c r="I648" s="26" t="s">
        <v>1575</v>
      </c>
      <c r="J648" s="26" t="b">
        <v>1</v>
      </c>
      <c r="K648" s="26" t="str">
        <f>ISNUMBER(_xlfn.XMATCH(tbldeptemp[[#This Row],[DependencyID]],tblTargets[TargetID]))</f>
        <v>#ERROR!</v>
      </c>
      <c r="L648" s="26" t="str">
        <f>IF(tbldeptemp[[#This Row],[ValidTarget]]=FALSE,"BAD TARGET",IF(tbldeptemp[[#This Row],[ValidDependency]]=FALSE,"BAD DEPENDENCY",""))</f>
        <v>#ERROR!</v>
      </c>
    </row>
    <row r="649" ht="14.25" customHeight="1">
      <c r="A649" s="26" t="s">
        <v>1151</v>
      </c>
      <c r="B649" s="26" t="s">
        <v>4905</v>
      </c>
      <c r="C649" s="26" t="s">
        <v>1262</v>
      </c>
      <c r="D649" s="26" t="s">
        <v>6266</v>
      </c>
      <c r="E649" s="26" t="s">
        <v>6267</v>
      </c>
      <c r="F649" s="26" t="b">
        <v>1</v>
      </c>
      <c r="G649" s="26" t="s">
        <v>5097</v>
      </c>
      <c r="H649" s="26" t="s">
        <v>1262</v>
      </c>
      <c r="I649" s="26" t="s">
        <v>1582</v>
      </c>
      <c r="J649" s="26" t="b">
        <v>1</v>
      </c>
      <c r="K649" s="26" t="str">
        <f>ISNUMBER(_xlfn.XMATCH(tbldeptemp[[#This Row],[DependencyID]],tblTargets[TargetID]))</f>
        <v>#ERROR!</v>
      </c>
      <c r="L649" s="26" t="str">
        <f>IF(tbldeptemp[[#This Row],[ValidTarget]]=FALSE,"BAD TARGET",IF(tbldeptemp[[#This Row],[ValidDependency]]=FALSE,"BAD DEPENDENCY",""))</f>
        <v>#ERROR!</v>
      </c>
    </row>
    <row r="650" ht="14.25" customHeight="1">
      <c r="A650" s="26" t="s">
        <v>1705</v>
      </c>
      <c r="B650" s="26" t="s">
        <v>5252</v>
      </c>
      <c r="C650" s="26" t="s">
        <v>5253</v>
      </c>
      <c r="D650" s="26" t="s">
        <v>6270</v>
      </c>
      <c r="E650" s="26" t="s">
        <v>6271</v>
      </c>
      <c r="F650" s="26" t="b">
        <v>1</v>
      </c>
      <c r="G650" s="26" t="s">
        <v>5097</v>
      </c>
      <c r="H650" s="26" t="s">
        <v>1775</v>
      </c>
      <c r="I650" s="26" t="s">
        <v>1641</v>
      </c>
      <c r="J650" s="26" t="b">
        <v>1</v>
      </c>
      <c r="K650" s="26" t="str">
        <f>ISNUMBER(_xlfn.XMATCH(tbldeptemp[[#This Row],[DependencyID]],tblTargets[TargetID]))</f>
        <v>#ERROR!</v>
      </c>
      <c r="L650" s="26" t="str">
        <f>IF(tbldeptemp[[#This Row],[ValidTarget]]=FALSE,"BAD TARGET",IF(tbldeptemp[[#This Row],[ValidDependency]]=FALSE,"BAD DEPENDENCY",""))</f>
        <v>#ERROR!</v>
      </c>
    </row>
    <row r="651" ht="14.25" customHeight="1">
      <c r="A651" s="26" t="s">
        <v>1151</v>
      </c>
      <c r="B651" s="26" t="s">
        <v>5031</v>
      </c>
      <c r="C651" s="26" t="s">
        <v>1342</v>
      </c>
      <c r="D651" s="26" t="s">
        <v>6274</v>
      </c>
      <c r="E651" s="26" t="s">
        <v>6275</v>
      </c>
      <c r="F651" s="26" t="b">
        <v>1</v>
      </c>
      <c r="G651" s="26" t="s">
        <v>5097</v>
      </c>
      <c r="H651" s="26" t="s">
        <v>1342</v>
      </c>
      <c r="I651" s="26" t="s">
        <v>1650</v>
      </c>
      <c r="J651" s="26" t="b">
        <v>1</v>
      </c>
      <c r="K651" s="26" t="str">
        <f>ISNUMBER(_xlfn.XMATCH(tbldeptemp[[#This Row],[DependencyID]],tblTargets[TargetID]))</f>
        <v>#ERROR!</v>
      </c>
      <c r="L651" s="26" t="str">
        <f>IF(tbldeptemp[[#This Row],[ValidTarget]]=FALSE,"BAD TARGET",IF(tbldeptemp[[#This Row],[ValidDependency]]=FALSE,"BAD DEPENDENCY",""))</f>
        <v>#ERROR!</v>
      </c>
    </row>
    <row r="652" ht="14.25" customHeight="1">
      <c r="A652" s="26" t="s">
        <v>1151</v>
      </c>
      <c r="B652" s="26" t="s">
        <v>4833</v>
      </c>
      <c r="C652" s="26" t="s">
        <v>1149</v>
      </c>
      <c r="D652" s="26" t="s">
        <v>6276</v>
      </c>
      <c r="E652" s="26" t="s">
        <v>6277</v>
      </c>
      <c r="F652" s="26" t="b">
        <v>1</v>
      </c>
      <c r="G652" s="26" t="s">
        <v>5097</v>
      </c>
      <c r="H652" s="26" t="s">
        <v>1149</v>
      </c>
      <c r="I652" s="26" t="s">
        <v>1563</v>
      </c>
      <c r="J652" s="26" t="b">
        <v>1</v>
      </c>
      <c r="K652" s="26" t="str">
        <f>ISNUMBER(_xlfn.XMATCH(tbldeptemp[[#This Row],[DependencyID]],tblTargets[TargetID]))</f>
        <v>#ERROR!</v>
      </c>
      <c r="L652" s="26" t="str">
        <f>IF(tbldeptemp[[#This Row],[ValidTarget]]=FALSE,"BAD TARGET",IF(tbldeptemp[[#This Row],[ValidDependency]]=FALSE,"BAD DEPENDENCY",""))</f>
        <v>#ERROR!</v>
      </c>
    </row>
    <row r="653" ht="14.25" customHeight="1">
      <c r="A653" s="26" t="s">
        <v>932</v>
      </c>
      <c r="B653" s="26" t="s">
        <v>4380</v>
      </c>
      <c r="C653" s="26" t="s">
        <v>511</v>
      </c>
      <c r="D653" s="26" t="s">
        <v>6278</v>
      </c>
      <c r="E653" s="26" t="s">
        <v>6279</v>
      </c>
      <c r="F653" s="26" t="b">
        <v>1</v>
      </c>
      <c r="G653" s="26" t="s">
        <v>5097</v>
      </c>
      <c r="H653" s="26" t="s">
        <v>511</v>
      </c>
      <c r="I653" s="26" t="s">
        <v>1358</v>
      </c>
      <c r="J653" s="26" t="b">
        <v>1</v>
      </c>
      <c r="K653" s="26" t="str">
        <f>ISNUMBER(_xlfn.XMATCH(tbldeptemp[[#This Row],[DependencyID]],tblTargets[TargetID]))</f>
        <v>#ERROR!</v>
      </c>
      <c r="L653" s="26" t="str">
        <f>IF(tbldeptemp[[#This Row],[ValidTarget]]=FALSE,"BAD TARGET",IF(tbldeptemp[[#This Row],[ValidDependency]]=FALSE,"BAD DEPENDENCY",""))</f>
        <v>#ERROR!</v>
      </c>
    </row>
    <row r="654" ht="14.25" customHeight="1">
      <c r="A654" s="26" t="s">
        <v>1151</v>
      </c>
      <c r="B654" s="26" t="s">
        <v>5002</v>
      </c>
      <c r="C654" s="26" t="s">
        <v>1325</v>
      </c>
      <c r="D654" s="26" t="s">
        <v>6280</v>
      </c>
      <c r="E654" s="26" t="s">
        <v>6281</v>
      </c>
      <c r="F654" s="26" t="b">
        <v>0</v>
      </c>
      <c r="G654" s="26" t="s">
        <v>5097</v>
      </c>
      <c r="H654" s="26" t="s">
        <v>1325</v>
      </c>
      <c r="I654" s="26" t="s">
        <v>1674</v>
      </c>
      <c r="J654" s="26" t="b">
        <v>1</v>
      </c>
      <c r="K654" s="26" t="str">
        <f>ISNUMBER(_xlfn.XMATCH(tbldeptemp[[#This Row],[DependencyID]],tblTargets[TargetID]))</f>
        <v>#ERROR!</v>
      </c>
      <c r="L654" s="26" t="str">
        <f>IF(tbldeptemp[[#This Row],[ValidTarget]]=FALSE,"BAD TARGET",IF(tbldeptemp[[#This Row],[ValidDependency]]=FALSE,"BAD DEPENDENCY",""))</f>
        <v>#ERROR!</v>
      </c>
    </row>
    <row r="655" ht="14.25" customHeight="1">
      <c r="A655" s="26" t="s">
        <v>1151</v>
      </c>
      <c r="B655" s="26" t="s">
        <v>4764</v>
      </c>
      <c r="C655" s="26" t="s">
        <v>1053</v>
      </c>
      <c r="D655" s="26" t="s">
        <v>6282</v>
      </c>
      <c r="E655" s="26" t="s">
        <v>6283</v>
      </c>
      <c r="F655" s="26" t="b">
        <v>1</v>
      </c>
      <c r="G655" s="26" t="s">
        <v>5097</v>
      </c>
      <c r="H655" s="26" t="s">
        <v>1053</v>
      </c>
      <c r="I655" s="26" t="s">
        <v>1667</v>
      </c>
      <c r="J655" s="26" t="b">
        <v>1</v>
      </c>
      <c r="K655" s="26" t="str">
        <f>ISNUMBER(_xlfn.XMATCH(tbldeptemp[[#This Row],[DependencyID]],tblTargets[TargetID]))</f>
        <v>#ERROR!</v>
      </c>
      <c r="L655" s="26" t="str">
        <f>IF(tbldeptemp[[#This Row],[ValidTarget]]=FALSE,"BAD TARGET",IF(tbldeptemp[[#This Row],[ValidDependency]]=FALSE,"BAD DEPENDENCY",""))</f>
        <v>#ERROR!</v>
      </c>
    </row>
    <row r="656" ht="14.25" customHeight="1">
      <c r="A656" s="26" t="s">
        <v>1151</v>
      </c>
      <c r="B656" s="26" t="s">
        <v>5039</v>
      </c>
      <c r="C656" s="26" t="s">
        <v>1346</v>
      </c>
      <c r="D656" s="26" t="s">
        <v>6284</v>
      </c>
      <c r="E656" s="26" t="s">
        <v>6285</v>
      </c>
      <c r="F656" s="26" t="b">
        <v>0</v>
      </c>
      <c r="G656" s="26" t="s">
        <v>5097</v>
      </c>
      <c r="H656" s="26" t="s">
        <v>1346</v>
      </c>
      <c r="I656" s="26" t="s">
        <v>1669</v>
      </c>
      <c r="J656" s="26" t="b">
        <v>1</v>
      </c>
      <c r="K656" s="26" t="str">
        <f>ISNUMBER(_xlfn.XMATCH(tbldeptemp[[#This Row],[DependencyID]],tblTargets[TargetID]))</f>
        <v>#ERROR!</v>
      </c>
      <c r="L656" s="26" t="str">
        <f>IF(tbldeptemp[[#This Row],[ValidTarget]]=FALSE,"BAD TARGET",IF(tbldeptemp[[#This Row],[ValidDependency]]=FALSE,"BAD DEPENDENCY",""))</f>
        <v>#ERROR!</v>
      </c>
    </row>
    <row r="657" ht="14.25" customHeight="1">
      <c r="A657" s="26" t="s">
        <v>1151</v>
      </c>
      <c r="B657" s="26" t="s">
        <v>4665</v>
      </c>
      <c r="C657" s="26" t="s">
        <v>933</v>
      </c>
      <c r="D657" s="26" t="s">
        <v>6286</v>
      </c>
      <c r="E657" s="26" t="s">
        <v>6287</v>
      </c>
      <c r="F657" s="26" t="b">
        <v>0</v>
      </c>
      <c r="G657" s="26" t="s">
        <v>5097</v>
      </c>
      <c r="H657" s="26" t="s">
        <v>933</v>
      </c>
      <c r="I657" s="26" t="s">
        <v>1671</v>
      </c>
      <c r="J657" s="26" t="b">
        <v>1</v>
      </c>
      <c r="K657" s="26" t="str">
        <f>ISNUMBER(_xlfn.XMATCH(tbldeptemp[[#This Row],[DependencyID]],tblTargets[TargetID]))</f>
        <v>#ERROR!</v>
      </c>
      <c r="L657" s="26" t="str">
        <f>IF(tbldeptemp[[#This Row],[ValidTarget]]=FALSE,"BAD TARGET",IF(tbldeptemp[[#This Row],[ValidDependency]]=FALSE,"BAD DEPENDENCY",""))</f>
        <v>#ERROR!</v>
      </c>
    </row>
    <row r="658" ht="14.25" customHeight="1">
      <c r="A658" s="26" t="s">
        <v>1151</v>
      </c>
      <c r="B658" s="82" t="s">
        <v>4780</v>
      </c>
      <c r="C658" s="135" t="s">
        <v>1076</v>
      </c>
      <c r="D658" s="26" t="s">
        <v>6288</v>
      </c>
      <c r="E658" s="26" t="s">
        <v>6289</v>
      </c>
      <c r="F658" s="26" t="b">
        <v>1</v>
      </c>
      <c r="G658" s="26" t="s">
        <v>5097</v>
      </c>
      <c r="H658" s="135" t="s">
        <v>1076</v>
      </c>
      <c r="I658" s="135" t="s">
        <v>1534</v>
      </c>
      <c r="J658" s="26" t="b">
        <v>1</v>
      </c>
      <c r="K658" s="26" t="str">
        <f>ISNUMBER(_xlfn.XMATCH(tbldeptemp[[#This Row],[DependencyID]],tblTargets[TargetID]))</f>
        <v>#ERROR!</v>
      </c>
      <c r="L658" s="26" t="str">
        <f>IF(tbldeptemp[[#This Row],[ValidTarget]]=FALSE,"BAD TARGET",IF(tbldeptemp[[#This Row],[ValidDependency]]=FALSE,"BAD DEPENDENCY",""))</f>
        <v>#ERROR!</v>
      </c>
    </row>
    <row r="659" ht="14.25" customHeight="1">
      <c r="A659" s="135" t="s">
        <v>1705</v>
      </c>
      <c r="B659" s="135" t="s">
        <v>5112</v>
      </c>
      <c r="C659" s="135" t="s">
        <v>5113</v>
      </c>
      <c r="D659" s="26" t="s">
        <v>6290</v>
      </c>
      <c r="E659" s="26" t="s">
        <v>6291</v>
      </c>
      <c r="F659" s="26" t="b">
        <v>1</v>
      </c>
      <c r="G659" s="26" t="s">
        <v>5097</v>
      </c>
      <c r="H659" s="135" t="s">
        <v>1715</v>
      </c>
      <c r="I659" s="135" t="s">
        <v>1712</v>
      </c>
      <c r="J659" s="26" t="b">
        <v>1</v>
      </c>
      <c r="K659" s="26" t="str">
        <f>ISNUMBER(_xlfn.XMATCH(tbldeptemp[[#This Row],[DependencyID]],tblTargets[TargetID]))</f>
        <v>#ERROR!</v>
      </c>
      <c r="L659" s="26" t="str">
        <f>IF(tbldeptemp[[#This Row],[ValidTarget]]=FALSE,"BAD TARGET",IF(tbldeptemp[[#This Row],[ValidDependency]]=FALSE,"BAD DEPENDENCY",""))</f>
        <v>#ERROR!</v>
      </c>
    </row>
    <row r="660" ht="14.25" customHeight="1">
      <c r="A660" s="135" t="s">
        <v>1705</v>
      </c>
      <c r="B660" s="135" t="s">
        <v>5119</v>
      </c>
      <c r="C660" s="135" t="s">
        <v>5120</v>
      </c>
      <c r="D660" s="26" t="s">
        <v>6292</v>
      </c>
      <c r="E660" s="26" t="s">
        <v>6293</v>
      </c>
      <c r="F660" s="26" t="b">
        <v>1</v>
      </c>
      <c r="G660" s="26" t="s">
        <v>5097</v>
      </c>
      <c r="H660" s="135" t="s">
        <v>1719</v>
      </c>
      <c r="I660" s="135" t="s">
        <v>1726</v>
      </c>
      <c r="J660" s="26" t="b">
        <v>1</v>
      </c>
      <c r="K660" s="26" t="str">
        <f>ISNUMBER(_xlfn.XMATCH(tbldeptemp[[#This Row],[DependencyID]],tblTargets[TargetID]))</f>
        <v>#ERROR!</v>
      </c>
      <c r="L660" s="26" t="str">
        <f>IF(tbldeptemp[[#This Row],[ValidTarget]]=FALSE,"BAD TARGET",IF(tbldeptemp[[#This Row],[ValidDependency]]=FALSE,"BAD DEPENDENCY",""))</f>
        <v>#ERROR!</v>
      </c>
    </row>
    <row r="661" ht="14.25" customHeight="1">
      <c r="A661" s="135" t="s">
        <v>1705</v>
      </c>
      <c r="B661" s="135" t="s">
        <v>5128</v>
      </c>
      <c r="C661" s="135" t="s">
        <v>5129</v>
      </c>
      <c r="D661" s="26" t="s">
        <v>6292</v>
      </c>
      <c r="E661" s="26" t="s">
        <v>6293</v>
      </c>
      <c r="F661" s="26" t="b">
        <v>1</v>
      </c>
      <c r="G661" s="26" t="s">
        <v>5097</v>
      </c>
      <c r="H661" s="135" t="s">
        <v>1724</v>
      </c>
      <c r="I661" s="135" t="s">
        <v>1726</v>
      </c>
      <c r="J661" s="26" t="b">
        <v>1</v>
      </c>
      <c r="K661" s="26" t="str">
        <f>ISNUMBER(_xlfn.XMATCH(tbldeptemp[[#This Row],[DependencyID]],tblTargets[TargetID]))</f>
        <v>#ERROR!</v>
      </c>
      <c r="L661" s="26" t="str">
        <f>IF(tbldeptemp[[#This Row],[ValidTarget]]=FALSE,"BAD TARGET",IF(tbldeptemp[[#This Row],[ValidDependency]]=FALSE,"BAD DEPENDENCY",""))</f>
        <v>#ERROR!</v>
      </c>
    </row>
    <row r="662" ht="14.25" customHeight="1">
      <c r="A662" s="135" t="s">
        <v>1705</v>
      </c>
      <c r="B662" s="135" t="s">
        <v>5132</v>
      </c>
      <c r="C662" s="135" t="s">
        <v>5133</v>
      </c>
      <c r="D662" s="26" t="s">
        <v>6292</v>
      </c>
      <c r="E662" s="26" t="s">
        <v>6293</v>
      </c>
      <c r="F662" s="26" t="b">
        <v>1</v>
      </c>
      <c r="G662" s="26" t="s">
        <v>5097</v>
      </c>
      <c r="H662" s="135" t="s">
        <v>1728</v>
      </c>
      <c r="I662" s="135" t="s">
        <v>1726</v>
      </c>
      <c r="J662" s="26" t="b">
        <v>1</v>
      </c>
      <c r="K662" s="26" t="str">
        <f>ISNUMBER(_xlfn.XMATCH(tbldeptemp[[#This Row],[DependencyID]],tblTargets[TargetID]))</f>
        <v>#ERROR!</v>
      </c>
      <c r="L662" s="26" t="str">
        <f>IF(tbldeptemp[[#This Row],[ValidTarget]]=FALSE,"BAD TARGET",IF(tbldeptemp[[#This Row],[ValidDependency]]=FALSE,"BAD DEPENDENCY",""))</f>
        <v>#ERROR!</v>
      </c>
    </row>
    <row r="663" ht="14.25" customHeight="1">
      <c r="A663" s="135" t="s">
        <v>1705</v>
      </c>
      <c r="B663" s="135" t="s">
        <v>5134</v>
      </c>
      <c r="C663" s="135" t="s">
        <v>5135</v>
      </c>
      <c r="D663" s="26" t="s">
        <v>6298</v>
      </c>
      <c r="E663" s="26" t="s">
        <v>6299</v>
      </c>
      <c r="F663" s="26" t="b">
        <v>1</v>
      </c>
      <c r="G663" s="26" t="s">
        <v>5097</v>
      </c>
      <c r="H663" s="135" t="s">
        <v>1733</v>
      </c>
      <c r="I663" s="135" t="s">
        <v>1735</v>
      </c>
      <c r="J663" s="26" t="b">
        <v>1</v>
      </c>
      <c r="K663" s="26" t="str">
        <f>ISNUMBER(_xlfn.XMATCH(tbldeptemp[[#This Row],[DependencyID]],tblTargets[TargetID]))</f>
        <v>#ERROR!</v>
      </c>
      <c r="L663" s="26" t="str">
        <f>IF(tbldeptemp[[#This Row],[ValidTarget]]=FALSE,"BAD TARGET",IF(tbldeptemp[[#This Row],[ValidDependency]]=FALSE,"BAD DEPENDENCY",""))</f>
        <v>#ERROR!</v>
      </c>
    </row>
    <row r="664" ht="14.25" customHeight="1">
      <c r="A664" s="135" t="s">
        <v>1705</v>
      </c>
      <c r="B664" s="135" t="s">
        <v>5144</v>
      </c>
      <c r="C664" s="135" t="s">
        <v>5145</v>
      </c>
      <c r="D664" s="26" t="s">
        <v>6300</v>
      </c>
      <c r="E664" s="26" t="s">
        <v>6301</v>
      </c>
      <c r="F664" s="26" t="b">
        <v>1</v>
      </c>
      <c r="G664" s="26" t="s">
        <v>5097</v>
      </c>
      <c r="H664" s="135" t="s">
        <v>1742</v>
      </c>
      <c r="I664" s="135" t="s">
        <v>1740</v>
      </c>
      <c r="J664" s="26" t="b">
        <v>1</v>
      </c>
      <c r="K664" s="26" t="str">
        <f>ISNUMBER(_xlfn.XMATCH(tbldeptemp[[#This Row],[DependencyID]],tblTargets[TargetID]))</f>
        <v>#ERROR!</v>
      </c>
      <c r="L664" s="26" t="str">
        <f>IF(tbldeptemp[[#This Row],[ValidTarget]]=FALSE,"BAD TARGET",IF(tbldeptemp[[#This Row],[ValidDependency]]=FALSE,"BAD DEPENDENCY",""))</f>
        <v>#ERROR!</v>
      </c>
    </row>
    <row r="665" ht="14.25" customHeight="1">
      <c r="A665" s="135" t="s">
        <v>1705</v>
      </c>
      <c r="B665" s="135" t="s">
        <v>5134</v>
      </c>
      <c r="C665" s="135" t="s">
        <v>5135</v>
      </c>
      <c r="D665" s="26" t="s">
        <v>6302</v>
      </c>
      <c r="E665" s="26" t="s">
        <v>6303</v>
      </c>
      <c r="F665" s="26" t="b">
        <v>1</v>
      </c>
      <c r="G665" s="26" t="s">
        <v>5097</v>
      </c>
      <c r="H665" s="135" t="s">
        <v>1733</v>
      </c>
      <c r="I665" s="135" t="s">
        <v>1742</v>
      </c>
      <c r="J665" s="26" t="b">
        <v>1</v>
      </c>
      <c r="K665" s="26" t="str">
        <f>ISNUMBER(_xlfn.XMATCH(tbldeptemp[[#This Row],[DependencyID]],tblTargets[TargetID]))</f>
        <v>#ERROR!</v>
      </c>
      <c r="L665" s="26" t="str">
        <f>IF(tbldeptemp[[#This Row],[ValidTarget]]=FALSE,"BAD TARGET",IF(tbldeptemp[[#This Row],[ValidDependency]]=FALSE,"BAD DEPENDENCY",""))</f>
        <v>#ERROR!</v>
      </c>
    </row>
    <row r="666" ht="14.25" customHeight="1">
      <c r="A666" s="135" t="s">
        <v>1705</v>
      </c>
      <c r="B666" s="135" t="s">
        <v>5110</v>
      </c>
      <c r="C666" s="135" t="s">
        <v>5111</v>
      </c>
      <c r="D666" s="26" t="s">
        <v>6304</v>
      </c>
      <c r="E666" s="26" t="s">
        <v>6305</v>
      </c>
      <c r="F666" s="26" t="b">
        <v>1</v>
      </c>
      <c r="G666" s="26" t="s">
        <v>5097</v>
      </c>
      <c r="H666" s="135" t="s">
        <v>1707</v>
      </c>
      <c r="I666" s="135" t="s">
        <v>1747</v>
      </c>
      <c r="J666" s="26" t="b">
        <v>1</v>
      </c>
      <c r="K666" s="26" t="str">
        <f>ISNUMBER(_xlfn.XMATCH(tbldeptemp[[#This Row],[DependencyID]],tblTargets[TargetID]))</f>
        <v>#ERROR!</v>
      </c>
      <c r="L666" s="26" t="str">
        <f>IF(tbldeptemp[[#This Row],[ValidTarget]]=FALSE,"BAD TARGET",IF(tbldeptemp[[#This Row],[ValidDependency]]=FALSE,"BAD DEPENDENCY",""))</f>
        <v>#ERROR!</v>
      </c>
    </row>
    <row r="667" ht="14.25" customHeight="1">
      <c r="A667" s="135" t="s">
        <v>1705</v>
      </c>
      <c r="B667" s="135" t="s">
        <v>6306</v>
      </c>
      <c r="C667" s="135" t="str">
        <f>ARRAY_CONSTRAIN(ARRAYFORMULA(_xlfn.SWITCH(tbldeptemp[[#This Row],[OwnerType]],
"BUILDING","building."&amp;tbldeptemp[[#This Row],[OwnerID]],
"TECH","tech."&amp;_xlfn.TEXTBEFORE(tbldeptemp[[#This Row],[OwnerID]],"_")&amp;"."&amp;_xlfn.TEXTAFTER(tbldeptemp[[#This Row],[OwnerID]],"_"),
"QUEST","quest."&amp;tbldeptemp[[#This Row],[OwnerID]]&amp;".accepted",
"CITADEL","citadel."&amp;tbldeptemp[[#This Row],[OwnerID]],
"COLLECTION","collection."&amp;tbldeptemp[[#This Row],[OwnerID]],
"CRAFTIFACT","craftifact."&amp;tbldeptemp[[#This Row],[OwnerID]],
"")), 1, 1)</f>
        <v>#ERROR!</v>
      </c>
      <c r="D667" s="26" t="s">
        <v>6307</v>
      </c>
      <c r="E667"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667" s="135" t="s">
        <v>1731</v>
      </c>
      <c r="I667" s="135" t="s">
        <v>1707</v>
      </c>
      <c r="J667" s="26" t="str">
        <f>COUNTIF(tblTargets[TargetID],tbldeptemp[[#This Row],[TargetID]])&gt;0</f>
        <v>#ERROR!</v>
      </c>
      <c r="K667" s="26" t="str">
        <f>ISNUMBER(_xlfn.XMATCH(tbldeptemp[[#This Row],[DependencyID]],tblTargets[TargetID]))</f>
        <v>#ERROR!</v>
      </c>
      <c r="L667" s="26" t="str">
        <f>IF(tbldeptemp[[#This Row],[ValidTarget]]=FALSE,"BAD TARGET",IF(tbldeptemp[[#This Row],[ValidDependency]]=FALSE,"BAD DEPENDENCY",""))</f>
        <v>#ERROR!</v>
      </c>
    </row>
    <row r="668" ht="14.25" customHeight="1">
      <c r="A668" s="135" t="s">
        <v>1705</v>
      </c>
      <c r="B668" s="135" t="s">
        <v>5192</v>
      </c>
      <c r="C668" s="135" t="s">
        <v>1753</v>
      </c>
      <c r="D668" s="26" t="s">
        <v>6313</v>
      </c>
      <c r="E668" s="26" t="s">
        <v>6314</v>
      </c>
      <c r="F668" s="26" t="b">
        <v>0</v>
      </c>
      <c r="G668" s="26" t="s">
        <v>5097</v>
      </c>
      <c r="H668" s="135" t="s">
        <v>1753</v>
      </c>
      <c r="I668" s="135" t="s">
        <v>1756</v>
      </c>
      <c r="J668" s="26" t="b">
        <v>1</v>
      </c>
      <c r="K668" s="26" t="str">
        <f>ISNUMBER(_xlfn.XMATCH(tbldeptemp[[#This Row],[DependencyID]],tblTargets[TargetID]))</f>
        <v>#ERROR!</v>
      </c>
      <c r="L668" s="26" t="str">
        <f>IF(tbldeptemp[[#This Row],[ValidTarget]]=FALSE,"BAD TARGET",IF(tbldeptemp[[#This Row],[ValidDependency]]=FALSE,"BAD DEPENDENCY",""))</f>
        <v>#ERROR!</v>
      </c>
    </row>
    <row r="669" ht="14.25" customHeight="1">
      <c r="A669" s="135" t="s">
        <v>932</v>
      </c>
      <c r="B669" s="135" t="s">
        <v>4358</v>
      </c>
      <c r="C669" s="135" t="s">
        <v>480</v>
      </c>
      <c r="D669" s="26" t="s">
        <v>6316</v>
      </c>
      <c r="E669" s="26" t="s">
        <v>6317</v>
      </c>
      <c r="F669" s="26" t="b">
        <v>1</v>
      </c>
      <c r="G669" s="26" t="s">
        <v>5097</v>
      </c>
      <c r="H669" s="135" t="s">
        <v>480</v>
      </c>
      <c r="I669" s="135" t="s">
        <v>1758</v>
      </c>
      <c r="J669" s="26" t="b">
        <v>1</v>
      </c>
      <c r="K669" s="26" t="str">
        <f>ISNUMBER(_xlfn.XMATCH(tbldeptemp[[#This Row],[DependencyID]],tblTargets[TargetID]))</f>
        <v>#ERROR!</v>
      </c>
      <c r="L669" s="26" t="str">
        <f>IF(tbldeptemp[[#This Row],[ValidTarget]]=FALSE,"BAD TARGET",IF(tbldeptemp[[#This Row],[ValidDependency]]=FALSE,"BAD DEPENDENCY",""))</f>
        <v>#ERROR!</v>
      </c>
    </row>
    <row r="670" ht="14.25" customHeight="1">
      <c r="A670" s="135" t="s">
        <v>932</v>
      </c>
      <c r="B670" s="135" t="s">
        <v>4362</v>
      </c>
      <c r="C670" s="135" t="s">
        <v>482</v>
      </c>
      <c r="D670" s="26" t="s">
        <v>6316</v>
      </c>
      <c r="E670" s="26" t="s">
        <v>6317</v>
      </c>
      <c r="F670" s="26" t="b">
        <v>1</v>
      </c>
      <c r="G670" s="26" t="s">
        <v>5097</v>
      </c>
      <c r="H670" s="135" t="s">
        <v>482</v>
      </c>
      <c r="I670" s="135" t="s">
        <v>1758</v>
      </c>
      <c r="J670" s="26" t="b">
        <v>1</v>
      </c>
      <c r="K670" s="26" t="str">
        <f>ISNUMBER(_xlfn.XMATCH(tbldeptemp[[#This Row],[DependencyID]],tblTargets[TargetID]))</f>
        <v>#ERROR!</v>
      </c>
      <c r="L670" s="26" t="str">
        <f>IF(tbldeptemp[[#This Row],[ValidTarget]]=FALSE,"BAD TARGET",IF(tbldeptemp[[#This Row],[ValidDependency]]=FALSE,"BAD DEPENDENCY",""))</f>
        <v>#ERROR!</v>
      </c>
    </row>
    <row r="671" ht="14.25" customHeight="1">
      <c r="A671" s="135" t="s">
        <v>932</v>
      </c>
      <c r="B671" s="135" t="s">
        <v>4365</v>
      </c>
      <c r="C671" s="135" t="s">
        <v>498</v>
      </c>
      <c r="D671" s="26" t="s">
        <v>6316</v>
      </c>
      <c r="E671" s="26" t="s">
        <v>6317</v>
      </c>
      <c r="F671" s="26" t="b">
        <v>1</v>
      </c>
      <c r="G671" s="26" t="s">
        <v>5097</v>
      </c>
      <c r="H671" s="135" t="s">
        <v>498</v>
      </c>
      <c r="I671" s="135" t="s">
        <v>1758</v>
      </c>
      <c r="J671" s="26" t="b">
        <v>1</v>
      </c>
      <c r="K671" s="26" t="str">
        <f>ISNUMBER(_xlfn.XMATCH(tbldeptemp[[#This Row],[DependencyID]],tblTargets[TargetID]))</f>
        <v>#ERROR!</v>
      </c>
      <c r="L671" s="26" t="str">
        <f>IF(tbldeptemp[[#This Row],[ValidTarget]]=FALSE,"BAD TARGET",IF(tbldeptemp[[#This Row],[ValidDependency]]=FALSE,"BAD DEPENDENCY",""))</f>
        <v>#ERROR!</v>
      </c>
    </row>
    <row r="672" ht="14.25" customHeight="1">
      <c r="A672" s="135" t="s">
        <v>932</v>
      </c>
      <c r="B672" s="135" t="s">
        <v>4369</v>
      </c>
      <c r="C672" s="135" t="s">
        <v>500</v>
      </c>
      <c r="D672" s="26" t="s">
        <v>6316</v>
      </c>
      <c r="E672" s="26" t="s">
        <v>6317</v>
      </c>
      <c r="F672" s="26" t="b">
        <v>1</v>
      </c>
      <c r="G672" s="26" t="s">
        <v>5097</v>
      </c>
      <c r="H672" s="135" t="s">
        <v>500</v>
      </c>
      <c r="I672" s="135" t="s">
        <v>1758</v>
      </c>
      <c r="J672" s="26" t="b">
        <v>1</v>
      </c>
      <c r="K672" s="26" t="str">
        <f>ISNUMBER(_xlfn.XMATCH(tbldeptemp[[#This Row],[DependencyID]],tblTargets[TargetID]))</f>
        <v>#ERROR!</v>
      </c>
      <c r="L672" s="26" t="str">
        <f>IF(tbldeptemp[[#This Row],[ValidTarget]]=FALSE,"BAD TARGET",IF(tbldeptemp[[#This Row],[ValidDependency]]=FALSE,"BAD DEPENDENCY",""))</f>
        <v>#ERROR!</v>
      </c>
    </row>
    <row r="673" ht="14.25" customHeight="1">
      <c r="A673" s="135" t="s">
        <v>932</v>
      </c>
      <c r="B673" s="135" t="s">
        <v>4371</v>
      </c>
      <c r="C673" s="135" t="s">
        <v>502</v>
      </c>
      <c r="D673" s="26" t="s">
        <v>6316</v>
      </c>
      <c r="E673" s="26" t="s">
        <v>6317</v>
      </c>
      <c r="F673" s="26" t="b">
        <v>1</v>
      </c>
      <c r="G673" s="26" t="s">
        <v>5097</v>
      </c>
      <c r="H673" s="135" t="s">
        <v>502</v>
      </c>
      <c r="I673" s="135" t="s">
        <v>1758</v>
      </c>
      <c r="J673" s="26" t="b">
        <v>1</v>
      </c>
      <c r="K673" s="26" t="str">
        <f>ISNUMBER(_xlfn.XMATCH(tbldeptemp[[#This Row],[DependencyID]],tblTargets[TargetID]))</f>
        <v>#ERROR!</v>
      </c>
      <c r="L673" s="26" t="str">
        <f>IF(tbldeptemp[[#This Row],[ValidTarget]]=FALSE,"BAD TARGET",IF(tbldeptemp[[#This Row],[ValidDependency]]=FALSE,"BAD DEPENDENCY",""))</f>
        <v>#ERROR!</v>
      </c>
    </row>
    <row r="674" ht="14.25" customHeight="1">
      <c r="A674" s="135" t="s">
        <v>932</v>
      </c>
      <c r="B674" s="135" t="s">
        <v>4376</v>
      </c>
      <c r="C674" s="135" t="s">
        <v>509</v>
      </c>
      <c r="D674" s="26" t="s">
        <v>6316</v>
      </c>
      <c r="E674" s="26" t="s">
        <v>6317</v>
      </c>
      <c r="F674" s="26" t="b">
        <v>1</v>
      </c>
      <c r="G674" s="26" t="s">
        <v>5097</v>
      </c>
      <c r="H674" s="135" t="s">
        <v>509</v>
      </c>
      <c r="I674" s="135" t="s">
        <v>1758</v>
      </c>
      <c r="J674" s="26" t="b">
        <v>1</v>
      </c>
      <c r="K674" s="26" t="str">
        <f>ISNUMBER(_xlfn.XMATCH(tbldeptemp[[#This Row],[DependencyID]],tblTargets[TargetID]))</f>
        <v>#ERROR!</v>
      </c>
      <c r="L674" s="26" t="str">
        <f>IF(tbldeptemp[[#This Row],[ValidTarget]]=FALSE,"BAD TARGET",IF(tbldeptemp[[#This Row],[ValidDependency]]=FALSE,"BAD DEPENDENCY",""))</f>
        <v>#ERROR!</v>
      </c>
    </row>
    <row r="675" ht="14.25" customHeight="1">
      <c r="A675" s="135" t="s">
        <v>932</v>
      </c>
      <c r="B675" s="135" t="s">
        <v>4380</v>
      </c>
      <c r="C675" s="135" t="s">
        <v>511</v>
      </c>
      <c r="D675" s="26" t="s">
        <v>6316</v>
      </c>
      <c r="E675" s="26" t="s">
        <v>6317</v>
      </c>
      <c r="F675" s="26" t="b">
        <v>1</v>
      </c>
      <c r="G675" s="26" t="s">
        <v>5097</v>
      </c>
      <c r="H675" s="135" t="s">
        <v>511</v>
      </c>
      <c r="I675" s="135" t="s">
        <v>1758</v>
      </c>
      <c r="J675" s="26" t="b">
        <v>1</v>
      </c>
      <c r="K675" s="26" t="str">
        <f>ISNUMBER(_xlfn.XMATCH(tbldeptemp[[#This Row],[DependencyID]],tblTargets[TargetID]))</f>
        <v>#ERROR!</v>
      </c>
      <c r="L675" s="26" t="str">
        <f>IF(tbldeptemp[[#This Row],[ValidTarget]]=FALSE,"BAD TARGET",IF(tbldeptemp[[#This Row],[ValidDependency]]=FALSE,"BAD DEPENDENCY",""))</f>
        <v>#ERROR!</v>
      </c>
    </row>
    <row r="676" ht="14.25" customHeight="1">
      <c r="A676" s="135" t="s">
        <v>932</v>
      </c>
      <c r="B676" s="135" t="s">
        <v>4386</v>
      </c>
      <c r="C676" s="135" t="s">
        <v>515</v>
      </c>
      <c r="D676" s="26" t="s">
        <v>6316</v>
      </c>
      <c r="E676" s="26" t="s">
        <v>6317</v>
      </c>
      <c r="F676" s="26" t="b">
        <v>1</v>
      </c>
      <c r="G676" s="26" t="s">
        <v>5097</v>
      </c>
      <c r="H676" s="135" t="s">
        <v>515</v>
      </c>
      <c r="I676" s="135" t="s">
        <v>1758</v>
      </c>
      <c r="J676" s="26" t="b">
        <v>1</v>
      </c>
      <c r="K676" s="26" t="str">
        <f>ISNUMBER(_xlfn.XMATCH(tbldeptemp[[#This Row],[DependencyID]],tblTargets[TargetID]))</f>
        <v>#ERROR!</v>
      </c>
      <c r="L676" s="26" t="str">
        <f>IF(tbldeptemp[[#This Row],[ValidTarget]]=FALSE,"BAD TARGET",IF(tbldeptemp[[#This Row],[ValidDependency]]=FALSE,"BAD DEPENDENCY",""))</f>
        <v>#ERROR!</v>
      </c>
    </row>
    <row r="677" ht="14.25" customHeight="1">
      <c r="A677" s="135" t="s">
        <v>932</v>
      </c>
      <c r="B677" s="135" t="s">
        <v>4390</v>
      </c>
      <c r="C677" s="135" t="s">
        <v>516</v>
      </c>
      <c r="D677" s="26" t="s">
        <v>6318</v>
      </c>
      <c r="E677" s="26" t="s">
        <v>6317</v>
      </c>
      <c r="F677" s="26" t="b">
        <v>1</v>
      </c>
      <c r="G677" s="26" t="s">
        <v>5097</v>
      </c>
      <c r="H677" s="135" t="s">
        <v>516</v>
      </c>
      <c r="I677" s="135" t="s">
        <v>1758</v>
      </c>
      <c r="J677" s="26" t="b">
        <v>1</v>
      </c>
      <c r="K677" s="26" t="str">
        <f>ISNUMBER(_xlfn.XMATCH(tbldeptemp[[#This Row],[DependencyID]],tblTargets[TargetID]))</f>
        <v>#ERROR!</v>
      </c>
      <c r="L677" s="26" t="str">
        <f>IF(tbldeptemp[[#This Row],[ValidTarget]]=FALSE,"BAD TARGET",IF(tbldeptemp[[#This Row],[ValidDependency]]=FALSE,"BAD DEPENDENCY",""))</f>
        <v>#ERROR!</v>
      </c>
    </row>
    <row r="678" ht="14.25" customHeight="1">
      <c r="A678" s="135" t="s">
        <v>932</v>
      </c>
      <c r="B678" s="135" t="s">
        <v>4394</v>
      </c>
      <c r="C678" s="135" t="s">
        <v>518</v>
      </c>
      <c r="D678" s="26" t="s">
        <v>6316</v>
      </c>
      <c r="E678" s="26" t="s">
        <v>6317</v>
      </c>
      <c r="F678" s="26" t="b">
        <v>1</v>
      </c>
      <c r="G678" s="26" t="s">
        <v>5097</v>
      </c>
      <c r="H678" s="135" t="s">
        <v>518</v>
      </c>
      <c r="I678" s="135" t="s">
        <v>1758</v>
      </c>
      <c r="J678" s="26" t="b">
        <v>1</v>
      </c>
      <c r="K678" s="26" t="str">
        <f>ISNUMBER(_xlfn.XMATCH(tbldeptemp[[#This Row],[DependencyID]],tblTargets[TargetID]))</f>
        <v>#ERROR!</v>
      </c>
      <c r="L678" s="26" t="str">
        <f>IF(tbldeptemp[[#This Row],[ValidTarget]]=FALSE,"BAD TARGET",IF(tbldeptemp[[#This Row],[ValidDependency]]=FALSE,"BAD DEPENDENCY",""))</f>
        <v>#ERROR!</v>
      </c>
    </row>
    <row r="679" ht="14.25" customHeight="1">
      <c r="A679" s="135" t="s">
        <v>932</v>
      </c>
      <c r="B679" s="135" t="s">
        <v>4395</v>
      </c>
      <c r="C679" s="135" t="s">
        <v>521</v>
      </c>
      <c r="D679" s="26" t="s">
        <v>6316</v>
      </c>
      <c r="E679" s="26" t="s">
        <v>6317</v>
      </c>
      <c r="F679" s="26" t="b">
        <v>1</v>
      </c>
      <c r="G679" s="26" t="s">
        <v>5097</v>
      </c>
      <c r="H679" s="135" t="s">
        <v>521</v>
      </c>
      <c r="I679" s="135" t="s">
        <v>1758</v>
      </c>
      <c r="J679" s="26" t="b">
        <v>1</v>
      </c>
      <c r="K679" s="26" t="str">
        <f>ISNUMBER(_xlfn.XMATCH(tbldeptemp[[#This Row],[DependencyID]],tblTargets[TargetID]))</f>
        <v>#ERROR!</v>
      </c>
      <c r="L679" s="26" t="str">
        <f>IF(tbldeptemp[[#This Row],[ValidTarget]]=FALSE,"BAD TARGET",IF(tbldeptemp[[#This Row],[ValidDependency]]=FALSE,"BAD DEPENDENCY",""))</f>
        <v>#ERROR!</v>
      </c>
    </row>
    <row r="680" ht="14.25" customHeight="1">
      <c r="A680" s="135" t="s">
        <v>932</v>
      </c>
      <c r="B680" s="135" t="s">
        <v>4397</v>
      </c>
      <c r="C680" s="135" t="s">
        <v>523</v>
      </c>
      <c r="D680" s="26" t="s">
        <v>6316</v>
      </c>
      <c r="E680" s="26" t="s">
        <v>6317</v>
      </c>
      <c r="F680" s="26" t="b">
        <v>1</v>
      </c>
      <c r="G680" s="26" t="s">
        <v>5097</v>
      </c>
      <c r="H680" s="135" t="s">
        <v>523</v>
      </c>
      <c r="I680" s="135" t="s">
        <v>1758</v>
      </c>
      <c r="J680" s="26" t="b">
        <v>1</v>
      </c>
      <c r="K680" s="26" t="str">
        <f>ISNUMBER(_xlfn.XMATCH(tbldeptemp[[#This Row],[DependencyID]],tblTargets[TargetID]))</f>
        <v>#ERROR!</v>
      </c>
      <c r="L680" s="26" t="str">
        <f>IF(tbldeptemp[[#This Row],[ValidTarget]]=FALSE,"BAD TARGET",IF(tbldeptemp[[#This Row],[ValidDependency]]=FALSE,"BAD DEPENDENCY",""))</f>
        <v>#ERROR!</v>
      </c>
    </row>
    <row r="681" ht="14.25" customHeight="1">
      <c r="A681" s="135" t="s">
        <v>1705</v>
      </c>
      <c r="B681" s="135" t="s">
        <v>5237</v>
      </c>
      <c r="C681" s="135" t="s">
        <v>1762</v>
      </c>
      <c r="D681" s="26" t="s">
        <v>6323</v>
      </c>
      <c r="E681" s="26" t="s">
        <v>6324</v>
      </c>
      <c r="F681" s="26" t="b">
        <v>1</v>
      </c>
      <c r="G681" s="26" t="s">
        <v>5097</v>
      </c>
      <c r="H681" s="135" t="s">
        <v>1762</v>
      </c>
      <c r="I681" s="135" t="s">
        <v>1765</v>
      </c>
      <c r="J681" s="26" t="b">
        <v>1</v>
      </c>
      <c r="K681" s="26" t="str">
        <f>ISNUMBER(_xlfn.XMATCH(tbldeptemp[[#This Row],[DependencyID]],tblTargets[TargetID]))</f>
        <v>#ERROR!</v>
      </c>
      <c r="L681" s="26" t="str">
        <f>IF(tbldeptemp[[#This Row],[ValidTarget]]=FALSE,"BAD TARGET",IF(tbldeptemp[[#This Row],[ValidDependency]]=FALSE,"BAD DEPENDENCY",""))</f>
        <v>#ERROR!</v>
      </c>
    </row>
    <row r="682" ht="14.25" customHeight="1">
      <c r="A682" s="135" t="s">
        <v>1705</v>
      </c>
      <c r="B682" s="135" t="s">
        <v>5241</v>
      </c>
      <c r="C682" s="135" t="s">
        <v>1768</v>
      </c>
      <c r="D682" s="26" t="s">
        <v>6325</v>
      </c>
      <c r="E682" s="26" t="s">
        <v>6326</v>
      </c>
      <c r="F682" s="26" t="b">
        <v>1</v>
      </c>
      <c r="G682" s="26" t="s">
        <v>5097</v>
      </c>
      <c r="H682" s="135" t="s">
        <v>1768</v>
      </c>
      <c r="I682" s="135" t="s">
        <v>1768</v>
      </c>
      <c r="J682" s="26" t="b">
        <v>1</v>
      </c>
      <c r="K682" s="26" t="str">
        <f>ISNUMBER(_xlfn.XMATCH(tbldeptemp[[#This Row],[DependencyID]],tblTargets[TargetID]))</f>
        <v>#ERROR!</v>
      </c>
      <c r="L682" s="26" t="str">
        <f>IF(tbldeptemp[[#This Row],[ValidTarget]]=FALSE,"BAD TARGET",IF(tbldeptemp[[#This Row],[ValidDependency]]=FALSE,"BAD DEPENDENCY",""))</f>
        <v>#ERROR!</v>
      </c>
    </row>
    <row r="683" ht="14.25" customHeight="1">
      <c r="A683" s="135" t="s">
        <v>1705</v>
      </c>
      <c r="B683" s="135" t="s">
        <v>5094</v>
      </c>
      <c r="C683" s="135" t="s">
        <v>1703</v>
      </c>
      <c r="D683" s="26" t="s">
        <v>6327</v>
      </c>
      <c r="E683" s="26" t="s">
        <v>6328</v>
      </c>
      <c r="F683" s="26" t="b">
        <v>0</v>
      </c>
      <c r="G683" s="26" t="s">
        <v>5097</v>
      </c>
      <c r="H683" s="135" t="s">
        <v>1703</v>
      </c>
      <c r="I683" s="135" t="s">
        <v>1793</v>
      </c>
      <c r="J683" s="26" t="b">
        <v>1</v>
      </c>
      <c r="K683" s="26" t="str">
        <f>ISNUMBER(_xlfn.XMATCH(tbldeptemp[[#This Row],[DependencyID]],tblTargets[TargetID]))</f>
        <v>#ERROR!</v>
      </c>
      <c r="L683" s="26" t="str">
        <f>IF(tbldeptemp[[#This Row],[ValidTarget]]=FALSE,"BAD TARGET",IF(tbldeptemp[[#This Row],[ValidDependency]]=FALSE,"BAD DEPENDENCY",""))</f>
        <v>#ERROR!</v>
      </c>
    </row>
    <row r="684" ht="14.25" customHeight="1">
      <c r="A684" s="135" t="s">
        <v>1705</v>
      </c>
      <c r="B684" s="135" t="s">
        <v>5451</v>
      </c>
      <c r="C684" s="135" t="s">
        <v>1854</v>
      </c>
      <c r="D684" s="26" t="s">
        <v>6327</v>
      </c>
      <c r="E684" s="26" t="s">
        <v>6328</v>
      </c>
      <c r="F684" s="26" t="b">
        <v>0</v>
      </c>
      <c r="G684" s="26" t="s">
        <v>5097</v>
      </c>
      <c r="H684" s="135" t="s">
        <v>1854</v>
      </c>
      <c r="I684" s="135" t="s">
        <v>1793</v>
      </c>
      <c r="J684" s="26" t="b">
        <v>1</v>
      </c>
      <c r="K684" s="26" t="str">
        <f>ISNUMBER(_xlfn.XMATCH(tbldeptemp[[#This Row],[DependencyID]],tblTargets[TargetID]))</f>
        <v>#ERROR!</v>
      </c>
      <c r="L684" s="26" t="str">
        <f>IF(tbldeptemp[[#This Row],[ValidTarget]]=FALSE,"BAD TARGET",IF(tbldeptemp[[#This Row],[ValidDependency]]=FALSE,"BAD DEPENDENCY",""))</f>
        <v>#ERROR!</v>
      </c>
    </row>
    <row r="685" ht="14.25" customHeight="1">
      <c r="A685" s="135" t="s">
        <v>1705</v>
      </c>
      <c r="B685" s="135" t="s">
        <v>5330</v>
      </c>
      <c r="C685" s="135" t="s">
        <v>1800</v>
      </c>
      <c r="D685" s="26" t="s">
        <v>6329</v>
      </c>
      <c r="E685" s="26" t="s">
        <v>6330</v>
      </c>
      <c r="F685" s="26" t="b">
        <v>0</v>
      </c>
      <c r="G685" s="26" t="s">
        <v>5097</v>
      </c>
      <c r="H685" s="135" t="s">
        <v>1800</v>
      </c>
      <c r="I685" s="135" t="s">
        <v>1802</v>
      </c>
      <c r="J685" s="26" t="b">
        <v>1</v>
      </c>
      <c r="K685" s="26" t="str">
        <f>ISNUMBER(_xlfn.XMATCH(tbldeptemp[[#This Row],[DependencyID]],tblTargets[TargetID]))</f>
        <v>#ERROR!</v>
      </c>
      <c r="L685" s="26" t="str">
        <f>IF(tbldeptemp[[#This Row],[ValidTarget]]=FALSE,"BAD TARGET",IF(tbldeptemp[[#This Row],[ValidDependency]]=FALSE,"BAD DEPENDENCY",""))</f>
        <v>#ERROR!</v>
      </c>
    </row>
    <row r="686" ht="14.25" customHeight="1">
      <c r="A686" s="135" t="s">
        <v>1705</v>
      </c>
      <c r="B686" s="135" t="s">
        <v>5365</v>
      </c>
      <c r="C686" s="135" t="s">
        <v>1807</v>
      </c>
      <c r="D686" s="26" t="s">
        <v>6331</v>
      </c>
      <c r="E686" s="26" t="s">
        <v>6332</v>
      </c>
      <c r="F686" s="26" t="b">
        <v>0</v>
      </c>
      <c r="G686" s="26" t="s">
        <v>5097</v>
      </c>
      <c r="H686" s="135" t="s">
        <v>1807</v>
      </c>
      <c r="I686" s="135" t="s">
        <v>1805</v>
      </c>
      <c r="J686" s="26" t="b">
        <v>1</v>
      </c>
      <c r="K686" s="26" t="str">
        <f>ISNUMBER(_xlfn.XMATCH(tbldeptemp[[#This Row],[DependencyID]],tblTargets[TargetID]))</f>
        <v>#ERROR!</v>
      </c>
      <c r="L686" s="26" t="str">
        <f>IF(tbldeptemp[[#This Row],[ValidTarget]]=FALSE,"BAD TARGET",IF(tbldeptemp[[#This Row],[ValidDependency]]=FALSE,"BAD DEPENDENCY",""))</f>
        <v>#ERROR!</v>
      </c>
    </row>
    <row r="687" ht="14.25" customHeight="1">
      <c r="A687" s="135" t="s">
        <v>1705</v>
      </c>
      <c r="B687" s="135" t="s">
        <v>5366</v>
      </c>
      <c r="C687" s="135" t="s">
        <v>1809</v>
      </c>
      <c r="D687" s="26" t="s">
        <v>6333</v>
      </c>
      <c r="E687" s="26" t="s">
        <v>6334</v>
      </c>
      <c r="F687" s="26" t="b">
        <v>0</v>
      </c>
      <c r="G687" s="26" t="s">
        <v>5097</v>
      </c>
      <c r="H687" s="135" t="s">
        <v>1809</v>
      </c>
      <c r="I687" s="135" t="s">
        <v>1812</v>
      </c>
      <c r="J687" s="26" t="b">
        <v>1</v>
      </c>
      <c r="K687" s="26" t="str">
        <f>ISNUMBER(_xlfn.XMATCH(tbldeptemp[[#This Row],[DependencyID]],tblTargets[TargetID]))</f>
        <v>#ERROR!</v>
      </c>
      <c r="L687" s="26" t="str">
        <f>IF(tbldeptemp[[#This Row],[ValidTarget]]=FALSE,"BAD TARGET",IF(tbldeptemp[[#This Row],[ValidDependency]]=FALSE,"BAD DEPENDENCY",""))</f>
        <v>#ERROR!</v>
      </c>
    </row>
    <row r="688" ht="14.25" customHeight="1">
      <c r="A688" s="135" t="s">
        <v>1705</v>
      </c>
      <c r="B688" s="135" t="s">
        <v>5418</v>
      </c>
      <c r="C688" s="135" t="s">
        <v>1829</v>
      </c>
      <c r="D688" s="26" t="s">
        <v>6335</v>
      </c>
      <c r="E688" s="26" t="s">
        <v>6336</v>
      </c>
      <c r="F688" s="26" t="b">
        <v>1</v>
      </c>
      <c r="G688" s="26" t="s">
        <v>5097</v>
      </c>
      <c r="H688" s="135" t="s">
        <v>1829</v>
      </c>
      <c r="I688" s="135" t="s">
        <v>1827</v>
      </c>
      <c r="J688" s="26" t="b">
        <v>1</v>
      </c>
      <c r="K688" s="26" t="str">
        <f>ISNUMBER(_xlfn.XMATCH(tbldeptemp[[#This Row],[DependencyID]],tblTargets[TargetID]))</f>
        <v>#ERROR!</v>
      </c>
      <c r="L688" s="26" t="str">
        <f>IF(tbldeptemp[[#This Row],[ValidTarget]]=FALSE,"BAD TARGET",IF(tbldeptemp[[#This Row],[ValidDependency]]=FALSE,"BAD DEPENDENCY",""))</f>
        <v>#ERROR!</v>
      </c>
    </row>
    <row r="689" ht="14.25" customHeight="1">
      <c r="A689" s="135" t="s">
        <v>1705</v>
      </c>
      <c r="B689" s="135" t="s">
        <v>5431</v>
      </c>
      <c r="C689" s="135" t="s">
        <v>1843</v>
      </c>
      <c r="D689" s="26" t="s">
        <v>6335</v>
      </c>
      <c r="E689" s="26" t="s">
        <v>6336</v>
      </c>
      <c r="F689" s="26" t="b">
        <v>1</v>
      </c>
      <c r="G689" s="26" t="s">
        <v>5097</v>
      </c>
      <c r="H689" s="135" t="s">
        <v>1843</v>
      </c>
      <c r="I689" s="135" t="s">
        <v>1827</v>
      </c>
      <c r="J689" s="26" t="b">
        <v>1</v>
      </c>
      <c r="K689" s="26" t="str">
        <f>ISNUMBER(_xlfn.XMATCH(tbldeptemp[[#This Row],[DependencyID]],tblTargets[TargetID]))</f>
        <v>#ERROR!</v>
      </c>
      <c r="L689" s="26" t="str">
        <f>IF(tbldeptemp[[#This Row],[ValidTarget]]=FALSE,"BAD TARGET",IF(tbldeptemp[[#This Row],[ValidDependency]]=FALSE,"BAD DEPENDENCY",""))</f>
        <v>#ERROR!</v>
      </c>
    </row>
    <row r="690" ht="14.25" customHeight="1">
      <c r="A690" s="135" t="s">
        <v>1705</v>
      </c>
      <c r="B690" s="135" t="s">
        <v>5419</v>
      </c>
      <c r="C690" s="135" t="s">
        <v>1832</v>
      </c>
      <c r="D690" s="26" t="s">
        <v>6340</v>
      </c>
      <c r="E690" s="26" t="s">
        <v>6341</v>
      </c>
      <c r="F690" s="26" t="b">
        <v>1</v>
      </c>
      <c r="G690" s="26" t="s">
        <v>5097</v>
      </c>
      <c r="H690" s="135" t="s">
        <v>1832</v>
      </c>
      <c r="I690" s="135" t="s">
        <v>1829</v>
      </c>
      <c r="J690" s="26" t="b">
        <v>1</v>
      </c>
      <c r="K690" s="26" t="str">
        <f>ISNUMBER(_xlfn.XMATCH(tbldeptemp[[#This Row],[DependencyID]],tblTargets[TargetID]))</f>
        <v>#ERROR!</v>
      </c>
      <c r="L690" s="26" t="str">
        <f>IF(tbldeptemp[[#This Row],[ValidTarget]]=FALSE,"BAD TARGET",IF(tbldeptemp[[#This Row],[ValidDependency]]=FALSE,"BAD DEPENDENCY",""))</f>
        <v>#ERROR!</v>
      </c>
    </row>
    <row r="691" ht="14.25" customHeight="1">
      <c r="A691" s="135" t="s">
        <v>1705</v>
      </c>
      <c r="B691" s="135" t="s">
        <v>5420</v>
      </c>
      <c r="C691" s="135" t="s">
        <v>1834</v>
      </c>
      <c r="D691" s="26" t="s">
        <v>6342</v>
      </c>
      <c r="E691" s="26" t="s">
        <v>6343</v>
      </c>
      <c r="F691" s="26" t="b">
        <v>1</v>
      </c>
      <c r="G691" s="26" t="s">
        <v>5097</v>
      </c>
      <c r="H691" s="135" t="s">
        <v>1834</v>
      </c>
      <c r="I691" s="135" t="s">
        <v>1832</v>
      </c>
      <c r="J691" s="26" t="b">
        <v>1</v>
      </c>
      <c r="K691" s="26" t="str">
        <f>ISNUMBER(_xlfn.XMATCH(tbldeptemp[[#This Row],[DependencyID]],tblTargets[TargetID]))</f>
        <v>#ERROR!</v>
      </c>
      <c r="L691" s="26" t="str">
        <f>IF(tbldeptemp[[#This Row],[ValidTarget]]=FALSE,"BAD TARGET",IF(tbldeptemp[[#This Row],[ValidDependency]]=FALSE,"BAD DEPENDENCY",""))</f>
        <v>#ERROR!</v>
      </c>
    </row>
    <row r="692" ht="14.25" customHeight="1">
      <c r="A692" s="135" t="s">
        <v>1151</v>
      </c>
      <c r="B692" s="135" t="s">
        <v>4965</v>
      </c>
      <c r="C692" s="135" t="s">
        <v>1303</v>
      </c>
      <c r="D692" s="26" t="s">
        <v>6344</v>
      </c>
      <c r="E692" s="26" t="s">
        <v>6345</v>
      </c>
      <c r="F692" s="26" t="b">
        <v>1</v>
      </c>
      <c r="G692" s="26" t="s">
        <v>5097</v>
      </c>
      <c r="H692" s="135" t="s">
        <v>1303</v>
      </c>
      <c r="I692" s="135" t="s">
        <v>1834</v>
      </c>
      <c r="J692" s="26" t="b">
        <v>1</v>
      </c>
      <c r="K692" s="26" t="str">
        <f>ISNUMBER(_xlfn.XMATCH(tbldeptemp[[#This Row],[DependencyID]],tblTargets[TargetID]))</f>
        <v>#ERROR!</v>
      </c>
      <c r="L692" s="26" t="str">
        <f>IF(tbldeptemp[[#This Row],[ValidTarget]]=FALSE,"BAD TARGET",IF(tbldeptemp[[#This Row],[ValidDependency]]=FALSE,"BAD DEPENDENCY",""))</f>
        <v>#ERROR!</v>
      </c>
    </row>
    <row r="693" ht="14.25" customHeight="1">
      <c r="A693" s="135" t="s">
        <v>1705</v>
      </c>
      <c r="B693" s="135" t="s">
        <v>5421</v>
      </c>
      <c r="C693" s="135" t="s">
        <v>1836</v>
      </c>
      <c r="D693" s="26" t="s">
        <v>6344</v>
      </c>
      <c r="E693" s="26" t="s">
        <v>6345</v>
      </c>
      <c r="F693" s="26" t="b">
        <v>1</v>
      </c>
      <c r="G693" s="26" t="s">
        <v>5097</v>
      </c>
      <c r="H693" s="135" t="s">
        <v>1836</v>
      </c>
      <c r="I693" s="135" t="s">
        <v>1834</v>
      </c>
      <c r="J693" s="26" t="b">
        <v>1</v>
      </c>
      <c r="K693" s="26" t="str">
        <f>ISNUMBER(_xlfn.XMATCH(tbldeptemp[[#This Row],[DependencyID]],tblTargets[TargetID]))</f>
        <v>#ERROR!</v>
      </c>
      <c r="L693" s="26" t="str">
        <f>IF(tbldeptemp[[#This Row],[ValidTarget]]=FALSE,"BAD TARGET",IF(tbldeptemp[[#This Row],[ValidDependency]]=FALSE,"BAD DEPENDENCY",""))</f>
        <v>#ERROR!</v>
      </c>
    </row>
    <row r="694" ht="14.25" customHeight="1">
      <c r="A694" s="135" t="s">
        <v>1705</v>
      </c>
      <c r="B694" s="135" t="s">
        <v>5443</v>
      </c>
      <c r="C694" s="135" t="s">
        <v>1850</v>
      </c>
      <c r="D694" s="26" t="s">
        <v>6346</v>
      </c>
      <c r="E694" s="26" t="s">
        <v>6347</v>
      </c>
      <c r="F694" s="26" t="b">
        <v>1</v>
      </c>
      <c r="G694" s="26" t="s">
        <v>5097</v>
      </c>
      <c r="H694" s="135" t="s">
        <v>1850</v>
      </c>
      <c r="I694" s="135" t="s">
        <v>1847</v>
      </c>
      <c r="J694" s="26" t="b">
        <v>1</v>
      </c>
      <c r="K694" s="26" t="str">
        <f>ISNUMBER(_xlfn.XMATCH(tbldeptemp[[#This Row],[DependencyID]],tblTargets[TargetID]))</f>
        <v>#ERROR!</v>
      </c>
      <c r="L694" s="26" t="str">
        <f>IF(tbldeptemp[[#This Row],[ValidTarget]]=FALSE,"BAD TARGET",IF(tbldeptemp[[#This Row],[ValidDependency]]=FALSE,"BAD DEPENDENCY",""))</f>
        <v>#ERROR!</v>
      </c>
    </row>
    <row r="695" ht="14.25" customHeight="1">
      <c r="A695" s="135" t="s">
        <v>1705</v>
      </c>
      <c r="B695" s="135" t="s">
        <v>5456</v>
      </c>
      <c r="C695" s="135" t="s">
        <v>1865</v>
      </c>
      <c r="D695" s="26" t="s">
        <v>6346</v>
      </c>
      <c r="E695" s="26" t="s">
        <v>6347</v>
      </c>
      <c r="F695" s="26" t="b">
        <v>1</v>
      </c>
      <c r="G695" s="26" t="s">
        <v>5097</v>
      </c>
      <c r="H695" s="135" t="s">
        <v>1865</v>
      </c>
      <c r="I695" s="135" t="s">
        <v>1847</v>
      </c>
      <c r="J695" s="26" t="b">
        <v>1</v>
      </c>
      <c r="K695" s="26" t="str">
        <f>ISNUMBER(_xlfn.XMATCH(tbldeptemp[[#This Row],[DependencyID]],tblTargets[TargetID]))</f>
        <v>#ERROR!</v>
      </c>
      <c r="L695" s="26" t="str">
        <f>IF(tbldeptemp[[#This Row],[ValidTarget]]=FALSE,"BAD TARGET",IF(tbldeptemp[[#This Row],[ValidDependency]]=FALSE,"BAD DEPENDENCY",""))</f>
        <v>#ERROR!</v>
      </c>
    </row>
    <row r="696" ht="14.25" customHeight="1">
      <c r="A696" s="135" t="s">
        <v>1705</v>
      </c>
      <c r="B696" s="135" t="s">
        <v>5446</v>
      </c>
      <c r="C696" s="135" t="s">
        <v>1852</v>
      </c>
      <c r="D696" s="26" t="s">
        <v>6348</v>
      </c>
      <c r="E696" s="26" t="s">
        <v>6349</v>
      </c>
      <c r="F696" s="26" t="b">
        <v>1</v>
      </c>
      <c r="G696" s="26" t="s">
        <v>5097</v>
      </c>
      <c r="H696" s="135" t="s">
        <v>1852</v>
      </c>
      <c r="I696" s="135" t="s">
        <v>1850</v>
      </c>
      <c r="J696" s="26" t="b">
        <v>1</v>
      </c>
      <c r="K696" s="26" t="str">
        <f>ISNUMBER(_xlfn.XMATCH(tbldeptemp[[#This Row],[DependencyID]],tblTargets[TargetID]))</f>
        <v>#ERROR!</v>
      </c>
      <c r="L696" s="26" t="str">
        <f>IF(tbldeptemp[[#This Row],[ValidTarget]]=FALSE,"BAD TARGET",IF(tbldeptemp[[#This Row],[ValidDependency]]=FALSE,"BAD DEPENDENCY",""))</f>
        <v>#ERROR!</v>
      </c>
    </row>
    <row r="697" ht="14.25" customHeight="1">
      <c r="A697" s="135" t="s">
        <v>1151</v>
      </c>
      <c r="B697" s="135" t="s">
        <v>4965</v>
      </c>
      <c r="C697" s="135" t="s">
        <v>1303</v>
      </c>
      <c r="D697" s="26" t="s">
        <v>6350</v>
      </c>
      <c r="E697" s="26" t="s">
        <v>6351</v>
      </c>
      <c r="F697" s="26" t="b">
        <v>0</v>
      </c>
      <c r="G697" s="26" t="s">
        <v>5097</v>
      </c>
      <c r="H697" s="135" t="s">
        <v>1303</v>
      </c>
      <c r="I697" s="135" t="s">
        <v>1854</v>
      </c>
      <c r="J697" s="26" t="b">
        <v>1</v>
      </c>
      <c r="K697" s="26" t="str">
        <f>ISNUMBER(_xlfn.XMATCH(tbldeptemp[[#This Row],[DependencyID]],tblTargets[TargetID]))</f>
        <v>#ERROR!</v>
      </c>
      <c r="L697" s="26" t="str">
        <f>IF(tbldeptemp[[#This Row],[ValidTarget]]=FALSE,"BAD TARGET",IF(tbldeptemp[[#This Row],[ValidDependency]]=FALSE,"BAD DEPENDENCY",""))</f>
        <v>#ERROR!</v>
      </c>
    </row>
    <row r="698" ht="14.25" customHeight="1">
      <c r="A698" s="135" t="s">
        <v>1705</v>
      </c>
      <c r="B698" s="135" t="s">
        <v>5452</v>
      </c>
      <c r="C698" s="135" t="s">
        <v>1856</v>
      </c>
      <c r="D698" s="26" t="s">
        <v>6350</v>
      </c>
      <c r="E698" s="26" t="s">
        <v>6351</v>
      </c>
      <c r="F698" s="26" t="b">
        <v>0</v>
      </c>
      <c r="G698" s="26" t="s">
        <v>5097</v>
      </c>
      <c r="H698" s="135" t="s">
        <v>1856</v>
      </c>
      <c r="I698" s="135" t="s">
        <v>1854</v>
      </c>
      <c r="J698" s="26" t="b">
        <v>1</v>
      </c>
      <c r="K698" s="26" t="str">
        <f>ISNUMBER(_xlfn.XMATCH(tbldeptemp[[#This Row],[DependencyID]],tblTargets[TargetID]))</f>
        <v>#ERROR!</v>
      </c>
      <c r="L698" s="26" t="str">
        <f>IF(tbldeptemp[[#This Row],[ValidTarget]]=FALSE,"BAD TARGET",IF(tbldeptemp[[#This Row],[ValidDependency]]=FALSE,"BAD DEPENDENCY",""))</f>
        <v>#ERROR!</v>
      </c>
    </row>
    <row r="699" ht="14.25" customHeight="1">
      <c r="A699" s="135" t="s">
        <v>1705</v>
      </c>
      <c r="B699" s="135" t="s">
        <v>5451</v>
      </c>
      <c r="C699" s="135" t="s">
        <v>1854</v>
      </c>
      <c r="D699" s="26" t="s">
        <v>6352</v>
      </c>
      <c r="E699" s="26" t="s">
        <v>6353</v>
      </c>
      <c r="F699" s="26" t="b">
        <v>1</v>
      </c>
      <c r="G699" s="26" t="s">
        <v>5097</v>
      </c>
      <c r="H699" s="135" t="s">
        <v>1854</v>
      </c>
      <c r="I699" s="135" t="s">
        <v>1863</v>
      </c>
      <c r="J699" s="26" t="b">
        <v>1</v>
      </c>
      <c r="K699" s="26" t="str">
        <f>ISNUMBER(_xlfn.XMATCH(tbldeptemp[[#This Row],[DependencyID]],tblTargets[TargetID]))</f>
        <v>#ERROR!</v>
      </c>
      <c r="L699" s="26" t="str">
        <f>IF(tbldeptemp[[#This Row],[ValidTarget]]=FALSE,"BAD TARGET",IF(tbldeptemp[[#This Row],[ValidDependency]]=FALSE,"BAD DEPENDENCY",""))</f>
        <v>#ERROR!</v>
      </c>
    </row>
    <row r="700" ht="14.25" customHeight="1">
      <c r="A700" s="135" t="s">
        <v>1705</v>
      </c>
      <c r="B700" s="135" t="s">
        <v>5494</v>
      </c>
      <c r="C700" s="135" t="s">
        <v>1883</v>
      </c>
      <c r="D700" s="26" t="s">
        <v>6356</v>
      </c>
      <c r="E700" s="26" t="s">
        <v>6357</v>
      </c>
      <c r="F700" s="26" t="b">
        <v>1</v>
      </c>
      <c r="G700" s="26" t="s">
        <v>5097</v>
      </c>
      <c r="H700" s="135" t="s">
        <v>1883</v>
      </c>
      <c r="I700" s="135" t="s">
        <v>1881</v>
      </c>
      <c r="J700" s="26" t="b">
        <v>1</v>
      </c>
      <c r="K700" s="26" t="str">
        <f>ISNUMBER(_xlfn.XMATCH(tbldeptemp[[#This Row],[DependencyID]],tblTargets[TargetID]))</f>
        <v>#ERROR!</v>
      </c>
      <c r="L700" s="26" t="str">
        <f>IF(tbldeptemp[[#This Row],[ValidTarget]]=FALSE,"BAD TARGET",IF(tbldeptemp[[#This Row],[ValidDependency]]=FALSE,"BAD DEPENDENCY",""))</f>
        <v>#ERROR!</v>
      </c>
    </row>
    <row r="701" ht="14.25" customHeight="1">
      <c r="A701" s="135" t="s">
        <v>1705</v>
      </c>
      <c r="B701" s="135" t="s">
        <v>5495</v>
      </c>
      <c r="C701" s="135" t="s">
        <v>1885</v>
      </c>
      <c r="D701" s="26" t="s">
        <v>6362</v>
      </c>
      <c r="E701" s="26" t="s">
        <v>6363</v>
      </c>
      <c r="F701" s="26" t="b">
        <v>1</v>
      </c>
      <c r="G701" s="26" t="s">
        <v>5097</v>
      </c>
      <c r="H701" s="135" t="s">
        <v>1885</v>
      </c>
      <c r="I701" s="135" t="s">
        <v>1883</v>
      </c>
      <c r="J701" s="26" t="b">
        <v>1</v>
      </c>
      <c r="K701" s="26" t="str">
        <f>ISNUMBER(_xlfn.XMATCH(tbldeptemp[[#This Row],[DependencyID]],tblTargets[TargetID]))</f>
        <v>#ERROR!</v>
      </c>
      <c r="L701" s="26" t="str">
        <f>IF(tbldeptemp[[#This Row],[ValidTarget]]=FALSE,"BAD TARGET",IF(tbldeptemp[[#This Row],[ValidDependency]]=FALSE,"BAD DEPENDENCY",""))</f>
        <v>#ERROR!</v>
      </c>
    </row>
    <row r="702" ht="14.25" customHeight="1">
      <c r="A702" s="135" t="s">
        <v>1705</v>
      </c>
      <c r="B702" s="135" t="s">
        <v>6364</v>
      </c>
      <c r="C702" s="135" t="s">
        <v>1893</v>
      </c>
      <c r="D702" s="26" t="s">
        <v>6365</v>
      </c>
      <c r="E702" s="26" t="s">
        <v>6366</v>
      </c>
      <c r="F702" s="26" t="b">
        <v>0</v>
      </c>
      <c r="G702" s="26" t="s">
        <v>5097</v>
      </c>
      <c r="H702" s="135" t="s">
        <v>1893</v>
      </c>
      <c r="I702" s="135" t="s">
        <v>1891</v>
      </c>
      <c r="J702" s="26" t="b">
        <v>1</v>
      </c>
      <c r="K702" s="26" t="str">
        <f>ISNUMBER(_xlfn.XMATCH(tbldeptemp[[#This Row],[DependencyID]],tblTargets[TargetID]))</f>
        <v>#ERROR!</v>
      </c>
      <c r="L702" s="26" t="str">
        <f>IF(tbldeptemp[[#This Row],[ValidTarget]]=FALSE,"BAD TARGET",IF(tbldeptemp[[#This Row],[ValidDependency]]=FALSE,"BAD DEPENDENCY",""))</f>
        <v>#ERROR!</v>
      </c>
    </row>
    <row r="703" ht="14.25" customHeight="1">
      <c r="A703" s="135" t="s">
        <v>1705</v>
      </c>
      <c r="B703" s="135" t="s">
        <v>5513</v>
      </c>
      <c r="C703" s="135" t="s">
        <v>1895</v>
      </c>
      <c r="D703" s="26" t="s">
        <v>6367</v>
      </c>
      <c r="E703" s="26" t="s">
        <v>6368</v>
      </c>
      <c r="F703" s="26" t="b">
        <v>1</v>
      </c>
      <c r="G703" s="26" t="s">
        <v>5097</v>
      </c>
      <c r="H703" s="135" t="s">
        <v>1895</v>
      </c>
      <c r="I703" s="135" t="s">
        <v>1898</v>
      </c>
      <c r="J703" s="26" t="b">
        <v>1</v>
      </c>
      <c r="K703" s="26" t="str">
        <f>ISNUMBER(_xlfn.XMATCH(tbldeptemp[[#This Row],[DependencyID]],tblTargets[TargetID]))</f>
        <v>#ERROR!</v>
      </c>
      <c r="L703" s="26" t="str">
        <f>IF(tbldeptemp[[#This Row],[ValidTarget]]=FALSE,"BAD TARGET",IF(tbldeptemp[[#This Row],[ValidDependency]]=FALSE,"BAD DEPENDENCY",""))</f>
        <v>#ERROR!</v>
      </c>
    </row>
    <row r="704" ht="14.25" customHeight="1">
      <c r="A704" s="135" t="s">
        <v>1705</v>
      </c>
      <c r="B704" s="135" t="s">
        <v>5240</v>
      </c>
      <c r="C704" s="135" t="s">
        <v>1765</v>
      </c>
      <c r="D704" s="26" t="s">
        <v>6369</v>
      </c>
      <c r="E704" s="26" t="s">
        <v>6370</v>
      </c>
      <c r="F704" s="26" t="b">
        <v>1</v>
      </c>
      <c r="G704" s="26" t="s">
        <v>5097</v>
      </c>
      <c r="H704" s="135" t="s">
        <v>1765</v>
      </c>
      <c r="I704" s="135" t="s">
        <v>1900</v>
      </c>
      <c r="J704" s="26" t="b">
        <v>1</v>
      </c>
      <c r="K704" s="26" t="str">
        <f>ISNUMBER(_xlfn.XMATCH(tbldeptemp[[#This Row],[DependencyID]],tblTargets[TargetID]))</f>
        <v>#ERROR!</v>
      </c>
      <c r="L704" s="26" t="str">
        <f>IF(tbldeptemp[[#This Row],[ValidTarget]]=FALSE,"BAD TARGET",IF(tbldeptemp[[#This Row],[ValidDependency]]=FALSE,"BAD DEPENDENCY",""))</f>
        <v>#ERROR!</v>
      </c>
    </row>
    <row r="705" ht="14.25" customHeight="1">
      <c r="A705" s="135" t="s">
        <v>1705</v>
      </c>
      <c r="B705" s="135" t="s">
        <v>5514</v>
      </c>
      <c r="C705" s="135" t="s">
        <v>1898</v>
      </c>
      <c r="D705" s="26" t="s">
        <v>6369</v>
      </c>
      <c r="E705" s="26" t="s">
        <v>6370</v>
      </c>
      <c r="F705" s="26" t="b">
        <v>1</v>
      </c>
      <c r="G705" s="26" t="s">
        <v>5097</v>
      </c>
      <c r="H705" s="135" t="s">
        <v>1898</v>
      </c>
      <c r="I705" s="135" t="s">
        <v>1900</v>
      </c>
      <c r="J705" s="26" t="b">
        <v>1</v>
      </c>
      <c r="K705" s="26" t="str">
        <f>ISNUMBER(_xlfn.XMATCH(tbldeptemp[[#This Row],[DependencyID]],tblTargets[TargetID]))</f>
        <v>#ERROR!</v>
      </c>
      <c r="L705" s="26" t="str">
        <f>IF(tbldeptemp[[#This Row],[ValidTarget]]=FALSE,"BAD TARGET",IF(tbldeptemp[[#This Row],[ValidDependency]]=FALSE,"BAD DEPENDENCY",""))</f>
        <v>#ERROR!</v>
      </c>
    </row>
    <row r="706" ht="14.25" customHeight="1">
      <c r="A706" s="135" t="s">
        <v>1705</v>
      </c>
      <c r="B706" s="135" t="s">
        <v>5525</v>
      </c>
      <c r="C706" s="135" t="s">
        <v>1913</v>
      </c>
      <c r="D706" s="26" t="s">
        <v>6369</v>
      </c>
      <c r="E706" s="26" t="s">
        <v>6370</v>
      </c>
      <c r="F706" s="26" t="b">
        <v>1</v>
      </c>
      <c r="G706" s="26" t="s">
        <v>5097</v>
      </c>
      <c r="H706" s="135" t="s">
        <v>1913</v>
      </c>
      <c r="I706" s="135" t="s">
        <v>1900</v>
      </c>
      <c r="J706" s="26" t="b">
        <v>1</v>
      </c>
      <c r="K706" s="26" t="str">
        <f>ISNUMBER(_xlfn.XMATCH(tbldeptemp[[#This Row],[DependencyID]],tblTargets[TargetID]))</f>
        <v>#ERROR!</v>
      </c>
      <c r="L706" s="26" t="str">
        <f>IF(tbldeptemp[[#This Row],[ValidTarget]]=FALSE,"BAD TARGET",IF(tbldeptemp[[#This Row],[ValidDependency]]=FALSE,"BAD DEPENDENCY",""))</f>
        <v>#ERROR!</v>
      </c>
    </row>
    <row r="707" ht="14.25" customHeight="1">
      <c r="A707" s="135" t="s">
        <v>1705</v>
      </c>
      <c r="B707" s="135" t="s">
        <v>5519</v>
      </c>
      <c r="C707" s="135" t="s">
        <v>1904</v>
      </c>
      <c r="D707" s="26" t="s">
        <v>6371</v>
      </c>
      <c r="E707" s="26" t="s">
        <v>6372</v>
      </c>
      <c r="F707" s="26" t="b">
        <v>1</v>
      </c>
      <c r="G707" s="26" t="s">
        <v>5097</v>
      </c>
      <c r="H707" s="135" t="s">
        <v>1904</v>
      </c>
      <c r="I707" s="135" t="s">
        <v>1902</v>
      </c>
      <c r="J707" s="26" t="b">
        <v>1</v>
      </c>
      <c r="K707" s="26" t="str">
        <f>ISNUMBER(_xlfn.XMATCH(tbldeptemp[[#This Row],[DependencyID]],tblTargets[TargetID]))</f>
        <v>#ERROR!</v>
      </c>
      <c r="L707" s="26" t="str">
        <f>IF(tbldeptemp[[#This Row],[ValidTarget]]=FALSE,"BAD TARGET",IF(tbldeptemp[[#This Row],[ValidDependency]]=FALSE,"BAD DEPENDENCY",""))</f>
        <v>#ERROR!</v>
      </c>
    </row>
    <row r="708" ht="14.25" customHeight="1">
      <c r="A708" s="135" t="s">
        <v>1705</v>
      </c>
      <c r="B708" s="135" t="s">
        <v>5526</v>
      </c>
      <c r="C708" s="135" t="s">
        <v>1915</v>
      </c>
      <c r="D708" s="26" t="s">
        <v>6371</v>
      </c>
      <c r="E708" s="26" t="s">
        <v>6372</v>
      </c>
      <c r="F708" s="26" t="b">
        <v>1</v>
      </c>
      <c r="G708" s="26" t="s">
        <v>5097</v>
      </c>
      <c r="H708" s="135" t="s">
        <v>1915</v>
      </c>
      <c r="I708" s="135" t="s">
        <v>1902</v>
      </c>
      <c r="J708" s="26" t="b">
        <v>1</v>
      </c>
      <c r="K708" s="26" t="str">
        <f>ISNUMBER(_xlfn.XMATCH(tbldeptemp[[#This Row],[DependencyID]],tblTargets[TargetID]))</f>
        <v>#ERROR!</v>
      </c>
      <c r="L708" s="26" t="str">
        <f>IF(tbldeptemp[[#This Row],[ValidTarget]]=FALSE,"BAD TARGET",IF(tbldeptemp[[#This Row],[ValidDependency]]=FALSE,"BAD DEPENDENCY",""))</f>
        <v>#ERROR!</v>
      </c>
    </row>
    <row r="709" ht="14.25" customHeight="1">
      <c r="A709" s="135" t="s">
        <v>1705</v>
      </c>
      <c r="B709" s="135" t="s">
        <v>5521</v>
      </c>
      <c r="C709" s="135" t="s">
        <v>1906</v>
      </c>
      <c r="D709" s="26" t="s">
        <v>6373</v>
      </c>
      <c r="E709" s="26" t="s">
        <v>6374</v>
      </c>
      <c r="F709" s="26" t="b">
        <v>1</v>
      </c>
      <c r="G709" s="26" t="s">
        <v>5097</v>
      </c>
      <c r="H709" s="135" t="s">
        <v>1906</v>
      </c>
      <c r="I709" s="135" t="s">
        <v>1904</v>
      </c>
      <c r="J709" s="26" t="b">
        <v>1</v>
      </c>
      <c r="K709" s="26" t="str">
        <f>ISNUMBER(_xlfn.XMATCH(tbldeptemp[[#This Row],[DependencyID]],tblTargets[TargetID]))</f>
        <v>#ERROR!</v>
      </c>
      <c r="L709" s="26" t="str">
        <f>IF(tbldeptemp[[#This Row],[ValidTarget]]=FALSE,"BAD TARGET",IF(tbldeptemp[[#This Row],[ValidDependency]]=FALSE,"BAD DEPENDENCY",""))</f>
        <v>#ERROR!</v>
      </c>
    </row>
    <row r="710" ht="14.25" customHeight="1">
      <c r="A710" s="135" t="s">
        <v>1705</v>
      </c>
      <c r="B710" s="135" t="s">
        <v>5523</v>
      </c>
      <c r="C710" s="135" t="s">
        <v>1909</v>
      </c>
      <c r="D710" s="26" t="s">
        <v>6375</v>
      </c>
      <c r="E710" s="26" t="s">
        <v>6376</v>
      </c>
      <c r="F710" s="26" t="b">
        <v>1</v>
      </c>
      <c r="G710" s="26" t="s">
        <v>5097</v>
      </c>
      <c r="H710" s="135" t="s">
        <v>1909</v>
      </c>
      <c r="I710" s="135" t="s">
        <v>1906</v>
      </c>
      <c r="J710" s="26" t="b">
        <v>1</v>
      </c>
      <c r="K710" s="26" t="str">
        <f>ISNUMBER(_xlfn.XMATCH(tbldeptemp[[#This Row],[DependencyID]],tblTargets[TargetID]))</f>
        <v>#ERROR!</v>
      </c>
      <c r="L710" s="26" t="str">
        <f>IF(tbldeptemp[[#This Row],[ValidTarget]]=FALSE,"BAD TARGET",IF(tbldeptemp[[#This Row],[ValidDependency]]=FALSE,"BAD DEPENDENCY",""))</f>
        <v>#ERROR!</v>
      </c>
    </row>
    <row r="711" ht="14.25" customHeight="1">
      <c r="A711" s="135" t="s">
        <v>1151</v>
      </c>
      <c r="B711" s="135" t="s">
        <v>4965</v>
      </c>
      <c r="C711" s="135" t="s">
        <v>1303</v>
      </c>
      <c r="D711" s="26" t="s">
        <v>6377</v>
      </c>
      <c r="E711" s="26" t="s">
        <v>6378</v>
      </c>
      <c r="F711" s="26" t="b">
        <v>1</v>
      </c>
      <c r="G711" s="26" t="s">
        <v>5097</v>
      </c>
      <c r="H711" s="135" t="s">
        <v>1303</v>
      </c>
      <c r="I711" s="135" t="s">
        <v>1909</v>
      </c>
      <c r="J711" s="26" t="b">
        <v>1</v>
      </c>
      <c r="K711" s="26" t="str">
        <f>ISNUMBER(_xlfn.XMATCH(tbldeptemp[[#This Row],[DependencyID]],tblTargets[TargetID]))</f>
        <v>#ERROR!</v>
      </c>
      <c r="L711" s="26" t="str">
        <f>IF(tbldeptemp[[#This Row],[ValidTarget]]=FALSE,"BAD TARGET",IF(tbldeptemp[[#This Row],[ValidDependency]]=FALSE,"BAD DEPENDENCY",""))</f>
        <v>#ERROR!</v>
      </c>
    </row>
    <row r="712" ht="14.25" customHeight="1">
      <c r="A712" s="135" t="s">
        <v>1705</v>
      </c>
      <c r="B712" s="135" t="s">
        <v>5524</v>
      </c>
      <c r="C712" s="135" t="s">
        <v>1911</v>
      </c>
      <c r="D712" s="26" t="s">
        <v>6381</v>
      </c>
      <c r="E712" s="26" t="s">
        <v>6378</v>
      </c>
      <c r="F712" s="26" t="b">
        <v>1</v>
      </c>
      <c r="G712" s="26" t="s">
        <v>5097</v>
      </c>
      <c r="H712" s="135" t="s">
        <v>1911</v>
      </c>
      <c r="I712" s="135" t="s">
        <v>1909</v>
      </c>
      <c r="J712" s="26" t="b">
        <v>1</v>
      </c>
      <c r="K712" s="26" t="str">
        <f>ISNUMBER(_xlfn.XMATCH(tbldeptemp[[#This Row],[DependencyID]],tblTargets[TargetID]))</f>
        <v>#ERROR!</v>
      </c>
      <c r="L712" s="26" t="str">
        <f>IF(tbldeptemp[[#This Row],[ValidTarget]]=FALSE,"BAD TARGET",IF(tbldeptemp[[#This Row],[ValidDependency]]=FALSE,"BAD DEPENDENCY",""))</f>
        <v>#ERROR!</v>
      </c>
    </row>
    <row r="713" ht="14.25" customHeight="1">
      <c r="A713" s="82" t="s">
        <v>1705</v>
      </c>
      <c r="B713" s="82" t="s">
        <v>5237</v>
      </c>
      <c r="C713" s="82" t="s">
        <v>1762</v>
      </c>
      <c r="D713" s="26" t="s">
        <v>6385</v>
      </c>
      <c r="E713" s="26" t="s">
        <v>6386</v>
      </c>
      <c r="F713" s="26" t="b">
        <v>1</v>
      </c>
      <c r="G713" s="26" t="s">
        <v>5097</v>
      </c>
      <c r="H713" s="82" t="s">
        <v>1762</v>
      </c>
      <c r="I713" s="82" t="s">
        <v>1913</v>
      </c>
      <c r="J713" s="26" t="b">
        <v>1</v>
      </c>
      <c r="K713" s="26" t="str">
        <f>ISNUMBER(_xlfn.XMATCH(tbldeptemp[[#This Row],[DependencyID]],tblTargets[TargetID]))</f>
        <v>#ERROR!</v>
      </c>
      <c r="L713" s="26" t="str">
        <f>IF(tbldeptemp[[#This Row],[ValidTarget]]=FALSE,"BAD TARGET",IF(tbldeptemp[[#This Row],[ValidDependency]]=FALSE,"BAD DEPENDENCY",""))</f>
        <v>#ERROR!</v>
      </c>
    </row>
    <row r="714" ht="14.25" customHeight="1">
      <c r="A714" s="135" t="s">
        <v>1705</v>
      </c>
      <c r="B714" s="135" t="s">
        <v>6306</v>
      </c>
      <c r="C714" s="135" t="s">
        <v>1731</v>
      </c>
      <c r="D714" s="26" t="s">
        <v>6307</v>
      </c>
      <c r="E714" s="26"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#ERROR!</v>
      </c>
      <c r="H714" s="135" t="s">
        <v>1731</v>
      </c>
      <c r="I714" s="26" t="s">
        <v>920</v>
      </c>
      <c r="J714" s="26" t="str">
        <f>COUNTIF(tblTargets[TargetID],tbldeptemp[[#This Row],[TargetID]])&gt;0</f>
        <v>#ERROR!</v>
      </c>
      <c r="K714" s="26" t="str">
        <f>ISNUMBER(_xlfn.XMATCH(tbldeptemp[[#This Row],[DependencyID]],tblTargets[TargetID]))</f>
        <v>#ERROR!</v>
      </c>
      <c r="L714" s="26" t="str">
        <f>IF(tbldeptemp[[#This Row],[ValidTarget]]=FALSE,"BAD TARGET",IF(tbldeptemp[[#This Row],[ValidDependency]]=FALSE,"BAD DEPENDENCY",""))</f>
        <v>#ERROR!</v>
      </c>
    </row>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78B19D45-CD7A-466C-8415-E3257322A2AD}" filter="1" showAutoFilter="1">
      <autoFilter ref="$A$1:$L$714"/>
    </customSheetView>
  </customSheetViews>
  <printOptions/>
  <pageMargins bottom="0.75" footer="0.0" header="0.0" left="0.7" right="0.7" top="0.75"/>
  <pageSetup orientation="landscape"/>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6" width="15.63"/>
    <col customWidth="1" min="7" max="26" width="8.63"/>
  </cols>
  <sheetData>
    <row r="1" ht="14.25" customHeight="1">
      <c r="A1" s="18" t="s">
        <v>5681</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25.5"/>
    <col customWidth="1" min="3" max="3" width="24.63"/>
    <col customWidth="1" min="4" max="4" width="35.25"/>
    <col customWidth="1" min="5" max="5" width="12.13"/>
    <col customWidth="1" min="6" max="6" width="68.25"/>
    <col customWidth="1" min="7" max="9" width="8.75"/>
    <col customWidth="1" min="10" max="10" width="7.63"/>
    <col customWidth="1" min="11" max="11" width="7.5"/>
    <col customWidth="1" min="12" max="12" width="8.75"/>
    <col customWidth="1" min="13" max="13" width="4.75"/>
    <col customWidth="1" min="14" max="14" width="6.88"/>
    <col customWidth="1" min="15" max="26" width="8.75"/>
  </cols>
  <sheetData>
    <row r="1" ht="13.5" customHeight="1">
      <c r="A1" s="128" t="s">
        <v>5690</v>
      </c>
      <c r="B1" s="128" t="s">
        <v>5692</v>
      </c>
      <c r="C1" s="128" t="s">
        <v>5694</v>
      </c>
      <c r="D1" s="128" t="s">
        <v>5695</v>
      </c>
      <c r="E1" s="128" t="s">
        <v>5696</v>
      </c>
      <c r="F1" s="128" t="s">
        <v>5698</v>
      </c>
      <c r="G1" s="129"/>
      <c r="H1" s="129"/>
      <c r="I1" s="129"/>
      <c r="J1" s="129"/>
      <c r="K1" s="129"/>
      <c r="L1" s="129"/>
      <c r="M1" s="129"/>
      <c r="N1" s="129"/>
      <c r="O1" s="129"/>
      <c r="P1" s="129"/>
      <c r="Q1" s="129"/>
      <c r="R1" s="129"/>
      <c r="S1" s="129"/>
      <c r="T1" s="129"/>
      <c r="U1" s="129"/>
      <c r="V1" s="129"/>
      <c r="W1" s="129"/>
      <c r="X1" s="129"/>
      <c r="Y1" s="129"/>
      <c r="Z1" s="129"/>
    </row>
    <row r="2" ht="13.5" customHeight="1">
      <c r="A2" s="130" t="s">
        <v>5699</v>
      </c>
      <c r="B2" s="131" t="s">
        <v>5700</v>
      </c>
      <c r="C2" s="131" t="s">
        <v>3976</v>
      </c>
      <c r="D2" s="131" t="s">
        <v>5702</v>
      </c>
      <c r="E2" s="131" t="s">
        <v>5704</v>
      </c>
      <c r="F2" s="131" t="s">
        <v>5706</v>
      </c>
      <c r="G2" s="129"/>
      <c r="H2" s="129"/>
      <c r="I2" s="129"/>
      <c r="J2" s="129"/>
      <c r="K2" s="129"/>
      <c r="L2" s="129"/>
      <c r="M2" s="129"/>
      <c r="N2" s="129"/>
      <c r="O2" s="129"/>
      <c r="P2" s="129"/>
      <c r="Q2" s="129"/>
      <c r="R2" s="129"/>
      <c r="S2" s="129"/>
      <c r="T2" s="129"/>
      <c r="U2" s="129"/>
      <c r="V2" s="129"/>
      <c r="W2" s="129"/>
      <c r="X2" s="129"/>
      <c r="Y2" s="129"/>
      <c r="Z2" s="129"/>
    </row>
    <row r="3" ht="13.5" customHeight="1">
      <c r="A3" s="130" t="s">
        <v>5699</v>
      </c>
      <c r="B3" s="131" t="s">
        <v>5707</v>
      </c>
      <c r="C3" s="131" t="s">
        <v>4102</v>
      </c>
      <c r="D3" s="131" t="s">
        <v>5708</v>
      </c>
      <c r="E3" s="131" t="s">
        <v>5704</v>
      </c>
      <c r="F3" s="131" t="s">
        <v>5709</v>
      </c>
      <c r="G3" s="129"/>
      <c r="H3" s="129"/>
      <c r="I3" s="129"/>
      <c r="J3" s="129"/>
      <c r="K3" s="129"/>
      <c r="L3" s="129"/>
      <c r="M3" s="129"/>
      <c r="N3" s="129"/>
      <c r="O3" s="129"/>
      <c r="P3" s="129"/>
      <c r="Q3" s="129"/>
      <c r="R3" s="129"/>
      <c r="S3" s="129"/>
      <c r="T3" s="129"/>
      <c r="U3" s="129"/>
      <c r="V3" s="129"/>
      <c r="W3" s="129"/>
      <c r="X3" s="129"/>
      <c r="Y3" s="129"/>
      <c r="Z3" s="129"/>
    </row>
    <row r="4" ht="13.5" customHeight="1">
      <c r="A4" s="130" t="s">
        <v>5699</v>
      </c>
      <c r="B4" s="131" t="s">
        <v>5710</v>
      </c>
      <c r="C4" s="131" t="s">
        <v>4247</v>
      </c>
      <c r="D4" s="131" t="s">
        <v>5711</v>
      </c>
      <c r="E4" s="131" t="s">
        <v>5704</v>
      </c>
      <c r="F4" s="131" t="s">
        <v>5709</v>
      </c>
      <c r="G4" s="129"/>
      <c r="H4" s="129"/>
      <c r="I4" s="129"/>
      <c r="J4" s="129"/>
      <c r="K4" s="129"/>
      <c r="L4" s="129"/>
      <c r="M4" s="129"/>
      <c r="N4" s="129"/>
      <c r="O4" s="129"/>
      <c r="P4" s="129"/>
      <c r="Q4" s="129"/>
      <c r="R4" s="129"/>
      <c r="S4" s="129"/>
      <c r="T4" s="129"/>
      <c r="U4" s="129"/>
      <c r="V4" s="129"/>
      <c r="W4" s="129"/>
      <c r="X4" s="129"/>
      <c r="Y4" s="129"/>
      <c r="Z4" s="129"/>
    </row>
    <row r="5" ht="13.5" customHeight="1">
      <c r="A5" s="130" t="s">
        <v>5699</v>
      </c>
      <c r="B5" s="131" t="s">
        <v>5714</v>
      </c>
      <c r="C5" s="131" t="s">
        <v>4167</v>
      </c>
      <c r="D5" s="131" t="s">
        <v>5715</v>
      </c>
      <c r="E5" s="131" t="s">
        <v>5704</v>
      </c>
      <c r="F5" s="131" t="s">
        <v>5706</v>
      </c>
      <c r="G5" s="129"/>
      <c r="H5" s="129"/>
      <c r="I5" s="129"/>
      <c r="J5" s="129"/>
      <c r="K5" s="129"/>
      <c r="L5" s="129"/>
      <c r="M5" s="129"/>
      <c r="N5" s="129"/>
      <c r="O5" s="129"/>
      <c r="P5" s="129"/>
      <c r="Q5" s="129"/>
      <c r="R5" s="129"/>
      <c r="S5" s="129"/>
      <c r="T5" s="129"/>
      <c r="U5" s="129"/>
      <c r="V5" s="129"/>
      <c r="W5" s="129"/>
      <c r="X5" s="129"/>
      <c r="Y5" s="129"/>
      <c r="Z5" s="129"/>
    </row>
    <row r="6" ht="13.5" customHeight="1">
      <c r="A6" s="130" t="s">
        <v>5699</v>
      </c>
      <c r="B6" s="131" t="s">
        <v>5716</v>
      </c>
      <c r="C6" s="131" t="s">
        <v>4188</v>
      </c>
      <c r="D6" s="131" t="s">
        <v>333</v>
      </c>
      <c r="E6" s="131" t="s">
        <v>5704</v>
      </c>
      <c r="F6" s="131" t="s">
        <v>5717</v>
      </c>
      <c r="G6" s="129"/>
      <c r="H6" s="129"/>
      <c r="I6" s="129"/>
      <c r="J6" s="129"/>
      <c r="K6" s="129"/>
      <c r="L6" s="129"/>
      <c r="M6" s="129"/>
      <c r="N6" s="129"/>
      <c r="O6" s="129"/>
      <c r="P6" s="129"/>
      <c r="Q6" s="129"/>
      <c r="R6" s="129"/>
      <c r="S6" s="129"/>
      <c r="T6" s="129"/>
      <c r="U6" s="129"/>
      <c r="V6" s="129"/>
      <c r="W6" s="129"/>
      <c r="X6" s="129"/>
      <c r="Y6" s="129"/>
      <c r="Z6" s="129"/>
    </row>
    <row r="7" ht="13.5" customHeight="1">
      <c r="A7" s="130" t="s">
        <v>5699</v>
      </c>
      <c r="B7" s="131" t="s">
        <v>5720</v>
      </c>
      <c r="C7" s="131" t="s">
        <v>4159</v>
      </c>
      <c r="D7" s="131" t="s">
        <v>310</v>
      </c>
      <c r="E7" s="131" t="s">
        <v>5704</v>
      </c>
      <c r="F7" s="131" t="s">
        <v>5721</v>
      </c>
      <c r="G7" s="129"/>
      <c r="H7" s="129"/>
      <c r="I7" s="129"/>
      <c r="J7" s="129"/>
      <c r="K7" s="129"/>
      <c r="L7" s="129"/>
      <c r="M7" s="129"/>
      <c r="N7" s="129"/>
      <c r="O7" s="129"/>
      <c r="P7" s="129"/>
      <c r="Q7" s="129"/>
      <c r="R7" s="129"/>
      <c r="S7" s="129"/>
      <c r="T7" s="129"/>
      <c r="U7" s="129"/>
      <c r="V7" s="129"/>
      <c r="W7" s="129"/>
      <c r="X7" s="129"/>
      <c r="Y7" s="129"/>
      <c r="Z7" s="129"/>
    </row>
    <row r="8" ht="13.5" customHeight="1">
      <c r="A8" s="130" t="s">
        <v>5699</v>
      </c>
      <c r="B8" s="131" t="s">
        <v>5722</v>
      </c>
      <c r="C8" s="131" t="s">
        <v>4305</v>
      </c>
      <c r="D8" s="131" t="s">
        <v>431</v>
      </c>
      <c r="E8" s="131" t="s">
        <v>5704</v>
      </c>
      <c r="F8" s="131" t="s">
        <v>5723</v>
      </c>
      <c r="G8" s="129"/>
      <c r="H8" s="129"/>
      <c r="I8" s="129"/>
      <c r="J8" s="129"/>
      <c r="K8" s="129"/>
      <c r="L8" s="129"/>
      <c r="M8" s="129"/>
      <c r="N8" s="129"/>
      <c r="O8" s="129"/>
      <c r="P8" s="129"/>
      <c r="Q8" s="129"/>
      <c r="R8" s="129"/>
      <c r="S8" s="129"/>
      <c r="T8" s="129"/>
      <c r="U8" s="129"/>
      <c r="V8" s="129"/>
      <c r="W8" s="129"/>
      <c r="X8" s="129"/>
      <c r="Y8" s="129"/>
      <c r="Z8" s="129"/>
    </row>
    <row r="9" ht="13.5" customHeight="1">
      <c r="A9" s="130" t="s">
        <v>5699</v>
      </c>
      <c r="B9" s="131" t="s">
        <v>5726</v>
      </c>
      <c r="C9" s="131" t="s">
        <v>4305</v>
      </c>
      <c r="D9" s="131" t="s">
        <v>433</v>
      </c>
      <c r="E9" s="131" t="s">
        <v>5704</v>
      </c>
      <c r="F9" s="131" t="s">
        <v>5723</v>
      </c>
      <c r="G9" s="129"/>
      <c r="H9" s="129"/>
      <c r="I9" s="129"/>
      <c r="J9" s="129"/>
      <c r="K9" s="129"/>
      <c r="L9" s="129"/>
      <c r="M9" s="129"/>
      <c r="N9" s="129"/>
      <c r="O9" s="129"/>
      <c r="P9" s="129"/>
      <c r="Q9" s="129"/>
      <c r="R9" s="129"/>
      <c r="S9" s="129"/>
      <c r="T9" s="129"/>
      <c r="U9" s="129"/>
      <c r="V9" s="129"/>
      <c r="W9" s="129"/>
      <c r="X9" s="129"/>
      <c r="Y9" s="129"/>
      <c r="Z9" s="129"/>
    </row>
    <row r="10" ht="13.5" customHeight="1">
      <c r="A10" s="130" t="s">
        <v>5699</v>
      </c>
      <c r="B10" s="131" t="s">
        <v>5727</v>
      </c>
      <c r="C10" s="131" t="s">
        <v>4315</v>
      </c>
      <c r="D10" s="131" t="s">
        <v>435</v>
      </c>
      <c r="E10" s="131" t="s">
        <v>5704</v>
      </c>
      <c r="F10" s="131" t="s">
        <v>5723</v>
      </c>
      <c r="G10" s="129"/>
      <c r="H10" s="129"/>
      <c r="I10" s="129"/>
      <c r="J10" s="129"/>
      <c r="K10" s="129"/>
      <c r="L10" s="129"/>
      <c r="M10" s="129"/>
      <c r="N10" s="129"/>
      <c r="O10" s="129"/>
      <c r="P10" s="129"/>
      <c r="Q10" s="129"/>
      <c r="R10" s="129"/>
      <c r="S10" s="129"/>
      <c r="T10" s="129"/>
      <c r="U10" s="129"/>
      <c r="V10" s="129"/>
      <c r="W10" s="129"/>
      <c r="X10" s="129"/>
      <c r="Y10" s="129"/>
      <c r="Z10" s="129"/>
    </row>
    <row r="11" ht="13.5" customHeight="1">
      <c r="A11" s="130" t="s">
        <v>5699</v>
      </c>
      <c r="B11" s="131" t="s">
        <v>5730</v>
      </c>
      <c r="C11" s="131" t="s">
        <v>4315</v>
      </c>
      <c r="D11" s="131" t="s">
        <v>438</v>
      </c>
      <c r="E11" s="131" t="s">
        <v>5704</v>
      </c>
      <c r="F11" s="131" t="s">
        <v>5723</v>
      </c>
      <c r="G11" s="129"/>
      <c r="H11" s="129"/>
      <c r="I11" s="129"/>
      <c r="J11" s="129"/>
      <c r="K11" s="129"/>
      <c r="L11" s="129"/>
      <c r="M11" s="129"/>
      <c r="N11" s="129"/>
      <c r="O11" s="129"/>
      <c r="P11" s="129"/>
      <c r="Q11" s="129"/>
      <c r="R11" s="129"/>
      <c r="S11" s="129"/>
      <c r="T11" s="129"/>
      <c r="U11" s="129"/>
      <c r="V11" s="129"/>
      <c r="W11" s="129"/>
      <c r="X11" s="129"/>
      <c r="Y11" s="129"/>
      <c r="Z11" s="129"/>
    </row>
    <row r="12" ht="13.5" customHeight="1">
      <c r="A12" s="130" t="s">
        <v>5699</v>
      </c>
      <c r="B12" s="131" t="s">
        <v>4065</v>
      </c>
      <c r="C12" s="131" t="s">
        <v>4065</v>
      </c>
      <c r="D12" s="131" t="s">
        <v>525</v>
      </c>
      <c r="E12" s="131" t="s">
        <v>5704</v>
      </c>
      <c r="F12" s="131" t="s">
        <v>5731</v>
      </c>
      <c r="G12" s="129"/>
      <c r="H12" s="129"/>
      <c r="I12" s="129"/>
      <c r="J12" s="129"/>
      <c r="K12" s="129"/>
      <c r="L12" s="129"/>
      <c r="M12" s="129"/>
      <c r="N12" s="129"/>
      <c r="O12" s="129"/>
      <c r="P12" s="129"/>
      <c r="Q12" s="129"/>
      <c r="R12" s="129"/>
      <c r="S12" s="129"/>
      <c r="T12" s="129"/>
      <c r="U12" s="129"/>
      <c r="V12" s="129"/>
      <c r="W12" s="129"/>
      <c r="X12" s="129"/>
      <c r="Y12" s="129"/>
      <c r="Z12" s="129"/>
    </row>
    <row r="13" ht="13.5" customHeight="1">
      <c r="A13" s="130" t="s">
        <v>5699</v>
      </c>
      <c r="B13" s="21" t="s">
        <v>5732</v>
      </c>
      <c r="C13" s="21" t="s">
        <v>4195</v>
      </c>
      <c r="D13" s="132" t="s">
        <v>5735</v>
      </c>
      <c r="E13" s="131"/>
      <c r="F13" s="21" t="s">
        <v>5736</v>
      </c>
      <c r="G13" s="129"/>
      <c r="H13" s="129"/>
      <c r="I13" s="28"/>
      <c r="J13" s="28"/>
      <c r="K13" s="28"/>
      <c r="L13" s="133"/>
      <c r="M13" s="28"/>
      <c r="N13" s="28"/>
      <c r="O13" s="129"/>
      <c r="P13" s="129"/>
      <c r="Q13" s="129"/>
      <c r="R13" s="129"/>
      <c r="S13" s="129"/>
      <c r="T13" s="129"/>
      <c r="U13" s="129"/>
      <c r="V13" s="129"/>
      <c r="W13" s="129"/>
      <c r="X13" s="129"/>
      <c r="Y13" s="129"/>
      <c r="Z13" s="129"/>
    </row>
    <row r="14" ht="13.5" customHeight="1">
      <c r="A14" s="130" t="s">
        <v>5699</v>
      </c>
      <c r="B14" s="21" t="s">
        <v>5737</v>
      </c>
      <c r="C14" s="21" t="s">
        <v>4025</v>
      </c>
      <c r="D14" s="132" t="s">
        <v>5738</v>
      </c>
      <c r="E14" s="131"/>
      <c r="F14" s="21" t="s">
        <v>5736</v>
      </c>
      <c r="G14" s="129"/>
      <c r="H14" s="129"/>
      <c r="I14" s="28"/>
      <c r="J14" s="28"/>
      <c r="K14" s="28"/>
      <c r="L14" s="133"/>
      <c r="M14" s="28"/>
      <c r="N14" s="28"/>
      <c r="O14" s="129"/>
      <c r="P14" s="129"/>
      <c r="Q14" s="129"/>
      <c r="R14" s="129"/>
      <c r="S14" s="129"/>
      <c r="T14" s="129"/>
      <c r="U14" s="129"/>
      <c r="V14" s="129"/>
      <c r="W14" s="129"/>
      <c r="X14" s="129"/>
      <c r="Y14" s="129"/>
      <c r="Z14" s="129"/>
    </row>
    <row r="15" ht="13.5" customHeight="1">
      <c r="A15" s="130" t="s">
        <v>5699</v>
      </c>
      <c r="B15" s="21" t="s">
        <v>5739</v>
      </c>
      <c r="C15" s="21" t="s">
        <v>3998</v>
      </c>
      <c r="D15" s="132" t="s">
        <v>5741</v>
      </c>
      <c r="E15" s="131"/>
      <c r="F15" s="21" t="s">
        <v>5736</v>
      </c>
      <c r="G15" s="129"/>
      <c r="H15" s="129"/>
      <c r="I15" s="28"/>
      <c r="J15" s="28"/>
      <c r="K15" s="28"/>
      <c r="L15" s="133"/>
      <c r="M15" s="28"/>
      <c r="N15" s="28"/>
      <c r="O15" s="129"/>
      <c r="P15" s="129"/>
      <c r="Q15" s="129"/>
      <c r="R15" s="129"/>
      <c r="S15" s="129"/>
      <c r="T15" s="129"/>
      <c r="U15" s="129"/>
      <c r="V15" s="129"/>
      <c r="W15" s="129"/>
      <c r="X15" s="129"/>
      <c r="Y15" s="129"/>
      <c r="Z15" s="129"/>
    </row>
    <row r="16" ht="13.5" customHeight="1">
      <c r="A16" s="130" t="s">
        <v>5699</v>
      </c>
      <c r="B16" s="21" t="s">
        <v>5743</v>
      </c>
      <c r="C16" s="21" t="s">
        <v>4286</v>
      </c>
      <c r="D16" s="132" t="s">
        <v>5744</v>
      </c>
      <c r="E16" s="131"/>
      <c r="F16" s="21" t="s">
        <v>5736</v>
      </c>
      <c r="G16" s="129"/>
      <c r="H16" s="129"/>
      <c r="I16" s="28"/>
      <c r="J16" s="28"/>
      <c r="K16" s="28"/>
      <c r="L16" s="133"/>
      <c r="M16" s="28"/>
      <c r="N16" s="28"/>
      <c r="O16" s="129"/>
      <c r="P16" s="129"/>
      <c r="Q16" s="129"/>
      <c r="R16" s="129"/>
      <c r="S16" s="129"/>
      <c r="T16" s="129"/>
      <c r="U16" s="129"/>
      <c r="V16" s="129"/>
      <c r="W16" s="129"/>
      <c r="X16" s="129"/>
      <c r="Y16" s="129"/>
      <c r="Z16" s="129"/>
    </row>
    <row r="17" ht="13.5" customHeight="1">
      <c r="A17" s="130" t="s">
        <v>5699</v>
      </c>
      <c r="B17" s="21" t="s">
        <v>5745</v>
      </c>
      <c r="C17" s="21" t="s">
        <v>4033</v>
      </c>
      <c r="D17" s="132" t="s">
        <v>5748</v>
      </c>
      <c r="E17" s="131"/>
      <c r="F17" s="21" t="s">
        <v>5736</v>
      </c>
      <c r="G17" s="129"/>
      <c r="H17" s="129"/>
      <c r="I17" s="28"/>
      <c r="J17" s="28"/>
      <c r="K17" s="28"/>
      <c r="L17" s="133"/>
      <c r="O17" s="129"/>
      <c r="P17" s="129"/>
      <c r="Q17" s="129"/>
      <c r="R17" s="129"/>
      <c r="S17" s="129"/>
      <c r="T17" s="129"/>
      <c r="U17" s="129"/>
      <c r="V17" s="129"/>
      <c r="W17" s="129"/>
      <c r="X17" s="129"/>
      <c r="Y17" s="129"/>
      <c r="Z17" s="129"/>
    </row>
    <row r="18" ht="13.5" customHeight="1">
      <c r="A18" s="21" t="s">
        <v>5749</v>
      </c>
      <c r="B18" s="21" t="s">
        <v>5750</v>
      </c>
      <c r="C18" s="21" t="s">
        <v>5071</v>
      </c>
      <c r="D18" s="130"/>
      <c r="E18" s="21" t="s">
        <v>5704</v>
      </c>
      <c r="F18" s="21" t="s">
        <v>5751</v>
      </c>
      <c r="G18" s="129"/>
      <c r="H18" s="129"/>
      <c r="I18" s="129"/>
      <c r="J18" s="129"/>
      <c r="K18" s="129"/>
      <c r="L18" s="129"/>
      <c r="M18" s="129"/>
      <c r="N18" s="129"/>
      <c r="O18" s="129"/>
      <c r="P18" s="129"/>
      <c r="Q18" s="129"/>
      <c r="R18" s="129"/>
      <c r="S18" s="129"/>
      <c r="T18" s="129"/>
      <c r="U18" s="129"/>
      <c r="V18" s="129"/>
      <c r="W18" s="129"/>
      <c r="X18" s="129"/>
      <c r="Y18" s="129"/>
      <c r="Z18" s="129"/>
    </row>
    <row r="19" ht="13.5" customHeight="1">
      <c r="A19" s="21" t="s">
        <v>5749</v>
      </c>
      <c r="B19" s="21" t="s">
        <v>5752</v>
      </c>
      <c r="C19" s="21" t="s">
        <v>3612</v>
      </c>
      <c r="D19" s="130"/>
      <c r="E19" s="21" t="s">
        <v>5704</v>
      </c>
      <c r="F19" s="21" t="s">
        <v>5755</v>
      </c>
      <c r="G19" s="129"/>
      <c r="H19" s="129"/>
      <c r="I19" s="129"/>
      <c r="J19" s="129"/>
      <c r="K19" s="129"/>
      <c r="L19" s="129"/>
      <c r="M19" s="129"/>
      <c r="N19" s="129"/>
      <c r="O19" s="129"/>
      <c r="P19" s="129"/>
      <c r="Q19" s="129"/>
      <c r="R19" s="129"/>
      <c r="S19" s="129"/>
      <c r="T19" s="129"/>
      <c r="U19" s="129"/>
      <c r="V19" s="129"/>
      <c r="W19" s="129"/>
      <c r="X19" s="129"/>
      <c r="Y19" s="129"/>
      <c r="Z19" s="129"/>
    </row>
    <row r="20" ht="13.5" customHeight="1">
      <c r="A20" s="21" t="s">
        <v>5749</v>
      </c>
      <c r="B20" s="21" t="s">
        <v>5756</v>
      </c>
      <c r="C20" s="21" t="s">
        <v>5101</v>
      </c>
      <c r="D20" s="130"/>
      <c r="E20" s="21" t="s">
        <v>5704</v>
      </c>
      <c r="F20" s="21" t="s">
        <v>5757</v>
      </c>
      <c r="G20" s="129"/>
      <c r="H20" s="129"/>
      <c r="I20" s="129"/>
      <c r="J20" s="129"/>
      <c r="K20" s="129"/>
      <c r="L20" s="129"/>
      <c r="M20" s="129"/>
      <c r="N20" s="129"/>
      <c r="O20" s="129"/>
      <c r="P20" s="129"/>
      <c r="Q20" s="129"/>
      <c r="R20" s="129"/>
      <c r="S20" s="129"/>
      <c r="T20" s="129"/>
      <c r="U20" s="129"/>
      <c r="V20" s="129"/>
      <c r="W20" s="129"/>
      <c r="X20" s="129"/>
      <c r="Y20" s="129"/>
      <c r="Z20" s="129"/>
    </row>
    <row r="21" ht="13.5" customHeight="1">
      <c r="A21" s="21" t="s">
        <v>5749</v>
      </c>
      <c r="B21" s="21" t="s">
        <v>5758</v>
      </c>
      <c r="C21" s="21" t="s">
        <v>5142</v>
      </c>
      <c r="D21" s="130"/>
      <c r="E21" s="21" t="s">
        <v>5704</v>
      </c>
      <c r="F21" s="21" t="s">
        <v>5761</v>
      </c>
      <c r="G21" s="129"/>
      <c r="H21" s="129"/>
      <c r="I21" s="129"/>
      <c r="J21" s="129"/>
      <c r="K21" s="129"/>
      <c r="L21" s="129"/>
      <c r="M21" s="129"/>
      <c r="N21" s="129"/>
      <c r="O21" s="129"/>
      <c r="P21" s="129"/>
      <c r="Q21" s="129"/>
      <c r="R21" s="129"/>
      <c r="S21" s="129"/>
      <c r="T21" s="129"/>
      <c r="U21" s="129"/>
      <c r="V21" s="129"/>
      <c r="W21" s="129"/>
      <c r="X21" s="129"/>
      <c r="Y21" s="129"/>
      <c r="Z21" s="129"/>
    </row>
    <row r="22" ht="13.5" customHeight="1">
      <c r="A22" s="21" t="s">
        <v>5749</v>
      </c>
      <c r="B22" s="21" t="s">
        <v>5762</v>
      </c>
      <c r="C22" s="21" t="s">
        <v>5165</v>
      </c>
      <c r="D22" s="130"/>
      <c r="E22" s="21" t="s">
        <v>5704</v>
      </c>
      <c r="F22" s="21" t="s">
        <v>5763</v>
      </c>
      <c r="G22" s="129"/>
      <c r="H22" s="129"/>
      <c r="I22" s="129"/>
      <c r="J22" s="129"/>
      <c r="K22" s="129"/>
      <c r="L22" s="129"/>
      <c r="M22" s="129"/>
      <c r="N22" s="129"/>
      <c r="O22" s="129"/>
      <c r="P22" s="129"/>
      <c r="Q22" s="129"/>
      <c r="R22" s="129"/>
      <c r="S22" s="129"/>
      <c r="T22" s="129"/>
      <c r="U22" s="129"/>
      <c r="V22" s="129"/>
      <c r="W22" s="129"/>
      <c r="X22" s="129"/>
      <c r="Y22" s="129"/>
      <c r="Z22" s="129"/>
    </row>
    <row r="23" ht="13.5" customHeight="1">
      <c r="A23" s="21" t="s">
        <v>5749</v>
      </c>
      <c r="B23" s="21" t="s">
        <v>5764</v>
      </c>
      <c r="C23" s="21" t="s">
        <v>5179</v>
      </c>
      <c r="D23" s="130"/>
      <c r="E23" s="21" t="s">
        <v>5704</v>
      </c>
      <c r="F23" s="21" t="s">
        <v>5767</v>
      </c>
      <c r="G23" s="129"/>
      <c r="H23" s="129"/>
      <c r="I23" s="129"/>
      <c r="J23" s="129"/>
      <c r="K23" s="129"/>
      <c r="L23" s="129"/>
      <c r="M23" s="129"/>
      <c r="N23" s="129"/>
      <c r="O23" s="129"/>
      <c r="P23" s="129"/>
      <c r="Q23" s="129"/>
      <c r="R23" s="129"/>
      <c r="S23" s="129"/>
      <c r="T23" s="129"/>
      <c r="U23" s="129"/>
      <c r="V23" s="129"/>
      <c r="W23" s="129"/>
      <c r="X23" s="129"/>
      <c r="Y23" s="129"/>
      <c r="Z23" s="129"/>
    </row>
    <row r="24" ht="13.5" customHeight="1">
      <c r="A24" s="21" t="s">
        <v>5749</v>
      </c>
      <c r="B24" s="21" t="s">
        <v>5768</v>
      </c>
      <c r="C24" s="21" t="s">
        <v>5187</v>
      </c>
      <c r="D24" s="130"/>
      <c r="E24" s="21" t="s">
        <v>5704</v>
      </c>
      <c r="F24" s="21" t="s">
        <v>5769</v>
      </c>
      <c r="G24" s="129"/>
      <c r="H24" s="129"/>
      <c r="I24" s="129"/>
      <c r="J24" s="129"/>
      <c r="K24" s="129"/>
      <c r="L24" s="129"/>
      <c r="M24" s="129"/>
      <c r="N24" s="129"/>
      <c r="O24" s="129"/>
      <c r="P24" s="129"/>
      <c r="Q24" s="129"/>
      <c r="R24" s="129"/>
      <c r="S24" s="129"/>
      <c r="T24" s="129"/>
      <c r="U24" s="129"/>
      <c r="V24" s="129"/>
      <c r="W24" s="129"/>
      <c r="X24" s="129"/>
      <c r="Y24" s="129"/>
      <c r="Z24" s="129"/>
    </row>
    <row r="25" ht="13.5" customHeight="1">
      <c r="A25" s="21" t="s">
        <v>5749</v>
      </c>
      <c r="B25" s="21" t="s">
        <v>5770</v>
      </c>
      <c r="C25" s="21" t="s">
        <v>5199</v>
      </c>
      <c r="D25" s="130"/>
      <c r="E25" s="21" t="s">
        <v>5704</v>
      </c>
      <c r="F25" s="21" t="s">
        <v>5773</v>
      </c>
      <c r="G25" s="129"/>
      <c r="H25" s="129"/>
      <c r="I25" s="129"/>
      <c r="J25" s="129"/>
      <c r="K25" s="129"/>
      <c r="L25" s="129"/>
      <c r="M25" s="129"/>
      <c r="N25" s="129"/>
      <c r="O25" s="129"/>
      <c r="P25" s="129"/>
      <c r="Q25" s="129"/>
      <c r="R25" s="129"/>
      <c r="S25" s="129"/>
      <c r="T25" s="129"/>
      <c r="U25" s="129"/>
      <c r="V25" s="129"/>
      <c r="W25" s="129"/>
      <c r="X25" s="129"/>
      <c r="Y25" s="129"/>
      <c r="Z25" s="129"/>
    </row>
    <row r="26" ht="13.5" customHeight="1">
      <c r="A26" s="21" t="s">
        <v>5749</v>
      </c>
      <c r="B26" s="21" t="s">
        <v>5774</v>
      </c>
      <c r="C26" s="21" t="s">
        <v>5206</v>
      </c>
      <c r="D26" s="130"/>
      <c r="E26" s="21" t="s">
        <v>5704</v>
      </c>
      <c r="F26" s="21" t="s">
        <v>5775</v>
      </c>
      <c r="G26" s="129"/>
      <c r="H26" s="129"/>
      <c r="I26" s="129"/>
      <c r="J26" s="129"/>
      <c r="K26" s="129"/>
      <c r="L26" s="129"/>
      <c r="M26" s="129"/>
      <c r="N26" s="129"/>
      <c r="O26" s="129"/>
      <c r="P26" s="129"/>
      <c r="Q26" s="129"/>
      <c r="R26" s="129"/>
      <c r="S26" s="129"/>
      <c r="T26" s="129"/>
      <c r="U26" s="129"/>
      <c r="V26" s="129"/>
      <c r="W26" s="129"/>
      <c r="X26" s="129"/>
      <c r="Y26" s="129"/>
      <c r="Z26" s="129"/>
    </row>
    <row r="27" ht="13.5" customHeight="1">
      <c r="A27" s="21" t="s">
        <v>5749</v>
      </c>
      <c r="B27" s="21" t="s">
        <v>5777</v>
      </c>
      <c r="C27" s="21" t="s">
        <v>5216</v>
      </c>
      <c r="D27" s="130"/>
      <c r="E27" s="21" t="s">
        <v>5704</v>
      </c>
      <c r="F27" s="21" t="s">
        <v>5781</v>
      </c>
      <c r="G27" s="129"/>
      <c r="H27" s="129"/>
      <c r="I27" s="129"/>
      <c r="J27" s="129"/>
      <c r="K27" s="129"/>
      <c r="L27" s="129"/>
      <c r="M27" s="129"/>
      <c r="N27" s="129"/>
      <c r="O27" s="129"/>
      <c r="P27" s="129"/>
      <c r="Q27" s="129"/>
      <c r="R27" s="129"/>
      <c r="S27" s="129"/>
      <c r="T27" s="129"/>
      <c r="U27" s="129"/>
      <c r="V27" s="129"/>
      <c r="W27" s="129"/>
      <c r="X27" s="129"/>
      <c r="Y27" s="129"/>
      <c r="Z27" s="129"/>
    </row>
    <row r="28" ht="13.5" customHeight="1">
      <c r="A28" s="21" t="s">
        <v>5749</v>
      </c>
      <c r="B28" s="21" t="s">
        <v>5782</v>
      </c>
      <c r="C28" s="21" t="s">
        <v>5231</v>
      </c>
      <c r="D28" s="130"/>
      <c r="E28" s="21" t="s">
        <v>5704</v>
      </c>
      <c r="F28" s="21" t="s">
        <v>5784</v>
      </c>
      <c r="G28" s="129"/>
      <c r="H28" s="129"/>
      <c r="I28" s="129"/>
      <c r="J28" s="129"/>
      <c r="K28" s="129"/>
      <c r="L28" s="129"/>
      <c r="M28" s="129"/>
      <c r="N28" s="129"/>
      <c r="O28" s="129"/>
      <c r="P28" s="129"/>
      <c r="Q28" s="129"/>
      <c r="R28" s="129"/>
      <c r="S28" s="129"/>
      <c r="T28" s="129"/>
      <c r="U28" s="129"/>
      <c r="V28" s="129"/>
      <c r="W28" s="129"/>
      <c r="X28" s="129"/>
      <c r="Y28" s="129"/>
      <c r="Z28" s="129"/>
    </row>
    <row r="29" ht="13.5" customHeight="1">
      <c r="A29" s="21" t="s">
        <v>5749</v>
      </c>
      <c r="B29" s="21" t="s">
        <v>5787</v>
      </c>
      <c r="C29" s="21" t="s">
        <v>5250</v>
      </c>
      <c r="D29" s="130"/>
      <c r="E29" s="21" t="s">
        <v>5704</v>
      </c>
      <c r="F29" s="21" t="s">
        <v>5791</v>
      </c>
      <c r="G29" s="129"/>
      <c r="H29" s="129"/>
      <c r="I29" s="129"/>
      <c r="J29" s="129"/>
      <c r="K29" s="129"/>
      <c r="L29" s="129"/>
      <c r="M29" s="129"/>
      <c r="N29" s="129"/>
      <c r="O29" s="129"/>
      <c r="P29" s="129"/>
      <c r="Q29" s="129"/>
      <c r="R29" s="129"/>
      <c r="S29" s="129"/>
      <c r="T29" s="129"/>
      <c r="U29" s="129"/>
      <c r="V29" s="129"/>
      <c r="W29" s="129"/>
      <c r="X29" s="129"/>
      <c r="Y29" s="129"/>
      <c r="Z29" s="129"/>
    </row>
    <row r="30" ht="13.5" customHeight="1">
      <c r="A30" s="21" t="s">
        <v>5749</v>
      </c>
      <c r="B30" s="21" t="s">
        <v>5792</v>
      </c>
      <c r="C30" s="21" t="s">
        <v>5793</v>
      </c>
      <c r="D30" s="130"/>
      <c r="E30" s="21" t="s">
        <v>5704</v>
      </c>
      <c r="F30" s="21" t="s">
        <v>5794</v>
      </c>
      <c r="G30" s="129"/>
      <c r="H30" s="129"/>
      <c r="I30" s="129"/>
      <c r="J30" s="129"/>
      <c r="K30" s="129"/>
      <c r="L30" s="129"/>
      <c r="M30" s="129"/>
      <c r="N30" s="129"/>
      <c r="O30" s="129"/>
      <c r="P30" s="129"/>
      <c r="Q30" s="129"/>
      <c r="R30" s="129"/>
      <c r="S30" s="129"/>
      <c r="T30" s="129"/>
      <c r="U30" s="129"/>
      <c r="V30" s="129"/>
      <c r="W30" s="129"/>
      <c r="X30" s="129"/>
      <c r="Y30" s="129"/>
      <c r="Z30" s="129"/>
    </row>
    <row r="31" ht="13.5" customHeight="1">
      <c r="A31" s="21" t="s">
        <v>5749</v>
      </c>
      <c r="B31" s="21" t="s">
        <v>5795</v>
      </c>
      <c r="C31" s="21" t="s">
        <v>5796</v>
      </c>
      <c r="D31" s="130"/>
      <c r="E31" s="21" t="s">
        <v>5704</v>
      </c>
      <c r="F31" s="21" t="s">
        <v>5798</v>
      </c>
      <c r="G31" s="129"/>
      <c r="H31" s="129"/>
      <c r="I31" s="129"/>
      <c r="J31" s="129"/>
      <c r="K31" s="129"/>
      <c r="L31" s="129"/>
      <c r="M31" s="129"/>
      <c r="N31" s="129"/>
      <c r="O31" s="129"/>
      <c r="P31" s="129"/>
      <c r="Q31" s="129"/>
      <c r="R31" s="129"/>
      <c r="S31" s="129"/>
      <c r="T31" s="129"/>
      <c r="U31" s="129"/>
      <c r="V31" s="129"/>
      <c r="W31" s="129"/>
      <c r="X31" s="129"/>
      <c r="Y31" s="129"/>
      <c r="Z31" s="129"/>
    </row>
    <row r="32" ht="13.5" customHeight="1">
      <c r="A32" s="21" t="s">
        <v>5749</v>
      </c>
      <c r="B32" s="21" t="s">
        <v>5800</v>
      </c>
      <c r="C32" s="21" t="s">
        <v>5801</v>
      </c>
      <c r="D32" s="130"/>
      <c r="E32" s="21" t="s">
        <v>5704</v>
      </c>
      <c r="F32" s="21" t="s">
        <v>5802</v>
      </c>
      <c r="G32" s="129"/>
      <c r="H32" s="129"/>
      <c r="I32" s="129"/>
      <c r="J32" s="129"/>
      <c r="K32" s="129"/>
      <c r="L32" s="129"/>
      <c r="M32" s="129"/>
      <c r="N32" s="129"/>
      <c r="O32" s="129"/>
      <c r="P32" s="129"/>
      <c r="Q32" s="129"/>
      <c r="R32" s="129"/>
      <c r="S32" s="129"/>
      <c r="T32" s="129"/>
      <c r="U32" s="129"/>
      <c r="V32" s="129"/>
      <c r="W32" s="129"/>
      <c r="X32" s="129"/>
      <c r="Y32" s="129"/>
      <c r="Z32" s="129"/>
    </row>
    <row r="33" ht="13.5" customHeight="1">
      <c r="A33" s="21" t="s">
        <v>5749</v>
      </c>
      <c r="B33" s="21" t="s">
        <v>5803</v>
      </c>
      <c r="C33" s="21" t="s">
        <v>5804</v>
      </c>
      <c r="D33" s="130"/>
      <c r="E33" s="21" t="s">
        <v>5704</v>
      </c>
      <c r="F33" s="21" t="s">
        <v>5805</v>
      </c>
      <c r="G33" s="129"/>
      <c r="H33" s="129"/>
      <c r="I33" s="129"/>
      <c r="J33" s="129"/>
      <c r="K33" s="129"/>
      <c r="L33" s="129"/>
      <c r="M33" s="129"/>
      <c r="N33" s="129"/>
      <c r="O33" s="129"/>
      <c r="P33" s="129"/>
      <c r="Q33" s="129"/>
      <c r="R33" s="129"/>
      <c r="S33" s="129"/>
      <c r="T33" s="129"/>
      <c r="U33" s="129"/>
      <c r="V33" s="129"/>
      <c r="W33" s="129"/>
      <c r="X33" s="129"/>
      <c r="Y33" s="129"/>
      <c r="Z33" s="129"/>
    </row>
    <row r="34" ht="13.5" customHeight="1">
      <c r="A34" s="21" t="s">
        <v>5749</v>
      </c>
      <c r="B34" s="21" t="s">
        <v>5808</v>
      </c>
      <c r="C34" s="21" t="s">
        <v>5809</v>
      </c>
      <c r="D34" s="130"/>
      <c r="E34" s="21" t="s">
        <v>5704</v>
      </c>
      <c r="F34" s="21" t="s">
        <v>5810</v>
      </c>
      <c r="G34" s="129"/>
      <c r="H34" s="129"/>
      <c r="I34" s="129"/>
      <c r="J34" s="129"/>
      <c r="K34" s="129"/>
      <c r="L34" s="129"/>
      <c r="M34" s="129"/>
      <c r="N34" s="129"/>
      <c r="O34" s="129"/>
      <c r="P34" s="129"/>
      <c r="Q34" s="129"/>
      <c r="R34" s="129"/>
      <c r="S34" s="129"/>
      <c r="T34" s="129"/>
      <c r="U34" s="129"/>
      <c r="V34" s="129"/>
      <c r="W34" s="129"/>
      <c r="X34" s="129"/>
      <c r="Y34" s="129"/>
      <c r="Z34" s="129"/>
    </row>
    <row r="35" ht="13.5" customHeight="1">
      <c r="A35" s="21" t="s">
        <v>5749</v>
      </c>
      <c r="B35" s="21" t="s">
        <v>5811</v>
      </c>
      <c r="C35" s="21" t="s">
        <v>5812</v>
      </c>
      <c r="D35" s="130"/>
      <c r="E35" s="21" t="s">
        <v>5704</v>
      </c>
      <c r="F35" s="21" t="s">
        <v>5813</v>
      </c>
      <c r="G35" s="129"/>
      <c r="H35" s="129"/>
      <c r="I35" s="129"/>
      <c r="J35" s="129"/>
      <c r="K35" s="129"/>
      <c r="L35" s="129"/>
      <c r="M35" s="129"/>
      <c r="N35" s="129"/>
      <c r="O35" s="129"/>
      <c r="P35" s="129"/>
      <c r="Q35" s="129"/>
      <c r="R35" s="129"/>
      <c r="S35" s="129"/>
      <c r="T35" s="129"/>
      <c r="U35" s="129"/>
      <c r="V35" s="129"/>
      <c r="W35" s="129"/>
      <c r="X35" s="129"/>
      <c r="Y35" s="129"/>
      <c r="Z35" s="129"/>
    </row>
    <row r="36" ht="13.5" customHeight="1">
      <c r="A36" s="21" t="s">
        <v>5749</v>
      </c>
      <c r="B36" s="21" t="s">
        <v>5816</v>
      </c>
      <c r="C36" s="21" t="s">
        <v>5817</v>
      </c>
      <c r="D36" s="130"/>
      <c r="E36" s="21" t="s">
        <v>5704</v>
      </c>
      <c r="F36" s="21" t="s">
        <v>5818</v>
      </c>
      <c r="G36" s="129"/>
      <c r="H36" s="129"/>
      <c r="I36" s="129"/>
      <c r="J36" s="129"/>
      <c r="K36" s="129"/>
      <c r="L36" s="129"/>
      <c r="M36" s="129"/>
      <c r="N36" s="129"/>
      <c r="O36" s="129"/>
      <c r="P36" s="129"/>
      <c r="Q36" s="129"/>
      <c r="R36" s="129"/>
      <c r="S36" s="129"/>
      <c r="T36" s="129"/>
      <c r="U36" s="129"/>
      <c r="V36" s="129"/>
      <c r="W36" s="129"/>
      <c r="X36" s="129"/>
      <c r="Y36" s="129"/>
      <c r="Z36" s="129"/>
    </row>
    <row r="37" ht="13.5" customHeight="1">
      <c r="A37" s="21" t="s">
        <v>5749</v>
      </c>
      <c r="B37" s="21" t="s">
        <v>5819</v>
      </c>
      <c r="C37" s="21" t="s">
        <v>5820</v>
      </c>
      <c r="D37" s="130"/>
      <c r="E37" s="21" t="s">
        <v>5704</v>
      </c>
      <c r="F37" s="21" t="s">
        <v>5821</v>
      </c>
      <c r="G37" s="129"/>
      <c r="H37" s="129"/>
      <c r="I37" s="129"/>
      <c r="J37" s="129"/>
      <c r="K37" s="129"/>
      <c r="L37" s="129"/>
      <c r="M37" s="129"/>
      <c r="N37" s="129"/>
      <c r="O37" s="129"/>
      <c r="P37" s="129"/>
      <c r="Q37" s="129"/>
      <c r="R37" s="129"/>
      <c r="S37" s="129"/>
      <c r="T37" s="129"/>
      <c r="U37" s="129"/>
      <c r="V37" s="129"/>
      <c r="W37" s="129"/>
      <c r="X37" s="129"/>
      <c r="Y37" s="129"/>
      <c r="Z37" s="129"/>
    </row>
    <row r="38" ht="13.5" customHeight="1">
      <c r="A38" s="21" t="s">
        <v>5749</v>
      </c>
      <c r="B38" s="21" t="s">
        <v>5824</v>
      </c>
      <c r="C38" s="21" t="s">
        <v>5825</v>
      </c>
      <c r="D38" s="130"/>
      <c r="E38" s="21" t="s">
        <v>5704</v>
      </c>
      <c r="F38" s="21" t="s">
        <v>5826</v>
      </c>
      <c r="G38" s="129"/>
      <c r="H38" s="129"/>
      <c r="I38" s="129"/>
      <c r="J38" s="129"/>
      <c r="K38" s="129"/>
      <c r="L38" s="129"/>
      <c r="M38" s="129"/>
      <c r="N38" s="129"/>
      <c r="O38" s="129"/>
      <c r="P38" s="129"/>
      <c r="Q38" s="129"/>
      <c r="R38" s="129"/>
      <c r="S38" s="129"/>
      <c r="T38" s="129"/>
      <c r="U38" s="129"/>
      <c r="V38" s="129"/>
      <c r="W38" s="129"/>
      <c r="X38" s="129"/>
      <c r="Y38" s="129"/>
      <c r="Z38" s="129"/>
    </row>
    <row r="39" ht="13.5" customHeight="1">
      <c r="A39" s="21" t="s">
        <v>5749</v>
      </c>
      <c r="B39" s="21" t="s">
        <v>5827</v>
      </c>
      <c r="C39" s="21" t="s">
        <v>5828</v>
      </c>
      <c r="D39" s="130"/>
      <c r="E39" s="21" t="s">
        <v>5704</v>
      </c>
      <c r="F39" s="21" t="s">
        <v>5829</v>
      </c>
      <c r="G39" s="129"/>
      <c r="H39" s="129"/>
      <c r="I39" s="129"/>
      <c r="J39" s="129"/>
      <c r="K39" s="129"/>
      <c r="L39" s="129"/>
      <c r="M39" s="129"/>
      <c r="N39" s="129"/>
      <c r="O39" s="129"/>
      <c r="P39" s="129"/>
      <c r="Q39" s="129"/>
      <c r="R39" s="129"/>
      <c r="S39" s="129"/>
      <c r="T39" s="129"/>
      <c r="U39" s="129"/>
      <c r="V39" s="129"/>
      <c r="W39" s="129"/>
      <c r="X39" s="129"/>
      <c r="Y39" s="129"/>
      <c r="Z39" s="129"/>
    </row>
    <row r="40" ht="13.5" customHeight="1">
      <c r="A40" s="21" t="s">
        <v>5749</v>
      </c>
      <c r="B40" s="21" t="s">
        <v>5831</v>
      </c>
      <c r="C40" s="21" t="s">
        <v>5833</v>
      </c>
      <c r="D40" s="130"/>
      <c r="E40" s="21" t="s">
        <v>5704</v>
      </c>
      <c r="F40" s="21" t="s">
        <v>5834</v>
      </c>
      <c r="G40" s="129"/>
      <c r="H40" s="129"/>
      <c r="I40" s="129"/>
      <c r="J40" s="129"/>
      <c r="K40" s="129"/>
      <c r="L40" s="129"/>
      <c r="M40" s="129"/>
      <c r="N40" s="129"/>
      <c r="O40" s="129"/>
      <c r="P40" s="129"/>
      <c r="Q40" s="129"/>
      <c r="R40" s="129"/>
      <c r="S40" s="129"/>
      <c r="T40" s="129"/>
      <c r="U40" s="129"/>
      <c r="V40" s="129"/>
      <c r="W40" s="129"/>
      <c r="X40" s="129"/>
      <c r="Y40" s="129"/>
      <c r="Z40" s="129"/>
    </row>
    <row r="41" ht="13.5" customHeight="1">
      <c r="A41" s="21" t="s">
        <v>5749</v>
      </c>
      <c r="B41" s="21" t="s">
        <v>5835</v>
      </c>
      <c r="C41" s="21" t="s">
        <v>5836</v>
      </c>
      <c r="D41" s="130"/>
      <c r="E41" s="21" t="s">
        <v>5704</v>
      </c>
      <c r="F41" s="21" t="s">
        <v>5837</v>
      </c>
      <c r="G41" s="129"/>
      <c r="H41" s="129"/>
      <c r="I41" s="129"/>
      <c r="J41" s="129"/>
      <c r="K41" s="129"/>
      <c r="L41" s="129"/>
      <c r="M41" s="129"/>
      <c r="N41" s="129"/>
      <c r="O41" s="129"/>
      <c r="P41" s="129"/>
      <c r="Q41" s="129"/>
      <c r="R41" s="129"/>
      <c r="S41" s="129"/>
      <c r="T41" s="129"/>
      <c r="U41" s="129"/>
      <c r="V41" s="129"/>
      <c r="W41" s="129"/>
      <c r="X41" s="129"/>
      <c r="Y41" s="129"/>
      <c r="Z41" s="129"/>
    </row>
    <row r="42" ht="13.5" customHeight="1">
      <c r="A42" s="21" t="s">
        <v>5749</v>
      </c>
      <c r="B42" s="21" t="s">
        <v>5838</v>
      </c>
      <c r="C42" s="21" t="s">
        <v>5839</v>
      </c>
      <c r="D42" s="130"/>
      <c r="E42" s="21" t="s">
        <v>5704</v>
      </c>
      <c r="F42" s="21" t="s">
        <v>5840</v>
      </c>
      <c r="G42" s="129"/>
      <c r="H42" s="129"/>
      <c r="I42" s="129"/>
      <c r="J42" s="129"/>
      <c r="K42" s="129"/>
      <c r="L42" s="129"/>
      <c r="M42" s="129"/>
      <c r="N42" s="129"/>
      <c r="O42" s="129"/>
      <c r="P42" s="129"/>
      <c r="Q42" s="129"/>
      <c r="R42" s="129"/>
      <c r="S42" s="129"/>
      <c r="T42" s="129"/>
      <c r="U42" s="129"/>
      <c r="V42" s="129"/>
      <c r="W42" s="129"/>
      <c r="X42" s="129"/>
      <c r="Y42" s="129"/>
      <c r="Z42" s="129"/>
    </row>
    <row r="43" ht="13.5" customHeight="1">
      <c r="A43" s="21" t="s">
        <v>5749</v>
      </c>
      <c r="B43" s="21" t="s">
        <v>5843</v>
      </c>
      <c r="C43" s="21" t="s">
        <v>5844</v>
      </c>
      <c r="D43" s="130"/>
      <c r="E43" s="21" t="s">
        <v>5704</v>
      </c>
      <c r="F43" s="21" t="s">
        <v>5845</v>
      </c>
      <c r="G43" s="129"/>
      <c r="H43" s="129"/>
      <c r="I43" s="129"/>
      <c r="J43" s="129"/>
      <c r="K43" s="129"/>
      <c r="L43" s="129"/>
      <c r="M43" s="129"/>
      <c r="N43" s="129"/>
      <c r="O43" s="129"/>
      <c r="P43" s="129"/>
      <c r="Q43" s="129"/>
      <c r="R43" s="129"/>
      <c r="S43" s="129"/>
      <c r="T43" s="129"/>
      <c r="U43" s="129"/>
      <c r="V43" s="129"/>
      <c r="W43" s="129"/>
      <c r="X43" s="129"/>
      <c r="Y43" s="129"/>
      <c r="Z43" s="129"/>
    </row>
    <row r="44" ht="13.5" customHeight="1">
      <c r="A44" s="21" t="s">
        <v>5749</v>
      </c>
      <c r="B44" s="21" t="s">
        <v>5846</v>
      </c>
      <c r="C44" s="21" t="s">
        <v>5847</v>
      </c>
      <c r="D44" s="130"/>
      <c r="E44" s="21" t="s">
        <v>5704</v>
      </c>
      <c r="F44" s="21" t="s">
        <v>5848</v>
      </c>
      <c r="G44" s="129"/>
      <c r="H44" s="129"/>
      <c r="I44" s="129"/>
      <c r="J44" s="129"/>
      <c r="K44" s="129"/>
      <c r="L44" s="129"/>
      <c r="M44" s="129"/>
      <c r="N44" s="129"/>
      <c r="O44" s="129"/>
      <c r="P44" s="129"/>
      <c r="Q44" s="129"/>
      <c r="R44" s="129"/>
      <c r="S44" s="129"/>
      <c r="T44" s="129"/>
      <c r="U44" s="129"/>
      <c r="V44" s="129"/>
      <c r="W44" s="129"/>
      <c r="X44" s="129"/>
      <c r="Y44" s="129"/>
      <c r="Z44" s="129"/>
    </row>
    <row r="45" ht="13.5" customHeight="1">
      <c r="A45" s="21" t="s">
        <v>5749</v>
      </c>
      <c r="B45" s="21" t="s">
        <v>5851</v>
      </c>
      <c r="C45" s="21" t="s">
        <v>5852</v>
      </c>
      <c r="D45" s="130"/>
      <c r="E45" s="21" t="s">
        <v>5704</v>
      </c>
      <c r="F45" s="21" t="s">
        <v>5853</v>
      </c>
      <c r="G45" s="129"/>
      <c r="H45" s="129"/>
      <c r="I45" s="129"/>
      <c r="J45" s="129"/>
      <c r="K45" s="129"/>
      <c r="L45" s="129"/>
      <c r="M45" s="129"/>
      <c r="N45" s="129"/>
      <c r="O45" s="129"/>
      <c r="P45" s="129"/>
      <c r="Q45" s="129"/>
      <c r="R45" s="129"/>
      <c r="S45" s="129"/>
      <c r="T45" s="129"/>
      <c r="U45" s="129"/>
      <c r="V45" s="129"/>
      <c r="W45" s="129"/>
      <c r="X45" s="129"/>
      <c r="Y45" s="129"/>
      <c r="Z45" s="129"/>
    </row>
    <row r="46" ht="13.5" customHeight="1">
      <c r="A46" s="21" t="s">
        <v>5749</v>
      </c>
      <c r="B46" s="21" t="s">
        <v>5854</v>
      </c>
      <c r="C46" s="21" t="s">
        <v>5231</v>
      </c>
      <c r="D46" s="130"/>
      <c r="E46" s="21" t="s">
        <v>5704</v>
      </c>
      <c r="F46" s="21" t="s">
        <v>5855</v>
      </c>
      <c r="G46" s="129"/>
      <c r="H46" s="129"/>
      <c r="I46" s="129"/>
      <c r="J46" s="129"/>
      <c r="K46" s="129"/>
      <c r="L46" s="129"/>
      <c r="M46" s="129"/>
      <c r="N46" s="129"/>
      <c r="O46" s="129"/>
      <c r="P46" s="129"/>
      <c r="Q46" s="129"/>
      <c r="R46" s="129"/>
      <c r="S46" s="129"/>
      <c r="T46" s="129"/>
      <c r="U46" s="129"/>
      <c r="V46" s="129"/>
      <c r="W46" s="129"/>
      <c r="X46" s="129"/>
      <c r="Y46" s="129"/>
      <c r="Z46" s="129"/>
    </row>
    <row r="47" ht="13.5" customHeight="1">
      <c r="A47" s="21" t="s">
        <v>5749</v>
      </c>
      <c r="B47" s="21" t="s">
        <v>5857</v>
      </c>
      <c r="C47" s="21" t="s">
        <v>5250</v>
      </c>
      <c r="D47" s="130"/>
      <c r="E47" s="21" t="s">
        <v>5704</v>
      </c>
      <c r="F47" s="21" t="s">
        <v>5859</v>
      </c>
      <c r="G47" s="129"/>
      <c r="H47" s="129"/>
      <c r="I47" s="129"/>
      <c r="J47" s="129"/>
      <c r="K47" s="129"/>
      <c r="L47" s="129"/>
      <c r="M47" s="129"/>
      <c r="N47" s="129"/>
      <c r="O47" s="129"/>
      <c r="P47" s="129"/>
      <c r="Q47" s="129"/>
      <c r="R47" s="129"/>
      <c r="S47" s="129"/>
      <c r="T47" s="129"/>
      <c r="U47" s="129"/>
      <c r="V47" s="129"/>
      <c r="W47" s="129"/>
      <c r="X47" s="129"/>
      <c r="Y47" s="129"/>
      <c r="Z47" s="129"/>
    </row>
    <row r="48" ht="13.5" customHeight="1">
      <c r="A48" s="21" t="s">
        <v>5749</v>
      </c>
      <c r="B48" s="21" t="s">
        <v>5860</v>
      </c>
      <c r="C48" s="21" t="s">
        <v>5861</v>
      </c>
      <c r="D48" s="130"/>
      <c r="E48" s="21" t="s">
        <v>5704</v>
      </c>
      <c r="F48" s="21" t="s">
        <v>5862</v>
      </c>
      <c r="G48" s="129"/>
      <c r="H48" s="129"/>
      <c r="I48" s="129"/>
      <c r="J48" s="129"/>
      <c r="K48" s="129"/>
      <c r="L48" s="129"/>
      <c r="M48" s="129"/>
      <c r="N48" s="129"/>
      <c r="O48" s="129"/>
      <c r="P48" s="129"/>
      <c r="Q48" s="129"/>
      <c r="R48" s="129"/>
      <c r="S48" s="129"/>
      <c r="T48" s="129"/>
      <c r="U48" s="129"/>
      <c r="V48" s="129"/>
      <c r="W48" s="129"/>
      <c r="X48" s="129"/>
      <c r="Y48" s="129"/>
      <c r="Z48" s="129"/>
    </row>
    <row r="49" ht="13.5" customHeight="1">
      <c r="A49" s="21" t="s">
        <v>5749</v>
      </c>
      <c r="B49" s="21" t="s">
        <v>5863</v>
      </c>
      <c r="C49" s="21" t="s">
        <v>5864</v>
      </c>
      <c r="D49" s="130"/>
      <c r="E49" s="21" t="s">
        <v>5704</v>
      </c>
      <c r="F49" s="21" t="s">
        <v>5867</v>
      </c>
      <c r="G49" s="129"/>
      <c r="H49" s="129"/>
      <c r="I49" s="129"/>
      <c r="J49" s="129"/>
      <c r="K49" s="129"/>
      <c r="L49" s="129"/>
      <c r="M49" s="129"/>
      <c r="N49" s="129"/>
      <c r="O49" s="129"/>
      <c r="P49" s="129"/>
      <c r="Q49" s="129"/>
      <c r="R49" s="129"/>
      <c r="S49" s="129"/>
      <c r="T49" s="129"/>
      <c r="U49" s="129"/>
      <c r="V49" s="129"/>
      <c r="W49" s="129"/>
      <c r="X49" s="129"/>
      <c r="Y49" s="129"/>
      <c r="Z49" s="129"/>
    </row>
    <row r="50" ht="13.5" customHeight="1">
      <c r="A50" s="21" t="s">
        <v>5749</v>
      </c>
      <c r="B50" s="21" t="s">
        <v>5868</v>
      </c>
      <c r="C50" s="21" t="s">
        <v>5869</v>
      </c>
      <c r="D50" s="130"/>
      <c r="E50" s="21" t="s">
        <v>5704</v>
      </c>
      <c r="F50" s="21" t="s">
        <v>5870</v>
      </c>
      <c r="G50" s="129"/>
      <c r="H50" s="129"/>
      <c r="I50" s="129"/>
      <c r="J50" s="129"/>
      <c r="K50" s="129"/>
      <c r="L50" s="129"/>
      <c r="M50" s="129"/>
      <c r="N50" s="129"/>
      <c r="O50" s="129"/>
      <c r="P50" s="129"/>
      <c r="Q50" s="129"/>
      <c r="R50" s="129"/>
      <c r="S50" s="129"/>
      <c r="T50" s="129"/>
      <c r="U50" s="129"/>
      <c r="V50" s="129"/>
      <c r="W50" s="129"/>
      <c r="X50" s="129"/>
      <c r="Y50" s="129"/>
      <c r="Z50" s="129"/>
    </row>
    <row r="51" ht="13.5" customHeight="1">
      <c r="A51" s="21" t="s">
        <v>5749</v>
      </c>
      <c r="B51" s="21" t="s">
        <v>5871</v>
      </c>
      <c r="C51" s="21" t="s">
        <v>5872</v>
      </c>
      <c r="D51" s="130"/>
      <c r="E51" s="21" t="s">
        <v>5704</v>
      </c>
      <c r="F51" s="21" t="s">
        <v>5875</v>
      </c>
      <c r="G51" s="129"/>
      <c r="H51" s="129"/>
      <c r="I51" s="129"/>
      <c r="J51" s="129"/>
      <c r="K51" s="129"/>
      <c r="L51" s="129"/>
      <c r="M51" s="129"/>
      <c r="N51" s="129"/>
      <c r="O51" s="129"/>
      <c r="P51" s="129"/>
      <c r="Q51" s="129"/>
      <c r="R51" s="129"/>
      <c r="S51" s="129"/>
      <c r="T51" s="129"/>
      <c r="U51" s="129"/>
      <c r="V51" s="129"/>
      <c r="W51" s="129"/>
      <c r="X51" s="129"/>
      <c r="Y51" s="129"/>
      <c r="Z51" s="129"/>
    </row>
    <row r="52" ht="13.5" customHeight="1">
      <c r="A52" s="21" t="s">
        <v>5749</v>
      </c>
      <c r="B52" s="21" t="s">
        <v>5876</v>
      </c>
      <c r="C52" s="21" t="s">
        <v>5877</v>
      </c>
      <c r="D52" s="130"/>
      <c r="E52" s="21" t="s">
        <v>5704</v>
      </c>
      <c r="F52" s="21" t="s">
        <v>5878</v>
      </c>
      <c r="G52" s="129"/>
      <c r="H52" s="129"/>
      <c r="I52" s="129"/>
      <c r="J52" s="129"/>
      <c r="K52" s="129"/>
      <c r="L52" s="129"/>
      <c r="M52" s="129"/>
      <c r="N52" s="129"/>
      <c r="O52" s="129"/>
      <c r="P52" s="129"/>
      <c r="Q52" s="129"/>
      <c r="R52" s="129"/>
      <c r="S52" s="129"/>
      <c r="T52" s="129"/>
      <c r="U52" s="129"/>
      <c r="V52" s="129"/>
      <c r="W52" s="129"/>
      <c r="X52" s="129"/>
      <c r="Y52" s="129"/>
      <c r="Z52" s="129"/>
    </row>
    <row r="53" ht="13.5" customHeight="1">
      <c r="A53" s="21" t="s">
        <v>5749</v>
      </c>
      <c r="B53" s="21" t="s">
        <v>5879</v>
      </c>
      <c r="C53" s="21" t="s">
        <v>5880</v>
      </c>
      <c r="D53" s="130"/>
      <c r="E53" s="21" t="s">
        <v>5704</v>
      </c>
      <c r="F53" s="21" t="s">
        <v>5883</v>
      </c>
      <c r="G53" s="129"/>
      <c r="H53" s="129"/>
      <c r="I53" s="129"/>
      <c r="J53" s="129"/>
      <c r="K53" s="129"/>
      <c r="L53" s="129"/>
      <c r="M53" s="129"/>
      <c r="N53" s="129"/>
      <c r="O53" s="129"/>
      <c r="P53" s="129"/>
      <c r="Q53" s="129"/>
      <c r="R53" s="129"/>
      <c r="S53" s="129"/>
      <c r="T53" s="129"/>
      <c r="U53" s="129"/>
      <c r="V53" s="129"/>
      <c r="W53" s="129"/>
      <c r="X53" s="129"/>
      <c r="Y53" s="129"/>
      <c r="Z53" s="129"/>
    </row>
    <row r="54" ht="13.5" customHeight="1">
      <c r="A54" s="21" t="s">
        <v>5749</v>
      </c>
      <c r="B54" s="21" t="s">
        <v>5885</v>
      </c>
      <c r="C54" s="21" t="s">
        <v>5613</v>
      </c>
      <c r="D54" s="130"/>
      <c r="E54" s="21" t="s">
        <v>5704</v>
      </c>
      <c r="F54" s="21" t="s">
        <v>5887</v>
      </c>
      <c r="G54" s="129"/>
      <c r="H54" s="129"/>
      <c r="I54" s="129"/>
      <c r="J54" s="129"/>
      <c r="K54" s="129"/>
      <c r="L54" s="129"/>
      <c r="M54" s="129"/>
      <c r="N54" s="129"/>
      <c r="O54" s="129"/>
      <c r="P54" s="129"/>
      <c r="Q54" s="129"/>
      <c r="R54" s="129"/>
      <c r="S54" s="129"/>
      <c r="T54" s="129"/>
      <c r="U54" s="129"/>
      <c r="V54" s="129"/>
      <c r="W54" s="129"/>
      <c r="X54" s="129"/>
      <c r="Y54" s="129"/>
      <c r="Z54" s="129"/>
    </row>
    <row r="55" ht="13.5" customHeight="1">
      <c r="A55" s="21" t="s">
        <v>5749</v>
      </c>
      <c r="B55" s="21" t="s">
        <v>5888</v>
      </c>
      <c r="C55" s="21" t="s">
        <v>5632</v>
      </c>
      <c r="D55" s="130"/>
      <c r="E55" s="21" t="s">
        <v>5704</v>
      </c>
      <c r="F55" s="21" t="s">
        <v>5889</v>
      </c>
      <c r="G55" s="129"/>
      <c r="H55" s="129"/>
      <c r="I55" s="129"/>
      <c r="J55" s="129"/>
      <c r="K55" s="129"/>
      <c r="L55" s="129"/>
      <c r="M55" s="129"/>
      <c r="N55" s="129"/>
      <c r="O55" s="129"/>
      <c r="P55" s="129"/>
      <c r="Q55" s="129"/>
      <c r="R55" s="129"/>
      <c r="S55" s="129"/>
      <c r="T55" s="129"/>
      <c r="U55" s="129"/>
      <c r="V55" s="129"/>
      <c r="W55" s="129"/>
      <c r="X55" s="129"/>
      <c r="Y55" s="129"/>
      <c r="Z55" s="129"/>
    </row>
    <row r="56" ht="13.5" customHeight="1">
      <c r="A56" s="21" t="s">
        <v>5749</v>
      </c>
      <c r="B56" s="21" t="s">
        <v>5893</v>
      </c>
      <c r="C56" s="21" t="s">
        <v>5517</v>
      </c>
      <c r="D56" s="130"/>
      <c r="E56" s="21" t="s">
        <v>5704</v>
      </c>
      <c r="F56" s="21" t="s">
        <v>5895</v>
      </c>
      <c r="G56" s="129"/>
      <c r="H56" s="129"/>
      <c r="I56" s="129"/>
      <c r="J56" s="129"/>
      <c r="K56" s="129"/>
      <c r="L56" s="129"/>
      <c r="M56" s="129"/>
      <c r="N56" s="129"/>
      <c r="O56" s="129"/>
      <c r="P56" s="129"/>
      <c r="Q56" s="129"/>
      <c r="R56" s="129"/>
      <c r="S56" s="129"/>
      <c r="T56" s="129"/>
      <c r="U56" s="129"/>
      <c r="V56" s="129"/>
      <c r="W56" s="129"/>
      <c r="X56" s="129"/>
      <c r="Y56" s="129"/>
      <c r="Z56" s="129"/>
    </row>
    <row r="57" ht="13.5" customHeight="1">
      <c r="A57" s="21" t="s">
        <v>5749</v>
      </c>
      <c r="B57" s="21" t="s">
        <v>5899</v>
      </c>
      <c r="C57" s="21" t="s">
        <v>5536</v>
      </c>
      <c r="D57" s="130"/>
      <c r="E57" s="21" t="s">
        <v>5704</v>
      </c>
      <c r="F57" s="21" t="s">
        <v>5900</v>
      </c>
      <c r="G57" s="129"/>
      <c r="H57" s="129"/>
      <c r="I57" s="129"/>
      <c r="J57" s="129"/>
      <c r="K57" s="129"/>
      <c r="L57" s="129"/>
      <c r="M57" s="129"/>
      <c r="N57" s="129"/>
      <c r="O57" s="129"/>
      <c r="P57" s="129"/>
      <c r="Q57" s="129"/>
      <c r="R57" s="129"/>
      <c r="S57" s="129"/>
      <c r="T57" s="129"/>
      <c r="U57" s="129"/>
      <c r="V57" s="129"/>
      <c r="W57" s="129"/>
      <c r="X57" s="129"/>
      <c r="Y57" s="129"/>
      <c r="Z57" s="129"/>
    </row>
    <row r="58" ht="13.5" customHeight="1">
      <c r="A58" s="21" t="s">
        <v>5749</v>
      </c>
      <c r="B58" s="21" t="s">
        <v>5903</v>
      </c>
      <c r="C58" s="21" t="s">
        <v>5591</v>
      </c>
      <c r="D58" s="130"/>
      <c r="E58" s="21" t="s">
        <v>5704</v>
      </c>
      <c r="F58" s="21" t="s">
        <v>5904</v>
      </c>
      <c r="G58" s="129"/>
      <c r="H58" s="129"/>
      <c r="I58" s="129"/>
      <c r="J58" s="129"/>
      <c r="K58" s="129"/>
      <c r="L58" s="129"/>
      <c r="M58" s="129"/>
      <c r="N58" s="129"/>
      <c r="O58" s="129"/>
      <c r="P58" s="129"/>
      <c r="Q58" s="129"/>
      <c r="R58" s="129"/>
      <c r="S58" s="129"/>
      <c r="T58" s="129"/>
      <c r="U58" s="129"/>
      <c r="V58" s="129"/>
      <c r="W58" s="129"/>
      <c r="X58" s="129"/>
      <c r="Y58" s="129"/>
      <c r="Z58" s="129"/>
    </row>
    <row r="59" ht="13.5" customHeight="1">
      <c r="A59" s="21" t="s">
        <v>5749</v>
      </c>
      <c r="B59" s="21" t="s">
        <v>5905</v>
      </c>
      <c r="C59" s="21" t="s">
        <v>5884</v>
      </c>
      <c r="D59" s="130"/>
      <c r="E59" s="21" t="s">
        <v>5704</v>
      </c>
      <c r="F59" s="21" t="s">
        <v>5906</v>
      </c>
      <c r="G59" s="129"/>
      <c r="H59" s="129"/>
      <c r="I59" s="129"/>
      <c r="J59" s="129"/>
      <c r="K59" s="129"/>
      <c r="L59" s="129"/>
      <c r="M59" s="129"/>
      <c r="N59" s="129"/>
      <c r="O59" s="129"/>
      <c r="P59" s="129"/>
      <c r="Q59" s="129"/>
      <c r="R59" s="129"/>
      <c r="S59" s="129"/>
      <c r="T59" s="129"/>
      <c r="U59" s="129"/>
      <c r="V59" s="129"/>
      <c r="W59" s="129"/>
      <c r="X59" s="129"/>
      <c r="Y59" s="129"/>
      <c r="Z59" s="129"/>
    </row>
    <row r="60" ht="13.5" customHeight="1">
      <c r="A60" s="21" t="s">
        <v>5749</v>
      </c>
      <c r="B60" s="21" t="s">
        <v>5908</v>
      </c>
      <c r="C60" s="21" t="s">
        <v>3565</v>
      </c>
      <c r="D60" s="130"/>
      <c r="E60" s="21" t="s">
        <v>5704</v>
      </c>
      <c r="F60" s="21" t="s">
        <v>5910</v>
      </c>
      <c r="G60" s="129"/>
      <c r="H60" s="129"/>
      <c r="I60" s="129"/>
      <c r="J60" s="129"/>
      <c r="K60" s="129"/>
      <c r="L60" s="129"/>
      <c r="M60" s="129"/>
      <c r="N60" s="129"/>
      <c r="O60" s="129"/>
      <c r="P60" s="129"/>
      <c r="Q60" s="129"/>
      <c r="R60" s="129"/>
      <c r="S60" s="129"/>
      <c r="T60" s="129"/>
      <c r="U60" s="129"/>
      <c r="V60" s="129"/>
      <c r="W60" s="129"/>
      <c r="X60" s="129"/>
      <c r="Y60" s="129"/>
      <c r="Z60" s="129"/>
    </row>
    <row r="61" ht="13.5" customHeight="1">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row>
    <row r="62" ht="13.5" customHeight="1">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row>
    <row r="63" ht="13.5" customHeight="1">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row>
    <row r="64" ht="13.5" customHeight="1">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row>
    <row r="65" ht="13.5" customHeight="1">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row>
    <row r="66" ht="13.5" customHeight="1">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row>
    <row r="67" ht="13.5" customHeight="1">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row>
    <row r="68" ht="13.5" customHeight="1">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row>
    <row r="69" ht="13.5" customHeight="1">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row>
    <row r="70" ht="13.5" customHeight="1">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row>
    <row r="71" ht="13.5" customHeight="1">
      <c r="A71" s="129"/>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29"/>
    </row>
    <row r="72" ht="13.5" customHeight="1">
      <c r="A72" s="129"/>
      <c r="B72" s="129"/>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29"/>
    </row>
    <row r="73" ht="13.5" customHeight="1">
      <c r="A73" s="129"/>
      <c r="B73" s="129"/>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29"/>
    </row>
    <row r="74" ht="13.5" customHeight="1">
      <c r="A74" s="129"/>
      <c r="B74" s="129"/>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29"/>
    </row>
    <row r="75" ht="13.5" customHeight="1">
      <c r="A75" s="129"/>
      <c r="B75" s="129"/>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29"/>
    </row>
    <row r="76" ht="13.5" customHeight="1">
      <c r="A76" s="129"/>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row>
    <row r="77" ht="13.5" customHeight="1">
      <c r="A77" s="129"/>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row>
    <row r="78" ht="13.5" customHeight="1">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row>
    <row r="79" ht="13.5" customHeight="1">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row>
    <row r="80" ht="13.5" customHeight="1">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29"/>
    </row>
    <row r="81" ht="13.5" customHeight="1">
      <c r="A81" s="129"/>
      <c r="B81" s="129"/>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row>
    <row r="82" ht="13.5" customHeight="1">
      <c r="A82" s="129"/>
      <c r="B82" s="129"/>
      <c r="C82" s="129"/>
      <c r="D82" s="129"/>
      <c r="E82" s="129"/>
      <c r="F82" s="129"/>
      <c r="G82" s="129"/>
      <c r="H82" s="129"/>
      <c r="I82" s="129"/>
      <c r="J82" s="129"/>
      <c r="K82" s="129"/>
      <c r="L82" s="129"/>
      <c r="M82" s="129"/>
      <c r="N82" s="129"/>
      <c r="O82" s="129"/>
      <c r="P82" s="129"/>
      <c r="Q82" s="129"/>
      <c r="R82" s="129"/>
      <c r="S82" s="129"/>
      <c r="T82" s="129"/>
      <c r="U82" s="129"/>
      <c r="V82" s="129"/>
      <c r="W82" s="129"/>
      <c r="X82" s="129"/>
      <c r="Y82" s="129"/>
      <c r="Z82" s="129"/>
    </row>
    <row r="83" ht="13.5" customHeight="1">
      <c r="A83" s="129"/>
      <c r="B83" s="129"/>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row>
    <row r="84" ht="13.5" customHeight="1">
      <c r="A84" s="129"/>
      <c r="B84" s="129"/>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29"/>
    </row>
    <row r="85" ht="13.5" customHeight="1">
      <c r="A85" s="129"/>
      <c r="B85" s="129"/>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29"/>
    </row>
    <row r="86" ht="13.5" customHeight="1">
      <c r="A86" s="129"/>
      <c r="B86" s="129"/>
      <c r="C86" s="129"/>
      <c r="D86" s="129"/>
      <c r="E86" s="129"/>
      <c r="F86" s="129"/>
      <c r="G86" s="129"/>
      <c r="H86" s="129"/>
      <c r="I86" s="129"/>
      <c r="J86" s="129"/>
      <c r="K86" s="129"/>
      <c r="L86" s="129"/>
      <c r="M86" s="129"/>
      <c r="N86" s="129"/>
      <c r="O86" s="129"/>
      <c r="P86" s="129"/>
      <c r="Q86" s="129"/>
      <c r="R86" s="129"/>
      <c r="S86" s="129"/>
      <c r="T86" s="129"/>
      <c r="U86" s="129"/>
      <c r="V86" s="129"/>
      <c r="W86" s="129"/>
      <c r="X86" s="129"/>
      <c r="Y86" s="129"/>
      <c r="Z86" s="129"/>
    </row>
    <row r="87" ht="13.5" customHeight="1">
      <c r="A87" s="129"/>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Y87" s="129"/>
      <c r="Z87" s="129"/>
    </row>
    <row r="88" ht="13.5" customHeight="1">
      <c r="A88" s="129"/>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row>
    <row r="89" ht="13.5" customHeight="1">
      <c r="A89" s="129"/>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29"/>
    </row>
    <row r="90" ht="13.5" customHeight="1">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29"/>
    </row>
    <row r="91" ht="13.5" customHeight="1">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row>
    <row r="92" ht="13.5" customHeight="1">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29"/>
    </row>
    <row r="93" ht="13.5" customHeight="1">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29"/>
    </row>
    <row r="94" ht="13.5" customHeight="1">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29"/>
    </row>
    <row r="95" ht="13.5" customHeight="1">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29"/>
    </row>
    <row r="96" ht="13.5" customHeight="1">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29"/>
    </row>
    <row r="97" ht="13.5" customHeight="1">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row>
    <row r="98" ht="13.5" customHeight="1">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row>
    <row r="99" ht="13.5" customHeight="1">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row>
    <row r="100" ht="13.5" customHeight="1">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row>
    <row r="101" ht="13.5" customHeight="1">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row>
    <row r="102" ht="13.5" customHeight="1">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row>
    <row r="103" ht="13.5" customHeight="1">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row>
    <row r="104" ht="13.5" customHeight="1">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row>
    <row r="105" ht="13.5" customHeight="1">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row>
    <row r="106" ht="13.5" customHeight="1">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row>
    <row r="107" ht="13.5" customHeight="1">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row>
    <row r="108" ht="13.5" customHeight="1">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row>
    <row r="109" ht="13.5" customHeight="1">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row>
    <row r="110" ht="13.5" customHeight="1">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row>
    <row r="111" ht="13.5" customHeight="1">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row>
    <row r="112" ht="13.5" customHeight="1">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row>
    <row r="113" ht="13.5" customHeight="1">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row>
    <row r="114" ht="13.5" customHeight="1">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row>
    <row r="115" ht="13.5" customHeight="1">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row>
    <row r="116" ht="13.5" customHeight="1">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row>
    <row r="117" ht="13.5" customHeight="1">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row>
    <row r="118" ht="13.5" customHeight="1">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row>
    <row r="119" ht="13.5" customHeight="1">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row>
    <row r="120" ht="13.5" customHeight="1">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row>
    <row r="121" ht="13.5" customHeight="1">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row>
    <row r="122" ht="13.5" customHeight="1">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row>
    <row r="123" ht="13.5" customHeight="1">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row>
    <row r="124" ht="13.5" customHeight="1">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row>
    <row r="125" ht="13.5" customHeight="1">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row>
    <row r="126" ht="13.5" customHeight="1">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row>
    <row r="127" ht="13.5" customHeight="1">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row>
    <row r="128" ht="13.5" customHeight="1">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row>
    <row r="129" ht="13.5" customHeight="1">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row>
    <row r="130" ht="13.5" customHeight="1">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row>
    <row r="131" ht="13.5" customHeight="1">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row>
    <row r="132" ht="13.5" customHeight="1">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row>
    <row r="133" ht="13.5" customHeight="1">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row>
    <row r="134" ht="13.5" customHeight="1">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row>
    <row r="135" ht="13.5" customHeight="1">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row>
    <row r="136" ht="13.5" customHeight="1">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row>
    <row r="137" ht="13.5" customHeight="1">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row>
    <row r="138" ht="13.5" customHeight="1">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row>
    <row r="139" ht="13.5" customHeight="1">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row>
    <row r="140" ht="13.5" customHeight="1">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row>
    <row r="141" ht="13.5" customHeight="1">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row>
    <row r="142" ht="13.5" customHeight="1">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row>
    <row r="143" ht="13.5" customHeight="1">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row>
    <row r="144" ht="13.5" customHeight="1">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row>
    <row r="145" ht="13.5" customHeight="1">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row>
    <row r="146" ht="13.5" customHeight="1">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row>
    <row r="147" ht="13.5" customHeight="1">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row>
    <row r="148" ht="13.5" customHeight="1">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row>
    <row r="149" ht="13.5" customHeight="1">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row>
    <row r="150" ht="13.5" customHeight="1">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row>
    <row r="151" ht="13.5" customHeight="1">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row>
    <row r="152" ht="13.5" customHeight="1">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row>
    <row r="153" ht="13.5" customHeight="1">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row>
    <row r="154" ht="13.5" customHeight="1">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row>
    <row r="155" ht="13.5" customHeight="1">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row>
    <row r="156" ht="13.5" customHeight="1">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row>
    <row r="157" ht="13.5" customHeight="1">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row>
    <row r="158" ht="13.5" customHeight="1">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row>
    <row r="159" ht="13.5" customHeight="1">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row>
    <row r="160" ht="13.5" customHeight="1">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row>
    <row r="161" ht="13.5" customHeight="1">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row>
    <row r="162" ht="13.5" customHeight="1">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row>
    <row r="163" ht="13.5" customHeight="1">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row>
    <row r="164" ht="13.5" customHeight="1">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row>
    <row r="165" ht="13.5" customHeight="1">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row>
    <row r="166" ht="13.5" customHeight="1">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row>
    <row r="167" ht="13.5" customHeight="1">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row>
    <row r="168" ht="13.5" customHeight="1">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row>
    <row r="169" ht="13.5" customHeight="1">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row>
    <row r="170" ht="13.5" customHeight="1">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row>
    <row r="171" ht="13.5" customHeight="1">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row>
    <row r="172" ht="13.5" customHeight="1">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row>
    <row r="173" ht="13.5" customHeight="1">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row>
    <row r="174" ht="13.5" customHeight="1">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row>
    <row r="175" ht="13.5" customHeight="1">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row>
    <row r="176" ht="13.5" customHeight="1">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row>
    <row r="177" ht="13.5" customHeight="1">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row>
    <row r="178" ht="13.5" customHeight="1">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row>
    <row r="179" ht="13.5" customHeight="1">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row>
    <row r="180" ht="13.5" customHeight="1">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row>
    <row r="181" ht="13.5" customHeight="1">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row>
    <row r="182" ht="13.5" customHeight="1">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row>
    <row r="183" ht="13.5" customHeight="1">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row>
    <row r="184" ht="13.5" customHeight="1">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row>
    <row r="185" ht="13.5" customHeight="1">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row>
    <row r="186" ht="13.5" customHeight="1">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row>
    <row r="187" ht="13.5" customHeight="1">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row>
    <row r="188" ht="13.5" customHeight="1">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row>
    <row r="189" ht="13.5" customHeight="1">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row>
    <row r="190" ht="13.5" customHeight="1">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row>
    <row r="191" ht="13.5" customHeight="1">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row>
    <row r="192" ht="13.5" customHeight="1">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row>
    <row r="193" ht="13.5" customHeight="1">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row>
    <row r="194" ht="13.5" customHeight="1">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row>
    <row r="195" ht="13.5" customHeight="1">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row>
    <row r="196" ht="13.5" customHeight="1">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row>
    <row r="197" ht="13.5" customHeight="1">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row>
    <row r="198" ht="13.5" customHeight="1">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row>
    <row r="199" ht="13.5" customHeight="1">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row>
    <row r="200" ht="13.5" customHeight="1">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row>
    <row r="201" ht="13.5" customHeight="1">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row>
    <row r="202" ht="13.5" customHeight="1">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row>
    <row r="203" ht="13.5" customHeight="1">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row>
    <row r="204" ht="13.5" customHeight="1">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row>
    <row r="205" ht="13.5" customHeight="1">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row>
    <row r="206" ht="13.5" customHeight="1">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row>
    <row r="207" ht="13.5" customHeight="1">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row>
    <row r="208" ht="13.5" customHeight="1">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row>
    <row r="209" ht="13.5" customHeight="1">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row>
    <row r="210" ht="13.5" customHeight="1">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row>
    <row r="211" ht="13.5" customHeight="1">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row>
    <row r="212" ht="13.5" customHeight="1">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row>
    <row r="213" ht="13.5" customHeight="1">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row>
    <row r="214" ht="13.5" customHeight="1">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row>
    <row r="215" ht="13.5" customHeight="1">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row>
    <row r="216" ht="13.5" customHeight="1">
      <c r="A216" s="129"/>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row>
    <row r="217" ht="13.5" customHeight="1">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row>
    <row r="218" ht="13.5" customHeight="1">
      <c r="A218" s="129"/>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row>
    <row r="219" ht="13.5" customHeight="1">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row>
    <row r="220" ht="13.5" customHeight="1">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row>
    <row r="221" ht="13.5" customHeight="1">
      <c r="A221" s="129"/>
      <c r="B221" s="129"/>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row>
    <row r="222" ht="13.5" customHeight="1">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row>
    <row r="223" ht="13.5" customHeight="1">
      <c r="A223" s="129"/>
      <c r="B223" s="129"/>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row>
    <row r="224" ht="13.5" customHeight="1">
      <c r="A224" s="129"/>
      <c r="B224" s="129"/>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row>
    <row r="225" ht="13.5" customHeight="1">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row>
    <row r="226" ht="13.5" customHeight="1">
      <c r="A226" s="129"/>
      <c r="B226" s="129"/>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row>
    <row r="227" ht="13.5" customHeight="1">
      <c r="A227" s="129"/>
      <c r="B227" s="129"/>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row>
    <row r="228" ht="13.5" customHeight="1">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row>
    <row r="229" ht="13.5" customHeight="1">
      <c r="A229" s="129"/>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row>
    <row r="230" ht="13.5" customHeight="1">
      <c r="A230" s="129"/>
      <c r="B230" s="129"/>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row>
    <row r="231" ht="13.5" customHeight="1">
      <c r="A231" s="129"/>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row>
    <row r="232" ht="13.5" customHeight="1">
      <c r="A232" s="129"/>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row>
    <row r="233" ht="13.5" customHeight="1">
      <c r="A233" s="129"/>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row>
    <row r="234" ht="13.5" customHeight="1">
      <c r="A234" s="129"/>
      <c r="B234" s="129"/>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row>
    <row r="235" ht="13.5" customHeight="1">
      <c r="A235" s="129"/>
      <c r="B235" s="129"/>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row>
    <row r="236" ht="13.5" customHeight="1">
      <c r="A236" s="129"/>
      <c r="B236" s="129"/>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row>
    <row r="237" ht="13.5" customHeight="1">
      <c r="A237" s="129"/>
      <c r="B237" s="129"/>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row>
    <row r="238" ht="13.5" customHeight="1">
      <c r="A238" s="129"/>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row>
    <row r="239" ht="13.5" customHeight="1">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row>
    <row r="240" ht="13.5" customHeight="1">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row>
    <row r="241" ht="13.5" customHeight="1">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row>
    <row r="242" ht="13.5" customHeight="1">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row>
    <row r="243" ht="13.5" customHeight="1">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row>
    <row r="244" ht="13.5" customHeight="1">
      <c r="A244" s="129"/>
      <c r="B244" s="129"/>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row>
    <row r="245" ht="13.5" customHeight="1">
      <c r="A245" s="129"/>
      <c r="B245" s="129"/>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row>
    <row r="246" ht="13.5" customHeight="1">
      <c r="A246" s="129"/>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row>
    <row r="247" ht="13.5" customHeight="1">
      <c r="A247" s="129"/>
      <c r="B247" s="129"/>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row>
    <row r="248" ht="13.5" customHeight="1">
      <c r="A248" s="129"/>
      <c r="B248" s="129"/>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row>
    <row r="249" ht="13.5" customHeight="1">
      <c r="A249" s="129"/>
      <c r="B249" s="129"/>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row>
    <row r="250" ht="13.5" customHeight="1">
      <c r="A250" s="129"/>
      <c r="B250" s="129"/>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row>
    <row r="251" ht="13.5" customHeight="1">
      <c r="A251" s="129"/>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row>
    <row r="252" ht="13.5" customHeight="1">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row>
    <row r="253" ht="13.5" customHeight="1">
      <c r="A253" s="129"/>
      <c r="B253" s="129"/>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row>
    <row r="254" ht="13.5" customHeight="1">
      <c r="A254" s="129"/>
      <c r="B254" s="129"/>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row>
    <row r="255" ht="13.5" customHeight="1">
      <c r="A255" s="129"/>
      <c r="B255" s="129"/>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row>
    <row r="256" ht="13.5" customHeight="1">
      <c r="A256" s="129"/>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row>
    <row r="257" ht="13.5" customHeight="1">
      <c r="A257" s="129"/>
      <c r="B257" s="129"/>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row>
    <row r="258" ht="13.5" customHeight="1">
      <c r="A258" s="129"/>
      <c r="B258" s="129"/>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row>
    <row r="259" ht="13.5" customHeight="1">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row>
    <row r="260" ht="13.5" customHeight="1">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row>
    <row r="261" ht="13.5" customHeight="1">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row>
    <row r="262" ht="13.5" customHeight="1">
      <c r="A262" s="129"/>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row>
    <row r="263" ht="13.5" customHeight="1">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row>
    <row r="264" ht="13.5" customHeight="1">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row>
    <row r="265" ht="13.5" customHeight="1">
      <c r="A265" s="129"/>
      <c r="B265" s="129"/>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row>
    <row r="266" ht="13.5" customHeight="1">
      <c r="A266" s="129"/>
      <c r="B266" s="129"/>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row>
    <row r="267" ht="13.5" customHeight="1">
      <c r="A267" s="129"/>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row>
    <row r="268" ht="13.5" customHeight="1">
      <c r="A268" s="129"/>
      <c r="B268" s="129"/>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row>
    <row r="269" ht="13.5" customHeight="1">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row>
    <row r="270" ht="13.5" customHeight="1">
      <c r="A270" s="129"/>
      <c r="B270" s="129"/>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row>
    <row r="271" ht="13.5" customHeight="1">
      <c r="A271" s="129"/>
      <c r="B271" s="129"/>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row>
    <row r="272" ht="13.5" customHeight="1">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row>
    <row r="273" ht="13.5" customHeight="1">
      <c r="A273" s="129"/>
      <c r="B273" s="129"/>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row>
    <row r="274" ht="13.5" customHeight="1">
      <c r="A274" s="129"/>
      <c r="B274" s="129"/>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row>
    <row r="275" ht="13.5" customHeight="1">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row>
    <row r="276" ht="13.5" customHeight="1">
      <c r="A276" s="129"/>
      <c r="B276" s="129"/>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row>
    <row r="277" ht="13.5" customHeight="1">
      <c r="A277" s="129"/>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row>
    <row r="278" ht="13.5" customHeight="1">
      <c r="A278" s="129"/>
      <c r="B278" s="129"/>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row>
    <row r="279" ht="13.5" customHeight="1">
      <c r="A279" s="129"/>
      <c r="B279" s="129"/>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row>
    <row r="280" ht="13.5" customHeight="1">
      <c r="A280" s="129"/>
      <c r="B280" s="129"/>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row>
    <row r="281" ht="13.5" customHeight="1">
      <c r="A281" s="129"/>
      <c r="B281" s="129"/>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row>
    <row r="282" ht="13.5" customHeight="1">
      <c r="A282" s="129"/>
      <c r="B282" s="129"/>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row>
    <row r="283" ht="13.5" customHeight="1">
      <c r="A283" s="129"/>
      <c r="B283" s="129"/>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row>
    <row r="284" ht="13.5" customHeight="1">
      <c r="A284" s="129"/>
      <c r="B284" s="129"/>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row>
    <row r="285" ht="13.5" customHeight="1">
      <c r="A285" s="129"/>
      <c r="B285" s="129"/>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row>
    <row r="286" ht="13.5" customHeight="1">
      <c r="A286" s="129"/>
      <c r="B286" s="129"/>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row>
    <row r="287" ht="13.5" customHeight="1">
      <c r="A287" s="129"/>
      <c r="B287" s="129"/>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row>
    <row r="288" ht="13.5" customHeight="1">
      <c r="A288" s="129"/>
      <c r="B288" s="129"/>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row>
    <row r="289" ht="13.5" customHeight="1">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row>
    <row r="290" ht="13.5" customHeight="1">
      <c r="A290" s="129"/>
      <c r="B290" s="129"/>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row>
    <row r="291" ht="13.5" customHeight="1">
      <c r="A291" s="129"/>
      <c r="B291" s="129"/>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row>
    <row r="292" ht="13.5" customHeight="1">
      <c r="A292" s="129"/>
      <c r="B292" s="129"/>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row>
    <row r="293" ht="13.5" customHeight="1">
      <c r="A293" s="129"/>
      <c r="B293" s="129"/>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row>
    <row r="294" ht="13.5" customHeight="1">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row>
    <row r="295" ht="13.5" customHeight="1">
      <c r="A295" s="129"/>
      <c r="B295" s="129"/>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row>
    <row r="296" ht="13.5" customHeight="1">
      <c r="A296" s="129"/>
      <c r="B296" s="129"/>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row>
    <row r="297" ht="13.5" customHeight="1">
      <c r="A297" s="129"/>
      <c r="B297" s="129"/>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row>
    <row r="298" ht="13.5" customHeight="1">
      <c r="A298" s="129"/>
      <c r="B298" s="129"/>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row>
    <row r="299" ht="13.5" customHeight="1">
      <c r="A299" s="129"/>
      <c r="B299" s="129"/>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row>
    <row r="300" ht="13.5" customHeight="1">
      <c r="A300" s="129"/>
      <c r="B300" s="129"/>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row>
    <row r="301" ht="13.5" customHeight="1">
      <c r="A301" s="129"/>
      <c r="B301" s="129"/>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row>
    <row r="302" ht="13.5" customHeight="1">
      <c r="A302" s="129"/>
      <c r="B302" s="129"/>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row>
    <row r="303" ht="13.5" customHeight="1">
      <c r="A303" s="129"/>
      <c r="B303" s="129"/>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row>
    <row r="304" ht="13.5" customHeight="1">
      <c r="A304" s="129"/>
      <c r="B304" s="129"/>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row>
    <row r="305" ht="13.5" customHeight="1">
      <c r="A305" s="129"/>
      <c r="B305" s="129"/>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row>
    <row r="306" ht="13.5" customHeight="1">
      <c r="A306" s="129"/>
      <c r="B306" s="129"/>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row>
    <row r="307" ht="13.5" customHeight="1">
      <c r="A307" s="129"/>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row>
    <row r="308" ht="13.5" customHeight="1">
      <c r="A308" s="129"/>
      <c r="B308" s="129"/>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row>
    <row r="309" ht="13.5" customHeight="1">
      <c r="A309" s="129"/>
      <c r="B309" s="129"/>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row>
    <row r="310" ht="13.5" customHeight="1">
      <c r="A310" s="129"/>
      <c r="B310" s="129"/>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row>
    <row r="311" ht="13.5" customHeight="1">
      <c r="A311" s="129"/>
      <c r="B311" s="129"/>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row>
    <row r="312" ht="13.5" customHeight="1">
      <c r="A312" s="129"/>
      <c r="B312" s="129"/>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row>
    <row r="313" ht="13.5" customHeight="1">
      <c r="A313" s="129"/>
      <c r="B313" s="129"/>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row>
    <row r="314" ht="13.5" customHeight="1">
      <c r="A314" s="129"/>
      <c r="B314" s="129"/>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row>
    <row r="315" ht="13.5" customHeight="1">
      <c r="A315" s="129"/>
      <c r="B315" s="129"/>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row>
    <row r="316" ht="13.5" customHeight="1">
      <c r="A316" s="129"/>
      <c r="B316" s="129"/>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row>
    <row r="317" ht="13.5" customHeight="1">
      <c r="A317" s="129"/>
      <c r="B317" s="129"/>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row>
    <row r="318" ht="13.5" customHeight="1">
      <c r="A318" s="129"/>
      <c r="B318" s="129"/>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row>
    <row r="319" ht="13.5" customHeight="1">
      <c r="A319" s="129"/>
      <c r="B319" s="129"/>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row>
    <row r="320" ht="13.5" customHeight="1">
      <c r="A320" s="129"/>
      <c r="B320" s="129"/>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row>
    <row r="321" ht="13.5" customHeight="1">
      <c r="A321" s="129"/>
      <c r="B321" s="129"/>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row>
    <row r="322" ht="13.5" customHeight="1">
      <c r="A322" s="129"/>
      <c r="B322" s="129"/>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row>
    <row r="323" ht="13.5" customHeight="1">
      <c r="A323" s="129"/>
      <c r="B323" s="129"/>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row>
    <row r="324" ht="13.5" customHeight="1">
      <c r="A324" s="129"/>
      <c r="B324" s="129"/>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row>
    <row r="325" ht="13.5" customHeight="1">
      <c r="A325" s="129"/>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row>
    <row r="326" ht="13.5" customHeight="1">
      <c r="A326" s="129"/>
      <c r="B326" s="129"/>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row>
    <row r="327" ht="13.5" customHeight="1">
      <c r="A327" s="129"/>
      <c r="B327" s="129"/>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row>
    <row r="328" ht="13.5" customHeight="1">
      <c r="A328" s="129"/>
      <c r="B328" s="129"/>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row>
    <row r="329" ht="13.5" customHeight="1">
      <c r="A329" s="129"/>
      <c r="B329" s="129"/>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row>
    <row r="330" ht="13.5" customHeight="1">
      <c r="A330" s="129"/>
      <c r="B330" s="129"/>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row>
    <row r="331" ht="13.5" customHeight="1">
      <c r="A331" s="129"/>
      <c r="B331" s="129"/>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row>
    <row r="332" ht="13.5" customHeight="1">
      <c r="A332" s="129"/>
      <c r="B332" s="129"/>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row>
    <row r="333" ht="13.5" customHeight="1">
      <c r="A333" s="129"/>
      <c r="B333" s="129"/>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row>
    <row r="334" ht="13.5" customHeight="1">
      <c r="A334" s="129"/>
      <c r="B334" s="129"/>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row>
    <row r="335" ht="13.5" customHeight="1">
      <c r="A335" s="129"/>
      <c r="B335" s="129"/>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row>
    <row r="336" ht="13.5" customHeight="1">
      <c r="A336" s="129"/>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row>
    <row r="337" ht="13.5" customHeight="1">
      <c r="A337" s="129"/>
      <c r="B337" s="129"/>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row>
    <row r="338" ht="13.5" customHeight="1">
      <c r="A338" s="129"/>
      <c r="B338" s="129"/>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row>
    <row r="339" ht="13.5" customHeight="1">
      <c r="A339" s="129"/>
      <c r="B339" s="129"/>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row>
    <row r="340" ht="13.5" customHeight="1">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row>
    <row r="341" ht="13.5" customHeight="1">
      <c r="A341" s="129"/>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row>
    <row r="342" ht="13.5" customHeight="1">
      <c r="A342" s="129"/>
      <c r="B342" s="129"/>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row>
    <row r="343" ht="13.5" customHeight="1">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row>
    <row r="344" ht="13.5" customHeight="1">
      <c r="A344" s="129"/>
      <c r="B344" s="129"/>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row>
    <row r="345" ht="13.5" customHeight="1">
      <c r="A345" s="129"/>
      <c r="B345" s="129"/>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row>
    <row r="346" ht="13.5" customHeight="1">
      <c r="A346" s="129"/>
      <c r="B346" s="129"/>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row>
    <row r="347" ht="13.5" customHeight="1">
      <c r="A347" s="129"/>
      <c r="B347" s="129"/>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row>
    <row r="348" ht="13.5" customHeight="1">
      <c r="A348" s="129"/>
      <c r="B348" s="129"/>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row>
    <row r="349" ht="13.5" customHeight="1">
      <c r="A349" s="129"/>
      <c r="B349" s="129"/>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row>
    <row r="350" ht="13.5" customHeight="1">
      <c r="A350" s="129"/>
      <c r="B350" s="129"/>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row>
    <row r="351" ht="13.5" customHeight="1">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row>
    <row r="352" ht="13.5" customHeight="1">
      <c r="A352" s="129"/>
      <c r="B352" s="129"/>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row>
    <row r="353" ht="13.5" customHeight="1">
      <c r="A353" s="129"/>
      <c r="B353" s="129"/>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row>
    <row r="354" ht="13.5" customHeight="1">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row>
    <row r="355" ht="13.5" customHeight="1">
      <c r="A355" s="129"/>
      <c r="B355" s="129"/>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row>
    <row r="356" ht="13.5" customHeight="1">
      <c r="A356" s="129"/>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row>
    <row r="357" ht="13.5" customHeight="1">
      <c r="A357" s="129"/>
      <c r="B357" s="129"/>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row>
    <row r="358" ht="13.5" customHeight="1">
      <c r="A358" s="129"/>
      <c r="B358" s="129"/>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row>
    <row r="359" ht="13.5" customHeight="1">
      <c r="A359" s="129"/>
      <c r="B359" s="129"/>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row>
    <row r="360" ht="13.5" customHeight="1">
      <c r="A360" s="129"/>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row>
    <row r="361" ht="13.5" customHeight="1">
      <c r="A361" s="129"/>
      <c r="B361" s="129"/>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row>
    <row r="362" ht="13.5" customHeight="1">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row>
    <row r="363" ht="13.5" customHeight="1">
      <c r="A363" s="129"/>
      <c r="B363" s="129"/>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row>
    <row r="364" ht="13.5" customHeight="1">
      <c r="A364" s="129"/>
      <c r="B364" s="129"/>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row>
    <row r="365" ht="13.5" customHeight="1">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row>
    <row r="366" ht="13.5" customHeight="1">
      <c r="A366" s="129"/>
      <c r="B366" s="129"/>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row>
    <row r="367" ht="13.5" customHeight="1">
      <c r="A367" s="129"/>
      <c r="B367" s="129"/>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row>
    <row r="368" ht="13.5" customHeight="1">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row>
    <row r="369" ht="13.5" customHeight="1">
      <c r="A369" s="129"/>
      <c r="B369" s="129"/>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row>
    <row r="370" ht="13.5" customHeight="1">
      <c r="A370" s="129"/>
      <c r="B370" s="129"/>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row>
    <row r="371" ht="13.5" customHeight="1">
      <c r="A371" s="129"/>
      <c r="B371" s="129"/>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row>
    <row r="372" ht="13.5" customHeight="1">
      <c r="A372" s="129"/>
      <c r="B372" s="129"/>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row>
    <row r="373" ht="13.5" customHeight="1">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row>
    <row r="374" ht="13.5" customHeight="1">
      <c r="A374" s="129"/>
      <c r="B374" s="129"/>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row>
    <row r="375" ht="13.5" customHeight="1">
      <c r="A375" s="129"/>
      <c r="B375" s="129"/>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row>
    <row r="376" ht="13.5" customHeight="1">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row>
    <row r="377" ht="13.5" customHeight="1">
      <c r="A377" s="129"/>
      <c r="B377" s="129"/>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row>
    <row r="378" ht="13.5" customHeight="1">
      <c r="A378" s="129"/>
      <c r="B378" s="129"/>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row>
    <row r="379" ht="13.5" customHeight="1">
      <c r="A379" s="129"/>
      <c r="B379" s="129"/>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row>
    <row r="380" ht="13.5" customHeight="1">
      <c r="A380" s="129"/>
      <c r="B380" s="129"/>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row>
    <row r="381" ht="13.5" customHeight="1">
      <c r="A381" s="129"/>
      <c r="B381" s="129"/>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row>
    <row r="382" ht="13.5" customHeight="1">
      <c r="A382" s="129"/>
      <c r="B382" s="129"/>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row>
    <row r="383" ht="13.5" customHeight="1">
      <c r="A383" s="129"/>
      <c r="B383" s="129"/>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row>
    <row r="384" ht="13.5" customHeight="1">
      <c r="A384" s="129"/>
      <c r="B384" s="129"/>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row>
    <row r="385" ht="13.5" customHeight="1">
      <c r="A385" s="129"/>
      <c r="B385" s="129"/>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row>
    <row r="386" ht="13.5" customHeight="1">
      <c r="A386" s="129"/>
      <c r="B386" s="129"/>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row>
    <row r="387" ht="13.5" customHeight="1">
      <c r="A387" s="129"/>
      <c r="B387" s="129"/>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row>
    <row r="388" ht="13.5" customHeight="1">
      <c r="A388" s="129"/>
      <c r="B388" s="129"/>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row>
    <row r="389" ht="13.5" customHeight="1">
      <c r="A389" s="129"/>
      <c r="B389" s="129"/>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row>
    <row r="390" ht="13.5" customHeight="1">
      <c r="A390" s="129"/>
      <c r="B390" s="129"/>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row>
    <row r="391" ht="13.5" customHeight="1">
      <c r="A391" s="129"/>
      <c r="B391" s="129"/>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row>
    <row r="392" ht="13.5" customHeight="1">
      <c r="A392" s="129"/>
      <c r="B392" s="129"/>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row>
    <row r="393" ht="13.5" customHeight="1">
      <c r="A393" s="129"/>
      <c r="B393" s="129"/>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row>
    <row r="394" ht="13.5" customHeight="1">
      <c r="A394" s="129"/>
      <c r="B394" s="129"/>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row>
    <row r="395" ht="13.5" customHeight="1">
      <c r="A395" s="129"/>
      <c r="B395" s="129"/>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row>
    <row r="396" ht="13.5" customHeight="1">
      <c r="A396" s="129"/>
      <c r="B396" s="129"/>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row>
    <row r="397" ht="13.5" customHeight="1">
      <c r="A397" s="129"/>
      <c r="B397" s="129"/>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row>
    <row r="398" ht="13.5" customHeight="1">
      <c r="A398" s="129"/>
      <c r="B398" s="129"/>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row>
    <row r="399" ht="13.5" customHeight="1">
      <c r="A399" s="129"/>
      <c r="B399" s="129"/>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row>
    <row r="400" ht="13.5" customHeight="1">
      <c r="A400" s="129"/>
      <c r="B400" s="129"/>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row>
    <row r="401" ht="13.5" customHeight="1">
      <c r="A401" s="129"/>
      <c r="B401" s="129"/>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row>
    <row r="402" ht="13.5" customHeight="1">
      <c r="A402" s="129"/>
      <c r="B402" s="129"/>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row>
    <row r="403" ht="13.5" customHeight="1">
      <c r="A403" s="129"/>
      <c r="B403" s="129"/>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row>
    <row r="404" ht="13.5" customHeight="1">
      <c r="A404" s="129"/>
      <c r="B404" s="129"/>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row>
    <row r="405" ht="13.5" customHeight="1">
      <c r="A405" s="129"/>
      <c r="B405" s="129"/>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row>
    <row r="406" ht="13.5" customHeight="1">
      <c r="A406" s="129"/>
      <c r="B406" s="129"/>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row>
    <row r="407" ht="13.5" customHeight="1">
      <c r="A407" s="129"/>
      <c r="B407" s="129"/>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row>
    <row r="408" ht="13.5" customHeight="1">
      <c r="A408" s="129"/>
      <c r="B408" s="129"/>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row>
    <row r="409" ht="13.5" customHeight="1">
      <c r="A409" s="129"/>
      <c r="B409" s="129"/>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row>
    <row r="410" ht="13.5" customHeight="1">
      <c r="A410" s="129"/>
      <c r="B410" s="129"/>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row>
    <row r="411" ht="13.5" customHeight="1">
      <c r="A411" s="129"/>
      <c r="B411" s="129"/>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row>
    <row r="412" ht="13.5" customHeight="1">
      <c r="A412" s="129"/>
      <c r="B412" s="129"/>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row>
    <row r="413" ht="13.5" customHeight="1">
      <c r="A413" s="129"/>
      <c r="B413" s="129"/>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row>
    <row r="414" ht="13.5" customHeight="1">
      <c r="A414" s="129"/>
      <c r="B414" s="129"/>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row>
    <row r="415" ht="13.5" customHeight="1">
      <c r="A415" s="129"/>
      <c r="B415" s="129"/>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row>
    <row r="416" ht="13.5" customHeight="1">
      <c r="A416" s="129"/>
      <c r="B416" s="129"/>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row>
    <row r="417" ht="13.5" customHeight="1">
      <c r="A417" s="129"/>
      <c r="B417" s="129"/>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row>
    <row r="418" ht="13.5" customHeight="1">
      <c r="A418" s="129"/>
      <c r="B418" s="129"/>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row>
    <row r="419" ht="13.5" customHeight="1">
      <c r="A419" s="129"/>
      <c r="B419" s="129"/>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row>
    <row r="420" ht="13.5" customHeight="1">
      <c r="A420" s="129"/>
      <c r="B420" s="129"/>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row>
    <row r="421" ht="13.5" customHeight="1">
      <c r="A421" s="129"/>
      <c r="B421" s="129"/>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row>
    <row r="422" ht="13.5" customHeight="1">
      <c r="A422" s="129"/>
      <c r="B422" s="129"/>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row>
    <row r="423" ht="13.5" customHeight="1">
      <c r="A423" s="129"/>
      <c r="B423" s="129"/>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row>
    <row r="424" ht="13.5" customHeight="1">
      <c r="A424" s="129"/>
      <c r="B424" s="129"/>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row>
    <row r="425" ht="13.5" customHeight="1">
      <c r="A425" s="129"/>
      <c r="B425" s="129"/>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row>
    <row r="426" ht="13.5" customHeight="1">
      <c r="A426" s="129"/>
      <c r="B426" s="129"/>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row>
    <row r="427" ht="13.5" customHeight="1">
      <c r="A427" s="129"/>
      <c r="B427" s="129"/>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row>
    <row r="428" ht="13.5" customHeight="1">
      <c r="A428" s="129"/>
      <c r="B428" s="129"/>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row>
    <row r="429" ht="13.5" customHeight="1">
      <c r="A429" s="129"/>
      <c r="B429" s="129"/>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row>
    <row r="430" ht="13.5" customHeight="1">
      <c r="A430" s="129"/>
      <c r="B430" s="129"/>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row>
    <row r="431" ht="13.5" customHeight="1">
      <c r="A431" s="129"/>
      <c r="B431" s="129"/>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row>
    <row r="432" ht="13.5" customHeight="1">
      <c r="A432" s="129"/>
      <c r="B432" s="129"/>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row>
    <row r="433" ht="13.5" customHeight="1">
      <c r="A433" s="129"/>
      <c r="B433" s="129"/>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row>
    <row r="434" ht="13.5" customHeight="1">
      <c r="A434" s="129"/>
      <c r="B434" s="129"/>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row>
    <row r="435" ht="13.5" customHeight="1">
      <c r="A435" s="129"/>
      <c r="B435" s="129"/>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row>
    <row r="436" ht="13.5" customHeight="1">
      <c r="A436" s="129"/>
      <c r="B436" s="129"/>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row>
    <row r="437" ht="13.5" customHeight="1">
      <c r="A437" s="129"/>
      <c r="B437" s="129"/>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row>
    <row r="438" ht="13.5" customHeight="1">
      <c r="A438" s="129"/>
      <c r="B438" s="129"/>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row>
    <row r="439" ht="13.5" customHeight="1">
      <c r="A439" s="129"/>
      <c r="B439" s="129"/>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row>
    <row r="440" ht="13.5" customHeight="1">
      <c r="A440" s="129"/>
      <c r="B440" s="129"/>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row>
    <row r="441" ht="13.5" customHeight="1">
      <c r="A441" s="129"/>
      <c r="B441" s="129"/>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row>
    <row r="442" ht="13.5" customHeight="1">
      <c r="A442" s="129"/>
      <c r="B442" s="129"/>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row>
    <row r="443" ht="13.5" customHeight="1">
      <c r="A443" s="129"/>
      <c r="B443" s="129"/>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row>
    <row r="444" ht="13.5" customHeight="1">
      <c r="A444" s="129"/>
      <c r="B444" s="129"/>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row>
    <row r="445" ht="13.5" customHeight="1">
      <c r="A445" s="129"/>
      <c r="B445" s="129"/>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row>
    <row r="446" ht="13.5" customHeight="1">
      <c r="A446" s="129"/>
      <c r="B446" s="129"/>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row>
    <row r="447" ht="13.5" customHeight="1">
      <c r="A447" s="129"/>
      <c r="B447" s="129"/>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row>
    <row r="448" ht="13.5" customHeight="1">
      <c r="A448" s="129"/>
      <c r="B448" s="129"/>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row>
    <row r="449" ht="13.5" customHeight="1">
      <c r="A449" s="129"/>
      <c r="B449" s="129"/>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row>
    <row r="450" ht="13.5" customHeight="1">
      <c r="A450" s="129"/>
      <c r="B450" s="129"/>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row>
    <row r="451" ht="13.5" customHeight="1">
      <c r="A451" s="129"/>
      <c r="B451" s="129"/>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row>
    <row r="452" ht="13.5" customHeight="1">
      <c r="A452" s="129"/>
      <c r="B452" s="129"/>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row>
    <row r="453" ht="13.5" customHeight="1">
      <c r="A453" s="129"/>
      <c r="B453" s="129"/>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row>
    <row r="454" ht="13.5" customHeight="1">
      <c r="A454" s="129"/>
      <c r="B454" s="129"/>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row>
    <row r="455" ht="13.5" customHeight="1">
      <c r="A455" s="129"/>
      <c r="B455" s="129"/>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row>
    <row r="456" ht="13.5" customHeight="1">
      <c r="A456" s="129"/>
      <c r="B456" s="129"/>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row>
    <row r="457" ht="13.5" customHeight="1">
      <c r="A457" s="129"/>
      <c r="B457" s="129"/>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row>
    <row r="458" ht="13.5" customHeight="1">
      <c r="A458" s="129"/>
      <c r="B458" s="129"/>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row>
    <row r="459" ht="13.5" customHeight="1">
      <c r="A459" s="129"/>
      <c r="B459" s="129"/>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row>
    <row r="460" ht="13.5" customHeight="1">
      <c r="A460" s="129"/>
      <c r="B460" s="129"/>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row>
    <row r="461" ht="13.5" customHeight="1">
      <c r="A461" s="129"/>
      <c r="B461" s="129"/>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row>
    <row r="462" ht="13.5" customHeight="1">
      <c r="A462" s="129"/>
      <c r="B462" s="129"/>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row>
    <row r="463" ht="13.5" customHeight="1">
      <c r="A463" s="129"/>
      <c r="B463" s="129"/>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row>
    <row r="464" ht="13.5" customHeight="1">
      <c r="A464" s="129"/>
      <c r="B464" s="129"/>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row>
    <row r="465" ht="13.5" customHeight="1">
      <c r="A465" s="129"/>
      <c r="B465" s="129"/>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row>
    <row r="466" ht="13.5" customHeight="1">
      <c r="A466" s="129"/>
      <c r="B466" s="129"/>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row>
    <row r="467" ht="13.5" customHeight="1">
      <c r="A467" s="129"/>
      <c r="B467" s="129"/>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row>
    <row r="468" ht="13.5" customHeight="1">
      <c r="A468" s="129"/>
      <c r="B468" s="129"/>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row>
    <row r="469" ht="13.5" customHeight="1">
      <c r="A469" s="129"/>
      <c r="B469" s="129"/>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row>
    <row r="470" ht="13.5" customHeight="1">
      <c r="A470" s="129"/>
      <c r="B470" s="129"/>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row>
    <row r="471" ht="13.5" customHeight="1">
      <c r="A471" s="129"/>
      <c r="B471" s="129"/>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row>
    <row r="472" ht="13.5" customHeight="1">
      <c r="A472" s="129"/>
      <c r="B472" s="129"/>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row>
    <row r="473" ht="13.5" customHeight="1">
      <c r="A473" s="129"/>
      <c r="B473" s="129"/>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row>
    <row r="474" ht="13.5" customHeight="1">
      <c r="A474" s="129"/>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row>
    <row r="475" ht="13.5" customHeight="1">
      <c r="A475" s="129"/>
      <c r="B475" s="129"/>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row>
    <row r="476" ht="13.5" customHeight="1">
      <c r="A476" s="129"/>
      <c r="B476" s="129"/>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row>
    <row r="477" ht="13.5" customHeight="1">
      <c r="A477" s="129"/>
      <c r="B477" s="129"/>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row>
    <row r="478" ht="13.5" customHeight="1">
      <c r="A478" s="129"/>
      <c r="B478" s="129"/>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row>
    <row r="479" ht="13.5" customHeight="1">
      <c r="A479" s="129"/>
      <c r="B479" s="129"/>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row>
    <row r="480" ht="13.5" customHeight="1">
      <c r="A480" s="129"/>
      <c r="B480" s="129"/>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row>
    <row r="481" ht="13.5" customHeight="1">
      <c r="A481" s="129"/>
      <c r="B481" s="129"/>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row>
    <row r="482" ht="13.5" customHeight="1">
      <c r="A482" s="129"/>
      <c r="B482" s="129"/>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row>
    <row r="483" ht="13.5" customHeight="1">
      <c r="A483" s="129"/>
      <c r="B483" s="129"/>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row>
    <row r="484" ht="13.5" customHeight="1">
      <c r="A484" s="129"/>
      <c r="B484" s="129"/>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row>
    <row r="485" ht="13.5" customHeight="1">
      <c r="A485" s="129"/>
      <c r="B485" s="129"/>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row>
    <row r="486" ht="13.5" customHeight="1">
      <c r="A486" s="129"/>
      <c r="B486" s="129"/>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row>
    <row r="487" ht="13.5" customHeight="1">
      <c r="A487" s="129"/>
      <c r="B487" s="129"/>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row>
    <row r="488" ht="13.5" customHeight="1">
      <c r="A488" s="129"/>
      <c r="B488" s="129"/>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row>
    <row r="489" ht="13.5" customHeight="1">
      <c r="A489" s="129"/>
      <c r="B489" s="129"/>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row>
    <row r="490" ht="13.5" customHeight="1">
      <c r="A490" s="129"/>
      <c r="B490" s="129"/>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row>
    <row r="491" ht="13.5" customHeight="1">
      <c r="A491" s="129"/>
      <c r="B491" s="129"/>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row>
    <row r="492" ht="13.5" customHeight="1">
      <c r="A492" s="129"/>
      <c r="B492" s="129"/>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row>
    <row r="493" ht="13.5" customHeight="1">
      <c r="A493" s="129"/>
      <c r="B493" s="129"/>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row>
    <row r="494" ht="13.5" customHeight="1">
      <c r="A494" s="129"/>
      <c r="B494" s="129"/>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row>
    <row r="495" ht="13.5" customHeight="1">
      <c r="A495" s="129"/>
      <c r="B495" s="129"/>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row>
    <row r="496" ht="13.5" customHeight="1">
      <c r="A496" s="129"/>
      <c r="B496" s="129"/>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row>
    <row r="497" ht="13.5" customHeight="1">
      <c r="A497" s="129"/>
      <c r="B497" s="129"/>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row>
    <row r="498" ht="13.5" customHeight="1">
      <c r="A498" s="129"/>
      <c r="B498" s="129"/>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row>
    <row r="499" ht="13.5" customHeight="1">
      <c r="A499" s="129"/>
      <c r="B499" s="129"/>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row>
    <row r="500" ht="13.5" customHeight="1">
      <c r="A500" s="129"/>
      <c r="B500" s="129"/>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row>
    <row r="501" ht="13.5" customHeight="1">
      <c r="A501" s="129"/>
      <c r="B501" s="129"/>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row>
    <row r="502" ht="13.5" customHeight="1">
      <c r="A502" s="129"/>
      <c r="B502" s="129"/>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row>
    <row r="503" ht="13.5" customHeight="1">
      <c r="A503" s="129"/>
      <c r="B503" s="129"/>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row>
    <row r="504" ht="13.5" customHeight="1">
      <c r="A504" s="129"/>
      <c r="B504" s="129"/>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row>
    <row r="505" ht="13.5" customHeight="1">
      <c r="A505" s="129"/>
      <c r="B505" s="129"/>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row>
    <row r="506" ht="13.5" customHeight="1">
      <c r="A506" s="129"/>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row>
    <row r="507" ht="13.5" customHeight="1">
      <c r="A507" s="129"/>
      <c r="B507" s="129"/>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row>
    <row r="508" ht="13.5" customHeight="1">
      <c r="A508" s="129"/>
      <c r="B508" s="129"/>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row>
    <row r="509" ht="13.5" customHeight="1">
      <c r="A509" s="129"/>
      <c r="B509" s="129"/>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row>
    <row r="510" ht="13.5" customHeight="1">
      <c r="A510" s="129"/>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row>
    <row r="511" ht="13.5" customHeight="1">
      <c r="A511" s="129"/>
      <c r="B511" s="129"/>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row>
    <row r="512" ht="13.5" customHeight="1">
      <c r="A512" s="129"/>
      <c r="B512" s="129"/>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row>
    <row r="513" ht="13.5" customHeight="1">
      <c r="A513" s="129"/>
      <c r="B513" s="129"/>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row>
    <row r="514" ht="13.5" customHeight="1">
      <c r="A514" s="129"/>
      <c r="B514" s="129"/>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row>
    <row r="515" ht="13.5" customHeight="1">
      <c r="A515" s="129"/>
      <c r="B515" s="129"/>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row>
    <row r="516" ht="13.5" customHeight="1">
      <c r="A516" s="129"/>
      <c r="B516" s="129"/>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row>
    <row r="517" ht="13.5" customHeight="1">
      <c r="A517" s="129"/>
      <c r="B517" s="129"/>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row>
    <row r="518" ht="13.5" customHeight="1">
      <c r="A518" s="129"/>
      <c r="B518" s="129"/>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row>
    <row r="519" ht="13.5" customHeight="1">
      <c r="A519" s="129"/>
      <c r="B519" s="129"/>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row>
    <row r="520" ht="13.5" customHeight="1">
      <c r="A520" s="129"/>
      <c r="B520" s="129"/>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row>
    <row r="521" ht="13.5" customHeight="1">
      <c r="A521" s="129"/>
      <c r="B521" s="129"/>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row>
    <row r="522" ht="13.5" customHeight="1">
      <c r="A522" s="129"/>
      <c r="B522" s="129"/>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row>
    <row r="523" ht="13.5" customHeight="1">
      <c r="A523" s="129"/>
      <c r="B523" s="129"/>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row>
    <row r="524" ht="13.5" customHeight="1">
      <c r="A524" s="129"/>
      <c r="B524" s="129"/>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row>
    <row r="525" ht="13.5" customHeight="1">
      <c r="A525" s="129"/>
      <c r="B525" s="129"/>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row>
    <row r="526" ht="13.5" customHeight="1">
      <c r="A526" s="129"/>
      <c r="B526" s="129"/>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row>
    <row r="527" ht="13.5" customHeight="1">
      <c r="A527" s="129"/>
      <c r="B527" s="129"/>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row>
    <row r="528" ht="13.5" customHeight="1">
      <c r="A528" s="129"/>
      <c r="B528" s="129"/>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row>
    <row r="529" ht="13.5" customHeight="1">
      <c r="A529" s="129"/>
      <c r="B529" s="129"/>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row>
    <row r="530" ht="13.5" customHeight="1">
      <c r="A530" s="129"/>
      <c r="B530" s="129"/>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row>
    <row r="531" ht="13.5" customHeight="1">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row>
    <row r="532" ht="13.5" customHeight="1">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row>
    <row r="533" ht="13.5" customHeight="1">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row>
    <row r="534" ht="13.5" customHeight="1">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row>
    <row r="535" ht="13.5" customHeight="1">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row>
    <row r="536" ht="13.5" customHeight="1">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row>
    <row r="537" ht="13.5" customHeight="1">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row>
    <row r="538" ht="13.5" customHeight="1">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row>
    <row r="539" ht="13.5" customHeight="1">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row>
    <row r="540" ht="13.5" customHeight="1">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row>
    <row r="541" ht="13.5" customHeight="1">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row>
    <row r="542" ht="13.5" customHeight="1">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row>
    <row r="543" ht="13.5" customHeight="1">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row>
    <row r="544" ht="13.5" customHeight="1">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row>
    <row r="545" ht="13.5" customHeight="1">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row>
    <row r="546" ht="13.5" customHeight="1">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row>
    <row r="547" ht="13.5" customHeight="1">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row>
    <row r="548" ht="13.5" customHeight="1">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row>
    <row r="549" ht="13.5" customHeight="1">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row>
    <row r="550" ht="13.5" customHeight="1">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row>
    <row r="551" ht="13.5" customHeight="1">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row>
    <row r="552" ht="13.5" customHeight="1">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row>
    <row r="553" ht="13.5" customHeight="1">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row>
    <row r="554" ht="13.5" customHeight="1">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row>
    <row r="555" ht="13.5" customHeight="1">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row>
    <row r="556" ht="13.5" customHeight="1">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row>
    <row r="557" ht="13.5" customHeight="1">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row>
    <row r="558" ht="13.5" customHeight="1">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row>
    <row r="559" ht="13.5" customHeight="1">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row>
    <row r="560" ht="13.5" customHeight="1">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row>
    <row r="561" ht="13.5" customHeight="1">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row>
    <row r="562" ht="13.5" customHeight="1">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row>
    <row r="563" ht="13.5" customHeight="1">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row>
    <row r="564" ht="13.5" customHeight="1">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row>
    <row r="565" ht="13.5" customHeight="1">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row>
    <row r="566" ht="13.5" customHeight="1">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row>
    <row r="567" ht="13.5" customHeight="1">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row>
    <row r="568" ht="13.5" customHeight="1">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row>
    <row r="569" ht="13.5" customHeight="1">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row>
    <row r="570" ht="13.5" customHeight="1">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row>
    <row r="571" ht="13.5" customHeight="1">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row>
    <row r="572" ht="13.5" customHeight="1">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row>
    <row r="573" ht="13.5" customHeight="1">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row>
    <row r="574" ht="13.5" customHeight="1">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row>
    <row r="575" ht="13.5" customHeight="1">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row>
    <row r="576" ht="13.5" customHeight="1">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row>
    <row r="577" ht="13.5" customHeight="1">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row>
    <row r="578" ht="13.5" customHeight="1">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row>
    <row r="579" ht="13.5" customHeight="1">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row>
    <row r="580" ht="13.5" customHeight="1">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row>
    <row r="581" ht="13.5" customHeight="1">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row>
    <row r="582" ht="13.5" customHeight="1">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row>
    <row r="583" ht="13.5" customHeight="1">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row>
    <row r="584" ht="13.5" customHeight="1">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row>
    <row r="585" ht="13.5" customHeight="1">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row>
    <row r="586" ht="13.5" customHeight="1">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row>
    <row r="587" ht="13.5" customHeight="1">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row>
    <row r="588" ht="13.5" customHeight="1">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row>
    <row r="589" ht="13.5" customHeight="1">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row>
    <row r="590" ht="13.5" customHeight="1">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row>
    <row r="591" ht="13.5" customHeight="1">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row>
    <row r="592" ht="13.5" customHeight="1">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row>
    <row r="593" ht="13.5" customHeight="1">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row>
    <row r="594" ht="13.5" customHeight="1">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row>
    <row r="595" ht="13.5" customHeight="1">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row>
    <row r="596" ht="13.5" customHeight="1">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row>
    <row r="597" ht="13.5" customHeight="1">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row>
    <row r="598" ht="13.5" customHeight="1">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row>
    <row r="599" ht="13.5" customHeight="1">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row>
    <row r="600" ht="13.5" customHeight="1">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row>
    <row r="601" ht="13.5" customHeight="1">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row>
    <row r="602" ht="13.5" customHeight="1">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row>
    <row r="603" ht="13.5" customHeight="1">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row>
    <row r="604" ht="13.5" customHeight="1">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row>
    <row r="605" ht="13.5" customHeight="1">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row>
    <row r="606" ht="13.5" customHeight="1">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row>
    <row r="607" ht="13.5" customHeight="1">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row>
    <row r="608" ht="13.5" customHeight="1">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row>
    <row r="609" ht="13.5" customHeight="1">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row>
    <row r="610" ht="13.5" customHeight="1">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row>
    <row r="611" ht="13.5" customHeight="1">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row>
    <row r="612" ht="13.5" customHeight="1">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row>
    <row r="613" ht="13.5" customHeight="1">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row>
    <row r="614" ht="13.5" customHeight="1">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row>
    <row r="615" ht="13.5" customHeight="1">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row>
    <row r="616" ht="13.5" customHeight="1">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row>
    <row r="617" ht="13.5" customHeight="1">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row>
    <row r="618" ht="13.5" customHeight="1">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row>
    <row r="619" ht="13.5" customHeight="1">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row>
    <row r="620" ht="13.5" customHeight="1">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row>
    <row r="621" ht="13.5" customHeight="1">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row>
    <row r="622" ht="13.5" customHeight="1">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row>
    <row r="623" ht="13.5" customHeight="1">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row>
    <row r="624" ht="13.5" customHeight="1">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row>
    <row r="625" ht="13.5" customHeight="1">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row>
    <row r="626" ht="13.5" customHeight="1">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row>
    <row r="627" ht="13.5" customHeight="1">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row>
    <row r="628" ht="13.5" customHeight="1">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row>
    <row r="629" ht="13.5" customHeight="1">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row>
    <row r="630" ht="13.5" customHeight="1">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row>
    <row r="631" ht="13.5" customHeight="1">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row>
    <row r="632" ht="13.5" customHeight="1">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row>
    <row r="633" ht="13.5" customHeight="1">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row>
    <row r="634" ht="13.5" customHeight="1">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row>
    <row r="635" ht="13.5" customHeight="1">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row>
    <row r="636" ht="13.5" customHeight="1">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row>
    <row r="637" ht="13.5" customHeight="1">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row>
    <row r="638" ht="13.5" customHeight="1">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row>
    <row r="639" ht="13.5" customHeight="1">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row>
    <row r="640" ht="13.5" customHeight="1">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row>
    <row r="641" ht="13.5" customHeight="1">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row>
    <row r="642" ht="13.5" customHeight="1">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row>
    <row r="643" ht="13.5" customHeight="1">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row>
    <row r="644" ht="13.5" customHeight="1">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row>
    <row r="645" ht="13.5" customHeight="1">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row>
    <row r="646" ht="13.5" customHeight="1">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row>
    <row r="647" ht="13.5" customHeight="1">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row>
    <row r="648" ht="13.5" customHeight="1">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row>
    <row r="649" ht="13.5" customHeight="1">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row>
    <row r="650" ht="13.5" customHeight="1">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row>
    <row r="651" ht="13.5" customHeight="1">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row>
    <row r="652" ht="13.5" customHeight="1">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row>
    <row r="653" ht="13.5" customHeight="1">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row>
    <row r="654" ht="13.5" customHeight="1">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row>
    <row r="655" ht="13.5" customHeight="1">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row>
    <row r="656" ht="13.5" customHeight="1">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row>
    <row r="657" ht="13.5" customHeight="1">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row>
    <row r="658" ht="13.5" customHeight="1">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row>
    <row r="659" ht="13.5" customHeight="1">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row>
    <row r="660" ht="13.5" customHeight="1">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row>
    <row r="661" ht="13.5" customHeight="1">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row>
    <row r="662" ht="13.5" customHeight="1">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row>
    <row r="663" ht="13.5" customHeight="1">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row>
    <row r="664" ht="13.5" customHeight="1">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row>
    <row r="665" ht="13.5" customHeight="1">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row>
    <row r="666" ht="13.5" customHeight="1">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row>
    <row r="667" ht="13.5" customHeight="1">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row>
    <row r="668" ht="13.5" customHeight="1">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row>
    <row r="669" ht="13.5" customHeight="1">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row>
    <row r="670" ht="13.5" customHeight="1">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row>
    <row r="671" ht="13.5" customHeight="1">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row>
    <row r="672" ht="13.5" customHeight="1">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row>
    <row r="673" ht="13.5" customHeight="1">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row>
    <row r="674" ht="13.5" customHeight="1">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row>
    <row r="675" ht="13.5" customHeight="1">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row>
    <row r="676" ht="13.5" customHeight="1">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row>
    <row r="677" ht="13.5" customHeight="1">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row>
    <row r="678" ht="13.5" customHeight="1">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row>
    <row r="679" ht="13.5" customHeight="1">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row>
    <row r="680" ht="13.5" customHeight="1">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row>
    <row r="681" ht="13.5" customHeight="1">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row>
    <row r="682" ht="13.5" customHeight="1">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row>
    <row r="683" ht="13.5" customHeight="1">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row>
    <row r="684" ht="13.5" customHeight="1">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row>
    <row r="685" ht="13.5" customHeight="1">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row>
    <row r="686" ht="13.5" customHeight="1">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row>
    <row r="687" ht="13.5" customHeight="1">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row>
    <row r="688" ht="13.5" customHeight="1">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row>
    <row r="689" ht="13.5" customHeight="1">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row>
    <row r="690" ht="13.5" customHeight="1">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row>
    <row r="691" ht="13.5" customHeight="1">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row>
    <row r="692" ht="13.5" customHeight="1">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row>
    <row r="693" ht="13.5" customHeight="1">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row>
    <row r="694" ht="13.5" customHeight="1">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row>
    <row r="695" ht="13.5" customHeight="1">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row>
    <row r="696" ht="13.5" customHeight="1">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row>
    <row r="697" ht="13.5" customHeight="1">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row>
    <row r="698" ht="13.5" customHeight="1">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row>
    <row r="699" ht="13.5" customHeight="1">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row>
    <row r="700" ht="13.5" customHeight="1">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row>
    <row r="701" ht="13.5" customHeight="1">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row>
    <row r="702" ht="13.5" customHeight="1">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row>
    <row r="703" ht="13.5" customHeight="1">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row>
    <row r="704" ht="13.5" customHeight="1">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row>
    <row r="705" ht="13.5" customHeight="1">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row>
    <row r="706" ht="13.5" customHeight="1">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row>
    <row r="707" ht="13.5" customHeight="1">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row>
    <row r="708" ht="13.5" customHeight="1">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row>
    <row r="709" ht="13.5" customHeight="1">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row>
    <row r="710" ht="13.5" customHeight="1">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row>
    <row r="711" ht="13.5" customHeight="1">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row>
    <row r="712" ht="13.5" customHeight="1">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row>
    <row r="713" ht="13.5" customHeight="1">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row>
    <row r="714" ht="13.5" customHeight="1">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row>
    <row r="715" ht="13.5" customHeight="1">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row>
    <row r="716" ht="13.5" customHeight="1">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row>
    <row r="717" ht="13.5" customHeight="1">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row>
    <row r="718" ht="13.5" customHeight="1">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row>
    <row r="719" ht="13.5" customHeight="1">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row>
    <row r="720" ht="13.5" customHeight="1">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row>
    <row r="721" ht="13.5" customHeight="1">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row>
    <row r="722" ht="13.5" customHeight="1">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row>
    <row r="723" ht="13.5" customHeight="1">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row>
    <row r="724" ht="13.5" customHeight="1">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row>
    <row r="725" ht="13.5" customHeight="1">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row>
    <row r="726" ht="13.5" customHeight="1">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row>
    <row r="727" ht="13.5" customHeight="1">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row>
    <row r="728" ht="13.5" customHeight="1">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row>
    <row r="729" ht="13.5" customHeight="1">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row>
    <row r="730" ht="13.5" customHeight="1">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row>
    <row r="731" ht="13.5" customHeight="1">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row>
    <row r="732" ht="13.5" customHeight="1">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row>
    <row r="733" ht="13.5" customHeight="1">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row>
    <row r="734" ht="13.5" customHeight="1">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row>
    <row r="735" ht="13.5" customHeight="1">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row>
    <row r="736" ht="13.5" customHeight="1">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row>
    <row r="737" ht="13.5" customHeight="1">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row>
    <row r="738" ht="13.5" customHeight="1">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row>
    <row r="739" ht="13.5" customHeight="1">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row>
    <row r="740" ht="13.5" customHeight="1">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row>
    <row r="741" ht="13.5" customHeight="1">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row>
    <row r="742" ht="13.5" customHeight="1">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row>
    <row r="743" ht="13.5" customHeight="1">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row>
    <row r="744" ht="13.5" customHeight="1">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row>
    <row r="745" ht="13.5" customHeight="1">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row>
    <row r="746" ht="13.5" customHeight="1">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row>
    <row r="747" ht="13.5" customHeight="1">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row>
    <row r="748" ht="13.5" customHeight="1">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row>
    <row r="749" ht="13.5" customHeight="1">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row>
    <row r="750" ht="13.5" customHeight="1">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row>
    <row r="751" ht="13.5" customHeight="1">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row>
    <row r="752" ht="13.5" customHeight="1">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row>
    <row r="753" ht="13.5" customHeight="1">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row>
    <row r="754" ht="13.5" customHeight="1">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row>
    <row r="755" ht="13.5" customHeight="1">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row>
    <row r="756" ht="13.5" customHeight="1">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row>
    <row r="757" ht="13.5" customHeight="1">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row>
    <row r="758" ht="13.5" customHeight="1">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row>
    <row r="759" ht="13.5" customHeight="1">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row>
    <row r="760" ht="13.5" customHeight="1">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row>
    <row r="761" ht="13.5" customHeight="1">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row>
    <row r="762" ht="13.5" customHeight="1">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row>
    <row r="763" ht="13.5" customHeight="1">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row>
    <row r="764" ht="13.5" customHeight="1">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row>
    <row r="765" ht="13.5" customHeight="1">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row>
    <row r="766" ht="13.5" customHeight="1">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row>
    <row r="767" ht="13.5" customHeight="1">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row>
    <row r="768" ht="13.5" customHeight="1">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row>
    <row r="769" ht="13.5" customHeight="1">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row>
    <row r="770" ht="13.5" customHeight="1">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row>
    <row r="771" ht="13.5" customHeight="1">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row>
    <row r="772" ht="13.5" customHeight="1">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row>
    <row r="773" ht="13.5" customHeight="1">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row>
    <row r="774" ht="13.5" customHeight="1">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row>
    <row r="775" ht="13.5" customHeight="1">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row>
    <row r="776" ht="13.5" customHeight="1">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row>
    <row r="777" ht="13.5" customHeight="1">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row>
    <row r="778" ht="13.5" customHeight="1">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row>
    <row r="779" ht="13.5" customHeight="1">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row>
    <row r="780" ht="13.5" customHeight="1">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row>
    <row r="781" ht="13.5" customHeight="1">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row>
    <row r="782" ht="13.5" customHeight="1">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row>
    <row r="783" ht="13.5" customHeight="1">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row>
    <row r="784" ht="13.5" customHeight="1">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row>
    <row r="785" ht="13.5" customHeight="1">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row>
    <row r="786" ht="13.5" customHeight="1">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row>
    <row r="787" ht="13.5" customHeight="1">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row>
    <row r="788" ht="13.5" customHeight="1">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row>
    <row r="789" ht="13.5" customHeight="1">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row>
    <row r="790" ht="13.5" customHeight="1">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row>
    <row r="791" ht="13.5" customHeight="1">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row>
    <row r="792" ht="13.5" customHeight="1">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row>
    <row r="793" ht="13.5" customHeight="1">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row>
    <row r="794" ht="13.5" customHeight="1">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row>
    <row r="795" ht="13.5" customHeight="1">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row>
    <row r="796" ht="13.5" customHeight="1">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row>
    <row r="797" ht="13.5" customHeight="1">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row>
    <row r="798" ht="13.5" customHeight="1">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row>
    <row r="799" ht="13.5" customHeight="1">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row>
    <row r="800" ht="13.5" customHeight="1">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row>
    <row r="801" ht="13.5" customHeight="1">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row>
    <row r="802" ht="13.5" customHeight="1">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row>
    <row r="803" ht="13.5" customHeight="1">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row>
    <row r="804" ht="13.5" customHeight="1">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row>
    <row r="805" ht="13.5" customHeight="1">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row>
    <row r="806" ht="13.5" customHeight="1">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row>
    <row r="807" ht="13.5" customHeight="1">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row>
    <row r="808" ht="13.5" customHeight="1">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row>
    <row r="809" ht="13.5" customHeight="1">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row>
    <row r="810" ht="13.5" customHeight="1">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row>
    <row r="811" ht="13.5" customHeight="1">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row>
    <row r="812" ht="13.5" customHeight="1">
      <c r="A812" s="129"/>
      <c r="B812" s="129"/>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row>
    <row r="813" ht="13.5" customHeight="1">
      <c r="A813" s="129"/>
      <c r="B813" s="129"/>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row>
    <row r="814" ht="13.5" customHeight="1">
      <c r="A814" s="129"/>
      <c r="B814" s="129"/>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row>
    <row r="815" ht="13.5" customHeight="1">
      <c r="A815" s="129"/>
      <c r="B815" s="129"/>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row>
    <row r="816" ht="13.5" customHeight="1">
      <c r="A816" s="129"/>
      <c r="B816" s="129"/>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row>
    <row r="817" ht="13.5" customHeight="1">
      <c r="A817" s="129"/>
      <c r="B817" s="129"/>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row>
    <row r="818" ht="13.5" customHeight="1">
      <c r="A818" s="129"/>
      <c r="B818" s="129"/>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row>
    <row r="819" ht="13.5" customHeight="1">
      <c r="A819" s="129"/>
      <c r="B819" s="129"/>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row>
    <row r="820" ht="13.5" customHeight="1">
      <c r="A820" s="129"/>
      <c r="B820" s="129"/>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row>
    <row r="821" ht="13.5" customHeight="1">
      <c r="A821" s="129"/>
      <c r="B821" s="129"/>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row>
    <row r="822" ht="13.5" customHeight="1">
      <c r="A822" s="129"/>
      <c r="B822" s="129"/>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row>
    <row r="823" ht="13.5" customHeight="1">
      <c r="A823" s="129"/>
      <c r="B823" s="129"/>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row>
    <row r="824" ht="13.5" customHeight="1">
      <c r="A824" s="129"/>
      <c r="B824" s="129"/>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row>
    <row r="825" ht="13.5" customHeight="1">
      <c r="A825" s="129"/>
      <c r="B825" s="129"/>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row>
    <row r="826" ht="13.5" customHeight="1">
      <c r="A826" s="129"/>
      <c r="B826" s="129"/>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row>
    <row r="827" ht="13.5" customHeight="1">
      <c r="A827" s="129"/>
      <c r="B827" s="129"/>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row>
    <row r="828" ht="13.5" customHeight="1">
      <c r="A828" s="129"/>
      <c r="B828" s="129"/>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row>
    <row r="829" ht="13.5" customHeight="1">
      <c r="A829" s="129"/>
      <c r="B829" s="129"/>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row>
    <row r="830" ht="13.5" customHeight="1">
      <c r="A830" s="129"/>
      <c r="B830" s="129"/>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row>
    <row r="831" ht="13.5" customHeight="1">
      <c r="A831" s="129"/>
      <c r="B831" s="129"/>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row>
    <row r="832" ht="13.5" customHeight="1">
      <c r="A832" s="129"/>
      <c r="B832" s="129"/>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row>
    <row r="833" ht="13.5" customHeight="1">
      <c r="A833" s="129"/>
      <c r="B833" s="129"/>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row>
    <row r="834" ht="13.5" customHeight="1">
      <c r="A834" s="129"/>
      <c r="B834" s="129"/>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row>
    <row r="835" ht="13.5" customHeight="1">
      <c r="A835" s="129"/>
      <c r="B835" s="129"/>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row>
    <row r="836" ht="13.5" customHeight="1">
      <c r="A836" s="129"/>
      <c r="B836" s="129"/>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row>
    <row r="837" ht="13.5" customHeight="1">
      <c r="A837" s="129"/>
      <c r="B837" s="129"/>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row>
    <row r="838" ht="13.5" customHeight="1">
      <c r="A838" s="129"/>
      <c r="B838" s="129"/>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row>
    <row r="839" ht="13.5" customHeight="1">
      <c r="A839" s="129"/>
      <c r="B839" s="129"/>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row>
    <row r="840" ht="13.5" customHeight="1">
      <c r="A840" s="129"/>
      <c r="B840" s="129"/>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row>
    <row r="841" ht="13.5" customHeight="1">
      <c r="A841" s="129"/>
      <c r="B841" s="129"/>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row>
    <row r="842" ht="13.5" customHeight="1">
      <c r="A842" s="129"/>
      <c r="B842" s="129"/>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row>
    <row r="843" ht="13.5" customHeight="1">
      <c r="A843" s="129"/>
      <c r="B843" s="129"/>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row>
    <row r="844" ht="13.5" customHeight="1">
      <c r="A844" s="129"/>
      <c r="B844" s="129"/>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row>
    <row r="845" ht="13.5" customHeight="1">
      <c r="A845" s="129"/>
      <c r="B845" s="129"/>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row>
    <row r="846" ht="13.5" customHeight="1">
      <c r="A846" s="129"/>
      <c r="B846" s="129"/>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row>
    <row r="847" ht="13.5" customHeight="1">
      <c r="A847" s="129"/>
      <c r="B847" s="129"/>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row>
    <row r="848" ht="13.5" customHeight="1">
      <c r="A848" s="129"/>
      <c r="B848" s="129"/>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row>
    <row r="849" ht="13.5" customHeight="1">
      <c r="A849" s="129"/>
      <c r="B849" s="129"/>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row>
    <row r="850" ht="13.5" customHeight="1">
      <c r="A850" s="129"/>
      <c r="B850" s="129"/>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row>
    <row r="851" ht="13.5" customHeight="1">
      <c r="A851" s="129"/>
      <c r="B851" s="129"/>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row>
    <row r="852" ht="13.5" customHeight="1">
      <c r="A852" s="129"/>
      <c r="B852" s="129"/>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row>
    <row r="853" ht="13.5" customHeight="1">
      <c r="A853" s="129"/>
      <c r="B853" s="129"/>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row>
    <row r="854" ht="13.5" customHeight="1">
      <c r="A854" s="129"/>
      <c r="B854" s="129"/>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row>
    <row r="855" ht="13.5" customHeight="1">
      <c r="A855" s="129"/>
      <c r="B855" s="129"/>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row>
    <row r="856" ht="13.5" customHeight="1">
      <c r="A856" s="129"/>
      <c r="B856" s="129"/>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row>
    <row r="857" ht="13.5" customHeight="1">
      <c r="A857" s="129"/>
      <c r="B857" s="129"/>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row>
    <row r="858" ht="13.5" customHeight="1">
      <c r="A858" s="129"/>
      <c r="B858" s="129"/>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row>
    <row r="859" ht="13.5" customHeight="1">
      <c r="A859" s="129"/>
      <c r="B859" s="129"/>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row>
    <row r="860" ht="13.5" customHeight="1">
      <c r="A860" s="129"/>
      <c r="B860" s="129"/>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row>
    <row r="861" ht="13.5" customHeight="1">
      <c r="A861" s="129"/>
      <c r="B861" s="129"/>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row>
    <row r="862" ht="13.5" customHeight="1">
      <c r="A862" s="129"/>
      <c r="B862" s="129"/>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row>
    <row r="863" ht="13.5" customHeight="1">
      <c r="A863" s="129"/>
      <c r="B863" s="129"/>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row>
    <row r="864" ht="13.5" customHeight="1">
      <c r="A864" s="129"/>
      <c r="B864" s="129"/>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row>
    <row r="865" ht="13.5" customHeight="1">
      <c r="A865" s="129"/>
      <c r="B865" s="129"/>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row>
    <row r="866" ht="13.5" customHeight="1">
      <c r="A866" s="129"/>
      <c r="B866" s="129"/>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row>
    <row r="867" ht="13.5" customHeight="1">
      <c r="A867" s="129"/>
      <c r="B867" s="129"/>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row>
    <row r="868" ht="13.5" customHeight="1">
      <c r="A868" s="129"/>
      <c r="B868" s="129"/>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row>
    <row r="869" ht="13.5" customHeight="1">
      <c r="A869" s="129"/>
      <c r="B869" s="129"/>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row>
    <row r="870" ht="13.5" customHeight="1">
      <c r="A870" s="129"/>
      <c r="B870" s="129"/>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row>
    <row r="871" ht="13.5" customHeight="1">
      <c r="A871" s="129"/>
      <c r="B871" s="129"/>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row>
    <row r="872" ht="13.5" customHeight="1">
      <c r="A872" s="129"/>
      <c r="B872" s="129"/>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row>
    <row r="873" ht="13.5" customHeight="1">
      <c r="A873" s="129"/>
      <c r="B873" s="129"/>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row>
    <row r="874" ht="13.5" customHeight="1">
      <c r="A874" s="129"/>
      <c r="B874" s="129"/>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row>
    <row r="875" ht="13.5" customHeight="1">
      <c r="A875" s="129"/>
      <c r="B875" s="129"/>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row>
    <row r="876" ht="13.5" customHeight="1">
      <c r="A876" s="129"/>
      <c r="B876" s="129"/>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row>
    <row r="877" ht="13.5" customHeight="1">
      <c r="A877" s="129"/>
      <c r="B877" s="129"/>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row>
    <row r="878" ht="13.5" customHeight="1">
      <c r="A878" s="129"/>
      <c r="B878" s="129"/>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row>
    <row r="879" ht="13.5" customHeight="1">
      <c r="A879" s="129"/>
      <c r="B879" s="129"/>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row>
    <row r="880" ht="13.5" customHeight="1">
      <c r="A880" s="129"/>
      <c r="B880" s="129"/>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row>
    <row r="881" ht="13.5" customHeight="1">
      <c r="A881" s="129"/>
      <c r="B881" s="129"/>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row>
    <row r="882" ht="13.5" customHeight="1">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row>
    <row r="883" ht="13.5" customHeight="1">
      <c r="A883" s="129"/>
      <c r="B883" s="129"/>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row>
    <row r="884" ht="13.5" customHeight="1">
      <c r="A884" s="129"/>
      <c r="B884" s="129"/>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row>
    <row r="885" ht="13.5" customHeight="1">
      <c r="A885" s="129"/>
      <c r="B885" s="129"/>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row>
    <row r="886" ht="13.5" customHeight="1">
      <c r="A886" s="129"/>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row>
    <row r="887" ht="13.5" customHeight="1">
      <c r="A887" s="129"/>
      <c r="B887" s="129"/>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row>
    <row r="888" ht="13.5" customHeight="1">
      <c r="A888" s="129"/>
      <c r="B888" s="129"/>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row>
    <row r="889" ht="13.5" customHeight="1">
      <c r="A889" s="129"/>
      <c r="B889" s="129"/>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row>
    <row r="890" ht="13.5" customHeight="1">
      <c r="A890" s="129"/>
      <c r="B890" s="129"/>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row>
    <row r="891" ht="13.5" customHeight="1">
      <c r="A891" s="129"/>
      <c r="B891" s="129"/>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row>
    <row r="892" ht="13.5" customHeight="1">
      <c r="A892" s="129"/>
      <c r="B892" s="129"/>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row>
    <row r="893" ht="13.5" customHeight="1">
      <c r="A893" s="129"/>
      <c r="B893" s="129"/>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row>
    <row r="894" ht="13.5" customHeight="1">
      <c r="A894" s="129"/>
      <c r="B894" s="129"/>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row>
    <row r="895" ht="13.5" customHeight="1">
      <c r="A895" s="129"/>
      <c r="B895" s="129"/>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row>
    <row r="896" ht="13.5" customHeight="1">
      <c r="A896" s="129"/>
      <c r="B896" s="129"/>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row>
    <row r="897" ht="13.5" customHeight="1">
      <c r="A897" s="129"/>
      <c r="B897" s="129"/>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row>
    <row r="898" ht="13.5" customHeight="1">
      <c r="A898" s="129"/>
      <c r="B898" s="129"/>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row>
    <row r="899" ht="13.5" customHeight="1">
      <c r="A899" s="129"/>
      <c r="B899" s="129"/>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row>
    <row r="900" ht="13.5" customHeight="1">
      <c r="A900" s="129"/>
      <c r="B900" s="129"/>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row>
    <row r="901" ht="13.5" customHeight="1">
      <c r="A901" s="129"/>
      <c r="B901" s="129"/>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row>
    <row r="902" ht="13.5" customHeight="1">
      <c r="A902" s="129"/>
      <c r="B902" s="129"/>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row>
    <row r="903" ht="13.5" customHeight="1">
      <c r="A903" s="129"/>
      <c r="B903" s="129"/>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row>
    <row r="904" ht="13.5" customHeight="1">
      <c r="A904" s="129"/>
      <c r="B904" s="129"/>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row>
    <row r="905" ht="13.5" customHeight="1">
      <c r="A905" s="129"/>
      <c r="B905" s="129"/>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row>
    <row r="906" ht="13.5" customHeight="1">
      <c r="A906" s="129"/>
      <c r="B906" s="129"/>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row>
    <row r="907" ht="13.5" customHeight="1">
      <c r="A907" s="129"/>
      <c r="B907" s="129"/>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row>
    <row r="908" ht="13.5" customHeight="1">
      <c r="A908" s="129"/>
      <c r="B908" s="129"/>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row>
    <row r="909" ht="13.5" customHeight="1">
      <c r="A909" s="129"/>
      <c r="B909" s="129"/>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row>
    <row r="910" ht="13.5" customHeight="1">
      <c r="A910" s="129"/>
      <c r="B910" s="129"/>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row>
    <row r="911" ht="13.5" customHeight="1">
      <c r="A911" s="129"/>
      <c r="B911" s="129"/>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row>
    <row r="912" ht="13.5" customHeight="1">
      <c r="A912" s="129"/>
      <c r="B912" s="129"/>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row>
    <row r="913" ht="13.5" customHeight="1">
      <c r="A913" s="129"/>
      <c r="B913" s="129"/>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row>
    <row r="914" ht="13.5" customHeight="1">
      <c r="A914" s="129"/>
      <c r="B914" s="129"/>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row>
    <row r="915" ht="13.5" customHeight="1">
      <c r="A915" s="129"/>
      <c r="B915" s="129"/>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row>
    <row r="916" ht="13.5" customHeight="1">
      <c r="A916" s="129"/>
      <c r="B916" s="129"/>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row>
    <row r="917" ht="13.5" customHeight="1">
      <c r="A917" s="129"/>
      <c r="B917" s="129"/>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row>
    <row r="918" ht="13.5" customHeight="1">
      <c r="A918" s="129"/>
      <c r="B918" s="129"/>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row>
    <row r="919" ht="13.5" customHeight="1">
      <c r="A919" s="129"/>
      <c r="B919" s="129"/>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row>
    <row r="920" ht="13.5" customHeight="1">
      <c r="A920" s="129"/>
      <c r="B920" s="129"/>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row>
    <row r="921" ht="13.5" customHeight="1">
      <c r="A921" s="129"/>
      <c r="B921" s="129"/>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row>
    <row r="922" ht="13.5" customHeight="1">
      <c r="A922" s="129"/>
      <c r="B922" s="129"/>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row>
    <row r="923" ht="13.5" customHeight="1">
      <c r="A923" s="129"/>
      <c r="B923" s="129"/>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row>
    <row r="924" ht="13.5" customHeight="1">
      <c r="A924" s="129"/>
      <c r="B924" s="129"/>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row>
    <row r="925" ht="13.5" customHeight="1">
      <c r="A925" s="129"/>
      <c r="B925" s="129"/>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row>
    <row r="926" ht="13.5" customHeight="1">
      <c r="A926" s="129"/>
      <c r="B926" s="129"/>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row>
    <row r="927" ht="13.5" customHeight="1">
      <c r="A927" s="129"/>
      <c r="B927" s="129"/>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row>
    <row r="928" ht="13.5" customHeight="1">
      <c r="A928" s="129"/>
      <c r="B928" s="129"/>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row>
    <row r="929" ht="13.5" customHeight="1">
      <c r="A929" s="129"/>
      <c r="B929" s="129"/>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row>
    <row r="930" ht="13.5" customHeight="1">
      <c r="A930" s="129"/>
      <c r="B930" s="129"/>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row>
    <row r="931" ht="13.5" customHeight="1">
      <c r="A931" s="129"/>
      <c r="B931" s="129"/>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row>
    <row r="932" ht="13.5" customHeight="1">
      <c r="A932" s="129"/>
      <c r="B932" s="129"/>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row>
    <row r="933" ht="13.5" customHeight="1">
      <c r="A933" s="129"/>
      <c r="B933" s="129"/>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row>
    <row r="934" ht="13.5" customHeight="1">
      <c r="A934" s="129"/>
      <c r="B934" s="129"/>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row>
    <row r="935" ht="13.5" customHeight="1">
      <c r="A935" s="129"/>
      <c r="B935" s="129"/>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row>
    <row r="936" ht="13.5" customHeight="1">
      <c r="A936" s="129"/>
      <c r="B936" s="129"/>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row>
    <row r="937" ht="13.5" customHeight="1">
      <c r="A937" s="129"/>
      <c r="B937" s="129"/>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row>
    <row r="938" ht="13.5" customHeight="1">
      <c r="A938" s="129"/>
      <c r="B938" s="129"/>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row>
    <row r="939" ht="13.5" customHeight="1">
      <c r="A939" s="129"/>
      <c r="B939" s="129"/>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row>
    <row r="940" ht="13.5" customHeight="1">
      <c r="A940" s="129"/>
      <c r="B940" s="129"/>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row>
    <row r="941" ht="13.5" customHeight="1">
      <c r="A941" s="129"/>
      <c r="B941" s="129"/>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row>
    <row r="942" ht="13.5" customHeight="1">
      <c r="A942" s="129"/>
      <c r="B942" s="129"/>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row>
    <row r="943" ht="13.5" customHeight="1">
      <c r="A943" s="129"/>
      <c r="B943" s="129"/>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row>
    <row r="944" ht="13.5" customHeight="1">
      <c r="A944" s="129"/>
      <c r="B944" s="129"/>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row>
    <row r="945" ht="13.5" customHeight="1">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row>
    <row r="946" ht="13.5" customHeight="1">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row>
    <row r="947" ht="13.5" customHeight="1">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row>
    <row r="948" ht="13.5" customHeight="1">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row>
    <row r="949" ht="13.5" customHeight="1">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row>
    <row r="950" ht="13.5" customHeight="1">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row>
    <row r="951" ht="13.5" customHeight="1">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row>
    <row r="952" ht="13.5" customHeight="1">
      <c r="A952" s="129"/>
      <c r="B952" s="129"/>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row>
    <row r="953" ht="13.5" customHeight="1">
      <c r="A953" s="129"/>
      <c r="B953" s="129"/>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row>
    <row r="954" ht="13.5" customHeight="1">
      <c r="A954" s="129"/>
      <c r="B954" s="129"/>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row>
    <row r="955" ht="13.5" customHeight="1">
      <c r="A955" s="129"/>
      <c r="B955" s="129"/>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row>
    <row r="956" ht="13.5" customHeight="1">
      <c r="A956" s="129"/>
      <c r="B956" s="129"/>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row>
    <row r="957" ht="13.5" customHeight="1">
      <c r="A957" s="129"/>
      <c r="B957" s="129"/>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row>
    <row r="958" ht="13.5" customHeight="1">
      <c r="A958" s="129"/>
      <c r="B958" s="129"/>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row>
    <row r="959" ht="13.5" customHeight="1">
      <c r="A959" s="129"/>
      <c r="B959" s="129"/>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row>
    <row r="960" ht="13.5" customHeight="1">
      <c r="A960" s="129"/>
      <c r="B960" s="129"/>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row>
    <row r="961" ht="13.5" customHeight="1">
      <c r="A961" s="129"/>
      <c r="B961" s="129"/>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row>
    <row r="962" ht="13.5" customHeight="1">
      <c r="A962" s="129"/>
      <c r="B962" s="129"/>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row>
    <row r="963" ht="13.5" customHeight="1">
      <c r="A963" s="129"/>
      <c r="B963" s="129"/>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row>
    <row r="964" ht="13.5" customHeight="1">
      <c r="A964" s="129"/>
      <c r="B964" s="129"/>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row>
    <row r="965" ht="13.5" customHeight="1">
      <c r="A965" s="129"/>
      <c r="B965" s="129"/>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row>
    <row r="966" ht="13.5" customHeight="1">
      <c r="A966" s="129"/>
      <c r="B966" s="129"/>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row>
    <row r="967" ht="13.5" customHeight="1">
      <c r="A967" s="129"/>
      <c r="B967" s="129"/>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row>
    <row r="968" ht="13.5" customHeight="1">
      <c r="A968" s="129"/>
      <c r="B968" s="129"/>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row>
    <row r="969" ht="13.5" customHeight="1">
      <c r="A969" s="129"/>
      <c r="B969" s="129"/>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row>
    <row r="970" ht="13.5" customHeight="1">
      <c r="A970" s="129"/>
      <c r="B970" s="129"/>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row>
    <row r="971" ht="13.5" customHeight="1">
      <c r="A971" s="129"/>
      <c r="B971" s="129"/>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row>
    <row r="972" ht="13.5" customHeight="1">
      <c r="A972" s="129"/>
      <c r="B972" s="129"/>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row>
    <row r="973" ht="13.5" customHeight="1">
      <c r="A973" s="129"/>
      <c r="B973" s="129"/>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row>
    <row r="974" ht="13.5" customHeight="1">
      <c r="A974" s="129"/>
      <c r="B974" s="129"/>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row>
    <row r="975" ht="13.5" customHeight="1">
      <c r="A975" s="129"/>
      <c r="B975" s="129"/>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row>
    <row r="976" ht="13.5" customHeight="1">
      <c r="A976" s="129"/>
      <c r="B976" s="129"/>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row>
    <row r="977" ht="13.5" customHeight="1">
      <c r="A977" s="129"/>
      <c r="B977" s="129"/>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row>
    <row r="978" ht="13.5" customHeight="1">
      <c r="A978" s="129"/>
      <c r="B978" s="129"/>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row>
    <row r="979" ht="13.5" customHeight="1">
      <c r="A979" s="129"/>
      <c r="B979" s="129"/>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row>
    <row r="980" ht="13.5" customHeight="1">
      <c r="A980" s="129"/>
      <c r="B980" s="129"/>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row>
    <row r="981" ht="13.5" customHeight="1">
      <c r="A981" s="129"/>
      <c r="B981" s="129"/>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row>
    <row r="982" ht="13.5" customHeight="1">
      <c r="A982" s="129"/>
      <c r="B982" s="129"/>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row>
    <row r="983" ht="13.5" customHeight="1">
      <c r="A983" s="129"/>
      <c r="B983" s="129"/>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row>
    <row r="984" ht="13.5" customHeight="1">
      <c r="A984" s="129"/>
      <c r="B984" s="129"/>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row>
    <row r="985" ht="13.5" customHeight="1">
      <c r="A985" s="129"/>
      <c r="B985" s="129"/>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row>
    <row r="986" ht="13.5" customHeight="1">
      <c r="A986" s="129"/>
      <c r="B986" s="129"/>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row>
    <row r="987" ht="13.5" customHeight="1">
      <c r="A987" s="129"/>
      <c r="B987" s="129"/>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row>
    <row r="988" ht="13.5" customHeight="1">
      <c r="A988" s="129"/>
      <c r="B988" s="129"/>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row>
    <row r="989" ht="13.5" customHeight="1">
      <c r="A989" s="129"/>
      <c r="B989" s="129"/>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row>
    <row r="990" ht="13.5" customHeight="1">
      <c r="A990" s="129"/>
      <c r="B990" s="129"/>
      <c r="C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row>
    <row r="991" ht="13.5" customHeight="1">
      <c r="A991" s="129"/>
      <c r="B991" s="129"/>
      <c r="C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row>
    <row r="992" ht="13.5" customHeight="1">
      <c r="A992" s="129"/>
      <c r="B992" s="129"/>
      <c r="C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row>
    <row r="993" ht="13.5" customHeight="1">
      <c r="A993" s="129"/>
      <c r="B993" s="129"/>
      <c r="C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row>
    <row r="994" ht="13.5" customHeight="1">
      <c r="A994" s="129"/>
      <c r="B994" s="129"/>
      <c r="C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row>
    <row r="995" ht="13.5" customHeight="1">
      <c r="A995" s="129"/>
      <c r="B995" s="129"/>
      <c r="C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row>
    <row r="996" ht="13.5" customHeight="1">
      <c r="A996" s="129"/>
      <c r="B996" s="129"/>
      <c r="C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row>
    <row r="997" ht="13.5" customHeight="1">
      <c r="A997" s="129"/>
      <c r="B997" s="129"/>
      <c r="C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row>
    <row r="998" ht="13.5" customHeight="1">
      <c r="A998" s="129"/>
      <c r="B998" s="129"/>
      <c r="C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row>
    <row r="999" ht="13.5" customHeight="1">
      <c r="A999" s="129"/>
      <c r="B999" s="129"/>
      <c r="C999" s="129"/>
      <c r="D999" s="129"/>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row>
    <row r="1000" ht="13.5" customHeight="1">
      <c r="A1000" s="129"/>
      <c r="B1000" s="129"/>
      <c r="C1000" s="129"/>
      <c r="D1000" s="129"/>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row>
  </sheetData>
  <printOptions/>
  <pageMargins bottom="0.75" footer="0.0" header="0.0" left="0.7" right="0.7" top="0.75"/>
  <pageSetup orientation="landscape"/>
  <drawing r:id="rId1"/>
  <tableParts count="1">
    <tablePart r:id="rId3"/>
  </tableParts>
</worksheet>
</file>